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pivotTables/pivotTable1.xml" ContentType="application/vnd.openxmlformats-officedocument.spreadsheetml.pivotTable+xml"/>
  <Override PartName="/xl/comments5.xml" ContentType="application/vnd.openxmlformats-officedocument.spreadsheetml.comments+xml"/>
  <Override PartName="/xl/comments6.xml" ContentType="application/vnd.openxmlformats-officedocument.spreadsheetml.comments+xml"/>
  <Override PartName="/xl/drawings/drawing15.xml" ContentType="application/vnd.openxmlformats-officedocument.drawing+xml"/>
  <Override PartName="/xl/comments7.xml" ContentType="application/vnd.openxmlformats-officedocument.spreadsheetml.comments+xml"/>
  <Override PartName="/xl/drawings/drawing1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gobantioquia-my.sharepoint.com/personal/mecanismo_sa_antioquia_gov_co/Documents/MECANISMO DVP/EN REVISION/83.SAN CARLOS/3.PMAL_SANCARLOS24/4_Version_4/25.Pres_APU/"/>
    </mc:Choice>
  </mc:AlternateContent>
  <xr:revisionPtr revIDLastSave="0" documentId="13_ncr:1_{9F8469D8-EFED-49F3-93CF-8E4546D51DE0}" xr6:coauthVersionLast="47" xr6:coauthVersionMax="47" xr10:uidLastSave="{00000000-0000-0000-0000-000000000000}"/>
  <bookViews>
    <workbookView xWindow="-120" yWindow="-120" windowWidth="29040" windowHeight="15720" tabRatio="937" activeTab="10" xr2:uid="{5CDF7DE4-5DE9-408F-A7C7-D3B5785F6C17}"/>
  </bookViews>
  <sheets>
    <sheet name="PRESUP" sheetId="56" r:id="rId1"/>
    <sheet name="PLAN FINANCIERO" sheetId="149" r:id="rId2"/>
    <sheet name="PAV" sheetId="67" r:id="rId3"/>
    <sheet name="ALDO" sheetId="168" r:id="rId4"/>
    <sheet name="ACTO" sheetId="145" r:id="rId5"/>
    <sheet name="ACOM ACTO" sheetId="144" r:id="rId6"/>
    <sheet name="ACCESORIOS, ETC" sheetId="141" r:id="rId7"/>
    <sheet name="APU'S" sheetId="57" r:id="rId8"/>
    <sheet name="APU'S CONC" sheetId="4" r:id="rId9"/>
    <sheet name="BD" sheetId="2" r:id="rId10"/>
    <sheet name="AU" sheetId="14" r:id="rId11"/>
    <sheet name="PREST" sheetId="1" r:id="rId12"/>
    <sheet name="PMT" sheetId="59" r:id="rId13"/>
    <sheet name="SOCIAL" sheetId="60" state="hidden" r:id="rId14"/>
    <sheet name="AMBIENTAL" sheetId="172" r:id="rId15"/>
    <sheet name="SST" sheetId="173" r:id="rId16"/>
    <sheet name="INT OBRA" sheetId="127" r:id="rId17"/>
    <sheet name="INT SUM" sheetId="174" state="hidden" r:id="rId18"/>
    <sheet name="F.M." sheetId="128" r:id="rId19"/>
    <sheet name="PÓLIZAS OBRA" sheetId="58" r:id="rId20"/>
    <sheet name="PÓLIZAS INT OBRA" sheetId="129" r:id="rId21"/>
    <sheet name="PÓLIZAS INT SUM" sheetId="175" r:id="rId22"/>
    <sheet name="CRONOGRAMA Y FLUJO INVERSIÓN" sheetId="130" r:id="rId23"/>
    <sheet name="Hoja5" sheetId="140" state="hidden" r:id="rId24"/>
    <sheet name="ACCESORIOS" sheetId="142" state="hidden" r:id="rId25"/>
    <sheet name="TUBERÍAS" sheetId="143" state="hidden" r:id="rId26"/>
    <sheet name="Hoja1 (3)" sheetId="146" state="hidden" r:id="rId27"/>
    <sheet name="Hoja3 (2)" sheetId="147" state="hidden" r:id="rId28"/>
    <sheet name="CABEZOTE (2)" sheetId="161" state="hidden" r:id="rId29"/>
    <sheet name="TABLA (2)" sheetId="162" state="hidden" r:id="rId30"/>
    <sheet name="Base de Diseño (2)" sheetId="163" state="hidden" r:id="rId31"/>
    <sheet name="Cálculo_Diseño  (2)" sheetId="164" state="hidden" r:id="rId32"/>
    <sheet name="Hoja3 (3)" sheetId="165" state="hidden" r:id="rId33"/>
    <sheet name="Hoja6 (2)" sheetId="166" state="hidden" r:id="rId34"/>
    <sheet name="Hoja2 (2)" sheetId="167" state="hidden" r:id="rId35"/>
    <sheet name="ppto (2)" sheetId="169" state="hidden" r:id="rId36"/>
    <sheet name="Hoja1 (4)" sheetId="170" state="hidden" r:id="rId37"/>
    <sheet name="Hoja1 (5)" sheetId="171" state="hidden" r:id="rId38"/>
  </sheets>
  <externalReferences>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s>
  <definedNames>
    <definedName name="\a">#REF!</definedName>
    <definedName name="\b" localSheetId="3">#REF!</definedName>
    <definedName name="\b">#REF!</definedName>
    <definedName name="\c" localSheetId="3">#REF!</definedName>
    <definedName name="\c">#REF!</definedName>
    <definedName name="\e">#REF!</definedName>
    <definedName name="\i">#REF!</definedName>
    <definedName name="\m">#REF!</definedName>
    <definedName name="\r">#REF!</definedName>
    <definedName name="\s">#REF!</definedName>
    <definedName name="\t">#REF!</definedName>
    <definedName name="\x">#REF!</definedName>
    <definedName name="\z">#REF!</definedName>
    <definedName name="__________________________________________________________Po2">#REF!</definedName>
    <definedName name="__________________________________________________________TPE1132">#REF!</definedName>
    <definedName name="__________________________________________________________TPE1331">#REF!</definedName>
    <definedName name="__________________________________________________________TPE1702">#REF!</definedName>
    <definedName name="__________________________________________________________TPE1703">#REF!</definedName>
    <definedName name="__________________________________________________________TPE1704">#REF!</definedName>
    <definedName name="__________________________________________________________TPE1706">#REF!</definedName>
    <definedName name="__________________________________________________________TPE1708">#REF!</definedName>
    <definedName name="__________________________________________________________TPE1710">#REF!</definedName>
    <definedName name="__________________________________________________________TPE1735">#REF!</definedName>
    <definedName name="__________________________________________________________TPE1763">#REF!</definedName>
    <definedName name="__________________________________________________________TPE1790">#REF!</definedName>
    <definedName name="__________________________________________________________TUZ22">#REF!</definedName>
    <definedName name="__________________________________________________________TUZ36">#REF!</definedName>
    <definedName name="__________________________________________________________TZ323">#REF!</definedName>
    <definedName name="__________________________________________________________TZ324">#REF!</definedName>
    <definedName name="________________________________________________________AIU1">#REF!</definedName>
    <definedName name="________________________________________________________AIU2">#REF!</definedName>
    <definedName name="________________________________________________________Cod1">#REF!</definedName>
    <definedName name="________________________________________________________Po2">#REF!</definedName>
    <definedName name="________________________________________________________TPE1132">#REF!</definedName>
    <definedName name="________________________________________________________TPE1331">#REF!</definedName>
    <definedName name="________________________________________________________TPE1702">#REF!</definedName>
    <definedName name="________________________________________________________TPE1703">#REF!</definedName>
    <definedName name="________________________________________________________TPE1704">#REF!</definedName>
    <definedName name="________________________________________________________TPE1706">#REF!</definedName>
    <definedName name="________________________________________________________TPE1708">#REF!</definedName>
    <definedName name="________________________________________________________TPE1710">#REF!</definedName>
    <definedName name="________________________________________________________TPE1735">#REF!</definedName>
    <definedName name="________________________________________________________TPE1763">#REF!</definedName>
    <definedName name="________________________________________________________TPE1790">#REF!</definedName>
    <definedName name="________________________________________________________TUZ22">#REF!</definedName>
    <definedName name="________________________________________________________TUZ36">#REF!</definedName>
    <definedName name="________________________________________________________TZ323">#REF!</definedName>
    <definedName name="________________________________________________________TZ324">#REF!</definedName>
    <definedName name="_______________________________________________________AIU1" localSheetId="3">#REF!</definedName>
    <definedName name="_______________________________________________________AIU1" localSheetId="30">#REF!</definedName>
    <definedName name="_______________________________________________________AIU1" localSheetId="31">#REF!</definedName>
    <definedName name="_______________________________________________________AIU1" localSheetId="29">#REF!</definedName>
    <definedName name="_______________________________________________________AIU1">#REF!</definedName>
    <definedName name="_______________________________________________________AIU2">#REF!</definedName>
    <definedName name="_______________________________________________________CAN28">#REF!</definedName>
    <definedName name="_______________________________________________________Cod1" localSheetId="3">#REF!</definedName>
    <definedName name="_______________________________________________________Cod1" localSheetId="30">#REF!</definedName>
    <definedName name="_______________________________________________________Cod1" localSheetId="31">#REF!</definedName>
    <definedName name="_______________________________________________________Cod1" localSheetId="29">#REF!</definedName>
    <definedName name="_______________________________________________________Cod1">#REF!</definedName>
    <definedName name="_______________________________________________________Po2" localSheetId="3">#REF!</definedName>
    <definedName name="_______________________________________________________Po2">#REF!</definedName>
    <definedName name="_______________________________________________________REP43">#REF!</definedName>
    <definedName name="_______________________________________________________TPE1132" localSheetId="3">#REF!</definedName>
    <definedName name="_______________________________________________________TPE1132">#REF!</definedName>
    <definedName name="_______________________________________________________TPE12" localSheetId="3">#REF!</definedName>
    <definedName name="_______________________________________________________TPE12" localSheetId="30">#REF!</definedName>
    <definedName name="_______________________________________________________TPE12" localSheetId="31">#REF!</definedName>
    <definedName name="_______________________________________________________TPE12" localSheetId="29">#REF!</definedName>
    <definedName name="_______________________________________________________TPE12">#REF!</definedName>
    <definedName name="_______________________________________________________TPE1331" localSheetId="3">#REF!</definedName>
    <definedName name="_______________________________________________________TPE1331">#REF!</definedName>
    <definedName name="_______________________________________________________TPE1702" localSheetId="3">#REF!</definedName>
    <definedName name="_______________________________________________________TPE1702">#REF!</definedName>
    <definedName name="_______________________________________________________TPE1703" localSheetId="3">#REF!</definedName>
    <definedName name="_______________________________________________________TPE1703">#REF!</definedName>
    <definedName name="_______________________________________________________TPE1704" localSheetId="3">#REF!</definedName>
    <definedName name="_______________________________________________________TPE1704">#REF!</definedName>
    <definedName name="_______________________________________________________TPE1706" localSheetId="3">#REF!</definedName>
    <definedName name="_______________________________________________________TPE1706">#REF!</definedName>
    <definedName name="_______________________________________________________TPE1708">#REF!</definedName>
    <definedName name="_______________________________________________________TPE1710">#REF!</definedName>
    <definedName name="_______________________________________________________TPE1735">#REF!</definedName>
    <definedName name="_______________________________________________________TPE1763">#REF!</definedName>
    <definedName name="_______________________________________________________TPE1790">#REF!</definedName>
    <definedName name="_______________________________________________________TUZ22">#REF!</definedName>
    <definedName name="_______________________________________________________TUZ36">#REF!</definedName>
    <definedName name="_______________________________________________________TZ323">#REF!</definedName>
    <definedName name="_______________________________________________________TZ324">#REF!</definedName>
    <definedName name="______________________________________________________AIU1" localSheetId="3">#REF!</definedName>
    <definedName name="______________________________________________________AIU1" localSheetId="30">#REF!</definedName>
    <definedName name="______________________________________________________AIU1" localSheetId="31">#REF!</definedName>
    <definedName name="______________________________________________________AIU1" localSheetId="29">#REF!</definedName>
    <definedName name="______________________________________________________AIU1">#REF!</definedName>
    <definedName name="______________________________________________________AIU2">#REF!</definedName>
    <definedName name="______________________________________________________Cod1" localSheetId="3">#REF!</definedName>
    <definedName name="______________________________________________________Cod1" localSheetId="30">#REF!</definedName>
    <definedName name="______________________________________________________Cod1" localSheetId="31">#REF!</definedName>
    <definedName name="______________________________________________________Cod1" localSheetId="29">#REF!</definedName>
    <definedName name="______________________________________________________Cod1">#REF!</definedName>
    <definedName name="______________________________________________________Po2" localSheetId="3">#REF!</definedName>
    <definedName name="______________________________________________________Po2">#REF!</definedName>
    <definedName name="______________________________________________________REP43">#REF!</definedName>
    <definedName name="______________________________________________________TPE1132" localSheetId="3">#REF!</definedName>
    <definedName name="______________________________________________________TPE1132">#REF!</definedName>
    <definedName name="______________________________________________________TPE12" localSheetId="3">#REF!</definedName>
    <definedName name="______________________________________________________TPE12" localSheetId="30">#REF!</definedName>
    <definedName name="______________________________________________________TPE12" localSheetId="31">#REF!</definedName>
    <definedName name="______________________________________________________TPE12" localSheetId="29">#REF!</definedName>
    <definedName name="______________________________________________________TPE12">#REF!</definedName>
    <definedName name="______________________________________________________TPE1331" localSheetId="3">#REF!</definedName>
    <definedName name="______________________________________________________TPE1331">#REF!</definedName>
    <definedName name="______________________________________________________TPE1702" localSheetId="3">#REF!</definedName>
    <definedName name="______________________________________________________TPE1702">#REF!</definedName>
    <definedName name="______________________________________________________TPE1703" localSheetId="3">#REF!</definedName>
    <definedName name="______________________________________________________TPE1703">#REF!</definedName>
    <definedName name="______________________________________________________TPE1704" localSheetId="3">#REF!</definedName>
    <definedName name="______________________________________________________TPE1704">#REF!</definedName>
    <definedName name="______________________________________________________TPE1706" localSheetId="3">#REF!</definedName>
    <definedName name="______________________________________________________TPE1706">#REF!</definedName>
    <definedName name="______________________________________________________TPE1708">#REF!</definedName>
    <definedName name="______________________________________________________TPE1710">#REF!</definedName>
    <definedName name="______________________________________________________TPE1735">#REF!</definedName>
    <definedName name="______________________________________________________TPE1763">#REF!</definedName>
    <definedName name="______________________________________________________TPE1790">#REF!</definedName>
    <definedName name="______________________________________________________TUZ22">#REF!</definedName>
    <definedName name="______________________________________________________TUZ36">#REF!</definedName>
    <definedName name="______________________________________________________TZ323">#REF!</definedName>
    <definedName name="______________________________________________________TZ324">#REF!</definedName>
    <definedName name="_____________________________________________________AIU1" localSheetId="3">#REF!</definedName>
    <definedName name="_____________________________________________________AIU1" localSheetId="30">#REF!</definedName>
    <definedName name="_____________________________________________________AIU1" localSheetId="31">#REF!</definedName>
    <definedName name="_____________________________________________________AIU1" localSheetId="29">#REF!</definedName>
    <definedName name="_____________________________________________________AIU1">#REF!</definedName>
    <definedName name="_____________________________________________________AIU2">#REF!</definedName>
    <definedName name="_____________________________________________________Cod1" localSheetId="3">#REF!</definedName>
    <definedName name="_____________________________________________________Cod1" localSheetId="30">#REF!</definedName>
    <definedName name="_____________________________________________________Cod1" localSheetId="31">#REF!</definedName>
    <definedName name="_____________________________________________________Cod1" localSheetId="29">#REF!</definedName>
    <definedName name="_____________________________________________________Cod1">#REF!</definedName>
    <definedName name="_____________________________________________________Po2" localSheetId="3">#REF!</definedName>
    <definedName name="_____________________________________________________Po2">#REF!</definedName>
    <definedName name="_____________________________________________________REP43">#REF!</definedName>
    <definedName name="_____________________________________________________TEP44">#REF!</definedName>
    <definedName name="_____________________________________________________TPE1132" localSheetId="3">#REF!</definedName>
    <definedName name="_____________________________________________________TPE1132">#REF!</definedName>
    <definedName name="_____________________________________________________TPE12" localSheetId="3">#REF!</definedName>
    <definedName name="_____________________________________________________TPE12" localSheetId="30">#REF!</definedName>
    <definedName name="_____________________________________________________TPE12" localSheetId="31">#REF!</definedName>
    <definedName name="_____________________________________________________TPE12" localSheetId="29">#REF!</definedName>
    <definedName name="_____________________________________________________TPE12">#REF!</definedName>
    <definedName name="_____________________________________________________TPE1331" localSheetId="3">#REF!</definedName>
    <definedName name="_____________________________________________________TPE1331">#REF!</definedName>
    <definedName name="_____________________________________________________TPE1702" localSheetId="3">#REF!</definedName>
    <definedName name="_____________________________________________________TPE1702">#REF!</definedName>
    <definedName name="_____________________________________________________TPE1703" localSheetId="3">#REF!</definedName>
    <definedName name="_____________________________________________________TPE1703">#REF!</definedName>
    <definedName name="_____________________________________________________TPE1704" localSheetId="3">#REF!</definedName>
    <definedName name="_____________________________________________________TPE1704">#REF!</definedName>
    <definedName name="_____________________________________________________TPE1706" localSheetId="3">#REF!</definedName>
    <definedName name="_____________________________________________________TPE1706">#REF!</definedName>
    <definedName name="_____________________________________________________TPE1708">#REF!</definedName>
    <definedName name="_____________________________________________________TPE1710">#REF!</definedName>
    <definedName name="_____________________________________________________TPE1735">#REF!</definedName>
    <definedName name="_____________________________________________________TPE1763">#REF!</definedName>
    <definedName name="_____________________________________________________TPE1790">#REF!</definedName>
    <definedName name="_____________________________________________________TUZ22">#REF!</definedName>
    <definedName name="_____________________________________________________TUZ36">#REF!</definedName>
    <definedName name="_____________________________________________________TZ216">#REF!</definedName>
    <definedName name="_____________________________________________________TZ323" localSheetId="3">#REF!</definedName>
    <definedName name="_____________________________________________________TZ323">#REF!</definedName>
    <definedName name="_____________________________________________________TZ324" localSheetId="3">#REF!</definedName>
    <definedName name="_____________________________________________________TZ324">#REF!</definedName>
    <definedName name="____________________________________________________AIU1" localSheetId="3">#REF!</definedName>
    <definedName name="____________________________________________________AIU1" localSheetId="30">#REF!</definedName>
    <definedName name="____________________________________________________AIU1" localSheetId="31">#REF!</definedName>
    <definedName name="____________________________________________________AIU1" localSheetId="29">#REF!</definedName>
    <definedName name="____________________________________________________AIU1">#REF!</definedName>
    <definedName name="____________________________________________________AIU2">#REF!</definedName>
    <definedName name="____________________________________________________Cod1" localSheetId="3">#REF!</definedName>
    <definedName name="____________________________________________________Cod1" localSheetId="30">#REF!</definedName>
    <definedName name="____________________________________________________Cod1" localSheetId="31">#REF!</definedName>
    <definedName name="____________________________________________________Cod1" localSheetId="29">#REF!</definedName>
    <definedName name="____________________________________________________Cod1">#REF!</definedName>
    <definedName name="____________________________________________________Po2" localSheetId="3">#REF!</definedName>
    <definedName name="____________________________________________________Po2">#REF!</definedName>
    <definedName name="____________________________________________________REP43">#REF!</definedName>
    <definedName name="____________________________________________________TPE1132" localSheetId="3">#REF!</definedName>
    <definedName name="____________________________________________________TPE1132">#REF!</definedName>
    <definedName name="____________________________________________________TPE12" localSheetId="3">#REF!</definedName>
    <definedName name="____________________________________________________TPE12" localSheetId="30">#REF!</definedName>
    <definedName name="____________________________________________________TPE12" localSheetId="31">#REF!</definedName>
    <definedName name="____________________________________________________TPE12" localSheetId="29">#REF!</definedName>
    <definedName name="____________________________________________________TPE12">#REF!</definedName>
    <definedName name="____________________________________________________TPE1331" localSheetId="3">#REF!</definedName>
    <definedName name="____________________________________________________TPE1331">#REF!</definedName>
    <definedName name="____________________________________________________TPE1702" localSheetId="3">#REF!</definedName>
    <definedName name="____________________________________________________TPE1702">#REF!</definedName>
    <definedName name="____________________________________________________TPE1703" localSheetId="3">#REF!</definedName>
    <definedName name="____________________________________________________TPE1703">#REF!</definedName>
    <definedName name="____________________________________________________TPE1704" localSheetId="3">#REF!</definedName>
    <definedName name="____________________________________________________TPE1704">#REF!</definedName>
    <definedName name="____________________________________________________TPE1706" localSheetId="3">#REF!</definedName>
    <definedName name="____________________________________________________TPE1706">#REF!</definedName>
    <definedName name="____________________________________________________TPE1708">#REF!</definedName>
    <definedName name="____________________________________________________TPE1710">#REF!</definedName>
    <definedName name="____________________________________________________TPE1735">#REF!</definedName>
    <definedName name="____________________________________________________TPE1763">#REF!</definedName>
    <definedName name="____________________________________________________TPE1790">#REF!</definedName>
    <definedName name="____________________________________________________TUZ22">#REF!</definedName>
    <definedName name="____________________________________________________TUZ36">#REF!</definedName>
    <definedName name="____________________________________________________TZ214">#REF!</definedName>
    <definedName name="____________________________________________________TZ323" localSheetId="3">#REF!</definedName>
    <definedName name="____________________________________________________TZ323">#REF!</definedName>
    <definedName name="____________________________________________________TZ324" localSheetId="3">#REF!</definedName>
    <definedName name="____________________________________________________TZ324">#REF!</definedName>
    <definedName name="____________________________________________________TZ32510">#REF!</definedName>
    <definedName name="___________________________________________________AIU1" localSheetId="3">#REF!</definedName>
    <definedName name="___________________________________________________AIU1" localSheetId="30">#REF!</definedName>
    <definedName name="___________________________________________________AIU1" localSheetId="31">#REF!</definedName>
    <definedName name="___________________________________________________AIU1" localSheetId="29">#REF!</definedName>
    <definedName name="___________________________________________________AIU1">#REF!</definedName>
    <definedName name="___________________________________________________AIU2">#REF!</definedName>
    <definedName name="___________________________________________________Cod1" localSheetId="3">#REF!</definedName>
    <definedName name="___________________________________________________Cod1" localSheetId="30">#REF!</definedName>
    <definedName name="___________________________________________________Cod1" localSheetId="31">#REF!</definedName>
    <definedName name="___________________________________________________Cod1" localSheetId="29">#REF!</definedName>
    <definedName name="___________________________________________________Cod1">#REF!</definedName>
    <definedName name="___________________________________________________Po2" localSheetId="3">#REF!</definedName>
    <definedName name="___________________________________________________Po2">#REF!</definedName>
    <definedName name="___________________________________________________REP43">#REF!</definedName>
    <definedName name="___________________________________________________TEP44">#REF!</definedName>
    <definedName name="___________________________________________________TPE1132" localSheetId="3">#REF!</definedName>
    <definedName name="___________________________________________________TPE1132">#REF!</definedName>
    <definedName name="___________________________________________________TPE12" localSheetId="3">#REF!</definedName>
    <definedName name="___________________________________________________TPE12" localSheetId="30">#REF!</definedName>
    <definedName name="___________________________________________________TPE12" localSheetId="31">#REF!</definedName>
    <definedName name="___________________________________________________TPE12" localSheetId="29">#REF!</definedName>
    <definedName name="___________________________________________________TPE12">#REF!</definedName>
    <definedName name="___________________________________________________TPE1331" localSheetId="3">#REF!</definedName>
    <definedName name="___________________________________________________TPE1331">#REF!</definedName>
    <definedName name="___________________________________________________TPE1702" localSheetId="3">#REF!</definedName>
    <definedName name="___________________________________________________TPE1702">#REF!</definedName>
    <definedName name="___________________________________________________TPE1703" localSheetId="3">#REF!</definedName>
    <definedName name="___________________________________________________TPE1703">#REF!</definedName>
    <definedName name="___________________________________________________TPE1704" localSheetId="3">#REF!</definedName>
    <definedName name="___________________________________________________TPE1704">#REF!</definedName>
    <definedName name="___________________________________________________TPE1706" localSheetId="3">#REF!</definedName>
    <definedName name="___________________________________________________TPE1706">#REF!</definedName>
    <definedName name="___________________________________________________TPE1708">#REF!</definedName>
    <definedName name="___________________________________________________TPE1710">#REF!</definedName>
    <definedName name="___________________________________________________TPE1735">#REF!</definedName>
    <definedName name="___________________________________________________TPE1763">#REF!</definedName>
    <definedName name="___________________________________________________TPE1790">#REF!</definedName>
    <definedName name="___________________________________________________TUZ22">#REF!</definedName>
    <definedName name="___________________________________________________TUZ36">#REF!</definedName>
    <definedName name="___________________________________________________TZ216">#REF!</definedName>
    <definedName name="___________________________________________________TZ323" localSheetId="3">#REF!</definedName>
    <definedName name="___________________________________________________TZ323">#REF!</definedName>
    <definedName name="___________________________________________________TZ324" localSheetId="3">#REF!</definedName>
    <definedName name="___________________________________________________TZ324">#REF!</definedName>
    <definedName name="__________________________________________________AIU1" localSheetId="3">#REF!</definedName>
    <definedName name="__________________________________________________AIU1" localSheetId="30">#REF!</definedName>
    <definedName name="__________________________________________________AIU1" localSheetId="31">#REF!</definedName>
    <definedName name="__________________________________________________AIU1" localSheetId="29">#REF!</definedName>
    <definedName name="__________________________________________________AIU1">#REF!</definedName>
    <definedName name="__________________________________________________AIU2">#REF!</definedName>
    <definedName name="__________________________________________________Cod1" localSheetId="3">#REF!</definedName>
    <definedName name="__________________________________________________Cod1" localSheetId="30">#REF!</definedName>
    <definedName name="__________________________________________________Cod1" localSheetId="31">#REF!</definedName>
    <definedName name="__________________________________________________Cod1" localSheetId="29">#REF!</definedName>
    <definedName name="__________________________________________________Cod1">#REF!</definedName>
    <definedName name="__________________________________________________Po2" localSheetId="3">#REF!</definedName>
    <definedName name="__________________________________________________Po2">#REF!</definedName>
    <definedName name="__________________________________________________REP43">#REF!</definedName>
    <definedName name="__________________________________________________TEP44">#REF!</definedName>
    <definedName name="__________________________________________________TPE1132" localSheetId="3">#REF!</definedName>
    <definedName name="__________________________________________________TPE1132">#REF!</definedName>
    <definedName name="__________________________________________________TPE12" localSheetId="3">#REF!</definedName>
    <definedName name="__________________________________________________TPE12" localSheetId="30">#REF!</definedName>
    <definedName name="__________________________________________________TPE12" localSheetId="31">#REF!</definedName>
    <definedName name="__________________________________________________TPE12" localSheetId="29">#REF!</definedName>
    <definedName name="__________________________________________________TPE12">#REF!</definedName>
    <definedName name="__________________________________________________TPE1331" localSheetId="3">#REF!</definedName>
    <definedName name="__________________________________________________TPE1331">#REF!</definedName>
    <definedName name="__________________________________________________TPE1702" localSheetId="3">#REF!</definedName>
    <definedName name="__________________________________________________TPE1702">#REF!</definedName>
    <definedName name="__________________________________________________TPE1703" localSheetId="3">#REF!</definedName>
    <definedName name="__________________________________________________TPE1703">#REF!</definedName>
    <definedName name="__________________________________________________TPE1704" localSheetId="3">#REF!</definedName>
    <definedName name="__________________________________________________TPE1704">#REF!</definedName>
    <definedName name="__________________________________________________TPE1706" localSheetId="3">#REF!</definedName>
    <definedName name="__________________________________________________TPE1706">#REF!</definedName>
    <definedName name="__________________________________________________TPE1708">#REF!</definedName>
    <definedName name="__________________________________________________TPE1710">#REF!</definedName>
    <definedName name="__________________________________________________TPE1735">#REF!</definedName>
    <definedName name="__________________________________________________TPE1763">#REF!</definedName>
    <definedName name="__________________________________________________TPE1790">#REF!</definedName>
    <definedName name="__________________________________________________TUZ22">#REF!</definedName>
    <definedName name="__________________________________________________TUZ36">#REF!</definedName>
    <definedName name="__________________________________________________TZ214">#REF!</definedName>
    <definedName name="__________________________________________________TZ216">#REF!</definedName>
    <definedName name="__________________________________________________TZ323" localSheetId="3">#REF!</definedName>
    <definedName name="__________________________________________________TZ323">#REF!</definedName>
    <definedName name="__________________________________________________TZ324" localSheetId="3">#REF!</definedName>
    <definedName name="__________________________________________________TZ324">#REF!</definedName>
    <definedName name="__________________________________________________TZ32510">#REF!</definedName>
    <definedName name="_________________________________________________AFC1">[1]INV!$A$25:$D$28</definedName>
    <definedName name="_________________________________________________AFC3">[1]INV!$F$25:$I$28</definedName>
    <definedName name="_________________________________________________AFC5">[1]INV!$K$25:$N$28</definedName>
    <definedName name="_________________________________________________AIU1" localSheetId="3">#REF!</definedName>
    <definedName name="_________________________________________________AIU1" localSheetId="30">#REF!</definedName>
    <definedName name="_________________________________________________AIU1" localSheetId="31">#REF!</definedName>
    <definedName name="_________________________________________________AIU1" localSheetId="29">#REF!</definedName>
    <definedName name="_________________________________________________AIU1">#REF!</definedName>
    <definedName name="_________________________________________________AIU2">#REF!</definedName>
    <definedName name="_________________________________________________BGC1">[1]INV!$A$5:$D$8</definedName>
    <definedName name="_________________________________________________BGC3">[1]INV!$F$5:$I$8</definedName>
    <definedName name="_________________________________________________BGC5">[1]INV!$K$5:$N$8</definedName>
    <definedName name="_________________________________________________CAC1">[1]INV!$A$19:$D$22</definedName>
    <definedName name="_________________________________________________CAC3">[1]INV!$F$19:$I$22</definedName>
    <definedName name="_________________________________________________CAC5">[1]INV!$K$19:$N$22</definedName>
    <definedName name="_________________________________________________Cod1" localSheetId="3">#REF!</definedName>
    <definedName name="_________________________________________________Cod1" localSheetId="30">#REF!</definedName>
    <definedName name="_________________________________________________Cod1" localSheetId="31">#REF!</definedName>
    <definedName name="_________________________________________________Cod1" localSheetId="29">#REF!</definedName>
    <definedName name="_________________________________________________Cod1">#REF!</definedName>
    <definedName name="_________________________________________________i1">#REF!</definedName>
    <definedName name="_________________________________________________REP43">#REF!</definedName>
    <definedName name="_________________________________________________SBC1">[1]INV!$A$12:$D$15</definedName>
    <definedName name="_________________________________________________SBC3">[1]INV!$F$12:$I$15</definedName>
    <definedName name="_________________________________________________SBC5">[1]INV!$K$12:$N$15</definedName>
    <definedName name="_________________________________________________TEP44">#REF!</definedName>
    <definedName name="_________________________________________________TPE1132" localSheetId="3">#REF!</definedName>
    <definedName name="_________________________________________________TPE1132">#REF!</definedName>
    <definedName name="_________________________________________________TPE12" localSheetId="3">#REF!</definedName>
    <definedName name="_________________________________________________TPE12" localSheetId="30">#REF!</definedName>
    <definedName name="_________________________________________________TPE12" localSheetId="31">#REF!</definedName>
    <definedName name="_________________________________________________TPE12" localSheetId="29">#REF!</definedName>
    <definedName name="_________________________________________________TPE12">#REF!</definedName>
    <definedName name="_________________________________________________TPE1331" localSheetId="3">#REF!</definedName>
    <definedName name="_________________________________________________TPE1331">#REF!</definedName>
    <definedName name="_________________________________________________TPE1702" localSheetId="3">#REF!</definedName>
    <definedName name="_________________________________________________TPE1702">#REF!</definedName>
    <definedName name="_________________________________________________TPE1703" localSheetId="3">#REF!</definedName>
    <definedName name="_________________________________________________TPE1703">#REF!</definedName>
    <definedName name="_________________________________________________TPE1704" localSheetId="3">#REF!</definedName>
    <definedName name="_________________________________________________TPE1704">#REF!</definedName>
    <definedName name="_________________________________________________TPE1706" localSheetId="3">#REF!</definedName>
    <definedName name="_________________________________________________TPE1706">#REF!</definedName>
    <definedName name="_________________________________________________TPE1708">#REF!</definedName>
    <definedName name="_________________________________________________TPE1710">#REF!</definedName>
    <definedName name="_________________________________________________TPE1735">#REF!</definedName>
    <definedName name="_________________________________________________TPE1763">#REF!</definedName>
    <definedName name="_________________________________________________TPE1790">#REF!</definedName>
    <definedName name="_________________________________________________TUZ22">#REF!</definedName>
    <definedName name="_________________________________________________TUZ36">#REF!</definedName>
    <definedName name="_________________________________________________TZ214">#REF!</definedName>
    <definedName name="_________________________________________________TZ216">#REF!</definedName>
    <definedName name="_________________________________________________TZ323" localSheetId="3">#REF!</definedName>
    <definedName name="_________________________________________________TZ323">#REF!</definedName>
    <definedName name="_________________________________________________TZ324" localSheetId="3">#REF!</definedName>
    <definedName name="_________________________________________________TZ324">#REF!</definedName>
    <definedName name="_________________________________________________TZ32510">#REF!</definedName>
    <definedName name="________________________________________________ADM4">#REF!</definedName>
    <definedName name="________________________________________________AFC1">[1]INV!$A$25:$D$28</definedName>
    <definedName name="________________________________________________AFC3">[1]INV!$F$25:$I$28</definedName>
    <definedName name="________________________________________________AFC5">[1]INV!$K$25:$N$28</definedName>
    <definedName name="________________________________________________AIU1" localSheetId="3">#REF!</definedName>
    <definedName name="________________________________________________AIU1" localSheetId="30">#REF!</definedName>
    <definedName name="________________________________________________AIU1" localSheetId="31">#REF!</definedName>
    <definedName name="________________________________________________AIU1" localSheetId="29">#REF!</definedName>
    <definedName name="________________________________________________AIU1">#REF!</definedName>
    <definedName name="________________________________________________AIU2">#REF!</definedName>
    <definedName name="________________________________________________BGC1">[1]INV!$A$5:$D$8</definedName>
    <definedName name="________________________________________________BGC3">[1]INV!$F$5:$I$8</definedName>
    <definedName name="________________________________________________BGC5">[1]INV!$K$5:$N$8</definedName>
    <definedName name="________________________________________________CAC1">[1]INV!$A$19:$D$22</definedName>
    <definedName name="________________________________________________CAC3">[1]INV!$F$19:$I$22</definedName>
    <definedName name="________________________________________________CAC5">[1]INV!$K$19:$N$22</definedName>
    <definedName name="________________________________________________CAN28">#REF!</definedName>
    <definedName name="________________________________________________Cod1" localSheetId="3">#REF!</definedName>
    <definedName name="________________________________________________Cod1" localSheetId="30">#REF!</definedName>
    <definedName name="________________________________________________Cod1" localSheetId="31">#REF!</definedName>
    <definedName name="________________________________________________Cod1" localSheetId="29">#REF!</definedName>
    <definedName name="________________________________________________Cod1">#REF!</definedName>
    <definedName name="________________________________________________i1">#REF!</definedName>
    <definedName name="________________________________________________Po2" localSheetId="3">#REF!</definedName>
    <definedName name="________________________________________________Po2">#REF!</definedName>
    <definedName name="________________________________________________REP43">#REF!</definedName>
    <definedName name="________________________________________________SBC1">[1]INV!$A$12:$D$15</definedName>
    <definedName name="________________________________________________SBC3">[1]INV!$F$12:$I$15</definedName>
    <definedName name="________________________________________________SBC5">[1]INV!$K$12:$N$15</definedName>
    <definedName name="________________________________________________TEP44">#REF!</definedName>
    <definedName name="________________________________________________TPE1132" localSheetId="3">#REF!</definedName>
    <definedName name="________________________________________________TPE1132">#REF!</definedName>
    <definedName name="________________________________________________TPE12" localSheetId="3">#REF!</definedName>
    <definedName name="________________________________________________TPE12" localSheetId="30">#REF!</definedName>
    <definedName name="________________________________________________TPE12" localSheetId="31">#REF!</definedName>
    <definedName name="________________________________________________TPE12" localSheetId="29">#REF!</definedName>
    <definedName name="________________________________________________TPE12">#REF!</definedName>
    <definedName name="________________________________________________TPE1331" localSheetId="3">#REF!</definedName>
    <definedName name="________________________________________________TPE1331">#REF!</definedName>
    <definedName name="________________________________________________TPE1702" localSheetId="3">#REF!</definedName>
    <definedName name="________________________________________________TPE1702">#REF!</definedName>
    <definedName name="________________________________________________TPE1703" localSheetId="3">#REF!</definedName>
    <definedName name="________________________________________________TPE1703">#REF!</definedName>
    <definedName name="________________________________________________TPE1704" localSheetId="3">#REF!</definedName>
    <definedName name="________________________________________________TPE1704">#REF!</definedName>
    <definedName name="________________________________________________TPE1706" localSheetId="3">#REF!</definedName>
    <definedName name="________________________________________________TPE1706">#REF!</definedName>
    <definedName name="________________________________________________TPE1708">#REF!</definedName>
    <definedName name="________________________________________________TPE1710">#REF!</definedName>
    <definedName name="________________________________________________TPE1735">#REF!</definedName>
    <definedName name="________________________________________________TPE1763">#REF!</definedName>
    <definedName name="________________________________________________TPE1790">#REF!</definedName>
    <definedName name="________________________________________________TUZ22">#REF!</definedName>
    <definedName name="________________________________________________TUZ36">#REF!</definedName>
    <definedName name="________________________________________________TZ214">#REF!</definedName>
    <definedName name="________________________________________________TZ216">#REF!</definedName>
    <definedName name="________________________________________________TZ323" localSheetId="3">#REF!</definedName>
    <definedName name="________________________________________________TZ323">#REF!</definedName>
    <definedName name="________________________________________________TZ324" localSheetId="3">#REF!</definedName>
    <definedName name="________________________________________________TZ324">#REF!</definedName>
    <definedName name="________________________________________________TZ32510">#REF!</definedName>
    <definedName name="_______________________________________________ADM4">#REF!</definedName>
    <definedName name="_______________________________________________AFC1">[1]INV!$A$25:$D$28</definedName>
    <definedName name="_______________________________________________AFC3">[1]INV!$F$25:$I$28</definedName>
    <definedName name="_______________________________________________AFC5">[1]INV!$K$25:$N$28</definedName>
    <definedName name="_______________________________________________AIU1" localSheetId="3">#REF!</definedName>
    <definedName name="_______________________________________________AIU1" localSheetId="30">#REF!</definedName>
    <definedName name="_______________________________________________AIU1" localSheetId="31">#REF!</definedName>
    <definedName name="_______________________________________________AIU1" localSheetId="29">#REF!</definedName>
    <definedName name="_______________________________________________AIU1">#REF!</definedName>
    <definedName name="_______________________________________________AIU2">#REF!</definedName>
    <definedName name="_______________________________________________BGC1">[1]INV!$A$5:$D$8</definedName>
    <definedName name="_______________________________________________BGC3">[1]INV!$F$5:$I$8</definedName>
    <definedName name="_______________________________________________BGC5">[1]INV!$K$5:$N$8</definedName>
    <definedName name="_______________________________________________CAC1">[1]INV!$A$19:$D$22</definedName>
    <definedName name="_______________________________________________CAC3">[1]INV!$F$19:$I$22</definedName>
    <definedName name="_______________________________________________CAC5">[1]INV!$K$19:$N$22</definedName>
    <definedName name="_______________________________________________Cod1" localSheetId="3">#REF!</definedName>
    <definedName name="_______________________________________________Cod1" localSheetId="30">#REF!</definedName>
    <definedName name="_______________________________________________Cod1" localSheetId="31">#REF!</definedName>
    <definedName name="_______________________________________________Cod1" localSheetId="29">#REF!</definedName>
    <definedName name="_______________________________________________Cod1">#REF!</definedName>
    <definedName name="_______________________________________________i1">#REF!</definedName>
    <definedName name="_______________________________________________Po2">#REF!</definedName>
    <definedName name="_______________________________________________REP43">#REF!</definedName>
    <definedName name="_______________________________________________SBC1">[1]INV!$A$12:$D$15</definedName>
    <definedName name="_______________________________________________SBC3">[1]INV!$F$12:$I$15</definedName>
    <definedName name="_______________________________________________SBC5">[1]INV!$K$12:$N$15</definedName>
    <definedName name="_______________________________________________TPE1132" localSheetId="3">#REF!</definedName>
    <definedName name="_______________________________________________TPE1132">#REF!</definedName>
    <definedName name="_______________________________________________TPE12" localSheetId="3">#REF!</definedName>
    <definedName name="_______________________________________________TPE12" localSheetId="30">#REF!</definedName>
    <definedName name="_______________________________________________TPE12" localSheetId="31">#REF!</definedName>
    <definedName name="_______________________________________________TPE12" localSheetId="29">#REF!</definedName>
    <definedName name="_______________________________________________TPE12">#REF!</definedName>
    <definedName name="_______________________________________________TPE1331" localSheetId="3">#REF!</definedName>
    <definedName name="_______________________________________________TPE1331">#REF!</definedName>
    <definedName name="_______________________________________________TPE1702" localSheetId="3">#REF!</definedName>
    <definedName name="_______________________________________________TPE1702">#REF!</definedName>
    <definedName name="_______________________________________________TPE1703" localSheetId="3">#REF!</definedName>
    <definedName name="_______________________________________________TPE1703">#REF!</definedName>
    <definedName name="_______________________________________________TPE1704" localSheetId="3">#REF!</definedName>
    <definedName name="_______________________________________________TPE1704">#REF!</definedName>
    <definedName name="_______________________________________________TPE1706" localSheetId="3">#REF!</definedName>
    <definedName name="_______________________________________________TPE1706">#REF!</definedName>
    <definedName name="_______________________________________________TPE1708">#REF!</definedName>
    <definedName name="_______________________________________________TPE1710">#REF!</definedName>
    <definedName name="_______________________________________________TPE1735">#REF!</definedName>
    <definedName name="_______________________________________________TPE1763">#REF!</definedName>
    <definedName name="_______________________________________________TPE1790">#REF!</definedName>
    <definedName name="_______________________________________________TUZ22">#REF!</definedName>
    <definedName name="_______________________________________________TUZ36">#REF!</definedName>
    <definedName name="_______________________________________________TZ214">#REF!</definedName>
    <definedName name="_______________________________________________TZ323" localSheetId="3">#REF!</definedName>
    <definedName name="_______________________________________________TZ323">#REF!</definedName>
    <definedName name="_______________________________________________TZ324" localSheetId="3">#REF!</definedName>
    <definedName name="_______________________________________________TZ324">#REF!</definedName>
    <definedName name="_______________________________________________TZ32510">#REF!</definedName>
    <definedName name="______________________________________________ADH12">#REF!</definedName>
    <definedName name="______________________________________________ADM12">#REF!</definedName>
    <definedName name="______________________________________________ADM4">#REF!</definedName>
    <definedName name="______________________________________________AFC1">[1]INV!$A$25:$D$28</definedName>
    <definedName name="______________________________________________AFC3">[1]INV!$F$25:$I$28</definedName>
    <definedName name="______________________________________________AFC5">[1]INV!$K$25:$N$28</definedName>
    <definedName name="______________________________________________AIU1" localSheetId="3">#REF!</definedName>
    <definedName name="______________________________________________AIU1" localSheetId="30">#REF!</definedName>
    <definedName name="______________________________________________AIU1" localSheetId="31">#REF!</definedName>
    <definedName name="______________________________________________AIU1" localSheetId="29">#REF!</definedName>
    <definedName name="______________________________________________AIU1">#REF!</definedName>
    <definedName name="______________________________________________AIU2">#REF!</definedName>
    <definedName name="______________________________________________BAZ10">#REF!</definedName>
    <definedName name="______________________________________________BGC1">[1]INV!$A$5:$D$8</definedName>
    <definedName name="______________________________________________BGC3">[1]INV!$F$5:$I$8</definedName>
    <definedName name="______________________________________________BGC5">[1]INV!$K$5:$N$8</definedName>
    <definedName name="______________________________________________BLO20">#REF!</definedName>
    <definedName name="______________________________________________CAC1">[1]INV!$A$19:$D$22</definedName>
    <definedName name="______________________________________________CAC3">[1]INV!$F$19:$I$22</definedName>
    <definedName name="______________________________________________CAC5">[1]INV!$K$19:$N$22</definedName>
    <definedName name="______________________________________________CAN28">#REF!</definedName>
    <definedName name="______________________________________________Cod1" localSheetId="3">#REF!</definedName>
    <definedName name="______________________________________________Cod1" localSheetId="30">#REF!</definedName>
    <definedName name="______________________________________________Cod1" localSheetId="31">#REF!</definedName>
    <definedName name="______________________________________________Cod1" localSheetId="29">#REF!</definedName>
    <definedName name="______________________________________________Cod1">#REF!</definedName>
    <definedName name="______________________________________________CUA44">#REF!</definedName>
    <definedName name="______________________________________________i1">#REF!</definedName>
    <definedName name="______________________________________________LA124">#REF!</definedName>
    <definedName name="______________________________________________LAC18">#REF!</definedName>
    <definedName name="______________________________________________Po2" localSheetId="3">#REF!</definedName>
    <definedName name="______________________________________________Po2">#REF!</definedName>
    <definedName name="______________________________________________R84JH">#REF!</definedName>
    <definedName name="______________________________________________REP43">#REF!</definedName>
    <definedName name="______________________________________________SBC1">[1]INV!$A$12:$D$15</definedName>
    <definedName name="______________________________________________SBC3">[1]INV!$F$12:$I$15</definedName>
    <definedName name="______________________________________________SBC5">[1]INV!$K$12:$N$15</definedName>
    <definedName name="______________________________________________TEP44">#REF!</definedName>
    <definedName name="______________________________________________TPE1132" localSheetId="3">#REF!</definedName>
    <definedName name="______________________________________________TPE1132">#REF!</definedName>
    <definedName name="______________________________________________TPE12" localSheetId="3">#REF!</definedName>
    <definedName name="______________________________________________TPE12" localSheetId="30">#REF!</definedName>
    <definedName name="______________________________________________TPE12" localSheetId="31">#REF!</definedName>
    <definedName name="______________________________________________TPE12" localSheetId="29">#REF!</definedName>
    <definedName name="______________________________________________TPE12">#REF!</definedName>
    <definedName name="______________________________________________TPE1331" localSheetId="3">#REF!</definedName>
    <definedName name="______________________________________________TPE1331">#REF!</definedName>
    <definedName name="______________________________________________TPE1702" localSheetId="3">#REF!</definedName>
    <definedName name="______________________________________________TPE1702">#REF!</definedName>
    <definedName name="______________________________________________TPE1703" localSheetId="3">#REF!</definedName>
    <definedName name="______________________________________________TPE1703">#REF!</definedName>
    <definedName name="______________________________________________TPE1704" localSheetId="3">#REF!</definedName>
    <definedName name="______________________________________________TPE1704">#REF!</definedName>
    <definedName name="______________________________________________TPE1706" localSheetId="3">#REF!</definedName>
    <definedName name="______________________________________________TPE1706">#REF!</definedName>
    <definedName name="______________________________________________TPE1708">#REF!</definedName>
    <definedName name="______________________________________________TPE1710">#REF!</definedName>
    <definedName name="______________________________________________TPE1735">#REF!</definedName>
    <definedName name="______________________________________________TPE1763">#REF!</definedName>
    <definedName name="______________________________________________TPE1790">#REF!</definedName>
    <definedName name="______________________________________________TPF12">#REF!</definedName>
    <definedName name="______________________________________________TUZ22" localSheetId="3">#REF!</definedName>
    <definedName name="______________________________________________TUZ22">#REF!</definedName>
    <definedName name="______________________________________________TUZ36" localSheetId="3">#REF!</definedName>
    <definedName name="______________________________________________TUZ36">#REF!</definedName>
    <definedName name="______________________________________________TZ2110">#REF!</definedName>
    <definedName name="______________________________________________TZ216">#REF!</definedName>
    <definedName name="______________________________________________TZ268">#REF!</definedName>
    <definedName name="______________________________________________TZ323" localSheetId="3">#REF!</definedName>
    <definedName name="______________________________________________TZ323">#REF!</definedName>
    <definedName name="______________________________________________TZ324" localSheetId="3">#REF!</definedName>
    <definedName name="______________________________________________TZ324">#REF!</definedName>
    <definedName name="_____________________________________________ADH12">#REF!</definedName>
    <definedName name="_____________________________________________ADM12">#REF!</definedName>
    <definedName name="_____________________________________________ADM4">#REF!</definedName>
    <definedName name="_____________________________________________AFC1">[1]INV!$A$25:$D$28</definedName>
    <definedName name="_____________________________________________AFC3">[1]INV!$F$25:$I$28</definedName>
    <definedName name="_____________________________________________AFC5">[1]INV!$K$25:$N$28</definedName>
    <definedName name="_____________________________________________AIU1" localSheetId="3">#REF!</definedName>
    <definedName name="_____________________________________________AIU1" localSheetId="30">#REF!</definedName>
    <definedName name="_____________________________________________AIU1" localSheetId="31">#REF!</definedName>
    <definedName name="_____________________________________________AIU1" localSheetId="29">#REF!</definedName>
    <definedName name="_____________________________________________AIU1">#REF!</definedName>
    <definedName name="_____________________________________________AIU2">#REF!</definedName>
    <definedName name="_____________________________________________BAZ10">#REF!</definedName>
    <definedName name="_____________________________________________BGC1">[1]INV!$A$5:$D$8</definedName>
    <definedName name="_____________________________________________BGC3">[1]INV!$F$5:$I$8</definedName>
    <definedName name="_____________________________________________BGC5">[1]INV!$K$5:$N$8</definedName>
    <definedName name="_____________________________________________BLO20">#REF!</definedName>
    <definedName name="_____________________________________________CAC1">[1]INV!$A$19:$D$22</definedName>
    <definedName name="_____________________________________________CAC3">[1]INV!$F$19:$I$22</definedName>
    <definedName name="_____________________________________________CAC5">[1]INV!$K$19:$N$22</definedName>
    <definedName name="_____________________________________________CAN28">#REF!</definedName>
    <definedName name="_____________________________________________Cod1" localSheetId="3">#REF!</definedName>
    <definedName name="_____________________________________________Cod1" localSheetId="30">#REF!</definedName>
    <definedName name="_____________________________________________Cod1" localSheetId="31">#REF!</definedName>
    <definedName name="_____________________________________________Cod1" localSheetId="29">#REF!</definedName>
    <definedName name="_____________________________________________Cod1">#REF!</definedName>
    <definedName name="_____________________________________________CUA44">#REF!</definedName>
    <definedName name="_____________________________________________i1">#REF!</definedName>
    <definedName name="_____________________________________________LA124">#REF!</definedName>
    <definedName name="_____________________________________________LAC18">#REF!</definedName>
    <definedName name="_____________________________________________Po2" localSheetId="3">#REF!</definedName>
    <definedName name="_____________________________________________Po2">#REF!</definedName>
    <definedName name="_____________________________________________R84JH">#REF!</definedName>
    <definedName name="_____________________________________________REP43">#REF!</definedName>
    <definedName name="_____________________________________________SBC1">[1]INV!$A$12:$D$15</definedName>
    <definedName name="_____________________________________________SBC3">[1]INV!$F$12:$I$15</definedName>
    <definedName name="_____________________________________________SBC5">[1]INV!$K$12:$N$15</definedName>
    <definedName name="_____________________________________________TPE1132" localSheetId="3">#REF!</definedName>
    <definedName name="_____________________________________________TPE1132">#REF!</definedName>
    <definedName name="_____________________________________________TPE12" localSheetId="3">#REF!</definedName>
    <definedName name="_____________________________________________TPE12" localSheetId="30">#REF!</definedName>
    <definedName name="_____________________________________________TPE12" localSheetId="31">#REF!</definedName>
    <definedName name="_____________________________________________TPE12" localSheetId="29">#REF!</definedName>
    <definedName name="_____________________________________________TPE12">#REF!</definedName>
    <definedName name="_____________________________________________TPE1331" localSheetId="3">#REF!</definedName>
    <definedName name="_____________________________________________TPE1331">#REF!</definedName>
    <definedName name="_____________________________________________TPE1702" localSheetId="3">#REF!</definedName>
    <definedName name="_____________________________________________TPE1702">#REF!</definedName>
    <definedName name="_____________________________________________TPE1703" localSheetId="3">#REF!</definedName>
    <definedName name="_____________________________________________TPE1703">#REF!</definedName>
    <definedName name="_____________________________________________TPE1704" localSheetId="3">#REF!</definedName>
    <definedName name="_____________________________________________TPE1704">#REF!</definedName>
    <definedName name="_____________________________________________TPE1706" localSheetId="3">#REF!</definedName>
    <definedName name="_____________________________________________TPE1706">#REF!</definedName>
    <definedName name="_____________________________________________TPE1708">#REF!</definedName>
    <definedName name="_____________________________________________TPE1710">#REF!</definedName>
    <definedName name="_____________________________________________TPE1735">#REF!</definedName>
    <definedName name="_____________________________________________TPE1763">#REF!</definedName>
    <definedName name="_____________________________________________TPE1790">#REF!</definedName>
    <definedName name="_____________________________________________TPF12">#REF!</definedName>
    <definedName name="_____________________________________________TUZ22" localSheetId="3">#REF!</definedName>
    <definedName name="_____________________________________________TUZ22">#REF!</definedName>
    <definedName name="_____________________________________________TUZ36" localSheetId="3">#REF!</definedName>
    <definedName name="_____________________________________________TUZ36">#REF!</definedName>
    <definedName name="_____________________________________________TZ2110">#REF!</definedName>
    <definedName name="_____________________________________________TZ214">#REF!</definedName>
    <definedName name="_____________________________________________TZ268">#REF!</definedName>
    <definedName name="_____________________________________________TZ323" localSheetId="3">#REF!</definedName>
    <definedName name="_____________________________________________TZ323">#REF!</definedName>
    <definedName name="_____________________________________________TZ324" localSheetId="3">#REF!</definedName>
    <definedName name="_____________________________________________TZ324">#REF!</definedName>
    <definedName name="_____________________________________________TZ32510">#REF!</definedName>
    <definedName name="____________________________________________ADH12">#REF!</definedName>
    <definedName name="____________________________________________ADM12">#REF!</definedName>
    <definedName name="____________________________________________ADM4">#REF!</definedName>
    <definedName name="____________________________________________AFC1">[1]INV!$A$25:$D$28</definedName>
    <definedName name="____________________________________________AFC3">[1]INV!$F$25:$I$28</definedName>
    <definedName name="____________________________________________AFC5">[1]INV!$K$25:$N$28</definedName>
    <definedName name="____________________________________________AIU1" localSheetId="3">#REF!</definedName>
    <definedName name="____________________________________________AIU1" localSheetId="30">#REF!</definedName>
    <definedName name="____________________________________________AIU1" localSheetId="31">#REF!</definedName>
    <definedName name="____________________________________________AIU1" localSheetId="29">#REF!</definedName>
    <definedName name="____________________________________________AIU1">#REF!</definedName>
    <definedName name="____________________________________________AIU2">#REF!</definedName>
    <definedName name="____________________________________________BAZ10">#REF!</definedName>
    <definedName name="____________________________________________BGC1">[1]INV!$A$5:$D$8</definedName>
    <definedName name="____________________________________________BGC3">[1]INV!$F$5:$I$8</definedName>
    <definedName name="____________________________________________BGC5">[1]INV!$K$5:$N$8</definedName>
    <definedName name="____________________________________________BLO20">#REF!</definedName>
    <definedName name="____________________________________________CAC1">[1]INV!$A$19:$D$22</definedName>
    <definedName name="____________________________________________CAC3">[1]INV!$F$19:$I$22</definedName>
    <definedName name="____________________________________________CAC5">[1]INV!$K$19:$N$22</definedName>
    <definedName name="____________________________________________CAN28">#REF!</definedName>
    <definedName name="____________________________________________Cod1" localSheetId="3">#REF!</definedName>
    <definedName name="____________________________________________Cod1" localSheetId="30">#REF!</definedName>
    <definedName name="____________________________________________Cod1" localSheetId="31">#REF!</definedName>
    <definedName name="____________________________________________Cod1" localSheetId="29">#REF!</definedName>
    <definedName name="____________________________________________Cod1">#REF!</definedName>
    <definedName name="____________________________________________CUA44">#REF!</definedName>
    <definedName name="____________________________________________i1">#REF!</definedName>
    <definedName name="____________________________________________LA124">#REF!</definedName>
    <definedName name="____________________________________________LAC18">#REF!</definedName>
    <definedName name="____________________________________________Po2" localSheetId="3">#REF!</definedName>
    <definedName name="____________________________________________Po2">#REF!</definedName>
    <definedName name="____________________________________________R84JH">#REF!</definedName>
    <definedName name="____________________________________________REP43">#REF!</definedName>
    <definedName name="____________________________________________SBC1">[1]INV!$A$12:$D$15</definedName>
    <definedName name="____________________________________________SBC3">[1]INV!$F$12:$I$15</definedName>
    <definedName name="____________________________________________SBC5">[1]INV!$K$12:$N$15</definedName>
    <definedName name="____________________________________________TEP44">#REF!</definedName>
    <definedName name="____________________________________________TPE1132" localSheetId="3">#REF!</definedName>
    <definedName name="____________________________________________TPE1132">#REF!</definedName>
    <definedName name="____________________________________________TPE12" localSheetId="3">#REF!</definedName>
    <definedName name="____________________________________________TPE12" localSheetId="30">#REF!</definedName>
    <definedName name="____________________________________________TPE12" localSheetId="31">#REF!</definedName>
    <definedName name="____________________________________________TPE12" localSheetId="29">#REF!</definedName>
    <definedName name="____________________________________________TPE12">#REF!</definedName>
    <definedName name="____________________________________________TPE1331" localSheetId="3">#REF!</definedName>
    <definedName name="____________________________________________TPE1331">#REF!</definedName>
    <definedName name="____________________________________________TPE1702" localSheetId="3">#REF!</definedName>
    <definedName name="____________________________________________TPE1702">#REF!</definedName>
    <definedName name="____________________________________________TPE1703" localSheetId="3">#REF!</definedName>
    <definedName name="____________________________________________TPE1703">#REF!</definedName>
    <definedName name="____________________________________________TPE1704" localSheetId="3">#REF!</definedName>
    <definedName name="____________________________________________TPE1704">#REF!</definedName>
    <definedName name="____________________________________________TPE1706" localSheetId="3">#REF!</definedName>
    <definedName name="____________________________________________TPE1706">#REF!</definedName>
    <definedName name="____________________________________________TPE1708">#REF!</definedName>
    <definedName name="____________________________________________TPE1710">#REF!</definedName>
    <definedName name="____________________________________________TPE1735">#REF!</definedName>
    <definedName name="____________________________________________TPE1763">#REF!</definedName>
    <definedName name="____________________________________________TPE1790">#REF!</definedName>
    <definedName name="____________________________________________TPF12">#REF!</definedName>
    <definedName name="____________________________________________TUZ22" localSheetId="3">#REF!</definedName>
    <definedName name="____________________________________________TUZ22">#REF!</definedName>
    <definedName name="____________________________________________TUZ36" localSheetId="3">#REF!</definedName>
    <definedName name="____________________________________________TUZ36">#REF!</definedName>
    <definedName name="____________________________________________TZ2110">#REF!</definedName>
    <definedName name="____________________________________________TZ216">#REF!</definedName>
    <definedName name="____________________________________________TZ268">#REF!</definedName>
    <definedName name="____________________________________________TZ323" localSheetId="3">#REF!</definedName>
    <definedName name="____________________________________________TZ323">#REF!</definedName>
    <definedName name="____________________________________________TZ324" localSheetId="3">#REF!</definedName>
    <definedName name="____________________________________________TZ324">#REF!</definedName>
    <definedName name="___________________________________________ADH12">#REF!</definedName>
    <definedName name="___________________________________________ADM12">#REF!</definedName>
    <definedName name="___________________________________________ADM4">#REF!</definedName>
    <definedName name="___________________________________________AFC1">[1]INV!$A$25:$D$28</definedName>
    <definedName name="___________________________________________AFC3">[1]INV!$F$25:$I$28</definedName>
    <definedName name="___________________________________________AFC5">[1]INV!$K$25:$N$28</definedName>
    <definedName name="___________________________________________AIU1" localSheetId="3">#REF!</definedName>
    <definedName name="___________________________________________AIU1" localSheetId="30">#REF!</definedName>
    <definedName name="___________________________________________AIU1" localSheetId="31">#REF!</definedName>
    <definedName name="___________________________________________AIU1" localSheetId="29">#REF!</definedName>
    <definedName name="___________________________________________AIU1">#REF!</definedName>
    <definedName name="___________________________________________AIU2">#REF!</definedName>
    <definedName name="___________________________________________BAZ10">#REF!</definedName>
    <definedName name="___________________________________________BGC1">[1]INV!$A$5:$D$8</definedName>
    <definedName name="___________________________________________BGC3">[1]INV!$F$5:$I$8</definedName>
    <definedName name="___________________________________________BGC5">[1]INV!$K$5:$N$8</definedName>
    <definedName name="___________________________________________BLO20">#REF!</definedName>
    <definedName name="___________________________________________CAC1">[1]INV!$A$19:$D$22</definedName>
    <definedName name="___________________________________________CAC3">[1]INV!$F$19:$I$22</definedName>
    <definedName name="___________________________________________CAC5">[1]INV!$K$19:$N$22</definedName>
    <definedName name="___________________________________________CAN28">#REF!</definedName>
    <definedName name="___________________________________________Cod1" localSheetId="3">#REF!</definedName>
    <definedName name="___________________________________________Cod1" localSheetId="30">#REF!</definedName>
    <definedName name="___________________________________________Cod1" localSheetId="31">#REF!</definedName>
    <definedName name="___________________________________________Cod1" localSheetId="29">#REF!</definedName>
    <definedName name="___________________________________________Cod1">#REF!</definedName>
    <definedName name="___________________________________________CUA44">#REF!</definedName>
    <definedName name="___________________________________________i1">#REF!</definedName>
    <definedName name="___________________________________________LA124">#REF!</definedName>
    <definedName name="___________________________________________LAC18">#REF!</definedName>
    <definedName name="___________________________________________Po2" localSheetId="3">#REF!</definedName>
    <definedName name="___________________________________________Po2">#REF!</definedName>
    <definedName name="___________________________________________R84JH">#REF!</definedName>
    <definedName name="___________________________________________REP43">#REF!</definedName>
    <definedName name="___________________________________________SBC1">[1]INV!$A$12:$D$15</definedName>
    <definedName name="___________________________________________SBC3">[1]INV!$F$12:$I$15</definedName>
    <definedName name="___________________________________________SBC5">[1]INV!$K$12:$N$15</definedName>
    <definedName name="___________________________________________TPE1132" localSheetId="3">#REF!</definedName>
    <definedName name="___________________________________________TPE1132">#REF!</definedName>
    <definedName name="___________________________________________TPE12" localSheetId="3">#REF!</definedName>
    <definedName name="___________________________________________TPE12" localSheetId="30">#REF!</definedName>
    <definedName name="___________________________________________TPE12" localSheetId="31">#REF!</definedName>
    <definedName name="___________________________________________TPE12" localSheetId="29">#REF!</definedName>
    <definedName name="___________________________________________TPE12">#REF!</definedName>
    <definedName name="___________________________________________TPE1331" localSheetId="3">#REF!</definedName>
    <definedName name="___________________________________________TPE1331">#REF!</definedName>
    <definedName name="___________________________________________TPE1702" localSheetId="3">#REF!</definedName>
    <definedName name="___________________________________________TPE1702">#REF!</definedName>
    <definedName name="___________________________________________TPE1703" localSheetId="3">#REF!</definedName>
    <definedName name="___________________________________________TPE1703">#REF!</definedName>
    <definedName name="___________________________________________TPE1704" localSheetId="3">#REF!</definedName>
    <definedName name="___________________________________________TPE1704">#REF!</definedName>
    <definedName name="___________________________________________TPE1706" localSheetId="3">#REF!</definedName>
    <definedName name="___________________________________________TPE1706">#REF!</definedName>
    <definedName name="___________________________________________TPE1708">#REF!</definedName>
    <definedName name="___________________________________________TPE1710">#REF!</definedName>
    <definedName name="___________________________________________TPE1735">#REF!</definedName>
    <definedName name="___________________________________________TPE1763">#REF!</definedName>
    <definedName name="___________________________________________TPE1790">#REF!</definedName>
    <definedName name="___________________________________________TPF12">#REF!</definedName>
    <definedName name="___________________________________________TUZ22" localSheetId="3">#REF!</definedName>
    <definedName name="___________________________________________TUZ22">#REF!</definedName>
    <definedName name="___________________________________________TUZ36" localSheetId="3">#REF!</definedName>
    <definedName name="___________________________________________TUZ36">#REF!</definedName>
    <definedName name="___________________________________________TZ2110">#REF!</definedName>
    <definedName name="___________________________________________TZ214">#REF!</definedName>
    <definedName name="___________________________________________TZ268">#REF!</definedName>
    <definedName name="___________________________________________TZ323" localSheetId="3">#REF!</definedName>
    <definedName name="___________________________________________TZ323">#REF!</definedName>
    <definedName name="___________________________________________TZ324" localSheetId="3">#REF!</definedName>
    <definedName name="___________________________________________TZ324">#REF!</definedName>
    <definedName name="___________________________________________TZ32510">#REF!</definedName>
    <definedName name="__________________________________________ADH12">#REF!</definedName>
    <definedName name="__________________________________________ADM12">#REF!</definedName>
    <definedName name="__________________________________________ADM4">#REF!</definedName>
    <definedName name="__________________________________________AFC1">[1]INV!$A$25:$D$28</definedName>
    <definedName name="__________________________________________AFC3">[1]INV!$F$25:$I$28</definedName>
    <definedName name="__________________________________________AFC5">[1]INV!$K$25:$N$28</definedName>
    <definedName name="__________________________________________AIU1" localSheetId="3">#REF!</definedName>
    <definedName name="__________________________________________AIU1" localSheetId="30">#REF!</definedName>
    <definedName name="__________________________________________AIU1" localSheetId="31">#REF!</definedName>
    <definedName name="__________________________________________AIU1" localSheetId="29">#REF!</definedName>
    <definedName name="__________________________________________AIU1">#REF!</definedName>
    <definedName name="__________________________________________AIU2">#REF!</definedName>
    <definedName name="__________________________________________BAZ10">#REF!</definedName>
    <definedName name="__________________________________________BGC1">[1]INV!$A$5:$D$8</definedName>
    <definedName name="__________________________________________BGC3">[1]INV!$F$5:$I$8</definedName>
    <definedName name="__________________________________________BGC5">[1]INV!$K$5:$N$8</definedName>
    <definedName name="__________________________________________BLO20">#REF!</definedName>
    <definedName name="__________________________________________CAC1">[1]INV!$A$19:$D$22</definedName>
    <definedName name="__________________________________________CAC3">[1]INV!$F$19:$I$22</definedName>
    <definedName name="__________________________________________CAC5">[1]INV!$K$19:$N$22</definedName>
    <definedName name="__________________________________________CAN28">#REF!</definedName>
    <definedName name="__________________________________________Cod1" localSheetId="3">#REF!</definedName>
    <definedName name="__________________________________________Cod1" localSheetId="30">#REF!</definedName>
    <definedName name="__________________________________________Cod1" localSheetId="31">#REF!</definedName>
    <definedName name="__________________________________________Cod1" localSheetId="29">#REF!</definedName>
    <definedName name="__________________________________________Cod1">#REF!</definedName>
    <definedName name="__________________________________________CUA44">#REF!</definedName>
    <definedName name="__________________________________________i1">#REF!</definedName>
    <definedName name="__________________________________________LA124">#REF!</definedName>
    <definedName name="__________________________________________LAC18">#REF!</definedName>
    <definedName name="__________________________________________Po2" localSheetId="3">#REF!</definedName>
    <definedName name="__________________________________________Po2">#REF!</definedName>
    <definedName name="__________________________________________R84JH">#REF!</definedName>
    <definedName name="__________________________________________REP43">#REF!</definedName>
    <definedName name="__________________________________________SBC1">[1]INV!$A$12:$D$15</definedName>
    <definedName name="__________________________________________SBC3">[1]INV!$F$12:$I$15</definedName>
    <definedName name="__________________________________________SBC5">[1]INV!$K$12:$N$15</definedName>
    <definedName name="__________________________________________TEP44">#REF!</definedName>
    <definedName name="__________________________________________TPE12" localSheetId="3">#REF!</definedName>
    <definedName name="__________________________________________TPE12" localSheetId="30">#REF!</definedName>
    <definedName name="__________________________________________TPE12" localSheetId="31">#REF!</definedName>
    <definedName name="__________________________________________TPE12" localSheetId="29">#REF!</definedName>
    <definedName name="__________________________________________TPE12">#REF!</definedName>
    <definedName name="__________________________________________TPF12">#REF!</definedName>
    <definedName name="__________________________________________TZ2110">#REF!</definedName>
    <definedName name="__________________________________________TZ216">#REF!</definedName>
    <definedName name="__________________________________________TZ268">#REF!</definedName>
    <definedName name="_________________________________________ADH12">#REF!</definedName>
    <definedName name="_________________________________________ADM12">#REF!</definedName>
    <definedName name="_________________________________________ADM4">#REF!</definedName>
    <definedName name="_________________________________________AFC1">[1]INV!$A$25:$D$28</definedName>
    <definedName name="_________________________________________AFC3">[1]INV!$F$25:$I$28</definedName>
    <definedName name="_________________________________________AFC5">[1]INV!$K$25:$N$28</definedName>
    <definedName name="_________________________________________AIU1" localSheetId="3">#REF!</definedName>
    <definedName name="_________________________________________AIU1" localSheetId="30">#REF!</definedName>
    <definedName name="_________________________________________AIU1" localSheetId="31">#REF!</definedName>
    <definedName name="_________________________________________AIU1" localSheetId="29">#REF!</definedName>
    <definedName name="_________________________________________AIU1">#REF!</definedName>
    <definedName name="_________________________________________AIU2">#REF!</definedName>
    <definedName name="_________________________________________BAZ10">#REF!</definedName>
    <definedName name="_________________________________________BGC1">[1]INV!$A$5:$D$8</definedName>
    <definedName name="_________________________________________BGC3">[1]INV!$F$5:$I$8</definedName>
    <definedName name="_________________________________________BGC5">[1]INV!$K$5:$N$8</definedName>
    <definedName name="_________________________________________BLO20">#REF!</definedName>
    <definedName name="_________________________________________CAC1">[1]INV!$A$19:$D$22</definedName>
    <definedName name="_________________________________________CAC3">[1]INV!$F$19:$I$22</definedName>
    <definedName name="_________________________________________CAC5">[1]INV!$K$19:$N$22</definedName>
    <definedName name="_________________________________________CAN28">#REF!</definedName>
    <definedName name="_________________________________________Cod1" localSheetId="3">#REF!</definedName>
    <definedName name="_________________________________________Cod1" localSheetId="30">#REF!</definedName>
    <definedName name="_________________________________________Cod1" localSheetId="31">#REF!</definedName>
    <definedName name="_________________________________________Cod1" localSheetId="29">#REF!</definedName>
    <definedName name="_________________________________________Cod1">#REF!</definedName>
    <definedName name="_________________________________________CUA44">#REF!</definedName>
    <definedName name="_________________________________________i1">#REF!</definedName>
    <definedName name="_________________________________________LA124">#REF!</definedName>
    <definedName name="_________________________________________LAC18">#REF!</definedName>
    <definedName name="_________________________________________Po2" localSheetId="3">#REF!</definedName>
    <definedName name="_________________________________________Po2">#REF!</definedName>
    <definedName name="_________________________________________R84JH">#REF!</definedName>
    <definedName name="_________________________________________REP43">#REF!</definedName>
    <definedName name="_________________________________________SBC1">[1]INV!$A$12:$D$15</definedName>
    <definedName name="_________________________________________SBC3">[1]INV!$F$12:$I$15</definedName>
    <definedName name="_________________________________________SBC5">[1]INV!$K$12:$N$15</definedName>
    <definedName name="_________________________________________TEP44">#REF!</definedName>
    <definedName name="_________________________________________TPE1132" localSheetId="3">#REF!</definedName>
    <definedName name="_________________________________________TPE1132">#REF!</definedName>
    <definedName name="_________________________________________TPE12" localSheetId="3">#REF!</definedName>
    <definedName name="_________________________________________TPE12" localSheetId="30">#REF!</definedName>
    <definedName name="_________________________________________TPE12" localSheetId="31">#REF!</definedName>
    <definedName name="_________________________________________TPE12" localSheetId="29">#REF!</definedName>
    <definedName name="_________________________________________TPE12">#REF!</definedName>
    <definedName name="_________________________________________TPE1331" localSheetId="3">#REF!</definedName>
    <definedName name="_________________________________________TPE1331">#REF!</definedName>
    <definedName name="_________________________________________TPE1702" localSheetId="3">#REF!</definedName>
    <definedName name="_________________________________________TPE1702">#REF!</definedName>
    <definedName name="_________________________________________TPE1703" localSheetId="3">#REF!</definedName>
    <definedName name="_________________________________________TPE1703">#REF!</definedName>
    <definedName name="_________________________________________TPE1704" localSheetId="3">#REF!</definedName>
    <definedName name="_________________________________________TPE1704">#REF!</definedName>
    <definedName name="_________________________________________TPE1706" localSheetId="3">#REF!</definedName>
    <definedName name="_________________________________________TPE1706">#REF!</definedName>
    <definedName name="_________________________________________TPE1708">#REF!</definedName>
    <definedName name="_________________________________________TPE1710">#REF!</definedName>
    <definedName name="_________________________________________TPE1735">#REF!</definedName>
    <definedName name="_________________________________________TPE1763">#REF!</definedName>
    <definedName name="_________________________________________TPE1790">#REF!</definedName>
    <definedName name="_________________________________________TPF12">#REF!</definedName>
    <definedName name="_________________________________________TUZ22" localSheetId="3">#REF!</definedName>
    <definedName name="_________________________________________TUZ22">#REF!</definedName>
    <definedName name="_________________________________________TUZ36" localSheetId="3">#REF!</definedName>
    <definedName name="_________________________________________TUZ36">#REF!</definedName>
    <definedName name="_________________________________________TZ2110">#REF!</definedName>
    <definedName name="_________________________________________TZ214">#REF!</definedName>
    <definedName name="_________________________________________TZ216">#REF!</definedName>
    <definedName name="_________________________________________TZ268">#REF!</definedName>
    <definedName name="_________________________________________TZ323" localSheetId="3">#REF!</definedName>
    <definedName name="_________________________________________TZ323">#REF!</definedName>
    <definedName name="_________________________________________TZ324" localSheetId="3">#REF!</definedName>
    <definedName name="_________________________________________TZ324">#REF!</definedName>
    <definedName name="_________________________________________TZ32510">#REF!</definedName>
    <definedName name="________________________________________ADH12">#REF!</definedName>
    <definedName name="________________________________________ADM12">#REF!</definedName>
    <definedName name="________________________________________ADM4">#REF!</definedName>
    <definedName name="________________________________________AFC1">[1]INV!$A$25:$D$28</definedName>
    <definedName name="________________________________________AFC3">[1]INV!$F$25:$I$28</definedName>
    <definedName name="________________________________________AFC5">[1]INV!$K$25:$N$28</definedName>
    <definedName name="________________________________________AIU1" localSheetId="3">#REF!</definedName>
    <definedName name="________________________________________AIU1" localSheetId="30">#REF!</definedName>
    <definedName name="________________________________________AIU1" localSheetId="31">#REF!</definedName>
    <definedName name="________________________________________AIU1" localSheetId="29">#REF!</definedName>
    <definedName name="________________________________________AIU1">#REF!</definedName>
    <definedName name="________________________________________AIU2">#REF!</definedName>
    <definedName name="________________________________________BAZ10">#REF!</definedName>
    <definedName name="________________________________________BGC1">[1]INV!$A$5:$D$8</definedName>
    <definedName name="________________________________________BGC3">[1]INV!$F$5:$I$8</definedName>
    <definedName name="________________________________________BGC5">[1]INV!$K$5:$N$8</definedName>
    <definedName name="________________________________________BLO20">#REF!</definedName>
    <definedName name="________________________________________CAC1">[1]INV!$A$19:$D$22</definedName>
    <definedName name="________________________________________CAC3">[1]INV!$F$19:$I$22</definedName>
    <definedName name="________________________________________CAC5">[1]INV!$K$19:$N$22</definedName>
    <definedName name="________________________________________CAN28">#REF!</definedName>
    <definedName name="________________________________________Cod1" localSheetId="3">#REF!</definedName>
    <definedName name="________________________________________Cod1" localSheetId="30">#REF!</definedName>
    <definedName name="________________________________________Cod1" localSheetId="31">#REF!</definedName>
    <definedName name="________________________________________Cod1" localSheetId="29">#REF!</definedName>
    <definedName name="________________________________________Cod1">#REF!</definedName>
    <definedName name="________________________________________CUA44">#REF!</definedName>
    <definedName name="________________________________________i1">#REF!</definedName>
    <definedName name="________________________________________LA124">#REF!</definedName>
    <definedName name="________________________________________LAC18">#REF!</definedName>
    <definedName name="________________________________________Po2" localSheetId="3">#REF!</definedName>
    <definedName name="________________________________________Po2">#REF!</definedName>
    <definedName name="________________________________________R84JH">#REF!</definedName>
    <definedName name="________________________________________REP43">#REF!</definedName>
    <definedName name="________________________________________SBC1">[1]INV!$A$12:$D$15</definedName>
    <definedName name="________________________________________SBC3">[1]INV!$F$12:$I$15</definedName>
    <definedName name="________________________________________SBC5">[1]INV!$K$12:$N$15</definedName>
    <definedName name="________________________________________TEP44">#REF!</definedName>
    <definedName name="________________________________________TPE1132" localSheetId="3">#REF!</definedName>
    <definedName name="________________________________________TPE1132">#REF!</definedName>
    <definedName name="________________________________________TPE12" localSheetId="3">#REF!</definedName>
    <definedName name="________________________________________TPE12" localSheetId="30">#REF!</definedName>
    <definedName name="________________________________________TPE12" localSheetId="31">#REF!</definedName>
    <definedName name="________________________________________TPE12" localSheetId="29">#REF!</definedName>
    <definedName name="________________________________________TPE12">#REF!</definedName>
    <definedName name="________________________________________TPE1331" localSheetId="3">#REF!</definedName>
    <definedName name="________________________________________TPE1331">#REF!</definedName>
    <definedName name="________________________________________TPE1702" localSheetId="3">#REF!</definedName>
    <definedName name="________________________________________TPE1702">#REF!</definedName>
    <definedName name="________________________________________TPE1703" localSheetId="3">#REF!</definedName>
    <definedName name="________________________________________TPE1703">#REF!</definedName>
    <definedName name="________________________________________TPE1704" localSheetId="3">#REF!</definedName>
    <definedName name="________________________________________TPE1704">#REF!</definedName>
    <definedName name="________________________________________TPE1706" localSheetId="3">#REF!</definedName>
    <definedName name="________________________________________TPE1706">#REF!</definedName>
    <definedName name="________________________________________TPE1708">#REF!</definedName>
    <definedName name="________________________________________TPE1710">#REF!</definedName>
    <definedName name="________________________________________TPE1735">#REF!</definedName>
    <definedName name="________________________________________TPE1763">#REF!</definedName>
    <definedName name="________________________________________TPE1790">#REF!</definedName>
    <definedName name="________________________________________TPF12">#REF!</definedName>
    <definedName name="________________________________________TUZ22" localSheetId="3">#REF!</definedName>
    <definedName name="________________________________________TUZ22">#REF!</definedName>
    <definedName name="________________________________________TUZ36" localSheetId="3">#REF!</definedName>
    <definedName name="________________________________________TUZ36">#REF!</definedName>
    <definedName name="________________________________________TZ2110">#REF!</definedName>
    <definedName name="________________________________________TZ214">#REF!</definedName>
    <definedName name="________________________________________TZ216">#REF!</definedName>
    <definedName name="________________________________________TZ268">#REF!</definedName>
    <definedName name="________________________________________TZ323" localSheetId="3">#REF!</definedName>
    <definedName name="________________________________________TZ323">#REF!</definedName>
    <definedName name="________________________________________TZ324" localSheetId="3">#REF!</definedName>
    <definedName name="________________________________________TZ324">#REF!</definedName>
    <definedName name="________________________________________TZ32510">#REF!</definedName>
    <definedName name="_______________________________________ADH12">#REF!</definedName>
    <definedName name="_______________________________________ADM12">#REF!</definedName>
    <definedName name="_______________________________________ADM4">#REF!</definedName>
    <definedName name="_______________________________________AFC1">[1]INV!$A$25:$D$28</definedName>
    <definedName name="_______________________________________AFC3">[1]INV!$F$25:$I$28</definedName>
    <definedName name="_______________________________________AFC5">[1]INV!$K$25:$N$28</definedName>
    <definedName name="_______________________________________AIU1" localSheetId="3">#REF!</definedName>
    <definedName name="_______________________________________AIU1" localSheetId="30">#REF!</definedName>
    <definedName name="_______________________________________AIU1" localSheetId="31">#REF!</definedName>
    <definedName name="_______________________________________AIU1" localSheetId="29">#REF!</definedName>
    <definedName name="_______________________________________AIU1">#REF!</definedName>
    <definedName name="_______________________________________AIU2">#REF!</definedName>
    <definedName name="_______________________________________BAZ10">#REF!</definedName>
    <definedName name="_______________________________________BGC1">[1]INV!$A$5:$D$8</definedName>
    <definedName name="_______________________________________BGC3">[1]INV!$F$5:$I$8</definedName>
    <definedName name="_______________________________________BGC5">[1]INV!$K$5:$N$8</definedName>
    <definedName name="_______________________________________BLO20">#REF!</definedName>
    <definedName name="_______________________________________CAC1">[1]INV!$A$19:$D$22</definedName>
    <definedName name="_______________________________________CAC3">[1]INV!$F$19:$I$22</definedName>
    <definedName name="_______________________________________CAC5">[1]INV!$K$19:$N$22</definedName>
    <definedName name="_______________________________________CAN28">#REF!</definedName>
    <definedName name="_______________________________________Cod1" localSheetId="3">#REF!</definedName>
    <definedName name="_______________________________________Cod1" localSheetId="30">#REF!</definedName>
    <definedName name="_______________________________________Cod1" localSheetId="31">#REF!</definedName>
    <definedName name="_______________________________________Cod1" localSheetId="29">#REF!</definedName>
    <definedName name="_______________________________________Cod1">#REF!</definedName>
    <definedName name="_______________________________________CUA44">#REF!</definedName>
    <definedName name="_______________________________________i1">#REF!</definedName>
    <definedName name="_______________________________________LA124">#REF!</definedName>
    <definedName name="_______________________________________LAC18">#REF!</definedName>
    <definedName name="_______________________________________Po2" localSheetId="3">#REF!</definedName>
    <definedName name="_______________________________________Po2">#REF!</definedName>
    <definedName name="_______________________________________R84JH">#REF!</definedName>
    <definedName name="_______________________________________REP43">#REF!</definedName>
    <definedName name="_______________________________________SBC1">[1]INV!$A$12:$D$15</definedName>
    <definedName name="_______________________________________SBC3">[1]INV!$F$12:$I$15</definedName>
    <definedName name="_______________________________________SBC5">[1]INV!$K$12:$N$15</definedName>
    <definedName name="_______________________________________TEP44">#REF!</definedName>
    <definedName name="_______________________________________TPE1132" localSheetId="3">#REF!</definedName>
    <definedName name="_______________________________________TPE1132">#REF!</definedName>
    <definedName name="_______________________________________TPE12" localSheetId="3">#REF!</definedName>
    <definedName name="_______________________________________TPE12" localSheetId="30">#REF!</definedName>
    <definedName name="_______________________________________TPE12" localSheetId="31">#REF!</definedName>
    <definedName name="_______________________________________TPE12" localSheetId="29">#REF!</definedName>
    <definedName name="_______________________________________TPE12">#REF!</definedName>
    <definedName name="_______________________________________TPE1331" localSheetId="3">#REF!</definedName>
    <definedName name="_______________________________________TPE1331">#REF!</definedName>
    <definedName name="_______________________________________TPE1702" localSheetId="3">#REF!</definedName>
    <definedName name="_______________________________________TPE1702">#REF!</definedName>
    <definedName name="_______________________________________TPE1703" localSheetId="3">#REF!</definedName>
    <definedName name="_______________________________________TPE1703">#REF!</definedName>
    <definedName name="_______________________________________TPE1704" localSheetId="3">#REF!</definedName>
    <definedName name="_______________________________________TPE1704">#REF!</definedName>
    <definedName name="_______________________________________TPE1706" localSheetId="3">#REF!</definedName>
    <definedName name="_______________________________________TPE1706">#REF!</definedName>
    <definedName name="_______________________________________TPE1708">#REF!</definedName>
    <definedName name="_______________________________________TPE1710">#REF!</definedName>
    <definedName name="_______________________________________TPE1735">#REF!</definedName>
    <definedName name="_______________________________________TPE1763">#REF!</definedName>
    <definedName name="_______________________________________TPE1790">#REF!</definedName>
    <definedName name="_______________________________________TPF12">#REF!</definedName>
    <definedName name="_______________________________________TUZ22" localSheetId="3">#REF!</definedName>
    <definedName name="_______________________________________TUZ22">#REF!</definedName>
    <definedName name="_______________________________________TUZ36" localSheetId="3">#REF!</definedName>
    <definedName name="_______________________________________TUZ36">#REF!</definedName>
    <definedName name="_______________________________________TZ2110">#REF!</definedName>
    <definedName name="_______________________________________TZ214">#REF!</definedName>
    <definedName name="_______________________________________TZ216">#REF!</definedName>
    <definedName name="_______________________________________TZ268">#REF!</definedName>
    <definedName name="_______________________________________TZ323" localSheetId="3">#REF!</definedName>
    <definedName name="_______________________________________TZ323">#REF!</definedName>
    <definedName name="_______________________________________TZ324" localSheetId="3">#REF!</definedName>
    <definedName name="_______________________________________TZ324">#REF!</definedName>
    <definedName name="_______________________________________TZ32510">#REF!</definedName>
    <definedName name="______________________________________ADH12">#REF!</definedName>
    <definedName name="______________________________________ADM12">#REF!</definedName>
    <definedName name="______________________________________ADM4">#REF!</definedName>
    <definedName name="______________________________________AFC1">[1]INV!$A$25:$D$28</definedName>
    <definedName name="______________________________________AFC3">[1]INV!$F$25:$I$28</definedName>
    <definedName name="______________________________________AFC5">[1]INV!$K$25:$N$28</definedName>
    <definedName name="______________________________________AIU1" localSheetId="3">#REF!</definedName>
    <definedName name="______________________________________AIU1" localSheetId="30">#REF!</definedName>
    <definedName name="______________________________________AIU1" localSheetId="31">#REF!</definedName>
    <definedName name="______________________________________AIU1" localSheetId="29">#REF!</definedName>
    <definedName name="______________________________________AIU1">#REF!</definedName>
    <definedName name="______________________________________AIU2">#REF!</definedName>
    <definedName name="______________________________________BAZ10">#REF!</definedName>
    <definedName name="______________________________________BGC1">[1]INV!$A$5:$D$8</definedName>
    <definedName name="______________________________________BGC3">[1]INV!$F$5:$I$8</definedName>
    <definedName name="______________________________________BGC5">[1]INV!$K$5:$N$8</definedName>
    <definedName name="______________________________________BLO20">#REF!</definedName>
    <definedName name="______________________________________CAC1">[1]INV!$A$19:$D$22</definedName>
    <definedName name="______________________________________CAC3">[1]INV!$F$19:$I$22</definedName>
    <definedName name="______________________________________CAC5">[1]INV!$K$19:$N$22</definedName>
    <definedName name="______________________________________CAN28">#REF!</definedName>
    <definedName name="______________________________________Cod1" localSheetId="3">#REF!</definedName>
    <definedName name="______________________________________Cod1" localSheetId="30">#REF!</definedName>
    <definedName name="______________________________________Cod1" localSheetId="31">#REF!</definedName>
    <definedName name="______________________________________Cod1" localSheetId="29">#REF!</definedName>
    <definedName name="______________________________________Cod1">#REF!</definedName>
    <definedName name="______________________________________CUA44">#REF!</definedName>
    <definedName name="______________________________________i1">#REF!</definedName>
    <definedName name="______________________________________LA124">#REF!</definedName>
    <definedName name="______________________________________LAC18">#REF!</definedName>
    <definedName name="______________________________________Po2" localSheetId="3">#REF!</definedName>
    <definedName name="______________________________________Po2">#REF!</definedName>
    <definedName name="______________________________________R84JH">#REF!</definedName>
    <definedName name="______________________________________REP43">#REF!</definedName>
    <definedName name="______________________________________SBC1">[1]INV!$A$12:$D$15</definedName>
    <definedName name="______________________________________SBC3">[1]INV!$F$12:$I$15</definedName>
    <definedName name="______________________________________SBC5">[1]INV!$K$12:$N$15</definedName>
    <definedName name="______________________________________TPE1132" localSheetId="3">#REF!</definedName>
    <definedName name="______________________________________TPE1132">#REF!</definedName>
    <definedName name="______________________________________TPE12" localSheetId="3">#REF!</definedName>
    <definedName name="______________________________________TPE12" localSheetId="30">#REF!</definedName>
    <definedName name="______________________________________TPE12" localSheetId="31">#REF!</definedName>
    <definedName name="______________________________________TPE12" localSheetId="29">#REF!</definedName>
    <definedName name="______________________________________TPE12">#REF!</definedName>
    <definedName name="______________________________________TPE1331" localSheetId="3">#REF!</definedName>
    <definedName name="______________________________________TPE1331">#REF!</definedName>
    <definedName name="______________________________________TPE1702" localSheetId="3">#REF!</definedName>
    <definedName name="______________________________________TPE1702">#REF!</definedName>
    <definedName name="______________________________________TPE1703" localSheetId="3">#REF!</definedName>
    <definedName name="______________________________________TPE1703">#REF!</definedName>
    <definedName name="______________________________________TPE1704" localSheetId="3">#REF!</definedName>
    <definedName name="______________________________________TPE1704">#REF!</definedName>
    <definedName name="______________________________________TPE1706" localSheetId="3">#REF!</definedName>
    <definedName name="______________________________________TPE1706">#REF!</definedName>
    <definedName name="______________________________________TPE1708">#REF!</definedName>
    <definedName name="______________________________________TPE1710">#REF!</definedName>
    <definedName name="______________________________________TPE1735">#REF!</definedName>
    <definedName name="______________________________________TPE1763">#REF!</definedName>
    <definedName name="______________________________________TPE1790">#REF!</definedName>
    <definedName name="______________________________________TPF12">#REF!</definedName>
    <definedName name="______________________________________TUZ22" localSheetId="3">#REF!</definedName>
    <definedName name="______________________________________TUZ22">#REF!</definedName>
    <definedName name="______________________________________TUZ36" localSheetId="3">#REF!</definedName>
    <definedName name="______________________________________TUZ36">#REF!</definedName>
    <definedName name="______________________________________TZ2110">#REF!</definedName>
    <definedName name="______________________________________TZ214">#REF!</definedName>
    <definedName name="______________________________________TZ268">#REF!</definedName>
    <definedName name="______________________________________TZ323" localSheetId="3">#REF!</definedName>
    <definedName name="______________________________________TZ323">#REF!</definedName>
    <definedName name="______________________________________TZ324" localSheetId="3">#REF!</definedName>
    <definedName name="______________________________________TZ324">#REF!</definedName>
    <definedName name="______________________________________TZ32510">#REF!</definedName>
    <definedName name="_____________________________________ADH12">#REF!</definedName>
    <definedName name="_____________________________________ADM12">#REF!</definedName>
    <definedName name="_____________________________________ADM4">#REF!</definedName>
    <definedName name="_____________________________________AFC1">[1]INV!$A$25:$D$28</definedName>
    <definedName name="_____________________________________AFC3">[1]INV!$F$25:$I$28</definedName>
    <definedName name="_____________________________________AFC5">[1]INV!$K$25:$N$28</definedName>
    <definedName name="_____________________________________AIU1" localSheetId="3">#REF!</definedName>
    <definedName name="_____________________________________AIU1" localSheetId="30">#REF!</definedName>
    <definedName name="_____________________________________AIU1" localSheetId="31">#REF!</definedName>
    <definedName name="_____________________________________AIU1" localSheetId="29">#REF!</definedName>
    <definedName name="_____________________________________AIU1">#REF!</definedName>
    <definedName name="_____________________________________AIU2">#REF!</definedName>
    <definedName name="_____________________________________BAZ10">#REF!</definedName>
    <definedName name="_____________________________________BGC1">[1]INV!$A$5:$D$8</definedName>
    <definedName name="_____________________________________BGC3">[1]INV!$F$5:$I$8</definedName>
    <definedName name="_____________________________________BGC5">[1]INV!$K$5:$N$8</definedName>
    <definedName name="_____________________________________BLO20">#REF!</definedName>
    <definedName name="_____________________________________CAC1">[1]INV!$A$19:$D$22</definedName>
    <definedName name="_____________________________________CAC3">[1]INV!$F$19:$I$22</definedName>
    <definedName name="_____________________________________CAC5">[1]INV!$K$19:$N$22</definedName>
    <definedName name="_____________________________________CAN28">#REF!</definedName>
    <definedName name="_____________________________________Cod1" localSheetId="3">#REF!</definedName>
    <definedName name="_____________________________________Cod1" localSheetId="30">#REF!</definedName>
    <definedName name="_____________________________________Cod1" localSheetId="31">#REF!</definedName>
    <definedName name="_____________________________________Cod1" localSheetId="29">#REF!</definedName>
    <definedName name="_____________________________________Cod1">#REF!</definedName>
    <definedName name="_____________________________________CUA44">#REF!</definedName>
    <definedName name="_____________________________________i1">#REF!</definedName>
    <definedName name="_____________________________________LA124">#REF!</definedName>
    <definedName name="_____________________________________LAC18">#REF!</definedName>
    <definedName name="_____________________________________Po2" localSheetId="3">#REF!</definedName>
    <definedName name="_____________________________________Po2">#REF!</definedName>
    <definedName name="_____________________________________R84JH">#REF!</definedName>
    <definedName name="_____________________________________REP43">#REF!</definedName>
    <definedName name="_____________________________________SBC1">[1]INV!$A$12:$D$15</definedName>
    <definedName name="_____________________________________SBC3">[1]INV!$F$12:$I$15</definedName>
    <definedName name="_____________________________________SBC5">[1]INV!$K$12:$N$15</definedName>
    <definedName name="_____________________________________TEP44">#REF!</definedName>
    <definedName name="_____________________________________TPE1132" localSheetId="3">#REF!</definedName>
    <definedName name="_____________________________________TPE1132">#REF!</definedName>
    <definedName name="_____________________________________TPE12" localSheetId="3">#REF!</definedName>
    <definedName name="_____________________________________TPE12" localSheetId="30">#REF!</definedName>
    <definedName name="_____________________________________TPE12" localSheetId="31">#REF!</definedName>
    <definedName name="_____________________________________TPE12" localSheetId="29">#REF!</definedName>
    <definedName name="_____________________________________TPE12">#REF!</definedName>
    <definedName name="_____________________________________TPE1331" localSheetId="3">#REF!</definedName>
    <definedName name="_____________________________________TPE1331">#REF!</definedName>
    <definedName name="_____________________________________TPE1702" localSheetId="3">#REF!</definedName>
    <definedName name="_____________________________________TPE1702">#REF!</definedName>
    <definedName name="_____________________________________TPE1703" localSheetId="3">#REF!</definedName>
    <definedName name="_____________________________________TPE1703">#REF!</definedName>
    <definedName name="_____________________________________TPE1704" localSheetId="3">#REF!</definedName>
    <definedName name="_____________________________________TPE1704">#REF!</definedName>
    <definedName name="_____________________________________TPE1706" localSheetId="3">#REF!</definedName>
    <definedName name="_____________________________________TPE1706">#REF!</definedName>
    <definedName name="_____________________________________TPE1708">#REF!</definedName>
    <definedName name="_____________________________________TPE1710">#REF!</definedName>
    <definedName name="_____________________________________TPE1735">#REF!</definedName>
    <definedName name="_____________________________________TPE1763">#REF!</definedName>
    <definedName name="_____________________________________TPE1790">#REF!</definedName>
    <definedName name="_____________________________________TPF12">#REF!</definedName>
    <definedName name="_____________________________________TUZ22" localSheetId="3">#REF!</definedName>
    <definedName name="_____________________________________TUZ22">#REF!</definedName>
    <definedName name="_____________________________________TUZ36" localSheetId="3">#REF!</definedName>
    <definedName name="_____________________________________TUZ36">#REF!</definedName>
    <definedName name="_____________________________________TZ2110">#REF!</definedName>
    <definedName name="_____________________________________TZ216">#REF!</definedName>
    <definedName name="_____________________________________TZ268">#REF!</definedName>
    <definedName name="_____________________________________TZ323" localSheetId="3">#REF!</definedName>
    <definedName name="_____________________________________TZ323">#REF!</definedName>
    <definedName name="_____________________________________TZ324" localSheetId="3">#REF!</definedName>
    <definedName name="_____________________________________TZ324">#REF!</definedName>
    <definedName name="____________________________________ADH12">#REF!</definedName>
    <definedName name="____________________________________ADM12">#REF!</definedName>
    <definedName name="____________________________________ADM4">#REF!</definedName>
    <definedName name="____________________________________AFC1">[1]INV!$A$25:$D$28</definedName>
    <definedName name="____________________________________AFC3">[1]INV!$F$25:$I$28</definedName>
    <definedName name="____________________________________AFC5">[1]INV!$K$25:$N$28</definedName>
    <definedName name="____________________________________AIU1" localSheetId="3">#REF!</definedName>
    <definedName name="____________________________________AIU1" localSheetId="30">#REF!</definedName>
    <definedName name="____________________________________AIU1" localSheetId="31">#REF!</definedName>
    <definedName name="____________________________________AIU1" localSheetId="29">#REF!</definedName>
    <definedName name="____________________________________AIU1">#REF!</definedName>
    <definedName name="____________________________________AIU2">#REF!</definedName>
    <definedName name="____________________________________BAZ10">#REF!</definedName>
    <definedName name="____________________________________BGC1">[1]INV!$A$5:$D$8</definedName>
    <definedName name="____________________________________BGC3">[1]INV!$F$5:$I$8</definedName>
    <definedName name="____________________________________BGC5">[1]INV!$K$5:$N$8</definedName>
    <definedName name="____________________________________BLO20">#REF!</definedName>
    <definedName name="____________________________________CAC1">[1]INV!$A$19:$D$22</definedName>
    <definedName name="____________________________________CAC3">[1]INV!$F$19:$I$22</definedName>
    <definedName name="____________________________________CAC5">[1]INV!$K$19:$N$22</definedName>
    <definedName name="____________________________________CAN28">#REF!</definedName>
    <definedName name="____________________________________Cod1" localSheetId="3">#REF!</definedName>
    <definedName name="____________________________________Cod1" localSheetId="30">#REF!</definedName>
    <definedName name="____________________________________Cod1" localSheetId="31">#REF!</definedName>
    <definedName name="____________________________________Cod1" localSheetId="29">#REF!</definedName>
    <definedName name="____________________________________Cod1">#REF!</definedName>
    <definedName name="____________________________________CUA44">#REF!</definedName>
    <definedName name="____________________________________i1">#REF!</definedName>
    <definedName name="____________________________________LA124">#REF!</definedName>
    <definedName name="____________________________________LAC18">#REF!</definedName>
    <definedName name="____________________________________Po2" localSheetId="3">#REF!</definedName>
    <definedName name="____________________________________Po2">#REF!</definedName>
    <definedName name="____________________________________R84JH">#REF!</definedName>
    <definedName name="____________________________________REP43">#REF!</definedName>
    <definedName name="____________________________________SBC1">[1]INV!$A$12:$D$15</definedName>
    <definedName name="____________________________________SBC3">[1]INV!$F$12:$I$15</definedName>
    <definedName name="____________________________________SBC5">[1]INV!$K$12:$N$15</definedName>
    <definedName name="____________________________________TPE1132" localSheetId="3">#REF!</definedName>
    <definedName name="____________________________________TPE1132">#REF!</definedName>
    <definedName name="____________________________________TPE12" localSheetId="3">#REF!</definedName>
    <definedName name="____________________________________TPE12" localSheetId="30">#REF!</definedName>
    <definedName name="____________________________________TPE12" localSheetId="31">#REF!</definedName>
    <definedName name="____________________________________TPE12" localSheetId="29">#REF!</definedName>
    <definedName name="____________________________________TPE12">#REF!</definedName>
    <definedName name="____________________________________TPE1331" localSheetId="3">#REF!</definedName>
    <definedName name="____________________________________TPE1331">#REF!</definedName>
    <definedName name="____________________________________TPE1702" localSheetId="3">#REF!</definedName>
    <definedName name="____________________________________TPE1702">#REF!</definedName>
    <definedName name="____________________________________TPE1703" localSheetId="3">#REF!</definedName>
    <definedName name="____________________________________TPE1703">#REF!</definedName>
    <definedName name="____________________________________TPE1704" localSheetId="3">#REF!</definedName>
    <definedName name="____________________________________TPE1704">#REF!</definedName>
    <definedName name="____________________________________TPE1706" localSheetId="3">#REF!</definedName>
    <definedName name="____________________________________TPE1706">#REF!</definedName>
    <definedName name="____________________________________TPE1708">#REF!</definedName>
    <definedName name="____________________________________TPE1710">#REF!</definedName>
    <definedName name="____________________________________TPE1735">#REF!</definedName>
    <definedName name="____________________________________TPE1763">#REF!</definedName>
    <definedName name="____________________________________TPE1790">#REF!</definedName>
    <definedName name="____________________________________TPF12">#REF!</definedName>
    <definedName name="____________________________________TUZ22" localSheetId="3">#REF!</definedName>
    <definedName name="____________________________________TUZ22">#REF!</definedName>
    <definedName name="____________________________________TUZ36" localSheetId="3">#REF!</definedName>
    <definedName name="____________________________________TUZ36">#REF!</definedName>
    <definedName name="____________________________________TZ2110">#REF!</definedName>
    <definedName name="____________________________________TZ214">#REF!</definedName>
    <definedName name="____________________________________TZ268">#REF!</definedName>
    <definedName name="____________________________________TZ323" localSheetId="3">#REF!</definedName>
    <definedName name="____________________________________TZ323">#REF!</definedName>
    <definedName name="____________________________________TZ324" localSheetId="3">#REF!</definedName>
    <definedName name="____________________________________TZ324">#REF!</definedName>
    <definedName name="____________________________________TZ32510">#REF!</definedName>
    <definedName name="___________________________________ADH12">#REF!</definedName>
    <definedName name="___________________________________ADM12">#REF!</definedName>
    <definedName name="___________________________________ADM4">#REF!</definedName>
    <definedName name="___________________________________AFC1">[1]INV!$A$25:$D$28</definedName>
    <definedName name="___________________________________AFC3">[1]INV!$F$25:$I$28</definedName>
    <definedName name="___________________________________AFC5">[1]INV!$K$25:$N$28</definedName>
    <definedName name="___________________________________AIU1" localSheetId="3">#REF!</definedName>
    <definedName name="___________________________________AIU1" localSheetId="30">#REF!</definedName>
    <definedName name="___________________________________AIU1" localSheetId="31">#REF!</definedName>
    <definedName name="___________________________________AIU1" localSheetId="29">#REF!</definedName>
    <definedName name="___________________________________AIU1">#REF!</definedName>
    <definedName name="___________________________________AIU2">#REF!</definedName>
    <definedName name="___________________________________BAZ10">#REF!</definedName>
    <definedName name="___________________________________BGC1">[1]INV!$A$5:$D$8</definedName>
    <definedName name="___________________________________BGC3">[1]INV!$F$5:$I$8</definedName>
    <definedName name="___________________________________BGC5">[1]INV!$K$5:$N$8</definedName>
    <definedName name="___________________________________BLO20">#REF!</definedName>
    <definedName name="___________________________________CAC1">[1]INV!$A$19:$D$22</definedName>
    <definedName name="___________________________________CAC3">[1]INV!$F$19:$I$22</definedName>
    <definedName name="___________________________________CAC5">[1]INV!$K$19:$N$22</definedName>
    <definedName name="___________________________________CAN28">#REF!</definedName>
    <definedName name="___________________________________Cod1" localSheetId="3">#REF!</definedName>
    <definedName name="___________________________________Cod1" localSheetId="30">#REF!</definedName>
    <definedName name="___________________________________Cod1" localSheetId="31">#REF!</definedName>
    <definedName name="___________________________________Cod1" localSheetId="29">#REF!</definedName>
    <definedName name="___________________________________Cod1">#REF!</definedName>
    <definedName name="___________________________________CUA44">#REF!</definedName>
    <definedName name="___________________________________i1">#REF!</definedName>
    <definedName name="___________________________________LA124">#REF!</definedName>
    <definedName name="___________________________________LAC18">#REF!</definedName>
    <definedName name="___________________________________Po2" localSheetId="3">#REF!</definedName>
    <definedName name="___________________________________Po2">#REF!</definedName>
    <definedName name="___________________________________R84JH">#REF!</definedName>
    <definedName name="___________________________________REP43">#REF!</definedName>
    <definedName name="___________________________________SBC1">[1]INV!$A$12:$D$15</definedName>
    <definedName name="___________________________________SBC3">[1]INV!$F$12:$I$15</definedName>
    <definedName name="___________________________________SBC5">[1]INV!$K$12:$N$15</definedName>
    <definedName name="___________________________________TEP44">#REF!</definedName>
    <definedName name="___________________________________TPE12" localSheetId="3">#REF!</definedName>
    <definedName name="___________________________________TPE12" localSheetId="30">#REF!</definedName>
    <definedName name="___________________________________TPE12" localSheetId="31">#REF!</definedName>
    <definedName name="___________________________________TPE12" localSheetId="29">#REF!</definedName>
    <definedName name="___________________________________TPE12">#REF!</definedName>
    <definedName name="___________________________________TPF12">#REF!</definedName>
    <definedName name="___________________________________TUZ22">#REF!</definedName>
    <definedName name="___________________________________TUZ36">#REF!</definedName>
    <definedName name="___________________________________TZ2110">#REF!</definedName>
    <definedName name="___________________________________TZ216">#REF!</definedName>
    <definedName name="___________________________________TZ268">#REF!</definedName>
    <definedName name="___________________________________TZ323">#REF!</definedName>
    <definedName name="___________________________________TZ324">#REF!</definedName>
    <definedName name="__________________________________ADH12">#REF!</definedName>
    <definedName name="__________________________________ADM12">#REF!</definedName>
    <definedName name="__________________________________ADM4">#REF!</definedName>
    <definedName name="__________________________________AFC1">[1]INV!$A$25:$D$28</definedName>
    <definedName name="__________________________________AFC3">[1]INV!$F$25:$I$28</definedName>
    <definedName name="__________________________________AFC5">[1]INV!$K$25:$N$28</definedName>
    <definedName name="__________________________________AIU1" localSheetId="3">#REF!</definedName>
    <definedName name="__________________________________AIU1" localSheetId="30">#REF!</definedName>
    <definedName name="__________________________________AIU1" localSheetId="31">#REF!</definedName>
    <definedName name="__________________________________AIU1" localSheetId="29">#REF!</definedName>
    <definedName name="__________________________________AIU1">#REF!</definedName>
    <definedName name="__________________________________AIU2">#REF!</definedName>
    <definedName name="__________________________________BAZ10">#REF!</definedName>
    <definedName name="__________________________________BGC1">[1]INV!$A$5:$D$8</definedName>
    <definedName name="__________________________________BGC3">[1]INV!$F$5:$I$8</definedName>
    <definedName name="__________________________________BGC5">[1]INV!$K$5:$N$8</definedName>
    <definedName name="__________________________________BLO20">#REF!</definedName>
    <definedName name="__________________________________CAC1">[1]INV!$A$19:$D$22</definedName>
    <definedName name="__________________________________CAC3">[1]INV!$F$19:$I$22</definedName>
    <definedName name="__________________________________CAC5">[1]INV!$K$19:$N$22</definedName>
    <definedName name="__________________________________CAN28">#REF!</definedName>
    <definedName name="__________________________________Cod1" localSheetId="3">#REF!</definedName>
    <definedName name="__________________________________Cod1" localSheetId="30">#REF!</definedName>
    <definedName name="__________________________________Cod1" localSheetId="31">#REF!</definedName>
    <definedName name="__________________________________Cod1" localSheetId="29">#REF!</definedName>
    <definedName name="__________________________________Cod1">#REF!</definedName>
    <definedName name="__________________________________CUA44">#REF!</definedName>
    <definedName name="__________________________________i1">#REF!</definedName>
    <definedName name="__________________________________LA124">#REF!</definedName>
    <definedName name="__________________________________LAC18">#REF!</definedName>
    <definedName name="__________________________________Po2" localSheetId="3">#REF!</definedName>
    <definedName name="__________________________________Po2">#REF!</definedName>
    <definedName name="__________________________________R84JH">#REF!</definedName>
    <definedName name="__________________________________REP43">#REF!</definedName>
    <definedName name="__________________________________SBC1">[1]INV!$A$12:$D$15</definedName>
    <definedName name="__________________________________SBC3">[1]INV!$F$12:$I$15</definedName>
    <definedName name="__________________________________SBC5">[1]INV!$K$12:$N$15</definedName>
    <definedName name="__________________________________TEP44">#REF!</definedName>
    <definedName name="__________________________________TPE1132" localSheetId="3">#REF!</definedName>
    <definedName name="__________________________________TPE1132">#REF!</definedName>
    <definedName name="__________________________________TPE12" localSheetId="3">#REF!</definedName>
    <definedName name="__________________________________TPE12" localSheetId="30">#REF!</definedName>
    <definedName name="__________________________________TPE12" localSheetId="31">#REF!</definedName>
    <definedName name="__________________________________TPE12" localSheetId="29">#REF!</definedName>
    <definedName name="__________________________________TPE12">#REF!</definedName>
    <definedName name="__________________________________TPE1331" localSheetId="3">#REF!</definedName>
    <definedName name="__________________________________TPE1331">#REF!</definedName>
    <definedName name="__________________________________TPE1702" localSheetId="3">#REF!</definedName>
    <definedName name="__________________________________TPE1702">#REF!</definedName>
    <definedName name="__________________________________TPE1703" localSheetId="3">#REF!</definedName>
    <definedName name="__________________________________TPE1703">#REF!</definedName>
    <definedName name="__________________________________TPE1704" localSheetId="3">#REF!</definedName>
    <definedName name="__________________________________TPE1704">#REF!</definedName>
    <definedName name="__________________________________TPE1706" localSheetId="3">#REF!</definedName>
    <definedName name="__________________________________TPE1706">#REF!</definedName>
    <definedName name="__________________________________TPE1708">#REF!</definedName>
    <definedName name="__________________________________TPE1710">#REF!</definedName>
    <definedName name="__________________________________TPE1735">#REF!</definedName>
    <definedName name="__________________________________TPE1763">#REF!</definedName>
    <definedName name="__________________________________TPE1790">#REF!</definedName>
    <definedName name="__________________________________TPF12">#REF!</definedName>
    <definedName name="__________________________________TUZ22" localSheetId="3">#REF!</definedName>
    <definedName name="__________________________________TUZ22">#REF!</definedName>
    <definedName name="__________________________________TUZ36" localSheetId="3">#REF!</definedName>
    <definedName name="__________________________________TUZ36">#REF!</definedName>
    <definedName name="__________________________________TZ2110">#REF!</definedName>
    <definedName name="__________________________________TZ214">#REF!</definedName>
    <definedName name="__________________________________TZ216">#REF!</definedName>
    <definedName name="__________________________________TZ268">#REF!</definedName>
    <definedName name="__________________________________TZ323" localSheetId="3">#REF!</definedName>
    <definedName name="__________________________________TZ323">#REF!</definedName>
    <definedName name="__________________________________TZ324" localSheetId="3">#REF!</definedName>
    <definedName name="__________________________________TZ324">#REF!</definedName>
    <definedName name="__________________________________TZ32510">#REF!</definedName>
    <definedName name="_________________________________ADH12">#REF!</definedName>
    <definedName name="_________________________________ADM12">#REF!</definedName>
    <definedName name="_________________________________ADM4">#REF!</definedName>
    <definedName name="_________________________________AFC1">[1]INV!$A$25:$D$28</definedName>
    <definedName name="_________________________________AFC3">[1]INV!$F$25:$I$28</definedName>
    <definedName name="_________________________________AFC5">[1]INV!$K$25:$N$28</definedName>
    <definedName name="_________________________________AIU1" localSheetId="3">#REF!</definedName>
    <definedName name="_________________________________AIU1" localSheetId="30">#REF!</definedName>
    <definedName name="_________________________________AIU1" localSheetId="31">#REF!</definedName>
    <definedName name="_________________________________AIU1" localSheetId="29">#REF!</definedName>
    <definedName name="_________________________________AIU1">#REF!</definedName>
    <definedName name="_________________________________AIU2">#REF!</definedName>
    <definedName name="_________________________________BAZ10">#REF!</definedName>
    <definedName name="_________________________________BGC1">[1]INV!$A$5:$D$8</definedName>
    <definedName name="_________________________________BGC3">[1]INV!$F$5:$I$8</definedName>
    <definedName name="_________________________________BGC5">[1]INV!$K$5:$N$8</definedName>
    <definedName name="_________________________________BLO20">#REF!</definedName>
    <definedName name="_________________________________CAC1">[1]INV!$A$19:$D$22</definedName>
    <definedName name="_________________________________CAC3">[1]INV!$F$19:$I$22</definedName>
    <definedName name="_________________________________CAC5">[1]INV!$K$19:$N$22</definedName>
    <definedName name="_________________________________CAN28">#REF!</definedName>
    <definedName name="_________________________________Cod1" localSheetId="3">#REF!</definedName>
    <definedName name="_________________________________Cod1" localSheetId="30">#REF!</definedName>
    <definedName name="_________________________________Cod1" localSheetId="31">#REF!</definedName>
    <definedName name="_________________________________Cod1" localSheetId="29">#REF!</definedName>
    <definedName name="_________________________________Cod1">#REF!</definedName>
    <definedName name="_________________________________CUA44">#REF!</definedName>
    <definedName name="_________________________________i1">#REF!</definedName>
    <definedName name="_________________________________LA124">#REF!</definedName>
    <definedName name="_________________________________LAC18">#REF!</definedName>
    <definedName name="_________________________________Po2" localSheetId="3">#REF!</definedName>
    <definedName name="_________________________________Po2">#REF!</definedName>
    <definedName name="_________________________________R84JH">#REF!</definedName>
    <definedName name="_________________________________REP43">#REF!</definedName>
    <definedName name="_________________________________SBC1">[1]INV!$A$12:$D$15</definedName>
    <definedName name="_________________________________SBC3">[1]INV!$F$12:$I$15</definedName>
    <definedName name="_________________________________SBC5">[1]INV!$K$12:$N$15</definedName>
    <definedName name="_________________________________TEP44">#REF!</definedName>
    <definedName name="_________________________________TPE1132" localSheetId="3">#REF!</definedName>
    <definedName name="_________________________________TPE1132">#REF!</definedName>
    <definedName name="_________________________________TPE12" localSheetId="3">#REF!</definedName>
    <definedName name="_________________________________TPE12" localSheetId="30">#REF!</definedName>
    <definedName name="_________________________________TPE12" localSheetId="31">#REF!</definedName>
    <definedName name="_________________________________TPE12" localSheetId="29">#REF!</definedName>
    <definedName name="_________________________________TPE12">#REF!</definedName>
    <definedName name="_________________________________TPE1331" localSheetId="3">#REF!</definedName>
    <definedName name="_________________________________TPE1331">#REF!</definedName>
    <definedName name="_________________________________TPE1702" localSheetId="3">#REF!</definedName>
    <definedName name="_________________________________TPE1702">#REF!</definedName>
    <definedName name="_________________________________TPE1703" localSheetId="3">#REF!</definedName>
    <definedName name="_________________________________TPE1703">#REF!</definedName>
    <definedName name="_________________________________TPE1704" localSheetId="3">#REF!</definedName>
    <definedName name="_________________________________TPE1704">#REF!</definedName>
    <definedName name="_________________________________TPE1706" localSheetId="3">#REF!</definedName>
    <definedName name="_________________________________TPE1706">#REF!</definedName>
    <definedName name="_________________________________TPE1708">#REF!</definedName>
    <definedName name="_________________________________TPE1710">#REF!</definedName>
    <definedName name="_________________________________TPE1735">#REF!</definedName>
    <definedName name="_________________________________TPE1763">#REF!</definedName>
    <definedName name="_________________________________TPE1790">#REF!</definedName>
    <definedName name="_________________________________TPF12">#REF!</definedName>
    <definedName name="_________________________________TUZ22" localSheetId="3">#REF!</definedName>
    <definedName name="_________________________________TUZ22">#REF!</definedName>
    <definedName name="_________________________________TUZ36" localSheetId="3">#REF!</definedName>
    <definedName name="_________________________________TUZ36">#REF!</definedName>
    <definedName name="_________________________________TZ2110">#REF!</definedName>
    <definedName name="_________________________________TZ214">#REF!</definedName>
    <definedName name="_________________________________TZ216">#REF!</definedName>
    <definedName name="_________________________________TZ268">#REF!</definedName>
    <definedName name="_________________________________TZ323" localSheetId="3">#REF!</definedName>
    <definedName name="_________________________________TZ323">#REF!</definedName>
    <definedName name="_________________________________TZ324" localSheetId="3">#REF!</definedName>
    <definedName name="_________________________________TZ324">#REF!</definedName>
    <definedName name="_________________________________TZ32510">#REF!</definedName>
    <definedName name="________________________________ADH12">#REF!</definedName>
    <definedName name="________________________________ADM12">#REF!</definedName>
    <definedName name="________________________________ADM4">#REF!</definedName>
    <definedName name="________________________________AFC1">[1]INV!$A$25:$D$28</definedName>
    <definedName name="________________________________AFC3">[1]INV!$F$25:$I$28</definedName>
    <definedName name="________________________________AFC5">[1]INV!$K$25:$N$28</definedName>
    <definedName name="________________________________AIU1" localSheetId="3">#REF!</definedName>
    <definedName name="________________________________AIU1" localSheetId="30">#REF!</definedName>
    <definedName name="________________________________AIU1" localSheetId="31">#REF!</definedName>
    <definedName name="________________________________AIU1" localSheetId="29">#REF!</definedName>
    <definedName name="________________________________AIU1">#REF!</definedName>
    <definedName name="________________________________AIU2">#REF!</definedName>
    <definedName name="________________________________BAZ10">#REF!</definedName>
    <definedName name="________________________________BGC1">[1]INV!$A$5:$D$8</definedName>
    <definedName name="________________________________BGC3">[1]INV!$F$5:$I$8</definedName>
    <definedName name="________________________________BGC5">[1]INV!$K$5:$N$8</definedName>
    <definedName name="________________________________BLO20">#REF!</definedName>
    <definedName name="________________________________CAC1">[1]INV!$A$19:$D$22</definedName>
    <definedName name="________________________________CAC3">[1]INV!$F$19:$I$22</definedName>
    <definedName name="________________________________CAC5">[1]INV!$K$19:$N$22</definedName>
    <definedName name="________________________________CAN28">#REF!</definedName>
    <definedName name="________________________________Cod1" localSheetId="3">#REF!</definedName>
    <definedName name="________________________________Cod1" localSheetId="30">#REF!</definedName>
    <definedName name="________________________________Cod1" localSheetId="31">#REF!</definedName>
    <definedName name="________________________________Cod1" localSheetId="29">#REF!</definedName>
    <definedName name="________________________________Cod1">#REF!</definedName>
    <definedName name="________________________________CUA44">#REF!</definedName>
    <definedName name="________________________________i1">#REF!</definedName>
    <definedName name="________________________________LA124">#REF!</definedName>
    <definedName name="________________________________LAC18">#REF!</definedName>
    <definedName name="________________________________Po2" localSheetId="3">#REF!</definedName>
    <definedName name="________________________________Po2">#REF!</definedName>
    <definedName name="________________________________R84JH">#REF!</definedName>
    <definedName name="________________________________REP43">#REF!</definedName>
    <definedName name="________________________________SBC1">[1]INV!$A$12:$D$15</definedName>
    <definedName name="________________________________SBC3">[1]INV!$F$12:$I$15</definedName>
    <definedName name="________________________________SBC5">[1]INV!$K$12:$N$15</definedName>
    <definedName name="________________________________TEP44">#REF!</definedName>
    <definedName name="________________________________TPE1132" localSheetId="3">#REF!</definedName>
    <definedName name="________________________________TPE1132">#REF!</definedName>
    <definedName name="________________________________TPE12" localSheetId="3">#REF!</definedName>
    <definedName name="________________________________TPE12" localSheetId="30">#REF!</definedName>
    <definedName name="________________________________TPE12" localSheetId="31">#REF!</definedName>
    <definedName name="________________________________TPE12" localSheetId="29">#REF!</definedName>
    <definedName name="________________________________TPE12">#REF!</definedName>
    <definedName name="________________________________TPE1331" localSheetId="3">#REF!</definedName>
    <definedName name="________________________________TPE1331">#REF!</definedName>
    <definedName name="________________________________TPE1702" localSheetId="3">#REF!</definedName>
    <definedName name="________________________________TPE1702">#REF!</definedName>
    <definedName name="________________________________TPE1703" localSheetId="3">#REF!</definedName>
    <definedName name="________________________________TPE1703">#REF!</definedName>
    <definedName name="________________________________TPE1704" localSheetId="3">#REF!</definedName>
    <definedName name="________________________________TPE1704">#REF!</definedName>
    <definedName name="________________________________TPE1706" localSheetId="3">#REF!</definedName>
    <definedName name="________________________________TPE1706">#REF!</definedName>
    <definedName name="________________________________TPE1708">#REF!</definedName>
    <definedName name="________________________________TPE1710">#REF!</definedName>
    <definedName name="________________________________TPE1735">#REF!</definedName>
    <definedName name="________________________________TPE1763">#REF!</definedName>
    <definedName name="________________________________TPE1790">#REF!</definedName>
    <definedName name="________________________________TPF12">#REF!</definedName>
    <definedName name="________________________________TUZ22" localSheetId="3">#REF!</definedName>
    <definedName name="________________________________TUZ22">#REF!</definedName>
    <definedName name="________________________________TUZ36" localSheetId="3">#REF!</definedName>
    <definedName name="________________________________TUZ36">#REF!</definedName>
    <definedName name="________________________________TZ2110">#REF!</definedName>
    <definedName name="________________________________TZ214">#REF!</definedName>
    <definedName name="________________________________TZ216">#REF!</definedName>
    <definedName name="________________________________TZ268">#REF!</definedName>
    <definedName name="________________________________TZ323" localSheetId="3">#REF!</definedName>
    <definedName name="________________________________TZ323">#REF!</definedName>
    <definedName name="________________________________TZ324" localSheetId="3">#REF!</definedName>
    <definedName name="________________________________TZ324">#REF!</definedName>
    <definedName name="________________________________TZ32510">#REF!</definedName>
    <definedName name="_______________________________ADH12">#REF!</definedName>
    <definedName name="_______________________________ADM12">#REF!</definedName>
    <definedName name="_______________________________ADM4">#REF!</definedName>
    <definedName name="_______________________________AFC1">[1]INV!$A$25:$D$28</definedName>
    <definedName name="_______________________________AFC3">[1]INV!$F$25:$I$28</definedName>
    <definedName name="_______________________________AFC5">[1]INV!$K$25:$N$28</definedName>
    <definedName name="_______________________________AIU1" localSheetId="3">#REF!</definedName>
    <definedName name="_______________________________AIU1" localSheetId="30">#REF!</definedName>
    <definedName name="_______________________________AIU1" localSheetId="31">#REF!</definedName>
    <definedName name="_______________________________AIU1" localSheetId="29">#REF!</definedName>
    <definedName name="_______________________________AIU1">#REF!</definedName>
    <definedName name="_______________________________AIU2">#REF!</definedName>
    <definedName name="_______________________________BAZ10">#REF!</definedName>
    <definedName name="_______________________________BGC1">[1]INV!$A$5:$D$8</definedName>
    <definedName name="_______________________________BGC3">[1]INV!$F$5:$I$8</definedName>
    <definedName name="_______________________________BGC5">[1]INV!$K$5:$N$8</definedName>
    <definedName name="_______________________________BLO20">#REF!</definedName>
    <definedName name="_______________________________CAC1">[1]INV!$A$19:$D$22</definedName>
    <definedName name="_______________________________CAC3">[1]INV!$F$19:$I$22</definedName>
    <definedName name="_______________________________CAC5">[1]INV!$K$19:$N$22</definedName>
    <definedName name="_______________________________CAN28">#REF!</definedName>
    <definedName name="_______________________________Cod1" localSheetId="3">#REF!</definedName>
    <definedName name="_______________________________Cod1" localSheetId="30">#REF!</definedName>
    <definedName name="_______________________________Cod1" localSheetId="31">#REF!</definedName>
    <definedName name="_______________________________Cod1" localSheetId="29">#REF!</definedName>
    <definedName name="_______________________________Cod1">#REF!</definedName>
    <definedName name="_______________________________CUA44">#REF!</definedName>
    <definedName name="_______________________________i1">#REF!</definedName>
    <definedName name="_______________________________LA124">#REF!</definedName>
    <definedName name="_______________________________LAC18">#REF!</definedName>
    <definedName name="_______________________________Po2" localSheetId="3">#REF!</definedName>
    <definedName name="_______________________________Po2">#REF!</definedName>
    <definedName name="_______________________________R84JH">#REF!</definedName>
    <definedName name="_______________________________REP43">#REF!</definedName>
    <definedName name="_______________________________SBC1">[1]INV!$A$12:$D$15</definedName>
    <definedName name="_______________________________SBC3">[1]INV!$F$12:$I$15</definedName>
    <definedName name="_______________________________SBC5">[1]INV!$K$12:$N$15</definedName>
    <definedName name="_______________________________TEP44">#REF!</definedName>
    <definedName name="_______________________________TPE1132" localSheetId="3">#REF!</definedName>
    <definedName name="_______________________________TPE1132">#REF!</definedName>
    <definedName name="_______________________________TPE12" localSheetId="3">#REF!</definedName>
    <definedName name="_______________________________TPE12" localSheetId="30">#REF!</definedName>
    <definedName name="_______________________________TPE12" localSheetId="31">#REF!</definedName>
    <definedName name="_______________________________TPE12" localSheetId="29">#REF!</definedName>
    <definedName name="_______________________________TPE12">#REF!</definedName>
    <definedName name="_______________________________TPE1331" localSheetId="3">#REF!</definedName>
    <definedName name="_______________________________TPE1331">#REF!</definedName>
    <definedName name="_______________________________TPE1702" localSheetId="3">#REF!</definedName>
    <definedName name="_______________________________TPE1702">#REF!</definedName>
    <definedName name="_______________________________TPE1703" localSheetId="3">#REF!</definedName>
    <definedName name="_______________________________TPE1703">#REF!</definedName>
    <definedName name="_______________________________TPE1704" localSheetId="3">#REF!</definedName>
    <definedName name="_______________________________TPE1704">#REF!</definedName>
    <definedName name="_______________________________TPE1706" localSheetId="3">#REF!</definedName>
    <definedName name="_______________________________TPE1706">#REF!</definedName>
    <definedName name="_______________________________TPE1708">#REF!</definedName>
    <definedName name="_______________________________TPE1710">#REF!</definedName>
    <definedName name="_______________________________TPE1735">#REF!</definedName>
    <definedName name="_______________________________TPE1763">#REF!</definedName>
    <definedName name="_______________________________TPE1790">#REF!</definedName>
    <definedName name="_______________________________TPF12">#REF!</definedName>
    <definedName name="_______________________________TUZ22" localSheetId="3">#REF!</definedName>
    <definedName name="_______________________________TUZ22">#REF!</definedName>
    <definedName name="_______________________________TUZ36" localSheetId="3">#REF!</definedName>
    <definedName name="_______________________________TUZ36">#REF!</definedName>
    <definedName name="_______________________________TZ2110">#REF!</definedName>
    <definedName name="_______________________________TZ214">#REF!</definedName>
    <definedName name="_______________________________TZ216">#REF!</definedName>
    <definedName name="_______________________________TZ268">#REF!</definedName>
    <definedName name="_______________________________TZ323" localSheetId="3">#REF!</definedName>
    <definedName name="_______________________________TZ323">#REF!</definedName>
    <definedName name="_______________________________TZ324" localSheetId="3">#REF!</definedName>
    <definedName name="_______________________________TZ324">#REF!</definedName>
    <definedName name="_______________________________TZ32510">#REF!</definedName>
    <definedName name="______________________________ADH12">#REF!</definedName>
    <definedName name="______________________________ADM12">#REF!</definedName>
    <definedName name="______________________________ADM4">#REF!</definedName>
    <definedName name="______________________________AFC1">[1]INV!$A$25:$D$28</definedName>
    <definedName name="______________________________AFC3">[1]INV!$F$25:$I$28</definedName>
    <definedName name="______________________________AFC5">[1]INV!$K$25:$N$28</definedName>
    <definedName name="______________________________AIU1" localSheetId="3">#REF!</definedName>
    <definedName name="______________________________AIU1" localSheetId="30">#REF!</definedName>
    <definedName name="______________________________AIU1" localSheetId="31">#REF!</definedName>
    <definedName name="______________________________AIU1" localSheetId="29">#REF!</definedName>
    <definedName name="______________________________AIU1">#REF!</definedName>
    <definedName name="______________________________AIU2">#REF!</definedName>
    <definedName name="______________________________BAZ10">#REF!</definedName>
    <definedName name="______________________________BGC1">[1]INV!$A$5:$D$8</definedName>
    <definedName name="______________________________BGC3">[1]INV!$F$5:$I$8</definedName>
    <definedName name="______________________________BGC5">[1]INV!$K$5:$N$8</definedName>
    <definedName name="______________________________BLO20">#REF!</definedName>
    <definedName name="______________________________CAC1">[1]INV!$A$19:$D$22</definedName>
    <definedName name="______________________________CAC3">[1]INV!$F$19:$I$22</definedName>
    <definedName name="______________________________CAC5">[1]INV!$K$19:$N$22</definedName>
    <definedName name="______________________________CAN28">#REF!</definedName>
    <definedName name="______________________________Cod1" localSheetId="3">#REF!</definedName>
    <definedName name="______________________________Cod1" localSheetId="30">#REF!</definedName>
    <definedName name="______________________________Cod1" localSheetId="31">#REF!</definedName>
    <definedName name="______________________________Cod1" localSheetId="29">#REF!</definedName>
    <definedName name="______________________________Cod1">#REF!</definedName>
    <definedName name="______________________________CUA44">#REF!</definedName>
    <definedName name="______________________________i1">#REF!</definedName>
    <definedName name="______________________________LA124">#REF!</definedName>
    <definedName name="______________________________LAC18">#REF!</definedName>
    <definedName name="______________________________Po2" localSheetId="3">#REF!</definedName>
    <definedName name="______________________________Po2">#REF!</definedName>
    <definedName name="______________________________R84JH">#REF!</definedName>
    <definedName name="______________________________REP43">#REF!</definedName>
    <definedName name="______________________________SBC1">[1]INV!$A$12:$D$15</definedName>
    <definedName name="______________________________SBC3">[1]INV!$F$12:$I$15</definedName>
    <definedName name="______________________________SBC5">[1]INV!$K$12:$N$15</definedName>
    <definedName name="______________________________TEP44">#REF!</definedName>
    <definedName name="______________________________TPE1132" localSheetId="3">#REF!</definedName>
    <definedName name="______________________________TPE1132">#REF!</definedName>
    <definedName name="______________________________TPE12" localSheetId="3">#REF!</definedName>
    <definedName name="______________________________TPE12" localSheetId="30">#REF!</definedName>
    <definedName name="______________________________TPE12" localSheetId="31">#REF!</definedName>
    <definedName name="______________________________TPE12" localSheetId="29">#REF!</definedName>
    <definedName name="______________________________TPE12">#REF!</definedName>
    <definedName name="______________________________TPE1331" localSheetId="3">#REF!</definedName>
    <definedName name="______________________________TPE1331">#REF!</definedName>
    <definedName name="______________________________TPE1702" localSheetId="3">#REF!</definedName>
    <definedName name="______________________________TPE1702">#REF!</definedName>
    <definedName name="______________________________TPE1703" localSheetId="3">#REF!</definedName>
    <definedName name="______________________________TPE1703">#REF!</definedName>
    <definedName name="______________________________TPE1704" localSheetId="3">#REF!</definedName>
    <definedName name="______________________________TPE1704">#REF!</definedName>
    <definedName name="______________________________TPE1706" localSheetId="3">#REF!</definedName>
    <definedName name="______________________________TPE1706">#REF!</definedName>
    <definedName name="______________________________TPE1708">#REF!</definedName>
    <definedName name="______________________________TPE1710">#REF!</definedName>
    <definedName name="______________________________TPE1735">#REF!</definedName>
    <definedName name="______________________________TPE1763">#REF!</definedName>
    <definedName name="______________________________TPE1790">#REF!</definedName>
    <definedName name="______________________________TPF12">#REF!</definedName>
    <definedName name="______________________________TUZ22" localSheetId="3">#REF!</definedName>
    <definedName name="______________________________TUZ22">#REF!</definedName>
    <definedName name="______________________________TUZ36" localSheetId="3">#REF!</definedName>
    <definedName name="______________________________TUZ36">#REF!</definedName>
    <definedName name="______________________________TZ2110">#REF!</definedName>
    <definedName name="______________________________TZ214">#REF!</definedName>
    <definedName name="______________________________TZ216">#REF!</definedName>
    <definedName name="______________________________TZ268">#REF!</definedName>
    <definedName name="______________________________TZ323" localSheetId="3">#REF!</definedName>
    <definedName name="______________________________TZ323">#REF!</definedName>
    <definedName name="______________________________TZ324" localSheetId="3">#REF!</definedName>
    <definedName name="______________________________TZ324">#REF!</definedName>
    <definedName name="______________________________TZ32510">#REF!</definedName>
    <definedName name="_____________________________ADH12">#REF!</definedName>
    <definedName name="_____________________________ADM12">#REF!</definedName>
    <definedName name="_____________________________ADM4">#REF!</definedName>
    <definedName name="_____________________________AFC1">[1]INV!$A$25:$D$28</definedName>
    <definedName name="_____________________________AFC3">[1]INV!$F$25:$I$28</definedName>
    <definedName name="_____________________________AFC5">[1]INV!$K$25:$N$28</definedName>
    <definedName name="_____________________________AIU1" localSheetId="3">#REF!</definedName>
    <definedName name="_____________________________AIU1" localSheetId="30">#REF!</definedName>
    <definedName name="_____________________________AIU1" localSheetId="31">#REF!</definedName>
    <definedName name="_____________________________AIU1" localSheetId="29">#REF!</definedName>
    <definedName name="_____________________________AIU1">#REF!</definedName>
    <definedName name="_____________________________AIU2">#REF!</definedName>
    <definedName name="_____________________________BAZ10">#REF!</definedName>
    <definedName name="_____________________________BGC1">[1]INV!$A$5:$D$8</definedName>
    <definedName name="_____________________________BGC3">[1]INV!$F$5:$I$8</definedName>
    <definedName name="_____________________________BGC5">[1]INV!$K$5:$N$8</definedName>
    <definedName name="_____________________________BLO20">#REF!</definedName>
    <definedName name="_____________________________CAC1">[1]INV!$A$19:$D$22</definedName>
    <definedName name="_____________________________CAC3">[1]INV!$F$19:$I$22</definedName>
    <definedName name="_____________________________CAC5">[1]INV!$K$19:$N$22</definedName>
    <definedName name="_____________________________CAN28">#REF!</definedName>
    <definedName name="_____________________________Cod1" localSheetId="3">#REF!</definedName>
    <definedName name="_____________________________Cod1" localSheetId="30">#REF!</definedName>
    <definedName name="_____________________________Cod1" localSheetId="31">#REF!</definedName>
    <definedName name="_____________________________Cod1" localSheetId="29">#REF!</definedName>
    <definedName name="_____________________________Cod1">#REF!</definedName>
    <definedName name="_____________________________CUA44">#REF!</definedName>
    <definedName name="_____________________________i1">#REF!</definedName>
    <definedName name="_____________________________LA124">#REF!</definedName>
    <definedName name="_____________________________LAC18">#REF!</definedName>
    <definedName name="_____________________________Po2" localSheetId="3">#REF!</definedName>
    <definedName name="_____________________________Po2">#REF!</definedName>
    <definedName name="_____________________________R84JH">#REF!</definedName>
    <definedName name="_____________________________REP43">#REF!</definedName>
    <definedName name="_____________________________SBC1">[1]INV!$A$12:$D$15</definedName>
    <definedName name="_____________________________SBC3">[1]INV!$F$12:$I$15</definedName>
    <definedName name="_____________________________SBC5">[1]INV!$K$12:$N$15</definedName>
    <definedName name="_____________________________TEP44">#REF!</definedName>
    <definedName name="_____________________________TPE1132" localSheetId="3">#REF!</definedName>
    <definedName name="_____________________________TPE1132">#REF!</definedName>
    <definedName name="_____________________________TPE12" localSheetId="3">#REF!</definedName>
    <definedName name="_____________________________TPE12" localSheetId="30">#REF!</definedName>
    <definedName name="_____________________________TPE12" localSheetId="31">#REF!</definedName>
    <definedName name="_____________________________TPE12" localSheetId="29">#REF!</definedName>
    <definedName name="_____________________________TPE12">#REF!</definedName>
    <definedName name="_____________________________TPE1331" localSheetId="3">#REF!</definedName>
    <definedName name="_____________________________TPE1331">#REF!</definedName>
    <definedName name="_____________________________TPE1702" localSheetId="3">#REF!</definedName>
    <definedName name="_____________________________TPE1702">#REF!</definedName>
    <definedName name="_____________________________TPE1703" localSheetId="3">#REF!</definedName>
    <definedName name="_____________________________TPE1703">#REF!</definedName>
    <definedName name="_____________________________TPE1704" localSheetId="3">#REF!</definedName>
    <definedName name="_____________________________TPE1704">#REF!</definedName>
    <definedName name="_____________________________TPE1706" localSheetId="3">#REF!</definedName>
    <definedName name="_____________________________TPE1706">#REF!</definedName>
    <definedName name="_____________________________TPE1708">#REF!</definedName>
    <definedName name="_____________________________TPE1710">#REF!</definedName>
    <definedName name="_____________________________TPE1735">#REF!</definedName>
    <definedName name="_____________________________TPE1763">#REF!</definedName>
    <definedName name="_____________________________TPE1790">#REF!</definedName>
    <definedName name="_____________________________TPF12">#REF!</definedName>
    <definedName name="_____________________________TUZ22" localSheetId="3">#REF!</definedName>
    <definedName name="_____________________________TUZ22">#REF!</definedName>
    <definedName name="_____________________________TUZ36" localSheetId="3">#REF!</definedName>
    <definedName name="_____________________________TUZ36">#REF!</definedName>
    <definedName name="_____________________________TZ2110">#REF!</definedName>
    <definedName name="_____________________________TZ214">#REF!</definedName>
    <definedName name="_____________________________TZ216">#REF!</definedName>
    <definedName name="_____________________________TZ268">#REF!</definedName>
    <definedName name="_____________________________TZ323" localSheetId="3">#REF!</definedName>
    <definedName name="_____________________________TZ323">#REF!</definedName>
    <definedName name="_____________________________TZ324" localSheetId="3">#REF!</definedName>
    <definedName name="_____________________________TZ324">#REF!</definedName>
    <definedName name="_____________________________TZ32510">#REF!</definedName>
    <definedName name="____________________________ADH12">#REF!</definedName>
    <definedName name="____________________________ADM12">#REF!</definedName>
    <definedName name="____________________________ADM4">#REF!</definedName>
    <definedName name="____________________________AFC1">[1]INV!$A$25:$D$28</definedName>
    <definedName name="____________________________AFC3">[1]INV!$F$25:$I$28</definedName>
    <definedName name="____________________________AFC5">[1]INV!$K$25:$N$28</definedName>
    <definedName name="____________________________AIU1" localSheetId="3">#REF!</definedName>
    <definedName name="____________________________AIU1" localSheetId="30">#REF!</definedName>
    <definedName name="____________________________AIU1" localSheetId="31">#REF!</definedName>
    <definedName name="____________________________AIU1" localSheetId="29">#REF!</definedName>
    <definedName name="____________________________AIU1">#REF!</definedName>
    <definedName name="____________________________AIU2">#REF!</definedName>
    <definedName name="____________________________BAZ10">#REF!</definedName>
    <definedName name="____________________________BGC1">[1]INV!$A$5:$D$8</definedName>
    <definedName name="____________________________BGC3">[1]INV!$F$5:$I$8</definedName>
    <definedName name="____________________________BGC5">[1]INV!$K$5:$N$8</definedName>
    <definedName name="____________________________BLO20">#REF!</definedName>
    <definedName name="____________________________CAC1">[1]INV!$A$19:$D$22</definedName>
    <definedName name="____________________________CAC3">[1]INV!$F$19:$I$22</definedName>
    <definedName name="____________________________CAC5">[1]INV!$K$19:$N$22</definedName>
    <definedName name="____________________________CAN28">#REF!</definedName>
    <definedName name="____________________________Cod1" localSheetId="3">#REF!</definedName>
    <definedName name="____________________________Cod1" localSheetId="30">#REF!</definedName>
    <definedName name="____________________________Cod1" localSheetId="31">#REF!</definedName>
    <definedName name="____________________________Cod1" localSheetId="29">#REF!</definedName>
    <definedName name="____________________________Cod1">#REF!</definedName>
    <definedName name="____________________________CUA44">#REF!</definedName>
    <definedName name="____________________________i1">#REF!</definedName>
    <definedName name="____________________________LA124">#REF!</definedName>
    <definedName name="____________________________LAC18">#REF!</definedName>
    <definedName name="____________________________Po2" localSheetId="3">#REF!</definedName>
    <definedName name="____________________________Po2">#REF!</definedName>
    <definedName name="____________________________R84JH">#REF!</definedName>
    <definedName name="____________________________REP43">#REF!</definedName>
    <definedName name="____________________________SBC1">[1]INV!$A$12:$D$15</definedName>
    <definedName name="____________________________SBC3">[1]INV!$F$12:$I$15</definedName>
    <definedName name="____________________________SBC5">[1]INV!$K$12:$N$15</definedName>
    <definedName name="____________________________TEP44">#REF!</definedName>
    <definedName name="____________________________TPE1132" localSheetId="3">#REF!</definedName>
    <definedName name="____________________________TPE1132">#REF!</definedName>
    <definedName name="____________________________TPE12" localSheetId="3">#REF!</definedName>
    <definedName name="____________________________TPE12" localSheetId="30">#REF!</definedName>
    <definedName name="____________________________TPE12" localSheetId="31">#REF!</definedName>
    <definedName name="____________________________TPE12" localSheetId="29">#REF!</definedName>
    <definedName name="____________________________TPE12">#REF!</definedName>
    <definedName name="____________________________TPE1331" localSheetId="3">#REF!</definedName>
    <definedName name="____________________________TPE1331">#REF!</definedName>
    <definedName name="____________________________TPE1702" localSheetId="3">#REF!</definedName>
    <definedName name="____________________________TPE1702">#REF!</definedName>
    <definedName name="____________________________TPE1703" localSheetId="3">#REF!</definedName>
    <definedName name="____________________________TPE1703">#REF!</definedName>
    <definedName name="____________________________TPE1704" localSheetId="3">#REF!</definedName>
    <definedName name="____________________________TPE1704">#REF!</definedName>
    <definedName name="____________________________TPE1706" localSheetId="3">#REF!</definedName>
    <definedName name="____________________________TPE1706">#REF!</definedName>
    <definedName name="____________________________TPE1708">#REF!</definedName>
    <definedName name="____________________________TPE1710">#REF!</definedName>
    <definedName name="____________________________TPE1735">#REF!</definedName>
    <definedName name="____________________________TPE1763">#REF!</definedName>
    <definedName name="____________________________TPE1790">#REF!</definedName>
    <definedName name="____________________________TPF12">#REF!</definedName>
    <definedName name="____________________________TUZ22" localSheetId="3">#REF!</definedName>
    <definedName name="____________________________TUZ22">#REF!</definedName>
    <definedName name="____________________________TUZ36" localSheetId="3">#REF!</definedName>
    <definedName name="____________________________TUZ36">#REF!</definedName>
    <definedName name="____________________________TZ2110">#REF!</definedName>
    <definedName name="____________________________TZ214">#REF!</definedName>
    <definedName name="____________________________TZ216">#REF!</definedName>
    <definedName name="____________________________TZ268">#REF!</definedName>
    <definedName name="____________________________TZ323" localSheetId="3">#REF!</definedName>
    <definedName name="____________________________TZ323">#REF!</definedName>
    <definedName name="____________________________TZ324" localSheetId="3">#REF!</definedName>
    <definedName name="____________________________TZ324">#REF!</definedName>
    <definedName name="____________________________TZ32510">#REF!</definedName>
    <definedName name="___________________________ADH12">#REF!</definedName>
    <definedName name="___________________________ADM12">#REF!</definedName>
    <definedName name="___________________________ADM4">#REF!</definedName>
    <definedName name="___________________________AFC1">[1]INV!$A$25:$D$28</definedName>
    <definedName name="___________________________AFC3">[1]INV!$F$25:$I$28</definedName>
    <definedName name="___________________________AFC5">[1]INV!$K$25:$N$28</definedName>
    <definedName name="___________________________AIU1" localSheetId="3">#REF!</definedName>
    <definedName name="___________________________AIU1" localSheetId="30">#REF!</definedName>
    <definedName name="___________________________AIU1" localSheetId="31">#REF!</definedName>
    <definedName name="___________________________AIU1" localSheetId="29">#REF!</definedName>
    <definedName name="___________________________AIU1">#REF!</definedName>
    <definedName name="___________________________AIU2">#REF!</definedName>
    <definedName name="___________________________BAZ10">#REF!</definedName>
    <definedName name="___________________________BGC1">[1]INV!$A$5:$D$8</definedName>
    <definedName name="___________________________BGC3">[1]INV!$F$5:$I$8</definedName>
    <definedName name="___________________________BGC5">[1]INV!$K$5:$N$8</definedName>
    <definedName name="___________________________BLO20">#REF!</definedName>
    <definedName name="___________________________CAC1">[1]INV!$A$19:$D$22</definedName>
    <definedName name="___________________________CAC3">[1]INV!$F$19:$I$22</definedName>
    <definedName name="___________________________CAC5">[1]INV!$K$19:$N$22</definedName>
    <definedName name="___________________________CAN28">#REF!</definedName>
    <definedName name="___________________________Cod1" localSheetId="3">#REF!</definedName>
    <definedName name="___________________________Cod1" localSheetId="30">#REF!</definedName>
    <definedName name="___________________________Cod1" localSheetId="31">#REF!</definedName>
    <definedName name="___________________________Cod1" localSheetId="29">#REF!</definedName>
    <definedName name="___________________________Cod1">#REF!</definedName>
    <definedName name="___________________________CUA44">#REF!</definedName>
    <definedName name="___________________________i1">#REF!</definedName>
    <definedName name="___________________________LA124">#REF!</definedName>
    <definedName name="___________________________LAC18">#REF!</definedName>
    <definedName name="___________________________Po2" localSheetId="3">#REF!</definedName>
    <definedName name="___________________________Po2">#REF!</definedName>
    <definedName name="___________________________R84JH">#REF!</definedName>
    <definedName name="___________________________REP43">#REF!</definedName>
    <definedName name="___________________________SBC1">[1]INV!$A$12:$D$15</definedName>
    <definedName name="___________________________SBC3">[1]INV!$F$12:$I$15</definedName>
    <definedName name="___________________________SBC5">[1]INV!$K$12:$N$15</definedName>
    <definedName name="___________________________TEP44">#REF!</definedName>
    <definedName name="___________________________TPE1132" localSheetId="3">#REF!</definedName>
    <definedName name="___________________________TPE1132">#REF!</definedName>
    <definedName name="___________________________TPE12" localSheetId="3">#REF!</definedName>
    <definedName name="___________________________TPE12" localSheetId="30">#REF!</definedName>
    <definedName name="___________________________TPE12" localSheetId="31">#REF!</definedName>
    <definedName name="___________________________TPE12" localSheetId="29">#REF!</definedName>
    <definedName name="___________________________TPE12">#REF!</definedName>
    <definedName name="___________________________TPE1331" localSheetId="3">#REF!</definedName>
    <definedName name="___________________________TPE1331">#REF!</definedName>
    <definedName name="___________________________TPE1702" localSheetId="3">#REF!</definedName>
    <definedName name="___________________________TPE1702">#REF!</definedName>
    <definedName name="___________________________TPE1703" localSheetId="3">#REF!</definedName>
    <definedName name="___________________________TPE1703">#REF!</definedName>
    <definedName name="___________________________TPE1704" localSheetId="3">#REF!</definedName>
    <definedName name="___________________________TPE1704">#REF!</definedName>
    <definedName name="___________________________TPE1706" localSheetId="3">#REF!</definedName>
    <definedName name="___________________________TPE1706">#REF!</definedName>
    <definedName name="___________________________TPE1708">#REF!</definedName>
    <definedName name="___________________________TPE1710">#REF!</definedName>
    <definedName name="___________________________TPE1735">#REF!</definedName>
    <definedName name="___________________________TPE1763">#REF!</definedName>
    <definedName name="___________________________TPE1790">#REF!</definedName>
    <definedName name="___________________________TPF12">#REF!</definedName>
    <definedName name="___________________________TUZ22" localSheetId="3">#REF!</definedName>
    <definedName name="___________________________TUZ22">#REF!</definedName>
    <definedName name="___________________________TUZ36" localSheetId="3">#REF!</definedName>
    <definedName name="___________________________TUZ36">#REF!</definedName>
    <definedName name="___________________________TZ2110">#REF!</definedName>
    <definedName name="___________________________TZ214">#REF!</definedName>
    <definedName name="___________________________TZ216">#REF!</definedName>
    <definedName name="___________________________TZ268">#REF!</definedName>
    <definedName name="___________________________TZ323" localSheetId="3">#REF!</definedName>
    <definedName name="___________________________TZ323">#REF!</definedName>
    <definedName name="___________________________TZ324" localSheetId="3">#REF!</definedName>
    <definedName name="___________________________TZ324">#REF!</definedName>
    <definedName name="___________________________TZ32510">#REF!</definedName>
    <definedName name="__________________________ADH12">#REF!</definedName>
    <definedName name="__________________________ADM12">#REF!</definedName>
    <definedName name="__________________________ADM4">#REF!</definedName>
    <definedName name="__________________________AFC1">[1]INV!$A$25:$D$28</definedName>
    <definedName name="__________________________AFC3">[1]INV!$F$25:$I$28</definedName>
    <definedName name="__________________________AFC5">[1]INV!$K$25:$N$28</definedName>
    <definedName name="__________________________AIU1" localSheetId="3">#REF!</definedName>
    <definedName name="__________________________AIU1" localSheetId="30">#REF!</definedName>
    <definedName name="__________________________AIU1" localSheetId="31">#REF!</definedName>
    <definedName name="__________________________AIU1" localSheetId="29">#REF!</definedName>
    <definedName name="__________________________AIU1">#REF!</definedName>
    <definedName name="__________________________AIU2">#REF!</definedName>
    <definedName name="__________________________BAZ10">#REF!</definedName>
    <definedName name="__________________________BGC1">[1]INV!$A$5:$D$8</definedName>
    <definedName name="__________________________BGC3">[1]INV!$F$5:$I$8</definedName>
    <definedName name="__________________________BGC5">[1]INV!$K$5:$N$8</definedName>
    <definedName name="__________________________BLO20">#REF!</definedName>
    <definedName name="__________________________CAC1">[1]INV!$A$19:$D$22</definedName>
    <definedName name="__________________________CAC3">[1]INV!$F$19:$I$22</definedName>
    <definedName name="__________________________CAC5">[1]INV!$K$19:$N$22</definedName>
    <definedName name="__________________________CAN28">#REF!</definedName>
    <definedName name="__________________________Cod1" localSheetId="3">#REF!</definedName>
    <definedName name="__________________________Cod1" localSheetId="30">#REF!</definedName>
    <definedName name="__________________________Cod1" localSheetId="31">#REF!</definedName>
    <definedName name="__________________________Cod1" localSheetId="29">#REF!</definedName>
    <definedName name="__________________________Cod1">#REF!</definedName>
    <definedName name="__________________________CUA44">#REF!</definedName>
    <definedName name="__________________________i1">#REF!</definedName>
    <definedName name="__________________________LA124">#REF!</definedName>
    <definedName name="__________________________LAC18">#REF!</definedName>
    <definedName name="__________________________Po2" localSheetId="3">#REF!</definedName>
    <definedName name="__________________________Po2">#REF!</definedName>
    <definedName name="__________________________R84JH">#REF!</definedName>
    <definedName name="__________________________REP43">#REF!</definedName>
    <definedName name="__________________________SBC1">[1]INV!$A$12:$D$15</definedName>
    <definedName name="__________________________SBC3">[1]INV!$F$12:$I$15</definedName>
    <definedName name="__________________________SBC5">[1]INV!$K$12:$N$15</definedName>
    <definedName name="__________________________TEP44">#REF!</definedName>
    <definedName name="__________________________TPE1132" localSheetId="3">#REF!</definedName>
    <definedName name="__________________________TPE1132">#REF!</definedName>
    <definedName name="__________________________TPE12" localSheetId="3">#REF!</definedName>
    <definedName name="__________________________TPE12" localSheetId="30">#REF!</definedName>
    <definedName name="__________________________TPE12" localSheetId="31">#REF!</definedName>
    <definedName name="__________________________TPE12" localSheetId="29">#REF!</definedName>
    <definedName name="__________________________TPE12">#REF!</definedName>
    <definedName name="__________________________TPE1331" localSheetId="3">#REF!</definedName>
    <definedName name="__________________________TPE1331">#REF!</definedName>
    <definedName name="__________________________TPE1702" localSheetId="3">#REF!</definedName>
    <definedName name="__________________________TPE1702">#REF!</definedName>
    <definedName name="__________________________TPE1703" localSheetId="3">#REF!</definedName>
    <definedName name="__________________________TPE1703">#REF!</definedName>
    <definedName name="__________________________TPE1704" localSheetId="3">#REF!</definedName>
    <definedName name="__________________________TPE1704">#REF!</definedName>
    <definedName name="__________________________TPE1706" localSheetId="3">#REF!</definedName>
    <definedName name="__________________________TPE1706">#REF!</definedName>
    <definedName name="__________________________TPE1708">#REF!</definedName>
    <definedName name="__________________________TPE1710">#REF!</definedName>
    <definedName name="__________________________TPE1735">#REF!</definedName>
    <definedName name="__________________________TPE1763">#REF!</definedName>
    <definedName name="__________________________TPE1790">#REF!</definedName>
    <definedName name="__________________________TPF12">#REF!</definedName>
    <definedName name="__________________________TUZ22" localSheetId="3">#REF!</definedName>
    <definedName name="__________________________TUZ22">#REF!</definedName>
    <definedName name="__________________________TUZ36" localSheetId="3">#REF!</definedName>
    <definedName name="__________________________TUZ36">#REF!</definedName>
    <definedName name="__________________________TZ2110">#REF!</definedName>
    <definedName name="__________________________TZ214">#REF!</definedName>
    <definedName name="__________________________TZ216">#REF!</definedName>
    <definedName name="__________________________TZ268">#REF!</definedName>
    <definedName name="__________________________TZ323" localSheetId="3">#REF!</definedName>
    <definedName name="__________________________TZ323">#REF!</definedName>
    <definedName name="__________________________TZ324" localSheetId="3">#REF!</definedName>
    <definedName name="__________________________TZ324">#REF!</definedName>
    <definedName name="__________________________TZ32510">#REF!</definedName>
    <definedName name="_________________________ADH12">#REF!</definedName>
    <definedName name="_________________________ADM12">#REF!</definedName>
    <definedName name="_________________________ADM4">#REF!</definedName>
    <definedName name="_________________________AFC1">[1]INV!$A$25:$D$28</definedName>
    <definedName name="_________________________AFC3">[1]INV!$F$25:$I$28</definedName>
    <definedName name="_________________________AFC5">[1]INV!$K$25:$N$28</definedName>
    <definedName name="_________________________AIU1" localSheetId="3">#REF!</definedName>
    <definedName name="_________________________AIU1" localSheetId="30">#REF!</definedName>
    <definedName name="_________________________AIU1" localSheetId="31">#REF!</definedName>
    <definedName name="_________________________AIU1" localSheetId="29">#REF!</definedName>
    <definedName name="_________________________AIU1">#REF!</definedName>
    <definedName name="_________________________AIU2">#REF!</definedName>
    <definedName name="_________________________BAZ10">#REF!</definedName>
    <definedName name="_________________________BGC1">[1]INV!$A$5:$D$8</definedName>
    <definedName name="_________________________BGC3">[1]INV!$F$5:$I$8</definedName>
    <definedName name="_________________________BGC5">[1]INV!$K$5:$N$8</definedName>
    <definedName name="_________________________BLO20">#REF!</definedName>
    <definedName name="_________________________CAC1">[1]INV!$A$19:$D$22</definedName>
    <definedName name="_________________________CAC3">[1]INV!$F$19:$I$22</definedName>
    <definedName name="_________________________CAC5">[1]INV!$K$19:$N$22</definedName>
    <definedName name="_________________________CAN28">#REF!</definedName>
    <definedName name="_________________________Cod1" localSheetId="3">#REF!</definedName>
    <definedName name="_________________________Cod1" localSheetId="30">#REF!</definedName>
    <definedName name="_________________________Cod1" localSheetId="31">#REF!</definedName>
    <definedName name="_________________________Cod1" localSheetId="29">#REF!</definedName>
    <definedName name="_________________________Cod1">#REF!</definedName>
    <definedName name="_________________________CUA44">#REF!</definedName>
    <definedName name="_________________________i1">#REF!</definedName>
    <definedName name="_________________________LA124">#REF!</definedName>
    <definedName name="_________________________LAC18">#REF!</definedName>
    <definedName name="_________________________Po2" localSheetId="3">#REF!</definedName>
    <definedName name="_________________________Po2">#REF!</definedName>
    <definedName name="_________________________R84JH">#REF!</definedName>
    <definedName name="_________________________REP43">#REF!</definedName>
    <definedName name="_________________________SBC1">[1]INV!$A$12:$D$15</definedName>
    <definedName name="_________________________SBC3">[1]INV!$F$12:$I$15</definedName>
    <definedName name="_________________________SBC5">[1]INV!$K$12:$N$15</definedName>
    <definedName name="_________________________TEP44">#REF!</definedName>
    <definedName name="_________________________TPE1132" localSheetId="3">#REF!</definedName>
    <definedName name="_________________________TPE1132">#REF!</definedName>
    <definedName name="_________________________TPE12" localSheetId="3">#REF!</definedName>
    <definedName name="_________________________TPE12" localSheetId="30">#REF!</definedName>
    <definedName name="_________________________TPE12" localSheetId="31">#REF!</definedName>
    <definedName name="_________________________TPE12" localSheetId="29">#REF!</definedName>
    <definedName name="_________________________TPE12">#REF!</definedName>
    <definedName name="_________________________TPE1331" localSheetId="3">#REF!</definedName>
    <definedName name="_________________________TPE1331">#REF!</definedName>
    <definedName name="_________________________TPE1702" localSheetId="3">#REF!</definedName>
    <definedName name="_________________________TPE1702">#REF!</definedName>
    <definedName name="_________________________TPE1703" localSheetId="3">#REF!</definedName>
    <definedName name="_________________________TPE1703">#REF!</definedName>
    <definedName name="_________________________TPE1704" localSheetId="3">#REF!</definedName>
    <definedName name="_________________________TPE1704">#REF!</definedName>
    <definedName name="_________________________TPE1706" localSheetId="3">#REF!</definedName>
    <definedName name="_________________________TPE1706">#REF!</definedName>
    <definedName name="_________________________TPE1708">#REF!</definedName>
    <definedName name="_________________________TPE1710">#REF!</definedName>
    <definedName name="_________________________TPE1735">#REF!</definedName>
    <definedName name="_________________________TPE1763">#REF!</definedName>
    <definedName name="_________________________TPE1790">#REF!</definedName>
    <definedName name="_________________________TPF12">#REF!</definedName>
    <definedName name="_________________________TUZ22" localSheetId="3">#REF!</definedName>
    <definedName name="_________________________TUZ22">#REF!</definedName>
    <definedName name="_________________________TUZ36" localSheetId="3">#REF!</definedName>
    <definedName name="_________________________TUZ36">#REF!</definedName>
    <definedName name="_________________________TZ2110">#REF!</definedName>
    <definedName name="_________________________TZ214">#REF!</definedName>
    <definedName name="_________________________TZ216">#REF!</definedName>
    <definedName name="_________________________TZ268">#REF!</definedName>
    <definedName name="_________________________TZ323" localSheetId="3">#REF!</definedName>
    <definedName name="_________________________TZ323">#REF!</definedName>
    <definedName name="_________________________TZ324" localSheetId="3">#REF!</definedName>
    <definedName name="_________________________TZ324">#REF!</definedName>
    <definedName name="_________________________TZ32510">#REF!</definedName>
    <definedName name="________________________ADH12">#REF!</definedName>
    <definedName name="________________________ADM12">#REF!</definedName>
    <definedName name="________________________ADM4">#REF!</definedName>
    <definedName name="________________________AFC1">[1]INV!$A$25:$D$28</definedName>
    <definedName name="________________________AFC3">[1]INV!$F$25:$I$28</definedName>
    <definedName name="________________________AFC5">[1]INV!$K$25:$N$28</definedName>
    <definedName name="________________________AIU1" localSheetId="3">#REF!</definedName>
    <definedName name="________________________AIU1" localSheetId="30">#REF!</definedName>
    <definedName name="________________________AIU1" localSheetId="31">#REF!</definedName>
    <definedName name="________________________AIU1" localSheetId="29">#REF!</definedName>
    <definedName name="________________________AIU1">#REF!</definedName>
    <definedName name="________________________AIU2">#REF!</definedName>
    <definedName name="________________________BAZ10">#REF!</definedName>
    <definedName name="________________________BGC1">[1]INV!$A$5:$D$8</definedName>
    <definedName name="________________________BGC3">[1]INV!$F$5:$I$8</definedName>
    <definedName name="________________________BGC5">[1]INV!$K$5:$N$8</definedName>
    <definedName name="________________________BLO20">#REF!</definedName>
    <definedName name="________________________CAC1">[1]INV!$A$19:$D$22</definedName>
    <definedName name="________________________CAC3">[1]INV!$F$19:$I$22</definedName>
    <definedName name="________________________CAC5">[1]INV!$K$19:$N$22</definedName>
    <definedName name="________________________CAN28">#REF!</definedName>
    <definedName name="________________________Cod1" localSheetId="3">#REF!</definedName>
    <definedName name="________________________Cod1" localSheetId="30">#REF!</definedName>
    <definedName name="________________________Cod1" localSheetId="31">#REF!</definedName>
    <definedName name="________________________Cod1" localSheetId="29">#REF!</definedName>
    <definedName name="________________________Cod1">#REF!</definedName>
    <definedName name="________________________CUA44">#REF!</definedName>
    <definedName name="________________________i1">#REF!</definedName>
    <definedName name="________________________LA124">#REF!</definedName>
    <definedName name="________________________LAC18">#REF!</definedName>
    <definedName name="________________________Po2" localSheetId="3">#REF!</definedName>
    <definedName name="________________________Po2">#REF!</definedName>
    <definedName name="________________________R84JH">#REF!</definedName>
    <definedName name="________________________REP43">#REF!</definedName>
    <definedName name="________________________SBC1">[1]INV!$A$12:$D$15</definedName>
    <definedName name="________________________SBC3">[1]INV!$F$12:$I$15</definedName>
    <definedName name="________________________SBC5">[1]INV!$K$12:$N$15</definedName>
    <definedName name="________________________TEP44">#REF!</definedName>
    <definedName name="________________________TPE1132" localSheetId="3">#REF!</definedName>
    <definedName name="________________________TPE1132">#REF!</definedName>
    <definedName name="________________________TPE12" localSheetId="3">#REF!</definedName>
    <definedName name="________________________TPE12" localSheetId="30">#REF!</definedName>
    <definedName name="________________________TPE12" localSheetId="31">#REF!</definedName>
    <definedName name="________________________TPE12" localSheetId="29">#REF!</definedName>
    <definedName name="________________________TPE12">#REF!</definedName>
    <definedName name="________________________TPE1331" localSheetId="3">#REF!</definedName>
    <definedName name="________________________TPE1331">#REF!</definedName>
    <definedName name="________________________TPE1702" localSheetId="3">#REF!</definedName>
    <definedName name="________________________TPE1702">#REF!</definedName>
    <definedName name="________________________TPE1703" localSheetId="3">#REF!</definedName>
    <definedName name="________________________TPE1703">#REF!</definedName>
    <definedName name="________________________TPE1704" localSheetId="3">#REF!</definedName>
    <definedName name="________________________TPE1704">#REF!</definedName>
    <definedName name="________________________TPE1706" localSheetId="3">#REF!</definedName>
    <definedName name="________________________TPE1706">#REF!</definedName>
    <definedName name="________________________TPE1708">#REF!</definedName>
    <definedName name="________________________TPE1710">#REF!</definedName>
    <definedName name="________________________TPE1735">#REF!</definedName>
    <definedName name="________________________TPE1763">#REF!</definedName>
    <definedName name="________________________TPE1790">#REF!</definedName>
    <definedName name="________________________TPF12">#REF!</definedName>
    <definedName name="________________________TUZ22" localSheetId="3">#REF!</definedName>
    <definedName name="________________________TUZ22">#REF!</definedName>
    <definedName name="________________________TUZ36" localSheetId="3">#REF!</definedName>
    <definedName name="________________________TUZ36">#REF!</definedName>
    <definedName name="________________________TZ2110">#REF!</definedName>
    <definedName name="________________________TZ214">#REF!</definedName>
    <definedName name="________________________TZ216">#REF!</definedName>
    <definedName name="________________________TZ268">#REF!</definedName>
    <definedName name="________________________TZ323" localSheetId="3">#REF!</definedName>
    <definedName name="________________________TZ323">#REF!</definedName>
    <definedName name="________________________TZ324" localSheetId="3">#REF!</definedName>
    <definedName name="________________________TZ324">#REF!</definedName>
    <definedName name="________________________TZ32510">#REF!</definedName>
    <definedName name="_______________________ADH12">#REF!</definedName>
    <definedName name="_______________________ADM12">#REF!</definedName>
    <definedName name="_______________________ADM4">#REF!</definedName>
    <definedName name="_______________________AFC1">[1]INV!$A$25:$D$28</definedName>
    <definedName name="_______________________AFC3">[1]INV!$F$25:$I$28</definedName>
    <definedName name="_______________________AFC5">[1]INV!$K$25:$N$28</definedName>
    <definedName name="_______________________AIU1" localSheetId="3">#REF!</definedName>
    <definedName name="_______________________AIU1" localSheetId="30">#REF!</definedName>
    <definedName name="_______________________AIU1" localSheetId="31">#REF!</definedName>
    <definedName name="_______________________AIU1" localSheetId="29">#REF!</definedName>
    <definedName name="_______________________AIU1">#REF!</definedName>
    <definedName name="_______________________AIU2">#REF!</definedName>
    <definedName name="_______________________BAZ10">#REF!</definedName>
    <definedName name="_______________________BGC1">[1]INV!$A$5:$D$8</definedName>
    <definedName name="_______________________BGC3">[1]INV!$F$5:$I$8</definedName>
    <definedName name="_______________________BGC5">[1]INV!$K$5:$N$8</definedName>
    <definedName name="_______________________BLO20">#REF!</definedName>
    <definedName name="_______________________CAC1">[1]INV!$A$19:$D$22</definedName>
    <definedName name="_______________________CAC3">[1]INV!$F$19:$I$22</definedName>
    <definedName name="_______________________CAC5">[1]INV!$K$19:$N$22</definedName>
    <definedName name="_______________________CAN28">#REF!</definedName>
    <definedName name="_______________________Cod1" localSheetId="3">#REF!</definedName>
    <definedName name="_______________________Cod1" localSheetId="30">#REF!</definedName>
    <definedName name="_______________________Cod1" localSheetId="31">#REF!</definedName>
    <definedName name="_______________________Cod1" localSheetId="29">#REF!</definedName>
    <definedName name="_______________________Cod1">#REF!</definedName>
    <definedName name="_______________________CUA44">#REF!</definedName>
    <definedName name="_______________________i1">#REF!</definedName>
    <definedName name="_______________________LA124">#REF!</definedName>
    <definedName name="_______________________LAC18">#REF!</definedName>
    <definedName name="_______________________Po2" localSheetId="3">#REF!</definedName>
    <definedName name="_______________________Po2">#REF!</definedName>
    <definedName name="_______________________R84JH">#REF!</definedName>
    <definedName name="_______________________REP43">#REF!</definedName>
    <definedName name="_______________________SBC1">[1]INV!$A$12:$D$15</definedName>
    <definedName name="_______________________SBC3">[1]INV!$F$12:$I$15</definedName>
    <definedName name="_______________________SBC5">[1]INV!$K$12:$N$15</definedName>
    <definedName name="_______________________TEP44">#REF!</definedName>
    <definedName name="_______________________TPE1132" localSheetId="3">#REF!</definedName>
    <definedName name="_______________________TPE1132">#REF!</definedName>
    <definedName name="_______________________TPE12" localSheetId="3">#REF!</definedName>
    <definedName name="_______________________TPE12" localSheetId="30">#REF!</definedName>
    <definedName name="_______________________TPE12" localSheetId="31">#REF!</definedName>
    <definedName name="_______________________TPE12" localSheetId="29">#REF!</definedName>
    <definedName name="_______________________TPE12">#REF!</definedName>
    <definedName name="_______________________TPE1331" localSheetId="3">#REF!</definedName>
    <definedName name="_______________________TPE1331">#REF!</definedName>
    <definedName name="_______________________TPE1702" localSheetId="3">#REF!</definedName>
    <definedName name="_______________________TPE1702">#REF!</definedName>
    <definedName name="_______________________TPE1703" localSheetId="3">#REF!</definedName>
    <definedName name="_______________________TPE1703">#REF!</definedName>
    <definedName name="_______________________TPE1704" localSheetId="3">#REF!</definedName>
    <definedName name="_______________________TPE1704">#REF!</definedName>
    <definedName name="_______________________TPE1706" localSheetId="3">#REF!</definedName>
    <definedName name="_______________________TPE1706">#REF!</definedName>
    <definedName name="_______________________TPE1708">#REF!</definedName>
    <definedName name="_______________________TPE1710">#REF!</definedName>
    <definedName name="_______________________TPE1735">#REF!</definedName>
    <definedName name="_______________________TPE1763">#REF!</definedName>
    <definedName name="_______________________TPE1790">#REF!</definedName>
    <definedName name="_______________________TPF12">#REF!</definedName>
    <definedName name="_______________________TUZ22" localSheetId="3">#REF!</definedName>
    <definedName name="_______________________TUZ22">#REF!</definedName>
    <definedName name="_______________________TUZ36" localSheetId="3">#REF!</definedName>
    <definedName name="_______________________TUZ36">#REF!</definedName>
    <definedName name="_______________________TZ2110">#REF!</definedName>
    <definedName name="_______________________TZ214">#REF!</definedName>
    <definedName name="_______________________TZ216">#REF!</definedName>
    <definedName name="_______________________TZ268">#REF!</definedName>
    <definedName name="_______________________TZ323" localSheetId="3">#REF!</definedName>
    <definedName name="_______________________TZ323">#REF!</definedName>
    <definedName name="_______________________TZ324" localSheetId="3">#REF!</definedName>
    <definedName name="_______________________TZ324">#REF!</definedName>
    <definedName name="_______________________TZ32510">#REF!</definedName>
    <definedName name="______________________ADH12">#REF!</definedName>
    <definedName name="______________________ADM12">#REF!</definedName>
    <definedName name="______________________ADM4">#REF!</definedName>
    <definedName name="______________________AFC1">[1]INV!$A$25:$D$28</definedName>
    <definedName name="______________________AFC3">[1]INV!$F$25:$I$28</definedName>
    <definedName name="______________________AFC5">[1]INV!$K$25:$N$28</definedName>
    <definedName name="______________________AIU1" localSheetId="3">#REF!</definedName>
    <definedName name="______________________AIU1" localSheetId="30">#REF!</definedName>
    <definedName name="______________________AIU1" localSheetId="31">#REF!</definedName>
    <definedName name="______________________AIU1" localSheetId="29">#REF!</definedName>
    <definedName name="______________________AIU1">#REF!</definedName>
    <definedName name="______________________AIU2">#REF!</definedName>
    <definedName name="______________________AIU3">#REF!</definedName>
    <definedName name="______________________BAZ10">#REF!</definedName>
    <definedName name="______________________BGC1">[1]INV!$A$5:$D$8</definedName>
    <definedName name="______________________BGC3">[1]INV!$F$5:$I$8</definedName>
    <definedName name="______________________BGC5">[1]INV!$K$5:$N$8</definedName>
    <definedName name="______________________BLO20">#REF!</definedName>
    <definedName name="______________________CAC1">[1]INV!$A$19:$D$22</definedName>
    <definedName name="______________________CAC3">[1]INV!$F$19:$I$22</definedName>
    <definedName name="______________________CAC5">[1]INV!$K$19:$N$22</definedName>
    <definedName name="______________________CAN28">#REF!</definedName>
    <definedName name="______________________Cod1" localSheetId="3">#REF!</definedName>
    <definedName name="______________________Cod1" localSheetId="30">#REF!</definedName>
    <definedName name="______________________Cod1" localSheetId="31">#REF!</definedName>
    <definedName name="______________________Cod1" localSheetId="29">#REF!</definedName>
    <definedName name="______________________Cod1">#REF!</definedName>
    <definedName name="______________________CUA44">#REF!</definedName>
    <definedName name="______________________i1">#REF!</definedName>
    <definedName name="______________________LA124">#REF!</definedName>
    <definedName name="______________________LAC18">#REF!</definedName>
    <definedName name="______________________Po2" localSheetId="3">#REF!</definedName>
    <definedName name="______________________Po2">#REF!</definedName>
    <definedName name="______________________R84JH">#REF!</definedName>
    <definedName name="______________________REP43">#REF!</definedName>
    <definedName name="______________________SBC1">[1]INV!$A$12:$D$15</definedName>
    <definedName name="______________________SBC3">[1]INV!$F$12:$I$15</definedName>
    <definedName name="______________________SBC5">[1]INV!$K$12:$N$15</definedName>
    <definedName name="______________________TEP44">#REF!</definedName>
    <definedName name="______________________TPE1132" localSheetId="3">#REF!</definedName>
    <definedName name="______________________TPE1132">#REF!</definedName>
    <definedName name="______________________TPE12" localSheetId="3">#REF!</definedName>
    <definedName name="______________________TPE12" localSheetId="30">#REF!</definedName>
    <definedName name="______________________TPE12" localSheetId="31">#REF!</definedName>
    <definedName name="______________________TPE12" localSheetId="29">#REF!</definedName>
    <definedName name="______________________TPE12">#REF!</definedName>
    <definedName name="______________________TPE1331" localSheetId="3">#REF!</definedName>
    <definedName name="______________________TPE1331">#REF!</definedName>
    <definedName name="______________________TPE1702" localSheetId="3">#REF!</definedName>
    <definedName name="______________________TPE1702">#REF!</definedName>
    <definedName name="______________________TPE1703" localSheetId="3">#REF!</definedName>
    <definedName name="______________________TPE1703">#REF!</definedName>
    <definedName name="______________________TPE1704" localSheetId="3">#REF!</definedName>
    <definedName name="______________________TPE1704">#REF!</definedName>
    <definedName name="______________________TPE1706" localSheetId="3">#REF!</definedName>
    <definedName name="______________________TPE1706">#REF!</definedName>
    <definedName name="______________________TPE1708">#REF!</definedName>
    <definedName name="______________________TPE1710">#REF!</definedName>
    <definedName name="______________________TPE1735">#REF!</definedName>
    <definedName name="______________________TPE1763">#REF!</definedName>
    <definedName name="______________________TPE1790">#REF!</definedName>
    <definedName name="______________________TPF12">#REF!</definedName>
    <definedName name="______________________TUZ22" localSheetId="3">#REF!</definedName>
    <definedName name="______________________TUZ22">#REF!</definedName>
    <definedName name="______________________TUZ36" localSheetId="3">#REF!</definedName>
    <definedName name="______________________TUZ36">#REF!</definedName>
    <definedName name="______________________TZ2110">#REF!</definedName>
    <definedName name="______________________TZ214">#REF!</definedName>
    <definedName name="______________________TZ216">#REF!</definedName>
    <definedName name="______________________TZ268">#REF!</definedName>
    <definedName name="______________________TZ323" localSheetId="3">#REF!</definedName>
    <definedName name="______________________TZ323">#REF!</definedName>
    <definedName name="______________________TZ324" localSheetId="3">#REF!</definedName>
    <definedName name="______________________TZ324">#REF!</definedName>
    <definedName name="______________________TZ32510">#REF!</definedName>
    <definedName name="_____________________ADH12">#REF!</definedName>
    <definedName name="_____________________ADM12">#REF!</definedName>
    <definedName name="_____________________ADM4">#REF!</definedName>
    <definedName name="_____________________AFC1">[1]INV!$A$25:$D$28</definedName>
    <definedName name="_____________________AFC3">[1]INV!$F$25:$I$28</definedName>
    <definedName name="_____________________AFC5">[1]INV!$K$25:$N$28</definedName>
    <definedName name="_____________________AIU1" localSheetId="3">#REF!</definedName>
    <definedName name="_____________________AIU1" localSheetId="30">#REF!</definedName>
    <definedName name="_____________________AIU1" localSheetId="31">#REF!</definedName>
    <definedName name="_____________________AIU1" localSheetId="29">#REF!</definedName>
    <definedName name="_____________________AIU1">#REF!</definedName>
    <definedName name="_____________________AIU2">#REF!</definedName>
    <definedName name="_____________________AIU3">#REF!</definedName>
    <definedName name="_____________________BAZ10">#REF!</definedName>
    <definedName name="_____________________BGC1">[1]INV!$A$5:$D$8</definedName>
    <definedName name="_____________________BGC3">[1]INV!$F$5:$I$8</definedName>
    <definedName name="_____________________BGC5">[1]INV!$K$5:$N$8</definedName>
    <definedName name="_____________________BLO20">#REF!</definedName>
    <definedName name="_____________________CAC1">[1]INV!$A$19:$D$22</definedName>
    <definedName name="_____________________CAC3">[1]INV!$F$19:$I$22</definedName>
    <definedName name="_____________________CAC5">[1]INV!$K$19:$N$22</definedName>
    <definedName name="_____________________CAN28">#REF!</definedName>
    <definedName name="_____________________Cod1" localSheetId="3">#REF!</definedName>
    <definedName name="_____________________Cod1" localSheetId="30">#REF!</definedName>
    <definedName name="_____________________Cod1" localSheetId="31">#REF!</definedName>
    <definedName name="_____________________Cod1" localSheetId="29">#REF!</definedName>
    <definedName name="_____________________Cod1">#REF!</definedName>
    <definedName name="_____________________CUA44">#REF!</definedName>
    <definedName name="_____________________i1">#REF!</definedName>
    <definedName name="_____________________LA124">#REF!</definedName>
    <definedName name="_____________________LAC18">#REF!</definedName>
    <definedName name="_____________________Po2" localSheetId="3">#REF!</definedName>
    <definedName name="_____________________Po2">#REF!</definedName>
    <definedName name="_____________________R84JH">#REF!</definedName>
    <definedName name="_____________________REP43">#REF!</definedName>
    <definedName name="_____________________SBC1">[1]INV!$A$12:$D$15</definedName>
    <definedName name="_____________________SBC3">[1]INV!$F$12:$I$15</definedName>
    <definedName name="_____________________SBC5">[1]INV!$K$12:$N$15</definedName>
    <definedName name="_____________________TEP44">#REF!</definedName>
    <definedName name="_____________________TPE1132" localSheetId="3">#REF!</definedName>
    <definedName name="_____________________TPE1132">#REF!</definedName>
    <definedName name="_____________________TPE12" localSheetId="3">#REF!</definedName>
    <definedName name="_____________________TPE12" localSheetId="30">#REF!</definedName>
    <definedName name="_____________________TPE12" localSheetId="31">#REF!</definedName>
    <definedName name="_____________________TPE12" localSheetId="29">#REF!</definedName>
    <definedName name="_____________________TPE12">#REF!</definedName>
    <definedName name="_____________________TPE1331" localSheetId="3">#REF!</definedName>
    <definedName name="_____________________TPE1331">#REF!</definedName>
    <definedName name="_____________________TPE1702" localSheetId="3">#REF!</definedName>
    <definedName name="_____________________TPE1702">#REF!</definedName>
    <definedName name="_____________________TPE1703" localSheetId="3">#REF!</definedName>
    <definedName name="_____________________TPE1703">#REF!</definedName>
    <definedName name="_____________________TPE1704" localSheetId="3">#REF!</definedName>
    <definedName name="_____________________TPE1704">#REF!</definedName>
    <definedName name="_____________________TPE1706" localSheetId="3">#REF!</definedName>
    <definedName name="_____________________TPE1706">#REF!</definedName>
    <definedName name="_____________________TPE1708">#REF!</definedName>
    <definedName name="_____________________TPE1710">#REF!</definedName>
    <definedName name="_____________________TPE1735">#REF!</definedName>
    <definedName name="_____________________TPE1763">#REF!</definedName>
    <definedName name="_____________________TPE1790">#REF!</definedName>
    <definedName name="_____________________TPF12">#REF!</definedName>
    <definedName name="_____________________TUZ22" localSheetId="3">#REF!</definedName>
    <definedName name="_____________________TUZ22">#REF!</definedName>
    <definedName name="_____________________TUZ36" localSheetId="3">#REF!</definedName>
    <definedName name="_____________________TUZ36">#REF!</definedName>
    <definedName name="_____________________TZ2110">#REF!</definedName>
    <definedName name="_____________________TZ214">#REF!</definedName>
    <definedName name="_____________________TZ216">#REF!</definedName>
    <definedName name="_____________________TZ268">#REF!</definedName>
    <definedName name="_____________________TZ323" localSheetId="3">#REF!</definedName>
    <definedName name="_____________________TZ323">#REF!</definedName>
    <definedName name="_____________________TZ324" localSheetId="3">#REF!</definedName>
    <definedName name="_____________________TZ324">#REF!</definedName>
    <definedName name="_____________________TZ32510">#REF!</definedName>
    <definedName name="____________________ADH12">#REF!</definedName>
    <definedName name="____________________ADM12">#REF!</definedName>
    <definedName name="____________________ADM4">#REF!</definedName>
    <definedName name="____________________AFC1">[1]INV!$A$25:$D$28</definedName>
    <definedName name="____________________AFC3">[1]INV!$F$25:$I$28</definedName>
    <definedName name="____________________AFC5">[1]INV!$K$25:$N$28</definedName>
    <definedName name="____________________AIU1" localSheetId="3">#REF!</definedName>
    <definedName name="____________________AIU1" localSheetId="30">#REF!</definedName>
    <definedName name="____________________AIU1" localSheetId="31">#REF!</definedName>
    <definedName name="____________________AIU1" localSheetId="29">#REF!</definedName>
    <definedName name="____________________AIU1">#REF!</definedName>
    <definedName name="____________________AIU2">#REF!</definedName>
    <definedName name="____________________AIU3">#REF!</definedName>
    <definedName name="____________________BAZ10">#REF!</definedName>
    <definedName name="____________________BGC1">[1]INV!$A$5:$D$8</definedName>
    <definedName name="____________________BGC3">[1]INV!$F$5:$I$8</definedName>
    <definedName name="____________________BGC5">[1]INV!$K$5:$N$8</definedName>
    <definedName name="____________________BLO20">#REF!</definedName>
    <definedName name="____________________CAC1">[1]INV!$A$19:$D$22</definedName>
    <definedName name="____________________CAC3">[1]INV!$F$19:$I$22</definedName>
    <definedName name="____________________CAC5">[1]INV!$K$19:$N$22</definedName>
    <definedName name="____________________CAN28">#REF!</definedName>
    <definedName name="____________________Cod1" localSheetId="3">#REF!</definedName>
    <definedName name="____________________Cod1" localSheetId="30">#REF!</definedName>
    <definedName name="____________________Cod1" localSheetId="31">#REF!</definedName>
    <definedName name="____________________Cod1" localSheetId="29">#REF!</definedName>
    <definedName name="____________________Cod1">#REF!</definedName>
    <definedName name="____________________CUA44">#REF!</definedName>
    <definedName name="____________________i1">#REF!</definedName>
    <definedName name="____________________LA124">#REF!</definedName>
    <definedName name="____________________LAC18">#REF!</definedName>
    <definedName name="____________________Po2" localSheetId="3">#REF!</definedName>
    <definedName name="____________________Po2">#REF!</definedName>
    <definedName name="____________________R84JH">#REF!</definedName>
    <definedName name="____________________REP43">#REF!</definedName>
    <definedName name="____________________SBC1">[1]INV!$A$12:$D$15</definedName>
    <definedName name="____________________SBC3">[1]INV!$F$12:$I$15</definedName>
    <definedName name="____________________SBC5">[1]INV!$K$12:$N$15</definedName>
    <definedName name="____________________TEP44">#REF!</definedName>
    <definedName name="____________________TPE1132" localSheetId="3">#REF!</definedName>
    <definedName name="____________________TPE1132">#REF!</definedName>
    <definedName name="____________________TPE12" localSheetId="3">#REF!</definedName>
    <definedName name="____________________TPE12" localSheetId="30">#REF!</definedName>
    <definedName name="____________________TPE12" localSheetId="31">#REF!</definedName>
    <definedName name="____________________TPE12" localSheetId="29">#REF!</definedName>
    <definedName name="____________________TPE12">#REF!</definedName>
    <definedName name="____________________TPE1331" localSheetId="3">#REF!</definedName>
    <definedName name="____________________TPE1331">#REF!</definedName>
    <definedName name="____________________TPE1702" localSheetId="3">#REF!</definedName>
    <definedName name="____________________TPE1702">#REF!</definedName>
    <definedName name="____________________TPE1703" localSheetId="3">#REF!</definedName>
    <definedName name="____________________TPE1703">#REF!</definedName>
    <definedName name="____________________TPE1704" localSheetId="3">#REF!</definedName>
    <definedName name="____________________TPE1704">#REF!</definedName>
    <definedName name="____________________TPE1706" localSheetId="3">#REF!</definedName>
    <definedName name="____________________TPE1706">#REF!</definedName>
    <definedName name="____________________TPE1708">#REF!</definedName>
    <definedName name="____________________TPE1710">#REF!</definedName>
    <definedName name="____________________TPE1735">#REF!</definedName>
    <definedName name="____________________TPE1763">#REF!</definedName>
    <definedName name="____________________TPE1790">#REF!</definedName>
    <definedName name="____________________TPF12">#REF!</definedName>
    <definedName name="____________________TUZ22" localSheetId="3">#REF!</definedName>
    <definedName name="____________________TUZ22">#REF!</definedName>
    <definedName name="____________________TUZ36" localSheetId="3">#REF!</definedName>
    <definedName name="____________________TUZ36">#REF!</definedName>
    <definedName name="____________________TZ2110">#REF!</definedName>
    <definedName name="____________________TZ214">#REF!</definedName>
    <definedName name="____________________TZ216">#REF!</definedName>
    <definedName name="____________________TZ268">#REF!</definedName>
    <definedName name="____________________TZ323" localSheetId="3">#REF!</definedName>
    <definedName name="____________________TZ323">#REF!</definedName>
    <definedName name="____________________TZ324" localSheetId="3">#REF!</definedName>
    <definedName name="____________________TZ324">#REF!</definedName>
    <definedName name="____________________TZ32510">#REF!</definedName>
    <definedName name="___________________ADH12">#REF!</definedName>
    <definedName name="___________________ADM12">#REF!</definedName>
    <definedName name="___________________ADM4">#REF!</definedName>
    <definedName name="___________________AFC1">[1]INV!$A$25:$D$28</definedName>
    <definedName name="___________________AFC3">[1]INV!$F$25:$I$28</definedName>
    <definedName name="___________________AFC5">[1]INV!$K$25:$N$28</definedName>
    <definedName name="___________________AIU1" localSheetId="3">#REF!</definedName>
    <definedName name="___________________AIU1" localSheetId="30">#REF!</definedName>
    <definedName name="___________________AIU1" localSheetId="31">#REF!</definedName>
    <definedName name="___________________AIU1" localSheetId="29">#REF!</definedName>
    <definedName name="___________________AIU1">#REF!</definedName>
    <definedName name="___________________AIU2">#REF!</definedName>
    <definedName name="___________________AIU3">#REF!</definedName>
    <definedName name="___________________BAZ10">#REF!</definedName>
    <definedName name="___________________BGC1">[1]INV!$A$5:$D$8</definedName>
    <definedName name="___________________BGC3">[1]INV!$F$5:$I$8</definedName>
    <definedName name="___________________BGC5">[1]INV!$K$5:$N$8</definedName>
    <definedName name="___________________BLO20">#REF!</definedName>
    <definedName name="___________________CAC1">[1]INV!$A$19:$D$22</definedName>
    <definedName name="___________________CAC3">[1]INV!$F$19:$I$22</definedName>
    <definedName name="___________________CAC5">[1]INV!$K$19:$N$22</definedName>
    <definedName name="___________________CAN28">#REF!</definedName>
    <definedName name="___________________Cod1" localSheetId="3">#REF!</definedName>
    <definedName name="___________________Cod1" localSheetId="30">#REF!</definedName>
    <definedName name="___________________Cod1" localSheetId="31">#REF!</definedName>
    <definedName name="___________________Cod1" localSheetId="29">#REF!</definedName>
    <definedName name="___________________Cod1">#REF!</definedName>
    <definedName name="___________________CUA44">#REF!</definedName>
    <definedName name="___________________i1">#REF!</definedName>
    <definedName name="___________________LA124">#REF!</definedName>
    <definedName name="___________________LAC18">#REF!</definedName>
    <definedName name="___________________Po2" localSheetId="3">#REF!</definedName>
    <definedName name="___________________Po2">#REF!</definedName>
    <definedName name="___________________R84JH">#REF!</definedName>
    <definedName name="___________________REP43">#REF!</definedName>
    <definedName name="___________________SBC1">[1]INV!$A$12:$D$15</definedName>
    <definedName name="___________________SBC3">[1]INV!$F$12:$I$15</definedName>
    <definedName name="___________________SBC5">[1]INV!$K$12:$N$15</definedName>
    <definedName name="___________________TEP44">#REF!</definedName>
    <definedName name="___________________TPE1132" localSheetId="3">#REF!</definedName>
    <definedName name="___________________TPE1132">#REF!</definedName>
    <definedName name="___________________TPE12" localSheetId="3">#REF!</definedName>
    <definedName name="___________________TPE12" localSheetId="30">#REF!</definedName>
    <definedName name="___________________TPE12" localSheetId="31">#REF!</definedName>
    <definedName name="___________________TPE12" localSheetId="29">#REF!</definedName>
    <definedName name="___________________TPE12">#REF!</definedName>
    <definedName name="___________________TPE1331" localSheetId="3">#REF!</definedName>
    <definedName name="___________________TPE1331">#REF!</definedName>
    <definedName name="___________________TPE1702" localSheetId="3">#REF!</definedName>
    <definedName name="___________________TPE1702">#REF!</definedName>
    <definedName name="___________________TPE1703" localSheetId="3">#REF!</definedName>
    <definedName name="___________________TPE1703">#REF!</definedName>
    <definedName name="___________________TPE1704" localSheetId="3">#REF!</definedName>
    <definedName name="___________________TPE1704">#REF!</definedName>
    <definedName name="___________________TPE1706" localSheetId="3">#REF!</definedName>
    <definedName name="___________________TPE1706">#REF!</definedName>
    <definedName name="___________________TPE1708">#REF!</definedName>
    <definedName name="___________________TPE1710">#REF!</definedName>
    <definedName name="___________________TPE1735">#REF!</definedName>
    <definedName name="___________________TPE1763">#REF!</definedName>
    <definedName name="___________________TPE1790">#REF!</definedName>
    <definedName name="___________________TPF12">#REF!</definedName>
    <definedName name="___________________TUZ22" localSheetId="3">#REF!</definedName>
    <definedName name="___________________TUZ22">#REF!</definedName>
    <definedName name="___________________TUZ36" localSheetId="3">#REF!</definedName>
    <definedName name="___________________TUZ36">#REF!</definedName>
    <definedName name="___________________TZ2110">#REF!</definedName>
    <definedName name="___________________TZ214">#REF!</definedName>
    <definedName name="___________________TZ216">#REF!</definedName>
    <definedName name="___________________TZ268">#REF!</definedName>
    <definedName name="___________________TZ323" localSheetId="3">#REF!</definedName>
    <definedName name="___________________TZ323">#REF!</definedName>
    <definedName name="___________________TZ324" localSheetId="3">#REF!</definedName>
    <definedName name="___________________TZ324">#REF!</definedName>
    <definedName name="___________________TZ32510">#REF!</definedName>
    <definedName name="__________________ADH12">#REF!</definedName>
    <definedName name="__________________ADM12">#REF!</definedName>
    <definedName name="__________________ADM4">#REF!</definedName>
    <definedName name="__________________AFC1">[1]INV!$A$25:$D$28</definedName>
    <definedName name="__________________AFC3">[1]INV!$F$25:$I$28</definedName>
    <definedName name="__________________AFC5">[1]INV!$K$25:$N$28</definedName>
    <definedName name="__________________AIU1" localSheetId="3">#REF!</definedName>
    <definedName name="__________________AIU1" localSheetId="30">#REF!</definedName>
    <definedName name="__________________AIU1" localSheetId="31">#REF!</definedName>
    <definedName name="__________________AIU1" localSheetId="29">#REF!</definedName>
    <definedName name="__________________AIU1">#REF!</definedName>
    <definedName name="__________________AIU2">#REF!</definedName>
    <definedName name="__________________AIU3">#REF!</definedName>
    <definedName name="__________________BAZ10">#REF!</definedName>
    <definedName name="__________________BGC1">[1]INV!$A$5:$D$8</definedName>
    <definedName name="__________________BGC3">[1]INV!$F$5:$I$8</definedName>
    <definedName name="__________________BGC5">[1]INV!$K$5:$N$8</definedName>
    <definedName name="__________________BLO20">#REF!</definedName>
    <definedName name="__________________CAC1">[1]INV!$A$19:$D$22</definedName>
    <definedName name="__________________CAC3">[1]INV!$F$19:$I$22</definedName>
    <definedName name="__________________CAC5">[1]INV!$K$19:$N$22</definedName>
    <definedName name="__________________CAN28">#REF!</definedName>
    <definedName name="__________________Cod1" localSheetId="3">#REF!</definedName>
    <definedName name="__________________Cod1" localSheetId="30">#REF!</definedName>
    <definedName name="__________________Cod1" localSheetId="31">#REF!</definedName>
    <definedName name="__________________Cod1" localSheetId="29">#REF!</definedName>
    <definedName name="__________________Cod1">#REF!</definedName>
    <definedName name="__________________CUA44">#REF!</definedName>
    <definedName name="__________________i1">#REF!</definedName>
    <definedName name="__________________LA124">#REF!</definedName>
    <definedName name="__________________LAC18">#REF!</definedName>
    <definedName name="__________________MA2">#REF!</definedName>
    <definedName name="__________________Po2" localSheetId="3">#REF!</definedName>
    <definedName name="__________________Po2">#REF!</definedName>
    <definedName name="__________________R84JH">#REF!</definedName>
    <definedName name="__________________REP43">#REF!</definedName>
    <definedName name="__________________SBC1">[1]INV!$A$12:$D$15</definedName>
    <definedName name="__________________SBC3">[1]INV!$F$12:$I$15</definedName>
    <definedName name="__________________SBC5">[1]INV!$K$12:$N$15</definedName>
    <definedName name="__________________TEP44">#REF!</definedName>
    <definedName name="__________________TPE1132" localSheetId="3">#REF!</definedName>
    <definedName name="__________________TPE1132">#REF!</definedName>
    <definedName name="__________________TPE12" localSheetId="3">#REF!</definedName>
    <definedName name="__________________TPE12" localSheetId="30">#REF!</definedName>
    <definedName name="__________________TPE12" localSheetId="31">#REF!</definedName>
    <definedName name="__________________TPE12" localSheetId="29">#REF!</definedName>
    <definedName name="__________________TPE12">#REF!</definedName>
    <definedName name="__________________TPE1331" localSheetId="3">#REF!</definedName>
    <definedName name="__________________TPE1331">#REF!</definedName>
    <definedName name="__________________TPE1702" localSheetId="3">#REF!</definedName>
    <definedName name="__________________TPE1702">#REF!</definedName>
    <definedName name="__________________TPE1703" localSheetId="3">#REF!</definedName>
    <definedName name="__________________TPE1703">#REF!</definedName>
    <definedName name="__________________TPE1704" localSheetId="3">#REF!</definedName>
    <definedName name="__________________TPE1704">#REF!</definedName>
    <definedName name="__________________TPE1706" localSheetId="3">#REF!</definedName>
    <definedName name="__________________TPE1706">#REF!</definedName>
    <definedName name="__________________TPE1708">#REF!</definedName>
    <definedName name="__________________TPE1710">#REF!</definedName>
    <definedName name="__________________TPE1735">#REF!</definedName>
    <definedName name="__________________TPE1763">#REF!</definedName>
    <definedName name="__________________TPE1790">#REF!</definedName>
    <definedName name="__________________TPF12">#REF!</definedName>
    <definedName name="__________________TUZ22" localSheetId="3">#REF!</definedName>
    <definedName name="__________________TUZ22">#REF!</definedName>
    <definedName name="__________________TUZ36" localSheetId="3">#REF!</definedName>
    <definedName name="__________________TUZ36">#REF!</definedName>
    <definedName name="__________________TZ2110">#REF!</definedName>
    <definedName name="__________________TZ214">#REF!</definedName>
    <definedName name="__________________TZ216">#REF!</definedName>
    <definedName name="__________________TZ268">#REF!</definedName>
    <definedName name="__________________TZ323" localSheetId="3">#REF!</definedName>
    <definedName name="__________________TZ323">#REF!</definedName>
    <definedName name="__________________TZ324" localSheetId="3">#REF!</definedName>
    <definedName name="__________________TZ324">#REF!</definedName>
    <definedName name="__________________TZ32510">#REF!</definedName>
    <definedName name="_________________ADH12">#REF!</definedName>
    <definedName name="_________________ADM12">#REF!</definedName>
    <definedName name="_________________ADM4">#REF!</definedName>
    <definedName name="_________________AFC1">[1]INV!$A$25:$D$28</definedName>
    <definedName name="_________________AFC3">[1]INV!$F$25:$I$28</definedName>
    <definedName name="_________________AFC5">[1]INV!$K$25:$N$28</definedName>
    <definedName name="_________________AIU1" localSheetId="3">#REF!</definedName>
    <definedName name="_________________AIU1" localSheetId="30">#REF!</definedName>
    <definedName name="_________________AIU1" localSheetId="31">#REF!</definedName>
    <definedName name="_________________AIU1" localSheetId="29">#REF!</definedName>
    <definedName name="_________________AIU1">#REF!</definedName>
    <definedName name="_________________AIU2">#REF!</definedName>
    <definedName name="_________________AIU3">#REF!</definedName>
    <definedName name="_________________BAZ10">#REF!</definedName>
    <definedName name="_________________BGC1">[1]INV!$A$5:$D$8</definedName>
    <definedName name="_________________BGC3">[1]INV!$F$5:$I$8</definedName>
    <definedName name="_________________BGC5">[1]INV!$K$5:$N$8</definedName>
    <definedName name="_________________BLO20">#REF!</definedName>
    <definedName name="_________________CAC1">[1]INV!$A$19:$D$22</definedName>
    <definedName name="_________________CAC3">[1]INV!$F$19:$I$22</definedName>
    <definedName name="_________________CAC5">[1]INV!$K$19:$N$22</definedName>
    <definedName name="_________________CAN28">#REF!</definedName>
    <definedName name="_________________Cod1" localSheetId="3">#REF!</definedName>
    <definedName name="_________________Cod1" localSheetId="30">#REF!</definedName>
    <definedName name="_________________Cod1" localSheetId="31">#REF!</definedName>
    <definedName name="_________________Cod1" localSheetId="29">#REF!</definedName>
    <definedName name="_________________Cod1">#REF!</definedName>
    <definedName name="_________________CUA44">#REF!</definedName>
    <definedName name="_________________i1">#REF!</definedName>
    <definedName name="_________________LA124">#REF!</definedName>
    <definedName name="_________________LAC18">#REF!</definedName>
    <definedName name="_________________MA2">#REF!</definedName>
    <definedName name="_________________Po2" localSheetId="3">#REF!</definedName>
    <definedName name="_________________Po2">#REF!</definedName>
    <definedName name="_________________R84JH">#REF!</definedName>
    <definedName name="_________________REP43">#REF!</definedName>
    <definedName name="_________________SBC1">[1]INV!$A$12:$D$15</definedName>
    <definedName name="_________________SBC3">[1]INV!$F$12:$I$15</definedName>
    <definedName name="_________________SBC5">[1]INV!$K$12:$N$15</definedName>
    <definedName name="_________________TEP44">#REF!</definedName>
    <definedName name="_________________TPE1132" localSheetId="3">#REF!</definedName>
    <definedName name="_________________TPE1132">#REF!</definedName>
    <definedName name="_________________TPE12" localSheetId="3">#REF!</definedName>
    <definedName name="_________________TPE12" localSheetId="30">#REF!</definedName>
    <definedName name="_________________TPE12" localSheetId="31">#REF!</definedName>
    <definedName name="_________________TPE12" localSheetId="29">#REF!</definedName>
    <definedName name="_________________TPE12">#REF!</definedName>
    <definedName name="_________________TPE1331" localSheetId="3">#REF!</definedName>
    <definedName name="_________________TPE1331">#REF!</definedName>
    <definedName name="_________________TPE1702" localSheetId="3">#REF!</definedName>
    <definedName name="_________________TPE1702">#REF!</definedName>
    <definedName name="_________________TPE1703" localSheetId="3">#REF!</definedName>
    <definedName name="_________________TPE1703">#REF!</definedName>
    <definedName name="_________________TPE1704" localSheetId="3">#REF!</definedName>
    <definedName name="_________________TPE1704">#REF!</definedName>
    <definedName name="_________________TPE1706" localSheetId="3">#REF!</definedName>
    <definedName name="_________________TPE1706">#REF!</definedName>
    <definedName name="_________________TPE1708">#REF!</definedName>
    <definedName name="_________________TPE1710">#REF!</definedName>
    <definedName name="_________________TPE1735">#REF!</definedName>
    <definedName name="_________________TPE1763">#REF!</definedName>
    <definedName name="_________________TPE1790">#REF!</definedName>
    <definedName name="_________________TPF12">#REF!</definedName>
    <definedName name="_________________TUZ22" localSheetId="3">#REF!</definedName>
    <definedName name="_________________TUZ22">#REF!</definedName>
    <definedName name="_________________TUZ36" localSheetId="3">#REF!</definedName>
    <definedName name="_________________TUZ36">#REF!</definedName>
    <definedName name="_________________TZ2110">#REF!</definedName>
    <definedName name="_________________TZ214">#REF!</definedName>
    <definedName name="_________________TZ216">#REF!</definedName>
    <definedName name="_________________TZ268">#REF!</definedName>
    <definedName name="_________________TZ323" localSheetId="3">#REF!</definedName>
    <definedName name="_________________TZ323">#REF!</definedName>
    <definedName name="_________________TZ324" localSheetId="3">#REF!</definedName>
    <definedName name="_________________TZ324">#REF!</definedName>
    <definedName name="_________________TZ32510">#REF!</definedName>
    <definedName name="________________ADH12">#REF!</definedName>
    <definedName name="________________ADM12">#REF!</definedName>
    <definedName name="________________ADM4">#REF!</definedName>
    <definedName name="________________AFC1">[1]INV!$A$25:$D$28</definedName>
    <definedName name="________________AFC3">[1]INV!$F$25:$I$28</definedName>
    <definedName name="________________AFC5">[1]INV!$K$25:$N$28</definedName>
    <definedName name="________________AIU1" localSheetId="3">#REF!</definedName>
    <definedName name="________________AIU1" localSheetId="30">#REF!</definedName>
    <definedName name="________________AIU1" localSheetId="31">#REF!</definedName>
    <definedName name="________________AIU1" localSheetId="29">#REF!</definedName>
    <definedName name="________________AIU1">#REF!</definedName>
    <definedName name="________________AIU2">#REF!</definedName>
    <definedName name="________________AIU3">#REF!</definedName>
    <definedName name="________________BAZ10">#REF!</definedName>
    <definedName name="________________BGC1">[1]INV!$A$5:$D$8</definedName>
    <definedName name="________________BGC3">[1]INV!$F$5:$I$8</definedName>
    <definedName name="________________BGC5">[1]INV!$K$5:$N$8</definedName>
    <definedName name="________________BLO20">#REF!</definedName>
    <definedName name="________________CAC1">[1]INV!$A$19:$D$22</definedName>
    <definedName name="________________CAC3">[1]INV!$F$19:$I$22</definedName>
    <definedName name="________________CAC5">[1]INV!$K$19:$N$22</definedName>
    <definedName name="________________CAN28">#REF!</definedName>
    <definedName name="________________Cod1" localSheetId="3">#REF!</definedName>
    <definedName name="________________Cod1" localSheetId="30">#REF!</definedName>
    <definedName name="________________Cod1" localSheetId="31">#REF!</definedName>
    <definedName name="________________Cod1" localSheetId="29">#REF!</definedName>
    <definedName name="________________Cod1">#REF!</definedName>
    <definedName name="________________CUA44">#REF!</definedName>
    <definedName name="________________i1">#REF!</definedName>
    <definedName name="________________LA124">#REF!</definedName>
    <definedName name="________________LAC18">#REF!</definedName>
    <definedName name="________________MA2">#REF!</definedName>
    <definedName name="________________Po2" localSheetId="3">#REF!</definedName>
    <definedName name="________________Po2">#REF!</definedName>
    <definedName name="________________R84JH">#REF!</definedName>
    <definedName name="________________REP43">#REF!</definedName>
    <definedName name="________________SBC1">[1]INV!$A$12:$D$15</definedName>
    <definedName name="________________SBC3">[1]INV!$F$12:$I$15</definedName>
    <definedName name="________________SBC5">[1]INV!$K$12:$N$15</definedName>
    <definedName name="________________TEP44">#REF!</definedName>
    <definedName name="________________TPE1132" localSheetId="3">#REF!</definedName>
    <definedName name="________________TPE1132">#REF!</definedName>
    <definedName name="________________TPE12" localSheetId="3">#REF!</definedName>
    <definedName name="________________TPE12" localSheetId="30">#REF!</definedName>
    <definedName name="________________TPE12" localSheetId="31">#REF!</definedName>
    <definedName name="________________TPE12" localSheetId="29">#REF!</definedName>
    <definedName name="________________TPE12">#REF!</definedName>
    <definedName name="________________TPE1331" localSheetId="3">#REF!</definedName>
    <definedName name="________________TPE1331">#REF!</definedName>
    <definedName name="________________TPE1702" localSheetId="3">#REF!</definedName>
    <definedName name="________________TPE1702">#REF!</definedName>
    <definedName name="________________TPE1703" localSheetId="3">#REF!</definedName>
    <definedName name="________________TPE1703">#REF!</definedName>
    <definedName name="________________TPE1704" localSheetId="3">#REF!</definedName>
    <definedName name="________________TPE1704">#REF!</definedName>
    <definedName name="________________TPE1706" localSheetId="3">#REF!</definedName>
    <definedName name="________________TPE1706">#REF!</definedName>
    <definedName name="________________TPE1708">#REF!</definedName>
    <definedName name="________________TPE1710">#REF!</definedName>
    <definedName name="________________TPE1735">#REF!</definedName>
    <definedName name="________________TPE1763">#REF!</definedName>
    <definedName name="________________TPE1790">#REF!</definedName>
    <definedName name="________________TPF12">#REF!</definedName>
    <definedName name="________________TUZ22" localSheetId="3">#REF!</definedName>
    <definedName name="________________TUZ22">#REF!</definedName>
    <definedName name="________________TUZ36" localSheetId="3">#REF!</definedName>
    <definedName name="________________TUZ36">#REF!</definedName>
    <definedName name="________________TZ2110">#REF!</definedName>
    <definedName name="________________TZ214">#REF!</definedName>
    <definedName name="________________TZ216">#REF!</definedName>
    <definedName name="________________TZ268">#REF!</definedName>
    <definedName name="________________TZ323" localSheetId="3">#REF!</definedName>
    <definedName name="________________TZ323">#REF!</definedName>
    <definedName name="________________TZ324" localSheetId="3">#REF!</definedName>
    <definedName name="________________TZ324">#REF!</definedName>
    <definedName name="________________TZ32510">#REF!</definedName>
    <definedName name="_______________ADH12">#REF!</definedName>
    <definedName name="_______________ADM12">#REF!</definedName>
    <definedName name="_______________ADM4">#REF!</definedName>
    <definedName name="_______________AFC1">[1]INV!$A$25:$D$28</definedName>
    <definedName name="_______________AFC3">[1]INV!$F$25:$I$28</definedName>
    <definedName name="_______________AFC5">[1]INV!$K$25:$N$28</definedName>
    <definedName name="_______________AIU1" localSheetId="3">#REF!</definedName>
    <definedName name="_______________AIU1" localSheetId="30">#REF!</definedName>
    <definedName name="_______________AIU1" localSheetId="31">#REF!</definedName>
    <definedName name="_______________AIU1" localSheetId="29">#REF!</definedName>
    <definedName name="_______________AIU1">#REF!</definedName>
    <definedName name="_______________AIU2">#REF!</definedName>
    <definedName name="_______________AIU3">#REF!</definedName>
    <definedName name="_______________BAZ10">#REF!</definedName>
    <definedName name="_______________BGC1">[1]INV!$A$5:$D$8</definedName>
    <definedName name="_______________BGC3">[1]INV!$F$5:$I$8</definedName>
    <definedName name="_______________BGC5">[1]INV!$K$5:$N$8</definedName>
    <definedName name="_______________BLO20">#REF!</definedName>
    <definedName name="_______________CAC1">[1]INV!$A$19:$D$22</definedName>
    <definedName name="_______________CAC3">[1]INV!$F$19:$I$22</definedName>
    <definedName name="_______________CAC5">[1]INV!$K$19:$N$22</definedName>
    <definedName name="_______________CAN28">#REF!</definedName>
    <definedName name="_______________Cod1" localSheetId="3">#REF!</definedName>
    <definedName name="_______________Cod1" localSheetId="30">#REF!</definedName>
    <definedName name="_______________Cod1" localSheetId="31">#REF!</definedName>
    <definedName name="_______________Cod1" localSheetId="29">#REF!</definedName>
    <definedName name="_______________Cod1">#REF!</definedName>
    <definedName name="_______________CUA44">#REF!</definedName>
    <definedName name="_______________i1">#REF!</definedName>
    <definedName name="_______________INF1">#REF!</definedName>
    <definedName name="_______________LA124">#REF!</definedName>
    <definedName name="_______________LAC18">#REF!</definedName>
    <definedName name="_______________MA2">#REF!</definedName>
    <definedName name="_______________Po2" localSheetId="3">#REF!</definedName>
    <definedName name="_______________Po2">#REF!</definedName>
    <definedName name="_______________R84JH">#REF!</definedName>
    <definedName name="_______________REP43">#REF!</definedName>
    <definedName name="_______________SBC1">[1]INV!$A$12:$D$15</definedName>
    <definedName name="_______________SBC3">[1]INV!$F$12:$I$15</definedName>
    <definedName name="_______________SBC5">[1]INV!$K$12:$N$15</definedName>
    <definedName name="_______________TEP44">#REF!</definedName>
    <definedName name="_______________TPE1132" localSheetId="3">#REF!</definedName>
    <definedName name="_______________TPE1132">#REF!</definedName>
    <definedName name="_______________TPE12" localSheetId="3">#REF!</definedName>
    <definedName name="_______________TPE12" localSheetId="30">#REF!</definedName>
    <definedName name="_______________TPE12" localSheetId="31">#REF!</definedName>
    <definedName name="_______________TPE12" localSheetId="29">#REF!</definedName>
    <definedName name="_______________TPE12">#REF!</definedName>
    <definedName name="_______________TPE1331" localSheetId="3">#REF!</definedName>
    <definedName name="_______________TPE1331">#REF!</definedName>
    <definedName name="_______________TPE1702" localSheetId="3">#REF!</definedName>
    <definedName name="_______________TPE1702">#REF!</definedName>
    <definedName name="_______________TPE1703" localSheetId="3">#REF!</definedName>
    <definedName name="_______________TPE1703">#REF!</definedName>
    <definedName name="_______________TPE1704" localSheetId="3">#REF!</definedName>
    <definedName name="_______________TPE1704">#REF!</definedName>
    <definedName name="_______________TPE1706" localSheetId="3">#REF!</definedName>
    <definedName name="_______________TPE1706">#REF!</definedName>
    <definedName name="_______________TPE1708">#REF!</definedName>
    <definedName name="_______________TPE1710">#REF!</definedName>
    <definedName name="_______________TPE1735">#REF!</definedName>
    <definedName name="_______________TPE1763">#REF!</definedName>
    <definedName name="_______________TPE1790">#REF!</definedName>
    <definedName name="_______________TPF12">#REF!</definedName>
    <definedName name="_______________TUZ22" localSheetId="3">#REF!</definedName>
    <definedName name="_______________TUZ22">#REF!</definedName>
    <definedName name="_______________TUZ36" localSheetId="3">#REF!</definedName>
    <definedName name="_______________TUZ36">#REF!</definedName>
    <definedName name="_______________TZ2110">#REF!</definedName>
    <definedName name="_______________TZ214">#REF!</definedName>
    <definedName name="_______________TZ216">#REF!</definedName>
    <definedName name="_______________TZ268">#REF!</definedName>
    <definedName name="_______________TZ323" localSheetId="3">#REF!</definedName>
    <definedName name="_______________TZ323">#REF!</definedName>
    <definedName name="_______________TZ324" localSheetId="3">#REF!</definedName>
    <definedName name="_______________TZ324">#REF!</definedName>
    <definedName name="_______________TZ32510">#REF!</definedName>
    <definedName name="______________ADH12">#REF!</definedName>
    <definedName name="______________ADM12">#REF!</definedName>
    <definedName name="______________ADM4">#REF!</definedName>
    <definedName name="______________AFC1">[1]INV!$A$25:$D$28</definedName>
    <definedName name="______________AFC3">[1]INV!$F$25:$I$28</definedName>
    <definedName name="______________AFC5">[1]INV!$K$25:$N$28</definedName>
    <definedName name="______________AIU1" localSheetId="3">#REF!</definedName>
    <definedName name="______________AIU1" localSheetId="30">#REF!</definedName>
    <definedName name="______________AIU1" localSheetId="31">#REF!</definedName>
    <definedName name="______________AIU1" localSheetId="29">#REF!</definedName>
    <definedName name="______________AIU1">#REF!</definedName>
    <definedName name="______________AIU2">#REF!</definedName>
    <definedName name="______________AIU3">#REF!</definedName>
    <definedName name="______________BAZ10">#REF!</definedName>
    <definedName name="______________BGC1">[1]INV!$A$5:$D$8</definedName>
    <definedName name="______________BGC3">[1]INV!$F$5:$I$8</definedName>
    <definedName name="______________BGC5">[1]INV!$K$5:$N$8</definedName>
    <definedName name="______________BLO20">#REF!</definedName>
    <definedName name="______________CAC1">[1]INV!$A$19:$D$22</definedName>
    <definedName name="______________CAC3">[1]INV!$F$19:$I$22</definedName>
    <definedName name="______________CAC5">[1]INV!$K$19:$N$22</definedName>
    <definedName name="______________CAN28">#REF!</definedName>
    <definedName name="______________Cod1" localSheetId="3">#REF!</definedName>
    <definedName name="______________Cod1" localSheetId="30">#REF!</definedName>
    <definedName name="______________Cod1" localSheetId="31">#REF!</definedName>
    <definedName name="______________Cod1" localSheetId="29">#REF!</definedName>
    <definedName name="______________Cod1">#REF!</definedName>
    <definedName name="______________CUA44">#REF!</definedName>
    <definedName name="______________i1">#REF!</definedName>
    <definedName name="______________LA124">#REF!</definedName>
    <definedName name="______________LAC18">#REF!</definedName>
    <definedName name="______________MA2">#REF!</definedName>
    <definedName name="______________Po2" localSheetId="3">#REF!</definedName>
    <definedName name="______________Po2">#REF!</definedName>
    <definedName name="______________R84JH">#REF!</definedName>
    <definedName name="______________REP43">#REF!</definedName>
    <definedName name="______________SBC1">[1]INV!$A$12:$D$15</definedName>
    <definedName name="______________SBC3">[1]INV!$F$12:$I$15</definedName>
    <definedName name="______________SBC5">[1]INV!$K$12:$N$15</definedName>
    <definedName name="______________TEP44">#REF!</definedName>
    <definedName name="______________TPE1132" localSheetId="3">#REF!</definedName>
    <definedName name="______________TPE1132">#REF!</definedName>
    <definedName name="______________TPE12" localSheetId="3">#REF!</definedName>
    <definedName name="______________TPE12" localSheetId="30">#REF!</definedName>
    <definedName name="______________TPE12" localSheetId="31">#REF!</definedName>
    <definedName name="______________TPE12" localSheetId="29">#REF!</definedName>
    <definedName name="______________TPE12">#REF!</definedName>
    <definedName name="______________TPE1331" localSheetId="3">#REF!</definedName>
    <definedName name="______________TPE1331">#REF!</definedName>
    <definedName name="______________TPE1702" localSheetId="3">#REF!</definedName>
    <definedName name="______________TPE1702">#REF!</definedName>
    <definedName name="______________TPE1703" localSheetId="3">#REF!</definedName>
    <definedName name="______________TPE1703">#REF!</definedName>
    <definedName name="______________TPE1704" localSheetId="3">#REF!</definedName>
    <definedName name="______________TPE1704">#REF!</definedName>
    <definedName name="______________TPE1706" localSheetId="3">#REF!</definedName>
    <definedName name="______________TPE1706">#REF!</definedName>
    <definedName name="______________TPE1708">#REF!</definedName>
    <definedName name="______________TPE1710">#REF!</definedName>
    <definedName name="______________TPE1735">#REF!</definedName>
    <definedName name="______________TPE1763">#REF!</definedName>
    <definedName name="______________TPE1790">#REF!</definedName>
    <definedName name="______________TPF12">#REF!</definedName>
    <definedName name="______________TUZ22" localSheetId="3">#REF!</definedName>
    <definedName name="______________TUZ22">#REF!</definedName>
    <definedName name="______________TUZ36" localSheetId="3">#REF!</definedName>
    <definedName name="______________TUZ36">#REF!</definedName>
    <definedName name="______________TZ2110">#REF!</definedName>
    <definedName name="______________TZ214">#REF!</definedName>
    <definedName name="______________TZ216">#REF!</definedName>
    <definedName name="______________TZ268">#REF!</definedName>
    <definedName name="______________TZ323" localSheetId="3">#REF!</definedName>
    <definedName name="______________TZ323">#REF!</definedName>
    <definedName name="______________TZ324" localSheetId="3">#REF!</definedName>
    <definedName name="______________TZ324">#REF!</definedName>
    <definedName name="______________TZ32510">#REF!</definedName>
    <definedName name="_____________ADH12">#REF!</definedName>
    <definedName name="_____________ADM12">#REF!</definedName>
    <definedName name="_____________ADM4">#REF!</definedName>
    <definedName name="_____________AFC1">[1]INV!$A$25:$D$28</definedName>
    <definedName name="_____________AFC3">[1]INV!$F$25:$I$28</definedName>
    <definedName name="_____________AFC5">[1]INV!$K$25:$N$28</definedName>
    <definedName name="_____________AIU1" localSheetId="3">#REF!</definedName>
    <definedName name="_____________AIU1" localSheetId="30">#REF!</definedName>
    <definedName name="_____________AIU1" localSheetId="31">#REF!</definedName>
    <definedName name="_____________AIU1" localSheetId="29">#REF!</definedName>
    <definedName name="_____________AIU1">#REF!</definedName>
    <definedName name="_____________AIU2">#REF!</definedName>
    <definedName name="_____________AIU3">#REF!</definedName>
    <definedName name="_____________BAZ10">#REF!</definedName>
    <definedName name="_____________BGC1">[1]INV!$A$5:$D$8</definedName>
    <definedName name="_____________BGC3">[1]INV!$F$5:$I$8</definedName>
    <definedName name="_____________BGC5">[1]INV!$K$5:$N$8</definedName>
    <definedName name="_____________BLO20">#REF!</definedName>
    <definedName name="_____________CAC1">[1]INV!$A$19:$D$22</definedName>
    <definedName name="_____________CAC3">[1]INV!$F$19:$I$22</definedName>
    <definedName name="_____________CAC5">[1]INV!$K$19:$N$22</definedName>
    <definedName name="_____________CAN28">#REF!</definedName>
    <definedName name="_____________Cod1" localSheetId="3">#REF!</definedName>
    <definedName name="_____________Cod1" localSheetId="30">#REF!</definedName>
    <definedName name="_____________Cod1" localSheetId="31">#REF!</definedName>
    <definedName name="_____________Cod1" localSheetId="29">#REF!</definedName>
    <definedName name="_____________Cod1">#REF!</definedName>
    <definedName name="_____________CUA44">#REF!</definedName>
    <definedName name="_____________i1">#REF!</definedName>
    <definedName name="_____________LA124">#REF!</definedName>
    <definedName name="_____________LAC18">#REF!</definedName>
    <definedName name="_____________MA2">#REF!</definedName>
    <definedName name="_____________Po2" localSheetId="3">#REF!</definedName>
    <definedName name="_____________Po2">#REF!</definedName>
    <definedName name="_____________R32JH" localSheetId="3">#REF!</definedName>
    <definedName name="_____________R32JH">#REF!</definedName>
    <definedName name="_____________R64JH" localSheetId="3">#REF!</definedName>
    <definedName name="_____________R64JH">#REF!</definedName>
    <definedName name="_____________R84JH">#REF!</definedName>
    <definedName name="_____________REP43">#REF!</definedName>
    <definedName name="_____________SBC1">[1]INV!$A$12:$D$15</definedName>
    <definedName name="_____________SBC3">[1]INV!$F$12:$I$15</definedName>
    <definedName name="_____________SBC5">[1]INV!$K$12:$N$15</definedName>
    <definedName name="_____________TEP44">#REF!</definedName>
    <definedName name="_____________THF12" localSheetId="3">#REF!</definedName>
    <definedName name="_____________THF12">#REF!</definedName>
    <definedName name="_____________TPE1132" localSheetId="3">#REF!</definedName>
    <definedName name="_____________TPE1132">#REF!</definedName>
    <definedName name="_____________TPE12" localSheetId="3">#REF!</definedName>
    <definedName name="_____________TPE12" localSheetId="30">#REF!</definedName>
    <definedName name="_____________TPE12" localSheetId="31">#REF!</definedName>
    <definedName name="_____________TPE12" localSheetId="29">#REF!</definedName>
    <definedName name="_____________TPE12">#REF!</definedName>
    <definedName name="_____________TPE1331" localSheetId="3">#REF!</definedName>
    <definedName name="_____________TPE1331">#REF!</definedName>
    <definedName name="_____________TPE1702" localSheetId="3">#REF!</definedName>
    <definedName name="_____________TPE1702">#REF!</definedName>
    <definedName name="_____________TPE1703" localSheetId="3">#REF!</definedName>
    <definedName name="_____________TPE1703">#REF!</definedName>
    <definedName name="_____________TPE1704" localSheetId="3">#REF!</definedName>
    <definedName name="_____________TPE1704">#REF!</definedName>
    <definedName name="_____________TPE1706">#REF!</definedName>
    <definedName name="_____________TPE1708">#REF!</definedName>
    <definedName name="_____________TPE1710">#REF!</definedName>
    <definedName name="_____________TPE1735">#REF!</definedName>
    <definedName name="_____________TPE1763">#REF!</definedName>
    <definedName name="_____________TPE1790">#REF!</definedName>
    <definedName name="_____________TPF12">#REF!</definedName>
    <definedName name="_____________TUZ22" localSheetId="3">#REF!</definedName>
    <definedName name="_____________TUZ22">#REF!</definedName>
    <definedName name="_____________TUZ36" localSheetId="3">#REF!</definedName>
    <definedName name="_____________TUZ36">#REF!</definedName>
    <definedName name="_____________TZ2110">#REF!</definedName>
    <definedName name="_____________TZ214">#REF!</definedName>
    <definedName name="_____________TZ216">#REF!</definedName>
    <definedName name="_____________TZ268">#REF!</definedName>
    <definedName name="_____________TZ323" localSheetId="3">#REF!</definedName>
    <definedName name="_____________TZ323">#REF!</definedName>
    <definedName name="_____________TZ324" localSheetId="3">#REF!</definedName>
    <definedName name="_____________TZ324">#REF!</definedName>
    <definedName name="_____________TZ32510">#REF!</definedName>
    <definedName name="____________ADH12">#REF!</definedName>
    <definedName name="____________ADM12">#REF!</definedName>
    <definedName name="____________ADM4">#REF!</definedName>
    <definedName name="____________AFC1">[1]INV!$A$25:$D$28</definedName>
    <definedName name="____________AFC3">[1]INV!$F$25:$I$28</definedName>
    <definedName name="____________AFC5">[1]INV!$K$25:$N$28</definedName>
    <definedName name="____________AIU1" localSheetId="3">#REF!</definedName>
    <definedName name="____________AIU1" localSheetId="30">#REF!</definedName>
    <definedName name="____________AIU1" localSheetId="31">#REF!</definedName>
    <definedName name="____________AIU1" localSheetId="29">#REF!</definedName>
    <definedName name="____________AIU1">#REF!</definedName>
    <definedName name="____________AIU2">#REF!</definedName>
    <definedName name="____________AIU3">#REF!</definedName>
    <definedName name="____________BAZ10">#REF!</definedName>
    <definedName name="____________BGC1">[1]INV!$A$5:$D$8</definedName>
    <definedName name="____________BGC3">[1]INV!$F$5:$I$8</definedName>
    <definedName name="____________BGC5">[1]INV!$K$5:$N$8</definedName>
    <definedName name="____________BLO20">#REF!</definedName>
    <definedName name="____________C2254JH" localSheetId="3">#REF!</definedName>
    <definedName name="____________C2254JH">#REF!</definedName>
    <definedName name="____________C908J" localSheetId="3">#REF!</definedName>
    <definedName name="____________C908J">#REF!</definedName>
    <definedName name="____________CAC1">[1]INV!$A$19:$D$22</definedName>
    <definedName name="____________CAC3">[1]INV!$F$19:$I$22</definedName>
    <definedName name="____________CAC5">[1]INV!$K$19:$N$22</definedName>
    <definedName name="____________CAN28">#REF!</definedName>
    <definedName name="____________Cod1" localSheetId="3">#REF!</definedName>
    <definedName name="____________Cod1" localSheetId="30">#REF!</definedName>
    <definedName name="____________Cod1" localSheetId="31">#REF!</definedName>
    <definedName name="____________Cod1" localSheetId="29">#REF!</definedName>
    <definedName name="____________Cod1">#REF!</definedName>
    <definedName name="____________CUA44">#REF!</definedName>
    <definedName name="____________i1">#REF!</definedName>
    <definedName name="____________LA124">#REF!</definedName>
    <definedName name="____________LAC18">#REF!</definedName>
    <definedName name="____________MA2">#REF!</definedName>
    <definedName name="____________Pa1">#REF!</definedName>
    <definedName name="____________Pa2">#REF!</definedName>
    <definedName name="____________Pa3">#REF!</definedName>
    <definedName name="____________Pa4">#REF!</definedName>
    <definedName name="____________Po2" localSheetId="3">#REF!</definedName>
    <definedName name="____________Po2">#REF!</definedName>
    <definedName name="____________R84JH">#REF!</definedName>
    <definedName name="____________REP43">#REF!</definedName>
    <definedName name="____________SBC1">[1]INV!$A$12:$D$15</definedName>
    <definedName name="____________SBC3">[1]INV!$F$12:$I$15</definedName>
    <definedName name="____________SBC5">[1]INV!$K$12:$N$15</definedName>
    <definedName name="____________TEP44">#REF!</definedName>
    <definedName name="____________TPE1132" localSheetId="3">#REF!</definedName>
    <definedName name="____________TPE1132">#REF!</definedName>
    <definedName name="____________TPE12" localSheetId="3">#REF!</definedName>
    <definedName name="____________TPE12" localSheetId="30">#REF!</definedName>
    <definedName name="____________TPE12" localSheetId="31">#REF!</definedName>
    <definedName name="____________TPE12" localSheetId="29">#REF!</definedName>
    <definedName name="____________TPE12">#REF!</definedName>
    <definedName name="____________TPE1331" localSheetId="3">#REF!</definedName>
    <definedName name="____________TPE1331">#REF!</definedName>
    <definedName name="____________TPE1702" localSheetId="3">#REF!</definedName>
    <definedName name="____________TPE1702">#REF!</definedName>
    <definedName name="____________TPE1703" localSheetId="3">#REF!</definedName>
    <definedName name="____________TPE1703">#REF!</definedName>
    <definedName name="____________TPE1704" localSheetId="3">#REF!</definedName>
    <definedName name="____________TPE1704">#REF!</definedName>
    <definedName name="____________TPE1706" localSheetId="3">#REF!</definedName>
    <definedName name="____________TPE1706">#REF!</definedName>
    <definedName name="____________TPE1708">#REF!</definedName>
    <definedName name="____________TPE1710">#REF!</definedName>
    <definedName name="____________TPE1735">#REF!</definedName>
    <definedName name="____________TPE1763">#REF!</definedName>
    <definedName name="____________TPE1790">#REF!</definedName>
    <definedName name="____________TPF12">#REF!</definedName>
    <definedName name="____________TUZ22" localSheetId="3">#REF!</definedName>
    <definedName name="____________TUZ22">#REF!</definedName>
    <definedName name="____________TUZ36" localSheetId="3">#REF!</definedName>
    <definedName name="____________TUZ36">#REF!</definedName>
    <definedName name="____________TZ2110">#REF!</definedName>
    <definedName name="____________TZ214">#REF!</definedName>
    <definedName name="____________TZ216">#REF!</definedName>
    <definedName name="____________TZ268">#REF!</definedName>
    <definedName name="____________TZ323" localSheetId="3">#REF!</definedName>
    <definedName name="____________TZ323">#REF!</definedName>
    <definedName name="____________TZ324" localSheetId="3">#REF!</definedName>
    <definedName name="____________TZ324">#REF!</definedName>
    <definedName name="____________TZ32510">#REF!</definedName>
    <definedName name="___________ADH12">#REF!</definedName>
    <definedName name="___________ADM12">#REF!</definedName>
    <definedName name="___________ADM4">#REF!</definedName>
    <definedName name="___________AFC1">[1]INV!$A$25:$D$28</definedName>
    <definedName name="___________AFC3">[1]INV!$F$25:$I$28</definedName>
    <definedName name="___________AFC5">[1]INV!$K$25:$N$28</definedName>
    <definedName name="___________AIU1" localSheetId="3">#REF!</definedName>
    <definedName name="___________AIU1" localSheetId="30">#REF!</definedName>
    <definedName name="___________AIU1" localSheetId="31">#REF!</definedName>
    <definedName name="___________AIU1" localSheetId="29">#REF!</definedName>
    <definedName name="___________AIU1">#REF!</definedName>
    <definedName name="___________AIU2">#REF!</definedName>
    <definedName name="___________AIU3">#REF!</definedName>
    <definedName name="___________BAZ10">#REF!</definedName>
    <definedName name="___________BGC1">[1]INV!$A$5:$D$8</definedName>
    <definedName name="___________BGC3">[1]INV!$F$5:$I$8</definedName>
    <definedName name="___________BGC5">[1]INV!$K$5:$N$8</definedName>
    <definedName name="___________BLO20">#REF!</definedName>
    <definedName name="___________CAC1">[1]INV!$A$19:$D$22</definedName>
    <definedName name="___________CAC3">[1]INV!$F$19:$I$22</definedName>
    <definedName name="___________CAC5">[1]INV!$K$19:$N$22</definedName>
    <definedName name="___________CAN28">#REF!</definedName>
    <definedName name="___________Cod1" localSheetId="3">#REF!</definedName>
    <definedName name="___________Cod1" localSheetId="30">#REF!</definedName>
    <definedName name="___________Cod1" localSheetId="31">#REF!</definedName>
    <definedName name="___________Cod1" localSheetId="29">#REF!</definedName>
    <definedName name="___________Cod1">#REF!</definedName>
    <definedName name="___________CUA44">#REF!</definedName>
    <definedName name="___________i1">#REF!</definedName>
    <definedName name="___________LA124">#REF!</definedName>
    <definedName name="___________LAC18">#REF!</definedName>
    <definedName name="___________MA2">#REF!</definedName>
    <definedName name="___________Pa1">#REF!</definedName>
    <definedName name="___________Pa2">#REF!</definedName>
    <definedName name="___________Pa3">#REF!</definedName>
    <definedName name="___________Pa4">#REF!</definedName>
    <definedName name="___________PJ50">#REF!</definedName>
    <definedName name="___________Po2" localSheetId="3">#REF!</definedName>
    <definedName name="___________Po2">#REF!</definedName>
    <definedName name="___________R32JH" localSheetId="3">#REF!</definedName>
    <definedName name="___________R32JH">#REF!</definedName>
    <definedName name="___________R64JH" localSheetId="3">#REF!</definedName>
    <definedName name="___________R64JH">#REF!</definedName>
    <definedName name="___________R84JH">#REF!</definedName>
    <definedName name="___________REP43">#REF!</definedName>
    <definedName name="___________SBC1">[1]INV!$A$12:$D$15</definedName>
    <definedName name="___________SBC3">[1]INV!$F$12:$I$15</definedName>
    <definedName name="___________SBC5">[1]INV!$K$12:$N$15</definedName>
    <definedName name="___________ST166">#REF!</definedName>
    <definedName name="___________TEP44">#REF!</definedName>
    <definedName name="___________THF12" localSheetId="3">#REF!</definedName>
    <definedName name="___________THF12">#REF!</definedName>
    <definedName name="___________TPE1132" localSheetId="3">#REF!</definedName>
    <definedName name="___________TPE1132">#REF!</definedName>
    <definedName name="___________TPE12" localSheetId="3">#REF!</definedName>
    <definedName name="___________TPE12" localSheetId="30">#REF!</definedName>
    <definedName name="___________TPE12" localSheetId="31">#REF!</definedName>
    <definedName name="___________TPE12" localSheetId="29">#REF!</definedName>
    <definedName name="___________TPE12">#REF!</definedName>
    <definedName name="___________TPE1331" localSheetId="3">#REF!</definedName>
    <definedName name="___________TPE1331">#REF!</definedName>
    <definedName name="___________TPE1702" localSheetId="3">#REF!</definedName>
    <definedName name="___________TPE1702">#REF!</definedName>
    <definedName name="___________TPE1703" localSheetId="3">#REF!</definedName>
    <definedName name="___________TPE1703">#REF!</definedName>
    <definedName name="___________TPE1704" localSheetId="3">#REF!</definedName>
    <definedName name="___________TPE1704">#REF!</definedName>
    <definedName name="___________TPE1706">#REF!</definedName>
    <definedName name="___________TPE1708">#REF!</definedName>
    <definedName name="___________TPE1710">#REF!</definedName>
    <definedName name="___________TPE1735">#REF!</definedName>
    <definedName name="___________TPE1763">#REF!</definedName>
    <definedName name="___________TPE1790">#REF!</definedName>
    <definedName name="___________TPE8016">#REF!</definedName>
    <definedName name="___________TPE8020">#REF!</definedName>
    <definedName name="___________TPE8025">#REF!</definedName>
    <definedName name="___________TPF12">#REF!</definedName>
    <definedName name="___________TPN1002">#REF!</definedName>
    <definedName name="___________TPN1003">#REF!</definedName>
    <definedName name="___________TPN1004">#REF!</definedName>
    <definedName name="___________TPN1006">#REF!</definedName>
    <definedName name="___________TPN1008">#REF!</definedName>
    <definedName name="___________TPN1202">#REF!</definedName>
    <definedName name="___________TPN1203">#REF!</definedName>
    <definedName name="___________TPN1204">#REF!</definedName>
    <definedName name="___________TPN1206">#REF!</definedName>
    <definedName name="___________TPN1208">#REF!</definedName>
    <definedName name="___________TPN16012">#REF!</definedName>
    <definedName name="___________TPN1602">#REF!</definedName>
    <definedName name="___________TPN1603">#REF!</definedName>
    <definedName name="___________TPN1604">#REF!</definedName>
    <definedName name="___________TPN1606">#REF!</definedName>
    <definedName name="___________TPN1608">#REF!</definedName>
    <definedName name="___________TUZ22" localSheetId="3">#REF!</definedName>
    <definedName name="___________TUZ22">#REF!</definedName>
    <definedName name="___________TUZ36" localSheetId="3">#REF!</definedName>
    <definedName name="___________TUZ36">#REF!</definedName>
    <definedName name="___________TZ2110">#REF!</definedName>
    <definedName name="___________TZ214">#REF!</definedName>
    <definedName name="___________TZ216">#REF!</definedName>
    <definedName name="___________TZ268">#REF!</definedName>
    <definedName name="___________TZ323" localSheetId="3">#REF!</definedName>
    <definedName name="___________TZ323">#REF!</definedName>
    <definedName name="___________TZ324" localSheetId="3">#REF!</definedName>
    <definedName name="___________TZ324">#REF!</definedName>
    <definedName name="___________TZ32510">#REF!</definedName>
    <definedName name="__________ADH12">#REF!</definedName>
    <definedName name="__________ADM12">#REF!</definedName>
    <definedName name="__________ADM4">#REF!</definedName>
    <definedName name="__________AFC1">[1]INV!$A$25:$D$28</definedName>
    <definedName name="__________AFC3">[1]INV!$F$25:$I$28</definedName>
    <definedName name="__________AFC5">[1]INV!$K$25:$N$28</definedName>
    <definedName name="__________AIU1" localSheetId="3">#REF!</definedName>
    <definedName name="__________AIU1" localSheetId="30">#REF!</definedName>
    <definedName name="__________AIU1" localSheetId="31">#REF!</definedName>
    <definedName name="__________AIU1" localSheetId="29">#REF!</definedName>
    <definedName name="__________AIU1">#REF!</definedName>
    <definedName name="__________AIU2">#REF!</definedName>
    <definedName name="__________AIU3">#REF!</definedName>
    <definedName name="__________APU221">#REF!</definedName>
    <definedName name="__________APU465" localSheetId="14">[2]!absc</definedName>
    <definedName name="__________APU465" localSheetId="17">[2]!absc</definedName>
    <definedName name="__________APU465" localSheetId="2">[2]!absc</definedName>
    <definedName name="__________APU465" localSheetId="20">[2]!absc</definedName>
    <definedName name="__________APU465" localSheetId="21">[2]!absc</definedName>
    <definedName name="__________APU465" localSheetId="15">[2]!absc</definedName>
    <definedName name="__________APU465">[2]!absc</definedName>
    <definedName name="__________BAZ10">#REF!</definedName>
    <definedName name="__________BGC1">[1]INV!$A$5:$D$8</definedName>
    <definedName name="__________BGC3">[1]INV!$F$5:$I$8</definedName>
    <definedName name="__________BGC5">[1]INV!$K$5:$N$8</definedName>
    <definedName name="__________BLO20">#REF!</definedName>
    <definedName name="__________C2254JH" localSheetId="3">#REF!</definedName>
    <definedName name="__________C2254JH">#REF!</definedName>
    <definedName name="__________C908J" localSheetId="3">#REF!</definedName>
    <definedName name="__________C908J">#REF!</definedName>
    <definedName name="__________CAC1">[1]INV!$A$19:$D$22</definedName>
    <definedName name="__________CAC3">[1]INV!$F$19:$I$22</definedName>
    <definedName name="__________CAC5">[1]INV!$K$19:$N$22</definedName>
    <definedName name="__________CAN28">#REF!</definedName>
    <definedName name="__________Cod1" localSheetId="3">#REF!</definedName>
    <definedName name="__________Cod1" localSheetId="30">#REF!</definedName>
    <definedName name="__________Cod1" localSheetId="31">#REF!</definedName>
    <definedName name="__________Cod1" localSheetId="29">#REF!</definedName>
    <definedName name="__________Cod1">#REF!</definedName>
    <definedName name="__________CUA44">#REF!</definedName>
    <definedName name="__________i1">#REF!</definedName>
    <definedName name="__________LA124">#REF!</definedName>
    <definedName name="__________LAC18">#REF!</definedName>
    <definedName name="__________MA2">#REF!</definedName>
    <definedName name="__________Pa1">#REF!</definedName>
    <definedName name="__________Pa2">#REF!</definedName>
    <definedName name="__________Pa3">#REF!</definedName>
    <definedName name="__________Pa4">#REF!</definedName>
    <definedName name="__________PJ50">#REF!</definedName>
    <definedName name="__________pj51">#REF!</definedName>
    <definedName name="__________Po2" localSheetId="3">#REF!</definedName>
    <definedName name="__________Po2">#REF!</definedName>
    <definedName name="__________r">#REF!</definedName>
    <definedName name="__________R32JH" localSheetId="3">#REF!</definedName>
    <definedName name="__________R32JH">#REF!</definedName>
    <definedName name="__________R64JH" localSheetId="3">#REF!</definedName>
    <definedName name="__________R64JH">#REF!</definedName>
    <definedName name="__________R84JH">#REF!</definedName>
    <definedName name="__________REP43">#REF!</definedName>
    <definedName name="__________SBC1">[1]INV!$A$12:$D$15</definedName>
    <definedName name="__________SBC3">[1]INV!$F$12:$I$15</definedName>
    <definedName name="__________SBC5">[1]INV!$K$12:$N$15</definedName>
    <definedName name="__________ST166">#REF!</definedName>
    <definedName name="__________SY106">#REF!</definedName>
    <definedName name="__________SY86">#REF!</definedName>
    <definedName name="__________TEP44">#REF!</definedName>
    <definedName name="__________THF12" localSheetId="3">#REF!</definedName>
    <definedName name="__________THF12">#REF!</definedName>
    <definedName name="__________TPE1132" localSheetId="3">#REF!</definedName>
    <definedName name="__________TPE1132">#REF!</definedName>
    <definedName name="__________TPE12" localSheetId="3">#REF!</definedName>
    <definedName name="__________TPE12" localSheetId="30">#REF!</definedName>
    <definedName name="__________TPE12" localSheetId="31">#REF!</definedName>
    <definedName name="__________TPE12" localSheetId="29">#REF!</definedName>
    <definedName name="__________TPE12">#REF!</definedName>
    <definedName name="__________TPE1331" localSheetId="3">#REF!</definedName>
    <definedName name="__________TPE1331">#REF!</definedName>
    <definedName name="__________TPE1702" localSheetId="3">#REF!</definedName>
    <definedName name="__________TPE1702">#REF!</definedName>
    <definedName name="__________TPE1703" localSheetId="3">#REF!</definedName>
    <definedName name="__________TPE1703">#REF!</definedName>
    <definedName name="__________TPE1704" localSheetId="3">#REF!</definedName>
    <definedName name="__________TPE1704">#REF!</definedName>
    <definedName name="__________TPE1706">#REF!</definedName>
    <definedName name="__________TPE1708">#REF!</definedName>
    <definedName name="__________TPE1710">#REF!</definedName>
    <definedName name="__________TPE1735">#REF!</definedName>
    <definedName name="__________TPE1763">#REF!</definedName>
    <definedName name="__________TPE1790">#REF!</definedName>
    <definedName name="__________TPE8016">#REF!</definedName>
    <definedName name="__________TPE8020">#REF!</definedName>
    <definedName name="__________TPE8025">#REF!</definedName>
    <definedName name="__________TPF12">#REF!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 localSheetId="3">#REF!</definedName>
    <definedName name="__________TUZ22">#REF!</definedName>
    <definedName name="__________TUZ36" localSheetId="3">#REF!</definedName>
    <definedName name="__________TUZ36">#REF!</definedName>
    <definedName name="__________TZ2110">#REF!</definedName>
    <definedName name="__________TZ214">#REF!</definedName>
    <definedName name="__________TZ216">#REF!</definedName>
    <definedName name="__________TZ268">#REF!</definedName>
    <definedName name="__________TZ323" localSheetId="3">#REF!</definedName>
    <definedName name="__________TZ323">#REF!</definedName>
    <definedName name="__________TZ324" localSheetId="3">#REF!</definedName>
    <definedName name="__________TZ324">#REF!</definedName>
    <definedName name="__________TZ32510">#REF!</definedName>
    <definedName name="_________ADH12">#REF!</definedName>
    <definedName name="_________ADM12">#REF!</definedName>
    <definedName name="_________ADM4">#REF!</definedName>
    <definedName name="_________AFC1">[1]INV!$A$25:$D$28</definedName>
    <definedName name="_________AFC3">[1]INV!$F$25:$I$28</definedName>
    <definedName name="_________AFC5">[1]INV!$K$25:$N$28</definedName>
    <definedName name="_________AIU1" localSheetId="3">#REF!</definedName>
    <definedName name="_________AIU1" localSheetId="30">#REF!</definedName>
    <definedName name="_________AIU1" localSheetId="31">#REF!</definedName>
    <definedName name="_________AIU1" localSheetId="29">#REF!</definedName>
    <definedName name="_________AIU1">#REF!</definedName>
    <definedName name="_________AIU2">#REF!</definedName>
    <definedName name="_________AIU3">#REF!</definedName>
    <definedName name="_________APU221">#REF!</definedName>
    <definedName name="_________APU465" localSheetId="14">[2]!absc</definedName>
    <definedName name="_________APU465" localSheetId="17">[2]!absc</definedName>
    <definedName name="_________APU465" localSheetId="2">[2]!absc</definedName>
    <definedName name="_________APU465" localSheetId="20">[2]!absc</definedName>
    <definedName name="_________APU465" localSheetId="21">[2]!absc</definedName>
    <definedName name="_________APU465" localSheetId="15">[2]!absc</definedName>
    <definedName name="_________APU465">[2]!absc</definedName>
    <definedName name="_________BAZ10">#REF!</definedName>
    <definedName name="_________BGC1">[1]INV!$A$5:$D$8</definedName>
    <definedName name="_________BGC3">[1]INV!$F$5:$I$8</definedName>
    <definedName name="_________BGC5">[1]INV!$K$5:$N$8</definedName>
    <definedName name="_________BLO20">#REF!</definedName>
    <definedName name="_________C2254JH" localSheetId="3">#REF!</definedName>
    <definedName name="_________C2254JH">#REF!</definedName>
    <definedName name="_________C908J" localSheetId="3">#REF!</definedName>
    <definedName name="_________C908J">#REF!</definedName>
    <definedName name="_________CAC1">[1]INV!$A$19:$D$22</definedName>
    <definedName name="_________CAC3">[1]INV!$F$19:$I$22</definedName>
    <definedName name="_________CAC5">[1]INV!$K$19:$N$22</definedName>
    <definedName name="_________CAN28">#REF!</definedName>
    <definedName name="_________Cod1" localSheetId="3">#REF!</definedName>
    <definedName name="_________Cod1" localSheetId="30">#REF!</definedName>
    <definedName name="_________Cod1" localSheetId="31">#REF!</definedName>
    <definedName name="_________Cod1" localSheetId="29">#REF!</definedName>
    <definedName name="_________Cod1">#REF!</definedName>
    <definedName name="_________CUA44">#REF!</definedName>
    <definedName name="_________EST6">#REF!</definedName>
    <definedName name="_________i1">#REF!</definedName>
    <definedName name="_________key2" hidden="1">[3]INST!#REF!</definedName>
    <definedName name="_________LA124">#REF!</definedName>
    <definedName name="_________LAC18">#REF!</definedName>
    <definedName name="_________MA2">#REF!</definedName>
    <definedName name="_________Pa1">#REF!</definedName>
    <definedName name="_________Pa2">#REF!</definedName>
    <definedName name="_________Pa3">#REF!</definedName>
    <definedName name="_________Pa4">#REF!</definedName>
    <definedName name="_________PJ50">#REF!</definedName>
    <definedName name="_________pj51">#REF!</definedName>
    <definedName name="_________Po2" localSheetId="3">#REF!</definedName>
    <definedName name="_________Po2">#REF!</definedName>
    <definedName name="_________r" localSheetId="3">#REF!</definedName>
    <definedName name="_________r">#REF!</definedName>
    <definedName name="_________R32JH" localSheetId="3">#REF!</definedName>
    <definedName name="_________R32JH">#REF!</definedName>
    <definedName name="_________R64JH">#REF!</definedName>
    <definedName name="_________R84JH">#REF!</definedName>
    <definedName name="_________REP43">#REF!</definedName>
    <definedName name="_________SBC1">[1]INV!$A$12:$D$15</definedName>
    <definedName name="_________SBC3">[1]INV!$F$12:$I$15</definedName>
    <definedName name="_________SBC5">[1]INV!$K$12:$N$15</definedName>
    <definedName name="_________ST166">#REF!</definedName>
    <definedName name="_________TEP44">#REF!</definedName>
    <definedName name="_________THF12" localSheetId="3">#REF!</definedName>
    <definedName name="_________THF12">#REF!</definedName>
    <definedName name="_________TPE1132" localSheetId="3">#REF!</definedName>
    <definedName name="_________TPE1132">#REF!</definedName>
    <definedName name="_________TPE12" localSheetId="3">#REF!</definedName>
    <definedName name="_________TPE12" localSheetId="30">#REF!</definedName>
    <definedName name="_________TPE12" localSheetId="31">#REF!</definedName>
    <definedName name="_________TPE12" localSheetId="29">#REF!</definedName>
    <definedName name="_________TPE12">#REF!</definedName>
    <definedName name="_________TPE1331" localSheetId="3">#REF!</definedName>
    <definedName name="_________TPE1331">#REF!</definedName>
    <definedName name="_________TPE1702" localSheetId="3">#REF!</definedName>
    <definedName name="_________TPE1702">#REF!</definedName>
    <definedName name="_________TPE1703" localSheetId="3">#REF!</definedName>
    <definedName name="_________TPE1703">#REF!</definedName>
    <definedName name="_________TPE1704" localSheetId="3">#REF!</definedName>
    <definedName name="_________TPE1704">#REF!</definedName>
    <definedName name="_________TPE1706">#REF!</definedName>
    <definedName name="_________TPE1708">#REF!</definedName>
    <definedName name="_________TPE1710">#REF!</definedName>
    <definedName name="_________TPE1735">#REF!</definedName>
    <definedName name="_________TPE1763">#REF!</definedName>
    <definedName name="_________TPE1790">#REF!</definedName>
    <definedName name="_________TPE8016">#REF!</definedName>
    <definedName name="_________TPE8020">#REF!</definedName>
    <definedName name="_________TPE8025">#REF!</definedName>
    <definedName name="_________TPF12">#REF!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 localSheetId="3">#REF!</definedName>
    <definedName name="_________TUZ22">#REF!</definedName>
    <definedName name="_________TUZ36" localSheetId="3">#REF!</definedName>
    <definedName name="_________TUZ36">#REF!</definedName>
    <definedName name="_________TZ2110">#REF!</definedName>
    <definedName name="_________TZ214">#REF!</definedName>
    <definedName name="_________TZ216">#REF!</definedName>
    <definedName name="_________TZ268">#REF!</definedName>
    <definedName name="_________TZ323" localSheetId="3">#REF!</definedName>
    <definedName name="_________TZ323">#REF!</definedName>
    <definedName name="_________TZ324" localSheetId="3">#REF!</definedName>
    <definedName name="_________TZ324">#REF!</definedName>
    <definedName name="_________TZ32510">#REF!</definedName>
    <definedName name="________ADH12">#REF!</definedName>
    <definedName name="________ADM12">#REF!</definedName>
    <definedName name="________ADM4">#REF!</definedName>
    <definedName name="________AFC1">[1]INV!$A$25:$D$28</definedName>
    <definedName name="________AFC3">[1]INV!$F$25:$I$28</definedName>
    <definedName name="________AFC5">[1]INV!$K$25:$N$28</definedName>
    <definedName name="________AIU1" localSheetId="3">#REF!</definedName>
    <definedName name="________AIU1" localSheetId="30">#REF!</definedName>
    <definedName name="________AIU1" localSheetId="31">#REF!</definedName>
    <definedName name="________AIU1" localSheetId="29">#REF!</definedName>
    <definedName name="________AIU1">#REF!</definedName>
    <definedName name="________AIU2">#REF!</definedName>
    <definedName name="________AIU3">#REF!</definedName>
    <definedName name="________APU221">#REF!</definedName>
    <definedName name="________APU465" localSheetId="14">[2]!absc</definedName>
    <definedName name="________APU465" localSheetId="17">[2]!absc</definedName>
    <definedName name="________APU465" localSheetId="2">[2]!absc</definedName>
    <definedName name="________APU465" localSheetId="20">[2]!absc</definedName>
    <definedName name="________APU465" localSheetId="21">[2]!absc</definedName>
    <definedName name="________APU465" localSheetId="15">[2]!absc</definedName>
    <definedName name="________APU465">[2]!absc</definedName>
    <definedName name="________BAZ10">#REF!</definedName>
    <definedName name="________BGC1">[1]INV!$A$5:$D$8</definedName>
    <definedName name="________BGC3">[1]INV!$F$5:$I$8</definedName>
    <definedName name="________BGC5">[1]INV!$K$5:$N$8</definedName>
    <definedName name="________BLO20">#REF!</definedName>
    <definedName name="________C2254JH" localSheetId="3">#REF!</definedName>
    <definedName name="________C2254JH">#REF!</definedName>
    <definedName name="________C908J" localSheetId="3">#REF!</definedName>
    <definedName name="________C908J">#REF!</definedName>
    <definedName name="________CAC1">[1]INV!$A$19:$D$22</definedName>
    <definedName name="________CAC3">[1]INV!$F$19:$I$22</definedName>
    <definedName name="________CAC5">[1]INV!$K$19:$N$22</definedName>
    <definedName name="________CAN28">#REF!</definedName>
    <definedName name="________Cod1" localSheetId="3">#REF!</definedName>
    <definedName name="________Cod1" localSheetId="30">#REF!</definedName>
    <definedName name="________Cod1" localSheetId="31">#REF!</definedName>
    <definedName name="________Cod1" localSheetId="29">#REF!</definedName>
    <definedName name="________Cod1">#REF!</definedName>
    <definedName name="________CUA44">#REF!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key2" hidden="1">[4]INST!#REF!</definedName>
    <definedName name="________key3" hidden="1">#REF!</definedName>
    <definedName name="________LA124">#REF!</definedName>
    <definedName name="________LAC18">#REF!</definedName>
    <definedName name="________MA2">#REF!</definedName>
    <definedName name="________Pa1">#REF!</definedName>
    <definedName name="________Pa2">#REF!</definedName>
    <definedName name="________Pa3">#REF!</definedName>
    <definedName name="________Pa4">#REF!</definedName>
    <definedName name="________PJ50">#REF!</definedName>
    <definedName name="________pj51">#REF!</definedName>
    <definedName name="________Po2" localSheetId="3">#REF!</definedName>
    <definedName name="________Po2">#REF!</definedName>
    <definedName name="________r" localSheetId="3">#REF!</definedName>
    <definedName name="________r" localSheetId="14" hidden="1">{"TAB1",#N/A,TRUE,"GENERAL";"TAB2",#N/A,TRUE,"GENERAL";"TAB3",#N/A,TRUE,"GENERAL";"TAB4",#N/A,TRUE,"GENERAL";"TAB5",#N/A,TRUE,"GENERAL"}</definedName>
    <definedName name="________r" localSheetId="16" hidden="1">{"TAB1",#N/A,TRUE,"GENERAL";"TAB2",#N/A,TRUE,"GENERAL";"TAB3",#N/A,TRUE,"GENERAL";"TAB4",#N/A,TRUE,"GENERAL";"TAB5",#N/A,TRUE,"GENERAL"}</definedName>
    <definedName name="________r" localSheetId="17" hidden="1">{"TAB1",#N/A,TRUE,"GENERAL";"TAB2",#N/A,TRUE,"GENERAL";"TAB3",#N/A,TRUE,"GENERAL";"TAB4",#N/A,TRUE,"GENERAL";"TAB5",#N/A,TRUE,"GENERAL"}</definedName>
    <definedName name="________r" localSheetId="13" hidden="1">{"TAB1",#N/A,TRUE,"GENERAL";"TAB2",#N/A,TRUE,"GENERAL";"TAB3",#N/A,TRUE,"GENERAL";"TAB4",#N/A,TRUE,"GENERAL";"TAB5",#N/A,TRUE,"GENERAL"}</definedName>
    <definedName name="________r" localSheetId="15" hidden="1">{"TAB1",#N/A,TRUE,"GENERAL";"TAB2",#N/A,TRUE,"GENERAL";"TAB3",#N/A,TRUE,"GENERAL";"TAB4",#N/A,TRUE,"GENERAL";"TAB5",#N/A,TRUE,"GENERAL"}</definedName>
    <definedName name="________r">#REF!</definedName>
    <definedName name="________R32JH" localSheetId="3">#REF!</definedName>
    <definedName name="________R32JH">#REF!</definedName>
    <definedName name="________r4r" localSheetId="14" hidden="1">{"via1",#N/A,TRUE,"general";"via2",#N/A,TRUE,"general";"via3",#N/A,TRUE,"general"}</definedName>
    <definedName name="________r4r" localSheetId="16" hidden="1">{"via1",#N/A,TRUE,"general";"via2",#N/A,TRUE,"general";"via3",#N/A,TRUE,"general"}</definedName>
    <definedName name="________r4r" localSheetId="17" hidden="1">{"via1",#N/A,TRUE,"general";"via2",#N/A,TRUE,"general";"via3",#N/A,TRUE,"general"}</definedName>
    <definedName name="________r4r" localSheetId="13" hidden="1">{"via1",#N/A,TRUE,"general";"via2",#N/A,TRUE,"general";"via3",#N/A,TRUE,"general"}</definedName>
    <definedName name="________r4r" localSheetId="15" hidden="1">{"via1",#N/A,TRUE,"general";"via2",#N/A,TRUE,"general";"via3",#N/A,TRUE,"general"}</definedName>
    <definedName name="________r4r" hidden="1">{"via1",#N/A,TRUE,"general";"via2",#N/A,TRUE,"general";"via3",#N/A,TRUE,"general"}</definedName>
    <definedName name="________R64JH">#REF!</definedName>
    <definedName name="________R84JH">#REF!</definedName>
    <definedName name="________rc">#REF!</definedName>
    <definedName name="________REP43">#REF!</definedName>
    <definedName name="________SBC1">[1]INV!$A$12:$D$15</definedName>
    <definedName name="________SBC3">[1]INV!$F$12:$I$15</definedName>
    <definedName name="________SBC5">[1]INV!$K$12:$N$15</definedName>
    <definedName name="________ST166">#REF!</definedName>
    <definedName name="________TEP44">#REF!</definedName>
    <definedName name="________THF12" localSheetId="3">#REF!</definedName>
    <definedName name="________THF12">#REF!</definedName>
    <definedName name="________TPE1132" localSheetId="3">#REF!</definedName>
    <definedName name="________TPE1132">#REF!</definedName>
    <definedName name="________TPE12" localSheetId="3">#REF!</definedName>
    <definedName name="________TPE12" localSheetId="30">#REF!</definedName>
    <definedName name="________TPE12" localSheetId="31">#REF!</definedName>
    <definedName name="________TPE12" localSheetId="29">#REF!</definedName>
    <definedName name="________TPE12">#REF!</definedName>
    <definedName name="________TPE1331" localSheetId="3">#REF!</definedName>
    <definedName name="________TPE1331">#REF!</definedName>
    <definedName name="________TPE1702" localSheetId="3">#REF!</definedName>
    <definedName name="________TPE1702">#REF!</definedName>
    <definedName name="________TPE1703" localSheetId="3">#REF!</definedName>
    <definedName name="________TPE1703">#REF!</definedName>
    <definedName name="________TPE1704" localSheetId="3">#REF!</definedName>
    <definedName name="________TPE1704">#REF!</definedName>
    <definedName name="________TPE1706">#REF!</definedName>
    <definedName name="________TPE1708">#REF!</definedName>
    <definedName name="________TPE1710">#REF!</definedName>
    <definedName name="________TPE1735">#REF!</definedName>
    <definedName name="________TPE1763">#REF!</definedName>
    <definedName name="________TPE1790">#REF!</definedName>
    <definedName name="________TPE8016">#REF!</definedName>
    <definedName name="________TPE8020">#REF!</definedName>
    <definedName name="________TPE8025">#REF!</definedName>
    <definedName name="________TPF12">#REF!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 localSheetId="3">#REF!</definedName>
    <definedName name="________TUZ22">#REF!</definedName>
    <definedName name="________TUZ36" localSheetId="3">#REF!</definedName>
    <definedName name="________TUZ36">#REF!</definedName>
    <definedName name="________TZ2110">#REF!</definedName>
    <definedName name="________TZ213">#REF!</definedName>
    <definedName name="________TZ214">#REF!</definedName>
    <definedName name="________TZ216">#REF!</definedName>
    <definedName name="________TZ268">#REF!</definedName>
    <definedName name="________TZ323" localSheetId="3">#REF!</definedName>
    <definedName name="________TZ323">#REF!</definedName>
    <definedName name="________TZ324" localSheetId="3">#REF!</definedName>
    <definedName name="________TZ324">#REF!</definedName>
    <definedName name="________TZ32510">#REF!</definedName>
    <definedName name="_______a1" localSheetId="14" hidden="1">{"TAB1",#N/A,TRUE,"GENERAL";"TAB2",#N/A,TRUE,"GENERAL";"TAB3",#N/A,TRUE,"GENERAL";"TAB4",#N/A,TRUE,"GENERAL";"TAB5",#N/A,TRUE,"GENERAL"}</definedName>
    <definedName name="_______a1" localSheetId="16" hidden="1">{"TAB1",#N/A,TRUE,"GENERAL";"TAB2",#N/A,TRUE,"GENERAL";"TAB3",#N/A,TRUE,"GENERAL";"TAB4",#N/A,TRUE,"GENERAL";"TAB5",#N/A,TRUE,"GENERAL"}</definedName>
    <definedName name="_______a1" localSheetId="17" hidden="1">{"TAB1",#N/A,TRUE,"GENERAL";"TAB2",#N/A,TRUE,"GENERAL";"TAB3",#N/A,TRUE,"GENERAL";"TAB4",#N/A,TRUE,"GENERAL";"TAB5",#N/A,TRUE,"GENERAL"}</definedName>
    <definedName name="_______a1" localSheetId="13" hidden="1">{"TAB1",#N/A,TRUE,"GENERAL";"TAB2",#N/A,TRUE,"GENERAL";"TAB3",#N/A,TRUE,"GENERAL";"TAB4",#N/A,TRUE,"GENERAL";"TAB5",#N/A,TRUE,"GENERAL"}</definedName>
    <definedName name="_______a1" localSheetId="15" hidden="1">{"TAB1",#N/A,TRUE,"GENERAL";"TAB2",#N/A,TRUE,"GENERAL";"TAB3",#N/A,TRUE,"GENERAL";"TAB4",#N/A,TRUE,"GENERAL";"TAB5",#N/A,TRUE,"GENERAL"}</definedName>
    <definedName name="_______a1" hidden="1">{"TAB1",#N/A,TRUE,"GENERAL";"TAB2",#N/A,TRUE,"GENERAL";"TAB3",#N/A,TRUE,"GENERAL";"TAB4",#N/A,TRUE,"GENERAL";"TAB5",#N/A,TRUE,"GENERAL"}</definedName>
    <definedName name="_______a3" localSheetId="14" hidden="1">{"TAB1",#N/A,TRUE,"GENERAL";"TAB2",#N/A,TRUE,"GENERAL";"TAB3",#N/A,TRUE,"GENERAL";"TAB4",#N/A,TRUE,"GENERAL";"TAB5",#N/A,TRUE,"GENERAL"}</definedName>
    <definedName name="_______a3" localSheetId="16" hidden="1">{"TAB1",#N/A,TRUE,"GENERAL";"TAB2",#N/A,TRUE,"GENERAL";"TAB3",#N/A,TRUE,"GENERAL";"TAB4",#N/A,TRUE,"GENERAL";"TAB5",#N/A,TRUE,"GENERAL"}</definedName>
    <definedName name="_______a3" localSheetId="17" hidden="1">{"TAB1",#N/A,TRUE,"GENERAL";"TAB2",#N/A,TRUE,"GENERAL";"TAB3",#N/A,TRUE,"GENERAL";"TAB4",#N/A,TRUE,"GENERAL";"TAB5",#N/A,TRUE,"GENERAL"}</definedName>
    <definedName name="_______a3" localSheetId="13" hidden="1">{"TAB1",#N/A,TRUE,"GENERAL";"TAB2",#N/A,TRUE,"GENERAL";"TAB3",#N/A,TRUE,"GENERAL";"TAB4",#N/A,TRUE,"GENERAL";"TAB5",#N/A,TRUE,"GENERAL"}</definedName>
    <definedName name="_______a3" localSheetId="15" hidden="1">{"TAB1",#N/A,TRUE,"GENERAL";"TAB2",#N/A,TRUE,"GENERAL";"TAB3",#N/A,TRUE,"GENERAL";"TAB4",#N/A,TRUE,"GENERAL";"TAB5",#N/A,TRUE,"GENERAL"}</definedName>
    <definedName name="_______a3" hidden="1">{"TAB1",#N/A,TRUE,"GENERAL";"TAB2",#N/A,TRUE,"GENERAL";"TAB3",#N/A,TRUE,"GENERAL";"TAB4",#N/A,TRUE,"GENERAL";"TAB5",#N/A,TRUE,"GENERAL"}</definedName>
    <definedName name="_______a4" localSheetId="14" hidden="1">{"via1",#N/A,TRUE,"general";"via2",#N/A,TRUE,"general";"via3",#N/A,TRUE,"general"}</definedName>
    <definedName name="_______a4" localSheetId="16" hidden="1">{"via1",#N/A,TRUE,"general";"via2",#N/A,TRUE,"general";"via3",#N/A,TRUE,"general"}</definedName>
    <definedName name="_______a4" localSheetId="17" hidden="1">{"via1",#N/A,TRUE,"general";"via2",#N/A,TRUE,"general";"via3",#N/A,TRUE,"general"}</definedName>
    <definedName name="_______a4" localSheetId="13" hidden="1">{"via1",#N/A,TRUE,"general";"via2",#N/A,TRUE,"general";"via3",#N/A,TRUE,"general"}</definedName>
    <definedName name="_______a4" localSheetId="15" hidden="1">{"via1",#N/A,TRUE,"general";"via2",#N/A,TRUE,"general";"via3",#N/A,TRUE,"general"}</definedName>
    <definedName name="_______a4" hidden="1">{"via1",#N/A,TRUE,"general";"via2",#N/A,TRUE,"general";"via3",#N/A,TRUE,"general"}</definedName>
    <definedName name="_______a5" localSheetId="14" hidden="1">{"TAB1",#N/A,TRUE,"GENERAL";"TAB2",#N/A,TRUE,"GENERAL";"TAB3",#N/A,TRUE,"GENERAL";"TAB4",#N/A,TRUE,"GENERAL";"TAB5",#N/A,TRUE,"GENERAL"}</definedName>
    <definedName name="_______a5" localSheetId="16" hidden="1">{"TAB1",#N/A,TRUE,"GENERAL";"TAB2",#N/A,TRUE,"GENERAL";"TAB3",#N/A,TRUE,"GENERAL";"TAB4",#N/A,TRUE,"GENERAL";"TAB5",#N/A,TRUE,"GENERAL"}</definedName>
    <definedName name="_______a5" localSheetId="17" hidden="1">{"TAB1",#N/A,TRUE,"GENERAL";"TAB2",#N/A,TRUE,"GENERAL";"TAB3",#N/A,TRUE,"GENERAL";"TAB4",#N/A,TRUE,"GENERAL";"TAB5",#N/A,TRUE,"GENERAL"}</definedName>
    <definedName name="_______a5" localSheetId="13" hidden="1">{"TAB1",#N/A,TRUE,"GENERAL";"TAB2",#N/A,TRUE,"GENERAL";"TAB3",#N/A,TRUE,"GENERAL";"TAB4",#N/A,TRUE,"GENERAL";"TAB5",#N/A,TRUE,"GENERAL"}</definedName>
    <definedName name="_______a5" localSheetId="15" hidden="1">{"TAB1",#N/A,TRUE,"GENERAL";"TAB2",#N/A,TRUE,"GENERAL";"TAB3",#N/A,TRUE,"GENERAL";"TAB4",#N/A,TRUE,"GENERAL";"TAB5",#N/A,TRUE,"GENERAL"}</definedName>
    <definedName name="_______a5" hidden="1">{"TAB1",#N/A,TRUE,"GENERAL";"TAB2",#N/A,TRUE,"GENERAL";"TAB3",#N/A,TRUE,"GENERAL";"TAB4",#N/A,TRUE,"GENERAL";"TAB5",#N/A,TRUE,"GENERAL"}</definedName>
    <definedName name="_______a6" localSheetId="14" hidden="1">{"TAB1",#N/A,TRUE,"GENERAL";"TAB2",#N/A,TRUE,"GENERAL";"TAB3",#N/A,TRUE,"GENERAL";"TAB4",#N/A,TRUE,"GENERAL";"TAB5",#N/A,TRUE,"GENERAL"}</definedName>
    <definedName name="_______a6" localSheetId="16" hidden="1">{"TAB1",#N/A,TRUE,"GENERAL";"TAB2",#N/A,TRUE,"GENERAL";"TAB3",#N/A,TRUE,"GENERAL";"TAB4",#N/A,TRUE,"GENERAL";"TAB5",#N/A,TRUE,"GENERAL"}</definedName>
    <definedName name="_______a6" localSheetId="17" hidden="1">{"TAB1",#N/A,TRUE,"GENERAL";"TAB2",#N/A,TRUE,"GENERAL";"TAB3",#N/A,TRUE,"GENERAL";"TAB4",#N/A,TRUE,"GENERAL";"TAB5",#N/A,TRUE,"GENERAL"}</definedName>
    <definedName name="_______a6" localSheetId="13" hidden="1">{"TAB1",#N/A,TRUE,"GENERAL";"TAB2",#N/A,TRUE,"GENERAL";"TAB3",#N/A,TRUE,"GENERAL";"TAB4",#N/A,TRUE,"GENERAL";"TAB5",#N/A,TRUE,"GENERAL"}</definedName>
    <definedName name="_______a6" localSheetId="15" hidden="1">{"TAB1",#N/A,TRUE,"GENERAL";"TAB2",#N/A,TRUE,"GENERAL";"TAB3",#N/A,TRUE,"GENERAL";"TAB4",#N/A,TRUE,"GENERAL";"TAB5",#N/A,TRUE,"GENERAL"}</definedName>
    <definedName name="_______a6" hidden="1">{"TAB1",#N/A,TRUE,"GENERAL";"TAB2",#N/A,TRUE,"GENERAL";"TAB3",#N/A,TRUE,"GENERAL";"TAB4",#N/A,TRUE,"GENERAL";"TAB5",#N/A,TRUE,"GENERAL"}</definedName>
    <definedName name="_______ADH12">#REF!</definedName>
    <definedName name="_______ADM12">#REF!</definedName>
    <definedName name="_______ADM4">#REF!</definedName>
    <definedName name="_______AFC1">[1]INV!$A$25:$D$28</definedName>
    <definedName name="_______AFC3">[1]INV!$F$25:$I$28</definedName>
    <definedName name="_______AFC5">[1]INV!$K$25:$N$28</definedName>
    <definedName name="_______AIU1" localSheetId="3">#REF!</definedName>
    <definedName name="_______AIU1" localSheetId="30">#REF!</definedName>
    <definedName name="_______AIU1" localSheetId="31">#REF!</definedName>
    <definedName name="_______AIU1" localSheetId="29">#REF!</definedName>
    <definedName name="_______AIU1">#REF!</definedName>
    <definedName name="_______AIU2">#REF!</definedName>
    <definedName name="_______AIU3">#REF!</definedName>
    <definedName name="_______APU221">#REF!</definedName>
    <definedName name="_______APU465" localSheetId="14">[2]!absc</definedName>
    <definedName name="_______APU465" localSheetId="17">[2]!absc</definedName>
    <definedName name="_______APU465" localSheetId="2">[2]!absc</definedName>
    <definedName name="_______APU465" localSheetId="20">[2]!absc</definedName>
    <definedName name="_______APU465" localSheetId="21">[2]!absc</definedName>
    <definedName name="_______APU465" localSheetId="15">[2]!absc</definedName>
    <definedName name="_______APU465">[2]!absc</definedName>
    <definedName name="_______b2" localSheetId="14" hidden="1">{"TAB1",#N/A,TRUE,"GENERAL";"TAB2",#N/A,TRUE,"GENERAL";"TAB3",#N/A,TRUE,"GENERAL";"TAB4",#N/A,TRUE,"GENERAL";"TAB5",#N/A,TRUE,"GENERAL"}</definedName>
    <definedName name="_______b2" localSheetId="16" hidden="1">{"TAB1",#N/A,TRUE,"GENERAL";"TAB2",#N/A,TRUE,"GENERAL";"TAB3",#N/A,TRUE,"GENERAL";"TAB4",#N/A,TRUE,"GENERAL";"TAB5",#N/A,TRUE,"GENERAL"}</definedName>
    <definedName name="_______b2" localSheetId="17" hidden="1">{"TAB1",#N/A,TRUE,"GENERAL";"TAB2",#N/A,TRUE,"GENERAL";"TAB3",#N/A,TRUE,"GENERAL";"TAB4",#N/A,TRUE,"GENERAL";"TAB5",#N/A,TRUE,"GENERAL"}</definedName>
    <definedName name="_______b2" localSheetId="13" hidden="1">{"TAB1",#N/A,TRUE,"GENERAL";"TAB2",#N/A,TRUE,"GENERAL";"TAB3",#N/A,TRUE,"GENERAL";"TAB4",#N/A,TRUE,"GENERAL";"TAB5",#N/A,TRUE,"GENERAL"}</definedName>
    <definedName name="_______b2" localSheetId="15" hidden="1">{"TAB1",#N/A,TRUE,"GENERAL";"TAB2",#N/A,TRUE,"GENERAL";"TAB3",#N/A,TRUE,"GENERAL";"TAB4",#N/A,TRUE,"GENERAL";"TAB5",#N/A,TRUE,"GENERAL"}</definedName>
    <definedName name="_______b2" hidden="1">{"TAB1",#N/A,TRUE,"GENERAL";"TAB2",#N/A,TRUE,"GENERAL";"TAB3",#N/A,TRUE,"GENERAL";"TAB4",#N/A,TRUE,"GENERAL";"TAB5",#N/A,TRUE,"GENERAL"}</definedName>
    <definedName name="_______b3" localSheetId="14" hidden="1">{"TAB1",#N/A,TRUE,"GENERAL";"TAB2",#N/A,TRUE,"GENERAL";"TAB3",#N/A,TRUE,"GENERAL";"TAB4",#N/A,TRUE,"GENERAL";"TAB5",#N/A,TRUE,"GENERAL"}</definedName>
    <definedName name="_______b3" localSheetId="16" hidden="1">{"TAB1",#N/A,TRUE,"GENERAL";"TAB2",#N/A,TRUE,"GENERAL";"TAB3",#N/A,TRUE,"GENERAL";"TAB4",#N/A,TRUE,"GENERAL";"TAB5",#N/A,TRUE,"GENERAL"}</definedName>
    <definedName name="_______b3" localSheetId="17" hidden="1">{"TAB1",#N/A,TRUE,"GENERAL";"TAB2",#N/A,TRUE,"GENERAL";"TAB3",#N/A,TRUE,"GENERAL";"TAB4",#N/A,TRUE,"GENERAL";"TAB5",#N/A,TRUE,"GENERAL"}</definedName>
    <definedName name="_______b3" localSheetId="13" hidden="1">{"TAB1",#N/A,TRUE,"GENERAL";"TAB2",#N/A,TRUE,"GENERAL";"TAB3",#N/A,TRUE,"GENERAL";"TAB4",#N/A,TRUE,"GENERAL";"TAB5",#N/A,TRUE,"GENERAL"}</definedName>
    <definedName name="_______b3" localSheetId="15" hidden="1">{"TAB1",#N/A,TRUE,"GENERAL";"TAB2",#N/A,TRUE,"GENERAL";"TAB3",#N/A,TRUE,"GENERAL";"TAB4",#N/A,TRUE,"GENERAL";"TAB5",#N/A,TRUE,"GENERAL"}</definedName>
    <definedName name="_______b3" hidden="1">{"TAB1",#N/A,TRUE,"GENERAL";"TAB2",#N/A,TRUE,"GENERAL";"TAB3",#N/A,TRUE,"GENERAL";"TAB4",#N/A,TRUE,"GENERAL";"TAB5",#N/A,TRUE,"GENERAL"}</definedName>
    <definedName name="_______b4" localSheetId="14" hidden="1">{"TAB1",#N/A,TRUE,"GENERAL";"TAB2",#N/A,TRUE,"GENERAL";"TAB3",#N/A,TRUE,"GENERAL";"TAB4",#N/A,TRUE,"GENERAL";"TAB5",#N/A,TRUE,"GENERAL"}</definedName>
    <definedName name="_______b4" localSheetId="16" hidden="1">{"TAB1",#N/A,TRUE,"GENERAL";"TAB2",#N/A,TRUE,"GENERAL";"TAB3",#N/A,TRUE,"GENERAL";"TAB4",#N/A,TRUE,"GENERAL";"TAB5",#N/A,TRUE,"GENERAL"}</definedName>
    <definedName name="_______b4" localSheetId="17" hidden="1">{"TAB1",#N/A,TRUE,"GENERAL";"TAB2",#N/A,TRUE,"GENERAL";"TAB3",#N/A,TRUE,"GENERAL";"TAB4",#N/A,TRUE,"GENERAL";"TAB5",#N/A,TRUE,"GENERAL"}</definedName>
    <definedName name="_______b4" localSheetId="13" hidden="1">{"TAB1",#N/A,TRUE,"GENERAL";"TAB2",#N/A,TRUE,"GENERAL";"TAB3",#N/A,TRUE,"GENERAL";"TAB4",#N/A,TRUE,"GENERAL";"TAB5",#N/A,TRUE,"GENERAL"}</definedName>
    <definedName name="_______b4" localSheetId="15" hidden="1">{"TAB1",#N/A,TRUE,"GENERAL";"TAB2",#N/A,TRUE,"GENERAL";"TAB3",#N/A,TRUE,"GENERAL";"TAB4",#N/A,TRUE,"GENERAL";"TAB5",#N/A,TRUE,"GENERAL"}</definedName>
    <definedName name="_______b4" hidden="1">{"TAB1",#N/A,TRUE,"GENERAL";"TAB2",#N/A,TRUE,"GENERAL";"TAB3",#N/A,TRUE,"GENERAL";"TAB4",#N/A,TRUE,"GENERAL";"TAB5",#N/A,TRUE,"GENERAL"}</definedName>
    <definedName name="_______b5" localSheetId="14" hidden="1">{"TAB1",#N/A,TRUE,"GENERAL";"TAB2",#N/A,TRUE,"GENERAL";"TAB3",#N/A,TRUE,"GENERAL";"TAB4",#N/A,TRUE,"GENERAL";"TAB5",#N/A,TRUE,"GENERAL"}</definedName>
    <definedName name="_______b5" localSheetId="16" hidden="1">{"TAB1",#N/A,TRUE,"GENERAL";"TAB2",#N/A,TRUE,"GENERAL";"TAB3",#N/A,TRUE,"GENERAL";"TAB4",#N/A,TRUE,"GENERAL";"TAB5",#N/A,TRUE,"GENERAL"}</definedName>
    <definedName name="_______b5" localSheetId="17" hidden="1">{"TAB1",#N/A,TRUE,"GENERAL";"TAB2",#N/A,TRUE,"GENERAL";"TAB3",#N/A,TRUE,"GENERAL";"TAB4",#N/A,TRUE,"GENERAL";"TAB5",#N/A,TRUE,"GENERAL"}</definedName>
    <definedName name="_______b5" localSheetId="13" hidden="1">{"TAB1",#N/A,TRUE,"GENERAL";"TAB2",#N/A,TRUE,"GENERAL";"TAB3",#N/A,TRUE,"GENERAL";"TAB4",#N/A,TRUE,"GENERAL";"TAB5",#N/A,TRUE,"GENERAL"}</definedName>
    <definedName name="_______b5" localSheetId="15" hidden="1">{"TAB1",#N/A,TRUE,"GENERAL";"TAB2",#N/A,TRUE,"GENERAL";"TAB3",#N/A,TRUE,"GENERAL";"TAB4",#N/A,TRUE,"GENERAL";"TAB5",#N/A,TRUE,"GENERAL"}</definedName>
    <definedName name="_______b5" hidden="1">{"TAB1",#N/A,TRUE,"GENERAL";"TAB2",#N/A,TRUE,"GENERAL";"TAB3",#N/A,TRUE,"GENERAL";"TAB4",#N/A,TRUE,"GENERAL";"TAB5",#N/A,TRUE,"GENERAL"}</definedName>
    <definedName name="_______b6" localSheetId="14" hidden="1">{"TAB1",#N/A,TRUE,"GENERAL";"TAB2",#N/A,TRUE,"GENERAL";"TAB3",#N/A,TRUE,"GENERAL";"TAB4",#N/A,TRUE,"GENERAL";"TAB5",#N/A,TRUE,"GENERAL"}</definedName>
    <definedName name="_______b6" localSheetId="16" hidden="1">{"TAB1",#N/A,TRUE,"GENERAL";"TAB2",#N/A,TRUE,"GENERAL";"TAB3",#N/A,TRUE,"GENERAL";"TAB4",#N/A,TRUE,"GENERAL";"TAB5",#N/A,TRUE,"GENERAL"}</definedName>
    <definedName name="_______b6" localSheetId="17" hidden="1">{"TAB1",#N/A,TRUE,"GENERAL";"TAB2",#N/A,TRUE,"GENERAL";"TAB3",#N/A,TRUE,"GENERAL";"TAB4",#N/A,TRUE,"GENERAL";"TAB5",#N/A,TRUE,"GENERAL"}</definedName>
    <definedName name="_______b6" localSheetId="13" hidden="1">{"TAB1",#N/A,TRUE,"GENERAL";"TAB2",#N/A,TRUE,"GENERAL";"TAB3",#N/A,TRUE,"GENERAL";"TAB4",#N/A,TRUE,"GENERAL";"TAB5",#N/A,TRUE,"GENERAL"}</definedName>
    <definedName name="_______b6" localSheetId="15" hidden="1">{"TAB1",#N/A,TRUE,"GENERAL";"TAB2",#N/A,TRUE,"GENERAL";"TAB3",#N/A,TRUE,"GENERAL";"TAB4",#N/A,TRUE,"GENERAL";"TAB5",#N/A,TRUE,"GENERAL"}</definedName>
    <definedName name="_______b6" hidden="1">{"TAB1",#N/A,TRUE,"GENERAL";"TAB2",#N/A,TRUE,"GENERAL";"TAB3",#N/A,TRUE,"GENERAL";"TAB4",#N/A,TRUE,"GENERAL";"TAB5",#N/A,TRUE,"GENERAL"}</definedName>
    <definedName name="_______b7" localSheetId="14" hidden="1">{"via1",#N/A,TRUE,"general";"via2",#N/A,TRUE,"general";"via3",#N/A,TRUE,"general"}</definedName>
    <definedName name="_______b7" localSheetId="16" hidden="1">{"via1",#N/A,TRUE,"general";"via2",#N/A,TRUE,"general";"via3",#N/A,TRUE,"general"}</definedName>
    <definedName name="_______b7" localSheetId="17" hidden="1">{"via1",#N/A,TRUE,"general";"via2",#N/A,TRUE,"general";"via3",#N/A,TRUE,"general"}</definedName>
    <definedName name="_______b7" localSheetId="13" hidden="1">{"via1",#N/A,TRUE,"general";"via2",#N/A,TRUE,"general";"via3",#N/A,TRUE,"general"}</definedName>
    <definedName name="_______b7" localSheetId="15" hidden="1">{"via1",#N/A,TRUE,"general";"via2",#N/A,TRUE,"general";"via3",#N/A,TRUE,"general"}</definedName>
    <definedName name="_______b7" hidden="1">{"via1",#N/A,TRUE,"general";"via2",#N/A,TRUE,"general";"via3",#N/A,TRUE,"general"}</definedName>
    <definedName name="_______b8" localSheetId="14" hidden="1">{"via1",#N/A,TRUE,"general";"via2",#N/A,TRUE,"general";"via3",#N/A,TRUE,"general"}</definedName>
    <definedName name="_______b8" localSheetId="16" hidden="1">{"via1",#N/A,TRUE,"general";"via2",#N/A,TRUE,"general";"via3",#N/A,TRUE,"general"}</definedName>
    <definedName name="_______b8" localSheetId="17" hidden="1">{"via1",#N/A,TRUE,"general";"via2",#N/A,TRUE,"general";"via3",#N/A,TRUE,"general"}</definedName>
    <definedName name="_______b8" localSheetId="13" hidden="1">{"via1",#N/A,TRUE,"general";"via2",#N/A,TRUE,"general";"via3",#N/A,TRUE,"general"}</definedName>
    <definedName name="_______b8" localSheetId="15" hidden="1">{"via1",#N/A,TRUE,"general";"via2",#N/A,TRUE,"general";"via3",#N/A,TRUE,"general"}</definedName>
    <definedName name="_______b8" hidden="1">{"via1",#N/A,TRUE,"general";"via2",#N/A,TRUE,"general";"via3",#N/A,TRUE,"general"}</definedName>
    <definedName name="_______BAZ10">#REF!</definedName>
    <definedName name="_______bb9" localSheetId="14" hidden="1">{"TAB1",#N/A,TRUE,"GENERAL";"TAB2",#N/A,TRUE,"GENERAL";"TAB3",#N/A,TRUE,"GENERAL";"TAB4",#N/A,TRUE,"GENERAL";"TAB5",#N/A,TRUE,"GENERAL"}</definedName>
    <definedName name="_______bb9" localSheetId="16" hidden="1">{"TAB1",#N/A,TRUE,"GENERAL";"TAB2",#N/A,TRUE,"GENERAL";"TAB3",#N/A,TRUE,"GENERAL";"TAB4",#N/A,TRUE,"GENERAL";"TAB5",#N/A,TRUE,"GENERAL"}</definedName>
    <definedName name="_______bb9" localSheetId="17" hidden="1">{"TAB1",#N/A,TRUE,"GENERAL";"TAB2",#N/A,TRUE,"GENERAL";"TAB3",#N/A,TRUE,"GENERAL";"TAB4",#N/A,TRUE,"GENERAL";"TAB5",#N/A,TRUE,"GENERAL"}</definedName>
    <definedName name="_______bb9" localSheetId="13" hidden="1">{"TAB1",#N/A,TRUE,"GENERAL";"TAB2",#N/A,TRUE,"GENERAL";"TAB3",#N/A,TRUE,"GENERAL";"TAB4",#N/A,TRUE,"GENERAL";"TAB5",#N/A,TRUE,"GENERAL"}</definedName>
    <definedName name="_______bb9" localSheetId="15" hidden="1">{"TAB1",#N/A,TRUE,"GENERAL";"TAB2",#N/A,TRUE,"GENERAL";"TAB3",#N/A,TRUE,"GENERAL";"TAB4",#N/A,TRUE,"GENERAL";"TAB5",#N/A,TRUE,"GENERAL"}</definedName>
    <definedName name="_______bb9" hidden="1">{"TAB1",#N/A,TRUE,"GENERAL";"TAB2",#N/A,TRUE,"GENERAL";"TAB3",#N/A,TRUE,"GENERAL";"TAB4",#N/A,TRUE,"GENERAL";"TAB5",#N/A,TRUE,"GENERAL"}</definedName>
    <definedName name="_______bgb5" localSheetId="14" hidden="1">{"TAB1",#N/A,TRUE,"GENERAL";"TAB2",#N/A,TRUE,"GENERAL";"TAB3",#N/A,TRUE,"GENERAL";"TAB4",#N/A,TRUE,"GENERAL";"TAB5",#N/A,TRUE,"GENERAL"}</definedName>
    <definedName name="_______bgb5" localSheetId="16" hidden="1">{"TAB1",#N/A,TRUE,"GENERAL";"TAB2",#N/A,TRUE,"GENERAL";"TAB3",#N/A,TRUE,"GENERAL";"TAB4",#N/A,TRUE,"GENERAL";"TAB5",#N/A,TRUE,"GENERAL"}</definedName>
    <definedName name="_______bgb5" localSheetId="17" hidden="1">{"TAB1",#N/A,TRUE,"GENERAL";"TAB2",#N/A,TRUE,"GENERAL";"TAB3",#N/A,TRUE,"GENERAL";"TAB4",#N/A,TRUE,"GENERAL";"TAB5",#N/A,TRUE,"GENERAL"}</definedName>
    <definedName name="_______bgb5" localSheetId="13" hidden="1">{"TAB1",#N/A,TRUE,"GENERAL";"TAB2",#N/A,TRUE,"GENERAL";"TAB3",#N/A,TRUE,"GENERAL";"TAB4",#N/A,TRUE,"GENERAL";"TAB5",#N/A,TRUE,"GENERAL"}</definedName>
    <definedName name="_______bgb5" localSheetId="15"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BLO20">#REF!</definedName>
    <definedName name="_______C2254JH" localSheetId="3">#REF!</definedName>
    <definedName name="_______C2254JH">#REF!</definedName>
    <definedName name="_______C908J" localSheetId="3">#REF!</definedName>
    <definedName name="_______C908J">#REF!</definedName>
    <definedName name="_______CAC1">[1]INV!$A$19:$D$22</definedName>
    <definedName name="_______CAC3">[1]INV!$F$19:$I$22</definedName>
    <definedName name="_______CAC5">[1]INV!$K$19:$N$22</definedName>
    <definedName name="_______CAN28">#REF!</definedName>
    <definedName name="_______Cod1" localSheetId="3">#REF!</definedName>
    <definedName name="_______Cod1" localSheetId="30">#REF!</definedName>
    <definedName name="_______Cod1" localSheetId="31">#REF!</definedName>
    <definedName name="_______Cod1" localSheetId="29">#REF!</definedName>
    <definedName name="_______Cod1">#REF!</definedName>
    <definedName name="_______CUA44">#REF!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14" hidden="1">{"TAB1",#N/A,TRUE,"GENERAL";"TAB2",#N/A,TRUE,"GENERAL";"TAB3",#N/A,TRUE,"GENERAL";"TAB4",#N/A,TRUE,"GENERAL";"TAB5",#N/A,TRUE,"GENERAL"}</definedName>
    <definedName name="_______g2" localSheetId="16" hidden="1">{"TAB1",#N/A,TRUE,"GENERAL";"TAB2",#N/A,TRUE,"GENERAL";"TAB3",#N/A,TRUE,"GENERAL";"TAB4",#N/A,TRUE,"GENERAL";"TAB5",#N/A,TRUE,"GENERAL"}</definedName>
    <definedName name="_______g2" localSheetId="17" hidden="1">{"TAB1",#N/A,TRUE,"GENERAL";"TAB2",#N/A,TRUE,"GENERAL";"TAB3",#N/A,TRUE,"GENERAL";"TAB4",#N/A,TRUE,"GENERAL";"TAB5",#N/A,TRUE,"GENERAL"}</definedName>
    <definedName name="_______g2" localSheetId="13" hidden="1">{"TAB1",#N/A,TRUE,"GENERAL";"TAB2",#N/A,TRUE,"GENERAL";"TAB3",#N/A,TRUE,"GENERAL";"TAB4",#N/A,TRUE,"GENERAL";"TAB5",#N/A,TRUE,"GENERAL"}</definedName>
    <definedName name="_______g2" localSheetId="15" hidden="1">{"TAB1",#N/A,TRUE,"GENERAL";"TAB2",#N/A,TRUE,"GENERAL";"TAB3",#N/A,TRUE,"GENERAL";"TAB4",#N/A,TRUE,"GENERAL";"TAB5",#N/A,TRUE,"GENERAL"}</definedName>
    <definedName name="_______g2" hidden="1">{"TAB1",#N/A,TRUE,"GENERAL";"TAB2",#N/A,TRUE,"GENERAL";"TAB3",#N/A,TRUE,"GENERAL";"TAB4",#N/A,TRUE,"GENERAL";"TAB5",#N/A,TRUE,"GENERAL"}</definedName>
    <definedName name="_______g3" localSheetId="14" hidden="1">{"via1",#N/A,TRUE,"general";"via2",#N/A,TRUE,"general";"via3",#N/A,TRUE,"general"}</definedName>
    <definedName name="_______g3" localSheetId="16" hidden="1">{"via1",#N/A,TRUE,"general";"via2",#N/A,TRUE,"general";"via3",#N/A,TRUE,"general"}</definedName>
    <definedName name="_______g3" localSheetId="17" hidden="1">{"via1",#N/A,TRUE,"general";"via2",#N/A,TRUE,"general";"via3",#N/A,TRUE,"general"}</definedName>
    <definedName name="_______g3" localSheetId="13" hidden="1">{"via1",#N/A,TRUE,"general";"via2",#N/A,TRUE,"general";"via3",#N/A,TRUE,"general"}</definedName>
    <definedName name="_______g3" localSheetId="15" hidden="1">{"via1",#N/A,TRUE,"general";"via2",#N/A,TRUE,"general";"via3",#N/A,TRUE,"general"}</definedName>
    <definedName name="_______g3" hidden="1">{"via1",#N/A,TRUE,"general";"via2",#N/A,TRUE,"general";"via3",#N/A,TRUE,"general"}</definedName>
    <definedName name="_______g4" localSheetId="14" hidden="1">{"via1",#N/A,TRUE,"general";"via2",#N/A,TRUE,"general";"via3",#N/A,TRUE,"general"}</definedName>
    <definedName name="_______g4" localSheetId="16" hidden="1">{"via1",#N/A,TRUE,"general";"via2",#N/A,TRUE,"general";"via3",#N/A,TRUE,"general"}</definedName>
    <definedName name="_______g4" localSheetId="17" hidden="1">{"via1",#N/A,TRUE,"general";"via2",#N/A,TRUE,"general";"via3",#N/A,TRUE,"general"}</definedName>
    <definedName name="_______g4" localSheetId="13" hidden="1">{"via1",#N/A,TRUE,"general";"via2",#N/A,TRUE,"general";"via3",#N/A,TRUE,"general"}</definedName>
    <definedName name="_______g4" localSheetId="15" hidden="1">{"via1",#N/A,TRUE,"general";"via2",#N/A,TRUE,"general";"via3",#N/A,TRUE,"general"}</definedName>
    <definedName name="_______g4" hidden="1">{"via1",#N/A,TRUE,"general";"via2",#N/A,TRUE,"general";"via3",#N/A,TRUE,"general"}</definedName>
    <definedName name="_______g5" localSheetId="14" hidden="1">{"via1",#N/A,TRUE,"general";"via2",#N/A,TRUE,"general";"via3",#N/A,TRUE,"general"}</definedName>
    <definedName name="_______g5" localSheetId="16" hidden="1">{"via1",#N/A,TRUE,"general";"via2",#N/A,TRUE,"general";"via3",#N/A,TRUE,"general"}</definedName>
    <definedName name="_______g5" localSheetId="17" hidden="1">{"via1",#N/A,TRUE,"general";"via2",#N/A,TRUE,"general";"via3",#N/A,TRUE,"general"}</definedName>
    <definedName name="_______g5" localSheetId="13" hidden="1">{"via1",#N/A,TRUE,"general";"via2",#N/A,TRUE,"general";"via3",#N/A,TRUE,"general"}</definedName>
    <definedName name="_______g5" localSheetId="15" hidden="1">{"via1",#N/A,TRUE,"general";"via2",#N/A,TRUE,"general";"via3",#N/A,TRUE,"general"}</definedName>
    <definedName name="_______g5" hidden="1">{"via1",#N/A,TRUE,"general";"via2",#N/A,TRUE,"general";"via3",#N/A,TRUE,"general"}</definedName>
    <definedName name="_______g6" localSheetId="14" hidden="1">{"via1",#N/A,TRUE,"general";"via2",#N/A,TRUE,"general";"via3",#N/A,TRUE,"general"}</definedName>
    <definedName name="_______g6" localSheetId="16" hidden="1">{"via1",#N/A,TRUE,"general";"via2",#N/A,TRUE,"general";"via3",#N/A,TRUE,"general"}</definedName>
    <definedName name="_______g6" localSheetId="17" hidden="1">{"via1",#N/A,TRUE,"general";"via2",#N/A,TRUE,"general";"via3",#N/A,TRUE,"general"}</definedName>
    <definedName name="_______g6" localSheetId="13" hidden="1">{"via1",#N/A,TRUE,"general";"via2",#N/A,TRUE,"general";"via3",#N/A,TRUE,"general"}</definedName>
    <definedName name="_______g6" localSheetId="15" hidden="1">{"via1",#N/A,TRUE,"general";"via2",#N/A,TRUE,"general";"via3",#N/A,TRUE,"general"}</definedName>
    <definedName name="_______g6" hidden="1">{"via1",#N/A,TRUE,"general";"via2",#N/A,TRUE,"general";"via3",#N/A,TRUE,"general"}</definedName>
    <definedName name="_______g7" localSheetId="14" hidden="1">{"TAB1",#N/A,TRUE,"GENERAL";"TAB2",#N/A,TRUE,"GENERAL";"TAB3",#N/A,TRUE,"GENERAL";"TAB4",#N/A,TRUE,"GENERAL";"TAB5",#N/A,TRUE,"GENERAL"}</definedName>
    <definedName name="_______g7" localSheetId="16" hidden="1">{"TAB1",#N/A,TRUE,"GENERAL";"TAB2",#N/A,TRUE,"GENERAL";"TAB3",#N/A,TRUE,"GENERAL";"TAB4",#N/A,TRUE,"GENERAL";"TAB5",#N/A,TRUE,"GENERAL"}</definedName>
    <definedName name="_______g7" localSheetId="17" hidden="1">{"TAB1",#N/A,TRUE,"GENERAL";"TAB2",#N/A,TRUE,"GENERAL";"TAB3",#N/A,TRUE,"GENERAL";"TAB4",#N/A,TRUE,"GENERAL";"TAB5",#N/A,TRUE,"GENERAL"}</definedName>
    <definedName name="_______g7" localSheetId="13" hidden="1">{"TAB1",#N/A,TRUE,"GENERAL";"TAB2",#N/A,TRUE,"GENERAL";"TAB3",#N/A,TRUE,"GENERAL";"TAB4",#N/A,TRUE,"GENERAL";"TAB5",#N/A,TRUE,"GENERAL"}</definedName>
    <definedName name="_______g7" localSheetId="15" hidden="1">{"TAB1",#N/A,TRUE,"GENERAL";"TAB2",#N/A,TRUE,"GENERAL";"TAB3",#N/A,TRUE,"GENERAL";"TAB4",#N/A,TRUE,"GENERAL";"TAB5",#N/A,TRUE,"GENERAL"}</definedName>
    <definedName name="_______g7" hidden="1">{"TAB1",#N/A,TRUE,"GENERAL";"TAB2",#N/A,TRUE,"GENERAL";"TAB3",#N/A,TRUE,"GENERAL";"TAB4",#N/A,TRUE,"GENERAL";"TAB5",#N/A,TRUE,"GENERAL"}</definedName>
    <definedName name="_______GR1" localSheetId="14" hidden="1">{"TAB1",#N/A,TRUE,"GENERAL";"TAB2",#N/A,TRUE,"GENERAL";"TAB3",#N/A,TRUE,"GENERAL";"TAB4",#N/A,TRUE,"GENERAL";"TAB5",#N/A,TRUE,"GENERAL"}</definedName>
    <definedName name="_______GR1" localSheetId="16" hidden="1">{"TAB1",#N/A,TRUE,"GENERAL";"TAB2",#N/A,TRUE,"GENERAL";"TAB3",#N/A,TRUE,"GENERAL";"TAB4",#N/A,TRUE,"GENERAL";"TAB5",#N/A,TRUE,"GENERAL"}</definedName>
    <definedName name="_______GR1" localSheetId="17" hidden="1">{"TAB1",#N/A,TRUE,"GENERAL";"TAB2",#N/A,TRUE,"GENERAL";"TAB3",#N/A,TRUE,"GENERAL";"TAB4",#N/A,TRUE,"GENERAL";"TAB5",#N/A,TRUE,"GENERAL"}</definedName>
    <definedName name="_______GR1" localSheetId="13" hidden="1">{"TAB1",#N/A,TRUE,"GENERAL";"TAB2",#N/A,TRUE,"GENERAL";"TAB3",#N/A,TRUE,"GENERAL";"TAB4",#N/A,TRUE,"GENERAL";"TAB5",#N/A,TRUE,"GENERAL"}</definedName>
    <definedName name="_______GR1" localSheetId="15" hidden="1">{"TAB1",#N/A,TRUE,"GENERAL";"TAB2",#N/A,TRUE,"GENERAL";"TAB3",#N/A,TRUE,"GENERAL";"TAB4",#N/A,TRUE,"GENERAL";"TAB5",#N/A,TRUE,"GENERAL"}</definedName>
    <definedName name="_______GR1" hidden="1">{"TAB1",#N/A,TRUE,"GENERAL";"TAB2",#N/A,TRUE,"GENERAL";"TAB3",#N/A,TRUE,"GENERAL";"TAB4",#N/A,TRUE,"GENERAL";"TAB5",#N/A,TRUE,"GENERAL"}</definedName>
    <definedName name="_______gtr4" localSheetId="14" hidden="1">{"via1",#N/A,TRUE,"general";"via2",#N/A,TRUE,"general";"via3",#N/A,TRUE,"general"}</definedName>
    <definedName name="_______gtr4" localSheetId="16" hidden="1">{"via1",#N/A,TRUE,"general";"via2",#N/A,TRUE,"general";"via3",#N/A,TRUE,"general"}</definedName>
    <definedName name="_______gtr4" localSheetId="17" hidden="1">{"via1",#N/A,TRUE,"general";"via2",#N/A,TRUE,"general";"via3",#N/A,TRUE,"general"}</definedName>
    <definedName name="_______gtr4" localSheetId="13" hidden="1">{"via1",#N/A,TRUE,"general";"via2",#N/A,TRUE,"general";"via3",#N/A,TRUE,"general"}</definedName>
    <definedName name="_______gtr4" localSheetId="15" hidden="1">{"via1",#N/A,TRUE,"general";"via2",#N/A,TRUE,"general";"via3",#N/A,TRUE,"general"}</definedName>
    <definedName name="_______gtr4" hidden="1">{"via1",#N/A,TRUE,"general";"via2",#N/A,TRUE,"general";"via3",#N/A,TRUE,"general"}</definedName>
    <definedName name="_______h2" localSheetId="14" hidden="1">{"via1",#N/A,TRUE,"general";"via2",#N/A,TRUE,"general";"via3",#N/A,TRUE,"general"}</definedName>
    <definedName name="_______h2" localSheetId="16" hidden="1">{"via1",#N/A,TRUE,"general";"via2",#N/A,TRUE,"general";"via3",#N/A,TRUE,"general"}</definedName>
    <definedName name="_______h2" localSheetId="17" hidden="1">{"via1",#N/A,TRUE,"general";"via2",#N/A,TRUE,"general";"via3",#N/A,TRUE,"general"}</definedName>
    <definedName name="_______h2" localSheetId="13" hidden="1">{"via1",#N/A,TRUE,"general";"via2",#N/A,TRUE,"general";"via3",#N/A,TRUE,"general"}</definedName>
    <definedName name="_______h2" localSheetId="15" hidden="1">{"via1",#N/A,TRUE,"general";"via2",#N/A,TRUE,"general";"via3",#N/A,TRUE,"general"}</definedName>
    <definedName name="_______h2" hidden="1">{"via1",#N/A,TRUE,"general";"via2",#N/A,TRUE,"general";"via3",#N/A,TRUE,"general"}</definedName>
    <definedName name="_______h3" localSheetId="14" hidden="1">{"via1",#N/A,TRUE,"general";"via2",#N/A,TRUE,"general";"via3",#N/A,TRUE,"general"}</definedName>
    <definedName name="_______h3" localSheetId="16" hidden="1">{"via1",#N/A,TRUE,"general";"via2",#N/A,TRUE,"general";"via3",#N/A,TRUE,"general"}</definedName>
    <definedName name="_______h3" localSheetId="17" hidden="1">{"via1",#N/A,TRUE,"general";"via2",#N/A,TRUE,"general";"via3",#N/A,TRUE,"general"}</definedName>
    <definedName name="_______h3" localSheetId="13" hidden="1">{"via1",#N/A,TRUE,"general";"via2",#N/A,TRUE,"general";"via3",#N/A,TRUE,"general"}</definedName>
    <definedName name="_______h3" localSheetId="15" hidden="1">{"via1",#N/A,TRUE,"general";"via2",#N/A,TRUE,"general";"via3",#N/A,TRUE,"general"}</definedName>
    <definedName name="_______h3" hidden="1">{"via1",#N/A,TRUE,"general";"via2",#N/A,TRUE,"general";"via3",#N/A,TRUE,"general"}</definedName>
    <definedName name="_______h4" localSheetId="14" hidden="1">{"TAB1",#N/A,TRUE,"GENERAL";"TAB2",#N/A,TRUE,"GENERAL";"TAB3",#N/A,TRUE,"GENERAL";"TAB4",#N/A,TRUE,"GENERAL";"TAB5",#N/A,TRUE,"GENERAL"}</definedName>
    <definedName name="_______h4" localSheetId="16" hidden="1">{"TAB1",#N/A,TRUE,"GENERAL";"TAB2",#N/A,TRUE,"GENERAL";"TAB3",#N/A,TRUE,"GENERAL";"TAB4",#N/A,TRUE,"GENERAL";"TAB5",#N/A,TRUE,"GENERAL"}</definedName>
    <definedName name="_______h4" localSheetId="17" hidden="1">{"TAB1",#N/A,TRUE,"GENERAL";"TAB2",#N/A,TRUE,"GENERAL";"TAB3",#N/A,TRUE,"GENERAL";"TAB4",#N/A,TRUE,"GENERAL";"TAB5",#N/A,TRUE,"GENERAL"}</definedName>
    <definedName name="_______h4" localSheetId="13" hidden="1">{"TAB1",#N/A,TRUE,"GENERAL";"TAB2",#N/A,TRUE,"GENERAL";"TAB3",#N/A,TRUE,"GENERAL";"TAB4",#N/A,TRUE,"GENERAL";"TAB5",#N/A,TRUE,"GENERAL"}</definedName>
    <definedName name="_______h4" localSheetId="15" hidden="1">{"TAB1",#N/A,TRUE,"GENERAL";"TAB2",#N/A,TRUE,"GENERAL";"TAB3",#N/A,TRUE,"GENERAL";"TAB4",#N/A,TRUE,"GENERAL";"TAB5",#N/A,TRUE,"GENERAL"}</definedName>
    <definedName name="_______h4" hidden="1">{"TAB1",#N/A,TRUE,"GENERAL";"TAB2",#N/A,TRUE,"GENERAL";"TAB3",#N/A,TRUE,"GENERAL";"TAB4",#N/A,TRUE,"GENERAL";"TAB5",#N/A,TRUE,"GENERAL"}</definedName>
    <definedName name="_______h5" localSheetId="14" hidden="1">{"TAB1",#N/A,TRUE,"GENERAL";"TAB2",#N/A,TRUE,"GENERAL";"TAB3",#N/A,TRUE,"GENERAL";"TAB4",#N/A,TRUE,"GENERAL";"TAB5",#N/A,TRUE,"GENERAL"}</definedName>
    <definedName name="_______h5" localSheetId="16" hidden="1">{"TAB1",#N/A,TRUE,"GENERAL";"TAB2",#N/A,TRUE,"GENERAL";"TAB3",#N/A,TRUE,"GENERAL";"TAB4",#N/A,TRUE,"GENERAL";"TAB5",#N/A,TRUE,"GENERAL"}</definedName>
    <definedName name="_______h5" localSheetId="17" hidden="1">{"TAB1",#N/A,TRUE,"GENERAL";"TAB2",#N/A,TRUE,"GENERAL";"TAB3",#N/A,TRUE,"GENERAL";"TAB4",#N/A,TRUE,"GENERAL";"TAB5",#N/A,TRUE,"GENERAL"}</definedName>
    <definedName name="_______h5" localSheetId="13" hidden="1">{"TAB1",#N/A,TRUE,"GENERAL";"TAB2",#N/A,TRUE,"GENERAL";"TAB3",#N/A,TRUE,"GENERAL";"TAB4",#N/A,TRUE,"GENERAL";"TAB5",#N/A,TRUE,"GENERAL"}</definedName>
    <definedName name="_______h5" localSheetId="15" hidden="1">{"TAB1",#N/A,TRUE,"GENERAL";"TAB2",#N/A,TRUE,"GENERAL";"TAB3",#N/A,TRUE,"GENERAL";"TAB4",#N/A,TRUE,"GENERAL";"TAB5",#N/A,TRUE,"GENERAL"}</definedName>
    <definedName name="_______h5" hidden="1">{"TAB1",#N/A,TRUE,"GENERAL";"TAB2",#N/A,TRUE,"GENERAL";"TAB3",#N/A,TRUE,"GENERAL";"TAB4",#N/A,TRUE,"GENERAL";"TAB5",#N/A,TRUE,"GENERAL"}</definedName>
    <definedName name="_______h6" localSheetId="14" hidden="1">{"via1",#N/A,TRUE,"general";"via2",#N/A,TRUE,"general";"via3",#N/A,TRUE,"general"}</definedName>
    <definedName name="_______h6" localSheetId="16" hidden="1">{"via1",#N/A,TRUE,"general";"via2",#N/A,TRUE,"general";"via3",#N/A,TRUE,"general"}</definedName>
    <definedName name="_______h6" localSheetId="17" hidden="1">{"via1",#N/A,TRUE,"general";"via2",#N/A,TRUE,"general";"via3",#N/A,TRUE,"general"}</definedName>
    <definedName name="_______h6" localSheetId="13" hidden="1">{"via1",#N/A,TRUE,"general";"via2",#N/A,TRUE,"general";"via3",#N/A,TRUE,"general"}</definedName>
    <definedName name="_______h6" localSheetId="15" hidden="1">{"via1",#N/A,TRUE,"general";"via2",#N/A,TRUE,"general";"via3",#N/A,TRUE,"general"}</definedName>
    <definedName name="_______h6" hidden="1">{"via1",#N/A,TRUE,"general";"via2",#N/A,TRUE,"general";"via3",#N/A,TRUE,"general"}</definedName>
    <definedName name="_______h7" localSheetId="14" hidden="1">{"TAB1",#N/A,TRUE,"GENERAL";"TAB2",#N/A,TRUE,"GENERAL";"TAB3",#N/A,TRUE,"GENERAL";"TAB4",#N/A,TRUE,"GENERAL";"TAB5",#N/A,TRUE,"GENERAL"}</definedName>
    <definedName name="_______h7" localSheetId="16" hidden="1">{"TAB1",#N/A,TRUE,"GENERAL";"TAB2",#N/A,TRUE,"GENERAL";"TAB3",#N/A,TRUE,"GENERAL";"TAB4",#N/A,TRUE,"GENERAL";"TAB5",#N/A,TRUE,"GENERAL"}</definedName>
    <definedName name="_______h7" localSheetId="17" hidden="1">{"TAB1",#N/A,TRUE,"GENERAL";"TAB2",#N/A,TRUE,"GENERAL";"TAB3",#N/A,TRUE,"GENERAL";"TAB4",#N/A,TRUE,"GENERAL";"TAB5",#N/A,TRUE,"GENERAL"}</definedName>
    <definedName name="_______h7" localSheetId="13" hidden="1">{"TAB1",#N/A,TRUE,"GENERAL";"TAB2",#N/A,TRUE,"GENERAL";"TAB3",#N/A,TRUE,"GENERAL";"TAB4",#N/A,TRUE,"GENERAL";"TAB5",#N/A,TRUE,"GENERAL"}</definedName>
    <definedName name="_______h7" localSheetId="15" hidden="1">{"TAB1",#N/A,TRUE,"GENERAL";"TAB2",#N/A,TRUE,"GENERAL";"TAB3",#N/A,TRUE,"GENERAL";"TAB4",#N/A,TRUE,"GENERAL";"TAB5",#N/A,TRUE,"GENERAL"}</definedName>
    <definedName name="_______h7" hidden="1">{"TAB1",#N/A,TRUE,"GENERAL";"TAB2",#N/A,TRUE,"GENERAL";"TAB3",#N/A,TRUE,"GENERAL";"TAB4",#N/A,TRUE,"GENERAL";"TAB5",#N/A,TRUE,"GENERAL"}</definedName>
    <definedName name="_______h8" localSheetId="14" hidden="1">{"via1",#N/A,TRUE,"general";"via2",#N/A,TRUE,"general";"via3",#N/A,TRUE,"general"}</definedName>
    <definedName name="_______h8" localSheetId="16" hidden="1">{"via1",#N/A,TRUE,"general";"via2",#N/A,TRUE,"general";"via3",#N/A,TRUE,"general"}</definedName>
    <definedName name="_______h8" localSheetId="17" hidden="1">{"via1",#N/A,TRUE,"general";"via2",#N/A,TRUE,"general";"via3",#N/A,TRUE,"general"}</definedName>
    <definedName name="_______h8" localSheetId="13" hidden="1">{"via1",#N/A,TRUE,"general";"via2",#N/A,TRUE,"general";"via3",#N/A,TRUE,"general"}</definedName>
    <definedName name="_______h8" localSheetId="15" hidden="1">{"via1",#N/A,TRUE,"general";"via2",#N/A,TRUE,"general";"via3",#N/A,TRUE,"general"}</definedName>
    <definedName name="_______h8" hidden="1">{"via1",#N/A,TRUE,"general";"via2",#N/A,TRUE,"general";"via3",#N/A,TRUE,"general"}</definedName>
    <definedName name="_______hfh7" localSheetId="14" hidden="1">{"via1",#N/A,TRUE,"general";"via2",#N/A,TRUE,"general";"via3",#N/A,TRUE,"general"}</definedName>
    <definedName name="_______hfh7" localSheetId="16" hidden="1">{"via1",#N/A,TRUE,"general";"via2",#N/A,TRUE,"general";"via3",#N/A,TRUE,"general"}</definedName>
    <definedName name="_______hfh7" localSheetId="17" hidden="1">{"via1",#N/A,TRUE,"general";"via2",#N/A,TRUE,"general";"via3",#N/A,TRUE,"general"}</definedName>
    <definedName name="_______hfh7" localSheetId="13" hidden="1">{"via1",#N/A,TRUE,"general";"via2",#N/A,TRUE,"general";"via3",#N/A,TRUE,"general"}</definedName>
    <definedName name="_______hfh7" localSheetId="15" hidden="1">{"via1",#N/A,TRUE,"general";"via2",#N/A,TRUE,"general";"via3",#N/A,TRUE,"general"}</definedName>
    <definedName name="_______hfh7" hidden="1">{"via1",#N/A,TRUE,"general";"via2",#N/A,TRUE,"general";"via3",#N/A,TRUE,"general"}</definedName>
    <definedName name="_______i1">#REF!</definedName>
    <definedName name="_______i4" localSheetId="14" hidden="1">{"via1",#N/A,TRUE,"general";"via2",#N/A,TRUE,"general";"via3",#N/A,TRUE,"general"}</definedName>
    <definedName name="_______i4" localSheetId="16" hidden="1">{"via1",#N/A,TRUE,"general";"via2",#N/A,TRUE,"general";"via3",#N/A,TRUE,"general"}</definedName>
    <definedName name="_______i4" localSheetId="17" hidden="1">{"via1",#N/A,TRUE,"general";"via2",#N/A,TRUE,"general";"via3",#N/A,TRUE,"general"}</definedName>
    <definedName name="_______i4" localSheetId="13" hidden="1">{"via1",#N/A,TRUE,"general";"via2",#N/A,TRUE,"general";"via3",#N/A,TRUE,"general"}</definedName>
    <definedName name="_______i4" localSheetId="15" hidden="1">{"via1",#N/A,TRUE,"general";"via2",#N/A,TRUE,"general";"via3",#N/A,TRUE,"general"}</definedName>
    <definedName name="_______i4" hidden="1">{"via1",#N/A,TRUE,"general";"via2",#N/A,TRUE,"general";"via3",#N/A,TRUE,"general"}</definedName>
    <definedName name="_______i5" localSheetId="14" hidden="1">{"TAB1",#N/A,TRUE,"GENERAL";"TAB2",#N/A,TRUE,"GENERAL";"TAB3",#N/A,TRUE,"GENERAL";"TAB4",#N/A,TRUE,"GENERAL";"TAB5",#N/A,TRUE,"GENERAL"}</definedName>
    <definedName name="_______i5" localSheetId="16" hidden="1">{"TAB1",#N/A,TRUE,"GENERAL";"TAB2",#N/A,TRUE,"GENERAL";"TAB3",#N/A,TRUE,"GENERAL";"TAB4",#N/A,TRUE,"GENERAL";"TAB5",#N/A,TRUE,"GENERAL"}</definedName>
    <definedName name="_______i5" localSheetId="17" hidden="1">{"TAB1",#N/A,TRUE,"GENERAL";"TAB2",#N/A,TRUE,"GENERAL";"TAB3",#N/A,TRUE,"GENERAL";"TAB4",#N/A,TRUE,"GENERAL";"TAB5",#N/A,TRUE,"GENERAL"}</definedName>
    <definedName name="_______i5" localSheetId="13" hidden="1">{"TAB1",#N/A,TRUE,"GENERAL";"TAB2",#N/A,TRUE,"GENERAL";"TAB3",#N/A,TRUE,"GENERAL";"TAB4",#N/A,TRUE,"GENERAL";"TAB5",#N/A,TRUE,"GENERAL"}</definedName>
    <definedName name="_______i5" localSheetId="15" hidden="1">{"TAB1",#N/A,TRUE,"GENERAL";"TAB2",#N/A,TRUE,"GENERAL";"TAB3",#N/A,TRUE,"GENERAL";"TAB4",#N/A,TRUE,"GENERAL";"TAB5",#N/A,TRUE,"GENERAL"}</definedName>
    <definedName name="_______i5" hidden="1">{"TAB1",#N/A,TRUE,"GENERAL";"TAB2",#N/A,TRUE,"GENERAL";"TAB3",#N/A,TRUE,"GENERAL";"TAB4",#N/A,TRUE,"GENERAL";"TAB5",#N/A,TRUE,"GENERAL"}</definedName>
    <definedName name="_______i6" localSheetId="14" hidden="1">{"TAB1",#N/A,TRUE,"GENERAL";"TAB2",#N/A,TRUE,"GENERAL";"TAB3",#N/A,TRUE,"GENERAL";"TAB4",#N/A,TRUE,"GENERAL";"TAB5",#N/A,TRUE,"GENERAL"}</definedName>
    <definedName name="_______i6" localSheetId="16" hidden="1">{"TAB1",#N/A,TRUE,"GENERAL";"TAB2",#N/A,TRUE,"GENERAL";"TAB3",#N/A,TRUE,"GENERAL";"TAB4",#N/A,TRUE,"GENERAL";"TAB5",#N/A,TRUE,"GENERAL"}</definedName>
    <definedName name="_______i6" localSheetId="17" hidden="1">{"TAB1",#N/A,TRUE,"GENERAL";"TAB2",#N/A,TRUE,"GENERAL";"TAB3",#N/A,TRUE,"GENERAL";"TAB4",#N/A,TRUE,"GENERAL";"TAB5",#N/A,TRUE,"GENERAL"}</definedName>
    <definedName name="_______i6" localSheetId="13" hidden="1">{"TAB1",#N/A,TRUE,"GENERAL";"TAB2",#N/A,TRUE,"GENERAL";"TAB3",#N/A,TRUE,"GENERAL";"TAB4",#N/A,TRUE,"GENERAL";"TAB5",#N/A,TRUE,"GENERAL"}</definedName>
    <definedName name="_______i6" localSheetId="15" hidden="1">{"TAB1",#N/A,TRUE,"GENERAL";"TAB2",#N/A,TRUE,"GENERAL";"TAB3",#N/A,TRUE,"GENERAL";"TAB4",#N/A,TRUE,"GENERAL";"TAB5",#N/A,TRUE,"GENERAL"}</definedName>
    <definedName name="_______i6" hidden="1">{"TAB1",#N/A,TRUE,"GENERAL";"TAB2",#N/A,TRUE,"GENERAL";"TAB3",#N/A,TRUE,"GENERAL";"TAB4",#N/A,TRUE,"GENERAL";"TAB5",#N/A,TRUE,"GENERAL"}</definedName>
    <definedName name="_______i7" localSheetId="14" hidden="1">{"via1",#N/A,TRUE,"general";"via2",#N/A,TRUE,"general";"via3",#N/A,TRUE,"general"}</definedName>
    <definedName name="_______i7" localSheetId="16" hidden="1">{"via1",#N/A,TRUE,"general";"via2",#N/A,TRUE,"general";"via3",#N/A,TRUE,"general"}</definedName>
    <definedName name="_______i7" localSheetId="17" hidden="1">{"via1",#N/A,TRUE,"general";"via2",#N/A,TRUE,"general";"via3",#N/A,TRUE,"general"}</definedName>
    <definedName name="_______i7" localSheetId="13" hidden="1">{"via1",#N/A,TRUE,"general";"via2",#N/A,TRUE,"general";"via3",#N/A,TRUE,"general"}</definedName>
    <definedName name="_______i7" localSheetId="15" hidden="1">{"via1",#N/A,TRUE,"general";"via2",#N/A,TRUE,"general";"via3",#N/A,TRUE,"general"}</definedName>
    <definedName name="_______i7" hidden="1">{"via1",#N/A,TRUE,"general";"via2",#N/A,TRUE,"general";"via3",#N/A,TRUE,"general"}</definedName>
    <definedName name="_______i77" localSheetId="14" hidden="1">{"TAB1",#N/A,TRUE,"GENERAL";"TAB2",#N/A,TRUE,"GENERAL";"TAB3",#N/A,TRUE,"GENERAL";"TAB4",#N/A,TRUE,"GENERAL";"TAB5",#N/A,TRUE,"GENERAL"}</definedName>
    <definedName name="_______i77" localSheetId="16" hidden="1">{"TAB1",#N/A,TRUE,"GENERAL";"TAB2",#N/A,TRUE,"GENERAL";"TAB3",#N/A,TRUE,"GENERAL";"TAB4",#N/A,TRUE,"GENERAL";"TAB5",#N/A,TRUE,"GENERAL"}</definedName>
    <definedName name="_______i77" localSheetId="17" hidden="1">{"TAB1",#N/A,TRUE,"GENERAL";"TAB2",#N/A,TRUE,"GENERAL";"TAB3",#N/A,TRUE,"GENERAL";"TAB4",#N/A,TRUE,"GENERAL";"TAB5",#N/A,TRUE,"GENERAL"}</definedName>
    <definedName name="_______i77" localSheetId="13" hidden="1">{"TAB1",#N/A,TRUE,"GENERAL";"TAB2",#N/A,TRUE,"GENERAL";"TAB3",#N/A,TRUE,"GENERAL";"TAB4",#N/A,TRUE,"GENERAL";"TAB5",#N/A,TRUE,"GENERAL"}</definedName>
    <definedName name="_______i77" localSheetId="15" hidden="1">{"TAB1",#N/A,TRUE,"GENERAL";"TAB2",#N/A,TRUE,"GENERAL";"TAB3",#N/A,TRUE,"GENERAL";"TAB4",#N/A,TRUE,"GENERAL";"TAB5",#N/A,TRUE,"GENERAL"}</definedName>
    <definedName name="_______i77" hidden="1">{"TAB1",#N/A,TRUE,"GENERAL";"TAB2",#N/A,TRUE,"GENERAL";"TAB3",#N/A,TRUE,"GENERAL";"TAB4",#N/A,TRUE,"GENERAL";"TAB5",#N/A,TRUE,"GENERAL"}</definedName>
    <definedName name="_______i8" localSheetId="14" hidden="1">{"via1",#N/A,TRUE,"general";"via2",#N/A,TRUE,"general";"via3",#N/A,TRUE,"general"}</definedName>
    <definedName name="_______i8" localSheetId="16" hidden="1">{"via1",#N/A,TRUE,"general";"via2",#N/A,TRUE,"general";"via3",#N/A,TRUE,"general"}</definedName>
    <definedName name="_______i8" localSheetId="17" hidden="1">{"via1",#N/A,TRUE,"general";"via2",#N/A,TRUE,"general";"via3",#N/A,TRUE,"general"}</definedName>
    <definedName name="_______i8" localSheetId="13" hidden="1">{"via1",#N/A,TRUE,"general";"via2",#N/A,TRUE,"general";"via3",#N/A,TRUE,"general"}</definedName>
    <definedName name="_______i8" localSheetId="15" hidden="1">{"via1",#N/A,TRUE,"general";"via2",#N/A,TRUE,"general";"via3",#N/A,TRUE,"general"}</definedName>
    <definedName name="_______i8" hidden="1">{"via1",#N/A,TRUE,"general";"via2",#N/A,TRUE,"general";"via3",#N/A,TRUE,"general"}</definedName>
    <definedName name="_______i9" localSheetId="14" hidden="1">{"TAB1",#N/A,TRUE,"GENERAL";"TAB2",#N/A,TRUE,"GENERAL";"TAB3",#N/A,TRUE,"GENERAL";"TAB4",#N/A,TRUE,"GENERAL";"TAB5",#N/A,TRUE,"GENERAL"}</definedName>
    <definedName name="_______i9" localSheetId="16" hidden="1">{"TAB1",#N/A,TRUE,"GENERAL";"TAB2",#N/A,TRUE,"GENERAL";"TAB3",#N/A,TRUE,"GENERAL";"TAB4",#N/A,TRUE,"GENERAL";"TAB5",#N/A,TRUE,"GENERAL"}</definedName>
    <definedName name="_______i9" localSheetId="17" hidden="1">{"TAB1",#N/A,TRUE,"GENERAL";"TAB2",#N/A,TRUE,"GENERAL";"TAB3",#N/A,TRUE,"GENERAL";"TAB4",#N/A,TRUE,"GENERAL";"TAB5",#N/A,TRUE,"GENERAL"}</definedName>
    <definedName name="_______i9" localSheetId="13" hidden="1">{"TAB1",#N/A,TRUE,"GENERAL";"TAB2",#N/A,TRUE,"GENERAL";"TAB3",#N/A,TRUE,"GENERAL";"TAB4",#N/A,TRUE,"GENERAL";"TAB5",#N/A,TRUE,"GENERAL"}</definedName>
    <definedName name="_______i9" localSheetId="15" hidden="1">{"TAB1",#N/A,TRUE,"GENERAL";"TAB2",#N/A,TRUE,"GENERAL";"TAB3",#N/A,TRUE,"GENERAL";"TAB4",#N/A,TRUE,"GENERAL";"TAB5",#N/A,TRUE,"GENERAL"}</definedName>
    <definedName name="_______i9" hidden="1">{"TAB1",#N/A,TRUE,"GENERAL";"TAB2",#N/A,TRUE,"GENERAL";"TAB3",#N/A,TRUE,"GENERAL";"TAB4",#N/A,TRUE,"GENERAL";"TAB5",#N/A,TRUE,"GENERAL"}</definedName>
    <definedName name="_______k3" localSheetId="14" hidden="1">{"TAB1",#N/A,TRUE,"GENERAL";"TAB2",#N/A,TRUE,"GENERAL";"TAB3",#N/A,TRUE,"GENERAL";"TAB4",#N/A,TRUE,"GENERAL";"TAB5",#N/A,TRUE,"GENERAL"}</definedName>
    <definedName name="_______k3" localSheetId="16" hidden="1">{"TAB1",#N/A,TRUE,"GENERAL";"TAB2",#N/A,TRUE,"GENERAL";"TAB3",#N/A,TRUE,"GENERAL";"TAB4",#N/A,TRUE,"GENERAL";"TAB5",#N/A,TRUE,"GENERAL"}</definedName>
    <definedName name="_______k3" localSheetId="17" hidden="1">{"TAB1",#N/A,TRUE,"GENERAL";"TAB2",#N/A,TRUE,"GENERAL";"TAB3",#N/A,TRUE,"GENERAL";"TAB4",#N/A,TRUE,"GENERAL";"TAB5",#N/A,TRUE,"GENERAL"}</definedName>
    <definedName name="_______k3" localSheetId="13" hidden="1">{"TAB1",#N/A,TRUE,"GENERAL";"TAB2",#N/A,TRUE,"GENERAL";"TAB3",#N/A,TRUE,"GENERAL";"TAB4",#N/A,TRUE,"GENERAL";"TAB5",#N/A,TRUE,"GENERAL"}</definedName>
    <definedName name="_______k3" localSheetId="15" hidden="1">{"TAB1",#N/A,TRUE,"GENERAL";"TAB2",#N/A,TRUE,"GENERAL";"TAB3",#N/A,TRUE,"GENERAL";"TAB4",#N/A,TRUE,"GENERAL";"TAB5",#N/A,TRUE,"GENERAL"}</definedName>
    <definedName name="_______k3" hidden="1">{"TAB1",#N/A,TRUE,"GENERAL";"TAB2",#N/A,TRUE,"GENERAL";"TAB3",#N/A,TRUE,"GENERAL";"TAB4",#N/A,TRUE,"GENERAL";"TAB5",#N/A,TRUE,"GENERAL"}</definedName>
    <definedName name="_______k4" localSheetId="14" hidden="1">{"via1",#N/A,TRUE,"general";"via2",#N/A,TRUE,"general";"via3",#N/A,TRUE,"general"}</definedName>
    <definedName name="_______k4" localSheetId="16" hidden="1">{"via1",#N/A,TRUE,"general";"via2",#N/A,TRUE,"general";"via3",#N/A,TRUE,"general"}</definedName>
    <definedName name="_______k4" localSheetId="17" hidden="1">{"via1",#N/A,TRUE,"general";"via2",#N/A,TRUE,"general";"via3",#N/A,TRUE,"general"}</definedName>
    <definedName name="_______k4" localSheetId="13" hidden="1">{"via1",#N/A,TRUE,"general";"via2",#N/A,TRUE,"general";"via3",#N/A,TRUE,"general"}</definedName>
    <definedName name="_______k4" localSheetId="15" hidden="1">{"via1",#N/A,TRUE,"general";"via2",#N/A,TRUE,"general";"via3",#N/A,TRUE,"general"}</definedName>
    <definedName name="_______k4" hidden="1">{"via1",#N/A,TRUE,"general";"via2",#N/A,TRUE,"general";"via3",#N/A,TRUE,"general"}</definedName>
    <definedName name="_______k5" localSheetId="14" hidden="1">{"via1",#N/A,TRUE,"general";"via2",#N/A,TRUE,"general";"via3",#N/A,TRUE,"general"}</definedName>
    <definedName name="_______k5" localSheetId="16" hidden="1">{"via1",#N/A,TRUE,"general";"via2",#N/A,TRUE,"general";"via3",#N/A,TRUE,"general"}</definedName>
    <definedName name="_______k5" localSheetId="17" hidden="1">{"via1",#N/A,TRUE,"general";"via2",#N/A,TRUE,"general";"via3",#N/A,TRUE,"general"}</definedName>
    <definedName name="_______k5" localSheetId="13" hidden="1">{"via1",#N/A,TRUE,"general";"via2",#N/A,TRUE,"general";"via3",#N/A,TRUE,"general"}</definedName>
    <definedName name="_______k5" localSheetId="15" hidden="1">{"via1",#N/A,TRUE,"general";"via2",#N/A,TRUE,"general";"via3",#N/A,TRUE,"general"}</definedName>
    <definedName name="_______k5" hidden="1">{"via1",#N/A,TRUE,"general";"via2",#N/A,TRUE,"general";"via3",#N/A,TRUE,"general"}</definedName>
    <definedName name="_______k6" localSheetId="14" hidden="1">{"TAB1",#N/A,TRUE,"GENERAL";"TAB2",#N/A,TRUE,"GENERAL";"TAB3",#N/A,TRUE,"GENERAL";"TAB4",#N/A,TRUE,"GENERAL";"TAB5",#N/A,TRUE,"GENERAL"}</definedName>
    <definedName name="_______k6" localSheetId="16" hidden="1">{"TAB1",#N/A,TRUE,"GENERAL";"TAB2",#N/A,TRUE,"GENERAL";"TAB3",#N/A,TRUE,"GENERAL";"TAB4",#N/A,TRUE,"GENERAL";"TAB5",#N/A,TRUE,"GENERAL"}</definedName>
    <definedName name="_______k6" localSheetId="17" hidden="1">{"TAB1",#N/A,TRUE,"GENERAL";"TAB2",#N/A,TRUE,"GENERAL";"TAB3",#N/A,TRUE,"GENERAL";"TAB4",#N/A,TRUE,"GENERAL";"TAB5",#N/A,TRUE,"GENERAL"}</definedName>
    <definedName name="_______k6" localSheetId="13" hidden="1">{"TAB1",#N/A,TRUE,"GENERAL";"TAB2",#N/A,TRUE,"GENERAL";"TAB3",#N/A,TRUE,"GENERAL";"TAB4",#N/A,TRUE,"GENERAL";"TAB5",#N/A,TRUE,"GENERAL"}</definedName>
    <definedName name="_______k6" localSheetId="15" hidden="1">{"TAB1",#N/A,TRUE,"GENERAL";"TAB2",#N/A,TRUE,"GENERAL";"TAB3",#N/A,TRUE,"GENERAL";"TAB4",#N/A,TRUE,"GENERAL";"TAB5",#N/A,TRUE,"GENERAL"}</definedName>
    <definedName name="_______k6" hidden="1">{"TAB1",#N/A,TRUE,"GENERAL";"TAB2",#N/A,TRUE,"GENERAL";"TAB3",#N/A,TRUE,"GENERAL";"TAB4",#N/A,TRUE,"GENERAL";"TAB5",#N/A,TRUE,"GENERAL"}</definedName>
    <definedName name="_______k7" localSheetId="14" hidden="1">{"via1",#N/A,TRUE,"general";"via2",#N/A,TRUE,"general";"via3",#N/A,TRUE,"general"}</definedName>
    <definedName name="_______k7" localSheetId="16" hidden="1">{"via1",#N/A,TRUE,"general";"via2",#N/A,TRUE,"general";"via3",#N/A,TRUE,"general"}</definedName>
    <definedName name="_______k7" localSheetId="17" hidden="1">{"via1",#N/A,TRUE,"general";"via2",#N/A,TRUE,"general";"via3",#N/A,TRUE,"general"}</definedName>
    <definedName name="_______k7" localSheetId="13" hidden="1">{"via1",#N/A,TRUE,"general";"via2",#N/A,TRUE,"general";"via3",#N/A,TRUE,"general"}</definedName>
    <definedName name="_______k7" localSheetId="15" hidden="1">{"via1",#N/A,TRUE,"general";"via2",#N/A,TRUE,"general";"via3",#N/A,TRUE,"general"}</definedName>
    <definedName name="_______k7" hidden="1">{"via1",#N/A,TRUE,"general";"via2",#N/A,TRUE,"general";"via3",#N/A,TRUE,"general"}</definedName>
    <definedName name="_______k8" localSheetId="14" hidden="1">{"via1",#N/A,TRUE,"general";"via2",#N/A,TRUE,"general";"via3",#N/A,TRUE,"general"}</definedName>
    <definedName name="_______k8" localSheetId="16" hidden="1">{"via1",#N/A,TRUE,"general";"via2",#N/A,TRUE,"general";"via3",#N/A,TRUE,"general"}</definedName>
    <definedName name="_______k8" localSheetId="17" hidden="1">{"via1",#N/A,TRUE,"general";"via2",#N/A,TRUE,"general";"via3",#N/A,TRUE,"general"}</definedName>
    <definedName name="_______k8" localSheetId="13" hidden="1">{"via1",#N/A,TRUE,"general";"via2",#N/A,TRUE,"general";"via3",#N/A,TRUE,"general"}</definedName>
    <definedName name="_______k8" localSheetId="15" hidden="1">{"via1",#N/A,TRUE,"general";"via2",#N/A,TRUE,"general";"via3",#N/A,TRUE,"general"}</definedName>
    <definedName name="_______k8" hidden="1">{"via1",#N/A,TRUE,"general";"via2",#N/A,TRUE,"general";"via3",#N/A,TRUE,"general"}</definedName>
    <definedName name="_______k9" localSheetId="14" hidden="1">{"TAB1",#N/A,TRUE,"GENERAL";"TAB2",#N/A,TRUE,"GENERAL";"TAB3",#N/A,TRUE,"GENERAL";"TAB4",#N/A,TRUE,"GENERAL";"TAB5",#N/A,TRUE,"GENERAL"}</definedName>
    <definedName name="_______k9" localSheetId="16" hidden="1">{"TAB1",#N/A,TRUE,"GENERAL";"TAB2",#N/A,TRUE,"GENERAL";"TAB3",#N/A,TRUE,"GENERAL";"TAB4",#N/A,TRUE,"GENERAL";"TAB5",#N/A,TRUE,"GENERAL"}</definedName>
    <definedName name="_______k9" localSheetId="17" hidden="1">{"TAB1",#N/A,TRUE,"GENERAL";"TAB2",#N/A,TRUE,"GENERAL";"TAB3",#N/A,TRUE,"GENERAL";"TAB4",#N/A,TRUE,"GENERAL";"TAB5",#N/A,TRUE,"GENERAL"}</definedName>
    <definedName name="_______k9" localSheetId="13" hidden="1">{"TAB1",#N/A,TRUE,"GENERAL";"TAB2",#N/A,TRUE,"GENERAL";"TAB3",#N/A,TRUE,"GENERAL";"TAB4",#N/A,TRUE,"GENERAL";"TAB5",#N/A,TRUE,"GENERAL"}</definedName>
    <definedName name="_______k9" localSheetId="15" hidden="1">{"TAB1",#N/A,TRUE,"GENERAL";"TAB2",#N/A,TRUE,"GENERAL";"TAB3",#N/A,TRUE,"GENERAL";"TAB4",#N/A,TRUE,"GENERAL";"TAB5",#N/A,TRUE,"GENERAL"}</definedName>
    <definedName name="_______k9" hidden="1">{"TAB1",#N/A,TRUE,"GENERAL";"TAB2",#N/A,TRUE,"GENERAL";"TAB3",#N/A,TRUE,"GENERAL";"TAB4",#N/A,TRUE,"GENERAL";"TAB5",#N/A,TRUE,"GENERAL"}</definedName>
    <definedName name="_______kjk6" localSheetId="14" hidden="1">{"TAB1",#N/A,TRUE,"GENERAL";"TAB2",#N/A,TRUE,"GENERAL";"TAB3",#N/A,TRUE,"GENERAL";"TAB4",#N/A,TRUE,"GENERAL";"TAB5",#N/A,TRUE,"GENERAL"}</definedName>
    <definedName name="_______kjk6" localSheetId="16" hidden="1">{"TAB1",#N/A,TRUE,"GENERAL";"TAB2",#N/A,TRUE,"GENERAL";"TAB3",#N/A,TRUE,"GENERAL";"TAB4",#N/A,TRUE,"GENERAL";"TAB5",#N/A,TRUE,"GENERAL"}</definedName>
    <definedName name="_______kjk6" localSheetId="17" hidden="1">{"TAB1",#N/A,TRUE,"GENERAL";"TAB2",#N/A,TRUE,"GENERAL";"TAB3",#N/A,TRUE,"GENERAL";"TAB4",#N/A,TRUE,"GENERAL";"TAB5",#N/A,TRUE,"GENERAL"}</definedName>
    <definedName name="_______kjk6" localSheetId="13" hidden="1">{"TAB1",#N/A,TRUE,"GENERAL";"TAB2",#N/A,TRUE,"GENERAL";"TAB3",#N/A,TRUE,"GENERAL";"TAB4",#N/A,TRUE,"GENERAL";"TAB5",#N/A,TRUE,"GENERAL"}</definedName>
    <definedName name="_______kjk6" localSheetId="15" hidden="1">{"TAB1",#N/A,TRUE,"GENERAL";"TAB2",#N/A,TRUE,"GENERAL";"TAB3",#N/A,TRUE,"GENERAL";"TAB4",#N/A,TRUE,"GENERAL";"TAB5",#N/A,TRUE,"GENERAL"}</definedName>
    <definedName name="_______kjk6" hidden="1">{"TAB1",#N/A,TRUE,"GENERAL";"TAB2",#N/A,TRUE,"GENERAL";"TAB3",#N/A,TRUE,"GENERAL";"TAB4",#N/A,TRUE,"GENERAL";"TAB5",#N/A,TRUE,"GENERAL"}</definedName>
    <definedName name="_______LA124">#REF!</definedName>
    <definedName name="_______LAC18">#REF!</definedName>
    <definedName name="_______m3" localSheetId="14" hidden="1">{"via1",#N/A,TRUE,"general";"via2",#N/A,TRUE,"general";"via3",#N/A,TRUE,"general"}</definedName>
    <definedName name="_______m3" localSheetId="16" hidden="1">{"via1",#N/A,TRUE,"general";"via2",#N/A,TRUE,"general";"via3",#N/A,TRUE,"general"}</definedName>
    <definedName name="_______m3" localSheetId="17" hidden="1">{"via1",#N/A,TRUE,"general";"via2",#N/A,TRUE,"general";"via3",#N/A,TRUE,"general"}</definedName>
    <definedName name="_______m3" localSheetId="13" hidden="1">{"via1",#N/A,TRUE,"general";"via2",#N/A,TRUE,"general";"via3",#N/A,TRUE,"general"}</definedName>
    <definedName name="_______m3" localSheetId="15" hidden="1">{"via1",#N/A,TRUE,"general";"via2",#N/A,TRUE,"general";"via3",#N/A,TRUE,"general"}</definedName>
    <definedName name="_______m3" hidden="1">{"via1",#N/A,TRUE,"general";"via2",#N/A,TRUE,"general";"via3",#N/A,TRUE,"general"}</definedName>
    <definedName name="_______m4" localSheetId="14" hidden="1">{"TAB1",#N/A,TRUE,"GENERAL";"TAB2",#N/A,TRUE,"GENERAL";"TAB3",#N/A,TRUE,"GENERAL";"TAB4",#N/A,TRUE,"GENERAL";"TAB5",#N/A,TRUE,"GENERAL"}</definedName>
    <definedName name="_______m4" localSheetId="16" hidden="1">{"TAB1",#N/A,TRUE,"GENERAL";"TAB2",#N/A,TRUE,"GENERAL";"TAB3",#N/A,TRUE,"GENERAL";"TAB4",#N/A,TRUE,"GENERAL";"TAB5",#N/A,TRUE,"GENERAL"}</definedName>
    <definedName name="_______m4" localSheetId="17" hidden="1">{"TAB1",#N/A,TRUE,"GENERAL";"TAB2",#N/A,TRUE,"GENERAL";"TAB3",#N/A,TRUE,"GENERAL";"TAB4",#N/A,TRUE,"GENERAL";"TAB5",#N/A,TRUE,"GENERAL"}</definedName>
    <definedName name="_______m4" localSheetId="13" hidden="1">{"TAB1",#N/A,TRUE,"GENERAL";"TAB2",#N/A,TRUE,"GENERAL";"TAB3",#N/A,TRUE,"GENERAL";"TAB4",#N/A,TRUE,"GENERAL";"TAB5",#N/A,TRUE,"GENERAL"}</definedName>
    <definedName name="_______m4" localSheetId="15" hidden="1">{"TAB1",#N/A,TRUE,"GENERAL";"TAB2",#N/A,TRUE,"GENERAL";"TAB3",#N/A,TRUE,"GENERAL";"TAB4",#N/A,TRUE,"GENERAL";"TAB5",#N/A,TRUE,"GENERAL"}</definedName>
    <definedName name="_______m4" hidden="1">{"TAB1",#N/A,TRUE,"GENERAL";"TAB2",#N/A,TRUE,"GENERAL";"TAB3",#N/A,TRUE,"GENERAL";"TAB4",#N/A,TRUE,"GENERAL";"TAB5",#N/A,TRUE,"GENERAL"}</definedName>
    <definedName name="_______m5" localSheetId="14" hidden="1">{"via1",#N/A,TRUE,"general";"via2",#N/A,TRUE,"general";"via3",#N/A,TRUE,"general"}</definedName>
    <definedName name="_______m5" localSheetId="16" hidden="1">{"via1",#N/A,TRUE,"general";"via2",#N/A,TRUE,"general";"via3",#N/A,TRUE,"general"}</definedName>
    <definedName name="_______m5" localSheetId="17" hidden="1">{"via1",#N/A,TRUE,"general";"via2",#N/A,TRUE,"general";"via3",#N/A,TRUE,"general"}</definedName>
    <definedName name="_______m5" localSheetId="13" hidden="1">{"via1",#N/A,TRUE,"general";"via2",#N/A,TRUE,"general";"via3",#N/A,TRUE,"general"}</definedName>
    <definedName name="_______m5" localSheetId="15" hidden="1">{"via1",#N/A,TRUE,"general";"via2",#N/A,TRUE,"general";"via3",#N/A,TRUE,"general"}</definedName>
    <definedName name="_______m5" hidden="1">{"via1",#N/A,TRUE,"general";"via2",#N/A,TRUE,"general";"via3",#N/A,TRUE,"general"}</definedName>
    <definedName name="_______m6" localSheetId="14" hidden="1">{"TAB1",#N/A,TRUE,"GENERAL";"TAB2",#N/A,TRUE,"GENERAL";"TAB3",#N/A,TRUE,"GENERAL";"TAB4",#N/A,TRUE,"GENERAL";"TAB5",#N/A,TRUE,"GENERAL"}</definedName>
    <definedName name="_______m6" localSheetId="16" hidden="1">{"TAB1",#N/A,TRUE,"GENERAL";"TAB2",#N/A,TRUE,"GENERAL";"TAB3",#N/A,TRUE,"GENERAL";"TAB4",#N/A,TRUE,"GENERAL";"TAB5",#N/A,TRUE,"GENERAL"}</definedName>
    <definedName name="_______m6" localSheetId="17" hidden="1">{"TAB1",#N/A,TRUE,"GENERAL";"TAB2",#N/A,TRUE,"GENERAL";"TAB3",#N/A,TRUE,"GENERAL";"TAB4",#N/A,TRUE,"GENERAL";"TAB5",#N/A,TRUE,"GENERAL"}</definedName>
    <definedName name="_______m6" localSheetId="13" hidden="1">{"TAB1",#N/A,TRUE,"GENERAL";"TAB2",#N/A,TRUE,"GENERAL";"TAB3",#N/A,TRUE,"GENERAL";"TAB4",#N/A,TRUE,"GENERAL";"TAB5",#N/A,TRUE,"GENERAL"}</definedName>
    <definedName name="_______m6" localSheetId="15" hidden="1">{"TAB1",#N/A,TRUE,"GENERAL";"TAB2",#N/A,TRUE,"GENERAL";"TAB3",#N/A,TRUE,"GENERAL";"TAB4",#N/A,TRUE,"GENERAL";"TAB5",#N/A,TRUE,"GENERAL"}</definedName>
    <definedName name="_______m6" hidden="1">{"TAB1",#N/A,TRUE,"GENERAL";"TAB2",#N/A,TRUE,"GENERAL";"TAB3",#N/A,TRUE,"GENERAL";"TAB4",#N/A,TRUE,"GENERAL";"TAB5",#N/A,TRUE,"GENERAL"}</definedName>
    <definedName name="_______m7" localSheetId="14" hidden="1">{"TAB1",#N/A,TRUE,"GENERAL";"TAB2",#N/A,TRUE,"GENERAL";"TAB3",#N/A,TRUE,"GENERAL";"TAB4",#N/A,TRUE,"GENERAL";"TAB5",#N/A,TRUE,"GENERAL"}</definedName>
    <definedName name="_______m7" localSheetId="16" hidden="1">{"TAB1",#N/A,TRUE,"GENERAL";"TAB2",#N/A,TRUE,"GENERAL";"TAB3",#N/A,TRUE,"GENERAL";"TAB4",#N/A,TRUE,"GENERAL";"TAB5",#N/A,TRUE,"GENERAL"}</definedName>
    <definedName name="_______m7" localSheetId="17" hidden="1">{"TAB1",#N/A,TRUE,"GENERAL";"TAB2",#N/A,TRUE,"GENERAL";"TAB3",#N/A,TRUE,"GENERAL";"TAB4",#N/A,TRUE,"GENERAL";"TAB5",#N/A,TRUE,"GENERAL"}</definedName>
    <definedName name="_______m7" localSheetId="13" hidden="1">{"TAB1",#N/A,TRUE,"GENERAL";"TAB2",#N/A,TRUE,"GENERAL";"TAB3",#N/A,TRUE,"GENERAL";"TAB4",#N/A,TRUE,"GENERAL";"TAB5",#N/A,TRUE,"GENERAL"}</definedName>
    <definedName name="_______m7" localSheetId="15" hidden="1">{"TAB1",#N/A,TRUE,"GENERAL";"TAB2",#N/A,TRUE,"GENERAL";"TAB3",#N/A,TRUE,"GENERAL";"TAB4",#N/A,TRUE,"GENERAL";"TAB5",#N/A,TRUE,"GENERAL"}</definedName>
    <definedName name="_______m7" hidden="1">{"TAB1",#N/A,TRUE,"GENERAL";"TAB2",#N/A,TRUE,"GENERAL";"TAB3",#N/A,TRUE,"GENERAL";"TAB4",#N/A,TRUE,"GENERAL";"TAB5",#N/A,TRUE,"GENERAL"}</definedName>
    <definedName name="_______m8" localSheetId="14" hidden="1">{"via1",#N/A,TRUE,"general";"via2",#N/A,TRUE,"general";"via3",#N/A,TRUE,"general"}</definedName>
    <definedName name="_______m8" localSheetId="16" hidden="1">{"via1",#N/A,TRUE,"general";"via2",#N/A,TRUE,"general";"via3",#N/A,TRUE,"general"}</definedName>
    <definedName name="_______m8" localSheetId="17" hidden="1">{"via1",#N/A,TRUE,"general";"via2",#N/A,TRUE,"general";"via3",#N/A,TRUE,"general"}</definedName>
    <definedName name="_______m8" localSheetId="13" hidden="1">{"via1",#N/A,TRUE,"general";"via2",#N/A,TRUE,"general";"via3",#N/A,TRUE,"general"}</definedName>
    <definedName name="_______m8" localSheetId="15" hidden="1">{"via1",#N/A,TRUE,"general";"via2",#N/A,TRUE,"general";"via3",#N/A,TRUE,"general"}</definedName>
    <definedName name="_______m8" hidden="1">{"via1",#N/A,TRUE,"general";"via2",#N/A,TRUE,"general";"via3",#N/A,TRUE,"general"}</definedName>
    <definedName name="_______m9" localSheetId="14" hidden="1">{"via1",#N/A,TRUE,"general";"via2",#N/A,TRUE,"general";"via3",#N/A,TRUE,"general"}</definedName>
    <definedName name="_______m9" localSheetId="16" hidden="1">{"via1",#N/A,TRUE,"general";"via2",#N/A,TRUE,"general";"via3",#N/A,TRUE,"general"}</definedName>
    <definedName name="_______m9" localSheetId="17" hidden="1">{"via1",#N/A,TRUE,"general";"via2",#N/A,TRUE,"general";"via3",#N/A,TRUE,"general"}</definedName>
    <definedName name="_______m9" localSheetId="13" hidden="1">{"via1",#N/A,TRUE,"general";"via2",#N/A,TRUE,"general";"via3",#N/A,TRUE,"general"}</definedName>
    <definedName name="_______m9" localSheetId="15" hidden="1">{"via1",#N/A,TRUE,"general";"via2",#N/A,TRUE,"general";"via3",#N/A,TRUE,"general"}</definedName>
    <definedName name="_______m9" hidden="1">{"via1",#N/A,TRUE,"general";"via2",#N/A,TRUE,"general";"via3",#N/A,TRUE,"general"}</definedName>
    <definedName name="_______MA2">#REF!</definedName>
    <definedName name="_______n3" localSheetId="14" hidden="1">{"TAB1",#N/A,TRUE,"GENERAL";"TAB2",#N/A,TRUE,"GENERAL";"TAB3",#N/A,TRUE,"GENERAL";"TAB4",#N/A,TRUE,"GENERAL";"TAB5",#N/A,TRUE,"GENERAL"}</definedName>
    <definedName name="_______n3" localSheetId="16" hidden="1">{"TAB1",#N/A,TRUE,"GENERAL";"TAB2",#N/A,TRUE,"GENERAL";"TAB3",#N/A,TRUE,"GENERAL";"TAB4",#N/A,TRUE,"GENERAL";"TAB5",#N/A,TRUE,"GENERAL"}</definedName>
    <definedName name="_______n3" localSheetId="17" hidden="1">{"TAB1",#N/A,TRUE,"GENERAL";"TAB2",#N/A,TRUE,"GENERAL";"TAB3",#N/A,TRUE,"GENERAL";"TAB4",#N/A,TRUE,"GENERAL";"TAB5",#N/A,TRUE,"GENERAL"}</definedName>
    <definedName name="_______n3" localSheetId="13" hidden="1">{"TAB1",#N/A,TRUE,"GENERAL";"TAB2",#N/A,TRUE,"GENERAL";"TAB3",#N/A,TRUE,"GENERAL";"TAB4",#N/A,TRUE,"GENERAL";"TAB5",#N/A,TRUE,"GENERAL"}</definedName>
    <definedName name="_______n3" localSheetId="15" hidden="1">{"TAB1",#N/A,TRUE,"GENERAL";"TAB2",#N/A,TRUE,"GENERAL";"TAB3",#N/A,TRUE,"GENERAL";"TAB4",#N/A,TRUE,"GENERAL";"TAB5",#N/A,TRUE,"GENERAL"}</definedName>
    <definedName name="_______n3" hidden="1">{"TAB1",#N/A,TRUE,"GENERAL";"TAB2",#N/A,TRUE,"GENERAL";"TAB3",#N/A,TRUE,"GENERAL";"TAB4",#N/A,TRUE,"GENERAL";"TAB5",#N/A,TRUE,"GENERAL"}</definedName>
    <definedName name="_______n4" localSheetId="14" hidden="1">{"via1",#N/A,TRUE,"general";"via2",#N/A,TRUE,"general";"via3",#N/A,TRUE,"general"}</definedName>
    <definedName name="_______n4" localSheetId="16" hidden="1">{"via1",#N/A,TRUE,"general";"via2",#N/A,TRUE,"general";"via3",#N/A,TRUE,"general"}</definedName>
    <definedName name="_______n4" localSheetId="17" hidden="1">{"via1",#N/A,TRUE,"general";"via2",#N/A,TRUE,"general";"via3",#N/A,TRUE,"general"}</definedName>
    <definedName name="_______n4" localSheetId="13" hidden="1">{"via1",#N/A,TRUE,"general";"via2",#N/A,TRUE,"general";"via3",#N/A,TRUE,"general"}</definedName>
    <definedName name="_______n4" localSheetId="15" hidden="1">{"via1",#N/A,TRUE,"general";"via2",#N/A,TRUE,"general";"via3",#N/A,TRUE,"general"}</definedName>
    <definedName name="_______n4" hidden="1">{"via1",#N/A,TRUE,"general";"via2",#N/A,TRUE,"general";"via3",#N/A,TRUE,"general"}</definedName>
    <definedName name="_______n5" localSheetId="14" hidden="1">{"TAB1",#N/A,TRUE,"GENERAL";"TAB2",#N/A,TRUE,"GENERAL";"TAB3",#N/A,TRUE,"GENERAL";"TAB4",#N/A,TRUE,"GENERAL";"TAB5",#N/A,TRUE,"GENERAL"}</definedName>
    <definedName name="_______n5" localSheetId="16" hidden="1">{"TAB1",#N/A,TRUE,"GENERAL";"TAB2",#N/A,TRUE,"GENERAL";"TAB3",#N/A,TRUE,"GENERAL";"TAB4",#N/A,TRUE,"GENERAL";"TAB5",#N/A,TRUE,"GENERAL"}</definedName>
    <definedName name="_______n5" localSheetId="17" hidden="1">{"TAB1",#N/A,TRUE,"GENERAL";"TAB2",#N/A,TRUE,"GENERAL";"TAB3",#N/A,TRUE,"GENERAL";"TAB4",#N/A,TRUE,"GENERAL";"TAB5",#N/A,TRUE,"GENERAL"}</definedName>
    <definedName name="_______n5" localSheetId="13" hidden="1">{"TAB1",#N/A,TRUE,"GENERAL";"TAB2",#N/A,TRUE,"GENERAL";"TAB3",#N/A,TRUE,"GENERAL";"TAB4",#N/A,TRUE,"GENERAL";"TAB5",#N/A,TRUE,"GENERAL"}</definedName>
    <definedName name="_______n5" localSheetId="15" hidden="1">{"TAB1",#N/A,TRUE,"GENERAL";"TAB2",#N/A,TRUE,"GENERAL";"TAB3",#N/A,TRUE,"GENERAL";"TAB4",#N/A,TRUE,"GENERAL";"TAB5",#N/A,TRUE,"GENERAL"}</definedName>
    <definedName name="_______n5" hidden="1">{"TAB1",#N/A,TRUE,"GENERAL";"TAB2",#N/A,TRUE,"GENERAL";"TAB3",#N/A,TRUE,"GENERAL";"TAB4",#N/A,TRUE,"GENERAL";"TAB5",#N/A,TRUE,"GENERAL"}</definedName>
    <definedName name="_______nyn7" localSheetId="14" hidden="1">{"via1",#N/A,TRUE,"general";"via2",#N/A,TRUE,"general";"via3",#N/A,TRUE,"general"}</definedName>
    <definedName name="_______nyn7" localSheetId="16" hidden="1">{"via1",#N/A,TRUE,"general";"via2",#N/A,TRUE,"general";"via3",#N/A,TRUE,"general"}</definedName>
    <definedName name="_______nyn7" localSheetId="17" hidden="1">{"via1",#N/A,TRUE,"general";"via2",#N/A,TRUE,"general";"via3",#N/A,TRUE,"general"}</definedName>
    <definedName name="_______nyn7" localSheetId="13" hidden="1">{"via1",#N/A,TRUE,"general";"via2",#N/A,TRUE,"general";"via3",#N/A,TRUE,"general"}</definedName>
    <definedName name="_______nyn7" localSheetId="15" hidden="1">{"via1",#N/A,TRUE,"general";"via2",#N/A,TRUE,"general";"via3",#N/A,TRUE,"general"}</definedName>
    <definedName name="_______nyn7" hidden="1">{"via1",#N/A,TRUE,"general";"via2",#N/A,TRUE,"general";"via3",#N/A,TRUE,"general"}</definedName>
    <definedName name="_______o4" localSheetId="14" hidden="1">{"via1",#N/A,TRUE,"general";"via2",#N/A,TRUE,"general";"via3",#N/A,TRUE,"general"}</definedName>
    <definedName name="_______o4" localSheetId="16" hidden="1">{"via1",#N/A,TRUE,"general";"via2",#N/A,TRUE,"general";"via3",#N/A,TRUE,"general"}</definedName>
    <definedName name="_______o4" localSheetId="17" hidden="1">{"via1",#N/A,TRUE,"general";"via2",#N/A,TRUE,"general";"via3",#N/A,TRUE,"general"}</definedName>
    <definedName name="_______o4" localSheetId="13" hidden="1">{"via1",#N/A,TRUE,"general";"via2",#N/A,TRUE,"general";"via3",#N/A,TRUE,"general"}</definedName>
    <definedName name="_______o4" localSheetId="15" hidden="1">{"via1",#N/A,TRUE,"general";"via2",#N/A,TRUE,"general";"via3",#N/A,TRUE,"general"}</definedName>
    <definedName name="_______o4" hidden="1">{"via1",#N/A,TRUE,"general";"via2",#N/A,TRUE,"general";"via3",#N/A,TRUE,"general"}</definedName>
    <definedName name="_______o5" localSheetId="14" hidden="1">{"TAB1",#N/A,TRUE,"GENERAL";"TAB2",#N/A,TRUE,"GENERAL";"TAB3",#N/A,TRUE,"GENERAL";"TAB4",#N/A,TRUE,"GENERAL";"TAB5",#N/A,TRUE,"GENERAL"}</definedName>
    <definedName name="_______o5" localSheetId="16" hidden="1">{"TAB1",#N/A,TRUE,"GENERAL";"TAB2",#N/A,TRUE,"GENERAL";"TAB3",#N/A,TRUE,"GENERAL";"TAB4",#N/A,TRUE,"GENERAL";"TAB5",#N/A,TRUE,"GENERAL"}</definedName>
    <definedName name="_______o5" localSheetId="17" hidden="1">{"TAB1",#N/A,TRUE,"GENERAL";"TAB2",#N/A,TRUE,"GENERAL";"TAB3",#N/A,TRUE,"GENERAL";"TAB4",#N/A,TRUE,"GENERAL";"TAB5",#N/A,TRUE,"GENERAL"}</definedName>
    <definedName name="_______o5" localSheetId="13" hidden="1">{"TAB1",#N/A,TRUE,"GENERAL";"TAB2",#N/A,TRUE,"GENERAL";"TAB3",#N/A,TRUE,"GENERAL";"TAB4",#N/A,TRUE,"GENERAL";"TAB5",#N/A,TRUE,"GENERAL"}</definedName>
    <definedName name="_______o5" localSheetId="15" hidden="1">{"TAB1",#N/A,TRUE,"GENERAL";"TAB2",#N/A,TRUE,"GENERAL";"TAB3",#N/A,TRUE,"GENERAL";"TAB4",#N/A,TRUE,"GENERAL";"TAB5",#N/A,TRUE,"GENERAL"}</definedName>
    <definedName name="_______o5" hidden="1">{"TAB1",#N/A,TRUE,"GENERAL";"TAB2",#N/A,TRUE,"GENERAL";"TAB3",#N/A,TRUE,"GENERAL";"TAB4",#N/A,TRUE,"GENERAL";"TAB5",#N/A,TRUE,"GENERAL"}</definedName>
    <definedName name="_______o6" localSheetId="14" hidden="1">{"TAB1",#N/A,TRUE,"GENERAL";"TAB2",#N/A,TRUE,"GENERAL";"TAB3",#N/A,TRUE,"GENERAL";"TAB4",#N/A,TRUE,"GENERAL";"TAB5",#N/A,TRUE,"GENERAL"}</definedName>
    <definedName name="_______o6" localSheetId="16" hidden="1">{"TAB1",#N/A,TRUE,"GENERAL";"TAB2",#N/A,TRUE,"GENERAL";"TAB3",#N/A,TRUE,"GENERAL";"TAB4",#N/A,TRUE,"GENERAL";"TAB5",#N/A,TRUE,"GENERAL"}</definedName>
    <definedName name="_______o6" localSheetId="17" hidden="1">{"TAB1",#N/A,TRUE,"GENERAL";"TAB2",#N/A,TRUE,"GENERAL";"TAB3",#N/A,TRUE,"GENERAL";"TAB4",#N/A,TRUE,"GENERAL";"TAB5",#N/A,TRUE,"GENERAL"}</definedName>
    <definedName name="_______o6" localSheetId="13" hidden="1">{"TAB1",#N/A,TRUE,"GENERAL";"TAB2",#N/A,TRUE,"GENERAL";"TAB3",#N/A,TRUE,"GENERAL";"TAB4",#N/A,TRUE,"GENERAL";"TAB5",#N/A,TRUE,"GENERAL"}</definedName>
    <definedName name="_______o6" localSheetId="15" hidden="1">{"TAB1",#N/A,TRUE,"GENERAL";"TAB2",#N/A,TRUE,"GENERAL";"TAB3",#N/A,TRUE,"GENERAL";"TAB4",#N/A,TRUE,"GENERAL";"TAB5",#N/A,TRUE,"GENERAL"}</definedName>
    <definedName name="_______o6" hidden="1">{"TAB1",#N/A,TRUE,"GENERAL";"TAB2",#N/A,TRUE,"GENERAL";"TAB3",#N/A,TRUE,"GENERAL";"TAB4",#N/A,TRUE,"GENERAL";"TAB5",#N/A,TRUE,"GENERAL"}</definedName>
    <definedName name="_______o7" localSheetId="14" hidden="1">{"TAB1",#N/A,TRUE,"GENERAL";"TAB2",#N/A,TRUE,"GENERAL";"TAB3",#N/A,TRUE,"GENERAL";"TAB4",#N/A,TRUE,"GENERAL";"TAB5",#N/A,TRUE,"GENERAL"}</definedName>
    <definedName name="_______o7" localSheetId="16" hidden="1">{"TAB1",#N/A,TRUE,"GENERAL";"TAB2",#N/A,TRUE,"GENERAL";"TAB3",#N/A,TRUE,"GENERAL";"TAB4",#N/A,TRUE,"GENERAL";"TAB5",#N/A,TRUE,"GENERAL"}</definedName>
    <definedName name="_______o7" localSheetId="17" hidden="1">{"TAB1",#N/A,TRUE,"GENERAL";"TAB2",#N/A,TRUE,"GENERAL";"TAB3",#N/A,TRUE,"GENERAL";"TAB4",#N/A,TRUE,"GENERAL";"TAB5",#N/A,TRUE,"GENERAL"}</definedName>
    <definedName name="_______o7" localSheetId="13" hidden="1">{"TAB1",#N/A,TRUE,"GENERAL";"TAB2",#N/A,TRUE,"GENERAL";"TAB3",#N/A,TRUE,"GENERAL";"TAB4",#N/A,TRUE,"GENERAL";"TAB5",#N/A,TRUE,"GENERAL"}</definedName>
    <definedName name="_______o7" localSheetId="15" hidden="1">{"TAB1",#N/A,TRUE,"GENERAL";"TAB2",#N/A,TRUE,"GENERAL";"TAB3",#N/A,TRUE,"GENERAL";"TAB4",#N/A,TRUE,"GENERAL";"TAB5",#N/A,TRUE,"GENERAL"}</definedName>
    <definedName name="_______o7" hidden="1">{"TAB1",#N/A,TRUE,"GENERAL";"TAB2",#N/A,TRUE,"GENERAL";"TAB3",#N/A,TRUE,"GENERAL";"TAB4",#N/A,TRUE,"GENERAL";"TAB5",#N/A,TRUE,"GENERAL"}</definedName>
    <definedName name="_______o8" localSheetId="14" hidden="1">{"via1",#N/A,TRUE,"general";"via2",#N/A,TRUE,"general";"via3",#N/A,TRUE,"general"}</definedName>
    <definedName name="_______o8" localSheetId="16" hidden="1">{"via1",#N/A,TRUE,"general";"via2",#N/A,TRUE,"general";"via3",#N/A,TRUE,"general"}</definedName>
    <definedName name="_______o8" localSheetId="17" hidden="1">{"via1",#N/A,TRUE,"general";"via2",#N/A,TRUE,"general";"via3",#N/A,TRUE,"general"}</definedName>
    <definedName name="_______o8" localSheetId="13" hidden="1">{"via1",#N/A,TRUE,"general";"via2",#N/A,TRUE,"general";"via3",#N/A,TRUE,"general"}</definedName>
    <definedName name="_______o8" localSheetId="15" hidden="1">{"via1",#N/A,TRUE,"general";"via2",#N/A,TRUE,"general";"via3",#N/A,TRUE,"general"}</definedName>
    <definedName name="_______o8" hidden="1">{"via1",#N/A,TRUE,"general";"via2",#N/A,TRUE,"general";"via3",#N/A,TRUE,"general"}</definedName>
    <definedName name="_______o9" localSheetId="14" hidden="1">{"TAB1",#N/A,TRUE,"GENERAL";"TAB2",#N/A,TRUE,"GENERAL";"TAB3",#N/A,TRUE,"GENERAL";"TAB4",#N/A,TRUE,"GENERAL";"TAB5",#N/A,TRUE,"GENERAL"}</definedName>
    <definedName name="_______o9" localSheetId="16" hidden="1">{"TAB1",#N/A,TRUE,"GENERAL";"TAB2",#N/A,TRUE,"GENERAL";"TAB3",#N/A,TRUE,"GENERAL";"TAB4",#N/A,TRUE,"GENERAL";"TAB5",#N/A,TRUE,"GENERAL"}</definedName>
    <definedName name="_______o9" localSheetId="17" hidden="1">{"TAB1",#N/A,TRUE,"GENERAL";"TAB2",#N/A,TRUE,"GENERAL";"TAB3",#N/A,TRUE,"GENERAL";"TAB4",#N/A,TRUE,"GENERAL";"TAB5",#N/A,TRUE,"GENERAL"}</definedName>
    <definedName name="_______o9" localSheetId="13" hidden="1">{"TAB1",#N/A,TRUE,"GENERAL";"TAB2",#N/A,TRUE,"GENERAL";"TAB3",#N/A,TRUE,"GENERAL";"TAB4",#N/A,TRUE,"GENERAL";"TAB5",#N/A,TRUE,"GENERAL"}</definedName>
    <definedName name="_______o9" localSheetId="15" hidden="1">{"TAB1",#N/A,TRUE,"GENERAL";"TAB2",#N/A,TRUE,"GENERAL";"TAB3",#N/A,TRUE,"GENERAL";"TAB4",#N/A,TRUE,"GENERAL";"TAB5",#N/A,TRUE,"GENERAL"}</definedName>
    <definedName name="_______o9" hidden="1">{"TAB1",#N/A,TRUE,"GENERAL";"TAB2",#N/A,TRUE,"GENERAL";"TAB3",#N/A,TRUE,"GENERAL";"TAB4",#N/A,TRUE,"GENERAL";"TAB5",#N/A,TRUE,"GENERAL"}</definedName>
    <definedName name="_______p6" localSheetId="14" hidden="1">{"via1",#N/A,TRUE,"general";"via2",#N/A,TRUE,"general";"via3",#N/A,TRUE,"general"}</definedName>
    <definedName name="_______p6" localSheetId="16" hidden="1">{"via1",#N/A,TRUE,"general";"via2",#N/A,TRUE,"general";"via3",#N/A,TRUE,"general"}</definedName>
    <definedName name="_______p6" localSheetId="17" hidden="1">{"via1",#N/A,TRUE,"general";"via2",#N/A,TRUE,"general";"via3",#N/A,TRUE,"general"}</definedName>
    <definedName name="_______p6" localSheetId="13" hidden="1">{"via1",#N/A,TRUE,"general";"via2",#N/A,TRUE,"general";"via3",#N/A,TRUE,"general"}</definedName>
    <definedName name="_______p6" localSheetId="15" hidden="1">{"via1",#N/A,TRUE,"general";"via2",#N/A,TRUE,"general";"via3",#N/A,TRUE,"general"}</definedName>
    <definedName name="_______p6" hidden="1">{"via1",#N/A,TRUE,"general";"via2",#N/A,TRUE,"general";"via3",#N/A,TRUE,"general"}</definedName>
    <definedName name="_______p7" localSheetId="14" hidden="1">{"via1",#N/A,TRUE,"general";"via2",#N/A,TRUE,"general";"via3",#N/A,TRUE,"general"}</definedName>
    <definedName name="_______p7" localSheetId="16" hidden="1">{"via1",#N/A,TRUE,"general";"via2",#N/A,TRUE,"general";"via3",#N/A,TRUE,"general"}</definedName>
    <definedName name="_______p7" localSheetId="17" hidden="1">{"via1",#N/A,TRUE,"general";"via2",#N/A,TRUE,"general";"via3",#N/A,TRUE,"general"}</definedName>
    <definedName name="_______p7" localSheetId="13" hidden="1">{"via1",#N/A,TRUE,"general";"via2",#N/A,TRUE,"general";"via3",#N/A,TRUE,"general"}</definedName>
    <definedName name="_______p7" localSheetId="15" hidden="1">{"via1",#N/A,TRUE,"general";"via2",#N/A,TRUE,"general";"via3",#N/A,TRUE,"general"}</definedName>
    <definedName name="_______p7" hidden="1">{"via1",#N/A,TRUE,"general";"via2",#N/A,TRUE,"general";"via3",#N/A,TRUE,"general"}</definedName>
    <definedName name="_______p8" localSheetId="14" hidden="1">{"TAB1",#N/A,TRUE,"GENERAL";"TAB2",#N/A,TRUE,"GENERAL";"TAB3",#N/A,TRUE,"GENERAL";"TAB4",#N/A,TRUE,"GENERAL";"TAB5",#N/A,TRUE,"GENERAL"}</definedName>
    <definedName name="_______p8" localSheetId="16" hidden="1">{"TAB1",#N/A,TRUE,"GENERAL";"TAB2",#N/A,TRUE,"GENERAL";"TAB3",#N/A,TRUE,"GENERAL";"TAB4",#N/A,TRUE,"GENERAL";"TAB5",#N/A,TRUE,"GENERAL"}</definedName>
    <definedName name="_______p8" localSheetId="17" hidden="1">{"TAB1",#N/A,TRUE,"GENERAL";"TAB2",#N/A,TRUE,"GENERAL";"TAB3",#N/A,TRUE,"GENERAL";"TAB4",#N/A,TRUE,"GENERAL";"TAB5",#N/A,TRUE,"GENERAL"}</definedName>
    <definedName name="_______p8" localSheetId="13" hidden="1">{"TAB1",#N/A,TRUE,"GENERAL";"TAB2",#N/A,TRUE,"GENERAL";"TAB3",#N/A,TRUE,"GENERAL";"TAB4",#N/A,TRUE,"GENERAL";"TAB5",#N/A,TRUE,"GENERAL"}</definedName>
    <definedName name="_______p8" localSheetId="15" hidden="1">{"TAB1",#N/A,TRUE,"GENERAL";"TAB2",#N/A,TRUE,"GENERAL";"TAB3",#N/A,TRUE,"GENERAL";"TAB4",#N/A,TRUE,"GENERAL";"TAB5",#N/A,TRUE,"GENERAL"}</definedName>
    <definedName name="_______p8" hidden="1">{"TAB1",#N/A,TRUE,"GENERAL";"TAB2",#N/A,TRUE,"GENERAL";"TAB3",#N/A,TRUE,"GENERAL";"TAB4",#N/A,TRUE,"GENERAL";"TAB5",#N/A,TRUE,"GENERAL"}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J50">#REF!</definedName>
    <definedName name="_______pj51">#REF!</definedName>
    <definedName name="_______Po2" localSheetId="3">#REF!</definedName>
    <definedName name="_______Po2">#REF!</definedName>
    <definedName name="_______r" localSheetId="3">#REF!</definedName>
    <definedName name="_______r" localSheetId="14" hidden="1">{"TAB1",#N/A,TRUE,"GENERAL";"TAB2",#N/A,TRUE,"GENERAL";"TAB3",#N/A,TRUE,"GENERAL";"TAB4",#N/A,TRUE,"GENERAL";"TAB5",#N/A,TRUE,"GENERAL"}</definedName>
    <definedName name="_______r" localSheetId="16" hidden="1">{"TAB1",#N/A,TRUE,"GENERAL";"TAB2",#N/A,TRUE,"GENERAL";"TAB3",#N/A,TRUE,"GENERAL";"TAB4",#N/A,TRUE,"GENERAL";"TAB5",#N/A,TRUE,"GENERAL"}</definedName>
    <definedName name="_______r" localSheetId="17" hidden="1">{"TAB1",#N/A,TRUE,"GENERAL";"TAB2",#N/A,TRUE,"GENERAL";"TAB3",#N/A,TRUE,"GENERAL";"TAB4",#N/A,TRUE,"GENERAL";"TAB5",#N/A,TRUE,"GENERAL"}</definedName>
    <definedName name="_______r" localSheetId="13" hidden="1">{"TAB1",#N/A,TRUE,"GENERAL";"TAB2",#N/A,TRUE,"GENERAL";"TAB3",#N/A,TRUE,"GENERAL";"TAB4",#N/A,TRUE,"GENERAL";"TAB5",#N/A,TRUE,"GENERAL"}</definedName>
    <definedName name="_______r" localSheetId="15" hidden="1">{"TAB1",#N/A,TRUE,"GENERAL";"TAB2",#N/A,TRUE,"GENERAL";"TAB3",#N/A,TRUE,"GENERAL";"TAB4",#N/A,TRUE,"GENERAL";"TAB5",#N/A,TRUE,"GENERAL"}</definedName>
    <definedName name="_______r">#REF!</definedName>
    <definedName name="_______R32JH" localSheetId="3">#REF!</definedName>
    <definedName name="_______R32JH">#REF!</definedName>
    <definedName name="_______r4r" localSheetId="14" hidden="1">{"via1",#N/A,TRUE,"general";"via2",#N/A,TRUE,"general";"via3",#N/A,TRUE,"general"}</definedName>
    <definedName name="_______r4r" localSheetId="16" hidden="1">{"via1",#N/A,TRUE,"general";"via2",#N/A,TRUE,"general";"via3",#N/A,TRUE,"general"}</definedName>
    <definedName name="_______r4r" localSheetId="17" hidden="1">{"via1",#N/A,TRUE,"general";"via2",#N/A,TRUE,"general";"via3",#N/A,TRUE,"general"}</definedName>
    <definedName name="_______r4r" localSheetId="13" hidden="1">{"via1",#N/A,TRUE,"general";"via2",#N/A,TRUE,"general";"via3",#N/A,TRUE,"general"}</definedName>
    <definedName name="_______r4r" localSheetId="15" hidden="1">{"via1",#N/A,TRUE,"general";"via2",#N/A,TRUE,"general";"via3",#N/A,TRUE,"general"}</definedName>
    <definedName name="_______r4r" hidden="1">{"via1",#N/A,TRUE,"general";"via2",#N/A,TRUE,"general";"via3",#N/A,TRUE,"general"}</definedName>
    <definedName name="_______R64JH">#REF!</definedName>
    <definedName name="_______R84JH">#REF!</definedName>
    <definedName name="_______rc">#REF!</definedName>
    <definedName name="_______REP43">#REF!</definedName>
    <definedName name="_______rtu6" localSheetId="14" hidden="1">{"via1",#N/A,TRUE,"general";"via2",#N/A,TRUE,"general";"via3",#N/A,TRUE,"general"}</definedName>
    <definedName name="_______rtu6" localSheetId="16" hidden="1">{"via1",#N/A,TRUE,"general";"via2",#N/A,TRUE,"general";"via3",#N/A,TRUE,"general"}</definedName>
    <definedName name="_______rtu6" localSheetId="17" hidden="1">{"via1",#N/A,TRUE,"general";"via2",#N/A,TRUE,"general";"via3",#N/A,TRUE,"general"}</definedName>
    <definedName name="_______rtu6" localSheetId="13" hidden="1">{"via1",#N/A,TRUE,"general";"via2",#N/A,TRUE,"general";"via3",#N/A,TRUE,"general"}</definedName>
    <definedName name="_______rtu6" localSheetId="15" hidden="1">{"via1",#N/A,TRUE,"general";"via2",#N/A,TRUE,"general";"via3",#N/A,TRUE,"general"}</definedName>
    <definedName name="_______rtu6" hidden="1">{"via1",#N/A,TRUE,"general";"via2",#N/A,TRUE,"general";"via3",#N/A,TRUE,"general"}</definedName>
    <definedName name="_______s1" localSheetId="14" hidden="1">{"via1",#N/A,TRUE,"general";"via2",#N/A,TRUE,"general";"via3",#N/A,TRUE,"general"}</definedName>
    <definedName name="_______s1" localSheetId="16" hidden="1">{"via1",#N/A,TRUE,"general";"via2",#N/A,TRUE,"general";"via3",#N/A,TRUE,"general"}</definedName>
    <definedName name="_______s1" localSheetId="17" hidden="1">{"via1",#N/A,TRUE,"general";"via2",#N/A,TRUE,"general";"via3",#N/A,TRUE,"general"}</definedName>
    <definedName name="_______s1" localSheetId="13" hidden="1">{"via1",#N/A,TRUE,"general";"via2",#N/A,TRUE,"general";"via3",#N/A,TRUE,"general"}</definedName>
    <definedName name="_______s1" localSheetId="15" hidden="1">{"via1",#N/A,TRUE,"general";"via2",#N/A,TRUE,"general";"via3",#N/A,TRUE,"general"}</definedName>
    <definedName name="_______s1" hidden="1">{"via1",#N/A,TRUE,"general";"via2",#N/A,TRUE,"general";"via3",#N/A,TRUE,"general"}</definedName>
    <definedName name="_______s2" localSheetId="14" hidden="1">{"TAB1",#N/A,TRUE,"GENERAL";"TAB2",#N/A,TRUE,"GENERAL";"TAB3",#N/A,TRUE,"GENERAL";"TAB4",#N/A,TRUE,"GENERAL";"TAB5",#N/A,TRUE,"GENERAL"}</definedName>
    <definedName name="_______s2" localSheetId="16" hidden="1">{"TAB1",#N/A,TRUE,"GENERAL";"TAB2",#N/A,TRUE,"GENERAL";"TAB3",#N/A,TRUE,"GENERAL";"TAB4",#N/A,TRUE,"GENERAL";"TAB5",#N/A,TRUE,"GENERAL"}</definedName>
    <definedName name="_______s2" localSheetId="17" hidden="1">{"TAB1",#N/A,TRUE,"GENERAL";"TAB2",#N/A,TRUE,"GENERAL";"TAB3",#N/A,TRUE,"GENERAL";"TAB4",#N/A,TRUE,"GENERAL";"TAB5",#N/A,TRUE,"GENERAL"}</definedName>
    <definedName name="_______s2" localSheetId="13" hidden="1">{"TAB1",#N/A,TRUE,"GENERAL";"TAB2",#N/A,TRUE,"GENERAL";"TAB3",#N/A,TRUE,"GENERAL";"TAB4",#N/A,TRUE,"GENERAL";"TAB5",#N/A,TRUE,"GENERAL"}</definedName>
    <definedName name="_______s2" localSheetId="15" hidden="1">{"TAB1",#N/A,TRUE,"GENERAL";"TAB2",#N/A,TRUE,"GENERAL";"TAB3",#N/A,TRUE,"GENERAL";"TAB4",#N/A,TRUE,"GENERAL";"TAB5",#N/A,TRUE,"GENERAL"}</definedName>
    <definedName name="_______s2" hidden="1">{"TAB1",#N/A,TRUE,"GENERAL";"TAB2",#N/A,TRUE,"GENERAL";"TAB3",#N/A,TRUE,"GENERAL";"TAB4",#N/A,TRUE,"GENERAL";"TAB5",#N/A,TRUE,"GENERAL"}</definedName>
    <definedName name="_______s3" localSheetId="14" hidden="1">{"TAB1",#N/A,TRUE,"GENERAL";"TAB2",#N/A,TRUE,"GENERAL";"TAB3",#N/A,TRUE,"GENERAL";"TAB4",#N/A,TRUE,"GENERAL";"TAB5",#N/A,TRUE,"GENERAL"}</definedName>
    <definedName name="_______s3" localSheetId="16" hidden="1">{"TAB1",#N/A,TRUE,"GENERAL";"TAB2",#N/A,TRUE,"GENERAL";"TAB3",#N/A,TRUE,"GENERAL";"TAB4",#N/A,TRUE,"GENERAL";"TAB5",#N/A,TRUE,"GENERAL"}</definedName>
    <definedName name="_______s3" localSheetId="17" hidden="1">{"TAB1",#N/A,TRUE,"GENERAL";"TAB2",#N/A,TRUE,"GENERAL";"TAB3",#N/A,TRUE,"GENERAL";"TAB4",#N/A,TRUE,"GENERAL";"TAB5",#N/A,TRUE,"GENERAL"}</definedName>
    <definedName name="_______s3" localSheetId="13" hidden="1">{"TAB1",#N/A,TRUE,"GENERAL";"TAB2",#N/A,TRUE,"GENERAL";"TAB3",#N/A,TRUE,"GENERAL";"TAB4",#N/A,TRUE,"GENERAL";"TAB5",#N/A,TRUE,"GENERAL"}</definedName>
    <definedName name="_______s3" localSheetId="15" hidden="1">{"TAB1",#N/A,TRUE,"GENERAL";"TAB2",#N/A,TRUE,"GENERAL";"TAB3",#N/A,TRUE,"GENERAL";"TAB4",#N/A,TRUE,"GENERAL";"TAB5",#N/A,TRUE,"GENERAL"}</definedName>
    <definedName name="_______s3" hidden="1">{"TAB1",#N/A,TRUE,"GENERAL";"TAB2",#N/A,TRUE,"GENERAL";"TAB3",#N/A,TRUE,"GENERAL";"TAB4",#N/A,TRUE,"GENERAL";"TAB5",#N/A,TRUE,"GENERAL"}</definedName>
    <definedName name="_______s4" localSheetId="14" hidden="1">{"via1",#N/A,TRUE,"general";"via2",#N/A,TRUE,"general";"via3",#N/A,TRUE,"general"}</definedName>
    <definedName name="_______s4" localSheetId="16" hidden="1">{"via1",#N/A,TRUE,"general";"via2",#N/A,TRUE,"general";"via3",#N/A,TRUE,"general"}</definedName>
    <definedName name="_______s4" localSheetId="17" hidden="1">{"via1",#N/A,TRUE,"general";"via2",#N/A,TRUE,"general";"via3",#N/A,TRUE,"general"}</definedName>
    <definedName name="_______s4" localSheetId="13" hidden="1">{"via1",#N/A,TRUE,"general";"via2",#N/A,TRUE,"general";"via3",#N/A,TRUE,"general"}</definedName>
    <definedName name="_______s4" localSheetId="15" hidden="1">{"via1",#N/A,TRUE,"general";"via2",#N/A,TRUE,"general";"via3",#N/A,TRUE,"general"}</definedName>
    <definedName name="_______s4" hidden="1">{"via1",#N/A,TRUE,"general";"via2",#N/A,TRUE,"general";"via3",#N/A,TRUE,"general"}</definedName>
    <definedName name="_______s5" localSheetId="14" hidden="1">{"via1",#N/A,TRUE,"general";"via2",#N/A,TRUE,"general";"via3",#N/A,TRUE,"general"}</definedName>
    <definedName name="_______s5" localSheetId="16" hidden="1">{"via1",#N/A,TRUE,"general";"via2",#N/A,TRUE,"general";"via3",#N/A,TRUE,"general"}</definedName>
    <definedName name="_______s5" localSheetId="17" hidden="1">{"via1",#N/A,TRUE,"general";"via2",#N/A,TRUE,"general";"via3",#N/A,TRUE,"general"}</definedName>
    <definedName name="_______s5" localSheetId="13" hidden="1">{"via1",#N/A,TRUE,"general";"via2",#N/A,TRUE,"general";"via3",#N/A,TRUE,"general"}</definedName>
    <definedName name="_______s5" localSheetId="15" hidden="1">{"via1",#N/A,TRUE,"general";"via2",#N/A,TRUE,"general";"via3",#N/A,TRUE,"general"}</definedName>
    <definedName name="_______s5" hidden="1">{"via1",#N/A,TRUE,"general";"via2",#N/A,TRUE,"general";"via3",#N/A,TRUE,"general"}</definedName>
    <definedName name="_______s6" localSheetId="14" hidden="1">{"TAB1",#N/A,TRUE,"GENERAL";"TAB2",#N/A,TRUE,"GENERAL";"TAB3",#N/A,TRUE,"GENERAL";"TAB4",#N/A,TRUE,"GENERAL";"TAB5",#N/A,TRUE,"GENERAL"}</definedName>
    <definedName name="_______s6" localSheetId="16" hidden="1">{"TAB1",#N/A,TRUE,"GENERAL";"TAB2",#N/A,TRUE,"GENERAL";"TAB3",#N/A,TRUE,"GENERAL";"TAB4",#N/A,TRUE,"GENERAL";"TAB5",#N/A,TRUE,"GENERAL"}</definedName>
    <definedName name="_______s6" localSheetId="17" hidden="1">{"TAB1",#N/A,TRUE,"GENERAL";"TAB2",#N/A,TRUE,"GENERAL";"TAB3",#N/A,TRUE,"GENERAL";"TAB4",#N/A,TRUE,"GENERAL";"TAB5",#N/A,TRUE,"GENERAL"}</definedName>
    <definedName name="_______s6" localSheetId="13" hidden="1">{"TAB1",#N/A,TRUE,"GENERAL";"TAB2",#N/A,TRUE,"GENERAL";"TAB3",#N/A,TRUE,"GENERAL";"TAB4",#N/A,TRUE,"GENERAL";"TAB5",#N/A,TRUE,"GENERAL"}</definedName>
    <definedName name="_______s6" localSheetId="15" hidden="1">{"TAB1",#N/A,TRUE,"GENERAL";"TAB2",#N/A,TRUE,"GENERAL";"TAB3",#N/A,TRUE,"GENERAL";"TAB4",#N/A,TRUE,"GENERAL";"TAB5",#N/A,TRUE,"GENERAL"}</definedName>
    <definedName name="_______s6" hidden="1">{"TAB1",#N/A,TRUE,"GENERAL";"TAB2",#N/A,TRUE,"GENERAL";"TAB3",#N/A,TRUE,"GENERAL";"TAB4",#N/A,TRUE,"GENERAL";"TAB5",#N/A,TRUE,"GENERAL"}</definedName>
    <definedName name="_______s7" localSheetId="14" hidden="1">{"via1",#N/A,TRUE,"general";"via2",#N/A,TRUE,"general";"via3",#N/A,TRUE,"general"}</definedName>
    <definedName name="_______s7" localSheetId="16" hidden="1">{"via1",#N/A,TRUE,"general";"via2",#N/A,TRUE,"general";"via3",#N/A,TRUE,"general"}</definedName>
    <definedName name="_______s7" localSheetId="17" hidden="1">{"via1",#N/A,TRUE,"general";"via2",#N/A,TRUE,"general";"via3",#N/A,TRUE,"general"}</definedName>
    <definedName name="_______s7" localSheetId="13" hidden="1">{"via1",#N/A,TRUE,"general";"via2",#N/A,TRUE,"general";"via3",#N/A,TRUE,"general"}</definedName>
    <definedName name="_______s7" localSheetId="15" hidden="1">{"via1",#N/A,TRUE,"general";"via2",#N/A,TRUE,"general";"via3",#N/A,TRUE,"general"}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ST166">#REF!</definedName>
    <definedName name="_______t3" localSheetId="14" hidden="1">{"TAB1",#N/A,TRUE,"GENERAL";"TAB2",#N/A,TRUE,"GENERAL";"TAB3",#N/A,TRUE,"GENERAL";"TAB4",#N/A,TRUE,"GENERAL";"TAB5",#N/A,TRUE,"GENERAL"}</definedName>
    <definedName name="_______t3" localSheetId="16" hidden="1">{"TAB1",#N/A,TRUE,"GENERAL";"TAB2",#N/A,TRUE,"GENERAL";"TAB3",#N/A,TRUE,"GENERAL";"TAB4",#N/A,TRUE,"GENERAL";"TAB5",#N/A,TRUE,"GENERAL"}</definedName>
    <definedName name="_______t3" localSheetId="17" hidden="1">{"TAB1",#N/A,TRUE,"GENERAL";"TAB2",#N/A,TRUE,"GENERAL";"TAB3",#N/A,TRUE,"GENERAL";"TAB4",#N/A,TRUE,"GENERAL";"TAB5",#N/A,TRUE,"GENERAL"}</definedName>
    <definedName name="_______t3" localSheetId="13" hidden="1">{"TAB1",#N/A,TRUE,"GENERAL";"TAB2",#N/A,TRUE,"GENERAL";"TAB3",#N/A,TRUE,"GENERAL";"TAB4",#N/A,TRUE,"GENERAL";"TAB5",#N/A,TRUE,"GENERAL"}</definedName>
    <definedName name="_______t3" localSheetId="15" hidden="1">{"TAB1",#N/A,TRUE,"GENERAL";"TAB2",#N/A,TRUE,"GENERAL";"TAB3",#N/A,TRUE,"GENERAL";"TAB4",#N/A,TRUE,"GENERAL";"TAB5",#N/A,TRUE,"GENERAL"}</definedName>
    <definedName name="_______t3" hidden="1">{"TAB1",#N/A,TRUE,"GENERAL";"TAB2",#N/A,TRUE,"GENERAL";"TAB3",#N/A,TRUE,"GENERAL";"TAB4",#N/A,TRUE,"GENERAL";"TAB5",#N/A,TRUE,"GENERAL"}</definedName>
    <definedName name="_______t4" localSheetId="14" hidden="1">{"via1",#N/A,TRUE,"general";"via2",#N/A,TRUE,"general";"via3",#N/A,TRUE,"general"}</definedName>
    <definedName name="_______t4" localSheetId="16" hidden="1">{"via1",#N/A,TRUE,"general";"via2",#N/A,TRUE,"general";"via3",#N/A,TRUE,"general"}</definedName>
    <definedName name="_______t4" localSheetId="17" hidden="1">{"via1",#N/A,TRUE,"general";"via2",#N/A,TRUE,"general";"via3",#N/A,TRUE,"general"}</definedName>
    <definedName name="_______t4" localSheetId="13" hidden="1">{"via1",#N/A,TRUE,"general";"via2",#N/A,TRUE,"general";"via3",#N/A,TRUE,"general"}</definedName>
    <definedName name="_______t4" localSheetId="15" hidden="1">{"via1",#N/A,TRUE,"general";"via2",#N/A,TRUE,"general";"via3",#N/A,TRUE,"general"}</definedName>
    <definedName name="_______t4" hidden="1">{"via1",#N/A,TRUE,"general";"via2",#N/A,TRUE,"general";"via3",#N/A,TRUE,"general"}</definedName>
    <definedName name="_______t5" localSheetId="14" hidden="1">{"TAB1",#N/A,TRUE,"GENERAL";"TAB2",#N/A,TRUE,"GENERAL";"TAB3",#N/A,TRUE,"GENERAL";"TAB4",#N/A,TRUE,"GENERAL";"TAB5",#N/A,TRUE,"GENERAL"}</definedName>
    <definedName name="_______t5" localSheetId="16" hidden="1">{"TAB1",#N/A,TRUE,"GENERAL";"TAB2",#N/A,TRUE,"GENERAL";"TAB3",#N/A,TRUE,"GENERAL";"TAB4",#N/A,TRUE,"GENERAL";"TAB5",#N/A,TRUE,"GENERAL"}</definedName>
    <definedName name="_______t5" localSheetId="17" hidden="1">{"TAB1",#N/A,TRUE,"GENERAL";"TAB2",#N/A,TRUE,"GENERAL";"TAB3",#N/A,TRUE,"GENERAL";"TAB4",#N/A,TRUE,"GENERAL";"TAB5",#N/A,TRUE,"GENERAL"}</definedName>
    <definedName name="_______t5" localSheetId="13" hidden="1">{"TAB1",#N/A,TRUE,"GENERAL";"TAB2",#N/A,TRUE,"GENERAL";"TAB3",#N/A,TRUE,"GENERAL";"TAB4",#N/A,TRUE,"GENERAL";"TAB5",#N/A,TRUE,"GENERAL"}</definedName>
    <definedName name="_______t5" localSheetId="15" hidden="1">{"TAB1",#N/A,TRUE,"GENERAL";"TAB2",#N/A,TRUE,"GENERAL";"TAB3",#N/A,TRUE,"GENERAL";"TAB4",#N/A,TRUE,"GENERAL";"TAB5",#N/A,TRUE,"GENERAL"}</definedName>
    <definedName name="_______t5" hidden="1">{"TAB1",#N/A,TRUE,"GENERAL";"TAB2",#N/A,TRUE,"GENERAL";"TAB3",#N/A,TRUE,"GENERAL";"TAB4",#N/A,TRUE,"GENERAL";"TAB5",#N/A,TRUE,"GENERAL"}</definedName>
    <definedName name="_______t6" localSheetId="14" hidden="1">{"via1",#N/A,TRUE,"general";"via2",#N/A,TRUE,"general";"via3",#N/A,TRUE,"general"}</definedName>
    <definedName name="_______t6" localSheetId="16" hidden="1">{"via1",#N/A,TRUE,"general";"via2",#N/A,TRUE,"general";"via3",#N/A,TRUE,"general"}</definedName>
    <definedName name="_______t6" localSheetId="17" hidden="1">{"via1",#N/A,TRUE,"general";"via2",#N/A,TRUE,"general";"via3",#N/A,TRUE,"general"}</definedName>
    <definedName name="_______t6" localSheetId="13" hidden="1">{"via1",#N/A,TRUE,"general";"via2",#N/A,TRUE,"general";"via3",#N/A,TRUE,"general"}</definedName>
    <definedName name="_______t6" localSheetId="15" hidden="1">{"via1",#N/A,TRUE,"general";"via2",#N/A,TRUE,"general";"via3",#N/A,TRUE,"general"}</definedName>
    <definedName name="_______t6" hidden="1">{"via1",#N/A,TRUE,"general";"via2",#N/A,TRUE,"general";"via3",#N/A,TRUE,"general"}</definedName>
    <definedName name="_______t66" localSheetId="14" hidden="1">{"TAB1",#N/A,TRUE,"GENERAL";"TAB2",#N/A,TRUE,"GENERAL";"TAB3",#N/A,TRUE,"GENERAL";"TAB4",#N/A,TRUE,"GENERAL";"TAB5",#N/A,TRUE,"GENERAL"}</definedName>
    <definedName name="_______t66" localSheetId="16" hidden="1">{"TAB1",#N/A,TRUE,"GENERAL";"TAB2",#N/A,TRUE,"GENERAL";"TAB3",#N/A,TRUE,"GENERAL";"TAB4",#N/A,TRUE,"GENERAL";"TAB5",#N/A,TRUE,"GENERAL"}</definedName>
    <definedName name="_______t66" localSheetId="17" hidden="1">{"TAB1",#N/A,TRUE,"GENERAL";"TAB2",#N/A,TRUE,"GENERAL";"TAB3",#N/A,TRUE,"GENERAL";"TAB4",#N/A,TRUE,"GENERAL";"TAB5",#N/A,TRUE,"GENERAL"}</definedName>
    <definedName name="_______t66" localSheetId="13" hidden="1">{"TAB1",#N/A,TRUE,"GENERAL";"TAB2",#N/A,TRUE,"GENERAL";"TAB3",#N/A,TRUE,"GENERAL";"TAB4",#N/A,TRUE,"GENERAL";"TAB5",#N/A,TRUE,"GENERAL"}</definedName>
    <definedName name="_______t66" localSheetId="15" hidden="1">{"TAB1",#N/A,TRUE,"GENERAL";"TAB2",#N/A,TRUE,"GENERAL";"TAB3",#N/A,TRUE,"GENERAL";"TAB4",#N/A,TRUE,"GENERAL";"TAB5",#N/A,TRUE,"GENERAL"}</definedName>
    <definedName name="_______t66" hidden="1">{"TAB1",#N/A,TRUE,"GENERAL";"TAB2",#N/A,TRUE,"GENERAL";"TAB3",#N/A,TRUE,"GENERAL";"TAB4",#N/A,TRUE,"GENERAL";"TAB5",#N/A,TRUE,"GENERAL"}</definedName>
    <definedName name="_______t7" localSheetId="14" hidden="1">{"via1",#N/A,TRUE,"general";"via2",#N/A,TRUE,"general";"via3",#N/A,TRUE,"general"}</definedName>
    <definedName name="_______t7" localSheetId="16" hidden="1">{"via1",#N/A,TRUE,"general";"via2",#N/A,TRUE,"general";"via3",#N/A,TRUE,"general"}</definedName>
    <definedName name="_______t7" localSheetId="17" hidden="1">{"via1",#N/A,TRUE,"general";"via2",#N/A,TRUE,"general";"via3",#N/A,TRUE,"general"}</definedName>
    <definedName name="_______t7" localSheetId="13" hidden="1">{"via1",#N/A,TRUE,"general";"via2",#N/A,TRUE,"general";"via3",#N/A,TRUE,"general"}</definedName>
    <definedName name="_______t7" localSheetId="15" hidden="1">{"via1",#N/A,TRUE,"general";"via2",#N/A,TRUE,"general";"via3",#N/A,TRUE,"general"}</definedName>
    <definedName name="_______t7" hidden="1">{"via1",#N/A,TRUE,"general";"via2",#N/A,TRUE,"general";"via3",#N/A,TRUE,"general"}</definedName>
    <definedName name="_______t77" localSheetId="14" hidden="1">{"TAB1",#N/A,TRUE,"GENERAL";"TAB2",#N/A,TRUE,"GENERAL";"TAB3",#N/A,TRUE,"GENERAL";"TAB4",#N/A,TRUE,"GENERAL";"TAB5",#N/A,TRUE,"GENERAL"}</definedName>
    <definedName name="_______t77" localSheetId="16" hidden="1">{"TAB1",#N/A,TRUE,"GENERAL";"TAB2",#N/A,TRUE,"GENERAL";"TAB3",#N/A,TRUE,"GENERAL";"TAB4",#N/A,TRUE,"GENERAL";"TAB5",#N/A,TRUE,"GENERAL"}</definedName>
    <definedName name="_______t77" localSheetId="17" hidden="1">{"TAB1",#N/A,TRUE,"GENERAL";"TAB2",#N/A,TRUE,"GENERAL";"TAB3",#N/A,TRUE,"GENERAL";"TAB4",#N/A,TRUE,"GENERAL";"TAB5",#N/A,TRUE,"GENERAL"}</definedName>
    <definedName name="_______t77" localSheetId="13" hidden="1">{"TAB1",#N/A,TRUE,"GENERAL";"TAB2",#N/A,TRUE,"GENERAL";"TAB3",#N/A,TRUE,"GENERAL";"TAB4",#N/A,TRUE,"GENERAL";"TAB5",#N/A,TRUE,"GENERAL"}</definedName>
    <definedName name="_______t77" localSheetId="15" hidden="1">{"TAB1",#N/A,TRUE,"GENERAL";"TAB2",#N/A,TRUE,"GENERAL";"TAB3",#N/A,TRUE,"GENERAL";"TAB4",#N/A,TRUE,"GENERAL";"TAB5",#N/A,TRUE,"GENERAL"}</definedName>
    <definedName name="_______t77" hidden="1">{"TAB1",#N/A,TRUE,"GENERAL";"TAB2",#N/A,TRUE,"GENERAL";"TAB3",#N/A,TRUE,"GENERAL";"TAB4",#N/A,TRUE,"GENERAL";"TAB5",#N/A,TRUE,"GENERAL"}</definedName>
    <definedName name="_______t8" localSheetId="14" hidden="1">{"TAB1",#N/A,TRUE,"GENERAL";"TAB2",#N/A,TRUE,"GENERAL";"TAB3",#N/A,TRUE,"GENERAL";"TAB4",#N/A,TRUE,"GENERAL";"TAB5",#N/A,TRUE,"GENERAL"}</definedName>
    <definedName name="_______t8" localSheetId="16" hidden="1">{"TAB1",#N/A,TRUE,"GENERAL";"TAB2",#N/A,TRUE,"GENERAL";"TAB3",#N/A,TRUE,"GENERAL";"TAB4",#N/A,TRUE,"GENERAL";"TAB5",#N/A,TRUE,"GENERAL"}</definedName>
    <definedName name="_______t8" localSheetId="17" hidden="1">{"TAB1",#N/A,TRUE,"GENERAL";"TAB2",#N/A,TRUE,"GENERAL";"TAB3",#N/A,TRUE,"GENERAL";"TAB4",#N/A,TRUE,"GENERAL";"TAB5",#N/A,TRUE,"GENERAL"}</definedName>
    <definedName name="_______t8" localSheetId="13" hidden="1">{"TAB1",#N/A,TRUE,"GENERAL";"TAB2",#N/A,TRUE,"GENERAL";"TAB3",#N/A,TRUE,"GENERAL";"TAB4",#N/A,TRUE,"GENERAL";"TAB5",#N/A,TRUE,"GENERAL"}</definedName>
    <definedName name="_______t8" localSheetId="15" hidden="1">{"TAB1",#N/A,TRUE,"GENERAL";"TAB2",#N/A,TRUE,"GENERAL";"TAB3",#N/A,TRUE,"GENERAL";"TAB4",#N/A,TRUE,"GENERAL";"TAB5",#N/A,TRUE,"GENERAL"}</definedName>
    <definedName name="_______t8" hidden="1">{"TAB1",#N/A,TRUE,"GENERAL";"TAB2",#N/A,TRUE,"GENERAL";"TAB3",#N/A,TRUE,"GENERAL";"TAB4",#N/A,TRUE,"GENERAL";"TAB5",#N/A,TRUE,"GENERAL"}</definedName>
    <definedName name="_______t88" localSheetId="14" hidden="1">{"via1",#N/A,TRUE,"general";"via2",#N/A,TRUE,"general";"via3",#N/A,TRUE,"general"}</definedName>
    <definedName name="_______t88" localSheetId="16" hidden="1">{"via1",#N/A,TRUE,"general";"via2",#N/A,TRUE,"general";"via3",#N/A,TRUE,"general"}</definedName>
    <definedName name="_______t88" localSheetId="17" hidden="1">{"via1",#N/A,TRUE,"general";"via2",#N/A,TRUE,"general";"via3",#N/A,TRUE,"general"}</definedName>
    <definedName name="_______t88" localSheetId="13" hidden="1">{"via1",#N/A,TRUE,"general";"via2",#N/A,TRUE,"general";"via3",#N/A,TRUE,"general"}</definedName>
    <definedName name="_______t88" localSheetId="15" hidden="1">{"via1",#N/A,TRUE,"general";"via2",#N/A,TRUE,"general";"via3",#N/A,TRUE,"general"}</definedName>
    <definedName name="_______t88" hidden="1">{"via1",#N/A,TRUE,"general";"via2",#N/A,TRUE,"general";"via3",#N/A,TRUE,"general"}</definedName>
    <definedName name="_______t9" localSheetId="14" hidden="1">{"TAB1",#N/A,TRUE,"GENERAL";"TAB2",#N/A,TRUE,"GENERAL";"TAB3",#N/A,TRUE,"GENERAL";"TAB4",#N/A,TRUE,"GENERAL";"TAB5",#N/A,TRUE,"GENERAL"}</definedName>
    <definedName name="_______t9" localSheetId="16" hidden="1">{"TAB1",#N/A,TRUE,"GENERAL";"TAB2",#N/A,TRUE,"GENERAL";"TAB3",#N/A,TRUE,"GENERAL";"TAB4",#N/A,TRUE,"GENERAL";"TAB5",#N/A,TRUE,"GENERAL"}</definedName>
    <definedName name="_______t9" localSheetId="17" hidden="1">{"TAB1",#N/A,TRUE,"GENERAL";"TAB2",#N/A,TRUE,"GENERAL";"TAB3",#N/A,TRUE,"GENERAL";"TAB4",#N/A,TRUE,"GENERAL";"TAB5",#N/A,TRUE,"GENERAL"}</definedName>
    <definedName name="_______t9" localSheetId="13" hidden="1">{"TAB1",#N/A,TRUE,"GENERAL";"TAB2",#N/A,TRUE,"GENERAL";"TAB3",#N/A,TRUE,"GENERAL";"TAB4",#N/A,TRUE,"GENERAL";"TAB5",#N/A,TRUE,"GENERAL"}</definedName>
    <definedName name="_______t9" localSheetId="15" hidden="1">{"TAB1",#N/A,TRUE,"GENERAL";"TAB2",#N/A,TRUE,"GENERAL";"TAB3",#N/A,TRUE,"GENERAL";"TAB4",#N/A,TRUE,"GENERAL";"TAB5",#N/A,TRUE,"GENERAL"}</definedName>
    <definedName name="_______t9" hidden="1">{"TAB1",#N/A,TRUE,"GENERAL";"TAB2",#N/A,TRUE,"GENERAL";"TAB3",#N/A,TRUE,"GENERAL";"TAB4",#N/A,TRUE,"GENERAL";"TAB5",#N/A,TRUE,"GENERAL"}</definedName>
    <definedName name="_______t99" localSheetId="14" hidden="1">{"via1",#N/A,TRUE,"general";"via2",#N/A,TRUE,"general";"via3",#N/A,TRUE,"general"}</definedName>
    <definedName name="_______t99" localSheetId="16" hidden="1">{"via1",#N/A,TRUE,"general";"via2",#N/A,TRUE,"general";"via3",#N/A,TRUE,"general"}</definedName>
    <definedName name="_______t99" localSheetId="17" hidden="1">{"via1",#N/A,TRUE,"general";"via2",#N/A,TRUE,"general";"via3",#N/A,TRUE,"general"}</definedName>
    <definedName name="_______t99" localSheetId="13" hidden="1">{"via1",#N/A,TRUE,"general";"via2",#N/A,TRUE,"general";"via3",#N/A,TRUE,"general"}</definedName>
    <definedName name="_______t99" localSheetId="15" hidden="1">{"via1",#N/A,TRUE,"general";"via2",#N/A,TRUE,"general";"via3",#N/A,TRUE,"general"}</definedName>
    <definedName name="_______t99" hidden="1">{"via1",#N/A,TRUE,"general";"via2",#N/A,TRUE,"general";"via3",#N/A,TRUE,"general"}</definedName>
    <definedName name="_______TEP44">#REF!</definedName>
    <definedName name="_______THF12" localSheetId="3">#REF!</definedName>
    <definedName name="_______THF12">#REF!</definedName>
    <definedName name="_______TPE1132" localSheetId="3">#REF!</definedName>
    <definedName name="_______TPE1132">#REF!</definedName>
    <definedName name="_______TPE12" localSheetId="3">#REF!</definedName>
    <definedName name="_______TPE12" localSheetId="30">#REF!</definedName>
    <definedName name="_______TPE12" localSheetId="31">#REF!</definedName>
    <definedName name="_______TPE12" localSheetId="29">#REF!</definedName>
    <definedName name="_______TPE12">#REF!</definedName>
    <definedName name="_______TPE1331" localSheetId="3">#REF!</definedName>
    <definedName name="_______TPE1331">#REF!</definedName>
    <definedName name="_______TPE1702" localSheetId="3">#REF!</definedName>
    <definedName name="_______TPE1702">#REF!</definedName>
    <definedName name="_______TPE1703" localSheetId="3">#REF!</definedName>
    <definedName name="_______TPE1703">#REF!</definedName>
    <definedName name="_______TPE1704" localSheetId="3">#REF!</definedName>
    <definedName name="_______TPE1704">#REF!</definedName>
    <definedName name="_______TPE1706">#REF!</definedName>
    <definedName name="_______TPE1708">#REF!</definedName>
    <definedName name="_______TPE1710">#REF!</definedName>
    <definedName name="_______TPE1735">#REF!</definedName>
    <definedName name="_______TPE1763">#REF!</definedName>
    <definedName name="_______TPE1790">#REF!</definedName>
    <definedName name="_______TPE8016">#REF!</definedName>
    <definedName name="_______TPE8020">#REF!</definedName>
    <definedName name="_______TPE8025">#REF!</definedName>
    <definedName name="_______TPF12">#REF!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 localSheetId="3">#REF!</definedName>
    <definedName name="_______TUZ22">#REF!</definedName>
    <definedName name="_______TUZ36" localSheetId="3">#REF!</definedName>
    <definedName name="_______TUZ36">#REF!</definedName>
    <definedName name="_______TZ2110">#REF!</definedName>
    <definedName name="_______TZ213">#REF!</definedName>
    <definedName name="_______TZ214">#REF!</definedName>
    <definedName name="_______TZ216">#REF!</definedName>
    <definedName name="_______TZ268">#REF!</definedName>
    <definedName name="_______TZ323" localSheetId="3">#REF!</definedName>
    <definedName name="_______TZ323">#REF!</definedName>
    <definedName name="_______TZ324" localSheetId="3">#REF!</definedName>
    <definedName name="_______TZ324">#REF!</definedName>
    <definedName name="_______TZ32510">#REF!</definedName>
    <definedName name="_______u4" localSheetId="14" hidden="1">{"TAB1",#N/A,TRUE,"GENERAL";"TAB2",#N/A,TRUE,"GENERAL";"TAB3",#N/A,TRUE,"GENERAL";"TAB4",#N/A,TRUE,"GENERAL";"TAB5",#N/A,TRUE,"GENERAL"}</definedName>
    <definedName name="_______u4" localSheetId="16" hidden="1">{"TAB1",#N/A,TRUE,"GENERAL";"TAB2",#N/A,TRUE,"GENERAL";"TAB3",#N/A,TRUE,"GENERAL";"TAB4",#N/A,TRUE,"GENERAL";"TAB5",#N/A,TRUE,"GENERAL"}</definedName>
    <definedName name="_______u4" localSheetId="17" hidden="1">{"TAB1",#N/A,TRUE,"GENERAL";"TAB2",#N/A,TRUE,"GENERAL";"TAB3",#N/A,TRUE,"GENERAL";"TAB4",#N/A,TRUE,"GENERAL";"TAB5",#N/A,TRUE,"GENERAL"}</definedName>
    <definedName name="_______u4" localSheetId="13" hidden="1">{"TAB1",#N/A,TRUE,"GENERAL";"TAB2",#N/A,TRUE,"GENERAL";"TAB3",#N/A,TRUE,"GENERAL";"TAB4",#N/A,TRUE,"GENERAL";"TAB5",#N/A,TRUE,"GENERAL"}</definedName>
    <definedName name="_______u4" localSheetId="15" hidden="1">{"TAB1",#N/A,TRUE,"GENERAL";"TAB2",#N/A,TRUE,"GENERAL";"TAB3",#N/A,TRUE,"GENERAL";"TAB4",#N/A,TRUE,"GENERAL";"TAB5",#N/A,TRUE,"GENERAL"}</definedName>
    <definedName name="_______u4" hidden="1">{"TAB1",#N/A,TRUE,"GENERAL";"TAB2",#N/A,TRUE,"GENERAL";"TAB3",#N/A,TRUE,"GENERAL";"TAB4",#N/A,TRUE,"GENERAL";"TAB5",#N/A,TRUE,"GENERAL"}</definedName>
    <definedName name="_______u5" localSheetId="14" hidden="1">{"TAB1",#N/A,TRUE,"GENERAL";"TAB2",#N/A,TRUE,"GENERAL";"TAB3",#N/A,TRUE,"GENERAL";"TAB4",#N/A,TRUE,"GENERAL";"TAB5",#N/A,TRUE,"GENERAL"}</definedName>
    <definedName name="_______u5" localSheetId="16" hidden="1">{"TAB1",#N/A,TRUE,"GENERAL";"TAB2",#N/A,TRUE,"GENERAL";"TAB3",#N/A,TRUE,"GENERAL";"TAB4",#N/A,TRUE,"GENERAL";"TAB5",#N/A,TRUE,"GENERAL"}</definedName>
    <definedName name="_______u5" localSheetId="17" hidden="1">{"TAB1",#N/A,TRUE,"GENERAL";"TAB2",#N/A,TRUE,"GENERAL";"TAB3",#N/A,TRUE,"GENERAL";"TAB4",#N/A,TRUE,"GENERAL";"TAB5",#N/A,TRUE,"GENERAL"}</definedName>
    <definedName name="_______u5" localSheetId="13" hidden="1">{"TAB1",#N/A,TRUE,"GENERAL";"TAB2",#N/A,TRUE,"GENERAL";"TAB3",#N/A,TRUE,"GENERAL";"TAB4",#N/A,TRUE,"GENERAL";"TAB5",#N/A,TRUE,"GENERAL"}</definedName>
    <definedName name="_______u5" localSheetId="15" hidden="1">{"TAB1",#N/A,TRUE,"GENERAL";"TAB2",#N/A,TRUE,"GENERAL";"TAB3",#N/A,TRUE,"GENERAL";"TAB4",#N/A,TRUE,"GENERAL";"TAB5",#N/A,TRUE,"GENERAL"}</definedName>
    <definedName name="_______u5" hidden="1">{"TAB1",#N/A,TRUE,"GENERAL";"TAB2",#N/A,TRUE,"GENERAL";"TAB3",#N/A,TRUE,"GENERAL";"TAB4",#N/A,TRUE,"GENERAL";"TAB5",#N/A,TRUE,"GENERAL"}</definedName>
    <definedName name="_______u6" localSheetId="14" hidden="1">{"TAB1",#N/A,TRUE,"GENERAL";"TAB2",#N/A,TRUE,"GENERAL";"TAB3",#N/A,TRUE,"GENERAL";"TAB4",#N/A,TRUE,"GENERAL";"TAB5",#N/A,TRUE,"GENERAL"}</definedName>
    <definedName name="_______u6" localSheetId="16" hidden="1">{"TAB1",#N/A,TRUE,"GENERAL";"TAB2",#N/A,TRUE,"GENERAL";"TAB3",#N/A,TRUE,"GENERAL";"TAB4",#N/A,TRUE,"GENERAL";"TAB5",#N/A,TRUE,"GENERAL"}</definedName>
    <definedName name="_______u6" localSheetId="17" hidden="1">{"TAB1",#N/A,TRUE,"GENERAL";"TAB2",#N/A,TRUE,"GENERAL";"TAB3",#N/A,TRUE,"GENERAL";"TAB4",#N/A,TRUE,"GENERAL";"TAB5",#N/A,TRUE,"GENERAL"}</definedName>
    <definedName name="_______u6" localSheetId="13" hidden="1">{"TAB1",#N/A,TRUE,"GENERAL";"TAB2",#N/A,TRUE,"GENERAL";"TAB3",#N/A,TRUE,"GENERAL";"TAB4",#N/A,TRUE,"GENERAL";"TAB5",#N/A,TRUE,"GENERAL"}</definedName>
    <definedName name="_______u6" localSheetId="15" hidden="1">{"TAB1",#N/A,TRUE,"GENERAL";"TAB2",#N/A,TRUE,"GENERAL";"TAB3",#N/A,TRUE,"GENERAL";"TAB4",#N/A,TRUE,"GENERAL";"TAB5",#N/A,TRUE,"GENERAL"}</definedName>
    <definedName name="_______u6" hidden="1">{"TAB1",#N/A,TRUE,"GENERAL";"TAB2",#N/A,TRUE,"GENERAL";"TAB3",#N/A,TRUE,"GENERAL";"TAB4",#N/A,TRUE,"GENERAL";"TAB5",#N/A,TRUE,"GENERAL"}</definedName>
    <definedName name="_______u7" localSheetId="14" hidden="1">{"via1",#N/A,TRUE,"general";"via2",#N/A,TRUE,"general";"via3",#N/A,TRUE,"general"}</definedName>
    <definedName name="_______u7" localSheetId="16" hidden="1">{"via1",#N/A,TRUE,"general";"via2",#N/A,TRUE,"general";"via3",#N/A,TRUE,"general"}</definedName>
    <definedName name="_______u7" localSheetId="17" hidden="1">{"via1",#N/A,TRUE,"general";"via2",#N/A,TRUE,"general";"via3",#N/A,TRUE,"general"}</definedName>
    <definedName name="_______u7" localSheetId="13" hidden="1">{"via1",#N/A,TRUE,"general";"via2",#N/A,TRUE,"general";"via3",#N/A,TRUE,"general"}</definedName>
    <definedName name="_______u7" localSheetId="15" hidden="1">{"via1",#N/A,TRUE,"general";"via2",#N/A,TRUE,"general";"via3",#N/A,TRUE,"general"}</definedName>
    <definedName name="_______u7" hidden="1">{"via1",#N/A,TRUE,"general";"via2",#N/A,TRUE,"general";"via3",#N/A,TRUE,"general"}</definedName>
    <definedName name="_______u8" localSheetId="14" hidden="1">{"TAB1",#N/A,TRUE,"GENERAL";"TAB2",#N/A,TRUE,"GENERAL";"TAB3",#N/A,TRUE,"GENERAL";"TAB4",#N/A,TRUE,"GENERAL";"TAB5",#N/A,TRUE,"GENERAL"}</definedName>
    <definedName name="_______u8" localSheetId="16" hidden="1">{"TAB1",#N/A,TRUE,"GENERAL";"TAB2",#N/A,TRUE,"GENERAL";"TAB3",#N/A,TRUE,"GENERAL";"TAB4",#N/A,TRUE,"GENERAL";"TAB5",#N/A,TRUE,"GENERAL"}</definedName>
    <definedName name="_______u8" localSheetId="17" hidden="1">{"TAB1",#N/A,TRUE,"GENERAL";"TAB2",#N/A,TRUE,"GENERAL";"TAB3",#N/A,TRUE,"GENERAL";"TAB4",#N/A,TRUE,"GENERAL";"TAB5",#N/A,TRUE,"GENERAL"}</definedName>
    <definedName name="_______u8" localSheetId="13" hidden="1">{"TAB1",#N/A,TRUE,"GENERAL";"TAB2",#N/A,TRUE,"GENERAL";"TAB3",#N/A,TRUE,"GENERAL";"TAB4",#N/A,TRUE,"GENERAL";"TAB5",#N/A,TRUE,"GENERAL"}</definedName>
    <definedName name="_______u8" localSheetId="15" hidden="1">{"TAB1",#N/A,TRUE,"GENERAL";"TAB2",#N/A,TRUE,"GENERAL";"TAB3",#N/A,TRUE,"GENERAL";"TAB4",#N/A,TRUE,"GENERAL";"TAB5",#N/A,TRUE,"GENERAL"}</definedName>
    <definedName name="_______u8" hidden="1">{"TAB1",#N/A,TRUE,"GENERAL";"TAB2",#N/A,TRUE,"GENERAL";"TAB3",#N/A,TRUE,"GENERAL";"TAB4",#N/A,TRUE,"GENERAL";"TAB5",#N/A,TRUE,"GENERAL"}</definedName>
    <definedName name="_______u9" localSheetId="14" hidden="1">{"TAB1",#N/A,TRUE,"GENERAL";"TAB2",#N/A,TRUE,"GENERAL";"TAB3",#N/A,TRUE,"GENERAL";"TAB4",#N/A,TRUE,"GENERAL";"TAB5",#N/A,TRUE,"GENERAL"}</definedName>
    <definedName name="_______u9" localSheetId="16" hidden="1">{"TAB1",#N/A,TRUE,"GENERAL";"TAB2",#N/A,TRUE,"GENERAL";"TAB3",#N/A,TRUE,"GENERAL";"TAB4",#N/A,TRUE,"GENERAL";"TAB5",#N/A,TRUE,"GENERAL"}</definedName>
    <definedName name="_______u9" localSheetId="17" hidden="1">{"TAB1",#N/A,TRUE,"GENERAL";"TAB2",#N/A,TRUE,"GENERAL";"TAB3",#N/A,TRUE,"GENERAL";"TAB4",#N/A,TRUE,"GENERAL";"TAB5",#N/A,TRUE,"GENERAL"}</definedName>
    <definedName name="_______u9" localSheetId="13" hidden="1">{"TAB1",#N/A,TRUE,"GENERAL";"TAB2",#N/A,TRUE,"GENERAL";"TAB3",#N/A,TRUE,"GENERAL";"TAB4",#N/A,TRUE,"GENERAL";"TAB5",#N/A,TRUE,"GENERAL"}</definedName>
    <definedName name="_______u9" localSheetId="15" hidden="1">{"TAB1",#N/A,TRUE,"GENERAL";"TAB2",#N/A,TRUE,"GENERAL";"TAB3",#N/A,TRUE,"GENERAL";"TAB4",#N/A,TRUE,"GENERAL";"TAB5",#N/A,TRUE,"GENERAL"}</definedName>
    <definedName name="_______u9" hidden="1">{"TAB1",#N/A,TRUE,"GENERAL";"TAB2",#N/A,TRUE,"GENERAL";"TAB3",#N/A,TRUE,"GENERAL";"TAB4",#N/A,TRUE,"GENERAL";"TAB5",#N/A,TRUE,"GENERAL"}</definedName>
    <definedName name="_______ur7" localSheetId="14" hidden="1">{"TAB1",#N/A,TRUE,"GENERAL";"TAB2",#N/A,TRUE,"GENERAL";"TAB3",#N/A,TRUE,"GENERAL";"TAB4",#N/A,TRUE,"GENERAL";"TAB5",#N/A,TRUE,"GENERAL"}</definedName>
    <definedName name="_______ur7" localSheetId="16" hidden="1">{"TAB1",#N/A,TRUE,"GENERAL";"TAB2",#N/A,TRUE,"GENERAL";"TAB3",#N/A,TRUE,"GENERAL";"TAB4",#N/A,TRUE,"GENERAL";"TAB5",#N/A,TRUE,"GENERAL"}</definedName>
    <definedName name="_______ur7" localSheetId="17" hidden="1">{"TAB1",#N/A,TRUE,"GENERAL";"TAB2",#N/A,TRUE,"GENERAL";"TAB3",#N/A,TRUE,"GENERAL";"TAB4",#N/A,TRUE,"GENERAL";"TAB5",#N/A,TRUE,"GENERAL"}</definedName>
    <definedName name="_______ur7" localSheetId="13" hidden="1">{"TAB1",#N/A,TRUE,"GENERAL";"TAB2",#N/A,TRUE,"GENERAL";"TAB3",#N/A,TRUE,"GENERAL";"TAB4",#N/A,TRUE,"GENERAL";"TAB5",#N/A,TRUE,"GENERAL"}</definedName>
    <definedName name="_______ur7" localSheetId="15" hidden="1">{"TAB1",#N/A,TRUE,"GENERAL";"TAB2",#N/A,TRUE,"GENERAL";"TAB3",#N/A,TRUE,"GENERAL";"TAB4",#N/A,TRUE,"GENERAL";"TAB5",#N/A,TRUE,"GENERAL"}</definedName>
    <definedName name="_______ur7" hidden="1">{"TAB1",#N/A,TRUE,"GENERAL";"TAB2",#N/A,TRUE,"GENERAL";"TAB3",#N/A,TRUE,"GENERAL";"TAB4",#N/A,TRUE,"GENERAL";"TAB5",#N/A,TRUE,"GENERAL"}</definedName>
    <definedName name="_______v2" localSheetId="14" hidden="1">{"via1",#N/A,TRUE,"general";"via2",#N/A,TRUE,"general";"via3",#N/A,TRUE,"general"}</definedName>
    <definedName name="_______v2" localSheetId="16" hidden="1">{"via1",#N/A,TRUE,"general";"via2",#N/A,TRUE,"general";"via3",#N/A,TRUE,"general"}</definedName>
    <definedName name="_______v2" localSheetId="17" hidden="1">{"via1",#N/A,TRUE,"general";"via2",#N/A,TRUE,"general";"via3",#N/A,TRUE,"general"}</definedName>
    <definedName name="_______v2" localSheetId="13" hidden="1">{"via1",#N/A,TRUE,"general";"via2",#N/A,TRUE,"general";"via3",#N/A,TRUE,"general"}</definedName>
    <definedName name="_______v2" localSheetId="15" hidden="1">{"via1",#N/A,TRUE,"general";"via2",#N/A,TRUE,"general";"via3",#N/A,TRUE,"general"}</definedName>
    <definedName name="_______v2" hidden="1">{"via1",#N/A,TRUE,"general";"via2",#N/A,TRUE,"general";"via3",#N/A,TRUE,"general"}</definedName>
    <definedName name="_______v3" localSheetId="14" hidden="1">{"TAB1",#N/A,TRUE,"GENERAL";"TAB2",#N/A,TRUE,"GENERAL";"TAB3",#N/A,TRUE,"GENERAL";"TAB4",#N/A,TRUE,"GENERAL";"TAB5",#N/A,TRUE,"GENERAL"}</definedName>
    <definedName name="_______v3" localSheetId="16" hidden="1">{"TAB1",#N/A,TRUE,"GENERAL";"TAB2",#N/A,TRUE,"GENERAL";"TAB3",#N/A,TRUE,"GENERAL";"TAB4",#N/A,TRUE,"GENERAL";"TAB5",#N/A,TRUE,"GENERAL"}</definedName>
    <definedName name="_______v3" localSheetId="17" hidden="1">{"TAB1",#N/A,TRUE,"GENERAL";"TAB2",#N/A,TRUE,"GENERAL";"TAB3",#N/A,TRUE,"GENERAL";"TAB4",#N/A,TRUE,"GENERAL";"TAB5",#N/A,TRUE,"GENERAL"}</definedName>
    <definedName name="_______v3" localSheetId="13" hidden="1">{"TAB1",#N/A,TRUE,"GENERAL";"TAB2",#N/A,TRUE,"GENERAL";"TAB3",#N/A,TRUE,"GENERAL";"TAB4",#N/A,TRUE,"GENERAL";"TAB5",#N/A,TRUE,"GENERAL"}</definedName>
    <definedName name="_______v3" localSheetId="15" hidden="1">{"TAB1",#N/A,TRUE,"GENERAL";"TAB2",#N/A,TRUE,"GENERAL";"TAB3",#N/A,TRUE,"GENERAL";"TAB4",#N/A,TRUE,"GENERAL";"TAB5",#N/A,TRUE,"GENERAL"}</definedName>
    <definedName name="_______v3" hidden="1">{"TAB1",#N/A,TRUE,"GENERAL";"TAB2",#N/A,TRUE,"GENERAL";"TAB3",#N/A,TRUE,"GENERAL";"TAB4",#N/A,TRUE,"GENERAL";"TAB5",#N/A,TRUE,"GENERAL"}</definedName>
    <definedName name="_______v4" localSheetId="14" hidden="1">{"TAB1",#N/A,TRUE,"GENERAL";"TAB2",#N/A,TRUE,"GENERAL";"TAB3",#N/A,TRUE,"GENERAL";"TAB4",#N/A,TRUE,"GENERAL";"TAB5",#N/A,TRUE,"GENERAL"}</definedName>
    <definedName name="_______v4" localSheetId="16" hidden="1">{"TAB1",#N/A,TRUE,"GENERAL";"TAB2",#N/A,TRUE,"GENERAL";"TAB3",#N/A,TRUE,"GENERAL";"TAB4",#N/A,TRUE,"GENERAL";"TAB5",#N/A,TRUE,"GENERAL"}</definedName>
    <definedName name="_______v4" localSheetId="17" hidden="1">{"TAB1",#N/A,TRUE,"GENERAL";"TAB2",#N/A,TRUE,"GENERAL";"TAB3",#N/A,TRUE,"GENERAL";"TAB4",#N/A,TRUE,"GENERAL";"TAB5",#N/A,TRUE,"GENERAL"}</definedName>
    <definedName name="_______v4" localSheetId="13" hidden="1">{"TAB1",#N/A,TRUE,"GENERAL";"TAB2",#N/A,TRUE,"GENERAL";"TAB3",#N/A,TRUE,"GENERAL";"TAB4",#N/A,TRUE,"GENERAL";"TAB5",#N/A,TRUE,"GENERAL"}</definedName>
    <definedName name="_______v4" localSheetId="15" hidden="1">{"TAB1",#N/A,TRUE,"GENERAL";"TAB2",#N/A,TRUE,"GENERAL";"TAB3",#N/A,TRUE,"GENERAL";"TAB4",#N/A,TRUE,"GENERAL";"TAB5",#N/A,TRUE,"GENERAL"}</definedName>
    <definedName name="_______v4" hidden="1">{"TAB1",#N/A,TRUE,"GENERAL";"TAB2",#N/A,TRUE,"GENERAL";"TAB3",#N/A,TRUE,"GENERAL";"TAB4",#N/A,TRUE,"GENERAL";"TAB5",#N/A,TRUE,"GENERAL"}</definedName>
    <definedName name="_______v5" localSheetId="14" hidden="1">{"TAB1",#N/A,TRUE,"GENERAL";"TAB2",#N/A,TRUE,"GENERAL";"TAB3",#N/A,TRUE,"GENERAL";"TAB4",#N/A,TRUE,"GENERAL";"TAB5",#N/A,TRUE,"GENERAL"}</definedName>
    <definedName name="_______v5" localSheetId="16" hidden="1">{"TAB1",#N/A,TRUE,"GENERAL";"TAB2",#N/A,TRUE,"GENERAL";"TAB3",#N/A,TRUE,"GENERAL";"TAB4",#N/A,TRUE,"GENERAL";"TAB5",#N/A,TRUE,"GENERAL"}</definedName>
    <definedName name="_______v5" localSheetId="17" hidden="1">{"TAB1",#N/A,TRUE,"GENERAL";"TAB2",#N/A,TRUE,"GENERAL";"TAB3",#N/A,TRUE,"GENERAL";"TAB4",#N/A,TRUE,"GENERAL";"TAB5",#N/A,TRUE,"GENERAL"}</definedName>
    <definedName name="_______v5" localSheetId="13" hidden="1">{"TAB1",#N/A,TRUE,"GENERAL";"TAB2",#N/A,TRUE,"GENERAL";"TAB3",#N/A,TRUE,"GENERAL";"TAB4",#N/A,TRUE,"GENERAL";"TAB5",#N/A,TRUE,"GENERAL"}</definedName>
    <definedName name="_______v5" localSheetId="15" hidden="1">{"TAB1",#N/A,TRUE,"GENERAL";"TAB2",#N/A,TRUE,"GENERAL";"TAB3",#N/A,TRUE,"GENERAL";"TAB4",#N/A,TRUE,"GENERAL";"TAB5",#N/A,TRUE,"GENERAL"}</definedName>
    <definedName name="_______v5" hidden="1">{"TAB1",#N/A,TRUE,"GENERAL";"TAB2",#N/A,TRUE,"GENERAL";"TAB3",#N/A,TRUE,"GENERAL";"TAB4",#N/A,TRUE,"GENERAL";"TAB5",#N/A,TRUE,"GENERAL"}</definedName>
    <definedName name="_______v6" localSheetId="14" hidden="1">{"TAB1",#N/A,TRUE,"GENERAL";"TAB2",#N/A,TRUE,"GENERAL";"TAB3",#N/A,TRUE,"GENERAL";"TAB4",#N/A,TRUE,"GENERAL";"TAB5",#N/A,TRUE,"GENERAL"}</definedName>
    <definedName name="_______v6" localSheetId="16" hidden="1">{"TAB1",#N/A,TRUE,"GENERAL";"TAB2",#N/A,TRUE,"GENERAL";"TAB3",#N/A,TRUE,"GENERAL";"TAB4",#N/A,TRUE,"GENERAL";"TAB5",#N/A,TRUE,"GENERAL"}</definedName>
    <definedName name="_______v6" localSheetId="17" hidden="1">{"TAB1",#N/A,TRUE,"GENERAL";"TAB2",#N/A,TRUE,"GENERAL";"TAB3",#N/A,TRUE,"GENERAL";"TAB4",#N/A,TRUE,"GENERAL";"TAB5",#N/A,TRUE,"GENERAL"}</definedName>
    <definedName name="_______v6" localSheetId="13" hidden="1">{"TAB1",#N/A,TRUE,"GENERAL";"TAB2",#N/A,TRUE,"GENERAL";"TAB3",#N/A,TRUE,"GENERAL";"TAB4",#N/A,TRUE,"GENERAL";"TAB5",#N/A,TRUE,"GENERAL"}</definedName>
    <definedName name="_______v6" localSheetId="15" hidden="1">{"TAB1",#N/A,TRUE,"GENERAL";"TAB2",#N/A,TRUE,"GENERAL";"TAB3",#N/A,TRUE,"GENERAL";"TAB4",#N/A,TRUE,"GENERAL";"TAB5",#N/A,TRUE,"GENERAL"}</definedName>
    <definedName name="_______v6" hidden="1">{"TAB1",#N/A,TRUE,"GENERAL";"TAB2",#N/A,TRUE,"GENERAL";"TAB3",#N/A,TRUE,"GENERAL";"TAB4",#N/A,TRUE,"GENERAL";"TAB5",#N/A,TRUE,"GENERAL"}</definedName>
    <definedName name="_______v7" localSheetId="14" hidden="1">{"via1",#N/A,TRUE,"general";"via2",#N/A,TRUE,"general";"via3",#N/A,TRUE,"general"}</definedName>
    <definedName name="_______v7" localSheetId="16" hidden="1">{"via1",#N/A,TRUE,"general";"via2",#N/A,TRUE,"general";"via3",#N/A,TRUE,"general"}</definedName>
    <definedName name="_______v7" localSheetId="17" hidden="1">{"via1",#N/A,TRUE,"general";"via2",#N/A,TRUE,"general";"via3",#N/A,TRUE,"general"}</definedName>
    <definedName name="_______v7" localSheetId="13" hidden="1">{"via1",#N/A,TRUE,"general";"via2",#N/A,TRUE,"general";"via3",#N/A,TRUE,"general"}</definedName>
    <definedName name="_______v7" localSheetId="15" hidden="1">{"via1",#N/A,TRUE,"general";"via2",#N/A,TRUE,"general";"via3",#N/A,TRUE,"general"}</definedName>
    <definedName name="_______v7" hidden="1">{"via1",#N/A,TRUE,"general";"via2",#N/A,TRUE,"general";"via3",#N/A,TRUE,"general"}</definedName>
    <definedName name="_______v8" localSheetId="14" hidden="1">{"TAB1",#N/A,TRUE,"GENERAL";"TAB2",#N/A,TRUE,"GENERAL";"TAB3",#N/A,TRUE,"GENERAL";"TAB4",#N/A,TRUE,"GENERAL";"TAB5",#N/A,TRUE,"GENERAL"}</definedName>
    <definedName name="_______v8" localSheetId="16" hidden="1">{"TAB1",#N/A,TRUE,"GENERAL";"TAB2",#N/A,TRUE,"GENERAL";"TAB3",#N/A,TRUE,"GENERAL";"TAB4",#N/A,TRUE,"GENERAL";"TAB5",#N/A,TRUE,"GENERAL"}</definedName>
    <definedName name="_______v8" localSheetId="17" hidden="1">{"TAB1",#N/A,TRUE,"GENERAL";"TAB2",#N/A,TRUE,"GENERAL";"TAB3",#N/A,TRUE,"GENERAL";"TAB4",#N/A,TRUE,"GENERAL";"TAB5",#N/A,TRUE,"GENERAL"}</definedName>
    <definedName name="_______v8" localSheetId="13" hidden="1">{"TAB1",#N/A,TRUE,"GENERAL";"TAB2",#N/A,TRUE,"GENERAL";"TAB3",#N/A,TRUE,"GENERAL";"TAB4",#N/A,TRUE,"GENERAL";"TAB5",#N/A,TRUE,"GENERAL"}</definedName>
    <definedName name="_______v8" localSheetId="15" hidden="1">{"TAB1",#N/A,TRUE,"GENERAL";"TAB2",#N/A,TRUE,"GENERAL";"TAB3",#N/A,TRUE,"GENERAL";"TAB4",#N/A,TRUE,"GENERAL";"TAB5",#N/A,TRUE,"GENERAL"}</definedName>
    <definedName name="_______v8" hidden="1">{"TAB1",#N/A,TRUE,"GENERAL";"TAB2",#N/A,TRUE,"GENERAL";"TAB3",#N/A,TRUE,"GENERAL";"TAB4",#N/A,TRUE,"GENERAL";"TAB5",#N/A,TRUE,"GENERAL"}</definedName>
    <definedName name="_______v9" localSheetId="14" hidden="1">{"TAB1",#N/A,TRUE,"GENERAL";"TAB2",#N/A,TRUE,"GENERAL";"TAB3",#N/A,TRUE,"GENERAL";"TAB4",#N/A,TRUE,"GENERAL";"TAB5",#N/A,TRUE,"GENERAL"}</definedName>
    <definedName name="_______v9" localSheetId="16" hidden="1">{"TAB1",#N/A,TRUE,"GENERAL";"TAB2",#N/A,TRUE,"GENERAL";"TAB3",#N/A,TRUE,"GENERAL";"TAB4",#N/A,TRUE,"GENERAL";"TAB5",#N/A,TRUE,"GENERAL"}</definedName>
    <definedName name="_______v9" localSheetId="17" hidden="1">{"TAB1",#N/A,TRUE,"GENERAL";"TAB2",#N/A,TRUE,"GENERAL";"TAB3",#N/A,TRUE,"GENERAL";"TAB4",#N/A,TRUE,"GENERAL";"TAB5",#N/A,TRUE,"GENERAL"}</definedName>
    <definedName name="_______v9" localSheetId="13" hidden="1">{"TAB1",#N/A,TRUE,"GENERAL";"TAB2",#N/A,TRUE,"GENERAL";"TAB3",#N/A,TRUE,"GENERAL";"TAB4",#N/A,TRUE,"GENERAL";"TAB5",#N/A,TRUE,"GENERAL"}</definedName>
    <definedName name="_______v9" localSheetId="15" hidden="1">{"TAB1",#N/A,TRUE,"GENERAL";"TAB2",#N/A,TRUE,"GENERAL";"TAB3",#N/A,TRUE,"GENERAL";"TAB4",#N/A,TRUE,"GENERAL";"TAB5",#N/A,TRUE,"GENERAL"}</definedName>
    <definedName name="_______v9" hidden="1">{"TAB1",#N/A,TRUE,"GENERAL";"TAB2",#N/A,TRUE,"GENERAL";"TAB3",#N/A,TRUE,"GENERAL";"TAB4",#N/A,TRUE,"GENERAL";"TAB5",#N/A,TRUE,"GENERAL"}</definedName>
    <definedName name="_______vfv4" localSheetId="14" hidden="1">{"via1",#N/A,TRUE,"general";"via2",#N/A,TRUE,"general";"via3",#N/A,TRUE,"general"}</definedName>
    <definedName name="_______vfv4" localSheetId="16" hidden="1">{"via1",#N/A,TRUE,"general";"via2",#N/A,TRUE,"general";"via3",#N/A,TRUE,"general"}</definedName>
    <definedName name="_______vfv4" localSheetId="17" hidden="1">{"via1",#N/A,TRUE,"general";"via2",#N/A,TRUE,"general";"via3",#N/A,TRUE,"general"}</definedName>
    <definedName name="_______vfv4" localSheetId="13" hidden="1">{"via1",#N/A,TRUE,"general";"via2",#N/A,TRUE,"general";"via3",#N/A,TRUE,"general"}</definedName>
    <definedName name="_______vfv4" localSheetId="15" hidden="1">{"via1",#N/A,TRUE,"general";"via2",#N/A,TRUE,"general";"via3",#N/A,TRUE,"general"}</definedName>
    <definedName name="_______vfv4" hidden="1">{"via1",#N/A,TRUE,"general";"via2",#N/A,TRUE,"general";"via3",#N/A,TRUE,"general"}</definedName>
    <definedName name="_______x1" localSheetId="14" hidden="1">{"TAB1",#N/A,TRUE,"GENERAL";"TAB2",#N/A,TRUE,"GENERAL";"TAB3",#N/A,TRUE,"GENERAL";"TAB4",#N/A,TRUE,"GENERAL";"TAB5",#N/A,TRUE,"GENERAL"}</definedName>
    <definedName name="_______x1" localSheetId="16" hidden="1">{"TAB1",#N/A,TRUE,"GENERAL";"TAB2",#N/A,TRUE,"GENERAL";"TAB3",#N/A,TRUE,"GENERAL";"TAB4",#N/A,TRUE,"GENERAL";"TAB5",#N/A,TRUE,"GENERAL"}</definedName>
    <definedName name="_______x1" localSheetId="17" hidden="1">{"TAB1",#N/A,TRUE,"GENERAL";"TAB2",#N/A,TRUE,"GENERAL";"TAB3",#N/A,TRUE,"GENERAL";"TAB4",#N/A,TRUE,"GENERAL";"TAB5",#N/A,TRUE,"GENERAL"}</definedName>
    <definedName name="_______x1" localSheetId="13" hidden="1">{"TAB1",#N/A,TRUE,"GENERAL";"TAB2",#N/A,TRUE,"GENERAL";"TAB3",#N/A,TRUE,"GENERAL";"TAB4",#N/A,TRUE,"GENERAL";"TAB5",#N/A,TRUE,"GENERAL"}</definedName>
    <definedName name="_______x1" localSheetId="15" hidden="1">{"TAB1",#N/A,TRUE,"GENERAL";"TAB2",#N/A,TRUE,"GENERAL";"TAB3",#N/A,TRUE,"GENERAL";"TAB4",#N/A,TRUE,"GENERAL";"TAB5",#N/A,TRUE,"GENERAL"}</definedName>
    <definedName name="_______x1" hidden="1">{"TAB1",#N/A,TRUE,"GENERAL";"TAB2",#N/A,TRUE,"GENERAL";"TAB3",#N/A,TRUE,"GENERAL";"TAB4",#N/A,TRUE,"GENERAL";"TAB5",#N/A,TRUE,"GENERAL"}</definedName>
    <definedName name="_______x2" localSheetId="14" hidden="1">{"via1",#N/A,TRUE,"general";"via2",#N/A,TRUE,"general";"via3",#N/A,TRUE,"general"}</definedName>
    <definedName name="_______x2" localSheetId="16" hidden="1">{"via1",#N/A,TRUE,"general";"via2",#N/A,TRUE,"general";"via3",#N/A,TRUE,"general"}</definedName>
    <definedName name="_______x2" localSheetId="17" hidden="1">{"via1",#N/A,TRUE,"general";"via2",#N/A,TRUE,"general";"via3",#N/A,TRUE,"general"}</definedName>
    <definedName name="_______x2" localSheetId="13" hidden="1">{"via1",#N/A,TRUE,"general";"via2",#N/A,TRUE,"general";"via3",#N/A,TRUE,"general"}</definedName>
    <definedName name="_______x2" localSheetId="15" hidden="1">{"via1",#N/A,TRUE,"general";"via2",#N/A,TRUE,"general";"via3",#N/A,TRUE,"general"}</definedName>
    <definedName name="_______x2" hidden="1">{"via1",#N/A,TRUE,"general";"via2",#N/A,TRUE,"general";"via3",#N/A,TRUE,"general"}</definedName>
    <definedName name="_______x3" localSheetId="14" hidden="1">{"via1",#N/A,TRUE,"general";"via2",#N/A,TRUE,"general";"via3",#N/A,TRUE,"general"}</definedName>
    <definedName name="_______x3" localSheetId="16" hidden="1">{"via1",#N/A,TRUE,"general";"via2",#N/A,TRUE,"general";"via3",#N/A,TRUE,"general"}</definedName>
    <definedName name="_______x3" localSheetId="17" hidden="1">{"via1",#N/A,TRUE,"general";"via2",#N/A,TRUE,"general";"via3",#N/A,TRUE,"general"}</definedName>
    <definedName name="_______x3" localSheetId="13" hidden="1">{"via1",#N/A,TRUE,"general";"via2",#N/A,TRUE,"general";"via3",#N/A,TRUE,"general"}</definedName>
    <definedName name="_______x3" localSheetId="15" hidden="1">{"via1",#N/A,TRUE,"general";"via2",#N/A,TRUE,"general";"via3",#N/A,TRUE,"general"}</definedName>
    <definedName name="_______x3" hidden="1">{"via1",#N/A,TRUE,"general";"via2",#N/A,TRUE,"general";"via3",#N/A,TRUE,"general"}</definedName>
    <definedName name="_______x4" localSheetId="14" hidden="1">{"via1",#N/A,TRUE,"general";"via2",#N/A,TRUE,"general";"via3",#N/A,TRUE,"general"}</definedName>
    <definedName name="_______x4" localSheetId="16" hidden="1">{"via1",#N/A,TRUE,"general";"via2",#N/A,TRUE,"general";"via3",#N/A,TRUE,"general"}</definedName>
    <definedName name="_______x4" localSheetId="17" hidden="1">{"via1",#N/A,TRUE,"general";"via2",#N/A,TRUE,"general";"via3",#N/A,TRUE,"general"}</definedName>
    <definedName name="_______x4" localSheetId="13" hidden="1">{"via1",#N/A,TRUE,"general";"via2",#N/A,TRUE,"general";"via3",#N/A,TRUE,"general"}</definedName>
    <definedName name="_______x4" localSheetId="15" hidden="1">{"via1",#N/A,TRUE,"general";"via2",#N/A,TRUE,"general";"via3",#N/A,TRUE,"general"}</definedName>
    <definedName name="_______x4" hidden="1">{"via1",#N/A,TRUE,"general";"via2",#N/A,TRUE,"general";"via3",#N/A,TRUE,"general"}</definedName>
    <definedName name="_______x5" localSheetId="14" hidden="1">{"TAB1",#N/A,TRUE,"GENERAL";"TAB2",#N/A,TRUE,"GENERAL";"TAB3",#N/A,TRUE,"GENERAL";"TAB4",#N/A,TRUE,"GENERAL";"TAB5",#N/A,TRUE,"GENERAL"}</definedName>
    <definedName name="_______x5" localSheetId="16" hidden="1">{"TAB1",#N/A,TRUE,"GENERAL";"TAB2",#N/A,TRUE,"GENERAL";"TAB3",#N/A,TRUE,"GENERAL";"TAB4",#N/A,TRUE,"GENERAL";"TAB5",#N/A,TRUE,"GENERAL"}</definedName>
    <definedName name="_______x5" localSheetId="17" hidden="1">{"TAB1",#N/A,TRUE,"GENERAL";"TAB2",#N/A,TRUE,"GENERAL";"TAB3",#N/A,TRUE,"GENERAL";"TAB4",#N/A,TRUE,"GENERAL";"TAB5",#N/A,TRUE,"GENERAL"}</definedName>
    <definedName name="_______x5" localSheetId="13" hidden="1">{"TAB1",#N/A,TRUE,"GENERAL";"TAB2",#N/A,TRUE,"GENERAL";"TAB3",#N/A,TRUE,"GENERAL";"TAB4",#N/A,TRUE,"GENERAL";"TAB5",#N/A,TRUE,"GENERAL"}</definedName>
    <definedName name="_______x5" localSheetId="15" hidden="1">{"TAB1",#N/A,TRUE,"GENERAL";"TAB2",#N/A,TRUE,"GENERAL";"TAB3",#N/A,TRUE,"GENERAL";"TAB4",#N/A,TRUE,"GENERAL";"TAB5",#N/A,TRUE,"GENERAL"}</definedName>
    <definedName name="_______x5" hidden="1">{"TAB1",#N/A,TRUE,"GENERAL";"TAB2",#N/A,TRUE,"GENERAL";"TAB3",#N/A,TRUE,"GENERAL";"TAB4",#N/A,TRUE,"GENERAL";"TAB5",#N/A,TRUE,"GENERAL"}</definedName>
    <definedName name="_______x6" localSheetId="14" hidden="1">{"TAB1",#N/A,TRUE,"GENERAL";"TAB2",#N/A,TRUE,"GENERAL";"TAB3",#N/A,TRUE,"GENERAL";"TAB4",#N/A,TRUE,"GENERAL";"TAB5",#N/A,TRUE,"GENERAL"}</definedName>
    <definedName name="_______x6" localSheetId="16" hidden="1">{"TAB1",#N/A,TRUE,"GENERAL";"TAB2",#N/A,TRUE,"GENERAL";"TAB3",#N/A,TRUE,"GENERAL";"TAB4",#N/A,TRUE,"GENERAL";"TAB5",#N/A,TRUE,"GENERAL"}</definedName>
    <definedName name="_______x6" localSheetId="17" hidden="1">{"TAB1",#N/A,TRUE,"GENERAL";"TAB2",#N/A,TRUE,"GENERAL";"TAB3",#N/A,TRUE,"GENERAL";"TAB4",#N/A,TRUE,"GENERAL";"TAB5",#N/A,TRUE,"GENERAL"}</definedName>
    <definedName name="_______x6" localSheetId="13" hidden="1">{"TAB1",#N/A,TRUE,"GENERAL";"TAB2",#N/A,TRUE,"GENERAL";"TAB3",#N/A,TRUE,"GENERAL";"TAB4",#N/A,TRUE,"GENERAL";"TAB5",#N/A,TRUE,"GENERAL"}</definedName>
    <definedName name="_______x6" localSheetId="15" hidden="1">{"TAB1",#N/A,TRUE,"GENERAL";"TAB2",#N/A,TRUE,"GENERAL";"TAB3",#N/A,TRUE,"GENERAL";"TAB4",#N/A,TRUE,"GENERAL";"TAB5",#N/A,TRUE,"GENERAL"}</definedName>
    <definedName name="_______x6" hidden="1">{"TAB1",#N/A,TRUE,"GENERAL";"TAB2",#N/A,TRUE,"GENERAL";"TAB3",#N/A,TRUE,"GENERAL";"TAB4",#N/A,TRUE,"GENERAL";"TAB5",#N/A,TRUE,"GENERAL"}</definedName>
    <definedName name="_______x7" localSheetId="14" hidden="1">{"TAB1",#N/A,TRUE,"GENERAL";"TAB2",#N/A,TRUE,"GENERAL";"TAB3",#N/A,TRUE,"GENERAL";"TAB4",#N/A,TRUE,"GENERAL";"TAB5",#N/A,TRUE,"GENERAL"}</definedName>
    <definedName name="_______x7" localSheetId="16" hidden="1">{"TAB1",#N/A,TRUE,"GENERAL";"TAB2",#N/A,TRUE,"GENERAL";"TAB3",#N/A,TRUE,"GENERAL";"TAB4",#N/A,TRUE,"GENERAL";"TAB5",#N/A,TRUE,"GENERAL"}</definedName>
    <definedName name="_______x7" localSheetId="17" hidden="1">{"TAB1",#N/A,TRUE,"GENERAL";"TAB2",#N/A,TRUE,"GENERAL";"TAB3",#N/A,TRUE,"GENERAL";"TAB4",#N/A,TRUE,"GENERAL";"TAB5",#N/A,TRUE,"GENERAL"}</definedName>
    <definedName name="_______x7" localSheetId="13" hidden="1">{"TAB1",#N/A,TRUE,"GENERAL";"TAB2",#N/A,TRUE,"GENERAL";"TAB3",#N/A,TRUE,"GENERAL";"TAB4",#N/A,TRUE,"GENERAL";"TAB5",#N/A,TRUE,"GENERAL"}</definedName>
    <definedName name="_______x7" localSheetId="15" hidden="1">{"TAB1",#N/A,TRUE,"GENERAL";"TAB2",#N/A,TRUE,"GENERAL";"TAB3",#N/A,TRUE,"GENERAL";"TAB4",#N/A,TRUE,"GENERAL";"TAB5",#N/A,TRUE,"GENERAL"}</definedName>
    <definedName name="_______x7" hidden="1">{"TAB1",#N/A,TRUE,"GENERAL";"TAB2",#N/A,TRUE,"GENERAL";"TAB3",#N/A,TRUE,"GENERAL";"TAB4",#N/A,TRUE,"GENERAL";"TAB5",#N/A,TRUE,"GENERAL"}</definedName>
    <definedName name="_______x8" localSheetId="14" hidden="1">{"via1",#N/A,TRUE,"general";"via2",#N/A,TRUE,"general";"via3",#N/A,TRUE,"general"}</definedName>
    <definedName name="_______x8" localSheetId="16" hidden="1">{"via1",#N/A,TRUE,"general";"via2",#N/A,TRUE,"general";"via3",#N/A,TRUE,"general"}</definedName>
    <definedName name="_______x8" localSheetId="17" hidden="1">{"via1",#N/A,TRUE,"general";"via2",#N/A,TRUE,"general";"via3",#N/A,TRUE,"general"}</definedName>
    <definedName name="_______x8" localSheetId="13" hidden="1">{"via1",#N/A,TRUE,"general";"via2",#N/A,TRUE,"general";"via3",#N/A,TRUE,"general"}</definedName>
    <definedName name="_______x8" localSheetId="15" hidden="1">{"via1",#N/A,TRUE,"general";"via2",#N/A,TRUE,"general";"via3",#N/A,TRUE,"general"}</definedName>
    <definedName name="_______x8" hidden="1">{"via1",#N/A,TRUE,"general";"via2",#N/A,TRUE,"general";"via3",#N/A,TRUE,"general"}</definedName>
    <definedName name="_______x9" localSheetId="14" hidden="1">{"TAB1",#N/A,TRUE,"GENERAL";"TAB2",#N/A,TRUE,"GENERAL";"TAB3",#N/A,TRUE,"GENERAL";"TAB4",#N/A,TRUE,"GENERAL";"TAB5",#N/A,TRUE,"GENERAL"}</definedName>
    <definedName name="_______x9" localSheetId="16" hidden="1">{"TAB1",#N/A,TRUE,"GENERAL";"TAB2",#N/A,TRUE,"GENERAL";"TAB3",#N/A,TRUE,"GENERAL";"TAB4",#N/A,TRUE,"GENERAL";"TAB5",#N/A,TRUE,"GENERAL"}</definedName>
    <definedName name="_______x9" localSheetId="17" hidden="1">{"TAB1",#N/A,TRUE,"GENERAL";"TAB2",#N/A,TRUE,"GENERAL";"TAB3",#N/A,TRUE,"GENERAL";"TAB4",#N/A,TRUE,"GENERAL";"TAB5",#N/A,TRUE,"GENERAL"}</definedName>
    <definedName name="_______x9" localSheetId="13" hidden="1">{"TAB1",#N/A,TRUE,"GENERAL";"TAB2",#N/A,TRUE,"GENERAL";"TAB3",#N/A,TRUE,"GENERAL";"TAB4",#N/A,TRUE,"GENERAL";"TAB5",#N/A,TRUE,"GENERAL"}</definedName>
    <definedName name="_______x9" localSheetId="15" hidden="1">{"TAB1",#N/A,TRUE,"GENERAL";"TAB2",#N/A,TRUE,"GENERAL";"TAB3",#N/A,TRUE,"GENERAL";"TAB4",#N/A,TRUE,"GENERAL";"TAB5",#N/A,TRUE,"GENERAL"}</definedName>
    <definedName name="_______x9" hidden="1">{"TAB1",#N/A,TRUE,"GENERAL";"TAB2",#N/A,TRUE,"GENERAL";"TAB3",#N/A,TRUE,"GENERAL";"TAB4",#N/A,TRUE,"GENERAL";"TAB5",#N/A,TRUE,"GENERAL"}</definedName>
    <definedName name="_______y2" localSheetId="14" hidden="1">{"TAB1",#N/A,TRUE,"GENERAL";"TAB2",#N/A,TRUE,"GENERAL";"TAB3",#N/A,TRUE,"GENERAL";"TAB4",#N/A,TRUE,"GENERAL";"TAB5",#N/A,TRUE,"GENERAL"}</definedName>
    <definedName name="_______y2" localSheetId="16" hidden="1">{"TAB1",#N/A,TRUE,"GENERAL";"TAB2",#N/A,TRUE,"GENERAL";"TAB3",#N/A,TRUE,"GENERAL";"TAB4",#N/A,TRUE,"GENERAL";"TAB5",#N/A,TRUE,"GENERAL"}</definedName>
    <definedName name="_______y2" localSheetId="17" hidden="1">{"TAB1",#N/A,TRUE,"GENERAL";"TAB2",#N/A,TRUE,"GENERAL";"TAB3",#N/A,TRUE,"GENERAL";"TAB4",#N/A,TRUE,"GENERAL";"TAB5",#N/A,TRUE,"GENERAL"}</definedName>
    <definedName name="_______y2" localSheetId="13" hidden="1">{"TAB1",#N/A,TRUE,"GENERAL";"TAB2",#N/A,TRUE,"GENERAL";"TAB3",#N/A,TRUE,"GENERAL";"TAB4",#N/A,TRUE,"GENERAL";"TAB5",#N/A,TRUE,"GENERAL"}</definedName>
    <definedName name="_______y2" localSheetId="15" hidden="1">{"TAB1",#N/A,TRUE,"GENERAL";"TAB2",#N/A,TRUE,"GENERAL";"TAB3",#N/A,TRUE,"GENERAL";"TAB4",#N/A,TRUE,"GENERAL";"TAB5",#N/A,TRUE,"GENERAL"}</definedName>
    <definedName name="_______y2" hidden="1">{"TAB1",#N/A,TRUE,"GENERAL";"TAB2",#N/A,TRUE,"GENERAL";"TAB3",#N/A,TRUE,"GENERAL";"TAB4",#N/A,TRUE,"GENERAL";"TAB5",#N/A,TRUE,"GENERAL"}</definedName>
    <definedName name="_______y3" localSheetId="14" hidden="1">{"via1",#N/A,TRUE,"general";"via2",#N/A,TRUE,"general";"via3",#N/A,TRUE,"general"}</definedName>
    <definedName name="_______y3" localSheetId="16" hidden="1">{"via1",#N/A,TRUE,"general";"via2",#N/A,TRUE,"general";"via3",#N/A,TRUE,"general"}</definedName>
    <definedName name="_______y3" localSheetId="17" hidden="1">{"via1",#N/A,TRUE,"general";"via2",#N/A,TRUE,"general";"via3",#N/A,TRUE,"general"}</definedName>
    <definedName name="_______y3" localSheetId="13" hidden="1">{"via1",#N/A,TRUE,"general";"via2",#N/A,TRUE,"general";"via3",#N/A,TRUE,"general"}</definedName>
    <definedName name="_______y3" localSheetId="15" hidden="1">{"via1",#N/A,TRUE,"general";"via2",#N/A,TRUE,"general";"via3",#N/A,TRUE,"general"}</definedName>
    <definedName name="_______y3" hidden="1">{"via1",#N/A,TRUE,"general";"via2",#N/A,TRUE,"general";"via3",#N/A,TRUE,"general"}</definedName>
    <definedName name="_______y4" localSheetId="14" hidden="1">{"via1",#N/A,TRUE,"general";"via2",#N/A,TRUE,"general";"via3",#N/A,TRUE,"general"}</definedName>
    <definedName name="_______y4" localSheetId="16" hidden="1">{"via1",#N/A,TRUE,"general";"via2",#N/A,TRUE,"general";"via3",#N/A,TRUE,"general"}</definedName>
    <definedName name="_______y4" localSheetId="17" hidden="1">{"via1",#N/A,TRUE,"general";"via2",#N/A,TRUE,"general";"via3",#N/A,TRUE,"general"}</definedName>
    <definedName name="_______y4" localSheetId="13" hidden="1">{"via1",#N/A,TRUE,"general";"via2",#N/A,TRUE,"general";"via3",#N/A,TRUE,"general"}</definedName>
    <definedName name="_______y4" localSheetId="15" hidden="1">{"via1",#N/A,TRUE,"general";"via2",#N/A,TRUE,"general";"via3",#N/A,TRUE,"general"}</definedName>
    <definedName name="_______y4" hidden="1">{"via1",#N/A,TRUE,"general";"via2",#N/A,TRUE,"general";"via3",#N/A,TRUE,"general"}</definedName>
    <definedName name="_______y5" localSheetId="14" hidden="1">{"TAB1",#N/A,TRUE,"GENERAL";"TAB2",#N/A,TRUE,"GENERAL";"TAB3",#N/A,TRUE,"GENERAL";"TAB4",#N/A,TRUE,"GENERAL";"TAB5",#N/A,TRUE,"GENERAL"}</definedName>
    <definedName name="_______y5" localSheetId="16" hidden="1">{"TAB1",#N/A,TRUE,"GENERAL";"TAB2",#N/A,TRUE,"GENERAL";"TAB3",#N/A,TRUE,"GENERAL";"TAB4",#N/A,TRUE,"GENERAL";"TAB5",#N/A,TRUE,"GENERAL"}</definedName>
    <definedName name="_______y5" localSheetId="17" hidden="1">{"TAB1",#N/A,TRUE,"GENERAL";"TAB2",#N/A,TRUE,"GENERAL";"TAB3",#N/A,TRUE,"GENERAL";"TAB4",#N/A,TRUE,"GENERAL";"TAB5",#N/A,TRUE,"GENERAL"}</definedName>
    <definedName name="_______y5" localSheetId="13" hidden="1">{"TAB1",#N/A,TRUE,"GENERAL";"TAB2",#N/A,TRUE,"GENERAL";"TAB3",#N/A,TRUE,"GENERAL";"TAB4",#N/A,TRUE,"GENERAL";"TAB5",#N/A,TRUE,"GENERAL"}</definedName>
    <definedName name="_______y5" localSheetId="15" hidden="1">{"TAB1",#N/A,TRUE,"GENERAL";"TAB2",#N/A,TRUE,"GENERAL";"TAB3",#N/A,TRUE,"GENERAL";"TAB4",#N/A,TRUE,"GENERAL";"TAB5",#N/A,TRUE,"GENERAL"}</definedName>
    <definedName name="_______y5" hidden="1">{"TAB1",#N/A,TRUE,"GENERAL";"TAB2",#N/A,TRUE,"GENERAL";"TAB3",#N/A,TRUE,"GENERAL";"TAB4",#N/A,TRUE,"GENERAL";"TAB5",#N/A,TRUE,"GENERAL"}</definedName>
    <definedName name="_______y6" localSheetId="14" hidden="1">{"via1",#N/A,TRUE,"general";"via2",#N/A,TRUE,"general";"via3",#N/A,TRUE,"general"}</definedName>
    <definedName name="_______y6" localSheetId="16" hidden="1">{"via1",#N/A,TRUE,"general";"via2",#N/A,TRUE,"general";"via3",#N/A,TRUE,"general"}</definedName>
    <definedName name="_______y6" localSheetId="17" hidden="1">{"via1",#N/A,TRUE,"general";"via2",#N/A,TRUE,"general";"via3",#N/A,TRUE,"general"}</definedName>
    <definedName name="_______y6" localSheetId="13" hidden="1">{"via1",#N/A,TRUE,"general";"via2",#N/A,TRUE,"general";"via3",#N/A,TRUE,"general"}</definedName>
    <definedName name="_______y6" localSheetId="15" hidden="1">{"via1",#N/A,TRUE,"general";"via2",#N/A,TRUE,"general";"via3",#N/A,TRUE,"general"}</definedName>
    <definedName name="_______y6" hidden="1">{"via1",#N/A,TRUE,"general";"via2",#N/A,TRUE,"general";"via3",#N/A,TRUE,"general"}</definedName>
    <definedName name="_______y7" localSheetId="14" hidden="1">{"via1",#N/A,TRUE,"general";"via2",#N/A,TRUE,"general";"via3",#N/A,TRUE,"general"}</definedName>
    <definedName name="_______y7" localSheetId="16" hidden="1">{"via1",#N/A,TRUE,"general";"via2",#N/A,TRUE,"general";"via3",#N/A,TRUE,"general"}</definedName>
    <definedName name="_______y7" localSheetId="17" hidden="1">{"via1",#N/A,TRUE,"general";"via2",#N/A,TRUE,"general";"via3",#N/A,TRUE,"general"}</definedName>
    <definedName name="_______y7" localSheetId="13" hidden="1">{"via1",#N/A,TRUE,"general";"via2",#N/A,TRUE,"general";"via3",#N/A,TRUE,"general"}</definedName>
    <definedName name="_______y7" localSheetId="15" hidden="1">{"via1",#N/A,TRUE,"general";"via2",#N/A,TRUE,"general";"via3",#N/A,TRUE,"general"}</definedName>
    <definedName name="_______y7" hidden="1">{"via1",#N/A,TRUE,"general";"via2",#N/A,TRUE,"general";"via3",#N/A,TRUE,"general"}</definedName>
    <definedName name="_______y8" localSheetId="14" hidden="1">{"via1",#N/A,TRUE,"general";"via2",#N/A,TRUE,"general";"via3",#N/A,TRUE,"general"}</definedName>
    <definedName name="_______y8" localSheetId="16" hidden="1">{"via1",#N/A,TRUE,"general";"via2",#N/A,TRUE,"general";"via3",#N/A,TRUE,"general"}</definedName>
    <definedName name="_______y8" localSheetId="17" hidden="1">{"via1",#N/A,TRUE,"general";"via2",#N/A,TRUE,"general";"via3",#N/A,TRUE,"general"}</definedName>
    <definedName name="_______y8" localSheetId="13" hidden="1">{"via1",#N/A,TRUE,"general";"via2",#N/A,TRUE,"general";"via3",#N/A,TRUE,"general"}</definedName>
    <definedName name="_______y8" localSheetId="15" hidden="1">{"via1",#N/A,TRUE,"general";"via2",#N/A,TRUE,"general";"via3",#N/A,TRUE,"general"}</definedName>
    <definedName name="_______y8" hidden="1">{"via1",#N/A,TRUE,"general";"via2",#N/A,TRUE,"general";"via3",#N/A,TRUE,"general"}</definedName>
    <definedName name="_______y9" localSheetId="14" hidden="1">{"TAB1",#N/A,TRUE,"GENERAL";"TAB2",#N/A,TRUE,"GENERAL";"TAB3",#N/A,TRUE,"GENERAL";"TAB4",#N/A,TRUE,"GENERAL";"TAB5",#N/A,TRUE,"GENERAL"}</definedName>
    <definedName name="_______y9" localSheetId="16" hidden="1">{"TAB1",#N/A,TRUE,"GENERAL";"TAB2",#N/A,TRUE,"GENERAL";"TAB3",#N/A,TRUE,"GENERAL";"TAB4",#N/A,TRUE,"GENERAL";"TAB5",#N/A,TRUE,"GENERAL"}</definedName>
    <definedName name="_______y9" localSheetId="17" hidden="1">{"TAB1",#N/A,TRUE,"GENERAL";"TAB2",#N/A,TRUE,"GENERAL";"TAB3",#N/A,TRUE,"GENERAL";"TAB4",#N/A,TRUE,"GENERAL";"TAB5",#N/A,TRUE,"GENERAL"}</definedName>
    <definedName name="_______y9" localSheetId="13" hidden="1">{"TAB1",#N/A,TRUE,"GENERAL";"TAB2",#N/A,TRUE,"GENERAL";"TAB3",#N/A,TRUE,"GENERAL";"TAB4",#N/A,TRUE,"GENERAL";"TAB5",#N/A,TRUE,"GENERAL"}</definedName>
    <definedName name="_______y9" localSheetId="15" hidden="1">{"TAB1",#N/A,TRUE,"GENERAL";"TAB2",#N/A,TRUE,"GENERAL";"TAB3",#N/A,TRUE,"GENERAL";"TAB4",#N/A,TRUE,"GENERAL";"TAB5",#N/A,TRUE,"GENERAL"}</definedName>
    <definedName name="_______y9" hidden="1">{"TAB1",#N/A,TRUE,"GENERAL";"TAB2",#N/A,TRUE,"GENERAL";"TAB3",#N/A,TRUE,"GENERAL";"TAB4",#N/A,TRUE,"GENERAL";"TAB5",#N/A,TRUE,"GENERAL"}</definedName>
    <definedName name="_______z1" localSheetId="14" hidden="1">{"TAB1",#N/A,TRUE,"GENERAL";"TAB2",#N/A,TRUE,"GENERAL";"TAB3",#N/A,TRUE,"GENERAL";"TAB4",#N/A,TRUE,"GENERAL";"TAB5",#N/A,TRUE,"GENERAL"}</definedName>
    <definedName name="_______z1" localSheetId="16" hidden="1">{"TAB1",#N/A,TRUE,"GENERAL";"TAB2",#N/A,TRUE,"GENERAL";"TAB3",#N/A,TRUE,"GENERAL";"TAB4",#N/A,TRUE,"GENERAL";"TAB5",#N/A,TRUE,"GENERAL"}</definedName>
    <definedName name="_______z1" localSheetId="17" hidden="1">{"TAB1",#N/A,TRUE,"GENERAL";"TAB2",#N/A,TRUE,"GENERAL";"TAB3",#N/A,TRUE,"GENERAL";"TAB4",#N/A,TRUE,"GENERAL";"TAB5",#N/A,TRUE,"GENERAL"}</definedName>
    <definedName name="_______z1" localSheetId="13" hidden="1">{"TAB1",#N/A,TRUE,"GENERAL";"TAB2",#N/A,TRUE,"GENERAL";"TAB3",#N/A,TRUE,"GENERAL";"TAB4",#N/A,TRUE,"GENERAL";"TAB5",#N/A,TRUE,"GENERAL"}</definedName>
    <definedName name="_______z1" localSheetId="15" hidden="1">{"TAB1",#N/A,TRUE,"GENERAL";"TAB2",#N/A,TRUE,"GENERAL";"TAB3",#N/A,TRUE,"GENERAL";"TAB4",#N/A,TRUE,"GENERAL";"TAB5",#N/A,TRUE,"GENERAL"}</definedName>
    <definedName name="_______z1" hidden="1">{"TAB1",#N/A,TRUE,"GENERAL";"TAB2",#N/A,TRUE,"GENERAL";"TAB3",#N/A,TRUE,"GENERAL";"TAB4",#N/A,TRUE,"GENERAL";"TAB5",#N/A,TRUE,"GENERAL"}</definedName>
    <definedName name="_______z2" localSheetId="14" hidden="1">{"via1",#N/A,TRUE,"general";"via2",#N/A,TRUE,"general";"via3",#N/A,TRUE,"general"}</definedName>
    <definedName name="_______z2" localSheetId="16" hidden="1">{"via1",#N/A,TRUE,"general";"via2",#N/A,TRUE,"general";"via3",#N/A,TRUE,"general"}</definedName>
    <definedName name="_______z2" localSheetId="17" hidden="1">{"via1",#N/A,TRUE,"general";"via2",#N/A,TRUE,"general";"via3",#N/A,TRUE,"general"}</definedName>
    <definedName name="_______z2" localSheetId="13" hidden="1">{"via1",#N/A,TRUE,"general";"via2",#N/A,TRUE,"general";"via3",#N/A,TRUE,"general"}</definedName>
    <definedName name="_______z2" localSheetId="15" hidden="1">{"via1",#N/A,TRUE,"general";"via2",#N/A,TRUE,"general";"via3",#N/A,TRUE,"general"}</definedName>
    <definedName name="_______z2" hidden="1">{"via1",#N/A,TRUE,"general";"via2",#N/A,TRUE,"general";"via3",#N/A,TRUE,"general"}</definedName>
    <definedName name="_______z3" localSheetId="14" hidden="1">{"via1",#N/A,TRUE,"general";"via2",#N/A,TRUE,"general";"via3",#N/A,TRUE,"general"}</definedName>
    <definedName name="_______z3" localSheetId="16" hidden="1">{"via1",#N/A,TRUE,"general";"via2",#N/A,TRUE,"general";"via3",#N/A,TRUE,"general"}</definedName>
    <definedName name="_______z3" localSheetId="17" hidden="1">{"via1",#N/A,TRUE,"general";"via2",#N/A,TRUE,"general";"via3",#N/A,TRUE,"general"}</definedName>
    <definedName name="_______z3" localSheetId="13" hidden="1">{"via1",#N/A,TRUE,"general";"via2",#N/A,TRUE,"general";"via3",#N/A,TRUE,"general"}</definedName>
    <definedName name="_______z3" localSheetId="15" hidden="1">{"via1",#N/A,TRUE,"general";"via2",#N/A,TRUE,"general";"via3",#N/A,TRUE,"general"}</definedName>
    <definedName name="_______z3" hidden="1">{"via1",#N/A,TRUE,"general";"via2",#N/A,TRUE,"general";"via3",#N/A,TRUE,"general"}</definedName>
    <definedName name="_______z4" localSheetId="14" hidden="1">{"TAB1",#N/A,TRUE,"GENERAL";"TAB2",#N/A,TRUE,"GENERAL";"TAB3",#N/A,TRUE,"GENERAL";"TAB4",#N/A,TRUE,"GENERAL";"TAB5",#N/A,TRUE,"GENERAL"}</definedName>
    <definedName name="_______z4" localSheetId="16" hidden="1">{"TAB1",#N/A,TRUE,"GENERAL";"TAB2",#N/A,TRUE,"GENERAL";"TAB3",#N/A,TRUE,"GENERAL";"TAB4",#N/A,TRUE,"GENERAL";"TAB5",#N/A,TRUE,"GENERAL"}</definedName>
    <definedName name="_______z4" localSheetId="17" hidden="1">{"TAB1",#N/A,TRUE,"GENERAL";"TAB2",#N/A,TRUE,"GENERAL";"TAB3",#N/A,TRUE,"GENERAL";"TAB4",#N/A,TRUE,"GENERAL";"TAB5",#N/A,TRUE,"GENERAL"}</definedName>
    <definedName name="_______z4" localSheetId="13" hidden="1">{"TAB1",#N/A,TRUE,"GENERAL";"TAB2",#N/A,TRUE,"GENERAL";"TAB3",#N/A,TRUE,"GENERAL";"TAB4",#N/A,TRUE,"GENERAL";"TAB5",#N/A,TRUE,"GENERAL"}</definedName>
    <definedName name="_______z4" localSheetId="15" hidden="1">{"TAB1",#N/A,TRUE,"GENERAL";"TAB2",#N/A,TRUE,"GENERAL";"TAB3",#N/A,TRUE,"GENERAL";"TAB4",#N/A,TRUE,"GENERAL";"TAB5",#N/A,TRUE,"GENERAL"}</definedName>
    <definedName name="_______z4" hidden="1">{"TAB1",#N/A,TRUE,"GENERAL";"TAB2",#N/A,TRUE,"GENERAL";"TAB3",#N/A,TRUE,"GENERAL";"TAB4",#N/A,TRUE,"GENERAL";"TAB5",#N/A,TRUE,"GENERAL"}</definedName>
    <definedName name="_______z5" localSheetId="14" hidden="1">{"via1",#N/A,TRUE,"general";"via2",#N/A,TRUE,"general";"via3",#N/A,TRUE,"general"}</definedName>
    <definedName name="_______z5" localSheetId="16" hidden="1">{"via1",#N/A,TRUE,"general";"via2",#N/A,TRUE,"general";"via3",#N/A,TRUE,"general"}</definedName>
    <definedName name="_______z5" localSheetId="17" hidden="1">{"via1",#N/A,TRUE,"general";"via2",#N/A,TRUE,"general";"via3",#N/A,TRUE,"general"}</definedName>
    <definedName name="_______z5" localSheetId="13" hidden="1">{"via1",#N/A,TRUE,"general";"via2",#N/A,TRUE,"general";"via3",#N/A,TRUE,"general"}</definedName>
    <definedName name="_______z5" localSheetId="15" hidden="1">{"via1",#N/A,TRUE,"general";"via2",#N/A,TRUE,"general";"via3",#N/A,TRUE,"general"}</definedName>
    <definedName name="_______z5" hidden="1">{"via1",#N/A,TRUE,"general";"via2",#N/A,TRUE,"general";"via3",#N/A,TRUE,"general"}</definedName>
    <definedName name="_______z6" localSheetId="14" hidden="1">{"TAB1",#N/A,TRUE,"GENERAL";"TAB2",#N/A,TRUE,"GENERAL";"TAB3",#N/A,TRUE,"GENERAL";"TAB4",#N/A,TRUE,"GENERAL";"TAB5",#N/A,TRUE,"GENERAL"}</definedName>
    <definedName name="_______z6" localSheetId="16" hidden="1">{"TAB1",#N/A,TRUE,"GENERAL";"TAB2",#N/A,TRUE,"GENERAL";"TAB3",#N/A,TRUE,"GENERAL";"TAB4",#N/A,TRUE,"GENERAL";"TAB5",#N/A,TRUE,"GENERAL"}</definedName>
    <definedName name="_______z6" localSheetId="17" hidden="1">{"TAB1",#N/A,TRUE,"GENERAL";"TAB2",#N/A,TRUE,"GENERAL";"TAB3",#N/A,TRUE,"GENERAL";"TAB4",#N/A,TRUE,"GENERAL";"TAB5",#N/A,TRUE,"GENERAL"}</definedName>
    <definedName name="_______z6" localSheetId="13" hidden="1">{"TAB1",#N/A,TRUE,"GENERAL";"TAB2",#N/A,TRUE,"GENERAL";"TAB3",#N/A,TRUE,"GENERAL";"TAB4",#N/A,TRUE,"GENERAL";"TAB5",#N/A,TRUE,"GENERAL"}</definedName>
    <definedName name="_______z6" localSheetId="15" hidden="1">{"TAB1",#N/A,TRUE,"GENERAL";"TAB2",#N/A,TRUE,"GENERAL";"TAB3",#N/A,TRUE,"GENERAL";"TAB4",#N/A,TRUE,"GENERAL";"TAB5",#N/A,TRUE,"GENERAL"}</definedName>
    <definedName name="_______z6" hidden="1">{"TAB1",#N/A,TRUE,"GENERAL";"TAB2",#N/A,TRUE,"GENERAL";"TAB3",#N/A,TRUE,"GENERAL";"TAB4",#N/A,TRUE,"GENERAL";"TAB5",#N/A,TRUE,"GENERAL"}</definedName>
    <definedName name="______a1" localSheetId="14" hidden="1">{"TAB1",#N/A,TRUE,"GENERAL";"TAB2",#N/A,TRUE,"GENERAL";"TAB3",#N/A,TRUE,"GENERAL";"TAB4",#N/A,TRUE,"GENERAL";"TAB5",#N/A,TRUE,"GENERAL"}</definedName>
    <definedName name="______a1" localSheetId="16" hidden="1">{"TAB1",#N/A,TRUE,"GENERAL";"TAB2",#N/A,TRUE,"GENERAL";"TAB3",#N/A,TRUE,"GENERAL";"TAB4",#N/A,TRUE,"GENERAL";"TAB5",#N/A,TRUE,"GENERAL"}</definedName>
    <definedName name="______a1" localSheetId="17" hidden="1">{"TAB1",#N/A,TRUE,"GENERAL";"TAB2",#N/A,TRUE,"GENERAL";"TAB3",#N/A,TRUE,"GENERAL";"TAB4",#N/A,TRUE,"GENERAL";"TAB5",#N/A,TRUE,"GENERAL"}</definedName>
    <definedName name="______a1" localSheetId="13" hidden="1">{"TAB1",#N/A,TRUE,"GENERAL";"TAB2",#N/A,TRUE,"GENERAL";"TAB3",#N/A,TRUE,"GENERAL";"TAB4",#N/A,TRUE,"GENERAL";"TAB5",#N/A,TRUE,"GENERAL"}</definedName>
    <definedName name="______a1" localSheetId="15" hidden="1">{"TAB1",#N/A,TRUE,"GENERAL";"TAB2",#N/A,TRUE,"GENERAL";"TAB3",#N/A,TRUE,"GENERAL";"TAB4",#N/A,TRUE,"GENERAL";"TAB5",#N/A,TRUE,"GENERAL"}</definedName>
    <definedName name="______a1" hidden="1">{"TAB1",#N/A,TRUE,"GENERAL";"TAB2",#N/A,TRUE,"GENERAL";"TAB3",#N/A,TRUE,"GENERAL";"TAB4",#N/A,TRUE,"GENERAL";"TAB5",#N/A,TRUE,"GENERAL"}</definedName>
    <definedName name="______a3" localSheetId="14" hidden="1">{"TAB1",#N/A,TRUE,"GENERAL";"TAB2",#N/A,TRUE,"GENERAL";"TAB3",#N/A,TRUE,"GENERAL";"TAB4",#N/A,TRUE,"GENERAL";"TAB5",#N/A,TRUE,"GENERAL"}</definedName>
    <definedName name="______a3" localSheetId="16" hidden="1">{"TAB1",#N/A,TRUE,"GENERAL";"TAB2",#N/A,TRUE,"GENERAL";"TAB3",#N/A,TRUE,"GENERAL";"TAB4",#N/A,TRUE,"GENERAL";"TAB5",#N/A,TRUE,"GENERAL"}</definedName>
    <definedName name="______a3" localSheetId="17" hidden="1">{"TAB1",#N/A,TRUE,"GENERAL";"TAB2",#N/A,TRUE,"GENERAL";"TAB3",#N/A,TRUE,"GENERAL";"TAB4",#N/A,TRUE,"GENERAL";"TAB5",#N/A,TRUE,"GENERAL"}</definedName>
    <definedName name="______a3" localSheetId="13" hidden="1">{"TAB1",#N/A,TRUE,"GENERAL";"TAB2",#N/A,TRUE,"GENERAL";"TAB3",#N/A,TRUE,"GENERAL";"TAB4",#N/A,TRUE,"GENERAL";"TAB5",#N/A,TRUE,"GENERAL"}</definedName>
    <definedName name="______a3" localSheetId="15" hidden="1">{"TAB1",#N/A,TRUE,"GENERAL";"TAB2",#N/A,TRUE,"GENERAL";"TAB3",#N/A,TRUE,"GENERAL";"TAB4",#N/A,TRUE,"GENERAL";"TAB5",#N/A,TRUE,"GENERAL"}</definedName>
    <definedName name="______a3" hidden="1">{"TAB1",#N/A,TRUE,"GENERAL";"TAB2",#N/A,TRUE,"GENERAL";"TAB3",#N/A,TRUE,"GENERAL";"TAB4",#N/A,TRUE,"GENERAL";"TAB5",#N/A,TRUE,"GENERAL"}</definedName>
    <definedName name="______a4" localSheetId="14" hidden="1">{"via1",#N/A,TRUE,"general";"via2",#N/A,TRUE,"general";"via3",#N/A,TRUE,"general"}</definedName>
    <definedName name="______a4" localSheetId="16" hidden="1">{"via1",#N/A,TRUE,"general";"via2",#N/A,TRUE,"general";"via3",#N/A,TRUE,"general"}</definedName>
    <definedName name="______a4" localSheetId="17" hidden="1">{"via1",#N/A,TRUE,"general";"via2",#N/A,TRUE,"general";"via3",#N/A,TRUE,"general"}</definedName>
    <definedName name="______a4" localSheetId="13" hidden="1">{"via1",#N/A,TRUE,"general";"via2",#N/A,TRUE,"general";"via3",#N/A,TRUE,"general"}</definedName>
    <definedName name="______a4" localSheetId="15" hidden="1">{"via1",#N/A,TRUE,"general";"via2",#N/A,TRUE,"general";"via3",#N/A,TRUE,"general"}</definedName>
    <definedName name="______a4" hidden="1">{"via1",#N/A,TRUE,"general";"via2",#N/A,TRUE,"general";"via3",#N/A,TRUE,"general"}</definedName>
    <definedName name="______a5" localSheetId="14" hidden="1">{"TAB1",#N/A,TRUE,"GENERAL";"TAB2",#N/A,TRUE,"GENERAL";"TAB3",#N/A,TRUE,"GENERAL";"TAB4",#N/A,TRUE,"GENERAL";"TAB5",#N/A,TRUE,"GENERAL"}</definedName>
    <definedName name="______a5" localSheetId="16" hidden="1">{"TAB1",#N/A,TRUE,"GENERAL";"TAB2",#N/A,TRUE,"GENERAL";"TAB3",#N/A,TRUE,"GENERAL";"TAB4",#N/A,TRUE,"GENERAL";"TAB5",#N/A,TRUE,"GENERAL"}</definedName>
    <definedName name="______a5" localSheetId="17" hidden="1">{"TAB1",#N/A,TRUE,"GENERAL";"TAB2",#N/A,TRUE,"GENERAL";"TAB3",#N/A,TRUE,"GENERAL";"TAB4",#N/A,TRUE,"GENERAL";"TAB5",#N/A,TRUE,"GENERAL"}</definedName>
    <definedName name="______a5" localSheetId="13" hidden="1">{"TAB1",#N/A,TRUE,"GENERAL";"TAB2",#N/A,TRUE,"GENERAL";"TAB3",#N/A,TRUE,"GENERAL";"TAB4",#N/A,TRUE,"GENERAL";"TAB5",#N/A,TRUE,"GENERAL"}</definedName>
    <definedName name="______a5" localSheetId="15" hidden="1">{"TAB1",#N/A,TRUE,"GENERAL";"TAB2",#N/A,TRUE,"GENERAL";"TAB3",#N/A,TRUE,"GENERAL";"TAB4",#N/A,TRUE,"GENERAL";"TAB5",#N/A,TRUE,"GENERAL"}</definedName>
    <definedName name="______a5" hidden="1">{"TAB1",#N/A,TRUE,"GENERAL";"TAB2",#N/A,TRUE,"GENERAL";"TAB3",#N/A,TRUE,"GENERAL";"TAB4",#N/A,TRUE,"GENERAL";"TAB5",#N/A,TRUE,"GENERAL"}</definedName>
    <definedName name="______a6" localSheetId="14" hidden="1">{"TAB1",#N/A,TRUE,"GENERAL";"TAB2",#N/A,TRUE,"GENERAL";"TAB3",#N/A,TRUE,"GENERAL";"TAB4",#N/A,TRUE,"GENERAL";"TAB5",#N/A,TRUE,"GENERAL"}</definedName>
    <definedName name="______a6" localSheetId="16" hidden="1">{"TAB1",#N/A,TRUE,"GENERAL";"TAB2",#N/A,TRUE,"GENERAL";"TAB3",#N/A,TRUE,"GENERAL";"TAB4",#N/A,TRUE,"GENERAL";"TAB5",#N/A,TRUE,"GENERAL"}</definedName>
    <definedName name="______a6" localSheetId="17" hidden="1">{"TAB1",#N/A,TRUE,"GENERAL";"TAB2",#N/A,TRUE,"GENERAL";"TAB3",#N/A,TRUE,"GENERAL";"TAB4",#N/A,TRUE,"GENERAL";"TAB5",#N/A,TRUE,"GENERAL"}</definedName>
    <definedName name="______a6" localSheetId="13" hidden="1">{"TAB1",#N/A,TRUE,"GENERAL";"TAB2",#N/A,TRUE,"GENERAL";"TAB3",#N/A,TRUE,"GENERAL";"TAB4",#N/A,TRUE,"GENERAL";"TAB5",#N/A,TRUE,"GENERAL"}</definedName>
    <definedName name="______a6" localSheetId="15" hidden="1">{"TAB1",#N/A,TRUE,"GENERAL";"TAB2",#N/A,TRUE,"GENERAL";"TAB3",#N/A,TRUE,"GENERAL";"TAB4",#N/A,TRUE,"GENERAL";"TAB5",#N/A,TRUE,"GENERAL"}</definedName>
    <definedName name="______a6" hidden="1">{"TAB1",#N/A,TRUE,"GENERAL";"TAB2",#N/A,TRUE,"GENERAL";"TAB3",#N/A,TRUE,"GENERAL";"TAB4",#N/A,TRUE,"GENERAL";"TAB5",#N/A,TRUE,"GENERAL"}</definedName>
    <definedName name="______ADH12">#REF!</definedName>
    <definedName name="______ADM12">#REF!</definedName>
    <definedName name="______ADM4">#REF!</definedName>
    <definedName name="______AFC1">[1]INV!$A$25:$D$28</definedName>
    <definedName name="______AFC3">[1]INV!$F$25:$I$28</definedName>
    <definedName name="______AFC5">[1]INV!$K$25:$N$28</definedName>
    <definedName name="______AIU1" localSheetId="3">#REF!</definedName>
    <definedName name="______AIU1" localSheetId="30">#REF!</definedName>
    <definedName name="______AIU1" localSheetId="31">#REF!</definedName>
    <definedName name="______AIU1" localSheetId="29">#REF!</definedName>
    <definedName name="______AIU1">#REF!</definedName>
    <definedName name="______AIU2">#REF!</definedName>
    <definedName name="______AIU3">#REF!</definedName>
    <definedName name="______APU221">#REF!</definedName>
    <definedName name="______APU465" localSheetId="14">[2]!absc</definedName>
    <definedName name="______APU465" localSheetId="17">[2]!absc</definedName>
    <definedName name="______APU465" localSheetId="2">[2]!absc</definedName>
    <definedName name="______APU465" localSheetId="20">[2]!absc</definedName>
    <definedName name="______APU465" localSheetId="21">[2]!absc</definedName>
    <definedName name="______APU465" localSheetId="15">[2]!absc</definedName>
    <definedName name="______APU465">[2]!absc</definedName>
    <definedName name="______b2" localSheetId="14" hidden="1">{"TAB1",#N/A,TRUE,"GENERAL";"TAB2",#N/A,TRUE,"GENERAL";"TAB3",#N/A,TRUE,"GENERAL";"TAB4",#N/A,TRUE,"GENERAL";"TAB5",#N/A,TRUE,"GENERAL"}</definedName>
    <definedName name="______b2" localSheetId="16" hidden="1">{"TAB1",#N/A,TRUE,"GENERAL";"TAB2",#N/A,TRUE,"GENERAL";"TAB3",#N/A,TRUE,"GENERAL";"TAB4",#N/A,TRUE,"GENERAL";"TAB5",#N/A,TRUE,"GENERAL"}</definedName>
    <definedName name="______b2" localSheetId="17" hidden="1">{"TAB1",#N/A,TRUE,"GENERAL";"TAB2",#N/A,TRUE,"GENERAL";"TAB3",#N/A,TRUE,"GENERAL";"TAB4",#N/A,TRUE,"GENERAL";"TAB5",#N/A,TRUE,"GENERAL"}</definedName>
    <definedName name="______b2" localSheetId="13" hidden="1">{"TAB1",#N/A,TRUE,"GENERAL";"TAB2",#N/A,TRUE,"GENERAL";"TAB3",#N/A,TRUE,"GENERAL";"TAB4",#N/A,TRUE,"GENERAL";"TAB5",#N/A,TRUE,"GENERAL"}</definedName>
    <definedName name="______b2" localSheetId="15" hidden="1">{"TAB1",#N/A,TRUE,"GENERAL";"TAB2",#N/A,TRUE,"GENERAL";"TAB3",#N/A,TRUE,"GENERAL";"TAB4",#N/A,TRUE,"GENERAL";"TAB5",#N/A,TRUE,"GENERAL"}</definedName>
    <definedName name="______b2" hidden="1">{"TAB1",#N/A,TRUE,"GENERAL";"TAB2",#N/A,TRUE,"GENERAL";"TAB3",#N/A,TRUE,"GENERAL";"TAB4",#N/A,TRUE,"GENERAL";"TAB5",#N/A,TRUE,"GENERAL"}</definedName>
    <definedName name="______b3" localSheetId="14" hidden="1">{"TAB1",#N/A,TRUE,"GENERAL";"TAB2",#N/A,TRUE,"GENERAL";"TAB3",#N/A,TRUE,"GENERAL";"TAB4",#N/A,TRUE,"GENERAL";"TAB5",#N/A,TRUE,"GENERAL"}</definedName>
    <definedName name="______b3" localSheetId="16" hidden="1">{"TAB1",#N/A,TRUE,"GENERAL";"TAB2",#N/A,TRUE,"GENERAL";"TAB3",#N/A,TRUE,"GENERAL";"TAB4",#N/A,TRUE,"GENERAL";"TAB5",#N/A,TRUE,"GENERAL"}</definedName>
    <definedName name="______b3" localSheetId="17" hidden="1">{"TAB1",#N/A,TRUE,"GENERAL";"TAB2",#N/A,TRUE,"GENERAL";"TAB3",#N/A,TRUE,"GENERAL";"TAB4",#N/A,TRUE,"GENERAL";"TAB5",#N/A,TRUE,"GENERAL"}</definedName>
    <definedName name="______b3" localSheetId="13" hidden="1">{"TAB1",#N/A,TRUE,"GENERAL";"TAB2",#N/A,TRUE,"GENERAL";"TAB3",#N/A,TRUE,"GENERAL";"TAB4",#N/A,TRUE,"GENERAL";"TAB5",#N/A,TRUE,"GENERAL"}</definedName>
    <definedName name="______b3" localSheetId="15" hidden="1">{"TAB1",#N/A,TRUE,"GENERAL";"TAB2",#N/A,TRUE,"GENERAL";"TAB3",#N/A,TRUE,"GENERAL";"TAB4",#N/A,TRUE,"GENERAL";"TAB5",#N/A,TRUE,"GENERAL"}</definedName>
    <definedName name="______b3" hidden="1">{"TAB1",#N/A,TRUE,"GENERAL";"TAB2",#N/A,TRUE,"GENERAL";"TAB3",#N/A,TRUE,"GENERAL";"TAB4",#N/A,TRUE,"GENERAL";"TAB5",#N/A,TRUE,"GENERAL"}</definedName>
    <definedName name="______b4" localSheetId="14" hidden="1">{"TAB1",#N/A,TRUE,"GENERAL";"TAB2",#N/A,TRUE,"GENERAL";"TAB3",#N/A,TRUE,"GENERAL";"TAB4",#N/A,TRUE,"GENERAL";"TAB5",#N/A,TRUE,"GENERAL"}</definedName>
    <definedName name="______b4" localSheetId="16" hidden="1">{"TAB1",#N/A,TRUE,"GENERAL";"TAB2",#N/A,TRUE,"GENERAL";"TAB3",#N/A,TRUE,"GENERAL";"TAB4",#N/A,TRUE,"GENERAL";"TAB5",#N/A,TRUE,"GENERAL"}</definedName>
    <definedName name="______b4" localSheetId="17" hidden="1">{"TAB1",#N/A,TRUE,"GENERAL";"TAB2",#N/A,TRUE,"GENERAL";"TAB3",#N/A,TRUE,"GENERAL";"TAB4",#N/A,TRUE,"GENERAL";"TAB5",#N/A,TRUE,"GENERAL"}</definedName>
    <definedName name="______b4" localSheetId="13" hidden="1">{"TAB1",#N/A,TRUE,"GENERAL";"TAB2",#N/A,TRUE,"GENERAL";"TAB3",#N/A,TRUE,"GENERAL";"TAB4",#N/A,TRUE,"GENERAL";"TAB5",#N/A,TRUE,"GENERAL"}</definedName>
    <definedName name="______b4" localSheetId="15" hidden="1">{"TAB1",#N/A,TRUE,"GENERAL";"TAB2",#N/A,TRUE,"GENERAL";"TAB3",#N/A,TRUE,"GENERAL";"TAB4",#N/A,TRUE,"GENERAL";"TAB5",#N/A,TRUE,"GENERAL"}</definedName>
    <definedName name="______b4" hidden="1">{"TAB1",#N/A,TRUE,"GENERAL";"TAB2",#N/A,TRUE,"GENERAL";"TAB3",#N/A,TRUE,"GENERAL";"TAB4",#N/A,TRUE,"GENERAL";"TAB5",#N/A,TRUE,"GENERAL"}</definedName>
    <definedName name="______b5" localSheetId="14" hidden="1">{"TAB1",#N/A,TRUE,"GENERAL";"TAB2",#N/A,TRUE,"GENERAL";"TAB3",#N/A,TRUE,"GENERAL";"TAB4",#N/A,TRUE,"GENERAL";"TAB5",#N/A,TRUE,"GENERAL"}</definedName>
    <definedName name="______b5" localSheetId="16" hidden="1">{"TAB1",#N/A,TRUE,"GENERAL";"TAB2",#N/A,TRUE,"GENERAL";"TAB3",#N/A,TRUE,"GENERAL";"TAB4",#N/A,TRUE,"GENERAL";"TAB5",#N/A,TRUE,"GENERAL"}</definedName>
    <definedName name="______b5" localSheetId="17" hidden="1">{"TAB1",#N/A,TRUE,"GENERAL";"TAB2",#N/A,TRUE,"GENERAL";"TAB3",#N/A,TRUE,"GENERAL";"TAB4",#N/A,TRUE,"GENERAL";"TAB5",#N/A,TRUE,"GENERAL"}</definedName>
    <definedName name="______b5" localSheetId="13" hidden="1">{"TAB1",#N/A,TRUE,"GENERAL";"TAB2",#N/A,TRUE,"GENERAL";"TAB3",#N/A,TRUE,"GENERAL";"TAB4",#N/A,TRUE,"GENERAL";"TAB5",#N/A,TRUE,"GENERAL"}</definedName>
    <definedName name="______b5" localSheetId="15" hidden="1">{"TAB1",#N/A,TRUE,"GENERAL";"TAB2",#N/A,TRUE,"GENERAL";"TAB3",#N/A,TRUE,"GENERAL";"TAB4",#N/A,TRUE,"GENERAL";"TAB5",#N/A,TRUE,"GENERAL"}</definedName>
    <definedName name="______b5" hidden="1">{"TAB1",#N/A,TRUE,"GENERAL";"TAB2",#N/A,TRUE,"GENERAL";"TAB3",#N/A,TRUE,"GENERAL";"TAB4",#N/A,TRUE,"GENERAL";"TAB5",#N/A,TRUE,"GENERAL"}</definedName>
    <definedName name="______b6" localSheetId="14" hidden="1">{"TAB1",#N/A,TRUE,"GENERAL";"TAB2",#N/A,TRUE,"GENERAL";"TAB3",#N/A,TRUE,"GENERAL";"TAB4",#N/A,TRUE,"GENERAL";"TAB5",#N/A,TRUE,"GENERAL"}</definedName>
    <definedName name="______b6" localSheetId="16" hidden="1">{"TAB1",#N/A,TRUE,"GENERAL";"TAB2",#N/A,TRUE,"GENERAL";"TAB3",#N/A,TRUE,"GENERAL";"TAB4",#N/A,TRUE,"GENERAL";"TAB5",#N/A,TRUE,"GENERAL"}</definedName>
    <definedName name="______b6" localSheetId="17" hidden="1">{"TAB1",#N/A,TRUE,"GENERAL";"TAB2",#N/A,TRUE,"GENERAL";"TAB3",#N/A,TRUE,"GENERAL";"TAB4",#N/A,TRUE,"GENERAL";"TAB5",#N/A,TRUE,"GENERAL"}</definedName>
    <definedName name="______b6" localSheetId="13" hidden="1">{"TAB1",#N/A,TRUE,"GENERAL";"TAB2",#N/A,TRUE,"GENERAL";"TAB3",#N/A,TRUE,"GENERAL";"TAB4",#N/A,TRUE,"GENERAL";"TAB5",#N/A,TRUE,"GENERAL"}</definedName>
    <definedName name="______b6" localSheetId="15" hidden="1">{"TAB1",#N/A,TRUE,"GENERAL";"TAB2",#N/A,TRUE,"GENERAL";"TAB3",#N/A,TRUE,"GENERAL";"TAB4",#N/A,TRUE,"GENERAL";"TAB5",#N/A,TRUE,"GENERAL"}</definedName>
    <definedName name="______b6" hidden="1">{"TAB1",#N/A,TRUE,"GENERAL";"TAB2",#N/A,TRUE,"GENERAL";"TAB3",#N/A,TRUE,"GENERAL";"TAB4",#N/A,TRUE,"GENERAL";"TAB5",#N/A,TRUE,"GENERAL"}</definedName>
    <definedName name="______b7" localSheetId="14" hidden="1">{"via1",#N/A,TRUE,"general";"via2",#N/A,TRUE,"general";"via3",#N/A,TRUE,"general"}</definedName>
    <definedName name="______b7" localSheetId="16" hidden="1">{"via1",#N/A,TRUE,"general";"via2",#N/A,TRUE,"general";"via3",#N/A,TRUE,"general"}</definedName>
    <definedName name="______b7" localSheetId="17" hidden="1">{"via1",#N/A,TRUE,"general";"via2",#N/A,TRUE,"general";"via3",#N/A,TRUE,"general"}</definedName>
    <definedName name="______b7" localSheetId="13" hidden="1">{"via1",#N/A,TRUE,"general";"via2",#N/A,TRUE,"general";"via3",#N/A,TRUE,"general"}</definedName>
    <definedName name="______b7" localSheetId="15" hidden="1">{"via1",#N/A,TRUE,"general";"via2",#N/A,TRUE,"general";"via3",#N/A,TRUE,"general"}</definedName>
    <definedName name="______b7" hidden="1">{"via1",#N/A,TRUE,"general";"via2",#N/A,TRUE,"general";"via3",#N/A,TRUE,"general"}</definedName>
    <definedName name="______b8" localSheetId="14" hidden="1">{"via1",#N/A,TRUE,"general";"via2",#N/A,TRUE,"general";"via3",#N/A,TRUE,"general"}</definedName>
    <definedName name="______b8" localSheetId="16" hidden="1">{"via1",#N/A,TRUE,"general";"via2",#N/A,TRUE,"general";"via3",#N/A,TRUE,"general"}</definedName>
    <definedName name="______b8" localSheetId="17" hidden="1">{"via1",#N/A,TRUE,"general";"via2",#N/A,TRUE,"general";"via3",#N/A,TRUE,"general"}</definedName>
    <definedName name="______b8" localSheetId="13" hidden="1">{"via1",#N/A,TRUE,"general";"via2",#N/A,TRUE,"general";"via3",#N/A,TRUE,"general"}</definedName>
    <definedName name="______b8" localSheetId="15" hidden="1">{"via1",#N/A,TRUE,"general";"via2",#N/A,TRUE,"general";"via3",#N/A,TRUE,"general"}</definedName>
    <definedName name="______b8" hidden="1">{"via1",#N/A,TRUE,"general";"via2",#N/A,TRUE,"general";"via3",#N/A,TRUE,"general"}</definedName>
    <definedName name="______BAZ10">#REF!</definedName>
    <definedName name="______bb9" localSheetId="14" hidden="1">{"TAB1",#N/A,TRUE,"GENERAL";"TAB2",#N/A,TRUE,"GENERAL";"TAB3",#N/A,TRUE,"GENERAL";"TAB4",#N/A,TRUE,"GENERAL";"TAB5",#N/A,TRUE,"GENERAL"}</definedName>
    <definedName name="______bb9" localSheetId="16" hidden="1">{"TAB1",#N/A,TRUE,"GENERAL";"TAB2",#N/A,TRUE,"GENERAL";"TAB3",#N/A,TRUE,"GENERAL";"TAB4",#N/A,TRUE,"GENERAL";"TAB5",#N/A,TRUE,"GENERAL"}</definedName>
    <definedName name="______bb9" localSheetId="17" hidden="1">{"TAB1",#N/A,TRUE,"GENERAL";"TAB2",#N/A,TRUE,"GENERAL";"TAB3",#N/A,TRUE,"GENERAL";"TAB4",#N/A,TRUE,"GENERAL";"TAB5",#N/A,TRUE,"GENERAL"}</definedName>
    <definedName name="______bb9" localSheetId="13" hidden="1">{"TAB1",#N/A,TRUE,"GENERAL";"TAB2",#N/A,TRUE,"GENERAL";"TAB3",#N/A,TRUE,"GENERAL";"TAB4",#N/A,TRUE,"GENERAL";"TAB5",#N/A,TRUE,"GENERAL"}</definedName>
    <definedName name="______bb9" localSheetId="15" hidden="1">{"TAB1",#N/A,TRUE,"GENERAL";"TAB2",#N/A,TRUE,"GENERAL";"TAB3",#N/A,TRUE,"GENERAL";"TAB4",#N/A,TRUE,"GENERAL";"TAB5",#N/A,TRUE,"GENERAL"}</definedName>
    <definedName name="______bb9" hidden="1">{"TAB1",#N/A,TRUE,"GENERAL";"TAB2",#N/A,TRUE,"GENERAL";"TAB3",#N/A,TRUE,"GENERAL";"TAB4",#N/A,TRUE,"GENERAL";"TAB5",#N/A,TRUE,"GENERAL"}</definedName>
    <definedName name="______bgb5" localSheetId="14" hidden="1">{"TAB1",#N/A,TRUE,"GENERAL";"TAB2",#N/A,TRUE,"GENERAL";"TAB3",#N/A,TRUE,"GENERAL";"TAB4",#N/A,TRUE,"GENERAL";"TAB5",#N/A,TRUE,"GENERAL"}</definedName>
    <definedName name="______bgb5" localSheetId="16" hidden="1">{"TAB1",#N/A,TRUE,"GENERAL";"TAB2",#N/A,TRUE,"GENERAL";"TAB3",#N/A,TRUE,"GENERAL";"TAB4",#N/A,TRUE,"GENERAL";"TAB5",#N/A,TRUE,"GENERAL"}</definedName>
    <definedName name="______bgb5" localSheetId="17" hidden="1">{"TAB1",#N/A,TRUE,"GENERAL";"TAB2",#N/A,TRUE,"GENERAL";"TAB3",#N/A,TRUE,"GENERAL";"TAB4",#N/A,TRUE,"GENERAL";"TAB5",#N/A,TRUE,"GENERAL"}</definedName>
    <definedName name="______bgb5" localSheetId="13" hidden="1">{"TAB1",#N/A,TRUE,"GENERAL";"TAB2",#N/A,TRUE,"GENERAL";"TAB3",#N/A,TRUE,"GENERAL";"TAB4",#N/A,TRUE,"GENERAL";"TAB5",#N/A,TRUE,"GENERAL"}</definedName>
    <definedName name="______bgb5" localSheetId="15"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BLO20">#REF!</definedName>
    <definedName name="______C2254JH" localSheetId="3">#REF!</definedName>
    <definedName name="______C2254JH">#REF!</definedName>
    <definedName name="______C908J" localSheetId="3">#REF!</definedName>
    <definedName name="______C908J">#REF!</definedName>
    <definedName name="______CAC1">[1]INV!$A$19:$D$22</definedName>
    <definedName name="______CAC3">[1]INV!$F$19:$I$22</definedName>
    <definedName name="______CAC5">[1]INV!$K$19:$N$22</definedName>
    <definedName name="______CAN28">#REF!</definedName>
    <definedName name="______Cod1" localSheetId="3">#REF!</definedName>
    <definedName name="______Cod1" localSheetId="30">#REF!</definedName>
    <definedName name="______Cod1" localSheetId="31">#REF!</definedName>
    <definedName name="______Cod1" localSheetId="29">#REF!</definedName>
    <definedName name="______Cod1">#REF!</definedName>
    <definedName name="______CUA44">#REF!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F315">#REF!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14" hidden="1">{"TAB1",#N/A,TRUE,"GENERAL";"TAB2",#N/A,TRUE,"GENERAL";"TAB3",#N/A,TRUE,"GENERAL";"TAB4",#N/A,TRUE,"GENERAL";"TAB5",#N/A,TRUE,"GENERAL"}</definedName>
    <definedName name="______g2" localSheetId="16" hidden="1">{"TAB1",#N/A,TRUE,"GENERAL";"TAB2",#N/A,TRUE,"GENERAL";"TAB3",#N/A,TRUE,"GENERAL";"TAB4",#N/A,TRUE,"GENERAL";"TAB5",#N/A,TRUE,"GENERAL"}</definedName>
    <definedName name="______g2" localSheetId="17" hidden="1">{"TAB1",#N/A,TRUE,"GENERAL";"TAB2",#N/A,TRUE,"GENERAL";"TAB3",#N/A,TRUE,"GENERAL";"TAB4",#N/A,TRUE,"GENERAL";"TAB5",#N/A,TRUE,"GENERAL"}</definedName>
    <definedName name="______g2" localSheetId="13" hidden="1">{"TAB1",#N/A,TRUE,"GENERAL";"TAB2",#N/A,TRUE,"GENERAL";"TAB3",#N/A,TRUE,"GENERAL";"TAB4",#N/A,TRUE,"GENERAL";"TAB5",#N/A,TRUE,"GENERAL"}</definedName>
    <definedName name="______g2" localSheetId="15" hidden="1">{"TAB1",#N/A,TRUE,"GENERAL";"TAB2",#N/A,TRUE,"GENERAL";"TAB3",#N/A,TRUE,"GENERAL";"TAB4",#N/A,TRUE,"GENERAL";"TAB5",#N/A,TRUE,"GENERAL"}</definedName>
    <definedName name="______g2" hidden="1">{"TAB1",#N/A,TRUE,"GENERAL";"TAB2",#N/A,TRUE,"GENERAL";"TAB3",#N/A,TRUE,"GENERAL";"TAB4",#N/A,TRUE,"GENERAL";"TAB5",#N/A,TRUE,"GENERAL"}</definedName>
    <definedName name="______g3" localSheetId="14" hidden="1">{"via1",#N/A,TRUE,"general";"via2",#N/A,TRUE,"general";"via3",#N/A,TRUE,"general"}</definedName>
    <definedName name="______g3" localSheetId="16" hidden="1">{"via1",#N/A,TRUE,"general";"via2",#N/A,TRUE,"general";"via3",#N/A,TRUE,"general"}</definedName>
    <definedName name="______g3" localSheetId="17" hidden="1">{"via1",#N/A,TRUE,"general";"via2",#N/A,TRUE,"general";"via3",#N/A,TRUE,"general"}</definedName>
    <definedName name="______g3" localSheetId="13" hidden="1">{"via1",#N/A,TRUE,"general";"via2",#N/A,TRUE,"general";"via3",#N/A,TRUE,"general"}</definedName>
    <definedName name="______g3" localSheetId="15" hidden="1">{"via1",#N/A,TRUE,"general";"via2",#N/A,TRUE,"general";"via3",#N/A,TRUE,"general"}</definedName>
    <definedName name="______g3" hidden="1">{"via1",#N/A,TRUE,"general";"via2",#N/A,TRUE,"general";"via3",#N/A,TRUE,"general"}</definedName>
    <definedName name="______g4" localSheetId="14" hidden="1">{"via1",#N/A,TRUE,"general";"via2",#N/A,TRUE,"general";"via3",#N/A,TRUE,"general"}</definedName>
    <definedName name="______g4" localSheetId="16" hidden="1">{"via1",#N/A,TRUE,"general";"via2",#N/A,TRUE,"general";"via3",#N/A,TRUE,"general"}</definedName>
    <definedName name="______g4" localSheetId="17" hidden="1">{"via1",#N/A,TRUE,"general";"via2",#N/A,TRUE,"general";"via3",#N/A,TRUE,"general"}</definedName>
    <definedName name="______g4" localSheetId="13" hidden="1">{"via1",#N/A,TRUE,"general";"via2",#N/A,TRUE,"general";"via3",#N/A,TRUE,"general"}</definedName>
    <definedName name="______g4" localSheetId="15" hidden="1">{"via1",#N/A,TRUE,"general";"via2",#N/A,TRUE,"general";"via3",#N/A,TRUE,"general"}</definedName>
    <definedName name="______g4" hidden="1">{"via1",#N/A,TRUE,"general";"via2",#N/A,TRUE,"general";"via3",#N/A,TRUE,"general"}</definedName>
    <definedName name="______g5" localSheetId="14" hidden="1">{"via1",#N/A,TRUE,"general";"via2",#N/A,TRUE,"general";"via3",#N/A,TRUE,"general"}</definedName>
    <definedName name="______g5" localSheetId="16" hidden="1">{"via1",#N/A,TRUE,"general";"via2",#N/A,TRUE,"general";"via3",#N/A,TRUE,"general"}</definedName>
    <definedName name="______g5" localSheetId="17" hidden="1">{"via1",#N/A,TRUE,"general";"via2",#N/A,TRUE,"general";"via3",#N/A,TRUE,"general"}</definedName>
    <definedName name="______g5" localSheetId="13" hidden="1">{"via1",#N/A,TRUE,"general";"via2",#N/A,TRUE,"general";"via3",#N/A,TRUE,"general"}</definedName>
    <definedName name="______g5" localSheetId="15" hidden="1">{"via1",#N/A,TRUE,"general";"via2",#N/A,TRUE,"general";"via3",#N/A,TRUE,"general"}</definedName>
    <definedName name="______g5" hidden="1">{"via1",#N/A,TRUE,"general";"via2",#N/A,TRUE,"general";"via3",#N/A,TRUE,"general"}</definedName>
    <definedName name="______g6" localSheetId="14" hidden="1">{"via1",#N/A,TRUE,"general";"via2",#N/A,TRUE,"general";"via3",#N/A,TRUE,"general"}</definedName>
    <definedName name="______g6" localSheetId="16" hidden="1">{"via1",#N/A,TRUE,"general";"via2",#N/A,TRUE,"general";"via3",#N/A,TRUE,"general"}</definedName>
    <definedName name="______g6" localSheetId="17" hidden="1">{"via1",#N/A,TRUE,"general";"via2",#N/A,TRUE,"general";"via3",#N/A,TRUE,"general"}</definedName>
    <definedName name="______g6" localSheetId="13" hidden="1">{"via1",#N/A,TRUE,"general";"via2",#N/A,TRUE,"general";"via3",#N/A,TRUE,"general"}</definedName>
    <definedName name="______g6" localSheetId="15" hidden="1">{"via1",#N/A,TRUE,"general";"via2",#N/A,TRUE,"general";"via3",#N/A,TRUE,"general"}</definedName>
    <definedName name="______g6" hidden="1">{"via1",#N/A,TRUE,"general";"via2",#N/A,TRUE,"general";"via3",#N/A,TRUE,"general"}</definedName>
    <definedName name="______g7" localSheetId="14" hidden="1">{"TAB1",#N/A,TRUE,"GENERAL";"TAB2",#N/A,TRUE,"GENERAL";"TAB3",#N/A,TRUE,"GENERAL";"TAB4",#N/A,TRUE,"GENERAL";"TAB5",#N/A,TRUE,"GENERAL"}</definedName>
    <definedName name="______g7" localSheetId="16" hidden="1">{"TAB1",#N/A,TRUE,"GENERAL";"TAB2",#N/A,TRUE,"GENERAL";"TAB3",#N/A,TRUE,"GENERAL";"TAB4",#N/A,TRUE,"GENERAL";"TAB5",#N/A,TRUE,"GENERAL"}</definedName>
    <definedName name="______g7" localSheetId="17" hidden="1">{"TAB1",#N/A,TRUE,"GENERAL";"TAB2",#N/A,TRUE,"GENERAL";"TAB3",#N/A,TRUE,"GENERAL";"TAB4",#N/A,TRUE,"GENERAL";"TAB5",#N/A,TRUE,"GENERAL"}</definedName>
    <definedName name="______g7" localSheetId="13" hidden="1">{"TAB1",#N/A,TRUE,"GENERAL";"TAB2",#N/A,TRUE,"GENERAL";"TAB3",#N/A,TRUE,"GENERAL";"TAB4",#N/A,TRUE,"GENERAL";"TAB5",#N/A,TRUE,"GENERAL"}</definedName>
    <definedName name="______g7" localSheetId="15" hidden="1">{"TAB1",#N/A,TRUE,"GENERAL";"TAB2",#N/A,TRUE,"GENERAL";"TAB3",#N/A,TRUE,"GENERAL";"TAB4",#N/A,TRUE,"GENERAL";"TAB5",#N/A,TRUE,"GENERAL"}</definedName>
    <definedName name="______g7" hidden="1">{"TAB1",#N/A,TRUE,"GENERAL";"TAB2",#N/A,TRUE,"GENERAL";"TAB3",#N/A,TRUE,"GENERAL";"TAB4",#N/A,TRUE,"GENERAL";"TAB5",#N/A,TRUE,"GENERAL"}</definedName>
    <definedName name="______GR1" localSheetId="14" hidden="1">{"TAB1",#N/A,TRUE,"GENERAL";"TAB2",#N/A,TRUE,"GENERAL";"TAB3",#N/A,TRUE,"GENERAL";"TAB4",#N/A,TRUE,"GENERAL";"TAB5",#N/A,TRUE,"GENERAL"}</definedName>
    <definedName name="______GR1" localSheetId="16" hidden="1">{"TAB1",#N/A,TRUE,"GENERAL";"TAB2",#N/A,TRUE,"GENERAL";"TAB3",#N/A,TRUE,"GENERAL";"TAB4",#N/A,TRUE,"GENERAL";"TAB5",#N/A,TRUE,"GENERAL"}</definedName>
    <definedName name="______GR1" localSheetId="17" hidden="1">{"TAB1",#N/A,TRUE,"GENERAL";"TAB2",#N/A,TRUE,"GENERAL";"TAB3",#N/A,TRUE,"GENERAL";"TAB4",#N/A,TRUE,"GENERAL";"TAB5",#N/A,TRUE,"GENERAL"}</definedName>
    <definedName name="______GR1" localSheetId="13" hidden="1">{"TAB1",#N/A,TRUE,"GENERAL";"TAB2",#N/A,TRUE,"GENERAL";"TAB3",#N/A,TRUE,"GENERAL";"TAB4",#N/A,TRUE,"GENERAL";"TAB5",#N/A,TRUE,"GENERAL"}</definedName>
    <definedName name="______GR1" localSheetId="15" hidden="1">{"TAB1",#N/A,TRUE,"GENERAL";"TAB2",#N/A,TRUE,"GENERAL";"TAB3",#N/A,TRUE,"GENERAL";"TAB4",#N/A,TRUE,"GENERAL";"TAB5",#N/A,TRUE,"GENERAL"}</definedName>
    <definedName name="______GR1" hidden="1">{"TAB1",#N/A,TRUE,"GENERAL";"TAB2",#N/A,TRUE,"GENERAL";"TAB3",#N/A,TRUE,"GENERAL";"TAB4",#N/A,TRUE,"GENERAL";"TAB5",#N/A,TRUE,"GENERAL"}</definedName>
    <definedName name="______gtr4" localSheetId="14" hidden="1">{"via1",#N/A,TRUE,"general";"via2",#N/A,TRUE,"general";"via3",#N/A,TRUE,"general"}</definedName>
    <definedName name="______gtr4" localSheetId="16" hidden="1">{"via1",#N/A,TRUE,"general";"via2",#N/A,TRUE,"general";"via3",#N/A,TRUE,"general"}</definedName>
    <definedName name="______gtr4" localSheetId="17" hidden="1">{"via1",#N/A,TRUE,"general";"via2",#N/A,TRUE,"general";"via3",#N/A,TRUE,"general"}</definedName>
    <definedName name="______gtr4" localSheetId="13" hidden="1">{"via1",#N/A,TRUE,"general";"via2",#N/A,TRUE,"general";"via3",#N/A,TRUE,"general"}</definedName>
    <definedName name="______gtr4" localSheetId="15" hidden="1">{"via1",#N/A,TRUE,"general";"via2",#N/A,TRUE,"general";"via3",#N/A,TRUE,"general"}</definedName>
    <definedName name="______gtr4" hidden="1">{"via1",#N/A,TRUE,"general";"via2",#N/A,TRUE,"general";"via3",#N/A,TRUE,"general"}</definedName>
    <definedName name="______h2" localSheetId="14" hidden="1">{"via1",#N/A,TRUE,"general";"via2",#N/A,TRUE,"general";"via3",#N/A,TRUE,"general"}</definedName>
    <definedName name="______h2" localSheetId="16" hidden="1">{"via1",#N/A,TRUE,"general";"via2",#N/A,TRUE,"general";"via3",#N/A,TRUE,"general"}</definedName>
    <definedName name="______h2" localSheetId="17" hidden="1">{"via1",#N/A,TRUE,"general";"via2",#N/A,TRUE,"general";"via3",#N/A,TRUE,"general"}</definedName>
    <definedName name="______h2" localSheetId="13" hidden="1">{"via1",#N/A,TRUE,"general";"via2",#N/A,TRUE,"general";"via3",#N/A,TRUE,"general"}</definedName>
    <definedName name="______h2" localSheetId="15" hidden="1">{"via1",#N/A,TRUE,"general";"via2",#N/A,TRUE,"general";"via3",#N/A,TRUE,"general"}</definedName>
    <definedName name="______h2" hidden="1">{"via1",#N/A,TRUE,"general";"via2",#N/A,TRUE,"general";"via3",#N/A,TRUE,"general"}</definedName>
    <definedName name="______h3" localSheetId="14" hidden="1">{"via1",#N/A,TRUE,"general";"via2",#N/A,TRUE,"general";"via3",#N/A,TRUE,"general"}</definedName>
    <definedName name="______h3" localSheetId="16" hidden="1">{"via1",#N/A,TRUE,"general";"via2",#N/A,TRUE,"general";"via3",#N/A,TRUE,"general"}</definedName>
    <definedName name="______h3" localSheetId="17" hidden="1">{"via1",#N/A,TRUE,"general";"via2",#N/A,TRUE,"general";"via3",#N/A,TRUE,"general"}</definedName>
    <definedName name="______h3" localSheetId="13" hidden="1">{"via1",#N/A,TRUE,"general";"via2",#N/A,TRUE,"general";"via3",#N/A,TRUE,"general"}</definedName>
    <definedName name="______h3" localSheetId="15" hidden="1">{"via1",#N/A,TRUE,"general";"via2",#N/A,TRUE,"general";"via3",#N/A,TRUE,"general"}</definedName>
    <definedName name="______h3" hidden="1">{"via1",#N/A,TRUE,"general";"via2",#N/A,TRUE,"general";"via3",#N/A,TRUE,"general"}</definedName>
    <definedName name="______h4" localSheetId="14" hidden="1">{"TAB1",#N/A,TRUE,"GENERAL";"TAB2",#N/A,TRUE,"GENERAL";"TAB3",#N/A,TRUE,"GENERAL";"TAB4",#N/A,TRUE,"GENERAL";"TAB5",#N/A,TRUE,"GENERAL"}</definedName>
    <definedName name="______h4" localSheetId="16" hidden="1">{"TAB1",#N/A,TRUE,"GENERAL";"TAB2",#N/A,TRUE,"GENERAL";"TAB3",#N/A,TRUE,"GENERAL";"TAB4",#N/A,TRUE,"GENERAL";"TAB5",#N/A,TRUE,"GENERAL"}</definedName>
    <definedName name="______h4" localSheetId="17" hidden="1">{"TAB1",#N/A,TRUE,"GENERAL";"TAB2",#N/A,TRUE,"GENERAL";"TAB3",#N/A,TRUE,"GENERAL";"TAB4",#N/A,TRUE,"GENERAL";"TAB5",#N/A,TRUE,"GENERAL"}</definedName>
    <definedName name="______h4" localSheetId="13" hidden="1">{"TAB1",#N/A,TRUE,"GENERAL";"TAB2",#N/A,TRUE,"GENERAL";"TAB3",#N/A,TRUE,"GENERAL";"TAB4",#N/A,TRUE,"GENERAL";"TAB5",#N/A,TRUE,"GENERAL"}</definedName>
    <definedName name="______h4" localSheetId="15" hidden="1">{"TAB1",#N/A,TRUE,"GENERAL";"TAB2",#N/A,TRUE,"GENERAL";"TAB3",#N/A,TRUE,"GENERAL";"TAB4",#N/A,TRUE,"GENERAL";"TAB5",#N/A,TRUE,"GENERAL"}</definedName>
    <definedName name="______h4" hidden="1">{"TAB1",#N/A,TRUE,"GENERAL";"TAB2",#N/A,TRUE,"GENERAL";"TAB3",#N/A,TRUE,"GENERAL";"TAB4",#N/A,TRUE,"GENERAL";"TAB5",#N/A,TRUE,"GENERAL"}</definedName>
    <definedName name="______h5" localSheetId="14" hidden="1">{"TAB1",#N/A,TRUE,"GENERAL";"TAB2",#N/A,TRUE,"GENERAL";"TAB3",#N/A,TRUE,"GENERAL";"TAB4",#N/A,TRUE,"GENERAL";"TAB5",#N/A,TRUE,"GENERAL"}</definedName>
    <definedName name="______h5" localSheetId="16" hidden="1">{"TAB1",#N/A,TRUE,"GENERAL";"TAB2",#N/A,TRUE,"GENERAL";"TAB3",#N/A,TRUE,"GENERAL";"TAB4",#N/A,TRUE,"GENERAL";"TAB5",#N/A,TRUE,"GENERAL"}</definedName>
    <definedName name="______h5" localSheetId="17" hidden="1">{"TAB1",#N/A,TRUE,"GENERAL";"TAB2",#N/A,TRUE,"GENERAL";"TAB3",#N/A,TRUE,"GENERAL";"TAB4",#N/A,TRUE,"GENERAL";"TAB5",#N/A,TRUE,"GENERAL"}</definedName>
    <definedName name="______h5" localSheetId="13" hidden="1">{"TAB1",#N/A,TRUE,"GENERAL";"TAB2",#N/A,TRUE,"GENERAL";"TAB3",#N/A,TRUE,"GENERAL";"TAB4",#N/A,TRUE,"GENERAL";"TAB5",#N/A,TRUE,"GENERAL"}</definedName>
    <definedName name="______h5" localSheetId="15" hidden="1">{"TAB1",#N/A,TRUE,"GENERAL";"TAB2",#N/A,TRUE,"GENERAL";"TAB3",#N/A,TRUE,"GENERAL";"TAB4",#N/A,TRUE,"GENERAL";"TAB5",#N/A,TRUE,"GENERAL"}</definedName>
    <definedName name="______h5" hidden="1">{"TAB1",#N/A,TRUE,"GENERAL";"TAB2",#N/A,TRUE,"GENERAL";"TAB3",#N/A,TRUE,"GENERAL";"TAB4",#N/A,TRUE,"GENERAL";"TAB5",#N/A,TRUE,"GENERAL"}</definedName>
    <definedName name="______h6" localSheetId="14" hidden="1">{"via1",#N/A,TRUE,"general";"via2",#N/A,TRUE,"general";"via3",#N/A,TRUE,"general"}</definedName>
    <definedName name="______h6" localSheetId="16" hidden="1">{"via1",#N/A,TRUE,"general";"via2",#N/A,TRUE,"general";"via3",#N/A,TRUE,"general"}</definedName>
    <definedName name="______h6" localSheetId="17" hidden="1">{"via1",#N/A,TRUE,"general";"via2",#N/A,TRUE,"general";"via3",#N/A,TRUE,"general"}</definedName>
    <definedName name="______h6" localSheetId="13" hidden="1">{"via1",#N/A,TRUE,"general";"via2",#N/A,TRUE,"general";"via3",#N/A,TRUE,"general"}</definedName>
    <definedName name="______h6" localSheetId="15" hidden="1">{"via1",#N/A,TRUE,"general";"via2",#N/A,TRUE,"general";"via3",#N/A,TRUE,"general"}</definedName>
    <definedName name="______h6" hidden="1">{"via1",#N/A,TRUE,"general";"via2",#N/A,TRUE,"general";"via3",#N/A,TRUE,"general"}</definedName>
    <definedName name="______h7" localSheetId="14" hidden="1">{"TAB1",#N/A,TRUE,"GENERAL";"TAB2",#N/A,TRUE,"GENERAL";"TAB3",#N/A,TRUE,"GENERAL";"TAB4",#N/A,TRUE,"GENERAL";"TAB5",#N/A,TRUE,"GENERAL"}</definedName>
    <definedName name="______h7" localSheetId="16" hidden="1">{"TAB1",#N/A,TRUE,"GENERAL";"TAB2",#N/A,TRUE,"GENERAL";"TAB3",#N/A,TRUE,"GENERAL";"TAB4",#N/A,TRUE,"GENERAL";"TAB5",#N/A,TRUE,"GENERAL"}</definedName>
    <definedName name="______h7" localSheetId="17" hidden="1">{"TAB1",#N/A,TRUE,"GENERAL";"TAB2",#N/A,TRUE,"GENERAL";"TAB3",#N/A,TRUE,"GENERAL";"TAB4",#N/A,TRUE,"GENERAL";"TAB5",#N/A,TRUE,"GENERAL"}</definedName>
    <definedName name="______h7" localSheetId="13" hidden="1">{"TAB1",#N/A,TRUE,"GENERAL";"TAB2",#N/A,TRUE,"GENERAL";"TAB3",#N/A,TRUE,"GENERAL";"TAB4",#N/A,TRUE,"GENERAL";"TAB5",#N/A,TRUE,"GENERAL"}</definedName>
    <definedName name="______h7" localSheetId="15" hidden="1">{"TAB1",#N/A,TRUE,"GENERAL";"TAB2",#N/A,TRUE,"GENERAL";"TAB3",#N/A,TRUE,"GENERAL";"TAB4",#N/A,TRUE,"GENERAL";"TAB5",#N/A,TRUE,"GENERAL"}</definedName>
    <definedName name="______h7" hidden="1">{"TAB1",#N/A,TRUE,"GENERAL";"TAB2",#N/A,TRUE,"GENERAL";"TAB3",#N/A,TRUE,"GENERAL";"TAB4",#N/A,TRUE,"GENERAL";"TAB5",#N/A,TRUE,"GENERAL"}</definedName>
    <definedName name="______h8" localSheetId="14" hidden="1">{"via1",#N/A,TRUE,"general";"via2",#N/A,TRUE,"general";"via3",#N/A,TRUE,"general"}</definedName>
    <definedName name="______h8" localSheetId="16" hidden="1">{"via1",#N/A,TRUE,"general";"via2",#N/A,TRUE,"general";"via3",#N/A,TRUE,"general"}</definedName>
    <definedName name="______h8" localSheetId="17" hidden="1">{"via1",#N/A,TRUE,"general";"via2",#N/A,TRUE,"general";"via3",#N/A,TRUE,"general"}</definedName>
    <definedName name="______h8" localSheetId="13" hidden="1">{"via1",#N/A,TRUE,"general";"via2",#N/A,TRUE,"general";"via3",#N/A,TRUE,"general"}</definedName>
    <definedName name="______h8" localSheetId="15" hidden="1">{"via1",#N/A,TRUE,"general";"via2",#N/A,TRUE,"general";"via3",#N/A,TRUE,"general"}</definedName>
    <definedName name="______h8" hidden="1">{"via1",#N/A,TRUE,"general";"via2",#N/A,TRUE,"general";"via3",#N/A,TRUE,"general"}</definedName>
    <definedName name="______hfh7" localSheetId="14" hidden="1">{"via1",#N/A,TRUE,"general";"via2",#N/A,TRUE,"general";"via3",#N/A,TRUE,"general"}</definedName>
    <definedName name="______hfh7" localSheetId="16" hidden="1">{"via1",#N/A,TRUE,"general";"via2",#N/A,TRUE,"general";"via3",#N/A,TRUE,"general"}</definedName>
    <definedName name="______hfh7" localSheetId="17" hidden="1">{"via1",#N/A,TRUE,"general";"via2",#N/A,TRUE,"general";"via3",#N/A,TRUE,"general"}</definedName>
    <definedName name="______hfh7" localSheetId="13" hidden="1">{"via1",#N/A,TRUE,"general";"via2",#N/A,TRUE,"general";"via3",#N/A,TRUE,"general"}</definedName>
    <definedName name="______hfh7" localSheetId="15" hidden="1">{"via1",#N/A,TRUE,"general";"via2",#N/A,TRUE,"general";"via3",#N/A,TRUE,"general"}</definedName>
    <definedName name="______hfh7" hidden="1">{"via1",#N/A,TRUE,"general";"via2",#N/A,TRUE,"general";"via3",#N/A,TRUE,"general"}</definedName>
    <definedName name="______i1">#REF!</definedName>
    <definedName name="______i4" localSheetId="14" hidden="1">{"via1",#N/A,TRUE,"general";"via2",#N/A,TRUE,"general";"via3",#N/A,TRUE,"general"}</definedName>
    <definedName name="______i4" localSheetId="16" hidden="1">{"via1",#N/A,TRUE,"general";"via2",#N/A,TRUE,"general";"via3",#N/A,TRUE,"general"}</definedName>
    <definedName name="______i4" localSheetId="17" hidden="1">{"via1",#N/A,TRUE,"general";"via2",#N/A,TRUE,"general";"via3",#N/A,TRUE,"general"}</definedName>
    <definedName name="______i4" localSheetId="13" hidden="1">{"via1",#N/A,TRUE,"general";"via2",#N/A,TRUE,"general";"via3",#N/A,TRUE,"general"}</definedName>
    <definedName name="______i4" localSheetId="15" hidden="1">{"via1",#N/A,TRUE,"general";"via2",#N/A,TRUE,"general";"via3",#N/A,TRUE,"general"}</definedName>
    <definedName name="______i4" hidden="1">{"via1",#N/A,TRUE,"general";"via2",#N/A,TRUE,"general";"via3",#N/A,TRUE,"general"}</definedName>
    <definedName name="______i5" localSheetId="14" hidden="1">{"TAB1",#N/A,TRUE,"GENERAL";"TAB2",#N/A,TRUE,"GENERAL";"TAB3",#N/A,TRUE,"GENERAL";"TAB4",#N/A,TRUE,"GENERAL";"TAB5",#N/A,TRUE,"GENERAL"}</definedName>
    <definedName name="______i5" localSheetId="16" hidden="1">{"TAB1",#N/A,TRUE,"GENERAL";"TAB2",#N/A,TRUE,"GENERAL";"TAB3",#N/A,TRUE,"GENERAL";"TAB4",#N/A,TRUE,"GENERAL";"TAB5",#N/A,TRUE,"GENERAL"}</definedName>
    <definedName name="______i5" localSheetId="17" hidden="1">{"TAB1",#N/A,TRUE,"GENERAL";"TAB2",#N/A,TRUE,"GENERAL";"TAB3",#N/A,TRUE,"GENERAL";"TAB4",#N/A,TRUE,"GENERAL";"TAB5",#N/A,TRUE,"GENERAL"}</definedName>
    <definedName name="______i5" localSheetId="13" hidden="1">{"TAB1",#N/A,TRUE,"GENERAL";"TAB2",#N/A,TRUE,"GENERAL";"TAB3",#N/A,TRUE,"GENERAL";"TAB4",#N/A,TRUE,"GENERAL";"TAB5",#N/A,TRUE,"GENERAL"}</definedName>
    <definedName name="______i5" localSheetId="15" hidden="1">{"TAB1",#N/A,TRUE,"GENERAL";"TAB2",#N/A,TRUE,"GENERAL";"TAB3",#N/A,TRUE,"GENERAL";"TAB4",#N/A,TRUE,"GENERAL";"TAB5",#N/A,TRUE,"GENERAL"}</definedName>
    <definedName name="______i5" hidden="1">{"TAB1",#N/A,TRUE,"GENERAL";"TAB2",#N/A,TRUE,"GENERAL";"TAB3",#N/A,TRUE,"GENERAL";"TAB4",#N/A,TRUE,"GENERAL";"TAB5",#N/A,TRUE,"GENERAL"}</definedName>
    <definedName name="______i6" localSheetId="14" hidden="1">{"TAB1",#N/A,TRUE,"GENERAL";"TAB2",#N/A,TRUE,"GENERAL";"TAB3",#N/A,TRUE,"GENERAL";"TAB4",#N/A,TRUE,"GENERAL";"TAB5",#N/A,TRUE,"GENERAL"}</definedName>
    <definedName name="______i6" localSheetId="16" hidden="1">{"TAB1",#N/A,TRUE,"GENERAL";"TAB2",#N/A,TRUE,"GENERAL";"TAB3",#N/A,TRUE,"GENERAL";"TAB4",#N/A,TRUE,"GENERAL";"TAB5",#N/A,TRUE,"GENERAL"}</definedName>
    <definedName name="______i6" localSheetId="17" hidden="1">{"TAB1",#N/A,TRUE,"GENERAL";"TAB2",#N/A,TRUE,"GENERAL";"TAB3",#N/A,TRUE,"GENERAL";"TAB4",#N/A,TRUE,"GENERAL";"TAB5",#N/A,TRUE,"GENERAL"}</definedName>
    <definedName name="______i6" localSheetId="13" hidden="1">{"TAB1",#N/A,TRUE,"GENERAL";"TAB2",#N/A,TRUE,"GENERAL";"TAB3",#N/A,TRUE,"GENERAL";"TAB4",#N/A,TRUE,"GENERAL";"TAB5",#N/A,TRUE,"GENERAL"}</definedName>
    <definedName name="______i6" localSheetId="15" hidden="1">{"TAB1",#N/A,TRUE,"GENERAL";"TAB2",#N/A,TRUE,"GENERAL";"TAB3",#N/A,TRUE,"GENERAL";"TAB4",#N/A,TRUE,"GENERAL";"TAB5",#N/A,TRUE,"GENERAL"}</definedName>
    <definedName name="______i6" hidden="1">{"TAB1",#N/A,TRUE,"GENERAL";"TAB2",#N/A,TRUE,"GENERAL";"TAB3",#N/A,TRUE,"GENERAL";"TAB4",#N/A,TRUE,"GENERAL";"TAB5",#N/A,TRUE,"GENERAL"}</definedName>
    <definedName name="______i7" localSheetId="14" hidden="1">{"via1",#N/A,TRUE,"general";"via2",#N/A,TRUE,"general";"via3",#N/A,TRUE,"general"}</definedName>
    <definedName name="______i7" localSheetId="16" hidden="1">{"via1",#N/A,TRUE,"general";"via2",#N/A,TRUE,"general";"via3",#N/A,TRUE,"general"}</definedName>
    <definedName name="______i7" localSheetId="17" hidden="1">{"via1",#N/A,TRUE,"general";"via2",#N/A,TRUE,"general";"via3",#N/A,TRUE,"general"}</definedName>
    <definedName name="______i7" localSheetId="13" hidden="1">{"via1",#N/A,TRUE,"general";"via2",#N/A,TRUE,"general";"via3",#N/A,TRUE,"general"}</definedName>
    <definedName name="______i7" localSheetId="15" hidden="1">{"via1",#N/A,TRUE,"general";"via2",#N/A,TRUE,"general";"via3",#N/A,TRUE,"general"}</definedName>
    <definedName name="______i7" hidden="1">{"via1",#N/A,TRUE,"general";"via2",#N/A,TRUE,"general";"via3",#N/A,TRUE,"general"}</definedName>
    <definedName name="______i77" localSheetId="14" hidden="1">{"TAB1",#N/A,TRUE,"GENERAL";"TAB2",#N/A,TRUE,"GENERAL";"TAB3",#N/A,TRUE,"GENERAL";"TAB4",#N/A,TRUE,"GENERAL";"TAB5",#N/A,TRUE,"GENERAL"}</definedName>
    <definedName name="______i77" localSheetId="16" hidden="1">{"TAB1",#N/A,TRUE,"GENERAL";"TAB2",#N/A,TRUE,"GENERAL";"TAB3",#N/A,TRUE,"GENERAL";"TAB4",#N/A,TRUE,"GENERAL";"TAB5",#N/A,TRUE,"GENERAL"}</definedName>
    <definedName name="______i77" localSheetId="17" hidden="1">{"TAB1",#N/A,TRUE,"GENERAL";"TAB2",#N/A,TRUE,"GENERAL";"TAB3",#N/A,TRUE,"GENERAL";"TAB4",#N/A,TRUE,"GENERAL";"TAB5",#N/A,TRUE,"GENERAL"}</definedName>
    <definedName name="______i77" localSheetId="13" hidden="1">{"TAB1",#N/A,TRUE,"GENERAL";"TAB2",#N/A,TRUE,"GENERAL";"TAB3",#N/A,TRUE,"GENERAL";"TAB4",#N/A,TRUE,"GENERAL";"TAB5",#N/A,TRUE,"GENERAL"}</definedName>
    <definedName name="______i77" localSheetId="15" hidden="1">{"TAB1",#N/A,TRUE,"GENERAL";"TAB2",#N/A,TRUE,"GENERAL";"TAB3",#N/A,TRUE,"GENERAL";"TAB4",#N/A,TRUE,"GENERAL";"TAB5",#N/A,TRUE,"GENERAL"}</definedName>
    <definedName name="______i77" hidden="1">{"TAB1",#N/A,TRUE,"GENERAL";"TAB2",#N/A,TRUE,"GENERAL";"TAB3",#N/A,TRUE,"GENERAL";"TAB4",#N/A,TRUE,"GENERAL";"TAB5",#N/A,TRUE,"GENERAL"}</definedName>
    <definedName name="______i8" localSheetId="14" hidden="1">{"via1",#N/A,TRUE,"general";"via2",#N/A,TRUE,"general";"via3",#N/A,TRUE,"general"}</definedName>
    <definedName name="______i8" localSheetId="16" hidden="1">{"via1",#N/A,TRUE,"general";"via2",#N/A,TRUE,"general";"via3",#N/A,TRUE,"general"}</definedName>
    <definedName name="______i8" localSheetId="17" hidden="1">{"via1",#N/A,TRUE,"general";"via2",#N/A,TRUE,"general";"via3",#N/A,TRUE,"general"}</definedName>
    <definedName name="______i8" localSheetId="13" hidden="1">{"via1",#N/A,TRUE,"general";"via2",#N/A,TRUE,"general";"via3",#N/A,TRUE,"general"}</definedName>
    <definedName name="______i8" localSheetId="15" hidden="1">{"via1",#N/A,TRUE,"general";"via2",#N/A,TRUE,"general";"via3",#N/A,TRUE,"general"}</definedName>
    <definedName name="______i8" hidden="1">{"via1",#N/A,TRUE,"general";"via2",#N/A,TRUE,"general";"via3",#N/A,TRUE,"general"}</definedName>
    <definedName name="______i9" localSheetId="14" hidden="1">{"TAB1",#N/A,TRUE,"GENERAL";"TAB2",#N/A,TRUE,"GENERAL";"TAB3",#N/A,TRUE,"GENERAL";"TAB4",#N/A,TRUE,"GENERAL";"TAB5",#N/A,TRUE,"GENERAL"}</definedName>
    <definedName name="______i9" localSheetId="16" hidden="1">{"TAB1",#N/A,TRUE,"GENERAL";"TAB2",#N/A,TRUE,"GENERAL";"TAB3",#N/A,TRUE,"GENERAL";"TAB4",#N/A,TRUE,"GENERAL";"TAB5",#N/A,TRUE,"GENERAL"}</definedName>
    <definedName name="______i9" localSheetId="17" hidden="1">{"TAB1",#N/A,TRUE,"GENERAL";"TAB2",#N/A,TRUE,"GENERAL";"TAB3",#N/A,TRUE,"GENERAL";"TAB4",#N/A,TRUE,"GENERAL";"TAB5",#N/A,TRUE,"GENERAL"}</definedName>
    <definedName name="______i9" localSheetId="13" hidden="1">{"TAB1",#N/A,TRUE,"GENERAL";"TAB2",#N/A,TRUE,"GENERAL";"TAB3",#N/A,TRUE,"GENERAL";"TAB4",#N/A,TRUE,"GENERAL";"TAB5",#N/A,TRUE,"GENERAL"}</definedName>
    <definedName name="______i9" localSheetId="15"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14" hidden="1">{"TAB1",#N/A,TRUE,"GENERAL";"TAB2",#N/A,TRUE,"GENERAL";"TAB3",#N/A,TRUE,"GENERAL";"TAB4",#N/A,TRUE,"GENERAL";"TAB5",#N/A,TRUE,"GENERAL"}</definedName>
    <definedName name="______k3" localSheetId="16" hidden="1">{"TAB1",#N/A,TRUE,"GENERAL";"TAB2",#N/A,TRUE,"GENERAL";"TAB3",#N/A,TRUE,"GENERAL";"TAB4",#N/A,TRUE,"GENERAL";"TAB5",#N/A,TRUE,"GENERAL"}</definedName>
    <definedName name="______k3" localSheetId="17" hidden="1">{"TAB1",#N/A,TRUE,"GENERAL";"TAB2",#N/A,TRUE,"GENERAL";"TAB3",#N/A,TRUE,"GENERAL";"TAB4",#N/A,TRUE,"GENERAL";"TAB5",#N/A,TRUE,"GENERAL"}</definedName>
    <definedName name="______k3" localSheetId="13" hidden="1">{"TAB1",#N/A,TRUE,"GENERAL";"TAB2",#N/A,TRUE,"GENERAL";"TAB3",#N/A,TRUE,"GENERAL";"TAB4",#N/A,TRUE,"GENERAL";"TAB5",#N/A,TRUE,"GENERAL"}</definedName>
    <definedName name="______k3" localSheetId="15" hidden="1">{"TAB1",#N/A,TRUE,"GENERAL";"TAB2",#N/A,TRUE,"GENERAL";"TAB3",#N/A,TRUE,"GENERAL";"TAB4",#N/A,TRUE,"GENERAL";"TAB5",#N/A,TRUE,"GENERAL"}</definedName>
    <definedName name="______k3" hidden="1">{"TAB1",#N/A,TRUE,"GENERAL";"TAB2",#N/A,TRUE,"GENERAL";"TAB3",#N/A,TRUE,"GENERAL";"TAB4",#N/A,TRUE,"GENERAL";"TAB5",#N/A,TRUE,"GENERAL"}</definedName>
    <definedName name="______k4" localSheetId="14" hidden="1">{"via1",#N/A,TRUE,"general";"via2",#N/A,TRUE,"general";"via3",#N/A,TRUE,"general"}</definedName>
    <definedName name="______k4" localSheetId="16" hidden="1">{"via1",#N/A,TRUE,"general";"via2",#N/A,TRUE,"general";"via3",#N/A,TRUE,"general"}</definedName>
    <definedName name="______k4" localSheetId="17" hidden="1">{"via1",#N/A,TRUE,"general";"via2",#N/A,TRUE,"general";"via3",#N/A,TRUE,"general"}</definedName>
    <definedName name="______k4" localSheetId="13" hidden="1">{"via1",#N/A,TRUE,"general";"via2",#N/A,TRUE,"general";"via3",#N/A,TRUE,"general"}</definedName>
    <definedName name="______k4" localSheetId="15" hidden="1">{"via1",#N/A,TRUE,"general";"via2",#N/A,TRUE,"general";"via3",#N/A,TRUE,"general"}</definedName>
    <definedName name="______k4" hidden="1">{"via1",#N/A,TRUE,"general";"via2",#N/A,TRUE,"general";"via3",#N/A,TRUE,"general"}</definedName>
    <definedName name="______k5" localSheetId="14" hidden="1">{"via1",#N/A,TRUE,"general";"via2",#N/A,TRUE,"general";"via3",#N/A,TRUE,"general"}</definedName>
    <definedName name="______k5" localSheetId="16" hidden="1">{"via1",#N/A,TRUE,"general";"via2",#N/A,TRUE,"general";"via3",#N/A,TRUE,"general"}</definedName>
    <definedName name="______k5" localSheetId="17" hidden="1">{"via1",#N/A,TRUE,"general";"via2",#N/A,TRUE,"general";"via3",#N/A,TRUE,"general"}</definedName>
    <definedName name="______k5" localSheetId="13" hidden="1">{"via1",#N/A,TRUE,"general";"via2",#N/A,TRUE,"general";"via3",#N/A,TRUE,"general"}</definedName>
    <definedName name="______k5" localSheetId="15" hidden="1">{"via1",#N/A,TRUE,"general";"via2",#N/A,TRUE,"general";"via3",#N/A,TRUE,"general"}</definedName>
    <definedName name="______k5" hidden="1">{"via1",#N/A,TRUE,"general";"via2",#N/A,TRUE,"general";"via3",#N/A,TRUE,"general"}</definedName>
    <definedName name="______k6" localSheetId="14" hidden="1">{"TAB1",#N/A,TRUE,"GENERAL";"TAB2",#N/A,TRUE,"GENERAL";"TAB3",#N/A,TRUE,"GENERAL";"TAB4",#N/A,TRUE,"GENERAL";"TAB5",#N/A,TRUE,"GENERAL"}</definedName>
    <definedName name="______k6" localSheetId="16" hidden="1">{"TAB1",#N/A,TRUE,"GENERAL";"TAB2",#N/A,TRUE,"GENERAL";"TAB3",#N/A,TRUE,"GENERAL";"TAB4",#N/A,TRUE,"GENERAL";"TAB5",#N/A,TRUE,"GENERAL"}</definedName>
    <definedName name="______k6" localSheetId="17" hidden="1">{"TAB1",#N/A,TRUE,"GENERAL";"TAB2",#N/A,TRUE,"GENERAL";"TAB3",#N/A,TRUE,"GENERAL";"TAB4",#N/A,TRUE,"GENERAL";"TAB5",#N/A,TRUE,"GENERAL"}</definedName>
    <definedName name="______k6" localSheetId="13" hidden="1">{"TAB1",#N/A,TRUE,"GENERAL";"TAB2",#N/A,TRUE,"GENERAL";"TAB3",#N/A,TRUE,"GENERAL";"TAB4",#N/A,TRUE,"GENERAL";"TAB5",#N/A,TRUE,"GENERAL"}</definedName>
    <definedName name="______k6" localSheetId="15" hidden="1">{"TAB1",#N/A,TRUE,"GENERAL";"TAB2",#N/A,TRUE,"GENERAL";"TAB3",#N/A,TRUE,"GENERAL";"TAB4",#N/A,TRUE,"GENERAL";"TAB5",#N/A,TRUE,"GENERAL"}</definedName>
    <definedName name="______k6" hidden="1">{"TAB1",#N/A,TRUE,"GENERAL";"TAB2",#N/A,TRUE,"GENERAL";"TAB3",#N/A,TRUE,"GENERAL";"TAB4",#N/A,TRUE,"GENERAL";"TAB5",#N/A,TRUE,"GENERAL"}</definedName>
    <definedName name="______k7" localSheetId="14" hidden="1">{"via1",#N/A,TRUE,"general";"via2",#N/A,TRUE,"general";"via3",#N/A,TRUE,"general"}</definedName>
    <definedName name="______k7" localSheetId="16" hidden="1">{"via1",#N/A,TRUE,"general";"via2",#N/A,TRUE,"general";"via3",#N/A,TRUE,"general"}</definedName>
    <definedName name="______k7" localSheetId="17" hidden="1">{"via1",#N/A,TRUE,"general";"via2",#N/A,TRUE,"general";"via3",#N/A,TRUE,"general"}</definedName>
    <definedName name="______k7" localSheetId="13" hidden="1">{"via1",#N/A,TRUE,"general";"via2",#N/A,TRUE,"general";"via3",#N/A,TRUE,"general"}</definedName>
    <definedName name="______k7" localSheetId="15" hidden="1">{"via1",#N/A,TRUE,"general";"via2",#N/A,TRUE,"general";"via3",#N/A,TRUE,"general"}</definedName>
    <definedName name="______k7" hidden="1">{"via1",#N/A,TRUE,"general";"via2",#N/A,TRUE,"general";"via3",#N/A,TRUE,"general"}</definedName>
    <definedName name="______k8" localSheetId="14" hidden="1">{"via1",#N/A,TRUE,"general";"via2",#N/A,TRUE,"general";"via3",#N/A,TRUE,"general"}</definedName>
    <definedName name="______k8" localSheetId="16" hidden="1">{"via1",#N/A,TRUE,"general";"via2",#N/A,TRUE,"general";"via3",#N/A,TRUE,"general"}</definedName>
    <definedName name="______k8" localSheetId="17" hidden="1">{"via1",#N/A,TRUE,"general";"via2",#N/A,TRUE,"general";"via3",#N/A,TRUE,"general"}</definedName>
    <definedName name="______k8" localSheetId="13" hidden="1">{"via1",#N/A,TRUE,"general";"via2",#N/A,TRUE,"general";"via3",#N/A,TRUE,"general"}</definedName>
    <definedName name="______k8" localSheetId="15" hidden="1">{"via1",#N/A,TRUE,"general";"via2",#N/A,TRUE,"general";"via3",#N/A,TRUE,"general"}</definedName>
    <definedName name="______k8" hidden="1">{"via1",#N/A,TRUE,"general";"via2",#N/A,TRUE,"general";"via3",#N/A,TRUE,"general"}</definedName>
    <definedName name="______k9" localSheetId="14" hidden="1">{"TAB1",#N/A,TRUE,"GENERAL";"TAB2",#N/A,TRUE,"GENERAL";"TAB3",#N/A,TRUE,"GENERAL";"TAB4",#N/A,TRUE,"GENERAL";"TAB5",#N/A,TRUE,"GENERAL"}</definedName>
    <definedName name="______k9" localSheetId="16" hidden="1">{"TAB1",#N/A,TRUE,"GENERAL";"TAB2",#N/A,TRUE,"GENERAL";"TAB3",#N/A,TRUE,"GENERAL";"TAB4",#N/A,TRUE,"GENERAL";"TAB5",#N/A,TRUE,"GENERAL"}</definedName>
    <definedName name="______k9" localSheetId="17" hidden="1">{"TAB1",#N/A,TRUE,"GENERAL";"TAB2",#N/A,TRUE,"GENERAL";"TAB3",#N/A,TRUE,"GENERAL";"TAB4",#N/A,TRUE,"GENERAL";"TAB5",#N/A,TRUE,"GENERAL"}</definedName>
    <definedName name="______k9" localSheetId="13" hidden="1">{"TAB1",#N/A,TRUE,"GENERAL";"TAB2",#N/A,TRUE,"GENERAL";"TAB3",#N/A,TRUE,"GENERAL";"TAB4",#N/A,TRUE,"GENERAL";"TAB5",#N/A,TRUE,"GENERAL"}</definedName>
    <definedName name="______k9" localSheetId="15" hidden="1">{"TAB1",#N/A,TRUE,"GENERAL";"TAB2",#N/A,TRUE,"GENERAL";"TAB3",#N/A,TRUE,"GENERAL";"TAB4",#N/A,TRUE,"GENERAL";"TAB5",#N/A,TRUE,"GENERAL"}</definedName>
    <definedName name="______k9" hidden="1">{"TAB1",#N/A,TRUE,"GENERAL";"TAB2",#N/A,TRUE,"GENERAL";"TAB3",#N/A,TRUE,"GENERAL";"TAB4",#N/A,TRUE,"GENERAL";"TAB5",#N/A,TRUE,"GENERAL"}</definedName>
    <definedName name="______kjk6" localSheetId="14" hidden="1">{"TAB1",#N/A,TRUE,"GENERAL";"TAB2",#N/A,TRUE,"GENERAL";"TAB3",#N/A,TRUE,"GENERAL";"TAB4",#N/A,TRUE,"GENERAL";"TAB5",#N/A,TRUE,"GENERAL"}</definedName>
    <definedName name="______kjk6" localSheetId="16" hidden="1">{"TAB1",#N/A,TRUE,"GENERAL";"TAB2",#N/A,TRUE,"GENERAL";"TAB3",#N/A,TRUE,"GENERAL";"TAB4",#N/A,TRUE,"GENERAL";"TAB5",#N/A,TRUE,"GENERAL"}</definedName>
    <definedName name="______kjk6" localSheetId="17" hidden="1">{"TAB1",#N/A,TRUE,"GENERAL";"TAB2",#N/A,TRUE,"GENERAL";"TAB3",#N/A,TRUE,"GENERAL";"TAB4",#N/A,TRUE,"GENERAL";"TAB5",#N/A,TRUE,"GENERAL"}</definedName>
    <definedName name="______kjk6" localSheetId="13" hidden="1">{"TAB1",#N/A,TRUE,"GENERAL";"TAB2",#N/A,TRUE,"GENERAL";"TAB3",#N/A,TRUE,"GENERAL";"TAB4",#N/A,TRUE,"GENERAL";"TAB5",#N/A,TRUE,"GENERAL"}</definedName>
    <definedName name="______kjk6" localSheetId="15" hidden="1">{"TAB1",#N/A,TRUE,"GENERAL";"TAB2",#N/A,TRUE,"GENERAL";"TAB3",#N/A,TRUE,"GENERAL";"TAB4",#N/A,TRUE,"GENERAL";"TAB5",#N/A,TRUE,"GENERAL"}</definedName>
    <definedName name="______kjk6" hidden="1">{"TAB1",#N/A,TRUE,"GENERAL";"TAB2",#N/A,TRUE,"GENERAL";"TAB3",#N/A,TRUE,"GENERAL";"TAB4",#N/A,TRUE,"GENERAL";"TAB5",#N/A,TRUE,"GENERAL"}</definedName>
    <definedName name="______LA124">#REF!</definedName>
    <definedName name="______LAC18">#REF!</definedName>
    <definedName name="______m3" localSheetId="14" hidden="1">{"via1",#N/A,TRUE,"general";"via2",#N/A,TRUE,"general";"via3",#N/A,TRUE,"general"}</definedName>
    <definedName name="______m3" localSheetId="16" hidden="1">{"via1",#N/A,TRUE,"general";"via2",#N/A,TRUE,"general";"via3",#N/A,TRUE,"general"}</definedName>
    <definedName name="______m3" localSheetId="17" hidden="1">{"via1",#N/A,TRUE,"general";"via2",#N/A,TRUE,"general";"via3",#N/A,TRUE,"general"}</definedName>
    <definedName name="______m3" localSheetId="13" hidden="1">{"via1",#N/A,TRUE,"general";"via2",#N/A,TRUE,"general";"via3",#N/A,TRUE,"general"}</definedName>
    <definedName name="______m3" localSheetId="15" hidden="1">{"via1",#N/A,TRUE,"general";"via2",#N/A,TRUE,"general";"via3",#N/A,TRUE,"general"}</definedName>
    <definedName name="______m3" hidden="1">{"via1",#N/A,TRUE,"general";"via2",#N/A,TRUE,"general";"via3",#N/A,TRUE,"general"}</definedName>
    <definedName name="______m4" localSheetId="14" hidden="1">{"TAB1",#N/A,TRUE,"GENERAL";"TAB2",#N/A,TRUE,"GENERAL";"TAB3",#N/A,TRUE,"GENERAL";"TAB4",#N/A,TRUE,"GENERAL";"TAB5",#N/A,TRUE,"GENERAL"}</definedName>
    <definedName name="______m4" localSheetId="16" hidden="1">{"TAB1",#N/A,TRUE,"GENERAL";"TAB2",#N/A,TRUE,"GENERAL";"TAB3",#N/A,TRUE,"GENERAL";"TAB4",#N/A,TRUE,"GENERAL";"TAB5",#N/A,TRUE,"GENERAL"}</definedName>
    <definedName name="______m4" localSheetId="17" hidden="1">{"TAB1",#N/A,TRUE,"GENERAL";"TAB2",#N/A,TRUE,"GENERAL";"TAB3",#N/A,TRUE,"GENERAL";"TAB4",#N/A,TRUE,"GENERAL";"TAB5",#N/A,TRUE,"GENERAL"}</definedName>
    <definedName name="______m4" localSheetId="13" hidden="1">{"TAB1",#N/A,TRUE,"GENERAL";"TAB2",#N/A,TRUE,"GENERAL";"TAB3",#N/A,TRUE,"GENERAL";"TAB4",#N/A,TRUE,"GENERAL";"TAB5",#N/A,TRUE,"GENERAL"}</definedName>
    <definedName name="______m4" localSheetId="15" hidden="1">{"TAB1",#N/A,TRUE,"GENERAL";"TAB2",#N/A,TRUE,"GENERAL";"TAB3",#N/A,TRUE,"GENERAL";"TAB4",#N/A,TRUE,"GENERAL";"TAB5",#N/A,TRUE,"GENERAL"}</definedName>
    <definedName name="______m4" hidden="1">{"TAB1",#N/A,TRUE,"GENERAL";"TAB2",#N/A,TRUE,"GENERAL";"TAB3",#N/A,TRUE,"GENERAL";"TAB4",#N/A,TRUE,"GENERAL";"TAB5",#N/A,TRUE,"GENERAL"}</definedName>
    <definedName name="______m5" localSheetId="14" hidden="1">{"via1",#N/A,TRUE,"general";"via2",#N/A,TRUE,"general";"via3",#N/A,TRUE,"general"}</definedName>
    <definedName name="______m5" localSheetId="16" hidden="1">{"via1",#N/A,TRUE,"general";"via2",#N/A,TRUE,"general";"via3",#N/A,TRUE,"general"}</definedName>
    <definedName name="______m5" localSheetId="17" hidden="1">{"via1",#N/A,TRUE,"general";"via2",#N/A,TRUE,"general";"via3",#N/A,TRUE,"general"}</definedName>
    <definedName name="______m5" localSheetId="13" hidden="1">{"via1",#N/A,TRUE,"general";"via2",#N/A,TRUE,"general";"via3",#N/A,TRUE,"general"}</definedName>
    <definedName name="______m5" localSheetId="15" hidden="1">{"via1",#N/A,TRUE,"general";"via2",#N/A,TRUE,"general";"via3",#N/A,TRUE,"general"}</definedName>
    <definedName name="______m5" hidden="1">{"via1",#N/A,TRUE,"general";"via2",#N/A,TRUE,"general";"via3",#N/A,TRUE,"general"}</definedName>
    <definedName name="______m6" localSheetId="14" hidden="1">{"TAB1",#N/A,TRUE,"GENERAL";"TAB2",#N/A,TRUE,"GENERAL";"TAB3",#N/A,TRUE,"GENERAL";"TAB4",#N/A,TRUE,"GENERAL";"TAB5",#N/A,TRUE,"GENERAL"}</definedName>
    <definedName name="______m6" localSheetId="16" hidden="1">{"TAB1",#N/A,TRUE,"GENERAL";"TAB2",#N/A,TRUE,"GENERAL";"TAB3",#N/A,TRUE,"GENERAL";"TAB4",#N/A,TRUE,"GENERAL";"TAB5",#N/A,TRUE,"GENERAL"}</definedName>
    <definedName name="______m6" localSheetId="17" hidden="1">{"TAB1",#N/A,TRUE,"GENERAL";"TAB2",#N/A,TRUE,"GENERAL";"TAB3",#N/A,TRUE,"GENERAL";"TAB4",#N/A,TRUE,"GENERAL";"TAB5",#N/A,TRUE,"GENERAL"}</definedName>
    <definedName name="______m6" localSheetId="13" hidden="1">{"TAB1",#N/A,TRUE,"GENERAL";"TAB2",#N/A,TRUE,"GENERAL";"TAB3",#N/A,TRUE,"GENERAL";"TAB4",#N/A,TRUE,"GENERAL";"TAB5",#N/A,TRUE,"GENERAL"}</definedName>
    <definedName name="______m6" localSheetId="15" hidden="1">{"TAB1",#N/A,TRUE,"GENERAL";"TAB2",#N/A,TRUE,"GENERAL";"TAB3",#N/A,TRUE,"GENERAL";"TAB4",#N/A,TRUE,"GENERAL";"TAB5",#N/A,TRUE,"GENERAL"}</definedName>
    <definedName name="______m6" hidden="1">{"TAB1",#N/A,TRUE,"GENERAL";"TAB2",#N/A,TRUE,"GENERAL";"TAB3",#N/A,TRUE,"GENERAL";"TAB4",#N/A,TRUE,"GENERAL";"TAB5",#N/A,TRUE,"GENERAL"}</definedName>
    <definedName name="______m7" localSheetId="14" hidden="1">{"TAB1",#N/A,TRUE,"GENERAL";"TAB2",#N/A,TRUE,"GENERAL";"TAB3",#N/A,TRUE,"GENERAL";"TAB4",#N/A,TRUE,"GENERAL";"TAB5",#N/A,TRUE,"GENERAL"}</definedName>
    <definedName name="______m7" localSheetId="16" hidden="1">{"TAB1",#N/A,TRUE,"GENERAL";"TAB2",#N/A,TRUE,"GENERAL";"TAB3",#N/A,TRUE,"GENERAL";"TAB4",#N/A,TRUE,"GENERAL";"TAB5",#N/A,TRUE,"GENERAL"}</definedName>
    <definedName name="______m7" localSheetId="17" hidden="1">{"TAB1",#N/A,TRUE,"GENERAL";"TAB2",#N/A,TRUE,"GENERAL";"TAB3",#N/A,TRUE,"GENERAL";"TAB4",#N/A,TRUE,"GENERAL";"TAB5",#N/A,TRUE,"GENERAL"}</definedName>
    <definedName name="______m7" localSheetId="13" hidden="1">{"TAB1",#N/A,TRUE,"GENERAL";"TAB2",#N/A,TRUE,"GENERAL";"TAB3",#N/A,TRUE,"GENERAL";"TAB4",#N/A,TRUE,"GENERAL";"TAB5",#N/A,TRUE,"GENERAL"}</definedName>
    <definedName name="______m7" localSheetId="15" hidden="1">{"TAB1",#N/A,TRUE,"GENERAL";"TAB2",#N/A,TRUE,"GENERAL";"TAB3",#N/A,TRUE,"GENERAL";"TAB4",#N/A,TRUE,"GENERAL";"TAB5",#N/A,TRUE,"GENERAL"}</definedName>
    <definedName name="______m7" hidden="1">{"TAB1",#N/A,TRUE,"GENERAL";"TAB2",#N/A,TRUE,"GENERAL";"TAB3",#N/A,TRUE,"GENERAL";"TAB4",#N/A,TRUE,"GENERAL";"TAB5",#N/A,TRUE,"GENERAL"}</definedName>
    <definedName name="______m8" localSheetId="14" hidden="1">{"via1",#N/A,TRUE,"general";"via2",#N/A,TRUE,"general";"via3",#N/A,TRUE,"general"}</definedName>
    <definedName name="______m8" localSheetId="16" hidden="1">{"via1",#N/A,TRUE,"general";"via2",#N/A,TRUE,"general";"via3",#N/A,TRUE,"general"}</definedName>
    <definedName name="______m8" localSheetId="17" hidden="1">{"via1",#N/A,TRUE,"general";"via2",#N/A,TRUE,"general";"via3",#N/A,TRUE,"general"}</definedName>
    <definedName name="______m8" localSheetId="13" hidden="1">{"via1",#N/A,TRUE,"general";"via2",#N/A,TRUE,"general";"via3",#N/A,TRUE,"general"}</definedName>
    <definedName name="______m8" localSheetId="15" hidden="1">{"via1",#N/A,TRUE,"general";"via2",#N/A,TRUE,"general";"via3",#N/A,TRUE,"general"}</definedName>
    <definedName name="______m8" hidden="1">{"via1",#N/A,TRUE,"general";"via2",#N/A,TRUE,"general";"via3",#N/A,TRUE,"general"}</definedName>
    <definedName name="______m9" localSheetId="14" hidden="1">{"via1",#N/A,TRUE,"general";"via2",#N/A,TRUE,"general";"via3",#N/A,TRUE,"general"}</definedName>
    <definedName name="______m9" localSheetId="16" hidden="1">{"via1",#N/A,TRUE,"general";"via2",#N/A,TRUE,"general";"via3",#N/A,TRUE,"general"}</definedName>
    <definedName name="______m9" localSheetId="17" hidden="1">{"via1",#N/A,TRUE,"general";"via2",#N/A,TRUE,"general";"via3",#N/A,TRUE,"general"}</definedName>
    <definedName name="______m9" localSheetId="13" hidden="1">{"via1",#N/A,TRUE,"general";"via2",#N/A,TRUE,"general";"via3",#N/A,TRUE,"general"}</definedName>
    <definedName name="______m9" localSheetId="15" hidden="1">{"via1",#N/A,TRUE,"general";"via2",#N/A,TRUE,"general";"via3",#N/A,TRUE,"general"}</definedName>
    <definedName name="______m9" hidden="1">{"via1",#N/A,TRUE,"general";"via2",#N/A,TRUE,"general";"via3",#N/A,TRUE,"general"}</definedName>
    <definedName name="______MA2">#REF!</definedName>
    <definedName name="______n3" localSheetId="14" hidden="1">{"TAB1",#N/A,TRUE,"GENERAL";"TAB2",#N/A,TRUE,"GENERAL";"TAB3",#N/A,TRUE,"GENERAL";"TAB4",#N/A,TRUE,"GENERAL";"TAB5",#N/A,TRUE,"GENERAL"}</definedName>
    <definedName name="______n3" localSheetId="16" hidden="1">{"TAB1",#N/A,TRUE,"GENERAL";"TAB2",#N/A,TRUE,"GENERAL";"TAB3",#N/A,TRUE,"GENERAL";"TAB4",#N/A,TRUE,"GENERAL";"TAB5",#N/A,TRUE,"GENERAL"}</definedName>
    <definedName name="______n3" localSheetId="17" hidden="1">{"TAB1",#N/A,TRUE,"GENERAL";"TAB2",#N/A,TRUE,"GENERAL";"TAB3",#N/A,TRUE,"GENERAL";"TAB4",#N/A,TRUE,"GENERAL";"TAB5",#N/A,TRUE,"GENERAL"}</definedName>
    <definedName name="______n3" localSheetId="13" hidden="1">{"TAB1",#N/A,TRUE,"GENERAL";"TAB2",#N/A,TRUE,"GENERAL";"TAB3",#N/A,TRUE,"GENERAL";"TAB4",#N/A,TRUE,"GENERAL";"TAB5",#N/A,TRUE,"GENERAL"}</definedName>
    <definedName name="______n3" localSheetId="15" hidden="1">{"TAB1",#N/A,TRUE,"GENERAL";"TAB2",#N/A,TRUE,"GENERAL";"TAB3",#N/A,TRUE,"GENERAL";"TAB4",#N/A,TRUE,"GENERAL";"TAB5",#N/A,TRUE,"GENERAL"}</definedName>
    <definedName name="______n3" hidden="1">{"TAB1",#N/A,TRUE,"GENERAL";"TAB2",#N/A,TRUE,"GENERAL";"TAB3",#N/A,TRUE,"GENERAL";"TAB4",#N/A,TRUE,"GENERAL";"TAB5",#N/A,TRUE,"GENERAL"}</definedName>
    <definedName name="______n4" localSheetId="14" hidden="1">{"via1",#N/A,TRUE,"general";"via2",#N/A,TRUE,"general";"via3",#N/A,TRUE,"general"}</definedName>
    <definedName name="______n4" localSheetId="16" hidden="1">{"via1",#N/A,TRUE,"general";"via2",#N/A,TRUE,"general";"via3",#N/A,TRUE,"general"}</definedName>
    <definedName name="______n4" localSheetId="17" hidden="1">{"via1",#N/A,TRUE,"general";"via2",#N/A,TRUE,"general";"via3",#N/A,TRUE,"general"}</definedName>
    <definedName name="______n4" localSheetId="13" hidden="1">{"via1",#N/A,TRUE,"general";"via2",#N/A,TRUE,"general";"via3",#N/A,TRUE,"general"}</definedName>
    <definedName name="______n4" localSheetId="15" hidden="1">{"via1",#N/A,TRUE,"general";"via2",#N/A,TRUE,"general";"via3",#N/A,TRUE,"general"}</definedName>
    <definedName name="______n4" hidden="1">{"via1",#N/A,TRUE,"general";"via2",#N/A,TRUE,"general";"via3",#N/A,TRUE,"general"}</definedName>
    <definedName name="______n5" localSheetId="14" hidden="1">{"TAB1",#N/A,TRUE,"GENERAL";"TAB2",#N/A,TRUE,"GENERAL";"TAB3",#N/A,TRUE,"GENERAL";"TAB4",#N/A,TRUE,"GENERAL";"TAB5",#N/A,TRUE,"GENERAL"}</definedName>
    <definedName name="______n5" localSheetId="16" hidden="1">{"TAB1",#N/A,TRUE,"GENERAL";"TAB2",#N/A,TRUE,"GENERAL";"TAB3",#N/A,TRUE,"GENERAL";"TAB4",#N/A,TRUE,"GENERAL";"TAB5",#N/A,TRUE,"GENERAL"}</definedName>
    <definedName name="______n5" localSheetId="17" hidden="1">{"TAB1",#N/A,TRUE,"GENERAL";"TAB2",#N/A,TRUE,"GENERAL";"TAB3",#N/A,TRUE,"GENERAL";"TAB4",#N/A,TRUE,"GENERAL";"TAB5",#N/A,TRUE,"GENERAL"}</definedName>
    <definedName name="______n5" localSheetId="13" hidden="1">{"TAB1",#N/A,TRUE,"GENERAL";"TAB2",#N/A,TRUE,"GENERAL";"TAB3",#N/A,TRUE,"GENERAL";"TAB4",#N/A,TRUE,"GENERAL";"TAB5",#N/A,TRUE,"GENERAL"}</definedName>
    <definedName name="______n5" localSheetId="15" hidden="1">{"TAB1",#N/A,TRUE,"GENERAL";"TAB2",#N/A,TRUE,"GENERAL";"TAB3",#N/A,TRUE,"GENERAL";"TAB4",#N/A,TRUE,"GENERAL";"TAB5",#N/A,TRUE,"GENERAL"}</definedName>
    <definedName name="______n5" hidden="1">{"TAB1",#N/A,TRUE,"GENERAL";"TAB2",#N/A,TRUE,"GENERAL";"TAB3",#N/A,TRUE,"GENERAL";"TAB4",#N/A,TRUE,"GENERAL";"TAB5",#N/A,TRUE,"GENERAL"}</definedName>
    <definedName name="______nyn7" localSheetId="14" hidden="1">{"via1",#N/A,TRUE,"general";"via2",#N/A,TRUE,"general";"via3",#N/A,TRUE,"general"}</definedName>
    <definedName name="______nyn7" localSheetId="16" hidden="1">{"via1",#N/A,TRUE,"general";"via2",#N/A,TRUE,"general";"via3",#N/A,TRUE,"general"}</definedName>
    <definedName name="______nyn7" localSheetId="17" hidden="1">{"via1",#N/A,TRUE,"general";"via2",#N/A,TRUE,"general";"via3",#N/A,TRUE,"general"}</definedName>
    <definedName name="______nyn7" localSheetId="13" hidden="1">{"via1",#N/A,TRUE,"general";"via2",#N/A,TRUE,"general";"via3",#N/A,TRUE,"general"}</definedName>
    <definedName name="______nyn7" localSheetId="15" hidden="1">{"via1",#N/A,TRUE,"general";"via2",#N/A,TRUE,"general";"via3",#N/A,TRUE,"general"}</definedName>
    <definedName name="______nyn7" hidden="1">{"via1",#N/A,TRUE,"general";"via2",#N/A,TRUE,"general";"via3",#N/A,TRUE,"general"}</definedName>
    <definedName name="______o4" localSheetId="14" hidden="1">{"via1",#N/A,TRUE,"general";"via2",#N/A,TRUE,"general";"via3",#N/A,TRUE,"general"}</definedName>
    <definedName name="______o4" localSheetId="16" hidden="1">{"via1",#N/A,TRUE,"general";"via2",#N/A,TRUE,"general";"via3",#N/A,TRUE,"general"}</definedName>
    <definedName name="______o4" localSheetId="17" hidden="1">{"via1",#N/A,TRUE,"general";"via2",#N/A,TRUE,"general";"via3",#N/A,TRUE,"general"}</definedName>
    <definedName name="______o4" localSheetId="13" hidden="1">{"via1",#N/A,TRUE,"general";"via2",#N/A,TRUE,"general";"via3",#N/A,TRUE,"general"}</definedName>
    <definedName name="______o4" localSheetId="15" hidden="1">{"via1",#N/A,TRUE,"general";"via2",#N/A,TRUE,"general";"via3",#N/A,TRUE,"general"}</definedName>
    <definedName name="______o4" hidden="1">{"via1",#N/A,TRUE,"general";"via2",#N/A,TRUE,"general";"via3",#N/A,TRUE,"general"}</definedName>
    <definedName name="______o5" localSheetId="14" hidden="1">{"TAB1",#N/A,TRUE,"GENERAL";"TAB2",#N/A,TRUE,"GENERAL";"TAB3",#N/A,TRUE,"GENERAL";"TAB4",#N/A,TRUE,"GENERAL";"TAB5",#N/A,TRUE,"GENERAL"}</definedName>
    <definedName name="______o5" localSheetId="16" hidden="1">{"TAB1",#N/A,TRUE,"GENERAL";"TAB2",#N/A,TRUE,"GENERAL";"TAB3",#N/A,TRUE,"GENERAL";"TAB4",#N/A,TRUE,"GENERAL";"TAB5",#N/A,TRUE,"GENERAL"}</definedName>
    <definedName name="______o5" localSheetId="17" hidden="1">{"TAB1",#N/A,TRUE,"GENERAL";"TAB2",#N/A,TRUE,"GENERAL";"TAB3",#N/A,TRUE,"GENERAL";"TAB4",#N/A,TRUE,"GENERAL";"TAB5",#N/A,TRUE,"GENERAL"}</definedName>
    <definedName name="______o5" localSheetId="13" hidden="1">{"TAB1",#N/A,TRUE,"GENERAL";"TAB2",#N/A,TRUE,"GENERAL";"TAB3",#N/A,TRUE,"GENERAL";"TAB4",#N/A,TRUE,"GENERAL";"TAB5",#N/A,TRUE,"GENERAL"}</definedName>
    <definedName name="______o5" localSheetId="15" hidden="1">{"TAB1",#N/A,TRUE,"GENERAL";"TAB2",#N/A,TRUE,"GENERAL";"TAB3",#N/A,TRUE,"GENERAL";"TAB4",#N/A,TRUE,"GENERAL";"TAB5",#N/A,TRUE,"GENERAL"}</definedName>
    <definedName name="______o5" hidden="1">{"TAB1",#N/A,TRUE,"GENERAL";"TAB2",#N/A,TRUE,"GENERAL";"TAB3",#N/A,TRUE,"GENERAL";"TAB4",#N/A,TRUE,"GENERAL";"TAB5",#N/A,TRUE,"GENERAL"}</definedName>
    <definedName name="______o6" localSheetId="14" hidden="1">{"TAB1",#N/A,TRUE,"GENERAL";"TAB2",#N/A,TRUE,"GENERAL";"TAB3",#N/A,TRUE,"GENERAL";"TAB4",#N/A,TRUE,"GENERAL";"TAB5",#N/A,TRUE,"GENERAL"}</definedName>
    <definedName name="______o6" localSheetId="16" hidden="1">{"TAB1",#N/A,TRUE,"GENERAL";"TAB2",#N/A,TRUE,"GENERAL";"TAB3",#N/A,TRUE,"GENERAL";"TAB4",#N/A,TRUE,"GENERAL";"TAB5",#N/A,TRUE,"GENERAL"}</definedName>
    <definedName name="______o6" localSheetId="17" hidden="1">{"TAB1",#N/A,TRUE,"GENERAL";"TAB2",#N/A,TRUE,"GENERAL";"TAB3",#N/A,TRUE,"GENERAL";"TAB4",#N/A,TRUE,"GENERAL";"TAB5",#N/A,TRUE,"GENERAL"}</definedName>
    <definedName name="______o6" localSheetId="13" hidden="1">{"TAB1",#N/A,TRUE,"GENERAL";"TAB2",#N/A,TRUE,"GENERAL";"TAB3",#N/A,TRUE,"GENERAL";"TAB4",#N/A,TRUE,"GENERAL";"TAB5",#N/A,TRUE,"GENERAL"}</definedName>
    <definedName name="______o6" localSheetId="15" hidden="1">{"TAB1",#N/A,TRUE,"GENERAL";"TAB2",#N/A,TRUE,"GENERAL";"TAB3",#N/A,TRUE,"GENERAL";"TAB4",#N/A,TRUE,"GENERAL";"TAB5",#N/A,TRUE,"GENERAL"}</definedName>
    <definedName name="______o6" hidden="1">{"TAB1",#N/A,TRUE,"GENERAL";"TAB2",#N/A,TRUE,"GENERAL";"TAB3",#N/A,TRUE,"GENERAL";"TAB4",#N/A,TRUE,"GENERAL";"TAB5",#N/A,TRUE,"GENERAL"}</definedName>
    <definedName name="______o7" localSheetId="14" hidden="1">{"TAB1",#N/A,TRUE,"GENERAL";"TAB2",#N/A,TRUE,"GENERAL";"TAB3",#N/A,TRUE,"GENERAL";"TAB4",#N/A,TRUE,"GENERAL";"TAB5",#N/A,TRUE,"GENERAL"}</definedName>
    <definedName name="______o7" localSheetId="16" hidden="1">{"TAB1",#N/A,TRUE,"GENERAL";"TAB2",#N/A,TRUE,"GENERAL";"TAB3",#N/A,TRUE,"GENERAL";"TAB4",#N/A,TRUE,"GENERAL";"TAB5",#N/A,TRUE,"GENERAL"}</definedName>
    <definedName name="______o7" localSheetId="17" hidden="1">{"TAB1",#N/A,TRUE,"GENERAL";"TAB2",#N/A,TRUE,"GENERAL";"TAB3",#N/A,TRUE,"GENERAL";"TAB4",#N/A,TRUE,"GENERAL";"TAB5",#N/A,TRUE,"GENERAL"}</definedName>
    <definedName name="______o7" localSheetId="13" hidden="1">{"TAB1",#N/A,TRUE,"GENERAL";"TAB2",#N/A,TRUE,"GENERAL";"TAB3",#N/A,TRUE,"GENERAL";"TAB4",#N/A,TRUE,"GENERAL";"TAB5",#N/A,TRUE,"GENERAL"}</definedName>
    <definedName name="______o7" localSheetId="15" hidden="1">{"TAB1",#N/A,TRUE,"GENERAL";"TAB2",#N/A,TRUE,"GENERAL";"TAB3",#N/A,TRUE,"GENERAL";"TAB4",#N/A,TRUE,"GENERAL";"TAB5",#N/A,TRUE,"GENERAL"}</definedName>
    <definedName name="______o7" hidden="1">{"TAB1",#N/A,TRUE,"GENERAL";"TAB2",#N/A,TRUE,"GENERAL";"TAB3",#N/A,TRUE,"GENERAL";"TAB4",#N/A,TRUE,"GENERAL";"TAB5",#N/A,TRUE,"GENERAL"}</definedName>
    <definedName name="______o8" localSheetId="14" hidden="1">{"via1",#N/A,TRUE,"general";"via2",#N/A,TRUE,"general";"via3",#N/A,TRUE,"general"}</definedName>
    <definedName name="______o8" localSheetId="16" hidden="1">{"via1",#N/A,TRUE,"general";"via2",#N/A,TRUE,"general";"via3",#N/A,TRUE,"general"}</definedName>
    <definedName name="______o8" localSheetId="17" hidden="1">{"via1",#N/A,TRUE,"general";"via2",#N/A,TRUE,"general";"via3",#N/A,TRUE,"general"}</definedName>
    <definedName name="______o8" localSheetId="13" hidden="1">{"via1",#N/A,TRUE,"general";"via2",#N/A,TRUE,"general";"via3",#N/A,TRUE,"general"}</definedName>
    <definedName name="______o8" localSheetId="15" hidden="1">{"via1",#N/A,TRUE,"general";"via2",#N/A,TRUE,"general";"via3",#N/A,TRUE,"general"}</definedName>
    <definedName name="______o8" hidden="1">{"via1",#N/A,TRUE,"general";"via2",#N/A,TRUE,"general";"via3",#N/A,TRUE,"general"}</definedName>
    <definedName name="______o9" localSheetId="14" hidden="1">{"TAB1",#N/A,TRUE,"GENERAL";"TAB2",#N/A,TRUE,"GENERAL";"TAB3",#N/A,TRUE,"GENERAL";"TAB4",#N/A,TRUE,"GENERAL";"TAB5",#N/A,TRUE,"GENERAL"}</definedName>
    <definedName name="______o9" localSheetId="16" hidden="1">{"TAB1",#N/A,TRUE,"GENERAL";"TAB2",#N/A,TRUE,"GENERAL";"TAB3",#N/A,TRUE,"GENERAL";"TAB4",#N/A,TRUE,"GENERAL";"TAB5",#N/A,TRUE,"GENERAL"}</definedName>
    <definedName name="______o9" localSheetId="17" hidden="1">{"TAB1",#N/A,TRUE,"GENERAL";"TAB2",#N/A,TRUE,"GENERAL";"TAB3",#N/A,TRUE,"GENERAL";"TAB4",#N/A,TRUE,"GENERAL";"TAB5",#N/A,TRUE,"GENERAL"}</definedName>
    <definedName name="______o9" localSheetId="13" hidden="1">{"TAB1",#N/A,TRUE,"GENERAL";"TAB2",#N/A,TRUE,"GENERAL";"TAB3",#N/A,TRUE,"GENERAL";"TAB4",#N/A,TRUE,"GENERAL";"TAB5",#N/A,TRUE,"GENERAL"}</definedName>
    <definedName name="______o9" localSheetId="15" hidden="1">{"TAB1",#N/A,TRUE,"GENERAL";"TAB2",#N/A,TRUE,"GENERAL";"TAB3",#N/A,TRUE,"GENERAL";"TAB4",#N/A,TRUE,"GENERAL";"TAB5",#N/A,TRUE,"GENERAL"}</definedName>
    <definedName name="______o9" hidden="1">{"TAB1",#N/A,TRUE,"GENERAL";"TAB2",#N/A,TRUE,"GENERAL";"TAB3",#N/A,TRUE,"GENERAL";"TAB4",#N/A,TRUE,"GENERAL";"TAB5",#N/A,TRUE,"GENERAL"}</definedName>
    <definedName name="______p6" localSheetId="14" hidden="1">{"via1",#N/A,TRUE,"general";"via2",#N/A,TRUE,"general";"via3",#N/A,TRUE,"general"}</definedName>
    <definedName name="______p6" localSheetId="16" hidden="1">{"via1",#N/A,TRUE,"general";"via2",#N/A,TRUE,"general";"via3",#N/A,TRUE,"general"}</definedName>
    <definedName name="______p6" localSheetId="17" hidden="1">{"via1",#N/A,TRUE,"general";"via2",#N/A,TRUE,"general";"via3",#N/A,TRUE,"general"}</definedName>
    <definedName name="______p6" localSheetId="13" hidden="1">{"via1",#N/A,TRUE,"general";"via2",#N/A,TRUE,"general";"via3",#N/A,TRUE,"general"}</definedName>
    <definedName name="______p6" localSheetId="15" hidden="1">{"via1",#N/A,TRUE,"general";"via2",#N/A,TRUE,"general";"via3",#N/A,TRUE,"general"}</definedName>
    <definedName name="______p6" hidden="1">{"via1",#N/A,TRUE,"general";"via2",#N/A,TRUE,"general";"via3",#N/A,TRUE,"general"}</definedName>
    <definedName name="______p7" localSheetId="14" hidden="1">{"via1",#N/A,TRUE,"general";"via2",#N/A,TRUE,"general";"via3",#N/A,TRUE,"general"}</definedName>
    <definedName name="______p7" localSheetId="16" hidden="1">{"via1",#N/A,TRUE,"general";"via2",#N/A,TRUE,"general";"via3",#N/A,TRUE,"general"}</definedName>
    <definedName name="______p7" localSheetId="17" hidden="1">{"via1",#N/A,TRUE,"general";"via2",#N/A,TRUE,"general";"via3",#N/A,TRUE,"general"}</definedName>
    <definedName name="______p7" localSheetId="13" hidden="1">{"via1",#N/A,TRUE,"general";"via2",#N/A,TRUE,"general";"via3",#N/A,TRUE,"general"}</definedName>
    <definedName name="______p7" localSheetId="15" hidden="1">{"via1",#N/A,TRUE,"general";"via2",#N/A,TRUE,"general";"via3",#N/A,TRUE,"general"}</definedName>
    <definedName name="______p7" hidden="1">{"via1",#N/A,TRUE,"general";"via2",#N/A,TRUE,"general";"via3",#N/A,TRUE,"general"}</definedName>
    <definedName name="______p8" localSheetId="14" hidden="1">{"TAB1",#N/A,TRUE,"GENERAL";"TAB2",#N/A,TRUE,"GENERAL";"TAB3",#N/A,TRUE,"GENERAL";"TAB4",#N/A,TRUE,"GENERAL";"TAB5",#N/A,TRUE,"GENERAL"}</definedName>
    <definedName name="______p8" localSheetId="16" hidden="1">{"TAB1",#N/A,TRUE,"GENERAL";"TAB2",#N/A,TRUE,"GENERAL";"TAB3",#N/A,TRUE,"GENERAL";"TAB4",#N/A,TRUE,"GENERAL";"TAB5",#N/A,TRUE,"GENERAL"}</definedName>
    <definedName name="______p8" localSheetId="17" hidden="1">{"TAB1",#N/A,TRUE,"GENERAL";"TAB2",#N/A,TRUE,"GENERAL";"TAB3",#N/A,TRUE,"GENERAL";"TAB4",#N/A,TRUE,"GENERAL";"TAB5",#N/A,TRUE,"GENERAL"}</definedName>
    <definedName name="______p8" localSheetId="13" hidden="1">{"TAB1",#N/A,TRUE,"GENERAL";"TAB2",#N/A,TRUE,"GENERAL";"TAB3",#N/A,TRUE,"GENERAL";"TAB4",#N/A,TRUE,"GENERAL";"TAB5",#N/A,TRUE,"GENERAL"}</definedName>
    <definedName name="______p8" localSheetId="15" hidden="1">{"TAB1",#N/A,TRUE,"GENERAL";"TAB2",#N/A,TRUE,"GENERAL";"TAB3",#N/A,TRUE,"GENERAL";"TAB4",#N/A,TRUE,"GENERAL";"TAB5",#N/A,TRUE,"GENERAL"}</definedName>
    <definedName name="______p8" hidden="1">{"TAB1",#N/A,TRUE,"GENERAL";"TAB2",#N/A,TRUE,"GENERAL";"TAB3",#N/A,TRUE,"GENERAL";"TAB4",#N/A,TRUE,"GENERAL";"TAB5",#N/A,TRUE,"GENERAL"}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J50">#REF!</definedName>
    <definedName name="______pj51">#REF!</definedName>
    <definedName name="______Po2" localSheetId="3">#REF!</definedName>
    <definedName name="______Po2">#REF!</definedName>
    <definedName name="______r" localSheetId="3">#REF!</definedName>
    <definedName name="______r" localSheetId="14" hidden="1">{"TAB1",#N/A,TRUE,"GENERAL";"TAB2",#N/A,TRUE,"GENERAL";"TAB3",#N/A,TRUE,"GENERAL";"TAB4",#N/A,TRUE,"GENERAL";"TAB5",#N/A,TRUE,"GENERAL"}</definedName>
    <definedName name="______r" localSheetId="16" hidden="1">{"TAB1",#N/A,TRUE,"GENERAL";"TAB2",#N/A,TRUE,"GENERAL";"TAB3",#N/A,TRUE,"GENERAL";"TAB4",#N/A,TRUE,"GENERAL";"TAB5",#N/A,TRUE,"GENERAL"}</definedName>
    <definedName name="______r" localSheetId="17" hidden="1">{"TAB1",#N/A,TRUE,"GENERAL";"TAB2",#N/A,TRUE,"GENERAL";"TAB3",#N/A,TRUE,"GENERAL";"TAB4",#N/A,TRUE,"GENERAL";"TAB5",#N/A,TRUE,"GENERAL"}</definedName>
    <definedName name="______r" localSheetId="13" hidden="1">{"TAB1",#N/A,TRUE,"GENERAL";"TAB2",#N/A,TRUE,"GENERAL";"TAB3",#N/A,TRUE,"GENERAL";"TAB4",#N/A,TRUE,"GENERAL";"TAB5",#N/A,TRUE,"GENERAL"}</definedName>
    <definedName name="______r" localSheetId="15" hidden="1">{"TAB1",#N/A,TRUE,"GENERAL";"TAB2",#N/A,TRUE,"GENERAL";"TAB3",#N/A,TRUE,"GENERAL";"TAB4",#N/A,TRUE,"GENERAL";"TAB5",#N/A,TRUE,"GENERAL"}</definedName>
    <definedName name="______r">#REF!</definedName>
    <definedName name="______R32JH" localSheetId="3">#REF!</definedName>
    <definedName name="______R32JH">#REF!</definedName>
    <definedName name="______R43JH">#REF!</definedName>
    <definedName name="______r4r" localSheetId="14" hidden="1">{"via1",#N/A,TRUE,"general";"via2",#N/A,TRUE,"general";"via3",#N/A,TRUE,"general"}</definedName>
    <definedName name="______r4r" localSheetId="16" hidden="1">{"via1",#N/A,TRUE,"general";"via2",#N/A,TRUE,"general";"via3",#N/A,TRUE,"general"}</definedName>
    <definedName name="______r4r" localSheetId="17" hidden="1">{"via1",#N/A,TRUE,"general";"via2",#N/A,TRUE,"general";"via3",#N/A,TRUE,"general"}</definedName>
    <definedName name="______r4r" localSheetId="13" hidden="1">{"via1",#N/A,TRUE,"general";"via2",#N/A,TRUE,"general";"via3",#N/A,TRUE,"general"}</definedName>
    <definedName name="______r4r" localSheetId="15" hidden="1">{"via1",#N/A,TRUE,"general";"via2",#N/A,TRUE,"general";"via3",#N/A,TRUE,"general"}</definedName>
    <definedName name="______r4r" hidden="1">{"via1",#N/A,TRUE,"general";"via2",#N/A,TRUE,"general";"via3",#N/A,TRUE,"general"}</definedName>
    <definedName name="______R63JH">#REF!</definedName>
    <definedName name="______R64JH" localSheetId="3">#REF!</definedName>
    <definedName name="______R64JH">#REF!</definedName>
    <definedName name="______R84JH">#REF!</definedName>
    <definedName name="______rc">#REF!</definedName>
    <definedName name="______REP43">#REF!</definedName>
    <definedName name="______rtu6" localSheetId="14" hidden="1">{"via1",#N/A,TRUE,"general";"via2",#N/A,TRUE,"general";"via3",#N/A,TRUE,"general"}</definedName>
    <definedName name="______rtu6" localSheetId="16" hidden="1">{"via1",#N/A,TRUE,"general";"via2",#N/A,TRUE,"general";"via3",#N/A,TRUE,"general"}</definedName>
    <definedName name="______rtu6" localSheetId="17" hidden="1">{"via1",#N/A,TRUE,"general";"via2",#N/A,TRUE,"general";"via3",#N/A,TRUE,"general"}</definedName>
    <definedName name="______rtu6" localSheetId="13" hidden="1">{"via1",#N/A,TRUE,"general";"via2",#N/A,TRUE,"general";"via3",#N/A,TRUE,"general"}</definedName>
    <definedName name="______rtu6" localSheetId="15" hidden="1">{"via1",#N/A,TRUE,"general";"via2",#N/A,TRUE,"general";"via3",#N/A,TRUE,"general"}</definedName>
    <definedName name="______rtu6" hidden="1">{"via1",#N/A,TRUE,"general";"via2",#N/A,TRUE,"general";"via3",#N/A,TRUE,"general"}</definedName>
    <definedName name="______s1" localSheetId="14" hidden="1">{"via1",#N/A,TRUE,"general";"via2",#N/A,TRUE,"general";"via3",#N/A,TRUE,"general"}</definedName>
    <definedName name="______s1" localSheetId="16" hidden="1">{"via1",#N/A,TRUE,"general";"via2",#N/A,TRUE,"general";"via3",#N/A,TRUE,"general"}</definedName>
    <definedName name="______s1" localSheetId="17" hidden="1">{"via1",#N/A,TRUE,"general";"via2",#N/A,TRUE,"general";"via3",#N/A,TRUE,"general"}</definedName>
    <definedName name="______s1" localSheetId="13" hidden="1">{"via1",#N/A,TRUE,"general";"via2",#N/A,TRUE,"general";"via3",#N/A,TRUE,"general"}</definedName>
    <definedName name="______s1" localSheetId="15" hidden="1">{"via1",#N/A,TRUE,"general";"via2",#N/A,TRUE,"general";"via3",#N/A,TRUE,"general"}</definedName>
    <definedName name="______s1" hidden="1">{"via1",#N/A,TRUE,"general";"via2",#N/A,TRUE,"general";"via3",#N/A,TRUE,"general"}</definedName>
    <definedName name="______s2" localSheetId="14" hidden="1">{"TAB1",#N/A,TRUE,"GENERAL";"TAB2",#N/A,TRUE,"GENERAL";"TAB3",#N/A,TRUE,"GENERAL";"TAB4",#N/A,TRUE,"GENERAL";"TAB5",#N/A,TRUE,"GENERAL"}</definedName>
    <definedName name="______s2" localSheetId="16" hidden="1">{"TAB1",#N/A,TRUE,"GENERAL";"TAB2",#N/A,TRUE,"GENERAL";"TAB3",#N/A,TRUE,"GENERAL";"TAB4",#N/A,TRUE,"GENERAL";"TAB5",#N/A,TRUE,"GENERAL"}</definedName>
    <definedName name="______s2" localSheetId="17" hidden="1">{"TAB1",#N/A,TRUE,"GENERAL";"TAB2",#N/A,TRUE,"GENERAL";"TAB3",#N/A,TRUE,"GENERAL";"TAB4",#N/A,TRUE,"GENERAL";"TAB5",#N/A,TRUE,"GENERAL"}</definedName>
    <definedName name="______s2" localSheetId="13" hidden="1">{"TAB1",#N/A,TRUE,"GENERAL";"TAB2",#N/A,TRUE,"GENERAL";"TAB3",#N/A,TRUE,"GENERAL";"TAB4",#N/A,TRUE,"GENERAL";"TAB5",#N/A,TRUE,"GENERAL"}</definedName>
    <definedName name="______s2" localSheetId="15" hidden="1">{"TAB1",#N/A,TRUE,"GENERAL";"TAB2",#N/A,TRUE,"GENERAL";"TAB3",#N/A,TRUE,"GENERAL";"TAB4",#N/A,TRUE,"GENERAL";"TAB5",#N/A,TRUE,"GENERAL"}</definedName>
    <definedName name="______s2" hidden="1">{"TAB1",#N/A,TRUE,"GENERAL";"TAB2",#N/A,TRUE,"GENERAL";"TAB3",#N/A,TRUE,"GENERAL";"TAB4",#N/A,TRUE,"GENERAL";"TAB5",#N/A,TRUE,"GENERAL"}</definedName>
    <definedName name="______s3" localSheetId="14" hidden="1">{"TAB1",#N/A,TRUE,"GENERAL";"TAB2",#N/A,TRUE,"GENERAL";"TAB3",#N/A,TRUE,"GENERAL";"TAB4",#N/A,TRUE,"GENERAL";"TAB5",#N/A,TRUE,"GENERAL"}</definedName>
    <definedName name="______s3" localSheetId="16" hidden="1">{"TAB1",#N/A,TRUE,"GENERAL";"TAB2",#N/A,TRUE,"GENERAL";"TAB3",#N/A,TRUE,"GENERAL";"TAB4",#N/A,TRUE,"GENERAL";"TAB5",#N/A,TRUE,"GENERAL"}</definedName>
    <definedName name="______s3" localSheetId="17" hidden="1">{"TAB1",#N/A,TRUE,"GENERAL";"TAB2",#N/A,TRUE,"GENERAL";"TAB3",#N/A,TRUE,"GENERAL";"TAB4",#N/A,TRUE,"GENERAL";"TAB5",#N/A,TRUE,"GENERAL"}</definedName>
    <definedName name="______s3" localSheetId="13" hidden="1">{"TAB1",#N/A,TRUE,"GENERAL";"TAB2",#N/A,TRUE,"GENERAL";"TAB3",#N/A,TRUE,"GENERAL";"TAB4",#N/A,TRUE,"GENERAL";"TAB5",#N/A,TRUE,"GENERAL"}</definedName>
    <definedName name="______s3" localSheetId="15" hidden="1">{"TAB1",#N/A,TRUE,"GENERAL";"TAB2",#N/A,TRUE,"GENERAL";"TAB3",#N/A,TRUE,"GENERAL";"TAB4",#N/A,TRUE,"GENERAL";"TAB5",#N/A,TRUE,"GENERAL"}</definedName>
    <definedName name="______s3" hidden="1">{"TAB1",#N/A,TRUE,"GENERAL";"TAB2",#N/A,TRUE,"GENERAL";"TAB3",#N/A,TRUE,"GENERAL";"TAB4",#N/A,TRUE,"GENERAL";"TAB5",#N/A,TRUE,"GENERAL"}</definedName>
    <definedName name="______s4" localSheetId="14" hidden="1">{"via1",#N/A,TRUE,"general";"via2",#N/A,TRUE,"general";"via3",#N/A,TRUE,"general"}</definedName>
    <definedName name="______s4" localSheetId="16" hidden="1">{"via1",#N/A,TRUE,"general";"via2",#N/A,TRUE,"general";"via3",#N/A,TRUE,"general"}</definedName>
    <definedName name="______s4" localSheetId="17" hidden="1">{"via1",#N/A,TRUE,"general";"via2",#N/A,TRUE,"general";"via3",#N/A,TRUE,"general"}</definedName>
    <definedName name="______s4" localSheetId="13" hidden="1">{"via1",#N/A,TRUE,"general";"via2",#N/A,TRUE,"general";"via3",#N/A,TRUE,"general"}</definedName>
    <definedName name="______s4" localSheetId="15" hidden="1">{"via1",#N/A,TRUE,"general";"via2",#N/A,TRUE,"general";"via3",#N/A,TRUE,"general"}</definedName>
    <definedName name="______s4" hidden="1">{"via1",#N/A,TRUE,"general";"via2",#N/A,TRUE,"general";"via3",#N/A,TRUE,"general"}</definedName>
    <definedName name="______s5" localSheetId="14" hidden="1">{"via1",#N/A,TRUE,"general";"via2",#N/A,TRUE,"general";"via3",#N/A,TRUE,"general"}</definedName>
    <definedName name="______s5" localSheetId="16" hidden="1">{"via1",#N/A,TRUE,"general";"via2",#N/A,TRUE,"general";"via3",#N/A,TRUE,"general"}</definedName>
    <definedName name="______s5" localSheetId="17" hidden="1">{"via1",#N/A,TRUE,"general";"via2",#N/A,TRUE,"general";"via3",#N/A,TRUE,"general"}</definedName>
    <definedName name="______s5" localSheetId="13" hidden="1">{"via1",#N/A,TRUE,"general";"via2",#N/A,TRUE,"general";"via3",#N/A,TRUE,"general"}</definedName>
    <definedName name="______s5" localSheetId="15" hidden="1">{"via1",#N/A,TRUE,"general";"via2",#N/A,TRUE,"general";"via3",#N/A,TRUE,"general"}</definedName>
    <definedName name="______s5" hidden="1">{"via1",#N/A,TRUE,"general";"via2",#N/A,TRUE,"general";"via3",#N/A,TRUE,"general"}</definedName>
    <definedName name="______s6" localSheetId="14" hidden="1">{"TAB1",#N/A,TRUE,"GENERAL";"TAB2",#N/A,TRUE,"GENERAL";"TAB3",#N/A,TRUE,"GENERAL";"TAB4",#N/A,TRUE,"GENERAL";"TAB5",#N/A,TRUE,"GENERAL"}</definedName>
    <definedName name="______s6" localSheetId="16" hidden="1">{"TAB1",#N/A,TRUE,"GENERAL";"TAB2",#N/A,TRUE,"GENERAL";"TAB3",#N/A,TRUE,"GENERAL";"TAB4",#N/A,TRUE,"GENERAL";"TAB5",#N/A,TRUE,"GENERAL"}</definedName>
    <definedName name="______s6" localSheetId="17" hidden="1">{"TAB1",#N/A,TRUE,"GENERAL";"TAB2",#N/A,TRUE,"GENERAL";"TAB3",#N/A,TRUE,"GENERAL";"TAB4",#N/A,TRUE,"GENERAL";"TAB5",#N/A,TRUE,"GENERAL"}</definedName>
    <definedName name="______s6" localSheetId="13" hidden="1">{"TAB1",#N/A,TRUE,"GENERAL";"TAB2",#N/A,TRUE,"GENERAL";"TAB3",#N/A,TRUE,"GENERAL";"TAB4",#N/A,TRUE,"GENERAL";"TAB5",#N/A,TRUE,"GENERAL"}</definedName>
    <definedName name="______s6" localSheetId="15" hidden="1">{"TAB1",#N/A,TRUE,"GENERAL";"TAB2",#N/A,TRUE,"GENERAL";"TAB3",#N/A,TRUE,"GENERAL";"TAB4",#N/A,TRUE,"GENERAL";"TAB5",#N/A,TRUE,"GENERAL"}</definedName>
    <definedName name="______s6" hidden="1">{"TAB1",#N/A,TRUE,"GENERAL";"TAB2",#N/A,TRUE,"GENERAL";"TAB3",#N/A,TRUE,"GENERAL";"TAB4",#N/A,TRUE,"GENERAL";"TAB5",#N/A,TRUE,"GENERAL"}</definedName>
    <definedName name="______s7" localSheetId="14" hidden="1">{"via1",#N/A,TRUE,"general";"via2",#N/A,TRUE,"general";"via3",#N/A,TRUE,"general"}</definedName>
    <definedName name="______s7" localSheetId="16" hidden="1">{"via1",#N/A,TRUE,"general";"via2",#N/A,TRUE,"general";"via3",#N/A,TRUE,"general"}</definedName>
    <definedName name="______s7" localSheetId="17" hidden="1">{"via1",#N/A,TRUE,"general";"via2",#N/A,TRUE,"general";"via3",#N/A,TRUE,"general"}</definedName>
    <definedName name="______s7" localSheetId="13" hidden="1">{"via1",#N/A,TRUE,"general";"via2",#N/A,TRUE,"general";"via3",#N/A,TRUE,"general"}</definedName>
    <definedName name="______s7" localSheetId="15" hidden="1">{"via1",#N/A,TRUE,"general";"via2",#N/A,TRUE,"general";"via3",#N/A,TRUE,"general"}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ST166">#REF!</definedName>
    <definedName name="______t3" localSheetId="14" hidden="1">{"TAB1",#N/A,TRUE,"GENERAL";"TAB2",#N/A,TRUE,"GENERAL";"TAB3",#N/A,TRUE,"GENERAL";"TAB4",#N/A,TRUE,"GENERAL";"TAB5",#N/A,TRUE,"GENERAL"}</definedName>
    <definedName name="______t3" localSheetId="16" hidden="1">{"TAB1",#N/A,TRUE,"GENERAL";"TAB2",#N/A,TRUE,"GENERAL";"TAB3",#N/A,TRUE,"GENERAL";"TAB4",#N/A,TRUE,"GENERAL";"TAB5",#N/A,TRUE,"GENERAL"}</definedName>
    <definedName name="______t3" localSheetId="17" hidden="1">{"TAB1",#N/A,TRUE,"GENERAL";"TAB2",#N/A,TRUE,"GENERAL";"TAB3",#N/A,TRUE,"GENERAL";"TAB4",#N/A,TRUE,"GENERAL";"TAB5",#N/A,TRUE,"GENERAL"}</definedName>
    <definedName name="______t3" localSheetId="13" hidden="1">{"TAB1",#N/A,TRUE,"GENERAL";"TAB2",#N/A,TRUE,"GENERAL";"TAB3",#N/A,TRUE,"GENERAL";"TAB4",#N/A,TRUE,"GENERAL";"TAB5",#N/A,TRUE,"GENERAL"}</definedName>
    <definedName name="______t3" localSheetId="15" hidden="1">{"TAB1",#N/A,TRUE,"GENERAL";"TAB2",#N/A,TRUE,"GENERAL";"TAB3",#N/A,TRUE,"GENERAL";"TAB4",#N/A,TRUE,"GENERAL";"TAB5",#N/A,TRUE,"GENERAL"}</definedName>
    <definedName name="______t3" hidden="1">{"TAB1",#N/A,TRUE,"GENERAL";"TAB2",#N/A,TRUE,"GENERAL";"TAB3",#N/A,TRUE,"GENERAL";"TAB4",#N/A,TRUE,"GENERAL";"TAB5",#N/A,TRUE,"GENERAL"}</definedName>
    <definedName name="______t4" localSheetId="14" hidden="1">{"via1",#N/A,TRUE,"general";"via2",#N/A,TRUE,"general";"via3",#N/A,TRUE,"general"}</definedName>
    <definedName name="______t4" localSheetId="16" hidden="1">{"via1",#N/A,TRUE,"general";"via2",#N/A,TRUE,"general";"via3",#N/A,TRUE,"general"}</definedName>
    <definedName name="______t4" localSheetId="17" hidden="1">{"via1",#N/A,TRUE,"general";"via2",#N/A,TRUE,"general";"via3",#N/A,TRUE,"general"}</definedName>
    <definedName name="______t4" localSheetId="13" hidden="1">{"via1",#N/A,TRUE,"general";"via2",#N/A,TRUE,"general";"via3",#N/A,TRUE,"general"}</definedName>
    <definedName name="______t4" localSheetId="15" hidden="1">{"via1",#N/A,TRUE,"general";"via2",#N/A,TRUE,"general";"via3",#N/A,TRUE,"general"}</definedName>
    <definedName name="______t4" hidden="1">{"via1",#N/A,TRUE,"general";"via2",#N/A,TRUE,"general";"via3",#N/A,TRUE,"general"}</definedName>
    <definedName name="______t5" localSheetId="14" hidden="1">{"TAB1",#N/A,TRUE,"GENERAL";"TAB2",#N/A,TRUE,"GENERAL";"TAB3",#N/A,TRUE,"GENERAL";"TAB4",#N/A,TRUE,"GENERAL";"TAB5",#N/A,TRUE,"GENERAL"}</definedName>
    <definedName name="______t5" localSheetId="16" hidden="1">{"TAB1",#N/A,TRUE,"GENERAL";"TAB2",#N/A,TRUE,"GENERAL";"TAB3",#N/A,TRUE,"GENERAL";"TAB4",#N/A,TRUE,"GENERAL";"TAB5",#N/A,TRUE,"GENERAL"}</definedName>
    <definedName name="______t5" localSheetId="17" hidden="1">{"TAB1",#N/A,TRUE,"GENERAL";"TAB2",#N/A,TRUE,"GENERAL";"TAB3",#N/A,TRUE,"GENERAL";"TAB4",#N/A,TRUE,"GENERAL";"TAB5",#N/A,TRUE,"GENERAL"}</definedName>
    <definedName name="______t5" localSheetId="13" hidden="1">{"TAB1",#N/A,TRUE,"GENERAL";"TAB2",#N/A,TRUE,"GENERAL";"TAB3",#N/A,TRUE,"GENERAL";"TAB4",#N/A,TRUE,"GENERAL";"TAB5",#N/A,TRUE,"GENERAL"}</definedName>
    <definedName name="______t5" localSheetId="15" hidden="1">{"TAB1",#N/A,TRUE,"GENERAL";"TAB2",#N/A,TRUE,"GENERAL";"TAB3",#N/A,TRUE,"GENERAL";"TAB4",#N/A,TRUE,"GENERAL";"TAB5",#N/A,TRUE,"GENERAL"}</definedName>
    <definedName name="______t5" hidden="1">{"TAB1",#N/A,TRUE,"GENERAL";"TAB2",#N/A,TRUE,"GENERAL";"TAB3",#N/A,TRUE,"GENERAL";"TAB4",#N/A,TRUE,"GENERAL";"TAB5",#N/A,TRUE,"GENERAL"}</definedName>
    <definedName name="______t6" localSheetId="14" hidden="1">{"via1",#N/A,TRUE,"general";"via2",#N/A,TRUE,"general";"via3",#N/A,TRUE,"general"}</definedName>
    <definedName name="______t6" localSheetId="16" hidden="1">{"via1",#N/A,TRUE,"general";"via2",#N/A,TRUE,"general";"via3",#N/A,TRUE,"general"}</definedName>
    <definedName name="______t6" localSheetId="17" hidden="1">{"via1",#N/A,TRUE,"general";"via2",#N/A,TRUE,"general";"via3",#N/A,TRUE,"general"}</definedName>
    <definedName name="______t6" localSheetId="13" hidden="1">{"via1",#N/A,TRUE,"general";"via2",#N/A,TRUE,"general";"via3",#N/A,TRUE,"general"}</definedName>
    <definedName name="______t6" localSheetId="15" hidden="1">{"via1",#N/A,TRUE,"general";"via2",#N/A,TRUE,"general";"via3",#N/A,TRUE,"general"}</definedName>
    <definedName name="______t6" hidden="1">{"via1",#N/A,TRUE,"general";"via2",#N/A,TRUE,"general";"via3",#N/A,TRUE,"general"}</definedName>
    <definedName name="______t66" localSheetId="14" hidden="1">{"TAB1",#N/A,TRUE,"GENERAL";"TAB2",#N/A,TRUE,"GENERAL";"TAB3",#N/A,TRUE,"GENERAL";"TAB4",#N/A,TRUE,"GENERAL";"TAB5",#N/A,TRUE,"GENERAL"}</definedName>
    <definedName name="______t66" localSheetId="16" hidden="1">{"TAB1",#N/A,TRUE,"GENERAL";"TAB2",#N/A,TRUE,"GENERAL";"TAB3",#N/A,TRUE,"GENERAL";"TAB4",#N/A,TRUE,"GENERAL";"TAB5",#N/A,TRUE,"GENERAL"}</definedName>
    <definedName name="______t66" localSheetId="17" hidden="1">{"TAB1",#N/A,TRUE,"GENERAL";"TAB2",#N/A,TRUE,"GENERAL";"TAB3",#N/A,TRUE,"GENERAL";"TAB4",#N/A,TRUE,"GENERAL";"TAB5",#N/A,TRUE,"GENERAL"}</definedName>
    <definedName name="______t66" localSheetId="13" hidden="1">{"TAB1",#N/A,TRUE,"GENERAL";"TAB2",#N/A,TRUE,"GENERAL";"TAB3",#N/A,TRUE,"GENERAL";"TAB4",#N/A,TRUE,"GENERAL";"TAB5",#N/A,TRUE,"GENERAL"}</definedName>
    <definedName name="______t66" localSheetId="15" hidden="1">{"TAB1",#N/A,TRUE,"GENERAL";"TAB2",#N/A,TRUE,"GENERAL";"TAB3",#N/A,TRUE,"GENERAL";"TAB4",#N/A,TRUE,"GENERAL";"TAB5",#N/A,TRUE,"GENERAL"}</definedName>
    <definedName name="______t66" hidden="1">{"TAB1",#N/A,TRUE,"GENERAL";"TAB2",#N/A,TRUE,"GENERAL";"TAB3",#N/A,TRUE,"GENERAL";"TAB4",#N/A,TRUE,"GENERAL";"TAB5",#N/A,TRUE,"GENERAL"}</definedName>
    <definedName name="______t7" localSheetId="14" hidden="1">{"via1",#N/A,TRUE,"general";"via2",#N/A,TRUE,"general";"via3",#N/A,TRUE,"general"}</definedName>
    <definedName name="______t7" localSheetId="16" hidden="1">{"via1",#N/A,TRUE,"general";"via2",#N/A,TRUE,"general";"via3",#N/A,TRUE,"general"}</definedName>
    <definedName name="______t7" localSheetId="17" hidden="1">{"via1",#N/A,TRUE,"general";"via2",#N/A,TRUE,"general";"via3",#N/A,TRUE,"general"}</definedName>
    <definedName name="______t7" localSheetId="13" hidden="1">{"via1",#N/A,TRUE,"general";"via2",#N/A,TRUE,"general";"via3",#N/A,TRUE,"general"}</definedName>
    <definedName name="______t7" localSheetId="15" hidden="1">{"via1",#N/A,TRUE,"general";"via2",#N/A,TRUE,"general";"via3",#N/A,TRUE,"general"}</definedName>
    <definedName name="______t7" hidden="1">{"via1",#N/A,TRUE,"general";"via2",#N/A,TRUE,"general";"via3",#N/A,TRUE,"general"}</definedName>
    <definedName name="______t77" localSheetId="14" hidden="1">{"TAB1",#N/A,TRUE,"GENERAL";"TAB2",#N/A,TRUE,"GENERAL";"TAB3",#N/A,TRUE,"GENERAL";"TAB4",#N/A,TRUE,"GENERAL";"TAB5",#N/A,TRUE,"GENERAL"}</definedName>
    <definedName name="______t77" localSheetId="16" hidden="1">{"TAB1",#N/A,TRUE,"GENERAL";"TAB2",#N/A,TRUE,"GENERAL";"TAB3",#N/A,TRUE,"GENERAL";"TAB4",#N/A,TRUE,"GENERAL";"TAB5",#N/A,TRUE,"GENERAL"}</definedName>
    <definedName name="______t77" localSheetId="17" hidden="1">{"TAB1",#N/A,TRUE,"GENERAL";"TAB2",#N/A,TRUE,"GENERAL";"TAB3",#N/A,TRUE,"GENERAL";"TAB4",#N/A,TRUE,"GENERAL";"TAB5",#N/A,TRUE,"GENERAL"}</definedName>
    <definedName name="______t77" localSheetId="13" hidden="1">{"TAB1",#N/A,TRUE,"GENERAL";"TAB2",#N/A,TRUE,"GENERAL";"TAB3",#N/A,TRUE,"GENERAL";"TAB4",#N/A,TRUE,"GENERAL";"TAB5",#N/A,TRUE,"GENERAL"}</definedName>
    <definedName name="______t77" localSheetId="15" hidden="1">{"TAB1",#N/A,TRUE,"GENERAL";"TAB2",#N/A,TRUE,"GENERAL";"TAB3",#N/A,TRUE,"GENERAL";"TAB4",#N/A,TRUE,"GENERAL";"TAB5",#N/A,TRUE,"GENERAL"}</definedName>
    <definedName name="______t77" hidden="1">{"TAB1",#N/A,TRUE,"GENERAL";"TAB2",#N/A,TRUE,"GENERAL";"TAB3",#N/A,TRUE,"GENERAL";"TAB4",#N/A,TRUE,"GENERAL";"TAB5",#N/A,TRUE,"GENERAL"}</definedName>
    <definedName name="______t8" localSheetId="14" hidden="1">{"TAB1",#N/A,TRUE,"GENERAL";"TAB2",#N/A,TRUE,"GENERAL";"TAB3",#N/A,TRUE,"GENERAL";"TAB4",#N/A,TRUE,"GENERAL";"TAB5",#N/A,TRUE,"GENERAL"}</definedName>
    <definedName name="______t8" localSheetId="16" hidden="1">{"TAB1",#N/A,TRUE,"GENERAL";"TAB2",#N/A,TRUE,"GENERAL";"TAB3",#N/A,TRUE,"GENERAL";"TAB4",#N/A,TRUE,"GENERAL";"TAB5",#N/A,TRUE,"GENERAL"}</definedName>
    <definedName name="______t8" localSheetId="17" hidden="1">{"TAB1",#N/A,TRUE,"GENERAL";"TAB2",#N/A,TRUE,"GENERAL";"TAB3",#N/A,TRUE,"GENERAL";"TAB4",#N/A,TRUE,"GENERAL";"TAB5",#N/A,TRUE,"GENERAL"}</definedName>
    <definedName name="______t8" localSheetId="13" hidden="1">{"TAB1",#N/A,TRUE,"GENERAL";"TAB2",#N/A,TRUE,"GENERAL";"TAB3",#N/A,TRUE,"GENERAL";"TAB4",#N/A,TRUE,"GENERAL";"TAB5",#N/A,TRUE,"GENERAL"}</definedName>
    <definedName name="______t8" localSheetId="15" hidden="1">{"TAB1",#N/A,TRUE,"GENERAL";"TAB2",#N/A,TRUE,"GENERAL";"TAB3",#N/A,TRUE,"GENERAL";"TAB4",#N/A,TRUE,"GENERAL";"TAB5",#N/A,TRUE,"GENERAL"}</definedName>
    <definedName name="______t8" hidden="1">{"TAB1",#N/A,TRUE,"GENERAL";"TAB2",#N/A,TRUE,"GENERAL";"TAB3",#N/A,TRUE,"GENERAL";"TAB4",#N/A,TRUE,"GENERAL";"TAB5",#N/A,TRUE,"GENERAL"}</definedName>
    <definedName name="______t88" localSheetId="14" hidden="1">{"via1",#N/A,TRUE,"general";"via2",#N/A,TRUE,"general";"via3",#N/A,TRUE,"general"}</definedName>
    <definedName name="______t88" localSheetId="16" hidden="1">{"via1",#N/A,TRUE,"general";"via2",#N/A,TRUE,"general";"via3",#N/A,TRUE,"general"}</definedName>
    <definedName name="______t88" localSheetId="17" hidden="1">{"via1",#N/A,TRUE,"general";"via2",#N/A,TRUE,"general";"via3",#N/A,TRUE,"general"}</definedName>
    <definedName name="______t88" localSheetId="13" hidden="1">{"via1",#N/A,TRUE,"general";"via2",#N/A,TRUE,"general";"via3",#N/A,TRUE,"general"}</definedName>
    <definedName name="______t88" localSheetId="15" hidden="1">{"via1",#N/A,TRUE,"general";"via2",#N/A,TRUE,"general";"via3",#N/A,TRUE,"general"}</definedName>
    <definedName name="______t88" hidden="1">{"via1",#N/A,TRUE,"general";"via2",#N/A,TRUE,"general";"via3",#N/A,TRUE,"general"}</definedName>
    <definedName name="______t9" localSheetId="14" hidden="1">{"TAB1",#N/A,TRUE,"GENERAL";"TAB2",#N/A,TRUE,"GENERAL";"TAB3",#N/A,TRUE,"GENERAL";"TAB4",#N/A,TRUE,"GENERAL";"TAB5",#N/A,TRUE,"GENERAL"}</definedName>
    <definedName name="______t9" localSheetId="16" hidden="1">{"TAB1",#N/A,TRUE,"GENERAL";"TAB2",#N/A,TRUE,"GENERAL";"TAB3",#N/A,TRUE,"GENERAL";"TAB4",#N/A,TRUE,"GENERAL";"TAB5",#N/A,TRUE,"GENERAL"}</definedName>
    <definedName name="______t9" localSheetId="17" hidden="1">{"TAB1",#N/A,TRUE,"GENERAL";"TAB2",#N/A,TRUE,"GENERAL";"TAB3",#N/A,TRUE,"GENERAL";"TAB4",#N/A,TRUE,"GENERAL";"TAB5",#N/A,TRUE,"GENERAL"}</definedName>
    <definedName name="______t9" localSheetId="13" hidden="1">{"TAB1",#N/A,TRUE,"GENERAL";"TAB2",#N/A,TRUE,"GENERAL";"TAB3",#N/A,TRUE,"GENERAL";"TAB4",#N/A,TRUE,"GENERAL";"TAB5",#N/A,TRUE,"GENERAL"}</definedName>
    <definedName name="______t9" localSheetId="15" hidden="1">{"TAB1",#N/A,TRUE,"GENERAL";"TAB2",#N/A,TRUE,"GENERAL";"TAB3",#N/A,TRUE,"GENERAL";"TAB4",#N/A,TRUE,"GENERAL";"TAB5",#N/A,TRUE,"GENERAL"}</definedName>
    <definedName name="______t9" hidden="1">{"TAB1",#N/A,TRUE,"GENERAL";"TAB2",#N/A,TRUE,"GENERAL";"TAB3",#N/A,TRUE,"GENERAL";"TAB4",#N/A,TRUE,"GENERAL";"TAB5",#N/A,TRUE,"GENERAL"}</definedName>
    <definedName name="______t99" localSheetId="14" hidden="1">{"via1",#N/A,TRUE,"general";"via2",#N/A,TRUE,"general";"via3",#N/A,TRUE,"general"}</definedName>
    <definedName name="______t99" localSheetId="16" hidden="1">{"via1",#N/A,TRUE,"general";"via2",#N/A,TRUE,"general";"via3",#N/A,TRUE,"general"}</definedName>
    <definedName name="______t99" localSheetId="17" hidden="1">{"via1",#N/A,TRUE,"general";"via2",#N/A,TRUE,"general";"via3",#N/A,TRUE,"general"}</definedName>
    <definedName name="______t99" localSheetId="13" hidden="1">{"via1",#N/A,TRUE,"general";"via2",#N/A,TRUE,"general";"via3",#N/A,TRUE,"general"}</definedName>
    <definedName name="______t99" localSheetId="15" hidden="1">{"via1",#N/A,TRUE,"general";"via2",#N/A,TRUE,"general";"via3",#N/A,TRUE,"general"}</definedName>
    <definedName name="______t99" hidden="1">{"via1",#N/A,TRUE,"general";"via2",#N/A,TRUE,"general";"via3",#N/A,TRUE,"general"}</definedName>
    <definedName name="______TEP44">#REF!</definedName>
    <definedName name="______THF12" localSheetId="3">#REF!</definedName>
    <definedName name="______THF12">#REF!</definedName>
    <definedName name="______TPE1132" localSheetId="3">#REF!</definedName>
    <definedName name="______TPE1132">#REF!</definedName>
    <definedName name="______TPE12" localSheetId="3">#REF!</definedName>
    <definedName name="______TPE12" localSheetId="30">#REF!</definedName>
    <definedName name="______TPE12" localSheetId="31">#REF!</definedName>
    <definedName name="______TPE12" localSheetId="29">#REF!</definedName>
    <definedName name="______TPE12">#REF!</definedName>
    <definedName name="______TPE1331" localSheetId="3">#REF!</definedName>
    <definedName name="______TPE1331">#REF!</definedName>
    <definedName name="______TPE1702" localSheetId="3">#REF!</definedName>
    <definedName name="______TPE1702">#REF!</definedName>
    <definedName name="______TPE1703" localSheetId="3">#REF!</definedName>
    <definedName name="______TPE1703">#REF!</definedName>
    <definedName name="______TPE1704" localSheetId="3">#REF!</definedName>
    <definedName name="______TPE1704">#REF!</definedName>
    <definedName name="______TPE1706">#REF!</definedName>
    <definedName name="______TPE1708">#REF!</definedName>
    <definedName name="______TPE1710">#REF!</definedName>
    <definedName name="______TPE1735">#REF!</definedName>
    <definedName name="______TPE1763">#REF!</definedName>
    <definedName name="______TPE1790">#REF!</definedName>
    <definedName name="______TPE8016">#REF!</definedName>
    <definedName name="______TPE8020">#REF!</definedName>
    <definedName name="______TPE8025">#REF!</definedName>
    <definedName name="______TPF12">#REF!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UZ22" localSheetId="3">#REF!</definedName>
    <definedName name="______TUZ22">#REF!</definedName>
    <definedName name="______TUZ36" localSheetId="3">#REF!</definedName>
    <definedName name="______TUZ36">#REF!</definedName>
    <definedName name="______TZ2110">#REF!</definedName>
    <definedName name="______TZ212">#REF!</definedName>
    <definedName name="______TZ213">#REF!</definedName>
    <definedName name="______TZ214">#REF!</definedName>
    <definedName name="______TZ216">#REF!</definedName>
    <definedName name="______TZ262">#REF!</definedName>
    <definedName name="______TZ268">#REF!</definedName>
    <definedName name="______TZ323" localSheetId="3">#REF!</definedName>
    <definedName name="______TZ323">#REF!</definedName>
    <definedName name="______TZ324" localSheetId="3">#REF!</definedName>
    <definedName name="______TZ324">#REF!</definedName>
    <definedName name="______TZ32510">#REF!</definedName>
    <definedName name="______u4" localSheetId="14" hidden="1">{"TAB1",#N/A,TRUE,"GENERAL";"TAB2",#N/A,TRUE,"GENERAL";"TAB3",#N/A,TRUE,"GENERAL";"TAB4",#N/A,TRUE,"GENERAL";"TAB5",#N/A,TRUE,"GENERAL"}</definedName>
    <definedName name="______u4" localSheetId="16" hidden="1">{"TAB1",#N/A,TRUE,"GENERAL";"TAB2",#N/A,TRUE,"GENERAL";"TAB3",#N/A,TRUE,"GENERAL";"TAB4",#N/A,TRUE,"GENERAL";"TAB5",#N/A,TRUE,"GENERAL"}</definedName>
    <definedName name="______u4" localSheetId="17" hidden="1">{"TAB1",#N/A,TRUE,"GENERAL";"TAB2",#N/A,TRUE,"GENERAL";"TAB3",#N/A,TRUE,"GENERAL";"TAB4",#N/A,TRUE,"GENERAL";"TAB5",#N/A,TRUE,"GENERAL"}</definedName>
    <definedName name="______u4" localSheetId="13" hidden="1">{"TAB1",#N/A,TRUE,"GENERAL";"TAB2",#N/A,TRUE,"GENERAL";"TAB3",#N/A,TRUE,"GENERAL";"TAB4",#N/A,TRUE,"GENERAL";"TAB5",#N/A,TRUE,"GENERAL"}</definedName>
    <definedName name="______u4" localSheetId="15" hidden="1">{"TAB1",#N/A,TRUE,"GENERAL";"TAB2",#N/A,TRUE,"GENERAL";"TAB3",#N/A,TRUE,"GENERAL";"TAB4",#N/A,TRUE,"GENERAL";"TAB5",#N/A,TRUE,"GENERAL"}</definedName>
    <definedName name="______u4" hidden="1">{"TAB1",#N/A,TRUE,"GENERAL";"TAB2",#N/A,TRUE,"GENERAL";"TAB3",#N/A,TRUE,"GENERAL";"TAB4",#N/A,TRUE,"GENERAL";"TAB5",#N/A,TRUE,"GENERAL"}</definedName>
    <definedName name="______u5" localSheetId="14" hidden="1">{"TAB1",#N/A,TRUE,"GENERAL";"TAB2",#N/A,TRUE,"GENERAL";"TAB3",#N/A,TRUE,"GENERAL";"TAB4",#N/A,TRUE,"GENERAL";"TAB5",#N/A,TRUE,"GENERAL"}</definedName>
    <definedName name="______u5" localSheetId="16" hidden="1">{"TAB1",#N/A,TRUE,"GENERAL";"TAB2",#N/A,TRUE,"GENERAL";"TAB3",#N/A,TRUE,"GENERAL";"TAB4",#N/A,TRUE,"GENERAL";"TAB5",#N/A,TRUE,"GENERAL"}</definedName>
    <definedName name="______u5" localSheetId="17" hidden="1">{"TAB1",#N/A,TRUE,"GENERAL";"TAB2",#N/A,TRUE,"GENERAL";"TAB3",#N/A,TRUE,"GENERAL";"TAB4",#N/A,TRUE,"GENERAL";"TAB5",#N/A,TRUE,"GENERAL"}</definedName>
    <definedName name="______u5" localSheetId="13" hidden="1">{"TAB1",#N/A,TRUE,"GENERAL";"TAB2",#N/A,TRUE,"GENERAL";"TAB3",#N/A,TRUE,"GENERAL";"TAB4",#N/A,TRUE,"GENERAL";"TAB5",#N/A,TRUE,"GENERAL"}</definedName>
    <definedName name="______u5" localSheetId="15" hidden="1">{"TAB1",#N/A,TRUE,"GENERAL";"TAB2",#N/A,TRUE,"GENERAL";"TAB3",#N/A,TRUE,"GENERAL";"TAB4",#N/A,TRUE,"GENERAL";"TAB5",#N/A,TRUE,"GENERAL"}</definedName>
    <definedName name="______u5" hidden="1">{"TAB1",#N/A,TRUE,"GENERAL";"TAB2",#N/A,TRUE,"GENERAL";"TAB3",#N/A,TRUE,"GENERAL";"TAB4",#N/A,TRUE,"GENERAL";"TAB5",#N/A,TRUE,"GENERAL"}</definedName>
    <definedName name="______u6" localSheetId="14" hidden="1">{"TAB1",#N/A,TRUE,"GENERAL";"TAB2",#N/A,TRUE,"GENERAL";"TAB3",#N/A,TRUE,"GENERAL";"TAB4",#N/A,TRUE,"GENERAL";"TAB5",#N/A,TRUE,"GENERAL"}</definedName>
    <definedName name="______u6" localSheetId="16" hidden="1">{"TAB1",#N/A,TRUE,"GENERAL";"TAB2",#N/A,TRUE,"GENERAL";"TAB3",#N/A,TRUE,"GENERAL";"TAB4",#N/A,TRUE,"GENERAL";"TAB5",#N/A,TRUE,"GENERAL"}</definedName>
    <definedName name="______u6" localSheetId="17" hidden="1">{"TAB1",#N/A,TRUE,"GENERAL";"TAB2",#N/A,TRUE,"GENERAL";"TAB3",#N/A,TRUE,"GENERAL";"TAB4",#N/A,TRUE,"GENERAL";"TAB5",#N/A,TRUE,"GENERAL"}</definedName>
    <definedName name="______u6" localSheetId="13" hidden="1">{"TAB1",#N/A,TRUE,"GENERAL";"TAB2",#N/A,TRUE,"GENERAL";"TAB3",#N/A,TRUE,"GENERAL";"TAB4",#N/A,TRUE,"GENERAL";"TAB5",#N/A,TRUE,"GENERAL"}</definedName>
    <definedName name="______u6" localSheetId="15" hidden="1">{"TAB1",#N/A,TRUE,"GENERAL";"TAB2",#N/A,TRUE,"GENERAL";"TAB3",#N/A,TRUE,"GENERAL";"TAB4",#N/A,TRUE,"GENERAL";"TAB5",#N/A,TRUE,"GENERAL"}</definedName>
    <definedName name="______u6" hidden="1">{"TAB1",#N/A,TRUE,"GENERAL";"TAB2",#N/A,TRUE,"GENERAL";"TAB3",#N/A,TRUE,"GENERAL";"TAB4",#N/A,TRUE,"GENERAL";"TAB5",#N/A,TRUE,"GENERAL"}</definedName>
    <definedName name="______u7" localSheetId="14" hidden="1">{"via1",#N/A,TRUE,"general";"via2",#N/A,TRUE,"general";"via3",#N/A,TRUE,"general"}</definedName>
    <definedName name="______u7" localSheetId="16" hidden="1">{"via1",#N/A,TRUE,"general";"via2",#N/A,TRUE,"general";"via3",#N/A,TRUE,"general"}</definedName>
    <definedName name="______u7" localSheetId="17" hidden="1">{"via1",#N/A,TRUE,"general";"via2",#N/A,TRUE,"general";"via3",#N/A,TRUE,"general"}</definedName>
    <definedName name="______u7" localSheetId="13" hidden="1">{"via1",#N/A,TRUE,"general";"via2",#N/A,TRUE,"general";"via3",#N/A,TRUE,"general"}</definedName>
    <definedName name="______u7" localSheetId="15" hidden="1">{"via1",#N/A,TRUE,"general";"via2",#N/A,TRUE,"general";"via3",#N/A,TRUE,"general"}</definedName>
    <definedName name="______u7" hidden="1">{"via1",#N/A,TRUE,"general";"via2",#N/A,TRUE,"general";"via3",#N/A,TRUE,"general"}</definedName>
    <definedName name="______u8" localSheetId="14" hidden="1">{"TAB1",#N/A,TRUE,"GENERAL";"TAB2",#N/A,TRUE,"GENERAL";"TAB3",#N/A,TRUE,"GENERAL";"TAB4",#N/A,TRUE,"GENERAL";"TAB5",#N/A,TRUE,"GENERAL"}</definedName>
    <definedName name="______u8" localSheetId="16" hidden="1">{"TAB1",#N/A,TRUE,"GENERAL";"TAB2",#N/A,TRUE,"GENERAL";"TAB3",#N/A,TRUE,"GENERAL";"TAB4",#N/A,TRUE,"GENERAL";"TAB5",#N/A,TRUE,"GENERAL"}</definedName>
    <definedName name="______u8" localSheetId="17" hidden="1">{"TAB1",#N/A,TRUE,"GENERAL";"TAB2",#N/A,TRUE,"GENERAL";"TAB3",#N/A,TRUE,"GENERAL";"TAB4",#N/A,TRUE,"GENERAL";"TAB5",#N/A,TRUE,"GENERAL"}</definedName>
    <definedName name="______u8" localSheetId="13" hidden="1">{"TAB1",#N/A,TRUE,"GENERAL";"TAB2",#N/A,TRUE,"GENERAL";"TAB3",#N/A,TRUE,"GENERAL";"TAB4",#N/A,TRUE,"GENERAL";"TAB5",#N/A,TRUE,"GENERAL"}</definedName>
    <definedName name="______u8" localSheetId="15" hidden="1">{"TAB1",#N/A,TRUE,"GENERAL";"TAB2",#N/A,TRUE,"GENERAL";"TAB3",#N/A,TRUE,"GENERAL";"TAB4",#N/A,TRUE,"GENERAL";"TAB5",#N/A,TRUE,"GENERAL"}</definedName>
    <definedName name="______u8" hidden="1">{"TAB1",#N/A,TRUE,"GENERAL";"TAB2",#N/A,TRUE,"GENERAL";"TAB3",#N/A,TRUE,"GENERAL";"TAB4",#N/A,TRUE,"GENERAL";"TAB5",#N/A,TRUE,"GENERAL"}</definedName>
    <definedName name="______u9" localSheetId="14" hidden="1">{"TAB1",#N/A,TRUE,"GENERAL";"TAB2",#N/A,TRUE,"GENERAL";"TAB3",#N/A,TRUE,"GENERAL";"TAB4",#N/A,TRUE,"GENERAL";"TAB5",#N/A,TRUE,"GENERAL"}</definedName>
    <definedName name="______u9" localSheetId="16" hidden="1">{"TAB1",#N/A,TRUE,"GENERAL";"TAB2",#N/A,TRUE,"GENERAL";"TAB3",#N/A,TRUE,"GENERAL";"TAB4",#N/A,TRUE,"GENERAL";"TAB5",#N/A,TRUE,"GENERAL"}</definedName>
    <definedName name="______u9" localSheetId="17" hidden="1">{"TAB1",#N/A,TRUE,"GENERAL";"TAB2",#N/A,TRUE,"GENERAL";"TAB3",#N/A,TRUE,"GENERAL";"TAB4",#N/A,TRUE,"GENERAL";"TAB5",#N/A,TRUE,"GENERAL"}</definedName>
    <definedName name="______u9" localSheetId="13" hidden="1">{"TAB1",#N/A,TRUE,"GENERAL";"TAB2",#N/A,TRUE,"GENERAL";"TAB3",#N/A,TRUE,"GENERAL";"TAB4",#N/A,TRUE,"GENERAL";"TAB5",#N/A,TRUE,"GENERAL"}</definedName>
    <definedName name="______u9" localSheetId="15" hidden="1">{"TAB1",#N/A,TRUE,"GENERAL";"TAB2",#N/A,TRUE,"GENERAL";"TAB3",#N/A,TRUE,"GENERAL";"TAB4",#N/A,TRUE,"GENERAL";"TAB5",#N/A,TRUE,"GENERAL"}</definedName>
    <definedName name="______u9" hidden="1">{"TAB1",#N/A,TRUE,"GENERAL";"TAB2",#N/A,TRUE,"GENERAL";"TAB3",#N/A,TRUE,"GENERAL";"TAB4",#N/A,TRUE,"GENERAL";"TAB5",#N/A,TRUE,"GENERAL"}</definedName>
    <definedName name="______ur7" localSheetId="14" hidden="1">{"TAB1",#N/A,TRUE,"GENERAL";"TAB2",#N/A,TRUE,"GENERAL";"TAB3",#N/A,TRUE,"GENERAL";"TAB4",#N/A,TRUE,"GENERAL";"TAB5",#N/A,TRUE,"GENERAL"}</definedName>
    <definedName name="______ur7" localSheetId="16" hidden="1">{"TAB1",#N/A,TRUE,"GENERAL";"TAB2",#N/A,TRUE,"GENERAL";"TAB3",#N/A,TRUE,"GENERAL";"TAB4",#N/A,TRUE,"GENERAL";"TAB5",#N/A,TRUE,"GENERAL"}</definedName>
    <definedName name="______ur7" localSheetId="17" hidden="1">{"TAB1",#N/A,TRUE,"GENERAL";"TAB2",#N/A,TRUE,"GENERAL";"TAB3",#N/A,TRUE,"GENERAL";"TAB4",#N/A,TRUE,"GENERAL";"TAB5",#N/A,TRUE,"GENERAL"}</definedName>
    <definedName name="______ur7" localSheetId="13" hidden="1">{"TAB1",#N/A,TRUE,"GENERAL";"TAB2",#N/A,TRUE,"GENERAL";"TAB3",#N/A,TRUE,"GENERAL";"TAB4",#N/A,TRUE,"GENERAL";"TAB5",#N/A,TRUE,"GENERAL"}</definedName>
    <definedName name="______ur7" localSheetId="15" hidden="1">{"TAB1",#N/A,TRUE,"GENERAL";"TAB2",#N/A,TRUE,"GENERAL";"TAB3",#N/A,TRUE,"GENERAL";"TAB4",#N/A,TRUE,"GENERAL";"TAB5",#N/A,TRUE,"GENERAL"}</definedName>
    <definedName name="______ur7" hidden="1">{"TAB1",#N/A,TRUE,"GENERAL";"TAB2",#N/A,TRUE,"GENERAL";"TAB3",#N/A,TRUE,"GENERAL";"TAB4",#N/A,TRUE,"GENERAL";"TAB5",#N/A,TRUE,"GENERAL"}</definedName>
    <definedName name="______v2" localSheetId="14" hidden="1">{"via1",#N/A,TRUE,"general";"via2",#N/A,TRUE,"general";"via3",#N/A,TRUE,"general"}</definedName>
    <definedName name="______v2" localSheetId="16" hidden="1">{"via1",#N/A,TRUE,"general";"via2",#N/A,TRUE,"general";"via3",#N/A,TRUE,"general"}</definedName>
    <definedName name="______v2" localSheetId="17" hidden="1">{"via1",#N/A,TRUE,"general";"via2",#N/A,TRUE,"general";"via3",#N/A,TRUE,"general"}</definedName>
    <definedName name="______v2" localSheetId="13" hidden="1">{"via1",#N/A,TRUE,"general";"via2",#N/A,TRUE,"general";"via3",#N/A,TRUE,"general"}</definedName>
    <definedName name="______v2" localSheetId="15" hidden="1">{"via1",#N/A,TRUE,"general";"via2",#N/A,TRUE,"general";"via3",#N/A,TRUE,"general"}</definedName>
    <definedName name="______v2" hidden="1">{"via1",#N/A,TRUE,"general";"via2",#N/A,TRUE,"general";"via3",#N/A,TRUE,"general"}</definedName>
    <definedName name="______v3" localSheetId="14" hidden="1">{"TAB1",#N/A,TRUE,"GENERAL";"TAB2",#N/A,TRUE,"GENERAL";"TAB3",#N/A,TRUE,"GENERAL";"TAB4",#N/A,TRUE,"GENERAL";"TAB5",#N/A,TRUE,"GENERAL"}</definedName>
    <definedName name="______v3" localSheetId="16" hidden="1">{"TAB1",#N/A,TRUE,"GENERAL";"TAB2",#N/A,TRUE,"GENERAL";"TAB3",#N/A,TRUE,"GENERAL";"TAB4",#N/A,TRUE,"GENERAL";"TAB5",#N/A,TRUE,"GENERAL"}</definedName>
    <definedName name="______v3" localSheetId="17" hidden="1">{"TAB1",#N/A,TRUE,"GENERAL";"TAB2",#N/A,TRUE,"GENERAL";"TAB3",#N/A,TRUE,"GENERAL";"TAB4",#N/A,TRUE,"GENERAL";"TAB5",#N/A,TRUE,"GENERAL"}</definedName>
    <definedName name="______v3" localSheetId="13" hidden="1">{"TAB1",#N/A,TRUE,"GENERAL";"TAB2",#N/A,TRUE,"GENERAL";"TAB3",#N/A,TRUE,"GENERAL";"TAB4",#N/A,TRUE,"GENERAL";"TAB5",#N/A,TRUE,"GENERAL"}</definedName>
    <definedName name="______v3" localSheetId="15" hidden="1">{"TAB1",#N/A,TRUE,"GENERAL";"TAB2",#N/A,TRUE,"GENERAL";"TAB3",#N/A,TRUE,"GENERAL";"TAB4",#N/A,TRUE,"GENERAL";"TAB5",#N/A,TRUE,"GENERAL"}</definedName>
    <definedName name="______v3" hidden="1">{"TAB1",#N/A,TRUE,"GENERAL";"TAB2",#N/A,TRUE,"GENERAL";"TAB3",#N/A,TRUE,"GENERAL";"TAB4",#N/A,TRUE,"GENERAL";"TAB5",#N/A,TRUE,"GENERAL"}</definedName>
    <definedName name="______v4" localSheetId="14" hidden="1">{"TAB1",#N/A,TRUE,"GENERAL";"TAB2",#N/A,TRUE,"GENERAL";"TAB3",#N/A,TRUE,"GENERAL";"TAB4",#N/A,TRUE,"GENERAL";"TAB5",#N/A,TRUE,"GENERAL"}</definedName>
    <definedName name="______v4" localSheetId="16" hidden="1">{"TAB1",#N/A,TRUE,"GENERAL";"TAB2",#N/A,TRUE,"GENERAL";"TAB3",#N/A,TRUE,"GENERAL";"TAB4",#N/A,TRUE,"GENERAL";"TAB5",#N/A,TRUE,"GENERAL"}</definedName>
    <definedName name="______v4" localSheetId="17" hidden="1">{"TAB1",#N/A,TRUE,"GENERAL";"TAB2",#N/A,TRUE,"GENERAL";"TAB3",#N/A,TRUE,"GENERAL";"TAB4",#N/A,TRUE,"GENERAL";"TAB5",#N/A,TRUE,"GENERAL"}</definedName>
    <definedName name="______v4" localSheetId="13" hidden="1">{"TAB1",#N/A,TRUE,"GENERAL";"TAB2",#N/A,TRUE,"GENERAL";"TAB3",#N/A,TRUE,"GENERAL";"TAB4",#N/A,TRUE,"GENERAL";"TAB5",#N/A,TRUE,"GENERAL"}</definedName>
    <definedName name="______v4" localSheetId="15" hidden="1">{"TAB1",#N/A,TRUE,"GENERAL";"TAB2",#N/A,TRUE,"GENERAL";"TAB3",#N/A,TRUE,"GENERAL";"TAB4",#N/A,TRUE,"GENERAL";"TAB5",#N/A,TRUE,"GENERAL"}</definedName>
    <definedName name="______v4" hidden="1">{"TAB1",#N/A,TRUE,"GENERAL";"TAB2",#N/A,TRUE,"GENERAL";"TAB3",#N/A,TRUE,"GENERAL";"TAB4",#N/A,TRUE,"GENERAL";"TAB5",#N/A,TRUE,"GENERAL"}</definedName>
    <definedName name="______v5" localSheetId="14" hidden="1">{"TAB1",#N/A,TRUE,"GENERAL";"TAB2",#N/A,TRUE,"GENERAL";"TAB3",#N/A,TRUE,"GENERAL";"TAB4",#N/A,TRUE,"GENERAL";"TAB5",#N/A,TRUE,"GENERAL"}</definedName>
    <definedName name="______v5" localSheetId="16" hidden="1">{"TAB1",#N/A,TRUE,"GENERAL";"TAB2",#N/A,TRUE,"GENERAL";"TAB3",#N/A,TRUE,"GENERAL";"TAB4",#N/A,TRUE,"GENERAL";"TAB5",#N/A,TRUE,"GENERAL"}</definedName>
    <definedName name="______v5" localSheetId="17" hidden="1">{"TAB1",#N/A,TRUE,"GENERAL";"TAB2",#N/A,TRUE,"GENERAL";"TAB3",#N/A,TRUE,"GENERAL";"TAB4",#N/A,TRUE,"GENERAL";"TAB5",#N/A,TRUE,"GENERAL"}</definedName>
    <definedName name="______v5" localSheetId="13" hidden="1">{"TAB1",#N/A,TRUE,"GENERAL";"TAB2",#N/A,TRUE,"GENERAL";"TAB3",#N/A,TRUE,"GENERAL";"TAB4",#N/A,TRUE,"GENERAL";"TAB5",#N/A,TRUE,"GENERAL"}</definedName>
    <definedName name="______v5" localSheetId="15" hidden="1">{"TAB1",#N/A,TRUE,"GENERAL";"TAB2",#N/A,TRUE,"GENERAL";"TAB3",#N/A,TRUE,"GENERAL";"TAB4",#N/A,TRUE,"GENERAL";"TAB5",#N/A,TRUE,"GENERAL"}</definedName>
    <definedName name="______v5" hidden="1">{"TAB1",#N/A,TRUE,"GENERAL";"TAB2",#N/A,TRUE,"GENERAL";"TAB3",#N/A,TRUE,"GENERAL";"TAB4",#N/A,TRUE,"GENERAL";"TAB5",#N/A,TRUE,"GENERAL"}</definedName>
    <definedName name="______v6" localSheetId="14" hidden="1">{"TAB1",#N/A,TRUE,"GENERAL";"TAB2",#N/A,TRUE,"GENERAL";"TAB3",#N/A,TRUE,"GENERAL";"TAB4",#N/A,TRUE,"GENERAL";"TAB5",#N/A,TRUE,"GENERAL"}</definedName>
    <definedName name="______v6" localSheetId="16" hidden="1">{"TAB1",#N/A,TRUE,"GENERAL";"TAB2",#N/A,TRUE,"GENERAL";"TAB3",#N/A,TRUE,"GENERAL";"TAB4",#N/A,TRUE,"GENERAL";"TAB5",#N/A,TRUE,"GENERAL"}</definedName>
    <definedName name="______v6" localSheetId="17" hidden="1">{"TAB1",#N/A,TRUE,"GENERAL";"TAB2",#N/A,TRUE,"GENERAL";"TAB3",#N/A,TRUE,"GENERAL";"TAB4",#N/A,TRUE,"GENERAL";"TAB5",#N/A,TRUE,"GENERAL"}</definedName>
    <definedName name="______v6" localSheetId="13" hidden="1">{"TAB1",#N/A,TRUE,"GENERAL";"TAB2",#N/A,TRUE,"GENERAL";"TAB3",#N/A,TRUE,"GENERAL";"TAB4",#N/A,TRUE,"GENERAL";"TAB5",#N/A,TRUE,"GENERAL"}</definedName>
    <definedName name="______v6" localSheetId="15" hidden="1">{"TAB1",#N/A,TRUE,"GENERAL";"TAB2",#N/A,TRUE,"GENERAL";"TAB3",#N/A,TRUE,"GENERAL";"TAB4",#N/A,TRUE,"GENERAL";"TAB5",#N/A,TRUE,"GENERAL"}</definedName>
    <definedName name="______v6" hidden="1">{"TAB1",#N/A,TRUE,"GENERAL";"TAB2",#N/A,TRUE,"GENERAL";"TAB3",#N/A,TRUE,"GENERAL";"TAB4",#N/A,TRUE,"GENERAL";"TAB5",#N/A,TRUE,"GENERAL"}</definedName>
    <definedName name="______v7" localSheetId="14" hidden="1">{"via1",#N/A,TRUE,"general";"via2",#N/A,TRUE,"general";"via3",#N/A,TRUE,"general"}</definedName>
    <definedName name="______v7" localSheetId="16" hidden="1">{"via1",#N/A,TRUE,"general";"via2",#N/A,TRUE,"general";"via3",#N/A,TRUE,"general"}</definedName>
    <definedName name="______v7" localSheetId="17" hidden="1">{"via1",#N/A,TRUE,"general";"via2",#N/A,TRUE,"general";"via3",#N/A,TRUE,"general"}</definedName>
    <definedName name="______v7" localSheetId="13" hidden="1">{"via1",#N/A,TRUE,"general";"via2",#N/A,TRUE,"general";"via3",#N/A,TRUE,"general"}</definedName>
    <definedName name="______v7" localSheetId="15" hidden="1">{"via1",#N/A,TRUE,"general";"via2",#N/A,TRUE,"general";"via3",#N/A,TRUE,"general"}</definedName>
    <definedName name="______v7" hidden="1">{"via1",#N/A,TRUE,"general";"via2",#N/A,TRUE,"general";"via3",#N/A,TRUE,"general"}</definedName>
    <definedName name="______v8" localSheetId="14" hidden="1">{"TAB1",#N/A,TRUE,"GENERAL";"TAB2",#N/A,TRUE,"GENERAL";"TAB3",#N/A,TRUE,"GENERAL";"TAB4",#N/A,TRUE,"GENERAL";"TAB5",#N/A,TRUE,"GENERAL"}</definedName>
    <definedName name="______v8" localSheetId="16" hidden="1">{"TAB1",#N/A,TRUE,"GENERAL";"TAB2",#N/A,TRUE,"GENERAL";"TAB3",#N/A,TRUE,"GENERAL";"TAB4",#N/A,TRUE,"GENERAL";"TAB5",#N/A,TRUE,"GENERAL"}</definedName>
    <definedName name="______v8" localSheetId="17" hidden="1">{"TAB1",#N/A,TRUE,"GENERAL";"TAB2",#N/A,TRUE,"GENERAL";"TAB3",#N/A,TRUE,"GENERAL";"TAB4",#N/A,TRUE,"GENERAL";"TAB5",#N/A,TRUE,"GENERAL"}</definedName>
    <definedName name="______v8" localSheetId="13" hidden="1">{"TAB1",#N/A,TRUE,"GENERAL";"TAB2",#N/A,TRUE,"GENERAL";"TAB3",#N/A,TRUE,"GENERAL";"TAB4",#N/A,TRUE,"GENERAL";"TAB5",#N/A,TRUE,"GENERAL"}</definedName>
    <definedName name="______v8" localSheetId="15" hidden="1">{"TAB1",#N/A,TRUE,"GENERAL";"TAB2",#N/A,TRUE,"GENERAL";"TAB3",#N/A,TRUE,"GENERAL";"TAB4",#N/A,TRUE,"GENERAL";"TAB5",#N/A,TRUE,"GENERAL"}</definedName>
    <definedName name="______v8" hidden="1">{"TAB1",#N/A,TRUE,"GENERAL";"TAB2",#N/A,TRUE,"GENERAL";"TAB3",#N/A,TRUE,"GENERAL";"TAB4",#N/A,TRUE,"GENERAL";"TAB5",#N/A,TRUE,"GENERAL"}</definedName>
    <definedName name="______v9" localSheetId="14" hidden="1">{"TAB1",#N/A,TRUE,"GENERAL";"TAB2",#N/A,TRUE,"GENERAL";"TAB3",#N/A,TRUE,"GENERAL";"TAB4",#N/A,TRUE,"GENERAL";"TAB5",#N/A,TRUE,"GENERAL"}</definedName>
    <definedName name="______v9" localSheetId="16" hidden="1">{"TAB1",#N/A,TRUE,"GENERAL";"TAB2",#N/A,TRUE,"GENERAL";"TAB3",#N/A,TRUE,"GENERAL";"TAB4",#N/A,TRUE,"GENERAL";"TAB5",#N/A,TRUE,"GENERAL"}</definedName>
    <definedName name="______v9" localSheetId="17" hidden="1">{"TAB1",#N/A,TRUE,"GENERAL";"TAB2",#N/A,TRUE,"GENERAL";"TAB3",#N/A,TRUE,"GENERAL";"TAB4",#N/A,TRUE,"GENERAL";"TAB5",#N/A,TRUE,"GENERAL"}</definedName>
    <definedName name="______v9" localSheetId="13" hidden="1">{"TAB1",#N/A,TRUE,"GENERAL";"TAB2",#N/A,TRUE,"GENERAL";"TAB3",#N/A,TRUE,"GENERAL";"TAB4",#N/A,TRUE,"GENERAL";"TAB5",#N/A,TRUE,"GENERAL"}</definedName>
    <definedName name="______v9" localSheetId="15" hidden="1">{"TAB1",#N/A,TRUE,"GENERAL";"TAB2",#N/A,TRUE,"GENERAL";"TAB3",#N/A,TRUE,"GENERAL";"TAB4",#N/A,TRUE,"GENERAL";"TAB5",#N/A,TRUE,"GENERAL"}</definedName>
    <definedName name="______v9" hidden="1">{"TAB1",#N/A,TRUE,"GENERAL";"TAB2",#N/A,TRUE,"GENERAL";"TAB3",#N/A,TRUE,"GENERAL";"TAB4",#N/A,TRUE,"GENERAL";"TAB5",#N/A,TRUE,"GENERAL"}</definedName>
    <definedName name="______vfv4" localSheetId="14" hidden="1">{"via1",#N/A,TRUE,"general";"via2",#N/A,TRUE,"general";"via3",#N/A,TRUE,"general"}</definedName>
    <definedName name="______vfv4" localSheetId="16" hidden="1">{"via1",#N/A,TRUE,"general";"via2",#N/A,TRUE,"general";"via3",#N/A,TRUE,"general"}</definedName>
    <definedName name="______vfv4" localSheetId="17" hidden="1">{"via1",#N/A,TRUE,"general";"via2",#N/A,TRUE,"general";"via3",#N/A,TRUE,"general"}</definedName>
    <definedName name="______vfv4" localSheetId="13" hidden="1">{"via1",#N/A,TRUE,"general";"via2",#N/A,TRUE,"general";"via3",#N/A,TRUE,"general"}</definedName>
    <definedName name="______vfv4" localSheetId="15" hidden="1">{"via1",#N/A,TRUE,"general";"via2",#N/A,TRUE,"general";"via3",#N/A,TRUE,"general"}</definedName>
    <definedName name="______vfv4" hidden="1">{"via1",#N/A,TRUE,"general";"via2",#N/A,TRUE,"general";"via3",#N/A,TRUE,"general"}</definedName>
    <definedName name="______x1" localSheetId="14" hidden="1">{"TAB1",#N/A,TRUE,"GENERAL";"TAB2",#N/A,TRUE,"GENERAL";"TAB3",#N/A,TRUE,"GENERAL";"TAB4",#N/A,TRUE,"GENERAL";"TAB5",#N/A,TRUE,"GENERAL"}</definedName>
    <definedName name="______x1" localSheetId="16" hidden="1">{"TAB1",#N/A,TRUE,"GENERAL";"TAB2",#N/A,TRUE,"GENERAL";"TAB3",#N/A,TRUE,"GENERAL";"TAB4",#N/A,TRUE,"GENERAL";"TAB5",#N/A,TRUE,"GENERAL"}</definedName>
    <definedName name="______x1" localSheetId="17" hidden="1">{"TAB1",#N/A,TRUE,"GENERAL";"TAB2",#N/A,TRUE,"GENERAL";"TAB3",#N/A,TRUE,"GENERAL";"TAB4",#N/A,TRUE,"GENERAL";"TAB5",#N/A,TRUE,"GENERAL"}</definedName>
    <definedName name="______x1" localSheetId="13" hidden="1">{"TAB1",#N/A,TRUE,"GENERAL";"TAB2",#N/A,TRUE,"GENERAL";"TAB3",#N/A,TRUE,"GENERAL";"TAB4",#N/A,TRUE,"GENERAL";"TAB5",#N/A,TRUE,"GENERAL"}</definedName>
    <definedName name="______x1" localSheetId="15" hidden="1">{"TAB1",#N/A,TRUE,"GENERAL";"TAB2",#N/A,TRUE,"GENERAL";"TAB3",#N/A,TRUE,"GENERAL";"TAB4",#N/A,TRUE,"GENERAL";"TAB5",#N/A,TRUE,"GENERAL"}</definedName>
    <definedName name="______x1" hidden="1">{"TAB1",#N/A,TRUE,"GENERAL";"TAB2",#N/A,TRUE,"GENERAL";"TAB3",#N/A,TRUE,"GENERAL";"TAB4",#N/A,TRUE,"GENERAL";"TAB5",#N/A,TRUE,"GENERAL"}</definedName>
    <definedName name="______x2" localSheetId="14" hidden="1">{"via1",#N/A,TRUE,"general";"via2",#N/A,TRUE,"general";"via3",#N/A,TRUE,"general"}</definedName>
    <definedName name="______x2" localSheetId="16" hidden="1">{"via1",#N/A,TRUE,"general";"via2",#N/A,TRUE,"general";"via3",#N/A,TRUE,"general"}</definedName>
    <definedName name="______x2" localSheetId="17" hidden="1">{"via1",#N/A,TRUE,"general";"via2",#N/A,TRUE,"general";"via3",#N/A,TRUE,"general"}</definedName>
    <definedName name="______x2" localSheetId="13" hidden="1">{"via1",#N/A,TRUE,"general";"via2",#N/A,TRUE,"general";"via3",#N/A,TRUE,"general"}</definedName>
    <definedName name="______x2" localSheetId="15" hidden="1">{"via1",#N/A,TRUE,"general";"via2",#N/A,TRUE,"general";"via3",#N/A,TRUE,"general"}</definedName>
    <definedName name="______x2" hidden="1">{"via1",#N/A,TRUE,"general";"via2",#N/A,TRUE,"general";"via3",#N/A,TRUE,"general"}</definedName>
    <definedName name="______x3" localSheetId="14" hidden="1">{"via1",#N/A,TRUE,"general";"via2",#N/A,TRUE,"general";"via3",#N/A,TRUE,"general"}</definedName>
    <definedName name="______x3" localSheetId="16" hidden="1">{"via1",#N/A,TRUE,"general";"via2",#N/A,TRUE,"general";"via3",#N/A,TRUE,"general"}</definedName>
    <definedName name="______x3" localSheetId="17" hidden="1">{"via1",#N/A,TRUE,"general";"via2",#N/A,TRUE,"general";"via3",#N/A,TRUE,"general"}</definedName>
    <definedName name="______x3" localSheetId="13" hidden="1">{"via1",#N/A,TRUE,"general";"via2",#N/A,TRUE,"general";"via3",#N/A,TRUE,"general"}</definedName>
    <definedName name="______x3" localSheetId="15" hidden="1">{"via1",#N/A,TRUE,"general";"via2",#N/A,TRUE,"general";"via3",#N/A,TRUE,"general"}</definedName>
    <definedName name="______x3" hidden="1">{"via1",#N/A,TRUE,"general";"via2",#N/A,TRUE,"general";"via3",#N/A,TRUE,"general"}</definedName>
    <definedName name="______x4" localSheetId="14" hidden="1">{"via1",#N/A,TRUE,"general";"via2",#N/A,TRUE,"general";"via3",#N/A,TRUE,"general"}</definedName>
    <definedName name="______x4" localSheetId="16" hidden="1">{"via1",#N/A,TRUE,"general";"via2",#N/A,TRUE,"general";"via3",#N/A,TRUE,"general"}</definedName>
    <definedName name="______x4" localSheetId="17" hidden="1">{"via1",#N/A,TRUE,"general";"via2",#N/A,TRUE,"general";"via3",#N/A,TRUE,"general"}</definedName>
    <definedName name="______x4" localSheetId="13" hidden="1">{"via1",#N/A,TRUE,"general";"via2",#N/A,TRUE,"general";"via3",#N/A,TRUE,"general"}</definedName>
    <definedName name="______x4" localSheetId="15" hidden="1">{"via1",#N/A,TRUE,"general";"via2",#N/A,TRUE,"general";"via3",#N/A,TRUE,"general"}</definedName>
    <definedName name="______x4" hidden="1">{"via1",#N/A,TRUE,"general";"via2",#N/A,TRUE,"general";"via3",#N/A,TRUE,"general"}</definedName>
    <definedName name="______x5" localSheetId="14" hidden="1">{"TAB1",#N/A,TRUE,"GENERAL";"TAB2",#N/A,TRUE,"GENERAL";"TAB3",#N/A,TRUE,"GENERAL";"TAB4",#N/A,TRUE,"GENERAL";"TAB5",#N/A,TRUE,"GENERAL"}</definedName>
    <definedName name="______x5" localSheetId="16" hidden="1">{"TAB1",#N/A,TRUE,"GENERAL";"TAB2",#N/A,TRUE,"GENERAL";"TAB3",#N/A,TRUE,"GENERAL";"TAB4",#N/A,TRUE,"GENERAL";"TAB5",#N/A,TRUE,"GENERAL"}</definedName>
    <definedName name="______x5" localSheetId="17" hidden="1">{"TAB1",#N/A,TRUE,"GENERAL";"TAB2",#N/A,TRUE,"GENERAL";"TAB3",#N/A,TRUE,"GENERAL";"TAB4",#N/A,TRUE,"GENERAL";"TAB5",#N/A,TRUE,"GENERAL"}</definedName>
    <definedName name="______x5" localSheetId="13" hidden="1">{"TAB1",#N/A,TRUE,"GENERAL";"TAB2",#N/A,TRUE,"GENERAL";"TAB3",#N/A,TRUE,"GENERAL";"TAB4",#N/A,TRUE,"GENERAL";"TAB5",#N/A,TRUE,"GENERAL"}</definedName>
    <definedName name="______x5" localSheetId="15" hidden="1">{"TAB1",#N/A,TRUE,"GENERAL";"TAB2",#N/A,TRUE,"GENERAL";"TAB3",#N/A,TRUE,"GENERAL";"TAB4",#N/A,TRUE,"GENERAL";"TAB5",#N/A,TRUE,"GENERAL"}</definedName>
    <definedName name="______x5" hidden="1">{"TAB1",#N/A,TRUE,"GENERAL";"TAB2",#N/A,TRUE,"GENERAL";"TAB3",#N/A,TRUE,"GENERAL";"TAB4",#N/A,TRUE,"GENERAL";"TAB5",#N/A,TRUE,"GENERAL"}</definedName>
    <definedName name="______x6" localSheetId="14" hidden="1">{"TAB1",#N/A,TRUE,"GENERAL";"TAB2",#N/A,TRUE,"GENERAL";"TAB3",#N/A,TRUE,"GENERAL";"TAB4",#N/A,TRUE,"GENERAL";"TAB5",#N/A,TRUE,"GENERAL"}</definedName>
    <definedName name="______x6" localSheetId="16" hidden="1">{"TAB1",#N/A,TRUE,"GENERAL";"TAB2",#N/A,TRUE,"GENERAL";"TAB3",#N/A,TRUE,"GENERAL";"TAB4",#N/A,TRUE,"GENERAL";"TAB5",#N/A,TRUE,"GENERAL"}</definedName>
    <definedName name="______x6" localSheetId="17" hidden="1">{"TAB1",#N/A,TRUE,"GENERAL";"TAB2",#N/A,TRUE,"GENERAL";"TAB3",#N/A,TRUE,"GENERAL";"TAB4",#N/A,TRUE,"GENERAL";"TAB5",#N/A,TRUE,"GENERAL"}</definedName>
    <definedName name="______x6" localSheetId="13" hidden="1">{"TAB1",#N/A,TRUE,"GENERAL";"TAB2",#N/A,TRUE,"GENERAL";"TAB3",#N/A,TRUE,"GENERAL";"TAB4",#N/A,TRUE,"GENERAL";"TAB5",#N/A,TRUE,"GENERAL"}</definedName>
    <definedName name="______x6" localSheetId="15" hidden="1">{"TAB1",#N/A,TRUE,"GENERAL";"TAB2",#N/A,TRUE,"GENERAL";"TAB3",#N/A,TRUE,"GENERAL";"TAB4",#N/A,TRUE,"GENERAL";"TAB5",#N/A,TRUE,"GENERAL"}</definedName>
    <definedName name="______x6" hidden="1">{"TAB1",#N/A,TRUE,"GENERAL";"TAB2",#N/A,TRUE,"GENERAL";"TAB3",#N/A,TRUE,"GENERAL";"TAB4",#N/A,TRUE,"GENERAL";"TAB5",#N/A,TRUE,"GENERAL"}</definedName>
    <definedName name="______x7" localSheetId="14" hidden="1">{"TAB1",#N/A,TRUE,"GENERAL";"TAB2",#N/A,TRUE,"GENERAL";"TAB3",#N/A,TRUE,"GENERAL";"TAB4",#N/A,TRUE,"GENERAL";"TAB5",#N/A,TRUE,"GENERAL"}</definedName>
    <definedName name="______x7" localSheetId="16" hidden="1">{"TAB1",#N/A,TRUE,"GENERAL";"TAB2",#N/A,TRUE,"GENERAL";"TAB3",#N/A,TRUE,"GENERAL";"TAB4",#N/A,TRUE,"GENERAL";"TAB5",#N/A,TRUE,"GENERAL"}</definedName>
    <definedName name="______x7" localSheetId="17" hidden="1">{"TAB1",#N/A,TRUE,"GENERAL";"TAB2",#N/A,TRUE,"GENERAL";"TAB3",#N/A,TRUE,"GENERAL";"TAB4",#N/A,TRUE,"GENERAL";"TAB5",#N/A,TRUE,"GENERAL"}</definedName>
    <definedName name="______x7" localSheetId="13" hidden="1">{"TAB1",#N/A,TRUE,"GENERAL";"TAB2",#N/A,TRUE,"GENERAL";"TAB3",#N/A,TRUE,"GENERAL";"TAB4",#N/A,TRUE,"GENERAL";"TAB5",#N/A,TRUE,"GENERAL"}</definedName>
    <definedName name="______x7" localSheetId="15" hidden="1">{"TAB1",#N/A,TRUE,"GENERAL";"TAB2",#N/A,TRUE,"GENERAL";"TAB3",#N/A,TRUE,"GENERAL";"TAB4",#N/A,TRUE,"GENERAL";"TAB5",#N/A,TRUE,"GENERAL"}</definedName>
    <definedName name="______x7" hidden="1">{"TAB1",#N/A,TRUE,"GENERAL";"TAB2",#N/A,TRUE,"GENERAL";"TAB3",#N/A,TRUE,"GENERAL";"TAB4",#N/A,TRUE,"GENERAL";"TAB5",#N/A,TRUE,"GENERAL"}</definedName>
    <definedName name="______x8" localSheetId="14" hidden="1">{"via1",#N/A,TRUE,"general";"via2",#N/A,TRUE,"general";"via3",#N/A,TRUE,"general"}</definedName>
    <definedName name="______x8" localSheetId="16" hidden="1">{"via1",#N/A,TRUE,"general";"via2",#N/A,TRUE,"general";"via3",#N/A,TRUE,"general"}</definedName>
    <definedName name="______x8" localSheetId="17" hidden="1">{"via1",#N/A,TRUE,"general";"via2",#N/A,TRUE,"general";"via3",#N/A,TRUE,"general"}</definedName>
    <definedName name="______x8" localSheetId="13" hidden="1">{"via1",#N/A,TRUE,"general";"via2",#N/A,TRUE,"general";"via3",#N/A,TRUE,"general"}</definedName>
    <definedName name="______x8" localSheetId="15" hidden="1">{"via1",#N/A,TRUE,"general";"via2",#N/A,TRUE,"general";"via3",#N/A,TRUE,"general"}</definedName>
    <definedName name="______x8" hidden="1">{"via1",#N/A,TRUE,"general";"via2",#N/A,TRUE,"general";"via3",#N/A,TRUE,"general"}</definedName>
    <definedName name="______x9" localSheetId="14" hidden="1">{"TAB1",#N/A,TRUE,"GENERAL";"TAB2",#N/A,TRUE,"GENERAL";"TAB3",#N/A,TRUE,"GENERAL";"TAB4",#N/A,TRUE,"GENERAL";"TAB5",#N/A,TRUE,"GENERAL"}</definedName>
    <definedName name="______x9" localSheetId="16" hidden="1">{"TAB1",#N/A,TRUE,"GENERAL";"TAB2",#N/A,TRUE,"GENERAL";"TAB3",#N/A,TRUE,"GENERAL";"TAB4",#N/A,TRUE,"GENERAL";"TAB5",#N/A,TRUE,"GENERAL"}</definedName>
    <definedName name="______x9" localSheetId="17" hidden="1">{"TAB1",#N/A,TRUE,"GENERAL";"TAB2",#N/A,TRUE,"GENERAL";"TAB3",#N/A,TRUE,"GENERAL";"TAB4",#N/A,TRUE,"GENERAL";"TAB5",#N/A,TRUE,"GENERAL"}</definedName>
    <definedName name="______x9" localSheetId="13" hidden="1">{"TAB1",#N/A,TRUE,"GENERAL";"TAB2",#N/A,TRUE,"GENERAL";"TAB3",#N/A,TRUE,"GENERAL";"TAB4",#N/A,TRUE,"GENERAL";"TAB5",#N/A,TRUE,"GENERAL"}</definedName>
    <definedName name="______x9" localSheetId="15" hidden="1">{"TAB1",#N/A,TRUE,"GENERAL";"TAB2",#N/A,TRUE,"GENERAL";"TAB3",#N/A,TRUE,"GENERAL";"TAB4",#N/A,TRUE,"GENERAL";"TAB5",#N/A,TRUE,"GENERAL"}</definedName>
    <definedName name="______x9" hidden="1">{"TAB1",#N/A,TRUE,"GENERAL";"TAB2",#N/A,TRUE,"GENERAL";"TAB3",#N/A,TRUE,"GENERAL";"TAB4",#N/A,TRUE,"GENERAL";"TAB5",#N/A,TRUE,"GENERAL"}</definedName>
    <definedName name="______y2" localSheetId="14" hidden="1">{"TAB1",#N/A,TRUE,"GENERAL";"TAB2",#N/A,TRUE,"GENERAL";"TAB3",#N/A,TRUE,"GENERAL";"TAB4",#N/A,TRUE,"GENERAL";"TAB5",#N/A,TRUE,"GENERAL"}</definedName>
    <definedName name="______y2" localSheetId="16" hidden="1">{"TAB1",#N/A,TRUE,"GENERAL";"TAB2",#N/A,TRUE,"GENERAL";"TAB3",#N/A,TRUE,"GENERAL";"TAB4",#N/A,TRUE,"GENERAL";"TAB5",#N/A,TRUE,"GENERAL"}</definedName>
    <definedName name="______y2" localSheetId="17" hidden="1">{"TAB1",#N/A,TRUE,"GENERAL";"TAB2",#N/A,TRUE,"GENERAL";"TAB3",#N/A,TRUE,"GENERAL";"TAB4",#N/A,TRUE,"GENERAL";"TAB5",#N/A,TRUE,"GENERAL"}</definedName>
    <definedName name="______y2" localSheetId="13" hidden="1">{"TAB1",#N/A,TRUE,"GENERAL";"TAB2",#N/A,TRUE,"GENERAL";"TAB3",#N/A,TRUE,"GENERAL";"TAB4",#N/A,TRUE,"GENERAL";"TAB5",#N/A,TRUE,"GENERAL"}</definedName>
    <definedName name="______y2" localSheetId="15" hidden="1">{"TAB1",#N/A,TRUE,"GENERAL";"TAB2",#N/A,TRUE,"GENERAL";"TAB3",#N/A,TRUE,"GENERAL";"TAB4",#N/A,TRUE,"GENERAL";"TAB5",#N/A,TRUE,"GENERAL"}</definedName>
    <definedName name="______y2" hidden="1">{"TAB1",#N/A,TRUE,"GENERAL";"TAB2",#N/A,TRUE,"GENERAL";"TAB3",#N/A,TRUE,"GENERAL";"TAB4",#N/A,TRUE,"GENERAL";"TAB5",#N/A,TRUE,"GENERAL"}</definedName>
    <definedName name="______y3" localSheetId="14" hidden="1">{"via1",#N/A,TRUE,"general";"via2",#N/A,TRUE,"general";"via3",#N/A,TRUE,"general"}</definedName>
    <definedName name="______y3" localSheetId="16" hidden="1">{"via1",#N/A,TRUE,"general";"via2",#N/A,TRUE,"general";"via3",#N/A,TRUE,"general"}</definedName>
    <definedName name="______y3" localSheetId="17" hidden="1">{"via1",#N/A,TRUE,"general";"via2",#N/A,TRUE,"general";"via3",#N/A,TRUE,"general"}</definedName>
    <definedName name="______y3" localSheetId="13" hidden="1">{"via1",#N/A,TRUE,"general";"via2",#N/A,TRUE,"general";"via3",#N/A,TRUE,"general"}</definedName>
    <definedName name="______y3" localSheetId="15" hidden="1">{"via1",#N/A,TRUE,"general";"via2",#N/A,TRUE,"general";"via3",#N/A,TRUE,"general"}</definedName>
    <definedName name="______y3" hidden="1">{"via1",#N/A,TRUE,"general";"via2",#N/A,TRUE,"general";"via3",#N/A,TRUE,"general"}</definedName>
    <definedName name="______y4" localSheetId="14" hidden="1">{"via1",#N/A,TRUE,"general";"via2",#N/A,TRUE,"general";"via3",#N/A,TRUE,"general"}</definedName>
    <definedName name="______y4" localSheetId="16" hidden="1">{"via1",#N/A,TRUE,"general";"via2",#N/A,TRUE,"general";"via3",#N/A,TRUE,"general"}</definedName>
    <definedName name="______y4" localSheetId="17" hidden="1">{"via1",#N/A,TRUE,"general";"via2",#N/A,TRUE,"general";"via3",#N/A,TRUE,"general"}</definedName>
    <definedName name="______y4" localSheetId="13" hidden="1">{"via1",#N/A,TRUE,"general";"via2",#N/A,TRUE,"general";"via3",#N/A,TRUE,"general"}</definedName>
    <definedName name="______y4" localSheetId="15" hidden="1">{"via1",#N/A,TRUE,"general";"via2",#N/A,TRUE,"general";"via3",#N/A,TRUE,"general"}</definedName>
    <definedName name="______y4" hidden="1">{"via1",#N/A,TRUE,"general";"via2",#N/A,TRUE,"general";"via3",#N/A,TRUE,"general"}</definedName>
    <definedName name="______y5" localSheetId="14" hidden="1">{"TAB1",#N/A,TRUE,"GENERAL";"TAB2",#N/A,TRUE,"GENERAL";"TAB3",#N/A,TRUE,"GENERAL";"TAB4",#N/A,TRUE,"GENERAL";"TAB5",#N/A,TRUE,"GENERAL"}</definedName>
    <definedName name="______y5" localSheetId="16" hidden="1">{"TAB1",#N/A,TRUE,"GENERAL";"TAB2",#N/A,TRUE,"GENERAL";"TAB3",#N/A,TRUE,"GENERAL";"TAB4",#N/A,TRUE,"GENERAL";"TAB5",#N/A,TRUE,"GENERAL"}</definedName>
    <definedName name="______y5" localSheetId="17" hidden="1">{"TAB1",#N/A,TRUE,"GENERAL";"TAB2",#N/A,TRUE,"GENERAL";"TAB3",#N/A,TRUE,"GENERAL";"TAB4",#N/A,TRUE,"GENERAL";"TAB5",#N/A,TRUE,"GENERAL"}</definedName>
    <definedName name="______y5" localSheetId="13" hidden="1">{"TAB1",#N/A,TRUE,"GENERAL";"TAB2",#N/A,TRUE,"GENERAL";"TAB3",#N/A,TRUE,"GENERAL";"TAB4",#N/A,TRUE,"GENERAL";"TAB5",#N/A,TRUE,"GENERAL"}</definedName>
    <definedName name="______y5" localSheetId="15" hidden="1">{"TAB1",#N/A,TRUE,"GENERAL";"TAB2",#N/A,TRUE,"GENERAL";"TAB3",#N/A,TRUE,"GENERAL";"TAB4",#N/A,TRUE,"GENERAL";"TAB5",#N/A,TRUE,"GENERAL"}</definedName>
    <definedName name="______y5" hidden="1">{"TAB1",#N/A,TRUE,"GENERAL";"TAB2",#N/A,TRUE,"GENERAL";"TAB3",#N/A,TRUE,"GENERAL";"TAB4",#N/A,TRUE,"GENERAL";"TAB5",#N/A,TRUE,"GENERAL"}</definedName>
    <definedName name="______y6" localSheetId="14" hidden="1">{"via1",#N/A,TRUE,"general";"via2",#N/A,TRUE,"general";"via3",#N/A,TRUE,"general"}</definedName>
    <definedName name="______y6" localSheetId="16" hidden="1">{"via1",#N/A,TRUE,"general";"via2",#N/A,TRUE,"general";"via3",#N/A,TRUE,"general"}</definedName>
    <definedName name="______y6" localSheetId="17" hidden="1">{"via1",#N/A,TRUE,"general";"via2",#N/A,TRUE,"general";"via3",#N/A,TRUE,"general"}</definedName>
    <definedName name="______y6" localSheetId="13" hidden="1">{"via1",#N/A,TRUE,"general";"via2",#N/A,TRUE,"general";"via3",#N/A,TRUE,"general"}</definedName>
    <definedName name="______y6" localSheetId="15" hidden="1">{"via1",#N/A,TRUE,"general";"via2",#N/A,TRUE,"general";"via3",#N/A,TRUE,"general"}</definedName>
    <definedName name="______y6" hidden="1">{"via1",#N/A,TRUE,"general";"via2",#N/A,TRUE,"general";"via3",#N/A,TRUE,"general"}</definedName>
    <definedName name="______y7" localSheetId="14" hidden="1">{"via1",#N/A,TRUE,"general";"via2",#N/A,TRUE,"general";"via3",#N/A,TRUE,"general"}</definedName>
    <definedName name="______y7" localSheetId="16" hidden="1">{"via1",#N/A,TRUE,"general";"via2",#N/A,TRUE,"general";"via3",#N/A,TRUE,"general"}</definedName>
    <definedName name="______y7" localSheetId="17" hidden="1">{"via1",#N/A,TRUE,"general";"via2",#N/A,TRUE,"general";"via3",#N/A,TRUE,"general"}</definedName>
    <definedName name="______y7" localSheetId="13" hidden="1">{"via1",#N/A,TRUE,"general";"via2",#N/A,TRUE,"general";"via3",#N/A,TRUE,"general"}</definedName>
    <definedName name="______y7" localSheetId="15" hidden="1">{"via1",#N/A,TRUE,"general";"via2",#N/A,TRUE,"general";"via3",#N/A,TRUE,"general"}</definedName>
    <definedName name="______y7" hidden="1">{"via1",#N/A,TRUE,"general";"via2",#N/A,TRUE,"general";"via3",#N/A,TRUE,"general"}</definedName>
    <definedName name="______y8" localSheetId="14" hidden="1">{"via1",#N/A,TRUE,"general";"via2",#N/A,TRUE,"general";"via3",#N/A,TRUE,"general"}</definedName>
    <definedName name="______y8" localSheetId="16" hidden="1">{"via1",#N/A,TRUE,"general";"via2",#N/A,TRUE,"general";"via3",#N/A,TRUE,"general"}</definedName>
    <definedName name="______y8" localSheetId="17" hidden="1">{"via1",#N/A,TRUE,"general";"via2",#N/A,TRUE,"general";"via3",#N/A,TRUE,"general"}</definedName>
    <definedName name="______y8" localSheetId="13" hidden="1">{"via1",#N/A,TRUE,"general";"via2",#N/A,TRUE,"general";"via3",#N/A,TRUE,"general"}</definedName>
    <definedName name="______y8" localSheetId="15" hidden="1">{"via1",#N/A,TRUE,"general";"via2",#N/A,TRUE,"general";"via3",#N/A,TRUE,"general"}</definedName>
    <definedName name="______y8" hidden="1">{"via1",#N/A,TRUE,"general";"via2",#N/A,TRUE,"general";"via3",#N/A,TRUE,"general"}</definedName>
    <definedName name="______y9" localSheetId="14" hidden="1">{"TAB1",#N/A,TRUE,"GENERAL";"TAB2",#N/A,TRUE,"GENERAL";"TAB3",#N/A,TRUE,"GENERAL";"TAB4",#N/A,TRUE,"GENERAL";"TAB5",#N/A,TRUE,"GENERAL"}</definedName>
    <definedName name="______y9" localSheetId="16" hidden="1">{"TAB1",#N/A,TRUE,"GENERAL";"TAB2",#N/A,TRUE,"GENERAL";"TAB3",#N/A,TRUE,"GENERAL";"TAB4",#N/A,TRUE,"GENERAL";"TAB5",#N/A,TRUE,"GENERAL"}</definedName>
    <definedName name="______y9" localSheetId="17" hidden="1">{"TAB1",#N/A,TRUE,"GENERAL";"TAB2",#N/A,TRUE,"GENERAL";"TAB3",#N/A,TRUE,"GENERAL";"TAB4",#N/A,TRUE,"GENERAL";"TAB5",#N/A,TRUE,"GENERAL"}</definedName>
    <definedName name="______y9" localSheetId="13" hidden="1">{"TAB1",#N/A,TRUE,"GENERAL";"TAB2",#N/A,TRUE,"GENERAL";"TAB3",#N/A,TRUE,"GENERAL";"TAB4",#N/A,TRUE,"GENERAL";"TAB5",#N/A,TRUE,"GENERAL"}</definedName>
    <definedName name="______y9" localSheetId="15" hidden="1">{"TAB1",#N/A,TRUE,"GENERAL";"TAB2",#N/A,TRUE,"GENERAL";"TAB3",#N/A,TRUE,"GENERAL";"TAB4",#N/A,TRUE,"GENERAL";"TAB5",#N/A,TRUE,"GENERAL"}</definedName>
    <definedName name="______y9" hidden="1">{"TAB1",#N/A,TRUE,"GENERAL";"TAB2",#N/A,TRUE,"GENERAL";"TAB3",#N/A,TRUE,"GENERAL";"TAB4",#N/A,TRUE,"GENERAL";"TAB5",#N/A,TRUE,"GENERAL"}</definedName>
    <definedName name="______z1" localSheetId="14" hidden="1">{"TAB1",#N/A,TRUE,"GENERAL";"TAB2",#N/A,TRUE,"GENERAL";"TAB3",#N/A,TRUE,"GENERAL";"TAB4",#N/A,TRUE,"GENERAL";"TAB5",#N/A,TRUE,"GENERAL"}</definedName>
    <definedName name="______z1" localSheetId="16" hidden="1">{"TAB1",#N/A,TRUE,"GENERAL";"TAB2",#N/A,TRUE,"GENERAL";"TAB3",#N/A,TRUE,"GENERAL";"TAB4",#N/A,TRUE,"GENERAL";"TAB5",#N/A,TRUE,"GENERAL"}</definedName>
    <definedName name="______z1" localSheetId="17" hidden="1">{"TAB1",#N/A,TRUE,"GENERAL";"TAB2",#N/A,TRUE,"GENERAL";"TAB3",#N/A,TRUE,"GENERAL";"TAB4",#N/A,TRUE,"GENERAL";"TAB5",#N/A,TRUE,"GENERAL"}</definedName>
    <definedName name="______z1" localSheetId="13" hidden="1">{"TAB1",#N/A,TRUE,"GENERAL";"TAB2",#N/A,TRUE,"GENERAL";"TAB3",#N/A,TRUE,"GENERAL";"TAB4",#N/A,TRUE,"GENERAL";"TAB5",#N/A,TRUE,"GENERAL"}</definedName>
    <definedName name="______z1" localSheetId="15" hidden="1">{"TAB1",#N/A,TRUE,"GENERAL";"TAB2",#N/A,TRUE,"GENERAL";"TAB3",#N/A,TRUE,"GENERAL";"TAB4",#N/A,TRUE,"GENERAL";"TAB5",#N/A,TRUE,"GENERAL"}</definedName>
    <definedName name="______z1" hidden="1">{"TAB1",#N/A,TRUE,"GENERAL";"TAB2",#N/A,TRUE,"GENERAL";"TAB3",#N/A,TRUE,"GENERAL";"TAB4",#N/A,TRUE,"GENERAL";"TAB5",#N/A,TRUE,"GENERAL"}</definedName>
    <definedName name="______z2" localSheetId="14" hidden="1">{"via1",#N/A,TRUE,"general";"via2",#N/A,TRUE,"general";"via3",#N/A,TRUE,"general"}</definedName>
    <definedName name="______z2" localSheetId="16" hidden="1">{"via1",#N/A,TRUE,"general";"via2",#N/A,TRUE,"general";"via3",#N/A,TRUE,"general"}</definedName>
    <definedName name="______z2" localSheetId="17" hidden="1">{"via1",#N/A,TRUE,"general";"via2",#N/A,TRUE,"general";"via3",#N/A,TRUE,"general"}</definedName>
    <definedName name="______z2" localSheetId="13" hidden="1">{"via1",#N/A,TRUE,"general";"via2",#N/A,TRUE,"general";"via3",#N/A,TRUE,"general"}</definedName>
    <definedName name="______z2" localSheetId="15" hidden="1">{"via1",#N/A,TRUE,"general";"via2",#N/A,TRUE,"general";"via3",#N/A,TRUE,"general"}</definedName>
    <definedName name="______z2" hidden="1">{"via1",#N/A,TRUE,"general";"via2",#N/A,TRUE,"general";"via3",#N/A,TRUE,"general"}</definedName>
    <definedName name="______z3" localSheetId="14" hidden="1">{"via1",#N/A,TRUE,"general";"via2",#N/A,TRUE,"general";"via3",#N/A,TRUE,"general"}</definedName>
    <definedName name="______z3" localSheetId="16" hidden="1">{"via1",#N/A,TRUE,"general";"via2",#N/A,TRUE,"general";"via3",#N/A,TRUE,"general"}</definedName>
    <definedName name="______z3" localSheetId="17" hidden="1">{"via1",#N/A,TRUE,"general";"via2",#N/A,TRUE,"general";"via3",#N/A,TRUE,"general"}</definedName>
    <definedName name="______z3" localSheetId="13" hidden="1">{"via1",#N/A,TRUE,"general";"via2",#N/A,TRUE,"general";"via3",#N/A,TRUE,"general"}</definedName>
    <definedName name="______z3" localSheetId="15" hidden="1">{"via1",#N/A,TRUE,"general";"via2",#N/A,TRUE,"general";"via3",#N/A,TRUE,"general"}</definedName>
    <definedName name="______z3" hidden="1">{"via1",#N/A,TRUE,"general";"via2",#N/A,TRUE,"general";"via3",#N/A,TRUE,"general"}</definedName>
    <definedName name="______z4" localSheetId="14" hidden="1">{"TAB1",#N/A,TRUE,"GENERAL";"TAB2",#N/A,TRUE,"GENERAL";"TAB3",#N/A,TRUE,"GENERAL";"TAB4",#N/A,TRUE,"GENERAL";"TAB5",#N/A,TRUE,"GENERAL"}</definedName>
    <definedName name="______z4" localSheetId="16" hidden="1">{"TAB1",#N/A,TRUE,"GENERAL";"TAB2",#N/A,TRUE,"GENERAL";"TAB3",#N/A,TRUE,"GENERAL";"TAB4",#N/A,TRUE,"GENERAL";"TAB5",#N/A,TRUE,"GENERAL"}</definedName>
    <definedName name="______z4" localSheetId="17" hidden="1">{"TAB1",#N/A,TRUE,"GENERAL";"TAB2",#N/A,TRUE,"GENERAL";"TAB3",#N/A,TRUE,"GENERAL";"TAB4",#N/A,TRUE,"GENERAL";"TAB5",#N/A,TRUE,"GENERAL"}</definedName>
    <definedName name="______z4" localSheetId="13" hidden="1">{"TAB1",#N/A,TRUE,"GENERAL";"TAB2",#N/A,TRUE,"GENERAL";"TAB3",#N/A,TRUE,"GENERAL";"TAB4",#N/A,TRUE,"GENERAL";"TAB5",#N/A,TRUE,"GENERAL"}</definedName>
    <definedName name="______z4" localSheetId="15" hidden="1">{"TAB1",#N/A,TRUE,"GENERAL";"TAB2",#N/A,TRUE,"GENERAL";"TAB3",#N/A,TRUE,"GENERAL";"TAB4",#N/A,TRUE,"GENERAL";"TAB5",#N/A,TRUE,"GENERAL"}</definedName>
    <definedName name="______z4" hidden="1">{"TAB1",#N/A,TRUE,"GENERAL";"TAB2",#N/A,TRUE,"GENERAL";"TAB3",#N/A,TRUE,"GENERAL";"TAB4",#N/A,TRUE,"GENERAL";"TAB5",#N/A,TRUE,"GENERAL"}</definedName>
    <definedName name="______z5" localSheetId="14" hidden="1">{"via1",#N/A,TRUE,"general";"via2",#N/A,TRUE,"general";"via3",#N/A,TRUE,"general"}</definedName>
    <definedName name="______z5" localSheetId="16" hidden="1">{"via1",#N/A,TRUE,"general";"via2",#N/A,TRUE,"general";"via3",#N/A,TRUE,"general"}</definedName>
    <definedName name="______z5" localSheetId="17" hidden="1">{"via1",#N/A,TRUE,"general";"via2",#N/A,TRUE,"general";"via3",#N/A,TRUE,"general"}</definedName>
    <definedName name="______z5" localSheetId="13" hidden="1">{"via1",#N/A,TRUE,"general";"via2",#N/A,TRUE,"general";"via3",#N/A,TRUE,"general"}</definedName>
    <definedName name="______z5" localSheetId="15" hidden="1">{"via1",#N/A,TRUE,"general";"via2",#N/A,TRUE,"general";"via3",#N/A,TRUE,"general"}</definedName>
    <definedName name="______z5" hidden="1">{"via1",#N/A,TRUE,"general";"via2",#N/A,TRUE,"general";"via3",#N/A,TRUE,"general"}</definedName>
    <definedName name="______z6" localSheetId="14" hidden="1">{"TAB1",#N/A,TRUE,"GENERAL";"TAB2",#N/A,TRUE,"GENERAL";"TAB3",#N/A,TRUE,"GENERAL";"TAB4",#N/A,TRUE,"GENERAL";"TAB5",#N/A,TRUE,"GENERAL"}</definedName>
    <definedName name="______z6" localSheetId="16" hidden="1">{"TAB1",#N/A,TRUE,"GENERAL";"TAB2",#N/A,TRUE,"GENERAL";"TAB3",#N/A,TRUE,"GENERAL";"TAB4",#N/A,TRUE,"GENERAL";"TAB5",#N/A,TRUE,"GENERAL"}</definedName>
    <definedName name="______z6" localSheetId="17" hidden="1">{"TAB1",#N/A,TRUE,"GENERAL";"TAB2",#N/A,TRUE,"GENERAL";"TAB3",#N/A,TRUE,"GENERAL";"TAB4",#N/A,TRUE,"GENERAL";"TAB5",#N/A,TRUE,"GENERAL"}</definedName>
    <definedName name="______z6" localSheetId="13" hidden="1">{"TAB1",#N/A,TRUE,"GENERAL";"TAB2",#N/A,TRUE,"GENERAL";"TAB3",#N/A,TRUE,"GENERAL";"TAB4",#N/A,TRUE,"GENERAL";"TAB5",#N/A,TRUE,"GENERAL"}</definedName>
    <definedName name="______z6" localSheetId="15" hidden="1">{"TAB1",#N/A,TRUE,"GENERAL";"TAB2",#N/A,TRUE,"GENERAL";"TAB3",#N/A,TRUE,"GENERAL";"TAB4",#N/A,TRUE,"GENERAL";"TAB5",#N/A,TRUE,"GENERAL"}</definedName>
    <definedName name="______z6" hidden="1">{"TAB1",#N/A,TRUE,"GENERAL";"TAB2",#N/A,TRUE,"GENERAL";"TAB3",#N/A,TRUE,"GENERAL";"TAB4",#N/A,TRUE,"GENERAL";"TAB5",#N/A,TRUE,"GENERAL"}</definedName>
    <definedName name="_____a1" localSheetId="14" hidden="1">{"TAB1",#N/A,TRUE,"GENERAL";"TAB2",#N/A,TRUE,"GENERAL";"TAB3",#N/A,TRUE,"GENERAL";"TAB4",#N/A,TRUE,"GENERAL";"TAB5",#N/A,TRUE,"GENERAL"}</definedName>
    <definedName name="_____a1" localSheetId="16" hidden="1">{"TAB1",#N/A,TRUE,"GENERAL";"TAB2",#N/A,TRUE,"GENERAL";"TAB3",#N/A,TRUE,"GENERAL";"TAB4",#N/A,TRUE,"GENERAL";"TAB5",#N/A,TRUE,"GENERAL"}</definedName>
    <definedName name="_____a1" localSheetId="17" hidden="1">{"TAB1",#N/A,TRUE,"GENERAL";"TAB2",#N/A,TRUE,"GENERAL";"TAB3",#N/A,TRUE,"GENERAL";"TAB4",#N/A,TRUE,"GENERAL";"TAB5",#N/A,TRUE,"GENERAL"}</definedName>
    <definedName name="_____a1" localSheetId="13" hidden="1">{"TAB1",#N/A,TRUE,"GENERAL";"TAB2",#N/A,TRUE,"GENERAL";"TAB3",#N/A,TRUE,"GENERAL";"TAB4",#N/A,TRUE,"GENERAL";"TAB5",#N/A,TRUE,"GENERAL"}</definedName>
    <definedName name="_____a1" localSheetId="15" hidden="1">{"TAB1",#N/A,TRUE,"GENERAL";"TAB2",#N/A,TRUE,"GENERAL";"TAB3",#N/A,TRUE,"GENERAL";"TAB4",#N/A,TRUE,"GENERAL";"TAB5",#N/A,TRUE,"GENERAL"}</definedName>
    <definedName name="_____a1" hidden="1">{"TAB1",#N/A,TRUE,"GENERAL";"TAB2",#N/A,TRUE,"GENERAL";"TAB3",#N/A,TRUE,"GENERAL";"TAB4",#N/A,TRUE,"GENERAL";"TAB5",#N/A,TRUE,"GENERAL"}</definedName>
    <definedName name="_____a3" localSheetId="14" hidden="1">{"TAB1",#N/A,TRUE,"GENERAL";"TAB2",#N/A,TRUE,"GENERAL";"TAB3",#N/A,TRUE,"GENERAL";"TAB4",#N/A,TRUE,"GENERAL";"TAB5",#N/A,TRUE,"GENERAL"}</definedName>
    <definedName name="_____a3" localSheetId="16" hidden="1">{"TAB1",#N/A,TRUE,"GENERAL";"TAB2",#N/A,TRUE,"GENERAL";"TAB3",#N/A,TRUE,"GENERAL";"TAB4",#N/A,TRUE,"GENERAL";"TAB5",#N/A,TRUE,"GENERAL"}</definedName>
    <definedName name="_____a3" localSheetId="17" hidden="1">{"TAB1",#N/A,TRUE,"GENERAL";"TAB2",#N/A,TRUE,"GENERAL";"TAB3",#N/A,TRUE,"GENERAL";"TAB4",#N/A,TRUE,"GENERAL";"TAB5",#N/A,TRUE,"GENERAL"}</definedName>
    <definedName name="_____a3" localSheetId="13" hidden="1">{"TAB1",#N/A,TRUE,"GENERAL";"TAB2",#N/A,TRUE,"GENERAL";"TAB3",#N/A,TRUE,"GENERAL";"TAB4",#N/A,TRUE,"GENERAL";"TAB5",#N/A,TRUE,"GENERAL"}</definedName>
    <definedName name="_____a3" localSheetId="15" hidden="1">{"TAB1",#N/A,TRUE,"GENERAL";"TAB2",#N/A,TRUE,"GENERAL";"TAB3",#N/A,TRUE,"GENERAL";"TAB4",#N/A,TRUE,"GENERAL";"TAB5",#N/A,TRUE,"GENERAL"}</definedName>
    <definedName name="_____a3" hidden="1">{"TAB1",#N/A,TRUE,"GENERAL";"TAB2",#N/A,TRUE,"GENERAL";"TAB3",#N/A,TRUE,"GENERAL";"TAB4",#N/A,TRUE,"GENERAL";"TAB5",#N/A,TRUE,"GENERAL"}</definedName>
    <definedName name="_____a4" localSheetId="14" hidden="1">{"via1",#N/A,TRUE,"general";"via2",#N/A,TRUE,"general";"via3",#N/A,TRUE,"general"}</definedName>
    <definedName name="_____a4" localSheetId="16" hidden="1">{"via1",#N/A,TRUE,"general";"via2",#N/A,TRUE,"general";"via3",#N/A,TRUE,"general"}</definedName>
    <definedName name="_____a4" localSheetId="17" hidden="1">{"via1",#N/A,TRUE,"general";"via2",#N/A,TRUE,"general";"via3",#N/A,TRUE,"general"}</definedName>
    <definedName name="_____a4" localSheetId="13" hidden="1">{"via1",#N/A,TRUE,"general";"via2",#N/A,TRUE,"general";"via3",#N/A,TRUE,"general"}</definedName>
    <definedName name="_____a4" localSheetId="15" hidden="1">{"via1",#N/A,TRUE,"general";"via2",#N/A,TRUE,"general";"via3",#N/A,TRUE,"general"}</definedName>
    <definedName name="_____a4" hidden="1">{"via1",#N/A,TRUE,"general";"via2",#N/A,TRUE,"general";"via3",#N/A,TRUE,"general"}</definedName>
    <definedName name="_____a5" localSheetId="14" hidden="1">{"TAB1",#N/A,TRUE,"GENERAL";"TAB2",#N/A,TRUE,"GENERAL";"TAB3",#N/A,TRUE,"GENERAL";"TAB4",#N/A,TRUE,"GENERAL";"TAB5",#N/A,TRUE,"GENERAL"}</definedName>
    <definedName name="_____a5" localSheetId="16" hidden="1">{"TAB1",#N/A,TRUE,"GENERAL";"TAB2",#N/A,TRUE,"GENERAL";"TAB3",#N/A,TRUE,"GENERAL";"TAB4",#N/A,TRUE,"GENERAL";"TAB5",#N/A,TRUE,"GENERAL"}</definedName>
    <definedName name="_____a5" localSheetId="17" hidden="1">{"TAB1",#N/A,TRUE,"GENERAL";"TAB2",#N/A,TRUE,"GENERAL";"TAB3",#N/A,TRUE,"GENERAL";"TAB4",#N/A,TRUE,"GENERAL";"TAB5",#N/A,TRUE,"GENERAL"}</definedName>
    <definedName name="_____a5" localSheetId="13" hidden="1">{"TAB1",#N/A,TRUE,"GENERAL";"TAB2",#N/A,TRUE,"GENERAL";"TAB3",#N/A,TRUE,"GENERAL";"TAB4",#N/A,TRUE,"GENERAL";"TAB5",#N/A,TRUE,"GENERAL"}</definedName>
    <definedName name="_____a5" localSheetId="15" hidden="1">{"TAB1",#N/A,TRUE,"GENERAL";"TAB2",#N/A,TRUE,"GENERAL";"TAB3",#N/A,TRUE,"GENERAL";"TAB4",#N/A,TRUE,"GENERAL";"TAB5",#N/A,TRUE,"GENERAL"}</definedName>
    <definedName name="_____a5" hidden="1">{"TAB1",#N/A,TRUE,"GENERAL";"TAB2",#N/A,TRUE,"GENERAL";"TAB3",#N/A,TRUE,"GENERAL";"TAB4",#N/A,TRUE,"GENERAL";"TAB5",#N/A,TRUE,"GENERAL"}</definedName>
    <definedName name="_____a6" localSheetId="14" hidden="1">{"TAB1",#N/A,TRUE,"GENERAL";"TAB2",#N/A,TRUE,"GENERAL";"TAB3",#N/A,TRUE,"GENERAL";"TAB4",#N/A,TRUE,"GENERAL";"TAB5",#N/A,TRUE,"GENERAL"}</definedName>
    <definedName name="_____a6" localSheetId="16" hidden="1">{"TAB1",#N/A,TRUE,"GENERAL";"TAB2",#N/A,TRUE,"GENERAL";"TAB3",#N/A,TRUE,"GENERAL";"TAB4",#N/A,TRUE,"GENERAL";"TAB5",#N/A,TRUE,"GENERAL"}</definedName>
    <definedName name="_____a6" localSheetId="17" hidden="1">{"TAB1",#N/A,TRUE,"GENERAL";"TAB2",#N/A,TRUE,"GENERAL";"TAB3",#N/A,TRUE,"GENERAL";"TAB4",#N/A,TRUE,"GENERAL";"TAB5",#N/A,TRUE,"GENERAL"}</definedName>
    <definedName name="_____a6" localSheetId="13" hidden="1">{"TAB1",#N/A,TRUE,"GENERAL";"TAB2",#N/A,TRUE,"GENERAL";"TAB3",#N/A,TRUE,"GENERAL";"TAB4",#N/A,TRUE,"GENERAL";"TAB5",#N/A,TRUE,"GENERAL"}</definedName>
    <definedName name="_____a6" localSheetId="15" hidden="1">{"TAB1",#N/A,TRUE,"GENERAL";"TAB2",#N/A,TRUE,"GENERAL";"TAB3",#N/A,TRUE,"GENERAL";"TAB4",#N/A,TRUE,"GENERAL";"TAB5",#N/A,TRUE,"GENERAL"}</definedName>
    <definedName name="_____a6" hidden="1">{"TAB1",#N/A,TRUE,"GENERAL";"TAB2",#N/A,TRUE,"GENERAL";"TAB3",#N/A,TRUE,"GENERAL";"TAB4",#N/A,TRUE,"GENERAL";"TAB5",#N/A,TRUE,"GENERAL"}</definedName>
    <definedName name="_____ADH12">#REF!</definedName>
    <definedName name="_____ADM12">#REF!</definedName>
    <definedName name="_____ADM4" localSheetId="3">#REF!</definedName>
    <definedName name="_____ADM4" localSheetId="30">#REF!</definedName>
    <definedName name="_____ADM4" localSheetId="31">#REF!</definedName>
    <definedName name="_____ADM4" localSheetId="29">#REF!</definedName>
    <definedName name="_____ADM4">#REF!</definedName>
    <definedName name="_____ADP1" localSheetId="3">#REF!</definedName>
    <definedName name="_____ADP1" localSheetId="30">#REF!</definedName>
    <definedName name="_____ADP1" localSheetId="31">#REF!</definedName>
    <definedName name="_____ADP1" localSheetId="29">#REF!</definedName>
    <definedName name="_____ADP1">#REF!</definedName>
    <definedName name="_____AFC1">[1]INV!$A$25:$D$28</definedName>
    <definedName name="_____AFC3">[1]INV!$F$25:$I$28</definedName>
    <definedName name="_____AFC5">[1]INV!$K$25:$N$28</definedName>
    <definedName name="_____AIU1" localSheetId="3">#REF!</definedName>
    <definedName name="_____AIU1" localSheetId="30">#REF!</definedName>
    <definedName name="_____AIU1" localSheetId="31">#REF!</definedName>
    <definedName name="_____AIU1" localSheetId="29">#REF!</definedName>
    <definedName name="_____AIU1">#REF!</definedName>
    <definedName name="_____AIU2">#REF!</definedName>
    <definedName name="_____AIU3">#REF!</definedName>
    <definedName name="_____APU221">#REF!</definedName>
    <definedName name="_____APU465" localSheetId="14">[2]!absc</definedName>
    <definedName name="_____APU465" localSheetId="17">[2]!absc</definedName>
    <definedName name="_____APU465" localSheetId="2">[2]!absc</definedName>
    <definedName name="_____APU465" localSheetId="20">[2]!absc</definedName>
    <definedName name="_____APU465" localSheetId="21">[2]!absc</definedName>
    <definedName name="_____APU465" localSheetId="15">[2]!absc</definedName>
    <definedName name="_____APU465">[2]!absc</definedName>
    <definedName name="_____b2" localSheetId="14" hidden="1">{"TAB1",#N/A,TRUE,"GENERAL";"TAB2",#N/A,TRUE,"GENERAL";"TAB3",#N/A,TRUE,"GENERAL";"TAB4",#N/A,TRUE,"GENERAL";"TAB5",#N/A,TRUE,"GENERAL"}</definedName>
    <definedName name="_____b2" localSheetId="16" hidden="1">{"TAB1",#N/A,TRUE,"GENERAL";"TAB2",#N/A,TRUE,"GENERAL";"TAB3",#N/A,TRUE,"GENERAL";"TAB4",#N/A,TRUE,"GENERAL";"TAB5",#N/A,TRUE,"GENERAL"}</definedName>
    <definedName name="_____b2" localSheetId="17" hidden="1">{"TAB1",#N/A,TRUE,"GENERAL";"TAB2",#N/A,TRUE,"GENERAL";"TAB3",#N/A,TRUE,"GENERAL";"TAB4",#N/A,TRUE,"GENERAL";"TAB5",#N/A,TRUE,"GENERAL"}</definedName>
    <definedName name="_____b2" localSheetId="13" hidden="1">{"TAB1",#N/A,TRUE,"GENERAL";"TAB2",#N/A,TRUE,"GENERAL";"TAB3",#N/A,TRUE,"GENERAL";"TAB4",#N/A,TRUE,"GENERAL";"TAB5",#N/A,TRUE,"GENERAL"}</definedName>
    <definedName name="_____b2" localSheetId="15" hidden="1">{"TAB1",#N/A,TRUE,"GENERAL";"TAB2",#N/A,TRUE,"GENERAL";"TAB3",#N/A,TRUE,"GENERAL";"TAB4",#N/A,TRUE,"GENERAL";"TAB5",#N/A,TRUE,"GENERAL"}</definedName>
    <definedName name="_____b2" hidden="1">{"TAB1",#N/A,TRUE,"GENERAL";"TAB2",#N/A,TRUE,"GENERAL";"TAB3",#N/A,TRUE,"GENERAL";"TAB4",#N/A,TRUE,"GENERAL";"TAB5",#N/A,TRUE,"GENERAL"}</definedName>
    <definedName name="_____b3" localSheetId="14" hidden="1">{"TAB1",#N/A,TRUE,"GENERAL";"TAB2",#N/A,TRUE,"GENERAL";"TAB3",#N/A,TRUE,"GENERAL";"TAB4",#N/A,TRUE,"GENERAL";"TAB5",#N/A,TRUE,"GENERAL"}</definedName>
    <definedName name="_____b3" localSheetId="16" hidden="1">{"TAB1",#N/A,TRUE,"GENERAL";"TAB2",#N/A,TRUE,"GENERAL";"TAB3",#N/A,TRUE,"GENERAL";"TAB4",#N/A,TRUE,"GENERAL";"TAB5",#N/A,TRUE,"GENERAL"}</definedName>
    <definedName name="_____b3" localSheetId="17" hidden="1">{"TAB1",#N/A,TRUE,"GENERAL";"TAB2",#N/A,TRUE,"GENERAL";"TAB3",#N/A,TRUE,"GENERAL";"TAB4",#N/A,TRUE,"GENERAL";"TAB5",#N/A,TRUE,"GENERAL"}</definedName>
    <definedName name="_____b3" localSheetId="13" hidden="1">{"TAB1",#N/A,TRUE,"GENERAL";"TAB2",#N/A,TRUE,"GENERAL";"TAB3",#N/A,TRUE,"GENERAL";"TAB4",#N/A,TRUE,"GENERAL";"TAB5",#N/A,TRUE,"GENERAL"}</definedName>
    <definedName name="_____b3" localSheetId="15" hidden="1">{"TAB1",#N/A,TRUE,"GENERAL";"TAB2",#N/A,TRUE,"GENERAL";"TAB3",#N/A,TRUE,"GENERAL";"TAB4",#N/A,TRUE,"GENERAL";"TAB5",#N/A,TRUE,"GENERAL"}</definedName>
    <definedName name="_____b3" hidden="1">{"TAB1",#N/A,TRUE,"GENERAL";"TAB2",#N/A,TRUE,"GENERAL";"TAB3",#N/A,TRUE,"GENERAL";"TAB4",#N/A,TRUE,"GENERAL";"TAB5",#N/A,TRUE,"GENERAL"}</definedName>
    <definedName name="_____b4" localSheetId="14" hidden="1">{"TAB1",#N/A,TRUE,"GENERAL";"TAB2",#N/A,TRUE,"GENERAL";"TAB3",#N/A,TRUE,"GENERAL";"TAB4",#N/A,TRUE,"GENERAL";"TAB5",#N/A,TRUE,"GENERAL"}</definedName>
    <definedName name="_____b4" localSheetId="16" hidden="1">{"TAB1",#N/A,TRUE,"GENERAL";"TAB2",#N/A,TRUE,"GENERAL";"TAB3",#N/A,TRUE,"GENERAL";"TAB4",#N/A,TRUE,"GENERAL";"TAB5",#N/A,TRUE,"GENERAL"}</definedName>
    <definedName name="_____b4" localSheetId="17" hidden="1">{"TAB1",#N/A,TRUE,"GENERAL";"TAB2",#N/A,TRUE,"GENERAL";"TAB3",#N/A,TRUE,"GENERAL";"TAB4",#N/A,TRUE,"GENERAL";"TAB5",#N/A,TRUE,"GENERAL"}</definedName>
    <definedName name="_____b4" localSheetId="13" hidden="1">{"TAB1",#N/A,TRUE,"GENERAL";"TAB2",#N/A,TRUE,"GENERAL";"TAB3",#N/A,TRUE,"GENERAL";"TAB4",#N/A,TRUE,"GENERAL";"TAB5",#N/A,TRUE,"GENERAL"}</definedName>
    <definedName name="_____b4" localSheetId="15" hidden="1">{"TAB1",#N/A,TRUE,"GENERAL";"TAB2",#N/A,TRUE,"GENERAL";"TAB3",#N/A,TRUE,"GENERAL";"TAB4",#N/A,TRUE,"GENERAL";"TAB5",#N/A,TRUE,"GENERAL"}</definedName>
    <definedName name="_____b4" hidden="1">{"TAB1",#N/A,TRUE,"GENERAL";"TAB2",#N/A,TRUE,"GENERAL";"TAB3",#N/A,TRUE,"GENERAL";"TAB4",#N/A,TRUE,"GENERAL";"TAB5",#N/A,TRUE,"GENERAL"}</definedName>
    <definedName name="_____b5" localSheetId="14" hidden="1">{"TAB1",#N/A,TRUE,"GENERAL";"TAB2",#N/A,TRUE,"GENERAL";"TAB3",#N/A,TRUE,"GENERAL";"TAB4",#N/A,TRUE,"GENERAL";"TAB5",#N/A,TRUE,"GENERAL"}</definedName>
    <definedName name="_____b5" localSheetId="16" hidden="1">{"TAB1",#N/A,TRUE,"GENERAL";"TAB2",#N/A,TRUE,"GENERAL";"TAB3",#N/A,TRUE,"GENERAL";"TAB4",#N/A,TRUE,"GENERAL";"TAB5",#N/A,TRUE,"GENERAL"}</definedName>
    <definedName name="_____b5" localSheetId="17" hidden="1">{"TAB1",#N/A,TRUE,"GENERAL";"TAB2",#N/A,TRUE,"GENERAL";"TAB3",#N/A,TRUE,"GENERAL";"TAB4",#N/A,TRUE,"GENERAL";"TAB5",#N/A,TRUE,"GENERAL"}</definedName>
    <definedName name="_____b5" localSheetId="13" hidden="1">{"TAB1",#N/A,TRUE,"GENERAL";"TAB2",#N/A,TRUE,"GENERAL";"TAB3",#N/A,TRUE,"GENERAL";"TAB4",#N/A,TRUE,"GENERAL";"TAB5",#N/A,TRUE,"GENERAL"}</definedName>
    <definedName name="_____b5" localSheetId="15" hidden="1">{"TAB1",#N/A,TRUE,"GENERAL";"TAB2",#N/A,TRUE,"GENERAL";"TAB3",#N/A,TRUE,"GENERAL";"TAB4",#N/A,TRUE,"GENERAL";"TAB5",#N/A,TRUE,"GENERAL"}</definedName>
    <definedName name="_____b5" hidden="1">{"TAB1",#N/A,TRUE,"GENERAL";"TAB2",#N/A,TRUE,"GENERAL";"TAB3",#N/A,TRUE,"GENERAL";"TAB4",#N/A,TRUE,"GENERAL";"TAB5",#N/A,TRUE,"GENERAL"}</definedName>
    <definedName name="_____b6" localSheetId="14" hidden="1">{"TAB1",#N/A,TRUE,"GENERAL";"TAB2",#N/A,TRUE,"GENERAL";"TAB3",#N/A,TRUE,"GENERAL";"TAB4",#N/A,TRUE,"GENERAL";"TAB5",#N/A,TRUE,"GENERAL"}</definedName>
    <definedName name="_____b6" localSheetId="16" hidden="1">{"TAB1",#N/A,TRUE,"GENERAL";"TAB2",#N/A,TRUE,"GENERAL";"TAB3",#N/A,TRUE,"GENERAL";"TAB4",#N/A,TRUE,"GENERAL";"TAB5",#N/A,TRUE,"GENERAL"}</definedName>
    <definedName name="_____b6" localSheetId="17" hidden="1">{"TAB1",#N/A,TRUE,"GENERAL";"TAB2",#N/A,TRUE,"GENERAL";"TAB3",#N/A,TRUE,"GENERAL";"TAB4",#N/A,TRUE,"GENERAL";"TAB5",#N/A,TRUE,"GENERAL"}</definedName>
    <definedName name="_____b6" localSheetId="13" hidden="1">{"TAB1",#N/A,TRUE,"GENERAL";"TAB2",#N/A,TRUE,"GENERAL";"TAB3",#N/A,TRUE,"GENERAL";"TAB4",#N/A,TRUE,"GENERAL";"TAB5",#N/A,TRUE,"GENERAL"}</definedName>
    <definedName name="_____b6" localSheetId="15" hidden="1">{"TAB1",#N/A,TRUE,"GENERAL";"TAB2",#N/A,TRUE,"GENERAL";"TAB3",#N/A,TRUE,"GENERAL";"TAB4",#N/A,TRUE,"GENERAL";"TAB5",#N/A,TRUE,"GENERAL"}</definedName>
    <definedName name="_____b6" hidden="1">{"TAB1",#N/A,TRUE,"GENERAL";"TAB2",#N/A,TRUE,"GENERAL";"TAB3",#N/A,TRUE,"GENERAL";"TAB4",#N/A,TRUE,"GENERAL";"TAB5",#N/A,TRUE,"GENERAL"}</definedName>
    <definedName name="_____b7" localSheetId="14" hidden="1">{"via1",#N/A,TRUE,"general";"via2",#N/A,TRUE,"general";"via3",#N/A,TRUE,"general"}</definedName>
    <definedName name="_____b7" localSheetId="16" hidden="1">{"via1",#N/A,TRUE,"general";"via2",#N/A,TRUE,"general";"via3",#N/A,TRUE,"general"}</definedName>
    <definedName name="_____b7" localSheetId="17" hidden="1">{"via1",#N/A,TRUE,"general";"via2",#N/A,TRUE,"general";"via3",#N/A,TRUE,"general"}</definedName>
    <definedName name="_____b7" localSheetId="13" hidden="1">{"via1",#N/A,TRUE,"general";"via2",#N/A,TRUE,"general";"via3",#N/A,TRUE,"general"}</definedName>
    <definedName name="_____b7" localSheetId="15" hidden="1">{"via1",#N/A,TRUE,"general";"via2",#N/A,TRUE,"general";"via3",#N/A,TRUE,"general"}</definedName>
    <definedName name="_____b7" hidden="1">{"via1",#N/A,TRUE,"general";"via2",#N/A,TRUE,"general";"via3",#N/A,TRUE,"general"}</definedName>
    <definedName name="_____b8" localSheetId="14" hidden="1">{"via1",#N/A,TRUE,"general";"via2",#N/A,TRUE,"general";"via3",#N/A,TRUE,"general"}</definedName>
    <definedName name="_____b8" localSheetId="16" hidden="1">{"via1",#N/A,TRUE,"general";"via2",#N/A,TRUE,"general";"via3",#N/A,TRUE,"general"}</definedName>
    <definedName name="_____b8" localSheetId="17" hidden="1">{"via1",#N/A,TRUE,"general";"via2",#N/A,TRUE,"general";"via3",#N/A,TRUE,"general"}</definedName>
    <definedName name="_____b8" localSheetId="13" hidden="1">{"via1",#N/A,TRUE,"general";"via2",#N/A,TRUE,"general";"via3",#N/A,TRUE,"general"}</definedName>
    <definedName name="_____b8" localSheetId="15" hidden="1">{"via1",#N/A,TRUE,"general";"via2",#N/A,TRUE,"general";"via3",#N/A,TRUE,"general"}</definedName>
    <definedName name="_____b8" hidden="1">{"via1",#N/A,TRUE,"general";"via2",#N/A,TRUE,"general";"via3",#N/A,TRUE,"general"}</definedName>
    <definedName name="_____BAZ10" localSheetId="3">#REF!</definedName>
    <definedName name="_____BAZ10" localSheetId="30">#REF!</definedName>
    <definedName name="_____BAZ10" localSheetId="31">#REF!</definedName>
    <definedName name="_____BAZ10" localSheetId="29">#REF!</definedName>
    <definedName name="_____BAZ10">#REF!</definedName>
    <definedName name="_____bb9" localSheetId="14" hidden="1">{"TAB1",#N/A,TRUE,"GENERAL";"TAB2",#N/A,TRUE,"GENERAL";"TAB3",#N/A,TRUE,"GENERAL";"TAB4",#N/A,TRUE,"GENERAL";"TAB5",#N/A,TRUE,"GENERAL"}</definedName>
    <definedName name="_____bb9" localSheetId="16" hidden="1">{"TAB1",#N/A,TRUE,"GENERAL";"TAB2",#N/A,TRUE,"GENERAL";"TAB3",#N/A,TRUE,"GENERAL";"TAB4",#N/A,TRUE,"GENERAL";"TAB5",#N/A,TRUE,"GENERAL"}</definedName>
    <definedName name="_____bb9" localSheetId="17" hidden="1">{"TAB1",#N/A,TRUE,"GENERAL";"TAB2",#N/A,TRUE,"GENERAL";"TAB3",#N/A,TRUE,"GENERAL";"TAB4",#N/A,TRUE,"GENERAL";"TAB5",#N/A,TRUE,"GENERAL"}</definedName>
    <definedName name="_____bb9" localSheetId="13" hidden="1">{"TAB1",#N/A,TRUE,"GENERAL";"TAB2",#N/A,TRUE,"GENERAL";"TAB3",#N/A,TRUE,"GENERAL";"TAB4",#N/A,TRUE,"GENERAL";"TAB5",#N/A,TRUE,"GENERAL"}</definedName>
    <definedName name="_____bb9" localSheetId="15" hidden="1">{"TAB1",#N/A,TRUE,"GENERAL";"TAB2",#N/A,TRUE,"GENERAL";"TAB3",#N/A,TRUE,"GENERAL";"TAB4",#N/A,TRUE,"GENERAL";"TAB5",#N/A,TRUE,"GENERAL"}</definedName>
    <definedName name="_____bb9" hidden="1">{"TAB1",#N/A,TRUE,"GENERAL";"TAB2",#N/A,TRUE,"GENERAL";"TAB3",#N/A,TRUE,"GENERAL";"TAB4",#N/A,TRUE,"GENERAL";"TAB5",#N/A,TRUE,"GENERAL"}</definedName>
    <definedName name="_____bgb5" localSheetId="14" hidden="1">{"TAB1",#N/A,TRUE,"GENERAL";"TAB2",#N/A,TRUE,"GENERAL";"TAB3",#N/A,TRUE,"GENERAL";"TAB4",#N/A,TRUE,"GENERAL";"TAB5",#N/A,TRUE,"GENERAL"}</definedName>
    <definedName name="_____bgb5" localSheetId="16" hidden="1">{"TAB1",#N/A,TRUE,"GENERAL";"TAB2",#N/A,TRUE,"GENERAL";"TAB3",#N/A,TRUE,"GENERAL";"TAB4",#N/A,TRUE,"GENERAL";"TAB5",#N/A,TRUE,"GENERAL"}</definedName>
    <definedName name="_____bgb5" localSheetId="17" hidden="1">{"TAB1",#N/A,TRUE,"GENERAL";"TAB2",#N/A,TRUE,"GENERAL";"TAB3",#N/A,TRUE,"GENERAL";"TAB4",#N/A,TRUE,"GENERAL";"TAB5",#N/A,TRUE,"GENERAL"}</definedName>
    <definedName name="_____bgb5" localSheetId="13" hidden="1">{"TAB1",#N/A,TRUE,"GENERAL";"TAB2",#N/A,TRUE,"GENERAL";"TAB3",#N/A,TRUE,"GENERAL";"TAB4",#N/A,TRUE,"GENERAL";"TAB5",#N/A,TRUE,"GENERAL"}</definedName>
    <definedName name="_____bgb5" localSheetId="15"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BLO20" localSheetId="3">#REF!</definedName>
    <definedName name="_____BLO20" localSheetId="30">#REF!</definedName>
    <definedName name="_____BLO20" localSheetId="31">#REF!</definedName>
    <definedName name="_____BLO20" localSheetId="29">#REF!</definedName>
    <definedName name="_____BLO20">#REF!</definedName>
    <definedName name="_____C2254JH" localSheetId="3">#REF!</definedName>
    <definedName name="_____C2254JH" localSheetId="30">#REF!</definedName>
    <definedName name="_____C2254JH" localSheetId="31">#REF!</definedName>
    <definedName name="_____C2254JH" localSheetId="29">#REF!</definedName>
    <definedName name="_____C2254JH">#REF!</definedName>
    <definedName name="_____C2256JH" localSheetId="3">#REF!</definedName>
    <definedName name="_____C2256JH" localSheetId="30">#REF!</definedName>
    <definedName name="_____C2256JH" localSheetId="31">#REF!</definedName>
    <definedName name="_____C2256JH" localSheetId="29">#REF!</definedName>
    <definedName name="_____C2256JH">#REF!</definedName>
    <definedName name="_____C452JH" localSheetId="3">#REF!</definedName>
    <definedName name="_____C452JH" localSheetId="30">#REF!</definedName>
    <definedName name="_____C452JH" localSheetId="31">#REF!</definedName>
    <definedName name="_____C452JH" localSheetId="29">#REF!</definedName>
    <definedName name="_____C452JH">#REF!</definedName>
    <definedName name="_____C903L" localSheetId="3">#REF!</definedName>
    <definedName name="_____C903L" localSheetId="30">#REF!</definedName>
    <definedName name="_____C903L" localSheetId="31">#REF!</definedName>
    <definedName name="_____C903L" localSheetId="29">#REF!</definedName>
    <definedName name="_____C903L">#REF!</definedName>
    <definedName name="_____C908J" localSheetId="3">#REF!</definedName>
    <definedName name="_____C908J">#REF!</definedName>
    <definedName name="_____CAC1">[1]INV!$A$19:$D$22</definedName>
    <definedName name="_____CAC3">[1]INV!$F$19:$I$22</definedName>
    <definedName name="_____CAC5">[1]INV!$K$19:$N$22</definedName>
    <definedName name="_____CAN28">#REF!</definedName>
    <definedName name="_____Cod1" localSheetId="3">#REF!</definedName>
    <definedName name="_____Cod1" localSheetId="30">#REF!</definedName>
    <definedName name="_____Cod1" localSheetId="31">#REF!</definedName>
    <definedName name="_____Cod1" localSheetId="29">#REF!</definedName>
    <definedName name="_____Cod1">#REF!</definedName>
    <definedName name="_____CUA44">#REF!</definedName>
    <definedName name="_____EEF110" localSheetId="3">#REF!</definedName>
    <definedName name="_____EEF110" localSheetId="30">#REF!</definedName>
    <definedName name="_____EEF110" localSheetId="31">#REF!</definedName>
    <definedName name="_____EEF110" localSheetId="29">#REF!</definedName>
    <definedName name="_____EEF110">#REF!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TF315" localSheetId="3">#REF!</definedName>
    <definedName name="_____ETF315" localSheetId="30">#REF!</definedName>
    <definedName name="_____ETF315" localSheetId="31">#REF!</definedName>
    <definedName name="_____ETF315" localSheetId="29">#REF!</definedName>
    <definedName name="_____ETF315">#REF!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 localSheetId="3">#REF!</definedName>
    <definedName name="_____FYB02" localSheetId="30">#REF!</definedName>
    <definedName name="_____FYB02" localSheetId="31">#REF!</definedName>
    <definedName name="_____FYB02" localSheetId="29">#REF!</definedName>
    <definedName name="_____FYB02">#REF!</definedName>
    <definedName name="_____FYB03" localSheetId="3">#REF!</definedName>
    <definedName name="_____FYB03" localSheetId="30">#REF!</definedName>
    <definedName name="_____FYB03" localSheetId="31">#REF!</definedName>
    <definedName name="_____FYB03" localSheetId="29">#REF!</definedName>
    <definedName name="_____FYB03">#REF!</definedName>
    <definedName name="_____FYB10" localSheetId="3">#REF!</definedName>
    <definedName name="_____FYB10" localSheetId="30">#REF!</definedName>
    <definedName name="_____FYB10" localSheetId="31">#REF!</definedName>
    <definedName name="_____FYB10" localSheetId="29">#REF!</definedName>
    <definedName name="_____FYB10">#REF!</definedName>
    <definedName name="_____g2" localSheetId="14" hidden="1">{"TAB1",#N/A,TRUE,"GENERAL";"TAB2",#N/A,TRUE,"GENERAL";"TAB3",#N/A,TRUE,"GENERAL";"TAB4",#N/A,TRUE,"GENERAL";"TAB5",#N/A,TRUE,"GENERAL"}</definedName>
    <definedName name="_____g2" localSheetId="16" hidden="1">{"TAB1",#N/A,TRUE,"GENERAL";"TAB2",#N/A,TRUE,"GENERAL";"TAB3",#N/A,TRUE,"GENERAL";"TAB4",#N/A,TRUE,"GENERAL";"TAB5",#N/A,TRUE,"GENERAL"}</definedName>
    <definedName name="_____g2" localSheetId="17" hidden="1">{"TAB1",#N/A,TRUE,"GENERAL";"TAB2",#N/A,TRUE,"GENERAL";"TAB3",#N/A,TRUE,"GENERAL";"TAB4",#N/A,TRUE,"GENERAL";"TAB5",#N/A,TRUE,"GENERAL"}</definedName>
    <definedName name="_____g2" localSheetId="13" hidden="1">{"TAB1",#N/A,TRUE,"GENERAL";"TAB2",#N/A,TRUE,"GENERAL";"TAB3",#N/A,TRUE,"GENERAL";"TAB4",#N/A,TRUE,"GENERAL";"TAB5",#N/A,TRUE,"GENERAL"}</definedName>
    <definedName name="_____g2" localSheetId="15" hidden="1">{"TAB1",#N/A,TRUE,"GENERAL";"TAB2",#N/A,TRUE,"GENERAL";"TAB3",#N/A,TRUE,"GENERAL";"TAB4",#N/A,TRUE,"GENERAL";"TAB5",#N/A,TRUE,"GENERAL"}</definedName>
    <definedName name="_____g2" hidden="1">{"TAB1",#N/A,TRUE,"GENERAL";"TAB2",#N/A,TRUE,"GENERAL";"TAB3",#N/A,TRUE,"GENERAL";"TAB4",#N/A,TRUE,"GENERAL";"TAB5",#N/A,TRUE,"GENERAL"}</definedName>
    <definedName name="_____g3" localSheetId="14" hidden="1">{"via1",#N/A,TRUE,"general";"via2",#N/A,TRUE,"general";"via3",#N/A,TRUE,"general"}</definedName>
    <definedName name="_____g3" localSheetId="16" hidden="1">{"via1",#N/A,TRUE,"general";"via2",#N/A,TRUE,"general";"via3",#N/A,TRUE,"general"}</definedName>
    <definedName name="_____g3" localSheetId="17" hidden="1">{"via1",#N/A,TRUE,"general";"via2",#N/A,TRUE,"general";"via3",#N/A,TRUE,"general"}</definedName>
    <definedName name="_____g3" localSheetId="13" hidden="1">{"via1",#N/A,TRUE,"general";"via2",#N/A,TRUE,"general";"via3",#N/A,TRUE,"general"}</definedName>
    <definedName name="_____g3" localSheetId="15" hidden="1">{"via1",#N/A,TRUE,"general";"via2",#N/A,TRUE,"general";"via3",#N/A,TRUE,"general"}</definedName>
    <definedName name="_____g3" hidden="1">{"via1",#N/A,TRUE,"general";"via2",#N/A,TRUE,"general";"via3",#N/A,TRUE,"general"}</definedName>
    <definedName name="_____g4" localSheetId="14" hidden="1">{"via1",#N/A,TRUE,"general";"via2",#N/A,TRUE,"general";"via3",#N/A,TRUE,"general"}</definedName>
    <definedName name="_____g4" localSheetId="16" hidden="1">{"via1",#N/A,TRUE,"general";"via2",#N/A,TRUE,"general";"via3",#N/A,TRUE,"general"}</definedName>
    <definedName name="_____g4" localSheetId="17" hidden="1">{"via1",#N/A,TRUE,"general";"via2",#N/A,TRUE,"general";"via3",#N/A,TRUE,"general"}</definedName>
    <definedName name="_____g4" localSheetId="13" hidden="1">{"via1",#N/A,TRUE,"general";"via2",#N/A,TRUE,"general";"via3",#N/A,TRUE,"general"}</definedName>
    <definedName name="_____g4" localSheetId="15" hidden="1">{"via1",#N/A,TRUE,"general";"via2",#N/A,TRUE,"general";"via3",#N/A,TRUE,"general"}</definedName>
    <definedName name="_____g4" hidden="1">{"via1",#N/A,TRUE,"general";"via2",#N/A,TRUE,"general";"via3",#N/A,TRUE,"general"}</definedName>
    <definedName name="_____g5" localSheetId="14" hidden="1">{"via1",#N/A,TRUE,"general";"via2",#N/A,TRUE,"general";"via3",#N/A,TRUE,"general"}</definedName>
    <definedName name="_____g5" localSheetId="16" hidden="1">{"via1",#N/A,TRUE,"general";"via2",#N/A,TRUE,"general";"via3",#N/A,TRUE,"general"}</definedName>
    <definedName name="_____g5" localSheetId="17" hidden="1">{"via1",#N/A,TRUE,"general";"via2",#N/A,TRUE,"general";"via3",#N/A,TRUE,"general"}</definedName>
    <definedName name="_____g5" localSheetId="13" hidden="1">{"via1",#N/A,TRUE,"general";"via2",#N/A,TRUE,"general";"via3",#N/A,TRUE,"general"}</definedName>
    <definedName name="_____g5" localSheetId="15" hidden="1">{"via1",#N/A,TRUE,"general";"via2",#N/A,TRUE,"general";"via3",#N/A,TRUE,"general"}</definedName>
    <definedName name="_____g5" hidden="1">{"via1",#N/A,TRUE,"general";"via2",#N/A,TRUE,"general";"via3",#N/A,TRUE,"general"}</definedName>
    <definedName name="_____g6" localSheetId="14" hidden="1">{"via1",#N/A,TRUE,"general";"via2",#N/A,TRUE,"general";"via3",#N/A,TRUE,"general"}</definedName>
    <definedName name="_____g6" localSheetId="16" hidden="1">{"via1",#N/A,TRUE,"general";"via2",#N/A,TRUE,"general";"via3",#N/A,TRUE,"general"}</definedName>
    <definedName name="_____g6" localSheetId="17" hidden="1">{"via1",#N/A,TRUE,"general";"via2",#N/A,TRUE,"general";"via3",#N/A,TRUE,"general"}</definedName>
    <definedName name="_____g6" localSheetId="13" hidden="1">{"via1",#N/A,TRUE,"general";"via2",#N/A,TRUE,"general";"via3",#N/A,TRUE,"general"}</definedName>
    <definedName name="_____g6" localSheetId="15" hidden="1">{"via1",#N/A,TRUE,"general";"via2",#N/A,TRUE,"general";"via3",#N/A,TRUE,"general"}</definedName>
    <definedName name="_____g6" hidden="1">{"via1",#N/A,TRUE,"general";"via2",#N/A,TRUE,"general";"via3",#N/A,TRUE,"general"}</definedName>
    <definedName name="_____g7" localSheetId="14" hidden="1">{"TAB1",#N/A,TRUE,"GENERAL";"TAB2",#N/A,TRUE,"GENERAL";"TAB3",#N/A,TRUE,"GENERAL";"TAB4",#N/A,TRUE,"GENERAL";"TAB5",#N/A,TRUE,"GENERAL"}</definedName>
    <definedName name="_____g7" localSheetId="16" hidden="1">{"TAB1",#N/A,TRUE,"GENERAL";"TAB2",#N/A,TRUE,"GENERAL";"TAB3",#N/A,TRUE,"GENERAL";"TAB4",#N/A,TRUE,"GENERAL";"TAB5",#N/A,TRUE,"GENERAL"}</definedName>
    <definedName name="_____g7" localSheetId="17" hidden="1">{"TAB1",#N/A,TRUE,"GENERAL";"TAB2",#N/A,TRUE,"GENERAL";"TAB3",#N/A,TRUE,"GENERAL";"TAB4",#N/A,TRUE,"GENERAL";"TAB5",#N/A,TRUE,"GENERAL"}</definedName>
    <definedName name="_____g7" localSheetId="13" hidden="1">{"TAB1",#N/A,TRUE,"GENERAL";"TAB2",#N/A,TRUE,"GENERAL";"TAB3",#N/A,TRUE,"GENERAL";"TAB4",#N/A,TRUE,"GENERAL";"TAB5",#N/A,TRUE,"GENERAL"}</definedName>
    <definedName name="_____g7" localSheetId="15" hidden="1">{"TAB1",#N/A,TRUE,"GENERAL";"TAB2",#N/A,TRUE,"GENERAL";"TAB3",#N/A,TRUE,"GENERAL";"TAB4",#N/A,TRUE,"GENERAL";"TAB5",#N/A,TRUE,"GENERAL"}</definedName>
    <definedName name="_____g7" hidden="1">{"TAB1",#N/A,TRUE,"GENERAL";"TAB2",#N/A,TRUE,"GENERAL";"TAB3",#N/A,TRUE,"GENERAL";"TAB4",#N/A,TRUE,"GENERAL";"TAB5",#N/A,TRUE,"GENERAL"}</definedName>
    <definedName name="_____GR1" localSheetId="14" hidden="1">{"TAB1",#N/A,TRUE,"GENERAL";"TAB2",#N/A,TRUE,"GENERAL";"TAB3",#N/A,TRUE,"GENERAL";"TAB4",#N/A,TRUE,"GENERAL";"TAB5",#N/A,TRUE,"GENERAL"}</definedName>
    <definedName name="_____GR1" localSheetId="16" hidden="1">{"TAB1",#N/A,TRUE,"GENERAL";"TAB2",#N/A,TRUE,"GENERAL";"TAB3",#N/A,TRUE,"GENERAL";"TAB4",#N/A,TRUE,"GENERAL";"TAB5",#N/A,TRUE,"GENERAL"}</definedName>
    <definedName name="_____GR1" localSheetId="17" hidden="1">{"TAB1",#N/A,TRUE,"GENERAL";"TAB2",#N/A,TRUE,"GENERAL";"TAB3",#N/A,TRUE,"GENERAL";"TAB4",#N/A,TRUE,"GENERAL";"TAB5",#N/A,TRUE,"GENERAL"}</definedName>
    <definedName name="_____GR1" localSheetId="13" hidden="1">{"TAB1",#N/A,TRUE,"GENERAL";"TAB2",#N/A,TRUE,"GENERAL";"TAB3",#N/A,TRUE,"GENERAL";"TAB4",#N/A,TRUE,"GENERAL";"TAB5",#N/A,TRUE,"GENERAL"}</definedName>
    <definedName name="_____GR1" localSheetId="15" hidden="1">{"TAB1",#N/A,TRUE,"GENERAL";"TAB2",#N/A,TRUE,"GENERAL";"TAB3",#N/A,TRUE,"GENERAL";"TAB4",#N/A,TRUE,"GENERAL";"TAB5",#N/A,TRUE,"GENERAL"}</definedName>
    <definedName name="_____GR1" hidden="1">{"TAB1",#N/A,TRUE,"GENERAL";"TAB2",#N/A,TRUE,"GENERAL";"TAB3",#N/A,TRUE,"GENERAL";"TAB4",#N/A,TRUE,"GENERAL";"TAB5",#N/A,TRUE,"GENERAL"}</definedName>
    <definedName name="_____gtr4" localSheetId="14" hidden="1">{"via1",#N/A,TRUE,"general";"via2",#N/A,TRUE,"general";"via3",#N/A,TRUE,"general"}</definedName>
    <definedName name="_____gtr4" localSheetId="16" hidden="1">{"via1",#N/A,TRUE,"general";"via2",#N/A,TRUE,"general";"via3",#N/A,TRUE,"general"}</definedName>
    <definedName name="_____gtr4" localSheetId="17" hidden="1">{"via1",#N/A,TRUE,"general";"via2",#N/A,TRUE,"general";"via3",#N/A,TRUE,"general"}</definedName>
    <definedName name="_____gtr4" localSheetId="13" hidden="1">{"via1",#N/A,TRUE,"general";"via2",#N/A,TRUE,"general";"via3",#N/A,TRUE,"general"}</definedName>
    <definedName name="_____gtr4" localSheetId="15" hidden="1">{"via1",#N/A,TRUE,"general";"via2",#N/A,TRUE,"general";"via3",#N/A,TRUE,"general"}</definedName>
    <definedName name="_____gtr4" hidden="1">{"via1",#N/A,TRUE,"general";"via2",#N/A,TRUE,"general";"via3",#N/A,TRUE,"general"}</definedName>
    <definedName name="_____h2" localSheetId="14" hidden="1">{"via1",#N/A,TRUE,"general";"via2",#N/A,TRUE,"general";"via3",#N/A,TRUE,"general"}</definedName>
    <definedName name="_____h2" localSheetId="16" hidden="1">{"via1",#N/A,TRUE,"general";"via2",#N/A,TRUE,"general";"via3",#N/A,TRUE,"general"}</definedName>
    <definedName name="_____h2" localSheetId="17" hidden="1">{"via1",#N/A,TRUE,"general";"via2",#N/A,TRUE,"general";"via3",#N/A,TRUE,"general"}</definedName>
    <definedName name="_____h2" localSheetId="13" hidden="1">{"via1",#N/A,TRUE,"general";"via2",#N/A,TRUE,"general";"via3",#N/A,TRUE,"general"}</definedName>
    <definedName name="_____h2" localSheetId="15" hidden="1">{"via1",#N/A,TRUE,"general";"via2",#N/A,TRUE,"general";"via3",#N/A,TRUE,"general"}</definedName>
    <definedName name="_____h2" hidden="1">{"via1",#N/A,TRUE,"general";"via2",#N/A,TRUE,"general";"via3",#N/A,TRUE,"general"}</definedName>
    <definedName name="_____h3" localSheetId="14" hidden="1">{"via1",#N/A,TRUE,"general";"via2",#N/A,TRUE,"general";"via3",#N/A,TRUE,"general"}</definedName>
    <definedName name="_____h3" localSheetId="16" hidden="1">{"via1",#N/A,TRUE,"general";"via2",#N/A,TRUE,"general";"via3",#N/A,TRUE,"general"}</definedName>
    <definedName name="_____h3" localSheetId="17" hidden="1">{"via1",#N/A,TRUE,"general";"via2",#N/A,TRUE,"general";"via3",#N/A,TRUE,"general"}</definedName>
    <definedName name="_____h3" localSheetId="13" hidden="1">{"via1",#N/A,TRUE,"general";"via2",#N/A,TRUE,"general";"via3",#N/A,TRUE,"general"}</definedName>
    <definedName name="_____h3" localSheetId="15" hidden="1">{"via1",#N/A,TRUE,"general";"via2",#N/A,TRUE,"general";"via3",#N/A,TRUE,"general"}</definedName>
    <definedName name="_____h3" hidden="1">{"via1",#N/A,TRUE,"general";"via2",#N/A,TRUE,"general";"via3",#N/A,TRUE,"general"}</definedName>
    <definedName name="_____h4" localSheetId="14" hidden="1">{"TAB1",#N/A,TRUE,"GENERAL";"TAB2",#N/A,TRUE,"GENERAL";"TAB3",#N/A,TRUE,"GENERAL";"TAB4",#N/A,TRUE,"GENERAL";"TAB5",#N/A,TRUE,"GENERAL"}</definedName>
    <definedName name="_____h4" localSheetId="16" hidden="1">{"TAB1",#N/A,TRUE,"GENERAL";"TAB2",#N/A,TRUE,"GENERAL";"TAB3",#N/A,TRUE,"GENERAL";"TAB4",#N/A,TRUE,"GENERAL";"TAB5",#N/A,TRUE,"GENERAL"}</definedName>
    <definedName name="_____h4" localSheetId="17" hidden="1">{"TAB1",#N/A,TRUE,"GENERAL";"TAB2",#N/A,TRUE,"GENERAL";"TAB3",#N/A,TRUE,"GENERAL";"TAB4",#N/A,TRUE,"GENERAL";"TAB5",#N/A,TRUE,"GENERAL"}</definedName>
    <definedName name="_____h4" localSheetId="13" hidden="1">{"TAB1",#N/A,TRUE,"GENERAL";"TAB2",#N/A,TRUE,"GENERAL";"TAB3",#N/A,TRUE,"GENERAL";"TAB4",#N/A,TRUE,"GENERAL";"TAB5",#N/A,TRUE,"GENERAL"}</definedName>
    <definedName name="_____h4" localSheetId="15" hidden="1">{"TAB1",#N/A,TRUE,"GENERAL";"TAB2",#N/A,TRUE,"GENERAL";"TAB3",#N/A,TRUE,"GENERAL";"TAB4",#N/A,TRUE,"GENERAL";"TAB5",#N/A,TRUE,"GENERAL"}</definedName>
    <definedName name="_____h4" hidden="1">{"TAB1",#N/A,TRUE,"GENERAL";"TAB2",#N/A,TRUE,"GENERAL";"TAB3",#N/A,TRUE,"GENERAL";"TAB4",#N/A,TRUE,"GENERAL";"TAB5",#N/A,TRUE,"GENERAL"}</definedName>
    <definedName name="_____h5" localSheetId="14" hidden="1">{"TAB1",#N/A,TRUE,"GENERAL";"TAB2",#N/A,TRUE,"GENERAL";"TAB3",#N/A,TRUE,"GENERAL";"TAB4",#N/A,TRUE,"GENERAL";"TAB5",#N/A,TRUE,"GENERAL"}</definedName>
    <definedName name="_____h5" localSheetId="16" hidden="1">{"TAB1",#N/A,TRUE,"GENERAL";"TAB2",#N/A,TRUE,"GENERAL";"TAB3",#N/A,TRUE,"GENERAL";"TAB4",#N/A,TRUE,"GENERAL";"TAB5",#N/A,TRUE,"GENERAL"}</definedName>
    <definedName name="_____h5" localSheetId="17" hidden="1">{"TAB1",#N/A,TRUE,"GENERAL";"TAB2",#N/A,TRUE,"GENERAL";"TAB3",#N/A,TRUE,"GENERAL";"TAB4",#N/A,TRUE,"GENERAL";"TAB5",#N/A,TRUE,"GENERAL"}</definedName>
    <definedName name="_____h5" localSheetId="13" hidden="1">{"TAB1",#N/A,TRUE,"GENERAL";"TAB2",#N/A,TRUE,"GENERAL";"TAB3",#N/A,TRUE,"GENERAL";"TAB4",#N/A,TRUE,"GENERAL";"TAB5",#N/A,TRUE,"GENERAL"}</definedName>
    <definedName name="_____h5" localSheetId="15" hidden="1">{"TAB1",#N/A,TRUE,"GENERAL";"TAB2",#N/A,TRUE,"GENERAL";"TAB3",#N/A,TRUE,"GENERAL";"TAB4",#N/A,TRUE,"GENERAL";"TAB5",#N/A,TRUE,"GENERAL"}</definedName>
    <definedName name="_____h5" hidden="1">{"TAB1",#N/A,TRUE,"GENERAL";"TAB2",#N/A,TRUE,"GENERAL";"TAB3",#N/A,TRUE,"GENERAL";"TAB4",#N/A,TRUE,"GENERAL";"TAB5",#N/A,TRUE,"GENERAL"}</definedName>
    <definedName name="_____h6" localSheetId="14" hidden="1">{"via1",#N/A,TRUE,"general";"via2",#N/A,TRUE,"general";"via3",#N/A,TRUE,"general"}</definedName>
    <definedName name="_____h6" localSheetId="16" hidden="1">{"via1",#N/A,TRUE,"general";"via2",#N/A,TRUE,"general";"via3",#N/A,TRUE,"general"}</definedName>
    <definedName name="_____h6" localSheetId="17" hidden="1">{"via1",#N/A,TRUE,"general";"via2",#N/A,TRUE,"general";"via3",#N/A,TRUE,"general"}</definedName>
    <definedName name="_____h6" localSheetId="13" hidden="1">{"via1",#N/A,TRUE,"general";"via2",#N/A,TRUE,"general";"via3",#N/A,TRUE,"general"}</definedName>
    <definedName name="_____h6" localSheetId="15" hidden="1">{"via1",#N/A,TRUE,"general";"via2",#N/A,TRUE,"general";"via3",#N/A,TRUE,"general"}</definedName>
    <definedName name="_____h6" hidden="1">{"via1",#N/A,TRUE,"general";"via2",#N/A,TRUE,"general";"via3",#N/A,TRUE,"general"}</definedName>
    <definedName name="_____h7" localSheetId="14" hidden="1">{"TAB1",#N/A,TRUE,"GENERAL";"TAB2",#N/A,TRUE,"GENERAL";"TAB3",#N/A,TRUE,"GENERAL";"TAB4",#N/A,TRUE,"GENERAL";"TAB5",#N/A,TRUE,"GENERAL"}</definedName>
    <definedName name="_____h7" localSheetId="16" hidden="1">{"TAB1",#N/A,TRUE,"GENERAL";"TAB2",#N/A,TRUE,"GENERAL";"TAB3",#N/A,TRUE,"GENERAL";"TAB4",#N/A,TRUE,"GENERAL";"TAB5",#N/A,TRUE,"GENERAL"}</definedName>
    <definedName name="_____h7" localSheetId="17" hidden="1">{"TAB1",#N/A,TRUE,"GENERAL";"TAB2",#N/A,TRUE,"GENERAL";"TAB3",#N/A,TRUE,"GENERAL";"TAB4",#N/A,TRUE,"GENERAL";"TAB5",#N/A,TRUE,"GENERAL"}</definedName>
    <definedName name="_____h7" localSheetId="13" hidden="1">{"TAB1",#N/A,TRUE,"GENERAL";"TAB2",#N/A,TRUE,"GENERAL";"TAB3",#N/A,TRUE,"GENERAL";"TAB4",#N/A,TRUE,"GENERAL";"TAB5",#N/A,TRUE,"GENERAL"}</definedName>
    <definedName name="_____h7" localSheetId="15" hidden="1">{"TAB1",#N/A,TRUE,"GENERAL";"TAB2",#N/A,TRUE,"GENERAL";"TAB3",#N/A,TRUE,"GENERAL";"TAB4",#N/A,TRUE,"GENERAL";"TAB5",#N/A,TRUE,"GENERAL"}</definedName>
    <definedName name="_____h7" hidden="1">{"TAB1",#N/A,TRUE,"GENERAL";"TAB2",#N/A,TRUE,"GENERAL";"TAB3",#N/A,TRUE,"GENERAL";"TAB4",#N/A,TRUE,"GENERAL";"TAB5",#N/A,TRUE,"GENERAL"}</definedName>
    <definedName name="_____h8" localSheetId="14" hidden="1">{"via1",#N/A,TRUE,"general";"via2",#N/A,TRUE,"general";"via3",#N/A,TRUE,"general"}</definedName>
    <definedName name="_____h8" localSheetId="16" hidden="1">{"via1",#N/A,TRUE,"general";"via2",#N/A,TRUE,"general";"via3",#N/A,TRUE,"general"}</definedName>
    <definedName name="_____h8" localSheetId="17" hidden="1">{"via1",#N/A,TRUE,"general";"via2",#N/A,TRUE,"general";"via3",#N/A,TRUE,"general"}</definedName>
    <definedName name="_____h8" localSheetId="13" hidden="1">{"via1",#N/A,TRUE,"general";"via2",#N/A,TRUE,"general";"via3",#N/A,TRUE,"general"}</definedName>
    <definedName name="_____h8" localSheetId="15" hidden="1">{"via1",#N/A,TRUE,"general";"via2",#N/A,TRUE,"general";"via3",#N/A,TRUE,"general"}</definedName>
    <definedName name="_____h8" hidden="1">{"via1",#N/A,TRUE,"general";"via2",#N/A,TRUE,"general";"via3",#N/A,TRUE,"general"}</definedName>
    <definedName name="_____hfh7" localSheetId="14" hidden="1">{"via1",#N/A,TRUE,"general";"via2",#N/A,TRUE,"general";"via3",#N/A,TRUE,"general"}</definedName>
    <definedName name="_____hfh7" localSheetId="16" hidden="1">{"via1",#N/A,TRUE,"general";"via2",#N/A,TRUE,"general";"via3",#N/A,TRUE,"general"}</definedName>
    <definedName name="_____hfh7" localSheetId="17" hidden="1">{"via1",#N/A,TRUE,"general";"via2",#N/A,TRUE,"general";"via3",#N/A,TRUE,"general"}</definedName>
    <definedName name="_____hfh7" localSheetId="13" hidden="1">{"via1",#N/A,TRUE,"general";"via2",#N/A,TRUE,"general";"via3",#N/A,TRUE,"general"}</definedName>
    <definedName name="_____hfh7" localSheetId="15" hidden="1">{"via1",#N/A,TRUE,"general";"via2",#N/A,TRUE,"general";"via3",#N/A,TRUE,"general"}</definedName>
    <definedName name="_____hfh7" hidden="1">{"via1",#N/A,TRUE,"general";"via2",#N/A,TRUE,"general";"via3",#N/A,TRUE,"general"}</definedName>
    <definedName name="_____i1">#REF!</definedName>
    <definedName name="_____i4" localSheetId="14" hidden="1">{"via1",#N/A,TRUE,"general";"via2",#N/A,TRUE,"general";"via3",#N/A,TRUE,"general"}</definedName>
    <definedName name="_____i4" localSheetId="16" hidden="1">{"via1",#N/A,TRUE,"general";"via2",#N/A,TRUE,"general";"via3",#N/A,TRUE,"general"}</definedName>
    <definedName name="_____i4" localSheetId="17" hidden="1">{"via1",#N/A,TRUE,"general";"via2",#N/A,TRUE,"general";"via3",#N/A,TRUE,"general"}</definedName>
    <definedName name="_____i4" localSheetId="13" hidden="1">{"via1",#N/A,TRUE,"general";"via2",#N/A,TRUE,"general";"via3",#N/A,TRUE,"general"}</definedName>
    <definedName name="_____i4" localSheetId="15" hidden="1">{"via1",#N/A,TRUE,"general";"via2",#N/A,TRUE,"general";"via3",#N/A,TRUE,"general"}</definedName>
    <definedName name="_____i4" hidden="1">{"via1",#N/A,TRUE,"general";"via2",#N/A,TRUE,"general";"via3",#N/A,TRUE,"general"}</definedName>
    <definedName name="_____i5" localSheetId="14" hidden="1">{"TAB1",#N/A,TRUE,"GENERAL";"TAB2",#N/A,TRUE,"GENERAL";"TAB3",#N/A,TRUE,"GENERAL";"TAB4",#N/A,TRUE,"GENERAL";"TAB5",#N/A,TRUE,"GENERAL"}</definedName>
    <definedName name="_____i5" localSheetId="16" hidden="1">{"TAB1",#N/A,TRUE,"GENERAL";"TAB2",#N/A,TRUE,"GENERAL";"TAB3",#N/A,TRUE,"GENERAL";"TAB4",#N/A,TRUE,"GENERAL";"TAB5",#N/A,TRUE,"GENERAL"}</definedName>
    <definedName name="_____i5" localSheetId="17" hidden="1">{"TAB1",#N/A,TRUE,"GENERAL";"TAB2",#N/A,TRUE,"GENERAL";"TAB3",#N/A,TRUE,"GENERAL";"TAB4",#N/A,TRUE,"GENERAL";"TAB5",#N/A,TRUE,"GENERAL"}</definedName>
    <definedName name="_____i5" localSheetId="13" hidden="1">{"TAB1",#N/A,TRUE,"GENERAL";"TAB2",#N/A,TRUE,"GENERAL";"TAB3",#N/A,TRUE,"GENERAL";"TAB4",#N/A,TRUE,"GENERAL";"TAB5",#N/A,TRUE,"GENERAL"}</definedName>
    <definedName name="_____i5" localSheetId="15" hidden="1">{"TAB1",#N/A,TRUE,"GENERAL";"TAB2",#N/A,TRUE,"GENERAL";"TAB3",#N/A,TRUE,"GENERAL";"TAB4",#N/A,TRUE,"GENERAL";"TAB5",#N/A,TRUE,"GENERAL"}</definedName>
    <definedName name="_____i5" hidden="1">{"TAB1",#N/A,TRUE,"GENERAL";"TAB2",#N/A,TRUE,"GENERAL";"TAB3",#N/A,TRUE,"GENERAL";"TAB4",#N/A,TRUE,"GENERAL";"TAB5",#N/A,TRUE,"GENERAL"}</definedName>
    <definedName name="_____i6" localSheetId="14" hidden="1">{"TAB1",#N/A,TRUE,"GENERAL";"TAB2",#N/A,TRUE,"GENERAL";"TAB3",#N/A,TRUE,"GENERAL";"TAB4",#N/A,TRUE,"GENERAL";"TAB5",#N/A,TRUE,"GENERAL"}</definedName>
    <definedName name="_____i6" localSheetId="16" hidden="1">{"TAB1",#N/A,TRUE,"GENERAL";"TAB2",#N/A,TRUE,"GENERAL";"TAB3",#N/A,TRUE,"GENERAL";"TAB4",#N/A,TRUE,"GENERAL";"TAB5",#N/A,TRUE,"GENERAL"}</definedName>
    <definedName name="_____i6" localSheetId="17" hidden="1">{"TAB1",#N/A,TRUE,"GENERAL";"TAB2",#N/A,TRUE,"GENERAL";"TAB3",#N/A,TRUE,"GENERAL";"TAB4",#N/A,TRUE,"GENERAL";"TAB5",#N/A,TRUE,"GENERAL"}</definedName>
    <definedName name="_____i6" localSheetId="13" hidden="1">{"TAB1",#N/A,TRUE,"GENERAL";"TAB2",#N/A,TRUE,"GENERAL";"TAB3",#N/A,TRUE,"GENERAL";"TAB4",#N/A,TRUE,"GENERAL";"TAB5",#N/A,TRUE,"GENERAL"}</definedName>
    <definedName name="_____i6" localSheetId="15" hidden="1">{"TAB1",#N/A,TRUE,"GENERAL";"TAB2",#N/A,TRUE,"GENERAL";"TAB3",#N/A,TRUE,"GENERAL";"TAB4",#N/A,TRUE,"GENERAL";"TAB5",#N/A,TRUE,"GENERAL"}</definedName>
    <definedName name="_____i6" hidden="1">{"TAB1",#N/A,TRUE,"GENERAL";"TAB2",#N/A,TRUE,"GENERAL";"TAB3",#N/A,TRUE,"GENERAL";"TAB4",#N/A,TRUE,"GENERAL";"TAB5",#N/A,TRUE,"GENERAL"}</definedName>
    <definedName name="_____i7" localSheetId="14" hidden="1">{"via1",#N/A,TRUE,"general";"via2",#N/A,TRUE,"general";"via3",#N/A,TRUE,"general"}</definedName>
    <definedName name="_____i7" localSheetId="16" hidden="1">{"via1",#N/A,TRUE,"general";"via2",#N/A,TRUE,"general";"via3",#N/A,TRUE,"general"}</definedName>
    <definedName name="_____i7" localSheetId="17" hidden="1">{"via1",#N/A,TRUE,"general";"via2",#N/A,TRUE,"general";"via3",#N/A,TRUE,"general"}</definedName>
    <definedName name="_____i7" localSheetId="13" hidden="1">{"via1",#N/A,TRUE,"general";"via2",#N/A,TRUE,"general";"via3",#N/A,TRUE,"general"}</definedName>
    <definedName name="_____i7" localSheetId="15" hidden="1">{"via1",#N/A,TRUE,"general";"via2",#N/A,TRUE,"general";"via3",#N/A,TRUE,"general"}</definedName>
    <definedName name="_____i7" hidden="1">{"via1",#N/A,TRUE,"general";"via2",#N/A,TRUE,"general";"via3",#N/A,TRUE,"general"}</definedName>
    <definedName name="_____i77" localSheetId="14" hidden="1">{"TAB1",#N/A,TRUE,"GENERAL";"TAB2",#N/A,TRUE,"GENERAL";"TAB3",#N/A,TRUE,"GENERAL";"TAB4",#N/A,TRUE,"GENERAL";"TAB5",#N/A,TRUE,"GENERAL"}</definedName>
    <definedName name="_____i77" localSheetId="16" hidden="1">{"TAB1",#N/A,TRUE,"GENERAL";"TAB2",#N/A,TRUE,"GENERAL";"TAB3",#N/A,TRUE,"GENERAL";"TAB4",#N/A,TRUE,"GENERAL";"TAB5",#N/A,TRUE,"GENERAL"}</definedName>
    <definedName name="_____i77" localSheetId="17" hidden="1">{"TAB1",#N/A,TRUE,"GENERAL";"TAB2",#N/A,TRUE,"GENERAL";"TAB3",#N/A,TRUE,"GENERAL";"TAB4",#N/A,TRUE,"GENERAL";"TAB5",#N/A,TRUE,"GENERAL"}</definedName>
    <definedName name="_____i77" localSheetId="13" hidden="1">{"TAB1",#N/A,TRUE,"GENERAL";"TAB2",#N/A,TRUE,"GENERAL";"TAB3",#N/A,TRUE,"GENERAL";"TAB4",#N/A,TRUE,"GENERAL";"TAB5",#N/A,TRUE,"GENERAL"}</definedName>
    <definedName name="_____i77" localSheetId="15" hidden="1">{"TAB1",#N/A,TRUE,"GENERAL";"TAB2",#N/A,TRUE,"GENERAL";"TAB3",#N/A,TRUE,"GENERAL";"TAB4",#N/A,TRUE,"GENERAL";"TAB5",#N/A,TRUE,"GENERAL"}</definedName>
    <definedName name="_____i77" hidden="1">{"TAB1",#N/A,TRUE,"GENERAL";"TAB2",#N/A,TRUE,"GENERAL";"TAB3",#N/A,TRUE,"GENERAL";"TAB4",#N/A,TRUE,"GENERAL";"TAB5",#N/A,TRUE,"GENERAL"}</definedName>
    <definedName name="_____i8" localSheetId="14" hidden="1">{"via1",#N/A,TRUE,"general";"via2",#N/A,TRUE,"general";"via3",#N/A,TRUE,"general"}</definedName>
    <definedName name="_____i8" localSheetId="16" hidden="1">{"via1",#N/A,TRUE,"general";"via2",#N/A,TRUE,"general";"via3",#N/A,TRUE,"general"}</definedName>
    <definedName name="_____i8" localSheetId="17" hidden="1">{"via1",#N/A,TRUE,"general";"via2",#N/A,TRUE,"general";"via3",#N/A,TRUE,"general"}</definedName>
    <definedName name="_____i8" localSheetId="13" hidden="1">{"via1",#N/A,TRUE,"general";"via2",#N/A,TRUE,"general";"via3",#N/A,TRUE,"general"}</definedName>
    <definedName name="_____i8" localSheetId="15" hidden="1">{"via1",#N/A,TRUE,"general";"via2",#N/A,TRUE,"general";"via3",#N/A,TRUE,"general"}</definedName>
    <definedName name="_____i8" hidden="1">{"via1",#N/A,TRUE,"general";"via2",#N/A,TRUE,"general";"via3",#N/A,TRUE,"general"}</definedName>
    <definedName name="_____i9" localSheetId="14" hidden="1">{"TAB1",#N/A,TRUE,"GENERAL";"TAB2",#N/A,TRUE,"GENERAL";"TAB3",#N/A,TRUE,"GENERAL";"TAB4",#N/A,TRUE,"GENERAL";"TAB5",#N/A,TRUE,"GENERAL"}</definedName>
    <definedName name="_____i9" localSheetId="16" hidden="1">{"TAB1",#N/A,TRUE,"GENERAL";"TAB2",#N/A,TRUE,"GENERAL";"TAB3",#N/A,TRUE,"GENERAL";"TAB4",#N/A,TRUE,"GENERAL";"TAB5",#N/A,TRUE,"GENERAL"}</definedName>
    <definedName name="_____i9" localSheetId="17" hidden="1">{"TAB1",#N/A,TRUE,"GENERAL";"TAB2",#N/A,TRUE,"GENERAL";"TAB3",#N/A,TRUE,"GENERAL";"TAB4",#N/A,TRUE,"GENERAL";"TAB5",#N/A,TRUE,"GENERAL"}</definedName>
    <definedName name="_____i9" localSheetId="13" hidden="1">{"TAB1",#N/A,TRUE,"GENERAL";"TAB2",#N/A,TRUE,"GENERAL";"TAB3",#N/A,TRUE,"GENERAL";"TAB4",#N/A,TRUE,"GENERAL";"TAB5",#N/A,TRUE,"GENERAL"}</definedName>
    <definedName name="_____i9" localSheetId="15" hidden="1">{"TAB1",#N/A,TRUE,"GENERAL";"TAB2",#N/A,TRUE,"GENERAL";"TAB3",#N/A,TRUE,"GENERAL";"TAB4",#N/A,TRUE,"GENERAL";"TAB5",#N/A,TRUE,"GENERAL"}</definedName>
    <definedName name="_____i9" hidden="1">{"TAB1",#N/A,TRUE,"GENERAL";"TAB2",#N/A,TRUE,"GENERAL";"TAB3",#N/A,TRUE,"GENERAL";"TAB4",#N/A,TRUE,"GENERAL";"TAB5",#N/A,TRUE,"GENERAL"}</definedName>
    <definedName name="_____ITM4">#REF!</definedName>
    <definedName name="_____k3" localSheetId="14" hidden="1">{"TAB1",#N/A,TRUE,"GENERAL";"TAB2",#N/A,TRUE,"GENERAL";"TAB3",#N/A,TRUE,"GENERAL";"TAB4",#N/A,TRUE,"GENERAL";"TAB5",#N/A,TRUE,"GENERAL"}</definedName>
    <definedName name="_____k3" localSheetId="16" hidden="1">{"TAB1",#N/A,TRUE,"GENERAL";"TAB2",#N/A,TRUE,"GENERAL";"TAB3",#N/A,TRUE,"GENERAL";"TAB4",#N/A,TRUE,"GENERAL";"TAB5",#N/A,TRUE,"GENERAL"}</definedName>
    <definedName name="_____k3" localSheetId="17" hidden="1">{"TAB1",#N/A,TRUE,"GENERAL";"TAB2",#N/A,TRUE,"GENERAL";"TAB3",#N/A,TRUE,"GENERAL";"TAB4",#N/A,TRUE,"GENERAL";"TAB5",#N/A,TRUE,"GENERAL"}</definedName>
    <definedName name="_____k3" localSheetId="13" hidden="1">{"TAB1",#N/A,TRUE,"GENERAL";"TAB2",#N/A,TRUE,"GENERAL";"TAB3",#N/A,TRUE,"GENERAL";"TAB4",#N/A,TRUE,"GENERAL";"TAB5",#N/A,TRUE,"GENERAL"}</definedName>
    <definedName name="_____k3" localSheetId="15" hidden="1">{"TAB1",#N/A,TRUE,"GENERAL";"TAB2",#N/A,TRUE,"GENERAL";"TAB3",#N/A,TRUE,"GENERAL";"TAB4",#N/A,TRUE,"GENERAL";"TAB5",#N/A,TRUE,"GENERAL"}</definedName>
    <definedName name="_____k3" hidden="1">{"TAB1",#N/A,TRUE,"GENERAL";"TAB2",#N/A,TRUE,"GENERAL";"TAB3",#N/A,TRUE,"GENERAL";"TAB4",#N/A,TRUE,"GENERAL";"TAB5",#N/A,TRUE,"GENERAL"}</definedName>
    <definedName name="_____k4" localSheetId="14" hidden="1">{"via1",#N/A,TRUE,"general";"via2",#N/A,TRUE,"general";"via3",#N/A,TRUE,"general"}</definedName>
    <definedName name="_____k4" localSheetId="16" hidden="1">{"via1",#N/A,TRUE,"general";"via2",#N/A,TRUE,"general";"via3",#N/A,TRUE,"general"}</definedName>
    <definedName name="_____k4" localSheetId="17" hidden="1">{"via1",#N/A,TRUE,"general";"via2",#N/A,TRUE,"general";"via3",#N/A,TRUE,"general"}</definedName>
    <definedName name="_____k4" localSheetId="13" hidden="1">{"via1",#N/A,TRUE,"general";"via2",#N/A,TRUE,"general";"via3",#N/A,TRUE,"general"}</definedName>
    <definedName name="_____k4" localSheetId="15" hidden="1">{"via1",#N/A,TRUE,"general";"via2",#N/A,TRUE,"general";"via3",#N/A,TRUE,"general"}</definedName>
    <definedName name="_____k4" hidden="1">{"via1",#N/A,TRUE,"general";"via2",#N/A,TRUE,"general";"via3",#N/A,TRUE,"general"}</definedName>
    <definedName name="_____k5" localSheetId="14" hidden="1">{"via1",#N/A,TRUE,"general";"via2",#N/A,TRUE,"general";"via3",#N/A,TRUE,"general"}</definedName>
    <definedName name="_____k5" localSheetId="16" hidden="1">{"via1",#N/A,TRUE,"general";"via2",#N/A,TRUE,"general";"via3",#N/A,TRUE,"general"}</definedName>
    <definedName name="_____k5" localSheetId="17" hidden="1">{"via1",#N/A,TRUE,"general";"via2",#N/A,TRUE,"general";"via3",#N/A,TRUE,"general"}</definedName>
    <definedName name="_____k5" localSheetId="13" hidden="1">{"via1",#N/A,TRUE,"general";"via2",#N/A,TRUE,"general";"via3",#N/A,TRUE,"general"}</definedName>
    <definedName name="_____k5" localSheetId="15" hidden="1">{"via1",#N/A,TRUE,"general";"via2",#N/A,TRUE,"general";"via3",#N/A,TRUE,"general"}</definedName>
    <definedName name="_____k5" hidden="1">{"via1",#N/A,TRUE,"general";"via2",#N/A,TRUE,"general";"via3",#N/A,TRUE,"general"}</definedName>
    <definedName name="_____k6" localSheetId="14" hidden="1">{"TAB1",#N/A,TRUE,"GENERAL";"TAB2",#N/A,TRUE,"GENERAL";"TAB3",#N/A,TRUE,"GENERAL";"TAB4",#N/A,TRUE,"GENERAL";"TAB5",#N/A,TRUE,"GENERAL"}</definedName>
    <definedName name="_____k6" localSheetId="16" hidden="1">{"TAB1",#N/A,TRUE,"GENERAL";"TAB2",#N/A,TRUE,"GENERAL";"TAB3",#N/A,TRUE,"GENERAL";"TAB4",#N/A,TRUE,"GENERAL";"TAB5",#N/A,TRUE,"GENERAL"}</definedName>
    <definedName name="_____k6" localSheetId="17" hidden="1">{"TAB1",#N/A,TRUE,"GENERAL";"TAB2",#N/A,TRUE,"GENERAL";"TAB3",#N/A,TRUE,"GENERAL";"TAB4",#N/A,TRUE,"GENERAL";"TAB5",#N/A,TRUE,"GENERAL"}</definedName>
    <definedName name="_____k6" localSheetId="13" hidden="1">{"TAB1",#N/A,TRUE,"GENERAL";"TAB2",#N/A,TRUE,"GENERAL";"TAB3",#N/A,TRUE,"GENERAL";"TAB4",#N/A,TRUE,"GENERAL";"TAB5",#N/A,TRUE,"GENERAL"}</definedName>
    <definedName name="_____k6" localSheetId="15" hidden="1">{"TAB1",#N/A,TRUE,"GENERAL";"TAB2",#N/A,TRUE,"GENERAL";"TAB3",#N/A,TRUE,"GENERAL";"TAB4",#N/A,TRUE,"GENERAL";"TAB5",#N/A,TRUE,"GENERAL"}</definedName>
    <definedName name="_____k6" hidden="1">{"TAB1",#N/A,TRUE,"GENERAL";"TAB2",#N/A,TRUE,"GENERAL";"TAB3",#N/A,TRUE,"GENERAL";"TAB4",#N/A,TRUE,"GENERAL";"TAB5",#N/A,TRUE,"GENERAL"}</definedName>
    <definedName name="_____k7" localSheetId="14" hidden="1">{"via1",#N/A,TRUE,"general";"via2",#N/A,TRUE,"general";"via3",#N/A,TRUE,"general"}</definedName>
    <definedName name="_____k7" localSheetId="16" hidden="1">{"via1",#N/A,TRUE,"general";"via2",#N/A,TRUE,"general";"via3",#N/A,TRUE,"general"}</definedName>
    <definedName name="_____k7" localSheetId="17" hidden="1">{"via1",#N/A,TRUE,"general";"via2",#N/A,TRUE,"general";"via3",#N/A,TRUE,"general"}</definedName>
    <definedName name="_____k7" localSheetId="13" hidden="1">{"via1",#N/A,TRUE,"general";"via2",#N/A,TRUE,"general";"via3",#N/A,TRUE,"general"}</definedName>
    <definedName name="_____k7" localSheetId="15" hidden="1">{"via1",#N/A,TRUE,"general";"via2",#N/A,TRUE,"general";"via3",#N/A,TRUE,"general"}</definedName>
    <definedName name="_____k7" hidden="1">{"via1",#N/A,TRUE,"general";"via2",#N/A,TRUE,"general";"via3",#N/A,TRUE,"general"}</definedName>
    <definedName name="_____k8" localSheetId="14" hidden="1">{"via1",#N/A,TRUE,"general";"via2",#N/A,TRUE,"general";"via3",#N/A,TRUE,"general"}</definedName>
    <definedName name="_____k8" localSheetId="16" hidden="1">{"via1",#N/A,TRUE,"general";"via2",#N/A,TRUE,"general";"via3",#N/A,TRUE,"general"}</definedName>
    <definedName name="_____k8" localSheetId="17" hidden="1">{"via1",#N/A,TRUE,"general";"via2",#N/A,TRUE,"general";"via3",#N/A,TRUE,"general"}</definedName>
    <definedName name="_____k8" localSheetId="13" hidden="1">{"via1",#N/A,TRUE,"general";"via2",#N/A,TRUE,"general";"via3",#N/A,TRUE,"general"}</definedName>
    <definedName name="_____k8" localSheetId="15" hidden="1">{"via1",#N/A,TRUE,"general";"via2",#N/A,TRUE,"general";"via3",#N/A,TRUE,"general"}</definedName>
    <definedName name="_____k8" hidden="1">{"via1",#N/A,TRUE,"general";"via2",#N/A,TRUE,"general";"via3",#N/A,TRUE,"general"}</definedName>
    <definedName name="_____k9" localSheetId="14" hidden="1">{"TAB1",#N/A,TRUE,"GENERAL";"TAB2",#N/A,TRUE,"GENERAL";"TAB3",#N/A,TRUE,"GENERAL";"TAB4",#N/A,TRUE,"GENERAL";"TAB5",#N/A,TRUE,"GENERAL"}</definedName>
    <definedName name="_____k9" localSheetId="16" hidden="1">{"TAB1",#N/A,TRUE,"GENERAL";"TAB2",#N/A,TRUE,"GENERAL";"TAB3",#N/A,TRUE,"GENERAL";"TAB4",#N/A,TRUE,"GENERAL";"TAB5",#N/A,TRUE,"GENERAL"}</definedName>
    <definedName name="_____k9" localSheetId="17" hidden="1">{"TAB1",#N/A,TRUE,"GENERAL";"TAB2",#N/A,TRUE,"GENERAL";"TAB3",#N/A,TRUE,"GENERAL";"TAB4",#N/A,TRUE,"GENERAL";"TAB5",#N/A,TRUE,"GENERAL"}</definedName>
    <definedName name="_____k9" localSheetId="13" hidden="1">{"TAB1",#N/A,TRUE,"GENERAL";"TAB2",#N/A,TRUE,"GENERAL";"TAB3",#N/A,TRUE,"GENERAL";"TAB4",#N/A,TRUE,"GENERAL";"TAB5",#N/A,TRUE,"GENERAL"}</definedName>
    <definedName name="_____k9" localSheetId="15" hidden="1">{"TAB1",#N/A,TRUE,"GENERAL";"TAB2",#N/A,TRUE,"GENERAL";"TAB3",#N/A,TRUE,"GENERAL";"TAB4",#N/A,TRUE,"GENERAL";"TAB5",#N/A,TRUE,"GENERAL"}</definedName>
    <definedName name="_____k9" hidden="1">{"TAB1",#N/A,TRUE,"GENERAL";"TAB2",#N/A,TRUE,"GENERAL";"TAB3",#N/A,TRUE,"GENERAL";"TAB4",#N/A,TRUE,"GENERAL";"TAB5",#N/A,TRUE,"GENERAL"}</definedName>
    <definedName name="_____kjk6" localSheetId="14" hidden="1">{"TAB1",#N/A,TRUE,"GENERAL";"TAB2",#N/A,TRUE,"GENERAL";"TAB3",#N/A,TRUE,"GENERAL";"TAB4",#N/A,TRUE,"GENERAL";"TAB5",#N/A,TRUE,"GENERAL"}</definedName>
    <definedName name="_____kjk6" localSheetId="16" hidden="1">{"TAB1",#N/A,TRUE,"GENERAL";"TAB2",#N/A,TRUE,"GENERAL";"TAB3",#N/A,TRUE,"GENERAL";"TAB4",#N/A,TRUE,"GENERAL";"TAB5",#N/A,TRUE,"GENERAL"}</definedName>
    <definedName name="_____kjk6" localSheetId="17" hidden="1">{"TAB1",#N/A,TRUE,"GENERAL";"TAB2",#N/A,TRUE,"GENERAL";"TAB3",#N/A,TRUE,"GENERAL";"TAB4",#N/A,TRUE,"GENERAL";"TAB5",#N/A,TRUE,"GENERAL"}</definedName>
    <definedName name="_____kjk6" localSheetId="13" hidden="1">{"TAB1",#N/A,TRUE,"GENERAL";"TAB2",#N/A,TRUE,"GENERAL";"TAB3",#N/A,TRUE,"GENERAL";"TAB4",#N/A,TRUE,"GENERAL";"TAB5",#N/A,TRUE,"GENERAL"}</definedName>
    <definedName name="_____kjk6" localSheetId="15" hidden="1">{"TAB1",#N/A,TRUE,"GENERAL";"TAB2",#N/A,TRUE,"GENERAL";"TAB3",#N/A,TRUE,"GENERAL";"TAB4",#N/A,TRUE,"GENERAL";"TAB5",#N/A,TRUE,"GENERAL"}</definedName>
    <definedName name="_____kjk6" hidden="1">{"TAB1",#N/A,TRUE,"GENERAL";"TAB2",#N/A,TRUE,"GENERAL";"TAB3",#N/A,TRUE,"GENERAL";"TAB4",#N/A,TRUE,"GENERAL";"TAB5",#N/A,TRUE,"GENERAL"}</definedName>
    <definedName name="_____LA124" localSheetId="3">#REF!</definedName>
    <definedName name="_____LA124" localSheetId="30">#REF!</definedName>
    <definedName name="_____LA124" localSheetId="31">#REF!</definedName>
    <definedName name="_____LA124" localSheetId="29">#REF!</definedName>
    <definedName name="_____LA124">#REF!</definedName>
    <definedName name="_____LAC18">#REF!</definedName>
    <definedName name="_____m3" localSheetId="14" hidden="1">{"via1",#N/A,TRUE,"general";"via2",#N/A,TRUE,"general";"via3",#N/A,TRUE,"general"}</definedName>
    <definedName name="_____m3" localSheetId="16" hidden="1">{"via1",#N/A,TRUE,"general";"via2",#N/A,TRUE,"general";"via3",#N/A,TRUE,"general"}</definedName>
    <definedName name="_____m3" localSheetId="17" hidden="1">{"via1",#N/A,TRUE,"general";"via2",#N/A,TRUE,"general";"via3",#N/A,TRUE,"general"}</definedName>
    <definedName name="_____m3" localSheetId="13" hidden="1">{"via1",#N/A,TRUE,"general";"via2",#N/A,TRUE,"general";"via3",#N/A,TRUE,"general"}</definedName>
    <definedName name="_____m3" localSheetId="15" hidden="1">{"via1",#N/A,TRUE,"general";"via2",#N/A,TRUE,"general";"via3",#N/A,TRUE,"general"}</definedName>
    <definedName name="_____m3" hidden="1">{"via1",#N/A,TRUE,"general";"via2",#N/A,TRUE,"general";"via3",#N/A,TRUE,"general"}</definedName>
    <definedName name="_____m4" localSheetId="14" hidden="1">{"TAB1",#N/A,TRUE,"GENERAL";"TAB2",#N/A,TRUE,"GENERAL";"TAB3",#N/A,TRUE,"GENERAL";"TAB4",#N/A,TRUE,"GENERAL";"TAB5",#N/A,TRUE,"GENERAL"}</definedName>
    <definedName name="_____m4" localSheetId="16" hidden="1">{"TAB1",#N/A,TRUE,"GENERAL";"TAB2",#N/A,TRUE,"GENERAL";"TAB3",#N/A,TRUE,"GENERAL";"TAB4",#N/A,TRUE,"GENERAL";"TAB5",#N/A,TRUE,"GENERAL"}</definedName>
    <definedName name="_____m4" localSheetId="17" hidden="1">{"TAB1",#N/A,TRUE,"GENERAL";"TAB2",#N/A,TRUE,"GENERAL";"TAB3",#N/A,TRUE,"GENERAL";"TAB4",#N/A,TRUE,"GENERAL";"TAB5",#N/A,TRUE,"GENERAL"}</definedName>
    <definedName name="_____m4" localSheetId="13" hidden="1">{"TAB1",#N/A,TRUE,"GENERAL";"TAB2",#N/A,TRUE,"GENERAL";"TAB3",#N/A,TRUE,"GENERAL";"TAB4",#N/A,TRUE,"GENERAL";"TAB5",#N/A,TRUE,"GENERAL"}</definedName>
    <definedName name="_____m4" localSheetId="15" hidden="1">{"TAB1",#N/A,TRUE,"GENERAL";"TAB2",#N/A,TRUE,"GENERAL";"TAB3",#N/A,TRUE,"GENERAL";"TAB4",#N/A,TRUE,"GENERAL";"TAB5",#N/A,TRUE,"GENERAL"}</definedName>
    <definedName name="_____m4" hidden="1">{"TAB1",#N/A,TRUE,"GENERAL";"TAB2",#N/A,TRUE,"GENERAL";"TAB3",#N/A,TRUE,"GENERAL";"TAB4",#N/A,TRUE,"GENERAL";"TAB5",#N/A,TRUE,"GENERAL"}</definedName>
    <definedName name="_____m5" localSheetId="14" hidden="1">{"via1",#N/A,TRUE,"general";"via2",#N/A,TRUE,"general";"via3",#N/A,TRUE,"general"}</definedName>
    <definedName name="_____m5" localSheetId="16" hidden="1">{"via1",#N/A,TRUE,"general";"via2",#N/A,TRUE,"general";"via3",#N/A,TRUE,"general"}</definedName>
    <definedName name="_____m5" localSheetId="17" hidden="1">{"via1",#N/A,TRUE,"general";"via2",#N/A,TRUE,"general";"via3",#N/A,TRUE,"general"}</definedName>
    <definedName name="_____m5" localSheetId="13" hidden="1">{"via1",#N/A,TRUE,"general";"via2",#N/A,TRUE,"general";"via3",#N/A,TRUE,"general"}</definedName>
    <definedName name="_____m5" localSheetId="15" hidden="1">{"via1",#N/A,TRUE,"general";"via2",#N/A,TRUE,"general";"via3",#N/A,TRUE,"general"}</definedName>
    <definedName name="_____m5" hidden="1">{"via1",#N/A,TRUE,"general";"via2",#N/A,TRUE,"general";"via3",#N/A,TRUE,"general"}</definedName>
    <definedName name="_____m6" localSheetId="14" hidden="1">{"TAB1",#N/A,TRUE,"GENERAL";"TAB2",#N/A,TRUE,"GENERAL";"TAB3",#N/A,TRUE,"GENERAL";"TAB4",#N/A,TRUE,"GENERAL";"TAB5",#N/A,TRUE,"GENERAL"}</definedName>
    <definedName name="_____m6" localSheetId="16" hidden="1">{"TAB1",#N/A,TRUE,"GENERAL";"TAB2",#N/A,TRUE,"GENERAL";"TAB3",#N/A,TRUE,"GENERAL";"TAB4",#N/A,TRUE,"GENERAL";"TAB5",#N/A,TRUE,"GENERAL"}</definedName>
    <definedName name="_____m6" localSheetId="17" hidden="1">{"TAB1",#N/A,TRUE,"GENERAL";"TAB2",#N/A,TRUE,"GENERAL";"TAB3",#N/A,TRUE,"GENERAL";"TAB4",#N/A,TRUE,"GENERAL";"TAB5",#N/A,TRUE,"GENERAL"}</definedName>
    <definedName name="_____m6" localSheetId="13" hidden="1">{"TAB1",#N/A,TRUE,"GENERAL";"TAB2",#N/A,TRUE,"GENERAL";"TAB3",#N/A,TRUE,"GENERAL";"TAB4",#N/A,TRUE,"GENERAL";"TAB5",#N/A,TRUE,"GENERAL"}</definedName>
    <definedName name="_____m6" localSheetId="15" hidden="1">{"TAB1",#N/A,TRUE,"GENERAL";"TAB2",#N/A,TRUE,"GENERAL";"TAB3",#N/A,TRUE,"GENERAL";"TAB4",#N/A,TRUE,"GENERAL";"TAB5",#N/A,TRUE,"GENERAL"}</definedName>
    <definedName name="_____m6" hidden="1">{"TAB1",#N/A,TRUE,"GENERAL";"TAB2",#N/A,TRUE,"GENERAL";"TAB3",#N/A,TRUE,"GENERAL";"TAB4",#N/A,TRUE,"GENERAL";"TAB5",#N/A,TRUE,"GENERAL"}</definedName>
    <definedName name="_____m7" localSheetId="14" hidden="1">{"TAB1",#N/A,TRUE,"GENERAL";"TAB2",#N/A,TRUE,"GENERAL";"TAB3",#N/A,TRUE,"GENERAL";"TAB4",#N/A,TRUE,"GENERAL";"TAB5",#N/A,TRUE,"GENERAL"}</definedName>
    <definedName name="_____m7" localSheetId="16" hidden="1">{"TAB1",#N/A,TRUE,"GENERAL";"TAB2",#N/A,TRUE,"GENERAL";"TAB3",#N/A,TRUE,"GENERAL";"TAB4",#N/A,TRUE,"GENERAL";"TAB5",#N/A,TRUE,"GENERAL"}</definedName>
    <definedName name="_____m7" localSheetId="17" hidden="1">{"TAB1",#N/A,TRUE,"GENERAL";"TAB2",#N/A,TRUE,"GENERAL";"TAB3",#N/A,TRUE,"GENERAL";"TAB4",#N/A,TRUE,"GENERAL";"TAB5",#N/A,TRUE,"GENERAL"}</definedName>
    <definedName name="_____m7" localSheetId="13" hidden="1">{"TAB1",#N/A,TRUE,"GENERAL";"TAB2",#N/A,TRUE,"GENERAL";"TAB3",#N/A,TRUE,"GENERAL";"TAB4",#N/A,TRUE,"GENERAL";"TAB5",#N/A,TRUE,"GENERAL"}</definedName>
    <definedName name="_____m7" localSheetId="15" hidden="1">{"TAB1",#N/A,TRUE,"GENERAL";"TAB2",#N/A,TRUE,"GENERAL";"TAB3",#N/A,TRUE,"GENERAL";"TAB4",#N/A,TRUE,"GENERAL";"TAB5",#N/A,TRUE,"GENERAL"}</definedName>
    <definedName name="_____m7" hidden="1">{"TAB1",#N/A,TRUE,"GENERAL";"TAB2",#N/A,TRUE,"GENERAL";"TAB3",#N/A,TRUE,"GENERAL";"TAB4",#N/A,TRUE,"GENERAL";"TAB5",#N/A,TRUE,"GENERAL"}</definedName>
    <definedName name="_____m8" localSheetId="14" hidden="1">{"via1",#N/A,TRUE,"general";"via2",#N/A,TRUE,"general";"via3",#N/A,TRUE,"general"}</definedName>
    <definedName name="_____m8" localSheetId="16" hidden="1">{"via1",#N/A,TRUE,"general";"via2",#N/A,TRUE,"general";"via3",#N/A,TRUE,"general"}</definedName>
    <definedName name="_____m8" localSheetId="17" hidden="1">{"via1",#N/A,TRUE,"general";"via2",#N/A,TRUE,"general";"via3",#N/A,TRUE,"general"}</definedName>
    <definedName name="_____m8" localSheetId="13" hidden="1">{"via1",#N/A,TRUE,"general";"via2",#N/A,TRUE,"general";"via3",#N/A,TRUE,"general"}</definedName>
    <definedName name="_____m8" localSheetId="15" hidden="1">{"via1",#N/A,TRUE,"general";"via2",#N/A,TRUE,"general";"via3",#N/A,TRUE,"general"}</definedName>
    <definedName name="_____m8" hidden="1">{"via1",#N/A,TRUE,"general";"via2",#N/A,TRUE,"general";"via3",#N/A,TRUE,"general"}</definedName>
    <definedName name="_____m9" localSheetId="14" hidden="1">{"via1",#N/A,TRUE,"general";"via2",#N/A,TRUE,"general";"via3",#N/A,TRUE,"general"}</definedName>
    <definedName name="_____m9" localSheetId="16" hidden="1">{"via1",#N/A,TRUE,"general";"via2",#N/A,TRUE,"general";"via3",#N/A,TRUE,"general"}</definedName>
    <definedName name="_____m9" localSheetId="17" hidden="1">{"via1",#N/A,TRUE,"general";"via2",#N/A,TRUE,"general";"via3",#N/A,TRUE,"general"}</definedName>
    <definedName name="_____m9" localSheetId="13" hidden="1">{"via1",#N/A,TRUE,"general";"via2",#N/A,TRUE,"general";"via3",#N/A,TRUE,"general"}</definedName>
    <definedName name="_____m9" localSheetId="15" hidden="1">{"via1",#N/A,TRUE,"general";"via2",#N/A,TRUE,"general";"via3",#N/A,TRUE,"general"}</definedName>
    <definedName name="_____m9" hidden="1">{"via1",#N/A,TRUE,"general";"via2",#N/A,TRUE,"general";"via3",#N/A,TRUE,"general"}</definedName>
    <definedName name="_____MA2">#REF!</definedName>
    <definedName name="_____mes1">[5]COSTOS!$E$5</definedName>
    <definedName name="_____Mes2">[5]COSTOS!$F$5</definedName>
    <definedName name="_____Mes3">[5]COSTOS!$G$5</definedName>
    <definedName name="_____n3" localSheetId="14" hidden="1">{"TAB1",#N/A,TRUE,"GENERAL";"TAB2",#N/A,TRUE,"GENERAL";"TAB3",#N/A,TRUE,"GENERAL";"TAB4",#N/A,TRUE,"GENERAL";"TAB5",#N/A,TRUE,"GENERAL"}</definedName>
    <definedName name="_____n3" localSheetId="16" hidden="1">{"TAB1",#N/A,TRUE,"GENERAL";"TAB2",#N/A,TRUE,"GENERAL";"TAB3",#N/A,TRUE,"GENERAL";"TAB4",#N/A,TRUE,"GENERAL";"TAB5",#N/A,TRUE,"GENERAL"}</definedName>
    <definedName name="_____n3" localSheetId="17" hidden="1">{"TAB1",#N/A,TRUE,"GENERAL";"TAB2",#N/A,TRUE,"GENERAL";"TAB3",#N/A,TRUE,"GENERAL";"TAB4",#N/A,TRUE,"GENERAL";"TAB5",#N/A,TRUE,"GENERAL"}</definedName>
    <definedName name="_____n3" localSheetId="13" hidden="1">{"TAB1",#N/A,TRUE,"GENERAL";"TAB2",#N/A,TRUE,"GENERAL";"TAB3",#N/A,TRUE,"GENERAL";"TAB4",#N/A,TRUE,"GENERAL";"TAB5",#N/A,TRUE,"GENERAL"}</definedName>
    <definedName name="_____n3" localSheetId="15" hidden="1">{"TAB1",#N/A,TRUE,"GENERAL";"TAB2",#N/A,TRUE,"GENERAL";"TAB3",#N/A,TRUE,"GENERAL";"TAB4",#N/A,TRUE,"GENERAL";"TAB5",#N/A,TRUE,"GENERAL"}</definedName>
    <definedName name="_____n3" hidden="1">{"TAB1",#N/A,TRUE,"GENERAL";"TAB2",#N/A,TRUE,"GENERAL";"TAB3",#N/A,TRUE,"GENERAL";"TAB4",#N/A,TRUE,"GENERAL";"TAB5",#N/A,TRUE,"GENERAL"}</definedName>
    <definedName name="_____n4" localSheetId="14" hidden="1">{"via1",#N/A,TRUE,"general";"via2",#N/A,TRUE,"general";"via3",#N/A,TRUE,"general"}</definedName>
    <definedName name="_____n4" localSheetId="16" hidden="1">{"via1",#N/A,TRUE,"general";"via2",#N/A,TRUE,"general";"via3",#N/A,TRUE,"general"}</definedName>
    <definedName name="_____n4" localSheetId="17" hidden="1">{"via1",#N/A,TRUE,"general";"via2",#N/A,TRUE,"general";"via3",#N/A,TRUE,"general"}</definedName>
    <definedName name="_____n4" localSheetId="13" hidden="1">{"via1",#N/A,TRUE,"general";"via2",#N/A,TRUE,"general";"via3",#N/A,TRUE,"general"}</definedName>
    <definedName name="_____n4" localSheetId="15" hidden="1">{"via1",#N/A,TRUE,"general";"via2",#N/A,TRUE,"general";"via3",#N/A,TRUE,"general"}</definedName>
    <definedName name="_____n4" hidden="1">{"via1",#N/A,TRUE,"general";"via2",#N/A,TRUE,"general";"via3",#N/A,TRUE,"general"}</definedName>
    <definedName name="_____n5" localSheetId="14" hidden="1">{"TAB1",#N/A,TRUE,"GENERAL";"TAB2",#N/A,TRUE,"GENERAL";"TAB3",#N/A,TRUE,"GENERAL";"TAB4",#N/A,TRUE,"GENERAL";"TAB5",#N/A,TRUE,"GENERAL"}</definedName>
    <definedName name="_____n5" localSheetId="16" hidden="1">{"TAB1",#N/A,TRUE,"GENERAL";"TAB2",#N/A,TRUE,"GENERAL";"TAB3",#N/A,TRUE,"GENERAL";"TAB4",#N/A,TRUE,"GENERAL";"TAB5",#N/A,TRUE,"GENERAL"}</definedName>
    <definedName name="_____n5" localSheetId="17" hidden="1">{"TAB1",#N/A,TRUE,"GENERAL";"TAB2",#N/A,TRUE,"GENERAL";"TAB3",#N/A,TRUE,"GENERAL";"TAB4",#N/A,TRUE,"GENERAL";"TAB5",#N/A,TRUE,"GENERAL"}</definedName>
    <definedName name="_____n5" localSheetId="13" hidden="1">{"TAB1",#N/A,TRUE,"GENERAL";"TAB2",#N/A,TRUE,"GENERAL";"TAB3",#N/A,TRUE,"GENERAL";"TAB4",#N/A,TRUE,"GENERAL";"TAB5",#N/A,TRUE,"GENERAL"}</definedName>
    <definedName name="_____n5" localSheetId="15" hidden="1">{"TAB1",#N/A,TRUE,"GENERAL";"TAB2",#N/A,TRUE,"GENERAL";"TAB3",#N/A,TRUE,"GENERAL";"TAB4",#N/A,TRUE,"GENERAL";"TAB5",#N/A,TRUE,"GENERAL"}</definedName>
    <definedName name="_____n5" hidden="1">{"TAB1",#N/A,TRUE,"GENERAL";"TAB2",#N/A,TRUE,"GENERAL";"TAB3",#N/A,TRUE,"GENERAL";"TAB4",#N/A,TRUE,"GENERAL";"TAB5",#N/A,TRUE,"GENERAL"}</definedName>
    <definedName name="_____nyn7" localSheetId="14" hidden="1">{"via1",#N/A,TRUE,"general";"via2",#N/A,TRUE,"general";"via3",#N/A,TRUE,"general"}</definedName>
    <definedName name="_____nyn7" localSheetId="16" hidden="1">{"via1",#N/A,TRUE,"general";"via2",#N/A,TRUE,"general";"via3",#N/A,TRUE,"general"}</definedName>
    <definedName name="_____nyn7" localSheetId="17" hidden="1">{"via1",#N/A,TRUE,"general";"via2",#N/A,TRUE,"general";"via3",#N/A,TRUE,"general"}</definedName>
    <definedName name="_____nyn7" localSheetId="13" hidden="1">{"via1",#N/A,TRUE,"general";"via2",#N/A,TRUE,"general";"via3",#N/A,TRUE,"general"}</definedName>
    <definedName name="_____nyn7" localSheetId="15" hidden="1">{"via1",#N/A,TRUE,"general";"via2",#N/A,TRUE,"general";"via3",#N/A,TRUE,"general"}</definedName>
    <definedName name="_____nyn7" hidden="1">{"via1",#N/A,TRUE,"general";"via2",#N/A,TRUE,"general";"via3",#N/A,TRUE,"general"}</definedName>
    <definedName name="_____o4" localSheetId="14" hidden="1">{"via1",#N/A,TRUE,"general";"via2",#N/A,TRUE,"general";"via3",#N/A,TRUE,"general"}</definedName>
    <definedName name="_____o4" localSheetId="16" hidden="1">{"via1",#N/A,TRUE,"general";"via2",#N/A,TRUE,"general";"via3",#N/A,TRUE,"general"}</definedName>
    <definedName name="_____o4" localSheetId="17" hidden="1">{"via1",#N/A,TRUE,"general";"via2",#N/A,TRUE,"general";"via3",#N/A,TRUE,"general"}</definedName>
    <definedName name="_____o4" localSheetId="13" hidden="1">{"via1",#N/A,TRUE,"general";"via2",#N/A,TRUE,"general";"via3",#N/A,TRUE,"general"}</definedName>
    <definedName name="_____o4" localSheetId="15" hidden="1">{"via1",#N/A,TRUE,"general";"via2",#N/A,TRUE,"general";"via3",#N/A,TRUE,"general"}</definedName>
    <definedName name="_____o4" hidden="1">{"via1",#N/A,TRUE,"general";"via2",#N/A,TRUE,"general";"via3",#N/A,TRUE,"general"}</definedName>
    <definedName name="_____o5" localSheetId="14" hidden="1">{"TAB1",#N/A,TRUE,"GENERAL";"TAB2",#N/A,TRUE,"GENERAL";"TAB3",#N/A,TRUE,"GENERAL";"TAB4",#N/A,TRUE,"GENERAL";"TAB5",#N/A,TRUE,"GENERAL"}</definedName>
    <definedName name="_____o5" localSheetId="16" hidden="1">{"TAB1",#N/A,TRUE,"GENERAL";"TAB2",#N/A,TRUE,"GENERAL";"TAB3",#N/A,TRUE,"GENERAL";"TAB4",#N/A,TRUE,"GENERAL";"TAB5",#N/A,TRUE,"GENERAL"}</definedName>
    <definedName name="_____o5" localSheetId="17" hidden="1">{"TAB1",#N/A,TRUE,"GENERAL";"TAB2",#N/A,TRUE,"GENERAL";"TAB3",#N/A,TRUE,"GENERAL";"TAB4",#N/A,TRUE,"GENERAL";"TAB5",#N/A,TRUE,"GENERAL"}</definedName>
    <definedName name="_____o5" localSheetId="13" hidden="1">{"TAB1",#N/A,TRUE,"GENERAL";"TAB2",#N/A,TRUE,"GENERAL";"TAB3",#N/A,TRUE,"GENERAL";"TAB4",#N/A,TRUE,"GENERAL";"TAB5",#N/A,TRUE,"GENERAL"}</definedName>
    <definedName name="_____o5" localSheetId="15" hidden="1">{"TAB1",#N/A,TRUE,"GENERAL";"TAB2",#N/A,TRUE,"GENERAL";"TAB3",#N/A,TRUE,"GENERAL";"TAB4",#N/A,TRUE,"GENERAL";"TAB5",#N/A,TRUE,"GENERAL"}</definedName>
    <definedName name="_____o5" hidden="1">{"TAB1",#N/A,TRUE,"GENERAL";"TAB2",#N/A,TRUE,"GENERAL";"TAB3",#N/A,TRUE,"GENERAL";"TAB4",#N/A,TRUE,"GENERAL";"TAB5",#N/A,TRUE,"GENERAL"}</definedName>
    <definedName name="_____o6" localSheetId="14" hidden="1">{"TAB1",#N/A,TRUE,"GENERAL";"TAB2",#N/A,TRUE,"GENERAL";"TAB3",#N/A,TRUE,"GENERAL";"TAB4",#N/A,TRUE,"GENERAL";"TAB5",#N/A,TRUE,"GENERAL"}</definedName>
    <definedName name="_____o6" localSheetId="16" hidden="1">{"TAB1",#N/A,TRUE,"GENERAL";"TAB2",#N/A,TRUE,"GENERAL";"TAB3",#N/A,TRUE,"GENERAL";"TAB4",#N/A,TRUE,"GENERAL";"TAB5",#N/A,TRUE,"GENERAL"}</definedName>
    <definedName name="_____o6" localSheetId="17" hidden="1">{"TAB1",#N/A,TRUE,"GENERAL";"TAB2",#N/A,TRUE,"GENERAL";"TAB3",#N/A,TRUE,"GENERAL";"TAB4",#N/A,TRUE,"GENERAL";"TAB5",#N/A,TRUE,"GENERAL"}</definedName>
    <definedName name="_____o6" localSheetId="13" hidden="1">{"TAB1",#N/A,TRUE,"GENERAL";"TAB2",#N/A,TRUE,"GENERAL";"TAB3",#N/A,TRUE,"GENERAL";"TAB4",#N/A,TRUE,"GENERAL";"TAB5",#N/A,TRUE,"GENERAL"}</definedName>
    <definedName name="_____o6" localSheetId="15" hidden="1">{"TAB1",#N/A,TRUE,"GENERAL";"TAB2",#N/A,TRUE,"GENERAL";"TAB3",#N/A,TRUE,"GENERAL";"TAB4",#N/A,TRUE,"GENERAL";"TAB5",#N/A,TRUE,"GENERAL"}</definedName>
    <definedName name="_____o6" hidden="1">{"TAB1",#N/A,TRUE,"GENERAL";"TAB2",#N/A,TRUE,"GENERAL";"TAB3",#N/A,TRUE,"GENERAL";"TAB4",#N/A,TRUE,"GENERAL";"TAB5",#N/A,TRUE,"GENERAL"}</definedName>
    <definedName name="_____o7" localSheetId="14" hidden="1">{"TAB1",#N/A,TRUE,"GENERAL";"TAB2",#N/A,TRUE,"GENERAL";"TAB3",#N/A,TRUE,"GENERAL";"TAB4",#N/A,TRUE,"GENERAL";"TAB5",#N/A,TRUE,"GENERAL"}</definedName>
    <definedName name="_____o7" localSheetId="16" hidden="1">{"TAB1",#N/A,TRUE,"GENERAL";"TAB2",#N/A,TRUE,"GENERAL";"TAB3",#N/A,TRUE,"GENERAL";"TAB4",#N/A,TRUE,"GENERAL";"TAB5",#N/A,TRUE,"GENERAL"}</definedName>
    <definedName name="_____o7" localSheetId="17" hidden="1">{"TAB1",#N/A,TRUE,"GENERAL";"TAB2",#N/A,TRUE,"GENERAL";"TAB3",#N/A,TRUE,"GENERAL";"TAB4",#N/A,TRUE,"GENERAL";"TAB5",#N/A,TRUE,"GENERAL"}</definedName>
    <definedName name="_____o7" localSheetId="13" hidden="1">{"TAB1",#N/A,TRUE,"GENERAL";"TAB2",#N/A,TRUE,"GENERAL";"TAB3",#N/A,TRUE,"GENERAL";"TAB4",#N/A,TRUE,"GENERAL";"TAB5",#N/A,TRUE,"GENERAL"}</definedName>
    <definedName name="_____o7" localSheetId="15" hidden="1">{"TAB1",#N/A,TRUE,"GENERAL";"TAB2",#N/A,TRUE,"GENERAL";"TAB3",#N/A,TRUE,"GENERAL";"TAB4",#N/A,TRUE,"GENERAL";"TAB5",#N/A,TRUE,"GENERAL"}</definedName>
    <definedName name="_____o7" hidden="1">{"TAB1",#N/A,TRUE,"GENERAL";"TAB2",#N/A,TRUE,"GENERAL";"TAB3",#N/A,TRUE,"GENERAL";"TAB4",#N/A,TRUE,"GENERAL";"TAB5",#N/A,TRUE,"GENERAL"}</definedName>
    <definedName name="_____o8" localSheetId="14" hidden="1">{"via1",#N/A,TRUE,"general";"via2",#N/A,TRUE,"general";"via3",#N/A,TRUE,"general"}</definedName>
    <definedName name="_____o8" localSheetId="16" hidden="1">{"via1",#N/A,TRUE,"general";"via2",#N/A,TRUE,"general";"via3",#N/A,TRUE,"general"}</definedName>
    <definedName name="_____o8" localSheetId="17" hidden="1">{"via1",#N/A,TRUE,"general";"via2",#N/A,TRUE,"general";"via3",#N/A,TRUE,"general"}</definedName>
    <definedName name="_____o8" localSheetId="13" hidden="1">{"via1",#N/A,TRUE,"general";"via2",#N/A,TRUE,"general";"via3",#N/A,TRUE,"general"}</definedName>
    <definedName name="_____o8" localSheetId="15" hidden="1">{"via1",#N/A,TRUE,"general";"via2",#N/A,TRUE,"general";"via3",#N/A,TRUE,"general"}</definedName>
    <definedName name="_____o8" hidden="1">{"via1",#N/A,TRUE,"general";"via2",#N/A,TRUE,"general";"via3",#N/A,TRUE,"general"}</definedName>
    <definedName name="_____o9" localSheetId="14" hidden="1">{"TAB1",#N/A,TRUE,"GENERAL";"TAB2",#N/A,TRUE,"GENERAL";"TAB3",#N/A,TRUE,"GENERAL";"TAB4",#N/A,TRUE,"GENERAL";"TAB5",#N/A,TRUE,"GENERAL"}</definedName>
    <definedName name="_____o9" localSheetId="16" hidden="1">{"TAB1",#N/A,TRUE,"GENERAL";"TAB2",#N/A,TRUE,"GENERAL";"TAB3",#N/A,TRUE,"GENERAL";"TAB4",#N/A,TRUE,"GENERAL";"TAB5",#N/A,TRUE,"GENERAL"}</definedName>
    <definedName name="_____o9" localSheetId="17" hidden="1">{"TAB1",#N/A,TRUE,"GENERAL";"TAB2",#N/A,TRUE,"GENERAL";"TAB3",#N/A,TRUE,"GENERAL";"TAB4",#N/A,TRUE,"GENERAL";"TAB5",#N/A,TRUE,"GENERAL"}</definedName>
    <definedName name="_____o9" localSheetId="13" hidden="1">{"TAB1",#N/A,TRUE,"GENERAL";"TAB2",#N/A,TRUE,"GENERAL";"TAB3",#N/A,TRUE,"GENERAL";"TAB4",#N/A,TRUE,"GENERAL";"TAB5",#N/A,TRUE,"GENERAL"}</definedName>
    <definedName name="_____o9" localSheetId="15" hidden="1">{"TAB1",#N/A,TRUE,"GENERAL";"TAB2",#N/A,TRUE,"GENERAL";"TAB3",#N/A,TRUE,"GENERAL";"TAB4",#N/A,TRUE,"GENERAL";"TAB5",#N/A,TRUE,"GENERAL"}</definedName>
    <definedName name="_____o9" hidden="1">{"TAB1",#N/A,TRUE,"GENERAL";"TAB2",#N/A,TRUE,"GENERAL";"TAB3",#N/A,TRUE,"GENERAL";"TAB4",#N/A,TRUE,"GENERAL";"TAB5",#N/A,TRUE,"GENERAL"}</definedName>
    <definedName name="_____p6" localSheetId="14" hidden="1">{"via1",#N/A,TRUE,"general";"via2",#N/A,TRUE,"general";"via3",#N/A,TRUE,"general"}</definedName>
    <definedName name="_____p6" localSheetId="16" hidden="1">{"via1",#N/A,TRUE,"general";"via2",#N/A,TRUE,"general";"via3",#N/A,TRUE,"general"}</definedName>
    <definedName name="_____p6" localSheetId="17" hidden="1">{"via1",#N/A,TRUE,"general";"via2",#N/A,TRUE,"general";"via3",#N/A,TRUE,"general"}</definedName>
    <definedName name="_____p6" localSheetId="13" hidden="1">{"via1",#N/A,TRUE,"general";"via2",#N/A,TRUE,"general";"via3",#N/A,TRUE,"general"}</definedName>
    <definedName name="_____p6" localSheetId="15" hidden="1">{"via1",#N/A,TRUE,"general";"via2",#N/A,TRUE,"general";"via3",#N/A,TRUE,"general"}</definedName>
    <definedName name="_____p6" hidden="1">{"via1",#N/A,TRUE,"general";"via2",#N/A,TRUE,"general";"via3",#N/A,TRUE,"general"}</definedName>
    <definedName name="_____p7" localSheetId="14" hidden="1">{"via1",#N/A,TRUE,"general";"via2",#N/A,TRUE,"general";"via3",#N/A,TRUE,"general"}</definedName>
    <definedName name="_____p7" localSheetId="16" hidden="1">{"via1",#N/A,TRUE,"general";"via2",#N/A,TRUE,"general";"via3",#N/A,TRUE,"general"}</definedName>
    <definedName name="_____p7" localSheetId="17" hidden="1">{"via1",#N/A,TRUE,"general";"via2",#N/A,TRUE,"general";"via3",#N/A,TRUE,"general"}</definedName>
    <definedName name="_____p7" localSheetId="13" hidden="1">{"via1",#N/A,TRUE,"general";"via2",#N/A,TRUE,"general";"via3",#N/A,TRUE,"general"}</definedName>
    <definedName name="_____p7" localSheetId="15" hidden="1">{"via1",#N/A,TRUE,"general";"via2",#N/A,TRUE,"general";"via3",#N/A,TRUE,"general"}</definedName>
    <definedName name="_____p7" hidden="1">{"via1",#N/A,TRUE,"general";"via2",#N/A,TRUE,"general";"via3",#N/A,TRUE,"general"}</definedName>
    <definedName name="_____p8" localSheetId="14" hidden="1">{"TAB1",#N/A,TRUE,"GENERAL";"TAB2",#N/A,TRUE,"GENERAL";"TAB3",#N/A,TRUE,"GENERAL";"TAB4",#N/A,TRUE,"GENERAL";"TAB5",#N/A,TRUE,"GENERAL"}</definedName>
    <definedName name="_____p8" localSheetId="16" hidden="1">{"TAB1",#N/A,TRUE,"GENERAL";"TAB2",#N/A,TRUE,"GENERAL";"TAB3",#N/A,TRUE,"GENERAL";"TAB4",#N/A,TRUE,"GENERAL";"TAB5",#N/A,TRUE,"GENERAL"}</definedName>
    <definedName name="_____p8" localSheetId="17" hidden="1">{"TAB1",#N/A,TRUE,"GENERAL";"TAB2",#N/A,TRUE,"GENERAL";"TAB3",#N/A,TRUE,"GENERAL";"TAB4",#N/A,TRUE,"GENERAL";"TAB5",#N/A,TRUE,"GENERAL"}</definedName>
    <definedName name="_____p8" localSheetId="13" hidden="1">{"TAB1",#N/A,TRUE,"GENERAL";"TAB2",#N/A,TRUE,"GENERAL";"TAB3",#N/A,TRUE,"GENERAL";"TAB4",#N/A,TRUE,"GENERAL";"TAB5",#N/A,TRUE,"GENERAL"}</definedName>
    <definedName name="_____p8" localSheetId="15" hidden="1">{"TAB1",#N/A,TRUE,"GENERAL";"TAB2",#N/A,TRUE,"GENERAL";"TAB3",#N/A,TRUE,"GENERAL";"TAB4",#N/A,TRUE,"GENERAL";"TAB5",#N/A,TRUE,"GENERAL"}</definedName>
    <definedName name="_____p8" hidden="1">{"TAB1",#N/A,TRUE,"GENERAL";"TAB2",#N/A,TRUE,"GENERAL";"TAB3",#N/A,TRUE,"GENERAL";"TAB4",#N/A,TRUE,"GENERAL";"TAB5",#N/A,TRUE,"GENERAL"}</definedName>
    <definedName name="_____Pa1">#REF!</definedName>
    <definedName name="_____Pa2">#REF!</definedName>
    <definedName name="_____Pa3">#REF!</definedName>
    <definedName name="_____Pa4">#REF!</definedName>
    <definedName name="_____PJ50">#REF!</definedName>
    <definedName name="_____pj51">#REF!</definedName>
    <definedName name="_____Po2" localSheetId="3">#REF!</definedName>
    <definedName name="_____Po2">#REF!</definedName>
    <definedName name="_____r" localSheetId="3">#REF!</definedName>
    <definedName name="_____r" localSheetId="14" hidden="1">{"TAB1",#N/A,TRUE,"GENERAL";"TAB2",#N/A,TRUE,"GENERAL";"TAB3",#N/A,TRUE,"GENERAL";"TAB4",#N/A,TRUE,"GENERAL";"TAB5",#N/A,TRUE,"GENERAL"}</definedName>
    <definedName name="_____r" localSheetId="16" hidden="1">{"TAB1",#N/A,TRUE,"GENERAL";"TAB2",#N/A,TRUE,"GENERAL";"TAB3",#N/A,TRUE,"GENERAL";"TAB4",#N/A,TRUE,"GENERAL";"TAB5",#N/A,TRUE,"GENERAL"}</definedName>
    <definedName name="_____r" localSheetId="17" hidden="1">{"TAB1",#N/A,TRUE,"GENERAL";"TAB2",#N/A,TRUE,"GENERAL";"TAB3",#N/A,TRUE,"GENERAL";"TAB4",#N/A,TRUE,"GENERAL";"TAB5",#N/A,TRUE,"GENERAL"}</definedName>
    <definedName name="_____r" localSheetId="13" hidden="1">{"TAB1",#N/A,TRUE,"GENERAL";"TAB2",#N/A,TRUE,"GENERAL";"TAB3",#N/A,TRUE,"GENERAL";"TAB4",#N/A,TRUE,"GENERAL";"TAB5",#N/A,TRUE,"GENERAL"}</definedName>
    <definedName name="_____r" localSheetId="15" hidden="1">{"TAB1",#N/A,TRUE,"GENERAL";"TAB2",#N/A,TRUE,"GENERAL";"TAB3",#N/A,TRUE,"GENERAL";"TAB4",#N/A,TRUE,"GENERAL";"TAB5",#N/A,TRUE,"GENERAL"}</definedName>
    <definedName name="_____r">#REF!</definedName>
    <definedName name="_____R32JH">#REF!</definedName>
    <definedName name="_____R42JH" localSheetId="3">#REF!</definedName>
    <definedName name="_____R42JH" localSheetId="30">#REF!</definedName>
    <definedName name="_____R42JH" localSheetId="31">#REF!</definedName>
    <definedName name="_____R42JH" localSheetId="29">#REF!</definedName>
    <definedName name="_____R42JH">#REF!</definedName>
    <definedName name="_____R43JH" localSheetId="3">#REF!</definedName>
    <definedName name="_____R43JH" localSheetId="30">#REF!</definedName>
    <definedName name="_____R43JH" localSheetId="31">#REF!</definedName>
    <definedName name="_____R43JH" localSheetId="29">#REF!</definedName>
    <definedName name="_____R43JH">#REF!</definedName>
    <definedName name="_____r4r" localSheetId="14" hidden="1">{"via1",#N/A,TRUE,"general";"via2",#N/A,TRUE,"general";"via3",#N/A,TRUE,"general"}</definedName>
    <definedName name="_____r4r" localSheetId="16" hidden="1">{"via1",#N/A,TRUE,"general";"via2",#N/A,TRUE,"general";"via3",#N/A,TRUE,"general"}</definedName>
    <definedName name="_____r4r" localSheetId="17" hidden="1">{"via1",#N/A,TRUE,"general";"via2",#N/A,TRUE,"general";"via3",#N/A,TRUE,"general"}</definedName>
    <definedName name="_____r4r" localSheetId="13" hidden="1">{"via1",#N/A,TRUE,"general";"via2",#N/A,TRUE,"general";"via3",#N/A,TRUE,"general"}</definedName>
    <definedName name="_____r4r" localSheetId="15" hidden="1">{"via1",#N/A,TRUE,"general";"via2",#N/A,TRUE,"general";"via3",#N/A,TRUE,"general"}</definedName>
    <definedName name="_____r4r" hidden="1">{"via1",#N/A,TRUE,"general";"via2",#N/A,TRUE,"general";"via3",#N/A,TRUE,"general"}</definedName>
    <definedName name="_____R63BB" localSheetId="3">#REF!</definedName>
    <definedName name="_____R63BB" localSheetId="30">#REF!</definedName>
    <definedName name="_____R63BB" localSheetId="31">#REF!</definedName>
    <definedName name="_____R63BB" localSheetId="29">#REF!</definedName>
    <definedName name="_____R63BB">#REF!</definedName>
    <definedName name="_____R63JH" localSheetId="3">#REF!</definedName>
    <definedName name="_____R63JH" localSheetId="30">#REF!</definedName>
    <definedName name="_____R63JH" localSheetId="31">#REF!</definedName>
    <definedName name="_____R63JH" localSheetId="29">#REF!</definedName>
    <definedName name="_____R63JH">#REF!</definedName>
    <definedName name="_____R64JH">#REF!</definedName>
    <definedName name="_____R84JH">#REF!</definedName>
    <definedName name="_____rc">#REF!</definedName>
    <definedName name="_____REP43">#REF!</definedName>
    <definedName name="_____rtu6" localSheetId="14" hidden="1">{"via1",#N/A,TRUE,"general";"via2",#N/A,TRUE,"general";"via3",#N/A,TRUE,"general"}</definedName>
    <definedName name="_____rtu6" localSheetId="16" hidden="1">{"via1",#N/A,TRUE,"general";"via2",#N/A,TRUE,"general";"via3",#N/A,TRUE,"general"}</definedName>
    <definedName name="_____rtu6" localSheetId="17" hidden="1">{"via1",#N/A,TRUE,"general";"via2",#N/A,TRUE,"general";"via3",#N/A,TRUE,"general"}</definedName>
    <definedName name="_____rtu6" localSheetId="13" hidden="1">{"via1",#N/A,TRUE,"general";"via2",#N/A,TRUE,"general";"via3",#N/A,TRUE,"general"}</definedName>
    <definedName name="_____rtu6" localSheetId="15" hidden="1">{"via1",#N/A,TRUE,"general";"via2",#N/A,TRUE,"general";"via3",#N/A,TRUE,"general"}</definedName>
    <definedName name="_____rtu6" hidden="1">{"via1",#N/A,TRUE,"general";"via2",#N/A,TRUE,"general";"via3",#N/A,TRUE,"general"}</definedName>
    <definedName name="_____s1" localSheetId="14" hidden="1">{"via1",#N/A,TRUE,"general";"via2",#N/A,TRUE,"general";"via3",#N/A,TRUE,"general"}</definedName>
    <definedName name="_____s1" localSheetId="16" hidden="1">{"via1",#N/A,TRUE,"general";"via2",#N/A,TRUE,"general";"via3",#N/A,TRUE,"general"}</definedName>
    <definedName name="_____s1" localSheetId="17" hidden="1">{"via1",#N/A,TRUE,"general";"via2",#N/A,TRUE,"general";"via3",#N/A,TRUE,"general"}</definedName>
    <definedName name="_____s1" localSheetId="13" hidden="1">{"via1",#N/A,TRUE,"general";"via2",#N/A,TRUE,"general";"via3",#N/A,TRUE,"general"}</definedName>
    <definedName name="_____s1" localSheetId="15" hidden="1">{"via1",#N/A,TRUE,"general";"via2",#N/A,TRUE,"general";"via3",#N/A,TRUE,"general"}</definedName>
    <definedName name="_____s1" hidden="1">{"via1",#N/A,TRUE,"general";"via2",#N/A,TRUE,"general";"via3",#N/A,TRUE,"general"}</definedName>
    <definedName name="_____s2" localSheetId="14" hidden="1">{"TAB1",#N/A,TRUE,"GENERAL";"TAB2",#N/A,TRUE,"GENERAL";"TAB3",#N/A,TRUE,"GENERAL";"TAB4",#N/A,TRUE,"GENERAL";"TAB5",#N/A,TRUE,"GENERAL"}</definedName>
    <definedName name="_____s2" localSheetId="16" hidden="1">{"TAB1",#N/A,TRUE,"GENERAL";"TAB2",#N/A,TRUE,"GENERAL";"TAB3",#N/A,TRUE,"GENERAL";"TAB4",#N/A,TRUE,"GENERAL";"TAB5",#N/A,TRUE,"GENERAL"}</definedName>
    <definedName name="_____s2" localSheetId="17" hidden="1">{"TAB1",#N/A,TRUE,"GENERAL";"TAB2",#N/A,TRUE,"GENERAL";"TAB3",#N/A,TRUE,"GENERAL";"TAB4",#N/A,TRUE,"GENERAL";"TAB5",#N/A,TRUE,"GENERAL"}</definedName>
    <definedName name="_____s2" localSheetId="13" hidden="1">{"TAB1",#N/A,TRUE,"GENERAL";"TAB2",#N/A,TRUE,"GENERAL";"TAB3",#N/A,TRUE,"GENERAL";"TAB4",#N/A,TRUE,"GENERAL";"TAB5",#N/A,TRUE,"GENERAL"}</definedName>
    <definedName name="_____s2" localSheetId="15" hidden="1">{"TAB1",#N/A,TRUE,"GENERAL";"TAB2",#N/A,TRUE,"GENERAL";"TAB3",#N/A,TRUE,"GENERAL";"TAB4",#N/A,TRUE,"GENERAL";"TAB5",#N/A,TRUE,"GENERAL"}</definedName>
    <definedName name="_____s2" hidden="1">{"TAB1",#N/A,TRUE,"GENERAL";"TAB2",#N/A,TRUE,"GENERAL";"TAB3",#N/A,TRUE,"GENERAL";"TAB4",#N/A,TRUE,"GENERAL";"TAB5",#N/A,TRUE,"GENERAL"}</definedName>
    <definedName name="_____s3" localSheetId="14" hidden="1">{"TAB1",#N/A,TRUE,"GENERAL";"TAB2",#N/A,TRUE,"GENERAL";"TAB3",#N/A,TRUE,"GENERAL";"TAB4",#N/A,TRUE,"GENERAL";"TAB5",#N/A,TRUE,"GENERAL"}</definedName>
    <definedName name="_____s3" localSheetId="16" hidden="1">{"TAB1",#N/A,TRUE,"GENERAL";"TAB2",#N/A,TRUE,"GENERAL";"TAB3",#N/A,TRUE,"GENERAL";"TAB4",#N/A,TRUE,"GENERAL";"TAB5",#N/A,TRUE,"GENERAL"}</definedName>
    <definedName name="_____s3" localSheetId="17" hidden="1">{"TAB1",#N/A,TRUE,"GENERAL";"TAB2",#N/A,TRUE,"GENERAL";"TAB3",#N/A,TRUE,"GENERAL";"TAB4",#N/A,TRUE,"GENERAL";"TAB5",#N/A,TRUE,"GENERAL"}</definedName>
    <definedName name="_____s3" localSheetId="13" hidden="1">{"TAB1",#N/A,TRUE,"GENERAL";"TAB2",#N/A,TRUE,"GENERAL";"TAB3",#N/A,TRUE,"GENERAL";"TAB4",#N/A,TRUE,"GENERAL";"TAB5",#N/A,TRUE,"GENERAL"}</definedName>
    <definedName name="_____s3" localSheetId="15" hidden="1">{"TAB1",#N/A,TRUE,"GENERAL";"TAB2",#N/A,TRUE,"GENERAL";"TAB3",#N/A,TRUE,"GENERAL";"TAB4",#N/A,TRUE,"GENERAL";"TAB5",#N/A,TRUE,"GENERAL"}</definedName>
    <definedName name="_____s3" hidden="1">{"TAB1",#N/A,TRUE,"GENERAL";"TAB2",#N/A,TRUE,"GENERAL";"TAB3",#N/A,TRUE,"GENERAL";"TAB4",#N/A,TRUE,"GENERAL";"TAB5",#N/A,TRUE,"GENERAL"}</definedName>
    <definedName name="_____s4" localSheetId="14" hidden="1">{"via1",#N/A,TRUE,"general";"via2",#N/A,TRUE,"general";"via3",#N/A,TRUE,"general"}</definedName>
    <definedName name="_____s4" localSheetId="16" hidden="1">{"via1",#N/A,TRUE,"general";"via2",#N/A,TRUE,"general";"via3",#N/A,TRUE,"general"}</definedName>
    <definedName name="_____s4" localSheetId="17" hidden="1">{"via1",#N/A,TRUE,"general";"via2",#N/A,TRUE,"general";"via3",#N/A,TRUE,"general"}</definedName>
    <definedName name="_____s4" localSheetId="13" hidden="1">{"via1",#N/A,TRUE,"general";"via2",#N/A,TRUE,"general";"via3",#N/A,TRUE,"general"}</definedName>
    <definedName name="_____s4" localSheetId="15" hidden="1">{"via1",#N/A,TRUE,"general";"via2",#N/A,TRUE,"general";"via3",#N/A,TRUE,"general"}</definedName>
    <definedName name="_____s4" hidden="1">{"via1",#N/A,TRUE,"general";"via2",#N/A,TRUE,"general";"via3",#N/A,TRUE,"general"}</definedName>
    <definedName name="_____s5" localSheetId="14" hidden="1">{"via1",#N/A,TRUE,"general";"via2",#N/A,TRUE,"general";"via3",#N/A,TRUE,"general"}</definedName>
    <definedName name="_____s5" localSheetId="16" hidden="1">{"via1",#N/A,TRUE,"general";"via2",#N/A,TRUE,"general";"via3",#N/A,TRUE,"general"}</definedName>
    <definedName name="_____s5" localSheetId="17" hidden="1">{"via1",#N/A,TRUE,"general";"via2",#N/A,TRUE,"general";"via3",#N/A,TRUE,"general"}</definedName>
    <definedName name="_____s5" localSheetId="13" hidden="1">{"via1",#N/A,TRUE,"general";"via2",#N/A,TRUE,"general";"via3",#N/A,TRUE,"general"}</definedName>
    <definedName name="_____s5" localSheetId="15" hidden="1">{"via1",#N/A,TRUE,"general";"via2",#N/A,TRUE,"general";"via3",#N/A,TRUE,"general"}</definedName>
    <definedName name="_____s5" hidden="1">{"via1",#N/A,TRUE,"general";"via2",#N/A,TRUE,"general";"via3",#N/A,TRUE,"general"}</definedName>
    <definedName name="_____s6" localSheetId="14" hidden="1">{"TAB1",#N/A,TRUE,"GENERAL";"TAB2",#N/A,TRUE,"GENERAL";"TAB3",#N/A,TRUE,"GENERAL";"TAB4",#N/A,TRUE,"GENERAL";"TAB5",#N/A,TRUE,"GENERAL"}</definedName>
    <definedName name="_____s6" localSheetId="16" hidden="1">{"TAB1",#N/A,TRUE,"GENERAL";"TAB2",#N/A,TRUE,"GENERAL";"TAB3",#N/A,TRUE,"GENERAL";"TAB4",#N/A,TRUE,"GENERAL";"TAB5",#N/A,TRUE,"GENERAL"}</definedName>
    <definedName name="_____s6" localSheetId="17" hidden="1">{"TAB1",#N/A,TRUE,"GENERAL";"TAB2",#N/A,TRUE,"GENERAL";"TAB3",#N/A,TRUE,"GENERAL";"TAB4",#N/A,TRUE,"GENERAL";"TAB5",#N/A,TRUE,"GENERAL"}</definedName>
    <definedName name="_____s6" localSheetId="13" hidden="1">{"TAB1",#N/A,TRUE,"GENERAL";"TAB2",#N/A,TRUE,"GENERAL";"TAB3",#N/A,TRUE,"GENERAL";"TAB4",#N/A,TRUE,"GENERAL";"TAB5",#N/A,TRUE,"GENERAL"}</definedName>
    <definedName name="_____s6" localSheetId="15" hidden="1">{"TAB1",#N/A,TRUE,"GENERAL";"TAB2",#N/A,TRUE,"GENERAL";"TAB3",#N/A,TRUE,"GENERAL";"TAB4",#N/A,TRUE,"GENERAL";"TAB5",#N/A,TRUE,"GENERAL"}</definedName>
    <definedName name="_____s6" hidden="1">{"TAB1",#N/A,TRUE,"GENERAL";"TAB2",#N/A,TRUE,"GENERAL";"TAB3",#N/A,TRUE,"GENERAL";"TAB4",#N/A,TRUE,"GENERAL";"TAB5",#N/A,TRUE,"GENERAL"}</definedName>
    <definedName name="_____s7" localSheetId="14" hidden="1">{"via1",#N/A,TRUE,"general";"via2",#N/A,TRUE,"general";"via3",#N/A,TRUE,"general"}</definedName>
    <definedName name="_____s7" localSheetId="16" hidden="1">{"via1",#N/A,TRUE,"general";"via2",#N/A,TRUE,"general";"via3",#N/A,TRUE,"general"}</definedName>
    <definedName name="_____s7" localSheetId="17" hidden="1">{"via1",#N/A,TRUE,"general";"via2",#N/A,TRUE,"general";"via3",#N/A,TRUE,"general"}</definedName>
    <definedName name="_____s7" localSheetId="13" hidden="1">{"via1",#N/A,TRUE,"general";"via2",#N/A,TRUE,"general";"via3",#N/A,TRUE,"general"}</definedName>
    <definedName name="_____s7" localSheetId="15" hidden="1">{"via1",#N/A,TRUE,"general";"via2",#N/A,TRUE,"general";"via3",#N/A,TRUE,"general"}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ST166">#REF!</definedName>
    <definedName name="_____ST186" localSheetId="3">#REF!</definedName>
    <definedName name="_____ST186" localSheetId="30">#REF!</definedName>
    <definedName name="_____ST186" localSheetId="31">#REF!</definedName>
    <definedName name="_____ST186" localSheetId="29">#REF!</definedName>
    <definedName name="_____ST186">#REF!</definedName>
    <definedName name="_____ST206" localSheetId="3">#REF!</definedName>
    <definedName name="_____ST206" localSheetId="30">#REF!</definedName>
    <definedName name="_____ST206" localSheetId="31">#REF!</definedName>
    <definedName name="_____ST206" localSheetId="29">#REF!</definedName>
    <definedName name="_____ST206">#REF!</definedName>
    <definedName name="_____ST86" localSheetId="3">#REF!</definedName>
    <definedName name="_____ST86" localSheetId="30">#REF!</definedName>
    <definedName name="_____ST86" localSheetId="31">#REF!</definedName>
    <definedName name="_____ST86" localSheetId="29">#REF!</definedName>
    <definedName name="_____ST86">#REF!</definedName>
    <definedName name="_____t3" localSheetId="14" hidden="1">{"TAB1",#N/A,TRUE,"GENERAL";"TAB2",#N/A,TRUE,"GENERAL";"TAB3",#N/A,TRUE,"GENERAL";"TAB4",#N/A,TRUE,"GENERAL";"TAB5",#N/A,TRUE,"GENERAL"}</definedName>
    <definedName name="_____t3" localSheetId="16" hidden="1">{"TAB1",#N/A,TRUE,"GENERAL";"TAB2",#N/A,TRUE,"GENERAL";"TAB3",#N/A,TRUE,"GENERAL";"TAB4",#N/A,TRUE,"GENERAL";"TAB5",#N/A,TRUE,"GENERAL"}</definedName>
    <definedName name="_____t3" localSheetId="17" hidden="1">{"TAB1",#N/A,TRUE,"GENERAL";"TAB2",#N/A,TRUE,"GENERAL";"TAB3",#N/A,TRUE,"GENERAL";"TAB4",#N/A,TRUE,"GENERAL";"TAB5",#N/A,TRUE,"GENERAL"}</definedName>
    <definedName name="_____t3" localSheetId="13" hidden="1">{"TAB1",#N/A,TRUE,"GENERAL";"TAB2",#N/A,TRUE,"GENERAL";"TAB3",#N/A,TRUE,"GENERAL";"TAB4",#N/A,TRUE,"GENERAL";"TAB5",#N/A,TRUE,"GENERAL"}</definedName>
    <definedName name="_____t3" localSheetId="15" hidden="1">{"TAB1",#N/A,TRUE,"GENERAL";"TAB2",#N/A,TRUE,"GENERAL";"TAB3",#N/A,TRUE,"GENERAL";"TAB4",#N/A,TRUE,"GENERAL";"TAB5",#N/A,TRUE,"GENERAL"}</definedName>
    <definedName name="_____t3" hidden="1">{"TAB1",#N/A,TRUE,"GENERAL";"TAB2",#N/A,TRUE,"GENERAL";"TAB3",#N/A,TRUE,"GENERAL";"TAB4",#N/A,TRUE,"GENERAL";"TAB5",#N/A,TRUE,"GENERAL"}</definedName>
    <definedName name="_____t4" localSheetId="14" hidden="1">{"via1",#N/A,TRUE,"general";"via2",#N/A,TRUE,"general";"via3",#N/A,TRUE,"general"}</definedName>
    <definedName name="_____t4" localSheetId="16" hidden="1">{"via1",#N/A,TRUE,"general";"via2",#N/A,TRUE,"general";"via3",#N/A,TRUE,"general"}</definedName>
    <definedName name="_____t4" localSheetId="17" hidden="1">{"via1",#N/A,TRUE,"general";"via2",#N/A,TRUE,"general";"via3",#N/A,TRUE,"general"}</definedName>
    <definedName name="_____t4" localSheetId="13" hidden="1">{"via1",#N/A,TRUE,"general";"via2",#N/A,TRUE,"general";"via3",#N/A,TRUE,"general"}</definedName>
    <definedName name="_____t4" localSheetId="15" hidden="1">{"via1",#N/A,TRUE,"general";"via2",#N/A,TRUE,"general";"via3",#N/A,TRUE,"general"}</definedName>
    <definedName name="_____t4" hidden="1">{"via1",#N/A,TRUE,"general";"via2",#N/A,TRUE,"general";"via3",#N/A,TRUE,"general"}</definedName>
    <definedName name="_____t5" localSheetId="14" hidden="1">{"TAB1",#N/A,TRUE,"GENERAL";"TAB2",#N/A,TRUE,"GENERAL";"TAB3",#N/A,TRUE,"GENERAL";"TAB4",#N/A,TRUE,"GENERAL";"TAB5",#N/A,TRUE,"GENERAL"}</definedName>
    <definedName name="_____t5" localSheetId="16" hidden="1">{"TAB1",#N/A,TRUE,"GENERAL";"TAB2",#N/A,TRUE,"GENERAL";"TAB3",#N/A,TRUE,"GENERAL";"TAB4",#N/A,TRUE,"GENERAL";"TAB5",#N/A,TRUE,"GENERAL"}</definedName>
    <definedName name="_____t5" localSheetId="17" hidden="1">{"TAB1",#N/A,TRUE,"GENERAL";"TAB2",#N/A,TRUE,"GENERAL";"TAB3",#N/A,TRUE,"GENERAL";"TAB4",#N/A,TRUE,"GENERAL";"TAB5",#N/A,TRUE,"GENERAL"}</definedName>
    <definedName name="_____t5" localSheetId="13" hidden="1">{"TAB1",#N/A,TRUE,"GENERAL";"TAB2",#N/A,TRUE,"GENERAL";"TAB3",#N/A,TRUE,"GENERAL";"TAB4",#N/A,TRUE,"GENERAL";"TAB5",#N/A,TRUE,"GENERAL"}</definedName>
    <definedName name="_____t5" localSheetId="15" hidden="1">{"TAB1",#N/A,TRUE,"GENERAL";"TAB2",#N/A,TRUE,"GENERAL";"TAB3",#N/A,TRUE,"GENERAL";"TAB4",#N/A,TRUE,"GENERAL";"TAB5",#N/A,TRUE,"GENERAL"}</definedName>
    <definedName name="_____t5" hidden="1">{"TAB1",#N/A,TRUE,"GENERAL";"TAB2",#N/A,TRUE,"GENERAL";"TAB3",#N/A,TRUE,"GENERAL";"TAB4",#N/A,TRUE,"GENERAL";"TAB5",#N/A,TRUE,"GENERAL"}</definedName>
    <definedName name="_____t6" localSheetId="14" hidden="1">{"via1",#N/A,TRUE,"general";"via2",#N/A,TRUE,"general";"via3",#N/A,TRUE,"general"}</definedName>
    <definedName name="_____t6" localSheetId="16" hidden="1">{"via1",#N/A,TRUE,"general";"via2",#N/A,TRUE,"general";"via3",#N/A,TRUE,"general"}</definedName>
    <definedName name="_____t6" localSheetId="17" hidden="1">{"via1",#N/A,TRUE,"general";"via2",#N/A,TRUE,"general";"via3",#N/A,TRUE,"general"}</definedName>
    <definedName name="_____t6" localSheetId="13" hidden="1">{"via1",#N/A,TRUE,"general";"via2",#N/A,TRUE,"general";"via3",#N/A,TRUE,"general"}</definedName>
    <definedName name="_____t6" localSheetId="15" hidden="1">{"via1",#N/A,TRUE,"general";"via2",#N/A,TRUE,"general";"via3",#N/A,TRUE,"general"}</definedName>
    <definedName name="_____t6" hidden="1">{"via1",#N/A,TRUE,"general";"via2",#N/A,TRUE,"general";"via3",#N/A,TRUE,"general"}</definedName>
    <definedName name="_____t66" localSheetId="14" hidden="1">{"TAB1",#N/A,TRUE,"GENERAL";"TAB2",#N/A,TRUE,"GENERAL";"TAB3",#N/A,TRUE,"GENERAL";"TAB4",#N/A,TRUE,"GENERAL";"TAB5",#N/A,TRUE,"GENERAL"}</definedName>
    <definedName name="_____t66" localSheetId="16" hidden="1">{"TAB1",#N/A,TRUE,"GENERAL";"TAB2",#N/A,TRUE,"GENERAL";"TAB3",#N/A,TRUE,"GENERAL";"TAB4",#N/A,TRUE,"GENERAL";"TAB5",#N/A,TRUE,"GENERAL"}</definedName>
    <definedName name="_____t66" localSheetId="17" hidden="1">{"TAB1",#N/A,TRUE,"GENERAL";"TAB2",#N/A,TRUE,"GENERAL";"TAB3",#N/A,TRUE,"GENERAL";"TAB4",#N/A,TRUE,"GENERAL";"TAB5",#N/A,TRUE,"GENERAL"}</definedName>
    <definedName name="_____t66" localSheetId="13" hidden="1">{"TAB1",#N/A,TRUE,"GENERAL";"TAB2",#N/A,TRUE,"GENERAL";"TAB3",#N/A,TRUE,"GENERAL";"TAB4",#N/A,TRUE,"GENERAL";"TAB5",#N/A,TRUE,"GENERAL"}</definedName>
    <definedName name="_____t66" localSheetId="15" hidden="1">{"TAB1",#N/A,TRUE,"GENERAL";"TAB2",#N/A,TRUE,"GENERAL";"TAB3",#N/A,TRUE,"GENERAL";"TAB4",#N/A,TRUE,"GENERAL";"TAB5",#N/A,TRUE,"GENERAL"}</definedName>
    <definedName name="_____t66" hidden="1">{"TAB1",#N/A,TRUE,"GENERAL";"TAB2",#N/A,TRUE,"GENERAL";"TAB3",#N/A,TRUE,"GENERAL";"TAB4",#N/A,TRUE,"GENERAL";"TAB5",#N/A,TRUE,"GENERAL"}</definedName>
    <definedName name="_____t7" localSheetId="14" hidden="1">{"via1",#N/A,TRUE,"general";"via2",#N/A,TRUE,"general";"via3",#N/A,TRUE,"general"}</definedName>
    <definedName name="_____t7" localSheetId="16" hidden="1">{"via1",#N/A,TRUE,"general";"via2",#N/A,TRUE,"general";"via3",#N/A,TRUE,"general"}</definedName>
    <definedName name="_____t7" localSheetId="17" hidden="1">{"via1",#N/A,TRUE,"general";"via2",#N/A,TRUE,"general";"via3",#N/A,TRUE,"general"}</definedName>
    <definedName name="_____t7" localSheetId="13" hidden="1">{"via1",#N/A,TRUE,"general";"via2",#N/A,TRUE,"general";"via3",#N/A,TRUE,"general"}</definedName>
    <definedName name="_____t7" localSheetId="15" hidden="1">{"via1",#N/A,TRUE,"general";"via2",#N/A,TRUE,"general";"via3",#N/A,TRUE,"general"}</definedName>
    <definedName name="_____t7" hidden="1">{"via1",#N/A,TRUE,"general";"via2",#N/A,TRUE,"general";"via3",#N/A,TRUE,"general"}</definedName>
    <definedName name="_____t77" localSheetId="14" hidden="1">{"TAB1",#N/A,TRUE,"GENERAL";"TAB2",#N/A,TRUE,"GENERAL";"TAB3",#N/A,TRUE,"GENERAL";"TAB4",#N/A,TRUE,"GENERAL";"TAB5",#N/A,TRUE,"GENERAL"}</definedName>
    <definedName name="_____t77" localSheetId="16" hidden="1">{"TAB1",#N/A,TRUE,"GENERAL";"TAB2",#N/A,TRUE,"GENERAL";"TAB3",#N/A,TRUE,"GENERAL";"TAB4",#N/A,TRUE,"GENERAL";"TAB5",#N/A,TRUE,"GENERAL"}</definedName>
    <definedName name="_____t77" localSheetId="17" hidden="1">{"TAB1",#N/A,TRUE,"GENERAL";"TAB2",#N/A,TRUE,"GENERAL";"TAB3",#N/A,TRUE,"GENERAL";"TAB4",#N/A,TRUE,"GENERAL";"TAB5",#N/A,TRUE,"GENERAL"}</definedName>
    <definedName name="_____t77" localSheetId="13" hidden="1">{"TAB1",#N/A,TRUE,"GENERAL";"TAB2",#N/A,TRUE,"GENERAL";"TAB3",#N/A,TRUE,"GENERAL";"TAB4",#N/A,TRUE,"GENERAL";"TAB5",#N/A,TRUE,"GENERAL"}</definedName>
    <definedName name="_____t77" localSheetId="15" hidden="1">{"TAB1",#N/A,TRUE,"GENERAL";"TAB2",#N/A,TRUE,"GENERAL";"TAB3",#N/A,TRUE,"GENERAL";"TAB4",#N/A,TRUE,"GENERAL";"TAB5",#N/A,TRUE,"GENERAL"}</definedName>
    <definedName name="_____t77" hidden="1">{"TAB1",#N/A,TRUE,"GENERAL";"TAB2",#N/A,TRUE,"GENERAL";"TAB3",#N/A,TRUE,"GENERAL";"TAB4",#N/A,TRUE,"GENERAL";"TAB5",#N/A,TRUE,"GENERAL"}</definedName>
    <definedName name="_____t8" localSheetId="14" hidden="1">{"TAB1",#N/A,TRUE,"GENERAL";"TAB2",#N/A,TRUE,"GENERAL";"TAB3",#N/A,TRUE,"GENERAL";"TAB4",#N/A,TRUE,"GENERAL";"TAB5",#N/A,TRUE,"GENERAL"}</definedName>
    <definedName name="_____t8" localSheetId="16" hidden="1">{"TAB1",#N/A,TRUE,"GENERAL";"TAB2",#N/A,TRUE,"GENERAL";"TAB3",#N/A,TRUE,"GENERAL";"TAB4",#N/A,TRUE,"GENERAL";"TAB5",#N/A,TRUE,"GENERAL"}</definedName>
    <definedName name="_____t8" localSheetId="17" hidden="1">{"TAB1",#N/A,TRUE,"GENERAL";"TAB2",#N/A,TRUE,"GENERAL";"TAB3",#N/A,TRUE,"GENERAL";"TAB4",#N/A,TRUE,"GENERAL";"TAB5",#N/A,TRUE,"GENERAL"}</definedName>
    <definedName name="_____t8" localSheetId="13" hidden="1">{"TAB1",#N/A,TRUE,"GENERAL";"TAB2",#N/A,TRUE,"GENERAL";"TAB3",#N/A,TRUE,"GENERAL";"TAB4",#N/A,TRUE,"GENERAL";"TAB5",#N/A,TRUE,"GENERAL"}</definedName>
    <definedName name="_____t8" localSheetId="15" hidden="1">{"TAB1",#N/A,TRUE,"GENERAL";"TAB2",#N/A,TRUE,"GENERAL";"TAB3",#N/A,TRUE,"GENERAL";"TAB4",#N/A,TRUE,"GENERAL";"TAB5",#N/A,TRUE,"GENERAL"}</definedName>
    <definedName name="_____t8" hidden="1">{"TAB1",#N/A,TRUE,"GENERAL";"TAB2",#N/A,TRUE,"GENERAL";"TAB3",#N/A,TRUE,"GENERAL";"TAB4",#N/A,TRUE,"GENERAL";"TAB5",#N/A,TRUE,"GENERAL"}</definedName>
    <definedName name="_____t88" localSheetId="14" hidden="1">{"via1",#N/A,TRUE,"general";"via2",#N/A,TRUE,"general";"via3",#N/A,TRUE,"general"}</definedName>
    <definedName name="_____t88" localSheetId="16" hidden="1">{"via1",#N/A,TRUE,"general";"via2",#N/A,TRUE,"general";"via3",#N/A,TRUE,"general"}</definedName>
    <definedName name="_____t88" localSheetId="17" hidden="1">{"via1",#N/A,TRUE,"general";"via2",#N/A,TRUE,"general";"via3",#N/A,TRUE,"general"}</definedName>
    <definedName name="_____t88" localSheetId="13" hidden="1">{"via1",#N/A,TRUE,"general";"via2",#N/A,TRUE,"general";"via3",#N/A,TRUE,"general"}</definedName>
    <definedName name="_____t88" localSheetId="15" hidden="1">{"via1",#N/A,TRUE,"general";"via2",#N/A,TRUE,"general";"via3",#N/A,TRUE,"general"}</definedName>
    <definedName name="_____t88" hidden="1">{"via1",#N/A,TRUE,"general";"via2",#N/A,TRUE,"general";"via3",#N/A,TRUE,"general"}</definedName>
    <definedName name="_____t9" localSheetId="14" hidden="1">{"TAB1",#N/A,TRUE,"GENERAL";"TAB2",#N/A,TRUE,"GENERAL";"TAB3",#N/A,TRUE,"GENERAL";"TAB4",#N/A,TRUE,"GENERAL";"TAB5",#N/A,TRUE,"GENERAL"}</definedName>
    <definedName name="_____t9" localSheetId="16" hidden="1">{"TAB1",#N/A,TRUE,"GENERAL";"TAB2",#N/A,TRUE,"GENERAL";"TAB3",#N/A,TRUE,"GENERAL";"TAB4",#N/A,TRUE,"GENERAL";"TAB5",#N/A,TRUE,"GENERAL"}</definedName>
    <definedName name="_____t9" localSheetId="17" hidden="1">{"TAB1",#N/A,TRUE,"GENERAL";"TAB2",#N/A,TRUE,"GENERAL";"TAB3",#N/A,TRUE,"GENERAL";"TAB4",#N/A,TRUE,"GENERAL";"TAB5",#N/A,TRUE,"GENERAL"}</definedName>
    <definedName name="_____t9" localSheetId="13" hidden="1">{"TAB1",#N/A,TRUE,"GENERAL";"TAB2",#N/A,TRUE,"GENERAL";"TAB3",#N/A,TRUE,"GENERAL";"TAB4",#N/A,TRUE,"GENERAL";"TAB5",#N/A,TRUE,"GENERAL"}</definedName>
    <definedName name="_____t9" localSheetId="15" hidden="1">{"TAB1",#N/A,TRUE,"GENERAL";"TAB2",#N/A,TRUE,"GENERAL";"TAB3",#N/A,TRUE,"GENERAL";"TAB4",#N/A,TRUE,"GENERAL";"TAB5",#N/A,TRUE,"GENERAL"}</definedName>
    <definedName name="_____t9" hidden="1">{"TAB1",#N/A,TRUE,"GENERAL";"TAB2",#N/A,TRUE,"GENERAL";"TAB3",#N/A,TRUE,"GENERAL";"TAB4",#N/A,TRUE,"GENERAL";"TAB5",#N/A,TRUE,"GENERAL"}</definedName>
    <definedName name="_____t99" localSheetId="14" hidden="1">{"via1",#N/A,TRUE,"general";"via2",#N/A,TRUE,"general";"via3",#N/A,TRUE,"general"}</definedName>
    <definedName name="_____t99" localSheetId="16" hidden="1">{"via1",#N/A,TRUE,"general";"via2",#N/A,TRUE,"general";"via3",#N/A,TRUE,"general"}</definedName>
    <definedName name="_____t99" localSheetId="17" hidden="1">{"via1",#N/A,TRUE,"general";"via2",#N/A,TRUE,"general";"via3",#N/A,TRUE,"general"}</definedName>
    <definedName name="_____t99" localSheetId="13" hidden="1">{"via1",#N/A,TRUE,"general";"via2",#N/A,TRUE,"general";"via3",#N/A,TRUE,"general"}</definedName>
    <definedName name="_____t99" localSheetId="15" hidden="1">{"via1",#N/A,TRUE,"general";"via2",#N/A,TRUE,"general";"via3",#N/A,TRUE,"general"}</definedName>
    <definedName name="_____t99" hidden="1">{"via1",#N/A,TRUE,"general";"via2",#N/A,TRUE,"general";"via3",#N/A,TRUE,"general"}</definedName>
    <definedName name="_____TAP2" localSheetId="3">#REF!</definedName>
    <definedName name="_____TAP2" localSheetId="30">#REF!</definedName>
    <definedName name="_____TAP2" localSheetId="31">#REF!</definedName>
    <definedName name="_____TAP2" localSheetId="29">#REF!</definedName>
    <definedName name="_____TAP2">#REF!</definedName>
    <definedName name="_____TEE1" localSheetId="3">#REF!</definedName>
    <definedName name="_____TEE1" localSheetId="30">#REF!</definedName>
    <definedName name="_____TEE1" localSheetId="31">#REF!</definedName>
    <definedName name="_____TEE1" localSheetId="29">#REF!</definedName>
    <definedName name="_____TEE1">#REF!</definedName>
    <definedName name="_____TEE2" localSheetId="3">#REF!</definedName>
    <definedName name="_____TEE2" localSheetId="30">#REF!</definedName>
    <definedName name="_____TEE2" localSheetId="31">#REF!</definedName>
    <definedName name="_____TEE2" localSheetId="29">#REF!</definedName>
    <definedName name="_____TEE2">#REF!</definedName>
    <definedName name="_____TEE32" localSheetId="3">#REF!</definedName>
    <definedName name="_____TEE32" localSheetId="30">#REF!</definedName>
    <definedName name="_____TEE32" localSheetId="31">#REF!</definedName>
    <definedName name="_____TEE32" localSheetId="29">#REF!</definedName>
    <definedName name="_____TEE32">#REF!</definedName>
    <definedName name="_____TEE33" localSheetId="3">#REF!</definedName>
    <definedName name="_____TEE33" localSheetId="30">#REF!</definedName>
    <definedName name="_____TEE33" localSheetId="31">#REF!</definedName>
    <definedName name="_____TEE33" localSheetId="29">#REF!</definedName>
    <definedName name="_____TEE33">#REF!</definedName>
    <definedName name="_____TEP44" localSheetId="3">#REF!</definedName>
    <definedName name="_____TEP44" localSheetId="30">#REF!</definedName>
    <definedName name="_____TEP44" localSheetId="31">#REF!</definedName>
    <definedName name="_____TEP44" localSheetId="29">#REF!</definedName>
    <definedName name="_____TEP44">#REF!</definedName>
    <definedName name="_____TES44" localSheetId="3">#REF!</definedName>
    <definedName name="_____TES44" localSheetId="30">#REF!</definedName>
    <definedName name="_____TES44" localSheetId="31">#REF!</definedName>
    <definedName name="_____TES44" localSheetId="29">#REF!</definedName>
    <definedName name="_____TES44">#REF!</definedName>
    <definedName name="_____TES64" localSheetId="3">#REF!</definedName>
    <definedName name="_____TES64" localSheetId="30">#REF!</definedName>
    <definedName name="_____TES64" localSheetId="31">#REF!</definedName>
    <definedName name="_____TES64" localSheetId="29">#REF!</definedName>
    <definedName name="_____TES64">#REF!</definedName>
    <definedName name="_____THF12" localSheetId="3">#REF!</definedName>
    <definedName name="_____THF12">#REF!</definedName>
    <definedName name="_____TPE1132" localSheetId="3">#REF!</definedName>
    <definedName name="_____TPE1132">#REF!</definedName>
    <definedName name="_____TPE12" localSheetId="3">#REF!</definedName>
    <definedName name="_____TPE12" localSheetId="30">#REF!</definedName>
    <definedName name="_____TPE12" localSheetId="31">#REF!</definedName>
    <definedName name="_____TPE12" localSheetId="29">#REF!</definedName>
    <definedName name="_____TPE12">#REF!</definedName>
    <definedName name="_____TPE1331" localSheetId="3">#REF!</definedName>
    <definedName name="_____TPE1331">#REF!</definedName>
    <definedName name="_____TPE1702" localSheetId="3">#REF!</definedName>
    <definedName name="_____TPE1702">#REF!</definedName>
    <definedName name="_____TPE1703" localSheetId="3">#REF!</definedName>
    <definedName name="_____TPE1703">#REF!</definedName>
    <definedName name="_____TPE1704" localSheetId="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F12">#REF!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UZ22" localSheetId="3">#REF!</definedName>
    <definedName name="_____TUZ22">#REF!</definedName>
    <definedName name="_____TUZ36" localSheetId="3">#REF!</definedName>
    <definedName name="_____TUZ36">#REF!</definedName>
    <definedName name="_____TZ2110">#REF!</definedName>
    <definedName name="_____TZ212" localSheetId="3">#REF!</definedName>
    <definedName name="_____TZ212" localSheetId="30">#REF!</definedName>
    <definedName name="_____TZ212" localSheetId="31">#REF!</definedName>
    <definedName name="_____TZ212" localSheetId="29">#REF!</definedName>
    <definedName name="_____TZ212">#REF!</definedName>
    <definedName name="_____TZ213" localSheetId="3">#REF!</definedName>
    <definedName name="_____TZ213" localSheetId="30">#REF!</definedName>
    <definedName name="_____TZ213" localSheetId="31">#REF!</definedName>
    <definedName name="_____TZ213" localSheetId="29">#REF!</definedName>
    <definedName name="_____TZ213">#REF!</definedName>
    <definedName name="_____TZ214" localSheetId="3">#REF!</definedName>
    <definedName name="_____TZ214" localSheetId="30">#REF!</definedName>
    <definedName name="_____TZ214" localSheetId="31">#REF!</definedName>
    <definedName name="_____TZ214" localSheetId="29">#REF!</definedName>
    <definedName name="_____TZ214">#REF!</definedName>
    <definedName name="_____TZ216" localSheetId="3">#REF!</definedName>
    <definedName name="_____TZ216" localSheetId="30">#REF!</definedName>
    <definedName name="_____TZ216" localSheetId="31">#REF!</definedName>
    <definedName name="_____TZ216" localSheetId="29">#REF!</definedName>
    <definedName name="_____TZ216">#REF!</definedName>
    <definedName name="_____TZ218" localSheetId="3">#REF!</definedName>
    <definedName name="_____TZ218" localSheetId="30">#REF!</definedName>
    <definedName name="_____TZ218" localSheetId="31">#REF!</definedName>
    <definedName name="_____TZ218" localSheetId="29">#REF!</definedName>
    <definedName name="_____TZ218">#REF!</definedName>
    <definedName name="_____TZ225" localSheetId="3">#REF!</definedName>
    <definedName name="_____TZ225" localSheetId="30">#REF!</definedName>
    <definedName name="_____TZ225" localSheetId="31">#REF!</definedName>
    <definedName name="_____TZ225" localSheetId="29">#REF!</definedName>
    <definedName name="_____TZ225">#REF!</definedName>
    <definedName name="_____TZ2610" localSheetId="3">#REF!</definedName>
    <definedName name="_____TZ2610" localSheetId="30">#REF!</definedName>
    <definedName name="_____TZ2610" localSheetId="31">#REF!</definedName>
    <definedName name="_____TZ2610" localSheetId="29">#REF!</definedName>
    <definedName name="_____TZ2610">#REF!</definedName>
    <definedName name="_____TZ2612" localSheetId="3">#REF!</definedName>
    <definedName name="_____TZ2612" localSheetId="30">#REF!</definedName>
    <definedName name="_____TZ2612" localSheetId="31">#REF!</definedName>
    <definedName name="_____TZ2612" localSheetId="29">#REF!</definedName>
    <definedName name="_____TZ2612">#REF!</definedName>
    <definedName name="_____TZ2616" localSheetId="3">#REF!</definedName>
    <definedName name="_____TZ2616" localSheetId="30">#REF!</definedName>
    <definedName name="_____TZ2616" localSheetId="31">#REF!</definedName>
    <definedName name="_____TZ2616" localSheetId="29">#REF!</definedName>
    <definedName name="_____TZ2616">#REF!</definedName>
    <definedName name="_____TZ262" localSheetId="3">#REF!</definedName>
    <definedName name="_____TZ262" localSheetId="30">#REF!</definedName>
    <definedName name="_____TZ262" localSheetId="31">#REF!</definedName>
    <definedName name="_____TZ262" localSheetId="29">#REF!</definedName>
    <definedName name="_____TZ262">#REF!</definedName>
    <definedName name="_____TZ263" localSheetId="3">#REF!</definedName>
    <definedName name="_____TZ263" localSheetId="30">#REF!</definedName>
    <definedName name="_____TZ263" localSheetId="31">#REF!</definedName>
    <definedName name="_____TZ263" localSheetId="29">#REF!</definedName>
    <definedName name="_____TZ263">#REF!</definedName>
    <definedName name="_____TZ264" localSheetId="3">#REF!</definedName>
    <definedName name="_____TZ264" localSheetId="30">#REF!</definedName>
    <definedName name="_____TZ264" localSheetId="31">#REF!</definedName>
    <definedName name="_____TZ264" localSheetId="29">#REF!</definedName>
    <definedName name="_____TZ264">#REF!</definedName>
    <definedName name="_____TZ266" localSheetId="3">#REF!</definedName>
    <definedName name="_____TZ266" localSheetId="30">#REF!</definedName>
    <definedName name="_____TZ266" localSheetId="31">#REF!</definedName>
    <definedName name="_____TZ266" localSheetId="29">#REF!</definedName>
    <definedName name="_____TZ266">#REF!</definedName>
    <definedName name="_____TZ268" localSheetId="3">#REF!</definedName>
    <definedName name="_____TZ268" localSheetId="30">#REF!</definedName>
    <definedName name="_____TZ268" localSheetId="31">#REF!</definedName>
    <definedName name="_____TZ268" localSheetId="29">#REF!</definedName>
    <definedName name="_____TZ268">#REF!</definedName>
    <definedName name="_____TZ323" localSheetId="3">#REF!</definedName>
    <definedName name="_____TZ323">#REF!</definedName>
    <definedName name="_____TZ324" localSheetId="3">#REF!</definedName>
    <definedName name="_____TZ324">#REF!</definedName>
    <definedName name="_____TZ32510" localSheetId="3">#REF!</definedName>
    <definedName name="_____TZ32510" localSheetId="30">#REF!</definedName>
    <definedName name="_____TZ32510" localSheetId="31">#REF!</definedName>
    <definedName name="_____TZ32510" localSheetId="29">#REF!</definedName>
    <definedName name="_____TZ32510">#REF!</definedName>
    <definedName name="_____TZ32512" localSheetId="3">#REF!</definedName>
    <definedName name="_____TZ32512" localSheetId="30">#REF!</definedName>
    <definedName name="_____TZ32512" localSheetId="31">#REF!</definedName>
    <definedName name="_____TZ32512" localSheetId="29">#REF!</definedName>
    <definedName name="_____TZ32512">#REF!</definedName>
    <definedName name="_____TZ3253" localSheetId="3">#REF!</definedName>
    <definedName name="_____TZ3253" localSheetId="30">#REF!</definedName>
    <definedName name="_____TZ3253" localSheetId="31">#REF!</definedName>
    <definedName name="_____TZ3253" localSheetId="29">#REF!</definedName>
    <definedName name="_____TZ3253">#REF!</definedName>
    <definedName name="_____TZ3254" localSheetId="3">#REF!</definedName>
    <definedName name="_____TZ3254" localSheetId="30">#REF!</definedName>
    <definedName name="_____TZ3254" localSheetId="31">#REF!</definedName>
    <definedName name="_____TZ3254" localSheetId="29">#REF!</definedName>
    <definedName name="_____TZ3254">#REF!</definedName>
    <definedName name="_____TZ3256" localSheetId="3">#REF!</definedName>
    <definedName name="_____TZ3256" localSheetId="30">#REF!</definedName>
    <definedName name="_____TZ3256" localSheetId="31">#REF!</definedName>
    <definedName name="_____TZ3256" localSheetId="29">#REF!</definedName>
    <definedName name="_____TZ3256">#REF!</definedName>
    <definedName name="_____TZ4110" localSheetId="3">#REF!</definedName>
    <definedName name="_____TZ4110" localSheetId="30">#REF!</definedName>
    <definedName name="_____TZ4110" localSheetId="31">#REF!</definedName>
    <definedName name="_____TZ4110" localSheetId="29">#REF!</definedName>
    <definedName name="_____TZ4110">#REF!</definedName>
    <definedName name="_____TZ4112" localSheetId="3">#REF!</definedName>
    <definedName name="_____TZ4112" localSheetId="30">#REF!</definedName>
    <definedName name="_____TZ4112" localSheetId="31">#REF!</definedName>
    <definedName name="_____TZ4112" localSheetId="29">#REF!</definedName>
    <definedName name="_____TZ4112">#REF!</definedName>
    <definedName name="_____TZ414" localSheetId="3">#REF!</definedName>
    <definedName name="_____TZ414" localSheetId="30">#REF!</definedName>
    <definedName name="_____TZ414" localSheetId="31">#REF!</definedName>
    <definedName name="_____TZ414" localSheetId="29">#REF!</definedName>
    <definedName name="_____TZ414">#REF!</definedName>
    <definedName name="_____TZ416" localSheetId="3">#REF!</definedName>
    <definedName name="_____TZ416" localSheetId="30">#REF!</definedName>
    <definedName name="_____TZ416" localSheetId="31">#REF!</definedName>
    <definedName name="_____TZ416" localSheetId="29">#REF!</definedName>
    <definedName name="_____TZ416">#REF!</definedName>
    <definedName name="_____TZ418" localSheetId="3">#REF!</definedName>
    <definedName name="_____TZ418" localSheetId="30">#REF!</definedName>
    <definedName name="_____TZ418" localSheetId="31">#REF!</definedName>
    <definedName name="_____TZ418" localSheetId="29">#REF!</definedName>
    <definedName name="_____TZ418">#REF!</definedName>
    <definedName name="_____u4" localSheetId="14" hidden="1">{"TAB1",#N/A,TRUE,"GENERAL";"TAB2",#N/A,TRUE,"GENERAL";"TAB3",#N/A,TRUE,"GENERAL";"TAB4",#N/A,TRUE,"GENERAL";"TAB5",#N/A,TRUE,"GENERAL"}</definedName>
    <definedName name="_____u4" localSheetId="16" hidden="1">{"TAB1",#N/A,TRUE,"GENERAL";"TAB2",#N/A,TRUE,"GENERAL";"TAB3",#N/A,TRUE,"GENERAL";"TAB4",#N/A,TRUE,"GENERAL";"TAB5",#N/A,TRUE,"GENERAL"}</definedName>
    <definedName name="_____u4" localSheetId="17" hidden="1">{"TAB1",#N/A,TRUE,"GENERAL";"TAB2",#N/A,TRUE,"GENERAL";"TAB3",#N/A,TRUE,"GENERAL";"TAB4",#N/A,TRUE,"GENERAL";"TAB5",#N/A,TRUE,"GENERAL"}</definedName>
    <definedName name="_____u4" localSheetId="13" hidden="1">{"TAB1",#N/A,TRUE,"GENERAL";"TAB2",#N/A,TRUE,"GENERAL";"TAB3",#N/A,TRUE,"GENERAL";"TAB4",#N/A,TRUE,"GENERAL";"TAB5",#N/A,TRUE,"GENERAL"}</definedName>
    <definedName name="_____u4" localSheetId="15" hidden="1">{"TAB1",#N/A,TRUE,"GENERAL";"TAB2",#N/A,TRUE,"GENERAL";"TAB3",#N/A,TRUE,"GENERAL";"TAB4",#N/A,TRUE,"GENERAL";"TAB5",#N/A,TRUE,"GENERAL"}</definedName>
    <definedName name="_____u4" hidden="1">{"TAB1",#N/A,TRUE,"GENERAL";"TAB2",#N/A,TRUE,"GENERAL";"TAB3",#N/A,TRUE,"GENERAL";"TAB4",#N/A,TRUE,"GENERAL";"TAB5",#N/A,TRUE,"GENERAL"}</definedName>
    <definedName name="_____u5" localSheetId="14" hidden="1">{"TAB1",#N/A,TRUE,"GENERAL";"TAB2",#N/A,TRUE,"GENERAL";"TAB3",#N/A,TRUE,"GENERAL";"TAB4",#N/A,TRUE,"GENERAL";"TAB5",#N/A,TRUE,"GENERAL"}</definedName>
    <definedName name="_____u5" localSheetId="16" hidden="1">{"TAB1",#N/A,TRUE,"GENERAL";"TAB2",#N/A,TRUE,"GENERAL";"TAB3",#N/A,TRUE,"GENERAL";"TAB4",#N/A,TRUE,"GENERAL";"TAB5",#N/A,TRUE,"GENERAL"}</definedName>
    <definedName name="_____u5" localSheetId="17" hidden="1">{"TAB1",#N/A,TRUE,"GENERAL";"TAB2",#N/A,TRUE,"GENERAL";"TAB3",#N/A,TRUE,"GENERAL";"TAB4",#N/A,TRUE,"GENERAL";"TAB5",#N/A,TRUE,"GENERAL"}</definedName>
    <definedName name="_____u5" localSheetId="13" hidden="1">{"TAB1",#N/A,TRUE,"GENERAL";"TAB2",#N/A,TRUE,"GENERAL";"TAB3",#N/A,TRUE,"GENERAL";"TAB4",#N/A,TRUE,"GENERAL";"TAB5",#N/A,TRUE,"GENERAL"}</definedName>
    <definedName name="_____u5" localSheetId="15" hidden="1">{"TAB1",#N/A,TRUE,"GENERAL";"TAB2",#N/A,TRUE,"GENERAL";"TAB3",#N/A,TRUE,"GENERAL";"TAB4",#N/A,TRUE,"GENERAL";"TAB5",#N/A,TRUE,"GENERAL"}</definedName>
    <definedName name="_____u5" hidden="1">{"TAB1",#N/A,TRUE,"GENERAL";"TAB2",#N/A,TRUE,"GENERAL";"TAB3",#N/A,TRUE,"GENERAL";"TAB4",#N/A,TRUE,"GENERAL";"TAB5",#N/A,TRUE,"GENERAL"}</definedName>
    <definedName name="_____u6" localSheetId="14" hidden="1">{"TAB1",#N/A,TRUE,"GENERAL";"TAB2",#N/A,TRUE,"GENERAL";"TAB3",#N/A,TRUE,"GENERAL";"TAB4",#N/A,TRUE,"GENERAL";"TAB5",#N/A,TRUE,"GENERAL"}</definedName>
    <definedName name="_____u6" localSheetId="16" hidden="1">{"TAB1",#N/A,TRUE,"GENERAL";"TAB2",#N/A,TRUE,"GENERAL";"TAB3",#N/A,TRUE,"GENERAL";"TAB4",#N/A,TRUE,"GENERAL";"TAB5",#N/A,TRUE,"GENERAL"}</definedName>
    <definedName name="_____u6" localSheetId="17" hidden="1">{"TAB1",#N/A,TRUE,"GENERAL";"TAB2",#N/A,TRUE,"GENERAL";"TAB3",#N/A,TRUE,"GENERAL";"TAB4",#N/A,TRUE,"GENERAL";"TAB5",#N/A,TRUE,"GENERAL"}</definedName>
    <definedName name="_____u6" localSheetId="13" hidden="1">{"TAB1",#N/A,TRUE,"GENERAL";"TAB2",#N/A,TRUE,"GENERAL";"TAB3",#N/A,TRUE,"GENERAL";"TAB4",#N/A,TRUE,"GENERAL";"TAB5",#N/A,TRUE,"GENERAL"}</definedName>
    <definedName name="_____u6" localSheetId="15" hidden="1">{"TAB1",#N/A,TRUE,"GENERAL";"TAB2",#N/A,TRUE,"GENERAL";"TAB3",#N/A,TRUE,"GENERAL";"TAB4",#N/A,TRUE,"GENERAL";"TAB5",#N/A,TRUE,"GENERAL"}</definedName>
    <definedName name="_____u6" hidden="1">{"TAB1",#N/A,TRUE,"GENERAL";"TAB2",#N/A,TRUE,"GENERAL";"TAB3",#N/A,TRUE,"GENERAL";"TAB4",#N/A,TRUE,"GENERAL";"TAB5",#N/A,TRUE,"GENERAL"}</definedName>
    <definedName name="_____u7" localSheetId="14" hidden="1">{"via1",#N/A,TRUE,"general";"via2",#N/A,TRUE,"general";"via3",#N/A,TRUE,"general"}</definedName>
    <definedName name="_____u7" localSheetId="16" hidden="1">{"via1",#N/A,TRUE,"general";"via2",#N/A,TRUE,"general";"via3",#N/A,TRUE,"general"}</definedName>
    <definedName name="_____u7" localSheetId="17" hidden="1">{"via1",#N/A,TRUE,"general";"via2",#N/A,TRUE,"general";"via3",#N/A,TRUE,"general"}</definedName>
    <definedName name="_____u7" localSheetId="13" hidden="1">{"via1",#N/A,TRUE,"general";"via2",#N/A,TRUE,"general";"via3",#N/A,TRUE,"general"}</definedName>
    <definedName name="_____u7" localSheetId="15" hidden="1">{"via1",#N/A,TRUE,"general";"via2",#N/A,TRUE,"general";"via3",#N/A,TRUE,"general"}</definedName>
    <definedName name="_____u7" hidden="1">{"via1",#N/A,TRUE,"general";"via2",#N/A,TRUE,"general";"via3",#N/A,TRUE,"general"}</definedName>
    <definedName name="_____u8" localSheetId="14" hidden="1">{"TAB1",#N/A,TRUE,"GENERAL";"TAB2",#N/A,TRUE,"GENERAL";"TAB3",#N/A,TRUE,"GENERAL";"TAB4",#N/A,TRUE,"GENERAL";"TAB5",#N/A,TRUE,"GENERAL"}</definedName>
    <definedName name="_____u8" localSheetId="16" hidden="1">{"TAB1",#N/A,TRUE,"GENERAL";"TAB2",#N/A,TRUE,"GENERAL";"TAB3",#N/A,TRUE,"GENERAL";"TAB4",#N/A,TRUE,"GENERAL";"TAB5",#N/A,TRUE,"GENERAL"}</definedName>
    <definedName name="_____u8" localSheetId="17" hidden="1">{"TAB1",#N/A,TRUE,"GENERAL";"TAB2",#N/A,TRUE,"GENERAL";"TAB3",#N/A,TRUE,"GENERAL";"TAB4",#N/A,TRUE,"GENERAL";"TAB5",#N/A,TRUE,"GENERAL"}</definedName>
    <definedName name="_____u8" localSheetId="13" hidden="1">{"TAB1",#N/A,TRUE,"GENERAL";"TAB2",#N/A,TRUE,"GENERAL";"TAB3",#N/A,TRUE,"GENERAL";"TAB4",#N/A,TRUE,"GENERAL";"TAB5",#N/A,TRUE,"GENERAL"}</definedName>
    <definedName name="_____u8" localSheetId="15" hidden="1">{"TAB1",#N/A,TRUE,"GENERAL";"TAB2",#N/A,TRUE,"GENERAL";"TAB3",#N/A,TRUE,"GENERAL";"TAB4",#N/A,TRUE,"GENERAL";"TAB5",#N/A,TRUE,"GENERAL"}</definedName>
    <definedName name="_____u8" hidden="1">{"TAB1",#N/A,TRUE,"GENERAL";"TAB2",#N/A,TRUE,"GENERAL";"TAB3",#N/A,TRUE,"GENERAL";"TAB4",#N/A,TRUE,"GENERAL";"TAB5",#N/A,TRUE,"GENERAL"}</definedName>
    <definedName name="_____u9" localSheetId="14" hidden="1">{"TAB1",#N/A,TRUE,"GENERAL";"TAB2",#N/A,TRUE,"GENERAL";"TAB3",#N/A,TRUE,"GENERAL";"TAB4",#N/A,TRUE,"GENERAL";"TAB5",#N/A,TRUE,"GENERAL"}</definedName>
    <definedName name="_____u9" localSheetId="16" hidden="1">{"TAB1",#N/A,TRUE,"GENERAL";"TAB2",#N/A,TRUE,"GENERAL";"TAB3",#N/A,TRUE,"GENERAL";"TAB4",#N/A,TRUE,"GENERAL";"TAB5",#N/A,TRUE,"GENERAL"}</definedName>
    <definedName name="_____u9" localSheetId="17" hidden="1">{"TAB1",#N/A,TRUE,"GENERAL";"TAB2",#N/A,TRUE,"GENERAL";"TAB3",#N/A,TRUE,"GENERAL";"TAB4",#N/A,TRUE,"GENERAL";"TAB5",#N/A,TRUE,"GENERAL"}</definedName>
    <definedName name="_____u9" localSheetId="13" hidden="1">{"TAB1",#N/A,TRUE,"GENERAL";"TAB2",#N/A,TRUE,"GENERAL";"TAB3",#N/A,TRUE,"GENERAL";"TAB4",#N/A,TRUE,"GENERAL";"TAB5",#N/A,TRUE,"GENERAL"}</definedName>
    <definedName name="_____u9" localSheetId="15" hidden="1">{"TAB1",#N/A,TRUE,"GENERAL";"TAB2",#N/A,TRUE,"GENERAL";"TAB3",#N/A,TRUE,"GENERAL";"TAB4",#N/A,TRUE,"GENERAL";"TAB5",#N/A,TRUE,"GENERAL"}</definedName>
    <definedName name="_____u9" hidden="1">{"TAB1",#N/A,TRUE,"GENERAL";"TAB2",#N/A,TRUE,"GENERAL";"TAB3",#N/A,TRUE,"GENERAL";"TAB4",#N/A,TRUE,"GENERAL";"TAB5",#N/A,TRUE,"GENERAL"}</definedName>
    <definedName name="_____UDD06" localSheetId="3">#REF!</definedName>
    <definedName name="_____UDD06" localSheetId="30">#REF!</definedName>
    <definedName name="_____UDD06" localSheetId="31">#REF!</definedName>
    <definedName name="_____UDD06" localSheetId="29">#REF!</definedName>
    <definedName name="_____UDD06">#REF!</definedName>
    <definedName name="_____UDD08" localSheetId="3">#REF!</definedName>
    <definedName name="_____UDD08" localSheetId="30">#REF!</definedName>
    <definedName name="_____UDD08" localSheetId="31">#REF!</definedName>
    <definedName name="_____UDD08" localSheetId="29">#REF!</definedName>
    <definedName name="_____UDD08">#REF!</definedName>
    <definedName name="_____UNI32" localSheetId="3">#REF!</definedName>
    <definedName name="_____UNI32" localSheetId="30">#REF!</definedName>
    <definedName name="_____UNI32" localSheetId="31">#REF!</definedName>
    <definedName name="_____UNI32" localSheetId="29">#REF!</definedName>
    <definedName name="_____UNI32">#REF!</definedName>
    <definedName name="_____ur7" localSheetId="14" hidden="1">{"TAB1",#N/A,TRUE,"GENERAL";"TAB2",#N/A,TRUE,"GENERAL";"TAB3",#N/A,TRUE,"GENERAL";"TAB4",#N/A,TRUE,"GENERAL";"TAB5",#N/A,TRUE,"GENERAL"}</definedName>
    <definedName name="_____ur7" localSheetId="16" hidden="1">{"TAB1",#N/A,TRUE,"GENERAL";"TAB2",#N/A,TRUE,"GENERAL";"TAB3",#N/A,TRUE,"GENERAL";"TAB4",#N/A,TRUE,"GENERAL";"TAB5",#N/A,TRUE,"GENERAL"}</definedName>
    <definedName name="_____ur7" localSheetId="17" hidden="1">{"TAB1",#N/A,TRUE,"GENERAL";"TAB2",#N/A,TRUE,"GENERAL";"TAB3",#N/A,TRUE,"GENERAL";"TAB4",#N/A,TRUE,"GENERAL";"TAB5",#N/A,TRUE,"GENERAL"}</definedName>
    <definedName name="_____ur7" localSheetId="13" hidden="1">{"TAB1",#N/A,TRUE,"GENERAL";"TAB2",#N/A,TRUE,"GENERAL";"TAB3",#N/A,TRUE,"GENERAL";"TAB4",#N/A,TRUE,"GENERAL";"TAB5",#N/A,TRUE,"GENERAL"}</definedName>
    <definedName name="_____ur7" localSheetId="15" hidden="1">{"TAB1",#N/A,TRUE,"GENERAL";"TAB2",#N/A,TRUE,"GENERAL";"TAB3",#N/A,TRUE,"GENERAL";"TAB4",#N/A,TRUE,"GENERAL";"TAB5",#N/A,TRUE,"GENERAL"}</definedName>
    <definedName name="_____ur7" hidden="1">{"TAB1",#N/A,TRUE,"GENERAL";"TAB2",#N/A,TRUE,"GENERAL";"TAB3",#N/A,TRUE,"GENERAL";"TAB4",#N/A,TRUE,"GENERAL";"TAB5",#N/A,TRUE,"GENERAL"}</definedName>
    <definedName name="_____v2" localSheetId="14" hidden="1">{"via1",#N/A,TRUE,"general";"via2",#N/A,TRUE,"general";"via3",#N/A,TRUE,"general"}</definedName>
    <definedName name="_____v2" localSheetId="16" hidden="1">{"via1",#N/A,TRUE,"general";"via2",#N/A,TRUE,"general";"via3",#N/A,TRUE,"general"}</definedName>
    <definedName name="_____v2" localSheetId="17" hidden="1">{"via1",#N/A,TRUE,"general";"via2",#N/A,TRUE,"general";"via3",#N/A,TRUE,"general"}</definedName>
    <definedName name="_____v2" localSheetId="13" hidden="1">{"via1",#N/A,TRUE,"general";"via2",#N/A,TRUE,"general";"via3",#N/A,TRUE,"general"}</definedName>
    <definedName name="_____v2" localSheetId="15" hidden="1">{"via1",#N/A,TRUE,"general";"via2",#N/A,TRUE,"general";"via3",#N/A,TRUE,"general"}</definedName>
    <definedName name="_____v2" hidden="1">{"via1",#N/A,TRUE,"general";"via2",#N/A,TRUE,"general";"via3",#N/A,TRUE,"general"}</definedName>
    <definedName name="_____v3" localSheetId="14" hidden="1">{"TAB1",#N/A,TRUE,"GENERAL";"TAB2",#N/A,TRUE,"GENERAL";"TAB3",#N/A,TRUE,"GENERAL";"TAB4",#N/A,TRUE,"GENERAL";"TAB5",#N/A,TRUE,"GENERAL"}</definedName>
    <definedName name="_____v3" localSheetId="16" hidden="1">{"TAB1",#N/A,TRUE,"GENERAL";"TAB2",#N/A,TRUE,"GENERAL";"TAB3",#N/A,TRUE,"GENERAL";"TAB4",#N/A,TRUE,"GENERAL";"TAB5",#N/A,TRUE,"GENERAL"}</definedName>
    <definedName name="_____v3" localSheetId="17" hidden="1">{"TAB1",#N/A,TRUE,"GENERAL";"TAB2",#N/A,TRUE,"GENERAL";"TAB3",#N/A,TRUE,"GENERAL";"TAB4",#N/A,TRUE,"GENERAL";"TAB5",#N/A,TRUE,"GENERAL"}</definedName>
    <definedName name="_____v3" localSheetId="13" hidden="1">{"TAB1",#N/A,TRUE,"GENERAL";"TAB2",#N/A,TRUE,"GENERAL";"TAB3",#N/A,TRUE,"GENERAL";"TAB4",#N/A,TRUE,"GENERAL";"TAB5",#N/A,TRUE,"GENERAL"}</definedName>
    <definedName name="_____v3" localSheetId="15" hidden="1">{"TAB1",#N/A,TRUE,"GENERAL";"TAB2",#N/A,TRUE,"GENERAL";"TAB3",#N/A,TRUE,"GENERAL";"TAB4",#N/A,TRUE,"GENERAL";"TAB5",#N/A,TRUE,"GENERAL"}</definedName>
    <definedName name="_____v3" hidden="1">{"TAB1",#N/A,TRUE,"GENERAL";"TAB2",#N/A,TRUE,"GENERAL";"TAB3",#N/A,TRUE,"GENERAL";"TAB4",#N/A,TRUE,"GENERAL";"TAB5",#N/A,TRUE,"GENERAL"}</definedName>
    <definedName name="_____v4" localSheetId="14" hidden="1">{"TAB1",#N/A,TRUE,"GENERAL";"TAB2",#N/A,TRUE,"GENERAL";"TAB3",#N/A,TRUE,"GENERAL";"TAB4",#N/A,TRUE,"GENERAL";"TAB5",#N/A,TRUE,"GENERAL"}</definedName>
    <definedName name="_____v4" localSheetId="16" hidden="1">{"TAB1",#N/A,TRUE,"GENERAL";"TAB2",#N/A,TRUE,"GENERAL";"TAB3",#N/A,TRUE,"GENERAL";"TAB4",#N/A,TRUE,"GENERAL";"TAB5",#N/A,TRUE,"GENERAL"}</definedName>
    <definedName name="_____v4" localSheetId="17" hidden="1">{"TAB1",#N/A,TRUE,"GENERAL";"TAB2",#N/A,TRUE,"GENERAL";"TAB3",#N/A,TRUE,"GENERAL";"TAB4",#N/A,TRUE,"GENERAL";"TAB5",#N/A,TRUE,"GENERAL"}</definedName>
    <definedName name="_____v4" localSheetId="13" hidden="1">{"TAB1",#N/A,TRUE,"GENERAL";"TAB2",#N/A,TRUE,"GENERAL";"TAB3",#N/A,TRUE,"GENERAL";"TAB4",#N/A,TRUE,"GENERAL";"TAB5",#N/A,TRUE,"GENERAL"}</definedName>
    <definedName name="_____v4" localSheetId="15" hidden="1">{"TAB1",#N/A,TRUE,"GENERAL";"TAB2",#N/A,TRUE,"GENERAL";"TAB3",#N/A,TRUE,"GENERAL";"TAB4",#N/A,TRUE,"GENERAL";"TAB5",#N/A,TRUE,"GENERAL"}</definedName>
    <definedName name="_____v4" hidden="1">{"TAB1",#N/A,TRUE,"GENERAL";"TAB2",#N/A,TRUE,"GENERAL";"TAB3",#N/A,TRUE,"GENERAL";"TAB4",#N/A,TRUE,"GENERAL";"TAB5",#N/A,TRUE,"GENERAL"}</definedName>
    <definedName name="_____v5" localSheetId="14" hidden="1">{"TAB1",#N/A,TRUE,"GENERAL";"TAB2",#N/A,TRUE,"GENERAL";"TAB3",#N/A,TRUE,"GENERAL";"TAB4",#N/A,TRUE,"GENERAL";"TAB5",#N/A,TRUE,"GENERAL"}</definedName>
    <definedName name="_____v5" localSheetId="16" hidden="1">{"TAB1",#N/A,TRUE,"GENERAL";"TAB2",#N/A,TRUE,"GENERAL";"TAB3",#N/A,TRUE,"GENERAL";"TAB4",#N/A,TRUE,"GENERAL";"TAB5",#N/A,TRUE,"GENERAL"}</definedName>
    <definedName name="_____v5" localSheetId="17" hidden="1">{"TAB1",#N/A,TRUE,"GENERAL";"TAB2",#N/A,TRUE,"GENERAL";"TAB3",#N/A,TRUE,"GENERAL";"TAB4",#N/A,TRUE,"GENERAL";"TAB5",#N/A,TRUE,"GENERAL"}</definedName>
    <definedName name="_____v5" localSheetId="13" hidden="1">{"TAB1",#N/A,TRUE,"GENERAL";"TAB2",#N/A,TRUE,"GENERAL";"TAB3",#N/A,TRUE,"GENERAL";"TAB4",#N/A,TRUE,"GENERAL";"TAB5",#N/A,TRUE,"GENERAL"}</definedName>
    <definedName name="_____v5" localSheetId="15" hidden="1">{"TAB1",#N/A,TRUE,"GENERAL";"TAB2",#N/A,TRUE,"GENERAL";"TAB3",#N/A,TRUE,"GENERAL";"TAB4",#N/A,TRUE,"GENERAL";"TAB5",#N/A,TRUE,"GENERAL"}</definedName>
    <definedName name="_____v5" hidden="1">{"TAB1",#N/A,TRUE,"GENERAL";"TAB2",#N/A,TRUE,"GENERAL";"TAB3",#N/A,TRUE,"GENERAL";"TAB4",#N/A,TRUE,"GENERAL";"TAB5",#N/A,TRUE,"GENERAL"}</definedName>
    <definedName name="_____v6" localSheetId="14" hidden="1">{"TAB1",#N/A,TRUE,"GENERAL";"TAB2",#N/A,TRUE,"GENERAL";"TAB3",#N/A,TRUE,"GENERAL";"TAB4",#N/A,TRUE,"GENERAL";"TAB5",#N/A,TRUE,"GENERAL"}</definedName>
    <definedName name="_____v6" localSheetId="16" hidden="1">{"TAB1",#N/A,TRUE,"GENERAL";"TAB2",#N/A,TRUE,"GENERAL";"TAB3",#N/A,TRUE,"GENERAL";"TAB4",#N/A,TRUE,"GENERAL";"TAB5",#N/A,TRUE,"GENERAL"}</definedName>
    <definedName name="_____v6" localSheetId="17" hidden="1">{"TAB1",#N/A,TRUE,"GENERAL";"TAB2",#N/A,TRUE,"GENERAL";"TAB3",#N/A,TRUE,"GENERAL";"TAB4",#N/A,TRUE,"GENERAL";"TAB5",#N/A,TRUE,"GENERAL"}</definedName>
    <definedName name="_____v6" localSheetId="13" hidden="1">{"TAB1",#N/A,TRUE,"GENERAL";"TAB2",#N/A,TRUE,"GENERAL";"TAB3",#N/A,TRUE,"GENERAL";"TAB4",#N/A,TRUE,"GENERAL";"TAB5",#N/A,TRUE,"GENERAL"}</definedName>
    <definedName name="_____v6" localSheetId="15" hidden="1">{"TAB1",#N/A,TRUE,"GENERAL";"TAB2",#N/A,TRUE,"GENERAL";"TAB3",#N/A,TRUE,"GENERAL";"TAB4",#N/A,TRUE,"GENERAL";"TAB5",#N/A,TRUE,"GENERAL"}</definedName>
    <definedName name="_____v6" hidden="1">{"TAB1",#N/A,TRUE,"GENERAL";"TAB2",#N/A,TRUE,"GENERAL";"TAB3",#N/A,TRUE,"GENERAL";"TAB4",#N/A,TRUE,"GENERAL";"TAB5",#N/A,TRUE,"GENERAL"}</definedName>
    <definedName name="_____v7" localSheetId="14" hidden="1">{"via1",#N/A,TRUE,"general";"via2",#N/A,TRUE,"general";"via3",#N/A,TRUE,"general"}</definedName>
    <definedName name="_____v7" localSheetId="16" hidden="1">{"via1",#N/A,TRUE,"general";"via2",#N/A,TRUE,"general";"via3",#N/A,TRUE,"general"}</definedName>
    <definedName name="_____v7" localSheetId="17" hidden="1">{"via1",#N/A,TRUE,"general";"via2",#N/A,TRUE,"general";"via3",#N/A,TRUE,"general"}</definedName>
    <definedName name="_____v7" localSheetId="13" hidden="1">{"via1",#N/A,TRUE,"general";"via2",#N/A,TRUE,"general";"via3",#N/A,TRUE,"general"}</definedName>
    <definedName name="_____v7" localSheetId="15" hidden="1">{"via1",#N/A,TRUE,"general";"via2",#N/A,TRUE,"general";"via3",#N/A,TRUE,"general"}</definedName>
    <definedName name="_____v7" hidden="1">{"via1",#N/A,TRUE,"general";"via2",#N/A,TRUE,"general";"via3",#N/A,TRUE,"general"}</definedName>
    <definedName name="_____v8" localSheetId="14" hidden="1">{"TAB1",#N/A,TRUE,"GENERAL";"TAB2",#N/A,TRUE,"GENERAL";"TAB3",#N/A,TRUE,"GENERAL";"TAB4",#N/A,TRUE,"GENERAL";"TAB5",#N/A,TRUE,"GENERAL"}</definedName>
    <definedName name="_____v8" localSheetId="16" hidden="1">{"TAB1",#N/A,TRUE,"GENERAL";"TAB2",#N/A,TRUE,"GENERAL";"TAB3",#N/A,TRUE,"GENERAL";"TAB4",#N/A,TRUE,"GENERAL";"TAB5",#N/A,TRUE,"GENERAL"}</definedName>
    <definedName name="_____v8" localSheetId="17" hidden="1">{"TAB1",#N/A,TRUE,"GENERAL";"TAB2",#N/A,TRUE,"GENERAL";"TAB3",#N/A,TRUE,"GENERAL";"TAB4",#N/A,TRUE,"GENERAL";"TAB5",#N/A,TRUE,"GENERAL"}</definedName>
    <definedName name="_____v8" localSheetId="13" hidden="1">{"TAB1",#N/A,TRUE,"GENERAL";"TAB2",#N/A,TRUE,"GENERAL";"TAB3",#N/A,TRUE,"GENERAL";"TAB4",#N/A,TRUE,"GENERAL";"TAB5",#N/A,TRUE,"GENERAL"}</definedName>
    <definedName name="_____v8" localSheetId="15" hidden="1">{"TAB1",#N/A,TRUE,"GENERAL";"TAB2",#N/A,TRUE,"GENERAL";"TAB3",#N/A,TRUE,"GENERAL";"TAB4",#N/A,TRUE,"GENERAL";"TAB5",#N/A,TRUE,"GENERAL"}</definedName>
    <definedName name="_____v8" hidden="1">{"TAB1",#N/A,TRUE,"GENERAL";"TAB2",#N/A,TRUE,"GENERAL";"TAB3",#N/A,TRUE,"GENERAL";"TAB4",#N/A,TRUE,"GENERAL";"TAB5",#N/A,TRUE,"GENERAL"}</definedName>
    <definedName name="_____v9" localSheetId="14" hidden="1">{"TAB1",#N/A,TRUE,"GENERAL";"TAB2",#N/A,TRUE,"GENERAL";"TAB3",#N/A,TRUE,"GENERAL";"TAB4",#N/A,TRUE,"GENERAL";"TAB5",#N/A,TRUE,"GENERAL"}</definedName>
    <definedName name="_____v9" localSheetId="16" hidden="1">{"TAB1",#N/A,TRUE,"GENERAL";"TAB2",#N/A,TRUE,"GENERAL";"TAB3",#N/A,TRUE,"GENERAL";"TAB4",#N/A,TRUE,"GENERAL";"TAB5",#N/A,TRUE,"GENERAL"}</definedName>
    <definedName name="_____v9" localSheetId="17" hidden="1">{"TAB1",#N/A,TRUE,"GENERAL";"TAB2",#N/A,TRUE,"GENERAL";"TAB3",#N/A,TRUE,"GENERAL";"TAB4",#N/A,TRUE,"GENERAL";"TAB5",#N/A,TRUE,"GENERAL"}</definedName>
    <definedName name="_____v9" localSheetId="13" hidden="1">{"TAB1",#N/A,TRUE,"GENERAL";"TAB2",#N/A,TRUE,"GENERAL";"TAB3",#N/A,TRUE,"GENERAL";"TAB4",#N/A,TRUE,"GENERAL";"TAB5",#N/A,TRUE,"GENERAL"}</definedName>
    <definedName name="_____v9" localSheetId="15" hidden="1">{"TAB1",#N/A,TRUE,"GENERAL";"TAB2",#N/A,TRUE,"GENERAL";"TAB3",#N/A,TRUE,"GENERAL";"TAB4",#N/A,TRUE,"GENERAL";"TAB5",#N/A,TRUE,"GENERAL"}</definedName>
    <definedName name="_____v9" hidden="1">{"TAB1",#N/A,TRUE,"GENERAL";"TAB2",#N/A,TRUE,"GENERAL";"TAB3",#N/A,TRUE,"GENERAL";"TAB4",#N/A,TRUE,"GENERAL";"TAB5",#N/A,TRUE,"GENERAL"}</definedName>
    <definedName name="_____vfv4" localSheetId="14" hidden="1">{"via1",#N/A,TRUE,"general";"via2",#N/A,TRUE,"general";"via3",#N/A,TRUE,"general"}</definedName>
    <definedName name="_____vfv4" localSheetId="16" hidden="1">{"via1",#N/A,TRUE,"general";"via2",#N/A,TRUE,"general";"via3",#N/A,TRUE,"general"}</definedName>
    <definedName name="_____vfv4" localSheetId="17" hidden="1">{"via1",#N/A,TRUE,"general";"via2",#N/A,TRUE,"general";"via3",#N/A,TRUE,"general"}</definedName>
    <definedName name="_____vfv4" localSheetId="13" hidden="1">{"via1",#N/A,TRUE,"general";"via2",#N/A,TRUE,"general";"via3",#N/A,TRUE,"general"}</definedName>
    <definedName name="_____vfv4" localSheetId="15" hidden="1">{"via1",#N/A,TRUE,"general";"via2",#N/A,TRUE,"general";"via3",#N/A,TRUE,"general"}</definedName>
    <definedName name="_____vfv4" hidden="1">{"via1",#N/A,TRUE,"general";"via2",#N/A,TRUE,"general";"via3",#N/A,TRUE,"general"}</definedName>
    <definedName name="_____x1" localSheetId="14" hidden="1">{"TAB1",#N/A,TRUE,"GENERAL";"TAB2",#N/A,TRUE,"GENERAL";"TAB3",#N/A,TRUE,"GENERAL";"TAB4",#N/A,TRUE,"GENERAL";"TAB5",#N/A,TRUE,"GENERAL"}</definedName>
    <definedName name="_____x1" localSheetId="16" hidden="1">{"TAB1",#N/A,TRUE,"GENERAL";"TAB2",#N/A,TRUE,"GENERAL";"TAB3",#N/A,TRUE,"GENERAL";"TAB4",#N/A,TRUE,"GENERAL";"TAB5",#N/A,TRUE,"GENERAL"}</definedName>
    <definedName name="_____x1" localSheetId="17" hidden="1">{"TAB1",#N/A,TRUE,"GENERAL";"TAB2",#N/A,TRUE,"GENERAL";"TAB3",#N/A,TRUE,"GENERAL";"TAB4",#N/A,TRUE,"GENERAL";"TAB5",#N/A,TRUE,"GENERAL"}</definedName>
    <definedName name="_____x1" localSheetId="13" hidden="1">{"TAB1",#N/A,TRUE,"GENERAL";"TAB2",#N/A,TRUE,"GENERAL";"TAB3",#N/A,TRUE,"GENERAL";"TAB4",#N/A,TRUE,"GENERAL";"TAB5",#N/A,TRUE,"GENERAL"}</definedName>
    <definedName name="_____x1" localSheetId="15" hidden="1">{"TAB1",#N/A,TRUE,"GENERAL";"TAB2",#N/A,TRUE,"GENERAL";"TAB3",#N/A,TRUE,"GENERAL";"TAB4",#N/A,TRUE,"GENERAL";"TAB5",#N/A,TRUE,"GENERAL"}</definedName>
    <definedName name="_____x1" hidden="1">{"TAB1",#N/A,TRUE,"GENERAL";"TAB2",#N/A,TRUE,"GENERAL";"TAB3",#N/A,TRUE,"GENERAL";"TAB4",#N/A,TRUE,"GENERAL";"TAB5",#N/A,TRUE,"GENERAL"}</definedName>
    <definedName name="_____x2" localSheetId="14" hidden="1">{"via1",#N/A,TRUE,"general";"via2",#N/A,TRUE,"general";"via3",#N/A,TRUE,"general"}</definedName>
    <definedName name="_____x2" localSheetId="16" hidden="1">{"via1",#N/A,TRUE,"general";"via2",#N/A,TRUE,"general";"via3",#N/A,TRUE,"general"}</definedName>
    <definedName name="_____x2" localSheetId="17" hidden="1">{"via1",#N/A,TRUE,"general";"via2",#N/A,TRUE,"general";"via3",#N/A,TRUE,"general"}</definedName>
    <definedName name="_____x2" localSheetId="13" hidden="1">{"via1",#N/A,TRUE,"general";"via2",#N/A,TRUE,"general";"via3",#N/A,TRUE,"general"}</definedName>
    <definedName name="_____x2" localSheetId="15" hidden="1">{"via1",#N/A,TRUE,"general";"via2",#N/A,TRUE,"general";"via3",#N/A,TRUE,"general"}</definedName>
    <definedName name="_____x2" hidden="1">{"via1",#N/A,TRUE,"general";"via2",#N/A,TRUE,"general";"via3",#N/A,TRUE,"general"}</definedName>
    <definedName name="_____x3" localSheetId="14" hidden="1">{"via1",#N/A,TRUE,"general";"via2",#N/A,TRUE,"general";"via3",#N/A,TRUE,"general"}</definedName>
    <definedName name="_____x3" localSheetId="16" hidden="1">{"via1",#N/A,TRUE,"general";"via2",#N/A,TRUE,"general";"via3",#N/A,TRUE,"general"}</definedName>
    <definedName name="_____x3" localSheetId="17" hidden="1">{"via1",#N/A,TRUE,"general";"via2",#N/A,TRUE,"general";"via3",#N/A,TRUE,"general"}</definedName>
    <definedName name="_____x3" localSheetId="13" hidden="1">{"via1",#N/A,TRUE,"general";"via2",#N/A,TRUE,"general";"via3",#N/A,TRUE,"general"}</definedName>
    <definedName name="_____x3" localSheetId="15" hidden="1">{"via1",#N/A,TRUE,"general";"via2",#N/A,TRUE,"general";"via3",#N/A,TRUE,"general"}</definedName>
    <definedName name="_____x3" hidden="1">{"via1",#N/A,TRUE,"general";"via2",#N/A,TRUE,"general";"via3",#N/A,TRUE,"general"}</definedName>
    <definedName name="_____x4" localSheetId="14" hidden="1">{"via1",#N/A,TRUE,"general";"via2",#N/A,TRUE,"general";"via3",#N/A,TRUE,"general"}</definedName>
    <definedName name="_____x4" localSheetId="16" hidden="1">{"via1",#N/A,TRUE,"general";"via2",#N/A,TRUE,"general";"via3",#N/A,TRUE,"general"}</definedName>
    <definedName name="_____x4" localSheetId="17" hidden="1">{"via1",#N/A,TRUE,"general";"via2",#N/A,TRUE,"general";"via3",#N/A,TRUE,"general"}</definedName>
    <definedName name="_____x4" localSheetId="13" hidden="1">{"via1",#N/A,TRUE,"general";"via2",#N/A,TRUE,"general";"via3",#N/A,TRUE,"general"}</definedName>
    <definedName name="_____x4" localSheetId="15" hidden="1">{"via1",#N/A,TRUE,"general";"via2",#N/A,TRUE,"general";"via3",#N/A,TRUE,"general"}</definedName>
    <definedName name="_____x4" hidden="1">{"via1",#N/A,TRUE,"general";"via2",#N/A,TRUE,"general";"via3",#N/A,TRUE,"general"}</definedName>
    <definedName name="_____x5" localSheetId="14" hidden="1">{"TAB1",#N/A,TRUE,"GENERAL";"TAB2",#N/A,TRUE,"GENERAL";"TAB3",#N/A,TRUE,"GENERAL";"TAB4",#N/A,TRUE,"GENERAL";"TAB5",#N/A,TRUE,"GENERAL"}</definedName>
    <definedName name="_____x5" localSheetId="16" hidden="1">{"TAB1",#N/A,TRUE,"GENERAL";"TAB2",#N/A,TRUE,"GENERAL";"TAB3",#N/A,TRUE,"GENERAL";"TAB4",#N/A,TRUE,"GENERAL";"TAB5",#N/A,TRUE,"GENERAL"}</definedName>
    <definedName name="_____x5" localSheetId="17" hidden="1">{"TAB1",#N/A,TRUE,"GENERAL";"TAB2",#N/A,TRUE,"GENERAL";"TAB3",#N/A,TRUE,"GENERAL";"TAB4",#N/A,TRUE,"GENERAL";"TAB5",#N/A,TRUE,"GENERAL"}</definedName>
    <definedName name="_____x5" localSheetId="13" hidden="1">{"TAB1",#N/A,TRUE,"GENERAL";"TAB2",#N/A,TRUE,"GENERAL";"TAB3",#N/A,TRUE,"GENERAL";"TAB4",#N/A,TRUE,"GENERAL";"TAB5",#N/A,TRUE,"GENERAL"}</definedName>
    <definedName name="_____x5" localSheetId="15" hidden="1">{"TAB1",#N/A,TRUE,"GENERAL";"TAB2",#N/A,TRUE,"GENERAL";"TAB3",#N/A,TRUE,"GENERAL";"TAB4",#N/A,TRUE,"GENERAL";"TAB5",#N/A,TRUE,"GENERAL"}</definedName>
    <definedName name="_____x5" hidden="1">{"TAB1",#N/A,TRUE,"GENERAL";"TAB2",#N/A,TRUE,"GENERAL";"TAB3",#N/A,TRUE,"GENERAL";"TAB4",#N/A,TRUE,"GENERAL";"TAB5",#N/A,TRUE,"GENERAL"}</definedName>
    <definedName name="_____x6" localSheetId="14" hidden="1">{"TAB1",#N/A,TRUE,"GENERAL";"TAB2",#N/A,TRUE,"GENERAL";"TAB3",#N/A,TRUE,"GENERAL";"TAB4",#N/A,TRUE,"GENERAL";"TAB5",#N/A,TRUE,"GENERAL"}</definedName>
    <definedName name="_____x6" localSheetId="16" hidden="1">{"TAB1",#N/A,TRUE,"GENERAL";"TAB2",#N/A,TRUE,"GENERAL";"TAB3",#N/A,TRUE,"GENERAL";"TAB4",#N/A,TRUE,"GENERAL";"TAB5",#N/A,TRUE,"GENERAL"}</definedName>
    <definedName name="_____x6" localSheetId="17" hidden="1">{"TAB1",#N/A,TRUE,"GENERAL";"TAB2",#N/A,TRUE,"GENERAL";"TAB3",#N/A,TRUE,"GENERAL";"TAB4",#N/A,TRUE,"GENERAL";"TAB5",#N/A,TRUE,"GENERAL"}</definedName>
    <definedName name="_____x6" localSheetId="13" hidden="1">{"TAB1",#N/A,TRUE,"GENERAL";"TAB2",#N/A,TRUE,"GENERAL";"TAB3",#N/A,TRUE,"GENERAL";"TAB4",#N/A,TRUE,"GENERAL";"TAB5",#N/A,TRUE,"GENERAL"}</definedName>
    <definedName name="_____x6" localSheetId="15" hidden="1">{"TAB1",#N/A,TRUE,"GENERAL";"TAB2",#N/A,TRUE,"GENERAL";"TAB3",#N/A,TRUE,"GENERAL";"TAB4",#N/A,TRUE,"GENERAL";"TAB5",#N/A,TRUE,"GENERAL"}</definedName>
    <definedName name="_____x6" hidden="1">{"TAB1",#N/A,TRUE,"GENERAL";"TAB2",#N/A,TRUE,"GENERAL";"TAB3",#N/A,TRUE,"GENERAL";"TAB4",#N/A,TRUE,"GENERAL";"TAB5",#N/A,TRUE,"GENERAL"}</definedName>
    <definedName name="_____x7" localSheetId="14" hidden="1">{"TAB1",#N/A,TRUE,"GENERAL";"TAB2",#N/A,TRUE,"GENERAL";"TAB3",#N/A,TRUE,"GENERAL";"TAB4",#N/A,TRUE,"GENERAL";"TAB5",#N/A,TRUE,"GENERAL"}</definedName>
    <definedName name="_____x7" localSheetId="16" hidden="1">{"TAB1",#N/A,TRUE,"GENERAL";"TAB2",#N/A,TRUE,"GENERAL";"TAB3",#N/A,TRUE,"GENERAL";"TAB4",#N/A,TRUE,"GENERAL";"TAB5",#N/A,TRUE,"GENERAL"}</definedName>
    <definedName name="_____x7" localSheetId="17" hidden="1">{"TAB1",#N/A,TRUE,"GENERAL";"TAB2",#N/A,TRUE,"GENERAL";"TAB3",#N/A,TRUE,"GENERAL";"TAB4",#N/A,TRUE,"GENERAL";"TAB5",#N/A,TRUE,"GENERAL"}</definedName>
    <definedName name="_____x7" localSheetId="13" hidden="1">{"TAB1",#N/A,TRUE,"GENERAL";"TAB2",#N/A,TRUE,"GENERAL";"TAB3",#N/A,TRUE,"GENERAL";"TAB4",#N/A,TRUE,"GENERAL";"TAB5",#N/A,TRUE,"GENERAL"}</definedName>
    <definedName name="_____x7" localSheetId="15" hidden="1">{"TAB1",#N/A,TRUE,"GENERAL";"TAB2",#N/A,TRUE,"GENERAL";"TAB3",#N/A,TRUE,"GENERAL";"TAB4",#N/A,TRUE,"GENERAL";"TAB5",#N/A,TRUE,"GENERAL"}</definedName>
    <definedName name="_____x7" hidden="1">{"TAB1",#N/A,TRUE,"GENERAL";"TAB2",#N/A,TRUE,"GENERAL";"TAB3",#N/A,TRUE,"GENERAL";"TAB4",#N/A,TRUE,"GENERAL";"TAB5",#N/A,TRUE,"GENERAL"}</definedName>
    <definedName name="_____x8" localSheetId="14" hidden="1">{"via1",#N/A,TRUE,"general";"via2",#N/A,TRUE,"general";"via3",#N/A,TRUE,"general"}</definedName>
    <definedName name="_____x8" localSheetId="16" hidden="1">{"via1",#N/A,TRUE,"general";"via2",#N/A,TRUE,"general";"via3",#N/A,TRUE,"general"}</definedName>
    <definedName name="_____x8" localSheetId="17" hidden="1">{"via1",#N/A,TRUE,"general";"via2",#N/A,TRUE,"general";"via3",#N/A,TRUE,"general"}</definedName>
    <definedName name="_____x8" localSheetId="13" hidden="1">{"via1",#N/A,TRUE,"general";"via2",#N/A,TRUE,"general";"via3",#N/A,TRUE,"general"}</definedName>
    <definedName name="_____x8" localSheetId="15" hidden="1">{"via1",#N/A,TRUE,"general";"via2",#N/A,TRUE,"general";"via3",#N/A,TRUE,"general"}</definedName>
    <definedName name="_____x8" hidden="1">{"via1",#N/A,TRUE,"general";"via2",#N/A,TRUE,"general";"via3",#N/A,TRUE,"general"}</definedName>
    <definedName name="_____x9" localSheetId="14" hidden="1">{"TAB1",#N/A,TRUE,"GENERAL";"TAB2",#N/A,TRUE,"GENERAL";"TAB3",#N/A,TRUE,"GENERAL";"TAB4",#N/A,TRUE,"GENERAL";"TAB5",#N/A,TRUE,"GENERAL"}</definedName>
    <definedName name="_____x9" localSheetId="16" hidden="1">{"TAB1",#N/A,TRUE,"GENERAL";"TAB2",#N/A,TRUE,"GENERAL";"TAB3",#N/A,TRUE,"GENERAL";"TAB4",#N/A,TRUE,"GENERAL";"TAB5",#N/A,TRUE,"GENERAL"}</definedName>
    <definedName name="_____x9" localSheetId="17" hidden="1">{"TAB1",#N/A,TRUE,"GENERAL";"TAB2",#N/A,TRUE,"GENERAL";"TAB3",#N/A,TRUE,"GENERAL";"TAB4",#N/A,TRUE,"GENERAL";"TAB5",#N/A,TRUE,"GENERAL"}</definedName>
    <definedName name="_____x9" localSheetId="13" hidden="1">{"TAB1",#N/A,TRUE,"GENERAL";"TAB2",#N/A,TRUE,"GENERAL";"TAB3",#N/A,TRUE,"GENERAL";"TAB4",#N/A,TRUE,"GENERAL";"TAB5",#N/A,TRUE,"GENERAL"}</definedName>
    <definedName name="_____x9" localSheetId="15" hidden="1">{"TAB1",#N/A,TRUE,"GENERAL";"TAB2",#N/A,TRUE,"GENERAL";"TAB3",#N/A,TRUE,"GENERAL";"TAB4",#N/A,TRUE,"GENERAL";"TAB5",#N/A,TRUE,"GENERAL"}</definedName>
    <definedName name="_____x9" hidden="1">{"TAB1",#N/A,TRUE,"GENERAL";"TAB2",#N/A,TRUE,"GENERAL";"TAB3",#N/A,TRUE,"GENERAL";"TAB4",#N/A,TRUE,"GENERAL";"TAB5",#N/A,TRUE,"GENERAL"}</definedName>
    <definedName name="_____y2" localSheetId="14" hidden="1">{"TAB1",#N/A,TRUE,"GENERAL";"TAB2",#N/A,TRUE,"GENERAL";"TAB3",#N/A,TRUE,"GENERAL";"TAB4",#N/A,TRUE,"GENERAL";"TAB5",#N/A,TRUE,"GENERAL"}</definedName>
    <definedName name="_____y2" localSheetId="16" hidden="1">{"TAB1",#N/A,TRUE,"GENERAL";"TAB2",#N/A,TRUE,"GENERAL";"TAB3",#N/A,TRUE,"GENERAL";"TAB4",#N/A,TRUE,"GENERAL";"TAB5",#N/A,TRUE,"GENERAL"}</definedName>
    <definedName name="_____y2" localSheetId="17" hidden="1">{"TAB1",#N/A,TRUE,"GENERAL";"TAB2",#N/A,TRUE,"GENERAL";"TAB3",#N/A,TRUE,"GENERAL";"TAB4",#N/A,TRUE,"GENERAL";"TAB5",#N/A,TRUE,"GENERAL"}</definedName>
    <definedName name="_____y2" localSheetId="13" hidden="1">{"TAB1",#N/A,TRUE,"GENERAL";"TAB2",#N/A,TRUE,"GENERAL";"TAB3",#N/A,TRUE,"GENERAL";"TAB4",#N/A,TRUE,"GENERAL";"TAB5",#N/A,TRUE,"GENERAL"}</definedName>
    <definedName name="_____y2" localSheetId="15" hidden="1">{"TAB1",#N/A,TRUE,"GENERAL";"TAB2",#N/A,TRUE,"GENERAL";"TAB3",#N/A,TRUE,"GENERAL";"TAB4",#N/A,TRUE,"GENERAL";"TAB5",#N/A,TRUE,"GENERAL"}</definedName>
    <definedName name="_____y2" hidden="1">{"TAB1",#N/A,TRUE,"GENERAL";"TAB2",#N/A,TRUE,"GENERAL";"TAB3",#N/A,TRUE,"GENERAL";"TAB4",#N/A,TRUE,"GENERAL";"TAB5",#N/A,TRUE,"GENERAL"}</definedName>
    <definedName name="_____y3" localSheetId="14" hidden="1">{"via1",#N/A,TRUE,"general";"via2",#N/A,TRUE,"general";"via3",#N/A,TRUE,"general"}</definedName>
    <definedName name="_____y3" localSheetId="16" hidden="1">{"via1",#N/A,TRUE,"general";"via2",#N/A,TRUE,"general";"via3",#N/A,TRUE,"general"}</definedName>
    <definedName name="_____y3" localSheetId="17" hidden="1">{"via1",#N/A,TRUE,"general";"via2",#N/A,TRUE,"general";"via3",#N/A,TRUE,"general"}</definedName>
    <definedName name="_____y3" localSheetId="13" hidden="1">{"via1",#N/A,TRUE,"general";"via2",#N/A,TRUE,"general";"via3",#N/A,TRUE,"general"}</definedName>
    <definedName name="_____y3" localSheetId="15" hidden="1">{"via1",#N/A,TRUE,"general";"via2",#N/A,TRUE,"general";"via3",#N/A,TRUE,"general"}</definedName>
    <definedName name="_____y3" hidden="1">{"via1",#N/A,TRUE,"general";"via2",#N/A,TRUE,"general";"via3",#N/A,TRUE,"general"}</definedName>
    <definedName name="_____y4" localSheetId="14" hidden="1">{"via1",#N/A,TRUE,"general";"via2",#N/A,TRUE,"general";"via3",#N/A,TRUE,"general"}</definedName>
    <definedName name="_____y4" localSheetId="16" hidden="1">{"via1",#N/A,TRUE,"general";"via2",#N/A,TRUE,"general";"via3",#N/A,TRUE,"general"}</definedName>
    <definedName name="_____y4" localSheetId="17" hidden="1">{"via1",#N/A,TRUE,"general";"via2",#N/A,TRUE,"general";"via3",#N/A,TRUE,"general"}</definedName>
    <definedName name="_____y4" localSheetId="13" hidden="1">{"via1",#N/A,TRUE,"general";"via2",#N/A,TRUE,"general";"via3",#N/A,TRUE,"general"}</definedName>
    <definedName name="_____y4" localSheetId="15" hidden="1">{"via1",#N/A,TRUE,"general";"via2",#N/A,TRUE,"general";"via3",#N/A,TRUE,"general"}</definedName>
    <definedName name="_____y4" hidden="1">{"via1",#N/A,TRUE,"general";"via2",#N/A,TRUE,"general";"via3",#N/A,TRUE,"general"}</definedName>
    <definedName name="_____y5" localSheetId="14" hidden="1">{"TAB1",#N/A,TRUE,"GENERAL";"TAB2",#N/A,TRUE,"GENERAL";"TAB3",#N/A,TRUE,"GENERAL";"TAB4",#N/A,TRUE,"GENERAL";"TAB5",#N/A,TRUE,"GENERAL"}</definedName>
    <definedName name="_____y5" localSheetId="16" hidden="1">{"TAB1",#N/A,TRUE,"GENERAL";"TAB2",#N/A,TRUE,"GENERAL";"TAB3",#N/A,TRUE,"GENERAL";"TAB4",#N/A,TRUE,"GENERAL";"TAB5",#N/A,TRUE,"GENERAL"}</definedName>
    <definedName name="_____y5" localSheetId="17" hidden="1">{"TAB1",#N/A,TRUE,"GENERAL";"TAB2",#N/A,TRUE,"GENERAL";"TAB3",#N/A,TRUE,"GENERAL";"TAB4",#N/A,TRUE,"GENERAL";"TAB5",#N/A,TRUE,"GENERAL"}</definedName>
    <definedName name="_____y5" localSheetId="13" hidden="1">{"TAB1",#N/A,TRUE,"GENERAL";"TAB2",#N/A,TRUE,"GENERAL";"TAB3",#N/A,TRUE,"GENERAL";"TAB4",#N/A,TRUE,"GENERAL";"TAB5",#N/A,TRUE,"GENERAL"}</definedName>
    <definedName name="_____y5" localSheetId="15" hidden="1">{"TAB1",#N/A,TRUE,"GENERAL";"TAB2",#N/A,TRUE,"GENERAL";"TAB3",#N/A,TRUE,"GENERAL";"TAB4",#N/A,TRUE,"GENERAL";"TAB5",#N/A,TRUE,"GENERAL"}</definedName>
    <definedName name="_____y5" hidden="1">{"TAB1",#N/A,TRUE,"GENERAL";"TAB2",#N/A,TRUE,"GENERAL";"TAB3",#N/A,TRUE,"GENERAL";"TAB4",#N/A,TRUE,"GENERAL";"TAB5",#N/A,TRUE,"GENERAL"}</definedName>
    <definedName name="_____y6" localSheetId="14" hidden="1">{"via1",#N/A,TRUE,"general";"via2",#N/A,TRUE,"general";"via3",#N/A,TRUE,"general"}</definedName>
    <definedName name="_____y6" localSheetId="16" hidden="1">{"via1",#N/A,TRUE,"general";"via2",#N/A,TRUE,"general";"via3",#N/A,TRUE,"general"}</definedName>
    <definedName name="_____y6" localSheetId="17" hidden="1">{"via1",#N/A,TRUE,"general";"via2",#N/A,TRUE,"general";"via3",#N/A,TRUE,"general"}</definedName>
    <definedName name="_____y6" localSheetId="13" hidden="1">{"via1",#N/A,TRUE,"general";"via2",#N/A,TRUE,"general";"via3",#N/A,TRUE,"general"}</definedName>
    <definedName name="_____y6" localSheetId="15" hidden="1">{"via1",#N/A,TRUE,"general";"via2",#N/A,TRUE,"general";"via3",#N/A,TRUE,"general"}</definedName>
    <definedName name="_____y6" hidden="1">{"via1",#N/A,TRUE,"general";"via2",#N/A,TRUE,"general";"via3",#N/A,TRUE,"general"}</definedName>
    <definedName name="_____y7" localSheetId="14" hidden="1">{"via1",#N/A,TRUE,"general";"via2",#N/A,TRUE,"general";"via3",#N/A,TRUE,"general"}</definedName>
    <definedName name="_____y7" localSheetId="16" hidden="1">{"via1",#N/A,TRUE,"general";"via2",#N/A,TRUE,"general";"via3",#N/A,TRUE,"general"}</definedName>
    <definedName name="_____y7" localSheetId="17" hidden="1">{"via1",#N/A,TRUE,"general";"via2",#N/A,TRUE,"general";"via3",#N/A,TRUE,"general"}</definedName>
    <definedName name="_____y7" localSheetId="13" hidden="1">{"via1",#N/A,TRUE,"general";"via2",#N/A,TRUE,"general";"via3",#N/A,TRUE,"general"}</definedName>
    <definedName name="_____y7" localSheetId="15" hidden="1">{"via1",#N/A,TRUE,"general";"via2",#N/A,TRUE,"general";"via3",#N/A,TRUE,"general"}</definedName>
    <definedName name="_____y7" hidden="1">{"via1",#N/A,TRUE,"general";"via2",#N/A,TRUE,"general";"via3",#N/A,TRUE,"general"}</definedName>
    <definedName name="_____y8" localSheetId="14" hidden="1">{"via1",#N/A,TRUE,"general";"via2",#N/A,TRUE,"general";"via3",#N/A,TRUE,"general"}</definedName>
    <definedName name="_____y8" localSheetId="16" hidden="1">{"via1",#N/A,TRUE,"general";"via2",#N/A,TRUE,"general";"via3",#N/A,TRUE,"general"}</definedName>
    <definedName name="_____y8" localSheetId="17" hidden="1">{"via1",#N/A,TRUE,"general";"via2",#N/A,TRUE,"general";"via3",#N/A,TRUE,"general"}</definedName>
    <definedName name="_____y8" localSheetId="13" hidden="1">{"via1",#N/A,TRUE,"general";"via2",#N/A,TRUE,"general";"via3",#N/A,TRUE,"general"}</definedName>
    <definedName name="_____y8" localSheetId="15" hidden="1">{"via1",#N/A,TRUE,"general";"via2",#N/A,TRUE,"general";"via3",#N/A,TRUE,"general"}</definedName>
    <definedName name="_____y8" hidden="1">{"via1",#N/A,TRUE,"general";"via2",#N/A,TRUE,"general";"via3",#N/A,TRUE,"general"}</definedName>
    <definedName name="_____y9" localSheetId="14" hidden="1">{"TAB1",#N/A,TRUE,"GENERAL";"TAB2",#N/A,TRUE,"GENERAL";"TAB3",#N/A,TRUE,"GENERAL";"TAB4",#N/A,TRUE,"GENERAL";"TAB5",#N/A,TRUE,"GENERAL"}</definedName>
    <definedName name="_____y9" localSheetId="16" hidden="1">{"TAB1",#N/A,TRUE,"GENERAL";"TAB2",#N/A,TRUE,"GENERAL";"TAB3",#N/A,TRUE,"GENERAL";"TAB4",#N/A,TRUE,"GENERAL";"TAB5",#N/A,TRUE,"GENERAL"}</definedName>
    <definedName name="_____y9" localSheetId="17" hidden="1">{"TAB1",#N/A,TRUE,"GENERAL";"TAB2",#N/A,TRUE,"GENERAL";"TAB3",#N/A,TRUE,"GENERAL";"TAB4",#N/A,TRUE,"GENERAL";"TAB5",#N/A,TRUE,"GENERAL"}</definedName>
    <definedName name="_____y9" localSheetId="13" hidden="1">{"TAB1",#N/A,TRUE,"GENERAL";"TAB2",#N/A,TRUE,"GENERAL";"TAB3",#N/A,TRUE,"GENERAL";"TAB4",#N/A,TRUE,"GENERAL";"TAB5",#N/A,TRUE,"GENERAL"}</definedName>
    <definedName name="_____y9" localSheetId="15" hidden="1">{"TAB1",#N/A,TRUE,"GENERAL";"TAB2",#N/A,TRUE,"GENERAL";"TAB3",#N/A,TRUE,"GENERAL";"TAB4",#N/A,TRUE,"GENERAL";"TAB5",#N/A,TRUE,"GENERAL"}</definedName>
    <definedName name="_____y9" hidden="1">{"TAB1",#N/A,TRUE,"GENERAL";"TAB2",#N/A,TRUE,"GENERAL";"TAB3",#N/A,TRUE,"GENERAL";"TAB4",#N/A,TRUE,"GENERAL";"TAB5",#N/A,TRUE,"GENERAL"}</definedName>
    <definedName name="_____z1" localSheetId="14" hidden="1">{"TAB1",#N/A,TRUE,"GENERAL";"TAB2",#N/A,TRUE,"GENERAL";"TAB3",#N/A,TRUE,"GENERAL";"TAB4",#N/A,TRUE,"GENERAL";"TAB5",#N/A,TRUE,"GENERAL"}</definedName>
    <definedName name="_____z1" localSheetId="16" hidden="1">{"TAB1",#N/A,TRUE,"GENERAL";"TAB2",#N/A,TRUE,"GENERAL";"TAB3",#N/A,TRUE,"GENERAL";"TAB4",#N/A,TRUE,"GENERAL";"TAB5",#N/A,TRUE,"GENERAL"}</definedName>
    <definedName name="_____z1" localSheetId="17" hidden="1">{"TAB1",#N/A,TRUE,"GENERAL";"TAB2",#N/A,TRUE,"GENERAL";"TAB3",#N/A,TRUE,"GENERAL";"TAB4",#N/A,TRUE,"GENERAL";"TAB5",#N/A,TRUE,"GENERAL"}</definedName>
    <definedName name="_____z1" localSheetId="13" hidden="1">{"TAB1",#N/A,TRUE,"GENERAL";"TAB2",#N/A,TRUE,"GENERAL";"TAB3",#N/A,TRUE,"GENERAL";"TAB4",#N/A,TRUE,"GENERAL";"TAB5",#N/A,TRUE,"GENERAL"}</definedName>
    <definedName name="_____z1" localSheetId="15" hidden="1">{"TAB1",#N/A,TRUE,"GENERAL";"TAB2",#N/A,TRUE,"GENERAL";"TAB3",#N/A,TRUE,"GENERAL";"TAB4",#N/A,TRUE,"GENERAL";"TAB5",#N/A,TRUE,"GENERAL"}</definedName>
    <definedName name="_____z1" hidden="1">{"TAB1",#N/A,TRUE,"GENERAL";"TAB2",#N/A,TRUE,"GENERAL";"TAB3",#N/A,TRUE,"GENERAL";"TAB4",#N/A,TRUE,"GENERAL";"TAB5",#N/A,TRUE,"GENERAL"}</definedName>
    <definedName name="_____z2" localSheetId="14" hidden="1">{"via1",#N/A,TRUE,"general";"via2",#N/A,TRUE,"general";"via3",#N/A,TRUE,"general"}</definedName>
    <definedName name="_____z2" localSheetId="16" hidden="1">{"via1",#N/A,TRUE,"general";"via2",#N/A,TRUE,"general";"via3",#N/A,TRUE,"general"}</definedName>
    <definedName name="_____z2" localSheetId="17" hidden="1">{"via1",#N/A,TRUE,"general";"via2",#N/A,TRUE,"general";"via3",#N/A,TRUE,"general"}</definedName>
    <definedName name="_____z2" localSheetId="13" hidden="1">{"via1",#N/A,TRUE,"general";"via2",#N/A,TRUE,"general";"via3",#N/A,TRUE,"general"}</definedName>
    <definedName name="_____z2" localSheetId="15" hidden="1">{"via1",#N/A,TRUE,"general";"via2",#N/A,TRUE,"general";"via3",#N/A,TRUE,"general"}</definedName>
    <definedName name="_____z2" hidden="1">{"via1",#N/A,TRUE,"general";"via2",#N/A,TRUE,"general";"via3",#N/A,TRUE,"general"}</definedName>
    <definedName name="_____z3" localSheetId="14" hidden="1">{"via1",#N/A,TRUE,"general";"via2",#N/A,TRUE,"general";"via3",#N/A,TRUE,"general"}</definedName>
    <definedName name="_____z3" localSheetId="16" hidden="1">{"via1",#N/A,TRUE,"general";"via2",#N/A,TRUE,"general";"via3",#N/A,TRUE,"general"}</definedName>
    <definedName name="_____z3" localSheetId="17" hidden="1">{"via1",#N/A,TRUE,"general";"via2",#N/A,TRUE,"general";"via3",#N/A,TRUE,"general"}</definedName>
    <definedName name="_____z3" localSheetId="13" hidden="1">{"via1",#N/A,TRUE,"general";"via2",#N/A,TRUE,"general";"via3",#N/A,TRUE,"general"}</definedName>
    <definedName name="_____z3" localSheetId="15" hidden="1">{"via1",#N/A,TRUE,"general";"via2",#N/A,TRUE,"general";"via3",#N/A,TRUE,"general"}</definedName>
    <definedName name="_____z3" hidden="1">{"via1",#N/A,TRUE,"general";"via2",#N/A,TRUE,"general";"via3",#N/A,TRUE,"general"}</definedName>
    <definedName name="_____z4" localSheetId="14" hidden="1">{"TAB1",#N/A,TRUE,"GENERAL";"TAB2",#N/A,TRUE,"GENERAL";"TAB3",#N/A,TRUE,"GENERAL";"TAB4",#N/A,TRUE,"GENERAL";"TAB5",#N/A,TRUE,"GENERAL"}</definedName>
    <definedName name="_____z4" localSheetId="16" hidden="1">{"TAB1",#N/A,TRUE,"GENERAL";"TAB2",#N/A,TRUE,"GENERAL";"TAB3",#N/A,TRUE,"GENERAL";"TAB4",#N/A,TRUE,"GENERAL";"TAB5",#N/A,TRUE,"GENERAL"}</definedName>
    <definedName name="_____z4" localSheetId="17" hidden="1">{"TAB1",#N/A,TRUE,"GENERAL";"TAB2",#N/A,TRUE,"GENERAL";"TAB3",#N/A,TRUE,"GENERAL";"TAB4",#N/A,TRUE,"GENERAL";"TAB5",#N/A,TRUE,"GENERAL"}</definedName>
    <definedName name="_____z4" localSheetId="13" hidden="1">{"TAB1",#N/A,TRUE,"GENERAL";"TAB2",#N/A,TRUE,"GENERAL";"TAB3",#N/A,TRUE,"GENERAL";"TAB4",#N/A,TRUE,"GENERAL";"TAB5",#N/A,TRUE,"GENERAL"}</definedName>
    <definedName name="_____z4" localSheetId="15" hidden="1">{"TAB1",#N/A,TRUE,"GENERAL";"TAB2",#N/A,TRUE,"GENERAL";"TAB3",#N/A,TRUE,"GENERAL";"TAB4",#N/A,TRUE,"GENERAL";"TAB5",#N/A,TRUE,"GENERAL"}</definedName>
    <definedName name="_____z4" hidden="1">{"TAB1",#N/A,TRUE,"GENERAL";"TAB2",#N/A,TRUE,"GENERAL";"TAB3",#N/A,TRUE,"GENERAL";"TAB4",#N/A,TRUE,"GENERAL";"TAB5",#N/A,TRUE,"GENERAL"}</definedName>
    <definedName name="_____z5" localSheetId="14" hidden="1">{"via1",#N/A,TRUE,"general";"via2",#N/A,TRUE,"general";"via3",#N/A,TRUE,"general"}</definedName>
    <definedName name="_____z5" localSheetId="16" hidden="1">{"via1",#N/A,TRUE,"general";"via2",#N/A,TRUE,"general";"via3",#N/A,TRUE,"general"}</definedName>
    <definedName name="_____z5" localSheetId="17" hidden="1">{"via1",#N/A,TRUE,"general";"via2",#N/A,TRUE,"general";"via3",#N/A,TRUE,"general"}</definedName>
    <definedName name="_____z5" localSheetId="13" hidden="1">{"via1",#N/A,TRUE,"general";"via2",#N/A,TRUE,"general";"via3",#N/A,TRUE,"general"}</definedName>
    <definedName name="_____z5" localSheetId="15" hidden="1">{"via1",#N/A,TRUE,"general";"via2",#N/A,TRUE,"general";"via3",#N/A,TRUE,"general"}</definedName>
    <definedName name="_____z5" hidden="1">{"via1",#N/A,TRUE,"general";"via2",#N/A,TRUE,"general";"via3",#N/A,TRUE,"general"}</definedName>
    <definedName name="_____z6" localSheetId="14" hidden="1">{"TAB1",#N/A,TRUE,"GENERAL";"TAB2",#N/A,TRUE,"GENERAL";"TAB3",#N/A,TRUE,"GENERAL";"TAB4",#N/A,TRUE,"GENERAL";"TAB5",#N/A,TRUE,"GENERAL"}</definedName>
    <definedName name="_____z6" localSheetId="16" hidden="1">{"TAB1",#N/A,TRUE,"GENERAL";"TAB2",#N/A,TRUE,"GENERAL";"TAB3",#N/A,TRUE,"GENERAL";"TAB4",#N/A,TRUE,"GENERAL";"TAB5",#N/A,TRUE,"GENERAL"}</definedName>
    <definedName name="_____z6" localSheetId="17" hidden="1">{"TAB1",#N/A,TRUE,"GENERAL";"TAB2",#N/A,TRUE,"GENERAL";"TAB3",#N/A,TRUE,"GENERAL";"TAB4",#N/A,TRUE,"GENERAL";"TAB5",#N/A,TRUE,"GENERAL"}</definedName>
    <definedName name="_____z6" localSheetId="13" hidden="1">{"TAB1",#N/A,TRUE,"GENERAL";"TAB2",#N/A,TRUE,"GENERAL";"TAB3",#N/A,TRUE,"GENERAL";"TAB4",#N/A,TRUE,"GENERAL";"TAB5",#N/A,TRUE,"GENERAL"}</definedName>
    <definedName name="_____z6" localSheetId="15" hidden="1">{"TAB1",#N/A,TRUE,"GENERAL";"TAB2",#N/A,TRUE,"GENERAL";"TAB3",#N/A,TRUE,"GENERAL";"TAB4",#N/A,TRUE,"GENERAL";"TAB5",#N/A,TRUE,"GENERAL"}</definedName>
    <definedName name="_____z6" hidden="1">{"TAB1",#N/A,TRUE,"GENERAL";"TAB2",#N/A,TRUE,"GENERAL";"TAB3",#N/A,TRUE,"GENERAL";"TAB4",#N/A,TRUE,"GENERAL";"TAB5",#N/A,TRUE,"GENERAL"}</definedName>
    <definedName name="____a1" localSheetId="14" hidden="1">{"TAB1",#N/A,TRUE,"GENERAL";"TAB2",#N/A,TRUE,"GENERAL";"TAB3",#N/A,TRUE,"GENERAL";"TAB4",#N/A,TRUE,"GENERAL";"TAB5",#N/A,TRUE,"GENERAL"}</definedName>
    <definedName name="____a1" localSheetId="16" hidden="1">{"TAB1",#N/A,TRUE,"GENERAL";"TAB2",#N/A,TRUE,"GENERAL";"TAB3",#N/A,TRUE,"GENERAL";"TAB4",#N/A,TRUE,"GENERAL";"TAB5",#N/A,TRUE,"GENERAL"}</definedName>
    <definedName name="____a1" localSheetId="17" hidden="1">{"TAB1",#N/A,TRUE,"GENERAL";"TAB2",#N/A,TRUE,"GENERAL";"TAB3",#N/A,TRUE,"GENERAL";"TAB4",#N/A,TRUE,"GENERAL";"TAB5",#N/A,TRUE,"GENERAL"}</definedName>
    <definedName name="____a1" localSheetId="13" hidden="1">{"TAB1",#N/A,TRUE,"GENERAL";"TAB2",#N/A,TRUE,"GENERAL";"TAB3",#N/A,TRUE,"GENERAL";"TAB4",#N/A,TRUE,"GENERAL";"TAB5",#N/A,TRUE,"GENERAL"}</definedName>
    <definedName name="____a1" localSheetId="15" hidden="1">{"TAB1",#N/A,TRUE,"GENERAL";"TAB2",#N/A,TRUE,"GENERAL";"TAB3",#N/A,TRUE,"GENERAL";"TAB4",#N/A,TRUE,"GENERAL";"TAB5",#N/A,TRUE,"GENERAL"}</definedName>
    <definedName name="____a1" hidden="1">{"TAB1",#N/A,TRUE,"GENERAL";"TAB2",#N/A,TRUE,"GENERAL";"TAB3",#N/A,TRUE,"GENERAL";"TAB4",#N/A,TRUE,"GENERAL";"TAB5",#N/A,TRUE,"GENERAL"}</definedName>
    <definedName name="____a3" localSheetId="14" hidden="1">{"TAB1",#N/A,TRUE,"GENERAL";"TAB2",#N/A,TRUE,"GENERAL";"TAB3",#N/A,TRUE,"GENERAL";"TAB4",#N/A,TRUE,"GENERAL";"TAB5",#N/A,TRUE,"GENERAL"}</definedName>
    <definedName name="____a3" localSheetId="16" hidden="1">{"TAB1",#N/A,TRUE,"GENERAL";"TAB2",#N/A,TRUE,"GENERAL";"TAB3",#N/A,TRUE,"GENERAL";"TAB4",#N/A,TRUE,"GENERAL";"TAB5",#N/A,TRUE,"GENERAL"}</definedName>
    <definedName name="____a3" localSheetId="17" hidden="1">{"TAB1",#N/A,TRUE,"GENERAL";"TAB2",#N/A,TRUE,"GENERAL";"TAB3",#N/A,TRUE,"GENERAL";"TAB4",#N/A,TRUE,"GENERAL";"TAB5",#N/A,TRUE,"GENERAL"}</definedName>
    <definedName name="____a3" localSheetId="13" hidden="1">{"TAB1",#N/A,TRUE,"GENERAL";"TAB2",#N/A,TRUE,"GENERAL";"TAB3",#N/A,TRUE,"GENERAL";"TAB4",#N/A,TRUE,"GENERAL";"TAB5",#N/A,TRUE,"GENERAL"}</definedName>
    <definedName name="____a3" localSheetId="15" hidden="1">{"TAB1",#N/A,TRUE,"GENERAL";"TAB2",#N/A,TRUE,"GENERAL";"TAB3",#N/A,TRUE,"GENERAL";"TAB4",#N/A,TRUE,"GENERAL";"TAB5",#N/A,TRUE,"GENERAL"}</definedName>
    <definedName name="____a3" hidden="1">{"TAB1",#N/A,TRUE,"GENERAL";"TAB2",#N/A,TRUE,"GENERAL";"TAB3",#N/A,TRUE,"GENERAL";"TAB4",#N/A,TRUE,"GENERAL";"TAB5",#N/A,TRUE,"GENERAL"}</definedName>
    <definedName name="____a4" localSheetId="14" hidden="1">{"via1",#N/A,TRUE,"general";"via2",#N/A,TRUE,"general";"via3",#N/A,TRUE,"general"}</definedName>
    <definedName name="____a4" localSheetId="16" hidden="1">{"via1",#N/A,TRUE,"general";"via2",#N/A,TRUE,"general";"via3",#N/A,TRUE,"general"}</definedName>
    <definedName name="____a4" localSheetId="17" hidden="1">{"via1",#N/A,TRUE,"general";"via2",#N/A,TRUE,"general";"via3",#N/A,TRUE,"general"}</definedName>
    <definedName name="____a4" localSheetId="13" hidden="1">{"via1",#N/A,TRUE,"general";"via2",#N/A,TRUE,"general";"via3",#N/A,TRUE,"general"}</definedName>
    <definedName name="____a4" localSheetId="15" hidden="1">{"via1",#N/A,TRUE,"general";"via2",#N/A,TRUE,"general";"via3",#N/A,TRUE,"general"}</definedName>
    <definedName name="____a4" hidden="1">{"via1",#N/A,TRUE,"general";"via2",#N/A,TRUE,"general";"via3",#N/A,TRUE,"general"}</definedName>
    <definedName name="____a5" localSheetId="14" hidden="1">{"TAB1",#N/A,TRUE,"GENERAL";"TAB2",#N/A,TRUE,"GENERAL";"TAB3",#N/A,TRUE,"GENERAL";"TAB4",#N/A,TRUE,"GENERAL";"TAB5",#N/A,TRUE,"GENERAL"}</definedName>
    <definedName name="____a5" localSheetId="16" hidden="1">{"TAB1",#N/A,TRUE,"GENERAL";"TAB2",#N/A,TRUE,"GENERAL";"TAB3",#N/A,TRUE,"GENERAL";"TAB4",#N/A,TRUE,"GENERAL";"TAB5",#N/A,TRUE,"GENERAL"}</definedName>
    <definedName name="____a5" localSheetId="17" hidden="1">{"TAB1",#N/A,TRUE,"GENERAL";"TAB2",#N/A,TRUE,"GENERAL";"TAB3",#N/A,TRUE,"GENERAL";"TAB4",#N/A,TRUE,"GENERAL";"TAB5",#N/A,TRUE,"GENERAL"}</definedName>
    <definedName name="____a5" localSheetId="13" hidden="1">{"TAB1",#N/A,TRUE,"GENERAL";"TAB2",#N/A,TRUE,"GENERAL";"TAB3",#N/A,TRUE,"GENERAL";"TAB4",#N/A,TRUE,"GENERAL";"TAB5",#N/A,TRUE,"GENERAL"}</definedName>
    <definedName name="____a5" localSheetId="15" hidden="1">{"TAB1",#N/A,TRUE,"GENERAL";"TAB2",#N/A,TRUE,"GENERAL";"TAB3",#N/A,TRUE,"GENERAL";"TAB4",#N/A,TRUE,"GENERAL";"TAB5",#N/A,TRUE,"GENERAL"}</definedName>
    <definedName name="____a5" hidden="1">{"TAB1",#N/A,TRUE,"GENERAL";"TAB2",#N/A,TRUE,"GENERAL";"TAB3",#N/A,TRUE,"GENERAL";"TAB4",#N/A,TRUE,"GENERAL";"TAB5",#N/A,TRUE,"GENERAL"}</definedName>
    <definedName name="____a6" localSheetId="14" hidden="1">{"TAB1",#N/A,TRUE,"GENERAL";"TAB2",#N/A,TRUE,"GENERAL";"TAB3",#N/A,TRUE,"GENERAL";"TAB4",#N/A,TRUE,"GENERAL";"TAB5",#N/A,TRUE,"GENERAL"}</definedName>
    <definedName name="____a6" localSheetId="16" hidden="1">{"TAB1",#N/A,TRUE,"GENERAL";"TAB2",#N/A,TRUE,"GENERAL";"TAB3",#N/A,TRUE,"GENERAL";"TAB4",#N/A,TRUE,"GENERAL";"TAB5",#N/A,TRUE,"GENERAL"}</definedName>
    <definedName name="____a6" localSheetId="17" hidden="1">{"TAB1",#N/A,TRUE,"GENERAL";"TAB2",#N/A,TRUE,"GENERAL";"TAB3",#N/A,TRUE,"GENERAL";"TAB4",#N/A,TRUE,"GENERAL";"TAB5",#N/A,TRUE,"GENERAL"}</definedName>
    <definedName name="____a6" localSheetId="13" hidden="1">{"TAB1",#N/A,TRUE,"GENERAL";"TAB2",#N/A,TRUE,"GENERAL";"TAB3",#N/A,TRUE,"GENERAL";"TAB4",#N/A,TRUE,"GENERAL";"TAB5",#N/A,TRUE,"GENERAL"}</definedName>
    <definedName name="____a6" localSheetId="15" hidden="1">{"TAB1",#N/A,TRUE,"GENERAL";"TAB2",#N/A,TRUE,"GENERAL";"TAB3",#N/A,TRUE,"GENERAL";"TAB4",#N/A,TRUE,"GENERAL";"TAB5",#N/A,TRUE,"GENERAL"}</definedName>
    <definedName name="____a6" hidden="1">{"TAB1",#N/A,TRUE,"GENERAL";"TAB2",#N/A,TRUE,"GENERAL";"TAB3",#N/A,TRUE,"GENERAL";"TAB4",#N/A,TRUE,"GENERAL";"TAB5",#N/A,TRUE,"GENERAL"}</definedName>
    <definedName name="____ADH12" localSheetId="3">#REF!</definedName>
    <definedName name="____ADH12" localSheetId="30">#REF!</definedName>
    <definedName name="____ADH12" localSheetId="31">#REF!</definedName>
    <definedName name="____ADH12" localSheetId="29">#REF!</definedName>
    <definedName name="____ADH12">#REF!</definedName>
    <definedName name="____ADM12" localSheetId="3">#REF!</definedName>
    <definedName name="____ADM12" localSheetId="30">#REF!</definedName>
    <definedName name="____ADM12" localSheetId="31">#REF!</definedName>
    <definedName name="____ADM12" localSheetId="29">#REF!</definedName>
    <definedName name="____ADM12">#REF!</definedName>
    <definedName name="____ADM2" localSheetId="3">#REF!</definedName>
    <definedName name="____ADM2" localSheetId="30">#REF!</definedName>
    <definedName name="____ADM2" localSheetId="31">#REF!</definedName>
    <definedName name="____ADM2" localSheetId="29">#REF!</definedName>
    <definedName name="____ADM2">#REF!</definedName>
    <definedName name="____ADM3" localSheetId="3">#REF!</definedName>
    <definedName name="____ADM3" localSheetId="30">#REF!</definedName>
    <definedName name="____ADM3" localSheetId="31">#REF!</definedName>
    <definedName name="____ADM3" localSheetId="29">#REF!</definedName>
    <definedName name="____ADM3">#REF!</definedName>
    <definedName name="____ADM4" localSheetId="3">#REF!</definedName>
    <definedName name="____ADM4" localSheetId="30">#REF!</definedName>
    <definedName name="____ADM4" localSheetId="31">#REF!</definedName>
    <definedName name="____ADM4" localSheetId="29">#REF!</definedName>
    <definedName name="____ADM4">#REF!</definedName>
    <definedName name="____ADP1" localSheetId="3">#REF!</definedName>
    <definedName name="____ADP1" localSheetId="30">#REF!</definedName>
    <definedName name="____ADP1" localSheetId="31">#REF!</definedName>
    <definedName name="____ADP1" localSheetId="29">#REF!</definedName>
    <definedName name="____ADP1">#REF!</definedName>
    <definedName name="____AFC1">[1]INV!$A$25:$D$28</definedName>
    <definedName name="____AFC3">[1]INV!$F$25:$I$28</definedName>
    <definedName name="____AFC5">[1]INV!$K$25:$N$28</definedName>
    <definedName name="____AIU1" localSheetId="3">#REF!</definedName>
    <definedName name="____AIU1" localSheetId="30">#REF!</definedName>
    <definedName name="____AIU1" localSheetId="31">#REF!</definedName>
    <definedName name="____AIU1" localSheetId="29">#REF!</definedName>
    <definedName name="____AIU1">#REF!</definedName>
    <definedName name="____AIU2">#REF!</definedName>
    <definedName name="____AIU3">#REF!</definedName>
    <definedName name="____APU221">#REF!</definedName>
    <definedName name="____APU465" localSheetId="14">[2]!absc</definedName>
    <definedName name="____APU465" localSheetId="17">[2]!absc</definedName>
    <definedName name="____APU465" localSheetId="2">[2]!absc</definedName>
    <definedName name="____APU465" localSheetId="20">[2]!absc</definedName>
    <definedName name="____APU465" localSheetId="21">[2]!absc</definedName>
    <definedName name="____APU465" localSheetId="15">[2]!absc</definedName>
    <definedName name="____APU465">[2]!absc</definedName>
    <definedName name="____b2" localSheetId="14" hidden="1">{"TAB1",#N/A,TRUE,"GENERAL";"TAB2",#N/A,TRUE,"GENERAL";"TAB3",#N/A,TRUE,"GENERAL";"TAB4",#N/A,TRUE,"GENERAL";"TAB5",#N/A,TRUE,"GENERAL"}</definedName>
    <definedName name="____b2" localSheetId="16" hidden="1">{"TAB1",#N/A,TRUE,"GENERAL";"TAB2",#N/A,TRUE,"GENERAL";"TAB3",#N/A,TRUE,"GENERAL";"TAB4",#N/A,TRUE,"GENERAL";"TAB5",#N/A,TRUE,"GENERAL"}</definedName>
    <definedName name="____b2" localSheetId="17" hidden="1">{"TAB1",#N/A,TRUE,"GENERAL";"TAB2",#N/A,TRUE,"GENERAL";"TAB3",#N/A,TRUE,"GENERAL";"TAB4",#N/A,TRUE,"GENERAL";"TAB5",#N/A,TRUE,"GENERAL"}</definedName>
    <definedName name="____b2" localSheetId="13" hidden="1">{"TAB1",#N/A,TRUE,"GENERAL";"TAB2",#N/A,TRUE,"GENERAL";"TAB3",#N/A,TRUE,"GENERAL";"TAB4",#N/A,TRUE,"GENERAL";"TAB5",#N/A,TRUE,"GENERAL"}</definedName>
    <definedName name="____b2" localSheetId="15" hidden="1">{"TAB1",#N/A,TRUE,"GENERAL";"TAB2",#N/A,TRUE,"GENERAL";"TAB3",#N/A,TRUE,"GENERAL";"TAB4",#N/A,TRUE,"GENERAL";"TAB5",#N/A,TRUE,"GENERAL"}</definedName>
    <definedName name="____b2" hidden="1">{"TAB1",#N/A,TRUE,"GENERAL";"TAB2",#N/A,TRUE,"GENERAL";"TAB3",#N/A,TRUE,"GENERAL";"TAB4",#N/A,TRUE,"GENERAL";"TAB5",#N/A,TRUE,"GENERAL"}</definedName>
    <definedName name="____b3" localSheetId="14" hidden="1">{"TAB1",#N/A,TRUE,"GENERAL";"TAB2",#N/A,TRUE,"GENERAL";"TAB3",#N/A,TRUE,"GENERAL";"TAB4",#N/A,TRUE,"GENERAL";"TAB5",#N/A,TRUE,"GENERAL"}</definedName>
    <definedName name="____b3" localSheetId="16" hidden="1">{"TAB1",#N/A,TRUE,"GENERAL";"TAB2",#N/A,TRUE,"GENERAL";"TAB3",#N/A,TRUE,"GENERAL";"TAB4",#N/A,TRUE,"GENERAL";"TAB5",#N/A,TRUE,"GENERAL"}</definedName>
    <definedName name="____b3" localSheetId="17" hidden="1">{"TAB1",#N/A,TRUE,"GENERAL";"TAB2",#N/A,TRUE,"GENERAL";"TAB3",#N/A,TRUE,"GENERAL";"TAB4",#N/A,TRUE,"GENERAL";"TAB5",#N/A,TRUE,"GENERAL"}</definedName>
    <definedName name="____b3" localSheetId="13" hidden="1">{"TAB1",#N/A,TRUE,"GENERAL";"TAB2",#N/A,TRUE,"GENERAL";"TAB3",#N/A,TRUE,"GENERAL";"TAB4",#N/A,TRUE,"GENERAL";"TAB5",#N/A,TRUE,"GENERAL"}</definedName>
    <definedName name="____b3" localSheetId="15" hidden="1">{"TAB1",#N/A,TRUE,"GENERAL";"TAB2",#N/A,TRUE,"GENERAL";"TAB3",#N/A,TRUE,"GENERAL";"TAB4",#N/A,TRUE,"GENERAL";"TAB5",#N/A,TRUE,"GENERAL"}</definedName>
    <definedName name="____b3" hidden="1">{"TAB1",#N/A,TRUE,"GENERAL";"TAB2",#N/A,TRUE,"GENERAL";"TAB3",#N/A,TRUE,"GENERAL";"TAB4",#N/A,TRUE,"GENERAL";"TAB5",#N/A,TRUE,"GENERAL"}</definedName>
    <definedName name="____b4" localSheetId="14" hidden="1">{"TAB1",#N/A,TRUE,"GENERAL";"TAB2",#N/A,TRUE,"GENERAL";"TAB3",#N/A,TRUE,"GENERAL";"TAB4",#N/A,TRUE,"GENERAL";"TAB5",#N/A,TRUE,"GENERAL"}</definedName>
    <definedName name="____b4" localSheetId="16" hidden="1">{"TAB1",#N/A,TRUE,"GENERAL";"TAB2",#N/A,TRUE,"GENERAL";"TAB3",#N/A,TRUE,"GENERAL";"TAB4",#N/A,TRUE,"GENERAL";"TAB5",#N/A,TRUE,"GENERAL"}</definedName>
    <definedName name="____b4" localSheetId="17" hidden="1">{"TAB1",#N/A,TRUE,"GENERAL";"TAB2",#N/A,TRUE,"GENERAL";"TAB3",#N/A,TRUE,"GENERAL";"TAB4",#N/A,TRUE,"GENERAL";"TAB5",#N/A,TRUE,"GENERAL"}</definedName>
    <definedName name="____b4" localSheetId="13" hidden="1">{"TAB1",#N/A,TRUE,"GENERAL";"TAB2",#N/A,TRUE,"GENERAL";"TAB3",#N/A,TRUE,"GENERAL";"TAB4",#N/A,TRUE,"GENERAL";"TAB5",#N/A,TRUE,"GENERAL"}</definedName>
    <definedName name="____b4" localSheetId="15" hidden="1">{"TAB1",#N/A,TRUE,"GENERAL";"TAB2",#N/A,TRUE,"GENERAL";"TAB3",#N/A,TRUE,"GENERAL";"TAB4",#N/A,TRUE,"GENERAL";"TAB5",#N/A,TRUE,"GENERAL"}</definedName>
    <definedName name="____b4" hidden="1">{"TAB1",#N/A,TRUE,"GENERAL";"TAB2",#N/A,TRUE,"GENERAL";"TAB3",#N/A,TRUE,"GENERAL";"TAB4",#N/A,TRUE,"GENERAL";"TAB5",#N/A,TRUE,"GENERAL"}</definedName>
    <definedName name="____b5" localSheetId="14" hidden="1">{"TAB1",#N/A,TRUE,"GENERAL";"TAB2",#N/A,TRUE,"GENERAL";"TAB3",#N/A,TRUE,"GENERAL";"TAB4",#N/A,TRUE,"GENERAL";"TAB5",#N/A,TRUE,"GENERAL"}</definedName>
    <definedName name="____b5" localSheetId="16" hidden="1">{"TAB1",#N/A,TRUE,"GENERAL";"TAB2",#N/A,TRUE,"GENERAL";"TAB3",#N/A,TRUE,"GENERAL";"TAB4",#N/A,TRUE,"GENERAL";"TAB5",#N/A,TRUE,"GENERAL"}</definedName>
    <definedName name="____b5" localSheetId="17" hidden="1">{"TAB1",#N/A,TRUE,"GENERAL";"TAB2",#N/A,TRUE,"GENERAL";"TAB3",#N/A,TRUE,"GENERAL";"TAB4",#N/A,TRUE,"GENERAL";"TAB5",#N/A,TRUE,"GENERAL"}</definedName>
    <definedName name="____b5" localSheetId="13" hidden="1">{"TAB1",#N/A,TRUE,"GENERAL";"TAB2",#N/A,TRUE,"GENERAL";"TAB3",#N/A,TRUE,"GENERAL";"TAB4",#N/A,TRUE,"GENERAL";"TAB5",#N/A,TRUE,"GENERAL"}</definedName>
    <definedName name="____b5" localSheetId="15" hidden="1">{"TAB1",#N/A,TRUE,"GENERAL";"TAB2",#N/A,TRUE,"GENERAL";"TAB3",#N/A,TRUE,"GENERAL";"TAB4",#N/A,TRUE,"GENERAL";"TAB5",#N/A,TRUE,"GENERAL"}</definedName>
    <definedName name="____b5" hidden="1">{"TAB1",#N/A,TRUE,"GENERAL";"TAB2",#N/A,TRUE,"GENERAL";"TAB3",#N/A,TRUE,"GENERAL";"TAB4",#N/A,TRUE,"GENERAL";"TAB5",#N/A,TRUE,"GENERAL"}</definedName>
    <definedName name="____b6" localSheetId="14" hidden="1">{"TAB1",#N/A,TRUE,"GENERAL";"TAB2",#N/A,TRUE,"GENERAL";"TAB3",#N/A,TRUE,"GENERAL";"TAB4",#N/A,TRUE,"GENERAL";"TAB5",#N/A,TRUE,"GENERAL"}</definedName>
    <definedName name="____b6" localSheetId="16" hidden="1">{"TAB1",#N/A,TRUE,"GENERAL";"TAB2",#N/A,TRUE,"GENERAL";"TAB3",#N/A,TRUE,"GENERAL";"TAB4",#N/A,TRUE,"GENERAL";"TAB5",#N/A,TRUE,"GENERAL"}</definedName>
    <definedName name="____b6" localSheetId="17" hidden="1">{"TAB1",#N/A,TRUE,"GENERAL";"TAB2",#N/A,TRUE,"GENERAL";"TAB3",#N/A,TRUE,"GENERAL";"TAB4",#N/A,TRUE,"GENERAL";"TAB5",#N/A,TRUE,"GENERAL"}</definedName>
    <definedName name="____b6" localSheetId="13" hidden="1">{"TAB1",#N/A,TRUE,"GENERAL";"TAB2",#N/A,TRUE,"GENERAL";"TAB3",#N/A,TRUE,"GENERAL";"TAB4",#N/A,TRUE,"GENERAL";"TAB5",#N/A,TRUE,"GENERAL"}</definedName>
    <definedName name="____b6" localSheetId="15" hidden="1">{"TAB1",#N/A,TRUE,"GENERAL";"TAB2",#N/A,TRUE,"GENERAL";"TAB3",#N/A,TRUE,"GENERAL";"TAB4",#N/A,TRUE,"GENERAL";"TAB5",#N/A,TRUE,"GENERAL"}</definedName>
    <definedName name="____b6" hidden="1">{"TAB1",#N/A,TRUE,"GENERAL";"TAB2",#N/A,TRUE,"GENERAL";"TAB3",#N/A,TRUE,"GENERAL";"TAB4",#N/A,TRUE,"GENERAL";"TAB5",#N/A,TRUE,"GENERAL"}</definedName>
    <definedName name="____b7" localSheetId="14" hidden="1">{"via1",#N/A,TRUE,"general";"via2",#N/A,TRUE,"general";"via3",#N/A,TRUE,"general"}</definedName>
    <definedName name="____b7" localSheetId="16" hidden="1">{"via1",#N/A,TRUE,"general";"via2",#N/A,TRUE,"general";"via3",#N/A,TRUE,"general"}</definedName>
    <definedName name="____b7" localSheetId="17" hidden="1">{"via1",#N/A,TRUE,"general";"via2",#N/A,TRUE,"general";"via3",#N/A,TRUE,"general"}</definedName>
    <definedName name="____b7" localSheetId="13" hidden="1">{"via1",#N/A,TRUE,"general";"via2",#N/A,TRUE,"general";"via3",#N/A,TRUE,"general"}</definedName>
    <definedName name="____b7" localSheetId="15" hidden="1">{"via1",#N/A,TRUE,"general";"via2",#N/A,TRUE,"general";"via3",#N/A,TRUE,"general"}</definedName>
    <definedName name="____b7" hidden="1">{"via1",#N/A,TRUE,"general";"via2",#N/A,TRUE,"general";"via3",#N/A,TRUE,"general"}</definedName>
    <definedName name="____b8" localSheetId="14" hidden="1">{"via1",#N/A,TRUE,"general";"via2",#N/A,TRUE,"general";"via3",#N/A,TRUE,"general"}</definedName>
    <definedName name="____b8" localSheetId="16" hidden="1">{"via1",#N/A,TRUE,"general";"via2",#N/A,TRUE,"general";"via3",#N/A,TRUE,"general"}</definedName>
    <definedName name="____b8" localSheetId="17" hidden="1">{"via1",#N/A,TRUE,"general";"via2",#N/A,TRUE,"general";"via3",#N/A,TRUE,"general"}</definedName>
    <definedName name="____b8" localSheetId="13" hidden="1">{"via1",#N/A,TRUE,"general";"via2",#N/A,TRUE,"general";"via3",#N/A,TRUE,"general"}</definedName>
    <definedName name="____b8" localSheetId="15" hidden="1">{"via1",#N/A,TRUE,"general";"via2",#N/A,TRUE,"general";"via3",#N/A,TRUE,"general"}</definedName>
    <definedName name="____b8" hidden="1">{"via1",#N/A,TRUE,"general";"via2",#N/A,TRUE,"general";"via3",#N/A,TRUE,"general"}</definedName>
    <definedName name="____BAZ10" localSheetId="3">#REF!</definedName>
    <definedName name="____BAZ10" localSheetId="30">#REF!</definedName>
    <definedName name="____BAZ10" localSheetId="31">#REF!</definedName>
    <definedName name="____BAZ10" localSheetId="29">#REF!</definedName>
    <definedName name="____BAZ10">#REF!</definedName>
    <definedName name="____bb9" localSheetId="14" hidden="1">{"TAB1",#N/A,TRUE,"GENERAL";"TAB2",#N/A,TRUE,"GENERAL";"TAB3",#N/A,TRUE,"GENERAL";"TAB4",#N/A,TRUE,"GENERAL";"TAB5",#N/A,TRUE,"GENERAL"}</definedName>
    <definedName name="____bb9" localSheetId="16" hidden="1">{"TAB1",#N/A,TRUE,"GENERAL";"TAB2",#N/A,TRUE,"GENERAL";"TAB3",#N/A,TRUE,"GENERAL";"TAB4",#N/A,TRUE,"GENERAL";"TAB5",#N/A,TRUE,"GENERAL"}</definedName>
    <definedName name="____bb9" localSheetId="17" hidden="1">{"TAB1",#N/A,TRUE,"GENERAL";"TAB2",#N/A,TRUE,"GENERAL";"TAB3",#N/A,TRUE,"GENERAL";"TAB4",#N/A,TRUE,"GENERAL";"TAB5",#N/A,TRUE,"GENERAL"}</definedName>
    <definedName name="____bb9" localSheetId="13" hidden="1">{"TAB1",#N/A,TRUE,"GENERAL";"TAB2",#N/A,TRUE,"GENERAL";"TAB3",#N/A,TRUE,"GENERAL";"TAB4",#N/A,TRUE,"GENERAL";"TAB5",#N/A,TRUE,"GENERAL"}</definedName>
    <definedName name="____bb9" localSheetId="15" hidden="1">{"TAB1",#N/A,TRUE,"GENERAL";"TAB2",#N/A,TRUE,"GENERAL";"TAB3",#N/A,TRUE,"GENERAL";"TAB4",#N/A,TRUE,"GENERAL";"TAB5",#N/A,TRUE,"GENERAL"}</definedName>
    <definedName name="____bb9" hidden="1">{"TAB1",#N/A,TRUE,"GENERAL";"TAB2",#N/A,TRUE,"GENERAL";"TAB3",#N/A,TRUE,"GENERAL";"TAB4",#N/A,TRUE,"GENERAL";"TAB5",#N/A,TRUE,"GENERAL"}</definedName>
    <definedName name="____bgb5" localSheetId="14" hidden="1">{"TAB1",#N/A,TRUE,"GENERAL";"TAB2",#N/A,TRUE,"GENERAL";"TAB3",#N/A,TRUE,"GENERAL";"TAB4",#N/A,TRUE,"GENERAL";"TAB5",#N/A,TRUE,"GENERAL"}</definedName>
    <definedName name="____bgb5" localSheetId="16" hidden="1">{"TAB1",#N/A,TRUE,"GENERAL";"TAB2",#N/A,TRUE,"GENERAL";"TAB3",#N/A,TRUE,"GENERAL";"TAB4",#N/A,TRUE,"GENERAL";"TAB5",#N/A,TRUE,"GENERAL"}</definedName>
    <definedName name="____bgb5" localSheetId="17" hidden="1">{"TAB1",#N/A,TRUE,"GENERAL";"TAB2",#N/A,TRUE,"GENERAL";"TAB3",#N/A,TRUE,"GENERAL";"TAB4",#N/A,TRUE,"GENERAL";"TAB5",#N/A,TRUE,"GENERAL"}</definedName>
    <definedName name="____bgb5" localSheetId="13" hidden="1">{"TAB1",#N/A,TRUE,"GENERAL";"TAB2",#N/A,TRUE,"GENERAL";"TAB3",#N/A,TRUE,"GENERAL";"TAB4",#N/A,TRUE,"GENERAL";"TAB5",#N/A,TRUE,"GENERAL"}</definedName>
    <definedName name="____bgb5" localSheetId="15"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BLO20" localSheetId="3">#REF!</definedName>
    <definedName name="____BLO20" localSheetId="30">#REF!</definedName>
    <definedName name="____BLO20" localSheetId="31">#REF!</definedName>
    <definedName name="____BLO20" localSheetId="29">#REF!</definedName>
    <definedName name="____BLO20">#REF!</definedName>
    <definedName name="____C2254JH" localSheetId="3">#REF!</definedName>
    <definedName name="____C2254JH" localSheetId="30">#REF!</definedName>
    <definedName name="____C2254JH" localSheetId="31">#REF!</definedName>
    <definedName name="____C2254JH" localSheetId="29">#REF!</definedName>
    <definedName name="____C2254JH">#REF!</definedName>
    <definedName name="____C2256JH" localSheetId="3">#REF!</definedName>
    <definedName name="____C2256JH" localSheetId="30">#REF!</definedName>
    <definedName name="____C2256JH" localSheetId="31">#REF!</definedName>
    <definedName name="____C2256JH" localSheetId="29">#REF!</definedName>
    <definedName name="____C2256JH">#REF!</definedName>
    <definedName name="____C452JH" localSheetId="3">#REF!</definedName>
    <definedName name="____C452JH" localSheetId="30">#REF!</definedName>
    <definedName name="____C452JH" localSheetId="31">#REF!</definedName>
    <definedName name="____C452JH" localSheetId="29">#REF!</definedName>
    <definedName name="____C452JH">#REF!</definedName>
    <definedName name="____C903L" localSheetId="3">#REF!</definedName>
    <definedName name="____C903L" localSheetId="30">#REF!</definedName>
    <definedName name="____C903L" localSheetId="31">#REF!</definedName>
    <definedName name="____C903L" localSheetId="29">#REF!</definedName>
    <definedName name="____C903L">#REF!</definedName>
    <definedName name="____C908J" localSheetId="3">#REF!</definedName>
    <definedName name="____C908J" localSheetId="30">#REF!</definedName>
    <definedName name="____C908J" localSheetId="31">#REF!</definedName>
    <definedName name="____C908J" localSheetId="29">#REF!</definedName>
    <definedName name="____C908J">#REF!</definedName>
    <definedName name="____CAC1">[1]INV!$A$19:$D$22</definedName>
    <definedName name="____CAC3">[1]INV!$F$19:$I$22</definedName>
    <definedName name="____CAC5">[1]INV!$K$19:$N$22</definedName>
    <definedName name="____CAN28" localSheetId="3">#REF!</definedName>
    <definedName name="____CAN28" localSheetId="30">#REF!</definedName>
    <definedName name="____CAN28" localSheetId="31">#REF!</definedName>
    <definedName name="____CAN28" localSheetId="29">#REF!</definedName>
    <definedName name="____CAN28">#REF!</definedName>
    <definedName name="____Cod1" localSheetId="3">#REF!</definedName>
    <definedName name="____Cod1" localSheetId="30">#REF!</definedName>
    <definedName name="____Cod1" localSheetId="31">#REF!</definedName>
    <definedName name="____Cod1" localSheetId="29">#REF!</definedName>
    <definedName name="____Cod1">#REF!</definedName>
    <definedName name="____CUA44" localSheetId="3">#REF!</definedName>
    <definedName name="____CUA44" localSheetId="30">#REF!</definedName>
    <definedName name="____CUA44" localSheetId="31">#REF!</definedName>
    <definedName name="____CUA44" localSheetId="29">#REF!</definedName>
    <definedName name="____CUA44">#REF!</definedName>
    <definedName name="____EEF110" localSheetId="3">#REF!</definedName>
    <definedName name="____EEF110" localSheetId="30">#REF!</definedName>
    <definedName name="____EEF110" localSheetId="31">#REF!</definedName>
    <definedName name="____EEF110" localSheetId="29">#REF!</definedName>
    <definedName name="____EEF110">#REF!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F315" localSheetId="3">#REF!</definedName>
    <definedName name="____ETF315" localSheetId="30">#REF!</definedName>
    <definedName name="____ETF315" localSheetId="31">#REF!</definedName>
    <definedName name="____ETF315" localSheetId="29">#REF!</definedName>
    <definedName name="____ETF315">#REF!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EC5">[6]datos!$N$2,[6]datos!$N$2:$N$500</definedName>
    <definedName name="____FYB02" localSheetId="3">#REF!</definedName>
    <definedName name="____FYB02" localSheetId="30">#REF!</definedName>
    <definedName name="____FYB02" localSheetId="31">#REF!</definedName>
    <definedName name="____FYB02" localSheetId="29">#REF!</definedName>
    <definedName name="____FYB02">#REF!</definedName>
    <definedName name="____FYB03" localSheetId="3">#REF!</definedName>
    <definedName name="____FYB03" localSheetId="30">#REF!</definedName>
    <definedName name="____FYB03" localSheetId="31">#REF!</definedName>
    <definedName name="____FYB03" localSheetId="29">#REF!</definedName>
    <definedName name="____FYB03">#REF!</definedName>
    <definedName name="____FYB04" localSheetId="3">#REF!</definedName>
    <definedName name="____FYB04" localSheetId="30">#REF!</definedName>
    <definedName name="____FYB04" localSheetId="31">#REF!</definedName>
    <definedName name="____FYB04" localSheetId="29">#REF!</definedName>
    <definedName name="____FYB04">#REF!</definedName>
    <definedName name="____FYB08" localSheetId="3">#REF!</definedName>
    <definedName name="____FYB08" localSheetId="30">#REF!</definedName>
    <definedName name="____FYB08" localSheetId="31">#REF!</definedName>
    <definedName name="____FYB08" localSheetId="29">#REF!</definedName>
    <definedName name="____FYB08">#REF!</definedName>
    <definedName name="____FYB10" localSheetId="3">#REF!</definedName>
    <definedName name="____FYB10" localSheetId="30">#REF!</definedName>
    <definedName name="____FYB10" localSheetId="31">#REF!</definedName>
    <definedName name="____FYB10" localSheetId="29">#REF!</definedName>
    <definedName name="____FYB10">#REF!</definedName>
    <definedName name="____g2" localSheetId="14" hidden="1">{"TAB1",#N/A,TRUE,"GENERAL";"TAB2",#N/A,TRUE,"GENERAL";"TAB3",#N/A,TRUE,"GENERAL";"TAB4",#N/A,TRUE,"GENERAL";"TAB5",#N/A,TRUE,"GENERAL"}</definedName>
    <definedName name="____g2" localSheetId="16" hidden="1">{"TAB1",#N/A,TRUE,"GENERAL";"TAB2",#N/A,TRUE,"GENERAL";"TAB3",#N/A,TRUE,"GENERAL";"TAB4",#N/A,TRUE,"GENERAL";"TAB5",#N/A,TRUE,"GENERAL"}</definedName>
    <definedName name="____g2" localSheetId="17" hidden="1">{"TAB1",#N/A,TRUE,"GENERAL";"TAB2",#N/A,TRUE,"GENERAL";"TAB3",#N/A,TRUE,"GENERAL";"TAB4",#N/A,TRUE,"GENERAL";"TAB5",#N/A,TRUE,"GENERAL"}</definedName>
    <definedName name="____g2" localSheetId="13" hidden="1">{"TAB1",#N/A,TRUE,"GENERAL";"TAB2",#N/A,TRUE,"GENERAL";"TAB3",#N/A,TRUE,"GENERAL";"TAB4",#N/A,TRUE,"GENERAL";"TAB5",#N/A,TRUE,"GENERAL"}</definedName>
    <definedName name="____g2" localSheetId="15" hidden="1">{"TAB1",#N/A,TRUE,"GENERAL";"TAB2",#N/A,TRUE,"GENERAL";"TAB3",#N/A,TRUE,"GENERAL";"TAB4",#N/A,TRUE,"GENERAL";"TAB5",#N/A,TRUE,"GENERAL"}</definedName>
    <definedName name="____g2" hidden="1">{"TAB1",#N/A,TRUE,"GENERAL";"TAB2",#N/A,TRUE,"GENERAL";"TAB3",#N/A,TRUE,"GENERAL";"TAB4",#N/A,TRUE,"GENERAL";"TAB5",#N/A,TRUE,"GENERAL"}</definedName>
    <definedName name="____g3" localSheetId="14" hidden="1">{"via1",#N/A,TRUE,"general";"via2",#N/A,TRUE,"general";"via3",#N/A,TRUE,"general"}</definedName>
    <definedName name="____g3" localSheetId="16" hidden="1">{"via1",#N/A,TRUE,"general";"via2",#N/A,TRUE,"general";"via3",#N/A,TRUE,"general"}</definedName>
    <definedName name="____g3" localSheetId="17" hidden="1">{"via1",#N/A,TRUE,"general";"via2",#N/A,TRUE,"general";"via3",#N/A,TRUE,"general"}</definedName>
    <definedName name="____g3" localSheetId="13" hidden="1">{"via1",#N/A,TRUE,"general";"via2",#N/A,TRUE,"general";"via3",#N/A,TRUE,"general"}</definedName>
    <definedName name="____g3" localSheetId="15" hidden="1">{"via1",#N/A,TRUE,"general";"via2",#N/A,TRUE,"general";"via3",#N/A,TRUE,"general"}</definedName>
    <definedName name="____g3" hidden="1">{"via1",#N/A,TRUE,"general";"via2",#N/A,TRUE,"general";"via3",#N/A,TRUE,"general"}</definedName>
    <definedName name="____g4" localSheetId="14" hidden="1">{"via1",#N/A,TRUE,"general";"via2",#N/A,TRUE,"general";"via3",#N/A,TRUE,"general"}</definedName>
    <definedName name="____g4" localSheetId="16" hidden="1">{"via1",#N/A,TRUE,"general";"via2",#N/A,TRUE,"general";"via3",#N/A,TRUE,"general"}</definedName>
    <definedName name="____g4" localSheetId="17" hidden="1">{"via1",#N/A,TRUE,"general";"via2",#N/A,TRUE,"general";"via3",#N/A,TRUE,"general"}</definedName>
    <definedName name="____g4" localSheetId="13" hidden="1">{"via1",#N/A,TRUE,"general";"via2",#N/A,TRUE,"general";"via3",#N/A,TRUE,"general"}</definedName>
    <definedName name="____g4" localSheetId="15" hidden="1">{"via1",#N/A,TRUE,"general";"via2",#N/A,TRUE,"general";"via3",#N/A,TRUE,"general"}</definedName>
    <definedName name="____g4" hidden="1">{"via1",#N/A,TRUE,"general";"via2",#N/A,TRUE,"general";"via3",#N/A,TRUE,"general"}</definedName>
    <definedName name="____g5" localSheetId="14" hidden="1">{"via1",#N/A,TRUE,"general";"via2",#N/A,TRUE,"general";"via3",#N/A,TRUE,"general"}</definedName>
    <definedName name="____g5" localSheetId="16" hidden="1">{"via1",#N/A,TRUE,"general";"via2",#N/A,TRUE,"general";"via3",#N/A,TRUE,"general"}</definedName>
    <definedName name="____g5" localSheetId="17" hidden="1">{"via1",#N/A,TRUE,"general";"via2",#N/A,TRUE,"general";"via3",#N/A,TRUE,"general"}</definedName>
    <definedName name="____g5" localSheetId="13" hidden="1">{"via1",#N/A,TRUE,"general";"via2",#N/A,TRUE,"general";"via3",#N/A,TRUE,"general"}</definedName>
    <definedName name="____g5" localSheetId="15" hidden="1">{"via1",#N/A,TRUE,"general";"via2",#N/A,TRUE,"general";"via3",#N/A,TRUE,"general"}</definedName>
    <definedName name="____g5" hidden="1">{"via1",#N/A,TRUE,"general";"via2",#N/A,TRUE,"general";"via3",#N/A,TRUE,"general"}</definedName>
    <definedName name="____g6" localSheetId="14" hidden="1">{"via1",#N/A,TRUE,"general";"via2",#N/A,TRUE,"general";"via3",#N/A,TRUE,"general"}</definedName>
    <definedName name="____g6" localSheetId="16" hidden="1">{"via1",#N/A,TRUE,"general";"via2",#N/A,TRUE,"general";"via3",#N/A,TRUE,"general"}</definedName>
    <definedName name="____g6" localSheetId="17" hidden="1">{"via1",#N/A,TRUE,"general";"via2",#N/A,TRUE,"general";"via3",#N/A,TRUE,"general"}</definedName>
    <definedName name="____g6" localSheetId="13" hidden="1">{"via1",#N/A,TRUE,"general";"via2",#N/A,TRUE,"general";"via3",#N/A,TRUE,"general"}</definedName>
    <definedName name="____g6" localSheetId="15" hidden="1">{"via1",#N/A,TRUE,"general";"via2",#N/A,TRUE,"general";"via3",#N/A,TRUE,"general"}</definedName>
    <definedName name="____g6" hidden="1">{"via1",#N/A,TRUE,"general";"via2",#N/A,TRUE,"general";"via3",#N/A,TRUE,"general"}</definedName>
    <definedName name="____g7" localSheetId="14" hidden="1">{"TAB1",#N/A,TRUE,"GENERAL";"TAB2",#N/A,TRUE,"GENERAL";"TAB3",#N/A,TRUE,"GENERAL";"TAB4",#N/A,TRUE,"GENERAL";"TAB5",#N/A,TRUE,"GENERAL"}</definedName>
    <definedName name="____g7" localSheetId="16" hidden="1">{"TAB1",#N/A,TRUE,"GENERAL";"TAB2",#N/A,TRUE,"GENERAL";"TAB3",#N/A,TRUE,"GENERAL";"TAB4",#N/A,TRUE,"GENERAL";"TAB5",#N/A,TRUE,"GENERAL"}</definedName>
    <definedName name="____g7" localSheetId="17" hidden="1">{"TAB1",#N/A,TRUE,"GENERAL";"TAB2",#N/A,TRUE,"GENERAL";"TAB3",#N/A,TRUE,"GENERAL";"TAB4",#N/A,TRUE,"GENERAL";"TAB5",#N/A,TRUE,"GENERAL"}</definedName>
    <definedName name="____g7" localSheetId="13" hidden="1">{"TAB1",#N/A,TRUE,"GENERAL";"TAB2",#N/A,TRUE,"GENERAL";"TAB3",#N/A,TRUE,"GENERAL";"TAB4",#N/A,TRUE,"GENERAL";"TAB5",#N/A,TRUE,"GENERAL"}</definedName>
    <definedName name="____g7" localSheetId="15" hidden="1">{"TAB1",#N/A,TRUE,"GENERAL";"TAB2",#N/A,TRUE,"GENERAL";"TAB3",#N/A,TRUE,"GENERAL";"TAB4",#N/A,TRUE,"GENERAL";"TAB5",#N/A,TRUE,"GENERAL"}</definedName>
    <definedName name="____g7" hidden="1">{"TAB1",#N/A,TRUE,"GENERAL";"TAB2",#N/A,TRUE,"GENERAL";"TAB3",#N/A,TRUE,"GENERAL";"TAB4",#N/A,TRUE,"GENERAL";"TAB5",#N/A,TRUE,"GENERAL"}</definedName>
    <definedName name="____GR1" localSheetId="14" hidden="1">{"TAB1",#N/A,TRUE,"GENERAL";"TAB2",#N/A,TRUE,"GENERAL";"TAB3",#N/A,TRUE,"GENERAL";"TAB4",#N/A,TRUE,"GENERAL";"TAB5",#N/A,TRUE,"GENERAL"}</definedName>
    <definedName name="____GR1" localSheetId="16" hidden="1">{"TAB1",#N/A,TRUE,"GENERAL";"TAB2",#N/A,TRUE,"GENERAL";"TAB3",#N/A,TRUE,"GENERAL";"TAB4",#N/A,TRUE,"GENERAL";"TAB5",#N/A,TRUE,"GENERAL"}</definedName>
    <definedName name="____GR1" localSheetId="17" hidden="1">{"TAB1",#N/A,TRUE,"GENERAL";"TAB2",#N/A,TRUE,"GENERAL";"TAB3",#N/A,TRUE,"GENERAL";"TAB4",#N/A,TRUE,"GENERAL";"TAB5",#N/A,TRUE,"GENERAL"}</definedName>
    <definedName name="____GR1" localSheetId="13" hidden="1">{"TAB1",#N/A,TRUE,"GENERAL";"TAB2",#N/A,TRUE,"GENERAL";"TAB3",#N/A,TRUE,"GENERAL";"TAB4",#N/A,TRUE,"GENERAL";"TAB5",#N/A,TRUE,"GENERAL"}</definedName>
    <definedName name="____GR1" localSheetId="15" hidden="1">{"TAB1",#N/A,TRUE,"GENERAL";"TAB2",#N/A,TRUE,"GENERAL";"TAB3",#N/A,TRUE,"GENERAL";"TAB4",#N/A,TRUE,"GENERAL";"TAB5",#N/A,TRUE,"GENERAL"}</definedName>
    <definedName name="____GR1" hidden="1">{"TAB1",#N/A,TRUE,"GENERAL";"TAB2",#N/A,TRUE,"GENERAL";"TAB3",#N/A,TRUE,"GENERAL";"TAB4",#N/A,TRUE,"GENERAL";"TAB5",#N/A,TRUE,"GENERAL"}</definedName>
    <definedName name="____gtr4" localSheetId="14" hidden="1">{"via1",#N/A,TRUE,"general";"via2",#N/A,TRUE,"general";"via3",#N/A,TRUE,"general"}</definedName>
    <definedName name="____gtr4" localSheetId="16" hidden="1">{"via1",#N/A,TRUE,"general";"via2",#N/A,TRUE,"general";"via3",#N/A,TRUE,"general"}</definedName>
    <definedName name="____gtr4" localSheetId="17" hidden="1">{"via1",#N/A,TRUE,"general";"via2",#N/A,TRUE,"general";"via3",#N/A,TRUE,"general"}</definedName>
    <definedName name="____gtr4" localSheetId="13" hidden="1">{"via1",#N/A,TRUE,"general";"via2",#N/A,TRUE,"general";"via3",#N/A,TRUE,"general"}</definedName>
    <definedName name="____gtr4" localSheetId="15" hidden="1">{"via1",#N/A,TRUE,"general";"via2",#N/A,TRUE,"general";"via3",#N/A,TRUE,"general"}</definedName>
    <definedName name="____gtr4" hidden="1">{"via1",#N/A,TRUE,"general";"via2",#N/A,TRUE,"general";"via3",#N/A,TRUE,"general"}</definedName>
    <definedName name="____h2" localSheetId="14" hidden="1">{"via1",#N/A,TRUE,"general";"via2",#N/A,TRUE,"general";"via3",#N/A,TRUE,"general"}</definedName>
    <definedName name="____h2" localSheetId="16" hidden="1">{"via1",#N/A,TRUE,"general";"via2",#N/A,TRUE,"general";"via3",#N/A,TRUE,"general"}</definedName>
    <definedName name="____h2" localSheetId="17" hidden="1">{"via1",#N/A,TRUE,"general";"via2",#N/A,TRUE,"general";"via3",#N/A,TRUE,"general"}</definedName>
    <definedName name="____h2" localSheetId="13" hidden="1">{"via1",#N/A,TRUE,"general";"via2",#N/A,TRUE,"general";"via3",#N/A,TRUE,"general"}</definedName>
    <definedName name="____h2" localSheetId="15" hidden="1">{"via1",#N/A,TRUE,"general";"via2",#N/A,TRUE,"general";"via3",#N/A,TRUE,"general"}</definedName>
    <definedName name="____h2" hidden="1">{"via1",#N/A,TRUE,"general";"via2",#N/A,TRUE,"general";"via3",#N/A,TRUE,"general"}</definedName>
    <definedName name="____h3" localSheetId="14" hidden="1">{"via1",#N/A,TRUE,"general";"via2",#N/A,TRUE,"general";"via3",#N/A,TRUE,"general"}</definedName>
    <definedName name="____h3" localSheetId="16" hidden="1">{"via1",#N/A,TRUE,"general";"via2",#N/A,TRUE,"general";"via3",#N/A,TRUE,"general"}</definedName>
    <definedName name="____h3" localSheetId="17" hidden="1">{"via1",#N/A,TRUE,"general";"via2",#N/A,TRUE,"general";"via3",#N/A,TRUE,"general"}</definedName>
    <definedName name="____h3" localSheetId="13" hidden="1">{"via1",#N/A,TRUE,"general";"via2",#N/A,TRUE,"general";"via3",#N/A,TRUE,"general"}</definedName>
    <definedName name="____h3" localSheetId="15" hidden="1">{"via1",#N/A,TRUE,"general";"via2",#N/A,TRUE,"general";"via3",#N/A,TRUE,"general"}</definedName>
    <definedName name="____h3" hidden="1">{"via1",#N/A,TRUE,"general";"via2",#N/A,TRUE,"general";"via3",#N/A,TRUE,"general"}</definedName>
    <definedName name="____h4" localSheetId="14" hidden="1">{"TAB1",#N/A,TRUE,"GENERAL";"TAB2",#N/A,TRUE,"GENERAL";"TAB3",#N/A,TRUE,"GENERAL";"TAB4",#N/A,TRUE,"GENERAL";"TAB5",#N/A,TRUE,"GENERAL"}</definedName>
    <definedName name="____h4" localSheetId="16" hidden="1">{"TAB1",#N/A,TRUE,"GENERAL";"TAB2",#N/A,TRUE,"GENERAL";"TAB3",#N/A,TRUE,"GENERAL";"TAB4",#N/A,TRUE,"GENERAL";"TAB5",#N/A,TRUE,"GENERAL"}</definedName>
    <definedName name="____h4" localSheetId="17" hidden="1">{"TAB1",#N/A,TRUE,"GENERAL";"TAB2",#N/A,TRUE,"GENERAL";"TAB3",#N/A,TRUE,"GENERAL";"TAB4",#N/A,TRUE,"GENERAL";"TAB5",#N/A,TRUE,"GENERAL"}</definedName>
    <definedName name="____h4" localSheetId="13" hidden="1">{"TAB1",#N/A,TRUE,"GENERAL";"TAB2",#N/A,TRUE,"GENERAL";"TAB3",#N/A,TRUE,"GENERAL";"TAB4",#N/A,TRUE,"GENERAL";"TAB5",#N/A,TRUE,"GENERAL"}</definedName>
    <definedName name="____h4" localSheetId="15" hidden="1">{"TAB1",#N/A,TRUE,"GENERAL";"TAB2",#N/A,TRUE,"GENERAL";"TAB3",#N/A,TRUE,"GENERAL";"TAB4",#N/A,TRUE,"GENERAL";"TAB5",#N/A,TRUE,"GENERAL"}</definedName>
    <definedName name="____h4" hidden="1">{"TAB1",#N/A,TRUE,"GENERAL";"TAB2",#N/A,TRUE,"GENERAL";"TAB3",#N/A,TRUE,"GENERAL";"TAB4",#N/A,TRUE,"GENERAL";"TAB5",#N/A,TRUE,"GENERAL"}</definedName>
    <definedName name="____h5" localSheetId="14" hidden="1">{"TAB1",#N/A,TRUE,"GENERAL";"TAB2",#N/A,TRUE,"GENERAL";"TAB3",#N/A,TRUE,"GENERAL";"TAB4",#N/A,TRUE,"GENERAL";"TAB5",#N/A,TRUE,"GENERAL"}</definedName>
    <definedName name="____h5" localSheetId="16" hidden="1">{"TAB1",#N/A,TRUE,"GENERAL";"TAB2",#N/A,TRUE,"GENERAL";"TAB3",#N/A,TRUE,"GENERAL";"TAB4",#N/A,TRUE,"GENERAL";"TAB5",#N/A,TRUE,"GENERAL"}</definedName>
    <definedName name="____h5" localSheetId="17" hidden="1">{"TAB1",#N/A,TRUE,"GENERAL";"TAB2",#N/A,TRUE,"GENERAL";"TAB3",#N/A,TRUE,"GENERAL";"TAB4",#N/A,TRUE,"GENERAL";"TAB5",#N/A,TRUE,"GENERAL"}</definedName>
    <definedName name="____h5" localSheetId="13" hidden="1">{"TAB1",#N/A,TRUE,"GENERAL";"TAB2",#N/A,TRUE,"GENERAL";"TAB3",#N/A,TRUE,"GENERAL";"TAB4",#N/A,TRUE,"GENERAL";"TAB5",#N/A,TRUE,"GENERAL"}</definedName>
    <definedName name="____h5" localSheetId="15" hidden="1">{"TAB1",#N/A,TRUE,"GENERAL";"TAB2",#N/A,TRUE,"GENERAL";"TAB3",#N/A,TRUE,"GENERAL";"TAB4",#N/A,TRUE,"GENERAL";"TAB5",#N/A,TRUE,"GENERAL"}</definedName>
    <definedName name="____h5" hidden="1">{"TAB1",#N/A,TRUE,"GENERAL";"TAB2",#N/A,TRUE,"GENERAL";"TAB3",#N/A,TRUE,"GENERAL";"TAB4",#N/A,TRUE,"GENERAL";"TAB5",#N/A,TRUE,"GENERAL"}</definedName>
    <definedName name="____h6" localSheetId="14" hidden="1">{"via1",#N/A,TRUE,"general";"via2",#N/A,TRUE,"general";"via3",#N/A,TRUE,"general"}</definedName>
    <definedName name="____h6" localSheetId="16" hidden="1">{"via1",#N/A,TRUE,"general";"via2",#N/A,TRUE,"general";"via3",#N/A,TRUE,"general"}</definedName>
    <definedName name="____h6" localSheetId="17" hidden="1">{"via1",#N/A,TRUE,"general";"via2",#N/A,TRUE,"general";"via3",#N/A,TRUE,"general"}</definedName>
    <definedName name="____h6" localSheetId="13" hidden="1">{"via1",#N/A,TRUE,"general";"via2",#N/A,TRUE,"general";"via3",#N/A,TRUE,"general"}</definedName>
    <definedName name="____h6" localSheetId="15" hidden="1">{"via1",#N/A,TRUE,"general";"via2",#N/A,TRUE,"general";"via3",#N/A,TRUE,"general"}</definedName>
    <definedName name="____h6" hidden="1">{"via1",#N/A,TRUE,"general";"via2",#N/A,TRUE,"general";"via3",#N/A,TRUE,"general"}</definedName>
    <definedName name="____h7" localSheetId="14" hidden="1">{"TAB1",#N/A,TRUE,"GENERAL";"TAB2",#N/A,TRUE,"GENERAL";"TAB3",#N/A,TRUE,"GENERAL";"TAB4",#N/A,TRUE,"GENERAL";"TAB5",#N/A,TRUE,"GENERAL"}</definedName>
    <definedName name="____h7" localSheetId="16" hidden="1">{"TAB1",#N/A,TRUE,"GENERAL";"TAB2",#N/A,TRUE,"GENERAL";"TAB3",#N/A,TRUE,"GENERAL";"TAB4",#N/A,TRUE,"GENERAL";"TAB5",#N/A,TRUE,"GENERAL"}</definedName>
    <definedName name="____h7" localSheetId="17" hidden="1">{"TAB1",#N/A,TRUE,"GENERAL";"TAB2",#N/A,TRUE,"GENERAL";"TAB3",#N/A,TRUE,"GENERAL";"TAB4",#N/A,TRUE,"GENERAL";"TAB5",#N/A,TRUE,"GENERAL"}</definedName>
    <definedName name="____h7" localSheetId="13" hidden="1">{"TAB1",#N/A,TRUE,"GENERAL";"TAB2",#N/A,TRUE,"GENERAL";"TAB3",#N/A,TRUE,"GENERAL";"TAB4",#N/A,TRUE,"GENERAL";"TAB5",#N/A,TRUE,"GENERAL"}</definedName>
    <definedName name="____h7" localSheetId="15" hidden="1">{"TAB1",#N/A,TRUE,"GENERAL";"TAB2",#N/A,TRUE,"GENERAL";"TAB3",#N/A,TRUE,"GENERAL";"TAB4",#N/A,TRUE,"GENERAL";"TAB5",#N/A,TRUE,"GENERAL"}</definedName>
    <definedName name="____h7" hidden="1">{"TAB1",#N/A,TRUE,"GENERAL";"TAB2",#N/A,TRUE,"GENERAL";"TAB3",#N/A,TRUE,"GENERAL";"TAB4",#N/A,TRUE,"GENERAL";"TAB5",#N/A,TRUE,"GENERAL"}</definedName>
    <definedName name="____h8" localSheetId="14" hidden="1">{"via1",#N/A,TRUE,"general";"via2",#N/A,TRUE,"general";"via3",#N/A,TRUE,"general"}</definedName>
    <definedName name="____h8" localSheetId="16" hidden="1">{"via1",#N/A,TRUE,"general";"via2",#N/A,TRUE,"general";"via3",#N/A,TRUE,"general"}</definedName>
    <definedName name="____h8" localSheetId="17" hidden="1">{"via1",#N/A,TRUE,"general";"via2",#N/A,TRUE,"general";"via3",#N/A,TRUE,"general"}</definedName>
    <definedName name="____h8" localSheetId="13" hidden="1">{"via1",#N/A,TRUE,"general";"via2",#N/A,TRUE,"general";"via3",#N/A,TRUE,"general"}</definedName>
    <definedName name="____h8" localSheetId="15" hidden="1">{"via1",#N/A,TRUE,"general";"via2",#N/A,TRUE,"general";"via3",#N/A,TRUE,"general"}</definedName>
    <definedName name="____h8" hidden="1">{"via1",#N/A,TRUE,"general";"via2",#N/A,TRUE,"general";"via3",#N/A,TRUE,"general"}</definedName>
    <definedName name="____hfh7" localSheetId="14" hidden="1">{"via1",#N/A,TRUE,"general";"via2",#N/A,TRUE,"general";"via3",#N/A,TRUE,"general"}</definedName>
    <definedName name="____hfh7" localSheetId="16" hidden="1">{"via1",#N/A,TRUE,"general";"via2",#N/A,TRUE,"general";"via3",#N/A,TRUE,"general"}</definedName>
    <definedName name="____hfh7" localSheetId="17" hidden="1">{"via1",#N/A,TRUE,"general";"via2",#N/A,TRUE,"general";"via3",#N/A,TRUE,"general"}</definedName>
    <definedName name="____hfh7" localSheetId="13" hidden="1">{"via1",#N/A,TRUE,"general";"via2",#N/A,TRUE,"general";"via3",#N/A,TRUE,"general"}</definedName>
    <definedName name="____hfh7" localSheetId="15" hidden="1">{"via1",#N/A,TRUE,"general";"via2",#N/A,TRUE,"general";"via3",#N/A,TRUE,"general"}</definedName>
    <definedName name="____hfh7" hidden="1">{"via1",#N/A,TRUE,"general";"via2",#N/A,TRUE,"general";"via3",#N/A,TRUE,"general"}</definedName>
    <definedName name="____HUM1">[7]DATBAND!$I$3:$I$469</definedName>
    <definedName name="____HUM2">[7]DATBAND!$J$3:$J$453</definedName>
    <definedName name="____i1">#REF!</definedName>
    <definedName name="____i4" localSheetId="14" hidden="1">{"via1",#N/A,TRUE,"general";"via2",#N/A,TRUE,"general";"via3",#N/A,TRUE,"general"}</definedName>
    <definedName name="____i4" localSheetId="16" hidden="1">{"via1",#N/A,TRUE,"general";"via2",#N/A,TRUE,"general";"via3",#N/A,TRUE,"general"}</definedName>
    <definedName name="____i4" localSheetId="17" hidden="1">{"via1",#N/A,TRUE,"general";"via2",#N/A,TRUE,"general";"via3",#N/A,TRUE,"general"}</definedName>
    <definedName name="____i4" localSheetId="13" hidden="1">{"via1",#N/A,TRUE,"general";"via2",#N/A,TRUE,"general";"via3",#N/A,TRUE,"general"}</definedName>
    <definedName name="____i4" localSheetId="15" hidden="1">{"via1",#N/A,TRUE,"general";"via2",#N/A,TRUE,"general";"via3",#N/A,TRUE,"general"}</definedName>
    <definedName name="____i4" hidden="1">{"via1",#N/A,TRUE,"general";"via2",#N/A,TRUE,"general";"via3",#N/A,TRUE,"general"}</definedName>
    <definedName name="____i5" localSheetId="14" hidden="1">{"TAB1",#N/A,TRUE,"GENERAL";"TAB2",#N/A,TRUE,"GENERAL";"TAB3",#N/A,TRUE,"GENERAL";"TAB4",#N/A,TRUE,"GENERAL";"TAB5",#N/A,TRUE,"GENERAL"}</definedName>
    <definedName name="____i5" localSheetId="16" hidden="1">{"TAB1",#N/A,TRUE,"GENERAL";"TAB2",#N/A,TRUE,"GENERAL";"TAB3",#N/A,TRUE,"GENERAL";"TAB4",#N/A,TRUE,"GENERAL";"TAB5",#N/A,TRUE,"GENERAL"}</definedName>
    <definedName name="____i5" localSheetId="17" hidden="1">{"TAB1",#N/A,TRUE,"GENERAL";"TAB2",#N/A,TRUE,"GENERAL";"TAB3",#N/A,TRUE,"GENERAL";"TAB4",#N/A,TRUE,"GENERAL";"TAB5",#N/A,TRUE,"GENERAL"}</definedName>
    <definedName name="____i5" localSheetId="13" hidden="1">{"TAB1",#N/A,TRUE,"GENERAL";"TAB2",#N/A,TRUE,"GENERAL";"TAB3",#N/A,TRUE,"GENERAL";"TAB4",#N/A,TRUE,"GENERAL";"TAB5",#N/A,TRUE,"GENERAL"}</definedName>
    <definedName name="____i5" localSheetId="15" hidden="1">{"TAB1",#N/A,TRUE,"GENERAL";"TAB2",#N/A,TRUE,"GENERAL";"TAB3",#N/A,TRUE,"GENERAL";"TAB4",#N/A,TRUE,"GENERAL";"TAB5",#N/A,TRUE,"GENERAL"}</definedName>
    <definedName name="____i5" hidden="1">{"TAB1",#N/A,TRUE,"GENERAL";"TAB2",#N/A,TRUE,"GENERAL";"TAB3",#N/A,TRUE,"GENERAL";"TAB4",#N/A,TRUE,"GENERAL";"TAB5",#N/A,TRUE,"GENERAL"}</definedName>
    <definedName name="____i6" localSheetId="14" hidden="1">{"TAB1",#N/A,TRUE,"GENERAL";"TAB2",#N/A,TRUE,"GENERAL";"TAB3",#N/A,TRUE,"GENERAL";"TAB4",#N/A,TRUE,"GENERAL";"TAB5",#N/A,TRUE,"GENERAL"}</definedName>
    <definedName name="____i6" localSheetId="16" hidden="1">{"TAB1",#N/A,TRUE,"GENERAL";"TAB2",#N/A,TRUE,"GENERAL";"TAB3",#N/A,TRUE,"GENERAL";"TAB4",#N/A,TRUE,"GENERAL";"TAB5",#N/A,TRUE,"GENERAL"}</definedName>
    <definedName name="____i6" localSheetId="17" hidden="1">{"TAB1",#N/A,TRUE,"GENERAL";"TAB2",#N/A,TRUE,"GENERAL";"TAB3",#N/A,TRUE,"GENERAL";"TAB4",#N/A,TRUE,"GENERAL";"TAB5",#N/A,TRUE,"GENERAL"}</definedName>
    <definedName name="____i6" localSheetId="13" hidden="1">{"TAB1",#N/A,TRUE,"GENERAL";"TAB2",#N/A,TRUE,"GENERAL";"TAB3",#N/A,TRUE,"GENERAL";"TAB4",#N/A,TRUE,"GENERAL";"TAB5",#N/A,TRUE,"GENERAL"}</definedName>
    <definedName name="____i6" localSheetId="15" hidden="1">{"TAB1",#N/A,TRUE,"GENERAL";"TAB2",#N/A,TRUE,"GENERAL";"TAB3",#N/A,TRUE,"GENERAL";"TAB4",#N/A,TRUE,"GENERAL";"TAB5",#N/A,TRUE,"GENERAL"}</definedName>
    <definedName name="____i6" hidden="1">{"TAB1",#N/A,TRUE,"GENERAL";"TAB2",#N/A,TRUE,"GENERAL";"TAB3",#N/A,TRUE,"GENERAL";"TAB4",#N/A,TRUE,"GENERAL";"TAB5",#N/A,TRUE,"GENERAL"}</definedName>
    <definedName name="____i7" localSheetId="14" hidden="1">{"via1",#N/A,TRUE,"general";"via2",#N/A,TRUE,"general";"via3",#N/A,TRUE,"general"}</definedName>
    <definedName name="____i7" localSheetId="16" hidden="1">{"via1",#N/A,TRUE,"general";"via2",#N/A,TRUE,"general";"via3",#N/A,TRUE,"general"}</definedName>
    <definedName name="____i7" localSheetId="17" hidden="1">{"via1",#N/A,TRUE,"general";"via2",#N/A,TRUE,"general";"via3",#N/A,TRUE,"general"}</definedName>
    <definedName name="____i7" localSheetId="13" hidden="1">{"via1",#N/A,TRUE,"general";"via2",#N/A,TRUE,"general";"via3",#N/A,TRUE,"general"}</definedName>
    <definedName name="____i7" localSheetId="15" hidden="1">{"via1",#N/A,TRUE,"general";"via2",#N/A,TRUE,"general";"via3",#N/A,TRUE,"general"}</definedName>
    <definedName name="____i7" hidden="1">{"via1",#N/A,TRUE,"general";"via2",#N/A,TRUE,"general";"via3",#N/A,TRUE,"general"}</definedName>
    <definedName name="____i77" localSheetId="14" hidden="1">{"TAB1",#N/A,TRUE,"GENERAL";"TAB2",#N/A,TRUE,"GENERAL";"TAB3",#N/A,TRUE,"GENERAL";"TAB4",#N/A,TRUE,"GENERAL";"TAB5",#N/A,TRUE,"GENERAL"}</definedName>
    <definedName name="____i77" localSheetId="16" hidden="1">{"TAB1",#N/A,TRUE,"GENERAL";"TAB2",#N/A,TRUE,"GENERAL";"TAB3",#N/A,TRUE,"GENERAL";"TAB4",#N/A,TRUE,"GENERAL";"TAB5",#N/A,TRUE,"GENERAL"}</definedName>
    <definedName name="____i77" localSheetId="17" hidden="1">{"TAB1",#N/A,TRUE,"GENERAL";"TAB2",#N/A,TRUE,"GENERAL";"TAB3",#N/A,TRUE,"GENERAL";"TAB4",#N/A,TRUE,"GENERAL";"TAB5",#N/A,TRUE,"GENERAL"}</definedName>
    <definedName name="____i77" localSheetId="13" hidden="1">{"TAB1",#N/A,TRUE,"GENERAL";"TAB2",#N/A,TRUE,"GENERAL";"TAB3",#N/A,TRUE,"GENERAL";"TAB4",#N/A,TRUE,"GENERAL";"TAB5",#N/A,TRUE,"GENERAL"}</definedName>
    <definedName name="____i77" localSheetId="15" hidden="1">{"TAB1",#N/A,TRUE,"GENERAL";"TAB2",#N/A,TRUE,"GENERAL";"TAB3",#N/A,TRUE,"GENERAL";"TAB4",#N/A,TRUE,"GENERAL";"TAB5",#N/A,TRUE,"GENERAL"}</definedName>
    <definedName name="____i77" hidden="1">{"TAB1",#N/A,TRUE,"GENERAL";"TAB2",#N/A,TRUE,"GENERAL";"TAB3",#N/A,TRUE,"GENERAL";"TAB4",#N/A,TRUE,"GENERAL";"TAB5",#N/A,TRUE,"GENERAL"}</definedName>
    <definedName name="____i8" localSheetId="14" hidden="1">{"via1",#N/A,TRUE,"general";"via2",#N/A,TRUE,"general";"via3",#N/A,TRUE,"general"}</definedName>
    <definedName name="____i8" localSheetId="16" hidden="1">{"via1",#N/A,TRUE,"general";"via2",#N/A,TRUE,"general";"via3",#N/A,TRUE,"general"}</definedName>
    <definedName name="____i8" localSheetId="17" hidden="1">{"via1",#N/A,TRUE,"general";"via2",#N/A,TRUE,"general";"via3",#N/A,TRUE,"general"}</definedName>
    <definedName name="____i8" localSheetId="13" hidden="1">{"via1",#N/A,TRUE,"general";"via2",#N/A,TRUE,"general";"via3",#N/A,TRUE,"general"}</definedName>
    <definedName name="____i8" localSheetId="15" hidden="1">{"via1",#N/A,TRUE,"general";"via2",#N/A,TRUE,"general";"via3",#N/A,TRUE,"general"}</definedName>
    <definedName name="____i8" hidden="1">{"via1",#N/A,TRUE,"general";"via2",#N/A,TRUE,"general";"via3",#N/A,TRUE,"general"}</definedName>
    <definedName name="____i9" localSheetId="14" hidden="1">{"TAB1",#N/A,TRUE,"GENERAL";"TAB2",#N/A,TRUE,"GENERAL";"TAB3",#N/A,TRUE,"GENERAL";"TAB4",#N/A,TRUE,"GENERAL";"TAB5",#N/A,TRUE,"GENERAL"}</definedName>
    <definedName name="____i9" localSheetId="16" hidden="1">{"TAB1",#N/A,TRUE,"GENERAL";"TAB2",#N/A,TRUE,"GENERAL";"TAB3",#N/A,TRUE,"GENERAL";"TAB4",#N/A,TRUE,"GENERAL";"TAB5",#N/A,TRUE,"GENERAL"}</definedName>
    <definedName name="____i9" localSheetId="17" hidden="1">{"TAB1",#N/A,TRUE,"GENERAL";"TAB2",#N/A,TRUE,"GENERAL";"TAB3",#N/A,TRUE,"GENERAL";"TAB4",#N/A,TRUE,"GENERAL";"TAB5",#N/A,TRUE,"GENERAL"}</definedName>
    <definedName name="____i9" localSheetId="13" hidden="1">{"TAB1",#N/A,TRUE,"GENERAL";"TAB2",#N/A,TRUE,"GENERAL";"TAB3",#N/A,TRUE,"GENERAL";"TAB4",#N/A,TRUE,"GENERAL";"TAB5",#N/A,TRUE,"GENERAL"}</definedName>
    <definedName name="____i9" localSheetId="15" hidden="1">{"TAB1",#N/A,TRUE,"GENERAL";"TAB2",#N/A,TRUE,"GENERAL";"TAB3",#N/A,TRUE,"GENERAL";"TAB4",#N/A,TRUE,"GENERAL";"TAB5",#N/A,TRUE,"GENERAL"}</definedName>
    <definedName name="____i9" hidden="1">{"TAB1",#N/A,TRUE,"GENERAL";"TAB2",#N/A,TRUE,"GENERAL";"TAB3",#N/A,TRUE,"GENERAL";"TAB4",#N/A,TRUE,"GENERAL";"TAB5",#N/A,TRUE,"GENERAL"}</definedName>
    <definedName name="____INF1">#REF!</definedName>
    <definedName name="____ITM4">#REF!</definedName>
    <definedName name="____k3" localSheetId="14" hidden="1">{"TAB1",#N/A,TRUE,"GENERAL";"TAB2",#N/A,TRUE,"GENERAL";"TAB3",#N/A,TRUE,"GENERAL";"TAB4",#N/A,TRUE,"GENERAL";"TAB5",#N/A,TRUE,"GENERAL"}</definedName>
    <definedName name="____k3" localSheetId="16" hidden="1">{"TAB1",#N/A,TRUE,"GENERAL";"TAB2",#N/A,TRUE,"GENERAL";"TAB3",#N/A,TRUE,"GENERAL";"TAB4",#N/A,TRUE,"GENERAL";"TAB5",#N/A,TRUE,"GENERAL"}</definedName>
    <definedName name="____k3" localSheetId="17" hidden="1">{"TAB1",#N/A,TRUE,"GENERAL";"TAB2",#N/A,TRUE,"GENERAL";"TAB3",#N/A,TRUE,"GENERAL";"TAB4",#N/A,TRUE,"GENERAL";"TAB5",#N/A,TRUE,"GENERAL"}</definedName>
    <definedName name="____k3" localSheetId="13" hidden="1">{"TAB1",#N/A,TRUE,"GENERAL";"TAB2",#N/A,TRUE,"GENERAL";"TAB3",#N/A,TRUE,"GENERAL";"TAB4",#N/A,TRUE,"GENERAL";"TAB5",#N/A,TRUE,"GENERAL"}</definedName>
    <definedName name="____k3" localSheetId="15" hidden="1">{"TAB1",#N/A,TRUE,"GENERAL";"TAB2",#N/A,TRUE,"GENERAL";"TAB3",#N/A,TRUE,"GENERAL";"TAB4",#N/A,TRUE,"GENERAL";"TAB5",#N/A,TRUE,"GENERAL"}</definedName>
    <definedName name="____k3" hidden="1">{"TAB1",#N/A,TRUE,"GENERAL";"TAB2",#N/A,TRUE,"GENERAL";"TAB3",#N/A,TRUE,"GENERAL";"TAB4",#N/A,TRUE,"GENERAL";"TAB5",#N/A,TRUE,"GENERAL"}</definedName>
    <definedName name="____k4" localSheetId="14" hidden="1">{"via1",#N/A,TRUE,"general";"via2",#N/A,TRUE,"general";"via3",#N/A,TRUE,"general"}</definedName>
    <definedName name="____k4" localSheetId="16" hidden="1">{"via1",#N/A,TRUE,"general";"via2",#N/A,TRUE,"general";"via3",#N/A,TRUE,"general"}</definedName>
    <definedName name="____k4" localSheetId="17" hidden="1">{"via1",#N/A,TRUE,"general";"via2",#N/A,TRUE,"general";"via3",#N/A,TRUE,"general"}</definedName>
    <definedName name="____k4" localSheetId="13" hidden="1">{"via1",#N/A,TRUE,"general";"via2",#N/A,TRUE,"general";"via3",#N/A,TRUE,"general"}</definedName>
    <definedName name="____k4" localSheetId="15" hidden="1">{"via1",#N/A,TRUE,"general";"via2",#N/A,TRUE,"general";"via3",#N/A,TRUE,"general"}</definedName>
    <definedName name="____k4" hidden="1">{"via1",#N/A,TRUE,"general";"via2",#N/A,TRUE,"general";"via3",#N/A,TRUE,"general"}</definedName>
    <definedName name="____k5" localSheetId="14" hidden="1">{"via1",#N/A,TRUE,"general";"via2",#N/A,TRUE,"general";"via3",#N/A,TRUE,"general"}</definedName>
    <definedName name="____k5" localSheetId="16" hidden="1">{"via1",#N/A,TRUE,"general";"via2",#N/A,TRUE,"general";"via3",#N/A,TRUE,"general"}</definedName>
    <definedName name="____k5" localSheetId="17" hidden="1">{"via1",#N/A,TRUE,"general";"via2",#N/A,TRUE,"general";"via3",#N/A,TRUE,"general"}</definedName>
    <definedName name="____k5" localSheetId="13" hidden="1">{"via1",#N/A,TRUE,"general";"via2",#N/A,TRUE,"general";"via3",#N/A,TRUE,"general"}</definedName>
    <definedName name="____k5" localSheetId="15" hidden="1">{"via1",#N/A,TRUE,"general";"via2",#N/A,TRUE,"general";"via3",#N/A,TRUE,"general"}</definedName>
    <definedName name="____k5" hidden="1">{"via1",#N/A,TRUE,"general";"via2",#N/A,TRUE,"general";"via3",#N/A,TRUE,"general"}</definedName>
    <definedName name="____k6" localSheetId="14" hidden="1">{"TAB1",#N/A,TRUE,"GENERAL";"TAB2",#N/A,TRUE,"GENERAL";"TAB3",#N/A,TRUE,"GENERAL";"TAB4",#N/A,TRUE,"GENERAL";"TAB5",#N/A,TRUE,"GENERAL"}</definedName>
    <definedName name="____k6" localSheetId="16" hidden="1">{"TAB1",#N/A,TRUE,"GENERAL";"TAB2",#N/A,TRUE,"GENERAL";"TAB3",#N/A,TRUE,"GENERAL";"TAB4",#N/A,TRUE,"GENERAL";"TAB5",#N/A,TRUE,"GENERAL"}</definedName>
    <definedName name="____k6" localSheetId="17" hidden="1">{"TAB1",#N/A,TRUE,"GENERAL";"TAB2",#N/A,TRUE,"GENERAL";"TAB3",#N/A,TRUE,"GENERAL";"TAB4",#N/A,TRUE,"GENERAL";"TAB5",#N/A,TRUE,"GENERAL"}</definedName>
    <definedName name="____k6" localSheetId="13" hidden="1">{"TAB1",#N/A,TRUE,"GENERAL";"TAB2",#N/A,TRUE,"GENERAL";"TAB3",#N/A,TRUE,"GENERAL";"TAB4",#N/A,TRUE,"GENERAL";"TAB5",#N/A,TRUE,"GENERAL"}</definedName>
    <definedName name="____k6" localSheetId="15" hidden="1">{"TAB1",#N/A,TRUE,"GENERAL";"TAB2",#N/A,TRUE,"GENERAL";"TAB3",#N/A,TRUE,"GENERAL";"TAB4",#N/A,TRUE,"GENERAL";"TAB5",#N/A,TRUE,"GENERAL"}</definedName>
    <definedName name="____k6" hidden="1">{"TAB1",#N/A,TRUE,"GENERAL";"TAB2",#N/A,TRUE,"GENERAL";"TAB3",#N/A,TRUE,"GENERAL";"TAB4",#N/A,TRUE,"GENERAL";"TAB5",#N/A,TRUE,"GENERAL"}</definedName>
    <definedName name="____k7" localSheetId="14" hidden="1">{"via1",#N/A,TRUE,"general";"via2",#N/A,TRUE,"general";"via3",#N/A,TRUE,"general"}</definedName>
    <definedName name="____k7" localSheetId="16" hidden="1">{"via1",#N/A,TRUE,"general";"via2",#N/A,TRUE,"general";"via3",#N/A,TRUE,"general"}</definedName>
    <definedName name="____k7" localSheetId="17" hidden="1">{"via1",#N/A,TRUE,"general";"via2",#N/A,TRUE,"general";"via3",#N/A,TRUE,"general"}</definedName>
    <definedName name="____k7" localSheetId="13" hidden="1">{"via1",#N/A,TRUE,"general";"via2",#N/A,TRUE,"general";"via3",#N/A,TRUE,"general"}</definedName>
    <definedName name="____k7" localSheetId="15" hidden="1">{"via1",#N/A,TRUE,"general";"via2",#N/A,TRUE,"general";"via3",#N/A,TRUE,"general"}</definedName>
    <definedName name="____k7" hidden="1">{"via1",#N/A,TRUE,"general";"via2",#N/A,TRUE,"general";"via3",#N/A,TRUE,"general"}</definedName>
    <definedName name="____k8" localSheetId="14" hidden="1">{"via1",#N/A,TRUE,"general";"via2",#N/A,TRUE,"general";"via3",#N/A,TRUE,"general"}</definedName>
    <definedName name="____k8" localSheetId="16" hidden="1">{"via1",#N/A,TRUE,"general";"via2",#N/A,TRUE,"general";"via3",#N/A,TRUE,"general"}</definedName>
    <definedName name="____k8" localSheetId="17" hidden="1">{"via1",#N/A,TRUE,"general";"via2",#N/A,TRUE,"general";"via3",#N/A,TRUE,"general"}</definedName>
    <definedName name="____k8" localSheetId="13" hidden="1">{"via1",#N/A,TRUE,"general";"via2",#N/A,TRUE,"general";"via3",#N/A,TRUE,"general"}</definedName>
    <definedName name="____k8" localSheetId="15" hidden="1">{"via1",#N/A,TRUE,"general";"via2",#N/A,TRUE,"general";"via3",#N/A,TRUE,"general"}</definedName>
    <definedName name="____k8" hidden="1">{"via1",#N/A,TRUE,"general";"via2",#N/A,TRUE,"general";"via3",#N/A,TRUE,"general"}</definedName>
    <definedName name="____k9" localSheetId="14" hidden="1">{"TAB1",#N/A,TRUE,"GENERAL";"TAB2",#N/A,TRUE,"GENERAL";"TAB3",#N/A,TRUE,"GENERAL";"TAB4",#N/A,TRUE,"GENERAL";"TAB5",#N/A,TRUE,"GENERAL"}</definedName>
    <definedName name="____k9" localSheetId="16" hidden="1">{"TAB1",#N/A,TRUE,"GENERAL";"TAB2",#N/A,TRUE,"GENERAL";"TAB3",#N/A,TRUE,"GENERAL";"TAB4",#N/A,TRUE,"GENERAL";"TAB5",#N/A,TRUE,"GENERAL"}</definedName>
    <definedName name="____k9" localSheetId="17" hidden="1">{"TAB1",#N/A,TRUE,"GENERAL";"TAB2",#N/A,TRUE,"GENERAL";"TAB3",#N/A,TRUE,"GENERAL";"TAB4",#N/A,TRUE,"GENERAL";"TAB5",#N/A,TRUE,"GENERAL"}</definedName>
    <definedName name="____k9" localSheetId="13" hidden="1">{"TAB1",#N/A,TRUE,"GENERAL";"TAB2",#N/A,TRUE,"GENERAL";"TAB3",#N/A,TRUE,"GENERAL";"TAB4",#N/A,TRUE,"GENERAL";"TAB5",#N/A,TRUE,"GENERAL"}</definedName>
    <definedName name="____k9" localSheetId="15" hidden="1">{"TAB1",#N/A,TRUE,"GENERAL";"TAB2",#N/A,TRUE,"GENERAL";"TAB3",#N/A,TRUE,"GENERAL";"TAB4",#N/A,TRUE,"GENERAL";"TAB5",#N/A,TRUE,"GENERAL"}</definedName>
    <definedName name="____k9" hidden="1">{"TAB1",#N/A,TRUE,"GENERAL";"TAB2",#N/A,TRUE,"GENERAL";"TAB3",#N/A,TRUE,"GENERAL";"TAB4",#N/A,TRUE,"GENERAL";"TAB5",#N/A,TRUE,"GENERAL"}</definedName>
    <definedName name="____kjk6" localSheetId="14" hidden="1">{"TAB1",#N/A,TRUE,"GENERAL";"TAB2",#N/A,TRUE,"GENERAL";"TAB3",#N/A,TRUE,"GENERAL";"TAB4",#N/A,TRUE,"GENERAL";"TAB5",#N/A,TRUE,"GENERAL"}</definedName>
    <definedName name="____kjk6" localSheetId="16" hidden="1">{"TAB1",#N/A,TRUE,"GENERAL";"TAB2",#N/A,TRUE,"GENERAL";"TAB3",#N/A,TRUE,"GENERAL";"TAB4",#N/A,TRUE,"GENERAL";"TAB5",#N/A,TRUE,"GENERAL"}</definedName>
    <definedName name="____kjk6" localSheetId="17" hidden="1">{"TAB1",#N/A,TRUE,"GENERAL";"TAB2",#N/A,TRUE,"GENERAL";"TAB3",#N/A,TRUE,"GENERAL";"TAB4",#N/A,TRUE,"GENERAL";"TAB5",#N/A,TRUE,"GENERAL"}</definedName>
    <definedName name="____kjk6" localSheetId="13" hidden="1">{"TAB1",#N/A,TRUE,"GENERAL";"TAB2",#N/A,TRUE,"GENERAL";"TAB3",#N/A,TRUE,"GENERAL";"TAB4",#N/A,TRUE,"GENERAL";"TAB5",#N/A,TRUE,"GENERAL"}</definedName>
    <definedName name="____kjk6" localSheetId="15" hidden="1">{"TAB1",#N/A,TRUE,"GENERAL";"TAB2",#N/A,TRUE,"GENERAL";"TAB3",#N/A,TRUE,"GENERAL";"TAB4",#N/A,TRUE,"GENERAL";"TAB5",#N/A,TRUE,"GENERAL"}</definedName>
    <definedName name="____kjk6" hidden="1">{"TAB1",#N/A,TRUE,"GENERAL";"TAB2",#N/A,TRUE,"GENERAL";"TAB3",#N/A,TRUE,"GENERAL";"TAB4",#N/A,TRUE,"GENERAL";"TAB5",#N/A,TRUE,"GENERAL"}</definedName>
    <definedName name="____LA124" localSheetId="3">#REF!</definedName>
    <definedName name="____LA124" localSheetId="30">#REF!</definedName>
    <definedName name="____LA124" localSheetId="31">#REF!</definedName>
    <definedName name="____LA124" localSheetId="29">#REF!</definedName>
    <definedName name="____LA124">#REF!</definedName>
    <definedName name="____LAC18" localSheetId="3">#REF!</definedName>
    <definedName name="____LAC18" localSheetId="30">#REF!</definedName>
    <definedName name="____LAC18" localSheetId="31">#REF!</definedName>
    <definedName name="____LAC18" localSheetId="29">#REF!</definedName>
    <definedName name="____LAC18">#REF!</definedName>
    <definedName name="____m3" localSheetId="14" hidden="1">{"via1",#N/A,TRUE,"general";"via2",#N/A,TRUE,"general";"via3",#N/A,TRUE,"general"}</definedName>
    <definedName name="____m3" localSheetId="16" hidden="1">{"via1",#N/A,TRUE,"general";"via2",#N/A,TRUE,"general";"via3",#N/A,TRUE,"general"}</definedName>
    <definedName name="____m3" localSheetId="17" hidden="1">{"via1",#N/A,TRUE,"general";"via2",#N/A,TRUE,"general";"via3",#N/A,TRUE,"general"}</definedName>
    <definedName name="____m3" localSheetId="13" hidden="1">{"via1",#N/A,TRUE,"general";"via2",#N/A,TRUE,"general";"via3",#N/A,TRUE,"general"}</definedName>
    <definedName name="____m3" localSheetId="15" hidden="1">{"via1",#N/A,TRUE,"general";"via2",#N/A,TRUE,"general";"via3",#N/A,TRUE,"general"}</definedName>
    <definedName name="____m3" hidden="1">{"via1",#N/A,TRUE,"general";"via2",#N/A,TRUE,"general";"via3",#N/A,TRUE,"general"}</definedName>
    <definedName name="____m4" localSheetId="14" hidden="1">{"TAB1",#N/A,TRUE,"GENERAL";"TAB2",#N/A,TRUE,"GENERAL";"TAB3",#N/A,TRUE,"GENERAL";"TAB4",#N/A,TRUE,"GENERAL";"TAB5",#N/A,TRUE,"GENERAL"}</definedName>
    <definedName name="____m4" localSheetId="16" hidden="1">{"TAB1",#N/A,TRUE,"GENERAL";"TAB2",#N/A,TRUE,"GENERAL";"TAB3",#N/A,TRUE,"GENERAL";"TAB4",#N/A,TRUE,"GENERAL";"TAB5",#N/A,TRUE,"GENERAL"}</definedName>
    <definedName name="____m4" localSheetId="17" hidden="1">{"TAB1",#N/A,TRUE,"GENERAL";"TAB2",#N/A,TRUE,"GENERAL";"TAB3",#N/A,TRUE,"GENERAL";"TAB4",#N/A,TRUE,"GENERAL";"TAB5",#N/A,TRUE,"GENERAL"}</definedName>
    <definedName name="____m4" localSheetId="13" hidden="1">{"TAB1",#N/A,TRUE,"GENERAL";"TAB2",#N/A,TRUE,"GENERAL";"TAB3",#N/A,TRUE,"GENERAL";"TAB4",#N/A,TRUE,"GENERAL";"TAB5",#N/A,TRUE,"GENERAL"}</definedName>
    <definedName name="____m4" localSheetId="15" hidden="1">{"TAB1",#N/A,TRUE,"GENERAL";"TAB2",#N/A,TRUE,"GENERAL";"TAB3",#N/A,TRUE,"GENERAL";"TAB4",#N/A,TRUE,"GENERAL";"TAB5",#N/A,TRUE,"GENERAL"}</definedName>
    <definedName name="____m4" hidden="1">{"TAB1",#N/A,TRUE,"GENERAL";"TAB2",#N/A,TRUE,"GENERAL";"TAB3",#N/A,TRUE,"GENERAL";"TAB4",#N/A,TRUE,"GENERAL";"TAB5",#N/A,TRUE,"GENERAL"}</definedName>
    <definedName name="____m5" localSheetId="14" hidden="1">{"via1",#N/A,TRUE,"general";"via2",#N/A,TRUE,"general";"via3",#N/A,TRUE,"general"}</definedName>
    <definedName name="____m5" localSheetId="16" hidden="1">{"via1",#N/A,TRUE,"general";"via2",#N/A,TRUE,"general";"via3",#N/A,TRUE,"general"}</definedName>
    <definedName name="____m5" localSheetId="17" hidden="1">{"via1",#N/A,TRUE,"general";"via2",#N/A,TRUE,"general";"via3",#N/A,TRUE,"general"}</definedName>
    <definedName name="____m5" localSheetId="13" hidden="1">{"via1",#N/A,TRUE,"general";"via2",#N/A,TRUE,"general";"via3",#N/A,TRUE,"general"}</definedName>
    <definedName name="____m5" localSheetId="15" hidden="1">{"via1",#N/A,TRUE,"general";"via2",#N/A,TRUE,"general";"via3",#N/A,TRUE,"general"}</definedName>
    <definedName name="____m5" hidden="1">{"via1",#N/A,TRUE,"general";"via2",#N/A,TRUE,"general";"via3",#N/A,TRUE,"general"}</definedName>
    <definedName name="____m6" localSheetId="14" hidden="1">{"TAB1",#N/A,TRUE,"GENERAL";"TAB2",#N/A,TRUE,"GENERAL";"TAB3",#N/A,TRUE,"GENERAL";"TAB4",#N/A,TRUE,"GENERAL";"TAB5",#N/A,TRUE,"GENERAL"}</definedName>
    <definedName name="____m6" localSheetId="16" hidden="1">{"TAB1",#N/A,TRUE,"GENERAL";"TAB2",#N/A,TRUE,"GENERAL";"TAB3",#N/A,TRUE,"GENERAL";"TAB4",#N/A,TRUE,"GENERAL";"TAB5",#N/A,TRUE,"GENERAL"}</definedName>
    <definedName name="____m6" localSheetId="17" hidden="1">{"TAB1",#N/A,TRUE,"GENERAL";"TAB2",#N/A,TRUE,"GENERAL";"TAB3",#N/A,TRUE,"GENERAL";"TAB4",#N/A,TRUE,"GENERAL";"TAB5",#N/A,TRUE,"GENERAL"}</definedName>
    <definedName name="____m6" localSheetId="13" hidden="1">{"TAB1",#N/A,TRUE,"GENERAL";"TAB2",#N/A,TRUE,"GENERAL";"TAB3",#N/A,TRUE,"GENERAL";"TAB4",#N/A,TRUE,"GENERAL";"TAB5",#N/A,TRUE,"GENERAL"}</definedName>
    <definedName name="____m6" localSheetId="15" hidden="1">{"TAB1",#N/A,TRUE,"GENERAL";"TAB2",#N/A,TRUE,"GENERAL";"TAB3",#N/A,TRUE,"GENERAL";"TAB4",#N/A,TRUE,"GENERAL";"TAB5",#N/A,TRUE,"GENERAL"}</definedName>
    <definedName name="____m6" hidden="1">{"TAB1",#N/A,TRUE,"GENERAL";"TAB2",#N/A,TRUE,"GENERAL";"TAB3",#N/A,TRUE,"GENERAL";"TAB4",#N/A,TRUE,"GENERAL";"TAB5",#N/A,TRUE,"GENERAL"}</definedName>
    <definedName name="____m7" localSheetId="14" hidden="1">{"TAB1",#N/A,TRUE,"GENERAL";"TAB2",#N/A,TRUE,"GENERAL";"TAB3",#N/A,TRUE,"GENERAL";"TAB4",#N/A,TRUE,"GENERAL";"TAB5",#N/A,TRUE,"GENERAL"}</definedName>
    <definedName name="____m7" localSheetId="16" hidden="1">{"TAB1",#N/A,TRUE,"GENERAL";"TAB2",#N/A,TRUE,"GENERAL";"TAB3",#N/A,TRUE,"GENERAL";"TAB4",#N/A,TRUE,"GENERAL";"TAB5",#N/A,TRUE,"GENERAL"}</definedName>
    <definedName name="____m7" localSheetId="17" hidden="1">{"TAB1",#N/A,TRUE,"GENERAL";"TAB2",#N/A,TRUE,"GENERAL";"TAB3",#N/A,TRUE,"GENERAL";"TAB4",#N/A,TRUE,"GENERAL";"TAB5",#N/A,TRUE,"GENERAL"}</definedName>
    <definedName name="____m7" localSheetId="13" hidden="1">{"TAB1",#N/A,TRUE,"GENERAL";"TAB2",#N/A,TRUE,"GENERAL";"TAB3",#N/A,TRUE,"GENERAL";"TAB4",#N/A,TRUE,"GENERAL";"TAB5",#N/A,TRUE,"GENERAL"}</definedName>
    <definedName name="____m7" localSheetId="15" hidden="1">{"TAB1",#N/A,TRUE,"GENERAL";"TAB2",#N/A,TRUE,"GENERAL";"TAB3",#N/A,TRUE,"GENERAL";"TAB4",#N/A,TRUE,"GENERAL";"TAB5",#N/A,TRUE,"GENERAL"}</definedName>
    <definedName name="____m7" hidden="1">{"TAB1",#N/A,TRUE,"GENERAL";"TAB2",#N/A,TRUE,"GENERAL";"TAB3",#N/A,TRUE,"GENERAL";"TAB4",#N/A,TRUE,"GENERAL";"TAB5",#N/A,TRUE,"GENERAL"}</definedName>
    <definedName name="____m8" localSheetId="14" hidden="1">{"via1",#N/A,TRUE,"general";"via2",#N/A,TRUE,"general";"via3",#N/A,TRUE,"general"}</definedName>
    <definedName name="____m8" localSheetId="16" hidden="1">{"via1",#N/A,TRUE,"general";"via2",#N/A,TRUE,"general";"via3",#N/A,TRUE,"general"}</definedName>
    <definedName name="____m8" localSheetId="17" hidden="1">{"via1",#N/A,TRUE,"general";"via2",#N/A,TRUE,"general";"via3",#N/A,TRUE,"general"}</definedName>
    <definedName name="____m8" localSheetId="13" hidden="1">{"via1",#N/A,TRUE,"general";"via2",#N/A,TRUE,"general";"via3",#N/A,TRUE,"general"}</definedName>
    <definedName name="____m8" localSheetId="15" hidden="1">{"via1",#N/A,TRUE,"general";"via2",#N/A,TRUE,"general";"via3",#N/A,TRUE,"general"}</definedName>
    <definedName name="____m8" hidden="1">{"via1",#N/A,TRUE,"general";"via2",#N/A,TRUE,"general";"via3",#N/A,TRUE,"general"}</definedName>
    <definedName name="____m9" localSheetId="14" hidden="1">{"via1",#N/A,TRUE,"general";"via2",#N/A,TRUE,"general";"via3",#N/A,TRUE,"general"}</definedName>
    <definedName name="____m9" localSheetId="16" hidden="1">{"via1",#N/A,TRUE,"general";"via2",#N/A,TRUE,"general";"via3",#N/A,TRUE,"general"}</definedName>
    <definedName name="____m9" localSheetId="17" hidden="1">{"via1",#N/A,TRUE,"general";"via2",#N/A,TRUE,"general";"via3",#N/A,TRUE,"general"}</definedName>
    <definedName name="____m9" localSheetId="13" hidden="1">{"via1",#N/A,TRUE,"general";"via2",#N/A,TRUE,"general";"via3",#N/A,TRUE,"general"}</definedName>
    <definedName name="____m9" localSheetId="15" hidden="1">{"via1",#N/A,TRUE,"general";"via2",#N/A,TRUE,"general";"via3",#N/A,TRUE,"general"}</definedName>
    <definedName name="____m9" hidden="1">{"via1",#N/A,TRUE,"general";"via2",#N/A,TRUE,"general";"via3",#N/A,TRUE,"general"}</definedName>
    <definedName name="____MA2">#REF!</definedName>
    <definedName name="____mes1">[5]COSTOS!$E$5</definedName>
    <definedName name="____Mes2">[5]COSTOS!$F$5</definedName>
    <definedName name="____Mes3">[5]COSTOS!$G$5</definedName>
    <definedName name="____n3" localSheetId="14" hidden="1">{"TAB1",#N/A,TRUE,"GENERAL";"TAB2",#N/A,TRUE,"GENERAL";"TAB3",#N/A,TRUE,"GENERAL";"TAB4",#N/A,TRUE,"GENERAL";"TAB5",#N/A,TRUE,"GENERAL"}</definedName>
    <definedName name="____n3" localSheetId="16" hidden="1">{"TAB1",#N/A,TRUE,"GENERAL";"TAB2",#N/A,TRUE,"GENERAL";"TAB3",#N/A,TRUE,"GENERAL";"TAB4",#N/A,TRUE,"GENERAL";"TAB5",#N/A,TRUE,"GENERAL"}</definedName>
    <definedName name="____n3" localSheetId="17" hidden="1">{"TAB1",#N/A,TRUE,"GENERAL";"TAB2",#N/A,TRUE,"GENERAL";"TAB3",#N/A,TRUE,"GENERAL";"TAB4",#N/A,TRUE,"GENERAL";"TAB5",#N/A,TRUE,"GENERAL"}</definedName>
    <definedName name="____n3" localSheetId="13" hidden="1">{"TAB1",#N/A,TRUE,"GENERAL";"TAB2",#N/A,TRUE,"GENERAL";"TAB3",#N/A,TRUE,"GENERAL";"TAB4",#N/A,TRUE,"GENERAL";"TAB5",#N/A,TRUE,"GENERAL"}</definedName>
    <definedName name="____n3" localSheetId="15" hidden="1">{"TAB1",#N/A,TRUE,"GENERAL";"TAB2",#N/A,TRUE,"GENERAL";"TAB3",#N/A,TRUE,"GENERAL";"TAB4",#N/A,TRUE,"GENERAL";"TAB5",#N/A,TRUE,"GENERAL"}</definedName>
    <definedName name="____n3" hidden="1">{"TAB1",#N/A,TRUE,"GENERAL";"TAB2",#N/A,TRUE,"GENERAL";"TAB3",#N/A,TRUE,"GENERAL";"TAB4",#N/A,TRUE,"GENERAL";"TAB5",#N/A,TRUE,"GENERAL"}</definedName>
    <definedName name="____n4" localSheetId="14" hidden="1">{"via1",#N/A,TRUE,"general";"via2",#N/A,TRUE,"general";"via3",#N/A,TRUE,"general"}</definedName>
    <definedName name="____n4" localSheetId="16" hidden="1">{"via1",#N/A,TRUE,"general";"via2",#N/A,TRUE,"general";"via3",#N/A,TRUE,"general"}</definedName>
    <definedName name="____n4" localSheetId="17" hidden="1">{"via1",#N/A,TRUE,"general";"via2",#N/A,TRUE,"general";"via3",#N/A,TRUE,"general"}</definedName>
    <definedName name="____n4" localSheetId="13" hidden="1">{"via1",#N/A,TRUE,"general";"via2",#N/A,TRUE,"general";"via3",#N/A,TRUE,"general"}</definedName>
    <definedName name="____n4" localSheetId="15" hidden="1">{"via1",#N/A,TRUE,"general";"via2",#N/A,TRUE,"general";"via3",#N/A,TRUE,"general"}</definedName>
    <definedName name="____n4" hidden="1">{"via1",#N/A,TRUE,"general";"via2",#N/A,TRUE,"general";"via3",#N/A,TRUE,"general"}</definedName>
    <definedName name="____n5" localSheetId="14" hidden="1">{"TAB1",#N/A,TRUE,"GENERAL";"TAB2",#N/A,TRUE,"GENERAL";"TAB3",#N/A,TRUE,"GENERAL";"TAB4",#N/A,TRUE,"GENERAL";"TAB5",#N/A,TRUE,"GENERAL"}</definedName>
    <definedName name="____n5" localSheetId="16" hidden="1">{"TAB1",#N/A,TRUE,"GENERAL";"TAB2",#N/A,TRUE,"GENERAL";"TAB3",#N/A,TRUE,"GENERAL";"TAB4",#N/A,TRUE,"GENERAL";"TAB5",#N/A,TRUE,"GENERAL"}</definedName>
    <definedName name="____n5" localSheetId="17" hidden="1">{"TAB1",#N/A,TRUE,"GENERAL";"TAB2",#N/A,TRUE,"GENERAL";"TAB3",#N/A,TRUE,"GENERAL";"TAB4",#N/A,TRUE,"GENERAL";"TAB5",#N/A,TRUE,"GENERAL"}</definedName>
    <definedName name="____n5" localSheetId="13" hidden="1">{"TAB1",#N/A,TRUE,"GENERAL";"TAB2",#N/A,TRUE,"GENERAL";"TAB3",#N/A,TRUE,"GENERAL";"TAB4",#N/A,TRUE,"GENERAL";"TAB5",#N/A,TRUE,"GENERAL"}</definedName>
    <definedName name="____n5" localSheetId="15" hidden="1">{"TAB1",#N/A,TRUE,"GENERAL";"TAB2",#N/A,TRUE,"GENERAL";"TAB3",#N/A,TRUE,"GENERAL";"TAB4",#N/A,TRUE,"GENERAL";"TAB5",#N/A,TRUE,"GENERAL"}</definedName>
    <definedName name="____n5" hidden="1">{"TAB1",#N/A,TRUE,"GENERAL";"TAB2",#N/A,TRUE,"GENERAL";"TAB3",#N/A,TRUE,"GENERAL";"TAB4",#N/A,TRUE,"GENERAL";"TAB5",#N/A,TRUE,"GENERAL"}</definedName>
    <definedName name="____nyn7" localSheetId="14" hidden="1">{"via1",#N/A,TRUE,"general";"via2",#N/A,TRUE,"general";"via3",#N/A,TRUE,"general"}</definedName>
    <definedName name="____nyn7" localSheetId="16" hidden="1">{"via1",#N/A,TRUE,"general";"via2",#N/A,TRUE,"general";"via3",#N/A,TRUE,"general"}</definedName>
    <definedName name="____nyn7" localSheetId="17" hidden="1">{"via1",#N/A,TRUE,"general";"via2",#N/A,TRUE,"general";"via3",#N/A,TRUE,"general"}</definedName>
    <definedName name="____nyn7" localSheetId="13" hidden="1">{"via1",#N/A,TRUE,"general";"via2",#N/A,TRUE,"general";"via3",#N/A,TRUE,"general"}</definedName>
    <definedName name="____nyn7" localSheetId="15" hidden="1">{"via1",#N/A,TRUE,"general";"via2",#N/A,TRUE,"general";"via3",#N/A,TRUE,"general"}</definedName>
    <definedName name="____nyn7" hidden="1">{"via1",#N/A,TRUE,"general";"via2",#N/A,TRUE,"general";"via3",#N/A,TRUE,"general"}</definedName>
    <definedName name="____o4" localSheetId="14" hidden="1">{"via1",#N/A,TRUE,"general";"via2",#N/A,TRUE,"general";"via3",#N/A,TRUE,"general"}</definedName>
    <definedName name="____o4" localSheetId="16" hidden="1">{"via1",#N/A,TRUE,"general";"via2",#N/A,TRUE,"general";"via3",#N/A,TRUE,"general"}</definedName>
    <definedName name="____o4" localSheetId="17" hidden="1">{"via1",#N/A,TRUE,"general";"via2",#N/A,TRUE,"general";"via3",#N/A,TRUE,"general"}</definedName>
    <definedName name="____o4" localSheetId="13" hidden="1">{"via1",#N/A,TRUE,"general";"via2",#N/A,TRUE,"general";"via3",#N/A,TRUE,"general"}</definedName>
    <definedName name="____o4" localSheetId="15" hidden="1">{"via1",#N/A,TRUE,"general";"via2",#N/A,TRUE,"general";"via3",#N/A,TRUE,"general"}</definedName>
    <definedName name="____o4" hidden="1">{"via1",#N/A,TRUE,"general";"via2",#N/A,TRUE,"general";"via3",#N/A,TRUE,"general"}</definedName>
    <definedName name="____o5" localSheetId="14" hidden="1">{"TAB1",#N/A,TRUE,"GENERAL";"TAB2",#N/A,TRUE,"GENERAL";"TAB3",#N/A,TRUE,"GENERAL";"TAB4",#N/A,TRUE,"GENERAL";"TAB5",#N/A,TRUE,"GENERAL"}</definedName>
    <definedName name="____o5" localSheetId="16" hidden="1">{"TAB1",#N/A,TRUE,"GENERAL";"TAB2",#N/A,TRUE,"GENERAL";"TAB3",#N/A,TRUE,"GENERAL";"TAB4",#N/A,TRUE,"GENERAL";"TAB5",#N/A,TRUE,"GENERAL"}</definedName>
    <definedName name="____o5" localSheetId="17" hidden="1">{"TAB1",#N/A,TRUE,"GENERAL";"TAB2",#N/A,TRUE,"GENERAL";"TAB3",#N/A,TRUE,"GENERAL";"TAB4",#N/A,TRUE,"GENERAL";"TAB5",#N/A,TRUE,"GENERAL"}</definedName>
    <definedName name="____o5" localSheetId="13" hidden="1">{"TAB1",#N/A,TRUE,"GENERAL";"TAB2",#N/A,TRUE,"GENERAL";"TAB3",#N/A,TRUE,"GENERAL";"TAB4",#N/A,TRUE,"GENERAL";"TAB5",#N/A,TRUE,"GENERAL"}</definedName>
    <definedName name="____o5" localSheetId="15" hidden="1">{"TAB1",#N/A,TRUE,"GENERAL";"TAB2",#N/A,TRUE,"GENERAL";"TAB3",#N/A,TRUE,"GENERAL";"TAB4",#N/A,TRUE,"GENERAL";"TAB5",#N/A,TRUE,"GENERAL"}</definedName>
    <definedName name="____o5" hidden="1">{"TAB1",#N/A,TRUE,"GENERAL";"TAB2",#N/A,TRUE,"GENERAL";"TAB3",#N/A,TRUE,"GENERAL";"TAB4",#N/A,TRUE,"GENERAL";"TAB5",#N/A,TRUE,"GENERAL"}</definedName>
    <definedName name="____o6" localSheetId="14" hidden="1">{"TAB1",#N/A,TRUE,"GENERAL";"TAB2",#N/A,TRUE,"GENERAL";"TAB3",#N/A,TRUE,"GENERAL";"TAB4",#N/A,TRUE,"GENERAL";"TAB5",#N/A,TRUE,"GENERAL"}</definedName>
    <definedName name="____o6" localSheetId="16" hidden="1">{"TAB1",#N/A,TRUE,"GENERAL";"TAB2",#N/A,TRUE,"GENERAL";"TAB3",#N/A,TRUE,"GENERAL";"TAB4",#N/A,TRUE,"GENERAL";"TAB5",#N/A,TRUE,"GENERAL"}</definedName>
    <definedName name="____o6" localSheetId="17" hidden="1">{"TAB1",#N/A,TRUE,"GENERAL";"TAB2",#N/A,TRUE,"GENERAL";"TAB3",#N/A,TRUE,"GENERAL";"TAB4",#N/A,TRUE,"GENERAL";"TAB5",#N/A,TRUE,"GENERAL"}</definedName>
    <definedName name="____o6" localSheetId="13" hidden="1">{"TAB1",#N/A,TRUE,"GENERAL";"TAB2",#N/A,TRUE,"GENERAL";"TAB3",#N/A,TRUE,"GENERAL";"TAB4",#N/A,TRUE,"GENERAL";"TAB5",#N/A,TRUE,"GENERAL"}</definedName>
    <definedName name="____o6" localSheetId="15" hidden="1">{"TAB1",#N/A,TRUE,"GENERAL";"TAB2",#N/A,TRUE,"GENERAL";"TAB3",#N/A,TRUE,"GENERAL";"TAB4",#N/A,TRUE,"GENERAL";"TAB5",#N/A,TRUE,"GENERAL"}</definedName>
    <definedName name="____o6" hidden="1">{"TAB1",#N/A,TRUE,"GENERAL";"TAB2",#N/A,TRUE,"GENERAL";"TAB3",#N/A,TRUE,"GENERAL";"TAB4",#N/A,TRUE,"GENERAL";"TAB5",#N/A,TRUE,"GENERAL"}</definedName>
    <definedName name="____o7" localSheetId="14" hidden="1">{"TAB1",#N/A,TRUE,"GENERAL";"TAB2",#N/A,TRUE,"GENERAL";"TAB3",#N/A,TRUE,"GENERAL";"TAB4",#N/A,TRUE,"GENERAL";"TAB5",#N/A,TRUE,"GENERAL"}</definedName>
    <definedName name="____o7" localSheetId="16" hidden="1">{"TAB1",#N/A,TRUE,"GENERAL";"TAB2",#N/A,TRUE,"GENERAL";"TAB3",#N/A,TRUE,"GENERAL";"TAB4",#N/A,TRUE,"GENERAL";"TAB5",#N/A,TRUE,"GENERAL"}</definedName>
    <definedName name="____o7" localSheetId="17" hidden="1">{"TAB1",#N/A,TRUE,"GENERAL";"TAB2",#N/A,TRUE,"GENERAL";"TAB3",#N/A,TRUE,"GENERAL";"TAB4",#N/A,TRUE,"GENERAL";"TAB5",#N/A,TRUE,"GENERAL"}</definedName>
    <definedName name="____o7" localSheetId="13" hidden="1">{"TAB1",#N/A,TRUE,"GENERAL";"TAB2",#N/A,TRUE,"GENERAL";"TAB3",#N/A,TRUE,"GENERAL";"TAB4",#N/A,TRUE,"GENERAL";"TAB5",#N/A,TRUE,"GENERAL"}</definedName>
    <definedName name="____o7" localSheetId="15" hidden="1">{"TAB1",#N/A,TRUE,"GENERAL";"TAB2",#N/A,TRUE,"GENERAL";"TAB3",#N/A,TRUE,"GENERAL";"TAB4",#N/A,TRUE,"GENERAL";"TAB5",#N/A,TRUE,"GENERAL"}</definedName>
    <definedName name="____o7" hidden="1">{"TAB1",#N/A,TRUE,"GENERAL";"TAB2",#N/A,TRUE,"GENERAL";"TAB3",#N/A,TRUE,"GENERAL";"TAB4",#N/A,TRUE,"GENERAL";"TAB5",#N/A,TRUE,"GENERAL"}</definedName>
    <definedName name="____o8" localSheetId="14" hidden="1">{"via1",#N/A,TRUE,"general";"via2",#N/A,TRUE,"general";"via3",#N/A,TRUE,"general"}</definedName>
    <definedName name="____o8" localSheetId="16" hidden="1">{"via1",#N/A,TRUE,"general";"via2",#N/A,TRUE,"general";"via3",#N/A,TRUE,"general"}</definedName>
    <definedName name="____o8" localSheetId="17" hidden="1">{"via1",#N/A,TRUE,"general";"via2",#N/A,TRUE,"general";"via3",#N/A,TRUE,"general"}</definedName>
    <definedName name="____o8" localSheetId="13" hidden="1">{"via1",#N/A,TRUE,"general";"via2",#N/A,TRUE,"general";"via3",#N/A,TRUE,"general"}</definedName>
    <definedName name="____o8" localSheetId="15" hidden="1">{"via1",#N/A,TRUE,"general";"via2",#N/A,TRUE,"general";"via3",#N/A,TRUE,"general"}</definedName>
    <definedName name="____o8" hidden="1">{"via1",#N/A,TRUE,"general";"via2",#N/A,TRUE,"general";"via3",#N/A,TRUE,"general"}</definedName>
    <definedName name="____o9" localSheetId="14" hidden="1">{"TAB1",#N/A,TRUE,"GENERAL";"TAB2",#N/A,TRUE,"GENERAL";"TAB3",#N/A,TRUE,"GENERAL";"TAB4",#N/A,TRUE,"GENERAL";"TAB5",#N/A,TRUE,"GENERAL"}</definedName>
    <definedName name="____o9" localSheetId="16" hidden="1">{"TAB1",#N/A,TRUE,"GENERAL";"TAB2",#N/A,TRUE,"GENERAL";"TAB3",#N/A,TRUE,"GENERAL";"TAB4",#N/A,TRUE,"GENERAL";"TAB5",#N/A,TRUE,"GENERAL"}</definedName>
    <definedName name="____o9" localSheetId="17" hidden="1">{"TAB1",#N/A,TRUE,"GENERAL";"TAB2",#N/A,TRUE,"GENERAL";"TAB3",#N/A,TRUE,"GENERAL";"TAB4",#N/A,TRUE,"GENERAL";"TAB5",#N/A,TRUE,"GENERAL"}</definedName>
    <definedName name="____o9" localSheetId="13" hidden="1">{"TAB1",#N/A,TRUE,"GENERAL";"TAB2",#N/A,TRUE,"GENERAL";"TAB3",#N/A,TRUE,"GENERAL";"TAB4",#N/A,TRUE,"GENERAL";"TAB5",#N/A,TRUE,"GENERAL"}</definedName>
    <definedName name="____o9" localSheetId="15" hidden="1">{"TAB1",#N/A,TRUE,"GENERAL";"TAB2",#N/A,TRUE,"GENERAL";"TAB3",#N/A,TRUE,"GENERAL";"TAB4",#N/A,TRUE,"GENERAL";"TAB5",#N/A,TRUE,"GENERAL"}</definedName>
    <definedName name="____o9" hidden="1">{"TAB1",#N/A,TRUE,"GENERAL";"TAB2",#N/A,TRUE,"GENERAL";"TAB3",#N/A,TRUE,"GENERAL";"TAB4",#N/A,TRUE,"GENERAL";"TAB5",#N/A,TRUE,"GENERAL"}</definedName>
    <definedName name="____p6" localSheetId="14" hidden="1">{"via1",#N/A,TRUE,"general";"via2",#N/A,TRUE,"general";"via3",#N/A,TRUE,"general"}</definedName>
    <definedName name="____p6" localSheetId="16" hidden="1">{"via1",#N/A,TRUE,"general";"via2",#N/A,TRUE,"general";"via3",#N/A,TRUE,"general"}</definedName>
    <definedName name="____p6" localSheetId="17" hidden="1">{"via1",#N/A,TRUE,"general";"via2",#N/A,TRUE,"general";"via3",#N/A,TRUE,"general"}</definedName>
    <definedName name="____p6" localSheetId="13" hidden="1">{"via1",#N/A,TRUE,"general";"via2",#N/A,TRUE,"general";"via3",#N/A,TRUE,"general"}</definedName>
    <definedName name="____p6" localSheetId="15" hidden="1">{"via1",#N/A,TRUE,"general";"via2",#N/A,TRUE,"general";"via3",#N/A,TRUE,"general"}</definedName>
    <definedName name="____p6" hidden="1">{"via1",#N/A,TRUE,"general";"via2",#N/A,TRUE,"general";"via3",#N/A,TRUE,"general"}</definedName>
    <definedName name="____p7" localSheetId="14" hidden="1">{"via1",#N/A,TRUE,"general";"via2",#N/A,TRUE,"general";"via3",#N/A,TRUE,"general"}</definedName>
    <definedName name="____p7" localSheetId="16" hidden="1">{"via1",#N/A,TRUE,"general";"via2",#N/A,TRUE,"general";"via3",#N/A,TRUE,"general"}</definedName>
    <definedName name="____p7" localSheetId="17" hidden="1">{"via1",#N/A,TRUE,"general";"via2",#N/A,TRUE,"general";"via3",#N/A,TRUE,"general"}</definedName>
    <definedName name="____p7" localSheetId="13" hidden="1">{"via1",#N/A,TRUE,"general";"via2",#N/A,TRUE,"general";"via3",#N/A,TRUE,"general"}</definedName>
    <definedName name="____p7" localSheetId="15" hidden="1">{"via1",#N/A,TRUE,"general";"via2",#N/A,TRUE,"general";"via3",#N/A,TRUE,"general"}</definedName>
    <definedName name="____p7" hidden="1">{"via1",#N/A,TRUE,"general";"via2",#N/A,TRUE,"general";"via3",#N/A,TRUE,"general"}</definedName>
    <definedName name="____p8" localSheetId="14" hidden="1">{"TAB1",#N/A,TRUE,"GENERAL";"TAB2",#N/A,TRUE,"GENERAL";"TAB3",#N/A,TRUE,"GENERAL";"TAB4",#N/A,TRUE,"GENERAL";"TAB5",#N/A,TRUE,"GENERAL"}</definedName>
    <definedName name="____p8" localSheetId="16" hidden="1">{"TAB1",#N/A,TRUE,"GENERAL";"TAB2",#N/A,TRUE,"GENERAL";"TAB3",#N/A,TRUE,"GENERAL";"TAB4",#N/A,TRUE,"GENERAL";"TAB5",#N/A,TRUE,"GENERAL"}</definedName>
    <definedName name="____p8" localSheetId="17" hidden="1">{"TAB1",#N/A,TRUE,"GENERAL";"TAB2",#N/A,TRUE,"GENERAL";"TAB3",#N/A,TRUE,"GENERAL";"TAB4",#N/A,TRUE,"GENERAL";"TAB5",#N/A,TRUE,"GENERAL"}</definedName>
    <definedName name="____p8" localSheetId="13" hidden="1">{"TAB1",#N/A,TRUE,"GENERAL";"TAB2",#N/A,TRUE,"GENERAL";"TAB3",#N/A,TRUE,"GENERAL";"TAB4",#N/A,TRUE,"GENERAL";"TAB5",#N/A,TRUE,"GENERAL"}</definedName>
    <definedName name="____p8" localSheetId="15" hidden="1">{"TAB1",#N/A,TRUE,"GENERAL";"TAB2",#N/A,TRUE,"GENERAL";"TAB3",#N/A,TRUE,"GENERAL";"TAB4",#N/A,TRUE,"GENERAL";"TAB5",#N/A,TRUE,"GENERAL"}</definedName>
    <definedName name="____p8" hidden="1">{"TAB1",#N/A,TRUE,"GENERAL";"TAB2",#N/A,TRUE,"GENERAL";"TAB3",#N/A,TRUE,"GENERAL";"TAB4",#N/A,TRUE,"GENERAL";"TAB5",#N/A,TRUE,"GENERAL"}</definedName>
    <definedName name="____Pa1">#REF!</definedName>
    <definedName name="____Pa2">#REF!</definedName>
    <definedName name="____Pa3">#REF!</definedName>
    <definedName name="____Pa4">#REF!</definedName>
    <definedName name="____PJ50">#REF!</definedName>
    <definedName name="____pj51">#REF!</definedName>
    <definedName name="____Po2" localSheetId="3">#REF!</definedName>
    <definedName name="____Po2">#REF!</definedName>
    <definedName name="____r" localSheetId="3">#REF!</definedName>
    <definedName name="____r" localSheetId="14" hidden="1">{"TAB1",#N/A,TRUE,"GENERAL";"TAB2",#N/A,TRUE,"GENERAL";"TAB3",#N/A,TRUE,"GENERAL";"TAB4",#N/A,TRUE,"GENERAL";"TAB5",#N/A,TRUE,"GENERAL"}</definedName>
    <definedName name="____r" localSheetId="16" hidden="1">{"TAB1",#N/A,TRUE,"GENERAL";"TAB2",#N/A,TRUE,"GENERAL";"TAB3",#N/A,TRUE,"GENERAL";"TAB4",#N/A,TRUE,"GENERAL";"TAB5",#N/A,TRUE,"GENERAL"}</definedName>
    <definedName name="____r" localSheetId="17" hidden="1">{"TAB1",#N/A,TRUE,"GENERAL";"TAB2",#N/A,TRUE,"GENERAL";"TAB3",#N/A,TRUE,"GENERAL";"TAB4",#N/A,TRUE,"GENERAL";"TAB5",#N/A,TRUE,"GENERAL"}</definedName>
    <definedName name="____r" localSheetId="13" hidden="1">{"TAB1",#N/A,TRUE,"GENERAL";"TAB2",#N/A,TRUE,"GENERAL";"TAB3",#N/A,TRUE,"GENERAL";"TAB4",#N/A,TRUE,"GENERAL";"TAB5",#N/A,TRUE,"GENERAL"}</definedName>
    <definedName name="____r" localSheetId="15" hidden="1">{"TAB1",#N/A,TRUE,"GENERAL";"TAB2",#N/A,TRUE,"GENERAL";"TAB3",#N/A,TRUE,"GENERAL";"TAB4",#N/A,TRUE,"GENERAL";"TAB5",#N/A,TRUE,"GENERAL"}</definedName>
    <definedName name="____r">#REF!</definedName>
    <definedName name="____R1210JH" localSheetId="3">#REF!</definedName>
    <definedName name="____R1210JH" localSheetId="30">#REF!</definedName>
    <definedName name="____R1210JH" localSheetId="31">#REF!</definedName>
    <definedName name="____R1210JH" localSheetId="29">#REF!</definedName>
    <definedName name="____R1210JH">#REF!</definedName>
    <definedName name="____R32EL" localSheetId="3">#REF!</definedName>
    <definedName name="____R32EL" localSheetId="30">#REF!</definedName>
    <definedName name="____R32EL" localSheetId="31">#REF!</definedName>
    <definedName name="____R32EL" localSheetId="29">#REF!</definedName>
    <definedName name="____R32EL">#REF!</definedName>
    <definedName name="____R32JH" localSheetId="3">#REF!</definedName>
    <definedName name="____R32JH" localSheetId="30">#REF!</definedName>
    <definedName name="____R32JH" localSheetId="31">#REF!</definedName>
    <definedName name="____R32JH" localSheetId="29">#REF!</definedName>
    <definedName name="____R32JH">#REF!</definedName>
    <definedName name="____R42JH" localSheetId="3">#REF!</definedName>
    <definedName name="____R42JH" localSheetId="30">#REF!</definedName>
    <definedName name="____R42JH" localSheetId="31">#REF!</definedName>
    <definedName name="____R42JH" localSheetId="29">#REF!</definedName>
    <definedName name="____R42JH">#REF!</definedName>
    <definedName name="____R43JH" localSheetId="3">#REF!</definedName>
    <definedName name="____R43JH" localSheetId="30">#REF!</definedName>
    <definedName name="____R43JH" localSheetId="31">#REF!</definedName>
    <definedName name="____R43JH" localSheetId="29">#REF!</definedName>
    <definedName name="____R43JH">#REF!</definedName>
    <definedName name="____r4r" localSheetId="14" hidden="1">{"via1",#N/A,TRUE,"general";"via2",#N/A,TRUE,"general";"via3",#N/A,TRUE,"general"}</definedName>
    <definedName name="____r4r" localSheetId="16" hidden="1">{"via1",#N/A,TRUE,"general";"via2",#N/A,TRUE,"general";"via3",#N/A,TRUE,"general"}</definedName>
    <definedName name="____r4r" localSheetId="17" hidden="1">{"via1",#N/A,TRUE,"general";"via2",#N/A,TRUE,"general";"via3",#N/A,TRUE,"general"}</definedName>
    <definedName name="____r4r" localSheetId="13" hidden="1">{"via1",#N/A,TRUE,"general";"via2",#N/A,TRUE,"general";"via3",#N/A,TRUE,"general"}</definedName>
    <definedName name="____r4r" localSheetId="15" hidden="1">{"via1",#N/A,TRUE,"general";"via2",#N/A,TRUE,"general";"via3",#N/A,TRUE,"general"}</definedName>
    <definedName name="____r4r" hidden="1">{"via1",#N/A,TRUE,"general";"via2",#N/A,TRUE,"general";"via3",#N/A,TRUE,"general"}</definedName>
    <definedName name="____R63BB" localSheetId="3">#REF!</definedName>
    <definedName name="____R63BB" localSheetId="30">#REF!</definedName>
    <definedName name="____R63BB" localSheetId="31">#REF!</definedName>
    <definedName name="____R63BB" localSheetId="29">#REF!</definedName>
    <definedName name="____R63BB">#REF!</definedName>
    <definedName name="____R63JH" localSheetId="3">#REF!</definedName>
    <definedName name="____R63JH" localSheetId="30">#REF!</definedName>
    <definedName name="____R63JH" localSheetId="31">#REF!</definedName>
    <definedName name="____R63JH" localSheetId="29">#REF!</definedName>
    <definedName name="____R63JH">#REF!</definedName>
    <definedName name="____R64BB" localSheetId="3">#REF!</definedName>
    <definedName name="____R64BB" localSheetId="30">#REF!</definedName>
    <definedName name="____R64BB" localSheetId="31">#REF!</definedName>
    <definedName name="____R64BB" localSheetId="29">#REF!</definedName>
    <definedName name="____R64BB">#REF!</definedName>
    <definedName name="____R64JH" localSheetId="3">#REF!</definedName>
    <definedName name="____R64JH" localSheetId="30">#REF!</definedName>
    <definedName name="____R64JH" localSheetId="31">#REF!</definedName>
    <definedName name="____R64JH" localSheetId="29">#REF!</definedName>
    <definedName name="____R64JH">#REF!</definedName>
    <definedName name="____R83JH" localSheetId="3">#REF!</definedName>
    <definedName name="____R83JH" localSheetId="30">#REF!</definedName>
    <definedName name="____R83JH" localSheetId="31">#REF!</definedName>
    <definedName name="____R83JH" localSheetId="29">#REF!</definedName>
    <definedName name="____R83JH">#REF!</definedName>
    <definedName name="____R84JH" localSheetId="3">#REF!</definedName>
    <definedName name="____R84JH" localSheetId="30">#REF!</definedName>
    <definedName name="____R84JH" localSheetId="31">#REF!</definedName>
    <definedName name="____R84JH" localSheetId="29">#REF!</definedName>
    <definedName name="____R84JH">#REF!</definedName>
    <definedName name="____R86JH" localSheetId="3">#REF!</definedName>
    <definedName name="____R86JH" localSheetId="30">#REF!</definedName>
    <definedName name="____R86JH" localSheetId="31">#REF!</definedName>
    <definedName name="____R86JH" localSheetId="29">#REF!</definedName>
    <definedName name="____R86JH">#REF!</definedName>
    <definedName name="____rc">#REF!</definedName>
    <definedName name="____RED32" localSheetId="3">#REF!</definedName>
    <definedName name="____RED32" localSheetId="30">#REF!</definedName>
    <definedName name="____RED32" localSheetId="31">#REF!</definedName>
    <definedName name="____RED32" localSheetId="29">#REF!</definedName>
    <definedName name="____RED32">#REF!</definedName>
    <definedName name="____REP21" localSheetId="3">#REF!</definedName>
    <definedName name="____REP21" localSheetId="30">#REF!</definedName>
    <definedName name="____REP21" localSheetId="31">#REF!</definedName>
    <definedName name="____REP21" localSheetId="29">#REF!</definedName>
    <definedName name="____REP21">#REF!</definedName>
    <definedName name="____REP42" localSheetId="3">#REF!</definedName>
    <definedName name="____REP42" localSheetId="30">#REF!</definedName>
    <definedName name="____REP42" localSheetId="31">#REF!</definedName>
    <definedName name="____REP42" localSheetId="29">#REF!</definedName>
    <definedName name="____REP42">#REF!</definedName>
    <definedName name="____REP43">#REF!</definedName>
    <definedName name="____RES64" localSheetId="3">#REF!</definedName>
    <definedName name="____RES64" localSheetId="30">#REF!</definedName>
    <definedName name="____RES64" localSheetId="31">#REF!</definedName>
    <definedName name="____RES64" localSheetId="29">#REF!</definedName>
    <definedName name="____RES64">#REF!</definedName>
    <definedName name="____rtu6" localSheetId="14" hidden="1">{"via1",#N/A,TRUE,"general";"via2",#N/A,TRUE,"general";"via3",#N/A,TRUE,"general"}</definedName>
    <definedName name="____rtu6" localSheetId="16" hidden="1">{"via1",#N/A,TRUE,"general";"via2",#N/A,TRUE,"general";"via3",#N/A,TRUE,"general"}</definedName>
    <definedName name="____rtu6" localSheetId="17" hidden="1">{"via1",#N/A,TRUE,"general";"via2",#N/A,TRUE,"general";"via3",#N/A,TRUE,"general"}</definedName>
    <definedName name="____rtu6" localSheetId="13" hidden="1">{"via1",#N/A,TRUE,"general";"via2",#N/A,TRUE,"general";"via3",#N/A,TRUE,"general"}</definedName>
    <definedName name="____rtu6" localSheetId="15" hidden="1">{"via1",#N/A,TRUE,"general";"via2",#N/A,TRUE,"general";"via3",#N/A,TRUE,"general"}</definedName>
    <definedName name="____rtu6" hidden="1">{"via1",#N/A,TRUE,"general";"via2",#N/A,TRUE,"general";"via3",#N/A,TRUE,"general"}</definedName>
    <definedName name="____s1" localSheetId="14" hidden="1">{"via1",#N/A,TRUE,"general";"via2",#N/A,TRUE,"general";"via3",#N/A,TRUE,"general"}</definedName>
    <definedName name="____s1" localSheetId="16" hidden="1">{"via1",#N/A,TRUE,"general";"via2",#N/A,TRUE,"general";"via3",#N/A,TRUE,"general"}</definedName>
    <definedName name="____s1" localSheetId="17" hidden="1">{"via1",#N/A,TRUE,"general";"via2",#N/A,TRUE,"general";"via3",#N/A,TRUE,"general"}</definedName>
    <definedName name="____s1" localSheetId="13" hidden="1">{"via1",#N/A,TRUE,"general";"via2",#N/A,TRUE,"general";"via3",#N/A,TRUE,"general"}</definedName>
    <definedName name="____s1" localSheetId="15" hidden="1">{"via1",#N/A,TRUE,"general";"via2",#N/A,TRUE,"general";"via3",#N/A,TRUE,"general"}</definedName>
    <definedName name="____s1" hidden="1">{"via1",#N/A,TRUE,"general";"via2",#N/A,TRUE,"general";"via3",#N/A,TRUE,"general"}</definedName>
    <definedName name="____s2" localSheetId="14" hidden="1">{"TAB1",#N/A,TRUE,"GENERAL";"TAB2",#N/A,TRUE,"GENERAL";"TAB3",#N/A,TRUE,"GENERAL";"TAB4",#N/A,TRUE,"GENERAL";"TAB5",#N/A,TRUE,"GENERAL"}</definedName>
    <definedName name="____s2" localSheetId="16" hidden="1">{"TAB1",#N/A,TRUE,"GENERAL";"TAB2",#N/A,TRUE,"GENERAL";"TAB3",#N/A,TRUE,"GENERAL";"TAB4",#N/A,TRUE,"GENERAL";"TAB5",#N/A,TRUE,"GENERAL"}</definedName>
    <definedName name="____s2" localSheetId="17" hidden="1">{"TAB1",#N/A,TRUE,"GENERAL";"TAB2",#N/A,TRUE,"GENERAL";"TAB3",#N/A,TRUE,"GENERAL";"TAB4",#N/A,TRUE,"GENERAL";"TAB5",#N/A,TRUE,"GENERAL"}</definedName>
    <definedName name="____s2" localSheetId="13" hidden="1">{"TAB1",#N/A,TRUE,"GENERAL";"TAB2",#N/A,TRUE,"GENERAL";"TAB3",#N/A,TRUE,"GENERAL";"TAB4",#N/A,TRUE,"GENERAL";"TAB5",#N/A,TRUE,"GENERAL"}</definedName>
    <definedName name="____s2" localSheetId="15" hidden="1">{"TAB1",#N/A,TRUE,"GENERAL";"TAB2",#N/A,TRUE,"GENERAL";"TAB3",#N/A,TRUE,"GENERAL";"TAB4",#N/A,TRUE,"GENERAL";"TAB5",#N/A,TRUE,"GENERAL"}</definedName>
    <definedName name="____s2" hidden="1">{"TAB1",#N/A,TRUE,"GENERAL";"TAB2",#N/A,TRUE,"GENERAL";"TAB3",#N/A,TRUE,"GENERAL";"TAB4",#N/A,TRUE,"GENERAL";"TAB5",#N/A,TRUE,"GENERAL"}</definedName>
    <definedName name="____s3" localSheetId="14" hidden="1">{"TAB1",#N/A,TRUE,"GENERAL";"TAB2",#N/A,TRUE,"GENERAL";"TAB3",#N/A,TRUE,"GENERAL";"TAB4",#N/A,TRUE,"GENERAL";"TAB5",#N/A,TRUE,"GENERAL"}</definedName>
    <definedName name="____s3" localSheetId="16" hidden="1">{"TAB1",#N/A,TRUE,"GENERAL";"TAB2",#N/A,TRUE,"GENERAL";"TAB3",#N/A,TRUE,"GENERAL";"TAB4",#N/A,TRUE,"GENERAL";"TAB5",#N/A,TRUE,"GENERAL"}</definedName>
    <definedName name="____s3" localSheetId="17" hidden="1">{"TAB1",#N/A,TRUE,"GENERAL";"TAB2",#N/A,TRUE,"GENERAL";"TAB3",#N/A,TRUE,"GENERAL";"TAB4",#N/A,TRUE,"GENERAL";"TAB5",#N/A,TRUE,"GENERAL"}</definedName>
    <definedName name="____s3" localSheetId="13" hidden="1">{"TAB1",#N/A,TRUE,"GENERAL";"TAB2",#N/A,TRUE,"GENERAL";"TAB3",#N/A,TRUE,"GENERAL";"TAB4",#N/A,TRUE,"GENERAL";"TAB5",#N/A,TRUE,"GENERAL"}</definedName>
    <definedName name="____s3" localSheetId="15" hidden="1">{"TAB1",#N/A,TRUE,"GENERAL";"TAB2",#N/A,TRUE,"GENERAL";"TAB3",#N/A,TRUE,"GENERAL";"TAB4",#N/A,TRUE,"GENERAL";"TAB5",#N/A,TRUE,"GENERAL"}</definedName>
    <definedName name="____s3" hidden="1">{"TAB1",#N/A,TRUE,"GENERAL";"TAB2",#N/A,TRUE,"GENERAL";"TAB3",#N/A,TRUE,"GENERAL";"TAB4",#N/A,TRUE,"GENERAL";"TAB5",#N/A,TRUE,"GENERAL"}</definedName>
    <definedName name="____s4" localSheetId="14" hidden="1">{"via1",#N/A,TRUE,"general";"via2",#N/A,TRUE,"general";"via3",#N/A,TRUE,"general"}</definedName>
    <definedName name="____s4" localSheetId="16" hidden="1">{"via1",#N/A,TRUE,"general";"via2",#N/A,TRUE,"general";"via3",#N/A,TRUE,"general"}</definedName>
    <definedName name="____s4" localSheetId="17" hidden="1">{"via1",#N/A,TRUE,"general";"via2",#N/A,TRUE,"general";"via3",#N/A,TRUE,"general"}</definedName>
    <definedName name="____s4" localSheetId="13" hidden="1">{"via1",#N/A,TRUE,"general";"via2",#N/A,TRUE,"general";"via3",#N/A,TRUE,"general"}</definedName>
    <definedName name="____s4" localSheetId="15" hidden="1">{"via1",#N/A,TRUE,"general";"via2",#N/A,TRUE,"general";"via3",#N/A,TRUE,"general"}</definedName>
    <definedName name="____s4" hidden="1">{"via1",#N/A,TRUE,"general";"via2",#N/A,TRUE,"general";"via3",#N/A,TRUE,"general"}</definedName>
    <definedName name="____s5" localSheetId="14" hidden="1">{"via1",#N/A,TRUE,"general";"via2",#N/A,TRUE,"general";"via3",#N/A,TRUE,"general"}</definedName>
    <definedName name="____s5" localSheetId="16" hidden="1">{"via1",#N/A,TRUE,"general";"via2",#N/A,TRUE,"general";"via3",#N/A,TRUE,"general"}</definedName>
    <definedName name="____s5" localSheetId="17" hidden="1">{"via1",#N/A,TRUE,"general";"via2",#N/A,TRUE,"general";"via3",#N/A,TRUE,"general"}</definedName>
    <definedName name="____s5" localSheetId="13" hidden="1">{"via1",#N/A,TRUE,"general";"via2",#N/A,TRUE,"general";"via3",#N/A,TRUE,"general"}</definedName>
    <definedName name="____s5" localSheetId="15" hidden="1">{"via1",#N/A,TRUE,"general";"via2",#N/A,TRUE,"general";"via3",#N/A,TRUE,"general"}</definedName>
    <definedName name="____s5" hidden="1">{"via1",#N/A,TRUE,"general";"via2",#N/A,TRUE,"general";"via3",#N/A,TRUE,"general"}</definedName>
    <definedName name="____s6" localSheetId="14" hidden="1">{"TAB1",#N/A,TRUE,"GENERAL";"TAB2",#N/A,TRUE,"GENERAL";"TAB3",#N/A,TRUE,"GENERAL";"TAB4",#N/A,TRUE,"GENERAL";"TAB5",#N/A,TRUE,"GENERAL"}</definedName>
    <definedName name="____s6" localSheetId="16" hidden="1">{"TAB1",#N/A,TRUE,"GENERAL";"TAB2",#N/A,TRUE,"GENERAL";"TAB3",#N/A,TRUE,"GENERAL";"TAB4",#N/A,TRUE,"GENERAL";"TAB5",#N/A,TRUE,"GENERAL"}</definedName>
    <definedName name="____s6" localSheetId="17" hidden="1">{"TAB1",#N/A,TRUE,"GENERAL";"TAB2",#N/A,TRUE,"GENERAL";"TAB3",#N/A,TRUE,"GENERAL";"TAB4",#N/A,TRUE,"GENERAL";"TAB5",#N/A,TRUE,"GENERAL"}</definedName>
    <definedName name="____s6" localSheetId="13" hidden="1">{"TAB1",#N/A,TRUE,"GENERAL";"TAB2",#N/A,TRUE,"GENERAL";"TAB3",#N/A,TRUE,"GENERAL";"TAB4",#N/A,TRUE,"GENERAL";"TAB5",#N/A,TRUE,"GENERAL"}</definedName>
    <definedName name="____s6" localSheetId="15" hidden="1">{"TAB1",#N/A,TRUE,"GENERAL";"TAB2",#N/A,TRUE,"GENERAL";"TAB3",#N/A,TRUE,"GENERAL";"TAB4",#N/A,TRUE,"GENERAL";"TAB5",#N/A,TRUE,"GENERAL"}</definedName>
    <definedName name="____s6" hidden="1">{"TAB1",#N/A,TRUE,"GENERAL";"TAB2",#N/A,TRUE,"GENERAL";"TAB3",#N/A,TRUE,"GENERAL";"TAB4",#N/A,TRUE,"GENERAL";"TAB5",#N/A,TRUE,"GENERAL"}</definedName>
    <definedName name="____s7" localSheetId="14" hidden="1">{"via1",#N/A,TRUE,"general";"via2",#N/A,TRUE,"general";"via3",#N/A,TRUE,"general"}</definedName>
    <definedName name="____s7" localSheetId="16" hidden="1">{"via1",#N/A,TRUE,"general";"via2",#N/A,TRUE,"general";"via3",#N/A,TRUE,"general"}</definedName>
    <definedName name="____s7" localSheetId="17" hidden="1">{"via1",#N/A,TRUE,"general";"via2",#N/A,TRUE,"general";"via3",#N/A,TRUE,"general"}</definedName>
    <definedName name="____s7" localSheetId="13" hidden="1">{"via1",#N/A,TRUE,"general";"via2",#N/A,TRUE,"general";"via3",#N/A,TRUE,"general"}</definedName>
    <definedName name="____s7" localSheetId="15" hidden="1">{"via1",#N/A,TRUE,"general";"via2",#N/A,TRUE,"general";"via3",#N/A,TRUE,"general"}</definedName>
    <definedName name="____s7" hidden="1">{"via1",#N/A,TRUE,"general";"via2",#N/A,TRUE,"general";"via3",#N/A,TRUE,"general"}</definedName>
    <definedName name="____SBC1">[1]INV!$A$12:$D$15</definedName>
    <definedName name="____SBC3">[1]INV!$F$12:$I$15</definedName>
    <definedName name="____SBC5">[1]INV!$K$12:$N$15</definedName>
    <definedName name="____ST106" localSheetId="3">#REF!</definedName>
    <definedName name="____ST106" localSheetId="30">#REF!</definedName>
    <definedName name="____ST106" localSheetId="31">#REF!</definedName>
    <definedName name="____ST106" localSheetId="29">#REF!</definedName>
    <definedName name="____ST106">#REF!</definedName>
    <definedName name="____ST126" localSheetId="3">#REF!</definedName>
    <definedName name="____ST126" localSheetId="30">#REF!</definedName>
    <definedName name="____ST126" localSheetId="31">#REF!</definedName>
    <definedName name="____ST126" localSheetId="29">#REF!</definedName>
    <definedName name="____ST126">#REF!</definedName>
    <definedName name="____ST146" localSheetId="3">#REF!</definedName>
    <definedName name="____ST146" localSheetId="30">#REF!</definedName>
    <definedName name="____ST146" localSheetId="31">#REF!</definedName>
    <definedName name="____ST146" localSheetId="29">#REF!</definedName>
    <definedName name="____ST146">#REF!</definedName>
    <definedName name="____ST166">#REF!</definedName>
    <definedName name="____ST186" localSheetId="3">#REF!</definedName>
    <definedName name="____ST186" localSheetId="30">#REF!</definedName>
    <definedName name="____ST186" localSheetId="31">#REF!</definedName>
    <definedName name="____ST186" localSheetId="29">#REF!</definedName>
    <definedName name="____ST186">#REF!</definedName>
    <definedName name="____ST206" localSheetId="3">#REF!</definedName>
    <definedName name="____ST206" localSheetId="30">#REF!</definedName>
    <definedName name="____ST206" localSheetId="31">#REF!</definedName>
    <definedName name="____ST206" localSheetId="29">#REF!</definedName>
    <definedName name="____ST206">#REF!</definedName>
    <definedName name="____ST86" localSheetId="3">#REF!</definedName>
    <definedName name="____ST86" localSheetId="30">#REF!</definedName>
    <definedName name="____ST86" localSheetId="31">#REF!</definedName>
    <definedName name="____ST86" localSheetId="29">#REF!</definedName>
    <definedName name="____ST86">#REF!</definedName>
    <definedName name="____t3" localSheetId="14" hidden="1">{"TAB1",#N/A,TRUE,"GENERAL";"TAB2",#N/A,TRUE,"GENERAL";"TAB3",#N/A,TRUE,"GENERAL";"TAB4",#N/A,TRUE,"GENERAL";"TAB5",#N/A,TRUE,"GENERAL"}</definedName>
    <definedName name="____t3" localSheetId="16" hidden="1">{"TAB1",#N/A,TRUE,"GENERAL";"TAB2",#N/A,TRUE,"GENERAL";"TAB3",#N/A,TRUE,"GENERAL";"TAB4",#N/A,TRUE,"GENERAL";"TAB5",#N/A,TRUE,"GENERAL"}</definedName>
    <definedName name="____t3" localSheetId="17" hidden="1">{"TAB1",#N/A,TRUE,"GENERAL";"TAB2",#N/A,TRUE,"GENERAL";"TAB3",#N/A,TRUE,"GENERAL";"TAB4",#N/A,TRUE,"GENERAL";"TAB5",#N/A,TRUE,"GENERAL"}</definedName>
    <definedName name="____t3" localSheetId="13" hidden="1">{"TAB1",#N/A,TRUE,"GENERAL";"TAB2",#N/A,TRUE,"GENERAL";"TAB3",#N/A,TRUE,"GENERAL";"TAB4",#N/A,TRUE,"GENERAL";"TAB5",#N/A,TRUE,"GENERAL"}</definedName>
    <definedName name="____t3" localSheetId="15" hidden="1">{"TAB1",#N/A,TRUE,"GENERAL";"TAB2",#N/A,TRUE,"GENERAL";"TAB3",#N/A,TRUE,"GENERAL";"TAB4",#N/A,TRUE,"GENERAL";"TAB5",#N/A,TRUE,"GENERAL"}</definedName>
    <definedName name="____t3" hidden="1">{"TAB1",#N/A,TRUE,"GENERAL";"TAB2",#N/A,TRUE,"GENERAL";"TAB3",#N/A,TRUE,"GENERAL";"TAB4",#N/A,TRUE,"GENERAL";"TAB5",#N/A,TRUE,"GENERAL"}</definedName>
    <definedName name="____t4" localSheetId="14" hidden="1">{"via1",#N/A,TRUE,"general";"via2",#N/A,TRUE,"general";"via3",#N/A,TRUE,"general"}</definedName>
    <definedName name="____t4" localSheetId="16" hidden="1">{"via1",#N/A,TRUE,"general";"via2",#N/A,TRUE,"general";"via3",#N/A,TRUE,"general"}</definedName>
    <definedName name="____t4" localSheetId="17" hidden="1">{"via1",#N/A,TRUE,"general";"via2",#N/A,TRUE,"general";"via3",#N/A,TRUE,"general"}</definedName>
    <definedName name="____t4" localSheetId="13" hidden="1">{"via1",#N/A,TRUE,"general";"via2",#N/A,TRUE,"general";"via3",#N/A,TRUE,"general"}</definedName>
    <definedName name="____t4" localSheetId="15" hidden="1">{"via1",#N/A,TRUE,"general";"via2",#N/A,TRUE,"general";"via3",#N/A,TRUE,"general"}</definedName>
    <definedName name="____t4" hidden="1">{"via1",#N/A,TRUE,"general";"via2",#N/A,TRUE,"general";"via3",#N/A,TRUE,"general"}</definedName>
    <definedName name="____t5" localSheetId="14" hidden="1">{"TAB1",#N/A,TRUE,"GENERAL";"TAB2",#N/A,TRUE,"GENERAL";"TAB3",#N/A,TRUE,"GENERAL";"TAB4",#N/A,TRUE,"GENERAL";"TAB5",#N/A,TRUE,"GENERAL"}</definedName>
    <definedName name="____t5" localSheetId="16" hidden="1">{"TAB1",#N/A,TRUE,"GENERAL";"TAB2",#N/A,TRUE,"GENERAL";"TAB3",#N/A,TRUE,"GENERAL";"TAB4",#N/A,TRUE,"GENERAL";"TAB5",#N/A,TRUE,"GENERAL"}</definedName>
    <definedName name="____t5" localSheetId="17" hidden="1">{"TAB1",#N/A,TRUE,"GENERAL";"TAB2",#N/A,TRUE,"GENERAL";"TAB3",#N/A,TRUE,"GENERAL";"TAB4",#N/A,TRUE,"GENERAL";"TAB5",#N/A,TRUE,"GENERAL"}</definedName>
    <definedName name="____t5" localSheetId="13" hidden="1">{"TAB1",#N/A,TRUE,"GENERAL";"TAB2",#N/A,TRUE,"GENERAL";"TAB3",#N/A,TRUE,"GENERAL";"TAB4",#N/A,TRUE,"GENERAL";"TAB5",#N/A,TRUE,"GENERAL"}</definedName>
    <definedName name="____t5" localSheetId="15" hidden="1">{"TAB1",#N/A,TRUE,"GENERAL";"TAB2",#N/A,TRUE,"GENERAL";"TAB3",#N/A,TRUE,"GENERAL";"TAB4",#N/A,TRUE,"GENERAL";"TAB5",#N/A,TRUE,"GENERAL"}</definedName>
    <definedName name="____t5" hidden="1">{"TAB1",#N/A,TRUE,"GENERAL";"TAB2",#N/A,TRUE,"GENERAL";"TAB3",#N/A,TRUE,"GENERAL";"TAB4",#N/A,TRUE,"GENERAL";"TAB5",#N/A,TRUE,"GENERAL"}</definedName>
    <definedName name="____t6" localSheetId="14" hidden="1">{"via1",#N/A,TRUE,"general";"via2",#N/A,TRUE,"general";"via3",#N/A,TRUE,"general"}</definedName>
    <definedName name="____t6" localSheetId="16" hidden="1">{"via1",#N/A,TRUE,"general";"via2",#N/A,TRUE,"general";"via3",#N/A,TRUE,"general"}</definedName>
    <definedName name="____t6" localSheetId="17" hidden="1">{"via1",#N/A,TRUE,"general";"via2",#N/A,TRUE,"general";"via3",#N/A,TRUE,"general"}</definedName>
    <definedName name="____t6" localSheetId="13" hidden="1">{"via1",#N/A,TRUE,"general";"via2",#N/A,TRUE,"general";"via3",#N/A,TRUE,"general"}</definedName>
    <definedName name="____t6" localSheetId="15" hidden="1">{"via1",#N/A,TRUE,"general";"via2",#N/A,TRUE,"general";"via3",#N/A,TRUE,"general"}</definedName>
    <definedName name="____t6" hidden="1">{"via1",#N/A,TRUE,"general";"via2",#N/A,TRUE,"general";"via3",#N/A,TRUE,"general"}</definedName>
    <definedName name="____t66" localSheetId="14" hidden="1">{"TAB1",#N/A,TRUE,"GENERAL";"TAB2",#N/A,TRUE,"GENERAL";"TAB3",#N/A,TRUE,"GENERAL";"TAB4",#N/A,TRUE,"GENERAL";"TAB5",#N/A,TRUE,"GENERAL"}</definedName>
    <definedName name="____t66" localSheetId="16" hidden="1">{"TAB1",#N/A,TRUE,"GENERAL";"TAB2",#N/A,TRUE,"GENERAL";"TAB3",#N/A,TRUE,"GENERAL";"TAB4",#N/A,TRUE,"GENERAL";"TAB5",#N/A,TRUE,"GENERAL"}</definedName>
    <definedName name="____t66" localSheetId="17" hidden="1">{"TAB1",#N/A,TRUE,"GENERAL";"TAB2",#N/A,TRUE,"GENERAL";"TAB3",#N/A,TRUE,"GENERAL";"TAB4",#N/A,TRUE,"GENERAL";"TAB5",#N/A,TRUE,"GENERAL"}</definedName>
    <definedName name="____t66" localSheetId="13" hidden="1">{"TAB1",#N/A,TRUE,"GENERAL";"TAB2",#N/A,TRUE,"GENERAL";"TAB3",#N/A,TRUE,"GENERAL";"TAB4",#N/A,TRUE,"GENERAL";"TAB5",#N/A,TRUE,"GENERAL"}</definedName>
    <definedName name="____t66" localSheetId="15" hidden="1">{"TAB1",#N/A,TRUE,"GENERAL";"TAB2",#N/A,TRUE,"GENERAL";"TAB3",#N/A,TRUE,"GENERAL";"TAB4",#N/A,TRUE,"GENERAL";"TAB5",#N/A,TRUE,"GENERAL"}</definedName>
    <definedName name="____t66" hidden="1">{"TAB1",#N/A,TRUE,"GENERAL";"TAB2",#N/A,TRUE,"GENERAL";"TAB3",#N/A,TRUE,"GENERAL";"TAB4",#N/A,TRUE,"GENERAL";"TAB5",#N/A,TRUE,"GENERAL"}</definedName>
    <definedName name="____t7" localSheetId="14" hidden="1">{"via1",#N/A,TRUE,"general";"via2",#N/A,TRUE,"general";"via3",#N/A,TRUE,"general"}</definedName>
    <definedName name="____t7" localSheetId="16" hidden="1">{"via1",#N/A,TRUE,"general";"via2",#N/A,TRUE,"general";"via3",#N/A,TRUE,"general"}</definedName>
    <definedName name="____t7" localSheetId="17" hidden="1">{"via1",#N/A,TRUE,"general";"via2",#N/A,TRUE,"general";"via3",#N/A,TRUE,"general"}</definedName>
    <definedName name="____t7" localSheetId="13" hidden="1">{"via1",#N/A,TRUE,"general";"via2",#N/A,TRUE,"general";"via3",#N/A,TRUE,"general"}</definedName>
    <definedName name="____t7" localSheetId="15" hidden="1">{"via1",#N/A,TRUE,"general";"via2",#N/A,TRUE,"general";"via3",#N/A,TRUE,"general"}</definedName>
    <definedName name="____t7" hidden="1">{"via1",#N/A,TRUE,"general";"via2",#N/A,TRUE,"general";"via3",#N/A,TRUE,"general"}</definedName>
    <definedName name="____t77" localSheetId="14" hidden="1">{"TAB1",#N/A,TRUE,"GENERAL";"TAB2",#N/A,TRUE,"GENERAL";"TAB3",#N/A,TRUE,"GENERAL";"TAB4",#N/A,TRUE,"GENERAL";"TAB5",#N/A,TRUE,"GENERAL"}</definedName>
    <definedName name="____t77" localSheetId="16" hidden="1">{"TAB1",#N/A,TRUE,"GENERAL";"TAB2",#N/A,TRUE,"GENERAL";"TAB3",#N/A,TRUE,"GENERAL";"TAB4",#N/A,TRUE,"GENERAL";"TAB5",#N/A,TRUE,"GENERAL"}</definedName>
    <definedName name="____t77" localSheetId="17" hidden="1">{"TAB1",#N/A,TRUE,"GENERAL";"TAB2",#N/A,TRUE,"GENERAL";"TAB3",#N/A,TRUE,"GENERAL";"TAB4",#N/A,TRUE,"GENERAL";"TAB5",#N/A,TRUE,"GENERAL"}</definedName>
    <definedName name="____t77" localSheetId="13" hidden="1">{"TAB1",#N/A,TRUE,"GENERAL";"TAB2",#N/A,TRUE,"GENERAL";"TAB3",#N/A,TRUE,"GENERAL";"TAB4",#N/A,TRUE,"GENERAL";"TAB5",#N/A,TRUE,"GENERAL"}</definedName>
    <definedName name="____t77" localSheetId="15" hidden="1">{"TAB1",#N/A,TRUE,"GENERAL";"TAB2",#N/A,TRUE,"GENERAL";"TAB3",#N/A,TRUE,"GENERAL";"TAB4",#N/A,TRUE,"GENERAL";"TAB5",#N/A,TRUE,"GENERAL"}</definedName>
    <definedName name="____t77" hidden="1">{"TAB1",#N/A,TRUE,"GENERAL";"TAB2",#N/A,TRUE,"GENERAL";"TAB3",#N/A,TRUE,"GENERAL";"TAB4",#N/A,TRUE,"GENERAL";"TAB5",#N/A,TRUE,"GENERAL"}</definedName>
    <definedName name="____t8" localSheetId="14" hidden="1">{"TAB1",#N/A,TRUE,"GENERAL";"TAB2",#N/A,TRUE,"GENERAL";"TAB3",#N/A,TRUE,"GENERAL";"TAB4",#N/A,TRUE,"GENERAL";"TAB5",#N/A,TRUE,"GENERAL"}</definedName>
    <definedName name="____t8" localSheetId="16" hidden="1">{"TAB1",#N/A,TRUE,"GENERAL";"TAB2",#N/A,TRUE,"GENERAL";"TAB3",#N/A,TRUE,"GENERAL";"TAB4",#N/A,TRUE,"GENERAL";"TAB5",#N/A,TRUE,"GENERAL"}</definedName>
    <definedName name="____t8" localSheetId="17" hidden="1">{"TAB1",#N/A,TRUE,"GENERAL";"TAB2",#N/A,TRUE,"GENERAL";"TAB3",#N/A,TRUE,"GENERAL";"TAB4",#N/A,TRUE,"GENERAL";"TAB5",#N/A,TRUE,"GENERAL"}</definedName>
    <definedName name="____t8" localSheetId="13" hidden="1">{"TAB1",#N/A,TRUE,"GENERAL";"TAB2",#N/A,TRUE,"GENERAL";"TAB3",#N/A,TRUE,"GENERAL";"TAB4",#N/A,TRUE,"GENERAL";"TAB5",#N/A,TRUE,"GENERAL"}</definedName>
    <definedName name="____t8" localSheetId="15" hidden="1">{"TAB1",#N/A,TRUE,"GENERAL";"TAB2",#N/A,TRUE,"GENERAL";"TAB3",#N/A,TRUE,"GENERAL";"TAB4",#N/A,TRUE,"GENERAL";"TAB5",#N/A,TRUE,"GENERAL"}</definedName>
    <definedName name="____t8" hidden="1">{"TAB1",#N/A,TRUE,"GENERAL";"TAB2",#N/A,TRUE,"GENERAL";"TAB3",#N/A,TRUE,"GENERAL";"TAB4",#N/A,TRUE,"GENERAL";"TAB5",#N/A,TRUE,"GENERAL"}</definedName>
    <definedName name="____t88" localSheetId="14" hidden="1">{"via1",#N/A,TRUE,"general";"via2",#N/A,TRUE,"general";"via3",#N/A,TRUE,"general"}</definedName>
    <definedName name="____t88" localSheetId="16" hidden="1">{"via1",#N/A,TRUE,"general";"via2",#N/A,TRUE,"general";"via3",#N/A,TRUE,"general"}</definedName>
    <definedName name="____t88" localSheetId="17" hidden="1">{"via1",#N/A,TRUE,"general";"via2",#N/A,TRUE,"general";"via3",#N/A,TRUE,"general"}</definedName>
    <definedName name="____t88" localSheetId="13" hidden="1">{"via1",#N/A,TRUE,"general";"via2",#N/A,TRUE,"general";"via3",#N/A,TRUE,"general"}</definedName>
    <definedName name="____t88" localSheetId="15" hidden="1">{"via1",#N/A,TRUE,"general";"via2",#N/A,TRUE,"general";"via3",#N/A,TRUE,"general"}</definedName>
    <definedName name="____t88" hidden="1">{"via1",#N/A,TRUE,"general";"via2",#N/A,TRUE,"general";"via3",#N/A,TRUE,"general"}</definedName>
    <definedName name="____t9" localSheetId="14" hidden="1">{"TAB1",#N/A,TRUE,"GENERAL";"TAB2",#N/A,TRUE,"GENERAL";"TAB3",#N/A,TRUE,"GENERAL";"TAB4",#N/A,TRUE,"GENERAL";"TAB5",#N/A,TRUE,"GENERAL"}</definedName>
    <definedName name="____t9" localSheetId="16" hidden="1">{"TAB1",#N/A,TRUE,"GENERAL";"TAB2",#N/A,TRUE,"GENERAL";"TAB3",#N/A,TRUE,"GENERAL";"TAB4",#N/A,TRUE,"GENERAL";"TAB5",#N/A,TRUE,"GENERAL"}</definedName>
    <definedName name="____t9" localSheetId="17" hidden="1">{"TAB1",#N/A,TRUE,"GENERAL";"TAB2",#N/A,TRUE,"GENERAL";"TAB3",#N/A,TRUE,"GENERAL";"TAB4",#N/A,TRUE,"GENERAL";"TAB5",#N/A,TRUE,"GENERAL"}</definedName>
    <definedName name="____t9" localSheetId="13" hidden="1">{"TAB1",#N/A,TRUE,"GENERAL";"TAB2",#N/A,TRUE,"GENERAL";"TAB3",#N/A,TRUE,"GENERAL";"TAB4",#N/A,TRUE,"GENERAL";"TAB5",#N/A,TRUE,"GENERAL"}</definedName>
    <definedName name="____t9" localSheetId="15" hidden="1">{"TAB1",#N/A,TRUE,"GENERAL";"TAB2",#N/A,TRUE,"GENERAL";"TAB3",#N/A,TRUE,"GENERAL";"TAB4",#N/A,TRUE,"GENERAL";"TAB5",#N/A,TRUE,"GENERAL"}</definedName>
    <definedName name="____t9" hidden="1">{"TAB1",#N/A,TRUE,"GENERAL";"TAB2",#N/A,TRUE,"GENERAL";"TAB3",#N/A,TRUE,"GENERAL";"TAB4",#N/A,TRUE,"GENERAL";"TAB5",#N/A,TRUE,"GENERAL"}</definedName>
    <definedName name="____t99" localSheetId="14" hidden="1">{"via1",#N/A,TRUE,"general";"via2",#N/A,TRUE,"general";"via3",#N/A,TRUE,"general"}</definedName>
    <definedName name="____t99" localSheetId="16" hidden="1">{"via1",#N/A,TRUE,"general";"via2",#N/A,TRUE,"general";"via3",#N/A,TRUE,"general"}</definedName>
    <definedName name="____t99" localSheetId="17" hidden="1">{"via1",#N/A,TRUE,"general";"via2",#N/A,TRUE,"general";"via3",#N/A,TRUE,"general"}</definedName>
    <definedName name="____t99" localSheetId="13" hidden="1">{"via1",#N/A,TRUE,"general";"via2",#N/A,TRUE,"general";"via3",#N/A,TRUE,"general"}</definedName>
    <definedName name="____t99" localSheetId="15" hidden="1">{"via1",#N/A,TRUE,"general";"via2",#N/A,TRUE,"general";"via3",#N/A,TRUE,"general"}</definedName>
    <definedName name="____t99" hidden="1">{"via1",#N/A,TRUE,"general";"via2",#N/A,TRUE,"general";"via3",#N/A,TRUE,"general"}</definedName>
    <definedName name="____TA1">[7]DATBAND!$L$3:$L$652</definedName>
    <definedName name="____TA2">[7]DATBAND!$M$3:$M$570</definedName>
    <definedName name="____TA3">[7]DATBAND!$N$3:$N$446</definedName>
    <definedName name="____TA4">[7]DATBAND!$O$3:$O$678</definedName>
    <definedName name="____TA5">[7]DATBAND!$P$3:$P$601</definedName>
    <definedName name="____TA6">[7]DATBAND!$Q$3:$Q$531</definedName>
    <definedName name="____TA7">[7]DATBAND!$R$3:$R$504</definedName>
    <definedName name="____TA8">[7]DATBAND!$S$3:$S$674</definedName>
    <definedName name="____TA9">[7]DATBAND!$T$3:$T$544</definedName>
    <definedName name="____TAP2" localSheetId="3">#REF!</definedName>
    <definedName name="____TAP2" localSheetId="30">#REF!</definedName>
    <definedName name="____TAP2" localSheetId="31">#REF!</definedName>
    <definedName name="____TAP2" localSheetId="29">#REF!</definedName>
    <definedName name="____TAP2">#REF!</definedName>
    <definedName name="____TEE1" localSheetId="3">#REF!</definedName>
    <definedName name="____TEE1" localSheetId="30">#REF!</definedName>
    <definedName name="____TEE1" localSheetId="31">#REF!</definedName>
    <definedName name="____TEE1" localSheetId="29">#REF!</definedName>
    <definedName name="____TEE1">#REF!</definedName>
    <definedName name="____TEE2" localSheetId="3">#REF!</definedName>
    <definedName name="____TEE2" localSheetId="30">#REF!</definedName>
    <definedName name="____TEE2" localSheetId="31">#REF!</definedName>
    <definedName name="____TEE2" localSheetId="29">#REF!</definedName>
    <definedName name="____TEE2">#REF!</definedName>
    <definedName name="____TEE32" localSheetId="3">#REF!</definedName>
    <definedName name="____TEE32" localSheetId="30">#REF!</definedName>
    <definedName name="____TEE32" localSheetId="31">#REF!</definedName>
    <definedName name="____TEE32" localSheetId="29">#REF!</definedName>
    <definedName name="____TEE32">#REF!</definedName>
    <definedName name="____TEE33" localSheetId="3">#REF!</definedName>
    <definedName name="____TEE33" localSheetId="30">#REF!</definedName>
    <definedName name="____TEE33" localSheetId="31">#REF!</definedName>
    <definedName name="____TEE33" localSheetId="29">#REF!</definedName>
    <definedName name="____TEE33">#REF!</definedName>
    <definedName name="____TEP44" localSheetId="3">#REF!</definedName>
    <definedName name="____TEP44" localSheetId="30">#REF!</definedName>
    <definedName name="____TEP44" localSheetId="31">#REF!</definedName>
    <definedName name="____TEP44" localSheetId="29">#REF!</definedName>
    <definedName name="____TEP44">#REF!</definedName>
    <definedName name="____TES44" localSheetId="3">#REF!</definedName>
    <definedName name="____TES44" localSheetId="30">#REF!</definedName>
    <definedName name="____TES44" localSheetId="31">#REF!</definedName>
    <definedName name="____TES44" localSheetId="29">#REF!</definedName>
    <definedName name="____TES44">#REF!</definedName>
    <definedName name="____TES64" localSheetId="3">#REF!</definedName>
    <definedName name="____TES64" localSheetId="30">#REF!</definedName>
    <definedName name="____TES64" localSheetId="31">#REF!</definedName>
    <definedName name="____TES64" localSheetId="29">#REF!</definedName>
    <definedName name="____TES64">#REF!</definedName>
    <definedName name="____TES66" localSheetId="3">#REF!</definedName>
    <definedName name="____TES66" localSheetId="30">#REF!</definedName>
    <definedName name="____TES66" localSheetId="31">#REF!</definedName>
    <definedName name="____TES66" localSheetId="29">#REF!</definedName>
    <definedName name="____TES66">#REF!</definedName>
    <definedName name="____THF12" localSheetId="3">#REF!</definedName>
    <definedName name="____THF12" localSheetId="30">#REF!</definedName>
    <definedName name="____THF12" localSheetId="31">#REF!</definedName>
    <definedName name="____THF12" localSheetId="29">#REF!</definedName>
    <definedName name="____THF12">#REF!</definedName>
    <definedName name="____TPE1132" localSheetId="3">#REF!</definedName>
    <definedName name="____TPE1132" localSheetId="30">#REF!</definedName>
    <definedName name="____TPE1132" localSheetId="31">#REF!</definedName>
    <definedName name="____TPE1132" localSheetId="29">#REF!</definedName>
    <definedName name="____TPE1132">#REF!</definedName>
    <definedName name="____TPE12" localSheetId="3">#REF!</definedName>
    <definedName name="____TPE12" localSheetId="30">#REF!</definedName>
    <definedName name="____TPE12" localSheetId="31">#REF!</definedName>
    <definedName name="____TPE12" localSheetId="29">#REF!</definedName>
    <definedName name="____TPE12">#REF!</definedName>
    <definedName name="____TPE1331" localSheetId="3">#REF!</definedName>
    <definedName name="____TPE1331" localSheetId="30">#REF!</definedName>
    <definedName name="____TPE1331" localSheetId="31">#REF!</definedName>
    <definedName name="____TPE1331" localSheetId="29">#REF!</definedName>
    <definedName name="____TPE1331">#REF!</definedName>
    <definedName name="____TPE1701" localSheetId="3">#REF!</definedName>
    <definedName name="____TPE1701" localSheetId="30">#REF!</definedName>
    <definedName name="____TPE1701" localSheetId="31">#REF!</definedName>
    <definedName name="____TPE1701" localSheetId="29">#REF!</definedName>
    <definedName name="____TPE1701">#REF!</definedName>
    <definedName name="____TPE1702" localSheetId="3">#REF!</definedName>
    <definedName name="____TPE1702" localSheetId="30">#REF!</definedName>
    <definedName name="____TPE1702" localSheetId="31">#REF!</definedName>
    <definedName name="____TPE1702" localSheetId="29">#REF!</definedName>
    <definedName name="____TPE1702">#REF!</definedName>
    <definedName name="____TPE1703" localSheetId="3">#REF!</definedName>
    <definedName name="____TPE1703" localSheetId="30">#REF!</definedName>
    <definedName name="____TPE1703" localSheetId="31">#REF!</definedName>
    <definedName name="____TPE1703" localSheetId="29">#REF!</definedName>
    <definedName name="____TPE1703">#REF!</definedName>
    <definedName name="____TPE1704" localSheetId="3">#REF!</definedName>
    <definedName name="____TPE1704" localSheetId="30">#REF!</definedName>
    <definedName name="____TPE1704" localSheetId="31">#REF!</definedName>
    <definedName name="____TPE1704" localSheetId="29">#REF!</definedName>
    <definedName name="____TPE1704">#REF!</definedName>
    <definedName name="____TPE1706" localSheetId="3">#REF!</definedName>
    <definedName name="____TPE1706" localSheetId="30">#REF!</definedName>
    <definedName name="____TPE1706" localSheetId="31">#REF!</definedName>
    <definedName name="____TPE1706" localSheetId="29">#REF!</definedName>
    <definedName name="____TPE1706">#REF!</definedName>
    <definedName name="____TPE1708" localSheetId="3">#REF!</definedName>
    <definedName name="____TPE1708" localSheetId="30">#REF!</definedName>
    <definedName name="____TPE1708" localSheetId="31">#REF!</definedName>
    <definedName name="____TPE1708" localSheetId="29">#REF!</definedName>
    <definedName name="____TPE1708">#REF!</definedName>
    <definedName name="____TPE1710" localSheetId="3">#REF!</definedName>
    <definedName name="____TPE1710" localSheetId="30">#REF!</definedName>
    <definedName name="____TPE1710" localSheetId="31">#REF!</definedName>
    <definedName name="____TPE1710" localSheetId="29">#REF!</definedName>
    <definedName name="____TPE1710">#REF!</definedName>
    <definedName name="____TPE1735" localSheetId="3">#REF!</definedName>
    <definedName name="____TPE1735" localSheetId="30">#REF!</definedName>
    <definedName name="____TPE1735" localSheetId="31">#REF!</definedName>
    <definedName name="____TPE1735" localSheetId="29">#REF!</definedName>
    <definedName name="____TPE1735">#REF!</definedName>
    <definedName name="____TPE1763" localSheetId="3">#REF!</definedName>
    <definedName name="____TPE1763" localSheetId="30">#REF!</definedName>
    <definedName name="____TPE1763" localSheetId="31">#REF!</definedName>
    <definedName name="____TPE1763" localSheetId="29">#REF!</definedName>
    <definedName name="____TPE1763">#REF!</definedName>
    <definedName name="____TPE1790" localSheetId="3">#REF!</definedName>
    <definedName name="____TPE1790" localSheetId="30">#REF!</definedName>
    <definedName name="____TPE1790" localSheetId="31">#REF!</definedName>
    <definedName name="____TPE1790" localSheetId="29">#REF!</definedName>
    <definedName name="____TPE1790">#REF!</definedName>
    <definedName name="____TPE8016">#REF!</definedName>
    <definedName name="____TPE8020">#REF!</definedName>
    <definedName name="____TPE8025">#REF!</definedName>
    <definedName name="____TPF12" localSheetId="3">#REF!</definedName>
    <definedName name="____TPF12" localSheetId="30">#REF!</definedName>
    <definedName name="____TPF12" localSheetId="31">#REF!</definedName>
    <definedName name="____TPF12" localSheetId="29">#REF!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R114" localSheetId="3">#REF!</definedName>
    <definedName name="____TR114" localSheetId="30">#REF!</definedName>
    <definedName name="____TR114" localSheetId="31">#REF!</definedName>
    <definedName name="____TR114" localSheetId="29">#REF!</definedName>
    <definedName name="____TR114">#REF!</definedName>
    <definedName name="____TUZ22" localSheetId="3">#REF!</definedName>
    <definedName name="____TUZ22">#REF!</definedName>
    <definedName name="____TUZ36" localSheetId="3">#REF!</definedName>
    <definedName name="____TUZ36">#REF!</definedName>
    <definedName name="____TZ2110" localSheetId="3">#REF!</definedName>
    <definedName name="____TZ2110" localSheetId="30">#REF!</definedName>
    <definedName name="____TZ2110" localSheetId="31">#REF!</definedName>
    <definedName name="____TZ2110" localSheetId="29">#REF!</definedName>
    <definedName name="____TZ2110">#REF!</definedName>
    <definedName name="____TZ2112" localSheetId="3">#REF!</definedName>
    <definedName name="____TZ2112" localSheetId="30">#REF!</definedName>
    <definedName name="____TZ2112" localSheetId="31">#REF!</definedName>
    <definedName name="____TZ2112" localSheetId="29">#REF!</definedName>
    <definedName name="____TZ2112">#REF!</definedName>
    <definedName name="____TZ2114" localSheetId="3">#REF!</definedName>
    <definedName name="____TZ2114" localSheetId="30">#REF!</definedName>
    <definedName name="____TZ2114" localSheetId="31">#REF!</definedName>
    <definedName name="____TZ2114" localSheetId="29">#REF!</definedName>
    <definedName name="____TZ2114">#REF!</definedName>
    <definedName name="____TZ2116" localSheetId="3">#REF!</definedName>
    <definedName name="____TZ2116" localSheetId="30">#REF!</definedName>
    <definedName name="____TZ2116" localSheetId="31">#REF!</definedName>
    <definedName name="____TZ2116" localSheetId="29">#REF!</definedName>
    <definedName name="____TZ2116">#REF!</definedName>
    <definedName name="____TZ212" localSheetId="3">#REF!</definedName>
    <definedName name="____TZ212" localSheetId="30">#REF!</definedName>
    <definedName name="____TZ212" localSheetId="31">#REF!</definedName>
    <definedName name="____TZ212" localSheetId="29">#REF!</definedName>
    <definedName name="____TZ212">#REF!</definedName>
    <definedName name="____TZ213" localSheetId="3">#REF!</definedName>
    <definedName name="____TZ213" localSheetId="30">#REF!</definedName>
    <definedName name="____TZ213" localSheetId="31">#REF!</definedName>
    <definedName name="____TZ213" localSheetId="29">#REF!</definedName>
    <definedName name="____TZ213">#REF!</definedName>
    <definedName name="____TZ214" localSheetId="3">#REF!</definedName>
    <definedName name="____TZ214" localSheetId="30">#REF!</definedName>
    <definedName name="____TZ214" localSheetId="31">#REF!</definedName>
    <definedName name="____TZ214" localSheetId="29">#REF!</definedName>
    <definedName name="____TZ214">#REF!</definedName>
    <definedName name="____TZ216" localSheetId="3">#REF!</definedName>
    <definedName name="____TZ216" localSheetId="30">#REF!</definedName>
    <definedName name="____TZ216" localSheetId="31">#REF!</definedName>
    <definedName name="____TZ216" localSheetId="29">#REF!</definedName>
    <definedName name="____TZ216">#REF!</definedName>
    <definedName name="____TZ218" localSheetId="3">#REF!</definedName>
    <definedName name="____TZ218" localSheetId="30">#REF!</definedName>
    <definedName name="____TZ218" localSheetId="31">#REF!</definedName>
    <definedName name="____TZ218" localSheetId="29">#REF!</definedName>
    <definedName name="____TZ218">#REF!</definedName>
    <definedName name="____TZ225" localSheetId="3">#REF!</definedName>
    <definedName name="____TZ225" localSheetId="30">#REF!</definedName>
    <definedName name="____TZ225" localSheetId="31">#REF!</definedName>
    <definedName name="____TZ225" localSheetId="29">#REF!</definedName>
    <definedName name="____TZ225">#REF!</definedName>
    <definedName name="____TZ2610" localSheetId="3">#REF!</definedName>
    <definedName name="____TZ2610" localSheetId="30">#REF!</definedName>
    <definedName name="____TZ2610" localSheetId="31">#REF!</definedName>
    <definedName name="____TZ2610" localSheetId="29">#REF!</definedName>
    <definedName name="____TZ2610">#REF!</definedName>
    <definedName name="____TZ2612" localSheetId="3">#REF!</definedName>
    <definedName name="____TZ2612" localSheetId="30">#REF!</definedName>
    <definedName name="____TZ2612" localSheetId="31">#REF!</definedName>
    <definedName name="____TZ2612" localSheetId="29">#REF!</definedName>
    <definedName name="____TZ2612">#REF!</definedName>
    <definedName name="____TZ2616" localSheetId="3">#REF!</definedName>
    <definedName name="____TZ2616" localSheetId="30">#REF!</definedName>
    <definedName name="____TZ2616" localSheetId="31">#REF!</definedName>
    <definedName name="____TZ2616" localSheetId="29">#REF!</definedName>
    <definedName name="____TZ2616">#REF!</definedName>
    <definedName name="____TZ262" localSheetId="3">#REF!</definedName>
    <definedName name="____TZ262" localSheetId="30">#REF!</definedName>
    <definedName name="____TZ262" localSheetId="31">#REF!</definedName>
    <definedName name="____TZ262" localSheetId="29">#REF!</definedName>
    <definedName name="____TZ262">#REF!</definedName>
    <definedName name="____TZ263" localSheetId="3">#REF!</definedName>
    <definedName name="____TZ263" localSheetId="30">#REF!</definedName>
    <definedName name="____TZ263" localSheetId="31">#REF!</definedName>
    <definedName name="____TZ263" localSheetId="29">#REF!</definedName>
    <definedName name="____TZ263">#REF!</definedName>
    <definedName name="____TZ264" localSheetId="3">#REF!</definedName>
    <definedName name="____TZ264" localSheetId="30">#REF!</definedName>
    <definedName name="____TZ264" localSheetId="31">#REF!</definedName>
    <definedName name="____TZ264" localSheetId="29">#REF!</definedName>
    <definedName name="____TZ264">#REF!</definedName>
    <definedName name="____TZ266" localSheetId="3">#REF!</definedName>
    <definedName name="____TZ266" localSheetId="30">#REF!</definedName>
    <definedName name="____TZ266" localSheetId="31">#REF!</definedName>
    <definedName name="____TZ266" localSheetId="29">#REF!</definedName>
    <definedName name="____TZ266">#REF!</definedName>
    <definedName name="____TZ268" localSheetId="3">#REF!</definedName>
    <definedName name="____TZ268" localSheetId="30">#REF!</definedName>
    <definedName name="____TZ268" localSheetId="31">#REF!</definedName>
    <definedName name="____TZ268" localSheetId="29">#REF!</definedName>
    <definedName name="____TZ268">#REF!</definedName>
    <definedName name="____TZ323" localSheetId="3">#REF!</definedName>
    <definedName name="____TZ323">#REF!</definedName>
    <definedName name="____TZ324" localSheetId="3">#REF!</definedName>
    <definedName name="____TZ324">#REF!</definedName>
    <definedName name="____TZ32510" localSheetId="3">#REF!</definedName>
    <definedName name="____TZ32510" localSheetId="30">#REF!</definedName>
    <definedName name="____TZ32510" localSheetId="31">#REF!</definedName>
    <definedName name="____TZ32510" localSheetId="29">#REF!</definedName>
    <definedName name="____TZ32510">#REF!</definedName>
    <definedName name="____TZ32512" localSheetId="3">#REF!</definedName>
    <definedName name="____TZ32512" localSheetId="30">#REF!</definedName>
    <definedName name="____TZ32512" localSheetId="31">#REF!</definedName>
    <definedName name="____TZ32512" localSheetId="29">#REF!</definedName>
    <definedName name="____TZ32512">#REF!</definedName>
    <definedName name="____TZ3253" localSheetId="3">#REF!</definedName>
    <definedName name="____TZ3253" localSheetId="30">#REF!</definedName>
    <definedName name="____TZ3253" localSheetId="31">#REF!</definedName>
    <definedName name="____TZ3253" localSheetId="29">#REF!</definedName>
    <definedName name="____TZ3253">#REF!</definedName>
    <definedName name="____TZ3254" localSheetId="3">#REF!</definedName>
    <definedName name="____TZ3254" localSheetId="30">#REF!</definedName>
    <definedName name="____TZ3254" localSheetId="31">#REF!</definedName>
    <definedName name="____TZ3254" localSheetId="29">#REF!</definedName>
    <definedName name="____TZ3254">#REF!</definedName>
    <definedName name="____TZ3256" localSheetId="3">#REF!</definedName>
    <definedName name="____TZ3256" localSheetId="30">#REF!</definedName>
    <definedName name="____TZ3256" localSheetId="31">#REF!</definedName>
    <definedName name="____TZ3256" localSheetId="29">#REF!</definedName>
    <definedName name="____TZ3256">#REF!</definedName>
    <definedName name="____TZ3258" localSheetId="3">#REF!</definedName>
    <definedName name="____TZ3258" localSheetId="30">#REF!</definedName>
    <definedName name="____TZ3258" localSheetId="31">#REF!</definedName>
    <definedName name="____TZ3258" localSheetId="29">#REF!</definedName>
    <definedName name="____TZ3258">#REF!</definedName>
    <definedName name="____TZ4110" localSheetId="3">#REF!</definedName>
    <definedName name="____TZ4110" localSheetId="30">#REF!</definedName>
    <definedName name="____TZ4110" localSheetId="31">#REF!</definedName>
    <definedName name="____TZ4110" localSheetId="29">#REF!</definedName>
    <definedName name="____TZ4110">#REF!</definedName>
    <definedName name="____TZ4112" localSheetId="3">#REF!</definedName>
    <definedName name="____TZ4112" localSheetId="30">#REF!</definedName>
    <definedName name="____TZ4112" localSheetId="31">#REF!</definedName>
    <definedName name="____TZ4112" localSheetId="29">#REF!</definedName>
    <definedName name="____TZ4112">#REF!</definedName>
    <definedName name="____TZ414" localSheetId="3">#REF!</definedName>
    <definedName name="____TZ414" localSheetId="30">#REF!</definedName>
    <definedName name="____TZ414" localSheetId="31">#REF!</definedName>
    <definedName name="____TZ414" localSheetId="29">#REF!</definedName>
    <definedName name="____TZ414">#REF!</definedName>
    <definedName name="____TZ416" localSheetId="3">#REF!</definedName>
    <definedName name="____TZ416" localSheetId="30">#REF!</definedName>
    <definedName name="____TZ416" localSheetId="31">#REF!</definedName>
    <definedName name="____TZ416" localSheetId="29">#REF!</definedName>
    <definedName name="____TZ416">#REF!</definedName>
    <definedName name="____TZ418" localSheetId="3">#REF!</definedName>
    <definedName name="____TZ418" localSheetId="30">#REF!</definedName>
    <definedName name="____TZ418" localSheetId="31">#REF!</definedName>
    <definedName name="____TZ418" localSheetId="29">#REF!</definedName>
    <definedName name="____TZ418">#REF!</definedName>
    <definedName name="____u4" localSheetId="14" hidden="1">{"TAB1",#N/A,TRUE,"GENERAL";"TAB2",#N/A,TRUE,"GENERAL";"TAB3",#N/A,TRUE,"GENERAL";"TAB4",#N/A,TRUE,"GENERAL";"TAB5",#N/A,TRUE,"GENERAL"}</definedName>
    <definedName name="____u4" localSheetId="16" hidden="1">{"TAB1",#N/A,TRUE,"GENERAL";"TAB2",#N/A,TRUE,"GENERAL";"TAB3",#N/A,TRUE,"GENERAL";"TAB4",#N/A,TRUE,"GENERAL";"TAB5",#N/A,TRUE,"GENERAL"}</definedName>
    <definedName name="____u4" localSheetId="17" hidden="1">{"TAB1",#N/A,TRUE,"GENERAL";"TAB2",#N/A,TRUE,"GENERAL";"TAB3",#N/A,TRUE,"GENERAL";"TAB4",#N/A,TRUE,"GENERAL";"TAB5",#N/A,TRUE,"GENERAL"}</definedName>
    <definedName name="____u4" localSheetId="13" hidden="1">{"TAB1",#N/A,TRUE,"GENERAL";"TAB2",#N/A,TRUE,"GENERAL";"TAB3",#N/A,TRUE,"GENERAL";"TAB4",#N/A,TRUE,"GENERAL";"TAB5",#N/A,TRUE,"GENERAL"}</definedName>
    <definedName name="____u4" localSheetId="15" hidden="1">{"TAB1",#N/A,TRUE,"GENERAL";"TAB2",#N/A,TRUE,"GENERAL";"TAB3",#N/A,TRUE,"GENERAL";"TAB4",#N/A,TRUE,"GENERAL";"TAB5",#N/A,TRUE,"GENERAL"}</definedName>
    <definedName name="____u4" hidden="1">{"TAB1",#N/A,TRUE,"GENERAL";"TAB2",#N/A,TRUE,"GENERAL";"TAB3",#N/A,TRUE,"GENERAL";"TAB4",#N/A,TRUE,"GENERAL";"TAB5",#N/A,TRUE,"GENERAL"}</definedName>
    <definedName name="____u5" localSheetId="14" hidden="1">{"TAB1",#N/A,TRUE,"GENERAL";"TAB2",#N/A,TRUE,"GENERAL";"TAB3",#N/A,TRUE,"GENERAL";"TAB4",#N/A,TRUE,"GENERAL";"TAB5",#N/A,TRUE,"GENERAL"}</definedName>
    <definedName name="____u5" localSheetId="16" hidden="1">{"TAB1",#N/A,TRUE,"GENERAL";"TAB2",#N/A,TRUE,"GENERAL";"TAB3",#N/A,TRUE,"GENERAL";"TAB4",#N/A,TRUE,"GENERAL";"TAB5",#N/A,TRUE,"GENERAL"}</definedName>
    <definedName name="____u5" localSheetId="17" hidden="1">{"TAB1",#N/A,TRUE,"GENERAL";"TAB2",#N/A,TRUE,"GENERAL";"TAB3",#N/A,TRUE,"GENERAL";"TAB4",#N/A,TRUE,"GENERAL";"TAB5",#N/A,TRUE,"GENERAL"}</definedName>
    <definedName name="____u5" localSheetId="13" hidden="1">{"TAB1",#N/A,TRUE,"GENERAL";"TAB2",#N/A,TRUE,"GENERAL";"TAB3",#N/A,TRUE,"GENERAL";"TAB4",#N/A,TRUE,"GENERAL";"TAB5",#N/A,TRUE,"GENERAL"}</definedName>
    <definedName name="____u5" localSheetId="15" hidden="1">{"TAB1",#N/A,TRUE,"GENERAL";"TAB2",#N/A,TRUE,"GENERAL";"TAB3",#N/A,TRUE,"GENERAL";"TAB4",#N/A,TRUE,"GENERAL";"TAB5",#N/A,TRUE,"GENERAL"}</definedName>
    <definedName name="____u5" hidden="1">{"TAB1",#N/A,TRUE,"GENERAL";"TAB2",#N/A,TRUE,"GENERAL";"TAB3",#N/A,TRUE,"GENERAL";"TAB4",#N/A,TRUE,"GENERAL";"TAB5",#N/A,TRUE,"GENERAL"}</definedName>
    <definedName name="____u6" localSheetId="14" hidden="1">{"TAB1",#N/A,TRUE,"GENERAL";"TAB2",#N/A,TRUE,"GENERAL";"TAB3",#N/A,TRUE,"GENERAL";"TAB4",#N/A,TRUE,"GENERAL";"TAB5",#N/A,TRUE,"GENERAL"}</definedName>
    <definedName name="____u6" localSheetId="16" hidden="1">{"TAB1",#N/A,TRUE,"GENERAL";"TAB2",#N/A,TRUE,"GENERAL";"TAB3",#N/A,TRUE,"GENERAL";"TAB4",#N/A,TRUE,"GENERAL";"TAB5",#N/A,TRUE,"GENERAL"}</definedName>
    <definedName name="____u6" localSheetId="17" hidden="1">{"TAB1",#N/A,TRUE,"GENERAL";"TAB2",#N/A,TRUE,"GENERAL";"TAB3",#N/A,TRUE,"GENERAL";"TAB4",#N/A,TRUE,"GENERAL";"TAB5",#N/A,TRUE,"GENERAL"}</definedName>
    <definedName name="____u6" localSheetId="13" hidden="1">{"TAB1",#N/A,TRUE,"GENERAL";"TAB2",#N/A,TRUE,"GENERAL";"TAB3",#N/A,TRUE,"GENERAL";"TAB4",#N/A,TRUE,"GENERAL";"TAB5",#N/A,TRUE,"GENERAL"}</definedName>
    <definedName name="____u6" localSheetId="15" hidden="1">{"TAB1",#N/A,TRUE,"GENERAL";"TAB2",#N/A,TRUE,"GENERAL";"TAB3",#N/A,TRUE,"GENERAL";"TAB4",#N/A,TRUE,"GENERAL";"TAB5",#N/A,TRUE,"GENERAL"}</definedName>
    <definedName name="____u6" hidden="1">{"TAB1",#N/A,TRUE,"GENERAL";"TAB2",#N/A,TRUE,"GENERAL";"TAB3",#N/A,TRUE,"GENERAL";"TAB4",#N/A,TRUE,"GENERAL";"TAB5",#N/A,TRUE,"GENERAL"}</definedName>
    <definedName name="____u7" localSheetId="14" hidden="1">{"via1",#N/A,TRUE,"general";"via2",#N/A,TRUE,"general";"via3",#N/A,TRUE,"general"}</definedName>
    <definedName name="____u7" localSheetId="16" hidden="1">{"via1",#N/A,TRUE,"general";"via2",#N/A,TRUE,"general";"via3",#N/A,TRUE,"general"}</definedName>
    <definedName name="____u7" localSheetId="17" hidden="1">{"via1",#N/A,TRUE,"general";"via2",#N/A,TRUE,"general";"via3",#N/A,TRUE,"general"}</definedName>
    <definedName name="____u7" localSheetId="13" hidden="1">{"via1",#N/A,TRUE,"general";"via2",#N/A,TRUE,"general";"via3",#N/A,TRUE,"general"}</definedName>
    <definedName name="____u7" localSheetId="15" hidden="1">{"via1",#N/A,TRUE,"general";"via2",#N/A,TRUE,"general";"via3",#N/A,TRUE,"general"}</definedName>
    <definedName name="____u7" hidden="1">{"via1",#N/A,TRUE,"general";"via2",#N/A,TRUE,"general";"via3",#N/A,TRUE,"general"}</definedName>
    <definedName name="____u8" localSheetId="14" hidden="1">{"TAB1",#N/A,TRUE,"GENERAL";"TAB2",#N/A,TRUE,"GENERAL";"TAB3",#N/A,TRUE,"GENERAL";"TAB4",#N/A,TRUE,"GENERAL";"TAB5",#N/A,TRUE,"GENERAL"}</definedName>
    <definedName name="____u8" localSheetId="16" hidden="1">{"TAB1",#N/A,TRUE,"GENERAL";"TAB2",#N/A,TRUE,"GENERAL";"TAB3",#N/A,TRUE,"GENERAL";"TAB4",#N/A,TRUE,"GENERAL";"TAB5",#N/A,TRUE,"GENERAL"}</definedName>
    <definedName name="____u8" localSheetId="17" hidden="1">{"TAB1",#N/A,TRUE,"GENERAL";"TAB2",#N/A,TRUE,"GENERAL";"TAB3",#N/A,TRUE,"GENERAL";"TAB4",#N/A,TRUE,"GENERAL";"TAB5",#N/A,TRUE,"GENERAL"}</definedName>
    <definedName name="____u8" localSheetId="13" hidden="1">{"TAB1",#N/A,TRUE,"GENERAL";"TAB2",#N/A,TRUE,"GENERAL";"TAB3",#N/A,TRUE,"GENERAL";"TAB4",#N/A,TRUE,"GENERAL";"TAB5",#N/A,TRUE,"GENERAL"}</definedName>
    <definedName name="____u8" localSheetId="15" hidden="1">{"TAB1",#N/A,TRUE,"GENERAL";"TAB2",#N/A,TRUE,"GENERAL";"TAB3",#N/A,TRUE,"GENERAL";"TAB4",#N/A,TRUE,"GENERAL";"TAB5",#N/A,TRUE,"GENERAL"}</definedName>
    <definedName name="____u8" hidden="1">{"TAB1",#N/A,TRUE,"GENERAL";"TAB2",#N/A,TRUE,"GENERAL";"TAB3",#N/A,TRUE,"GENERAL";"TAB4",#N/A,TRUE,"GENERAL";"TAB5",#N/A,TRUE,"GENERAL"}</definedName>
    <definedName name="____u9" localSheetId="14" hidden="1">{"TAB1",#N/A,TRUE,"GENERAL";"TAB2",#N/A,TRUE,"GENERAL";"TAB3",#N/A,TRUE,"GENERAL";"TAB4",#N/A,TRUE,"GENERAL";"TAB5",#N/A,TRUE,"GENERAL"}</definedName>
    <definedName name="____u9" localSheetId="16" hidden="1">{"TAB1",#N/A,TRUE,"GENERAL";"TAB2",#N/A,TRUE,"GENERAL";"TAB3",#N/A,TRUE,"GENERAL";"TAB4",#N/A,TRUE,"GENERAL";"TAB5",#N/A,TRUE,"GENERAL"}</definedName>
    <definedName name="____u9" localSheetId="17" hidden="1">{"TAB1",#N/A,TRUE,"GENERAL";"TAB2",#N/A,TRUE,"GENERAL";"TAB3",#N/A,TRUE,"GENERAL";"TAB4",#N/A,TRUE,"GENERAL";"TAB5",#N/A,TRUE,"GENERAL"}</definedName>
    <definedName name="____u9" localSheetId="13" hidden="1">{"TAB1",#N/A,TRUE,"GENERAL";"TAB2",#N/A,TRUE,"GENERAL";"TAB3",#N/A,TRUE,"GENERAL";"TAB4",#N/A,TRUE,"GENERAL";"TAB5",#N/A,TRUE,"GENERAL"}</definedName>
    <definedName name="____u9" localSheetId="15" hidden="1">{"TAB1",#N/A,TRUE,"GENERAL";"TAB2",#N/A,TRUE,"GENERAL";"TAB3",#N/A,TRUE,"GENERAL";"TAB4",#N/A,TRUE,"GENERAL";"TAB5",#N/A,TRUE,"GENERAL"}</definedName>
    <definedName name="____u9" hidden="1">{"TAB1",#N/A,TRUE,"GENERAL";"TAB2",#N/A,TRUE,"GENERAL";"TAB3",#N/A,TRUE,"GENERAL";"TAB4",#N/A,TRUE,"GENERAL";"TAB5",#N/A,TRUE,"GENERAL"}</definedName>
    <definedName name="____UDD06" localSheetId="3">#REF!</definedName>
    <definedName name="____UDD06" localSheetId="30">#REF!</definedName>
    <definedName name="____UDD06" localSheetId="31">#REF!</definedName>
    <definedName name="____UDD06" localSheetId="29">#REF!</definedName>
    <definedName name="____UDD06">#REF!</definedName>
    <definedName name="____UDD08" localSheetId="3">#REF!</definedName>
    <definedName name="____UDD08" localSheetId="30">#REF!</definedName>
    <definedName name="____UDD08" localSheetId="31">#REF!</definedName>
    <definedName name="____UDD08" localSheetId="29">#REF!</definedName>
    <definedName name="____UDD08">#REF!</definedName>
    <definedName name="____UNI32" localSheetId="3">#REF!</definedName>
    <definedName name="____UNI32" localSheetId="30">#REF!</definedName>
    <definedName name="____UNI32" localSheetId="31">#REF!</definedName>
    <definedName name="____UNI32" localSheetId="29">#REF!</definedName>
    <definedName name="____UNI32">#REF!</definedName>
    <definedName name="____ur7" localSheetId="14" hidden="1">{"TAB1",#N/A,TRUE,"GENERAL";"TAB2",#N/A,TRUE,"GENERAL";"TAB3",#N/A,TRUE,"GENERAL";"TAB4",#N/A,TRUE,"GENERAL";"TAB5",#N/A,TRUE,"GENERAL"}</definedName>
    <definedName name="____ur7" localSheetId="16" hidden="1">{"TAB1",#N/A,TRUE,"GENERAL";"TAB2",#N/A,TRUE,"GENERAL";"TAB3",#N/A,TRUE,"GENERAL";"TAB4",#N/A,TRUE,"GENERAL";"TAB5",#N/A,TRUE,"GENERAL"}</definedName>
    <definedName name="____ur7" localSheetId="17" hidden="1">{"TAB1",#N/A,TRUE,"GENERAL";"TAB2",#N/A,TRUE,"GENERAL";"TAB3",#N/A,TRUE,"GENERAL";"TAB4",#N/A,TRUE,"GENERAL";"TAB5",#N/A,TRUE,"GENERAL"}</definedName>
    <definedName name="____ur7" localSheetId="13" hidden="1">{"TAB1",#N/A,TRUE,"GENERAL";"TAB2",#N/A,TRUE,"GENERAL";"TAB3",#N/A,TRUE,"GENERAL";"TAB4",#N/A,TRUE,"GENERAL";"TAB5",#N/A,TRUE,"GENERAL"}</definedName>
    <definedName name="____ur7" localSheetId="15" hidden="1">{"TAB1",#N/A,TRUE,"GENERAL";"TAB2",#N/A,TRUE,"GENERAL";"TAB3",#N/A,TRUE,"GENERAL";"TAB4",#N/A,TRUE,"GENERAL";"TAB5",#N/A,TRUE,"GENERAL"}</definedName>
    <definedName name="____ur7" hidden="1">{"TAB1",#N/A,TRUE,"GENERAL";"TAB2",#N/A,TRUE,"GENERAL";"TAB3",#N/A,TRUE,"GENERAL";"TAB4",#N/A,TRUE,"GENERAL";"TAB5",#N/A,TRUE,"GENERAL"}</definedName>
    <definedName name="____v2" localSheetId="14" hidden="1">{"via1",#N/A,TRUE,"general";"via2",#N/A,TRUE,"general";"via3",#N/A,TRUE,"general"}</definedName>
    <definedName name="____v2" localSheetId="16" hidden="1">{"via1",#N/A,TRUE,"general";"via2",#N/A,TRUE,"general";"via3",#N/A,TRUE,"general"}</definedName>
    <definedName name="____v2" localSheetId="17" hidden="1">{"via1",#N/A,TRUE,"general";"via2",#N/A,TRUE,"general";"via3",#N/A,TRUE,"general"}</definedName>
    <definedName name="____v2" localSheetId="13" hidden="1">{"via1",#N/A,TRUE,"general";"via2",#N/A,TRUE,"general";"via3",#N/A,TRUE,"general"}</definedName>
    <definedName name="____v2" localSheetId="15" hidden="1">{"via1",#N/A,TRUE,"general";"via2",#N/A,TRUE,"general";"via3",#N/A,TRUE,"general"}</definedName>
    <definedName name="____v2" hidden="1">{"via1",#N/A,TRUE,"general";"via2",#N/A,TRUE,"general";"via3",#N/A,TRUE,"general"}</definedName>
    <definedName name="____v3" localSheetId="14" hidden="1">{"TAB1",#N/A,TRUE,"GENERAL";"TAB2",#N/A,TRUE,"GENERAL";"TAB3",#N/A,TRUE,"GENERAL";"TAB4",#N/A,TRUE,"GENERAL";"TAB5",#N/A,TRUE,"GENERAL"}</definedName>
    <definedName name="____v3" localSheetId="16" hidden="1">{"TAB1",#N/A,TRUE,"GENERAL";"TAB2",#N/A,TRUE,"GENERAL";"TAB3",#N/A,TRUE,"GENERAL";"TAB4",#N/A,TRUE,"GENERAL";"TAB5",#N/A,TRUE,"GENERAL"}</definedName>
    <definedName name="____v3" localSheetId="17" hidden="1">{"TAB1",#N/A,TRUE,"GENERAL";"TAB2",#N/A,TRUE,"GENERAL";"TAB3",#N/A,TRUE,"GENERAL";"TAB4",#N/A,TRUE,"GENERAL";"TAB5",#N/A,TRUE,"GENERAL"}</definedName>
    <definedName name="____v3" localSheetId="13" hidden="1">{"TAB1",#N/A,TRUE,"GENERAL";"TAB2",#N/A,TRUE,"GENERAL";"TAB3",#N/A,TRUE,"GENERAL";"TAB4",#N/A,TRUE,"GENERAL";"TAB5",#N/A,TRUE,"GENERAL"}</definedName>
    <definedName name="____v3" localSheetId="15" hidden="1">{"TAB1",#N/A,TRUE,"GENERAL";"TAB2",#N/A,TRUE,"GENERAL";"TAB3",#N/A,TRUE,"GENERAL";"TAB4",#N/A,TRUE,"GENERAL";"TAB5",#N/A,TRUE,"GENERAL"}</definedName>
    <definedName name="____v3" hidden="1">{"TAB1",#N/A,TRUE,"GENERAL";"TAB2",#N/A,TRUE,"GENERAL";"TAB3",#N/A,TRUE,"GENERAL";"TAB4",#N/A,TRUE,"GENERAL";"TAB5",#N/A,TRUE,"GENERAL"}</definedName>
    <definedName name="____v4" localSheetId="14" hidden="1">{"TAB1",#N/A,TRUE,"GENERAL";"TAB2",#N/A,TRUE,"GENERAL";"TAB3",#N/A,TRUE,"GENERAL";"TAB4",#N/A,TRUE,"GENERAL";"TAB5",#N/A,TRUE,"GENERAL"}</definedName>
    <definedName name="____v4" localSheetId="16" hidden="1">{"TAB1",#N/A,TRUE,"GENERAL";"TAB2",#N/A,TRUE,"GENERAL";"TAB3",#N/A,TRUE,"GENERAL";"TAB4",#N/A,TRUE,"GENERAL";"TAB5",#N/A,TRUE,"GENERAL"}</definedName>
    <definedName name="____v4" localSheetId="17" hidden="1">{"TAB1",#N/A,TRUE,"GENERAL";"TAB2",#N/A,TRUE,"GENERAL";"TAB3",#N/A,TRUE,"GENERAL";"TAB4",#N/A,TRUE,"GENERAL";"TAB5",#N/A,TRUE,"GENERAL"}</definedName>
    <definedName name="____v4" localSheetId="13" hidden="1">{"TAB1",#N/A,TRUE,"GENERAL";"TAB2",#N/A,TRUE,"GENERAL";"TAB3",#N/A,TRUE,"GENERAL";"TAB4",#N/A,TRUE,"GENERAL";"TAB5",#N/A,TRUE,"GENERAL"}</definedName>
    <definedName name="____v4" localSheetId="15" hidden="1">{"TAB1",#N/A,TRUE,"GENERAL";"TAB2",#N/A,TRUE,"GENERAL";"TAB3",#N/A,TRUE,"GENERAL";"TAB4",#N/A,TRUE,"GENERAL";"TAB5",#N/A,TRUE,"GENERAL"}</definedName>
    <definedName name="____v4" hidden="1">{"TAB1",#N/A,TRUE,"GENERAL";"TAB2",#N/A,TRUE,"GENERAL";"TAB3",#N/A,TRUE,"GENERAL";"TAB4",#N/A,TRUE,"GENERAL";"TAB5",#N/A,TRUE,"GENERAL"}</definedName>
    <definedName name="____v5" localSheetId="14" hidden="1">{"TAB1",#N/A,TRUE,"GENERAL";"TAB2",#N/A,TRUE,"GENERAL";"TAB3",#N/A,TRUE,"GENERAL";"TAB4",#N/A,TRUE,"GENERAL";"TAB5",#N/A,TRUE,"GENERAL"}</definedName>
    <definedName name="____v5" localSheetId="16" hidden="1">{"TAB1",#N/A,TRUE,"GENERAL";"TAB2",#N/A,TRUE,"GENERAL";"TAB3",#N/A,TRUE,"GENERAL";"TAB4",#N/A,TRUE,"GENERAL";"TAB5",#N/A,TRUE,"GENERAL"}</definedName>
    <definedName name="____v5" localSheetId="17" hidden="1">{"TAB1",#N/A,TRUE,"GENERAL";"TAB2",#N/A,TRUE,"GENERAL";"TAB3",#N/A,TRUE,"GENERAL";"TAB4",#N/A,TRUE,"GENERAL";"TAB5",#N/A,TRUE,"GENERAL"}</definedName>
    <definedName name="____v5" localSheetId="13" hidden="1">{"TAB1",#N/A,TRUE,"GENERAL";"TAB2",#N/A,TRUE,"GENERAL";"TAB3",#N/A,TRUE,"GENERAL";"TAB4",#N/A,TRUE,"GENERAL";"TAB5",#N/A,TRUE,"GENERAL"}</definedName>
    <definedName name="____v5" localSheetId="15" hidden="1">{"TAB1",#N/A,TRUE,"GENERAL";"TAB2",#N/A,TRUE,"GENERAL";"TAB3",#N/A,TRUE,"GENERAL";"TAB4",#N/A,TRUE,"GENERAL";"TAB5",#N/A,TRUE,"GENERAL"}</definedName>
    <definedName name="____v5" hidden="1">{"TAB1",#N/A,TRUE,"GENERAL";"TAB2",#N/A,TRUE,"GENERAL";"TAB3",#N/A,TRUE,"GENERAL";"TAB4",#N/A,TRUE,"GENERAL";"TAB5",#N/A,TRUE,"GENERAL"}</definedName>
    <definedName name="____v6" localSheetId="14" hidden="1">{"TAB1",#N/A,TRUE,"GENERAL";"TAB2",#N/A,TRUE,"GENERAL";"TAB3",#N/A,TRUE,"GENERAL";"TAB4",#N/A,TRUE,"GENERAL";"TAB5",#N/A,TRUE,"GENERAL"}</definedName>
    <definedName name="____v6" localSheetId="16" hidden="1">{"TAB1",#N/A,TRUE,"GENERAL";"TAB2",#N/A,TRUE,"GENERAL";"TAB3",#N/A,TRUE,"GENERAL";"TAB4",#N/A,TRUE,"GENERAL";"TAB5",#N/A,TRUE,"GENERAL"}</definedName>
    <definedName name="____v6" localSheetId="17" hidden="1">{"TAB1",#N/A,TRUE,"GENERAL";"TAB2",#N/A,TRUE,"GENERAL";"TAB3",#N/A,TRUE,"GENERAL";"TAB4",#N/A,TRUE,"GENERAL";"TAB5",#N/A,TRUE,"GENERAL"}</definedName>
    <definedName name="____v6" localSheetId="13" hidden="1">{"TAB1",#N/A,TRUE,"GENERAL";"TAB2",#N/A,TRUE,"GENERAL";"TAB3",#N/A,TRUE,"GENERAL";"TAB4",#N/A,TRUE,"GENERAL";"TAB5",#N/A,TRUE,"GENERAL"}</definedName>
    <definedName name="____v6" localSheetId="15" hidden="1">{"TAB1",#N/A,TRUE,"GENERAL";"TAB2",#N/A,TRUE,"GENERAL";"TAB3",#N/A,TRUE,"GENERAL";"TAB4",#N/A,TRUE,"GENERAL";"TAB5",#N/A,TRUE,"GENERAL"}</definedName>
    <definedName name="____v6" hidden="1">{"TAB1",#N/A,TRUE,"GENERAL";"TAB2",#N/A,TRUE,"GENERAL";"TAB3",#N/A,TRUE,"GENERAL";"TAB4",#N/A,TRUE,"GENERAL";"TAB5",#N/A,TRUE,"GENERAL"}</definedName>
    <definedName name="____v7" localSheetId="14" hidden="1">{"via1",#N/A,TRUE,"general";"via2",#N/A,TRUE,"general";"via3",#N/A,TRUE,"general"}</definedName>
    <definedName name="____v7" localSheetId="16" hidden="1">{"via1",#N/A,TRUE,"general";"via2",#N/A,TRUE,"general";"via3",#N/A,TRUE,"general"}</definedName>
    <definedName name="____v7" localSheetId="17" hidden="1">{"via1",#N/A,TRUE,"general";"via2",#N/A,TRUE,"general";"via3",#N/A,TRUE,"general"}</definedName>
    <definedName name="____v7" localSheetId="13" hidden="1">{"via1",#N/A,TRUE,"general";"via2",#N/A,TRUE,"general";"via3",#N/A,TRUE,"general"}</definedName>
    <definedName name="____v7" localSheetId="15" hidden="1">{"via1",#N/A,TRUE,"general";"via2",#N/A,TRUE,"general";"via3",#N/A,TRUE,"general"}</definedName>
    <definedName name="____v7" hidden="1">{"via1",#N/A,TRUE,"general";"via2",#N/A,TRUE,"general";"via3",#N/A,TRUE,"general"}</definedName>
    <definedName name="____v8" localSheetId="14" hidden="1">{"TAB1",#N/A,TRUE,"GENERAL";"TAB2",#N/A,TRUE,"GENERAL";"TAB3",#N/A,TRUE,"GENERAL";"TAB4",#N/A,TRUE,"GENERAL";"TAB5",#N/A,TRUE,"GENERAL"}</definedName>
    <definedName name="____v8" localSheetId="16" hidden="1">{"TAB1",#N/A,TRUE,"GENERAL";"TAB2",#N/A,TRUE,"GENERAL";"TAB3",#N/A,TRUE,"GENERAL";"TAB4",#N/A,TRUE,"GENERAL";"TAB5",#N/A,TRUE,"GENERAL"}</definedName>
    <definedName name="____v8" localSheetId="17" hidden="1">{"TAB1",#N/A,TRUE,"GENERAL";"TAB2",#N/A,TRUE,"GENERAL";"TAB3",#N/A,TRUE,"GENERAL";"TAB4",#N/A,TRUE,"GENERAL";"TAB5",#N/A,TRUE,"GENERAL"}</definedName>
    <definedName name="____v8" localSheetId="13" hidden="1">{"TAB1",#N/A,TRUE,"GENERAL";"TAB2",#N/A,TRUE,"GENERAL";"TAB3",#N/A,TRUE,"GENERAL";"TAB4",#N/A,TRUE,"GENERAL";"TAB5",#N/A,TRUE,"GENERAL"}</definedName>
    <definedName name="____v8" localSheetId="15" hidden="1">{"TAB1",#N/A,TRUE,"GENERAL";"TAB2",#N/A,TRUE,"GENERAL";"TAB3",#N/A,TRUE,"GENERAL";"TAB4",#N/A,TRUE,"GENERAL";"TAB5",#N/A,TRUE,"GENERAL"}</definedName>
    <definedName name="____v8" hidden="1">{"TAB1",#N/A,TRUE,"GENERAL";"TAB2",#N/A,TRUE,"GENERAL";"TAB3",#N/A,TRUE,"GENERAL";"TAB4",#N/A,TRUE,"GENERAL";"TAB5",#N/A,TRUE,"GENERAL"}</definedName>
    <definedName name="____v9" localSheetId="14" hidden="1">{"TAB1",#N/A,TRUE,"GENERAL";"TAB2",#N/A,TRUE,"GENERAL";"TAB3",#N/A,TRUE,"GENERAL";"TAB4",#N/A,TRUE,"GENERAL";"TAB5",#N/A,TRUE,"GENERAL"}</definedName>
    <definedName name="____v9" localSheetId="16" hidden="1">{"TAB1",#N/A,TRUE,"GENERAL";"TAB2",#N/A,TRUE,"GENERAL";"TAB3",#N/A,TRUE,"GENERAL";"TAB4",#N/A,TRUE,"GENERAL";"TAB5",#N/A,TRUE,"GENERAL"}</definedName>
    <definedName name="____v9" localSheetId="17" hidden="1">{"TAB1",#N/A,TRUE,"GENERAL";"TAB2",#N/A,TRUE,"GENERAL";"TAB3",#N/A,TRUE,"GENERAL";"TAB4",#N/A,TRUE,"GENERAL";"TAB5",#N/A,TRUE,"GENERAL"}</definedName>
    <definedName name="____v9" localSheetId="13" hidden="1">{"TAB1",#N/A,TRUE,"GENERAL";"TAB2",#N/A,TRUE,"GENERAL";"TAB3",#N/A,TRUE,"GENERAL";"TAB4",#N/A,TRUE,"GENERAL";"TAB5",#N/A,TRUE,"GENERAL"}</definedName>
    <definedName name="____v9" localSheetId="15" hidden="1">{"TAB1",#N/A,TRUE,"GENERAL";"TAB2",#N/A,TRUE,"GENERAL";"TAB3",#N/A,TRUE,"GENERAL";"TAB4",#N/A,TRUE,"GENERAL";"TAB5",#N/A,TRUE,"GENERAL"}</definedName>
    <definedName name="____v9" hidden="1">{"TAB1",#N/A,TRUE,"GENERAL";"TAB2",#N/A,TRUE,"GENERAL";"TAB3",#N/A,TRUE,"GENERAL";"TAB4",#N/A,TRUE,"GENERAL";"TAB5",#N/A,TRUE,"GENERAL"}</definedName>
    <definedName name="____vfv4" localSheetId="14" hidden="1">{"via1",#N/A,TRUE,"general";"via2",#N/A,TRUE,"general";"via3",#N/A,TRUE,"general"}</definedName>
    <definedName name="____vfv4" localSheetId="16" hidden="1">{"via1",#N/A,TRUE,"general";"via2",#N/A,TRUE,"general";"via3",#N/A,TRUE,"general"}</definedName>
    <definedName name="____vfv4" localSheetId="17" hidden="1">{"via1",#N/A,TRUE,"general";"via2",#N/A,TRUE,"general";"via3",#N/A,TRUE,"general"}</definedName>
    <definedName name="____vfv4" localSheetId="13" hidden="1">{"via1",#N/A,TRUE,"general";"via2",#N/A,TRUE,"general";"via3",#N/A,TRUE,"general"}</definedName>
    <definedName name="____vfv4" localSheetId="15" hidden="1">{"via1",#N/A,TRUE,"general";"via2",#N/A,TRUE,"general";"via3",#N/A,TRUE,"general"}</definedName>
    <definedName name="____vfv4" hidden="1">{"via1",#N/A,TRUE,"general";"via2",#N/A,TRUE,"general";"via3",#N/A,TRUE,"general"}</definedName>
    <definedName name="____x1" localSheetId="14" hidden="1">{"TAB1",#N/A,TRUE,"GENERAL";"TAB2",#N/A,TRUE,"GENERAL";"TAB3",#N/A,TRUE,"GENERAL";"TAB4",#N/A,TRUE,"GENERAL";"TAB5",#N/A,TRUE,"GENERAL"}</definedName>
    <definedName name="____x1" localSheetId="16" hidden="1">{"TAB1",#N/A,TRUE,"GENERAL";"TAB2",#N/A,TRUE,"GENERAL";"TAB3",#N/A,TRUE,"GENERAL";"TAB4",#N/A,TRUE,"GENERAL";"TAB5",#N/A,TRUE,"GENERAL"}</definedName>
    <definedName name="____x1" localSheetId="17" hidden="1">{"TAB1",#N/A,TRUE,"GENERAL";"TAB2",#N/A,TRUE,"GENERAL";"TAB3",#N/A,TRUE,"GENERAL";"TAB4",#N/A,TRUE,"GENERAL";"TAB5",#N/A,TRUE,"GENERAL"}</definedName>
    <definedName name="____x1" localSheetId="13" hidden="1">{"TAB1",#N/A,TRUE,"GENERAL";"TAB2",#N/A,TRUE,"GENERAL";"TAB3",#N/A,TRUE,"GENERAL";"TAB4",#N/A,TRUE,"GENERAL";"TAB5",#N/A,TRUE,"GENERAL"}</definedName>
    <definedName name="____x1" localSheetId="15" hidden="1">{"TAB1",#N/A,TRUE,"GENERAL";"TAB2",#N/A,TRUE,"GENERAL";"TAB3",#N/A,TRUE,"GENERAL";"TAB4",#N/A,TRUE,"GENERAL";"TAB5",#N/A,TRUE,"GENERAL"}</definedName>
    <definedName name="____x1" hidden="1">{"TAB1",#N/A,TRUE,"GENERAL";"TAB2",#N/A,TRUE,"GENERAL";"TAB3",#N/A,TRUE,"GENERAL";"TAB4",#N/A,TRUE,"GENERAL";"TAB5",#N/A,TRUE,"GENERAL"}</definedName>
    <definedName name="____x2" localSheetId="14" hidden="1">{"via1",#N/A,TRUE,"general";"via2",#N/A,TRUE,"general";"via3",#N/A,TRUE,"general"}</definedName>
    <definedName name="____x2" localSheetId="16" hidden="1">{"via1",#N/A,TRUE,"general";"via2",#N/A,TRUE,"general";"via3",#N/A,TRUE,"general"}</definedName>
    <definedName name="____x2" localSheetId="17" hidden="1">{"via1",#N/A,TRUE,"general";"via2",#N/A,TRUE,"general";"via3",#N/A,TRUE,"general"}</definedName>
    <definedName name="____x2" localSheetId="13" hidden="1">{"via1",#N/A,TRUE,"general";"via2",#N/A,TRUE,"general";"via3",#N/A,TRUE,"general"}</definedName>
    <definedName name="____x2" localSheetId="15" hidden="1">{"via1",#N/A,TRUE,"general";"via2",#N/A,TRUE,"general";"via3",#N/A,TRUE,"general"}</definedName>
    <definedName name="____x2" hidden="1">{"via1",#N/A,TRUE,"general";"via2",#N/A,TRUE,"general";"via3",#N/A,TRUE,"general"}</definedName>
    <definedName name="____x3" localSheetId="14" hidden="1">{"via1",#N/A,TRUE,"general";"via2",#N/A,TRUE,"general";"via3",#N/A,TRUE,"general"}</definedName>
    <definedName name="____x3" localSheetId="16" hidden="1">{"via1",#N/A,TRUE,"general";"via2",#N/A,TRUE,"general";"via3",#N/A,TRUE,"general"}</definedName>
    <definedName name="____x3" localSheetId="17" hidden="1">{"via1",#N/A,TRUE,"general";"via2",#N/A,TRUE,"general";"via3",#N/A,TRUE,"general"}</definedName>
    <definedName name="____x3" localSheetId="13" hidden="1">{"via1",#N/A,TRUE,"general";"via2",#N/A,TRUE,"general";"via3",#N/A,TRUE,"general"}</definedName>
    <definedName name="____x3" localSheetId="15" hidden="1">{"via1",#N/A,TRUE,"general";"via2",#N/A,TRUE,"general";"via3",#N/A,TRUE,"general"}</definedName>
    <definedName name="____x3" hidden="1">{"via1",#N/A,TRUE,"general";"via2",#N/A,TRUE,"general";"via3",#N/A,TRUE,"general"}</definedName>
    <definedName name="____x4" localSheetId="14" hidden="1">{"via1",#N/A,TRUE,"general";"via2",#N/A,TRUE,"general";"via3",#N/A,TRUE,"general"}</definedName>
    <definedName name="____x4" localSheetId="16" hidden="1">{"via1",#N/A,TRUE,"general";"via2",#N/A,TRUE,"general";"via3",#N/A,TRUE,"general"}</definedName>
    <definedName name="____x4" localSheetId="17" hidden="1">{"via1",#N/A,TRUE,"general";"via2",#N/A,TRUE,"general";"via3",#N/A,TRUE,"general"}</definedName>
    <definedName name="____x4" localSheetId="13" hidden="1">{"via1",#N/A,TRUE,"general";"via2",#N/A,TRUE,"general";"via3",#N/A,TRUE,"general"}</definedName>
    <definedName name="____x4" localSheetId="15" hidden="1">{"via1",#N/A,TRUE,"general";"via2",#N/A,TRUE,"general";"via3",#N/A,TRUE,"general"}</definedName>
    <definedName name="____x4" hidden="1">{"via1",#N/A,TRUE,"general";"via2",#N/A,TRUE,"general";"via3",#N/A,TRUE,"general"}</definedName>
    <definedName name="____x5" localSheetId="14" hidden="1">{"TAB1",#N/A,TRUE,"GENERAL";"TAB2",#N/A,TRUE,"GENERAL";"TAB3",#N/A,TRUE,"GENERAL";"TAB4",#N/A,TRUE,"GENERAL";"TAB5",#N/A,TRUE,"GENERAL"}</definedName>
    <definedName name="____x5" localSheetId="16" hidden="1">{"TAB1",#N/A,TRUE,"GENERAL";"TAB2",#N/A,TRUE,"GENERAL";"TAB3",#N/A,TRUE,"GENERAL";"TAB4",#N/A,TRUE,"GENERAL";"TAB5",#N/A,TRUE,"GENERAL"}</definedName>
    <definedName name="____x5" localSheetId="17" hidden="1">{"TAB1",#N/A,TRUE,"GENERAL";"TAB2",#N/A,TRUE,"GENERAL";"TAB3",#N/A,TRUE,"GENERAL";"TAB4",#N/A,TRUE,"GENERAL";"TAB5",#N/A,TRUE,"GENERAL"}</definedName>
    <definedName name="____x5" localSheetId="13" hidden="1">{"TAB1",#N/A,TRUE,"GENERAL";"TAB2",#N/A,TRUE,"GENERAL";"TAB3",#N/A,TRUE,"GENERAL";"TAB4",#N/A,TRUE,"GENERAL";"TAB5",#N/A,TRUE,"GENERAL"}</definedName>
    <definedName name="____x5" localSheetId="15" hidden="1">{"TAB1",#N/A,TRUE,"GENERAL";"TAB2",#N/A,TRUE,"GENERAL";"TAB3",#N/A,TRUE,"GENERAL";"TAB4",#N/A,TRUE,"GENERAL";"TAB5",#N/A,TRUE,"GENERAL"}</definedName>
    <definedName name="____x5" hidden="1">{"TAB1",#N/A,TRUE,"GENERAL";"TAB2",#N/A,TRUE,"GENERAL";"TAB3",#N/A,TRUE,"GENERAL";"TAB4",#N/A,TRUE,"GENERAL";"TAB5",#N/A,TRUE,"GENERAL"}</definedName>
    <definedName name="____x6" localSheetId="14" hidden="1">{"TAB1",#N/A,TRUE,"GENERAL";"TAB2",#N/A,TRUE,"GENERAL";"TAB3",#N/A,TRUE,"GENERAL";"TAB4",#N/A,TRUE,"GENERAL";"TAB5",#N/A,TRUE,"GENERAL"}</definedName>
    <definedName name="____x6" localSheetId="16" hidden="1">{"TAB1",#N/A,TRUE,"GENERAL";"TAB2",#N/A,TRUE,"GENERAL";"TAB3",#N/A,TRUE,"GENERAL";"TAB4",#N/A,TRUE,"GENERAL";"TAB5",#N/A,TRUE,"GENERAL"}</definedName>
    <definedName name="____x6" localSheetId="17" hidden="1">{"TAB1",#N/A,TRUE,"GENERAL";"TAB2",#N/A,TRUE,"GENERAL";"TAB3",#N/A,TRUE,"GENERAL";"TAB4",#N/A,TRUE,"GENERAL";"TAB5",#N/A,TRUE,"GENERAL"}</definedName>
    <definedName name="____x6" localSheetId="13" hidden="1">{"TAB1",#N/A,TRUE,"GENERAL";"TAB2",#N/A,TRUE,"GENERAL";"TAB3",#N/A,TRUE,"GENERAL";"TAB4",#N/A,TRUE,"GENERAL";"TAB5",#N/A,TRUE,"GENERAL"}</definedName>
    <definedName name="____x6" localSheetId="15" hidden="1">{"TAB1",#N/A,TRUE,"GENERAL";"TAB2",#N/A,TRUE,"GENERAL";"TAB3",#N/A,TRUE,"GENERAL";"TAB4",#N/A,TRUE,"GENERAL";"TAB5",#N/A,TRUE,"GENERAL"}</definedName>
    <definedName name="____x6" hidden="1">{"TAB1",#N/A,TRUE,"GENERAL";"TAB2",#N/A,TRUE,"GENERAL";"TAB3",#N/A,TRUE,"GENERAL";"TAB4",#N/A,TRUE,"GENERAL";"TAB5",#N/A,TRUE,"GENERAL"}</definedName>
    <definedName name="____x7" localSheetId="14" hidden="1">{"TAB1",#N/A,TRUE,"GENERAL";"TAB2",#N/A,TRUE,"GENERAL";"TAB3",#N/A,TRUE,"GENERAL";"TAB4",#N/A,TRUE,"GENERAL";"TAB5",#N/A,TRUE,"GENERAL"}</definedName>
    <definedName name="____x7" localSheetId="16" hidden="1">{"TAB1",#N/A,TRUE,"GENERAL";"TAB2",#N/A,TRUE,"GENERAL";"TAB3",#N/A,TRUE,"GENERAL";"TAB4",#N/A,TRUE,"GENERAL";"TAB5",#N/A,TRUE,"GENERAL"}</definedName>
    <definedName name="____x7" localSheetId="17" hidden="1">{"TAB1",#N/A,TRUE,"GENERAL";"TAB2",#N/A,TRUE,"GENERAL";"TAB3",#N/A,TRUE,"GENERAL";"TAB4",#N/A,TRUE,"GENERAL";"TAB5",#N/A,TRUE,"GENERAL"}</definedName>
    <definedName name="____x7" localSheetId="13" hidden="1">{"TAB1",#N/A,TRUE,"GENERAL";"TAB2",#N/A,TRUE,"GENERAL";"TAB3",#N/A,TRUE,"GENERAL";"TAB4",#N/A,TRUE,"GENERAL";"TAB5",#N/A,TRUE,"GENERAL"}</definedName>
    <definedName name="____x7" localSheetId="15" hidden="1">{"TAB1",#N/A,TRUE,"GENERAL";"TAB2",#N/A,TRUE,"GENERAL";"TAB3",#N/A,TRUE,"GENERAL";"TAB4",#N/A,TRUE,"GENERAL";"TAB5",#N/A,TRUE,"GENERAL"}</definedName>
    <definedName name="____x7" hidden="1">{"TAB1",#N/A,TRUE,"GENERAL";"TAB2",#N/A,TRUE,"GENERAL";"TAB3",#N/A,TRUE,"GENERAL";"TAB4",#N/A,TRUE,"GENERAL";"TAB5",#N/A,TRUE,"GENERAL"}</definedName>
    <definedName name="____x8" localSheetId="14" hidden="1">{"via1",#N/A,TRUE,"general";"via2",#N/A,TRUE,"general";"via3",#N/A,TRUE,"general"}</definedName>
    <definedName name="____x8" localSheetId="16" hidden="1">{"via1",#N/A,TRUE,"general";"via2",#N/A,TRUE,"general";"via3",#N/A,TRUE,"general"}</definedName>
    <definedName name="____x8" localSheetId="17" hidden="1">{"via1",#N/A,TRUE,"general";"via2",#N/A,TRUE,"general";"via3",#N/A,TRUE,"general"}</definedName>
    <definedName name="____x8" localSheetId="13" hidden="1">{"via1",#N/A,TRUE,"general";"via2",#N/A,TRUE,"general";"via3",#N/A,TRUE,"general"}</definedName>
    <definedName name="____x8" localSheetId="15" hidden="1">{"via1",#N/A,TRUE,"general";"via2",#N/A,TRUE,"general";"via3",#N/A,TRUE,"general"}</definedName>
    <definedName name="____x8" hidden="1">{"via1",#N/A,TRUE,"general";"via2",#N/A,TRUE,"general";"via3",#N/A,TRUE,"general"}</definedName>
    <definedName name="____x9" localSheetId="14" hidden="1">{"TAB1",#N/A,TRUE,"GENERAL";"TAB2",#N/A,TRUE,"GENERAL";"TAB3",#N/A,TRUE,"GENERAL";"TAB4",#N/A,TRUE,"GENERAL";"TAB5",#N/A,TRUE,"GENERAL"}</definedName>
    <definedName name="____x9" localSheetId="16" hidden="1">{"TAB1",#N/A,TRUE,"GENERAL";"TAB2",#N/A,TRUE,"GENERAL";"TAB3",#N/A,TRUE,"GENERAL";"TAB4",#N/A,TRUE,"GENERAL";"TAB5",#N/A,TRUE,"GENERAL"}</definedName>
    <definedName name="____x9" localSheetId="17" hidden="1">{"TAB1",#N/A,TRUE,"GENERAL";"TAB2",#N/A,TRUE,"GENERAL";"TAB3",#N/A,TRUE,"GENERAL";"TAB4",#N/A,TRUE,"GENERAL";"TAB5",#N/A,TRUE,"GENERAL"}</definedName>
    <definedName name="____x9" localSheetId="13" hidden="1">{"TAB1",#N/A,TRUE,"GENERAL";"TAB2",#N/A,TRUE,"GENERAL";"TAB3",#N/A,TRUE,"GENERAL";"TAB4",#N/A,TRUE,"GENERAL";"TAB5",#N/A,TRUE,"GENERAL"}</definedName>
    <definedName name="____x9" localSheetId="15" hidden="1">{"TAB1",#N/A,TRUE,"GENERAL";"TAB2",#N/A,TRUE,"GENERAL";"TAB3",#N/A,TRUE,"GENERAL";"TAB4",#N/A,TRUE,"GENERAL";"TAB5",#N/A,TRUE,"GENERAL"}</definedName>
    <definedName name="____x9" hidden="1">{"TAB1",#N/A,TRUE,"GENERAL";"TAB2",#N/A,TRUE,"GENERAL";"TAB3",#N/A,TRUE,"GENERAL";"TAB4",#N/A,TRUE,"GENERAL";"TAB5",#N/A,TRUE,"GENERAL"}</definedName>
    <definedName name="____y2" localSheetId="14" hidden="1">{"TAB1",#N/A,TRUE,"GENERAL";"TAB2",#N/A,TRUE,"GENERAL";"TAB3",#N/A,TRUE,"GENERAL";"TAB4",#N/A,TRUE,"GENERAL";"TAB5",#N/A,TRUE,"GENERAL"}</definedName>
    <definedName name="____y2" localSheetId="16" hidden="1">{"TAB1",#N/A,TRUE,"GENERAL";"TAB2",#N/A,TRUE,"GENERAL";"TAB3",#N/A,TRUE,"GENERAL";"TAB4",#N/A,TRUE,"GENERAL";"TAB5",#N/A,TRUE,"GENERAL"}</definedName>
    <definedName name="____y2" localSheetId="17" hidden="1">{"TAB1",#N/A,TRUE,"GENERAL";"TAB2",#N/A,TRUE,"GENERAL";"TAB3",#N/A,TRUE,"GENERAL";"TAB4",#N/A,TRUE,"GENERAL";"TAB5",#N/A,TRUE,"GENERAL"}</definedName>
    <definedName name="____y2" localSheetId="13" hidden="1">{"TAB1",#N/A,TRUE,"GENERAL";"TAB2",#N/A,TRUE,"GENERAL";"TAB3",#N/A,TRUE,"GENERAL";"TAB4",#N/A,TRUE,"GENERAL";"TAB5",#N/A,TRUE,"GENERAL"}</definedName>
    <definedName name="____y2" localSheetId="15" hidden="1">{"TAB1",#N/A,TRUE,"GENERAL";"TAB2",#N/A,TRUE,"GENERAL";"TAB3",#N/A,TRUE,"GENERAL";"TAB4",#N/A,TRUE,"GENERAL";"TAB5",#N/A,TRUE,"GENERAL"}</definedName>
    <definedName name="____y2" hidden="1">{"TAB1",#N/A,TRUE,"GENERAL";"TAB2",#N/A,TRUE,"GENERAL";"TAB3",#N/A,TRUE,"GENERAL";"TAB4",#N/A,TRUE,"GENERAL";"TAB5",#N/A,TRUE,"GENERAL"}</definedName>
    <definedName name="____y3" localSheetId="14" hidden="1">{"via1",#N/A,TRUE,"general";"via2",#N/A,TRUE,"general";"via3",#N/A,TRUE,"general"}</definedName>
    <definedName name="____y3" localSheetId="16" hidden="1">{"via1",#N/A,TRUE,"general";"via2",#N/A,TRUE,"general";"via3",#N/A,TRUE,"general"}</definedName>
    <definedName name="____y3" localSheetId="17" hidden="1">{"via1",#N/A,TRUE,"general";"via2",#N/A,TRUE,"general";"via3",#N/A,TRUE,"general"}</definedName>
    <definedName name="____y3" localSheetId="13" hidden="1">{"via1",#N/A,TRUE,"general";"via2",#N/A,TRUE,"general";"via3",#N/A,TRUE,"general"}</definedName>
    <definedName name="____y3" localSheetId="15" hidden="1">{"via1",#N/A,TRUE,"general";"via2",#N/A,TRUE,"general";"via3",#N/A,TRUE,"general"}</definedName>
    <definedName name="____y3" hidden="1">{"via1",#N/A,TRUE,"general";"via2",#N/A,TRUE,"general";"via3",#N/A,TRUE,"general"}</definedName>
    <definedName name="____y4" localSheetId="14" hidden="1">{"via1",#N/A,TRUE,"general";"via2",#N/A,TRUE,"general";"via3",#N/A,TRUE,"general"}</definedName>
    <definedName name="____y4" localSheetId="16" hidden="1">{"via1",#N/A,TRUE,"general";"via2",#N/A,TRUE,"general";"via3",#N/A,TRUE,"general"}</definedName>
    <definedName name="____y4" localSheetId="17" hidden="1">{"via1",#N/A,TRUE,"general";"via2",#N/A,TRUE,"general";"via3",#N/A,TRUE,"general"}</definedName>
    <definedName name="____y4" localSheetId="13" hidden="1">{"via1",#N/A,TRUE,"general";"via2",#N/A,TRUE,"general";"via3",#N/A,TRUE,"general"}</definedName>
    <definedName name="____y4" localSheetId="15" hidden="1">{"via1",#N/A,TRUE,"general";"via2",#N/A,TRUE,"general";"via3",#N/A,TRUE,"general"}</definedName>
    <definedName name="____y4" hidden="1">{"via1",#N/A,TRUE,"general";"via2",#N/A,TRUE,"general";"via3",#N/A,TRUE,"general"}</definedName>
    <definedName name="____y5" localSheetId="14" hidden="1">{"TAB1",#N/A,TRUE,"GENERAL";"TAB2",#N/A,TRUE,"GENERAL";"TAB3",#N/A,TRUE,"GENERAL";"TAB4",#N/A,TRUE,"GENERAL";"TAB5",#N/A,TRUE,"GENERAL"}</definedName>
    <definedName name="____y5" localSheetId="16" hidden="1">{"TAB1",#N/A,TRUE,"GENERAL";"TAB2",#N/A,TRUE,"GENERAL";"TAB3",#N/A,TRUE,"GENERAL";"TAB4",#N/A,TRUE,"GENERAL";"TAB5",#N/A,TRUE,"GENERAL"}</definedName>
    <definedName name="____y5" localSheetId="17" hidden="1">{"TAB1",#N/A,TRUE,"GENERAL";"TAB2",#N/A,TRUE,"GENERAL";"TAB3",#N/A,TRUE,"GENERAL";"TAB4",#N/A,TRUE,"GENERAL";"TAB5",#N/A,TRUE,"GENERAL"}</definedName>
    <definedName name="____y5" localSheetId="13" hidden="1">{"TAB1",#N/A,TRUE,"GENERAL";"TAB2",#N/A,TRUE,"GENERAL";"TAB3",#N/A,TRUE,"GENERAL";"TAB4",#N/A,TRUE,"GENERAL";"TAB5",#N/A,TRUE,"GENERAL"}</definedName>
    <definedName name="____y5" localSheetId="15" hidden="1">{"TAB1",#N/A,TRUE,"GENERAL";"TAB2",#N/A,TRUE,"GENERAL";"TAB3",#N/A,TRUE,"GENERAL";"TAB4",#N/A,TRUE,"GENERAL";"TAB5",#N/A,TRUE,"GENERAL"}</definedName>
    <definedName name="____y5" hidden="1">{"TAB1",#N/A,TRUE,"GENERAL";"TAB2",#N/A,TRUE,"GENERAL";"TAB3",#N/A,TRUE,"GENERAL";"TAB4",#N/A,TRUE,"GENERAL";"TAB5",#N/A,TRUE,"GENERAL"}</definedName>
    <definedName name="____y6" localSheetId="14" hidden="1">{"via1",#N/A,TRUE,"general";"via2",#N/A,TRUE,"general";"via3",#N/A,TRUE,"general"}</definedName>
    <definedName name="____y6" localSheetId="16" hidden="1">{"via1",#N/A,TRUE,"general";"via2",#N/A,TRUE,"general";"via3",#N/A,TRUE,"general"}</definedName>
    <definedName name="____y6" localSheetId="17" hidden="1">{"via1",#N/A,TRUE,"general";"via2",#N/A,TRUE,"general";"via3",#N/A,TRUE,"general"}</definedName>
    <definedName name="____y6" localSheetId="13" hidden="1">{"via1",#N/A,TRUE,"general";"via2",#N/A,TRUE,"general";"via3",#N/A,TRUE,"general"}</definedName>
    <definedName name="____y6" localSheetId="15" hidden="1">{"via1",#N/A,TRUE,"general";"via2",#N/A,TRUE,"general";"via3",#N/A,TRUE,"general"}</definedName>
    <definedName name="____y6" hidden="1">{"via1",#N/A,TRUE,"general";"via2",#N/A,TRUE,"general";"via3",#N/A,TRUE,"general"}</definedName>
    <definedName name="____y7" localSheetId="14" hidden="1">{"via1",#N/A,TRUE,"general";"via2",#N/A,TRUE,"general";"via3",#N/A,TRUE,"general"}</definedName>
    <definedName name="____y7" localSheetId="16" hidden="1">{"via1",#N/A,TRUE,"general";"via2",#N/A,TRUE,"general";"via3",#N/A,TRUE,"general"}</definedName>
    <definedName name="____y7" localSheetId="17" hidden="1">{"via1",#N/A,TRUE,"general";"via2",#N/A,TRUE,"general";"via3",#N/A,TRUE,"general"}</definedName>
    <definedName name="____y7" localSheetId="13" hidden="1">{"via1",#N/A,TRUE,"general";"via2",#N/A,TRUE,"general";"via3",#N/A,TRUE,"general"}</definedName>
    <definedName name="____y7" localSheetId="15" hidden="1">{"via1",#N/A,TRUE,"general";"via2",#N/A,TRUE,"general";"via3",#N/A,TRUE,"general"}</definedName>
    <definedName name="____y7" hidden="1">{"via1",#N/A,TRUE,"general";"via2",#N/A,TRUE,"general";"via3",#N/A,TRUE,"general"}</definedName>
    <definedName name="____y8" localSheetId="14" hidden="1">{"via1",#N/A,TRUE,"general";"via2",#N/A,TRUE,"general";"via3",#N/A,TRUE,"general"}</definedName>
    <definedName name="____y8" localSheetId="16" hidden="1">{"via1",#N/A,TRUE,"general";"via2",#N/A,TRUE,"general";"via3",#N/A,TRUE,"general"}</definedName>
    <definedName name="____y8" localSheetId="17" hidden="1">{"via1",#N/A,TRUE,"general";"via2",#N/A,TRUE,"general";"via3",#N/A,TRUE,"general"}</definedName>
    <definedName name="____y8" localSheetId="13" hidden="1">{"via1",#N/A,TRUE,"general";"via2",#N/A,TRUE,"general";"via3",#N/A,TRUE,"general"}</definedName>
    <definedName name="____y8" localSheetId="15" hidden="1">{"via1",#N/A,TRUE,"general";"via2",#N/A,TRUE,"general";"via3",#N/A,TRUE,"general"}</definedName>
    <definedName name="____y8" hidden="1">{"via1",#N/A,TRUE,"general";"via2",#N/A,TRUE,"general";"via3",#N/A,TRUE,"general"}</definedName>
    <definedName name="____y9" localSheetId="14" hidden="1">{"TAB1",#N/A,TRUE,"GENERAL";"TAB2",#N/A,TRUE,"GENERAL";"TAB3",#N/A,TRUE,"GENERAL";"TAB4",#N/A,TRUE,"GENERAL";"TAB5",#N/A,TRUE,"GENERAL"}</definedName>
    <definedName name="____y9" localSheetId="16" hidden="1">{"TAB1",#N/A,TRUE,"GENERAL";"TAB2",#N/A,TRUE,"GENERAL";"TAB3",#N/A,TRUE,"GENERAL";"TAB4",#N/A,TRUE,"GENERAL";"TAB5",#N/A,TRUE,"GENERAL"}</definedName>
    <definedName name="____y9" localSheetId="17" hidden="1">{"TAB1",#N/A,TRUE,"GENERAL";"TAB2",#N/A,TRUE,"GENERAL";"TAB3",#N/A,TRUE,"GENERAL";"TAB4",#N/A,TRUE,"GENERAL";"TAB5",#N/A,TRUE,"GENERAL"}</definedName>
    <definedName name="____y9" localSheetId="13" hidden="1">{"TAB1",#N/A,TRUE,"GENERAL";"TAB2",#N/A,TRUE,"GENERAL";"TAB3",#N/A,TRUE,"GENERAL";"TAB4",#N/A,TRUE,"GENERAL";"TAB5",#N/A,TRUE,"GENERAL"}</definedName>
    <definedName name="____y9" localSheetId="15" hidden="1">{"TAB1",#N/A,TRUE,"GENERAL";"TAB2",#N/A,TRUE,"GENERAL";"TAB3",#N/A,TRUE,"GENERAL";"TAB4",#N/A,TRUE,"GENERAL";"TAB5",#N/A,TRUE,"GENERAL"}</definedName>
    <definedName name="____y9" hidden="1">{"TAB1",#N/A,TRUE,"GENERAL";"TAB2",#N/A,TRUE,"GENERAL";"TAB3",#N/A,TRUE,"GENERAL";"TAB4",#N/A,TRUE,"GENERAL";"TAB5",#N/A,TRUE,"GENERAL"}</definedName>
    <definedName name="____z1" localSheetId="14" hidden="1">{"TAB1",#N/A,TRUE,"GENERAL";"TAB2",#N/A,TRUE,"GENERAL";"TAB3",#N/A,TRUE,"GENERAL";"TAB4",#N/A,TRUE,"GENERAL";"TAB5",#N/A,TRUE,"GENERAL"}</definedName>
    <definedName name="____z1" localSheetId="16" hidden="1">{"TAB1",#N/A,TRUE,"GENERAL";"TAB2",#N/A,TRUE,"GENERAL";"TAB3",#N/A,TRUE,"GENERAL";"TAB4",#N/A,TRUE,"GENERAL";"TAB5",#N/A,TRUE,"GENERAL"}</definedName>
    <definedName name="____z1" localSheetId="17" hidden="1">{"TAB1",#N/A,TRUE,"GENERAL";"TAB2",#N/A,TRUE,"GENERAL";"TAB3",#N/A,TRUE,"GENERAL";"TAB4",#N/A,TRUE,"GENERAL";"TAB5",#N/A,TRUE,"GENERAL"}</definedName>
    <definedName name="____z1" localSheetId="13" hidden="1">{"TAB1",#N/A,TRUE,"GENERAL";"TAB2",#N/A,TRUE,"GENERAL";"TAB3",#N/A,TRUE,"GENERAL";"TAB4",#N/A,TRUE,"GENERAL";"TAB5",#N/A,TRUE,"GENERAL"}</definedName>
    <definedName name="____z1" localSheetId="15" hidden="1">{"TAB1",#N/A,TRUE,"GENERAL";"TAB2",#N/A,TRUE,"GENERAL";"TAB3",#N/A,TRUE,"GENERAL";"TAB4",#N/A,TRUE,"GENERAL";"TAB5",#N/A,TRUE,"GENERAL"}</definedName>
    <definedName name="____z1" hidden="1">{"TAB1",#N/A,TRUE,"GENERAL";"TAB2",#N/A,TRUE,"GENERAL";"TAB3",#N/A,TRUE,"GENERAL";"TAB4",#N/A,TRUE,"GENERAL";"TAB5",#N/A,TRUE,"GENERAL"}</definedName>
    <definedName name="____z2" localSheetId="14" hidden="1">{"via1",#N/A,TRUE,"general";"via2",#N/A,TRUE,"general";"via3",#N/A,TRUE,"general"}</definedName>
    <definedName name="____z2" localSheetId="16" hidden="1">{"via1",#N/A,TRUE,"general";"via2",#N/A,TRUE,"general";"via3",#N/A,TRUE,"general"}</definedName>
    <definedName name="____z2" localSheetId="17" hidden="1">{"via1",#N/A,TRUE,"general";"via2",#N/A,TRUE,"general";"via3",#N/A,TRUE,"general"}</definedName>
    <definedName name="____z2" localSheetId="13" hidden="1">{"via1",#N/A,TRUE,"general";"via2",#N/A,TRUE,"general";"via3",#N/A,TRUE,"general"}</definedName>
    <definedName name="____z2" localSheetId="15" hidden="1">{"via1",#N/A,TRUE,"general";"via2",#N/A,TRUE,"general";"via3",#N/A,TRUE,"general"}</definedName>
    <definedName name="____z2" hidden="1">{"via1",#N/A,TRUE,"general";"via2",#N/A,TRUE,"general";"via3",#N/A,TRUE,"general"}</definedName>
    <definedName name="____z3" localSheetId="14" hidden="1">{"via1",#N/A,TRUE,"general";"via2",#N/A,TRUE,"general";"via3",#N/A,TRUE,"general"}</definedName>
    <definedName name="____z3" localSheetId="16" hidden="1">{"via1",#N/A,TRUE,"general";"via2",#N/A,TRUE,"general";"via3",#N/A,TRUE,"general"}</definedName>
    <definedName name="____z3" localSheetId="17" hidden="1">{"via1",#N/A,TRUE,"general";"via2",#N/A,TRUE,"general";"via3",#N/A,TRUE,"general"}</definedName>
    <definedName name="____z3" localSheetId="13" hidden="1">{"via1",#N/A,TRUE,"general";"via2",#N/A,TRUE,"general";"via3",#N/A,TRUE,"general"}</definedName>
    <definedName name="____z3" localSheetId="15" hidden="1">{"via1",#N/A,TRUE,"general";"via2",#N/A,TRUE,"general";"via3",#N/A,TRUE,"general"}</definedName>
    <definedName name="____z3" hidden="1">{"via1",#N/A,TRUE,"general";"via2",#N/A,TRUE,"general";"via3",#N/A,TRUE,"general"}</definedName>
    <definedName name="____z4" localSheetId="14" hidden="1">{"TAB1",#N/A,TRUE,"GENERAL";"TAB2",#N/A,TRUE,"GENERAL";"TAB3",#N/A,TRUE,"GENERAL";"TAB4",#N/A,TRUE,"GENERAL";"TAB5",#N/A,TRUE,"GENERAL"}</definedName>
    <definedName name="____z4" localSheetId="16" hidden="1">{"TAB1",#N/A,TRUE,"GENERAL";"TAB2",#N/A,TRUE,"GENERAL";"TAB3",#N/A,TRUE,"GENERAL";"TAB4",#N/A,TRUE,"GENERAL";"TAB5",#N/A,TRUE,"GENERAL"}</definedName>
    <definedName name="____z4" localSheetId="17" hidden="1">{"TAB1",#N/A,TRUE,"GENERAL";"TAB2",#N/A,TRUE,"GENERAL";"TAB3",#N/A,TRUE,"GENERAL";"TAB4",#N/A,TRUE,"GENERAL";"TAB5",#N/A,TRUE,"GENERAL"}</definedName>
    <definedName name="____z4" localSheetId="13" hidden="1">{"TAB1",#N/A,TRUE,"GENERAL";"TAB2",#N/A,TRUE,"GENERAL";"TAB3",#N/A,TRUE,"GENERAL";"TAB4",#N/A,TRUE,"GENERAL";"TAB5",#N/A,TRUE,"GENERAL"}</definedName>
    <definedName name="____z4" localSheetId="15" hidden="1">{"TAB1",#N/A,TRUE,"GENERAL";"TAB2",#N/A,TRUE,"GENERAL";"TAB3",#N/A,TRUE,"GENERAL";"TAB4",#N/A,TRUE,"GENERAL";"TAB5",#N/A,TRUE,"GENERAL"}</definedName>
    <definedName name="____z4" hidden="1">{"TAB1",#N/A,TRUE,"GENERAL";"TAB2",#N/A,TRUE,"GENERAL";"TAB3",#N/A,TRUE,"GENERAL";"TAB4",#N/A,TRUE,"GENERAL";"TAB5",#N/A,TRUE,"GENERAL"}</definedName>
    <definedName name="____z5" localSheetId="14" hidden="1">{"via1",#N/A,TRUE,"general";"via2",#N/A,TRUE,"general";"via3",#N/A,TRUE,"general"}</definedName>
    <definedName name="____z5" localSheetId="16" hidden="1">{"via1",#N/A,TRUE,"general";"via2",#N/A,TRUE,"general";"via3",#N/A,TRUE,"general"}</definedName>
    <definedName name="____z5" localSheetId="17" hidden="1">{"via1",#N/A,TRUE,"general";"via2",#N/A,TRUE,"general";"via3",#N/A,TRUE,"general"}</definedName>
    <definedName name="____z5" localSheetId="13" hidden="1">{"via1",#N/A,TRUE,"general";"via2",#N/A,TRUE,"general";"via3",#N/A,TRUE,"general"}</definedName>
    <definedName name="____z5" localSheetId="15" hidden="1">{"via1",#N/A,TRUE,"general";"via2",#N/A,TRUE,"general";"via3",#N/A,TRUE,"general"}</definedName>
    <definedName name="____z5" hidden="1">{"via1",#N/A,TRUE,"general";"via2",#N/A,TRUE,"general";"via3",#N/A,TRUE,"general"}</definedName>
    <definedName name="____z6" localSheetId="14" hidden="1">{"TAB1",#N/A,TRUE,"GENERAL";"TAB2",#N/A,TRUE,"GENERAL";"TAB3",#N/A,TRUE,"GENERAL";"TAB4",#N/A,TRUE,"GENERAL";"TAB5",#N/A,TRUE,"GENERAL"}</definedName>
    <definedName name="____z6" localSheetId="16" hidden="1">{"TAB1",#N/A,TRUE,"GENERAL";"TAB2",#N/A,TRUE,"GENERAL";"TAB3",#N/A,TRUE,"GENERAL";"TAB4",#N/A,TRUE,"GENERAL";"TAB5",#N/A,TRUE,"GENERAL"}</definedName>
    <definedName name="____z6" localSheetId="17" hidden="1">{"TAB1",#N/A,TRUE,"GENERAL";"TAB2",#N/A,TRUE,"GENERAL";"TAB3",#N/A,TRUE,"GENERAL";"TAB4",#N/A,TRUE,"GENERAL";"TAB5",#N/A,TRUE,"GENERAL"}</definedName>
    <definedName name="____z6" localSheetId="13" hidden="1">{"TAB1",#N/A,TRUE,"GENERAL";"TAB2",#N/A,TRUE,"GENERAL";"TAB3",#N/A,TRUE,"GENERAL";"TAB4",#N/A,TRUE,"GENERAL";"TAB5",#N/A,TRUE,"GENERAL"}</definedName>
    <definedName name="____z6" localSheetId="15" hidden="1">{"TAB1",#N/A,TRUE,"GENERAL";"TAB2",#N/A,TRUE,"GENERAL";"TAB3",#N/A,TRUE,"GENERAL";"TAB4",#N/A,TRUE,"GENERAL";"TAB5",#N/A,TRUE,"GENERAL"}</definedName>
    <definedName name="____z6" hidden="1">{"TAB1",#N/A,TRUE,"GENERAL";"TAB2",#N/A,TRUE,"GENERAL";"TAB3",#N/A,TRUE,"GENERAL";"TAB4",#N/A,TRUE,"GENERAL";"TAB5",#N/A,TRUE,"GENERAL"}</definedName>
    <definedName name="___a1" localSheetId="14" hidden="1">{"TAB1",#N/A,TRUE,"GENERAL";"TAB2",#N/A,TRUE,"GENERAL";"TAB3",#N/A,TRUE,"GENERAL";"TAB4",#N/A,TRUE,"GENERAL";"TAB5",#N/A,TRUE,"GENERAL"}</definedName>
    <definedName name="___a1" localSheetId="16" hidden="1">{"TAB1",#N/A,TRUE,"GENERAL";"TAB2",#N/A,TRUE,"GENERAL";"TAB3",#N/A,TRUE,"GENERAL";"TAB4",#N/A,TRUE,"GENERAL";"TAB5",#N/A,TRUE,"GENERAL"}</definedName>
    <definedName name="___a1" localSheetId="17" hidden="1">{"TAB1",#N/A,TRUE,"GENERAL";"TAB2",#N/A,TRUE,"GENERAL";"TAB3",#N/A,TRUE,"GENERAL";"TAB4",#N/A,TRUE,"GENERAL";"TAB5",#N/A,TRUE,"GENERAL"}</definedName>
    <definedName name="___a1" localSheetId="13" hidden="1">{"TAB1",#N/A,TRUE,"GENERAL";"TAB2",#N/A,TRUE,"GENERAL";"TAB3",#N/A,TRUE,"GENERAL";"TAB4",#N/A,TRUE,"GENERAL";"TAB5",#N/A,TRUE,"GENERAL"}</definedName>
    <definedName name="___a1" localSheetId="15" hidden="1">{"TAB1",#N/A,TRUE,"GENERAL";"TAB2",#N/A,TRUE,"GENERAL";"TAB3",#N/A,TRUE,"GENERAL";"TAB4",#N/A,TRUE,"GENERAL";"TAB5",#N/A,TRUE,"GENERAL"}</definedName>
    <definedName name="___a1" hidden="1">{"TAB1",#N/A,TRUE,"GENERAL";"TAB2",#N/A,TRUE,"GENERAL";"TAB3",#N/A,TRUE,"GENERAL";"TAB4",#N/A,TRUE,"GENERAL";"TAB5",#N/A,TRUE,"GENERAL"}</definedName>
    <definedName name="___a3" localSheetId="14" hidden="1">{"TAB1",#N/A,TRUE,"GENERAL";"TAB2",#N/A,TRUE,"GENERAL";"TAB3",#N/A,TRUE,"GENERAL";"TAB4",#N/A,TRUE,"GENERAL";"TAB5",#N/A,TRUE,"GENERAL"}</definedName>
    <definedName name="___a3" localSheetId="16" hidden="1">{"TAB1",#N/A,TRUE,"GENERAL";"TAB2",#N/A,TRUE,"GENERAL";"TAB3",#N/A,TRUE,"GENERAL";"TAB4",#N/A,TRUE,"GENERAL";"TAB5",#N/A,TRUE,"GENERAL"}</definedName>
    <definedName name="___a3" localSheetId="17" hidden="1">{"TAB1",#N/A,TRUE,"GENERAL";"TAB2",#N/A,TRUE,"GENERAL";"TAB3",#N/A,TRUE,"GENERAL";"TAB4",#N/A,TRUE,"GENERAL";"TAB5",#N/A,TRUE,"GENERAL"}</definedName>
    <definedName name="___a3" localSheetId="13" hidden="1">{"TAB1",#N/A,TRUE,"GENERAL";"TAB2",#N/A,TRUE,"GENERAL";"TAB3",#N/A,TRUE,"GENERAL";"TAB4",#N/A,TRUE,"GENERAL";"TAB5",#N/A,TRUE,"GENERAL"}</definedName>
    <definedName name="___a3" localSheetId="15" hidden="1">{"TAB1",#N/A,TRUE,"GENERAL";"TAB2",#N/A,TRUE,"GENERAL";"TAB3",#N/A,TRUE,"GENERAL";"TAB4",#N/A,TRUE,"GENERAL";"TAB5",#N/A,TRUE,"GENERAL"}</definedName>
    <definedName name="___a3" hidden="1">{"TAB1",#N/A,TRUE,"GENERAL";"TAB2",#N/A,TRUE,"GENERAL";"TAB3",#N/A,TRUE,"GENERAL";"TAB4",#N/A,TRUE,"GENERAL";"TAB5",#N/A,TRUE,"GENERAL"}</definedName>
    <definedName name="___a4" localSheetId="14" hidden="1">{"via1",#N/A,TRUE,"general";"via2",#N/A,TRUE,"general";"via3",#N/A,TRUE,"general"}</definedName>
    <definedName name="___a4" localSheetId="16" hidden="1">{"via1",#N/A,TRUE,"general";"via2",#N/A,TRUE,"general";"via3",#N/A,TRUE,"general"}</definedName>
    <definedName name="___a4" localSheetId="17" hidden="1">{"via1",#N/A,TRUE,"general";"via2",#N/A,TRUE,"general";"via3",#N/A,TRUE,"general"}</definedName>
    <definedName name="___a4" localSheetId="13" hidden="1">{"via1",#N/A,TRUE,"general";"via2",#N/A,TRUE,"general";"via3",#N/A,TRUE,"general"}</definedName>
    <definedName name="___a4" localSheetId="15" hidden="1">{"via1",#N/A,TRUE,"general";"via2",#N/A,TRUE,"general";"via3",#N/A,TRUE,"general"}</definedName>
    <definedName name="___a4" hidden="1">{"via1",#N/A,TRUE,"general";"via2",#N/A,TRUE,"general";"via3",#N/A,TRUE,"general"}</definedName>
    <definedName name="___a5" localSheetId="14" hidden="1">{"TAB1",#N/A,TRUE,"GENERAL";"TAB2",#N/A,TRUE,"GENERAL";"TAB3",#N/A,TRUE,"GENERAL";"TAB4",#N/A,TRUE,"GENERAL";"TAB5",#N/A,TRUE,"GENERAL"}</definedName>
    <definedName name="___a5" localSheetId="16" hidden="1">{"TAB1",#N/A,TRUE,"GENERAL";"TAB2",#N/A,TRUE,"GENERAL";"TAB3",#N/A,TRUE,"GENERAL";"TAB4",#N/A,TRUE,"GENERAL";"TAB5",#N/A,TRUE,"GENERAL"}</definedName>
    <definedName name="___a5" localSheetId="17" hidden="1">{"TAB1",#N/A,TRUE,"GENERAL";"TAB2",#N/A,TRUE,"GENERAL";"TAB3",#N/A,TRUE,"GENERAL";"TAB4",#N/A,TRUE,"GENERAL";"TAB5",#N/A,TRUE,"GENERAL"}</definedName>
    <definedName name="___a5" localSheetId="13" hidden="1">{"TAB1",#N/A,TRUE,"GENERAL";"TAB2",#N/A,TRUE,"GENERAL";"TAB3",#N/A,TRUE,"GENERAL";"TAB4",#N/A,TRUE,"GENERAL";"TAB5",#N/A,TRUE,"GENERAL"}</definedName>
    <definedName name="___a5" localSheetId="15" hidden="1">{"TAB1",#N/A,TRUE,"GENERAL";"TAB2",#N/A,TRUE,"GENERAL";"TAB3",#N/A,TRUE,"GENERAL";"TAB4",#N/A,TRUE,"GENERAL";"TAB5",#N/A,TRUE,"GENERAL"}</definedName>
    <definedName name="___a5" hidden="1">{"TAB1",#N/A,TRUE,"GENERAL";"TAB2",#N/A,TRUE,"GENERAL";"TAB3",#N/A,TRUE,"GENERAL";"TAB4",#N/A,TRUE,"GENERAL";"TAB5",#N/A,TRUE,"GENERAL"}</definedName>
    <definedName name="___a6" localSheetId="14" hidden="1">{"TAB1",#N/A,TRUE,"GENERAL";"TAB2",#N/A,TRUE,"GENERAL";"TAB3",#N/A,TRUE,"GENERAL";"TAB4",#N/A,TRUE,"GENERAL";"TAB5",#N/A,TRUE,"GENERAL"}</definedName>
    <definedName name="___a6" localSheetId="16" hidden="1">{"TAB1",#N/A,TRUE,"GENERAL";"TAB2",#N/A,TRUE,"GENERAL";"TAB3",#N/A,TRUE,"GENERAL";"TAB4",#N/A,TRUE,"GENERAL";"TAB5",#N/A,TRUE,"GENERAL"}</definedName>
    <definedName name="___a6" localSheetId="17" hidden="1">{"TAB1",#N/A,TRUE,"GENERAL";"TAB2",#N/A,TRUE,"GENERAL";"TAB3",#N/A,TRUE,"GENERAL";"TAB4",#N/A,TRUE,"GENERAL";"TAB5",#N/A,TRUE,"GENERAL"}</definedName>
    <definedName name="___a6" localSheetId="13" hidden="1">{"TAB1",#N/A,TRUE,"GENERAL";"TAB2",#N/A,TRUE,"GENERAL";"TAB3",#N/A,TRUE,"GENERAL";"TAB4",#N/A,TRUE,"GENERAL";"TAB5",#N/A,TRUE,"GENERAL"}</definedName>
    <definedName name="___a6" localSheetId="15" hidden="1">{"TAB1",#N/A,TRUE,"GENERAL";"TAB2",#N/A,TRUE,"GENERAL";"TAB3",#N/A,TRUE,"GENERAL";"TAB4",#N/A,TRUE,"GENERAL";"TAB5",#N/A,TRUE,"GENERAL"}</definedName>
    <definedName name="___a6" hidden="1">{"TAB1",#N/A,TRUE,"GENERAL";"TAB2",#N/A,TRUE,"GENERAL";"TAB3",#N/A,TRUE,"GENERAL";"TAB4",#N/A,TRUE,"GENERAL";"TAB5",#N/A,TRUE,"GENERAL"}</definedName>
    <definedName name="___ADH12" localSheetId="3">#REF!</definedName>
    <definedName name="___ADH12" localSheetId="30">#REF!</definedName>
    <definedName name="___ADH12" localSheetId="31">#REF!</definedName>
    <definedName name="___ADH12" localSheetId="29">#REF!</definedName>
    <definedName name="___ADH12">#REF!</definedName>
    <definedName name="___ADM12" localSheetId="3">#REF!</definedName>
    <definedName name="___ADM12" localSheetId="30">#REF!</definedName>
    <definedName name="___ADM12" localSheetId="31">#REF!</definedName>
    <definedName name="___ADM12" localSheetId="29">#REF!</definedName>
    <definedName name="___ADM12">#REF!</definedName>
    <definedName name="___ADM2" localSheetId="3">#REF!</definedName>
    <definedName name="___ADM2" localSheetId="30">#REF!</definedName>
    <definedName name="___ADM2" localSheetId="31">#REF!</definedName>
    <definedName name="___ADM2" localSheetId="29">#REF!</definedName>
    <definedName name="___ADM2">#REF!</definedName>
    <definedName name="___ADM3" localSheetId="3">#REF!</definedName>
    <definedName name="___ADM3" localSheetId="30">#REF!</definedName>
    <definedName name="___ADM3" localSheetId="31">#REF!</definedName>
    <definedName name="___ADM3" localSheetId="29">#REF!</definedName>
    <definedName name="___ADM3">#REF!</definedName>
    <definedName name="___ADM4" localSheetId="3">#REF!</definedName>
    <definedName name="___ADM4" localSheetId="30">#REF!</definedName>
    <definedName name="___ADM4" localSheetId="31">#REF!</definedName>
    <definedName name="___ADM4" localSheetId="29">#REF!</definedName>
    <definedName name="___ADM4">#REF!</definedName>
    <definedName name="___ADP1" localSheetId="3">#REF!</definedName>
    <definedName name="___ADP1" localSheetId="30">#REF!</definedName>
    <definedName name="___ADP1" localSheetId="31">#REF!</definedName>
    <definedName name="___ADP1" localSheetId="29">#REF!</definedName>
    <definedName name="___ADP1">#REF!</definedName>
    <definedName name="___AFC1">[1]INV!$A$25:$D$28</definedName>
    <definedName name="___AFC3">[1]INV!$F$25:$I$28</definedName>
    <definedName name="___AFC5">[1]INV!$K$25:$N$28</definedName>
    <definedName name="___AIU1" localSheetId="3">#REF!</definedName>
    <definedName name="___AIU1" localSheetId="30">#REF!</definedName>
    <definedName name="___AIU1" localSheetId="31">#REF!</definedName>
    <definedName name="___AIU1" localSheetId="29">#REF!</definedName>
    <definedName name="___AIU1">#REF!</definedName>
    <definedName name="___AIU2">#REF!</definedName>
    <definedName name="___AIU3">#REF!</definedName>
    <definedName name="___APU221">#REF!</definedName>
    <definedName name="___APU465" localSheetId="14">[2]!absc</definedName>
    <definedName name="___APU465" localSheetId="17">[2]!absc</definedName>
    <definedName name="___APU465" localSheetId="2">[2]!absc</definedName>
    <definedName name="___APU465" localSheetId="20">[2]!absc</definedName>
    <definedName name="___APU465" localSheetId="21">[2]!absc</definedName>
    <definedName name="___APU465" localSheetId="15">[2]!absc</definedName>
    <definedName name="___APU465">[2]!absc</definedName>
    <definedName name="___b2" localSheetId="14" hidden="1">{"TAB1",#N/A,TRUE,"GENERAL";"TAB2",#N/A,TRUE,"GENERAL";"TAB3",#N/A,TRUE,"GENERAL";"TAB4",#N/A,TRUE,"GENERAL";"TAB5",#N/A,TRUE,"GENERAL"}</definedName>
    <definedName name="___b2" localSheetId="16" hidden="1">{"TAB1",#N/A,TRUE,"GENERAL";"TAB2",#N/A,TRUE,"GENERAL";"TAB3",#N/A,TRUE,"GENERAL";"TAB4",#N/A,TRUE,"GENERAL";"TAB5",#N/A,TRUE,"GENERAL"}</definedName>
    <definedName name="___b2" localSheetId="17" hidden="1">{"TAB1",#N/A,TRUE,"GENERAL";"TAB2",#N/A,TRUE,"GENERAL";"TAB3",#N/A,TRUE,"GENERAL";"TAB4",#N/A,TRUE,"GENERAL";"TAB5",#N/A,TRUE,"GENERAL"}</definedName>
    <definedName name="___b2" localSheetId="13" hidden="1">{"TAB1",#N/A,TRUE,"GENERAL";"TAB2",#N/A,TRUE,"GENERAL";"TAB3",#N/A,TRUE,"GENERAL";"TAB4",#N/A,TRUE,"GENERAL";"TAB5",#N/A,TRUE,"GENERAL"}</definedName>
    <definedName name="___b2" localSheetId="15" hidden="1">{"TAB1",#N/A,TRUE,"GENERAL";"TAB2",#N/A,TRUE,"GENERAL";"TAB3",#N/A,TRUE,"GENERAL";"TAB4",#N/A,TRUE,"GENERAL";"TAB5",#N/A,TRUE,"GENERAL"}</definedName>
    <definedName name="___b2" hidden="1">{"TAB1",#N/A,TRUE,"GENERAL";"TAB2",#N/A,TRUE,"GENERAL";"TAB3",#N/A,TRUE,"GENERAL";"TAB4",#N/A,TRUE,"GENERAL";"TAB5",#N/A,TRUE,"GENERAL"}</definedName>
    <definedName name="___b3" localSheetId="14" hidden="1">{"TAB1",#N/A,TRUE,"GENERAL";"TAB2",#N/A,TRUE,"GENERAL";"TAB3",#N/A,TRUE,"GENERAL";"TAB4",#N/A,TRUE,"GENERAL";"TAB5",#N/A,TRUE,"GENERAL"}</definedName>
    <definedName name="___b3" localSheetId="16" hidden="1">{"TAB1",#N/A,TRUE,"GENERAL";"TAB2",#N/A,TRUE,"GENERAL";"TAB3",#N/A,TRUE,"GENERAL";"TAB4",#N/A,TRUE,"GENERAL";"TAB5",#N/A,TRUE,"GENERAL"}</definedName>
    <definedName name="___b3" localSheetId="17" hidden="1">{"TAB1",#N/A,TRUE,"GENERAL";"TAB2",#N/A,TRUE,"GENERAL";"TAB3",#N/A,TRUE,"GENERAL";"TAB4",#N/A,TRUE,"GENERAL";"TAB5",#N/A,TRUE,"GENERAL"}</definedName>
    <definedName name="___b3" localSheetId="13" hidden="1">{"TAB1",#N/A,TRUE,"GENERAL";"TAB2",#N/A,TRUE,"GENERAL";"TAB3",#N/A,TRUE,"GENERAL";"TAB4",#N/A,TRUE,"GENERAL";"TAB5",#N/A,TRUE,"GENERAL"}</definedName>
    <definedName name="___b3" localSheetId="15" hidden="1">{"TAB1",#N/A,TRUE,"GENERAL";"TAB2",#N/A,TRUE,"GENERAL";"TAB3",#N/A,TRUE,"GENERAL";"TAB4",#N/A,TRUE,"GENERAL";"TAB5",#N/A,TRUE,"GENERAL"}</definedName>
    <definedName name="___b3" hidden="1">{"TAB1",#N/A,TRUE,"GENERAL";"TAB2",#N/A,TRUE,"GENERAL";"TAB3",#N/A,TRUE,"GENERAL";"TAB4",#N/A,TRUE,"GENERAL";"TAB5",#N/A,TRUE,"GENERAL"}</definedName>
    <definedName name="___b4" localSheetId="14" hidden="1">{"TAB1",#N/A,TRUE,"GENERAL";"TAB2",#N/A,TRUE,"GENERAL";"TAB3",#N/A,TRUE,"GENERAL";"TAB4",#N/A,TRUE,"GENERAL";"TAB5",#N/A,TRUE,"GENERAL"}</definedName>
    <definedName name="___b4" localSheetId="16" hidden="1">{"TAB1",#N/A,TRUE,"GENERAL";"TAB2",#N/A,TRUE,"GENERAL";"TAB3",#N/A,TRUE,"GENERAL";"TAB4",#N/A,TRUE,"GENERAL";"TAB5",#N/A,TRUE,"GENERAL"}</definedName>
    <definedName name="___b4" localSheetId="17" hidden="1">{"TAB1",#N/A,TRUE,"GENERAL";"TAB2",#N/A,TRUE,"GENERAL";"TAB3",#N/A,TRUE,"GENERAL";"TAB4",#N/A,TRUE,"GENERAL";"TAB5",#N/A,TRUE,"GENERAL"}</definedName>
    <definedName name="___b4" localSheetId="13" hidden="1">{"TAB1",#N/A,TRUE,"GENERAL";"TAB2",#N/A,TRUE,"GENERAL";"TAB3",#N/A,TRUE,"GENERAL";"TAB4",#N/A,TRUE,"GENERAL";"TAB5",#N/A,TRUE,"GENERAL"}</definedName>
    <definedName name="___b4" localSheetId="15" hidden="1">{"TAB1",#N/A,TRUE,"GENERAL";"TAB2",#N/A,TRUE,"GENERAL";"TAB3",#N/A,TRUE,"GENERAL";"TAB4",#N/A,TRUE,"GENERAL";"TAB5",#N/A,TRUE,"GENERAL"}</definedName>
    <definedName name="___b4" hidden="1">{"TAB1",#N/A,TRUE,"GENERAL";"TAB2",#N/A,TRUE,"GENERAL";"TAB3",#N/A,TRUE,"GENERAL";"TAB4",#N/A,TRUE,"GENERAL";"TAB5",#N/A,TRUE,"GENERAL"}</definedName>
    <definedName name="___b5" localSheetId="14" hidden="1">{"TAB1",#N/A,TRUE,"GENERAL";"TAB2",#N/A,TRUE,"GENERAL";"TAB3",#N/A,TRUE,"GENERAL";"TAB4",#N/A,TRUE,"GENERAL";"TAB5",#N/A,TRUE,"GENERAL"}</definedName>
    <definedName name="___b5" localSheetId="16" hidden="1">{"TAB1",#N/A,TRUE,"GENERAL";"TAB2",#N/A,TRUE,"GENERAL";"TAB3",#N/A,TRUE,"GENERAL";"TAB4",#N/A,TRUE,"GENERAL";"TAB5",#N/A,TRUE,"GENERAL"}</definedName>
    <definedName name="___b5" localSheetId="17" hidden="1">{"TAB1",#N/A,TRUE,"GENERAL";"TAB2",#N/A,TRUE,"GENERAL";"TAB3",#N/A,TRUE,"GENERAL";"TAB4",#N/A,TRUE,"GENERAL";"TAB5",#N/A,TRUE,"GENERAL"}</definedName>
    <definedName name="___b5" localSheetId="13" hidden="1">{"TAB1",#N/A,TRUE,"GENERAL";"TAB2",#N/A,TRUE,"GENERAL";"TAB3",#N/A,TRUE,"GENERAL";"TAB4",#N/A,TRUE,"GENERAL";"TAB5",#N/A,TRUE,"GENERAL"}</definedName>
    <definedName name="___b5" localSheetId="15" hidden="1">{"TAB1",#N/A,TRUE,"GENERAL";"TAB2",#N/A,TRUE,"GENERAL";"TAB3",#N/A,TRUE,"GENERAL";"TAB4",#N/A,TRUE,"GENERAL";"TAB5",#N/A,TRUE,"GENERAL"}</definedName>
    <definedName name="___b5" hidden="1">{"TAB1",#N/A,TRUE,"GENERAL";"TAB2",#N/A,TRUE,"GENERAL";"TAB3",#N/A,TRUE,"GENERAL";"TAB4",#N/A,TRUE,"GENERAL";"TAB5",#N/A,TRUE,"GENERAL"}</definedName>
    <definedName name="___b6" localSheetId="14" hidden="1">{"TAB1",#N/A,TRUE,"GENERAL";"TAB2",#N/A,TRUE,"GENERAL";"TAB3",#N/A,TRUE,"GENERAL";"TAB4",#N/A,TRUE,"GENERAL";"TAB5",#N/A,TRUE,"GENERAL"}</definedName>
    <definedName name="___b6" localSheetId="16" hidden="1">{"TAB1",#N/A,TRUE,"GENERAL";"TAB2",#N/A,TRUE,"GENERAL";"TAB3",#N/A,TRUE,"GENERAL";"TAB4",#N/A,TRUE,"GENERAL";"TAB5",#N/A,TRUE,"GENERAL"}</definedName>
    <definedName name="___b6" localSheetId="17" hidden="1">{"TAB1",#N/A,TRUE,"GENERAL";"TAB2",#N/A,TRUE,"GENERAL";"TAB3",#N/A,TRUE,"GENERAL";"TAB4",#N/A,TRUE,"GENERAL";"TAB5",#N/A,TRUE,"GENERAL"}</definedName>
    <definedName name="___b6" localSheetId="13" hidden="1">{"TAB1",#N/A,TRUE,"GENERAL";"TAB2",#N/A,TRUE,"GENERAL";"TAB3",#N/A,TRUE,"GENERAL";"TAB4",#N/A,TRUE,"GENERAL";"TAB5",#N/A,TRUE,"GENERAL"}</definedName>
    <definedName name="___b6" localSheetId="15" hidden="1">{"TAB1",#N/A,TRUE,"GENERAL";"TAB2",#N/A,TRUE,"GENERAL";"TAB3",#N/A,TRUE,"GENERAL";"TAB4",#N/A,TRUE,"GENERAL";"TAB5",#N/A,TRUE,"GENERAL"}</definedName>
    <definedName name="___b6" hidden="1">{"TAB1",#N/A,TRUE,"GENERAL";"TAB2",#N/A,TRUE,"GENERAL";"TAB3",#N/A,TRUE,"GENERAL";"TAB4",#N/A,TRUE,"GENERAL";"TAB5",#N/A,TRUE,"GENERAL"}</definedName>
    <definedName name="___b7" localSheetId="14" hidden="1">{"via1",#N/A,TRUE,"general";"via2",#N/A,TRUE,"general";"via3",#N/A,TRUE,"general"}</definedName>
    <definedName name="___b7" localSheetId="16" hidden="1">{"via1",#N/A,TRUE,"general";"via2",#N/A,TRUE,"general";"via3",#N/A,TRUE,"general"}</definedName>
    <definedName name="___b7" localSheetId="17" hidden="1">{"via1",#N/A,TRUE,"general";"via2",#N/A,TRUE,"general";"via3",#N/A,TRUE,"general"}</definedName>
    <definedName name="___b7" localSheetId="13" hidden="1">{"via1",#N/A,TRUE,"general";"via2",#N/A,TRUE,"general";"via3",#N/A,TRUE,"general"}</definedName>
    <definedName name="___b7" localSheetId="15" hidden="1">{"via1",#N/A,TRUE,"general";"via2",#N/A,TRUE,"general";"via3",#N/A,TRUE,"general"}</definedName>
    <definedName name="___b7" hidden="1">{"via1",#N/A,TRUE,"general";"via2",#N/A,TRUE,"general";"via3",#N/A,TRUE,"general"}</definedName>
    <definedName name="___b8" localSheetId="14" hidden="1">{"via1",#N/A,TRUE,"general";"via2",#N/A,TRUE,"general";"via3",#N/A,TRUE,"general"}</definedName>
    <definedName name="___b8" localSheetId="16" hidden="1">{"via1",#N/A,TRUE,"general";"via2",#N/A,TRUE,"general";"via3",#N/A,TRUE,"general"}</definedName>
    <definedName name="___b8" localSheetId="17" hidden="1">{"via1",#N/A,TRUE,"general";"via2",#N/A,TRUE,"general";"via3",#N/A,TRUE,"general"}</definedName>
    <definedName name="___b8" localSheetId="13" hidden="1">{"via1",#N/A,TRUE,"general";"via2",#N/A,TRUE,"general";"via3",#N/A,TRUE,"general"}</definedName>
    <definedName name="___b8" localSheetId="15" hidden="1">{"via1",#N/A,TRUE,"general";"via2",#N/A,TRUE,"general";"via3",#N/A,TRUE,"general"}</definedName>
    <definedName name="___b8" hidden="1">{"via1",#N/A,TRUE,"general";"via2",#N/A,TRUE,"general";"via3",#N/A,TRUE,"general"}</definedName>
    <definedName name="___BAZ10" localSheetId="3">#REF!</definedName>
    <definedName name="___BAZ10" localSheetId="30">#REF!</definedName>
    <definedName name="___BAZ10" localSheetId="31">#REF!</definedName>
    <definedName name="___BAZ10" localSheetId="29">#REF!</definedName>
    <definedName name="___BAZ10">#REF!</definedName>
    <definedName name="___bb9" localSheetId="14" hidden="1">{"TAB1",#N/A,TRUE,"GENERAL";"TAB2",#N/A,TRUE,"GENERAL";"TAB3",#N/A,TRUE,"GENERAL";"TAB4",#N/A,TRUE,"GENERAL";"TAB5",#N/A,TRUE,"GENERAL"}</definedName>
    <definedName name="___bb9" localSheetId="16" hidden="1">{"TAB1",#N/A,TRUE,"GENERAL";"TAB2",#N/A,TRUE,"GENERAL";"TAB3",#N/A,TRUE,"GENERAL";"TAB4",#N/A,TRUE,"GENERAL";"TAB5",#N/A,TRUE,"GENERAL"}</definedName>
    <definedName name="___bb9" localSheetId="17" hidden="1">{"TAB1",#N/A,TRUE,"GENERAL";"TAB2",#N/A,TRUE,"GENERAL";"TAB3",#N/A,TRUE,"GENERAL";"TAB4",#N/A,TRUE,"GENERAL";"TAB5",#N/A,TRUE,"GENERAL"}</definedName>
    <definedName name="___bb9" localSheetId="13" hidden="1">{"TAB1",#N/A,TRUE,"GENERAL";"TAB2",#N/A,TRUE,"GENERAL";"TAB3",#N/A,TRUE,"GENERAL";"TAB4",#N/A,TRUE,"GENERAL";"TAB5",#N/A,TRUE,"GENERAL"}</definedName>
    <definedName name="___bb9" localSheetId="15" hidden="1">{"TAB1",#N/A,TRUE,"GENERAL";"TAB2",#N/A,TRUE,"GENERAL";"TAB3",#N/A,TRUE,"GENERAL";"TAB4",#N/A,TRUE,"GENERAL";"TAB5",#N/A,TRUE,"GENERAL"}</definedName>
    <definedName name="___bb9" hidden="1">{"TAB1",#N/A,TRUE,"GENERAL";"TAB2",#N/A,TRUE,"GENERAL";"TAB3",#N/A,TRUE,"GENERAL";"TAB4",#N/A,TRUE,"GENERAL";"TAB5",#N/A,TRUE,"GENERAL"}</definedName>
    <definedName name="___bgb5" localSheetId="14" hidden="1">{"TAB1",#N/A,TRUE,"GENERAL";"TAB2",#N/A,TRUE,"GENERAL";"TAB3",#N/A,TRUE,"GENERAL";"TAB4",#N/A,TRUE,"GENERAL";"TAB5",#N/A,TRUE,"GENERAL"}</definedName>
    <definedName name="___bgb5" localSheetId="16" hidden="1">{"TAB1",#N/A,TRUE,"GENERAL";"TAB2",#N/A,TRUE,"GENERAL";"TAB3",#N/A,TRUE,"GENERAL";"TAB4",#N/A,TRUE,"GENERAL";"TAB5",#N/A,TRUE,"GENERAL"}</definedName>
    <definedName name="___bgb5" localSheetId="17" hidden="1">{"TAB1",#N/A,TRUE,"GENERAL";"TAB2",#N/A,TRUE,"GENERAL";"TAB3",#N/A,TRUE,"GENERAL";"TAB4",#N/A,TRUE,"GENERAL";"TAB5",#N/A,TRUE,"GENERAL"}</definedName>
    <definedName name="___bgb5" localSheetId="13" hidden="1">{"TAB1",#N/A,TRUE,"GENERAL";"TAB2",#N/A,TRUE,"GENERAL";"TAB3",#N/A,TRUE,"GENERAL";"TAB4",#N/A,TRUE,"GENERAL";"TAB5",#N/A,TRUE,"GENERAL"}</definedName>
    <definedName name="___bgb5" localSheetId="15"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BLO20" localSheetId="3">#REF!</definedName>
    <definedName name="___BLO20" localSheetId="30">#REF!</definedName>
    <definedName name="___BLO20" localSheetId="31">#REF!</definedName>
    <definedName name="___BLO20" localSheetId="29">#REF!</definedName>
    <definedName name="___BLO20">#REF!</definedName>
    <definedName name="___C2254JH" localSheetId="3">#REF!</definedName>
    <definedName name="___C2254JH" localSheetId="30">#REF!</definedName>
    <definedName name="___C2254JH" localSheetId="31">#REF!</definedName>
    <definedName name="___C2254JH" localSheetId="29">#REF!</definedName>
    <definedName name="___C2254JH">#REF!</definedName>
    <definedName name="___C2256JH" localSheetId="3">#REF!</definedName>
    <definedName name="___C2256JH" localSheetId="30">#REF!</definedName>
    <definedName name="___C2256JH" localSheetId="31">#REF!</definedName>
    <definedName name="___C2256JH" localSheetId="29">#REF!</definedName>
    <definedName name="___C2256JH">#REF!</definedName>
    <definedName name="___C452JH" localSheetId="3">#REF!</definedName>
    <definedName name="___C452JH" localSheetId="30">#REF!</definedName>
    <definedName name="___C452JH" localSheetId="31">#REF!</definedName>
    <definedName name="___C452JH" localSheetId="29">#REF!</definedName>
    <definedName name="___C452JH">#REF!</definedName>
    <definedName name="___C903L" localSheetId="3">#REF!</definedName>
    <definedName name="___C903L" localSheetId="30">#REF!</definedName>
    <definedName name="___C903L" localSheetId="31">#REF!</definedName>
    <definedName name="___C903L" localSheetId="29">#REF!</definedName>
    <definedName name="___C903L">#REF!</definedName>
    <definedName name="___C908J" localSheetId="3">#REF!</definedName>
    <definedName name="___C908J" localSheetId="30">#REF!</definedName>
    <definedName name="___C908J" localSheetId="31">#REF!</definedName>
    <definedName name="___C908J" localSheetId="29">#REF!</definedName>
    <definedName name="___C908J">#REF!</definedName>
    <definedName name="___CAC1">[1]INV!$A$19:$D$22</definedName>
    <definedName name="___CAC3">[1]INV!$F$19:$I$22</definedName>
    <definedName name="___CAC5">[1]INV!$K$19:$N$22</definedName>
    <definedName name="___CAN28">#REF!</definedName>
    <definedName name="___Cod1" localSheetId="3">#REF!</definedName>
    <definedName name="___Cod1" localSheetId="30">#REF!</definedName>
    <definedName name="___Cod1" localSheetId="31">#REF!</definedName>
    <definedName name="___Cod1" localSheetId="29">#REF!</definedName>
    <definedName name="___Cod1">#REF!</definedName>
    <definedName name="___CUA44">#REF!</definedName>
    <definedName name="___EEF110" localSheetId="3">#REF!</definedName>
    <definedName name="___EEF110" localSheetId="30">#REF!</definedName>
    <definedName name="___EEF110" localSheetId="31">#REF!</definedName>
    <definedName name="___EEF110" localSheetId="29">#REF!</definedName>
    <definedName name="___EEF110">#REF!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 localSheetId="3">#REF!</definedName>
    <definedName name="___ETF315" localSheetId="30">#REF!</definedName>
    <definedName name="___ETF315" localSheetId="31">#REF!</definedName>
    <definedName name="___ETF315" localSheetId="29">#REF!</definedName>
    <definedName name="___ETF315">#REF!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EC5">[6]datos!$N$2,[6]datos!$N$2:$N$500</definedName>
    <definedName name="___FYB02" localSheetId="3">#REF!</definedName>
    <definedName name="___FYB02" localSheetId="30">#REF!</definedName>
    <definedName name="___FYB02" localSheetId="31">#REF!</definedName>
    <definedName name="___FYB02" localSheetId="29">#REF!</definedName>
    <definedName name="___FYB02">#REF!</definedName>
    <definedName name="___FYB03" localSheetId="3">#REF!</definedName>
    <definedName name="___FYB03" localSheetId="30">#REF!</definedName>
    <definedName name="___FYB03" localSheetId="31">#REF!</definedName>
    <definedName name="___FYB03" localSheetId="29">#REF!</definedName>
    <definedName name="___FYB03">#REF!</definedName>
    <definedName name="___FYB04" localSheetId="3">#REF!</definedName>
    <definedName name="___FYB04" localSheetId="30">#REF!</definedName>
    <definedName name="___FYB04" localSheetId="31">#REF!</definedName>
    <definedName name="___FYB04" localSheetId="29">#REF!</definedName>
    <definedName name="___FYB04">#REF!</definedName>
    <definedName name="___FYB08" localSheetId="3">#REF!</definedName>
    <definedName name="___FYB08" localSheetId="30">#REF!</definedName>
    <definedName name="___FYB08" localSheetId="31">#REF!</definedName>
    <definedName name="___FYB08" localSheetId="29">#REF!</definedName>
    <definedName name="___FYB08">#REF!</definedName>
    <definedName name="___FYB10" localSheetId="3">#REF!</definedName>
    <definedName name="___FYB10" localSheetId="30">#REF!</definedName>
    <definedName name="___FYB10" localSheetId="31">#REF!</definedName>
    <definedName name="___FYB10" localSheetId="29">#REF!</definedName>
    <definedName name="___FYB10">#REF!</definedName>
    <definedName name="___g2" localSheetId="14" hidden="1">{"TAB1",#N/A,TRUE,"GENERAL";"TAB2",#N/A,TRUE,"GENERAL";"TAB3",#N/A,TRUE,"GENERAL";"TAB4",#N/A,TRUE,"GENERAL";"TAB5",#N/A,TRUE,"GENERAL"}</definedName>
    <definedName name="___g2" localSheetId="16" hidden="1">{"TAB1",#N/A,TRUE,"GENERAL";"TAB2",#N/A,TRUE,"GENERAL";"TAB3",#N/A,TRUE,"GENERAL";"TAB4",#N/A,TRUE,"GENERAL";"TAB5",#N/A,TRUE,"GENERAL"}</definedName>
    <definedName name="___g2" localSheetId="17" hidden="1">{"TAB1",#N/A,TRUE,"GENERAL";"TAB2",#N/A,TRUE,"GENERAL";"TAB3",#N/A,TRUE,"GENERAL";"TAB4",#N/A,TRUE,"GENERAL";"TAB5",#N/A,TRUE,"GENERAL"}</definedName>
    <definedName name="___g2" localSheetId="13" hidden="1">{"TAB1",#N/A,TRUE,"GENERAL";"TAB2",#N/A,TRUE,"GENERAL";"TAB3",#N/A,TRUE,"GENERAL";"TAB4",#N/A,TRUE,"GENERAL";"TAB5",#N/A,TRUE,"GENERAL"}</definedName>
    <definedName name="___g2" localSheetId="15" hidden="1">{"TAB1",#N/A,TRUE,"GENERAL";"TAB2",#N/A,TRUE,"GENERAL";"TAB3",#N/A,TRUE,"GENERAL";"TAB4",#N/A,TRUE,"GENERAL";"TAB5",#N/A,TRUE,"GENERAL"}</definedName>
    <definedName name="___g2" hidden="1">{"TAB1",#N/A,TRUE,"GENERAL";"TAB2",#N/A,TRUE,"GENERAL";"TAB3",#N/A,TRUE,"GENERAL";"TAB4",#N/A,TRUE,"GENERAL";"TAB5",#N/A,TRUE,"GENERAL"}</definedName>
    <definedName name="___g3" localSheetId="14" hidden="1">{"via1",#N/A,TRUE,"general";"via2",#N/A,TRUE,"general";"via3",#N/A,TRUE,"general"}</definedName>
    <definedName name="___g3" localSheetId="16" hidden="1">{"via1",#N/A,TRUE,"general";"via2",#N/A,TRUE,"general";"via3",#N/A,TRUE,"general"}</definedName>
    <definedName name="___g3" localSheetId="17" hidden="1">{"via1",#N/A,TRUE,"general";"via2",#N/A,TRUE,"general";"via3",#N/A,TRUE,"general"}</definedName>
    <definedName name="___g3" localSheetId="13" hidden="1">{"via1",#N/A,TRUE,"general";"via2",#N/A,TRUE,"general";"via3",#N/A,TRUE,"general"}</definedName>
    <definedName name="___g3" localSheetId="15" hidden="1">{"via1",#N/A,TRUE,"general";"via2",#N/A,TRUE,"general";"via3",#N/A,TRUE,"general"}</definedName>
    <definedName name="___g3" hidden="1">{"via1",#N/A,TRUE,"general";"via2",#N/A,TRUE,"general";"via3",#N/A,TRUE,"general"}</definedName>
    <definedName name="___g4" localSheetId="14" hidden="1">{"via1",#N/A,TRUE,"general";"via2",#N/A,TRUE,"general";"via3",#N/A,TRUE,"general"}</definedName>
    <definedName name="___g4" localSheetId="16" hidden="1">{"via1",#N/A,TRUE,"general";"via2",#N/A,TRUE,"general";"via3",#N/A,TRUE,"general"}</definedName>
    <definedName name="___g4" localSheetId="17" hidden="1">{"via1",#N/A,TRUE,"general";"via2",#N/A,TRUE,"general";"via3",#N/A,TRUE,"general"}</definedName>
    <definedName name="___g4" localSheetId="13" hidden="1">{"via1",#N/A,TRUE,"general";"via2",#N/A,TRUE,"general";"via3",#N/A,TRUE,"general"}</definedName>
    <definedName name="___g4" localSheetId="15" hidden="1">{"via1",#N/A,TRUE,"general";"via2",#N/A,TRUE,"general";"via3",#N/A,TRUE,"general"}</definedName>
    <definedName name="___g4" hidden="1">{"via1",#N/A,TRUE,"general";"via2",#N/A,TRUE,"general";"via3",#N/A,TRUE,"general"}</definedName>
    <definedName name="___g5" localSheetId="14" hidden="1">{"via1",#N/A,TRUE,"general";"via2",#N/A,TRUE,"general";"via3",#N/A,TRUE,"general"}</definedName>
    <definedName name="___g5" localSheetId="16" hidden="1">{"via1",#N/A,TRUE,"general";"via2",#N/A,TRUE,"general";"via3",#N/A,TRUE,"general"}</definedName>
    <definedName name="___g5" localSheetId="17" hidden="1">{"via1",#N/A,TRUE,"general";"via2",#N/A,TRUE,"general";"via3",#N/A,TRUE,"general"}</definedName>
    <definedName name="___g5" localSheetId="13" hidden="1">{"via1",#N/A,TRUE,"general";"via2",#N/A,TRUE,"general";"via3",#N/A,TRUE,"general"}</definedName>
    <definedName name="___g5" localSheetId="15" hidden="1">{"via1",#N/A,TRUE,"general";"via2",#N/A,TRUE,"general";"via3",#N/A,TRUE,"general"}</definedName>
    <definedName name="___g5" hidden="1">{"via1",#N/A,TRUE,"general";"via2",#N/A,TRUE,"general";"via3",#N/A,TRUE,"general"}</definedName>
    <definedName name="___g6" localSheetId="14" hidden="1">{"via1",#N/A,TRUE,"general";"via2",#N/A,TRUE,"general";"via3",#N/A,TRUE,"general"}</definedName>
    <definedName name="___g6" localSheetId="16" hidden="1">{"via1",#N/A,TRUE,"general";"via2",#N/A,TRUE,"general";"via3",#N/A,TRUE,"general"}</definedName>
    <definedName name="___g6" localSheetId="17" hidden="1">{"via1",#N/A,TRUE,"general";"via2",#N/A,TRUE,"general";"via3",#N/A,TRUE,"general"}</definedName>
    <definedName name="___g6" localSheetId="13" hidden="1">{"via1",#N/A,TRUE,"general";"via2",#N/A,TRUE,"general";"via3",#N/A,TRUE,"general"}</definedName>
    <definedName name="___g6" localSheetId="15" hidden="1">{"via1",#N/A,TRUE,"general";"via2",#N/A,TRUE,"general";"via3",#N/A,TRUE,"general"}</definedName>
    <definedName name="___g6" hidden="1">{"via1",#N/A,TRUE,"general";"via2",#N/A,TRUE,"general";"via3",#N/A,TRUE,"general"}</definedName>
    <definedName name="___g7" localSheetId="14" hidden="1">{"TAB1",#N/A,TRUE,"GENERAL";"TAB2",#N/A,TRUE,"GENERAL";"TAB3",#N/A,TRUE,"GENERAL";"TAB4",#N/A,TRUE,"GENERAL";"TAB5",#N/A,TRUE,"GENERAL"}</definedName>
    <definedName name="___g7" localSheetId="16" hidden="1">{"TAB1",#N/A,TRUE,"GENERAL";"TAB2",#N/A,TRUE,"GENERAL";"TAB3",#N/A,TRUE,"GENERAL";"TAB4",#N/A,TRUE,"GENERAL";"TAB5",#N/A,TRUE,"GENERAL"}</definedName>
    <definedName name="___g7" localSheetId="17" hidden="1">{"TAB1",#N/A,TRUE,"GENERAL";"TAB2",#N/A,TRUE,"GENERAL";"TAB3",#N/A,TRUE,"GENERAL";"TAB4",#N/A,TRUE,"GENERAL";"TAB5",#N/A,TRUE,"GENERAL"}</definedName>
    <definedName name="___g7" localSheetId="13" hidden="1">{"TAB1",#N/A,TRUE,"GENERAL";"TAB2",#N/A,TRUE,"GENERAL";"TAB3",#N/A,TRUE,"GENERAL";"TAB4",#N/A,TRUE,"GENERAL";"TAB5",#N/A,TRUE,"GENERAL"}</definedName>
    <definedName name="___g7" localSheetId="15" hidden="1">{"TAB1",#N/A,TRUE,"GENERAL";"TAB2",#N/A,TRUE,"GENERAL";"TAB3",#N/A,TRUE,"GENERAL";"TAB4",#N/A,TRUE,"GENERAL";"TAB5",#N/A,TRUE,"GENERAL"}</definedName>
    <definedName name="___g7" hidden="1">{"TAB1",#N/A,TRUE,"GENERAL";"TAB2",#N/A,TRUE,"GENERAL";"TAB3",#N/A,TRUE,"GENERAL";"TAB4",#N/A,TRUE,"GENERAL";"TAB5",#N/A,TRUE,"GENERAL"}</definedName>
    <definedName name="___GR1" localSheetId="14" hidden="1">{"TAB1",#N/A,TRUE,"GENERAL";"TAB2",#N/A,TRUE,"GENERAL";"TAB3",#N/A,TRUE,"GENERAL";"TAB4",#N/A,TRUE,"GENERAL";"TAB5",#N/A,TRUE,"GENERAL"}</definedName>
    <definedName name="___GR1" localSheetId="16" hidden="1">{"TAB1",#N/A,TRUE,"GENERAL";"TAB2",#N/A,TRUE,"GENERAL";"TAB3",#N/A,TRUE,"GENERAL";"TAB4",#N/A,TRUE,"GENERAL";"TAB5",#N/A,TRUE,"GENERAL"}</definedName>
    <definedName name="___GR1" localSheetId="17" hidden="1">{"TAB1",#N/A,TRUE,"GENERAL";"TAB2",#N/A,TRUE,"GENERAL";"TAB3",#N/A,TRUE,"GENERAL";"TAB4",#N/A,TRUE,"GENERAL";"TAB5",#N/A,TRUE,"GENERAL"}</definedName>
    <definedName name="___GR1" localSheetId="13" hidden="1">{"TAB1",#N/A,TRUE,"GENERAL";"TAB2",#N/A,TRUE,"GENERAL";"TAB3",#N/A,TRUE,"GENERAL";"TAB4",#N/A,TRUE,"GENERAL";"TAB5",#N/A,TRUE,"GENERAL"}</definedName>
    <definedName name="___GR1" localSheetId="15" hidden="1">{"TAB1",#N/A,TRUE,"GENERAL";"TAB2",#N/A,TRUE,"GENERAL";"TAB3",#N/A,TRUE,"GENERAL";"TAB4",#N/A,TRUE,"GENERAL";"TAB5",#N/A,TRUE,"GENERAL"}</definedName>
    <definedName name="___GR1" hidden="1">{"TAB1",#N/A,TRUE,"GENERAL";"TAB2",#N/A,TRUE,"GENERAL";"TAB3",#N/A,TRUE,"GENERAL";"TAB4",#N/A,TRUE,"GENERAL";"TAB5",#N/A,TRUE,"GENERAL"}</definedName>
    <definedName name="___gtr4" localSheetId="14" hidden="1">{"via1",#N/A,TRUE,"general";"via2",#N/A,TRUE,"general";"via3",#N/A,TRUE,"general"}</definedName>
    <definedName name="___gtr4" localSheetId="16" hidden="1">{"via1",#N/A,TRUE,"general";"via2",#N/A,TRUE,"general";"via3",#N/A,TRUE,"general"}</definedName>
    <definedName name="___gtr4" localSheetId="17" hidden="1">{"via1",#N/A,TRUE,"general";"via2",#N/A,TRUE,"general";"via3",#N/A,TRUE,"general"}</definedName>
    <definedName name="___gtr4" localSheetId="13" hidden="1">{"via1",#N/A,TRUE,"general";"via2",#N/A,TRUE,"general";"via3",#N/A,TRUE,"general"}</definedName>
    <definedName name="___gtr4" localSheetId="15" hidden="1">{"via1",#N/A,TRUE,"general";"via2",#N/A,TRUE,"general";"via3",#N/A,TRUE,"general"}</definedName>
    <definedName name="___gtr4" hidden="1">{"via1",#N/A,TRUE,"general";"via2",#N/A,TRUE,"general";"via3",#N/A,TRUE,"general"}</definedName>
    <definedName name="___h2" localSheetId="14" hidden="1">{"via1",#N/A,TRUE,"general";"via2",#N/A,TRUE,"general";"via3",#N/A,TRUE,"general"}</definedName>
    <definedName name="___h2" localSheetId="16" hidden="1">{"via1",#N/A,TRUE,"general";"via2",#N/A,TRUE,"general";"via3",#N/A,TRUE,"general"}</definedName>
    <definedName name="___h2" localSheetId="17" hidden="1">{"via1",#N/A,TRUE,"general";"via2",#N/A,TRUE,"general";"via3",#N/A,TRUE,"general"}</definedName>
    <definedName name="___h2" localSheetId="13" hidden="1">{"via1",#N/A,TRUE,"general";"via2",#N/A,TRUE,"general";"via3",#N/A,TRUE,"general"}</definedName>
    <definedName name="___h2" localSheetId="15" hidden="1">{"via1",#N/A,TRUE,"general";"via2",#N/A,TRUE,"general";"via3",#N/A,TRUE,"general"}</definedName>
    <definedName name="___h2" hidden="1">{"via1",#N/A,TRUE,"general";"via2",#N/A,TRUE,"general";"via3",#N/A,TRUE,"general"}</definedName>
    <definedName name="___h3" localSheetId="14" hidden="1">{"via1",#N/A,TRUE,"general";"via2",#N/A,TRUE,"general";"via3",#N/A,TRUE,"general"}</definedName>
    <definedName name="___h3" localSheetId="16" hidden="1">{"via1",#N/A,TRUE,"general";"via2",#N/A,TRUE,"general";"via3",#N/A,TRUE,"general"}</definedName>
    <definedName name="___h3" localSheetId="17" hidden="1">{"via1",#N/A,TRUE,"general";"via2",#N/A,TRUE,"general";"via3",#N/A,TRUE,"general"}</definedName>
    <definedName name="___h3" localSheetId="13" hidden="1">{"via1",#N/A,TRUE,"general";"via2",#N/A,TRUE,"general";"via3",#N/A,TRUE,"general"}</definedName>
    <definedName name="___h3" localSheetId="15" hidden="1">{"via1",#N/A,TRUE,"general";"via2",#N/A,TRUE,"general";"via3",#N/A,TRUE,"general"}</definedName>
    <definedName name="___h3" hidden="1">{"via1",#N/A,TRUE,"general";"via2",#N/A,TRUE,"general";"via3",#N/A,TRUE,"general"}</definedName>
    <definedName name="___h4" localSheetId="14" hidden="1">{"TAB1",#N/A,TRUE,"GENERAL";"TAB2",#N/A,TRUE,"GENERAL";"TAB3",#N/A,TRUE,"GENERAL";"TAB4",#N/A,TRUE,"GENERAL";"TAB5",#N/A,TRUE,"GENERAL"}</definedName>
    <definedName name="___h4" localSheetId="16" hidden="1">{"TAB1",#N/A,TRUE,"GENERAL";"TAB2",#N/A,TRUE,"GENERAL";"TAB3",#N/A,TRUE,"GENERAL";"TAB4",#N/A,TRUE,"GENERAL";"TAB5",#N/A,TRUE,"GENERAL"}</definedName>
    <definedName name="___h4" localSheetId="17" hidden="1">{"TAB1",#N/A,TRUE,"GENERAL";"TAB2",#N/A,TRUE,"GENERAL";"TAB3",#N/A,TRUE,"GENERAL";"TAB4",#N/A,TRUE,"GENERAL";"TAB5",#N/A,TRUE,"GENERAL"}</definedName>
    <definedName name="___h4" localSheetId="13" hidden="1">{"TAB1",#N/A,TRUE,"GENERAL";"TAB2",#N/A,TRUE,"GENERAL";"TAB3",#N/A,TRUE,"GENERAL";"TAB4",#N/A,TRUE,"GENERAL";"TAB5",#N/A,TRUE,"GENERAL"}</definedName>
    <definedName name="___h4" localSheetId="15" hidden="1">{"TAB1",#N/A,TRUE,"GENERAL";"TAB2",#N/A,TRUE,"GENERAL";"TAB3",#N/A,TRUE,"GENERAL";"TAB4",#N/A,TRUE,"GENERAL";"TAB5",#N/A,TRUE,"GENERAL"}</definedName>
    <definedName name="___h4" hidden="1">{"TAB1",#N/A,TRUE,"GENERAL";"TAB2",#N/A,TRUE,"GENERAL";"TAB3",#N/A,TRUE,"GENERAL";"TAB4",#N/A,TRUE,"GENERAL";"TAB5",#N/A,TRUE,"GENERAL"}</definedName>
    <definedName name="___h5" localSheetId="14" hidden="1">{"TAB1",#N/A,TRUE,"GENERAL";"TAB2",#N/A,TRUE,"GENERAL";"TAB3",#N/A,TRUE,"GENERAL";"TAB4",#N/A,TRUE,"GENERAL";"TAB5",#N/A,TRUE,"GENERAL"}</definedName>
    <definedName name="___h5" localSheetId="16" hidden="1">{"TAB1",#N/A,TRUE,"GENERAL";"TAB2",#N/A,TRUE,"GENERAL";"TAB3",#N/A,TRUE,"GENERAL";"TAB4",#N/A,TRUE,"GENERAL";"TAB5",#N/A,TRUE,"GENERAL"}</definedName>
    <definedName name="___h5" localSheetId="17" hidden="1">{"TAB1",#N/A,TRUE,"GENERAL";"TAB2",#N/A,TRUE,"GENERAL";"TAB3",#N/A,TRUE,"GENERAL";"TAB4",#N/A,TRUE,"GENERAL";"TAB5",#N/A,TRUE,"GENERAL"}</definedName>
    <definedName name="___h5" localSheetId="13" hidden="1">{"TAB1",#N/A,TRUE,"GENERAL";"TAB2",#N/A,TRUE,"GENERAL";"TAB3",#N/A,TRUE,"GENERAL";"TAB4",#N/A,TRUE,"GENERAL";"TAB5",#N/A,TRUE,"GENERAL"}</definedName>
    <definedName name="___h5" localSheetId="15" hidden="1">{"TAB1",#N/A,TRUE,"GENERAL";"TAB2",#N/A,TRUE,"GENERAL";"TAB3",#N/A,TRUE,"GENERAL";"TAB4",#N/A,TRUE,"GENERAL";"TAB5",#N/A,TRUE,"GENERAL"}</definedName>
    <definedName name="___h5" hidden="1">{"TAB1",#N/A,TRUE,"GENERAL";"TAB2",#N/A,TRUE,"GENERAL";"TAB3",#N/A,TRUE,"GENERAL";"TAB4",#N/A,TRUE,"GENERAL";"TAB5",#N/A,TRUE,"GENERAL"}</definedName>
    <definedName name="___h6" localSheetId="14" hidden="1">{"via1",#N/A,TRUE,"general";"via2",#N/A,TRUE,"general";"via3",#N/A,TRUE,"general"}</definedName>
    <definedName name="___h6" localSheetId="16" hidden="1">{"via1",#N/A,TRUE,"general";"via2",#N/A,TRUE,"general";"via3",#N/A,TRUE,"general"}</definedName>
    <definedName name="___h6" localSheetId="17" hidden="1">{"via1",#N/A,TRUE,"general";"via2",#N/A,TRUE,"general";"via3",#N/A,TRUE,"general"}</definedName>
    <definedName name="___h6" localSheetId="13" hidden="1">{"via1",#N/A,TRUE,"general";"via2",#N/A,TRUE,"general";"via3",#N/A,TRUE,"general"}</definedName>
    <definedName name="___h6" localSheetId="15" hidden="1">{"via1",#N/A,TRUE,"general";"via2",#N/A,TRUE,"general";"via3",#N/A,TRUE,"general"}</definedName>
    <definedName name="___h6" hidden="1">{"via1",#N/A,TRUE,"general";"via2",#N/A,TRUE,"general";"via3",#N/A,TRUE,"general"}</definedName>
    <definedName name="___h7" localSheetId="14" hidden="1">{"TAB1",#N/A,TRUE,"GENERAL";"TAB2",#N/A,TRUE,"GENERAL";"TAB3",#N/A,TRUE,"GENERAL";"TAB4",#N/A,TRUE,"GENERAL";"TAB5",#N/A,TRUE,"GENERAL"}</definedName>
    <definedName name="___h7" localSheetId="16" hidden="1">{"TAB1",#N/A,TRUE,"GENERAL";"TAB2",#N/A,TRUE,"GENERAL";"TAB3",#N/A,TRUE,"GENERAL";"TAB4",#N/A,TRUE,"GENERAL";"TAB5",#N/A,TRUE,"GENERAL"}</definedName>
    <definedName name="___h7" localSheetId="17" hidden="1">{"TAB1",#N/A,TRUE,"GENERAL";"TAB2",#N/A,TRUE,"GENERAL";"TAB3",#N/A,TRUE,"GENERAL";"TAB4",#N/A,TRUE,"GENERAL";"TAB5",#N/A,TRUE,"GENERAL"}</definedName>
    <definedName name="___h7" localSheetId="13" hidden="1">{"TAB1",#N/A,TRUE,"GENERAL";"TAB2",#N/A,TRUE,"GENERAL";"TAB3",#N/A,TRUE,"GENERAL";"TAB4",#N/A,TRUE,"GENERAL";"TAB5",#N/A,TRUE,"GENERAL"}</definedName>
    <definedName name="___h7" localSheetId="15" hidden="1">{"TAB1",#N/A,TRUE,"GENERAL";"TAB2",#N/A,TRUE,"GENERAL";"TAB3",#N/A,TRUE,"GENERAL";"TAB4",#N/A,TRUE,"GENERAL";"TAB5",#N/A,TRUE,"GENERAL"}</definedName>
    <definedName name="___h7" hidden="1">{"TAB1",#N/A,TRUE,"GENERAL";"TAB2",#N/A,TRUE,"GENERAL";"TAB3",#N/A,TRUE,"GENERAL";"TAB4",#N/A,TRUE,"GENERAL";"TAB5",#N/A,TRUE,"GENERAL"}</definedName>
    <definedName name="___h8" localSheetId="14" hidden="1">{"via1",#N/A,TRUE,"general";"via2",#N/A,TRUE,"general";"via3",#N/A,TRUE,"general"}</definedName>
    <definedName name="___h8" localSheetId="16" hidden="1">{"via1",#N/A,TRUE,"general";"via2",#N/A,TRUE,"general";"via3",#N/A,TRUE,"general"}</definedName>
    <definedName name="___h8" localSheetId="17" hidden="1">{"via1",#N/A,TRUE,"general";"via2",#N/A,TRUE,"general";"via3",#N/A,TRUE,"general"}</definedName>
    <definedName name="___h8" localSheetId="13" hidden="1">{"via1",#N/A,TRUE,"general";"via2",#N/A,TRUE,"general";"via3",#N/A,TRUE,"general"}</definedName>
    <definedName name="___h8" localSheetId="15" hidden="1">{"via1",#N/A,TRUE,"general";"via2",#N/A,TRUE,"general";"via3",#N/A,TRUE,"general"}</definedName>
    <definedName name="___h8" hidden="1">{"via1",#N/A,TRUE,"general";"via2",#N/A,TRUE,"general";"via3",#N/A,TRUE,"general"}</definedName>
    <definedName name="___hfh7" localSheetId="14" hidden="1">{"via1",#N/A,TRUE,"general";"via2",#N/A,TRUE,"general";"via3",#N/A,TRUE,"general"}</definedName>
    <definedName name="___hfh7" localSheetId="16" hidden="1">{"via1",#N/A,TRUE,"general";"via2",#N/A,TRUE,"general";"via3",#N/A,TRUE,"general"}</definedName>
    <definedName name="___hfh7" localSheetId="17" hidden="1">{"via1",#N/A,TRUE,"general";"via2",#N/A,TRUE,"general";"via3",#N/A,TRUE,"general"}</definedName>
    <definedName name="___hfh7" localSheetId="13" hidden="1">{"via1",#N/A,TRUE,"general";"via2",#N/A,TRUE,"general";"via3",#N/A,TRUE,"general"}</definedName>
    <definedName name="___hfh7" localSheetId="15" hidden="1">{"via1",#N/A,TRUE,"general";"via2",#N/A,TRUE,"general";"via3",#N/A,TRUE,"general"}</definedName>
    <definedName name="___hfh7" hidden="1">{"via1",#N/A,TRUE,"general";"via2",#N/A,TRUE,"general";"via3",#N/A,TRUE,"general"}</definedName>
    <definedName name="___HUM1">[7]DATBAND!$I$3:$I$469</definedName>
    <definedName name="___HUM2">[7]DATBAND!$J$3:$J$453</definedName>
    <definedName name="___i1">#REF!</definedName>
    <definedName name="___i4" localSheetId="14" hidden="1">{"via1",#N/A,TRUE,"general";"via2",#N/A,TRUE,"general";"via3",#N/A,TRUE,"general"}</definedName>
    <definedName name="___i4" localSheetId="16" hidden="1">{"via1",#N/A,TRUE,"general";"via2",#N/A,TRUE,"general";"via3",#N/A,TRUE,"general"}</definedName>
    <definedName name="___i4" localSheetId="17" hidden="1">{"via1",#N/A,TRUE,"general";"via2",#N/A,TRUE,"general";"via3",#N/A,TRUE,"general"}</definedName>
    <definedName name="___i4" localSheetId="13" hidden="1">{"via1",#N/A,TRUE,"general";"via2",#N/A,TRUE,"general";"via3",#N/A,TRUE,"general"}</definedName>
    <definedName name="___i4" localSheetId="15" hidden="1">{"via1",#N/A,TRUE,"general";"via2",#N/A,TRUE,"general";"via3",#N/A,TRUE,"general"}</definedName>
    <definedName name="___i4" hidden="1">{"via1",#N/A,TRUE,"general";"via2",#N/A,TRUE,"general";"via3",#N/A,TRUE,"general"}</definedName>
    <definedName name="___i5" localSheetId="14" hidden="1">{"TAB1",#N/A,TRUE,"GENERAL";"TAB2",#N/A,TRUE,"GENERAL";"TAB3",#N/A,TRUE,"GENERAL";"TAB4",#N/A,TRUE,"GENERAL";"TAB5",#N/A,TRUE,"GENERAL"}</definedName>
    <definedName name="___i5" localSheetId="16" hidden="1">{"TAB1",#N/A,TRUE,"GENERAL";"TAB2",#N/A,TRUE,"GENERAL";"TAB3",#N/A,TRUE,"GENERAL";"TAB4",#N/A,TRUE,"GENERAL";"TAB5",#N/A,TRUE,"GENERAL"}</definedName>
    <definedName name="___i5" localSheetId="17" hidden="1">{"TAB1",#N/A,TRUE,"GENERAL";"TAB2",#N/A,TRUE,"GENERAL";"TAB3",#N/A,TRUE,"GENERAL";"TAB4",#N/A,TRUE,"GENERAL";"TAB5",#N/A,TRUE,"GENERAL"}</definedName>
    <definedName name="___i5" localSheetId="13" hidden="1">{"TAB1",#N/A,TRUE,"GENERAL";"TAB2",#N/A,TRUE,"GENERAL";"TAB3",#N/A,TRUE,"GENERAL";"TAB4",#N/A,TRUE,"GENERAL";"TAB5",#N/A,TRUE,"GENERAL"}</definedName>
    <definedName name="___i5" localSheetId="15" hidden="1">{"TAB1",#N/A,TRUE,"GENERAL";"TAB2",#N/A,TRUE,"GENERAL";"TAB3",#N/A,TRUE,"GENERAL";"TAB4",#N/A,TRUE,"GENERAL";"TAB5",#N/A,TRUE,"GENERAL"}</definedName>
    <definedName name="___i5" hidden="1">{"TAB1",#N/A,TRUE,"GENERAL";"TAB2",#N/A,TRUE,"GENERAL";"TAB3",#N/A,TRUE,"GENERAL";"TAB4",#N/A,TRUE,"GENERAL";"TAB5",#N/A,TRUE,"GENERAL"}</definedName>
    <definedName name="___i6" localSheetId="14" hidden="1">{"TAB1",#N/A,TRUE,"GENERAL";"TAB2",#N/A,TRUE,"GENERAL";"TAB3",#N/A,TRUE,"GENERAL";"TAB4",#N/A,TRUE,"GENERAL";"TAB5",#N/A,TRUE,"GENERAL"}</definedName>
    <definedName name="___i6" localSheetId="16" hidden="1">{"TAB1",#N/A,TRUE,"GENERAL";"TAB2",#N/A,TRUE,"GENERAL";"TAB3",#N/A,TRUE,"GENERAL";"TAB4",#N/A,TRUE,"GENERAL";"TAB5",#N/A,TRUE,"GENERAL"}</definedName>
    <definedName name="___i6" localSheetId="17" hidden="1">{"TAB1",#N/A,TRUE,"GENERAL";"TAB2",#N/A,TRUE,"GENERAL";"TAB3",#N/A,TRUE,"GENERAL";"TAB4",#N/A,TRUE,"GENERAL";"TAB5",#N/A,TRUE,"GENERAL"}</definedName>
    <definedName name="___i6" localSheetId="13" hidden="1">{"TAB1",#N/A,TRUE,"GENERAL";"TAB2",#N/A,TRUE,"GENERAL";"TAB3",#N/A,TRUE,"GENERAL";"TAB4",#N/A,TRUE,"GENERAL";"TAB5",#N/A,TRUE,"GENERAL"}</definedName>
    <definedName name="___i6" localSheetId="15" hidden="1">{"TAB1",#N/A,TRUE,"GENERAL";"TAB2",#N/A,TRUE,"GENERAL";"TAB3",#N/A,TRUE,"GENERAL";"TAB4",#N/A,TRUE,"GENERAL";"TAB5",#N/A,TRUE,"GENERAL"}</definedName>
    <definedName name="___i6" hidden="1">{"TAB1",#N/A,TRUE,"GENERAL";"TAB2",#N/A,TRUE,"GENERAL";"TAB3",#N/A,TRUE,"GENERAL";"TAB4",#N/A,TRUE,"GENERAL";"TAB5",#N/A,TRUE,"GENERAL"}</definedName>
    <definedName name="___i7" localSheetId="14" hidden="1">{"via1",#N/A,TRUE,"general";"via2",#N/A,TRUE,"general";"via3",#N/A,TRUE,"general"}</definedName>
    <definedName name="___i7" localSheetId="16" hidden="1">{"via1",#N/A,TRUE,"general";"via2",#N/A,TRUE,"general";"via3",#N/A,TRUE,"general"}</definedName>
    <definedName name="___i7" localSheetId="17" hidden="1">{"via1",#N/A,TRUE,"general";"via2",#N/A,TRUE,"general";"via3",#N/A,TRUE,"general"}</definedName>
    <definedName name="___i7" localSheetId="13" hidden="1">{"via1",#N/A,TRUE,"general";"via2",#N/A,TRUE,"general";"via3",#N/A,TRUE,"general"}</definedName>
    <definedName name="___i7" localSheetId="15" hidden="1">{"via1",#N/A,TRUE,"general";"via2",#N/A,TRUE,"general";"via3",#N/A,TRUE,"general"}</definedName>
    <definedName name="___i7" hidden="1">{"via1",#N/A,TRUE,"general";"via2",#N/A,TRUE,"general";"via3",#N/A,TRUE,"general"}</definedName>
    <definedName name="___i77" localSheetId="14" hidden="1">{"TAB1",#N/A,TRUE,"GENERAL";"TAB2",#N/A,TRUE,"GENERAL";"TAB3",#N/A,TRUE,"GENERAL";"TAB4",#N/A,TRUE,"GENERAL";"TAB5",#N/A,TRUE,"GENERAL"}</definedName>
    <definedName name="___i77" localSheetId="16" hidden="1">{"TAB1",#N/A,TRUE,"GENERAL";"TAB2",#N/A,TRUE,"GENERAL";"TAB3",#N/A,TRUE,"GENERAL";"TAB4",#N/A,TRUE,"GENERAL";"TAB5",#N/A,TRUE,"GENERAL"}</definedName>
    <definedName name="___i77" localSheetId="17" hidden="1">{"TAB1",#N/A,TRUE,"GENERAL";"TAB2",#N/A,TRUE,"GENERAL";"TAB3",#N/A,TRUE,"GENERAL";"TAB4",#N/A,TRUE,"GENERAL";"TAB5",#N/A,TRUE,"GENERAL"}</definedName>
    <definedName name="___i77" localSheetId="13" hidden="1">{"TAB1",#N/A,TRUE,"GENERAL";"TAB2",#N/A,TRUE,"GENERAL";"TAB3",#N/A,TRUE,"GENERAL";"TAB4",#N/A,TRUE,"GENERAL";"TAB5",#N/A,TRUE,"GENERAL"}</definedName>
    <definedName name="___i77" localSheetId="15" hidden="1">{"TAB1",#N/A,TRUE,"GENERAL";"TAB2",#N/A,TRUE,"GENERAL";"TAB3",#N/A,TRUE,"GENERAL";"TAB4",#N/A,TRUE,"GENERAL";"TAB5",#N/A,TRUE,"GENERAL"}</definedName>
    <definedName name="___i77" hidden="1">{"TAB1",#N/A,TRUE,"GENERAL";"TAB2",#N/A,TRUE,"GENERAL";"TAB3",#N/A,TRUE,"GENERAL";"TAB4",#N/A,TRUE,"GENERAL";"TAB5",#N/A,TRUE,"GENERAL"}</definedName>
    <definedName name="___i8" localSheetId="14" hidden="1">{"via1",#N/A,TRUE,"general";"via2",#N/A,TRUE,"general";"via3",#N/A,TRUE,"general"}</definedName>
    <definedName name="___i8" localSheetId="16" hidden="1">{"via1",#N/A,TRUE,"general";"via2",#N/A,TRUE,"general";"via3",#N/A,TRUE,"general"}</definedName>
    <definedName name="___i8" localSheetId="17" hidden="1">{"via1",#N/A,TRUE,"general";"via2",#N/A,TRUE,"general";"via3",#N/A,TRUE,"general"}</definedName>
    <definedName name="___i8" localSheetId="13" hidden="1">{"via1",#N/A,TRUE,"general";"via2",#N/A,TRUE,"general";"via3",#N/A,TRUE,"general"}</definedName>
    <definedName name="___i8" localSheetId="15" hidden="1">{"via1",#N/A,TRUE,"general";"via2",#N/A,TRUE,"general";"via3",#N/A,TRUE,"general"}</definedName>
    <definedName name="___i8" hidden="1">{"via1",#N/A,TRUE,"general";"via2",#N/A,TRUE,"general";"via3",#N/A,TRUE,"general"}</definedName>
    <definedName name="___i9" localSheetId="14" hidden="1">{"TAB1",#N/A,TRUE,"GENERAL";"TAB2",#N/A,TRUE,"GENERAL";"TAB3",#N/A,TRUE,"GENERAL";"TAB4",#N/A,TRUE,"GENERAL";"TAB5",#N/A,TRUE,"GENERAL"}</definedName>
    <definedName name="___i9" localSheetId="16" hidden="1">{"TAB1",#N/A,TRUE,"GENERAL";"TAB2",#N/A,TRUE,"GENERAL";"TAB3",#N/A,TRUE,"GENERAL";"TAB4",#N/A,TRUE,"GENERAL";"TAB5",#N/A,TRUE,"GENERAL"}</definedName>
    <definedName name="___i9" localSheetId="17" hidden="1">{"TAB1",#N/A,TRUE,"GENERAL";"TAB2",#N/A,TRUE,"GENERAL";"TAB3",#N/A,TRUE,"GENERAL";"TAB4",#N/A,TRUE,"GENERAL";"TAB5",#N/A,TRUE,"GENERAL"}</definedName>
    <definedName name="___i9" localSheetId="13" hidden="1">{"TAB1",#N/A,TRUE,"GENERAL";"TAB2",#N/A,TRUE,"GENERAL";"TAB3",#N/A,TRUE,"GENERAL";"TAB4",#N/A,TRUE,"GENERAL";"TAB5",#N/A,TRUE,"GENERAL"}</definedName>
    <definedName name="___i9" localSheetId="15"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ITM4">#REF!</definedName>
    <definedName name="___k3" localSheetId="14" hidden="1">{"TAB1",#N/A,TRUE,"GENERAL";"TAB2",#N/A,TRUE,"GENERAL";"TAB3",#N/A,TRUE,"GENERAL";"TAB4",#N/A,TRUE,"GENERAL";"TAB5",#N/A,TRUE,"GENERAL"}</definedName>
    <definedName name="___k3" localSheetId="16" hidden="1">{"TAB1",#N/A,TRUE,"GENERAL";"TAB2",#N/A,TRUE,"GENERAL";"TAB3",#N/A,TRUE,"GENERAL";"TAB4",#N/A,TRUE,"GENERAL";"TAB5",#N/A,TRUE,"GENERAL"}</definedName>
    <definedName name="___k3" localSheetId="17" hidden="1">{"TAB1",#N/A,TRUE,"GENERAL";"TAB2",#N/A,TRUE,"GENERAL";"TAB3",#N/A,TRUE,"GENERAL";"TAB4",#N/A,TRUE,"GENERAL";"TAB5",#N/A,TRUE,"GENERAL"}</definedName>
    <definedName name="___k3" localSheetId="13" hidden="1">{"TAB1",#N/A,TRUE,"GENERAL";"TAB2",#N/A,TRUE,"GENERAL";"TAB3",#N/A,TRUE,"GENERAL";"TAB4",#N/A,TRUE,"GENERAL";"TAB5",#N/A,TRUE,"GENERAL"}</definedName>
    <definedName name="___k3" localSheetId="15" hidden="1">{"TAB1",#N/A,TRUE,"GENERAL";"TAB2",#N/A,TRUE,"GENERAL";"TAB3",#N/A,TRUE,"GENERAL";"TAB4",#N/A,TRUE,"GENERAL";"TAB5",#N/A,TRUE,"GENERAL"}</definedName>
    <definedName name="___k3" hidden="1">{"TAB1",#N/A,TRUE,"GENERAL";"TAB2",#N/A,TRUE,"GENERAL";"TAB3",#N/A,TRUE,"GENERAL";"TAB4",#N/A,TRUE,"GENERAL";"TAB5",#N/A,TRUE,"GENERAL"}</definedName>
    <definedName name="___k4" localSheetId="14" hidden="1">{"via1",#N/A,TRUE,"general";"via2",#N/A,TRUE,"general";"via3",#N/A,TRUE,"general"}</definedName>
    <definedName name="___k4" localSheetId="16" hidden="1">{"via1",#N/A,TRUE,"general";"via2",#N/A,TRUE,"general";"via3",#N/A,TRUE,"general"}</definedName>
    <definedName name="___k4" localSheetId="17" hidden="1">{"via1",#N/A,TRUE,"general";"via2",#N/A,TRUE,"general";"via3",#N/A,TRUE,"general"}</definedName>
    <definedName name="___k4" localSheetId="13" hidden="1">{"via1",#N/A,TRUE,"general";"via2",#N/A,TRUE,"general";"via3",#N/A,TRUE,"general"}</definedName>
    <definedName name="___k4" localSheetId="15" hidden="1">{"via1",#N/A,TRUE,"general";"via2",#N/A,TRUE,"general";"via3",#N/A,TRUE,"general"}</definedName>
    <definedName name="___k4" hidden="1">{"via1",#N/A,TRUE,"general";"via2",#N/A,TRUE,"general";"via3",#N/A,TRUE,"general"}</definedName>
    <definedName name="___k5" localSheetId="14" hidden="1">{"via1",#N/A,TRUE,"general";"via2",#N/A,TRUE,"general";"via3",#N/A,TRUE,"general"}</definedName>
    <definedName name="___k5" localSheetId="16" hidden="1">{"via1",#N/A,TRUE,"general";"via2",#N/A,TRUE,"general";"via3",#N/A,TRUE,"general"}</definedName>
    <definedName name="___k5" localSheetId="17" hidden="1">{"via1",#N/A,TRUE,"general";"via2",#N/A,TRUE,"general";"via3",#N/A,TRUE,"general"}</definedName>
    <definedName name="___k5" localSheetId="13" hidden="1">{"via1",#N/A,TRUE,"general";"via2",#N/A,TRUE,"general";"via3",#N/A,TRUE,"general"}</definedName>
    <definedName name="___k5" localSheetId="15" hidden="1">{"via1",#N/A,TRUE,"general";"via2",#N/A,TRUE,"general";"via3",#N/A,TRUE,"general"}</definedName>
    <definedName name="___k5" hidden="1">{"via1",#N/A,TRUE,"general";"via2",#N/A,TRUE,"general";"via3",#N/A,TRUE,"general"}</definedName>
    <definedName name="___k6" localSheetId="14" hidden="1">{"TAB1",#N/A,TRUE,"GENERAL";"TAB2",#N/A,TRUE,"GENERAL";"TAB3",#N/A,TRUE,"GENERAL";"TAB4",#N/A,TRUE,"GENERAL";"TAB5",#N/A,TRUE,"GENERAL"}</definedName>
    <definedName name="___k6" localSheetId="16" hidden="1">{"TAB1",#N/A,TRUE,"GENERAL";"TAB2",#N/A,TRUE,"GENERAL";"TAB3",#N/A,TRUE,"GENERAL";"TAB4",#N/A,TRUE,"GENERAL";"TAB5",#N/A,TRUE,"GENERAL"}</definedName>
    <definedName name="___k6" localSheetId="17" hidden="1">{"TAB1",#N/A,TRUE,"GENERAL";"TAB2",#N/A,TRUE,"GENERAL";"TAB3",#N/A,TRUE,"GENERAL";"TAB4",#N/A,TRUE,"GENERAL";"TAB5",#N/A,TRUE,"GENERAL"}</definedName>
    <definedName name="___k6" localSheetId="13" hidden="1">{"TAB1",#N/A,TRUE,"GENERAL";"TAB2",#N/A,TRUE,"GENERAL";"TAB3",#N/A,TRUE,"GENERAL";"TAB4",#N/A,TRUE,"GENERAL";"TAB5",#N/A,TRUE,"GENERAL"}</definedName>
    <definedName name="___k6" localSheetId="15" hidden="1">{"TAB1",#N/A,TRUE,"GENERAL";"TAB2",#N/A,TRUE,"GENERAL";"TAB3",#N/A,TRUE,"GENERAL";"TAB4",#N/A,TRUE,"GENERAL";"TAB5",#N/A,TRUE,"GENERAL"}</definedName>
    <definedName name="___k6" hidden="1">{"TAB1",#N/A,TRUE,"GENERAL";"TAB2",#N/A,TRUE,"GENERAL";"TAB3",#N/A,TRUE,"GENERAL";"TAB4",#N/A,TRUE,"GENERAL";"TAB5",#N/A,TRUE,"GENERAL"}</definedName>
    <definedName name="___k7" localSheetId="14" hidden="1">{"via1",#N/A,TRUE,"general";"via2",#N/A,TRUE,"general";"via3",#N/A,TRUE,"general"}</definedName>
    <definedName name="___k7" localSheetId="16" hidden="1">{"via1",#N/A,TRUE,"general";"via2",#N/A,TRUE,"general";"via3",#N/A,TRUE,"general"}</definedName>
    <definedName name="___k7" localSheetId="17" hidden="1">{"via1",#N/A,TRUE,"general";"via2",#N/A,TRUE,"general";"via3",#N/A,TRUE,"general"}</definedName>
    <definedName name="___k7" localSheetId="13" hidden="1">{"via1",#N/A,TRUE,"general";"via2",#N/A,TRUE,"general";"via3",#N/A,TRUE,"general"}</definedName>
    <definedName name="___k7" localSheetId="15" hidden="1">{"via1",#N/A,TRUE,"general";"via2",#N/A,TRUE,"general";"via3",#N/A,TRUE,"general"}</definedName>
    <definedName name="___k7" hidden="1">{"via1",#N/A,TRUE,"general";"via2",#N/A,TRUE,"general";"via3",#N/A,TRUE,"general"}</definedName>
    <definedName name="___k8" localSheetId="14" hidden="1">{"via1",#N/A,TRUE,"general";"via2",#N/A,TRUE,"general";"via3",#N/A,TRUE,"general"}</definedName>
    <definedName name="___k8" localSheetId="16" hidden="1">{"via1",#N/A,TRUE,"general";"via2",#N/A,TRUE,"general";"via3",#N/A,TRUE,"general"}</definedName>
    <definedName name="___k8" localSheetId="17" hidden="1">{"via1",#N/A,TRUE,"general";"via2",#N/A,TRUE,"general";"via3",#N/A,TRUE,"general"}</definedName>
    <definedName name="___k8" localSheetId="13" hidden="1">{"via1",#N/A,TRUE,"general";"via2",#N/A,TRUE,"general";"via3",#N/A,TRUE,"general"}</definedName>
    <definedName name="___k8" localSheetId="15" hidden="1">{"via1",#N/A,TRUE,"general";"via2",#N/A,TRUE,"general";"via3",#N/A,TRUE,"general"}</definedName>
    <definedName name="___k8" hidden="1">{"via1",#N/A,TRUE,"general";"via2",#N/A,TRUE,"general";"via3",#N/A,TRUE,"general"}</definedName>
    <definedName name="___k9" localSheetId="14" hidden="1">{"TAB1",#N/A,TRUE,"GENERAL";"TAB2",#N/A,TRUE,"GENERAL";"TAB3",#N/A,TRUE,"GENERAL";"TAB4",#N/A,TRUE,"GENERAL";"TAB5",#N/A,TRUE,"GENERAL"}</definedName>
    <definedName name="___k9" localSheetId="16" hidden="1">{"TAB1",#N/A,TRUE,"GENERAL";"TAB2",#N/A,TRUE,"GENERAL";"TAB3",#N/A,TRUE,"GENERAL";"TAB4",#N/A,TRUE,"GENERAL";"TAB5",#N/A,TRUE,"GENERAL"}</definedName>
    <definedName name="___k9" localSheetId="17" hidden="1">{"TAB1",#N/A,TRUE,"GENERAL";"TAB2",#N/A,TRUE,"GENERAL";"TAB3",#N/A,TRUE,"GENERAL";"TAB4",#N/A,TRUE,"GENERAL";"TAB5",#N/A,TRUE,"GENERAL"}</definedName>
    <definedName name="___k9" localSheetId="13" hidden="1">{"TAB1",#N/A,TRUE,"GENERAL";"TAB2",#N/A,TRUE,"GENERAL";"TAB3",#N/A,TRUE,"GENERAL";"TAB4",#N/A,TRUE,"GENERAL";"TAB5",#N/A,TRUE,"GENERAL"}</definedName>
    <definedName name="___k9" localSheetId="15" hidden="1">{"TAB1",#N/A,TRUE,"GENERAL";"TAB2",#N/A,TRUE,"GENERAL";"TAB3",#N/A,TRUE,"GENERAL";"TAB4",#N/A,TRUE,"GENERAL";"TAB5",#N/A,TRUE,"GENERAL"}</definedName>
    <definedName name="___k9" hidden="1">{"TAB1",#N/A,TRUE,"GENERAL";"TAB2",#N/A,TRUE,"GENERAL";"TAB3",#N/A,TRUE,"GENERAL";"TAB4",#N/A,TRUE,"GENERAL";"TAB5",#N/A,TRUE,"GENERAL"}</definedName>
    <definedName name="___key2" hidden="1">[4]INST!#REF!</definedName>
    <definedName name="___key3" hidden="1">#REF!</definedName>
    <definedName name="___key31" hidden="1">#REF!</definedName>
    <definedName name="___kjk6" localSheetId="14" hidden="1">{"TAB1",#N/A,TRUE,"GENERAL";"TAB2",#N/A,TRUE,"GENERAL";"TAB3",#N/A,TRUE,"GENERAL";"TAB4",#N/A,TRUE,"GENERAL";"TAB5",#N/A,TRUE,"GENERAL"}</definedName>
    <definedName name="___kjk6" localSheetId="16" hidden="1">{"TAB1",#N/A,TRUE,"GENERAL";"TAB2",#N/A,TRUE,"GENERAL";"TAB3",#N/A,TRUE,"GENERAL";"TAB4",#N/A,TRUE,"GENERAL";"TAB5",#N/A,TRUE,"GENERAL"}</definedName>
    <definedName name="___kjk6" localSheetId="17" hidden="1">{"TAB1",#N/A,TRUE,"GENERAL";"TAB2",#N/A,TRUE,"GENERAL";"TAB3",#N/A,TRUE,"GENERAL";"TAB4",#N/A,TRUE,"GENERAL";"TAB5",#N/A,TRUE,"GENERAL"}</definedName>
    <definedName name="___kjk6" localSheetId="13" hidden="1">{"TAB1",#N/A,TRUE,"GENERAL";"TAB2",#N/A,TRUE,"GENERAL";"TAB3",#N/A,TRUE,"GENERAL";"TAB4",#N/A,TRUE,"GENERAL";"TAB5",#N/A,TRUE,"GENERAL"}</definedName>
    <definedName name="___kjk6" localSheetId="15" hidden="1">{"TAB1",#N/A,TRUE,"GENERAL";"TAB2",#N/A,TRUE,"GENERAL";"TAB3",#N/A,TRUE,"GENERAL";"TAB4",#N/A,TRUE,"GENERAL";"TAB5",#N/A,TRUE,"GENERAL"}</definedName>
    <definedName name="___kjk6" hidden="1">{"TAB1",#N/A,TRUE,"GENERAL";"TAB2",#N/A,TRUE,"GENERAL";"TAB3",#N/A,TRUE,"GENERAL";"TAB4",#N/A,TRUE,"GENERAL";"TAB5",#N/A,TRUE,"GENERAL"}</definedName>
    <definedName name="___LA124" localSheetId="3">#REF!</definedName>
    <definedName name="___LA124" localSheetId="30">#REF!</definedName>
    <definedName name="___LA124" localSheetId="31">#REF!</definedName>
    <definedName name="___LA124" localSheetId="29">#REF!</definedName>
    <definedName name="___LA124">#REF!</definedName>
    <definedName name="___LAC18" localSheetId="3">#REF!</definedName>
    <definedName name="___LAC18" localSheetId="30">#REF!</definedName>
    <definedName name="___LAC18" localSheetId="31">#REF!</definedName>
    <definedName name="___LAC18" localSheetId="29">#REF!</definedName>
    <definedName name="___LAC18">#REF!</definedName>
    <definedName name="___m3" localSheetId="14" hidden="1">{"via1",#N/A,TRUE,"general";"via2",#N/A,TRUE,"general";"via3",#N/A,TRUE,"general"}</definedName>
    <definedName name="___m3" localSheetId="16" hidden="1">{"via1",#N/A,TRUE,"general";"via2",#N/A,TRUE,"general";"via3",#N/A,TRUE,"general"}</definedName>
    <definedName name="___m3" localSheetId="17" hidden="1">{"via1",#N/A,TRUE,"general";"via2",#N/A,TRUE,"general";"via3",#N/A,TRUE,"general"}</definedName>
    <definedName name="___m3" localSheetId="13" hidden="1">{"via1",#N/A,TRUE,"general";"via2",#N/A,TRUE,"general";"via3",#N/A,TRUE,"general"}</definedName>
    <definedName name="___m3" localSheetId="15" hidden="1">{"via1",#N/A,TRUE,"general";"via2",#N/A,TRUE,"general";"via3",#N/A,TRUE,"general"}</definedName>
    <definedName name="___m3" hidden="1">{"via1",#N/A,TRUE,"general";"via2",#N/A,TRUE,"general";"via3",#N/A,TRUE,"general"}</definedName>
    <definedName name="___m4" localSheetId="14" hidden="1">{"TAB1",#N/A,TRUE,"GENERAL";"TAB2",#N/A,TRUE,"GENERAL";"TAB3",#N/A,TRUE,"GENERAL";"TAB4",#N/A,TRUE,"GENERAL";"TAB5",#N/A,TRUE,"GENERAL"}</definedName>
    <definedName name="___m4" localSheetId="16" hidden="1">{"TAB1",#N/A,TRUE,"GENERAL";"TAB2",#N/A,TRUE,"GENERAL";"TAB3",#N/A,TRUE,"GENERAL";"TAB4",#N/A,TRUE,"GENERAL";"TAB5",#N/A,TRUE,"GENERAL"}</definedName>
    <definedName name="___m4" localSheetId="17" hidden="1">{"TAB1",#N/A,TRUE,"GENERAL";"TAB2",#N/A,TRUE,"GENERAL";"TAB3",#N/A,TRUE,"GENERAL";"TAB4",#N/A,TRUE,"GENERAL";"TAB5",#N/A,TRUE,"GENERAL"}</definedName>
    <definedName name="___m4" localSheetId="13" hidden="1">{"TAB1",#N/A,TRUE,"GENERAL";"TAB2",#N/A,TRUE,"GENERAL";"TAB3",#N/A,TRUE,"GENERAL";"TAB4",#N/A,TRUE,"GENERAL";"TAB5",#N/A,TRUE,"GENERAL"}</definedName>
    <definedName name="___m4" localSheetId="15" hidden="1">{"TAB1",#N/A,TRUE,"GENERAL";"TAB2",#N/A,TRUE,"GENERAL";"TAB3",#N/A,TRUE,"GENERAL";"TAB4",#N/A,TRUE,"GENERAL";"TAB5",#N/A,TRUE,"GENERAL"}</definedName>
    <definedName name="___m4" hidden="1">{"TAB1",#N/A,TRUE,"GENERAL";"TAB2",#N/A,TRUE,"GENERAL";"TAB3",#N/A,TRUE,"GENERAL";"TAB4",#N/A,TRUE,"GENERAL";"TAB5",#N/A,TRUE,"GENERAL"}</definedName>
    <definedName name="___m5" localSheetId="14" hidden="1">{"via1",#N/A,TRUE,"general";"via2",#N/A,TRUE,"general";"via3",#N/A,TRUE,"general"}</definedName>
    <definedName name="___m5" localSheetId="16" hidden="1">{"via1",#N/A,TRUE,"general";"via2",#N/A,TRUE,"general";"via3",#N/A,TRUE,"general"}</definedName>
    <definedName name="___m5" localSheetId="17" hidden="1">{"via1",#N/A,TRUE,"general";"via2",#N/A,TRUE,"general";"via3",#N/A,TRUE,"general"}</definedName>
    <definedName name="___m5" localSheetId="13" hidden="1">{"via1",#N/A,TRUE,"general";"via2",#N/A,TRUE,"general";"via3",#N/A,TRUE,"general"}</definedName>
    <definedName name="___m5" localSheetId="15" hidden="1">{"via1",#N/A,TRUE,"general";"via2",#N/A,TRUE,"general";"via3",#N/A,TRUE,"general"}</definedName>
    <definedName name="___m5" hidden="1">{"via1",#N/A,TRUE,"general";"via2",#N/A,TRUE,"general";"via3",#N/A,TRUE,"general"}</definedName>
    <definedName name="___m6" localSheetId="14" hidden="1">{"TAB1",#N/A,TRUE,"GENERAL";"TAB2",#N/A,TRUE,"GENERAL";"TAB3",#N/A,TRUE,"GENERAL";"TAB4",#N/A,TRUE,"GENERAL";"TAB5",#N/A,TRUE,"GENERAL"}</definedName>
    <definedName name="___m6" localSheetId="16" hidden="1">{"TAB1",#N/A,TRUE,"GENERAL";"TAB2",#N/A,TRUE,"GENERAL";"TAB3",#N/A,TRUE,"GENERAL";"TAB4",#N/A,TRUE,"GENERAL";"TAB5",#N/A,TRUE,"GENERAL"}</definedName>
    <definedName name="___m6" localSheetId="17" hidden="1">{"TAB1",#N/A,TRUE,"GENERAL";"TAB2",#N/A,TRUE,"GENERAL";"TAB3",#N/A,TRUE,"GENERAL";"TAB4",#N/A,TRUE,"GENERAL";"TAB5",#N/A,TRUE,"GENERAL"}</definedName>
    <definedName name="___m6" localSheetId="13" hidden="1">{"TAB1",#N/A,TRUE,"GENERAL";"TAB2",#N/A,TRUE,"GENERAL";"TAB3",#N/A,TRUE,"GENERAL";"TAB4",#N/A,TRUE,"GENERAL";"TAB5",#N/A,TRUE,"GENERAL"}</definedName>
    <definedName name="___m6" localSheetId="15" hidden="1">{"TAB1",#N/A,TRUE,"GENERAL";"TAB2",#N/A,TRUE,"GENERAL";"TAB3",#N/A,TRUE,"GENERAL";"TAB4",#N/A,TRUE,"GENERAL";"TAB5",#N/A,TRUE,"GENERAL"}</definedName>
    <definedName name="___m6" hidden="1">{"TAB1",#N/A,TRUE,"GENERAL";"TAB2",#N/A,TRUE,"GENERAL";"TAB3",#N/A,TRUE,"GENERAL";"TAB4",#N/A,TRUE,"GENERAL";"TAB5",#N/A,TRUE,"GENERAL"}</definedName>
    <definedName name="___m7" localSheetId="14" hidden="1">{"TAB1",#N/A,TRUE,"GENERAL";"TAB2",#N/A,TRUE,"GENERAL";"TAB3",#N/A,TRUE,"GENERAL";"TAB4",#N/A,TRUE,"GENERAL";"TAB5",#N/A,TRUE,"GENERAL"}</definedName>
    <definedName name="___m7" localSheetId="16" hidden="1">{"TAB1",#N/A,TRUE,"GENERAL";"TAB2",#N/A,TRUE,"GENERAL";"TAB3",#N/A,TRUE,"GENERAL";"TAB4",#N/A,TRUE,"GENERAL";"TAB5",#N/A,TRUE,"GENERAL"}</definedName>
    <definedName name="___m7" localSheetId="17" hidden="1">{"TAB1",#N/A,TRUE,"GENERAL";"TAB2",#N/A,TRUE,"GENERAL";"TAB3",#N/A,TRUE,"GENERAL";"TAB4",#N/A,TRUE,"GENERAL";"TAB5",#N/A,TRUE,"GENERAL"}</definedName>
    <definedName name="___m7" localSheetId="13" hidden="1">{"TAB1",#N/A,TRUE,"GENERAL";"TAB2",#N/A,TRUE,"GENERAL";"TAB3",#N/A,TRUE,"GENERAL";"TAB4",#N/A,TRUE,"GENERAL";"TAB5",#N/A,TRUE,"GENERAL"}</definedName>
    <definedName name="___m7" localSheetId="15" hidden="1">{"TAB1",#N/A,TRUE,"GENERAL";"TAB2",#N/A,TRUE,"GENERAL";"TAB3",#N/A,TRUE,"GENERAL";"TAB4",#N/A,TRUE,"GENERAL";"TAB5",#N/A,TRUE,"GENERAL"}</definedName>
    <definedName name="___m7" hidden="1">{"TAB1",#N/A,TRUE,"GENERAL";"TAB2",#N/A,TRUE,"GENERAL";"TAB3",#N/A,TRUE,"GENERAL";"TAB4",#N/A,TRUE,"GENERAL";"TAB5",#N/A,TRUE,"GENERAL"}</definedName>
    <definedName name="___m8" localSheetId="14" hidden="1">{"via1",#N/A,TRUE,"general";"via2",#N/A,TRUE,"general";"via3",#N/A,TRUE,"general"}</definedName>
    <definedName name="___m8" localSheetId="16" hidden="1">{"via1",#N/A,TRUE,"general";"via2",#N/A,TRUE,"general";"via3",#N/A,TRUE,"general"}</definedName>
    <definedName name="___m8" localSheetId="17" hidden="1">{"via1",#N/A,TRUE,"general";"via2",#N/A,TRUE,"general";"via3",#N/A,TRUE,"general"}</definedName>
    <definedName name="___m8" localSheetId="13" hidden="1">{"via1",#N/A,TRUE,"general";"via2",#N/A,TRUE,"general";"via3",#N/A,TRUE,"general"}</definedName>
    <definedName name="___m8" localSheetId="15" hidden="1">{"via1",#N/A,TRUE,"general";"via2",#N/A,TRUE,"general";"via3",#N/A,TRUE,"general"}</definedName>
    <definedName name="___m8" hidden="1">{"via1",#N/A,TRUE,"general";"via2",#N/A,TRUE,"general";"via3",#N/A,TRUE,"general"}</definedName>
    <definedName name="___m9" localSheetId="14" hidden="1">{"via1",#N/A,TRUE,"general";"via2",#N/A,TRUE,"general";"via3",#N/A,TRUE,"general"}</definedName>
    <definedName name="___m9" localSheetId="16" hidden="1">{"via1",#N/A,TRUE,"general";"via2",#N/A,TRUE,"general";"via3",#N/A,TRUE,"general"}</definedName>
    <definedName name="___m9" localSheetId="17" hidden="1">{"via1",#N/A,TRUE,"general";"via2",#N/A,TRUE,"general";"via3",#N/A,TRUE,"general"}</definedName>
    <definedName name="___m9" localSheetId="13" hidden="1">{"via1",#N/A,TRUE,"general";"via2",#N/A,TRUE,"general";"via3",#N/A,TRUE,"general"}</definedName>
    <definedName name="___m9" localSheetId="15" hidden="1">{"via1",#N/A,TRUE,"general";"via2",#N/A,TRUE,"general";"via3",#N/A,TRUE,"general"}</definedName>
    <definedName name="___m9" hidden="1">{"via1",#N/A,TRUE,"general";"via2",#N/A,TRUE,"general";"via3",#N/A,TRUE,"general"}</definedName>
    <definedName name="___MA2">#REF!</definedName>
    <definedName name="___mes1">[5]COSTOS!$E$5</definedName>
    <definedName name="___Mes2">[5]COSTOS!$F$5</definedName>
    <definedName name="___Mes3">[5]COSTOS!$G$5</definedName>
    <definedName name="___n3" localSheetId="14" hidden="1">{"TAB1",#N/A,TRUE,"GENERAL";"TAB2",#N/A,TRUE,"GENERAL";"TAB3",#N/A,TRUE,"GENERAL";"TAB4",#N/A,TRUE,"GENERAL";"TAB5",#N/A,TRUE,"GENERAL"}</definedName>
    <definedName name="___n3" localSheetId="16" hidden="1">{"TAB1",#N/A,TRUE,"GENERAL";"TAB2",#N/A,TRUE,"GENERAL";"TAB3",#N/A,TRUE,"GENERAL";"TAB4",#N/A,TRUE,"GENERAL";"TAB5",#N/A,TRUE,"GENERAL"}</definedName>
    <definedName name="___n3" localSheetId="17" hidden="1">{"TAB1",#N/A,TRUE,"GENERAL";"TAB2",#N/A,TRUE,"GENERAL";"TAB3",#N/A,TRUE,"GENERAL";"TAB4",#N/A,TRUE,"GENERAL";"TAB5",#N/A,TRUE,"GENERAL"}</definedName>
    <definedName name="___n3" localSheetId="13" hidden="1">{"TAB1",#N/A,TRUE,"GENERAL";"TAB2",#N/A,TRUE,"GENERAL";"TAB3",#N/A,TRUE,"GENERAL";"TAB4",#N/A,TRUE,"GENERAL";"TAB5",#N/A,TRUE,"GENERAL"}</definedName>
    <definedName name="___n3" localSheetId="15" hidden="1">{"TAB1",#N/A,TRUE,"GENERAL";"TAB2",#N/A,TRUE,"GENERAL";"TAB3",#N/A,TRUE,"GENERAL";"TAB4",#N/A,TRUE,"GENERAL";"TAB5",#N/A,TRUE,"GENERAL"}</definedName>
    <definedName name="___n3" hidden="1">{"TAB1",#N/A,TRUE,"GENERAL";"TAB2",#N/A,TRUE,"GENERAL";"TAB3",#N/A,TRUE,"GENERAL";"TAB4",#N/A,TRUE,"GENERAL";"TAB5",#N/A,TRUE,"GENERAL"}</definedName>
    <definedName name="___n4" localSheetId="14" hidden="1">{"via1",#N/A,TRUE,"general";"via2",#N/A,TRUE,"general";"via3",#N/A,TRUE,"general"}</definedName>
    <definedName name="___n4" localSheetId="16" hidden="1">{"via1",#N/A,TRUE,"general";"via2",#N/A,TRUE,"general";"via3",#N/A,TRUE,"general"}</definedName>
    <definedName name="___n4" localSheetId="17" hidden="1">{"via1",#N/A,TRUE,"general";"via2",#N/A,TRUE,"general";"via3",#N/A,TRUE,"general"}</definedName>
    <definedName name="___n4" localSheetId="13" hidden="1">{"via1",#N/A,TRUE,"general";"via2",#N/A,TRUE,"general";"via3",#N/A,TRUE,"general"}</definedName>
    <definedName name="___n4" localSheetId="15" hidden="1">{"via1",#N/A,TRUE,"general";"via2",#N/A,TRUE,"general";"via3",#N/A,TRUE,"general"}</definedName>
    <definedName name="___n4" hidden="1">{"via1",#N/A,TRUE,"general";"via2",#N/A,TRUE,"general";"via3",#N/A,TRUE,"general"}</definedName>
    <definedName name="___n5" localSheetId="14" hidden="1">{"TAB1",#N/A,TRUE,"GENERAL";"TAB2",#N/A,TRUE,"GENERAL";"TAB3",#N/A,TRUE,"GENERAL";"TAB4",#N/A,TRUE,"GENERAL";"TAB5",#N/A,TRUE,"GENERAL"}</definedName>
    <definedName name="___n5" localSheetId="16" hidden="1">{"TAB1",#N/A,TRUE,"GENERAL";"TAB2",#N/A,TRUE,"GENERAL";"TAB3",#N/A,TRUE,"GENERAL";"TAB4",#N/A,TRUE,"GENERAL";"TAB5",#N/A,TRUE,"GENERAL"}</definedName>
    <definedName name="___n5" localSheetId="17" hidden="1">{"TAB1",#N/A,TRUE,"GENERAL";"TAB2",#N/A,TRUE,"GENERAL";"TAB3",#N/A,TRUE,"GENERAL";"TAB4",#N/A,TRUE,"GENERAL";"TAB5",#N/A,TRUE,"GENERAL"}</definedName>
    <definedName name="___n5" localSheetId="13" hidden="1">{"TAB1",#N/A,TRUE,"GENERAL";"TAB2",#N/A,TRUE,"GENERAL";"TAB3",#N/A,TRUE,"GENERAL";"TAB4",#N/A,TRUE,"GENERAL";"TAB5",#N/A,TRUE,"GENERAL"}</definedName>
    <definedName name="___n5" localSheetId="15" hidden="1">{"TAB1",#N/A,TRUE,"GENERAL";"TAB2",#N/A,TRUE,"GENERAL";"TAB3",#N/A,TRUE,"GENERAL";"TAB4",#N/A,TRUE,"GENERAL";"TAB5",#N/A,TRUE,"GENERAL"}</definedName>
    <definedName name="___n5" hidden="1">{"TAB1",#N/A,TRUE,"GENERAL";"TAB2",#N/A,TRUE,"GENERAL";"TAB3",#N/A,TRUE,"GENERAL";"TAB4",#N/A,TRUE,"GENERAL";"TAB5",#N/A,TRUE,"GENERAL"}</definedName>
    <definedName name="___nyn7" localSheetId="14" hidden="1">{"via1",#N/A,TRUE,"general";"via2",#N/A,TRUE,"general";"via3",#N/A,TRUE,"general"}</definedName>
    <definedName name="___nyn7" localSheetId="16" hidden="1">{"via1",#N/A,TRUE,"general";"via2",#N/A,TRUE,"general";"via3",#N/A,TRUE,"general"}</definedName>
    <definedName name="___nyn7" localSheetId="17" hidden="1">{"via1",#N/A,TRUE,"general";"via2",#N/A,TRUE,"general";"via3",#N/A,TRUE,"general"}</definedName>
    <definedName name="___nyn7" localSheetId="13" hidden="1">{"via1",#N/A,TRUE,"general";"via2",#N/A,TRUE,"general";"via3",#N/A,TRUE,"general"}</definedName>
    <definedName name="___nyn7" localSheetId="15" hidden="1">{"via1",#N/A,TRUE,"general";"via2",#N/A,TRUE,"general";"via3",#N/A,TRUE,"general"}</definedName>
    <definedName name="___nyn7" hidden="1">{"via1",#N/A,TRUE,"general";"via2",#N/A,TRUE,"general";"via3",#N/A,TRUE,"general"}</definedName>
    <definedName name="___o4" localSheetId="14" hidden="1">{"via1",#N/A,TRUE,"general";"via2",#N/A,TRUE,"general";"via3",#N/A,TRUE,"general"}</definedName>
    <definedName name="___o4" localSheetId="16" hidden="1">{"via1",#N/A,TRUE,"general";"via2",#N/A,TRUE,"general";"via3",#N/A,TRUE,"general"}</definedName>
    <definedName name="___o4" localSheetId="17" hidden="1">{"via1",#N/A,TRUE,"general";"via2",#N/A,TRUE,"general";"via3",#N/A,TRUE,"general"}</definedName>
    <definedName name="___o4" localSheetId="13" hidden="1">{"via1",#N/A,TRUE,"general";"via2",#N/A,TRUE,"general";"via3",#N/A,TRUE,"general"}</definedName>
    <definedName name="___o4" localSheetId="15" hidden="1">{"via1",#N/A,TRUE,"general";"via2",#N/A,TRUE,"general";"via3",#N/A,TRUE,"general"}</definedName>
    <definedName name="___o4" hidden="1">{"via1",#N/A,TRUE,"general";"via2",#N/A,TRUE,"general";"via3",#N/A,TRUE,"general"}</definedName>
    <definedName name="___o5" localSheetId="14" hidden="1">{"TAB1",#N/A,TRUE,"GENERAL";"TAB2",#N/A,TRUE,"GENERAL";"TAB3",#N/A,TRUE,"GENERAL";"TAB4",#N/A,TRUE,"GENERAL";"TAB5",#N/A,TRUE,"GENERAL"}</definedName>
    <definedName name="___o5" localSheetId="16" hidden="1">{"TAB1",#N/A,TRUE,"GENERAL";"TAB2",#N/A,TRUE,"GENERAL";"TAB3",#N/A,TRUE,"GENERAL";"TAB4",#N/A,TRUE,"GENERAL";"TAB5",#N/A,TRUE,"GENERAL"}</definedName>
    <definedName name="___o5" localSheetId="17" hidden="1">{"TAB1",#N/A,TRUE,"GENERAL";"TAB2",#N/A,TRUE,"GENERAL";"TAB3",#N/A,TRUE,"GENERAL";"TAB4",#N/A,TRUE,"GENERAL";"TAB5",#N/A,TRUE,"GENERAL"}</definedName>
    <definedName name="___o5" localSheetId="13" hidden="1">{"TAB1",#N/A,TRUE,"GENERAL";"TAB2",#N/A,TRUE,"GENERAL";"TAB3",#N/A,TRUE,"GENERAL";"TAB4",#N/A,TRUE,"GENERAL";"TAB5",#N/A,TRUE,"GENERAL"}</definedName>
    <definedName name="___o5" localSheetId="15" hidden="1">{"TAB1",#N/A,TRUE,"GENERAL";"TAB2",#N/A,TRUE,"GENERAL";"TAB3",#N/A,TRUE,"GENERAL";"TAB4",#N/A,TRUE,"GENERAL";"TAB5",#N/A,TRUE,"GENERAL"}</definedName>
    <definedName name="___o5" hidden="1">{"TAB1",#N/A,TRUE,"GENERAL";"TAB2",#N/A,TRUE,"GENERAL";"TAB3",#N/A,TRUE,"GENERAL";"TAB4",#N/A,TRUE,"GENERAL";"TAB5",#N/A,TRUE,"GENERAL"}</definedName>
    <definedName name="___o6" localSheetId="14" hidden="1">{"TAB1",#N/A,TRUE,"GENERAL";"TAB2",#N/A,TRUE,"GENERAL";"TAB3",#N/A,TRUE,"GENERAL";"TAB4",#N/A,TRUE,"GENERAL";"TAB5",#N/A,TRUE,"GENERAL"}</definedName>
    <definedName name="___o6" localSheetId="16" hidden="1">{"TAB1",#N/A,TRUE,"GENERAL";"TAB2",#N/A,TRUE,"GENERAL";"TAB3",#N/A,TRUE,"GENERAL";"TAB4",#N/A,TRUE,"GENERAL";"TAB5",#N/A,TRUE,"GENERAL"}</definedName>
    <definedName name="___o6" localSheetId="17" hidden="1">{"TAB1",#N/A,TRUE,"GENERAL";"TAB2",#N/A,TRUE,"GENERAL";"TAB3",#N/A,TRUE,"GENERAL";"TAB4",#N/A,TRUE,"GENERAL";"TAB5",#N/A,TRUE,"GENERAL"}</definedName>
    <definedName name="___o6" localSheetId="13" hidden="1">{"TAB1",#N/A,TRUE,"GENERAL";"TAB2",#N/A,TRUE,"GENERAL";"TAB3",#N/A,TRUE,"GENERAL";"TAB4",#N/A,TRUE,"GENERAL";"TAB5",#N/A,TRUE,"GENERAL"}</definedName>
    <definedName name="___o6" localSheetId="15" hidden="1">{"TAB1",#N/A,TRUE,"GENERAL";"TAB2",#N/A,TRUE,"GENERAL";"TAB3",#N/A,TRUE,"GENERAL";"TAB4",#N/A,TRUE,"GENERAL";"TAB5",#N/A,TRUE,"GENERAL"}</definedName>
    <definedName name="___o6" hidden="1">{"TAB1",#N/A,TRUE,"GENERAL";"TAB2",#N/A,TRUE,"GENERAL";"TAB3",#N/A,TRUE,"GENERAL";"TAB4",#N/A,TRUE,"GENERAL";"TAB5",#N/A,TRUE,"GENERAL"}</definedName>
    <definedName name="___o7" localSheetId="14" hidden="1">{"TAB1",#N/A,TRUE,"GENERAL";"TAB2",#N/A,TRUE,"GENERAL";"TAB3",#N/A,TRUE,"GENERAL";"TAB4",#N/A,TRUE,"GENERAL";"TAB5",#N/A,TRUE,"GENERAL"}</definedName>
    <definedName name="___o7" localSheetId="16" hidden="1">{"TAB1",#N/A,TRUE,"GENERAL";"TAB2",#N/A,TRUE,"GENERAL";"TAB3",#N/A,TRUE,"GENERAL";"TAB4",#N/A,TRUE,"GENERAL";"TAB5",#N/A,TRUE,"GENERAL"}</definedName>
    <definedName name="___o7" localSheetId="17" hidden="1">{"TAB1",#N/A,TRUE,"GENERAL";"TAB2",#N/A,TRUE,"GENERAL";"TAB3",#N/A,TRUE,"GENERAL";"TAB4",#N/A,TRUE,"GENERAL";"TAB5",#N/A,TRUE,"GENERAL"}</definedName>
    <definedName name="___o7" localSheetId="13" hidden="1">{"TAB1",#N/A,TRUE,"GENERAL";"TAB2",#N/A,TRUE,"GENERAL";"TAB3",#N/A,TRUE,"GENERAL";"TAB4",#N/A,TRUE,"GENERAL";"TAB5",#N/A,TRUE,"GENERAL"}</definedName>
    <definedName name="___o7" localSheetId="15" hidden="1">{"TAB1",#N/A,TRUE,"GENERAL";"TAB2",#N/A,TRUE,"GENERAL";"TAB3",#N/A,TRUE,"GENERAL";"TAB4",#N/A,TRUE,"GENERAL";"TAB5",#N/A,TRUE,"GENERAL"}</definedName>
    <definedName name="___o7" hidden="1">{"TAB1",#N/A,TRUE,"GENERAL";"TAB2",#N/A,TRUE,"GENERAL";"TAB3",#N/A,TRUE,"GENERAL";"TAB4",#N/A,TRUE,"GENERAL";"TAB5",#N/A,TRUE,"GENERAL"}</definedName>
    <definedName name="___o8" localSheetId="14" hidden="1">{"via1",#N/A,TRUE,"general";"via2",#N/A,TRUE,"general";"via3",#N/A,TRUE,"general"}</definedName>
    <definedName name="___o8" localSheetId="16" hidden="1">{"via1",#N/A,TRUE,"general";"via2",#N/A,TRUE,"general";"via3",#N/A,TRUE,"general"}</definedName>
    <definedName name="___o8" localSheetId="17" hidden="1">{"via1",#N/A,TRUE,"general";"via2",#N/A,TRUE,"general";"via3",#N/A,TRUE,"general"}</definedName>
    <definedName name="___o8" localSheetId="13" hidden="1">{"via1",#N/A,TRUE,"general";"via2",#N/A,TRUE,"general";"via3",#N/A,TRUE,"general"}</definedName>
    <definedName name="___o8" localSheetId="15" hidden="1">{"via1",#N/A,TRUE,"general";"via2",#N/A,TRUE,"general";"via3",#N/A,TRUE,"general"}</definedName>
    <definedName name="___o8" hidden="1">{"via1",#N/A,TRUE,"general";"via2",#N/A,TRUE,"general";"via3",#N/A,TRUE,"general"}</definedName>
    <definedName name="___o9" localSheetId="14" hidden="1">{"TAB1",#N/A,TRUE,"GENERAL";"TAB2",#N/A,TRUE,"GENERAL";"TAB3",#N/A,TRUE,"GENERAL";"TAB4",#N/A,TRUE,"GENERAL";"TAB5",#N/A,TRUE,"GENERAL"}</definedName>
    <definedName name="___o9" localSheetId="16" hidden="1">{"TAB1",#N/A,TRUE,"GENERAL";"TAB2",#N/A,TRUE,"GENERAL";"TAB3",#N/A,TRUE,"GENERAL";"TAB4",#N/A,TRUE,"GENERAL";"TAB5",#N/A,TRUE,"GENERAL"}</definedName>
    <definedName name="___o9" localSheetId="17" hidden="1">{"TAB1",#N/A,TRUE,"GENERAL";"TAB2",#N/A,TRUE,"GENERAL";"TAB3",#N/A,TRUE,"GENERAL";"TAB4",#N/A,TRUE,"GENERAL";"TAB5",#N/A,TRUE,"GENERAL"}</definedName>
    <definedName name="___o9" localSheetId="13" hidden="1">{"TAB1",#N/A,TRUE,"GENERAL";"TAB2",#N/A,TRUE,"GENERAL";"TAB3",#N/A,TRUE,"GENERAL";"TAB4",#N/A,TRUE,"GENERAL";"TAB5",#N/A,TRUE,"GENERAL"}</definedName>
    <definedName name="___o9" localSheetId="15" hidden="1">{"TAB1",#N/A,TRUE,"GENERAL";"TAB2",#N/A,TRUE,"GENERAL";"TAB3",#N/A,TRUE,"GENERAL";"TAB4",#N/A,TRUE,"GENERAL";"TAB5",#N/A,TRUE,"GENERAL"}</definedName>
    <definedName name="___o9" hidden="1">{"TAB1",#N/A,TRUE,"GENERAL";"TAB2",#N/A,TRUE,"GENERAL";"TAB3",#N/A,TRUE,"GENERAL";"TAB4",#N/A,TRUE,"GENERAL";"TAB5",#N/A,TRUE,"GENERAL"}</definedName>
    <definedName name="___p6" localSheetId="14" hidden="1">{"via1",#N/A,TRUE,"general";"via2",#N/A,TRUE,"general";"via3",#N/A,TRUE,"general"}</definedName>
    <definedName name="___p6" localSheetId="16" hidden="1">{"via1",#N/A,TRUE,"general";"via2",#N/A,TRUE,"general";"via3",#N/A,TRUE,"general"}</definedName>
    <definedName name="___p6" localSheetId="17" hidden="1">{"via1",#N/A,TRUE,"general";"via2",#N/A,TRUE,"general";"via3",#N/A,TRUE,"general"}</definedName>
    <definedName name="___p6" localSheetId="13" hidden="1">{"via1",#N/A,TRUE,"general";"via2",#N/A,TRUE,"general";"via3",#N/A,TRUE,"general"}</definedName>
    <definedName name="___p6" localSheetId="15" hidden="1">{"via1",#N/A,TRUE,"general";"via2",#N/A,TRUE,"general";"via3",#N/A,TRUE,"general"}</definedName>
    <definedName name="___p6" hidden="1">{"via1",#N/A,TRUE,"general";"via2",#N/A,TRUE,"general";"via3",#N/A,TRUE,"general"}</definedName>
    <definedName name="___p7" localSheetId="14" hidden="1">{"via1",#N/A,TRUE,"general";"via2",#N/A,TRUE,"general";"via3",#N/A,TRUE,"general"}</definedName>
    <definedName name="___p7" localSheetId="16" hidden="1">{"via1",#N/A,TRUE,"general";"via2",#N/A,TRUE,"general";"via3",#N/A,TRUE,"general"}</definedName>
    <definedName name="___p7" localSheetId="17" hidden="1">{"via1",#N/A,TRUE,"general";"via2",#N/A,TRUE,"general";"via3",#N/A,TRUE,"general"}</definedName>
    <definedName name="___p7" localSheetId="13" hidden="1">{"via1",#N/A,TRUE,"general";"via2",#N/A,TRUE,"general";"via3",#N/A,TRUE,"general"}</definedName>
    <definedName name="___p7" localSheetId="15" hidden="1">{"via1",#N/A,TRUE,"general";"via2",#N/A,TRUE,"general";"via3",#N/A,TRUE,"general"}</definedName>
    <definedName name="___p7" hidden="1">{"via1",#N/A,TRUE,"general";"via2",#N/A,TRUE,"general";"via3",#N/A,TRUE,"general"}</definedName>
    <definedName name="___p8" localSheetId="14" hidden="1">{"TAB1",#N/A,TRUE,"GENERAL";"TAB2",#N/A,TRUE,"GENERAL";"TAB3",#N/A,TRUE,"GENERAL";"TAB4",#N/A,TRUE,"GENERAL";"TAB5",#N/A,TRUE,"GENERAL"}</definedName>
    <definedName name="___p8" localSheetId="16" hidden="1">{"TAB1",#N/A,TRUE,"GENERAL";"TAB2",#N/A,TRUE,"GENERAL";"TAB3",#N/A,TRUE,"GENERAL";"TAB4",#N/A,TRUE,"GENERAL";"TAB5",#N/A,TRUE,"GENERAL"}</definedName>
    <definedName name="___p8" localSheetId="17" hidden="1">{"TAB1",#N/A,TRUE,"GENERAL";"TAB2",#N/A,TRUE,"GENERAL";"TAB3",#N/A,TRUE,"GENERAL";"TAB4",#N/A,TRUE,"GENERAL";"TAB5",#N/A,TRUE,"GENERAL"}</definedName>
    <definedName name="___p8" localSheetId="13" hidden="1">{"TAB1",#N/A,TRUE,"GENERAL";"TAB2",#N/A,TRUE,"GENERAL";"TAB3",#N/A,TRUE,"GENERAL";"TAB4",#N/A,TRUE,"GENERAL";"TAB5",#N/A,TRUE,"GENERAL"}</definedName>
    <definedName name="___p8" localSheetId="15" hidden="1">{"TAB1",#N/A,TRUE,"GENERAL";"TAB2",#N/A,TRUE,"GENERAL";"TAB3",#N/A,TRUE,"GENERAL";"TAB4",#N/A,TRUE,"GENERAL";"TAB5",#N/A,TRUE,"GENERAL"}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J50">#REF!</definedName>
    <definedName name="___pj51">#REF!</definedName>
    <definedName name="___Po2" localSheetId="3">#REF!</definedName>
    <definedName name="___Po2">#REF!</definedName>
    <definedName name="___r" localSheetId="3">#REF!</definedName>
    <definedName name="___r" localSheetId="14" hidden="1">{"TAB1",#N/A,TRUE,"GENERAL";"TAB2",#N/A,TRUE,"GENERAL";"TAB3",#N/A,TRUE,"GENERAL";"TAB4",#N/A,TRUE,"GENERAL";"TAB5",#N/A,TRUE,"GENERAL"}</definedName>
    <definedName name="___r" localSheetId="16" hidden="1">{"TAB1",#N/A,TRUE,"GENERAL";"TAB2",#N/A,TRUE,"GENERAL";"TAB3",#N/A,TRUE,"GENERAL";"TAB4",#N/A,TRUE,"GENERAL";"TAB5",#N/A,TRUE,"GENERAL"}</definedName>
    <definedName name="___r" localSheetId="17" hidden="1">{"TAB1",#N/A,TRUE,"GENERAL";"TAB2",#N/A,TRUE,"GENERAL";"TAB3",#N/A,TRUE,"GENERAL";"TAB4",#N/A,TRUE,"GENERAL";"TAB5",#N/A,TRUE,"GENERAL"}</definedName>
    <definedName name="___r" localSheetId="13" hidden="1">{"TAB1",#N/A,TRUE,"GENERAL";"TAB2",#N/A,TRUE,"GENERAL";"TAB3",#N/A,TRUE,"GENERAL";"TAB4",#N/A,TRUE,"GENERAL";"TAB5",#N/A,TRUE,"GENERAL"}</definedName>
    <definedName name="___r" localSheetId="15" hidden="1">{"TAB1",#N/A,TRUE,"GENERAL";"TAB2",#N/A,TRUE,"GENERAL";"TAB3",#N/A,TRUE,"GENERAL";"TAB4",#N/A,TRUE,"GENERAL";"TAB5",#N/A,TRUE,"GENERAL"}</definedName>
    <definedName name="___r">#REF!</definedName>
    <definedName name="___R1210JH" localSheetId="3">#REF!</definedName>
    <definedName name="___R1210JH" localSheetId="30">#REF!</definedName>
    <definedName name="___R1210JH" localSheetId="31">#REF!</definedName>
    <definedName name="___R1210JH" localSheetId="29">#REF!</definedName>
    <definedName name="___R1210JH">#REF!</definedName>
    <definedName name="___R32EL" localSheetId="3">#REF!</definedName>
    <definedName name="___R32EL" localSheetId="30">#REF!</definedName>
    <definedName name="___R32EL" localSheetId="31">#REF!</definedName>
    <definedName name="___R32EL" localSheetId="29">#REF!</definedName>
    <definedName name="___R32EL">#REF!</definedName>
    <definedName name="___R32JH" localSheetId="3">#REF!</definedName>
    <definedName name="___R32JH" localSheetId="30">#REF!</definedName>
    <definedName name="___R32JH" localSheetId="31">#REF!</definedName>
    <definedName name="___R32JH" localSheetId="29">#REF!</definedName>
    <definedName name="___R32JH">#REF!</definedName>
    <definedName name="___R42JH" localSheetId="3">#REF!</definedName>
    <definedName name="___R42JH" localSheetId="30">#REF!</definedName>
    <definedName name="___R42JH" localSheetId="31">#REF!</definedName>
    <definedName name="___R42JH" localSheetId="29">#REF!</definedName>
    <definedName name="___R42JH">#REF!</definedName>
    <definedName name="___R43JH" localSheetId="3">#REF!</definedName>
    <definedName name="___R43JH" localSheetId="30">#REF!</definedName>
    <definedName name="___R43JH" localSheetId="31">#REF!</definedName>
    <definedName name="___R43JH" localSheetId="29">#REF!</definedName>
    <definedName name="___R43JH">#REF!</definedName>
    <definedName name="___r4r" localSheetId="14" hidden="1">{"via1",#N/A,TRUE,"general";"via2",#N/A,TRUE,"general";"via3",#N/A,TRUE,"general"}</definedName>
    <definedName name="___r4r" localSheetId="16" hidden="1">{"via1",#N/A,TRUE,"general";"via2",#N/A,TRUE,"general";"via3",#N/A,TRUE,"general"}</definedName>
    <definedName name="___r4r" localSheetId="17" hidden="1">{"via1",#N/A,TRUE,"general";"via2",#N/A,TRUE,"general";"via3",#N/A,TRUE,"general"}</definedName>
    <definedName name="___r4r" localSheetId="13" hidden="1">{"via1",#N/A,TRUE,"general";"via2",#N/A,TRUE,"general";"via3",#N/A,TRUE,"general"}</definedName>
    <definedName name="___r4r" localSheetId="15" hidden="1">{"via1",#N/A,TRUE,"general";"via2",#N/A,TRUE,"general";"via3",#N/A,TRUE,"general"}</definedName>
    <definedName name="___r4r" hidden="1">{"via1",#N/A,TRUE,"general";"via2",#N/A,TRUE,"general";"via3",#N/A,TRUE,"general"}</definedName>
    <definedName name="___R63BB" localSheetId="3">#REF!</definedName>
    <definedName name="___R63BB" localSheetId="30">#REF!</definedName>
    <definedName name="___R63BB" localSheetId="31">#REF!</definedName>
    <definedName name="___R63BB" localSheetId="29">#REF!</definedName>
    <definedName name="___R63BB">#REF!</definedName>
    <definedName name="___R63JH" localSheetId="3">#REF!</definedName>
    <definedName name="___R63JH" localSheetId="30">#REF!</definedName>
    <definedName name="___R63JH" localSheetId="31">#REF!</definedName>
    <definedName name="___R63JH" localSheetId="29">#REF!</definedName>
    <definedName name="___R63JH">#REF!</definedName>
    <definedName name="___R64BB" localSheetId="3">#REF!</definedName>
    <definedName name="___R64BB" localSheetId="30">#REF!</definedName>
    <definedName name="___R64BB" localSheetId="31">#REF!</definedName>
    <definedName name="___R64BB" localSheetId="29">#REF!</definedName>
    <definedName name="___R64BB">#REF!</definedName>
    <definedName name="___R64JH" localSheetId="3">#REF!</definedName>
    <definedName name="___R64JH" localSheetId="30">#REF!</definedName>
    <definedName name="___R64JH" localSheetId="31">#REF!</definedName>
    <definedName name="___R64JH" localSheetId="29">#REF!</definedName>
    <definedName name="___R64JH">#REF!</definedName>
    <definedName name="___R83JH" localSheetId="3">#REF!</definedName>
    <definedName name="___R83JH" localSheetId="30">#REF!</definedName>
    <definedName name="___R83JH" localSheetId="31">#REF!</definedName>
    <definedName name="___R83JH" localSheetId="29">#REF!</definedName>
    <definedName name="___R83JH">#REF!</definedName>
    <definedName name="___R84JH" localSheetId="3">#REF!</definedName>
    <definedName name="___R84JH" localSheetId="30">#REF!</definedName>
    <definedName name="___R84JH" localSheetId="31">#REF!</definedName>
    <definedName name="___R84JH" localSheetId="29">#REF!</definedName>
    <definedName name="___R84JH">#REF!</definedName>
    <definedName name="___R86JH" localSheetId="3">#REF!</definedName>
    <definedName name="___R86JH" localSheetId="30">#REF!</definedName>
    <definedName name="___R86JH" localSheetId="31">#REF!</definedName>
    <definedName name="___R86JH" localSheetId="29">#REF!</definedName>
    <definedName name="___R86JH">#REF!</definedName>
    <definedName name="___rc">#REF!</definedName>
    <definedName name="___RED32" localSheetId="3">#REF!</definedName>
    <definedName name="___RED32" localSheetId="30">#REF!</definedName>
    <definedName name="___RED32" localSheetId="31">#REF!</definedName>
    <definedName name="___RED32" localSheetId="29">#REF!</definedName>
    <definedName name="___RED32">#REF!</definedName>
    <definedName name="___REP21" localSheetId="3">#REF!</definedName>
    <definedName name="___REP21" localSheetId="30">#REF!</definedName>
    <definedName name="___REP21" localSheetId="31">#REF!</definedName>
    <definedName name="___REP21" localSheetId="29">#REF!</definedName>
    <definedName name="___REP21">#REF!</definedName>
    <definedName name="___REP42" localSheetId="3">#REF!</definedName>
    <definedName name="___REP42" localSheetId="30">#REF!</definedName>
    <definedName name="___REP42" localSheetId="31">#REF!</definedName>
    <definedName name="___REP42" localSheetId="29">#REF!</definedName>
    <definedName name="___REP42">#REF!</definedName>
    <definedName name="___REP43">#REF!</definedName>
    <definedName name="___RES64" localSheetId="3">#REF!</definedName>
    <definedName name="___RES64" localSheetId="30">#REF!</definedName>
    <definedName name="___RES64" localSheetId="31">#REF!</definedName>
    <definedName name="___RES64" localSheetId="29">#REF!</definedName>
    <definedName name="___RES64">#REF!</definedName>
    <definedName name="___rtu6" localSheetId="14" hidden="1">{"via1",#N/A,TRUE,"general";"via2",#N/A,TRUE,"general";"via3",#N/A,TRUE,"general"}</definedName>
    <definedName name="___rtu6" localSheetId="16" hidden="1">{"via1",#N/A,TRUE,"general";"via2",#N/A,TRUE,"general";"via3",#N/A,TRUE,"general"}</definedName>
    <definedName name="___rtu6" localSheetId="17" hidden="1">{"via1",#N/A,TRUE,"general";"via2",#N/A,TRUE,"general";"via3",#N/A,TRUE,"general"}</definedName>
    <definedName name="___rtu6" localSheetId="13" hidden="1">{"via1",#N/A,TRUE,"general";"via2",#N/A,TRUE,"general";"via3",#N/A,TRUE,"general"}</definedName>
    <definedName name="___rtu6" localSheetId="15" hidden="1">{"via1",#N/A,TRUE,"general";"via2",#N/A,TRUE,"general";"via3",#N/A,TRUE,"general"}</definedName>
    <definedName name="___rtu6" hidden="1">{"via1",#N/A,TRUE,"general";"via2",#N/A,TRUE,"general";"via3",#N/A,TRUE,"general"}</definedName>
    <definedName name="___s1" localSheetId="14" hidden="1">{"via1",#N/A,TRUE,"general";"via2",#N/A,TRUE,"general";"via3",#N/A,TRUE,"general"}</definedName>
    <definedName name="___s1" localSheetId="16" hidden="1">{"via1",#N/A,TRUE,"general";"via2",#N/A,TRUE,"general";"via3",#N/A,TRUE,"general"}</definedName>
    <definedName name="___s1" localSheetId="17" hidden="1">{"via1",#N/A,TRUE,"general";"via2",#N/A,TRUE,"general";"via3",#N/A,TRUE,"general"}</definedName>
    <definedName name="___s1" localSheetId="13" hidden="1">{"via1",#N/A,TRUE,"general";"via2",#N/A,TRUE,"general";"via3",#N/A,TRUE,"general"}</definedName>
    <definedName name="___s1" localSheetId="15" hidden="1">{"via1",#N/A,TRUE,"general";"via2",#N/A,TRUE,"general";"via3",#N/A,TRUE,"general"}</definedName>
    <definedName name="___s1" hidden="1">{"via1",#N/A,TRUE,"general";"via2",#N/A,TRUE,"general";"via3",#N/A,TRUE,"general"}</definedName>
    <definedName name="___s2" localSheetId="14" hidden="1">{"TAB1",#N/A,TRUE,"GENERAL";"TAB2",#N/A,TRUE,"GENERAL";"TAB3",#N/A,TRUE,"GENERAL";"TAB4",#N/A,TRUE,"GENERAL";"TAB5",#N/A,TRUE,"GENERAL"}</definedName>
    <definedName name="___s2" localSheetId="16" hidden="1">{"TAB1",#N/A,TRUE,"GENERAL";"TAB2",#N/A,TRUE,"GENERAL";"TAB3",#N/A,TRUE,"GENERAL";"TAB4",#N/A,TRUE,"GENERAL";"TAB5",#N/A,TRUE,"GENERAL"}</definedName>
    <definedName name="___s2" localSheetId="17" hidden="1">{"TAB1",#N/A,TRUE,"GENERAL";"TAB2",#N/A,TRUE,"GENERAL";"TAB3",#N/A,TRUE,"GENERAL";"TAB4",#N/A,TRUE,"GENERAL";"TAB5",#N/A,TRUE,"GENERAL"}</definedName>
    <definedName name="___s2" localSheetId="13" hidden="1">{"TAB1",#N/A,TRUE,"GENERAL";"TAB2",#N/A,TRUE,"GENERAL";"TAB3",#N/A,TRUE,"GENERAL";"TAB4",#N/A,TRUE,"GENERAL";"TAB5",#N/A,TRUE,"GENERAL"}</definedName>
    <definedName name="___s2" localSheetId="15" hidden="1">{"TAB1",#N/A,TRUE,"GENERAL";"TAB2",#N/A,TRUE,"GENERAL";"TAB3",#N/A,TRUE,"GENERAL";"TAB4",#N/A,TRUE,"GENERAL";"TAB5",#N/A,TRUE,"GENERAL"}</definedName>
    <definedName name="___s2" hidden="1">{"TAB1",#N/A,TRUE,"GENERAL";"TAB2",#N/A,TRUE,"GENERAL";"TAB3",#N/A,TRUE,"GENERAL";"TAB4",#N/A,TRUE,"GENERAL";"TAB5",#N/A,TRUE,"GENERAL"}</definedName>
    <definedName name="___s3" localSheetId="14" hidden="1">{"TAB1",#N/A,TRUE,"GENERAL";"TAB2",#N/A,TRUE,"GENERAL";"TAB3",#N/A,TRUE,"GENERAL";"TAB4",#N/A,TRUE,"GENERAL";"TAB5",#N/A,TRUE,"GENERAL"}</definedName>
    <definedName name="___s3" localSheetId="16" hidden="1">{"TAB1",#N/A,TRUE,"GENERAL";"TAB2",#N/A,TRUE,"GENERAL";"TAB3",#N/A,TRUE,"GENERAL";"TAB4",#N/A,TRUE,"GENERAL";"TAB5",#N/A,TRUE,"GENERAL"}</definedName>
    <definedName name="___s3" localSheetId="17" hidden="1">{"TAB1",#N/A,TRUE,"GENERAL";"TAB2",#N/A,TRUE,"GENERAL";"TAB3",#N/A,TRUE,"GENERAL";"TAB4",#N/A,TRUE,"GENERAL";"TAB5",#N/A,TRUE,"GENERAL"}</definedName>
    <definedName name="___s3" localSheetId="13" hidden="1">{"TAB1",#N/A,TRUE,"GENERAL";"TAB2",#N/A,TRUE,"GENERAL";"TAB3",#N/A,TRUE,"GENERAL";"TAB4",#N/A,TRUE,"GENERAL";"TAB5",#N/A,TRUE,"GENERAL"}</definedName>
    <definedName name="___s3" localSheetId="15" hidden="1">{"TAB1",#N/A,TRUE,"GENERAL";"TAB2",#N/A,TRUE,"GENERAL";"TAB3",#N/A,TRUE,"GENERAL";"TAB4",#N/A,TRUE,"GENERAL";"TAB5",#N/A,TRUE,"GENERAL"}</definedName>
    <definedName name="___s3" hidden="1">{"TAB1",#N/A,TRUE,"GENERAL";"TAB2",#N/A,TRUE,"GENERAL";"TAB3",#N/A,TRUE,"GENERAL";"TAB4",#N/A,TRUE,"GENERAL";"TAB5",#N/A,TRUE,"GENERAL"}</definedName>
    <definedName name="___s4" localSheetId="14" hidden="1">{"via1",#N/A,TRUE,"general";"via2",#N/A,TRUE,"general";"via3",#N/A,TRUE,"general"}</definedName>
    <definedName name="___s4" localSheetId="16" hidden="1">{"via1",#N/A,TRUE,"general";"via2",#N/A,TRUE,"general";"via3",#N/A,TRUE,"general"}</definedName>
    <definedName name="___s4" localSheetId="17" hidden="1">{"via1",#N/A,TRUE,"general";"via2",#N/A,TRUE,"general";"via3",#N/A,TRUE,"general"}</definedName>
    <definedName name="___s4" localSheetId="13" hidden="1">{"via1",#N/A,TRUE,"general";"via2",#N/A,TRUE,"general";"via3",#N/A,TRUE,"general"}</definedName>
    <definedName name="___s4" localSheetId="15" hidden="1">{"via1",#N/A,TRUE,"general";"via2",#N/A,TRUE,"general";"via3",#N/A,TRUE,"general"}</definedName>
    <definedName name="___s4" hidden="1">{"via1",#N/A,TRUE,"general";"via2",#N/A,TRUE,"general";"via3",#N/A,TRUE,"general"}</definedName>
    <definedName name="___s5" localSheetId="14" hidden="1">{"via1",#N/A,TRUE,"general";"via2",#N/A,TRUE,"general";"via3",#N/A,TRUE,"general"}</definedName>
    <definedName name="___s5" localSheetId="16" hidden="1">{"via1",#N/A,TRUE,"general";"via2",#N/A,TRUE,"general";"via3",#N/A,TRUE,"general"}</definedName>
    <definedName name="___s5" localSheetId="17" hidden="1">{"via1",#N/A,TRUE,"general";"via2",#N/A,TRUE,"general";"via3",#N/A,TRUE,"general"}</definedName>
    <definedName name="___s5" localSheetId="13" hidden="1">{"via1",#N/A,TRUE,"general";"via2",#N/A,TRUE,"general";"via3",#N/A,TRUE,"general"}</definedName>
    <definedName name="___s5" localSheetId="15" hidden="1">{"via1",#N/A,TRUE,"general";"via2",#N/A,TRUE,"general";"via3",#N/A,TRUE,"general"}</definedName>
    <definedName name="___s5" hidden="1">{"via1",#N/A,TRUE,"general";"via2",#N/A,TRUE,"general";"via3",#N/A,TRUE,"general"}</definedName>
    <definedName name="___s6" localSheetId="14" hidden="1">{"TAB1",#N/A,TRUE,"GENERAL";"TAB2",#N/A,TRUE,"GENERAL";"TAB3",#N/A,TRUE,"GENERAL";"TAB4",#N/A,TRUE,"GENERAL";"TAB5",#N/A,TRUE,"GENERAL"}</definedName>
    <definedName name="___s6" localSheetId="16" hidden="1">{"TAB1",#N/A,TRUE,"GENERAL";"TAB2",#N/A,TRUE,"GENERAL";"TAB3",#N/A,TRUE,"GENERAL";"TAB4",#N/A,TRUE,"GENERAL";"TAB5",#N/A,TRUE,"GENERAL"}</definedName>
    <definedName name="___s6" localSheetId="17" hidden="1">{"TAB1",#N/A,TRUE,"GENERAL";"TAB2",#N/A,TRUE,"GENERAL";"TAB3",#N/A,TRUE,"GENERAL";"TAB4",#N/A,TRUE,"GENERAL";"TAB5",#N/A,TRUE,"GENERAL"}</definedName>
    <definedName name="___s6" localSheetId="13" hidden="1">{"TAB1",#N/A,TRUE,"GENERAL";"TAB2",#N/A,TRUE,"GENERAL";"TAB3",#N/A,TRUE,"GENERAL";"TAB4",#N/A,TRUE,"GENERAL";"TAB5",#N/A,TRUE,"GENERAL"}</definedName>
    <definedName name="___s6" localSheetId="15" hidden="1">{"TAB1",#N/A,TRUE,"GENERAL";"TAB2",#N/A,TRUE,"GENERAL";"TAB3",#N/A,TRUE,"GENERAL";"TAB4",#N/A,TRUE,"GENERAL";"TAB5",#N/A,TRUE,"GENERAL"}</definedName>
    <definedName name="___s6" hidden="1">{"TAB1",#N/A,TRUE,"GENERAL";"TAB2",#N/A,TRUE,"GENERAL";"TAB3",#N/A,TRUE,"GENERAL";"TAB4",#N/A,TRUE,"GENERAL";"TAB5",#N/A,TRUE,"GENERAL"}</definedName>
    <definedName name="___s7" localSheetId="14" hidden="1">{"via1",#N/A,TRUE,"general";"via2",#N/A,TRUE,"general";"via3",#N/A,TRUE,"general"}</definedName>
    <definedName name="___s7" localSheetId="16" hidden="1">{"via1",#N/A,TRUE,"general";"via2",#N/A,TRUE,"general";"via3",#N/A,TRUE,"general"}</definedName>
    <definedName name="___s7" localSheetId="17" hidden="1">{"via1",#N/A,TRUE,"general";"via2",#N/A,TRUE,"general";"via3",#N/A,TRUE,"general"}</definedName>
    <definedName name="___s7" localSheetId="13" hidden="1">{"via1",#N/A,TRUE,"general";"via2",#N/A,TRUE,"general";"via3",#N/A,TRUE,"general"}</definedName>
    <definedName name="___s7" localSheetId="15" hidden="1">{"via1",#N/A,TRUE,"general";"via2",#N/A,TRUE,"general";"via3",#N/A,TRUE,"general"}</definedName>
    <definedName name="___s7" hidden="1">{"via1",#N/A,TRUE,"general";"via2",#N/A,TRUE,"general";"via3",#N/A,TRUE,"general"}</definedName>
    <definedName name="___SBC1">[1]INV!$A$12:$D$15</definedName>
    <definedName name="___SBC3">[1]INV!$F$12:$I$15</definedName>
    <definedName name="___SBC5">[1]INV!$K$12:$N$15</definedName>
    <definedName name="___ST106" localSheetId="3">#REF!</definedName>
    <definedName name="___ST106" localSheetId="30">#REF!</definedName>
    <definedName name="___ST106" localSheetId="31">#REF!</definedName>
    <definedName name="___ST106" localSheetId="29">#REF!</definedName>
    <definedName name="___ST106">#REF!</definedName>
    <definedName name="___ST126" localSheetId="3">#REF!</definedName>
    <definedName name="___ST126" localSheetId="30">#REF!</definedName>
    <definedName name="___ST126" localSheetId="31">#REF!</definedName>
    <definedName name="___ST126" localSheetId="29">#REF!</definedName>
    <definedName name="___ST126">#REF!</definedName>
    <definedName name="___ST146" localSheetId="3">#REF!</definedName>
    <definedName name="___ST146" localSheetId="30">#REF!</definedName>
    <definedName name="___ST146" localSheetId="31">#REF!</definedName>
    <definedName name="___ST146" localSheetId="29">#REF!</definedName>
    <definedName name="___ST146">#REF!</definedName>
    <definedName name="___ST166">#REF!</definedName>
    <definedName name="___ST186" localSheetId="3">#REF!</definedName>
    <definedName name="___ST186" localSheetId="30">#REF!</definedName>
    <definedName name="___ST186" localSheetId="31">#REF!</definedName>
    <definedName name="___ST186" localSheetId="29">#REF!</definedName>
    <definedName name="___ST186">#REF!</definedName>
    <definedName name="___ST206" localSheetId="3">#REF!</definedName>
    <definedName name="___ST206" localSheetId="30">#REF!</definedName>
    <definedName name="___ST206" localSheetId="31">#REF!</definedName>
    <definedName name="___ST206" localSheetId="29">#REF!</definedName>
    <definedName name="___ST206">#REF!</definedName>
    <definedName name="___ST86" localSheetId="3">#REF!</definedName>
    <definedName name="___ST86" localSheetId="30">#REF!</definedName>
    <definedName name="___ST86" localSheetId="31">#REF!</definedName>
    <definedName name="___ST86" localSheetId="29">#REF!</definedName>
    <definedName name="___ST86">#REF!</definedName>
    <definedName name="___SY106">#REF!</definedName>
    <definedName name="___SY86">#REF!</definedName>
    <definedName name="___t3" localSheetId="14" hidden="1">{"TAB1",#N/A,TRUE,"GENERAL";"TAB2",#N/A,TRUE,"GENERAL";"TAB3",#N/A,TRUE,"GENERAL";"TAB4",#N/A,TRUE,"GENERAL";"TAB5",#N/A,TRUE,"GENERAL"}</definedName>
    <definedName name="___t3" localSheetId="16" hidden="1">{"TAB1",#N/A,TRUE,"GENERAL";"TAB2",#N/A,TRUE,"GENERAL";"TAB3",#N/A,TRUE,"GENERAL";"TAB4",#N/A,TRUE,"GENERAL";"TAB5",#N/A,TRUE,"GENERAL"}</definedName>
    <definedName name="___t3" localSheetId="17" hidden="1">{"TAB1",#N/A,TRUE,"GENERAL";"TAB2",#N/A,TRUE,"GENERAL";"TAB3",#N/A,TRUE,"GENERAL";"TAB4",#N/A,TRUE,"GENERAL";"TAB5",#N/A,TRUE,"GENERAL"}</definedName>
    <definedName name="___t3" localSheetId="13" hidden="1">{"TAB1",#N/A,TRUE,"GENERAL";"TAB2",#N/A,TRUE,"GENERAL";"TAB3",#N/A,TRUE,"GENERAL";"TAB4",#N/A,TRUE,"GENERAL";"TAB5",#N/A,TRUE,"GENERAL"}</definedName>
    <definedName name="___t3" localSheetId="15" hidden="1">{"TAB1",#N/A,TRUE,"GENERAL";"TAB2",#N/A,TRUE,"GENERAL";"TAB3",#N/A,TRUE,"GENERAL";"TAB4",#N/A,TRUE,"GENERAL";"TAB5",#N/A,TRUE,"GENERAL"}</definedName>
    <definedName name="___t3" hidden="1">{"TAB1",#N/A,TRUE,"GENERAL";"TAB2",#N/A,TRUE,"GENERAL";"TAB3",#N/A,TRUE,"GENERAL";"TAB4",#N/A,TRUE,"GENERAL";"TAB5",#N/A,TRUE,"GENERAL"}</definedName>
    <definedName name="___t4" localSheetId="14" hidden="1">{"via1",#N/A,TRUE,"general";"via2",#N/A,TRUE,"general";"via3",#N/A,TRUE,"general"}</definedName>
    <definedName name="___t4" localSheetId="16" hidden="1">{"via1",#N/A,TRUE,"general";"via2",#N/A,TRUE,"general";"via3",#N/A,TRUE,"general"}</definedName>
    <definedName name="___t4" localSheetId="17" hidden="1">{"via1",#N/A,TRUE,"general";"via2",#N/A,TRUE,"general";"via3",#N/A,TRUE,"general"}</definedName>
    <definedName name="___t4" localSheetId="13" hidden="1">{"via1",#N/A,TRUE,"general";"via2",#N/A,TRUE,"general";"via3",#N/A,TRUE,"general"}</definedName>
    <definedName name="___t4" localSheetId="15" hidden="1">{"via1",#N/A,TRUE,"general";"via2",#N/A,TRUE,"general";"via3",#N/A,TRUE,"general"}</definedName>
    <definedName name="___t4" hidden="1">{"via1",#N/A,TRUE,"general";"via2",#N/A,TRUE,"general";"via3",#N/A,TRUE,"general"}</definedName>
    <definedName name="___t5" localSheetId="14" hidden="1">{"TAB1",#N/A,TRUE,"GENERAL";"TAB2",#N/A,TRUE,"GENERAL";"TAB3",#N/A,TRUE,"GENERAL";"TAB4",#N/A,TRUE,"GENERAL";"TAB5",#N/A,TRUE,"GENERAL"}</definedName>
    <definedName name="___t5" localSheetId="16" hidden="1">{"TAB1",#N/A,TRUE,"GENERAL";"TAB2",#N/A,TRUE,"GENERAL";"TAB3",#N/A,TRUE,"GENERAL";"TAB4",#N/A,TRUE,"GENERAL";"TAB5",#N/A,TRUE,"GENERAL"}</definedName>
    <definedName name="___t5" localSheetId="17" hidden="1">{"TAB1",#N/A,TRUE,"GENERAL";"TAB2",#N/A,TRUE,"GENERAL";"TAB3",#N/A,TRUE,"GENERAL";"TAB4",#N/A,TRUE,"GENERAL";"TAB5",#N/A,TRUE,"GENERAL"}</definedName>
    <definedName name="___t5" localSheetId="13" hidden="1">{"TAB1",#N/A,TRUE,"GENERAL";"TAB2",#N/A,TRUE,"GENERAL";"TAB3",#N/A,TRUE,"GENERAL";"TAB4",#N/A,TRUE,"GENERAL";"TAB5",#N/A,TRUE,"GENERAL"}</definedName>
    <definedName name="___t5" localSheetId="15" hidden="1">{"TAB1",#N/A,TRUE,"GENERAL";"TAB2",#N/A,TRUE,"GENERAL";"TAB3",#N/A,TRUE,"GENERAL";"TAB4",#N/A,TRUE,"GENERAL";"TAB5",#N/A,TRUE,"GENERAL"}</definedName>
    <definedName name="___t5" hidden="1">{"TAB1",#N/A,TRUE,"GENERAL";"TAB2",#N/A,TRUE,"GENERAL";"TAB3",#N/A,TRUE,"GENERAL";"TAB4",#N/A,TRUE,"GENERAL";"TAB5",#N/A,TRUE,"GENERAL"}</definedName>
    <definedName name="___t6" localSheetId="14" hidden="1">{"via1",#N/A,TRUE,"general";"via2",#N/A,TRUE,"general";"via3",#N/A,TRUE,"general"}</definedName>
    <definedName name="___t6" localSheetId="16" hidden="1">{"via1",#N/A,TRUE,"general";"via2",#N/A,TRUE,"general";"via3",#N/A,TRUE,"general"}</definedName>
    <definedName name="___t6" localSheetId="17" hidden="1">{"via1",#N/A,TRUE,"general";"via2",#N/A,TRUE,"general";"via3",#N/A,TRUE,"general"}</definedName>
    <definedName name="___t6" localSheetId="13" hidden="1">{"via1",#N/A,TRUE,"general";"via2",#N/A,TRUE,"general";"via3",#N/A,TRUE,"general"}</definedName>
    <definedName name="___t6" localSheetId="15" hidden="1">{"via1",#N/A,TRUE,"general";"via2",#N/A,TRUE,"general";"via3",#N/A,TRUE,"general"}</definedName>
    <definedName name="___t6" hidden="1">{"via1",#N/A,TRUE,"general";"via2",#N/A,TRUE,"general";"via3",#N/A,TRUE,"general"}</definedName>
    <definedName name="___t66" localSheetId="14" hidden="1">{"TAB1",#N/A,TRUE,"GENERAL";"TAB2",#N/A,TRUE,"GENERAL";"TAB3",#N/A,TRUE,"GENERAL";"TAB4",#N/A,TRUE,"GENERAL";"TAB5",#N/A,TRUE,"GENERAL"}</definedName>
    <definedName name="___t66" localSheetId="16" hidden="1">{"TAB1",#N/A,TRUE,"GENERAL";"TAB2",#N/A,TRUE,"GENERAL";"TAB3",#N/A,TRUE,"GENERAL";"TAB4",#N/A,TRUE,"GENERAL";"TAB5",#N/A,TRUE,"GENERAL"}</definedName>
    <definedName name="___t66" localSheetId="17" hidden="1">{"TAB1",#N/A,TRUE,"GENERAL";"TAB2",#N/A,TRUE,"GENERAL";"TAB3",#N/A,TRUE,"GENERAL";"TAB4",#N/A,TRUE,"GENERAL";"TAB5",#N/A,TRUE,"GENERAL"}</definedName>
    <definedName name="___t66" localSheetId="13" hidden="1">{"TAB1",#N/A,TRUE,"GENERAL";"TAB2",#N/A,TRUE,"GENERAL";"TAB3",#N/A,TRUE,"GENERAL";"TAB4",#N/A,TRUE,"GENERAL";"TAB5",#N/A,TRUE,"GENERAL"}</definedName>
    <definedName name="___t66" localSheetId="15" hidden="1">{"TAB1",#N/A,TRUE,"GENERAL";"TAB2",#N/A,TRUE,"GENERAL";"TAB3",#N/A,TRUE,"GENERAL";"TAB4",#N/A,TRUE,"GENERAL";"TAB5",#N/A,TRUE,"GENERAL"}</definedName>
    <definedName name="___t66" hidden="1">{"TAB1",#N/A,TRUE,"GENERAL";"TAB2",#N/A,TRUE,"GENERAL";"TAB3",#N/A,TRUE,"GENERAL";"TAB4",#N/A,TRUE,"GENERAL";"TAB5",#N/A,TRUE,"GENERAL"}</definedName>
    <definedName name="___t7" localSheetId="14" hidden="1">{"via1",#N/A,TRUE,"general";"via2",#N/A,TRUE,"general";"via3",#N/A,TRUE,"general"}</definedName>
    <definedName name="___t7" localSheetId="16" hidden="1">{"via1",#N/A,TRUE,"general";"via2",#N/A,TRUE,"general";"via3",#N/A,TRUE,"general"}</definedName>
    <definedName name="___t7" localSheetId="17" hidden="1">{"via1",#N/A,TRUE,"general";"via2",#N/A,TRUE,"general";"via3",#N/A,TRUE,"general"}</definedName>
    <definedName name="___t7" localSheetId="13" hidden="1">{"via1",#N/A,TRUE,"general";"via2",#N/A,TRUE,"general";"via3",#N/A,TRUE,"general"}</definedName>
    <definedName name="___t7" localSheetId="15" hidden="1">{"via1",#N/A,TRUE,"general";"via2",#N/A,TRUE,"general";"via3",#N/A,TRUE,"general"}</definedName>
    <definedName name="___t7" hidden="1">{"via1",#N/A,TRUE,"general";"via2",#N/A,TRUE,"general";"via3",#N/A,TRUE,"general"}</definedName>
    <definedName name="___t77" localSheetId="14" hidden="1">{"TAB1",#N/A,TRUE,"GENERAL";"TAB2",#N/A,TRUE,"GENERAL";"TAB3",#N/A,TRUE,"GENERAL";"TAB4",#N/A,TRUE,"GENERAL";"TAB5",#N/A,TRUE,"GENERAL"}</definedName>
    <definedName name="___t77" localSheetId="16" hidden="1">{"TAB1",#N/A,TRUE,"GENERAL";"TAB2",#N/A,TRUE,"GENERAL";"TAB3",#N/A,TRUE,"GENERAL";"TAB4",#N/A,TRUE,"GENERAL";"TAB5",#N/A,TRUE,"GENERAL"}</definedName>
    <definedName name="___t77" localSheetId="17" hidden="1">{"TAB1",#N/A,TRUE,"GENERAL";"TAB2",#N/A,TRUE,"GENERAL";"TAB3",#N/A,TRUE,"GENERAL";"TAB4",#N/A,TRUE,"GENERAL";"TAB5",#N/A,TRUE,"GENERAL"}</definedName>
    <definedName name="___t77" localSheetId="13" hidden="1">{"TAB1",#N/A,TRUE,"GENERAL";"TAB2",#N/A,TRUE,"GENERAL";"TAB3",#N/A,TRUE,"GENERAL";"TAB4",#N/A,TRUE,"GENERAL";"TAB5",#N/A,TRUE,"GENERAL"}</definedName>
    <definedName name="___t77" localSheetId="15" hidden="1">{"TAB1",#N/A,TRUE,"GENERAL";"TAB2",#N/A,TRUE,"GENERAL";"TAB3",#N/A,TRUE,"GENERAL";"TAB4",#N/A,TRUE,"GENERAL";"TAB5",#N/A,TRUE,"GENERAL"}</definedName>
    <definedName name="___t77" hidden="1">{"TAB1",#N/A,TRUE,"GENERAL";"TAB2",#N/A,TRUE,"GENERAL";"TAB3",#N/A,TRUE,"GENERAL";"TAB4",#N/A,TRUE,"GENERAL";"TAB5",#N/A,TRUE,"GENERAL"}</definedName>
    <definedName name="___t8" localSheetId="14" hidden="1">{"TAB1",#N/A,TRUE,"GENERAL";"TAB2",#N/A,TRUE,"GENERAL";"TAB3",#N/A,TRUE,"GENERAL";"TAB4",#N/A,TRUE,"GENERAL";"TAB5",#N/A,TRUE,"GENERAL"}</definedName>
    <definedName name="___t8" localSheetId="16" hidden="1">{"TAB1",#N/A,TRUE,"GENERAL";"TAB2",#N/A,TRUE,"GENERAL";"TAB3",#N/A,TRUE,"GENERAL";"TAB4",#N/A,TRUE,"GENERAL";"TAB5",#N/A,TRUE,"GENERAL"}</definedName>
    <definedName name="___t8" localSheetId="17" hidden="1">{"TAB1",#N/A,TRUE,"GENERAL";"TAB2",#N/A,TRUE,"GENERAL";"TAB3",#N/A,TRUE,"GENERAL";"TAB4",#N/A,TRUE,"GENERAL";"TAB5",#N/A,TRUE,"GENERAL"}</definedName>
    <definedName name="___t8" localSheetId="13" hidden="1">{"TAB1",#N/A,TRUE,"GENERAL";"TAB2",#N/A,TRUE,"GENERAL";"TAB3",#N/A,TRUE,"GENERAL";"TAB4",#N/A,TRUE,"GENERAL";"TAB5",#N/A,TRUE,"GENERAL"}</definedName>
    <definedName name="___t8" localSheetId="15" hidden="1">{"TAB1",#N/A,TRUE,"GENERAL";"TAB2",#N/A,TRUE,"GENERAL";"TAB3",#N/A,TRUE,"GENERAL";"TAB4",#N/A,TRUE,"GENERAL";"TAB5",#N/A,TRUE,"GENERAL"}</definedName>
    <definedName name="___t8" hidden="1">{"TAB1",#N/A,TRUE,"GENERAL";"TAB2",#N/A,TRUE,"GENERAL";"TAB3",#N/A,TRUE,"GENERAL";"TAB4",#N/A,TRUE,"GENERAL";"TAB5",#N/A,TRUE,"GENERAL"}</definedName>
    <definedName name="___t88" localSheetId="14" hidden="1">{"via1",#N/A,TRUE,"general";"via2",#N/A,TRUE,"general";"via3",#N/A,TRUE,"general"}</definedName>
    <definedName name="___t88" localSheetId="16" hidden="1">{"via1",#N/A,TRUE,"general";"via2",#N/A,TRUE,"general";"via3",#N/A,TRUE,"general"}</definedName>
    <definedName name="___t88" localSheetId="17" hidden="1">{"via1",#N/A,TRUE,"general";"via2",#N/A,TRUE,"general";"via3",#N/A,TRUE,"general"}</definedName>
    <definedName name="___t88" localSheetId="13" hidden="1">{"via1",#N/A,TRUE,"general";"via2",#N/A,TRUE,"general";"via3",#N/A,TRUE,"general"}</definedName>
    <definedName name="___t88" localSheetId="15" hidden="1">{"via1",#N/A,TRUE,"general";"via2",#N/A,TRUE,"general";"via3",#N/A,TRUE,"general"}</definedName>
    <definedName name="___t88" hidden="1">{"via1",#N/A,TRUE,"general";"via2",#N/A,TRUE,"general";"via3",#N/A,TRUE,"general"}</definedName>
    <definedName name="___t9" localSheetId="14" hidden="1">{"TAB1",#N/A,TRUE,"GENERAL";"TAB2",#N/A,TRUE,"GENERAL";"TAB3",#N/A,TRUE,"GENERAL";"TAB4",#N/A,TRUE,"GENERAL";"TAB5",#N/A,TRUE,"GENERAL"}</definedName>
    <definedName name="___t9" localSheetId="16" hidden="1">{"TAB1",#N/A,TRUE,"GENERAL";"TAB2",#N/A,TRUE,"GENERAL";"TAB3",#N/A,TRUE,"GENERAL";"TAB4",#N/A,TRUE,"GENERAL";"TAB5",#N/A,TRUE,"GENERAL"}</definedName>
    <definedName name="___t9" localSheetId="17" hidden="1">{"TAB1",#N/A,TRUE,"GENERAL";"TAB2",#N/A,TRUE,"GENERAL";"TAB3",#N/A,TRUE,"GENERAL";"TAB4",#N/A,TRUE,"GENERAL";"TAB5",#N/A,TRUE,"GENERAL"}</definedName>
    <definedName name="___t9" localSheetId="13" hidden="1">{"TAB1",#N/A,TRUE,"GENERAL";"TAB2",#N/A,TRUE,"GENERAL";"TAB3",#N/A,TRUE,"GENERAL";"TAB4",#N/A,TRUE,"GENERAL";"TAB5",#N/A,TRUE,"GENERAL"}</definedName>
    <definedName name="___t9" localSheetId="15" hidden="1">{"TAB1",#N/A,TRUE,"GENERAL";"TAB2",#N/A,TRUE,"GENERAL";"TAB3",#N/A,TRUE,"GENERAL";"TAB4",#N/A,TRUE,"GENERAL";"TAB5",#N/A,TRUE,"GENERAL"}</definedName>
    <definedName name="___t9" hidden="1">{"TAB1",#N/A,TRUE,"GENERAL";"TAB2",#N/A,TRUE,"GENERAL";"TAB3",#N/A,TRUE,"GENERAL";"TAB4",#N/A,TRUE,"GENERAL";"TAB5",#N/A,TRUE,"GENERAL"}</definedName>
    <definedName name="___t99" localSheetId="14" hidden="1">{"via1",#N/A,TRUE,"general";"via2",#N/A,TRUE,"general";"via3",#N/A,TRUE,"general"}</definedName>
    <definedName name="___t99" localSheetId="16" hidden="1">{"via1",#N/A,TRUE,"general";"via2",#N/A,TRUE,"general";"via3",#N/A,TRUE,"general"}</definedName>
    <definedName name="___t99" localSheetId="17" hidden="1">{"via1",#N/A,TRUE,"general";"via2",#N/A,TRUE,"general";"via3",#N/A,TRUE,"general"}</definedName>
    <definedName name="___t99" localSheetId="13" hidden="1">{"via1",#N/A,TRUE,"general";"via2",#N/A,TRUE,"general";"via3",#N/A,TRUE,"general"}</definedName>
    <definedName name="___t99" localSheetId="15" hidden="1">{"via1",#N/A,TRUE,"general";"via2",#N/A,TRUE,"general";"via3",#N/A,TRUE,"general"}</definedName>
    <definedName name="___t99" hidden="1">{"via1",#N/A,TRUE,"general";"via2",#N/A,TRUE,"general";"via3",#N/A,TRUE,"general"}</definedName>
    <definedName name="___TA1">[7]DATBAND!$L$3:$L$652</definedName>
    <definedName name="___TA2">[7]DATBAND!$M$3:$M$570</definedName>
    <definedName name="___TA3">[7]DATBAND!$N$3:$N$446</definedName>
    <definedName name="___TA4">[7]DATBAND!$O$3:$O$678</definedName>
    <definedName name="___TA5">[7]DATBAND!$P$3:$P$601</definedName>
    <definedName name="___TA6">[7]DATBAND!$Q$3:$Q$531</definedName>
    <definedName name="___TA7">[7]DATBAND!$R$3:$R$504</definedName>
    <definedName name="___TA8">[7]DATBAND!$S$3:$S$674</definedName>
    <definedName name="___TA9">[7]DATBAND!$T$3:$T$544</definedName>
    <definedName name="___TAP2" localSheetId="3">#REF!</definedName>
    <definedName name="___TAP2" localSheetId="30">#REF!</definedName>
    <definedName name="___TAP2" localSheetId="31">#REF!</definedName>
    <definedName name="___TAP2" localSheetId="29">#REF!</definedName>
    <definedName name="___TAP2">#REF!</definedName>
    <definedName name="___TEE1" localSheetId="3">#REF!</definedName>
    <definedName name="___TEE1" localSheetId="30">#REF!</definedName>
    <definedName name="___TEE1" localSheetId="31">#REF!</definedName>
    <definedName name="___TEE1" localSheetId="29">#REF!</definedName>
    <definedName name="___TEE1">#REF!</definedName>
    <definedName name="___TEE2" localSheetId="3">#REF!</definedName>
    <definedName name="___TEE2" localSheetId="30">#REF!</definedName>
    <definedName name="___TEE2" localSheetId="31">#REF!</definedName>
    <definedName name="___TEE2" localSheetId="29">#REF!</definedName>
    <definedName name="___TEE2">#REF!</definedName>
    <definedName name="___TEE32" localSheetId="3">#REF!</definedName>
    <definedName name="___TEE32" localSheetId="30">#REF!</definedName>
    <definedName name="___TEE32" localSheetId="31">#REF!</definedName>
    <definedName name="___TEE32" localSheetId="29">#REF!</definedName>
    <definedName name="___TEE32">#REF!</definedName>
    <definedName name="___TEE33" localSheetId="3">#REF!</definedName>
    <definedName name="___TEE33" localSheetId="30">#REF!</definedName>
    <definedName name="___TEE33" localSheetId="31">#REF!</definedName>
    <definedName name="___TEE33" localSheetId="29">#REF!</definedName>
    <definedName name="___TEE33">#REF!</definedName>
    <definedName name="___TEP44" localSheetId="3">#REF!</definedName>
    <definedName name="___TEP44" localSheetId="30">#REF!</definedName>
    <definedName name="___TEP44" localSheetId="31">#REF!</definedName>
    <definedName name="___TEP44" localSheetId="29">#REF!</definedName>
    <definedName name="___TEP44">#REF!</definedName>
    <definedName name="___TES44" localSheetId="3">#REF!</definedName>
    <definedName name="___TES44" localSheetId="30">#REF!</definedName>
    <definedName name="___TES44" localSheetId="31">#REF!</definedName>
    <definedName name="___TES44" localSheetId="29">#REF!</definedName>
    <definedName name="___TES44">#REF!</definedName>
    <definedName name="___TES64" localSheetId="3">#REF!</definedName>
    <definedName name="___TES64" localSheetId="30">#REF!</definedName>
    <definedName name="___TES64" localSheetId="31">#REF!</definedName>
    <definedName name="___TES64" localSheetId="29">#REF!</definedName>
    <definedName name="___TES64">#REF!</definedName>
    <definedName name="___TES66" localSheetId="3">#REF!</definedName>
    <definedName name="___TES66" localSheetId="30">#REF!</definedName>
    <definedName name="___TES66" localSheetId="31">#REF!</definedName>
    <definedName name="___TES66" localSheetId="29">#REF!</definedName>
    <definedName name="___TES66">#REF!</definedName>
    <definedName name="___THF12" localSheetId="3">#REF!</definedName>
    <definedName name="___THF12" localSheetId="30">#REF!</definedName>
    <definedName name="___THF12" localSheetId="31">#REF!</definedName>
    <definedName name="___THF12" localSheetId="29">#REF!</definedName>
    <definedName name="___THF12">#REF!</definedName>
    <definedName name="___TPE1132" localSheetId="3">#REF!</definedName>
    <definedName name="___TPE1132" localSheetId="30">#REF!</definedName>
    <definedName name="___TPE1132" localSheetId="31">#REF!</definedName>
    <definedName name="___TPE1132" localSheetId="29">#REF!</definedName>
    <definedName name="___TPE1132">#REF!</definedName>
    <definedName name="___TPE12" localSheetId="3">#REF!</definedName>
    <definedName name="___TPE12" localSheetId="30">#REF!</definedName>
    <definedName name="___TPE12" localSheetId="31">#REF!</definedName>
    <definedName name="___TPE12" localSheetId="29">#REF!</definedName>
    <definedName name="___TPE12">#REF!</definedName>
    <definedName name="___TPE1331" localSheetId="3">#REF!</definedName>
    <definedName name="___TPE1331" localSheetId="30">#REF!</definedName>
    <definedName name="___TPE1331" localSheetId="31">#REF!</definedName>
    <definedName name="___TPE1331" localSheetId="29">#REF!</definedName>
    <definedName name="___TPE1331">#REF!</definedName>
    <definedName name="___TPE1701" localSheetId="3">#REF!</definedName>
    <definedName name="___TPE1701" localSheetId="30">#REF!</definedName>
    <definedName name="___TPE1701" localSheetId="31">#REF!</definedName>
    <definedName name="___TPE1701" localSheetId="29">#REF!</definedName>
    <definedName name="___TPE1701">#REF!</definedName>
    <definedName name="___TPE1702" localSheetId="3">#REF!</definedName>
    <definedName name="___TPE1702" localSheetId="30">#REF!</definedName>
    <definedName name="___TPE1702" localSheetId="31">#REF!</definedName>
    <definedName name="___TPE1702" localSheetId="29">#REF!</definedName>
    <definedName name="___TPE1702">#REF!</definedName>
    <definedName name="___TPE1703" localSheetId="3">#REF!</definedName>
    <definedName name="___TPE1703" localSheetId="30">#REF!</definedName>
    <definedName name="___TPE1703" localSheetId="31">#REF!</definedName>
    <definedName name="___TPE1703" localSheetId="29">#REF!</definedName>
    <definedName name="___TPE1703">#REF!</definedName>
    <definedName name="___TPE1704" localSheetId="3">#REF!</definedName>
    <definedName name="___TPE1704" localSheetId="30">#REF!</definedName>
    <definedName name="___TPE1704" localSheetId="31">#REF!</definedName>
    <definedName name="___TPE1704" localSheetId="29">#REF!</definedName>
    <definedName name="___TPE1704">#REF!</definedName>
    <definedName name="___TPE1706" localSheetId="3">#REF!</definedName>
    <definedName name="___TPE1706" localSheetId="30">#REF!</definedName>
    <definedName name="___TPE1706" localSheetId="31">#REF!</definedName>
    <definedName name="___TPE1706" localSheetId="29">#REF!</definedName>
    <definedName name="___TPE1706">#REF!</definedName>
    <definedName name="___TPE1708" localSheetId="3">#REF!</definedName>
    <definedName name="___TPE1708" localSheetId="30">#REF!</definedName>
    <definedName name="___TPE1708" localSheetId="31">#REF!</definedName>
    <definedName name="___TPE1708" localSheetId="29">#REF!</definedName>
    <definedName name="___TPE1708">#REF!</definedName>
    <definedName name="___TPE1710" localSheetId="3">#REF!</definedName>
    <definedName name="___TPE1710" localSheetId="30">#REF!</definedName>
    <definedName name="___TPE1710" localSheetId="31">#REF!</definedName>
    <definedName name="___TPE1710" localSheetId="29">#REF!</definedName>
    <definedName name="___TPE1710">#REF!</definedName>
    <definedName name="___TPE1735" localSheetId="3">#REF!</definedName>
    <definedName name="___TPE1735" localSheetId="30">#REF!</definedName>
    <definedName name="___TPE1735" localSheetId="31">#REF!</definedName>
    <definedName name="___TPE1735" localSheetId="29">#REF!</definedName>
    <definedName name="___TPE1735">#REF!</definedName>
    <definedName name="___TPE1763" localSheetId="3">#REF!</definedName>
    <definedName name="___TPE1763" localSheetId="30">#REF!</definedName>
    <definedName name="___TPE1763" localSheetId="31">#REF!</definedName>
    <definedName name="___TPE1763" localSheetId="29">#REF!</definedName>
    <definedName name="___TPE1763">#REF!</definedName>
    <definedName name="___TPE1790" localSheetId="3">#REF!</definedName>
    <definedName name="___TPE1790" localSheetId="30">#REF!</definedName>
    <definedName name="___TPE1790" localSheetId="31">#REF!</definedName>
    <definedName name="___TPE1790" localSheetId="29">#REF!</definedName>
    <definedName name="___TPE1790">#REF!</definedName>
    <definedName name="___TPE8016">#REF!</definedName>
    <definedName name="___TPE8020">#REF!</definedName>
    <definedName name="___TPE8025">#REF!</definedName>
    <definedName name="___TPF12" localSheetId="3">#REF!</definedName>
    <definedName name="___TPF12" localSheetId="30">#REF!</definedName>
    <definedName name="___TPF12" localSheetId="31">#REF!</definedName>
    <definedName name="___TPF12" localSheetId="29">#REF!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R114" localSheetId="3">#REF!</definedName>
    <definedName name="___TR114" localSheetId="30">#REF!</definedName>
    <definedName name="___TR114" localSheetId="31">#REF!</definedName>
    <definedName name="___TR114" localSheetId="29">#REF!</definedName>
    <definedName name="___TR114">#REF!</definedName>
    <definedName name="___TUZ22" localSheetId="3">#REF!</definedName>
    <definedName name="___TUZ22">#REF!</definedName>
    <definedName name="___TUZ36" localSheetId="3">#REF!</definedName>
    <definedName name="___TUZ36">#REF!</definedName>
    <definedName name="___TZ2110" localSheetId="3">#REF!</definedName>
    <definedName name="___TZ2110" localSheetId="30">#REF!</definedName>
    <definedName name="___TZ2110" localSheetId="31">#REF!</definedName>
    <definedName name="___TZ2110" localSheetId="29">#REF!</definedName>
    <definedName name="___TZ2110">#REF!</definedName>
    <definedName name="___TZ2112" localSheetId="3">#REF!</definedName>
    <definedName name="___TZ2112" localSheetId="30">#REF!</definedName>
    <definedName name="___TZ2112" localSheetId="31">#REF!</definedName>
    <definedName name="___TZ2112" localSheetId="29">#REF!</definedName>
    <definedName name="___TZ2112">#REF!</definedName>
    <definedName name="___TZ2114" localSheetId="3">#REF!</definedName>
    <definedName name="___TZ2114" localSheetId="30">#REF!</definedName>
    <definedName name="___TZ2114" localSheetId="31">#REF!</definedName>
    <definedName name="___TZ2114" localSheetId="29">#REF!</definedName>
    <definedName name="___TZ2114">#REF!</definedName>
    <definedName name="___TZ2116" localSheetId="3">#REF!</definedName>
    <definedName name="___TZ2116" localSheetId="30">#REF!</definedName>
    <definedName name="___TZ2116" localSheetId="31">#REF!</definedName>
    <definedName name="___TZ2116" localSheetId="29">#REF!</definedName>
    <definedName name="___TZ2116">#REF!</definedName>
    <definedName name="___TZ212" localSheetId="3">#REF!</definedName>
    <definedName name="___TZ212" localSheetId="30">#REF!</definedName>
    <definedName name="___TZ212" localSheetId="31">#REF!</definedName>
    <definedName name="___TZ212" localSheetId="29">#REF!</definedName>
    <definedName name="___TZ212">#REF!</definedName>
    <definedName name="___TZ213" localSheetId="3">#REF!</definedName>
    <definedName name="___TZ213" localSheetId="30">#REF!</definedName>
    <definedName name="___TZ213" localSheetId="31">#REF!</definedName>
    <definedName name="___TZ213" localSheetId="29">#REF!</definedName>
    <definedName name="___TZ213">#REF!</definedName>
    <definedName name="___TZ214" localSheetId="3">#REF!</definedName>
    <definedName name="___TZ214" localSheetId="30">#REF!</definedName>
    <definedName name="___TZ214" localSheetId="31">#REF!</definedName>
    <definedName name="___TZ214" localSheetId="29">#REF!</definedName>
    <definedName name="___TZ214">#REF!</definedName>
    <definedName name="___TZ216" localSheetId="3">#REF!</definedName>
    <definedName name="___TZ216" localSheetId="30">#REF!</definedName>
    <definedName name="___TZ216" localSheetId="31">#REF!</definedName>
    <definedName name="___TZ216" localSheetId="29">#REF!</definedName>
    <definedName name="___TZ216">#REF!</definedName>
    <definedName name="___TZ218" localSheetId="3">#REF!</definedName>
    <definedName name="___TZ218" localSheetId="30">#REF!</definedName>
    <definedName name="___TZ218" localSheetId="31">#REF!</definedName>
    <definedName name="___TZ218" localSheetId="29">#REF!</definedName>
    <definedName name="___TZ218">#REF!</definedName>
    <definedName name="___TZ225" localSheetId="3">#REF!</definedName>
    <definedName name="___TZ225" localSheetId="30">#REF!</definedName>
    <definedName name="___TZ225" localSheetId="31">#REF!</definedName>
    <definedName name="___TZ225" localSheetId="29">#REF!</definedName>
    <definedName name="___TZ225">#REF!</definedName>
    <definedName name="___TZ2610" localSheetId="3">#REF!</definedName>
    <definedName name="___TZ2610" localSheetId="30">#REF!</definedName>
    <definedName name="___TZ2610" localSheetId="31">#REF!</definedName>
    <definedName name="___TZ2610" localSheetId="29">#REF!</definedName>
    <definedName name="___TZ2610">#REF!</definedName>
    <definedName name="___TZ2612" localSheetId="3">#REF!</definedName>
    <definedName name="___TZ2612" localSheetId="30">#REF!</definedName>
    <definedName name="___TZ2612" localSheetId="31">#REF!</definedName>
    <definedName name="___TZ2612" localSheetId="29">#REF!</definedName>
    <definedName name="___TZ2612">#REF!</definedName>
    <definedName name="___TZ2616" localSheetId="3">#REF!</definedName>
    <definedName name="___TZ2616" localSheetId="30">#REF!</definedName>
    <definedName name="___TZ2616" localSheetId="31">#REF!</definedName>
    <definedName name="___TZ2616" localSheetId="29">#REF!</definedName>
    <definedName name="___TZ2616">#REF!</definedName>
    <definedName name="___TZ262" localSheetId="3">#REF!</definedName>
    <definedName name="___TZ262" localSheetId="30">#REF!</definedName>
    <definedName name="___TZ262" localSheetId="31">#REF!</definedName>
    <definedName name="___TZ262" localSheetId="29">#REF!</definedName>
    <definedName name="___TZ262">#REF!</definedName>
    <definedName name="___TZ263" localSheetId="3">#REF!</definedName>
    <definedName name="___TZ263" localSheetId="30">#REF!</definedName>
    <definedName name="___TZ263" localSheetId="31">#REF!</definedName>
    <definedName name="___TZ263" localSheetId="29">#REF!</definedName>
    <definedName name="___TZ263">#REF!</definedName>
    <definedName name="___TZ264" localSheetId="3">#REF!</definedName>
    <definedName name="___TZ264" localSheetId="30">#REF!</definedName>
    <definedName name="___TZ264" localSheetId="31">#REF!</definedName>
    <definedName name="___TZ264" localSheetId="29">#REF!</definedName>
    <definedName name="___TZ264">#REF!</definedName>
    <definedName name="___TZ266" localSheetId="3">#REF!</definedName>
    <definedName name="___TZ266" localSheetId="30">#REF!</definedName>
    <definedName name="___TZ266" localSheetId="31">#REF!</definedName>
    <definedName name="___TZ266" localSheetId="29">#REF!</definedName>
    <definedName name="___TZ266">#REF!</definedName>
    <definedName name="___TZ268" localSheetId="3">#REF!</definedName>
    <definedName name="___TZ268" localSheetId="30">#REF!</definedName>
    <definedName name="___TZ268" localSheetId="31">#REF!</definedName>
    <definedName name="___TZ268" localSheetId="29">#REF!</definedName>
    <definedName name="___TZ268">#REF!</definedName>
    <definedName name="___TZ323" localSheetId="3">#REF!</definedName>
    <definedName name="___TZ323">#REF!</definedName>
    <definedName name="___TZ324" localSheetId="3">#REF!</definedName>
    <definedName name="___TZ324">#REF!</definedName>
    <definedName name="___TZ32510" localSheetId="3">#REF!</definedName>
    <definedName name="___TZ32510" localSheetId="30">#REF!</definedName>
    <definedName name="___TZ32510" localSheetId="31">#REF!</definedName>
    <definedName name="___TZ32510" localSheetId="29">#REF!</definedName>
    <definedName name="___TZ32510">#REF!</definedName>
    <definedName name="___TZ32512" localSheetId="3">#REF!</definedName>
    <definedName name="___TZ32512" localSheetId="30">#REF!</definedName>
    <definedName name="___TZ32512" localSheetId="31">#REF!</definedName>
    <definedName name="___TZ32512" localSheetId="29">#REF!</definedName>
    <definedName name="___TZ32512">#REF!</definedName>
    <definedName name="___TZ3253" localSheetId="3">#REF!</definedName>
    <definedName name="___TZ3253" localSheetId="30">#REF!</definedName>
    <definedName name="___TZ3253" localSheetId="31">#REF!</definedName>
    <definedName name="___TZ3253" localSheetId="29">#REF!</definedName>
    <definedName name="___TZ3253">#REF!</definedName>
    <definedName name="___TZ3254" localSheetId="3">#REF!</definedName>
    <definedName name="___TZ3254" localSheetId="30">#REF!</definedName>
    <definedName name="___TZ3254" localSheetId="31">#REF!</definedName>
    <definedName name="___TZ3254" localSheetId="29">#REF!</definedName>
    <definedName name="___TZ3254">#REF!</definedName>
    <definedName name="___TZ3256" localSheetId="3">#REF!</definedName>
    <definedName name="___TZ3256" localSheetId="30">#REF!</definedName>
    <definedName name="___TZ3256" localSheetId="31">#REF!</definedName>
    <definedName name="___TZ3256" localSheetId="29">#REF!</definedName>
    <definedName name="___TZ3256">#REF!</definedName>
    <definedName name="___TZ3258" localSheetId="3">#REF!</definedName>
    <definedName name="___TZ3258" localSheetId="30">#REF!</definedName>
    <definedName name="___TZ3258" localSheetId="31">#REF!</definedName>
    <definedName name="___TZ3258" localSheetId="29">#REF!</definedName>
    <definedName name="___TZ3258">#REF!</definedName>
    <definedName name="___TZ4110" localSheetId="3">#REF!</definedName>
    <definedName name="___TZ4110" localSheetId="30">#REF!</definedName>
    <definedName name="___TZ4110" localSheetId="31">#REF!</definedName>
    <definedName name="___TZ4110" localSheetId="29">#REF!</definedName>
    <definedName name="___TZ4110">#REF!</definedName>
    <definedName name="___TZ4112" localSheetId="3">#REF!</definedName>
    <definedName name="___TZ4112" localSheetId="30">#REF!</definedName>
    <definedName name="___TZ4112" localSheetId="31">#REF!</definedName>
    <definedName name="___TZ4112" localSheetId="29">#REF!</definedName>
    <definedName name="___TZ4112">#REF!</definedName>
    <definedName name="___TZ414" localSheetId="3">#REF!</definedName>
    <definedName name="___TZ414" localSheetId="30">#REF!</definedName>
    <definedName name="___TZ414" localSheetId="31">#REF!</definedName>
    <definedName name="___TZ414" localSheetId="29">#REF!</definedName>
    <definedName name="___TZ414">#REF!</definedName>
    <definedName name="___TZ416" localSheetId="3">#REF!</definedName>
    <definedName name="___TZ416" localSheetId="30">#REF!</definedName>
    <definedName name="___TZ416" localSheetId="31">#REF!</definedName>
    <definedName name="___TZ416" localSheetId="29">#REF!</definedName>
    <definedName name="___TZ416">#REF!</definedName>
    <definedName name="___TZ418" localSheetId="3">#REF!</definedName>
    <definedName name="___TZ418" localSheetId="30">#REF!</definedName>
    <definedName name="___TZ418" localSheetId="31">#REF!</definedName>
    <definedName name="___TZ418" localSheetId="29">#REF!</definedName>
    <definedName name="___TZ418">#REF!</definedName>
    <definedName name="___u4" localSheetId="14" hidden="1">{"TAB1",#N/A,TRUE,"GENERAL";"TAB2",#N/A,TRUE,"GENERAL";"TAB3",#N/A,TRUE,"GENERAL";"TAB4",#N/A,TRUE,"GENERAL";"TAB5",#N/A,TRUE,"GENERAL"}</definedName>
    <definedName name="___u4" localSheetId="16" hidden="1">{"TAB1",#N/A,TRUE,"GENERAL";"TAB2",#N/A,TRUE,"GENERAL";"TAB3",#N/A,TRUE,"GENERAL";"TAB4",#N/A,TRUE,"GENERAL";"TAB5",#N/A,TRUE,"GENERAL"}</definedName>
    <definedName name="___u4" localSheetId="17" hidden="1">{"TAB1",#N/A,TRUE,"GENERAL";"TAB2",#N/A,TRUE,"GENERAL";"TAB3",#N/A,TRUE,"GENERAL";"TAB4",#N/A,TRUE,"GENERAL";"TAB5",#N/A,TRUE,"GENERAL"}</definedName>
    <definedName name="___u4" localSheetId="13" hidden="1">{"TAB1",#N/A,TRUE,"GENERAL";"TAB2",#N/A,TRUE,"GENERAL";"TAB3",#N/A,TRUE,"GENERAL";"TAB4",#N/A,TRUE,"GENERAL";"TAB5",#N/A,TRUE,"GENERAL"}</definedName>
    <definedName name="___u4" localSheetId="15" hidden="1">{"TAB1",#N/A,TRUE,"GENERAL";"TAB2",#N/A,TRUE,"GENERAL";"TAB3",#N/A,TRUE,"GENERAL";"TAB4",#N/A,TRUE,"GENERAL";"TAB5",#N/A,TRUE,"GENERAL"}</definedName>
    <definedName name="___u4" hidden="1">{"TAB1",#N/A,TRUE,"GENERAL";"TAB2",#N/A,TRUE,"GENERAL";"TAB3",#N/A,TRUE,"GENERAL";"TAB4",#N/A,TRUE,"GENERAL";"TAB5",#N/A,TRUE,"GENERAL"}</definedName>
    <definedName name="___u5" localSheetId="14" hidden="1">{"TAB1",#N/A,TRUE,"GENERAL";"TAB2",#N/A,TRUE,"GENERAL";"TAB3",#N/A,TRUE,"GENERAL";"TAB4",#N/A,TRUE,"GENERAL";"TAB5",#N/A,TRUE,"GENERAL"}</definedName>
    <definedName name="___u5" localSheetId="16" hidden="1">{"TAB1",#N/A,TRUE,"GENERAL";"TAB2",#N/A,TRUE,"GENERAL";"TAB3",#N/A,TRUE,"GENERAL";"TAB4",#N/A,TRUE,"GENERAL";"TAB5",#N/A,TRUE,"GENERAL"}</definedName>
    <definedName name="___u5" localSheetId="17" hidden="1">{"TAB1",#N/A,TRUE,"GENERAL";"TAB2",#N/A,TRUE,"GENERAL";"TAB3",#N/A,TRUE,"GENERAL";"TAB4",#N/A,TRUE,"GENERAL";"TAB5",#N/A,TRUE,"GENERAL"}</definedName>
    <definedName name="___u5" localSheetId="13" hidden="1">{"TAB1",#N/A,TRUE,"GENERAL";"TAB2",#N/A,TRUE,"GENERAL";"TAB3",#N/A,TRUE,"GENERAL";"TAB4",#N/A,TRUE,"GENERAL";"TAB5",#N/A,TRUE,"GENERAL"}</definedName>
    <definedName name="___u5" localSheetId="15" hidden="1">{"TAB1",#N/A,TRUE,"GENERAL";"TAB2",#N/A,TRUE,"GENERAL";"TAB3",#N/A,TRUE,"GENERAL";"TAB4",#N/A,TRUE,"GENERAL";"TAB5",#N/A,TRUE,"GENERAL"}</definedName>
    <definedName name="___u5" hidden="1">{"TAB1",#N/A,TRUE,"GENERAL";"TAB2",#N/A,TRUE,"GENERAL";"TAB3",#N/A,TRUE,"GENERAL";"TAB4",#N/A,TRUE,"GENERAL";"TAB5",#N/A,TRUE,"GENERAL"}</definedName>
    <definedName name="___u6" localSheetId="14" hidden="1">{"TAB1",#N/A,TRUE,"GENERAL";"TAB2",#N/A,TRUE,"GENERAL";"TAB3",#N/A,TRUE,"GENERAL";"TAB4",#N/A,TRUE,"GENERAL";"TAB5",#N/A,TRUE,"GENERAL"}</definedName>
    <definedName name="___u6" localSheetId="16" hidden="1">{"TAB1",#N/A,TRUE,"GENERAL";"TAB2",#N/A,TRUE,"GENERAL";"TAB3",#N/A,TRUE,"GENERAL";"TAB4",#N/A,TRUE,"GENERAL";"TAB5",#N/A,TRUE,"GENERAL"}</definedName>
    <definedName name="___u6" localSheetId="17" hidden="1">{"TAB1",#N/A,TRUE,"GENERAL";"TAB2",#N/A,TRUE,"GENERAL";"TAB3",#N/A,TRUE,"GENERAL";"TAB4",#N/A,TRUE,"GENERAL";"TAB5",#N/A,TRUE,"GENERAL"}</definedName>
    <definedName name="___u6" localSheetId="13" hidden="1">{"TAB1",#N/A,TRUE,"GENERAL";"TAB2",#N/A,TRUE,"GENERAL";"TAB3",#N/A,TRUE,"GENERAL";"TAB4",#N/A,TRUE,"GENERAL";"TAB5",#N/A,TRUE,"GENERAL"}</definedName>
    <definedName name="___u6" localSheetId="15" hidden="1">{"TAB1",#N/A,TRUE,"GENERAL";"TAB2",#N/A,TRUE,"GENERAL";"TAB3",#N/A,TRUE,"GENERAL";"TAB4",#N/A,TRUE,"GENERAL";"TAB5",#N/A,TRUE,"GENERAL"}</definedName>
    <definedName name="___u6" hidden="1">{"TAB1",#N/A,TRUE,"GENERAL";"TAB2",#N/A,TRUE,"GENERAL";"TAB3",#N/A,TRUE,"GENERAL";"TAB4",#N/A,TRUE,"GENERAL";"TAB5",#N/A,TRUE,"GENERAL"}</definedName>
    <definedName name="___u7" localSheetId="14" hidden="1">{"via1",#N/A,TRUE,"general";"via2",#N/A,TRUE,"general";"via3",#N/A,TRUE,"general"}</definedName>
    <definedName name="___u7" localSheetId="16" hidden="1">{"via1",#N/A,TRUE,"general";"via2",#N/A,TRUE,"general";"via3",#N/A,TRUE,"general"}</definedName>
    <definedName name="___u7" localSheetId="17" hidden="1">{"via1",#N/A,TRUE,"general";"via2",#N/A,TRUE,"general";"via3",#N/A,TRUE,"general"}</definedName>
    <definedName name="___u7" localSheetId="13" hidden="1">{"via1",#N/A,TRUE,"general";"via2",#N/A,TRUE,"general";"via3",#N/A,TRUE,"general"}</definedName>
    <definedName name="___u7" localSheetId="15" hidden="1">{"via1",#N/A,TRUE,"general";"via2",#N/A,TRUE,"general";"via3",#N/A,TRUE,"general"}</definedName>
    <definedName name="___u7" hidden="1">{"via1",#N/A,TRUE,"general";"via2",#N/A,TRUE,"general";"via3",#N/A,TRUE,"general"}</definedName>
    <definedName name="___u8" localSheetId="14" hidden="1">{"TAB1",#N/A,TRUE,"GENERAL";"TAB2",#N/A,TRUE,"GENERAL";"TAB3",#N/A,TRUE,"GENERAL";"TAB4",#N/A,TRUE,"GENERAL";"TAB5",#N/A,TRUE,"GENERAL"}</definedName>
    <definedName name="___u8" localSheetId="16" hidden="1">{"TAB1",#N/A,TRUE,"GENERAL";"TAB2",#N/A,TRUE,"GENERAL";"TAB3",#N/A,TRUE,"GENERAL";"TAB4",#N/A,TRUE,"GENERAL";"TAB5",#N/A,TRUE,"GENERAL"}</definedName>
    <definedName name="___u8" localSheetId="17" hidden="1">{"TAB1",#N/A,TRUE,"GENERAL";"TAB2",#N/A,TRUE,"GENERAL";"TAB3",#N/A,TRUE,"GENERAL";"TAB4",#N/A,TRUE,"GENERAL";"TAB5",#N/A,TRUE,"GENERAL"}</definedName>
    <definedName name="___u8" localSheetId="13" hidden="1">{"TAB1",#N/A,TRUE,"GENERAL";"TAB2",#N/A,TRUE,"GENERAL";"TAB3",#N/A,TRUE,"GENERAL";"TAB4",#N/A,TRUE,"GENERAL";"TAB5",#N/A,TRUE,"GENERAL"}</definedName>
    <definedName name="___u8" localSheetId="15" hidden="1">{"TAB1",#N/A,TRUE,"GENERAL";"TAB2",#N/A,TRUE,"GENERAL";"TAB3",#N/A,TRUE,"GENERAL";"TAB4",#N/A,TRUE,"GENERAL";"TAB5",#N/A,TRUE,"GENERAL"}</definedName>
    <definedName name="___u8" hidden="1">{"TAB1",#N/A,TRUE,"GENERAL";"TAB2",#N/A,TRUE,"GENERAL";"TAB3",#N/A,TRUE,"GENERAL";"TAB4",#N/A,TRUE,"GENERAL";"TAB5",#N/A,TRUE,"GENERAL"}</definedName>
    <definedName name="___u9" localSheetId="14" hidden="1">{"TAB1",#N/A,TRUE,"GENERAL";"TAB2",#N/A,TRUE,"GENERAL";"TAB3",#N/A,TRUE,"GENERAL";"TAB4",#N/A,TRUE,"GENERAL";"TAB5",#N/A,TRUE,"GENERAL"}</definedName>
    <definedName name="___u9" localSheetId="16" hidden="1">{"TAB1",#N/A,TRUE,"GENERAL";"TAB2",#N/A,TRUE,"GENERAL";"TAB3",#N/A,TRUE,"GENERAL";"TAB4",#N/A,TRUE,"GENERAL";"TAB5",#N/A,TRUE,"GENERAL"}</definedName>
    <definedName name="___u9" localSheetId="17" hidden="1">{"TAB1",#N/A,TRUE,"GENERAL";"TAB2",#N/A,TRUE,"GENERAL";"TAB3",#N/A,TRUE,"GENERAL";"TAB4",#N/A,TRUE,"GENERAL";"TAB5",#N/A,TRUE,"GENERAL"}</definedName>
    <definedName name="___u9" localSheetId="13" hidden="1">{"TAB1",#N/A,TRUE,"GENERAL";"TAB2",#N/A,TRUE,"GENERAL";"TAB3",#N/A,TRUE,"GENERAL";"TAB4",#N/A,TRUE,"GENERAL";"TAB5",#N/A,TRUE,"GENERAL"}</definedName>
    <definedName name="___u9" localSheetId="15" hidden="1">{"TAB1",#N/A,TRUE,"GENERAL";"TAB2",#N/A,TRUE,"GENERAL";"TAB3",#N/A,TRUE,"GENERAL";"TAB4",#N/A,TRUE,"GENERAL";"TAB5",#N/A,TRUE,"GENERAL"}</definedName>
    <definedName name="___u9" hidden="1">{"TAB1",#N/A,TRUE,"GENERAL";"TAB2",#N/A,TRUE,"GENERAL";"TAB3",#N/A,TRUE,"GENERAL";"TAB4",#N/A,TRUE,"GENERAL";"TAB5",#N/A,TRUE,"GENERAL"}</definedName>
    <definedName name="___UDD06" localSheetId="3">#REF!</definedName>
    <definedName name="___UDD06" localSheetId="30">#REF!</definedName>
    <definedName name="___UDD06" localSheetId="31">#REF!</definedName>
    <definedName name="___UDD06" localSheetId="29">#REF!</definedName>
    <definedName name="___UDD06">#REF!</definedName>
    <definedName name="___UDD08" localSheetId="3">#REF!</definedName>
    <definedName name="___UDD08" localSheetId="30">#REF!</definedName>
    <definedName name="___UDD08" localSheetId="31">#REF!</definedName>
    <definedName name="___UDD08" localSheetId="29">#REF!</definedName>
    <definedName name="___UDD08">#REF!</definedName>
    <definedName name="___UNI32" localSheetId="3">#REF!</definedName>
    <definedName name="___UNI32" localSheetId="30">#REF!</definedName>
    <definedName name="___UNI32" localSheetId="31">#REF!</definedName>
    <definedName name="___UNI32" localSheetId="29">#REF!</definedName>
    <definedName name="___UNI32">#REF!</definedName>
    <definedName name="___ur7" localSheetId="14" hidden="1">{"TAB1",#N/A,TRUE,"GENERAL";"TAB2",#N/A,TRUE,"GENERAL";"TAB3",#N/A,TRUE,"GENERAL";"TAB4",#N/A,TRUE,"GENERAL";"TAB5",#N/A,TRUE,"GENERAL"}</definedName>
    <definedName name="___ur7" localSheetId="16" hidden="1">{"TAB1",#N/A,TRUE,"GENERAL";"TAB2",#N/A,TRUE,"GENERAL";"TAB3",#N/A,TRUE,"GENERAL";"TAB4",#N/A,TRUE,"GENERAL";"TAB5",#N/A,TRUE,"GENERAL"}</definedName>
    <definedName name="___ur7" localSheetId="17" hidden="1">{"TAB1",#N/A,TRUE,"GENERAL";"TAB2",#N/A,TRUE,"GENERAL";"TAB3",#N/A,TRUE,"GENERAL";"TAB4",#N/A,TRUE,"GENERAL";"TAB5",#N/A,TRUE,"GENERAL"}</definedName>
    <definedName name="___ur7" localSheetId="13" hidden="1">{"TAB1",#N/A,TRUE,"GENERAL";"TAB2",#N/A,TRUE,"GENERAL";"TAB3",#N/A,TRUE,"GENERAL";"TAB4",#N/A,TRUE,"GENERAL";"TAB5",#N/A,TRUE,"GENERAL"}</definedName>
    <definedName name="___ur7" localSheetId="15" hidden="1">{"TAB1",#N/A,TRUE,"GENERAL";"TAB2",#N/A,TRUE,"GENERAL";"TAB3",#N/A,TRUE,"GENERAL";"TAB4",#N/A,TRUE,"GENERAL";"TAB5",#N/A,TRUE,"GENERAL"}</definedName>
    <definedName name="___ur7" hidden="1">{"TAB1",#N/A,TRUE,"GENERAL";"TAB2",#N/A,TRUE,"GENERAL";"TAB3",#N/A,TRUE,"GENERAL";"TAB4",#N/A,TRUE,"GENERAL";"TAB5",#N/A,TRUE,"GENERAL"}</definedName>
    <definedName name="___v2" localSheetId="14" hidden="1">{"via1",#N/A,TRUE,"general";"via2",#N/A,TRUE,"general";"via3",#N/A,TRUE,"general"}</definedName>
    <definedName name="___v2" localSheetId="16" hidden="1">{"via1",#N/A,TRUE,"general";"via2",#N/A,TRUE,"general";"via3",#N/A,TRUE,"general"}</definedName>
    <definedName name="___v2" localSheetId="17" hidden="1">{"via1",#N/A,TRUE,"general";"via2",#N/A,TRUE,"general";"via3",#N/A,TRUE,"general"}</definedName>
    <definedName name="___v2" localSheetId="13" hidden="1">{"via1",#N/A,TRUE,"general";"via2",#N/A,TRUE,"general";"via3",#N/A,TRUE,"general"}</definedName>
    <definedName name="___v2" localSheetId="15" hidden="1">{"via1",#N/A,TRUE,"general";"via2",#N/A,TRUE,"general";"via3",#N/A,TRUE,"general"}</definedName>
    <definedName name="___v2" hidden="1">{"via1",#N/A,TRUE,"general";"via2",#N/A,TRUE,"general";"via3",#N/A,TRUE,"general"}</definedName>
    <definedName name="___v3" localSheetId="14" hidden="1">{"TAB1",#N/A,TRUE,"GENERAL";"TAB2",#N/A,TRUE,"GENERAL";"TAB3",#N/A,TRUE,"GENERAL";"TAB4",#N/A,TRUE,"GENERAL";"TAB5",#N/A,TRUE,"GENERAL"}</definedName>
    <definedName name="___v3" localSheetId="16" hidden="1">{"TAB1",#N/A,TRUE,"GENERAL";"TAB2",#N/A,TRUE,"GENERAL";"TAB3",#N/A,TRUE,"GENERAL";"TAB4",#N/A,TRUE,"GENERAL";"TAB5",#N/A,TRUE,"GENERAL"}</definedName>
    <definedName name="___v3" localSheetId="17" hidden="1">{"TAB1",#N/A,TRUE,"GENERAL";"TAB2",#N/A,TRUE,"GENERAL";"TAB3",#N/A,TRUE,"GENERAL";"TAB4",#N/A,TRUE,"GENERAL";"TAB5",#N/A,TRUE,"GENERAL"}</definedName>
    <definedName name="___v3" localSheetId="13" hidden="1">{"TAB1",#N/A,TRUE,"GENERAL";"TAB2",#N/A,TRUE,"GENERAL";"TAB3",#N/A,TRUE,"GENERAL";"TAB4",#N/A,TRUE,"GENERAL";"TAB5",#N/A,TRUE,"GENERAL"}</definedName>
    <definedName name="___v3" localSheetId="15" hidden="1">{"TAB1",#N/A,TRUE,"GENERAL";"TAB2",#N/A,TRUE,"GENERAL";"TAB3",#N/A,TRUE,"GENERAL";"TAB4",#N/A,TRUE,"GENERAL";"TAB5",#N/A,TRUE,"GENERAL"}</definedName>
    <definedName name="___v3" hidden="1">{"TAB1",#N/A,TRUE,"GENERAL";"TAB2",#N/A,TRUE,"GENERAL";"TAB3",#N/A,TRUE,"GENERAL";"TAB4",#N/A,TRUE,"GENERAL";"TAB5",#N/A,TRUE,"GENERAL"}</definedName>
    <definedName name="___v4" localSheetId="14" hidden="1">{"TAB1",#N/A,TRUE,"GENERAL";"TAB2",#N/A,TRUE,"GENERAL";"TAB3",#N/A,TRUE,"GENERAL";"TAB4",#N/A,TRUE,"GENERAL";"TAB5",#N/A,TRUE,"GENERAL"}</definedName>
    <definedName name="___v4" localSheetId="16" hidden="1">{"TAB1",#N/A,TRUE,"GENERAL";"TAB2",#N/A,TRUE,"GENERAL";"TAB3",#N/A,TRUE,"GENERAL";"TAB4",#N/A,TRUE,"GENERAL";"TAB5",#N/A,TRUE,"GENERAL"}</definedName>
    <definedName name="___v4" localSheetId="17" hidden="1">{"TAB1",#N/A,TRUE,"GENERAL";"TAB2",#N/A,TRUE,"GENERAL";"TAB3",#N/A,TRUE,"GENERAL";"TAB4",#N/A,TRUE,"GENERAL";"TAB5",#N/A,TRUE,"GENERAL"}</definedName>
    <definedName name="___v4" localSheetId="13" hidden="1">{"TAB1",#N/A,TRUE,"GENERAL";"TAB2",#N/A,TRUE,"GENERAL";"TAB3",#N/A,TRUE,"GENERAL";"TAB4",#N/A,TRUE,"GENERAL";"TAB5",#N/A,TRUE,"GENERAL"}</definedName>
    <definedName name="___v4" localSheetId="15" hidden="1">{"TAB1",#N/A,TRUE,"GENERAL";"TAB2",#N/A,TRUE,"GENERAL";"TAB3",#N/A,TRUE,"GENERAL";"TAB4",#N/A,TRUE,"GENERAL";"TAB5",#N/A,TRUE,"GENERAL"}</definedName>
    <definedName name="___v4" hidden="1">{"TAB1",#N/A,TRUE,"GENERAL";"TAB2",#N/A,TRUE,"GENERAL";"TAB3",#N/A,TRUE,"GENERAL";"TAB4",#N/A,TRUE,"GENERAL";"TAB5",#N/A,TRUE,"GENERAL"}</definedName>
    <definedName name="___v5" localSheetId="14" hidden="1">{"TAB1",#N/A,TRUE,"GENERAL";"TAB2",#N/A,TRUE,"GENERAL";"TAB3",#N/A,TRUE,"GENERAL";"TAB4",#N/A,TRUE,"GENERAL";"TAB5",#N/A,TRUE,"GENERAL"}</definedName>
    <definedName name="___v5" localSheetId="16" hidden="1">{"TAB1",#N/A,TRUE,"GENERAL";"TAB2",#N/A,TRUE,"GENERAL";"TAB3",#N/A,TRUE,"GENERAL";"TAB4",#N/A,TRUE,"GENERAL";"TAB5",#N/A,TRUE,"GENERAL"}</definedName>
    <definedName name="___v5" localSheetId="17" hidden="1">{"TAB1",#N/A,TRUE,"GENERAL";"TAB2",#N/A,TRUE,"GENERAL";"TAB3",#N/A,TRUE,"GENERAL";"TAB4",#N/A,TRUE,"GENERAL";"TAB5",#N/A,TRUE,"GENERAL"}</definedName>
    <definedName name="___v5" localSheetId="13" hidden="1">{"TAB1",#N/A,TRUE,"GENERAL";"TAB2",#N/A,TRUE,"GENERAL";"TAB3",#N/A,TRUE,"GENERAL";"TAB4",#N/A,TRUE,"GENERAL";"TAB5",#N/A,TRUE,"GENERAL"}</definedName>
    <definedName name="___v5" localSheetId="15" hidden="1">{"TAB1",#N/A,TRUE,"GENERAL";"TAB2",#N/A,TRUE,"GENERAL";"TAB3",#N/A,TRUE,"GENERAL";"TAB4",#N/A,TRUE,"GENERAL";"TAB5",#N/A,TRUE,"GENERAL"}</definedName>
    <definedName name="___v5" hidden="1">{"TAB1",#N/A,TRUE,"GENERAL";"TAB2",#N/A,TRUE,"GENERAL";"TAB3",#N/A,TRUE,"GENERAL";"TAB4",#N/A,TRUE,"GENERAL";"TAB5",#N/A,TRUE,"GENERAL"}</definedName>
    <definedName name="___v6" localSheetId="14" hidden="1">{"TAB1",#N/A,TRUE,"GENERAL";"TAB2",#N/A,TRUE,"GENERAL";"TAB3",#N/A,TRUE,"GENERAL";"TAB4",#N/A,TRUE,"GENERAL";"TAB5",#N/A,TRUE,"GENERAL"}</definedName>
    <definedName name="___v6" localSheetId="16" hidden="1">{"TAB1",#N/A,TRUE,"GENERAL";"TAB2",#N/A,TRUE,"GENERAL";"TAB3",#N/A,TRUE,"GENERAL";"TAB4",#N/A,TRUE,"GENERAL";"TAB5",#N/A,TRUE,"GENERAL"}</definedName>
    <definedName name="___v6" localSheetId="17" hidden="1">{"TAB1",#N/A,TRUE,"GENERAL";"TAB2",#N/A,TRUE,"GENERAL";"TAB3",#N/A,TRUE,"GENERAL";"TAB4",#N/A,TRUE,"GENERAL";"TAB5",#N/A,TRUE,"GENERAL"}</definedName>
    <definedName name="___v6" localSheetId="13" hidden="1">{"TAB1",#N/A,TRUE,"GENERAL";"TAB2",#N/A,TRUE,"GENERAL";"TAB3",#N/A,TRUE,"GENERAL";"TAB4",#N/A,TRUE,"GENERAL";"TAB5",#N/A,TRUE,"GENERAL"}</definedName>
    <definedName name="___v6" localSheetId="15" hidden="1">{"TAB1",#N/A,TRUE,"GENERAL";"TAB2",#N/A,TRUE,"GENERAL";"TAB3",#N/A,TRUE,"GENERAL";"TAB4",#N/A,TRUE,"GENERAL";"TAB5",#N/A,TRUE,"GENERAL"}</definedName>
    <definedName name="___v6" hidden="1">{"TAB1",#N/A,TRUE,"GENERAL";"TAB2",#N/A,TRUE,"GENERAL";"TAB3",#N/A,TRUE,"GENERAL";"TAB4",#N/A,TRUE,"GENERAL";"TAB5",#N/A,TRUE,"GENERAL"}</definedName>
    <definedName name="___v7" localSheetId="14" hidden="1">{"via1",#N/A,TRUE,"general";"via2",#N/A,TRUE,"general";"via3",#N/A,TRUE,"general"}</definedName>
    <definedName name="___v7" localSheetId="16" hidden="1">{"via1",#N/A,TRUE,"general";"via2",#N/A,TRUE,"general";"via3",#N/A,TRUE,"general"}</definedName>
    <definedName name="___v7" localSheetId="17" hidden="1">{"via1",#N/A,TRUE,"general";"via2",#N/A,TRUE,"general";"via3",#N/A,TRUE,"general"}</definedName>
    <definedName name="___v7" localSheetId="13" hidden="1">{"via1",#N/A,TRUE,"general";"via2",#N/A,TRUE,"general";"via3",#N/A,TRUE,"general"}</definedName>
    <definedName name="___v7" localSheetId="15" hidden="1">{"via1",#N/A,TRUE,"general";"via2",#N/A,TRUE,"general";"via3",#N/A,TRUE,"general"}</definedName>
    <definedName name="___v7" hidden="1">{"via1",#N/A,TRUE,"general";"via2",#N/A,TRUE,"general";"via3",#N/A,TRUE,"general"}</definedName>
    <definedName name="___v8" localSheetId="14" hidden="1">{"TAB1",#N/A,TRUE,"GENERAL";"TAB2",#N/A,TRUE,"GENERAL";"TAB3",#N/A,TRUE,"GENERAL";"TAB4",#N/A,TRUE,"GENERAL";"TAB5",#N/A,TRUE,"GENERAL"}</definedName>
    <definedName name="___v8" localSheetId="16" hidden="1">{"TAB1",#N/A,TRUE,"GENERAL";"TAB2",#N/A,TRUE,"GENERAL";"TAB3",#N/A,TRUE,"GENERAL";"TAB4",#N/A,TRUE,"GENERAL";"TAB5",#N/A,TRUE,"GENERAL"}</definedName>
    <definedName name="___v8" localSheetId="17" hidden="1">{"TAB1",#N/A,TRUE,"GENERAL";"TAB2",#N/A,TRUE,"GENERAL";"TAB3",#N/A,TRUE,"GENERAL";"TAB4",#N/A,TRUE,"GENERAL";"TAB5",#N/A,TRUE,"GENERAL"}</definedName>
    <definedName name="___v8" localSheetId="13" hidden="1">{"TAB1",#N/A,TRUE,"GENERAL";"TAB2",#N/A,TRUE,"GENERAL";"TAB3",#N/A,TRUE,"GENERAL";"TAB4",#N/A,TRUE,"GENERAL";"TAB5",#N/A,TRUE,"GENERAL"}</definedName>
    <definedName name="___v8" localSheetId="15" hidden="1">{"TAB1",#N/A,TRUE,"GENERAL";"TAB2",#N/A,TRUE,"GENERAL";"TAB3",#N/A,TRUE,"GENERAL";"TAB4",#N/A,TRUE,"GENERAL";"TAB5",#N/A,TRUE,"GENERAL"}</definedName>
    <definedName name="___v8" hidden="1">{"TAB1",#N/A,TRUE,"GENERAL";"TAB2",#N/A,TRUE,"GENERAL";"TAB3",#N/A,TRUE,"GENERAL";"TAB4",#N/A,TRUE,"GENERAL";"TAB5",#N/A,TRUE,"GENERAL"}</definedName>
    <definedName name="___v9" localSheetId="14" hidden="1">{"TAB1",#N/A,TRUE,"GENERAL";"TAB2",#N/A,TRUE,"GENERAL";"TAB3",#N/A,TRUE,"GENERAL";"TAB4",#N/A,TRUE,"GENERAL";"TAB5",#N/A,TRUE,"GENERAL"}</definedName>
    <definedName name="___v9" localSheetId="16" hidden="1">{"TAB1",#N/A,TRUE,"GENERAL";"TAB2",#N/A,TRUE,"GENERAL";"TAB3",#N/A,TRUE,"GENERAL";"TAB4",#N/A,TRUE,"GENERAL";"TAB5",#N/A,TRUE,"GENERAL"}</definedName>
    <definedName name="___v9" localSheetId="17" hidden="1">{"TAB1",#N/A,TRUE,"GENERAL";"TAB2",#N/A,TRUE,"GENERAL";"TAB3",#N/A,TRUE,"GENERAL";"TAB4",#N/A,TRUE,"GENERAL";"TAB5",#N/A,TRUE,"GENERAL"}</definedName>
    <definedName name="___v9" localSheetId="13" hidden="1">{"TAB1",#N/A,TRUE,"GENERAL";"TAB2",#N/A,TRUE,"GENERAL";"TAB3",#N/A,TRUE,"GENERAL";"TAB4",#N/A,TRUE,"GENERAL";"TAB5",#N/A,TRUE,"GENERAL"}</definedName>
    <definedName name="___v9" localSheetId="15" hidden="1">{"TAB1",#N/A,TRUE,"GENERAL";"TAB2",#N/A,TRUE,"GENERAL";"TAB3",#N/A,TRUE,"GENERAL";"TAB4",#N/A,TRUE,"GENERAL";"TAB5",#N/A,TRUE,"GENERAL"}</definedName>
    <definedName name="___v9" hidden="1">{"TAB1",#N/A,TRUE,"GENERAL";"TAB2",#N/A,TRUE,"GENERAL";"TAB3",#N/A,TRUE,"GENERAL";"TAB4",#N/A,TRUE,"GENERAL";"TAB5",#N/A,TRUE,"GENERAL"}</definedName>
    <definedName name="___vfv4" localSheetId="14" hidden="1">{"via1",#N/A,TRUE,"general";"via2",#N/A,TRUE,"general";"via3",#N/A,TRUE,"general"}</definedName>
    <definedName name="___vfv4" localSheetId="16" hidden="1">{"via1",#N/A,TRUE,"general";"via2",#N/A,TRUE,"general";"via3",#N/A,TRUE,"general"}</definedName>
    <definedName name="___vfv4" localSheetId="17" hidden="1">{"via1",#N/A,TRUE,"general";"via2",#N/A,TRUE,"general";"via3",#N/A,TRUE,"general"}</definedName>
    <definedName name="___vfv4" localSheetId="13" hidden="1">{"via1",#N/A,TRUE,"general";"via2",#N/A,TRUE,"general";"via3",#N/A,TRUE,"general"}</definedName>
    <definedName name="___vfv4" localSheetId="15" hidden="1">{"via1",#N/A,TRUE,"general";"via2",#N/A,TRUE,"general";"via3",#N/A,TRUE,"general"}</definedName>
    <definedName name="___vfv4" hidden="1">{"via1",#N/A,TRUE,"general";"via2",#N/A,TRUE,"general";"via3",#N/A,TRUE,"general"}</definedName>
    <definedName name="___x1" localSheetId="14" hidden="1">{"TAB1",#N/A,TRUE,"GENERAL";"TAB2",#N/A,TRUE,"GENERAL";"TAB3",#N/A,TRUE,"GENERAL";"TAB4",#N/A,TRUE,"GENERAL";"TAB5",#N/A,TRUE,"GENERAL"}</definedName>
    <definedName name="___x1" localSheetId="16" hidden="1">{"TAB1",#N/A,TRUE,"GENERAL";"TAB2",#N/A,TRUE,"GENERAL";"TAB3",#N/A,TRUE,"GENERAL";"TAB4",#N/A,TRUE,"GENERAL";"TAB5",#N/A,TRUE,"GENERAL"}</definedName>
    <definedName name="___x1" localSheetId="17" hidden="1">{"TAB1",#N/A,TRUE,"GENERAL";"TAB2",#N/A,TRUE,"GENERAL";"TAB3",#N/A,TRUE,"GENERAL";"TAB4",#N/A,TRUE,"GENERAL";"TAB5",#N/A,TRUE,"GENERAL"}</definedName>
    <definedName name="___x1" localSheetId="13" hidden="1">{"TAB1",#N/A,TRUE,"GENERAL";"TAB2",#N/A,TRUE,"GENERAL";"TAB3",#N/A,TRUE,"GENERAL";"TAB4",#N/A,TRUE,"GENERAL";"TAB5",#N/A,TRUE,"GENERAL"}</definedName>
    <definedName name="___x1" localSheetId="15" hidden="1">{"TAB1",#N/A,TRUE,"GENERAL";"TAB2",#N/A,TRUE,"GENERAL";"TAB3",#N/A,TRUE,"GENERAL";"TAB4",#N/A,TRUE,"GENERAL";"TAB5",#N/A,TRUE,"GENERAL"}</definedName>
    <definedName name="___x1" hidden="1">{"TAB1",#N/A,TRUE,"GENERAL";"TAB2",#N/A,TRUE,"GENERAL";"TAB3",#N/A,TRUE,"GENERAL";"TAB4",#N/A,TRUE,"GENERAL";"TAB5",#N/A,TRUE,"GENERAL"}</definedName>
    <definedName name="___x2" localSheetId="14" hidden="1">{"via1",#N/A,TRUE,"general";"via2",#N/A,TRUE,"general";"via3",#N/A,TRUE,"general"}</definedName>
    <definedName name="___x2" localSheetId="16" hidden="1">{"via1",#N/A,TRUE,"general";"via2",#N/A,TRUE,"general";"via3",#N/A,TRUE,"general"}</definedName>
    <definedName name="___x2" localSheetId="17" hidden="1">{"via1",#N/A,TRUE,"general";"via2",#N/A,TRUE,"general";"via3",#N/A,TRUE,"general"}</definedName>
    <definedName name="___x2" localSheetId="13" hidden="1">{"via1",#N/A,TRUE,"general";"via2",#N/A,TRUE,"general";"via3",#N/A,TRUE,"general"}</definedName>
    <definedName name="___x2" localSheetId="15" hidden="1">{"via1",#N/A,TRUE,"general";"via2",#N/A,TRUE,"general";"via3",#N/A,TRUE,"general"}</definedName>
    <definedName name="___x2" hidden="1">{"via1",#N/A,TRUE,"general";"via2",#N/A,TRUE,"general";"via3",#N/A,TRUE,"general"}</definedName>
    <definedName name="___x3" localSheetId="14" hidden="1">{"via1",#N/A,TRUE,"general";"via2",#N/A,TRUE,"general";"via3",#N/A,TRUE,"general"}</definedName>
    <definedName name="___x3" localSheetId="16" hidden="1">{"via1",#N/A,TRUE,"general";"via2",#N/A,TRUE,"general";"via3",#N/A,TRUE,"general"}</definedName>
    <definedName name="___x3" localSheetId="17" hidden="1">{"via1",#N/A,TRUE,"general";"via2",#N/A,TRUE,"general";"via3",#N/A,TRUE,"general"}</definedName>
    <definedName name="___x3" localSheetId="13" hidden="1">{"via1",#N/A,TRUE,"general";"via2",#N/A,TRUE,"general";"via3",#N/A,TRUE,"general"}</definedName>
    <definedName name="___x3" localSheetId="15" hidden="1">{"via1",#N/A,TRUE,"general";"via2",#N/A,TRUE,"general";"via3",#N/A,TRUE,"general"}</definedName>
    <definedName name="___x3" hidden="1">{"via1",#N/A,TRUE,"general";"via2",#N/A,TRUE,"general";"via3",#N/A,TRUE,"general"}</definedName>
    <definedName name="___x4" localSheetId="14" hidden="1">{"via1",#N/A,TRUE,"general";"via2",#N/A,TRUE,"general";"via3",#N/A,TRUE,"general"}</definedName>
    <definedName name="___x4" localSheetId="16" hidden="1">{"via1",#N/A,TRUE,"general";"via2",#N/A,TRUE,"general";"via3",#N/A,TRUE,"general"}</definedName>
    <definedName name="___x4" localSheetId="17" hidden="1">{"via1",#N/A,TRUE,"general";"via2",#N/A,TRUE,"general";"via3",#N/A,TRUE,"general"}</definedName>
    <definedName name="___x4" localSheetId="13" hidden="1">{"via1",#N/A,TRUE,"general";"via2",#N/A,TRUE,"general";"via3",#N/A,TRUE,"general"}</definedName>
    <definedName name="___x4" localSheetId="15" hidden="1">{"via1",#N/A,TRUE,"general";"via2",#N/A,TRUE,"general";"via3",#N/A,TRUE,"general"}</definedName>
    <definedName name="___x4" hidden="1">{"via1",#N/A,TRUE,"general";"via2",#N/A,TRUE,"general";"via3",#N/A,TRUE,"general"}</definedName>
    <definedName name="___x5" localSheetId="14" hidden="1">{"TAB1",#N/A,TRUE,"GENERAL";"TAB2",#N/A,TRUE,"GENERAL";"TAB3",#N/A,TRUE,"GENERAL";"TAB4",#N/A,TRUE,"GENERAL";"TAB5",#N/A,TRUE,"GENERAL"}</definedName>
    <definedName name="___x5" localSheetId="16" hidden="1">{"TAB1",#N/A,TRUE,"GENERAL";"TAB2",#N/A,TRUE,"GENERAL";"TAB3",#N/A,TRUE,"GENERAL";"TAB4",#N/A,TRUE,"GENERAL";"TAB5",#N/A,TRUE,"GENERAL"}</definedName>
    <definedName name="___x5" localSheetId="17" hidden="1">{"TAB1",#N/A,TRUE,"GENERAL";"TAB2",#N/A,TRUE,"GENERAL";"TAB3",#N/A,TRUE,"GENERAL";"TAB4",#N/A,TRUE,"GENERAL";"TAB5",#N/A,TRUE,"GENERAL"}</definedName>
    <definedName name="___x5" localSheetId="13" hidden="1">{"TAB1",#N/A,TRUE,"GENERAL";"TAB2",#N/A,TRUE,"GENERAL";"TAB3",#N/A,TRUE,"GENERAL";"TAB4",#N/A,TRUE,"GENERAL";"TAB5",#N/A,TRUE,"GENERAL"}</definedName>
    <definedName name="___x5" localSheetId="15" hidden="1">{"TAB1",#N/A,TRUE,"GENERAL";"TAB2",#N/A,TRUE,"GENERAL";"TAB3",#N/A,TRUE,"GENERAL";"TAB4",#N/A,TRUE,"GENERAL";"TAB5",#N/A,TRUE,"GENERAL"}</definedName>
    <definedName name="___x5" hidden="1">{"TAB1",#N/A,TRUE,"GENERAL";"TAB2",#N/A,TRUE,"GENERAL";"TAB3",#N/A,TRUE,"GENERAL";"TAB4",#N/A,TRUE,"GENERAL";"TAB5",#N/A,TRUE,"GENERAL"}</definedName>
    <definedName name="___x6" localSheetId="14" hidden="1">{"TAB1",#N/A,TRUE,"GENERAL";"TAB2",#N/A,TRUE,"GENERAL";"TAB3",#N/A,TRUE,"GENERAL";"TAB4",#N/A,TRUE,"GENERAL";"TAB5",#N/A,TRUE,"GENERAL"}</definedName>
    <definedName name="___x6" localSheetId="16" hidden="1">{"TAB1",#N/A,TRUE,"GENERAL";"TAB2",#N/A,TRUE,"GENERAL";"TAB3",#N/A,TRUE,"GENERAL";"TAB4",#N/A,TRUE,"GENERAL";"TAB5",#N/A,TRUE,"GENERAL"}</definedName>
    <definedName name="___x6" localSheetId="17" hidden="1">{"TAB1",#N/A,TRUE,"GENERAL";"TAB2",#N/A,TRUE,"GENERAL";"TAB3",#N/A,TRUE,"GENERAL";"TAB4",#N/A,TRUE,"GENERAL";"TAB5",#N/A,TRUE,"GENERAL"}</definedName>
    <definedName name="___x6" localSheetId="13" hidden="1">{"TAB1",#N/A,TRUE,"GENERAL";"TAB2",#N/A,TRUE,"GENERAL";"TAB3",#N/A,TRUE,"GENERAL";"TAB4",#N/A,TRUE,"GENERAL";"TAB5",#N/A,TRUE,"GENERAL"}</definedName>
    <definedName name="___x6" localSheetId="15" hidden="1">{"TAB1",#N/A,TRUE,"GENERAL";"TAB2",#N/A,TRUE,"GENERAL";"TAB3",#N/A,TRUE,"GENERAL";"TAB4",#N/A,TRUE,"GENERAL";"TAB5",#N/A,TRUE,"GENERAL"}</definedName>
    <definedName name="___x6" hidden="1">{"TAB1",#N/A,TRUE,"GENERAL";"TAB2",#N/A,TRUE,"GENERAL";"TAB3",#N/A,TRUE,"GENERAL";"TAB4",#N/A,TRUE,"GENERAL";"TAB5",#N/A,TRUE,"GENERAL"}</definedName>
    <definedName name="___x7" localSheetId="14" hidden="1">{"TAB1",#N/A,TRUE,"GENERAL";"TAB2",#N/A,TRUE,"GENERAL";"TAB3",#N/A,TRUE,"GENERAL";"TAB4",#N/A,TRUE,"GENERAL";"TAB5",#N/A,TRUE,"GENERAL"}</definedName>
    <definedName name="___x7" localSheetId="16" hidden="1">{"TAB1",#N/A,TRUE,"GENERAL";"TAB2",#N/A,TRUE,"GENERAL";"TAB3",#N/A,TRUE,"GENERAL";"TAB4",#N/A,TRUE,"GENERAL";"TAB5",#N/A,TRUE,"GENERAL"}</definedName>
    <definedName name="___x7" localSheetId="17" hidden="1">{"TAB1",#N/A,TRUE,"GENERAL";"TAB2",#N/A,TRUE,"GENERAL";"TAB3",#N/A,TRUE,"GENERAL";"TAB4",#N/A,TRUE,"GENERAL";"TAB5",#N/A,TRUE,"GENERAL"}</definedName>
    <definedName name="___x7" localSheetId="13" hidden="1">{"TAB1",#N/A,TRUE,"GENERAL";"TAB2",#N/A,TRUE,"GENERAL";"TAB3",#N/A,TRUE,"GENERAL";"TAB4",#N/A,TRUE,"GENERAL";"TAB5",#N/A,TRUE,"GENERAL"}</definedName>
    <definedName name="___x7" localSheetId="15" hidden="1">{"TAB1",#N/A,TRUE,"GENERAL";"TAB2",#N/A,TRUE,"GENERAL";"TAB3",#N/A,TRUE,"GENERAL";"TAB4",#N/A,TRUE,"GENERAL";"TAB5",#N/A,TRUE,"GENERAL"}</definedName>
    <definedName name="___x7" hidden="1">{"TAB1",#N/A,TRUE,"GENERAL";"TAB2",#N/A,TRUE,"GENERAL";"TAB3",#N/A,TRUE,"GENERAL";"TAB4",#N/A,TRUE,"GENERAL";"TAB5",#N/A,TRUE,"GENERAL"}</definedName>
    <definedName name="___x8" localSheetId="14" hidden="1">{"via1",#N/A,TRUE,"general";"via2",#N/A,TRUE,"general";"via3",#N/A,TRUE,"general"}</definedName>
    <definedName name="___x8" localSheetId="16" hidden="1">{"via1",#N/A,TRUE,"general";"via2",#N/A,TRUE,"general";"via3",#N/A,TRUE,"general"}</definedName>
    <definedName name="___x8" localSheetId="17" hidden="1">{"via1",#N/A,TRUE,"general";"via2",#N/A,TRUE,"general";"via3",#N/A,TRUE,"general"}</definedName>
    <definedName name="___x8" localSheetId="13" hidden="1">{"via1",#N/A,TRUE,"general";"via2",#N/A,TRUE,"general";"via3",#N/A,TRUE,"general"}</definedName>
    <definedName name="___x8" localSheetId="15" hidden="1">{"via1",#N/A,TRUE,"general";"via2",#N/A,TRUE,"general";"via3",#N/A,TRUE,"general"}</definedName>
    <definedName name="___x8" hidden="1">{"via1",#N/A,TRUE,"general";"via2",#N/A,TRUE,"general";"via3",#N/A,TRUE,"general"}</definedName>
    <definedName name="___x9" localSheetId="14" hidden="1">{"TAB1",#N/A,TRUE,"GENERAL";"TAB2",#N/A,TRUE,"GENERAL";"TAB3",#N/A,TRUE,"GENERAL";"TAB4",#N/A,TRUE,"GENERAL";"TAB5",#N/A,TRUE,"GENERAL"}</definedName>
    <definedName name="___x9" localSheetId="16" hidden="1">{"TAB1",#N/A,TRUE,"GENERAL";"TAB2",#N/A,TRUE,"GENERAL";"TAB3",#N/A,TRUE,"GENERAL";"TAB4",#N/A,TRUE,"GENERAL";"TAB5",#N/A,TRUE,"GENERAL"}</definedName>
    <definedName name="___x9" localSheetId="17" hidden="1">{"TAB1",#N/A,TRUE,"GENERAL";"TAB2",#N/A,TRUE,"GENERAL";"TAB3",#N/A,TRUE,"GENERAL";"TAB4",#N/A,TRUE,"GENERAL";"TAB5",#N/A,TRUE,"GENERAL"}</definedName>
    <definedName name="___x9" localSheetId="13" hidden="1">{"TAB1",#N/A,TRUE,"GENERAL";"TAB2",#N/A,TRUE,"GENERAL";"TAB3",#N/A,TRUE,"GENERAL";"TAB4",#N/A,TRUE,"GENERAL";"TAB5",#N/A,TRUE,"GENERAL"}</definedName>
    <definedName name="___x9" localSheetId="15" hidden="1">{"TAB1",#N/A,TRUE,"GENERAL";"TAB2",#N/A,TRUE,"GENERAL";"TAB3",#N/A,TRUE,"GENERAL";"TAB4",#N/A,TRUE,"GENERAL";"TAB5",#N/A,TRUE,"GENERAL"}</definedName>
    <definedName name="___x9" hidden="1">{"TAB1",#N/A,TRUE,"GENERAL";"TAB2",#N/A,TRUE,"GENERAL";"TAB3",#N/A,TRUE,"GENERAL";"TAB4",#N/A,TRUE,"GENERAL";"TAB5",#N/A,TRUE,"GENERAL"}</definedName>
    <definedName name="___y2" localSheetId="14" hidden="1">{"TAB1",#N/A,TRUE,"GENERAL";"TAB2",#N/A,TRUE,"GENERAL";"TAB3",#N/A,TRUE,"GENERAL";"TAB4",#N/A,TRUE,"GENERAL";"TAB5",#N/A,TRUE,"GENERAL"}</definedName>
    <definedName name="___y2" localSheetId="16" hidden="1">{"TAB1",#N/A,TRUE,"GENERAL";"TAB2",#N/A,TRUE,"GENERAL";"TAB3",#N/A,TRUE,"GENERAL";"TAB4",#N/A,TRUE,"GENERAL";"TAB5",#N/A,TRUE,"GENERAL"}</definedName>
    <definedName name="___y2" localSheetId="17" hidden="1">{"TAB1",#N/A,TRUE,"GENERAL";"TAB2",#N/A,TRUE,"GENERAL";"TAB3",#N/A,TRUE,"GENERAL";"TAB4",#N/A,TRUE,"GENERAL";"TAB5",#N/A,TRUE,"GENERAL"}</definedName>
    <definedName name="___y2" localSheetId="13" hidden="1">{"TAB1",#N/A,TRUE,"GENERAL";"TAB2",#N/A,TRUE,"GENERAL";"TAB3",#N/A,TRUE,"GENERAL";"TAB4",#N/A,TRUE,"GENERAL";"TAB5",#N/A,TRUE,"GENERAL"}</definedName>
    <definedName name="___y2" localSheetId="15" hidden="1">{"TAB1",#N/A,TRUE,"GENERAL";"TAB2",#N/A,TRUE,"GENERAL";"TAB3",#N/A,TRUE,"GENERAL";"TAB4",#N/A,TRUE,"GENERAL";"TAB5",#N/A,TRUE,"GENERAL"}</definedName>
    <definedName name="___y2" hidden="1">{"TAB1",#N/A,TRUE,"GENERAL";"TAB2",#N/A,TRUE,"GENERAL";"TAB3",#N/A,TRUE,"GENERAL";"TAB4",#N/A,TRUE,"GENERAL";"TAB5",#N/A,TRUE,"GENERAL"}</definedName>
    <definedName name="___y3" localSheetId="14" hidden="1">{"via1",#N/A,TRUE,"general";"via2",#N/A,TRUE,"general";"via3",#N/A,TRUE,"general"}</definedName>
    <definedName name="___y3" localSheetId="16" hidden="1">{"via1",#N/A,TRUE,"general";"via2",#N/A,TRUE,"general";"via3",#N/A,TRUE,"general"}</definedName>
    <definedName name="___y3" localSheetId="17" hidden="1">{"via1",#N/A,TRUE,"general";"via2",#N/A,TRUE,"general";"via3",#N/A,TRUE,"general"}</definedName>
    <definedName name="___y3" localSheetId="13" hidden="1">{"via1",#N/A,TRUE,"general";"via2",#N/A,TRUE,"general";"via3",#N/A,TRUE,"general"}</definedName>
    <definedName name="___y3" localSheetId="15" hidden="1">{"via1",#N/A,TRUE,"general";"via2",#N/A,TRUE,"general";"via3",#N/A,TRUE,"general"}</definedName>
    <definedName name="___y3" hidden="1">{"via1",#N/A,TRUE,"general";"via2",#N/A,TRUE,"general";"via3",#N/A,TRUE,"general"}</definedName>
    <definedName name="___y4" localSheetId="14" hidden="1">{"via1",#N/A,TRUE,"general";"via2",#N/A,TRUE,"general";"via3",#N/A,TRUE,"general"}</definedName>
    <definedName name="___y4" localSheetId="16" hidden="1">{"via1",#N/A,TRUE,"general";"via2",#N/A,TRUE,"general";"via3",#N/A,TRUE,"general"}</definedName>
    <definedName name="___y4" localSheetId="17" hidden="1">{"via1",#N/A,TRUE,"general";"via2",#N/A,TRUE,"general";"via3",#N/A,TRUE,"general"}</definedName>
    <definedName name="___y4" localSheetId="13" hidden="1">{"via1",#N/A,TRUE,"general";"via2",#N/A,TRUE,"general";"via3",#N/A,TRUE,"general"}</definedName>
    <definedName name="___y4" localSheetId="15" hidden="1">{"via1",#N/A,TRUE,"general";"via2",#N/A,TRUE,"general";"via3",#N/A,TRUE,"general"}</definedName>
    <definedName name="___y4" hidden="1">{"via1",#N/A,TRUE,"general";"via2",#N/A,TRUE,"general";"via3",#N/A,TRUE,"general"}</definedName>
    <definedName name="___y5" localSheetId="14" hidden="1">{"TAB1",#N/A,TRUE,"GENERAL";"TAB2",#N/A,TRUE,"GENERAL";"TAB3",#N/A,TRUE,"GENERAL";"TAB4",#N/A,TRUE,"GENERAL";"TAB5",#N/A,TRUE,"GENERAL"}</definedName>
    <definedName name="___y5" localSheetId="16" hidden="1">{"TAB1",#N/A,TRUE,"GENERAL";"TAB2",#N/A,TRUE,"GENERAL";"TAB3",#N/A,TRUE,"GENERAL";"TAB4",#N/A,TRUE,"GENERAL";"TAB5",#N/A,TRUE,"GENERAL"}</definedName>
    <definedName name="___y5" localSheetId="17" hidden="1">{"TAB1",#N/A,TRUE,"GENERAL";"TAB2",#N/A,TRUE,"GENERAL";"TAB3",#N/A,TRUE,"GENERAL";"TAB4",#N/A,TRUE,"GENERAL";"TAB5",#N/A,TRUE,"GENERAL"}</definedName>
    <definedName name="___y5" localSheetId="13" hidden="1">{"TAB1",#N/A,TRUE,"GENERAL";"TAB2",#N/A,TRUE,"GENERAL";"TAB3",#N/A,TRUE,"GENERAL";"TAB4",#N/A,TRUE,"GENERAL";"TAB5",#N/A,TRUE,"GENERAL"}</definedName>
    <definedName name="___y5" localSheetId="15" hidden="1">{"TAB1",#N/A,TRUE,"GENERAL";"TAB2",#N/A,TRUE,"GENERAL";"TAB3",#N/A,TRUE,"GENERAL";"TAB4",#N/A,TRUE,"GENERAL";"TAB5",#N/A,TRUE,"GENERAL"}</definedName>
    <definedName name="___y5" hidden="1">{"TAB1",#N/A,TRUE,"GENERAL";"TAB2",#N/A,TRUE,"GENERAL";"TAB3",#N/A,TRUE,"GENERAL";"TAB4",#N/A,TRUE,"GENERAL";"TAB5",#N/A,TRUE,"GENERAL"}</definedName>
    <definedName name="___y6" localSheetId="14" hidden="1">{"via1",#N/A,TRUE,"general";"via2",#N/A,TRUE,"general";"via3",#N/A,TRUE,"general"}</definedName>
    <definedName name="___y6" localSheetId="16" hidden="1">{"via1",#N/A,TRUE,"general";"via2",#N/A,TRUE,"general";"via3",#N/A,TRUE,"general"}</definedName>
    <definedName name="___y6" localSheetId="17" hidden="1">{"via1",#N/A,TRUE,"general";"via2",#N/A,TRUE,"general";"via3",#N/A,TRUE,"general"}</definedName>
    <definedName name="___y6" localSheetId="13" hidden="1">{"via1",#N/A,TRUE,"general";"via2",#N/A,TRUE,"general";"via3",#N/A,TRUE,"general"}</definedName>
    <definedName name="___y6" localSheetId="15" hidden="1">{"via1",#N/A,TRUE,"general";"via2",#N/A,TRUE,"general";"via3",#N/A,TRUE,"general"}</definedName>
    <definedName name="___y6" hidden="1">{"via1",#N/A,TRUE,"general";"via2",#N/A,TRUE,"general";"via3",#N/A,TRUE,"general"}</definedName>
    <definedName name="___y7" localSheetId="14" hidden="1">{"via1",#N/A,TRUE,"general";"via2",#N/A,TRUE,"general";"via3",#N/A,TRUE,"general"}</definedName>
    <definedName name="___y7" localSheetId="16" hidden="1">{"via1",#N/A,TRUE,"general";"via2",#N/A,TRUE,"general";"via3",#N/A,TRUE,"general"}</definedName>
    <definedName name="___y7" localSheetId="17" hidden="1">{"via1",#N/A,TRUE,"general";"via2",#N/A,TRUE,"general";"via3",#N/A,TRUE,"general"}</definedName>
    <definedName name="___y7" localSheetId="13" hidden="1">{"via1",#N/A,TRUE,"general";"via2",#N/A,TRUE,"general";"via3",#N/A,TRUE,"general"}</definedName>
    <definedName name="___y7" localSheetId="15" hidden="1">{"via1",#N/A,TRUE,"general";"via2",#N/A,TRUE,"general";"via3",#N/A,TRUE,"general"}</definedName>
    <definedName name="___y7" hidden="1">{"via1",#N/A,TRUE,"general";"via2",#N/A,TRUE,"general";"via3",#N/A,TRUE,"general"}</definedName>
    <definedName name="___y8" localSheetId="14" hidden="1">{"via1",#N/A,TRUE,"general";"via2",#N/A,TRUE,"general";"via3",#N/A,TRUE,"general"}</definedName>
    <definedName name="___y8" localSheetId="16" hidden="1">{"via1",#N/A,TRUE,"general";"via2",#N/A,TRUE,"general";"via3",#N/A,TRUE,"general"}</definedName>
    <definedName name="___y8" localSheetId="17" hidden="1">{"via1",#N/A,TRUE,"general";"via2",#N/A,TRUE,"general";"via3",#N/A,TRUE,"general"}</definedName>
    <definedName name="___y8" localSheetId="13" hidden="1">{"via1",#N/A,TRUE,"general";"via2",#N/A,TRUE,"general";"via3",#N/A,TRUE,"general"}</definedName>
    <definedName name="___y8" localSheetId="15" hidden="1">{"via1",#N/A,TRUE,"general";"via2",#N/A,TRUE,"general";"via3",#N/A,TRUE,"general"}</definedName>
    <definedName name="___y8" hidden="1">{"via1",#N/A,TRUE,"general";"via2",#N/A,TRUE,"general";"via3",#N/A,TRUE,"general"}</definedName>
    <definedName name="___y9" localSheetId="14" hidden="1">{"TAB1",#N/A,TRUE,"GENERAL";"TAB2",#N/A,TRUE,"GENERAL";"TAB3",#N/A,TRUE,"GENERAL";"TAB4",#N/A,TRUE,"GENERAL";"TAB5",#N/A,TRUE,"GENERAL"}</definedName>
    <definedName name="___y9" localSheetId="16" hidden="1">{"TAB1",#N/A,TRUE,"GENERAL";"TAB2",#N/A,TRUE,"GENERAL";"TAB3",#N/A,TRUE,"GENERAL";"TAB4",#N/A,TRUE,"GENERAL";"TAB5",#N/A,TRUE,"GENERAL"}</definedName>
    <definedName name="___y9" localSheetId="17" hidden="1">{"TAB1",#N/A,TRUE,"GENERAL";"TAB2",#N/A,TRUE,"GENERAL";"TAB3",#N/A,TRUE,"GENERAL";"TAB4",#N/A,TRUE,"GENERAL";"TAB5",#N/A,TRUE,"GENERAL"}</definedName>
    <definedName name="___y9" localSheetId="13" hidden="1">{"TAB1",#N/A,TRUE,"GENERAL";"TAB2",#N/A,TRUE,"GENERAL";"TAB3",#N/A,TRUE,"GENERAL";"TAB4",#N/A,TRUE,"GENERAL";"TAB5",#N/A,TRUE,"GENERAL"}</definedName>
    <definedName name="___y9" localSheetId="15" hidden="1">{"TAB1",#N/A,TRUE,"GENERAL";"TAB2",#N/A,TRUE,"GENERAL";"TAB3",#N/A,TRUE,"GENERAL";"TAB4",#N/A,TRUE,"GENERAL";"TAB5",#N/A,TRUE,"GENERAL"}</definedName>
    <definedName name="___y9" hidden="1">{"TAB1",#N/A,TRUE,"GENERAL";"TAB2",#N/A,TRUE,"GENERAL";"TAB3",#N/A,TRUE,"GENERAL";"TAB4",#N/A,TRUE,"GENERAL";"TAB5",#N/A,TRUE,"GENERAL"}</definedName>
    <definedName name="___z1" localSheetId="14" hidden="1">{"TAB1",#N/A,TRUE,"GENERAL";"TAB2",#N/A,TRUE,"GENERAL";"TAB3",#N/A,TRUE,"GENERAL";"TAB4",#N/A,TRUE,"GENERAL";"TAB5",#N/A,TRUE,"GENERAL"}</definedName>
    <definedName name="___z1" localSheetId="16" hidden="1">{"TAB1",#N/A,TRUE,"GENERAL";"TAB2",#N/A,TRUE,"GENERAL";"TAB3",#N/A,TRUE,"GENERAL";"TAB4",#N/A,TRUE,"GENERAL";"TAB5",#N/A,TRUE,"GENERAL"}</definedName>
    <definedName name="___z1" localSheetId="17" hidden="1">{"TAB1",#N/A,TRUE,"GENERAL";"TAB2",#N/A,TRUE,"GENERAL";"TAB3",#N/A,TRUE,"GENERAL";"TAB4",#N/A,TRUE,"GENERAL";"TAB5",#N/A,TRUE,"GENERAL"}</definedName>
    <definedName name="___z1" localSheetId="13" hidden="1">{"TAB1",#N/A,TRUE,"GENERAL";"TAB2",#N/A,TRUE,"GENERAL";"TAB3",#N/A,TRUE,"GENERAL";"TAB4",#N/A,TRUE,"GENERAL";"TAB5",#N/A,TRUE,"GENERAL"}</definedName>
    <definedName name="___z1" localSheetId="15" hidden="1">{"TAB1",#N/A,TRUE,"GENERAL";"TAB2",#N/A,TRUE,"GENERAL";"TAB3",#N/A,TRUE,"GENERAL";"TAB4",#N/A,TRUE,"GENERAL";"TAB5",#N/A,TRUE,"GENERAL"}</definedName>
    <definedName name="___z1" hidden="1">{"TAB1",#N/A,TRUE,"GENERAL";"TAB2",#N/A,TRUE,"GENERAL";"TAB3",#N/A,TRUE,"GENERAL";"TAB4",#N/A,TRUE,"GENERAL";"TAB5",#N/A,TRUE,"GENERAL"}</definedName>
    <definedName name="___z2" localSheetId="14" hidden="1">{"via1",#N/A,TRUE,"general";"via2",#N/A,TRUE,"general";"via3",#N/A,TRUE,"general"}</definedName>
    <definedName name="___z2" localSheetId="16" hidden="1">{"via1",#N/A,TRUE,"general";"via2",#N/A,TRUE,"general";"via3",#N/A,TRUE,"general"}</definedName>
    <definedName name="___z2" localSheetId="17" hidden="1">{"via1",#N/A,TRUE,"general";"via2",#N/A,TRUE,"general";"via3",#N/A,TRUE,"general"}</definedName>
    <definedName name="___z2" localSheetId="13" hidden="1">{"via1",#N/A,TRUE,"general";"via2",#N/A,TRUE,"general";"via3",#N/A,TRUE,"general"}</definedName>
    <definedName name="___z2" localSheetId="15" hidden="1">{"via1",#N/A,TRUE,"general";"via2",#N/A,TRUE,"general";"via3",#N/A,TRUE,"general"}</definedName>
    <definedName name="___z2" hidden="1">{"via1",#N/A,TRUE,"general";"via2",#N/A,TRUE,"general";"via3",#N/A,TRUE,"general"}</definedName>
    <definedName name="___z3" localSheetId="14" hidden="1">{"via1",#N/A,TRUE,"general";"via2",#N/A,TRUE,"general";"via3",#N/A,TRUE,"general"}</definedName>
    <definedName name="___z3" localSheetId="16" hidden="1">{"via1",#N/A,TRUE,"general";"via2",#N/A,TRUE,"general";"via3",#N/A,TRUE,"general"}</definedName>
    <definedName name="___z3" localSheetId="17" hidden="1">{"via1",#N/A,TRUE,"general";"via2",#N/A,TRUE,"general";"via3",#N/A,TRUE,"general"}</definedName>
    <definedName name="___z3" localSheetId="13" hidden="1">{"via1",#N/A,TRUE,"general";"via2",#N/A,TRUE,"general";"via3",#N/A,TRUE,"general"}</definedName>
    <definedName name="___z3" localSheetId="15" hidden="1">{"via1",#N/A,TRUE,"general";"via2",#N/A,TRUE,"general";"via3",#N/A,TRUE,"general"}</definedName>
    <definedName name="___z3" hidden="1">{"via1",#N/A,TRUE,"general";"via2",#N/A,TRUE,"general";"via3",#N/A,TRUE,"general"}</definedName>
    <definedName name="___z4" localSheetId="14" hidden="1">{"TAB1",#N/A,TRUE,"GENERAL";"TAB2",#N/A,TRUE,"GENERAL";"TAB3",#N/A,TRUE,"GENERAL";"TAB4",#N/A,TRUE,"GENERAL";"TAB5",#N/A,TRUE,"GENERAL"}</definedName>
    <definedName name="___z4" localSheetId="16" hidden="1">{"TAB1",#N/A,TRUE,"GENERAL";"TAB2",#N/A,TRUE,"GENERAL";"TAB3",#N/A,TRUE,"GENERAL";"TAB4",#N/A,TRUE,"GENERAL";"TAB5",#N/A,TRUE,"GENERAL"}</definedName>
    <definedName name="___z4" localSheetId="17" hidden="1">{"TAB1",#N/A,TRUE,"GENERAL";"TAB2",#N/A,TRUE,"GENERAL";"TAB3",#N/A,TRUE,"GENERAL";"TAB4",#N/A,TRUE,"GENERAL";"TAB5",#N/A,TRUE,"GENERAL"}</definedName>
    <definedName name="___z4" localSheetId="13" hidden="1">{"TAB1",#N/A,TRUE,"GENERAL";"TAB2",#N/A,TRUE,"GENERAL";"TAB3",#N/A,TRUE,"GENERAL";"TAB4",#N/A,TRUE,"GENERAL";"TAB5",#N/A,TRUE,"GENERAL"}</definedName>
    <definedName name="___z4" localSheetId="15" hidden="1">{"TAB1",#N/A,TRUE,"GENERAL";"TAB2",#N/A,TRUE,"GENERAL";"TAB3",#N/A,TRUE,"GENERAL";"TAB4",#N/A,TRUE,"GENERAL";"TAB5",#N/A,TRUE,"GENERAL"}</definedName>
    <definedName name="___z4" hidden="1">{"TAB1",#N/A,TRUE,"GENERAL";"TAB2",#N/A,TRUE,"GENERAL";"TAB3",#N/A,TRUE,"GENERAL";"TAB4",#N/A,TRUE,"GENERAL";"TAB5",#N/A,TRUE,"GENERAL"}</definedName>
    <definedName name="___z5" localSheetId="14" hidden="1">{"via1",#N/A,TRUE,"general";"via2",#N/A,TRUE,"general";"via3",#N/A,TRUE,"general"}</definedName>
    <definedName name="___z5" localSheetId="16" hidden="1">{"via1",#N/A,TRUE,"general";"via2",#N/A,TRUE,"general";"via3",#N/A,TRUE,"general"}</definedName>
    <definedName name="___z5" localSheetId="17" hidden="1">{"via1",#N/A,TRUE,"general";"via2",#N/A,TRUE,"general";"via3",#N/A,TRUE,"general"}</definedName>
    <definedName name="___z5" localSheetId="13" hidden="1">{"via1",#N/A,TRUE,"general";"via2",#N/A,TRUE,"general";"via3",#N/A,TRUE,"general"}</definedName>
    <definedName name="___z5" localSheetId="15" hidden="1">{"via1",#N/A,TRUE,"general";"via2",#N/A,TRUE,"general";"via3",#N/A,TRUE,"general"}</definedName>
    <definedName name="___z5" hidden="1">{"via1",#N/A,TRUE,"general";"via2",#N/A,TRUE,"general";"via3",#N/A,TRUE,"general"}</definedName>
    <definedName name="___z6" localSheetId="14" hidden="1">{"TAB1",#N/A,TRUE,"GENERAL";"TAB2",#N/A,TRUE,"GENERAL";"TAB3",#N/A,TRUE,"GENERAL";"TAB4",#N/A,TRUE,"GENERAL";"TAB5",#N/A,TRUE,"GENERAL"}</definedName>
    <definedName name="___z6" localSheetId="16" hidden="1">{"TAB1",#N/A,TRUE,"GENERAL";"TAB2",#N/A,TRUE,"GENERAL";"TAB3",#N/A,TRUE,"GENERAL";"TAB4",#N/A,TRUE,"GENERAL";"TAB5",#N/A,TRUE,"GENERAL"}</definedName>
    <definedName name="___z6" localSheetId="17" hidden="1">{"TAB1",#N/A,TRUE,"GENERAL";"TAB2",#N/A,TRUE,"GENERAL";"TAB3",#N/A,TRUE,"GENERAL";"TAB4",#N/A,TRUE,"GENERAL";"TAB5",#N/A,TRUE,"GENERAL"}</definedName>
    <definedName name="___z6" localSheetId="13" hidden="1">{"TAB1",#N/A,TRUE,"GENERAL";"TAB2",#N/A,TRUE,"GENERAL";"TAB3",#N/A,TRUE,"GENERAL";"TAB4",#N/A,TRUE,"GENERAL";"TAB5",#N/A,TRUE,"GENERAL"}</definedName>
    <definedName name="___z6" localSheetId="15" hidden="1">{"TAB1",#N/A,TRUE,"GENERAL";"TAB2",#N/A,TRUE,"GENERAL";"TAB3",#N/A,TRUE,"GENERAL";"TAB4",#N/A,TRUE,"GENERAL";"TAB5",#N/A,TRUE,"GENERAL"}</definedName>
    <definedName name="___z6" hidden="1">{"TAB1",#N/A,TRUE,"GENERAL";"TAB2",#N/A,TRUE,"GENERAL";"TAB3",#N/A,TRUE,"GENERAL";"TAB4",#N/A,TRUE,"GENERAL";"TAB5",#N/A,TRUE,"GENERAL"}</definedName>
    <definedName name="__123" localSheetId="14" hidden="1">[8]G.G!#REF!</definedName>
    <definedName name="__123" localSheetId="13" hidden="1">[8]G.G!#REF!</definedName>
    <definedName name="__123" localSheetId="15" hidden="1">[8]G.G!#REF!</definedName>
    <definedName name="__123" hidden="1">[9]G.G!#REF!</definedName>
    <definedName name="__1234" localSheetId="14" hidden="1">[8]G.G!#REF!</definedName>
    <definedName name="__1234" localSheetId="13" hidden="1">[8]G.G!#REF!</definedName>
    <definedName name="__1234" localSheetId="15" hidden="1">[8]G.G!#REF!</definedName>
    <definedName name="__1234" hidden="1">[9]G.G!#REF!</definedName>
    <definedName name="__123Graph_A" localSheetId="14" hidden="1">[5]AIU!$D$338:$D$357</definedName>
    <definedName name="__123Graph_A" localSheetId="16" hidden="1">[5]AIU!$D$338:$D$357</definedName>
    <definedName name="__123Graph_A" localSheetId="17" hidden="1">[5]AIU!$D$338:$D$357</definedName>
    <definedName name="__123Graph_A" localSheetId="13" hidden="1">[5]AIU!$D$338:$D$357</definedName>
    <definedName name="__123Graph_A" localSheetId="15" hidden="1">[5]AIU!$D$338:$D$357</definedName>
    <definedName name="__123Graph_A" hidden="1">#REF!</definedName>
    <definedName name="__123Graph_Acaja" localSheetId="14" hidden="1">[5]EVA!$D$39:$AD$39</definedName>
    <definedName name="__123Graph_Acaja" localSheetId="16" hidden="1">[5]EVA!$D$39:$AD$39</definedName>
    <definedName name="__123Graph_Acaja" localSheetId="17" hidden="1">[5]EVA!$D$39:$AD$39</definedName>
    <definedName name="__123Graph_Acaja" localSheetId="13" hidden="1">[5]EVA!$D$39:$AD$39</definedName>
    <definedName name="__123Graph_Acaja" localSheetId="15" hidden="1">[5]EVA!$D$39:$AD$39</definedName>
    <definedName name="__123Graph_Acaja" hidden="1">[10]EVA!$D$39:$AD$39</definedName>
    <definedName name="__123Graph_ACart_AnticAdic" localSheetId="14" hidden="1">[5]EVA!$F$95:$I$95</definedName>
    <definedName name="__123Graph_ACart_AnticAdic" localSheetId="16" hidden="1">[5]EVA!$F$95:$I$95</definedName>
    <definedName name="__123Graph_ACart_AnticAdic" localSheetId="17" hidden="1">[5]EVA!$F$95:$I$95</definedName>
    <definedName name="__123Graph_ACart_AnticAdic" localSheetId="13" hidden="1">[5]EVA!$F$95:$I$95</definedName>
    <definedName name="__123Graph_ACart_AnticAdic" localSheetId="15" hidden="1">[5]EVA!$F$95:$I$95</definedName>
    <definedName name="__123Graph_ACart_AnticAdic" hidden="1">[10]EVA!$F$95:$I$95</definedName>
    <definedName name="__123Graph_AFACTURAC" localSheetId="14" hidden="1">[5]Program!$B$120:$Y$120</definedName>
    <definedName name="__123Graph_AFACTURAC" localSheetId="16" hidden="1">[5]Program!$B$120:$Y$120</definedName>
    <definedName name="__123Graph_AFACTURAC" localSheetId="17" hidden="1">[5]Program!$B$120:$Y$120</definedName>
    <definedName name="__123Graph_AFACTURAC" localSheetId="13" hidden="1">[5]Program!$B$120:$Y$120</definedName>
    <definedName name="__123Graph_AFACTURAC" localSheetId="15" hidden="1">[5]Program!$B$120:$Y$120</definedName>
    <definedName name="__123Graph_AFACTURAC" hidden="1">[10]Program!$B$120:$Y$120</definedName>
    <definedName name="__123Graph_AGraph2" localSheetId="14" hidden="1">[5]AIU!$D$338:$D$357</definedName>
    <definedName name="__123Graph_AGraph2" localSheetId="16" hidden="1">[5]AIU!$D$338:$D$357</definedName>
    <definedName name="__123Graph_AGraph2" localSheetId="17" hidden="1">[5]AIU!$D$338:$D$357</definedName>
    <definedName name="__123Graph_AGraph2" localSheetId="13" hidden="1">[5]AIU!$D$338:$D$357</definedName>
    <definedName name="__123Graph_AGraph2" localSheetId="15" hidden="1">[5]AIU!$D$338:$D$357</definedName>
    <definedName name="__123Graph_AGraph2" hidden="1">[10]AIU!$D$338:$D$357</definedName>
    <definedName name="__123Graph_B" hidden="1">#REF!</definedName>
    <definedName name="__123Graph_Bcaja" localSheetId="14" hidden="1">[5]EVA!$D$56:$AD$56</definedName>
    <definedName name="__123Graph_Bcaja" localSheetId="16" hidden="1">[5]EVA!$D$56:$AD$56</definedName>
    <definedName name="__123Graph_Bcaja" localSheetId="17" hidden="1">[5]EVA!$D$56:$AD$56</definedName>
    <definedName name="__123Graph_Bcaja" localSheetId="13" hidden="1">[5]EVA!$D$56:$AD$56</definedName>
    <definedName name="__123Graph_Bcaja" localSheetId="15" hidden="1">[5]EVA!$D$56:$AD$56</definedName>
    <definedName name="__123Graph_Bcaja" hidden="1">[10]EVA!$D$56:$AD$56</definedName>
    <definedName name="__123Graph_BCart_AnticAdic" localSheetId="14" hidden="1">[5]EVA!$F$96:$I$96</definedName>
    <definedName name="__123Graph_BCart_AnticAdic" localSheetId="16" hidden="1">[5]EVA!$F$96:$I$96</definedName>
    <definedName name="__123Graph_BCart_AnticAdic" localSheetId="17" hidden="1">[5]EVA!$F$96:$I$96</definedName>
    <definedName name="__123Graph_BCart_AnticAdic" localSheetId="13" hidden="1">[5]EVA!$F$96:$I$96</definedName>
    <definedName name="__123Graph_BCart_AnticAdic" localSheetId="15" hidden="1">[5]EVA!$F$96:$I$96</definedName>
    <definedName name="__123Graph_BCart_AnticAdic" hidden="1">[10]EVA!$F$96:$I$96</definedName>
    <definedName name="__123Graph_C" localSheetId="14" hidden="1">#REF!</definedName>
    <definedName name="__123Graph_C" localSheetId="13" hidden="1">#REF!</definedName>
    <definedName name="__123Graph_C" localSheetId="15" hidden="1">#REF!</definedName>
    <definedName name="__123Graph_C" hidden="1">#REF!</definedName>
    <definedName name="__123Graph_Ccaja" localSheetId="14" hidden="1">[5]EVA!$D$58:$AD$58</definedName>
    <definedName name="__123Graph_Ccaja" localSheetId="16" hidden="1">[5]EVA!$D$58:$AD$58</definedName>
    <definedName name="__123Graph_Ccaja" localSheetId="17" hidden="1">[5]EVA!$D$58:$AD$58</definedName>
    <definedName name="__123Graph_Ccaja" localSheetId="13" hidden="1">[5]EVA!$D$58:$AD$58</definedName>
    <definedName name="__123Graph_Ccaja" localSheetId="15" hidden="1">[5]EVA!$D$58:$AD$58</definedName>
    <definedName name="__123Graph_Ccaja" hidden="1">[10]EVA!$D$58:$AD$58</definedName>
    <definedName name="__123Graph_CCart_AnticAdic" localSheetId="14" hidden="1">[5]EVA!$F$97:$I$97</definedName>
    <definedName name="__123Graph_CCart_AnticAdic" localSheetId="16" hidden="1">[5]EVA!$F$97:$I$97</definedName>
    <definedName name="__123Graph_CCart_AnticAdic" localSheetId="17" hidden="1">[5]EVA!$F$97:$I$97</definedName>
    <definedName name="__123Graph_CCart_AnticAdic" localSheetId="13" hidden="1">[5]EVA!$F$97:$I$97</definedName>
    <definedName name="__123Graph_CCart_AnticAdic" localSheetId="15" hidden="1">[5]EVA!$F$97:$I$97</definedName>
    <definedName name="__123Graph_CCart_AnticAdic" hidden="1">[10]EVA!$F$97:$I$97</definedName>
    <definedName name="__123Graph_Dcaja" localSheetId="14" hidden="1">[5]EVA!$D$61:$AD$61</definedName>
    <definedName name="__123Graph_Dcaja" localSheetId="16" hidden="1">[5]EVA!$D$61:$AD$61</definedName>
    <definedName name="__123Graph_Dcaja" localSheetId="17" hidden="1">[5]EVA!$D$61:$AD$61</definedName>
    <definedName name="__123Graph_Dcaja" localSheetId="13" hidden="1">[5]EVA!$D$61:$AD$61</definedName>
    <definedName name="__123Graph_Dcaja" localSheetId="15" hidden="1">[5]EVA!$D$61:$AD$61</definedName>
    <definedName name="__123Graph_Dcaja" hidden="1">[10]EVA!$D$61:$AD$61</definedName>
    <definedName name="__123Graph_DCart_AnticAdic" localSheetId="14" hidden="1">[5]EVA!$F$99:$I$99</definedName>
    <definedName name="__123Graph_DCart_AnticAdic" localSheetId="16" hidden="1">[5]EVA!$F$99:$I$99</definedName>
    <definedName name="__123Graph_DCart_AnticAdic" localSheetId="17" hidden="1">[5]EVA!$F$99:$I$99</definedName>
    <definedName name="__123Graph_DCart_AnticAdic" localSheetId="13" hidden="1">[5]EVA!$F$99:$I$99</definedName>
    <definedName name="__123Graph_DCart_AnticAdic" localSheetId="15" hidden="1">[5]EVA!$F$99:$I$99</definedName>
    <definedName name="__123Graph_DCart_AnticAdic" hidden="1">[10]EVA!$F$99:$I$99</definedName>
    <definedName name="__123Graph_E" localSheetId="14" hidden="1">#REF!</definedName>
    <definedName name="__123Graph_E" localSheetId="13" hidden="1">#REF!</definedName>
    <definedName name="__123Graph_E" localSheetId="15" hidden="1">#REF!</definedName>
    <definedName name="__123Graph_E" hidden="1">#REF!</definedName>
    <definedName name="__123Graph_ECart_AnticAdic" localSheetId="14" hidden="1">[5]EVA!$F$99:$I$99</definedName>
    <definedName name="__123Graph_ECart_AnticAdic" localSheetId="16" hidden="1">[5]EVA!$F$99:$I$99</definedName>
    <definedName name="__123Graph_ECart_AnticAdic" localSheetId="17" hidden="1">[5]EVA!$F$99:$I$99</definedName>
    <definedName name="__123Graph_ECart_AnticAdic" localSheetId="13" hidden="1">[5]EVA!$F$99:$I$99</definedName>
    <definedName name="__123Graph_ECart_AnticAdic" localSheetId="15" hidden="1">[5]EVA!$F$99:$I$99</definedName>
    <definedName name="__123Graph_ECart_AnticAdic" hidden="1">[10]EVA!$F$99:$I$99</definedName>
    <definedName name="__123Graph_F" localSheetId="14" hidden="1">#REF!</definedName>
    <definedName name="__123Graph_F" localSheetId="16" hidden="1">#REF!</definedName>
    <definedName name="__123Graph_F" localSheetId="17" hidden="1">#REF!</definedName>
    <definedName name="__123Graph_F" localSheetId="13" hidden="1">#REF!</definedName>
    <definedName name="__123Graph_F" localSheetId="15" hidden="1">#REF!</definedName>
    <definedName name="__123Graph_F" hidden="1">[11]TODOITEM!#REF!</definedName>
    <definedName name="__123Graph_LBL_ACart_AnticAdic" localSheetId="14" hidden="1">[5]EVA!$J$95:$K$95</definedName>
    <definedName name="__123Graph_LBL_ACart_AnticAdic" localSheetId="16" hidden="1">[5]EVA!$J$95:$K$95</definedName>
    <definedName name="__123Graph_LBL_ACart_AnticAdic" localSheetId="17" hidden="1">[5]EVA!$J$95:$K$95</definedName>
    <definedName name="__123Graph_LBL_ACart_AnticAdic" localSheetId="13" hidden="1">[5]EVA!$J$95:$K$95</definedName>
    <definedName name="__123Graph_LBL_ACart_AnticAdic" localSheetId="15" hidden="1">[5]EVA!$J$95:$K$95</definedName>
    <definedName name="__123Graph_LBL_ACart_AnticAdic" hidden="1">[10]EVA!$J$95:$K$95</definedName>
    <definedName name="__123Graph_LBL_Ccaja" localSheetId="14" hidden="1">[5]EVA!$D$58:$AD$58</definedName>
    <definedName name="__123Graph_LBL_Ccaja" localSheetId="16" hidden="1">[5]EVA!$D$58:$AD$58</definedName>
    <definedName name="__123Graph_LBL_Ccaja" localSheetId="17" hidden="1">[5]EVA!$D$58:$AD$58</definedName>
    <definedName name="__123Graph_LBL_Ccaja" localSheetId="13" hidden="1">[5]EVA!$D$58:$AD$58</definedName>
    <definedName name="__123Graph_LBL_Ccaja" localSheetId="15" hidden="1">[5]EVA!$D$58:$AD$58</definedName>
    <definedName name="__123Graph_LBL_Ccaja" hidden="1">[10]EVA!$D$58:$AD$58</definedName>
    <definedName name="__123Graph_LBL_DCart_AnticAdic" localSheetId="14" hidden="1">[5]EVA!$F$98:$I$98</definedName>
    <definedName name="__123Graph_LBL_DCart_AnticAdic" localSheetId="16" hidden="1">[5]EVA!$F$98:$I$98</definedName>
    <definedName name="__123Graph_LBL_DCart_AnticAdic" localSheetId="17" hidden="1">[5]EVA!$F$98:$I$98</definedName>
    <definedName name="__123Graph_LBL_DCart_AnticAdic" localSheetId="13" hidden="1">[5]EVA!$F$98:$I$98</definedName>
    <definedName name="__123Graph_LBL_DCart_AnticAdic" localSheetId="15" hidden="1">[5]EVA!$F$98:$I$98</definedName>
    <definedName name="__123Graph_LBL_DCart_AnticAdic" hidden="1">[10]EVA!$F$98:$I$98</definedName>
    <definedName name="__123Graph_X" localSheetId="14" hidden="1">[5]AIU!$C$338:$C$357</definedName>
    <definedName name="__123Graph_X" localSheetId="16" hidden="1">[5]AIU!$C$338:$C$357</definedName>
    <definedName name="__123Graph_X" localSheetId="17" hidden="1">[5]AIU!$C$338:$C$357</definedName>
    <definedName name="__123Graph_X" localSheetId="13" hidden="1">[5]AIU!$C$338:$C$357</definedName>
    <definedName name="__123Graph_X" localSheetId="15" hidden="1">[5]AIU!$C$338:$C$357</definedName>
    <definedName name="__123Graph_X" hidden="1">[10]AIU!$C$338:$C$357</definedName>
    <definedName name="__123Graph_Xcaja" localSheetId="14" hidden="1">[5]EVA!$D$6:$AD$6</definedName>
    <definedName name="__123Graph_Xcaja" localSheetId="16" hidden="1">[5]EVA!$D$6:$AD$6</definedName>
    <definedName name="__123Graph_Xcaja" localSheetId="17" hidden="1">[5]EVA!$D$6:$AD$6</definedName>
    <definedName name="__123Graph_Xcaja" localSheetId="13" hidden="1">[5]EVA!$D$6:$AD$6</definedName>
    <definedName name="__123Graph_Xcaja" localSheetId="15" hidden="1">[5]EVA!$D$6:$AD$6</definedName>
    <definedName name="__123Graph_Xcaja" hidden="1">[10]EVA!$D$6:$AD$6</definedName>
    <definedName name="__a1" localSheetId="14" hidden="1">{"TAB1",#N/A,TRUE,"GENERAL";"TAB2",#N/A,TRUE,"GENERAL";"TAB3",#N/A,TRUE,"GENERAL";"TAB4",#N/A,TRUE,"GENERAL";"TAB5",#N/A,TRUE,"GENERAL"}</definedName>
    <definedName name="__a1" localSheetId="16" hidden="1">{"TAB1",#N/A,TRUE,"GENERAL";"TAB2",#N/A,TRUE,"GENERAL";"TAB3",#N/A,TRUE,"GENERAL";"TAB4",#N/A,TRUE,"GENERAL";"TAB5",#N/A,TRUE,"GENERAL"}</definedName>
    <definedName name="__a1" localSheetId="17" hidden="1">{"TAB1",#N/A,TRUE,"GENERAL";"TAB2",#N/A,TRUE,"GENERAL";"TAB3",#N/A,TRUE,"GENERAL";"TAB4",#N/A,TRUE,"GENERAL";"TAB5",#N/A,TRUE,"GENERAL"}</definedName>
    <definedName name="__a1" localSheetId="13" hidden="1">{"TAB1",#N/A,TRUE,"GENERAL";"TAB2",#N/A,TRUE,"GENERAL";"TAB3",#N/A,TRUE,"GENERAL";"TAB4",#N/A,TRUE,"GENERAL";"TAB5",#N/A,TRUE,"GENERAL"}</definedName>
    <definedName name="__a1" localSheetId="15"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14" hidden="1">{"TAB1",#N/A,TRUE,"GENERAL";"TAB2",#N/A,TRUE,"GENERAL";"TAB3",#N/A,TRUE,"GENERAL";"TAB4",#N/A,TRUE,"GENERAL";"TAB5",#N/A,TRUE,"GENERAL"}</definedName>
    <definedName name="__a3" localSheetId="16" hidden="1">{"TAB1",#N/A,TRUE,"GENERAL";"TAB2",#N/A,TRUE,"GENERAL";"TAB3",#N/A,TRUE,"GENERAL";"TAB4",#N/A,TRUE,"GENERAL";"TAB5",#N/A,TRUE,"GENERAL"}</definedName>
    <definedName name="__a3" localSheetId="17" hidden="1">{"TAB1",#N/A,TRUE,"GENERAL";"TAB2",#N/A,TRUE,"GENERAL";"TAB3",#N/A,TRUE,"GENERAL";"TAB4",#N/A,TRUE,"GENERAL";"TAB5",#N/A,TRUE,"GENERAL"}</definedName>
    <definedName name="__a3" localSheetId="13" hidden="1">{"TAB1",#N/A,TRUE,"GENERAL";"TAB2",#N/A,TRUE,"GENERAL";"TAB3",#N/A,TRUE,"GENERAL";"TAB4",#N/A,TRUE,"GENERAL";"TAB5",#N/A,TRUE,"GENERAL"}</definedName>
    <definedName name="__a3" localSheetId="15"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14" hidden="1">{"via1",#N/A,TRUE,"general";"via2",#N/A,TRUE,"general";"via3",#N/A,TRUE,"general"}</definedName>
    <definedName name="__a4" localSheetId="16" hidden="1">{"via1",#N/A,TRUE,"general";"via2",#N/A,TRUE,"general";"via3",#N/A,TRUE,"general"}</definedName>
    <definedName name="__a4" localSheetId="17" hidden="1">{"via1",#N/A,TRUE,"general";"via2",#N/A,TRUE,"general";"via3",#N/A,TRUE,"general"}</definedName>
    <definedName name="__a4" localSheetId="13" hidden="1">{"via1",#N/A,TRUE,"general";"via2",#N/A,TRUE,"general";"via3",#N/A,TRUE,"general"}</definedName>
    <definedName name="__a4" localSheetId="15" hidden="1">{"via1",#N/A,TRUE,"general";"via2",#N/A,TRUE,"general";"via3",#N/A,TRUE,"general"}</definedName>
    <definedName name="__a4" hidden="1">{"via1",#N/A,TRUE,"general";"via2",#N/A,TRUE,"general";"via3",#N/A,TRUE,"general"}</definedName>
    <definedName name="__a5" localSheetId="14" hidden="1">{"TAB1",#N/A,TRUE,"GENERAL";"TAB2",#N/A,TRUE,"GENERAL";"TAB3",#N/A,TRUE,"GENERAL";"TAB4",#N/A,TRUE,"GENERAL";"TAB5",#N/A,TRUE,"GENERAL"}</definedName>
    <definedName name="__a5" localSheetId="16" hidden="1">{"TAB1",#N/A,TRUE,"GENERAL";"TAB2",#N/A,TRUE,"GENERAL";"TAB3",#N/A,TRUE,"GENERAL";"TAB4",#N/A,TRUE,"GENERAL";"TAB5",#N/A,TRUE,"GENERAL"}</definedName>
    <definedName name="__a5" localSheetId="17" hidden="1">{"TAB1",#N/A,TRUE,"GENERAL";"TAB2",#N/A,TRUE,"GENERAL";"TAB3",#N/A,TRUE,"GENERAL";"TAB4",#N/A,TRUE,"GENERAL";"TAB5",#N/A,TRUE,"GENERAL"}</definedName>
    <definedName name="__a5" localSheetId="13" hidden="1">{"TAB1",#N/A,TRUE,"GENERAL";"TAB2",#N/A,TRUE,"GENERAL";"TAB3",#N/A,TRUE,"GENERAL";"TAB4",#N/A,TRUE,"GENERAL";"TAB5",#N/A,TRUE,"GENERAL"}</definedName>
    <definedName name="__a5" localSheetId="15" hidden="1">{"TAB1",#N/A,TRUE,"GENERAL";"TAB2",#N/A,TRUE,"GENERAL";"TAB3",#N/A,TRUE,"GENERAL";"TAB4",#N/A,TRUE,"GENERAL";"TAB5",#N/A,TRUE,"GENERAL"}</definedName>
    <definedName name="__a5" hidden="1">{"TAB1",#N/A,TRUE,"GENERAL";"TAB2",#N/A,TRUE,"GENERAL";"TAB3",#N/A,TRUE,"GENERAL";"TAB4",#N/A,TRUE,"GENERAL";"TAB5",#N/A,TRUE,"GENERAL"}</definedName>
    <definedName name="__a6" localSheetId="14" hidden="1">{"TAB1",#N/A,TRUE,"GENERAL";"TAB2",#N/A,TRUE,"GENERAL";"TAB3",#N/A,TRUE,"GENERAL";"TAB4",#N/A,TRUE,"GENERAL";"TAB5",#N/A,TRUE,"GENERAL"}</definedName>
    <definedName name="__a6" localSheetId="16" hidden="1">{"TAB1",#N/A,TRUE,"GENERAL";"TAB2",#N/A,TRUE,"GENERAL";"TAB3",#N/A,TRUE,"GENERAL";"TAB4",#N/A,TRUE,"GENERAL";"TAB5",#N/A,TRUE,"GENERAL"}</definedName>
    <definedName name="__a6" localSheetId="17" hidden="1">{"TAB1",#N/A,TRUE,"GENERAL";"TAB2",#N/A,TRUE,"GENERAL";"TAB3",#N/A,TRUE,"GENERAL";"TAB4",#N/A,TRUE,"GENERAL";"TAB5",#N/A,TRUE,"GENERAL"}</definedName>
    <definedName name="__a6" localSheetId="13" hidden="1">{"TAB1",#N/A,TRUE,"GENERAL";"TAB2",#N/A,TRUE,"GENERAL";"TAB3",#N/A,TRUE,"GENERAL";"TAB4",#N/A,TRUE,"GENERAL";"TAB5",#N/A,TRUE,"GENERAL"}</definedName>
    <definedName name="__a6" localSheetId="15" hidden="1">{"TAB1",#N/A,TRUE,"GENERAL";"TAB2",#N/A,TRUE,"GENERAL";"TAB3",#N/A,TRUE,"GENERAL";"TAB4",#N/A,TRUE,"GENERAL";"TAB5",#N/A,TRUE,"GENERAL"}</definedName>
    <definedName name="__a6" hidden="1">{"TAB1",#N/A,TRUE,"GENERAL";"TAB2",#N/A,TRUE,"GENERAL";"TAB3",#N/A,TRUE,"GENERAL";"TAB4",#N/A,TRUE,"GENERAL";"TAB5",#N/A,TRUE,"GENERAL"}</definedName>
    <definedName name="__ADH12" localSheetId="3">#REF!</definedName>
    <definedName name="__ADH12" localSheetId="30">#REF!</definedName>
    <definedName name="__ADH12" localSheetId="31">#REF!</definedName>
    <definedName name="__ADH12" localSheetId="29">#REF!</definedName>
    <definedName name="__ADH12">#REF!</definedName>
    <definedName name="__ADM12" localSheetId="3">#REF!</definedName>
    <definedName name="__ADM12" localSheetId="30">#REF!</definedName>
    <definedName name="__ADM12" localSheetId="31">#REF!</definedName>
    <definedName name="__ADM12" localSheetId="29">#REF!</definedName>
    <definedName name="__ADM12">#REF!</definedName>
    <definedName name="__ADM2" localSheetId="3">#REF!</definedName>
    <definedName name="__ADM2" localSheetId="30">#REF!</definedName>
    <definedName name="__ADM2" localSheetId="31">#REF!</definedName>
    <definedName name="__ADM2" localSheetId="29">#REF!</definedName>
    <definedName name="__ADM2">#REF!</definedName>
    <definedName name="__ADM3" localSheetId="3">#REF!</definedName>
    <definedName name="__ADM3" localSheetId="30">#REF!</definedName>
    <definedName name="__ADM3" localSheetId="31">#REF!</definedName>
    <definedName name="__ADM3" localSheetId="29">#REF!</definedName>
    <definedName name="__ADM3">#REF!</definedName>
    <definedName name="__ADM4" localSheetId="3">#REF!</definedName>
    <definedName name="__ADM4" localSheetId="30">#REF!</definedName>
    <definedName name="__ADM4" localSheetId="31">#REF!</definedName>
    <definedName name="__ADM4" localSheetId="29">#REF!</definedName>
    <definedName name="__ADM4">#REF!</definedName>
    <definedName name="__ADP1" localSheetId="3">#REF!</definedName>
    <definedName name="__ADP1" localSheetId="30">#REF!</definedName>
    <definedName name="__ADP1" localSheetId="31">#REF!</definedName>
    <definedName name="__ADP1" localSheetId="29">#REF!</definedName>
    <definedName name="__ADP1">#REF!</definedName>
    <definedName name="__AFC1">#REF!</definedName>
    <definedName name="__AFC3">#REF!</definedName>
    <definedName name="__AFC5">#REF!</definedName>
    <definedName name="__AIU1" localSheetId="3">#REF!</definedName>
    <definedName name="__AIU1" localSheetId="30">#REF!</definedName>
    <definedName name="__AIU1" localSheetId="31">#REF!</definedName>
    <definedName name="__AIU1" localSheetId="29">#REF!</definedName>
    <definedName name="__AIU1">#REF!</definedName>
    <definedName name="__AIU2">#REF!</definedName>
    <definedName name="__AIU3">#REF!</definedName>
    <definedName name="__AIU5">#REF!</definedName>
    <definedName name="__APU221">#REF!</definedName>
    <definedName name="__APU465" localSheetId="14">[2]!absc</definedName>
    <definedName name="__APU465" localSheetId="17">[2]!absc</definedName>
    <definedName name="__APU465" localSheetId="2">[2]!absc</definedName>
    <definedName name="__APU465" localSheetId="20">[2]!absc</definedName>
    <definedName name="__APU465" localSheetId="21">[2]!absc</definedName>
    <definedName name="__APU465" localSheetId="15">[2]!absc</definedName>
    <definedName name="__APU465">[2]!absc</definedName>
    <definedName name="__b2" localSheetId="14" hidden="1">{"TAB1",#N/A,TRUE,"GENERAL";"TAB2",#N/A,TRUE,"GENERAL";"TAB3",#N/A,TRUE,"GENERAL";"TAB4",#N/A,TRUE,"GENERAL";"TAB5",#N/A,TRUE,"GENERAL"}</definedName>
    <definedName name="__b2" localSheetId="16" hidden="1">{"TAB1",#N/A,TRUE,"GENERAL";"TAB2",#N/A,TRUE,"GENERAL";"TAB3",#N/A,TRUE,"GENERAL";"TAB4",#N/A,TRUE,"GENERAL";"TAB5",#N/A,TRUE,"GENERAL"}</definedName>
    <definedName name="__b2" localSheetId="17" hidden="1">{"TAB1",#N/A,TRUE,"GENERAL";"TAB2",#N/A,TRUE,"GENERAL";"TAB3",#N/A,TRUE,"GENERAL";"TAB4",#N/A,TRUE,"GENERAL";"TAB5",#N/A,TRUE,"GENERAL"}</definedName>
    <definedName name="__b2" localSheetId="13" hidden="1">{"TAB1",#N/A,TRUE,"GENERAL";"TAB2",#N/A,TRUE,"GENERAL";"TAB3",#N/A,TRUE,"GENERAL";"TAB4",#N/A,TRUE,"GENERAL";"TAB5",#N/A,TRUE,"GENERAL"}</definedName>
    <definedName name="__b2" localSheetId="15" hidden="1">{"TAB1",#N/A,TRUE,"GENERAL";"TAB2",#N/A,TRUE,"GENERAL";"TAB3",#N/A,TRUE,"GENERAL";"TAB4",#N/A,TRUE,"GENERAL";"TAB5",#N/A,TRUE,"GENERAL"}</definedName>
    <definedName name="__b2" hidden="1">{"TAB1",#N/A,TRUE,"GENERAL";"TAB2",#N/A,TRUE,"GENERAL";"TAB3",#N/A,TRUE,"GENERAL";"TAB4",#N/A,TRUE,"GENERAL";"TAB5",#N/A,TRUE,"GENERAL"}</definedName>
    <definedName name="__b3" localSheetId="14" hidden="1">{"TAB1",#N/A,TRUE,"GENERAL";"TAB2",#N/A,TRUE,"GENERAL";"TAB3",#N/A,TRUE,"GENERAL";"TAB4",#N/A,TRUE,"GENERAL";"TAB5",#N/A,TRUE,"GENERAL"}</definedName>
    <definedName name="__b3" localSheetId="16" hidden="1">{"TAB1",#N/A,TRUE,"GENERAL";"TAB2",#N/A,TRUE,"GENERAL";"TAB3",#N/A,TRUE,"GENERAL";"TAB4",#N/A,TRUE,"GENERAL";"TAB5",#N/A,TRUE,"GENERAL"}</definedName>
    <definedName name="__b3" localSheetId="17" hidden="1">{"TAB1",#N/A,TRUE,"GENERAL";"TAB2",#N/A,TRUE,"GENERAL";"TAB3",#N/A,TRUE,"GENERAL";"TAB4",#N/A,TRUE,"GENERAL";"TAB5",#N/A,TRUE,"GENERAL"}</definedName>
    <definedName name="__b3" localSheetId="13" hidden="1">{"TAB1",#N/A,TRUE,"GENERAL";"TAB2",#N/A,TRUE,"GENERAL";"TAB3",#N/A,TRUE,"GENERAL";"TAB4",#N/A,TRUE,"GENERAL";"TAB5",#N/A,TRUE,"GENERAL"}</definedName>
    <definedName name="__b3" localSheetId="15" hidden="1">{"TAB1",#N/A,TRUE,"GENERAL";"TAB2",#N/A,TRUE,"GENERAL";"TAB3",#N/A,TRUE,"GENERAL";"TAB4",#N/A,TRUE,"GENERAL";"TAB5",#N/A,TRUE,"GENERAL"}</definedName>
    <definedName name="__b3" hidden="1">{"TAB1",#N/A,TRUE,"GENERAL";"TAB2",#N/A,TRUE,"GENERAL";"TAB3",#N/A,TRUE,"GENERAL";"TAB4",#N/A,TRUE,"GENERAL";"TAB5",#N/A,TRUE,"GENERAL"}</definedName>
    <definedName name="__b4" localSheetId="14" hidden="1">{"TAB1",#N/A,TRUE,"GENERAL";"TAB2",#N/A,TRUE,"GENERAL";"TAB3",#N/A,TRUE,"GENERAL";"TAB4",#N/A,TRUE,"GENERAL";"TAB5",#N/A,TRUE,"GENERAL"}</definedName>
    <definedName name="__b4" localSheetId="16" hidden="1">{"TAB1",#N/A,TRUE,"GENERAL";"TAB2",#N/A,TRUE,"GENERAL";"TAB3",#N/A,TRUE,"GENERAL";"TAB4",#N/A,TRUE,"GENERAL";"TAB5",#N/A,TRUE,"GENERAL"}</definedName>
    <definedName name="__b4" localSheetId="17" hidden="1">{"TAB1",#N/A,TRUE,"GENERAL";"TAB2",#N/A,TRUE,"GENERAL";"TAB3",#N/A,TRUE,"GENERAL";"TAB4",#N/A,TRUE,"GENERAL";"TAB5",#N/A,TRUE,"GENERAL"}</definedName>
    <definedName name="__b4" localSheetId="13" hidden="1">{"TAB1",#N/A,TRUE,"GENERAL";"TAB2",#N/A,TRUE,"GENERAL";"TAB3",#N/A,TRUE,"GENERAL";"TAB4",#N/A,TRUE,"GENERAL";"TAB5",#N/A,TRUE,"GENERAL"}</definedName>
    <definedName name="__b4" localSheetId="15" hidden="1">{"TAB1",#N/A,TRUE,"GENERAL";"TAB2",#N/A,TRUE,"GENERAL";"TAB3",#N/A,TRUE,"GENERAL";"TAB4",#N/A,TRUE,"GENERAL";"TAB5",#N/A,TRUE,"GENERAL"}</definedName>
    <definedName name="__b4" hidden="1">{"TAB1",#N/A,TRUE,"GENERAL";"TAB2",#N/A,TRUE,"GENERAL";"TAB3",#N/A,TRUE,"GENERAL";"TAB4",#N/A,TRUE,"GENERAL";"TAB5",#N/A,TRUE,"GENERAL"}</definedName>
    <definedName name="__b5" localSheetId="14" hidden="1">{"TAB1",#N/A,TRUE,"GENERAL";"TAB2",#N/A,TRUE,"GENERAL";"TAB3",#N/A,TRUE,"GENERAL";"TAB4",#N/A,TRUE,"GENERAL";"TAB5",#N/A,TRUE,"GENERAL"}</definedName>
    <definedName name="__b5" localSheetId="16" hidden="1">{"TAB1",#N/A,TRUE,"GENERAL";"TAB2",#N/A,TRUE,"GENERAL";"TAB3",#N/A,TRUE,"GENERAL";"TAB4",#N/A,TRUE,"GENERAL";"TAB5",#N/A,TRUE,"GENERAL"}</definedName>
    <definedName name="__b5" localSheetId="17" hidden="1">{"TAB1",#N/A,TRUE,"GENERAL";"TAB2",#N/A,TRUE,"GENERAL";"TAB3",#N/A,TRUE,"GENERAL";"TAB4",#N/A,TRUE,"GENERAL";"TAB5",#N/A,TRUE,"GENERAL"}</definedName>
    <definedName name="__b5" localSheetId="13" hidden="1">{"TAB1",#N/A,TRUE,"GENERAL";"TAB2",#N/A,TRUE,"GENERAL";"TAB3",#N/A,TRUE,"GENERAL";"TAB4",#N/A,TRUE,"GENERAL";"TAB5",#N/A,TRUE,"GENERAL"}</definedName>
    <definedName name="__b5" localSheetId="15" hidden="1">{"TAB1",#N/A,TRUE,"GENERAL";"TAB2",#N/A,TRUE,"GENERAL";"TAB3",#N/A,TRUE,"GENERAL";"TAB4",#N/A,TRUE,"GENERAL";"TAB5",#N/A,TRUE,"GENERAL"}</definedName>
    <definedName name="__b5" hidden="1">{"TAB1",#N/A,TRUE,"GENERAL";"TAB2",#N/A,TRUE,"GENERAL";"TAB3",#N/A,TRUE,"GENERAL";"TAB4",#N/A,TRUE,"GENERAL";"TAB5",#N/A,TRUE,"GENERAL"}</definedName>
    <definedName name="__b6" localSheetId="14" hidden="1">{"TAB1",#N/A,TRUE,"GENERAL";"TAB2",#N/A,TRUE,"GENERAL";"TAB3",#N/A,TRUE,"GENERAL";"TAB4",#N/A,TRUE,"GENERAL";"TAB5",#N/A,TRUE,"GENERAL"}</definedName>
    <definedName name="__b6" localSheetId="16" hidden="1">{"TAB1",#N/A,TRUE,"GENERAL";"TAB2",#N/A,TRUE,"GENERAL";"TAB3",#N/A,TRUE,"GENERAL";"TAB4",#N/A,TRUE,"GENERAL";"TAB5",#N/A,TRUE,"GENERAL"}</definedName>
    <definedName name="__b6" localSheetId="17" hidden="1">{"TAB1",#N/A,TRUE,"GENERAL";"TAB2",#N/A,TRUE,"GENERAL";"TAB3",#N/A,TRUE,"GENERAL";"TAB4",#N/A,TRUE,"GENERAL";"TAB5",#N/A,TRUE,"GENERAL"}</definedName>
    <definedName name="__b6" localSheetId="13" hidden="1">{"TAB1",#N/A,TRUE,"GENERAL";"TAB2",#N/A,TRUE,"GENERAL";"TAB3",#N/A,TRUE,"GENERAL";"TAB4",#N/A,TRUE,"GENERAL";"TAB5",#N/A,TRUE,"GENERAL"}</definedName>
    <definedName name="__b6" localSheetId="15" hidden="1">{"TAB1",#N/A,TRUE,"GENERAL";"TAB2",#N/A,TRUE,"GENERAL";"TAB3",#N/A,TRUE,"GENERAL";"TAB4",#N/A,TRUE,"GENERAL";"TAB5",#N/A,TRUE,"GENERAL"}</definedName>
    <definedName name="__b6" hidden="1">{"TAB1",#N/A,TRUE,"GENERAL";"TAB2",#N/A,TRUE,"GENERAL";"TAB3",#N/A,TRUE,"GENERAL";"TAB4",#N/A,TRUE,"GENERAL";"TAB5",#N/A,TRUE,"GENERAL"}</definedName>
    <definedName name="__b7" localSheetId="14" hidden="1">{"via1",#N/A,TRUE,"general";"via2",#N/A,TRUE,"general";"via3",#N/A,TRUE,"general"}</definedName>
    <definedName name="__b7" localSheetId="16" hidden="1">{"via1",#N/A,TRUE,"general";"via2",#N/A,TRUE,"general";"via3",#N/A,TRUE,"general"}</definedName>
    <definedName name="__b7" localSheetId="17" hidden="1">{"via1",#N/A,TRUE,"general";"via2",#N/A,TRUE,"general";"via3",#N/A,TRUE,"general"}</definedName>
    <definedName name="__b7" localSheetId="13" hidden="1">{"via1",#N/A,TRUE,"general";"via2",#N/A,TRUE,"general";"via3",#N/A,TRUE,"general"}</definedName>
    <definedName name="__b7" localSheetId="15" hidden="1">{"via1",#N/A,TRUE,"general";"via2",#N/A,TRUE,"general";"via3",#N/A,TRUE,"general"}</definedName>
    <definedName name="__b7" hidden="1">{"via1",#N/A,TRUE,"general";"via2",#N/A,TRUE,"general";"via3",#N/A,TRUE,"general"}</definedName>
    <definedName name="__b8" localSheetId="14" hidden="1">{"via1",#N/A,TRUE,"general";"via2",#N/A,TRUE,"general";"via3",#N/A,TRUE,"general"}</definedName>
    <definedName name="__b8" localSheetId="16" hidden="1">{"via1",#N/A,TRUE,"general";"via2",#N/A,TRUE,"general";"via3",#N/A,TRUE,"general"}</definedName>
    <definedName name="__b8" localSheetId="17" hidden="1">{"via1",#N/A,TRUE,"general";"via2",#N/A,TRUE,"general";"via3",#N/A,TRUE,"general"}</definedName>
    <definedName name="__b8" localSheetId="13" hidden="1">{"via1",#N/A,TRUE,"general";"via2",#N/A,TRUE,"general";"via3",#N/A,TRUE,"general"}</definedName>
    <definedName name="__b8" localSheetId="15" hidden="1">{"via1",#N/A,TRUE,"general";"via2",#N/A,TRUE,"general";"via3",#N/A,TRUE,"general"}</definedName>
    <definedName name="__b8" hidden="1">{"via1",#N/A,TRUE,"general";"via2",#N/A,TRUE,"general";"via3",#N/A,TRUE,"general"}</definedName>
    <definedName name="__BAZ10" localSheetId="3">#REF!</definedName>
    <definedName name="__BAZ10" localSheetId="30">#REF!</definedName>
    <definedName name="__BAZ10" localSheetId="31">#REF!</definedName>
    <definedName name="__BAZ10" localSheetId="29">#REF!</definedName>
    <definedName name="__BAZ10">#REF!</definedName>
    <definedName name="__bb9" localSheetId="14" hidden="1">{"TAB1",#N/A,TRUE,"GENERAL";"TAB2",#N/A,TRUE,"GENERAL";"TAB3",#N/A,TRUE,"GENERAL";"TAB4",#N/A,TRUE,"GENERAL";"TAB5",#N/A,TRUE,"GENERAL"}</definedName>
    <definedName name="__bb9" localSheetId="16" hidden="1">{"TAB1",#N/A,TRUE,"GENERAL";"TAB2",#N/A,TRUE,"GENERAL";"TAB3",#N/A,TRUE,"GENERAL";"TAB4",#N/A,TRUE,"GENERAL";"TAB5",#N/A,TRUE,"GENERAL"}</definedName>
    <definedName name="__bb9" localSheetId="17" hidden="1">{"TAB1",#N/A,TRUE,"GENERAL";"TAB2",#N/A,TRUE,"GENERAL";"TAB3",#N/A,TRUE,"GENERAL";"TAB4",#N/A,TRUE,"GENERAL";"TAB5",#N/A,TRUE,"GENERAL"}</definedName>
    <definedName name="__bb9" localSheetId="13" hidden="1">{"TAB1",#N/A,TRUE,"GENERAL";"TAB2",#N/A,TRUE,"GENERAL";"TAB3",#N/A,TRUE,"GENERAL";"TAB4",#N/A,TRUE,"GENERAL";"TAB5",#N/A,TRUE,"GENERAL"}</definedName>
    <definedName name="__bb9" localSheetId="15" hidden="1">{"TAB1",#N/A,TRUE,"GENERAL";"TAB2",#N/A,TRUE,"GENERAL";"TAB3",#N/A,TRUE,"GENERAL";"TAB4",#N/A,TRUE,"GENERAL";"TAB5",#N/A,TRUE,"GENERAL"}</definedName>
    <definedName name="__bb9" hidden="1">{"TAB1",#N/A,TRUE,"GENERAL";"TAB2",#N/A,TRUE,"GENERAL";"TAB3",#N/A,TRUE,"GENERAL";"TAB4",#N/A,TRUE,"GENERAL";"TAB5",#N/A,TRUE,"GENERAL"}</definedName>
    <definedName name="__bgb5" localSheetId="14" hidden="1">{"TAB1",#N/A,TRUE,"GENERAL";"TAB2",#N/A,TRUE,"GENERAL";"TAB3",#N/A,TRUE,"GENERAL";"TAB4",#N/A,TRUE,"GENERAL";"TAB5",#N/A,TRUE,"GENERAL"}</definedName>
    <definedName name="__bgb5" localSheetId="16" hidden="1">{"TAB1",#N/A,TRUE,"GENERAL";"TAB2",#N/A,TRUE,"GENERAL";"TAB3",#N/A,TRUE,"GENERAL";"TAB4",#N/A,TRUE,"GENERAL";"TAB5",#N/A,TRUE,"GENERAL"}</definedName>
    <definedName name="__bgb5" localSheetId="17" hidden="1">{"TAB1",#N/A,TRUE,"GENERAL";"TAB2",#N/A,TRUE,"GENERAL";"TAB3",#N/A,TRUE,"GENERAL";"TAB4",#N/A,TRUE,"GENERAL";"TAB5",#N/A,TRUE,"GENERAL"}</definedName>
    <definedName name="__bgb5" localSheetId="13" hidden="1">{"TAB1",#N/A,TRUE,"GENERAL";"TAB2",#N/A,TRUE,"GENERAL";"TAB3",#N/A,TRUE,"GENERAL";"TAB4",#N/A,TRUE,"GENERAL";"TAB5",#N/A,TRUE,"GENERAL"}</definedName>
    <definedName name="__bgb5" localSheetId="15"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BLO20" localSheetId="3">#REF!</definedName>
    <definedName name="__BLO20" localSheetId="30">#REF!</definedName>
    <definedName name="__BLO20" localSheetId="31">#REF!</definedName>
    <definedName name="__BLO20" localSheetId="29">#REF!</definedName>
    <definedName name="__BLO20">#REF!</definedName>
    <definedName name="__C2254JH" localSheetId="3">#REF!</definedName>
    <definedName name="__C2254JH" localSheetId="30">#REF!</definedName>
    <definedName name="__C2254JH" localSheetId="31">#REF!</definedName>
    <definedName name="__C2254JH" localSheetId="29">#REF!</definedName>
    <definedName name="__C2254JH">#REF!</definedName>
    <definedName name="__C2256JH" localSheetId="3">#REF!</definedName>
    <definedName name="__C2256JH" localSheetId="30">#REF!</definedName>
    <definedName name="__C2256JH" localSheetId="31">#REF!</definedName>
    <definedName name="__C2256JH" localSheetId="29">#REF!</definedName>
    <definedName name="__C2256JH">#REF!</definedName>
    <definedName name="__C452JH" localSheetId="3">#REF!</definedName>
    <definedName name="__C452JH" localSheetId="30">#REF!</definedName>
    <definedName name="__C452JH" localSheetId="31">#REF!</definedName>
    <definedName name="__C452JH" localSheetId="29">#REF!</definedName>
    <definedName name="__C452JH">#REF!</definedName>
    <definedName name="__C903L" localSheetId="3">#REF!</definedName>
    <definedName name="__C903L" localSheetId="30">#REF!</definedName>
    <definedName name="__C903L" localSheetId="31">#REF!</definedName>
    <definedName name="__C903L" localSheetId="29">#REF!</definedName>
    <definedName name="__C903L">#REF!</definedName>
    <definedName name="__C908J" localSheetId="3">#REF!</definedName>
    <definedName name="__C908J" localSheetId="30">#REF!</definedName>
    <definedName name="__C908J" localSheetId="31">#REF!</definedName>
    <definedName name="__C908J" localSheetId="29">#REF!</definedName>
    <definedName name="__C908J">#REF!</definedName>
    <definedName name="__CAC1">#REF!</definedName>
    <definedName name="__CAC3">#REF!</definedName>
    <definedName name="__CAC5">#REF!</definedName>
    <definedName name="__CAN28">#REF!</definedName>
    <definedName name="__Cod1" localSheetId="3">#REF!</definedName>
    <definedName name="__Cod1" localSheetId="30">#REF!</definedName>
    <definedName name="__Cod1" localSheetId="31">#REF!</definedName>
    <definedName name="__Cod1" localSheetId="29">#REF!</definedName>
    <definedName name="__Cod1">#REF!</definedName>
    <definedName name="__CUA44">#REF!</definedName>
    <definedName name="__EEF110" localSheetId="3">#REF!</definedName>
    <definedName name="__EEF110" localSheetId="30">#REF!</definedName>
    <definedName name="__EEF110" localSheetId="31">#REF!</definedName>
    <definedName name="__EEF110" localSheetId="29">#REF!</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 localSheetId="3">#REF!</definedName>
    <definedName name="__ETF315" localSheetId="30">#REF!</definedName>
    <definedName name="__ETF315" localSheetId="31">#REF!</definedName>
    <definedName name="__ETF315" localSheetId="29">#REF!</definedName>
    <definedName name="__ETF315">#REF!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#N/A</definedName>
    <definedName name="__FEC5">[6]datos!$N$2,[6]datos!$N$2:$N$500</definedName>
    <definedName name="__FS01">#N/A</definedName>
    <definedName name="__FYB02" localSheetId="3">#REF!</definedName>
    <definedName name="__FYB02" localSheetId="30">#REF!</definedName>
    <definedName name="__FYB02" localSheetId="31">#REF!</definedName>
    <definedName name="__FYB02" localSheetId="29">#REF!</definedName>
    <definedName name="__FYB02">#REF!</definedName>
    <definedName name="__FYB03" localSheetId="3">#REF!</definedName>
    <definedName name="__FYB03" localSheetId="30">#REF!</definedName>
    <definedName name="__FYB03" localSheetId="31">#REF!</definedName>
    <definedName name="__FYB03" localSheetId="29">#REF!</definedName>
    <definedName name="__FYB03">#REF!</definedName>
    <definedName name="__FYB04" localSheetId="3">#REF!</definedName>
    <definedName name="__FYB04" localSheetId="30">#REF!</definedName>
    <definedName name="__FYB04" localSheetId="31">#REF!</definedName>
    <definedName name="__FYB04" localSheetId="29">#REF!</definedName>
    <definedName name="__FYB04">#REF!</definedName>
    <definedName name="__FYB08" localSheetId="3">#REF!</definedName>
    <definedName name="__FYB08" localSheetId="30">#REF!</definedName>
    <definedName name="__FYB08" localSheetId="31">#REF!</definedName>
    <definedName name="__FYB08" localSheetId="29">#REF!</definedName>
    <definedName name="__FYB08">#REF!</definedName>
    <definedName name="__FYB10" localSheetId="3">#REF!</definedName>
    <definedName name="__FYB10" localSheetId="30">#REF!</definedName>
    <definedName name="__FYB10" localSheetId="31">#REF!</definedName>
    <definedName name="__FYB10" localSheetId="29">#REF!</definedName>
    <definedName name="__FYB10">#REF!</definedName>
    <definedName name="__g2" localSheetId="14" hidden="1">{"TAB1",#N/A,TRUE,"GENERAL";"TAB2",#N/A,TRUE,"GENERAL";"TAB3",#N/A,TRUE,"GENERAL";"TAB4",#N/A,TRUE,"GENERAL";"TAB5",#N/A,TRUE,"GENERAL"}</definedName>
    <definedName name="__g2" localSheetId="16" hidden="1">{"TAB1",#N/A,TRUE,"GENERAL";"TAB2",#N/A,TRUE,"GENERAL";"TAB3",#N/A,TRUE,"GENERAL";"TAB4",#N/A,TRUE,"GENERAL";"TAB5",#N/A,TRUE,"GENERAL"}</definedName>
    <definedName name="__g2" localSheetId="17" hidden="1">{"TAB1",#N/A,TRUE,"GENERAL";"TAB2",#N/A,TRUE,"GENERAL";"TAB3",#N/A,TRUE,"GENERAL";"TAB4",#N/A,TRUE,"GENERAL";"TAB5",#N/A,TRUE,"GENERAL"}</definedName>
    <definedName name="__g2" localSheetId="13" hidden="1">{"TAB1",#N/A,TRUE,"GENERAL";"TAB2",#N/A,TRUE,"GENERAL";"TAB3",#N/A,TRUE,"GENERAL";"TAB4",#N/A,TRUE,"GENERAL";"TAB5",#N/A,TRUE,"GENERAL"}</definedName>
    <definedName name="__g2" localSheetId="15" hidden="1">{"TAB1",#N/A,TRUE,"GENERAL";"TAB2",#N/A,TRUE,"GENERAL";"TAB3",#N/A,TRUE,"GENERAL";"TAB4",#N/A,TRUE,"GENERAL";"TAB5",#N/A,TRUE,"GENERAL"}</definedName>
    <definedName name="__g2" hidden="1">{"TAB1",#N/A,TRUE,"GENERAL";"TAB2",#N/A,TRUE,"GENERAL";"TAB3",#N/A,TRUE,"GENERAL";"TAB4",#N/A,TRUE,"GENERAL";"TAB5",#N/A,TRUE,"GENERAL"}</definedName>
    <definedName name="__g3" localSheetId="14" hidden="1">{"via1",#N/A,TRUE,"general";"via2",#N/A,TRUE,"general";"via3",#N/A,TRUE,"general"}</definedName>
    <definedName name="__g3" localSheetId="16" hidden="1">{"via1",#N/A,TRUE,"general";"via2",#N/A,TRUE,"general";"via3",#N/A,TRUE,"general"}</definedName>
    <definedName name="__g3" localSheetId="17" hidden="1">{"via1",#N/A,TRUE,"general";"via2",#N/A,TRUE,"general";"via3",#N/A,TRUE,"general"}</definedName>
    <definedName name="__g3" localSheetId="13" hidden="1">{"via1",#N/A,TRUE,"general";"via2",#N/A,TRUE,"general";"via3",#N/A,TRUE,"general"}</definedName>
    <definedName name="__g3" localSheetId="15" hidden="1">{"via1",#N/A,TRUE,"general";"via2",#N/A,TRUE,"general";"via3",#N/A,TRUE,"general"}</definedName>
    <definedName name="__g3" hidden="1">{"via1",#N/A,TRUE,"general";"via2",#N/A,TRUE,"general";"via3",#N/A,TRUE,"general"}</definedName>
    <definedName name="__g4" localSheetId="14" hidden="1">{"via1",#N/A,TRUE,"general";"via2",#N/A,TRUE,"general";"via3",#N/A,TRUE,"general"}</definedName>
    <definedName name="__g4" localSheetId="16" hidden="1">{"via1",#N/A,TRUE,"general";"via2",#N/A,TRUE,"general";"via3",#N/A,TRUE,"general"}</definedName>
    <definedName name="__g4" localSheetId="17" hidden="1">{"via1",#N/A,TRUE,"general";"via2",#N/A,TRUE,"general";"via3",#N/A,TRUE,"general"}</definedName>
    <definedName name="__g4" localSheetId="13" hidden="1">{"via1",#N/A,TRUE,"general";"via2",#N/A,TRUE,"general";"via3",#N/A,TRUE,"general"}</definedName>
    <definedName name="__g4" localSheetId="15" hidden="1">{"via1",#N/A,TRUE,"general";"via2",#N/A,TRUE,"general";"via3",#N/A,TRUE,"general"}</definedName>
    <definedName name="__g4" hidden="1">{"via1",#N/A,TRUE,"general";"via2",#N/A,TRUE,"general";"via3",#N/A,TRUE,"general"}</definedName>
    <definedName name="__g5" localSheetId="14" hidden="1">{"via1",#N/A,TRUE,"general";"via2",#N/A,TRUE,"general";"via3",#N/A,TRUE,"general"}</definedName>
    <definedName name="__g5" localSheetId="16" hidden="1">{"via1",#N/A,TRUE,"general";"via2",#N/A,TRUE,"general";"via3",#N/A,TRUE,"general"}</definedName>
    <definedName name="__g5" localSheetId="17" hidden="1">{"via1",#N/A,TRUE,"general";"via2",#N/A,TRUE,"general";"via3",#N/A,TRUE,"general"}</definedName>
    <definedName name="__g5" localSheetId="13" hidden="1">{"via1",#N/A,TRUE,"general";"via2",#N/A,TRUE,"general";"via3",#N/A,TRUE,"general"}</definedName>
    <definedName name="__g5" localSheetId="15" hidden="1">{"via1",#N/A,TRUE,"general";"via2",#N/A,TRUE,"general";"via3",#N/A,TRUE,"general"}</definedName>
    <definedName name="__g5" hidden="1">{"via1",#N/A,TRUE,"general";"via2",#N/A,TRUE,"general";"via3",#N/A,TRUE,"general"}</definedName>
    <definedName name="__g6" localSheetId="14" hidden="1">{"via1",#N/A,TRUE,"general";"via2",#N/A,TRUE,"general";"via3",#N/A,TRUE,"general"}</definedName>
    <definedName name="__g6" localSheetId="16" hidden="1">{"via1",#N/A,TRUE,"general";"via2",#N/A,TRUE,"general";"via3",#N/A,TRUE,"general"}</definedName>
    <definedName name="__g6" localSheetId="17" hidden="1">{"via1",#N/A,TRUE,"general";"via2",#N/A,TRUE,"general";"via3",#N/A,TRUE,"general"}</definedName>
    <definedName name="__g6" localSheetId="13" hidden="1">{"via1",#N/A,TRUE,"general";"via2",#N/A,TRUE,"general";"via3",#N/A,TRUE,"general"}</definedName>
    <definedName name="__g6" localSheetId="15" hidden="1">{"via1",#N/A,TRUE,"general";"via2",#N/A,TRUE,"general";"via3",#N/A,TRUE,"general"}</definedName>
    <definedName name="__g6" hidden="1">{"via1",#N/A,TRUE,"general";"via2",#N/A,TRUE,"general";"via3",#N/A,TRUE,"general"}</definedName>
    <definedName name="__g7" localSheetId="14" hidden="1">{"TAB1",#N/A,TRUE,"GENERAL";"TAB2",#N/A,TRUE,"GENERAL";"TAB3",#N/A,TRUE,"GENERAL";"TAB4",#N/A,TRUE,"GENERAL";"TAB5",#N/A,TRUE,"GENERAL"}</definedName>
    <definedName name="__g7" localSheetId="16" hidden="1">{"TAB1",#N/A,TRUE,"GENERAL";"TAB2",#N/A,TRUE,"GENERAL";"TAB3",#N/A,TRUE,"GENERAL";"TAB4",#N/A,TRUE,"GENERAL";"TAB5",#N/A,TRUE,"GENERAL"}</definedName>
    <definedName name="__g7" localSheetId="17" hidden="1">{"TAB1",#N/A,TRUE,"GENERAL";"TAB2",#N/A,TRUE,"GENERAL";"TAB3",#N/A,TRUE,"GENERAL";"TAB4",#N/A,TRUE,"GENERAL";"TAB5",#N/A,TRUE,"GENERAL"}</definedName>
    <definedName name="__g7" localSheetId="13" hidden="1">{"TAB1",#N/A,TRUE,"GENERAL";"TAB2",#N/A,TRUE,"GENERAL";"TAB3",#N/A,TRUE,"GENERAL";"TAB4",#N/A,TRUE,"GENERAL";"TAB5",#N/A,TRUE,"GENERAL"}</definedName>
    <definedName name="__g7" localSheetId="15" hidden="1">{"TAB1",#N/A,TRUE,"GENERAL";"TAB2",#N/A,TRUE,"GENERAL";"TAB3",#N/A,TRUE,"GENERAL";"TAB4",#N/A,TRUE,"GENERAL";"TAB5",#N/A,TRUE,"GENERAL"}</definedName>
    <definedName name="__g7" hidden="1">{"TAB1",#N/A,TRUE,"GENERAL";"TAB2",#N/A,TRUE,"GENERAL";"TAB3",#N/A,TRUE,"GENERAL";"TAB4",#N/A,TRUE,"GENERAL";"TAB5",#N/A,TRUE,"GENERAL"}</definedName>
    <definedName name="__GR1" localSheetId="14" hidden="1">{"TAB1",#N/A,TRUE,"GENERAL";"TAB2",#N/A,TRUE,"GENERAL";"TAB3",#N/A,TRUE,"GENERAL";"TAB4",#N/A,TRUE,"GENERAL";"TAB5",#N/A,TRUE,"GENERAL"}</definedName>
    <definedName name="__GR1" localSheetId="16" hidden="1">{"TAB1",#N/A,TRUE,"GENERAL";"TAB2",#N/A,TRUE,"GENERAL";"TAB3",#N/A,TRUE,"GENERAL";"TAB4",#N/A,TRUE,"GENERAL";"TAB5",#N/A,TRUE,"GENERAL"}</definedName>
    <definedName name="__GR1" localSheetId="17" hidden="1">{"TAB1",#N/A,TRUE,"GENERAL";"TAB2",#N/A,TRUE,"GENERAL";"TAB3",#N/A,TRUE,"GENERAL";"TAB4",#N/A,TRUE,"GENERAL";"TAB5",#N/A,TRUE,"GENERAL"}</definedName>
    <definedName name="__GR1" localSheetId="13" hidden="1">{"TAB1",#N/A,TRUE,"GENERAL";"TAB2",#N/A,TRUE,"GENERAL";"TAB3",#N/A,TRUE,"GENERAL";"TAB4",#N/A,TRUE,"GENERAL";"TAB5",#N/A,TRUE,"GENERAL"}</definedName>
    <definedName name="__GR1" localSheetId="15" hidden="1">{"TAB1",#N/A,TRUE,"GENERAL";"TAB2",#N/A,TRUE,"GENERAL";"TAB3",#N/A,TRUE,"GENERAL";"TAB4",#N/A,TRUE,"GENERAL";"TAB5",#N/A,TRUE,"GENERAL"}</definedName>
    <definedName name="__GR1" hidden="1">{"TAB1",#N/A,TRUE,"GENERAL";"TAB2",#N/A,TRUE,"GENERAL";"TAB3",#N/A,TRUE,"GENERAL";"TAB4",#N/A,TRUE,"GENERAL";"TAB5",#N/A,TRUE,"GENERAL"}</definedName>
    <definedName name="__gtr4" localSheetId="14" hidden="1">{"via1",#N/A,TRUE,"general";"via2",#N/A,TRUE,"general";"via3",#N/A,TRUE,"general"}</definedName>
    <definedName name="__gtr4" localSheetId="16" hidden="1">{"via1",#N/A,TRUE,"general";"via2",#N/A,TRUE,"general";"via3",#N/A,TRUE,"general"}</definedName>
    <definedName name="__gtr4" localSheetId="17" hidden="1">{"via1",#N/A,TRUE,"general";"via2",#N/A,TRUE,"general";"via3",#N/A,TRUE,"general"}</definedName>
    <definedName name="__gtr4" localSheetId="13" hidden="1">{"via1",#N/A,TRUE,"general";"via2",#N/A,TRUE,"general";"via3",#N/A,TRUE,"general"}</definedName>
    <definedName name="__gtr4" localSheetId="15" hidden="1">{"via1",#N/A,TRUE,"general";"via2",#N/A,TRUE,"general";"via3",#N/A,TRUE,"general"}</definedName>
    <definedName name="__gtr4" hidden="1">{"via1",#N/A,TRUE,"general";"via2",#N/A,TRUE,"general";"via3",#N/A,TRUE,"general"}</definedName>
    <definedName name="__h2" localSheetId="14" hidden="1">{"via1",#N/A,TRUE,"general";"via2",#N/A,TRUE,"general";"via3",#N/A,TRUE,"general"}</definedName>
    <definedName name="__h2" localSheetId="16" hidden="1">{"via1",#N/A,TRUE,"general";"via2",#N/A,TRUE,"general";"via3",#N/A,TRUE,"general"}</definedName>
    <definedName name="__h2" localSheetId="17" hidden="1">{"via1",#N/A,TRUE,"general";"via2",#N/A,TRUE,"general";"via3",#N/A,TRUE,"general"}</definedName>
    <definedName name="__h2" localSheetId="13" hidden="1">{"via1",#N/A,TRUE,"general";"via2",#N/A,TRUE,"general";"via3",#N/A,TRUE,"general"}</definedName>
    <definedName name="__h2" localSheetId="15" hidden="1">{"via1",#N/A,TRUE,"general";"via2",#N/A,TRUE,"general";"via3",#N/A,TRUE,"general"}</definedName>
    <definedName name="__h2" hidden="1">{"via1",#N/A,TRUE,"general";"via2",#N/A,TRUE,"general";"via3",#N/A,TRUE,"general"}</definedName>
    <definedName name="__h3" localSheetId="14" hidden="1">{"via1",#N/A,TRUE,"general";"via2",#N/A,TRUE,"general";"via3",#N/A,TRUE,"general"}</definedName>
    <definedName name="__h3" localSheetId="16" hidden="1">{"via1",#N/A,TRUE,"general";"via2",#N/A,TRUE,"general";"via3",#N/A,TRUE,"general"}</definedName>
    <definedName name="__h3" localSheetId="17" hidden="1">{"via1",#N/A,TRUE,"general";"via2",#N/A,TRUE,"general";"via3",#N/A,TRUE,"general"}</definedName>
    <definedName name="__h3" localSheetId="13" hidden="1">{"via1",#N/A,TRUE,"general";"via2",#N/A,TRUE,"general";"via3",#N/A,TRUE,"general"}</definedName>
    <definedName name="__h3" localSheetId="15" hidden="1">{"via1",#N/A,TRUE,"general";"via2",#N/A,TRUE,"general";"via3",#N/A,TRUE,"general"}</definedName>
    <definedName name="__h3" hidden="1">{"via1",#N/A,TRUE,"general";"via2",#N/A,TRUE,"general";"via3",#N/A,TRUE,"general"}</definedName>
    <definedName name="__h4" localSheetId="14" hidden="1">{"TAB1",#N/A,TRUE,"GENERAL";"TAB2",#N/A,TRUE,"GENERAL";"TAB3",#N/A,TRUE,"GENERAL";"TAB4",#N/A,TRUE,"GENERAL";"TAB5",#N/A,TRUE,"GENERAL"}</definedName>
    <definedName name="__h4" localSheetId="16" hidden="1">{"TAB1",#N/A,TRUE,"GENERAL";"TAB2",#N/A,TRUE,"GENERAL";"TAB3",#N/A,TRUE,"GENERAL";"TAB4",#N/A,TRUE,"GENERAL";"TAB5",#N/A,TRUE,"GENERAL"}</definedName>
    <definedName name="__h4" localSheetId="17" hidden="1">{"TAB1",#N/A,TRUE,"GENERAL";"TAB2",#N/A,TRUE,"GENERAL";"TAB3",#N/A,TRUE,"GENERAL";"TAB4",#N/A,TRUE,"GENERAL";"TAB5",#N/A,TRUE,"GENERAL"}</definedName>
    <definedName name="__h4" localSheetId="13" hidden="1">{"TAB1",#N/A,TRUE,"GENERAL";"TAB2",#N/A,TRUE,"GENERAL";"TAB3",#N/A,TRUE,"GENERAL";"TAB4",#N/A,TRUE,"GENERAL";"TAB5",#N/A,TRUE,"GENERAL"}</definedName>
    <definedName name="__h4" localSheetId="15" hidden="1">{"TAB1",#N/A,TRUE,"GENERAL";"TAB2",#N/A,TRUE,"GENERAL";"TAB3",#N/A,TRUE,"GENERAL";"TAB4",#N/A,TRUE,"GENERAL";"TAB5",#N/A,TRUE,"GENERAL"}</definedName>
    <definedName name="__h4" hidden="1">{"TAB1",#N/A,TRUE,"GENERAL";"TAB2",#N/A,TRUE,"GENERAL";"TAB3",#N/A,TRUE,"GENERAL";"TAB4",#N/A,TRUE,"GENERAL";"TAB5",#N/A,TRUE,"GENERAL"}</definedName>
    <definedName name="__h5" localSheetId="14" hidden="1">{"TAB1",#N/A,TRUE,"GENERAL";"TAB2",#N/A,TRUE,"GENERAL";"TAB3",#N/A,TRUE,"GENERAL";"TAB4",#N/A,TRUE,"GENERAL";"TAB5",#N/A,TRUE,"GENERAL"}</definedName>
    <definedName name="__h5" localSheetId="16" hidden="1">{"TAB1",#N/A,TRUE,"GENERAL";"TAB2",#N/A,TRUE,"GENERAL";"TAB3",#N/A,TRUE,"GENERAL";"TAB4",#N/A,TRUE,"GENERAL";"TAB5",#N/A,TRUE,"GENERAL"}</definedName>
    <definedName name="__h5" localSheetId="17" hidden="1">{"TAB1",#N/A,TRUE,"GENERAL";"TAB2",#N/A,TRUE,"GENERAL";"TAB3",#N/A,TRUE,"GENERAL";"TAB4",#N/A,TRUE,"GENERAL";"TAB5",#N/A,TRUE,"GENERAL"}</definedName>
    <definedName name="__h5" localSheetId="13" hidden="1">{"TAB1",#N/A,TRUE,"GENERAL";"TAB2",#N/A,TRUE,"GENERAL";"TAB3",#N/A,TRUE,"GENERAL";"TAB4",#N/A,TRUE,"GENERAL";"TAB5",#N/A,TRUE,"GENERAL"}</definedName>
    <definedName name="__h5" localSheetId="15" hidden="1">{"TAB1",#N/A,TRUE,"GENERAL";"TAB2",#N/A,TRUE,"GENERAL";"TAB3",#N/A,TRUE,"GENERAL";"TAB4",#N/A,TRUE,"GENERAL";"TAB5",#N/A,TRUE,"GENERAL"}</definedName>
    <definedName name="__h5" hidden="1">{"TAB1",#N/A,TRUE,"GENERAL";"TAB2",#N/A,TRUE,"GENERAL";"TAB3",#N/A,TRUE,"GENERAL";"TAB4",#N/A,TRUE,"GENERAL";"TAB5",#N/A,TRUE,"GENERAL"}</definedName>
    <definedName name="__h6" localSheetId="14" hidden="1">{"via1",#N/A,TRUE,"general";"via2",#N/A,TRUE,"general";"via3",#N/A,TRUE,"general"}</definedName>
    <definedName name="__h6" localSheetId="16" hidden="1">{"via1",#N/A,TRUE,"general";"via2",#N/A,TRUE,"general";"via3",#N/A,TRUE,"general"}</definedName>
    <definedName name="__h6" localSheetId="17" hidden="1">{"via1",#N/A,TRUE,"general";"via2",#N/A,TRUE,"general";"via3",#N/A,TRUE,"general"}</definedName>
    <definedName name="__h6" localSheetId="13" hidden="1">{"via1",#N/A,TRUE,"general";"via2",#N/A,TRUE,"general";"via3",#N/A,TRUE,"general"}</definedName>
    <definedName name="__h6" localSheetId="15" hidden="1">{"via1",#N/A,TRUE,"general";"via2",#N/A,TRUE,"general";"via3",#N/A,TRUE,"general"}</definedName>
    <definedName name="__h6" hidden="1">{"via1",#N/A,TRUE,"general";"via2",#N/A,TRUE,"general";"via3",#N/A,TRUE,"general"}</definedName>
    <definedName name="__h7" localSheetId="14" hidden="1">{"TAB1",#N/A,TRUE,"GENERAL";"TAB2",#N/A,TRUE,"GENERAL";"TAB3",#N/A,TRUE,"GENERAL";"TAB4",#N/A,TRUE,"GENERAL";"TAB5",#N/A,TRUE,"GENERAL"}</definedName>
    <definedName name="__h7" localSheetId="16" hidden="1">{"TAB1",#N/A,TRUE,"GENERAL";"TAB2",#N/A,TRUE,"GENERAL";"TAB3",#N/A,TRUE,"GENERAL";"TAB4",#N/A,TRUE,"GENERAL";"TAB5",#N/A,TRUE,"GENERAL"}</definedName>
    <definedName name="__h7" localSheetId="17" hidden="1">{"TAB1",#N/A,TRUE,"GENERAL";"TAB2",#N/A,TRUE,"GENERAL";"TAB3",#N/A,TRUE,"GENERAL";"TAB4",#N/A,TRUE,"GENERAL";"TAB5",#N/A,TRUE,"GENERAL"}</definedName>
    <definedName name="__h7" localSheetId="13" hidden="1">{"TAB1",#N/A,TRUE,"GENERAL";"TAB2",#N/A,TRUE,"GENERAL";"TAB3",#N/A,TRUE,"GENERAL";"TAB4",#N/A,TRUE,"GENERAL";"TAB5",#N/A,TRUE,"GENERAL"}</definedName>
    <definedName name="__h7" localSheetId="15" hidden="1">{"TAB1",#N/A,TRUE,"GENERAL";"TAB2",#N/A,TRUE,"GENERAL";"TAB3",#N/A,TRUE,"GENERAL";"TAB4",#N/A,TRUE,"GENERAL";"TAB5",#N/A,TRUE,"GENERAL"}</definedName>
    <definedName name="__h7" hidden="1">{"TAB1",#N/A,TRUE,"GENERAL";"TAB2",#N/A,TRUE,"GENERAL";"TAB3",#N/A,TRUE,"GENERAL";"TAB4",#N/A,TRUE,"GENERAL";"TAB5",#N/A,TRUE,"GENERAL"}</definedName>
    <definedName name="__h8" localSheetId="14" hidden="1">{"via1",#N/A,TRUE,"general";"via2",#N/A,TRUE,"general";"via3",#N/A,TRUE,"general"}</definedName>
    <definedName name="__h8" localSheetId="16" hidden="1">{"via1",#N/A,TRUE,"general";"via2",#N/A,TRUE,"general";"via3",#N/A,TRUE,"general"}</definedName>
    <definedName name="__h8" localSheetId="17" hidden="1">{"via1",#N/A,TRUE,"general";"via2",#N/A,TRUE,"general";"via3",#N/A,TRUE,"general"}</definedName>
    <definedName name="__h8" localSheetId="13" hidden="1">{"via1",#N/A,TRUE,"general";"via2",#N/A,TRUE,"general";"via3",#N/A,TRUE,"general"}</definedName>
    <definedName name="__h8" localSheetId="15" hidden="1">{"via1",#N/A,TRUE,"general";"via2",#N/A,TRUE,"general";"via3",#N/A,TRUE,"general"}</definedName>
    <definedName name="__h8" hidden="1">{"via1",#N/A,TRUE,"general";"via2",#N/A,TRUE,"general";"via3",#N/A,TRUE,"general"}</definedName>
    <definedName name="__hfh7" localSheetId="14" hidden="1">{"via1",#N/A,TRUE,"general";"via2",#N/A,TRUE,"general";"via3",#N/A,TRUE,"general"}</definedName>
    <definedName name="__hfh7" localSheetId="16" hidden="1">{"via1",#N/A,TRUE,"general";"via2",#N/A,TRUE,"general";"via3",#N/A,TRUE,"general"}</definedName>
    <definedName name="__hfh7" localSheetId="17" hidden="1">{"via1",#N/A,TRUE,"general";"via2",#N/A,TRUE,"general";"via3",#N/A,TRUE,"general"}</definedName>
    <definedName name="__hfh7" localSheetId="13" hidden="1">{"via1",#N/A,TRUE,"general";"via2",#N/A,TRUE,"general";"via3",#N/A,TRUE,"general"}</definedName>
    <definedName name="__hfh7" localSheetId="15" hidden="1">{"via1",#N/A,TRUE,"general";"via2",#N/A,TRUE,"general";"via3",#N/A,TRUE,"general"}</definedName>
    <definedName name="__hfh7" hidden="1">{"via1",#N/A,TRUE,"general";"via2",#N/A,TRUE,"general";"via3",#N/A,TRUE,"general"}</definedName>
    <definedName name="__HUM1">[7]DATBAND!$I$3:$I$469</definedName>
    <definedName name="__HUM2">[7]DATBAND!$J$3:$J$453</definedName>
    <definedName name="__i1">#REF!</definedName>
    <definedName name="__i4" localSheetId="14" hidden="1">{"via1",#N/A,TRUE,"general";"via2",#N/A,TRUE,"general";"via3",#N/A,TRUE,"general"}</definedName>
    <definedName name="__i4" localSheetId="16" hidden="1">{"via1",#N/A,TRUE,"general";"via2",#N/A,TRUE,"general";"via3",#N/A,TRUE,"general"}</definedName>
    <definedName name="__i4" localSheetId="17" hidden="1">{"via1",#N/A,TRUE,"general";"via2",#N/A,TRUE,"general";"via3",#N/A,TRUE,"general"}</definedName>
    <definedName name="__i4" localSheetId="13" hidden="1">{"via1",#N/A,TRUE,"general";"via2",#N/A,TRUE,"general";"via3",#N/A,TRUE,"general"}</definedName>
    <definedName name="__i4" localSheetId="15" hidden="1">{"via1",#N/A,TRUE,"general";"via2",#N/A,TRUE,"general";"via3",#N/A,TRUE,"general"}</definedName>
    <definedName name="__i4" hidden="1">{"via1",#N/A,TRUE,"general";"via2",#N/A,TRUE,"general";"via3",#N/A,TRUE,"general"}</definedName>
    <definedName name="__i5" localSheetId="14" hidden="1">{"TAB1",#N/A,TRUE,"GENERAL";"TAB2",#N/A,TRUE,"GENERAL";"TAB3",#N/A,TRUE,"GENERAL";"TAB4",#N/A,TRUE,"GENERAL";"TAB5",#N/A,TRUE,"GENERAL"}</definedName>
    <definedName name="__i5" localSheetId="16" hidden="1">{"TAB1",#N/A,TRUE,"GENERAL";"TAB2",#N/A,TRUE,"GENERAL";"TAB3",#N/A,TRUE,"GENERAL";"TAB4",#N/A,TRUE,"GENERAL";"TAB5",#N/A,TRUE,"GENERAL"}</definedName>
    <definedName name="__i5" localSheetId="17" hidden="1">{"TAB1",#N/A,TRUE,"GENERAL";"TAB2",#N/A,TRUE,"GENERAL";"TAB3",#N/A,TRUE,"GENERAL";"TAB4",#N/A,TRUE,"GENERAL";"TAB5",#N/A,TRUE,"GENERAL"}</definedName>
    <definedName name="__i5" localSheetId="13" hidden="1">{"TAB1",#N/A,TRUE,"GENERAL";"TAB2",#N/A,TRUE,"GENERAL";"TAB3",#N/A,TRUE,"GENERAL";"TAB4",#N/A,TRUE,"GENERAL";"TAB5",#N/A,TRUE,"GENERAL"}</definedName>
    <definedName name="__i5" localSheetId="15" hidden="1">{"TAB1",#N/A,TRUE,"GENERAL";"TAB2",#N/A,TRUE,"GENERAL";"TAB3",#N/A,TRUE,"GENERAL";"TAB4",#N/A,TRUE,"GENERAL";"TAB5",#N/A,TRUE,"GENERAL"}</definedName>
    <definedName name="__i5" hidden="1">{"TAB1",#N/A,TRUE,"GENERAL";"TAB2",#N/A,TRUE,"GENERAL";"TAB3",#N/A,TRUE,"GENERAL";"TAB4",#N/A,TRUE,"GENERAL";"TAB5",#N/A,TRUE,"GENERAL"}</definedName>
    <definedName name="__i6" localSheetId="14" hidden="1">{"TAB1",#N/A,TRUE,"GENERAL";"TAB2",#N/A,TRUE,"GENERAL";"TAB3",#N/A,TRUE,"GENERAL";"TAB4",#N/A,TRUE,"GENERAL";"TAB5",#N/A,TRUE,"GENERAL"}</definedName>
    <definedName name="__i6" localSheetId="16" hidden="1">{"TAB1",#N/A,TRUE,"GENERAL";"TAB2",#N/A,TRUE,"GENERAL";"TAB3",#N/A,TRUE,"GENERAL";"TAB4",#N/A,TRUE,"GENERAL";"TAB5",#N/A,TRUE,"GENERAL"}</definedName>
    <definedName name="__i6" localSheetId="17" hidden="1">{"TAB1",#N/A,TRUE,"GENERAL";"TAB2",#N/A,TRUE,"GENERAL";"TAB3",#N/A,TRUE,"GENERAL";"TAB4",#N/A,TRUE,"GENERAL";"TAB5",#N/A,TRUE,"GENERAL"}</definedName>
    <definedName name="__i6" localSheetId="13" hidden="1">{"TAB1",#N/A,TRUE,"GENERAL";"TAB2",#N/A,TRUE,"GENERAL";"TAB3",#N/A,TRUE,"GENERAL";"TAB4",#N/A,TRUE,"GENERAL";"TAB5",#N/A,TRUE,"GENERAL"}</definedName>
    <definedName name="__i6" localSheetId="15" hidden="1">{"TAB1",#N/A,TRUE,"GENERAL";"TAB2",#N/A,TRUE,"GENERAL";"TAB3",#N/A,TRUE,"GENERAL";"TAB4",#N/A,TRUE,"GENERAL";"TAB5",#N/A,TRUE,"GENERAL"}</definedName>
    <definedName name="__i6" hidden="1">{"TAB1",#N/A,TRUE,"GENERAL";"TAB2",#N/A,TRUE,"GENERAL";"TAB3",#N/A,TRUE,"GENERAL";"TAB4",#N/A,TRUE,"GENERAL";"TAB5",#N/A,TRUE,"GENERAL"}</definedName>
    <definedName name="__i7" localSheetId="14" hidden="1">{"via1",#N/A,TRUE,"general";"via2",#N/A,TRUE,"general";"via3",#N/A,TRUE,"general"}</definedName>
    <definedName name="__i7" localSheetId="16" hidden="1">{"via1",#N/A,TRUE,"general";"via2",#N/A,TRUE,"general";"via3",#N/A,TRUE,"general"}</definedName>
    <definedName name="__i7" localSheetId="17" hidden="1">{"via1",#N/A,TRUE,"general";"via2",#N/A,TRUE,"general";"via3",#N/A,TRUE,"general"}</definedName>
    <definedName name="__i7" localSheetId="13" hidden="1">{"via1",#N/A,TRUE,"general";"via2",#N/A,TRUE,"general";"via3",#N/A,TRUE,"general"}</definedName>
    <definedName name="__i7" localSheetId="15" hidden="1">{"via1",#N/A,TRUE,"general";"via2",#N/A,TRUE,"general";"via3",#N/A,TRUE,"general"}</definedName>
    <definedName name="__i7" hidden="1">{"via1",#N/A,TRUE,"general";"via2",#N/A,TRUE,"general";"via3",#N/A,TRUE,"general"}</definedName>
    <definedName name="__i77" localSheetId="14" hidden="1">{"TAB1",#N/A,TRUE,"GENERAL";"TAB2",#N/A,TRUE,"GENERAL";"TAB3",#N/A,TRUE,"GENERAL";"TAB4",#N/A,TRUE,"GENERAL";"TAB5",#N/A,TRUE,"GENERAL"}</definedName>
    <definedName name="__i77" localSheetId="16" hidden="1">{"TAB1",#N/A,TRUE,"GENERAL";"TAB2",#N/A,TRUE,"GENERAL";"TAB3",#N/A,TRUE,"GENERAL";"TAB4",#N/A,TRUE,"GENERAL";"TAB5",#N/A,TRUE,"GENERAL"}</definedName>
    <definedName name="__i77" localSheetId="17" hidden="1">{"TAB1",#N/A,TRUE,"GENERAL";"TAB2",#N/A,TRUE,"GENERAL";"TAB3",#N/A,TRUE,"GENERAL";"TAB4",#N/A,TRUE,"GENERAL";"TAB5",#N/A,TRUE,"GENERAL"}</definedName>
    <definedName name="__i77" localSheetId="13" hidden="1">{"TAB1",#N/A,TRUE,"GENERAL";"TAB2",#N/A,TRUE,"GENERAL";"TAB3",#N/A,TRUE,"GENERAL";"TAB4",#N/A,TRUE,"GENERAL";"TAB5",#N/A,TRUE,"GENERAL"}</definedName>
    <definedName name="__i77" localSheetId="15" hidden="1">{"TAB1",#N/A,TRUE,"GENERAL";"TAB2",#N/A,TRUE,"GENERAL";"TAB3",#N/A,TRUE,"GENERAL";"TAB4",#N/A,TRUE,"GENERAL";"TAB5",#N/A,TRUE,"GENERAL"}</definedName>
    <definedName name="__i77" hidden="1">{"TAB1",#N/A,TRUE,"GENERAL";"TAB2",#N/A,TRUE,"GENERAL";"TAB3",#N/A,TRUE,"GENERAL";"TAB4",#N/A,TRUE,"GENERAL";"TAB5",#N/A,TRUE,"GENERAL"}</definedName>
    <definedName name="__i8" localSheetId="14" hidden="1">{"via1",#N/A,TRUE,"general";"via2",#N/A,TRUE,"general";"via3",#N/A,TRUE,"general"}</definedName>
    <definedName name="__i8" localSheetId="16" hidden="1">{"via1",#N/A,TRUE,"general";"via2",#N/A,TRUE,"general";"via3",#N/A,TRUE,"general"}</definedName>
    <definedName name="__i8" localSheetId="17" hidden="1">{"via1",#N/A,TRUE,"general";"via2",#N/A,TRUE,"general";"via3",#N/A,TRUE,"general"}</definedName>
    <definedName name="__i8" localSheetId="13" hidden="1">{"via1",#N/A,TRUE,"general";"via2",#N/A,TRUE,"general";"via3",#N/A,TRUE,"general"}</definedName>
    <definedName name="__i8" localSheetId="15" hidden="1">{"via1",#N/A,TRUE,"general";"via2",#N/A,TRUE,"general";"via3",#N/A,TRUE,"general"}</definedName>
    <definedName name="__i8" hidden="1">{"via1",#N/A,TRUE,"general";"via2",#N/A,TRUE,"general";"via3",#N/A,TRUE,"general"}</definedName>
    <definedName name="__i9" localSheetId="14" hidden="1">{"TAB1",#N/A,TRUE,"GENERAL";"TAB2",#N/A,TRUE,"GENERAL";"TAB3",#N/A,TRUE,"GENERAL";"TAB4",#N/A,TRUE,"GENERAL";"TAB5",#N/A,TRUE,"GENERAL"}</definedName>
    <definedName name="__i9" localSheetId="16" hidden="1">{"TAB1",#N/A,TRUE,"GENERAL";"TAB2",#N/A,TRUE,"GENERAL";"TAB3",#N/A,TRUE,"GENERAL";"TAB4",#N/A,TRUE,"GENERAL";"TAB5",#N/A,TRUE,"GENERAL"}</definedName>
    <definedName name="__i9" localSheetId="17" hidden="1">{"TAB1",#N/A,TRUE,"GENERAL";"TAB2",#N/A,TRUE,"GENERAL";"TAB3",#N/A,TRUE,"GENERAL";"TAB4",#N/A,TRUE,"GENERAL";"TAB5",#N/A,TRUE,"GENERAL"}</definedName>
    <definedName name="__i9" localSheetId="13" hidden="1">{"TAB1",#N/A,TRUE,"GENERAL";"TAB2",#N/A,TRUE,"GENERAL";"TAB3",#N/A,TRUE,"GENERAL";"TAB4",#N/A,TRUE,"GENERAL";"TAB5",#N/A,TRUE,"GENERAL"}</definedName>
    <definedName name="__i9" localSheetId="15"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ITM4">#REF!</definedName>
    <definedName name="__k3" localSheetId="14" hidden="1">{"TAB1",#N/A,TRUE,"GENERAL";"TAB2",#N/A,TRUE,"GENERAL";"TAB3",#N/A,TRUE,"GENERAL";"TAB4",#N/A,TRUE,"GENERAL";"TAB5",#N/A,TRUE,"GENERAL"}</definedName>
    <definedName name="__k3" localSheetId="16" hidden="1">{"TAB1",#N/A,TRUE,"GENERAL";"TAB2",#N/A,TRUE,"GENERAL";"TAB3",#N/A,TRUE,"GENERAL";"TAB4",#N/A,TRUE,"GENERAL";"TAB5",#N/A,TRUE,"GENERAL"}</definedName>
    <definedName name="__k3" localSheetId="17" hidden="1">{"TAB1",#N/A,TRUE,"GENERAL";"TAB2",#N/A,TRUE,"GENERAL";"TAB3",#N/A,TRUE,"GENERAL";"TAB4",#N/A,TRUE,"GENERAL";"TAB5",#N/A,TRUE,"GENERAL"}</definedName>
    <definedName name="__k3" localSheetId="13" hidden="1">{"TAB1",#N/A,TRUE,"GENERAL";"TAB2",#N/A,TRUE,"GENERAL";"TAB3",#N/A,TRUE,"GENERAL";"TAB4",#N/A,TRUE,"GENERAL";"TAB5",#N/A,TRUE,"GENERAL"}</definedName>
    <definedName name="__k3" localSheetId="15" hidden="1">{"TAB1",#N/A,TRUE,"GENERAL";"TAB2",#N/A,TRUE,"GENERAL";"TAB3",#N/A,TRUE,"GENERAL";"TAB4",#N/A,TRUE,"GENERAL";"TAB5",#N/A,TRUE,"GENERAL"}</definedName>
    <definedName name="__k3" hidden="1">{"TAB1",#N/A,TRUE,"GENERAL";"TAB2",#N/A,TRUE,"GENERAL";"TAB3",#N/A,TRUE,"GENERAL";"TAB4",#N/A,TRUE,"GENERAL";"TAB5",#N/A,TRUE,"GENERAL"}</definedName>
    <definedName name="__k4" localSheetId="14" hidden="1">{"via1",#N/A,TRUE,"general";"via2",#N/A,TRUE,"general";"via3",#N/A,TRUE,"general"}</definedName>
    <definedName name="__k4" localSheetId="16" hidden="1">{"via1",#N/A,TRUE,"general";"via2",#N/A,TRUE,"general";"via3",#N/A,TRUE,"general"}</definedName>
    <definedName name="__k4" localSheetId="17" hidden="1">{"via1",#N/A,TRUE,"general";"via2",#N/A,TRUE,"general";"via3",#N/A,TRUE,"general"}</definedName>
    <definedName name="__k4" localSheetId="13" hidden="1">{"via1",#N/A,TRUE,"general";"via2",#N/A,TRUE,"general";"via3",#N/A,TRUE,"general"}</definedName>
    <definedName name="__k4" localSheetId="15" hidden="1">{"via1",#N/A,TRUE,"general";"via2",#N/A,TRUE,"general";"via3",#N/A,TRUE,"general"}</definedName>
    <definedName name="__k4" hidden="1">{"via1",#N/A,TRUE,"general";"via2",#N/A,TRUE,"general";"via3",#N/A,TRUE,"general"}</definedName>
    <definedName name="__k5" localSheetId="14" hidden="1">{"via1",#N/A,TRUE,"general";"via2",#N/A,TRUE,"general";"via3",#N/A,TRUE,"general"}</definedName>
    <definedName name="__k5" localSheetId="16" hidden="1">{"via1",#N/A,TRUE,"general";"via2",#N/A,TRUE,"general";"via3",#N/A,TRUE,"general"}</definedName>
    <definedName name="__k5" localSheetId="17" hidden="1">{"via1",#N/A,TRUE,"general";"via2",#N/A,TRUE,"general";"via3",#N/A,TRUE,"general"}</definedName>
    <definedName name="__k5" localSheetId="13" hidden="1">{"via1",#N/A,TRUE,"general";"via2",#N/A,TRUE,"general";"via3",#N/A,TRUE,"general"}</definedName>
    <definedName name="__k5" localSheetId="15" hidden="1">{"via1",#N/A,TRUE,"general";"via2",#N/A,TRUE,"general";"via3",#N/A,TRUE,"general"}</definedName>
    <definedName name="__k5" hidden="1">{"via1",#N/A,TRUE,"general";"via2",#N/A,TRUE,"general";"via3",#N/A,TRUE,"general"}</definedName>
    <definedName name="__k6" localSheetId="14" hidden="1">{"TAB1",#N/A,TRUE,"GENERAL";"TAB2",#N/A,TRUE,"GENERAL";"TAB3",#N/A,TRUE,"GENERAL";"TAB4",#N/A,TRUE,"GENERAL";"TAB5",#N/A,TRUE,"GENERAL"}</definedName>
    <definedName name="__k6" localSheetId="16" hidden="1">{"TAB1",#N/A,TRUE,"GENERAL";"TAB2",#N/A,TRUE,"GENERAL";"TAB3",#N/A,TRUE,"GENERAL";"TAB4",#N/A,TRUE,"GENERAL";"TAB5",#N/A,TRUE,"GENERAL"}</definedName>
    <definedName name="__k6" localSheetId="17" hidden="1">{"TAB1",#N/A,TRUE,"GENERAL";"TAB2",#N/A,TRUE,"GENERAL";"TAB3",#N/A,TRUE,"GENERAL";"TAB4",#N/A,TRUE,"GENERAL";"TAB5",#N/A,TRUE,"GENERAL"}</definedName>
    <definedName name="__k6" localSheetId="13" hidden="1">{"TAB1",#N/A,TRUE,"GENERAL";"TAB2",#N/A,TRUE,"GENERAL";"TAB3",#N/A,TRUE,"GENERAL";"TAB4",#N/A,TRUE,"GENERAL";"TAB5",#N/A,TRUE,"GENERAL"}</definedName>
    <definedName name="__k6" localSheetId="15" hidden="1">{"TAB1",#N/A,TRUE,"GENERAL";"TAB2",#N/A,TRUE,"GENERAL";"TAB3",#N/A,TRUE,"GENERAL";"TAB4",#N/A,TRUE,"GENERAL";"TAB5",#N/A,TRUE,"GENERAL"}</definedName>
    <definedName name="__k6" hidden="1">{"TAB1",#N/A,TRUE,"GENERAL";"TAB2",#N/A,TRUE,"GENERAL";"TAB3",#N/A,TRUE,"GENERAL";"TAB4",#N/A,TRUE,"GENERAL";"TAB5",#N/A,TRUE,"GENERAL"}</definedName>
    <definedName name="__k7" localSheetId="14" hidden="1">{"via1",#N/A,TRUE,"general";"via2",#N/A,TRUE,"general";"via3",#N/A,TRUE,"general"}</definedName>
    <definedName name="__k7" localSheetId="16" hidden="1">{"via1",#N/A,TRUE,"general";"via2",#N/A,TRUE,"general";"via3",#N/A,TRUE,"general"}</definedName>
    <definedName name="__k7" localSheetId="17" hidden="1">{"via1",#N/A,TRUE,"general";"via2",#N/A,TRUE,"general";"via3",#N/A,TRUE,"general"}</definedName>
    <definedName name="__k7" localSheetId="13" hidden="1">{"via1",#N/A,TRUE,"general";"via2",#N/A,TRUE,"general";"via3",#N/A,TRUE,"general"}</definedName>
    <definedName name="__k7" localSheetId="15" hidden="1">{"via1",#N/A,TRUE,"general";"via2",#N/A,TRUE,"general";"via3",#N/A,TRUE,"general"}</definedName>
    <definedName name="__k7" hidden="1">{"via1",#N/A,TRUE,"general";"via2",#N/A,TRUE,"general";"via3",#N/A,TRUE,"general"}</definedName>
    <definedName name="__k8" localSheetId="14" hidden="1">{"via1",#N/A,TRUE,"general";"via2",#N/A,TRUE,"general";"via3",#N/A,TRUE,"general"}</definedName>
    <definedName name="__k8" localSheetId="16" hidden="1">{"via1",#N/A,TRUE,"general";"via2",#N/A,TRUE,"general";"via3",#N/A,TRUE,"general"}</definedName>
    <definedName name="__k8" localSheetId="17" hidden="1">{"via1",#N/A,TRUE,"general";"via2",#N/A,TRUE,"general";"via3",#N/A,TRUE,"general"}</definedName>
    <definedName name="__k8" localSheetId="13" hidden="1">{"via1",#N/A,TRUE,"general";"via2",#N/A,TRUE,"general";"via3",#N/A,TRUE,"general"}</definedName>
    <definedName name="__k8" localSheetId="15" hidden="1">{"via1",#N/A,TRUE,"general";"via2",#N/A,TRUE,"general";"via3",#N/A,TRUE,"general"}</definedName>
    <definedName name="__k8" hidden="1">{"via1",#N/A,TRUE,"general";"via2",#N/A,TRUE,"general";"via3",#N/A,TRUE,"general"}</definedName>
    <definedName name="__k9" localSheetId="14" hidden="1">{"TAB1",#N/A,TRUE,"GENERAL";"TAB2",#N/A,TRUE,"GENERAL";"TAB3",#N/A,TRUE,"GENERAL";"TAB4",#N/A,TRUE,"GENERAL";"TAB5",#N/A,TRUE,"GENERAL"}</definedName>
    <definedName name="__k9" localSheetId="16" hidden="1">{"TAB1",#N/A,TRUE,"GENERAL";"TAB2",#N/A,TRUE,"GENERAL";"TAB3",#N/A,TRUE,"GENERAL";"TAB4",#N/A,TRUE,"GENERAL";"TAB5",#N/A,TRUE,"GENERAL"}</definedName>
    <definedName name="__k9" localSheetId="17" hidden="1">{"TAB1",#N/A,TRUE,"GENERAL";"TAB2",#N/A,TRUE,"GENERAL";"TAB3",#N/A,TRUE,"GENERAL";"TAB4",#N/A,TRUE,"GENERAL";"TAB5",#N/A,TRUE,"GENERAL"}</definedName>
    <definedName name="__k9" localSheetId="13" hidden="1">{"TAB1",#N/A,TRUE,"GENERAL";"TAB2",#N/A,TRUE,"GENERAL";"TAB3",#N/A,TRUE,"GENERAL";"TAB4",#N/A,TRUE,"GENERAL";"TAB5",#N/A,TRUE,"GENERAL"}</definedName>
    <definedName name="__k9" localSheetId="15" hidden="1">{"TAB1",#N/A,TRUE,"GENERAL";"TAB2",#N/A,TRUE,"GENERAL";"TAB3",#N/A,TRUE,"GENERAL";"TAB4",#N/A,TRUE,"GENERAL";"TAB5",#N/A,TRUE,"GENERAL"}</definedName>
    <definedName name="__k9" hidden="1">{"TAB1",#N/A,TRUE,"GENERAL";"TAB2",#N/A,TRUE,"GENERAL";"TAB3",#N/A,TRUE,"GENERAL";"TAB4",#N/A,TRUE,"GENERAL";"TAB5",#N/A,TRUE,"GENERAL"}</definedName>
    <definedName name="__key2" hidden="1">[12]INST!#REF!</definedName>
    <definedName name="__key21" hidden="1">[4]INST!#REF!</definedName>
    <definedName name="__key3" hidden="1">#REF!</definedName>
    <definedName name="__key31" hidden="1">#REF!</definedName>
    <definedName name="__kjk6" localSheetId="14" hidden="1">{"TAB1",#N/A,TRUE,"GENERAL";"TAB2",#N/A,TRUE,"GENERAL";"TAB3",#N/A,TRUE,"GENERAL";"TAB4",#N/A,TRUE,"GENERAL";"TAB5",#N/A,TRUE,"GENERAL"}</definedName>
    <definedName name="__kjk6" localSheetId="16" hidden="1">{"TAB1",#N/A,TRUE,"GENERAL";"TAB2",#N/A,TRUE,"GENERAL";"TAB3",#N/A,TRUE,"GENERAL";"TAB4",#N/A,TRUE,"GENERAL";"TAB5",#N/A,TRUE,"GENERAL"}</definedName>
    <definedName name="__kjk6" localSheetId="17" hidden="1">{"TAB1",#N/A,TRUE,"GENERAL";"TAB2",#N/A,TRUE,"GENERAL";"TAB3",#N/A,TRUE,"GENERAL";"TAB4",#N/A,TRUE,"GENERAL";"TAB5",#N/A,TRUE,"GENERAL"}</definedName>
    <definedName name="__kjk6" localSheetId="13" hidden="1">{"TAB1",#N/A,TRUE,"GENERAL";"TAB2",#N/A,TRUE,"GENERAL";"TAB3",#N/A,TRUE,"GENERAL";"TAB4",#N/A,TRUE,"GENERAL";"TAB5",#N/A,TRUE,"GENERAL"}</definedName>
    <definedName name="__kjk6" localSheetId="15" hidden="1">{"TAB1",#N/A,TRUE,"GENERAL";"TAB2",#N/A,TRUE,"GENERAL";"TAB3",#N/A,TRUE,"GENERAL";"TAB4",#N/A,TRUE,"GENERAL";"TAB5",#N/A,TRUE,"GENERAL"}</definedName>
    <definedName name="__kjk6" hidden="1">{"TAB1",#N/A,TRUE,"GENERAL";"TAB2",#N/A,TRUE,"GENERAL";"TAB3",#N/A,TRUE,"GENERAL";"TAB4",#N/A,TRUE,"GENERAL";"TAB5",#N/A,TRUE,"GENERAL"}</definedName>
    <definedName name="__LA124" localSheetId="3">#REF!</definedName>
    <definedName name="__LA124" localSheetId="30">#REF!</definedName>
    <definedName name="__LA124" localSheetId="31">#REF!</definedName>
    <definedName name="__LA124" localSheetId="29">#REF!</definedName>
    <definedName name="__LA124">#REF!</definedName>
    <definedName name="__LAC18" localSheetId="3">#REF!</definedName>
    <definedName name="__LAC18" localSheetId="30">#REF!</definedName>
    <definedName name="__LAC18" localSheetId="31">#REF!</definedName>
    <definedName name="__LAC18" localSheetId="29">#REF!</definedName>
    <definedName name="__LAC18">#REF!</definedName>
    <definedName name="__m3" localSheetId="14" hidden="1">{"via1",#N/A,TRUE,"general";"via2",#N/A,TRUE,"general";"via3",#N/A,TRUE,"general"}</definedName>
    <definedName name="__m3" localSheetId="16" hidden="1">{"via1",#N/A,TRUE,"general";"via2",#N/A,TRUE,"general";"via3",#N/A,TRUE,"general"}</definedName>
    <definedName name="__m3" localSheetId="17" hidden="1">{"via1",#N/A,TRUE,"general";"via2",#N/A,TRUE,"general";"via3",#N/A,TRUE,"general"}</definedName>
    <definedName name="__m3" localSheetId="13" hidden="1">{"via1",#N/A,TRUE,"general";"via2",#N/A,TRUE,"general";"via3",#N/A,TRUE,"general"}</definedName>
    <definedName name="__m3" localSheetId="15" hidden="1">{"via1",#N/A,TRUE,"general";"via2",#N/A,TRUE,"general";"via3",#N/A,TRUE,"general"}</definedName>
    <definedName name="__m3" hidden="1">{"via1",#N/A,TRUE,"general";"via2",#N/A,TRUE,"general";"via3",#N/A,TRUE,"general"}</definedName>
    <definedName name="__m4" localSheetId="14" hidden="1">{"TAB1",#N/A,TRUE,"GENERAL";"TAB2",#N/A,TRUE,"GENERAL";"TAB3",#N/A,TRUE,"GENERAL";"TAB4",#N/A,TRUE,"GENERAL";"TAB5",#N/A,TRUE,"GENERAL"}</definedName>
    <definedName name="__m4" localSheetId="16" hidden="1">{"TAB1",#N/A,TRUE,"GENERAL";"TAB2",#N/A,TRUE,"GENERAL";"TAB3",#N/A,TRUE,"GENERAL";"TAB4",#N/A,TRUE,"GENERAL";"TAB5",#N/A,TRUE,"GENERAL"}</definedName>
    <definedName name="__m4" localSheetId="17" hidden="1">{"TAB1",#N/A,TRUE,"GENERAL";"TAB2",#N/A,TRUE,"GENERAL";"TAB3",#N/A,TRUE,"GENERAL";"TAB4",#N/A,TRUE,"GENERAL";"TAB5",#N/A,TRUE,"GENERAL"}</definedName>
    <definedName name="__m4" localSheetId="13" hidden="1">{"TAB1",#N/A,TRUE,"GENERAL";"TAB2",#N/A,TRUE,"GENERAL";"TAB3",#N/A,TRUE,"GENERAL";"TAB4",#N/A,TRUE,"GENERAL";"TAB5",#N/A,TRUE,"GENERAL"}</definedName>
    <definedName name="__m4" localSheetId="15" hidden="1">{"TAB1",#N/A,TRUE,"GENERAL";"TAB2",#N/A,TRUE,"GENERAL";"TAB3",#N/A,TRUE,"GENERAL";"TAB4",#N/A,TRUE,"GENERAL";"TAB5",#N/A,TRUE,"GENERAL"}</definedName>
    <definedName name="__m4" hidden="1">{"TAB1",#N/A,TRUE,"GENERAL";"TAB2",#N/A,TRUE,"GENERAL";"TAB3",#N/A,TRUE,"GENERAL";"TAB4",#N/A,TRUE,"GENERAL";"TAB5",#N/A,TRUE,"GENERAL"}</definedName>
    <definedName name="__m5" localSheetId="14" hidden="1">{"via1",#N/A,TRUE,"general";"via2",#N/A,TRUE,"general";"via3",#N/A,TRUE,"general"}</definedName>
    <definedName name="__m5" localSheetId="16" hidden="1">{"via1",#N/A,TRUE,"general";"via2",#N/A,TRUE,"general";"via3",#N/A,TRUE,"general"}</definedName>
    <definedName name="__m5" localSheetId="17" hidden="1">{"via1",#N/A,TRUE,"general";"via2",#N/A,TRUE,"general";"via3",#N/A,TRUE,"general"}</definedName>
    <definedName name="__m5" localSheetId="13" hidden="1">{"via1",#N/A,TRUE,"general";"via2",#N/A,TRUE,"general";"via3",#N/A,TRUE,"general"}</definedName>
    <definedName name="__m5" localSheetId="15" hidden="1">{"via1",#N/A,TRUE,"general";"via2",#N/A,TRUE,"general";"via3",#N/A,TRUE,"general"}</definedName>
    <definedName name="__m5" hidden="1">{"via1",#N/A,TRUE,"general";"via2",#N/A,TRUE,"general";"via3",#N/A,TRUE,"general"}</definedName>
    <definedName name="__m6" localSheetId="14" hidden="1">{"TAB1",#N/A,TRUE,"GENERAL";"TAB2",#N/A,TRUE,"GENERAL";"TAB3",#N/A,TRUE,"GENERAL";"TAB4",#N/A,TRUE,"GENERAL";"TAB5",#N/A,TRUE,"GENERAL"}</definedName>
    <definedName name="__m6" localSheetId="16" hidden="1">{"TAB1",#N/A,TRUE,"GENERAL";"TAB2",#N/A,TRUE,"GENERAL";"TAB3",#N/A,TRUE,"GENERAL";"TAB4",#N/A,TRUE,"GENERAL";"TAB5",#N/A,TRUE,"GENERAL"}</definedName>
    <definedName name="__m6" localSheetId="17" hidden="1">{"TAB1",#N/A,TRUE,"GENERAL";"TAB2",#N/A,TRUE,"GENERAL";"TAB3",#N/A,TRUE,"GENERAL";"TAB4",#N/A,TRUE,"GENERAL";"TAB5",#N/A,TRUE,"GENERAL"}</definedName>
    <definedName name="__m6" localSheetId="13" hidden="1">{"TAB1",#N/A,TRUE,"GENERAL";"TAB2",#N/A,TRUE,"GENERAL";"TAB3",#N/A,TRUE,"GENERAL";"TAB4",#N/A,TRUE,"GENERAL";"TAB5",#N/A,TRUE,"GENERAL"}</definedName>
    <definedName name="__m6" localSheetId="15" hidden="1">{"TAB1",#N/A,TRUE,"GENERAL";"TAB2",#N/A,TRUE,"GENERAL";"TAB3",#N/A,TRUE,"GENERAL";"TAB4",#N/A,TRUE,"GENERAL";"TAB5",#N/A,TRUE,"GENERAL"}</definedName>
    <definedName name="__m6" hidden="1">{"TAB1",#N/A,TRUE,"GENERAL";"TAB2",#N/A,TRUE,"GENERAL";"TAB3",#N/A,TRUE,"GENERAL";"TAB4",#N/A,TRUE,"GENERAL";"TAB5",#N/A,TRUE,"GENERAL"}</definedName>
    <definedName name="__m7" localSheetId="14" hidden="1">{"TAB1",#N/A,TRUE,"GENERAL";"TAB2",#N/A,TRUE,"GENERAL";"TAB3",#N/A,TRUE,"GENERAL";"TAB4",#N/A,TRUE,"GENERAL";"TAB5",#N/A,TRUE,"GENERAL"}</definedName>
    <definedName name="__m7" localSheetId="16" hidden="1">{"TAB1",#N/A,TRUE,"GENERAL";"TAB2",#N/A,TRUE,"GENERAL";"TAB3",#N/A,TRUE,"GENERAL";"TAB4",#N/A,TRUE,"GENERAL";"TAB5",#N/A,TRUE,"GENERAL"}</definedName>
    <definedName name="__m7" localSheetId="17" hidden="1">{"TAB1",#N/A,TRUE,"GENERAL";"TAB2",#N/A,TRUE,"GENERAL";"TAB3",#N/A,TRUE,"GENERAL";"TAB4",#N/A,TRUE,"GENERAL";"TAB5",#N/A,TRUE,"GENERAL"}</definedName>
    <definedName name="__m7" localSheetId="13" hidden="1">{"TAB1",#N/A,TRUE,"GENERAL";"TAB2",#N/A,TRUE,"GENERAL";"TAB3",#N/A,TRUE,"GENERAL";"TAB4",#N/A,TRUE,"GENERAL";"TAB5",#N/A,TRUE,"GENERAL"}</definedName>
    <definedName name="__m7" localSheetId="15" hidden="1">{"TAB1",#N/A,TRUE,"GENERAL";"TAB2",#N/A,TRUE,"GENERAL";"TAB3",#N/A,TRUE,"GENERAL";"TAB4",#N/A,TRUE,"GENERAL";"TAB5",#N/A,TRUE,"GENERAL"}</definedName>
    <definedName name="__m7" hidden="1">{"TAB1",#N/A,TRUE,"GENERAL";"TAB2",#N/A,TRUE,"GENERAL";"TAB3",#N/A,TRUE,"GENERAL";"TAB4",#N/A,TRUE,"GENERAL";"TAB5",#N/A,TRUE,"GENERAL"}</definedName>
    <definedName name="__m8" localSheetId="14" hidden="1">{"via1",#N/A,TRUE,"general";"via2",#N/A,TRUE,"general";"via3",#N/A,TRUE,"general"}</definedName>
    <definedName name="__m8" localSheetId="16" hidden="1">{"via1",#N/A,TRUE,"general";"via2",#N/A,TRUE,"general";"via3",#N/A,TRUE,"general"}</definedName>
    <definedName name="__m8" localSheetId="17" hidden="1">{"via1",#N/A,TRUE,"general";"via2",#N/A,TRUE,"general";"via3",#N/A,TRUE,"general"}</definedName>
    <definedName name="__m8" localSheetId="13" hidden="1">{"via1",#N/A,TRUE,"general";"via2",#N/A,TRUE,"general";"via3",#N/A,TRUE,"general"}</definedName>
    <definedName name="__m8" localSheetId="15" hidden="1">{"via1",#N/A,TRUE,"general";"via2",#N/A,TRUE,"general";"via3",#N/A,TRUE,"general"}</definedName>
    <definedName name="__m8" hidden="1">{"via1",#N/A,TRUE,"general";"via2",#N/A,TRUE,"general";"via3",#N/A,TRUE,"general"}</definedName>
    <definedName name="__m9" localSheetId="14" hidden="1">{"via1",#N/A,TRUE,"general";"via2",#N/A,TRUE,"general";"via3",#N/A,TRUE,"general"}</definedName>
    <definedName name="__m9" localSheetId="16" hidden="1">{"via1",#N/A,TRUE,"general";"via2",#N/A,TRUE,"general";"via3",#N/A,TRUE,"general"}</definedName>
    <definedName name="__m9" localSheetId="17" hidden="1">{"via1",#N/A,TRUE,"general";"via2",#N/A,TRUE,"general";"via3",#N/A,TRUE,"general"}</definedName>
    <definedName name="__m9" localSheetId="13" hidden="1">{"via1",#N/A,TRUE,"general";"via2",#N/A,TRUE,"general";"via3",#N/A,TRUE,"general"}</definedName>
    <definedName name="__m9" localSheetId="15" hidden="1">{"via1",#N/A,TRUE,"general";"via2",#N/A,TRUE,"general";"via3",#N/A,TRUE,"general"}</definedName>
    <definedName name="__m9" hidden="1">{"via1",#N/A,TRUE,"general";"via2",#N/A,TRUE,"general";"via3",#N/A,TRUE,"general"}</definedName>
    <definedName name="__MA2">#REF!</definedName>
    <definedName name="__mes1">[5]COSTOS!$E$5</definedName>
    <definedName name="__Mes2">[5]COSTOS!$F$5</definedName>
    <definedName name="__Mes3">[5]COSTOS!$G$5</definedName>
    <definedName name="__mun2">[13]PESOS!#REF!</definedName>
    <definedName name="__n3" localSheetId="14" hidden="1">{"TAB1",#N/A,TRUE,"GENERAL";"TAB2",#N/A,TRUE,"GENERAL";"TAB3",#N/A,TRUE,"GENERAL";"TAB4",#N/A,TRUE,"GENERAL";"TAB5",#N/A,TRUE,"GENERAL"}</definedName>
    <definedName name="__n3" localSheetId="16" hidden="1">{"TAB1",#N/A,TRUE,"GENERAL";"TAB2",#N/A,TRUE,"GENERAL";"TAB3",#N/A,TRUE,"GENERAL";"TAB4",#N/A,TRUE,"GENERAL";"TAB5",#N/A,TRUE,"GENERAL"}</definedName>
    <definedName name="__n3" localSheetId="17" hidden="1">{"TAB1",#N/A,TRUE,"GENERAL";"TAB2",#N/A,TRUE,"GENERAL";"TAB3",#N/A,TRUE,"GENERAL";"TAB4",#N/A,TRUE,"GENERAL";"TAB5",#N/A,TRUE,"GENERAL"}</definedName>
    <definedName name="__n3" localSheetId="13" hidden="1">{"TAB1",#N/A,TRUE,"GENERAL";"TAB2",#N/A,TRUE,"GENERAL";"TAB3",#N/A,TRUE,"GENERAL";"TAB4",#N/A,TRUE,"GENERAL";"TAB5",#N/A,TRUE,"GENERAL"}</definedName>
    <definedName name="__n3" localSheetId="15" hidden="1">{"TAB1",#N/A,TRUE,"GENERAL";"TAB2",#N/A,TRUE,"GENERAL";"TAB3",#N/A,TRUE,"GENERAL";"TAB4",#N/A,TRUE,"GENERAL";"TAB5",#N/A,TRUE,"GENERAL"}</definedName>
    <definedName name="__n3" hidden="1">{"TAB1",#N/A,TRUE,"GENERAL";"TAB2",#N/A,TRUE,"GENERAL";"TAB3",#N/A,TRUE,"GENERAL";"TAB4",#N/A,TRUE,"GENERAL";"TAB5",#N/A,TRUE,"GENERAL"}</definedName>
    <definedName name="__n4" localSheetId="14" hidden="1">{"via1",#N/A,TRUE,"general";"via2",#N/A,TRUE,"general";"via3",#N/A,TRUE,"general"}</definedName>
    <definedName name="__n4" localSheetId="16" hidden="1">{"via1",#N/A,TRUE,"general";"via2",#N/A,TRUE,"general";"via3",#N/A,TRUE,"general"}</definedName>
    <definedName name="__n4" localSheetId="17" hidden="1">{"via1",#N/A,TRUE,"general";"via2",#N/A,TRUE,"general";"via3",#N/A,TRUE,"general"}</definedName>
    <definedName name="__n4" localSheetId="13" hidden="1">{"via1",#N/A,TRUE,"general";"via2",#N/A,TRUE,"general";"via3",#N/A,TRUE,"general"}</definedName>
    <definedName name="__n4" localSheetId="15" hidden="1">{"via1",#N/A,TRUE,"general";"via2",#N/A,TRUE,"general";"via3",#N/A,TRUE,"general"}</definedName>
    <definedName name="__n4" hidden="1">{"via1",#N/A,TRUE,"general";"via2",#N/A,TRUE,"general";"via3",#N/A,TRUE,"general"}</definedName>
    <definedName name="__n5" localSheetId="14" hidden="1">{"TAB1",#N/A,TRUE,"GENERAL";"TAB2",#N/A,TRUE,"GENERAL";"TAB3",#N/A,TRUE,"GENERAL";"TAB4",#N/A,TRUE,"GENERAL";"TAB5",#N/A,TRUE,"GENERAL"}</definedName>
    <definedName name="__n5" localSheetId="16" hidden="1">{"TAB1",#N/A,TRUE,"GENERAL";"TAB2",#N/A,TRUE,"GENERAL";"TAB3",#N/A,TRUE,"GENERAL";"TAB4",#N/A,TRUE,"GENERAL";"TAB5",#N/A,TRUE,"GENERAL"}</definedName>
    <definedName name="__n5" localSheetId="17" hidden="1">{"TAB1",#N/A,TRUE,"GENERAL";"TAB2",#N/A,TRUE,"GENERAL";"TAB3",#N/A,TRUE,"GENERAL";"TAB4",#N/A,TRUE,"GENERAL";"TAB5",#N/A,TRUE,"GENERAL"}</definedName>
    <definedName name="__n5" localSheetId="13" hidden="1">{"TAB1",#N/A,TRUE,"GENERAL";"TAB2",#N/A,TRUE,"GENERAL";"TAB3",#N/A,TRUE,"GENERAL";"TAB4",#N/A,TRUE,"GENERAL";"TAB5",#N/A,TRUE,"GENERAL"}</definedName>
    <definedName name="__n5" localSheetId="15"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4" hidden="1">{"via1",#N/A,TRUE,"general";"via2",#N/A,TRUE,"general";"via3",#N/A,TRUE,"general"}</definedName>
    <definedName name="__nyn7" localSheetId="16" hidden="1">{"via1",#N/A,TRUE,"general";"via2",#N/A,TRUE,"general";"via3",#N/A,TRUE,"general"}</definedName>
    <definedName name="__nyn7" localSheetId="17" hidden="1">{"via1",#N/A,TRUE,"general";"via2",#N/A,TRUE,"general";"via3",#N/A,TRUE,"general"}</definedName>
    <definedName name="__nyn7" localSheetId="13" hidden="1">{"via1",#N/A,TRUE,"general";"via2",#N/A,TRUE,"general";"via3",#N/A,TRUE,"general"}</definedName>
    <definedName name="__nyn7" localSheetId="15" hidden="1">{"via1",#N/A,TRUE,"general";"via2",#N/A,TRUE,"general";"via3",#N/A,TRUE,"general"}</definedName>
    <definedName name="__nyn7" hidden="1">{"via1",#N/A,TRUE,"general";"via2",#N/A,TRUE,"general";"via3",#N/A,TRUE,"general"}</definedName>
    <definedName name="__o4" localSheetId="14" hidden="1">{"via1",#N/A,TRUE,"general";"via2",#N/A,TRUE,"general";"via3",#N/A,TRUE,"general"}</definedName>
    <definedName name="__o4" localSheetId="16" hidden="1">{"via1",#N/A,TRUE,"general";"via2",#N/A,TRUE,"general";"via3",#N/A,TRUE,"general"}</definedName>
    <definedName name="__o4" localSheetId="17" hidden="1">{"via1",#N/A,TRUE,"general";"via2",#N/A,TRUE,"general";"via3",#N/A,TRUE,"general"}</definedName>
    <definedName name="__o4" localSheetId="13" hidden="1">{"via1",#N/A,TRUE,"general";"via2",#N/A,TRUE,"general";"via3",#N/A,TRUE,"general"}</definedName>
    <definedName name="__o4" localSheetId="15" hidden="1">{"via1",#N/A,TRUE,"general";"via2",#N/A,TRUE,"general";"via3",#N/A,TRUE,"general"}</definedName>
    <definedName name="__o4" hidden="1">{"via1",#N/A,TRUE,"general";"via2",#N/A,TRUE,"general";"via3",#N/A,TRUE,"general"}</definedName>
    <definedName name="__o5" localSheetId="14" hidden="1">{"TAB1",#N/A,TRUE,"GENERAL";"TAB2",#N/A,TRUE,"GENERAL";"TAB3",#N/A,TRUE,"GENERAL";"TAB4",#N/A,TRUE,"GENERAL";"TAB5",#N/A,TRUE,"GENERAL"}</definedName>
    <definedName name="__o5" localSheetId="16" hidden="1">{"TAB1",#N/A,TRUE,"GENERAL";"TAB2",#N/A,TRUE,"GENERAL";"TAB3",#N/A,TRUE,"GENERAL";"TAB4",#N/A,TRUE,"GENERAL";"TAB5",#N/A,TRUE,"GENERAL"}</definedName>
    <definedName name="__o5" localSheetId="17" hidden="1">{"TAB1",#N/A,TRUE,"GENERAL";"TAB2",#N/A,TRUE,"GENERAL";"TAB3",#N/A,TRUE,"GENERAL";"TAB4",#N/A,TRUE,"GENERAL";"TAB5",#N/A,TRUE,"GENERAL"}</definedName>
    <definedName name="__o5" localSheetId="13" hidden="1">{"TAB1",#N/A,TRUE,"GENERAL";"TAB2",#N/A,TRUE,"GENERAL";"TAB3",#N/A,TRUE,"GENERAL";"TAB4",#N/A,TRUE,"GENERAL";"TAB5",#N/A,TRUE,"GENERAL"}</definedName>
    <definedName name="__o5" localSheetId="15" hidden="1">{"TAB1",#N/A,TRUE,"GENERAL";"TAB2",#N/A,TRUE,"GENERAL";"TAB3",#N/A,TRUE,"GENERAL";"TAB4",#N/A,TRUE,"GENERAL";"TAB5",#N/A,TRUE,"GENERAL"}</definedName>
    <definedName name="__o5" hidden="1">{"TAB1",#N/A,TRUE,"GENERAL";"TAB2",#N/A,TRUE,"GENERAL";"TAB3",#N/A,TRUE,"GENERAL";"TAB4",#N/A,TRUE,"GENERAL";"TAB5",#N/A,TRUE,"GENERAL"}</definedName>
    <definedName name="__o6" localSheetId="14" hidden="1">{"TAB1",#N/A,TRUE,"GENERAL";"TAB2",#N/A,TRUE,"GENERAL";"TAB3",#N/A,TRUE,"GENERAL";"TAB4",#N/A,TRUE,"GENERAL";"TAB5",#N/A,TRUE,"GENERAL"}</definedName>
    <definedName name="__o6" localSheetId="16" hidden="1">{"TAB1",#N/A,TRUE,"GENERAL";"TAB2",#N/A,TRUE,"GENERAL";"TAB3",#N/A,TRUE,"GENERAL";"TAB4",#N/A,TRUE,"GENERAL";"TAB5",#N/A,TRUE,"GENERAL"}</definedName>
    <definedName name="__o6" localSheetId="17" hidden="1">{"TAB1",#N/A,TRUE,"GENERAL";"TAB2",#N/A,TRUE,"GENERAL";"TAB3",#N/A,TRUE,"GENERAL";"TAB4",#N/A,TRUE,"GENERAL";"TAB5",#N/A,TRUE,"GENERAL"}</definedName>
    <definedName name="__o6" localSheetId="13" hidden="1">{"TAB1",#N/A,TRUE,"GENERAL";"TAB2",#N/A,TRUE,"GENERAL";"TAB3",#N/A,TRUE,"GENERAL";"TAB4",#N/A,TRUE,"GENERAL";"TAB5",#N/A,TRUE,"GENERAL"}</definedName>
    <definedName name="__o6" localSheetId="15" hidden="1">{"TAB1",#N/A,TRUE,"GENERAL";"TAB2",#N/A,TRUE,"GENERAL";"TAB3",#N/A,TRUE,"GENERAL";"TAB4",#N/A,TRUE,"GENERAL";"TAB5",#N/A,TRUE,"GENERAL"}</definedName>
    <definedName name="__o6" hidden="1">{"TAB1",#N/A,TRUE,"GENERAL";"TAB2",#N/A,TRUE,"GENERAL";"TAB3",#N/A,TRUE,"GENERAL";"TAB4",#N/A,TRUE,"GENERAL";"TAB5",#N/A,TRUE,"GENERAL"}</definedName>
    <definedName name="__o7" localSheetId="14" hidden="1">{"TAB1",#N/A,TRUE,"GENERAL";"TAB2",#N/A,TRUE,"GENERAL";"TAB3",#N/A,TRUE,"GENERAL";"TAB4",#N/A,TRUE,"GENERAL";"TAB5",#N/A,TRUE,"GENERAL"}</definedName>
    <definedName name="__o7" localSheetId="16" hidden="1">{"TAB1",#N/A,TRUE,"GENERAL";"TAB2",#N/A,TRUE,"GENERAL";"TAB3",#N/A,TRUE,"GENERAL";"TAB4",#N/A,TRUE,"GENERAL";"TAB5",#N/A,TRUE,"GENERAL"}</definedName>
    <definedName name="__o7" localSheetId="17" hidden="1">{"TAB1",#N/A,TRUE,"GENERAL";"TAB2",#N/A,TRUE,"GENERAL";"TAB3",#N/A,TRUE,"GENERAL";"TAB4",#N/A,TRUE,"GENERAL";"TAB5",#N/A,TRUE,"GENERAL"}</definedName>
    <definedName name="__o7" localSheetId="13" hidden="1">{"TAB1",#N/A,TRUE,"GENERAL";"TAB2",#N/A,TRUE,"GENERAL";"TAB3",#N/A,TRUE,"GENERAL";"TAB4",#N/A,TRUE,"GENERAL";"TAB5",#N/A,TRUE,"GENERAL"}</definedName>
    <definedName name="__o7" localSheetId="15" hidden="1">{"TAB1",#N/A,TRUE,"GENERAL";"TAB2",#N/A,TRUE,"GENERAL";"TAB3",#N/A,TRUE,"GENERAL";"TAB4",#N/A,TRUE,"GENERAL";"TAB5",#N/A,TRUE,"GENERAL"}</definedName>
    <definedName name="__o7" hidden="1">{"TAB1",#N/A,TRUE,"GENERAL";"TAB2",#N/A,TRUE,"GENERAL";"TAB3",#N/A,TRUE,"GENERAL";"TAB4",#N/A,TRUE,"GENERAL";"TAB5",#N/A,TRUE,"GENERAL"}</definedName>
    <definedName name="__o8" localSheetId="14" hidden="1">{"via1",#N/A,TRUE,"general";"via2",#N/A,TRUE,"general";"via3",#N/A,TRUE,"general"}</definedName>
    <definedName name="__o8" localSheetId="16" hidden="1">{"via1",#N/A,TRUE,"general";"via2",#N/A,TRUE,"general";"via3",#N/A,TRUE,"general"}</definedName>
    <definedName name="__o8" localSheetId="17" hidden="1">{"via1",#N/A,TRUE,"general";"via2",#N/A,TRUE,"general";"via3",#N/A,TRUE,"general"}</definedName>
    <definedName name="__o8" localSheetId="13" hidden="1">{"via1",#N/A,TRUE,"general";"via2",#N/A,TRUE,"general";"via3",#N/A,TRUE,"general"}</definedName>
    <definedName name="__o8" localSheetId="15" hidden="1">{"via1",#N/A,TRUE,"general";"via2",#N/A,TRUE,"general";"via3",#N/A,TRUE,"general"}</definedName>
    <definedName name="__o8" hidden="1">{"via1",#N/A,TRUE,"general";"via2",#N/A,TRUE,"general";"via3",#N/A,TRUE,"general"}</definedName>
    <definedName name="__o9" localSheetId="14" hidden="1">{"TAB1",#N/A,TRUE,"GENERAL";"TAB2",#N/A,TRUE,"GENERAL";"TAB3",#N/A,TRUE,"GENERAL";"TAB4",#N/A,TRUE,"GENERAL";"TAB5",#N/A,TRUE,"GENERAL"}</definedName>
    <definedName name="__o9" localSheetId="16" hidden="1">{"TAB1",#N/A,TRUE,"GENERAL";"TAB2",#N/A,TRUE,"GENERAL";"TAB3",#N/A,TRUE,"GENERAL";"TAB4",#N/A,TRUE,"GENERAL";"TAB5",#N/A,TRUE,"GENERAL"}</definedName>
    <definedName name="__o9" localSheetId="17" hidden="1">{"TAB1",#N/A,TRUE,"GENERAL";"TAB2",#N/A,TRUE,"GENERAL";"TAB3",#N/A,TRUE,"GENERAL";"TAB4",#N/A,TRUE,"GENERAL";"TAB5",#N/A,TRUE,"GENERAL"}</definedName>
    <definedName name="__o9" localSheetId="13" hidden="1">{"TAB1",#N/A,TRUE,"GENERAL";"TAB2",#N/A,TRUE,"GENERAL";"TAB3",#N/A,TRUE,"GENERAL";"TAB4",#N/A,TRUE,"GENERAL";"TAB5",#N/A,TRUE,"GENERAL"}</definedName>
    <definedName name="__o9" localSheetId="15" hidden="1">{"TAB1",#N/A,TRUE,"GENERAL";"TAB2",#N/A,TRUE,"GENERAL";"TAB3",#N/A,TRUE,"GENERAL";"TAB4",#N/A,TRUE,"GENERAL";"TAB5",#N/A,TRUE,"GENERAL"}</definedName>
    <definedName name="__o9" hidden="1">{"TAB1",#N/A,TRUE,"GENERAL";"TAB2",#N/A,TRUE,"GENERAL";"TAB3",#N/A,TRUE,"GENERAL";"TAB4",#N/A,TRUE,"GENERAL";"TAB5",#N/A,TRUE,"GENERAL"}</definedName>
    <definedName name="__p6" localSheetId="14" hidden="1">{"via1",#N/A,TRUE,"general";"via2",#N/A,TRUE,"general";"via3",#N/A,TRUE,"general"}</definedName>
    <definedName name="__p6" localSheetId="16" hidden="1">{"via1",#N/A,TRUE,"general";"via2",#N/A,TRUE,"general";"via3",#N/A,TRUE,"general"}</definedName>
    <definedName name="__p6" localSheetId="17" hidden="1">{"via1",#N/A,TRUE,"general";"via2",#N/A,TRUE,"general";"via3",#N/A,TRUE,"general"}</definedName>
    <definedName name="__p6" localSheetId="13" hidden="1">{"via1",#N/A,TRUE,"general";"via2",#N/A,TRUE,"general";"via3",#N/A,TRUE,"general"}</definedName>
    <definedName name="__p6" localSheetId="15" hidden="1">{"via1",#N/A,TRUE,"general";"via2",#N/A,TRUE,"general";"via3",#N/A,TRUE,"general"}</definedName>
    <definedName name="__p6" hidden="1">{"via1",#N/A,TRUE,"general";"via2",#N/A,TRUE,"general";"via3",#N/A,TRUE,"general"}</definedName>
    <definedName name="__p7" localSheetId="14" hidden="1">{"via1",#N/A,TRUE,"general";"via2",#N/A,TRUE,"general";"via3",#N/A,TRUE,"general"}</definedName>
    <definedName name="__p7" localSheetId="16" hidden="1">{"via1",#N/A,TRUE,"general";"via2",#N/A,TRUE,"general";"via3",#N/A,TRUE,"general"}</definedName>
    <definedName name="__p7" localSheetId="17" hidden="1">{"via1",#N/A,TRUE,"general";"via2",#N/A,TRUE,"general";"via3",#N/A,TRUE,"general"}</definedName>
    <definedName name="__p7" localSheetId="13" hidden="1">{"via1",#N/A,TRUE,"general";"via2",#N/A,TRUE,"general";"via3",#N/A,TRUE,"general"}</definedName>
    <definedName name="__p7" localSheetId="15" hidden="1">{"via1",#N/A,TRUE,"general";"via2",#N/A,TRUE,"general";"via3",#N/A,TRUE,"general"}</definedName>
    <definedName name="__p7" hidden="1">{"via1",#N/A,TRUE,"general";"via2",#N/A,TRUE,"general";"via3",#N/A,TRUE,"general"}</definedName>
    <definedName name="__p8" localSheetId="14" hidden="1">{"TAB1",#N/A,TRUE,"GENERAL";"TAB2",#N/A,TRUE,"GENERAL";"TAB3",#N/A,TRUE,"GENERAL";"TAB4",#N/A,TRUE,"GENERAL";"TAB5",#N/A,TRUE,"GENERAL"}</definedName>
    <definedName name="__p8" localSheetId="16" hidden="1">{"TAB1",#N/A,TRUE,"GENERAL";"TAB2",#N/A,TRUE,"GENERAL";"TAB3",#N/A,TRUE,"GENERAL";"TAB4",#N/A,TRUE,"GENERAL";"TAB5",#N/A,TRUE,"GENERAL"}</definedName>
    <definedName name="__p8" localSheetId="17" hidden="1">{"TAB1",#N/A,TRUE,"GENERAL";"TAB2",#N/A,TRUE,"GENERAL";"TAB3",#N/A,TRUE,"GENERAL";"TAB4",#N/A,TRUE,"GENERAL";"TAB5",#N/A,TRUE,"GENERAL"}</definedName>
    <definedName name="__p8" localSheetId="13" hidden="1">{"TAB1",#N/A,TRUE,"GENERAL";"TAB2",#N/A,TRUE,"GENERAL";"TAB3",#N/A,TRUE,"GENERAL";"TAB4",#N/A,TRUE,"GENERAL";"TAB5",#N/A,TRUE,"GENERAL"}</definedName>
    <definedName name="__p8" localSheetId="15"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o2" localSheetId="3">#REF!</definedName>
    <definedName name="__Po2">#REF!</definedName>
    <definedName name="__r" localSheetId="3">#REF!</definedName>
    <definedName name="__r" localSheetId="14" hidden="1">{"TAB1",#N/A,TRUE,"GENERAL";"TAB2",#N/A,TRUE,"GENERAL";"TAB3",#N/A,TRUE,"GENERAL";"TAB4",#N/A,TRUE,"GENERAL";"TAB5",#N/A,TRUE,"GENERAL"}</definedName>
    <definedName name="__r" localSheetId="16" hidden="1">{"TAB1",#N/A,TRUE,"GENERAL";"TAB2",#N/A,TRUE,"GENERAL";"TAB3",#N/A,TRUE,"GENERAL";"TAB4",#N/A,TRUE,"GENERAL";"TAB5",#N/A,TRUE,"GENERAL"}</definedName>
    <definedName name="__r" localSheetId="17" hidden="1">{"TAB1",#N/A,TRUE,"GENERAL";"TAB2",#N/A,TRUE,"GENERAL";"TAB3",#N/A,TRUE,"GENERAL";"TAB4",#N/A,TRUE,"GENERAL";"TAB5",#N/A,TRUE,"GENERAL"}</definedName>
    <definedName name="__r" localSheetId="13" hidden="1">{"TAB1",#N/A,TRUE,"GENERAL";"TAB2",#N/A,TRUE,"GENERAL";"TAB3",#N/A,TRUE,"GENERAL";"TAB4",#N/A,TRUE,"GENERAL";"TAB5",#N/A,TRUE,"GENERAL"}</definedName>
    <definedName name="__r" localSheetId="15" hidden="1">{"TAB1",#N/A,TRUE,"GENERAL";"TAB2",#N/A,TRUE,"GENERAL";"TAB3",#N/A,TRUE,"GENERAL";"TAB4",#N/A,TRUE,"GENERAL";"TAB5",#N/A,TRUE,"GENERAL"}</definedName>
    <definedName name="__r">#REF!</definedName>
    <definedName name="__R1210JH" localSheetId="3">#REF!</definedName>
    <definedName name="__R1210JH" localSheetId="30">#REF!</definedName>
    <definedName name="__R1210JH" localSheetId="31">#REF!</definedName>
    <definedName name="__R1210JH" localSheetId="29">#REF!</definedName>
    <definedName name="__R1210JH">#REF!</definedName>
    <definedName name="__R32EL" localSheetId="3">#REF!</definedName>
    <definedName name="__R32EL" localSheetId="30">#REF!</definedName>
    <definedName name="__R32EL" localSheetId="31">#REF!</definedName>
    <definedName name="__R32EL" localSheetId="29">#REF!</definedName>
    <definedName name="__R32EL">#REF!</definedName>
    <definedName name="__R32JH" localSheetId="3">#REF!</definedName>
    <definedName name="__R32JH" localSheetId="30">#REF!</definedName>
    <definedName name="__R32JH" localSheetId="31">#REF!</definedName>
    <definedName name="__R32JH" localSheetId="29">#REF!</definedName>
    <definedName name="__R32JH">#REF!</definedName>
    <definedName name="__R42JH" localSheetId="3">#REF!</definedName>
    <definedName name="__R42JH" localSheetId="30">#REF!</definedName>
    <definedName name="__R42JH" localSheetId="31">#REF!</definedName>
    <definedName name="__R42JH" localSheetId="29">#REF!</definedName>
    <definedName name="__R42JH">#REF!</definedName>
    <definedName name="__R43JH" localSheetId="3">#REF!</definedName>
    <definedName name="__R43JH" localSheetId="30">#REF!</definedName>
    <definedName name="__R43JH" localSheetId="31">#REF!</definedName>
    <definedName name="__R43JH" localSheetId="29">#REF!</definedName>
    <definedName name="__R43JH">#REF!</definedName>
    <definedName name="__r4r" localSheetId="14" hidden="1">{"via1",#N/A,TRUE,"general";"via2",#N/A,TRUE,"general";"via3",#N/A,TRUE,"general"}</definedName>
    <definedName name="__r4r" localSheetId="16" hidden="1">{"via1",#N/A,TRUE,"general";"via2",#N/A,TRUE,"general";"via3",#N/A,TRUE,"general"}</definedName>
    <definedName name="__r4r" localSheetId="17" hidden="1">{"via1",#N/A,TRUE,"general";"via2",#N/A,TRUE,"general";"via3",#N/A,TRUE,"general"}</definedName>
    <definedName name="__r4r" localSheetId="13" hidden="1">{"via1",#N/A,TRUE,"general";"via2",#N/A,TRUE,"general";"via3",#N/A,TRUE,"general"}</definedName>
    <definedName name="__r4r" localSheetId="15" hidden="1">{"via1",#N/A,TRUE,"general";"via2",#N/A,TRUE,"general";"via3",#N/A,TRUE,"general"}</definedName>
    <definedName name="__r4r" hidden="1">{"via1",#N/A,TRUE,"general";"via2",#N/A,TRUE,"general";"via3",#N/A,TRUE,"general"}</definedName>
    <definedName name="__R63BB" localSheetId="3">#REF!</definedName>
    <definedName name="__R63BB" localSheetId="30">#REF!</definedName>
    <definedName name="__R63BB" localSheetId="31">#REF!</definedName>
    <definedName name="__R63BB" localSheetId="29">#REF!</definedName>
    <definedName name="__R63BB">#REF!</definedName>
    <definedName name="__R63JH" localSheetId="3">#REF!</definedName>
    <definedName name="__R63JH" localSheetId="30">#REF!</definedName>
    <definedName name="__R63JH" localSheetId="31">#REF!</definedName>
    <definedName name="__R63JH" localSheetId="29">#REF!</definedName>
    <definedName name="__R63JH">#REF!</definedName>
    <definedName name="__R64BB" localSheetId="3">#REF!</definedName>
    <definedName name="__R64BB" localSheetId="30">#REF!</definedName>
    <definedName name="__R64BB" localSheetId="31">#REF!</definedName>
    <definedName name="__R64BB" localSheetId="29">#REF!</definedName>
    <definedName name="__R64BB">#REF!</definedName>
    <definedName name="__R64JH" localSheetId="3">#REF!</definedName>
    <definedName name="__R64JH" localSheetId="30">#REF!</definedName>
    <definedName name="__R64JH" localSheetId="31">#REF!</definedName>
    <definedName name="__R64JH" localSheetId="29">#REF!</definedName>
    <definedName name="__R64JH">#REF!</definedName>
    <definedName name="__R83JH" localSheetId="3">#REF!</definedName>
    <definedName name="__R83JH" localSheetId="30">#REF!</definedName>
    <definedName name="__R83JH" localSheetId="31">#REF!</definedName>
    <definedName name="__R83JH" localSheetId="29">#REF!</definedName>
    <definedName name="__R83JH">#REF!</definedName>
    <definedName name="__R84JH" localSheetId="3">#REF!</definedName>
    <definedName name="__R84JH" localSheetId="30">#REF!</definedName>
    <definedName name="__R84JH" localSheetId="31">#REF!</definedName>
    <definedName name="__R84JH" localSheetId="29">#REF!</definedName>
    <definedName name="__R84JH">#REF!</definedName>
    <definedName name="__R86JH" localSheetId="3">#REF!</definedName>
    <definedName name="__R86JH" localSheetId="30">#REF!</definedName>
    <definedName name="__R86JH" localSheetId="31">#REF!</definedName>
    <definedName name="__R86JH" localSheetId="29">#REF!</definedName>
    <definedName name="__R86JH">#REF!</definedName>
    <definedName name="__rc">#REF!</definedName>
    <definedName name="__RED32" localSheetId="3">#REF!</definedName>
    <definedName name="__RED32" localSheetId="30">#REF!</definedName>
    <definedName name="__RED32" localSheetId="31">#REF!</definedName>
    <definedName name="__RED32" localSheetId="29">#REF!</definedName>
    <definedName name="__RED32">#REF!</definedName>
    <definedName name="__ref4">#REF!</definedName>
    <definedName name="__REP21" localSheetId="3">#REF!</definedName>
    <definedName name="__REP21" localSheetId="30">#REF!</definedName>
    <definedName name="__REP21" localSheetId="31">#REF!</definedName>
    <definedName name="__REP21" localSheetId="29">#REF!</definedName>
    <definedName name="__REP21">#REF!</definedName>
    <definedName name="__REP42" localSheetId="3">#REF!</definedName>
    <definedName name="__REP42" localSheetId="30">#REF!</definedName>
    <definedName name="__REP42" localSheetId="31">#REF!</definedName>
    <definedName name="__REP42" localSheetId="29">#REF!</definedName>
    <definedName name="__REP42">#REF!</definedName>
    <definedName name="__REP43">#REF!</definedName>
    <definedName name="__RES64" localSheetId="3">#REF!</definedName>
    <definedName name="__RES64" localSheetId="30">#REF!</definedName>
    <definedName name="__RES64" localSheetId="31">#REF!</definedName>
    <definedName name="__RES64" localSheetId="29">#REF!</definedName>
    <definedName name="__RES64">#REF!</definedName>
    <definedName name="__rtu6" localSheetId="14" hidden="1">{"via1",#N/A,TRUE,"general";"via2",#N/A,TRUE,"general";"via3",#N/A,TRUE,"general"}</definedName>
    <definedName name="__rtu6" localSheetId="16" hidden="1">{"via1",#N/A,TRUE,"general";"via2",#N/A,TRUE,"general";"via3",#N/A,TRUE,"general"}</definedName>
    <definedName name="__rtu6" localSheetId="17" hidden="1">{"via1",#N/A,TRUE,"general";"via2",#N/A,TRUE,"general";"via3",#N/A,TRUE,"general"}</definedName>
    <definedName name="__rtu6" localSheetId="13" hidden="1">{"via1",#N/A,TRUE,"general";"via2",#N/A,TRUE,"general";"via3",#N/A,TRUE,"general"}</definedName>
    <definedName name="__rtu6" localSheetId="15" hidden="1">{"via1",#N/A,TRUE,"general";"via2",#N/A,TRUE,"general";"via3",#N/A,TRUE,"general"}</definedName>
    <definedName name="__rtu6" hidden="1">{"via1",#N/A,TRUE,"general";"via2",#N/A,TRUE,"general";"via3",#N/A,TRUE,"general"}</definedName>
    <definedName name="__s1" localSheetId="14" hidden="1">{"via1",#N/A,TRUE,"general";"via2",#N/A,TRUE,"general";"via3",#N/A,TRUE,"general"}</definedName>
    <definedName name="__s1" localSheetId="16" hidden="1">{"via1",#N/A,TRUE,"general";"via2",#N/A,TRUE,"general";"via3",#N/A,TRUE,"general"}</definedName>
    <definedName name="__s1" localSheetId="17" hidden="1">{"via1",#N/A,TRUE,"general";"via2",#N/A,TRUE,"general";"via3",#N/A,TRUE,"general"}</definedName>
    <definedName name="__s1" localSheetId="13" hidden="1">{"via1",#N/A,TRUE,"general";"via2",#N/A,TRUE,"general";"via3",#N/A,TRUE,"general"}</definedName>
    <definedName name="__s1" localSheetId="15" hidden="1">{"via1",#N/A,TRUE,"general";"via2",#N/A,TRUE,"general";"via3",#N/A,TRUE,"general"}</definedName>
    <definedName name="__s1" hidden="1">{"via1",#N/A,TRUE,"general";"via2",#N/A,TRUE,"general";"via3",#N/A,TRUE,"general"}</definedName>
    <definedName name="__s2" localSheetId="14" hidden="1">{"TAB1",#N/A,TRUE,"GENERAL";"TAB2",#N/A,TRUE,"GENERAL";"TAB3",#N/A,TRUE,"GENERAL";"TAB4",#N/A,TRUE,"GENERAL";"TAB5",#N/A,TRUE,"GENERAL"}</definedName>
    <definedName name="__s2" localSheetId="16" hidden="1">{"TAB1",#N/A,TRUE,"GENERAL";"TAB2",#N/A,TRUE,"GENERAL";"TAB3",#N/A,TRUE,"GENERAL";"TAB4",#N/A,TRUE,"GENERAL";"TAB5",#N/A,TRUE,"GENERAL"}</definedName>
    <definedName name="__s2" localSheetId="17" hidden="1">{"TAB1",#N/A,TRUE,"GENERAL";"TAB2",#N/A,TRUE,"GENERAL";"TAB3",#N/A,TRUE,"GENERAL";"TAB4",#N/A,TRUE,"GENERAL";"TAB5",#N/A,TRUE,"GENERAL"}</definedName>
    <definedName name="__s2" localSheetId="13" hidden="1">{"TAB1",#N/A,TRUE,"GENERAL";"TAB2",#N/A,TRUE,"GENERAL";"TAB3",#N/A,TRUE,"GENERAL";"TAB4",#N/A,TRUE,"GENERAL";"TAB5",#N/A,TRUE,"GENERAL"}</definedName>
    <definedName name="__s2" localSheetId="15" hidden="1">{"TAB1",#N/A,TRUE,"GENERAL";"TAB2",#N/A,TRUE,"GENERAL";"TAB3",#N/A,TRUE,"GENERAL";"TAB4",#N/A,TRUE,"GENERAL";"TAB5",#N/A,TRUE,"GENERAL"}</definedName>
    <definedName name="__s2" hidden="1">{"TAB1",#N/A,TRUE,"GENERAL";"TAB2",#N/A,TRUE,"GENERAL";"TAB3",#N/A,TRUE,"GENERAL";"TAB4",#N/A,TRUE,"GENERAL";"TAB5",#N/A,TRUE,"GENERAL"}</definedName>
    <definedName name="__s3" localSheetId="14" hidden="1">{"TAB1",#N/A,TRUE,"GENERAL";"TAB2",#N/A,TRUE,"GENERAL";"TAB3",#N/A,TRUE,"GENERAL";"TAB4",#N/A,TRUE,"GENERAL";"TAB5",#N/A,TRUE,"GENERAL"}</definedName>
    <definedName name="__s3" localSheetId="16" hidden="1">{"TAB1",#N/A,TRUE,"GENERAL";"TAB2",#N/A,TRUE,"GENERAL";"TAB3",#N/A,TRUE,"GENERAL";"TAB4",#N/A,TRUE,"GENERAL";"TAB5",#N/A,TRUE,"GENERAL"}</definedName>
    <definedName name="__s3" localSheetId="17" hidden="1">{"TAB1",#N/A,TRUE,"GENERAL";"TAB2",#N/A,TRUE,"GENERAL";"TAB3",#N/A,TRUE,"GENERAL";"TAB4",#N/A,TRUE,"GENERAL";"TAB5",#N/A,TRUE,"GENERAL"}</definedName>
    <definedName name="__s3" localSheetId="13" hidden="1">{"TAB1",#N/A,TRUE,"GENERAL";"TAB2",#N/A,TRUE,"GENERAL";"TAB3",#N/A,TRUE,"GENERAL";"TAB4",#N/A,TRUE,"GENERAL";"TAB5",#N/A,TRUE,"GENERAL"}</definedName>
    <definedName name="__s3" localSheetId="15" hidden="1">{"TAB1",#N/A,TRUE,"GENERAL";"TAB2",#N/A,TRUE,"GENERAL";"TAB3",#N/A,TRUE,"GENERAL";"TAB4",#N/A,TRUE,"GENERAL";"TAB5",#N/A,TRUE,"GENERAL"}</definedName>
    <definedName name="__s3" hidden="1">{"TAB1",#N/A,TRUE,"GENERAL";"TAB2",#N/A,TRUE,"GENERAL";"TAB3",#N/A,TRUE,"GENERAL";"TAB4",#N/A,TRUE,"GENERAL";"TAB5",#N/A,TRUE,"GENERAL"}</definedName>
    <definedName name="__s4" localSheetId="14" hidden="1">{"via1",#N/A,TRUE,"general";"via2",#N/A,TRUE,"general";"via3",#N/A,TRUE,"general"}</definedName>
    <definedName name="__s4" localSheetId="16" hidden="1">{"via1",#N/A,TRUE,"general";"via2",#N/A,TRUE,"general";"via3",#N/A,TRUE,"general"}</definedName>
    <definedName name="__s4" localSheetId="17" hidden="1">{"via1",#N/A,TRUE,"general";"via2",#N/A,TRUE,"general";"via3",#N/A,TRUE,"general"}</definedName>
    <definedName name="__s4" localSheetId="13" hidden="1">{"via1",#N/A,TRUE,"general";"via2",#N/A,TRUE,"general";"via3",#N/A,TRUE,"general"}</definedName>
    <definedName name="__s4" localSheetId="15" hidden="1">{"via1",#N/A,TRUE,"general";"via2",#N/A,TRUE,"general";"via3",#N/A,TRUE,"general"}</definedName>
    <definedName name="__s4" hidden="1">{"via1",#N/A,TRUE,"general";"via2",#N/A,TRUE,"general";"via3",#N/A,TRUE,"general"}</definedName>
    <definedName name="__s5" localSheetId="14" hidden="1">{"via1",#N/A,TRUE,"general";"via2",#N/A,TRUE,"general";"via3",#N/A,TRUE,"general"}</definedName>
    <definedName name="__s5" localSheetId="16" hidden="1">{"via1",#N/A,TRUE,"general";"via2",#N/A,TRUE,"general";"via3",#N/A,TRUE,"general"}</definedName>
    <definedName name="__s5" localSheetId="17" hidden="1">{"via1",#N/A,TRUE,"general";"via2",#N/A,TRUE,"general";"via3",#N/A,TRUE,"general"}</definedName>
    <definedName name="__s5" localSheetId="13" hidden="1">{"via1",#N/A,TRUE,"general";"via2",#N/A,TRUE,"general";"via3",#N/A,TRUE,"general"}</definedName>
    <definedName name="__s5" localSheetId="15" hidden="1">{"via1",#N/A,TRUE,"general";"via2",#N/A,TRUE,"general";"via3",#N/A,TRUE,"general"}</definedName>
    <definedName name="__s5" hidden="1">{"via1",#N/A,TRUE,"general";"via2",#N/A,TRUE,"general";"via3",#N/A,TRUE,"general"}</definedName>
    <definedName name="__s6" localSheetId="14" hidden="1">{"TAB1",#N/A,TRUE,"GENERAL";"TAB2",#N/A,TRUE,"GENERAL";"TAB3",#N/A,TRUE,"GENERAL";"TAB4",#N/A,TRUE,"GENERAL";"TAB5",#N/A,TRUE,"GENERAL"}</definedName>
    <definedName name="__s6" localSheetId="16" hidden="1">{"TAB1",#N/A,TRUE,"GENERAL";"TAB2",#N/A,TRUE,"GENERAL";"TAB3",#N/A,TRUE,"GENERAL";"TAB4",#N/A,TRUE,"GENERAL";"TAB5",#N/A,TRUE,"GENERAL"}</definedName>
    <definedName name="__s6" localSheetId="17" hidden="1">{"TAB1",#N/A,TRUE,"GENERAL";"TAB2",#N/A,TRUE,"GENERAL";"TAB3",#N/A,TRUE,"GENERAL";"TAB4",#N/A,TRUE,"GENERAL";"TAB5",#N/A,TRUE,"GENERAL"}</definedName>
    <definedName name="__s6" localSheetId="13" hidden="1">{"TAB1",#N/A,TRUE,"GENERAL";"TAB2",#N/A,TRUE,"GENERAL";"TAB3",#N/A,TRUE,"GENERAL";"TAB4",#N/A,TRUE,"GENERAL";"TAB5",#N/A,TRUE,"GENERAL"}</definedName>
    <definedName name="__s6" localSheetId="15" hidden="1">{"TAB1",#N/A,TRUE,"GENERAL";"TAB2",#N/A,TRUE,"GENERAL";"TAB3",#N/A,TRUE,"GENERAL";"TAB4",#N/A,TRUE,"GENERAL";"TAB5",#N/A,TRUE,"GENERAL"}</definedName>
    <definedName name="__s6" hidden="1">{"TAB1",#N/A,TRUE,"GENERAL";"TAB2",#N/A,TRUE,"GENERAL";"TAB3",#N/A,TRUE,"GENERAL";"TAB4",#N/A,TRUE,"GENERAL";"TAB5",#N/A,TRUE,"GENERAL"}</definedName>
    <definedName name="__s7" localSheetId="14" hidden="1">{"via1",#N/A,TRUE,"general";"via2",#N/A,TRUE,"general";"via3",#N/A,TRUE,"general"}</definedName>
    <definedName name="__s7" localSheetId="16" hidden="1">{"via1",#N/A,TRUE,"general";"via2",#N/A,TRUE,"general";"via3",#N/A,TRUE,"general"}</definedName>
    <definedName name="__s7" localSheetId="17" hidden="1">{"via1",#N/A,TRUE,"general";"via2",#N/A,TRUE,"general";"via3",#N/A,TRUE,"general"}</definedName>
    <definedName name="__s7" localSheetId="13" hidden="1">{"via1",#N/A,TRUE,"general";"via2",#N/A,TRUE,"general";"via3",#N/A,TRUE,"general"}</definedName>
    <definedName name="__s7" localSheetId="15"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ST106" localSheetId="3">#REF!</definedName>
    <definedName name="__ST106" localSheetId="30">#REF!</definedName>
    <definedName name="__ST106" localSheetId="31">#REF!</definedName>
    <definedName name="__ST106" localSheetId="29">#REF!</definedName>
    <definedName name="__ST106">#REF!</definedName>
    <definedName name="__ST126" localSheetId="3">#REF!</definedName>
    <definedName name="__ST126" localSheetId="30">#REF!</definedName>
    <definedName name="__ST126" localSheetId="31">#REF!</definedName>
    <definedName name="__ST126" localSheetId="29">#REF!</definedName>
    <definedName name="__ST126">#REF!</definedName>
    <definedName name="__ST146" localSheetId="3">#REF!</definedName>
    <definedName name="__ST146" localSheetId="30">#REF!</definedName>
    <definedName name="__ST146" localSheetId="31">#REF!</definedName>
    <definedName name="__ST146" localSheetId="29">#REF!</definedName>
    <definedName name="__ST146">#REF!</definedName>
    <definedName name="__ST166">#REF!</definedName>
    <definedName name="__ST186" localSheetId="3">#REF!</definedName>
    <definedName name="__ST186" localSheetId="30">#REF!</definedName>
    <definedName name="__ST186" localSheetId="31">#REF!</definedName>
    <definedName name="__ST186" localSheetId="29">#REF!</definedName>
    <definedName name="__ST186">#REF!</definedName>
    <definedName name="__ST206" localSheetId="3">#REF!</definedName>
    <definedName name="__ST206" localSheetId="30">#REF!</definedName>
    <definedName name="__ST206" localSheetId="31">#REF!</definedName>
    <definedName name="__ST206" localSheetId="29">#REF!</definedName>
    <definedName name="__ST206">#REF!</definedName>
    <definedName name="__ST86" localSheetId="3">#REF!</definedName>
    <definedName name="__ST86" localSheetId="30">#REF!</definedName>
    <definedName name="__ST86" localSheetId="31">#REF!</definedName>
    <definedName name="__ST86" localSheetId="29">#REF!</definedName>
    <definedName name="__ST86">#REF!</definedName>
    <definedName name="__t3" localSheetId="14" hidden="1">{"TAB1",#N/A,TRUE,"GENERAL";"TAB2",#N/A,TRUE,"GENERAL";"TAB3",#N/A,TRUE,"GENERAL";"TAB4",#N/A,TRUE,"GENERAL";"TAB5",#N/A,TRUE,"GENERAL"}</definedName>
    <definedName name="__t3" localSheetId="16" hidden="1">{"TAB1",#N/A,TRUE,"GENERAL";"TAB2",#N/A,TRUE,"GENERAL";"TAB3",#N/A,TRUE,"GENERAL";"TAB4",#N/A,TRUE,"GENERAL";"TAB5",#N/A,TRUE,"GENERAL"}</definedName>
    <definedName name="__t3" localSheetId="17" hidden="1">{"TAB1",#N/A,TRUE,"GENERAL";"TAB2",#N/A,TRUE,"GENERAL";"TAB3",#N/A,TRUE,"GENERAL";"TAB4",#N/A,TRUE,"GENERAL";"TAB5",#N/A,TRUE,"GENERAL"}</definedName>
    <definedName name="__t3" localSheetId="13" hidden="1">{"TAB1",#N/A,TRUE,"GENERAL";"TAB2",#N/A,TRUE,"GENERAL";"TAB3",#N/A,TRUE,"GENERAL";"TAB4",#N/A,TRUE,"GENERAL";"TAB5",#N/A,TRUE,"GENERAL"}</definedName>
    <definedName name="__t3" localSheetId="15" hidden="1">{"TAB1",#N/A,TRUE,"GENERAL";"TAB2",#N/A,TRUE,"GENERAL";"TAB3",#N/A,TRUE,"GENERAL";"TAB4",#N/A,TRUE,"GENERAL";"TAB5",#N/A,TRUE,"GENERAL"}</definedName>
    <definedName name="__t3" hidden="1">{"TAB1",#N/A,TRUE,"GENERAL";"TAB2",#N/A,TRUE,"GENERAL";"TAB3",#N/A,TRUE,"GENERAL";"TAB4",#N/A,TRUE,"GENERAL";"TAB5",#N/A,TRUE,"GENERAL"}</definedName>
    <definedName name="__t4" localSheetId="14" hidden="1">{"via1",#N/A,TRUE,"general";"via2",#N/A,TRUE,"general";"via3",#N/A,TRUE,"general"}</definedName>
    <definedName name="__t4" localSheetId="16" hidden="1">{"via1",#N/A,TRUE,"general";"via2",#N/A,TRUE,"general";"via3",#N/A,TRUE,"general"}</definedName>
    <definedName name="__t4" localSheetId="17" hidden="1">{"via1",#N/A,TRUE,"general";"via2",#N/A,TRUE,"general";"via3",#N/A,TRUE,"general"}</definedName>
    <definedName name="__t4" localSheetId="13" hidden="1">{"via1",#N/A,TRUE,"general";"via2",#N/A,TRUE,"general";"via3",#N/A,TRUE,"general"}</definedName>
    <definedName name="__t4" localSheetId="15" hidden="1">{"via1",#N/A,TRUE,"general";"via2",#N/A,TRUE,"general";"via3",#N/A,TRUE,"general"}</definedName>
    <definedName name="__t4" hidden="1">{"via1",#N/A,TRUE,"general";"via2",#N/A,TRUE,"general";"via3",#N/A,TRUE,"general"}</definedName>
    <definedName name="__t5" localSheetId="14" hidden="1">{"TAB1",#N/A,TRUE,"GENERAL";"TAB2",#N/A,TRUE,"GENERAL";"TAB3",#N/A,TRUE,"GENERAL";"TAB4",#N/A,TRUE,"GENERAL";"TAB5",#N/A,TRUE,"GENERAL"}</definedName>
    <definedName name="__t5" localSheetId="16" hidden="1">{"TAB1",#N/A,TRUE,"GENERAL";"TAB2",#N/A,TRUE,"GENERAL";"TAB3",#N/A,TRUE,"GENERAL";"TAB4",#N/A,TRUE,"GENERAL";"TAB5",#N/A,TRUE,"GENERAL"}</definedName>
    <definedName name="__t5" localSheetId="17" hidden="1">{"TAB1",#N/A,TRUE,"GENERAL";"TAB2",#N/A,TRUE,"GENERAL";"TAB3",#N/A,TRUE,"GENERAL";"TAB4",#N/A,TRUE,"GENERAL";"TAB5",#N/A,TRUE,"GENERAL"}</definedName>
    <definedName name="__t5" localSheetId="13" hidden="1">{"TAB1",#N/A,TRUE,"GENERAL";"TAB2",#N/A,TRUE,"GENERAL";"TAB3",#N/A,TRUE,"GENERAL";"TAB4",#N/A,TRUE,"GENERAL";"TAB5",#N/A,TRUE,"GENERAL"}</definedName>
    <definedName name="__t5" localSheetId="15" hidden="1">{"TAB1",#N/A,TRUE,"GENERAL";"TAB2",#N/A,TRUE,"GENERAL";"TAB3",#N/A,TRUE,"GENERAL";"TAB4",#N/A,TRUE,"GENERAL";"TAB5",#N/A,TRUE,"GENERAL"}</definedName>
    <definedName name="__t5" hidden="1">{"TAB1",#N/A,TRUE,"GENERAL";"TAB2",#N/A,TRUE,"GENERAL";"TAB3",#N/A,TRUE,"GENERAL";"TAB4",#N/A,TRUE,"GENERAL";"TAB5",#N/A,TRUE,"GENERAL"}</definedName>
    <definedName name="__t6" localSheetId="14" hidden="1">{"via1",#N/A,TRUE,"general";"via2",#N/A,TRUE,"general";"via3",#N/A,TRUE,"general"}</definedName>
    <definedName name="__t6" localSheetId="16" hidden="1">{"via1",#N/A,TRUE,"general";"via2",#N/A,TRUE,"general";"via3",#N/A,TRUE,"general"}</definedName>
    <definedName name="__t6" localSheetId="17" hidden="1">{"via1",#N/A,TRUE,"general";"via2",#N/A,TRUE,"general";"via3",#N/A,TRUE,"general"}</definedName>
    <definedName name="__t6" localSheetId="13" hidden="1">{"via1",#N/A,TRUE,"general";"via2",#N/A,TRUE,"general";"via3",#N/A,TRUE,"general"}</definedName>
    <definedName name="__t6" localSheetId="15" hidden="1">{"via1",#N/A,TRUE,"general";"via2",#N/A,TRUE,"general";"via3",#N/A,TRUE,"general"}</definedName>
    <definedName name="__t6" hidden="1">{"via1",#N/A,TRUE,"general";"via2",#N/A,TRUE,"general";"via3",#N/A,TRUE,"general"}</definedName>
    <definedName name="__t66" localSheetId="14" hidden="1">{"TAB1",#N/A,TRUE,"GENERAL";"TAB2",#N/A,TRUE,"GENERAL";"TAB3",#N/A,TRUE,"GENERAL";"TAB4",#N/A,TRUE,"GENERAL";"TAB5",#N/A,TRUE,"GENERAL"}</definedName>
    <definedName name="__t66" localSheetId="16" hidden="1">{"TAB1",#N/A,TRUE,"GENERAL";"TAB2",#N/A,TRUE,"GENERAL";"TAB3",#N/A,TRUE,"GENERAL";"TAB4",#N/A,TRUE,"GENERAL";"TAB5",#N/A,TRUE,"GENERAL"}</definedName>
    <definedName name="__t66" localSheetId="17" hidden="1">{"TAB1",#N/A,TRUE,"GENERAL";"TAB2",#N/A,TRUE,"GENERAL";"TAB3",#N/A,TRUE,"GENERAL";"TAB4",#N/A,TRUE,"GENERAL";"TAB5",#N/A,TRUE,"GENERAL"}</definedName>
    <definedName name="__t66" localSheetId="13" hidden="1">{"TAB1",#N/A,TRUE,"GENERAL";"TAB2",#N/A,TRUE,"GENERAL";"TAB3",#N/A,TRUE,"GENERAL";"TAB4",#N/A,TRUE,"GENERAL";"TAB5",#N/A,TRUE,"GENERAL"}</definedName>
    <definedName name="__t66" localSheetId="15" hidden="1">{"TAB1",#N/A,TRUE,"GENERAL";"TAB2",#N/A,TRUE,"GENERAL";"TAB3",#N/A,TRUE,"GENERAL";"TAB4",#N/A,TRUE,"GENERAL";"TAB5",#N/A,TRUE,"GENERAL"}</definedName>
    <definedName name="__t66" hidden="1">{"TAB1",#N/A,TRUE,"GENERAL";"TAB2",#N/A,TRUE,"GENERAL";"TAB3",#N/A,TRUE,"GENERAL";"TAB4",#N/A,TRUE,"GENERAL";"TAB5",#N/A,TRUE,"GENERAL"}</definedName>
    <definedName name="__t7" localSheetId="14" hidden="1">{"via1",#N/A,TRUE,"general";"via2",#N/A,TRUE,"general";"via3",#N/A,TRUE,"general"}</definedName>
    <definedName name="__t7" localSheetId="16" hidden="1">{"via1",#N/A,TRUE,"general";"via2",#N/A,TRUE,"general";"via3",#N/A,TRUE,"general"}</definedName>
    <definedName name="__t7" localSheetId="17" hidden="1">{"via1",#N/A,TRUE,"general";"via2",#N/A,TRUE,"general";"via3",#N/A,TRUE,"general"}</definedName>
    <definedName name="__t7" localSheetId="13" hidden="1">{"via1",#N/A,TRUE,"general";"via2",#N/A,TRUE,"general";"via3",#N/A,TRUE,"general"}</definedName>
    <definedName name="__t7" localSheetId="15" hidden="1">{"via1",#N/A,TRUE,"general";"via2",#N/A,TRUE,"general";"via3",#N/A,TRUE,"general"}</definedName>
    <definedName name="__t7" hidden="1">{"via1",#N/A,TRUE,"general";"via2",#N/A,TRUE,"general";"via3",#N/A,TRUE,"general"}</definedName>
    <definedName name="__t77" localSheetId="14" hidden="1">{"TAB1",#N/A,TRUE,"GENERAL";"TAB2",#N/A,TRUE,"GENERAL";"TAB3",#N/A,TRUE,"GENERAL";"TAB4",#N/A,TRUE,"GENERAL";"TAB5",#N/A,TRUE,"GENERAL"}</definedName>
    <definedName name="__t77" localSheetId="16" hidden="1">{"TAB1",#N/A,TRUE,"GENERAL";"TAB2",#N/A,TRUE,"GENERAL";"TAB3",#N/A,TRUE,"GENERAL";"TAB4",#N/A,TRUE,"GENERAL";"TAB5",#N/A,TRUE,"GENERAL"}</definedName>
    <definedName name="__t77" localSheetId="17" hidden="1">{"TAB1",#N/A,TRUE,"GENERAL";"TAB2",#N/A,TRUE,"GENERAL";"TAB3",#N/A,TRUE,"GENERAL";"TAB4",#N/A,TRUE,"GENERAL";"TAB5",#N/A,TRUE,"GENERAL"}</definedName>
    <definedName name="__t77" localSheetId="13" hidden="1">{"TAB1",#N/A,TRUE,"GENERAL";"TAB2",#N/A,TRUE,"GENERAL";"TAB3",#N/A,TRUE,"GENERAL";"TAB4",#N/A,TRUE,"GENERAL";"TAB5",#N/A,TRUE,"GENERAL"}</definedName>
    <definedName name="__t77" localSheetId="15" hidden="1">{"TAB1",#N/A,TRUE,"GENERAL";"TAB2",#N/A,TRUE,"GENERAL";"TAB3",#N/A,TRUE,"GENERAL";"TAB4",#N/A,TRUE,"GENERAL";"TAB5",#N/A,TRUE,"GENERAL"}</definedName>
    <definedName name="__t77" hidden="1">{"TAB1",#N/A,TRUE,"GENERAL";"TAB2",#N/A,TRUE,"GENERAL";"TAB3",#N/A,TRUE,"GENERAL";"TAB4",#N/A,TRUE,"GENERAL";"TAB5",#N/A,TRUE,"GENERAL"}</definedName>
    <definedName name="__t8" localSheetId="14" hidden="1">{"TAB1",#N/A,TRUE,"GENERAL";"TAB2",#N/A,TRUE,"GENERAL";"TAB3",#N/A,TRUE,"GENERAL";"TAB4",#N/A,TRUE,"GENERAL";"TAB5",#N/A,TRUE,"GENERAL"}</definedName>
    <definedName name="__t8" localSheetId="16" hidden="1">{"TAB1",#N/A,TRUE,"GENERAL";"TAB2",#N/A,TRUE,"GENERAL";"TAB3",#N/A,TRUE,"GENERAL";"TAB4",#N/A,TRUE,"GENERAL";"TAB5",#N/A,TRUE,"GENERAL"}</definedName>
    <definedName name="__t8" localSheetId="17" hidden="1">{"TAB1",#N/A,TRUE,"GENERAL";"TAB2",#N/A,TRUE,"GENERAL";"TAB3",#N/A,TRUE,"GENERAL";"TAB4",#N/A,TRUE,"GENERAL";"TAB5",#N/A,TRUE,"GENERAL"}</definedName>
    <definedName name="__t8" localSheetId="13" hidden="1">{"TAB1",#N/A,TRUE,"GENERAL";"TAB2",#N/A,TRUE,"GENERAL";"TAB3",#N/A,TRUE,"GENERAL";"TAB4",#N/A,TRUE,"GENERAL";"TAB5",#N/A,TRUE,"GENERAL"}</definedName>
    <definedName name="__t8" localSheetId="15" hidden="1">{"TAB1",#N/A,TRUE,"GENERAL";"TAB2",#N/A,TRUE,"GENERAL";"TAB3",#N/A,TRUE,"GENERAL";"TAB4",#N/A,TRUE,"GENERAL";"TAB5",#N/A,TRUE,"GENERAL"}</definedName>
    <definedName name="__t8" hidden="1">{"TAB1",#N/A,TRUE,"GENERAL";"TAB2",#N/A,TRUE,"GENERAL";"TAB3",#N/A,TRUE,"GENERAL";"TAB4",#N/A,TRUE,"GENERAL";"TAB5",#N/A,TRUE,"GENERAL"}</definedName>
    <definedName name="__t88" localSheetId="14" hidden="1">{"via1",#N/A,TRUE,"general";"via2",#N/A,TRUE,"general";"via3",#N/A,TRUE,"general"}</definedName>
    <definedName name="__t88" localSheetId="16" hidden="1">{"via1",#N/A,TRUE,"general";"via2",#N/A,TRUE,"general";"via3",#N/A,TRUE,"general"}</definedName>
    <definedName name="__t88" localSheetId="17" hidden="1">{"via1",#N/A,TRUE,"general";"via2",#N/A,TRUE,"general";"via3",#N/A,TRUE,"general"}</definedName>
    <definedName name="__t88" localSheetId="13" hidden="1">{"via1",#N/A,TRUE,"general";"via2",#N/A,TRUE,"general";"via3",#N/A,TRUE,"general"}</definedName>
    <definedName name="__t88" localSheetId="15" hidden="1">{"via1",#N/A,TRUE,"general";"via2",#N/A,TRUE,"general";"via3",#N/A,TRUE,"general"}</definedName>
    <definedName name="__t88" hidden="1">{"via1",#N/A,TRUE,"general";"via2",#N/A,TRUE,"general";"via3",#N/A,TRUE,"general"}</definedName>
    <definedName name="__t9" localSheetId="14" hidden="1">{"TAB1",#N/A,TRUE,"GENERAL";"TAB2",#N/A,TRUE,"GENERAL";"TAB3",#N/A,TRUE,"GENERAL";"TAB4",#N/A,TRUE,"GENERAL";"TAB5",#N/A,TRUE,"GENERAL"}</definedName>
    <definedName name="__t9" localSheetId="16" hidden="1">{"TAB1",#N/A,TRUE,"GENERAL";"TAB2",#N/A,TRUE,"GENERAL";"TAB3",#N/A,TRUE,"GENERAL";"TAB4",#N/A,TRUE,"GENERAL";"TAB5",#N/A,TRUE,"GENERAL"}</definedName>
    <definedName name="__t9" localSheetId="17" hidden="1">{"TAB1",#N/A,TRUE,"GENERAL";"TAB2",#N/A,TRUE,"GENERAL";"TAB3",#N/A,TRUE,"GENERAL";"TAB4",#N/A,TRUE,"GENERAL";"TAB5",#N/A,TRUE,"GENERAL"}</definedName>
    <definedName name="__t9" localSheetId="13" hidden="1">{"TAB1",#N/A,TRUE,"GENERAL";"TAB2",#N/A,TRUE,"GENERAL";"TAB3",#N/A,TRUE,"GENERAL";"TAB4",#N/A,TRUE,"GENERAL";"TAB5",#N/A,TRUE,"GENERAL"}</definedName>
    <definedName name="__t9" localSheetId="15" hidden="1">{"TAB1",#N/A,TRUE,"GENERAL";"TAB2",#N/A,TRUE,"GENERAL";"TAB3",#N/A,TRUE,"GENERAL";"TAB4",#N/A,TRUE,"GENERAL";"TAB5",#N/A,TRUE,"GENERAL"}</definedName>
    <definedName name="__t9" hidden="1">{"TAB1",#N/A,TRUE,"GENERAL";"TAB2",#N/A,TRUE,"GENERAL";"TAB3",#N/A,TRUE,"GENERAL";"TAB4",#N/A,TRUE,"GENERAL";"TAB5",#N/A,TRUE,"GENERAL"}</definedName>
    <definedName name="__t99" localSheetId="14" hidden="1">{"via1",#N/A,TRUE,"general";"via2",#N/A,TRUE,"general";"via3",#N/A,TRUE,"general"}</definedName>
    <definedName name="__t99" localSheetId="16" hidden="1">{"via1",#N/A,TRUE,"general";"via2",#N/A,TRUE,"general";"via3",#N/A,TRUE,"general"}</definedName>
    <definedName name="__t99" localSheetId="17" hidden="1">{"via1",#N/A,TRUE,"general";"via2",#N/A,TRUE,"general";"via3",#N/A,TRUE,"general"}</definedName>
    <definedName name="__t99" localSheetId="13" hidden="1">{"via1",#N/A,TRUE,"general";"via2",#N/A,TRUE,"general";"via3",#N/A,TRUE,"general"}</definedName>
    <definedName name="__t99" localSheetId="15" hidden="1">{"via1",#N/A,TRUE,"general";"via2",#N/A,TRUE,"general";"via3",#N/A,TRUE,"general"}</definedName>
    <definedName name="__t99" hidden="1">{"via1",#N/A,TRUE,"general";"via2",#N/A,TRUE,"general";"via3",#N/A,TRUE,"general"}</definedName>
    <definedName name="__TA1">[7]DATBAND!$L$3:$L$652</definedName>
    <definedName name="__TA2">[7]DATBAND!$M$3:$M$570</definedName>
    <definedName name="__TA3">[7]DATBAND!$N$3:$N$446</definedName>
    <definedName name="__TA4">[7]DATBAND!$O$3:$O$678</definedName>
    <definedName name="__TA5">[7]DATBAND!$P$3:$P$601</definedName>
    <definedName name="__TA6">[7]DATBAND!$Q$3:$Q$531</definedName>
    <definedName name="__TA7">[7]DATBAND!$R$3:$R$504</definedName>
    <definedName name="__TA8">[7]DATBAND!$S$3:$S$674</definedName>
    <definedName name="__TA9">[7]DATBAND!$T$3:$T$544</definedName>
    <definedName name="__TAP2" localSheetId="3">#REF!</definedName>
    <definedName name="__TAP2" localSheetId="30">#REF!</definedName>
    <definedName name="__TAP2" localSheetId="31">#REF!</definedName>
    <definedName name="__TAP2" localSheetId="29">#REF!</definedName>
    <definedName name="__TAP2">#REF!</definedName>
    <definedName name="__TEE1" localSheetId="3">#REF!</definedName>
    <definedName name="__TEE1" localSheetId="30">#REF!</definedName>
    <definedName name="__TEE1" localSheetId="31">#REF!</definedName>
    <definedName name="__TEE1" localSheetId="29">#REF!</definedName>
    <definedName name="__TEE1">#REF!</definedName>
    <definedName name="__TEE2" localSheetId="3">#REF!</definedName>
    <definedName name="__TEE2" localSheetId="30">#REF!</definedName>
    <definedName name="__TEE2" localSheetId="31">#REF!</definedName>
    <definedName name="__TEE2" localSheetId="29">#REF!</definedName>
    <definedName name="__TEE2">#REF!</definedName>
    <definedName name="__TEE32" localSheetId="3">#REF!</definedName>
    <definedName name="__TEE32" localSheetId="30">#REF!</definedName>
    <definedName name="__TEE32" localSheetId="31">#REF!</definedName>
    <definedName name="__TEE32" localSheetId="29">#REF!</definedName>
    <definedName name="__TEE32">#REF!</definedName>
    <definedName name="__TEE33" localSheetId="3">#REF!</definedName>
    <definedName name="__TEE33" localSheetId="30">#REF!</definedName>
    <definedName name="__TEE33" localSheetId="31">#REF!</definedName>
    <definedName name="__TEE33" localSheetId="29">#REF!</definedName>
    <definedName name="__TEE33">#REF!</definedName>
    <definedName name="__TEP44" localSheetId="3">#REF!</definedName>
    <definedName name="__TEP44" localSheetId="30">#REF!</definedName>
    <definedName name="__TEP44" localSheetId="31">#REF!</definedName>
    <definedName name="__TEP44" localSheetId="29">#REF!</definedName>
    <definedName name="__TEP44">#REF!</definedName>
    <definedName name="__TES44" localSheetId="3">#REF!</definedName>
    <definedName name="__TES44" localSheetId="30">#REF!</definedName>
    <definedName name="__TES44" localSheetId="31">#REF!</definedName>
    <definedName name="__TES44" localSheetId="29">#REF!</definedName>
    <definedName name="__TES44">#REF!</definedName>
    <definedName name="__TES64" localSheetId="3">#REF!</definedName>
    <definedName name="__TES64" localSheetId="30">#REF!</definedName>
    <definedName name="__TES64" localSheetId="31">#REF!</definedName>
    <definedName name="__TES64" localSheetId="29">#REF!</definedName>
    <definedName name="__TES64">#REF!</definedName>
    <definedName name="__TES66" localSheetId="3">#REF!</definedName>
    <definedName name="__TES66" localSheetId="30">#REF!</definedName>
    <definedName name="__TES66" localSheetId="31">#REF!</definedName>
    <definedName name="__TES66" localSheetId="29">#REF!</definedName>
    <definedName name="__TES66">#REF!</definedName>
    <definedName name="__THF12" localSheetId="3">#REF!</definedName>
    <definedName name="__THF12" localSheetId="30">#REF!</definedName>
    <definedName name="__THF12" localSheetId="31">#REF!</definedName>
    <definedName name="__THF12" localSheetId="29">#REF!</definedName>
    <definedName name="__THF12">#REF!</definedName>
    <definedName name="__THF128">#REF!</definedName>
    <definedName name="__TPE1132" localSheetId="3">#REF!</definedName>
    <definedName name="__TPE1132" localSheetId="30">#REF!</definedName>
    <definedName name="__TPE1132" localSheetId="31">#REF!</definedName>
    <definedName name="__TPE1132" localSheetId="29">#REF!</definedName>
    <definedName name="__TPE1132">#REF!</definedName>
    <definedName name="__TPE12">#REF!</definedName>
    <definedName name="__TPE1331" localSheetId="3">#REF!</definedName>
    <definedName name="__TPE1331" localSheetId="30">#REF!</definedName>
    <definedName name="__TPE1331" localSheetId="31">#REF!</definedName>
    <definedName name="__TPE1331" localSheetId="29">#REF!</definedName>
    <definedName name="__TPE1331">#REF!</definedName>
    <definedName name="__TPE1701" localSheetId="3">#REF!</definedName>
    <definedName name="__TPE1701" localSheetId="30">#REF!</definedName>
    <definedName name="__TPE1701" localSheetId="31">#REF!</definedName>
    <definedName name="__TPE1701" localSheetId="29">#REF!</definedName>
    <definedName name="__TPE1701">#REF!</definedName>
    <definedName name="__TPE1702" localSheetId="3">#REF!</definedName>
    <definedName name="__TPE1702" localSheetId="30">#REF!</definedName>
    <definedName name="__TPE1702" localSheetId="31">#REF!</definedName>
    <definedName name="__TPE1702" localSheetId="29">#REF!</definedName>
    <definedName name="__TPE1702">#REF!</definedName>
    <definedName name="__TPE1703" localSheetId="3">#REF!</definedName>
    <definedName name="__TPE1703" localSheetId="30">#REF!</definedName>
    <definedName name="__TPE1703" localSheetId="31">#REF!</definedName>
    <definedName name="__TPE1703" localSheetId="29">#REF!</definedName>
    <definedName name="__TPE1703">#REF!</definedName>
    <definedName name="__TPE1704" localSheetId="3">#REF!</definedName>
    <definedName name="__TPE1704" localSheetId="30">#REF!</definedName>
    <definedName name="__TPE1704" localSheetId="31">#REF!</definedName>
    <definedName name="__TPE1704" localSheetId="29">#REF!</definedName>
    <definedName name="__TPE1704">#REF!</definedName>
    <definedName name="__TPE1706" localSheetId="3">#REF!</definedName>
    <definedName name="__TPE1706" localSheetId="30">#REF!</definedName>
    <definedName name="__TPE1706" localSheetId="31">#REF!</definedName>
    <definedName name="__TPE1706" localSheetId="29">#REF!</definedName>
    <definedName name="__TPE1706">#REF!</definedName>
    <definedName name="__TPE1708" localSheetId="3">#REF!</definedName>
    <definedName name="__TPE1708" localSheetId="30">#REF!</definedName>
    <definedName name="__TPE1708" localSheetId="31">#REF!</definedName>
    <definedName name="__TPE1708" localSheetId="29">#REF!</definedName>
    <definedName name="__TPE1708">#REF!</definedName>
    <definedName name="__TPE1710" localSheetId="3">#REF!</definedName>
    <definedName name="__TPE1710" localSheetId="30">#REF!</definedName>
    <definedName name="__TPE1710" localSheetId="31">#REF!</definedName>
    <definedName name="__TPE1710" localSheetId="29">#REF!</definedName>
    <definedName name="__TPE1710">#REF!</definedName>
    <definedName name="__TPE1735" localSheetId="3">#REF!</definedName>
    <definedName name="__TPE1735" localSheetId="30">#REF!</definedName>
    <definedName name="__TPE1735" localSheetId="31">#REF!</definedName>
    <definedName name="__TPE1735" localSheetId="29">#REF!</definedName>
    <definedName name="__TPE1735">#REF!</definedName>
    <definedName name="__TPE1763" localSheetId="3">#REF!</definedName>
    <definedName name="__TPE1763" localSheetId="30">#REF!</definedName>
    <definedName name="__TPE1763" localSheetId="31">#REF!</definedName>
    <definedName name="__TPE1763" localSheetId="29">#REF!</definedName>
    <definedName name="__TPE1763">#REF!</definedName>
    <definedName name="__TPE1790" localSheetId="3">#REF!</definedName>
    <definedName name="__TPE1790" localSheetId="30">#REF!</definedName>
    <definedName name="__TPE1790" localSheetId="31">#REF!</definedName>
    <definedName name="__TPE1790" localSheetId="29">#REF!</definedName>
    <definedName name="__TPE1790">#REF!</definedName>
    <definedName name="__TPE8016">#REF!</definedName>
    <definedName name="__TPE8020">#REF!</definedName>
    <definedName name="__TPE8025">#REF!</definedName>
    <definedName name="__TPF12" localSheetId="3">#REF!</definedName>
    <definedName name="__TPF12" localSheetId="30">#REF!</definedName>
    <definedName name="__TPF12" localSheetId="31">#REF!</definedName>
    <definedName name="__TPF12" localSheetId="29">#REF!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R114" localSheetId="3">#REF!</definedName>
    <definedName name="__TR114" localSheetId="30">#REF!</definedName>
    <definedName name="__TR114" localSheetId="31">#REF!</definedName>
    <definedName name="__TR114" localSheetId="29">#REF!</definedName>
    <definedName name="__TR114">#REF!</definedName>
    <definedName name="__TUZ22" localSheetId="3">#REF!</definedName>
    <definedName name="__TUZ22">#REF!</definedName>
    <definedName name="__TUZ36" localSheetId="3">#REF!</definedName>
    <definedName name="__TUZ36">#REF!</definedName>
    <definedName name="__TZ2110" localSheetId="3">#REF!</definedName>
    <definedName name="__TZ2110" localSheetId="30">#REF!</definedName>
    <definedName name="__TZ2110" localSheetId="31">#REF!</definedName>
    <definedName name="__TZ2110" localSheetId="29">#REF!</definedName>
    <definedName name="__TZ2110">#REF!</definedName>
    <definedName name="__TZ2112" localSheetId="3">#REF!</definedName>
    <definedName name="__TZ2112" localSheetId="30">#REF!</definedName>
    <definedName name="__TZ2112" localSheetId="31">#REF!</definedName>
    <definedName name="__TZ2112" localSheetId="29">#REF!</definedName>
    <definedName name="__TZ2112">#REF!</definedName>
    <definedName name="__TZ2114" localSheetId="3">#REF!</definedName>
    <definedName name="__TZ2114" localSheetId="30">#REF!</definedName>
    <definedName name="__TZ2114" localSheetId="31">#REF!</definedName>
    <definedName name="__TZ2114" localSheetId="29">#REF!</definedName>
    <definedName name="__TZ2114">#REF!</definedName>
    <definedName name="__TZ2116" localSheetId="3">#REF!</definedName>
    <definedName name="__TZ2116" localSheetId="30">#REF!</definedName>
    <definedName name="__TZ2116" localSheetId="31">#REF!</definedName>
    <definedName name="__TZ2116" localSheetId="29">#REF!</definedName>
    <definedName name="__TZ2116">#REF!</definedName>
    <definedName name="__TZ212" localSheetId="3">#REF!</definedName>
    <definedName name="__TZ212" localSheetId="30">#REF!</definedName>
    <definedName name="__TZ212" localSheetId="31">#REF!</definedName>
    <definedName name="__TZ212" localSheetId="29">#REF!</definedName>
    <definedName name="__TZ212">#REF!</definedName>
    <definedName name="__TZ213" localSheetId="3">#REF!</definedName>
    <definedName name="__TZ213" localSheetId="30">#REF!</definedName>
    <definedName name="__TZ213" localSheetId="31">#REF!</definedName>
    <definedName name="__TZ213" localSheetId="29">#REF!</definedName>
    <definedName name="__TZ213">#REF!</definedName>
    <definedName name="__TZ214" localSheetId="3">#REF!</definedName>
    <definedName name="__TZ214" localSheetId="30">#REF!</definedName>
    <definedName name="__TZ214" localSheetId="31">#REF!</definedName>
    <definedName name="__TZ214" localSheetId="29">#REF!</definedName>
    <definedName name="__TZ214">#REF!</definedName>
    <definedName name="__TZ216" localSheetId="3">#REF!</definedName>
    <definedName name="__TZ216" localSheetId="30">#REF!</definedName>
    <definedName name="__TZ216" localSheetId="31">#REF!</definedName>
    <definedName name="__TZ216" localSheetId="29">#REF!</definedName>
    <definedName name="__TZ216">#REF!</definedName>
    <definedName name="__TZ218" localSheetId="3">#REF!</definedName>
    <definedName name="__TZ218" localSheetId="30">#REF!</definedName>
    <definedName name="__TZ218" localSheetId="31">#REF!</definedName>
    <definedName name="__TZ218" localSheetId="29">#REF!</definedName>
    <definedName name="__TZ218">#REF!</definedName>
    <definedName name="__TZ225" localSheetId="3">#REF!</definedName>
    <definedName name="__TZ225" localSheetId="30">#REF!</definedName>
    <definedName name="__TZ225" localSheetId="31">#REF!</definedName>
    <definedName name="__TZ225" localSheetId="29">#REF!</definedName>
    <definedName name="__TZ225">#REF!</definedName>
    <definedName name="__TZ2610" localSheetId="3">#REF!</definedName>
    <definedName name="__TZ2610" localSheetId="30">#REF!</definedName>
    <definedName name="__TZ2610" localSheetId="31">#REF!</definedName>
    <definedName name="__TZ2610" localSheetId="29">#REF!</definedName>
    <definedName name="__TZ2610">#REF!</definedName>
    <definedName name="__TZ2612" localSheetId="3">#REF!</definedName>
    <definedName name="__TZ2612" localSheetId="30">#REF!</definedName>
    <definedName name="__TZ2612" localSheetId="31">#REF!</definedName>
    <definedName name="__TZ2612" localSheetId="29">#REF!</definedName>
    <definedName name="__TZ2612">#REF!</definedName>
    <definedName name="__TZ2616" localSheetId="3">#REF!</definedName>
    <definedName name="__TZ2616" localSheetId="30">#REF!</definedName>
    <definedName name="__TZ2616" localSheetId="31">#REF!</definedName>
    <definedName name="__TZ2616" localSheetId="29">#REF!</definedName>
    <definedName name="__TZ2616">#REF!</definedName>
    <definedName name="__TZ262" localSheetId="3">#REF!</definedName>
    <definedName name="__TZ262" localSheetId="30">#REF!</definedName>
    <definedName name="__TZ262" localSheetId="31">#REF!</definedName>
    <definedName name="__TZ262" localSheetId="29">#REF!</definedName>
    <definedName name="__TZ262">#REF!</definedName>
    <definedName name="__TZ263" localSheetId="3">#REF!</definedName>
    <definedName name="__TZ263" localSheetId="30">#REF!</definedName>
    <definedName name="__TZ263" localSheetId="31">#REF!</definedName>
    <definedName name="__TZ263" localSheetId="29">#REF!</definedName>
    <definedName name="__TZ263">#REF!</definedName>
    <definedName name="__TZ264" localSheetId="3">#REF!</definedName>
    <definedName name="__TZ264" localSheetId="30">#REF!</definedName>
    <definedName name="__TZ264" localSheetId="31">#REF!</definedName>
    <definedName name="__TZ264" localSheetId="29">#REF!</definedName>
    <definedName name="__TZ264">#REF!</definedName>
    <definedName name="__TZ266" localSheetId="3">#REF!</definedName>
    <definedName name="__TZ266" localSheetId="30">#REF!</definedName>
    <definedName name="__TZ266" localSheetId="31">#REF!</definedName>
    <definedName name="__TZ266" localSheetId="29">#REF!</definedName>
    <definedName name="__TZ266">#REF!</definedName>
    <definedName name="__TZ268" localSheetId="3">#REF!</definedName>
    <definedName name="__TZ268" localSheetId="30">#REF!</definedName>
    <definedName name="__TZ268" localSheetId="31">#REF!</definedName>
    <definedName name="__TZ268" localSheetId="29">#REF!</definedName>
    <definedName name="__TZ268">#REF!</definedName>
    <definedName name="__TZ323" localSheetId="3">#REF!</definedName>
    <definedName name="__TZ323">#REF!</definedName>
    <definedName name="__TZ324" localSheetId="3">#REF!</definedName>
    <definedName name="__TZ324">#REF!</definedName>
    <definedName name="__TZ32510" localSheetId="3">#REF!</definedName>
    <definedName name="__TZ32510" localSheetId="30">#REF!</definedName>
    <definedName name="__TZ32510" localSheetId="31">#REF!</definedName>
    <definedName name="__TZ32510" localSheetId="29">#REF!</definedName>
    <definedName name="__TZ32510">#REF!</definedName>
    <definedName name="__TZ32512" localSheetId="3">#REF!</definedName>
    <definedName name="__TZ32512" localSheetId="30">#REF!</definedName>
    <definedName name="__TZ32512" localSheetId="31">#REF!</definedName>
    <definedName name="__TZ32512" localSheetId="29">#REF!</definedName>
    <definedName name="__TZ32512">#REF!</definedName>
    <definedName name="__TZ3253" localSheetId="3">#REF!</definedName>
    <definedName name="__TZ3253" localSheetId="30">#REF!</definedName>
    <definedName name="__TZ3253" localSheetId="31">#REF!</definedName>
    <definedName name="__TZ3253" localSheetId="29">#REF!</definedName>
    <definedName name="__TZ3253">#REF!</definedName>
    <definedName name="__TZ3254" localSheetId="3">#REF!</definedName>
    <definedName name="__TZ3254" localSheetId="30">#REF!</definedName>
    <definedName name="__TZ3254" localSheetId="31">#REF!</definedName>
    <definedName name="__TZ3254" localSheetId="29">#REF!</definedName>
    <definedName name="__TZ3254">#REF!</definedName>
    <definedName name="__TZ3256" localSheetId="3">#REF!</definedName>
    <definedName name="__TZ3256" localSheetId="30">#REF!</definedName>
    <definedName name="__TZ3256" localSheetId="31">#REF!</definedName>
    <definedName name="__TZ3256" localSheetId="29">#REF!</definedName>
    <definedName name="__TZ3256">#REF!</definedName>
    <definedName name="__TZ3258" localSheetId="3">#REF!</definedName>
    <definedName name="__TZ3258" localSheetId="30">#REF!</definedName>
    <definedName name="__TZ3258" localSheetId="31">#REF!</definedName>
    <definedName name="__TZ3258" localSheetId="29">#REF!</definedName>
    <definedName name="__TZ3258">#REF!</definedName>
    <definedName name="__TZ4110" localSheetId="3">#REF!</definedName>
    <definedName name="__TZ4110" localSheetId="30">#REF!</definedName>
    <definedName name="__TZ4110" localSheetId="31">#REF!</definedName>
    <definedName name="__TZ4110" localSheetId="29">#REF!</definedName>
    <definedName name="__TZ4110">#REF!</definedName>
    <definedName name="__TZ4112" localSheetId="3">#REF!</definedName>
    <definedName name="__TZ4112" localSheetId="30">#REF!</definedName>
    <definedName name="__TZ4112" localSheetId="31">#REF!</definedName>
    <definedName name="__TZ4112" localSheetId="29">#REF!</definedName>
    <definedName name="__TZ4112">#REF!</definedName>
    <definedName name="__TZ414" localSheetId="3">#REF!</definedName>
    <definedName name="__TZ414" localSheetId="30">#REF!</definedName>
    <definedName name="__TZ414" localSheetId="31">#REF!</definedName>
    <definedName name="__TZ414" localSheetId="29">#REF!</definedName>
    <definedName name="__TZ414">#REF!</definedName>
    <definedName name="__TZ416" localSheetId="3">#REF!</definedName>
    <definedName name="__TZ416" localSheetId="30">#REF!</definedName>
    <definedName name="__TZ416" localSheetId="31">#REF!</definedName>
    <definedName name="__TZ416" localSheetId="29">#REF!</definedName>
    <definedName name="__TZ416">#REF!</definedName>
    <definedName name="__TZ418" localSheetId="3">#REF!</definedName>
    <definedName name="__TZ418" localSheetId="30">#REF!</definedName>
    <definedName name="__TZ418" localSheetId="31">#REF!</definedName>
    <definedName name="__TZ418" localSheetId="29">#REF!</definedName>
    <definedName name="__TZ418">#REF!</definedName>
    <definedName name="__u4" localSheetId="14" hidden="1">{"TAB1",#N/A,TRUE,"GENERAL";"TAB2",#N/A,TRUE,"GENERAL";"TAB3",#N/A,TRUE,"GENERAL";"TAB4",#N/A,TRUE,"GENERAL";"TAB5",#N/A,TRUE,"GENERAL"}</definedName>
    <definedName name="__u4" localSheetId="16" hidden="1">{"TAB1",#N/A,TRUE,"GENERAL";"TAB2",#N/A,TRUE,"GENERAL";"TAB3",#N/A,TRUE,"GENERAL";"TAB4",#N/A,TRUE,"GENERAL";"TAB5",#N/A,TRUE,"GENERAL"}</definedName>
    <definedName name="__u4" localSheetId="17" hidden="1">{"TAB1",#N/A,TRUE,"GENERAL";"TAB2",#N/A,TRUE,"GENERAL";"TAB3",#N/A,TRUE,"GENERAL";"TAB4",#N/A,TRUE,"GENERAL";"TAB5",#N/A,TRUE,"GENERAL"}</definedName>
    <definedName name="__u4" localSheetId="13" hidden="1">{"TAB1",#N/A,TRUE,"GENERAL";"TAB2",#N/A,TRUE,"GENERAL";"TAB3",#N/A,TRUE,"GENERAL";"TAB4",#N/A,TRUE,"GENERAL";"TAB5",#N/A,TRUE,"GENERAL"}</definedName>
    <definedName name="__u4" localSheetId="15" hidden="1">{"TAB1",#N/A,TRUE,"GENERAL";"TAB2",#N/A,TRUE,"GENERAL";"TAB3",#N/A,TRUE,"GENERAL";"TAB4",#N/A,TRUE,"GENERAL";"TAB5",#N/A,TRUE,"GENERAL"}</definedName>
    <definedName name="__u4" hidden="1">{"TAB1",#N/A,TRUE,"GENERAL";"TAB2",#N/A,TRUE,"GENERAL";"TAB3",#N/A,TRUE,"GENERAL";"TAB4",#N/A,TRUE,"GENERAL";"TAB5",#N/A,TRUE,"GENERAL"}</definedName>
    <definedName name="__u5" localSheetId="14" hidden="1">{"TAB1",#N/A,TRUE,"GENERAL";"TAB2",#N/A,TRUE,"GENERAL";"TAB3",#N/A,TRUE,"GENERAL";"TAB4",#N/A,TRUE,"GENERAL";"TAB5",#N/A,TRUE,"GENERAL"}</definedName>
    <definedName name="__u5" localSheetId="16" hidden="1">{"TAB1",#N/A,TRUE,"GENERAL";"TAB2",#N/A,TRUE,"GENERAL";"TAB3",#N/A,TRUE,"GENERAL";"TAB4",#N/A,TRUE,"GENERAL";"TAB5",#N/A,TRUE,"GENERAL"}</definedName>
    <definedName name="__u5" localSheetId="17" hidden="1">{"TAB1",#N/A,TRUE,"GENERAL";"TAB2",#N/A,TRUE,"GENERAL";"TAB3",#N/A,TRUE,"GENERAL";"TAB4",#N/A,TRUE,"GENERAL";"TAB5",#N/A,TRUE,"GENERAL"}</definedName>
    <definedName name="__u5" localSheetId="13" hidden="1">{"TAB1",#N/A,TRUE,"GENERAL";"TAB2",#N/A,TRUE,"GENERAL";"TAB3",#N/A,TRUE,"GENERAL";"TAB4",#N/A,TRUE,"GENERAL";"TAB5",#N/A,TRUE,"GENERAL"}</definedName>
    <definedName name="__u5" localSheetId="15" hidden="1">{"TAB1",#N/A,TRUE,"GENERAL";"TAB2",#N/A,TRUE,"GENERAL";"TAB3",#N/A,TRUE,"GENERAL";"TAB4",#N/A,TRUE,"GENERAL";"TAB5",#N/A,TRUE,"GENERAL"}</definedName>
    <definedName name="__u5" hidden="1">{"TAB1",#N/A,TRUE,"GENERAL";"TAB2",#N/A,TRUE,"GENERAL";"TAB3",#N/A,TRUE,"GENERAL";"TAB4",#N/A,TRUE,"GENERAL";"TAB5",#N/A,TRUE,"GENERAL"}</definedName>
    <definedName name="__u6" localSheetId="14" hidden="1">{"TAB1",#N/A,TRUE,"GENERAL";"TAB2",#N/A,TRUE,"GENERAL";"TAB3",#N/A,TRUE,"GENERAL";"TAB4",#N/A,TRUE,"GENERAL";"TAB5",#N/A,TRUE,"GENERAL"}</definedName>
    <definedName name="__u6" localSheetId="16" hidden="1">{"TAB1",#N/A,TRUE,"GENERAL";"TAB2",#N/A,TRUE,"GENERAL";"TAB3",#N/A,TRUE,"GENERAL";"TAB4",#N/A,TRUE,"GENERAL";"TAB5",#N/A,TRUE,"GENERAL"}</definedName>
    <definedName name="__u6" localSheetId="17" hidden="1">{"TAB1",#N/A,TRUE,"GENERAL";"TAB2",#N/A,TRUE,"GENERAL";"TAB3",#N/A,TRUE,"GENERAL";"TAB4",#N/A,TRUE,"GENERAL";"TAB5",#N/A,TRUE,"GENERAL"}</definedName>
    <definedName name="__u6" localSheetId="13" hidden="1">{"TAB1",#N/A,TRUE,"GENERAL";"TAB2",#N/A,TRUE,"GENERAL";"TAB3",#N/A,TRUE,"GENERAL";"TAB4",#N/A,TRUE,"GENERAL";"TAB5",#N/A,TRUE,"GENERAL"}</definedName>
    <definedName name="__u6" localSheetId="15" hidden="1">{"TAB1",#N/A,TRUE,"GENERAL";"TAB2",#N/A,TRUE,"GENERAL";"TAB3",#N/A,TRUE,"GENERAL";"TAB4",#N/A,TRUE,"GENERAL";"TAB5",#N/A,TRUE,"GENERAL"}</definedName>
    <definedName name="__u6" hidden="1">{"TAB1",#N/A,TRUE,"GENERAL";"TAB2",#N/A,TRUE,"GENERAL";"TAB3",#N/A,TRUE,"GENERAL";"TAB4",#N/A,TRUE,"GENERAL";"TAB5",#N/A,TRUE,"GENERAL"}</definedName>
    <definedName name="__u7" localSheetId="14" hidden="1">{"via1",#N/A,TRUE,"general";"via2",#N/A,TRUE,"general";"via3",#N/A,TRUE,"general"}</definedName>
    <definedName name="__u7" localSheetId="16" hidden="1">{"via1",#N/A,TRUE,"general";"via2",#N/A,TRUE,"general";"via3",#N/A,TRUE,"general"}</definedName>
    <definedName name="__u7" localSheetId="17" hidden="1">{"via1",#N/A,TRUE,"general";"via2",#N/A,TRUE,"general";"via3",#N/A,TRUE,"general"}</definedName>
    <definedName name="__u7" localSheetId="13" hidden="1">{"via1",#N/A,TRUE,"general";"via2",#N/A,TRUE,"general";"via3",#N/A,TRUE,"general"}</definedName>
    <definedName name="__u7" localSheetId="15" hidden="1">{"via1",#N/A,TRUE,"general";"via2",#N/A,TRUE,"general";"via3",#N/A,TRUE,"general"}</definedName>
    <definedName name="__u7" hidden="1">{"via1",#N/A,TRUE,"general";"via2",#N/A,TRUE,"general";"via3",#N/A,TRUE,"general"}</definedName>
    <definedName name="__u8" localSheetId="14" hidden="1">{"TAB1",#N/A,TRUE,"GENERAL";"TAB2",#N/A,TRUE,"GENERAL";"TAB3",#N/A,TRUE,"GENERAL";"TAB4",#N/A,TRUE,"GENERAL";"TAB5",#N/A,TRUE,"GENERAL"}</definedName>
    <definedName name="__u8" localSheetId="16" hidden="1">{"TAB1",#N/A,TRUE,"GENERAL";"TAB2",#N/A,TRUE,"GENERAL";"TAB3",#N/A,TRUE,"GENERAL";"TAB4",#N/A,TRUE,"GENERAL";"TAB5",#N/A,TRUE,"GENERAL"}</definedName>
    <definedName name="__u8" localSheetId="17" hidden="1">{"TAB1",#N/A,TRUE,"GENERAL";"TAB2",#N/A,TRUE,"GENERAL";"TAB3",#N/A,TRUE,"GENERAL";"TAB4",#N/A,TRUE,"GENERAL";"TAB5",#N/A,TRUE,"GENERAL"}</definedName>
    <definedName name="__u8" localSheetId="13" hidden="1">{"TAB1",#N/A,TRUE,"GENERAL";"TAB2",#N/A,TRUE,"GENERAL";"TAB3",#N/A,TRUE,"GENERAL";"TAB4",#N/A,TRUE,"GENERAL";"TAB5",#N/A,TRUE,"GENERAL"}</definedName>
    <definedName name="__u8" localSheetId="15" hidden="1">{"TAB1",#N/A,TRUE,"GENERAL";"TAB2",#N/A,TRUE,"GENERAL";"TAB3",#N/A,TRUE,"GENERAL";"TAB4",#N/A,TRUE,"GENERAL";"TAB5",#N/A,TRUE,"GENERAL"}</definedName>
    <definedName name="__u8" hidden="1">{"TAB1",#N/A,TRUE,"GENERAL";"TAB2",#N/A,TRUE,"GENERAL";"TAB3",#N/A,TRUE,"GENERAL";"TAB4",#N/A,TRUE,"GENERAL";"TAB5",#N/A,TRUE,"GENERAL"}</definedName>
    <definedName name="__u9" localSheetId="14" hidden="1">{"TAB1",#N/A,TRUE,"GENERAL";"TAB2",#N/A,TRUE,"GENERAL";"TAB3",#N/A,TRUE,"GENERAL";"TAB4",#N/A,TRUE,"GENERAL";"TAB5",#N/A,TRUE,"GENERAL"}</definedName>
    <definedName name="__u9" localSheetId="16" hidden="1">{"TAB1",#N/A,TRUE,"GENERAL";"TAB2",#N/A,TRUE,"GENERAL";"TAB3",#N/A,TRUE,"GENERAL";"TAB4",#N/A,TRUE,"GENERAL";"TAB5",#N/A,TRUE,"GENERAL"}</definedName>
    <definedName name="__u9" localSheetId="17" hidden="1">{"TAB1",#N/A,TRUE,"GENERAL";"TAB2",#N/A,TRUE,"GENERAL";"TAB3",#N/A,TRUE,"GENERAL";"TAB4",#N/A,TRUE,"GENERAL";"TAB5",#N/A,TRUE,"GENERAL"}</definedName>
    <definedName name="__u9" localSheetId="13" hidden="1">{"TAB1",#N/A,TRUE,"GENERAL";"TAB2",#N/A,TRUE,"GENERAL";"TAB3",#N/A,TRUE,"GENERAL";"TAB4",#N/A,TRUE,"GENERAL";"TAB5",#N/A,TRUE,"GENERAL"}</definedName>
    <definedName name="__u9" localSheetId="15" hidden="1">{"TAB1",#N/A,TRUE,"GENERAL";"TAB2",#N/A,TRUE,"GENERAL";"TAB3",#N/A,TRUE,"GENERAL";"TAB4",#N/A,TRUE,"GENERAL";"TAB5",#N/A,TRUE,"GENERAL"}</definedName>
    <definedName name="__u9" hidden="1">{"TAB1",#N/A,TRUE,"GENERAL";"TAB2",#N/A,TRUE,"GENERAL";"TAB3",#N/A,TRUE,"GENERAL";"TAB4",#N/A,TRUE,"GENERAL";"TAB5",#N/A,TRUE,"GENERAL"}</definedName>
    <definedName name="__UDD06" localSheetId="3">#REF!</definedName>
    <definedName name="__UDD06" localSheetId="30">#REF!</definedName>
    <definedName name="__UDD06" localSheetId="31">#REF!</definedName>
    <definedName name="__UDD06" localSheetId="29">#REF!</definedName>
    <definedName name="__UDD06">#REF!</definedName>
    <definedName name="__UDD08" localSheetId="3">#REF!</definedName>
    <definedName name="__UDD08" localSheetId="30">#REF!</definedName>
    <definedName name="__UDD08" localSheetId="31">#REF!</definedName>
    <definedName name="__UDD08" localSheetId="29">#REF!</definedName>
    <definedName name="__UDD08">#REF!</definedName>
    <definedName name="__UNI32" localSheetId="3">#REF!</definedName>
    <definedName name="__UNI32" localSheetId="30">#REF!</definedName>
    <definedName name="__UNI32" localSheetId="31">#REF!</definedName>
    <definedName name="__UNI32" localSheetId="29">#REF!</definedName>
    <definedName name="__UNI32">#REF!</definedName>
    <definedName name="__ur7" localSheetId="14" hidden="1">{"TAB1",#N/A,TRUE,"GENERAL";"TAB2",#N/A,TRUE,"GENERAL";"TAB3",#N/A,TRUE,"GENERAL";"TAB4",#N/A,TRUE,"GENERAL";"TAB5",#N/A,TRUE,"GENERAL"}</definedName>
    <definedName name="__ur7" localSheetId="16" hidden="1">{"TAB1",#N/A,TRUE,"GENERAL";"TAB2",#N/A,TRUE,"GENERAL";"TAB3",#N/A,TRUE,"GENERAL";"TAB4",#N/A,TRUE,"GENERAL";"TAB5",#N/A,TRUE,"GENERAL"}</definedName>
    <definedName name="__ur7" localSheetId="17" hidden="1">{"TAB1",#N/A,TRUE,"GENERAL";"TAB2",#N/A,TRUE,"GENERAL";"TAB3",#N/A,TRUE,"GENERAL";"TAB4",#N/A,TRUE,"GENERAL";"TAB5",#N/A,TRUE,"GENERAL"}</definedName>
    <definedName name="__ur7" localSheetId="13" hidden="1">{"TAB1",#N/A,TRUE,"GENERAL";"TAB2",#N/A,TRUE,"GENERAL";"TAB3",#N/A,TRUE,"GENERAL";"TAB4",#N/A,TRUE,"GENERAL";"TAB5",#N/A,TRUE,"GENERAL"}</definedName>
    <definedName name="__ur7" localSheetId="15" hidden="1">{"TAB1",#N/A,TRUE,"GENERAL";"TAB2",#N/A,TRUE,"GENERAL";"TAB3",#N/A,TRUE,"GENERAL";"TAB4",#N/A,TRUE,"GENERAL";"TAB5",#N/A,TRUE,"GENERAL"}</definedName>
    <definedName name="__ur7" hidden="1">{"TAB1",#N/A,TRUE,"GENERAL";"TAB2",#N/A,TRUE,"GENERAL";"TAB3",#N/A,TRUE,"GENERAL";"TAB4",#N/A,TRUE,"GENERAL";"TAB5",#N/A,TRUE,"GENERAL"}</definedName>
    <definedName name="__v2" localSheetId="14" hidden="1">{"via1",#N/A,TRUE,"general";"via2",#N/A,TRUE,"general";"via3",#N/A,TRUE,"general"}</definedName>
    <definedName name="__v2" localSheetId="16" hidden="1">{"via1",#N/A,TRUE,"general";"via2",#N/A,TRUE,"general";"via3",#N/A,TRUE,"general"}</definedName>
    <definedName name="__v2" localSheetId="17" hidden="1">{"via1",#N/A,TRUE,"general";"via2",#N/A,TRUE,"general";"via3",#N/A,TRUE,"general"}</definedName>
    <definedName name="__v2" localSheetId="13" hidden="1">{"via1",#N/A,TRUE,"general";"via2",#N/A,TRUE,"general";"via3",#N/A,TRUE,"general"}</definedName>
    <definedName name="__v2" localSheetId="15" hidden="1">{"via1",#N/A,TRUE,"general";"via2",#N/A,TRUE,"general";"via3",#N/A,TRUE,"general"}</definedName>
    <definedName name="__v2" hidden="1">{"via1",#N/A,TRUE,"general";"via2",#N/A,TRUE,"general";"via3",#N/A,TRUE,"general"}</definedName>
    <definedName name="__v3" localSheetId="14" hidden="1">{"TAB1",#N/A,TRUE,"GENERAL";"TAB2",#N/A,TRUE,"GENERAL";"TAB3",#N/A,TRUE,"GENERAL";"TAB4",#N/A,TRUE,"GENERAL";"TAB5",#N/A,TRUE,"GENERAL"}</definedName>
    <definedName name="__v3" localSheetId="16" hidden="1">{"TAB1",#N/A,TRUE,"GENERAL";"TAB2",#N/A,TRUE,"GENERAL";"TAB3",#N/A,TRUE,"GENERAL";"TAB4",#N/A,TRUE,"GENERAL";"TAB5",#N/A,TRUE,"GENERAL"}</definedName>
    <definedName name="__v3" localSheetId="17" hidden="1">{"TAB1",#N/A,TRUE,"GENERAL";"TAB2",#N/A,TRUE,"GENERAL";"TAB3",#N/A,TRUE,"GENERAL";"TAB4",#N/A,TRUE,"GENERAL";"TAB5",#N/A,TRUE,"GENERAL"}</definedName>
    <definedName name="__v3" localSheetId="13" hidden="1">{"TAB1",#N/A,TRUE,"GENERAL";"TAB2",#N/A,TRUE,"GENERAL";"TAB3",#N/A,TRUE,"GENERAL";"TAB4",#N/A,TRUE,"GENERAL";"TAB5",#N/A,TRUE,"GENERAL"}</definedName>
    <definedName name="__v3" localSheetId="15" hidden="1">{"TAB1",#N/A,TRUE,"GENERAL";"TAB2",#N/A,TRUE,"GENERAL";"TAB3",#N/A,TRUE,"GENERAL";"TAB4",#N/A,TRUE,"GENERAL";"TAB5",#N/A,TRUE,"GENERAL"}</definedName>
    <definedName name="__v3" hidden="1">{"TAB1",#N/A,TRUE,"GENERAL";"TAB2",#N/A,TRUE,"GENERAL";"TAB3",#N/A,TRUE,"GENERAL";"TAB4",#N/A,TRUE,"GENERAL";"TAB5",#N/A,TRUE,"GENERAL"}</definedName>
    <definedName name="__v4" localSheetId="14" hidden="1">{"TAB1",#N/A,TRUE,"GENERAL";"TAB2",#N/A,TRUE,"GENERAL";"TAB3",#N/A,TRUE,"GENERAL";"TAB4",#N/A,TRUE,"GENERAL";"TAB5",#N/A,TRUE,"GENERAL"}</definedName>
    <definedName name="__v4" localSheetId="16" hidden="1">{"TAB1",#N/A,TRUE,"GENERAL";"TAB2",#N/A,TRUE,"GENERAL";"TAB3",#N/A,TRUE,"GENERAL";"TAB4",#N/A,TRUE,"GENERAL";"TAB5",#N/A,TRUE,"GENERAL"}</definedName>
    <definedName name="__v4" localSheetId="17" hidden="1">{"TAB1",#N/A,TRUE,"GENERAL";"TAB2",#N/A,TRUE,"GENERAL";"TAB3",#N/A,TRUE,"GENERAL";"TAB4",#N/A,TRUE,"GENERAL";"TAB5",#N/A,TRUE,"GENERAL"}</definedName>
    <definedName name="__v4" localSheetId="13" hidden="1">{"TAB1",#N/A,TRUE,"GENERAL";"TAB2",#N/A,TRUE,"GENERAL";"TAB3",#N/A,TRUE,"GENERAL";"TAB4",#N/A,TRUE,"GENERAL";"TAB5",#N/A,TRUE,"GENERAL"}</definedName>
    <definedName name="__v4" localSheetId="15" hidden="1">{"TAB1",#N/A,TRUE,"GENERAL";"TAB2",#N/A,TRUE,"GENERAL";"TAB3",#N/A,TRUE,"GENERAL";"TAB4",#N/A,TRUE,"GENERAL";"TAB5",#N/A,TRUE,"GENERAL"}</definedName>
    <definedName name="__v4" hidden="1">{"TAB1",#N/A,TRUE,"GENERAL";"TAB2",#N/A,TRUE,"GENERAL";"TAB3",#N/A,TRUE,"GENERAL";"TAB4",#N/A,TRUE,"GENERAL";"TAB5",#N/A,TRUE,"GENERAL"}</definedName>
    <definedName name="__v5" localSheetId="14" hidden="1">{"TAB1",#N/A,TRUE,"GENERAL";"TAB2",#N/A,TRUE,"GENERAL";"TAB3",#N/A,TRUE,"GENERAL";"TAB4",#N/A,TRUE,"GENERAL";"TAB5",#N/A,TRUE,"GENERAL"}</definedName>
    <definedName name="__v5" localSheetId="16" hidden="1">{"TAB1",#N/A,TRUE,"GENERAL";"TAB2",#N/A,TRUE,"GENERAL";"TAB3",#N/A,TRUE,"GENERAL";"TAB4",#N/A,TRUE,"GENERAL";"TAB5",#N/A,TRUE,"GENERAL"}</definedName>
    <definedName name="__v5" localSheetId="17" hidden="1">{"TAB1",#N/A,TRUE,"GENERAL";"TAB2",#N/A,TRUE,"GENERAL";"TAB3",#N/A,TRUE,"GENERAL";"TAB4",#N/A,TRUE,"GENERAL";"TAB5",#N/A,TRUE,"GENERAL"}</definedName>
    <definedName name="__v5" localSheetId="13" hidden="1">{"TAB1",#N/A,TRUE,"GENERAL";"TAB2",#N/A,TRUE,"GENERAL";"TAB3",#N/A,TRUE,"GENERAL";"TAB4",#N/A,TRUE,"GENERAL";"TAB5",#N/A,TRUE,"GENERAL"}</definedName>
    <definedName name="__v5" localSheetId="15" hidden="1">{"TAB1",#N/A,TRUE,"GENERAL";"TAB2",#N/A,TRUE,"GENERAL";"TAB3",#N/A,TRUE,"GENERAL";"TAB4",#N/A,TRUE,"GENERAL";"TAB5",#N/A,TRUE,"GENERAL"}</definedName>
    <definedName name="__v5" hidden="1">{"TAB1",#N/A,TRUE,"GENERAL";"TAB2",#N/A,TRUE,"GENERAL";"TAB3",#N/A,TRUE,"GENERAL";"TAB4",#N/A,TRUE,"GENERAL";"TAB5",#N/A,TRUE,"GENERAL"}</definedName>
    <definedName name="__v6" localSheetId="14" hidden="1">{"TAB1",#N/A,TRUE,"GENERAL";"TAB2",#N/A,TRUE,"GENERAL";"TAB3",#N/A,TRUE,"GENERAL";"TAB4",#N/A,TRUE,"GENERAL";"TAB5",#N/A,TRUE,"GENERAL"}</definedName>
    <definedName name="__v6" localSheetId="16" hidden="1">{"TAB1",#N/A,TRUE,"GENERAL";"TAB2",#N/A,TRUE,"GENERAL";"TAB3",#N/A,TRUE,"GENERAL";"TAB4",#N/A,TRUE,"GENERAL";"TAB5",#N/A,TRUE,"GENERAL"}</definedName>
    <definedName name="__v6" localSheetId="17" hidden="1">{"TAB1",#N/A,TRUE,"GENERAL";"TAB2",#N/A,TRUE,"GENERAL";"TAB3",#N/A,TRUE,"GENERAL";"TAB4",#N/A,TRUE,"GENERAL";"TAB5",#N/A,TRUE,"GENERAL"}</definedName>
    <definedName name="__v6" localSheetId="13" hidden="1">{"TAB1",#N/A,TRUE,"GENERAL";"TAB2",#N/A,TRUE,"GENERAL";"TAB3",#N/A,TRUE,"GENERAL";"TAB4",#N/A,TRUE,"GENERAL";"TAB5",#N/A,TRUE,"GENERAL"}</definedName>
    <definedName name="__v6" localSheetId="15" hidden="1">{"TAB1",#N/A,TRUE,"GENERAL";"TAB2",#N/A,TRUE,"GENERAL";"TAB3",#N/A,TRUE,"GENERAL";"TAB4",#N/A,TRUE,"GENERAL";"TAB5",#N/A,TRUE,"GENERAL"}</definedName>
    <definedName name="__v6" hidden="1">{"TAB1",#N/A,TRUE,"GENERAL";"TAB2",#N/A,TRUE,"GENERAL";"TAB3",#N/A,TRUE,"GENERAL";"TAB4",#N/A,TRUE,"GENERAL";"TAB5",#N/A,TRUE,"GENERAL"}</definedName>
    <definedName name="__v7" localSheetId="14" hidden="1">{"via1",#N/A,TRUE,"general";"via2",#N/A,TRUE,"general";"via3",#N/A,TRUE,"general"}</definedName>
    <definedName name="__v7" localSheetId="16" hidden="1">{"via1",#N/A,TRUE,"general";"via2",#N/A,TRUE,"general";"via3",#N/A,TRUE,"general"}</definedName>
    <definedName name="__v7" localSheetId="17" hidden="1">{"via1",#N/A,TRUE,"general";"via2",#N/A,TRUE,"general";"via3",#N/A,TRUE,"general"}</definedName>
    <definedName name="__v7" localSheetId="13" hidden="1">{"via1",#N/A,TRUE,"general";"via2",#N/A,TRUE,"general";"via3",#N/A,TRUE,"general"}</definedName>
    <definedName name="__v7" localSheetId="15" hidden="1">{"via1",#N/A,TRUE,"general";"via2",#N/A,TRUE,"general";"via3",#N/A,TRUE,"general"}</definedName>
    <definedName name="__v7" hidden="1">{"via1",#N/A,TRUE,"general";"via2",#N/A,TRUE,"general";"via3",#N/A,TRUE,"general"}</definedName>
    <definedName name="__v8" localSheetId="14" hidden="1">{"TAB1",#N/A,TRUE,"GENERAL";"TAB2",#N/A,TRUE,"GENERAL";"TAB3",#N/A,TRUE,"GENERAL";"TAB4",#N/A,TRUE,"GENERAL";"TAB5",#N/A,TRUE,"GENERAL"}</definedName>
    <definedName name="__v8" localSheetId="16" hidden="1">{"TAB1",#N/A,TRUE,"GENERAL";"TAB2",#N/A,TRUE,"GENERAL";"TAB3",#N/A,TRUE,"GENERAL";"TAB4",#N/A,TRUE,"GENERAL";"TAB5",#N/A,TRUE,"GENERAL"}</definedName>
    <definedName name="__v8" localSheetId="17" hidden="1">{"TAB1",#N/A,TRUE,"GENERAL";"TAB2",#N/A,TRUE,"GENERAL";"TAB3",#N/A,TRUE,"GENERAL";"TAB4",#N/A,TRUE,"GENERAL";"TAB5",#N/A,TRUE,"GENERAL"}</definedName>
    <definedName name="__v8" localSheetId="13" hidden="1">{"TAB1",#N/A,TRUE,"GENERAL";"TAB2",#N/A,TRUE,"GENERAL";"TAB3",#N/A,TRUE,"GENERAL";"TAB4",#N/A,TRUE,"GENERAL";"TAB5",#N/A,TRUE,"GENERAL"}</definedName>
    <definedName name="__v8" localSheetId="15" hidden="1">{"TAB1",#N/A,TRUE,"GENERAL";"TAB2",#N/A,TRUE,"GENERAL";"TAB3",#N/A,TRUE,"GENERAL";"TAB4",#N/A,TRUE,"GENERAL";"TAB5",#N/A,TRUE,"GENERAL"}</definedName>
    <definedName name="__v8" hidden="1">{"TAB1",#N/A,TRUE,"GENERAL";"TAB2",#N/A,TRUE,"GENERAL";"TAB3",#N/A,TRUE,"GENERAL";"TAB4",#N/A,TRUE,"GENERAL";"TAB5",#N/A,TRUE,"GENERAL"}</definedName>
    <definedName name="__v9" localSheetId="14" hidden="1">{"TAB1",#N/A,TRUE,"GENERAL";"TAB2",#N/A,TRUE,"GENERAL";"TAB3",#N/A,TRUE,"GENERAL";"TAB4",#N/A,TRUE,"GENERAL";"TAB5",#N/A,TRUE,"GENERAL"}</definedName>
    <definedName name="__v9" localSheetId="16" hidden="1">{"TAB1",#N/A,TRUE,"GENERAL";"TAB2",#N/A,TRUE,"GENERAL";"TAB3",#N/A,TRUE,"GENERAL";"TAB4",#N/A,TRUE,"GENERAL";"TAB5",#N/A,TRUE,"GENERAL"}</definedName>
    <definedName name="__v9" localSheetId="17" hidden="1">{"TAB1",#N/A,TRUE,"GENERAL";"TAB2",#N/A,TRUE,"GENERAL";"TAB3",#N/A,TRUE,"GENERAL";"TAB4",#N/A,TRUE,"GENERAL";"TAB5",#N/A,TRUE,"GENERAL"}</definedName>
    <definedName name="__v9" localSheetId="13" hidden="1">{"TAB1",#N/A,TRUE,"GENERAL";"TAB2",#N/A,TRUE,"GENERAL";"TAB3",#N/A,TRUE,"GENERAL";"TAB4",#N/A,TRUE,"GENERAL";"TAB5",#N/A,TRUE,"GENERAL"}</definedName>
    <definedName name="__v9" localSheetId="15" hidden="1">{"TAB1",#N/A,TRUE,"GENERAL";"TAB2",#N/A,TRUE,"GENERAL";"TAB3",#N/A,TRUE,"GENERAL";"TAB4",#N/A,TRUE,"GENERAL";"TAB5",#N/A,TRUE,"GENERAL"}</definedName>
    <definedName name="__v9" hidden="1">{"TAB1",#N/A,TRUE,"GENERAL";"TAB2",#N/A,TRUE,"GENERAL";"TAB3",#N/A,TRUE,"GENERAL";"TAB4",#N/A,TRUE,"GENERAL";"TAB5",#N/A,TRUE,"GENERAL"}</definedName>
    <definedName name="__vfv4" localSheetId="14" hidden="1">{"via1",#N/A,TRUE,"general";"via2",#N/A,TRUE,"general";"via3",#N/A,TRUE,"general"}</definedName>
    <definedName name="__vfv4" localSheetId="16" hidden="1">{"via1",#N/A,TRUE,"general";"via2",#N/A,TRUE,"general";"via3",#N/A,TRUE,"general"}</definedName>
    <definedName name="__vfv4" localSheetId="17" hidden="1">{"via1",#N/A,TRUE,"general";"via2",#N/A,TRUE,"general";"via3",#N/A,TRUE,"general"}</definedName>
    <definedName name="__vfv4" localSheetId="13" hidden="1">{"via1",#N/A,TRUE,"general";"via2",#N/A,TRUE,"general";"via3",#N/A,TRUE,"general"}</definedName>
    <definedName name="__vfv4" localSheetId="15" hidden="1">{"via1",#N/A,TRUE,"general";"via2",#N/A,TRUE,"general";"via3",#N/A,TRUE,"general"}</definedName>
    <definedName name="__vfv4" hidden="1">{"via1",#N/A,TRUE,"general";"via2",#N/A,TRUE,"general";"via3",#N/A,TRUE,"general"}</definedName>
    <definedName name="__x1" localSheetId="14" hidden="1">{"TAB1",#N/A,TRUE,"GENERAL";"TAB2",#N/A,TRUE,"GENERAL";"TAB3",#N/A,TRUE,"GENERAL";"TAB4",#N/A,TRUE,"GENERAL";"TAB5",#N/A,TRUE,"GENERAL"}</definedName>
    <definedName name="__x1" localSheetId="16" hidden="1">{"TAB1",#N/A,TRUE,"GENERAL";"TAB2",#N/A,TRUE,"GENERAL";"TAB3",#N/A,TRUE,"GENERAL";"TAB4",#N/A,TRUE,"GENERAL";"TAB5",#N/A,TRUE,"GENERAL"}</definedName>
    <definedName name="__x1" localSheetId="17" hidden="1">{"TAB1",#N/A,TRUE,"GENERAL";"TAB2",#N/A,TRUE,"GENERAL";"TAB3",#N/A,TRUE,"GENERAL";"TAB4",#N/A,TRUE,"GENERAL";"TAB5",#N/A,TRUE,"GENERAL"}</definedName>
    <definedName name="__x1" localSheetId="13" hidden="1">{"TAB1",#N/A,TRUE,"GENERAL";"TAB2",#N/A,TRUE,"GENERAL";"TAB3",#N/A,TRUE,"GENERAL";"TAB4",#N/A,TRUE,"GENERAL";"TAB5",#N/A,TRUE,"GENERAL"}</definedName>
    <definedName name="__x1" localSheetId="15" hidden="1">{"TAB1",#N/A,TRUE,"GENERAL";"TAB2",#N/A,TRUE,"GENERAL";"TAB3",#N/A,TRUE,"GENERAL";"TAB4",#N/A,TRUE,"GENERAL";"TAB5",#N/A,TRUE,"GENERAL"}</definedName>
    <definedName name="__x1" hidden="1">{"TAB1",#N/A,TRUE,"GENERAL";"TAB2",#N/A,TRUE,"GENERAL";"TAB3",#N/A,TRUE,"GENERAL";"TAB4",#N/A,TRUE,"GENERAL";"TAB5",#N/A,TRUE,"GENERAL"}</definedName>
    <definedName name="__x2" localSheetId="14" hidden="1">{"via1",#N/A,TRUE,"general";"via2",#N/A,TRUE,"general";"via3",#N/A,TRUE,"general"}</definedName>
    <definedName name="__x2" localSheetId="16" hidden="1">{"via1",#N/A,TRUE,"general";"via2",#N/A,TRUE,"general";"via3",#N/A,TRUE,"general"}</definedName>
    <definedName name="__x2" localSheetId="17" hidden="1">{"via1",#N/A,TRUE,"general";"via2",#N/A,TRUE,"general";"via3",#N/A,TRUE,"general"}</definedName>
    <definedName name="__x2" localSheetId="13" hidden="1">{"via1",#N/A,TRUE,"general";"via2",#N/A,TRUE,"general";"via3",#N/A,TRUE,"general"}</definedName>
    <definedName name="__x2" localSheetId="15" hidden="1">{"via1",#N/A,TRUE,"general";"via2",#N/A,TRUE,"general";"via3",#N/A,TRUE,"general"}</definedName>
    <definedName name="__x2" hidden="1">{"via1",#N/A,TRUE,"general";"via2",#N/A,TRUE,"general";"via3",#N/A,TRUE,"general"}</definedName>
    <definedName name="__x3" localSheetId="14" hidden="1">{"via1",#N/A,TRUE,"general";"via2",#N/A,TRUE,"general";"via3",#N/A,TRUE,"general"}</definedName>
    <definedName name="__x3" localSheetId="16" hidden="1">{"via1",#N/A,TRUE,"general";"via2",#N/A,TRUE,"general";"via3",#N/A,TRUE,"general"}</definedName>
    <definedName name="__x3" localSheetId="17" hidden="1">{"via1",#N/A,TRUE,"general";"via2",#N/A,TRUE,"general";"via3",#N/A,TRUE,"general"}</definedName>
    <definedName name="__x3" localSheetId="13" hidden="1">{"via1",#N/A,TRUE,"general";"via2",#N/A,TRUE,"general";"via3",#N/A,TRUE,"general"}</definedName>
    <definedName name="__x3" localSheetId="15" hidden="1">{"via1",#N/A,TRUE,"general";"via2",#N/A,TRUE,"general";"via3",#N/A,TRUE,"general"}</definedName>
    <definedName name="__x3" hidden="1">{"via1",#N/A,TRUE,"general";"via2",#N/A,TRUE,"general";"via3",#N/A,TRUE,"general"}</definedName>
    <definedName name="__x4" localSheetId="14" hidden="1">{"via1",#N/A,TRUE,"general";"via2",#N/A,TRUE,"general";"via3",#N/A,TRUE,"general"}</definedName>
    <definedName name="__x4" localSheetId="16" hidden="1">{"via1",#N/A,TRUE,"general";"via2",#N/A,TRUE,"general";"via3",#N/A,TRUE,"general"}</definedName>
    <definedName name="__x4" localSheetId="17" hidden="1">{"via1",#N/A,TRUE,"general";"via2",#N/A,TRUE,"general";"via3",#N/A,TRUE,"general"}</definedName>
    <definedName name="__x4" localSheetId="13" hidden="1">{"via1",#N/A,TRUE,"general";"via2",#N/A,TRUE,"general";"via3",#N/A,TRUE,"general"}</definedName>
    <definedName name="__x4" localSheetId="15" hidden="1">{"via1",#N/A,TRUE,"general";"via2",#N/A,TRUE,"general";"via3",#N/A,TRUE,"general"}</definedName>
    <definedName name="__x4" hidden="1">{"via1",#N/A,TRUE,"general";"via2",#N/A,TRUE,"general";"via3",#N/A,TRUE,"general"}</definedName>
    <definedName name="__x5" localSheetId="14" hidden="1">{"TAB1",#N/A,TRUE,"GENERAL";"TAB2",#N/A,TRUE,"GENERAL";"TAB3",#N/A,TRUE,"GENERAL";"TAB4",#N/A,TRUE,"GENERAL";"TAB5",#N/A,TRUE,"GENERAL"}</definedName>
    <definedName name="__x5" localSheetId="16" hidden="1">{"TAB1",#N/A,TRUE,"GENERAL";"TAB2",#N/A,TRUE,"GENERAL";"TAB3",#N/A,TRUE,"GENERAL";"TAB4",#N/A,TRUE,"GENERAL";"TAB5",#N/A,TRUE,"GENERAL"}</definedName>
    <definedName name="__x5" localSheetId="17" hidden="1">{"TAB1",#N/A,TRUE,"GENERAL";"TAB2",#N/A,TRUE,"GENERAL";"TAB3",#N/A,TRUE,"GENERAL";"TAB4",#N/A,TRUE,"GENERAL";"TAB5",#N/A,TRUE,"GENERAL"}</definedName>
    <definedName name="__x5" localSheetId="13" hidden="1">{"TAB1",#N/A,TRUE,"GENERAL";"TAB2",#N/A,TRUE,"GENERAL";"TAB3",#N/A,TRUE,"GENERAL";"TAB4",#N/A,TRUE,"GENERAL";"TAB5",#N/A,TRUE,"GENERAL"}</definedName>
    <definedName name="__x5" localSheetId="15" hidden="1">{"TAB1",#N/A,TRUE,"GENERAL";"TAB2",#N/A,TRUE,"GENERAL";"TAB3",#N/A,TRUE,"GENERAL";"TAB4",#N/A,TRUE,"GENERAL";"TAB5",#N/A,TRUE,"GENERAL"}</definedName>
    <definedName name="__x5" hidden="1">{"TAB1",#N/A,TRUE,"GENERAL";"TAB2",#N/A,TRUE,"GENERAL";"TAB3",#N/A,TRUE,"GENERAL";"TAB4",#N/A,TRUE,"GENERAL";"TAB5",#N/A,TRUE,"GENERAL"}</definedName>
    <definedName name="__x6" localSheetId="14" hidden="1">{"TAB1",#N/A,TRUE,"GENERAL";"TAB2",#N/A,TRUE,"GENERAL";"TAB3",#N/A,TRUE,"GENERAL";"TAB4",#N/A,TRUE,"GENERAL";"TAB5",#N/A,TRUE,"GENERAL"}</definedName>
    <definedName name="__x6" localSheetId="16" hidden="1">{"TAB1",#N/A,TRUE,"GENERAL";"TAB2",#N/A,TRUE,"GENERAL";"TAB3",#N/A,TRUE,"GENERAL";"TAB4",#N/A,TRUE,"GENERAL";"TAB5",#N/A,TRUE,"GENERAL"}</definedName>
    <definedName name="__x6" localSheetId="17" hidden="1">{"TAB1",#N/A,TRUE,"GENERAL";"TAB2",#N/A,TRUE,"GENERAL";"TAB3",#N/A,TRUE,"GENERAL";"TAB4",#N/A,TRUE,"GENERAL";"TAB5",#N/A,TRUE,"GENERAL"}</definedName>
    <definedName name="__x6" localSheetId="13" hidden="1">{"TAB1",#N/A,TRUE,"GENERAL";"TAB2",#N/A,TRUE,"GENERAL";"TAB3",#N/A,TRUE,"GENERAL";"TAB4",#N/A,TRUE,"GENERAL";"TAB5",#N/A,TRUE,"GENERAL"}</definedName>
    <definedName name="__x6" localSheetId="15" hidden="1">{"TAB1",#N/A,TRUE,"GENERAL";"TAB2",#N/A,TRUE,"GENERAL";"TAB3",#N/A,TRUE,"GENERAL";"TAB4",#N/A,TRUE,"GENERAL";"TAB5",#N/A,TRUE,"GENERAL"}</definedName>
    <definedName name="__x6" hidden="1">{"TAB1",#N/A,TRUE,"GENERAL";"TAB2",#N/A,TRUE,"GENERAL";"TAB3",#N/A,TRUE,"GENERAL";"TAB4",#N/A,TRUE,"GENERAL";"TAB5",#N/A,TRUE,"GENERAL"}</definedName>
    <definedName name="__x7" localSheetId="14" hidden="1">{"TAB1",#N/A,TRUE,"GENERAL";"TAB2",#N/A,TRUE,"GENERAL";"TAB3",#N/A,TRUE,"GENERAL";"TAB4",#N/A,TRUE,"GENERAL";"TAB5",#N/A,TRUE,"GENERAL"}</definedName>
    <definedName name="__x7" localSheetId="16" hidden="1">{"TAB1",#N/A,TRUE,"GENERAL";"TAB2",#N/A,TRUE,"GENERAL";"TAB3",#N/A,TRUE,"GENERAL";"TAB4",#N/A,TRUE,"GENERAL";"TAB5",#N/A,TRUE,"GENERAL"}</definedName>
    <definedName name="__x7" localSheetId="17" hidden="1">{"TAB1",#N/A,TRUE,"GENERAL";"TAB2",#N/A,TRUE,"GENERAL";"TAB3",#N/A,TRUE,"GENERAL";"TAB4",#N/A,TRUE,"GENERAL";"TAB5",#N/A,TRUE,"GENERAL"}</definedName>
    <definedName name="__x7" localSheetId="13" hidden="1">{"TAB1",#N/A,TRUE,"GENERAL";"TAB2",#N/A,TRUE,"GENERAL";"TAB3",#N/A,TRUE,"GENERAL";"TAB4",#N/A,TRUE,"GENERAL";"TAB5",#N/A,TRUE,"GENERAL"}</definedName>
    <definedName name="__x7" localSheetId="15" hidden="1">{"TAB1",#N/A,TRUE,"GENERAL";"TAB2",#N/A,TRUE,"GENERAL";"TAB3",#N/A,TRUE,"GENERAL";"TAB4",#N/A,TRUE,"GENERAL";"TAB5",#N/A,TRUE,"GENERAL"}</definedName>
    <definedName name="__x7" hidden="1">{"TAB1",#N/A,TRUE,"GENERAL";"TAB2",#N/A,TRUE,"GENERAL";"TAB3",#N/A,TRUE,"GENERAL";"TAB4",#N/A,TRUE,"GENERAL";"TAB5",#N/A,TRUE,"GENERAL"}</definedName>
    <definedName name="__x8" localSheetId="14" hidden="1">{"via1",#N/A,TRUE,"general";"via2",#N/A,TRUE,"general";"via3",#N/A,TRUE,"general"}</definedName>
    <definedName name="__x8" localSheetId="16" hidden="1">{"via1",#N/A,TRUE,"general";"via2",#N/A,TRUE,"general";"via3",#N/A,TRUE,"general"}</definedName>
    <definedName name="__x8" localSheetId="17" hidden="1">{"via1",#N/A,TRUE,"general";"via2",#N/A,TRUE,"general";"via3",#N/A,TRUE,"general"}</definedName>
    <definedName name="__x8" localSheetId="13" hidden="1">{"via1",#N/A,TRUE,"general";"via2",#N/A,TRUE,"general";"via3",#N/A,TRUE,"general"}</definedName>
    <definedName name="__x8" localSheetId="15" hidden="1">{"via1",#N/A,TRUE,"general";"via2",#N/A,TRUE,"general";"via3",#N/A,TRUE,"general"}</definedName>
    <definedName name="__x8" hidden="1">{"via1",#N/A,TRUE,"general";"via2",#N/A,TRUE,"general";"via3",#N/A,TRUE,"general"}</definedName>
    <definedName name="__x9" localSheetId="14" hidden="1">{"TAB1",#N/A,TRUE,"GENERAL";"TAB2",#N/A,TRUE,"GENERAL";"TAB3",#N/A,TRUE,"GENERAL";"TAB4",#N/A,TRUE,"GENERAL";"TAB5",#N/A,TRUE,"GENERAL"}</definedName>
    <definedName name="__x9" localSheetId="16" hidden="1">{"TAB1",#N/A,TRUE,"GENERAL";"TAB2",#N/A,TRUE,"GENERAL";"TAB3",#N/A,TRUE,"GENERAL";"TAB4",#N/A,TRUE,"GENERAL";"TAB5",#N/A,TRUE,"GENERAL"}</definedName>
    <definedName name="__x9" localSheetId="17" hidden="1">{"TAB1",#N/A,TRUE,"GENERAL";"TAB2",#N/A,TRUE,"GENERAL";"TAB3",#N/A,TRUE,"GENERAL";"TAB4",#N/A,TRUE,"GENERAL";"TAB5",#N/A,TRUE,"GENERAL"}</definedName>
    <definedName name="__x9" localSheetId="13" hidden="1">{"TAB1",#N/A,TRUE,"GENERAL";"TAB2",#N/A,TRUE,"GENERAL";"TAB3",#N/A,TRUE,"GENERAL";"TAB4",#N/A,TRUE,"GENERAL";"TAB5",#N/A,TRUE,"GENERAL"}</definedName>
    <definedName name="__x9" localSheetId="15"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4" hidden="1">{"TAB1",#N/A,TRUE,"GENERAL";"TAB2",#N/A,TRUE,"GENERAL";"TAB3",#N/A,TRUE,"GENERAL";"TAB4",#N/A,TRUE,"GENERAL";"TAB5",#N/A,TRUE,"GENERAL"}</definedName>
    <definedName name="__y2" localSheetId="16" hidden="1">{"TAB1",#N/A,TRUE,"GENERAL";"TAB2",#N/A,TRUE,"GENERAL";"TAB3",#N/A,TRUE,"GENERAL";"TAB4",#N/A,TRUE,"GENERAL";"TAB5",#N/A,TRUE,"GENERAL"}</definedName>
    <definedName name="__y2" localSheetId="17" hidden="1">{"TAB1",#N/A,TRUE,"GENERAL";"TAB2",#N/A,TRUE,"GENERAL";"TAB3",#N/A,TRUE,"GENERAL";"TAB4",#N/A,TRUE,"GENERAL";"TAB5",#N/A,TRUE,"GENERAL"}</definedName>
    <definedName name="__y2" localSheetId="13" hidden="1">{"TAB1",#N/A,TRUE,"GENERAL";"TAB2",#N/A,TRUE,"GENERAL";"TAB3",#N/A,TRUE,"GENERAL";"TAB4",#N/A,TRUE,"GENERAL";"TAB5",#N/A,TRUE,"GENERAL"}</definedName>
    <definedName name="__y2" localSheetId="15" hidden="1">{"TAB1",#N/A,TRUE,"GENERAL";"TAB2",#N/A,TRUE,"GENERAL";"TAB3",#N/A,TRUE,"GENERAL";"TAB4",#N/A,TRUE,"GENERAL";"TAB5",#N/A,TRUE,"GENERAL"}</definedName>
    <definedName name="__y2" hidden="1">{"TAB1",#N/A,TRUE,"GENERAL";"TAB2",#N/A,TRUE,"GENERAL";"TAB3",#N/A,TRUE,"GENERAL";"TAB4",#N/A,TRUE,"GENERAL";"TAB5",#N/A,TRUE,"GENERAL"}</definedName>
    <definedName name="__y3" localSheetId="14" hidden="1">{"via1",#N/A,TRUE,"general";"via2",#N/A,TRUE,"general";"via3",#N/A,TRUE,"general"}</definedName>
    <definedName name="__y3" localSheetId="16" hidden="1">{"via1",#N/A,TRUE,"general";"via2",#N/A,TRUE,"general";"via3",#N/A,TRUE,"general"}</definedName>
    <definedName name="__y3" localSheetId="17" hidden="1">{"via1",#N/A,TRUE,"general";"via2",#N/A,TRUE,"general";"via3",#N/A,TRUE,"general"}</definedName>
    <definedName name="__y3" localSheetId="13" hidden="1">{"via1",#N/A,TRUE,"general";"via2",#N/A,TRUE,"general";"via3",#N/A,TRUE,"general"}</definedName>
    <definedName name="__y3" localSheetId="15" hidden="1">{"via1",#N/A,TRUE,"general";"via2",#N/A,TRUE,"general";"via3",#N/A,TRUE,"general"}</definedName>
    <definedName name="__y3" hidden="1">{"via1",#N/A,TRUE,"general";"via2",#N/A,TRUE,"general";"via3",#N/A,TRUE,"general"}</definedName>
    <definedName name="__y4" localSheetId="14" hidden="1">{"via1",#N/A,TRUE,"general";"via2",#N/A,TRUE,"general";"via3",#N/A,TRUE,"general"}</definedName>
    <definedName name="__y4" localSheetId="16" hidden="1">{"via1",#N/A,TRUE,"general";"via2",#N/A,TRUE,"general";"via3",#N/A,TRUE,"general"}</definedName>
    <definedName name="__y4" localSheetId="17" hidden="1">{"via1",#N/A,TRUE,"general";"via2",#N/A,TRUE,"general";"via3",#N/A,TRUE,"general"}</definedName>
    <definedName name="__y4" localSheetId="13" hidden="1">{"via1",#N/A,TRUE,"general";"via2",#N/A,TRUE,"general";"via3",#N/A,TRUE,"general"}</definedName>
    <definedName name="__y4" localSheetId="15" hidden="1">{"via1",#N/A,TRUE,"general";"via2",#N/A,TRUE,"general";"via3",#N/A,TRUE,"general"}</definedName>
    <definedName name="__y4" hidden="1">{"via1",#N/A,TRUE,"general";"via2",#N/A,TRUE,"general";"via3",#N/A,TRUE,"general"}</definedName>
    <definedName name="__y5" localSheetId="14" hidden="1">{"TAB1",#N/A,TRUE,"GENERAL";"TAB2",#N/A,TRUE,"GENERAL";"TAB3",#N/A,TRUE,"GENERAL";"TAB4",#N/A,TRUE,"GENERAL";"TAB5",#N/A,TRUE,"GENERAL"}</definedName>
    <definedName name="__y5" localSheetId="16" hidden="1">{"TAB1",#N/A,TRUE,"GENERAL";"TAB2",#N/A,TRUE,"GENERAL";"TAB3",#N/A,TRUE,"GENERAL";"TAB4",#N/A,TRUE,"GENERAL";"TAB5",#N/A,TRUE,"GENERAL"}</definedName>
    <definedName name="__y5" localSheetId="17" hidden="1">{"TAB1",#N/A,TRUE,"GENERAL";"TAB2",#N/A,TRUE,"GENERAL";"TAB3",#N/A,TRUE,"GENERAL";"TAB4",#N/A,TRUE,"GENERAL";"TAB5",#N/A,TRUE,"GENERAL"}</definedName>
    <definedName name="__y5" localSheetId="13" hidden="1">{"TAB1",#N/A,TRUE,"GENERAL";"TAB2",#N/A,TRUE,"GENERAL";"TAB3",#N/A,TRUE,"GENERAL";"TAB4",#N/A,TRUE,"GENERAL";"TAB5",#N/A,TRUE,"GENERAL"}</definedName>
    <definedName name="__y5" localSheetId="15" hidden="1">{"TAB1",#N/A,TRUE,"GENERAL";"TAB2",#N/A,TRUE,"GENERAL";"TAB3",#N/A,TRUE,"GENERAL";"TAB4",#N/A,TRUE,"GENERAL";"TAB5",#N/A,TRUE,"GENERAL"}</definedName>
    <definedName name="__y5" hidden="1">{"TAB1",#N/A,TRUE,"GENERAL";"TAB2",#N/A,TRUE,"GENERAL";"TAB3",#N/A,TRUE,"GENERAL";"TAB4",#N/A,TRUE,"GENERAL";"TAB5",#N/A,TRUE,"GENERAL"}</definedName>
    <definedName name="__y6" localSheetId="14" hidden="1">{"via1",#N/A,TRUE,"general";"via2",#N/A,TRUE,"general";"via3",#N/A,TRUE,"general"}</definedName>
    <definedName name="__y6" localSheetId="16" hidden="1">{"via1",#N/A,TRUE,"general";"via2",#N/A,TRUE,"general";"via3",#N/A,TRUE,"general"}</definedName>
    <definedName name="__y6" localSheetId="17" hidden="1">{"via1",#N/A,TRUE,"general";"via2",#N/A,TRUE,"general";"via3",#N/A,TRUE,"general"}</definedName>
    <definedName name="__y6" localSheetId="13" hidden="1">{"via1",#N/A,TRUE,"general";"via2",#N/A,TRUE,"general";"via3",#N/A,TRUE,"general"}</definedName>
    <definedName name="__y6" localSheetId="15" hidden="1">{"via1",#N/A,TRUE,"general";"via2",#N/A,TRUE,"general";"via3",#N/A,TRUE,"general"}</definedName>
    <definedName name="__y6" hidden="1">{"via1",#N/A,TRUE,"general";"via2",#N/A,TRUE,"general";"via3",#N/A,TRUE,"general"}</definedName>
    <definedName name="__y7" localSheetId="14" hidden="1">{"via1",#N/A,TRUE,"general";"via2",#N/A,TRUE,"general";"via3",#N/A,TRUE,"general"}</definedName>
    <definedName name="__y7" localSheetId="16" hidden="1">{"via1",#N/A,TRUE,"general";"via2",#N/A,TRUE,"general";"via3",#N/A,TRUE,"general"}</definedName>
    <definedName name="__y7" localSheetId="17" hidden="1">{"via1",#N/A,TRUE,"general";"via2",#N/A,TRUE,"general";"via3",#N/A,TRUE,"general"}</definedName>
    <definedName name="__y7" localSheetId="13" hidden="1">{"via1",#N/A,TRUE,"general";"via2",#N/A,TRUE,"general";"via3",#N/A,TRUE,"general"}</definedName>
    <definedName name="__y7" localSheetId="15" hidden="1">{"via1",#N/A,TRUE,"general";"via2",#N/A,TRUE,"general";"via3",#N/A,TRUE,"general"}</definedName>
    <definedName name="__y7" hidden="1">{"via1",#N/A,TRUE,"general";"via2",#N/A,TRUE,"general";"via3",#N/A,TRUE,"general"}</definedName>
    <definedName name="__y8" localSheetId="14" hidden="1">{"via1",#N/A,TRUE,"general";"via2",#N/A,TRUE,"general";"via3",#N/A,TRUE,"general"}</definedName>
    <definedName name="__y8" localSheetId="16" hidden="1">{"via1",#N/A,TRUE,"general";"via2",#N/A,TRUE,"general";"via3",#N/A,TRUE,"general"}</definedName>
    <definedName name="__y8" localSheetId="17" hidden="1">{"via1",#N/A,TRUE,"general";"via2",#N/A,TRUE,"general";"via3",#N/A,TRUE,"general"}</definedName>
    <definedName name="__y8" localSheetId="13" hidden="1">{"via1",#N/A,TRUE,"general";"via2",#N/A,TRUE,"general";"via3",#N/A,TRUE,"general"}</definedName>
    <definedName name="__y8" localSheetId="15" hidden="1">{"via1",#N/A,TRUE,"general";"via2",#N/A,TRUE,"general";"via3",#N/A,TRUE,"general"}</definedName>
    <definedName name="__y8" hidden="1">{"via1",#N/A,TRUE,"general";"via2",#N/A,TRUE,"general";"via3",#N/A,TRUE,"general"}</definedName>
    <definedName name="__y9" localSheetId="14" hidden="1">{"TAB1",#N/A,TRUE,"GENERAL";"TAB2",#N/A,TRUE,"GENERAL";"TAB3",#N/A,TRUE,"GENERAL";"TAB4",#N/A,TRUE,"GENERAL";"TAB5",#N/A,TRUE,"GENERAL"}</definedName>
    <definedName name="__y9" localSheetId="16" hidden="1">{"TAB1",#N/A,TRUE,"GENERAL";"TAB2",#N/A,TRUE,"GENERAL";"TAB3",#N/A,TRUE,"GENERAL";"TAB4",#N/A,TRUE,"GENERAL";"TAB5",#N/A,TRUE,"GENERAL"}</definedName>
    <definedName name="__y9" localSheetId="17" hidden="1">{"TAB1",#N/A,TRUE,"GENERAL";"TAB2",#N/A,TRUE,"GENERAL";"TAB3",#N/A,TRUE,"GENERAL";"TAB4",#N/A,TRUE,"GENERAL";"TAB5",#N/A,TRUE,"GENERAL"}</definedName>
    <definedName name="__y9" localSheetId="13" hidden="1">{"TAB1",#N/A,TRUE,"GENERAL";"TAB2",#N/A,TRUE,"GENERAL";"TAB3",#N/A,TRUE,"GENERAL";"TAB4",#N/A,TRUE,"GENERAL";"TAB5",#N/A,TRUE,"GENERAL"}</definedName>
    <definedName name="__y9" localSheetId="15" hidden="1">{"TAB1",#N/A,TRUE,"GENERAL";"TAB2",#N/A,TRUE,"GENERAL";"TAB3",#N/A,TRUE,"GENERAL";"TAB4",#N/A,TRUE,"GENERAL";"TAB5",#N/A,TRUE,"GENERAL"}</definedName>
    <definedName name="__y9" hidden="1">{"TAB1",#N/A,TRUE,"GENERAL";"TAB2",#N/A,TRUE,"GENERAL";"TAB3",#N/A,TRUE,"GENERAL";"TAB4",#N/A,TRUE,"GENERAL";"TAB5",#N/A,TRUE,"GENERAL"}</definedName>
    <definedName name="__z1" localSheetId="14" hidden="1">{"TAB1",#N/A,TRUE,"GENERAL";"TAB2",#N/A,TRUE,"GENERAL";"TAB3",#N/A,TRUE,"GENERAL";"TAB4",#N/A,TRUE,"GENERAL";"TAB5",#N/A,TRUE,"GENERAL"}</definedName>
    <definedName name="__z1" localSheetId="16" hidden="1">{"TAB1",#N/A,TRUE,"GENERAL";"TAB2",#N/A,TRUE,"GENERAL";"TAB3",#N/A,TRUE,"GENERAL";"TAB4",#N/A,TRUE,"GENERAL";"TAB5",#N/A,TRUE,"GENERAL"}</definedName>
    <definedName name="__z1" localSheetId="17" hidden="1">{"TAB1",#N/A,TRUE,"GENERAL";"TAB2",#N/A,TRUE,"GENERAL";"TAB3",#N/A,TRUE,"GENERAL";"TAB4",#N/A,TRUE,"GENERAL";"TAB5",#N/A,TRUE,"GENERAL"}</definedName>
    <definedName name="__z1" localSheetId="13" hidden="1">{"TAB1",#N/A,TRUE,"GENERAL";"TAB2",#N/A,TRUE,"GENERAL";"TAB3",#N/A,TRUE,"GENERAL";"TAB4",#N/A,TRUE,"GENERAL";"TAB5",#N/A,TRUE,"GENERAL"}</definedName>
    <definedName name="__z1" localSheetId="15" hidden="1">{"TAB1",#N/A,TRUE,"GENERAL";"TAB2",#N/A,TRUE,"GENERAL";"TAB3",#N/A,TRUE,"GENERAL";"TAB4",#N/A,TRUE,"GENERAL";"TAB5",#N/A,TRUE,"GENERAL"}</definedName>
    <definedName name="__z1" hidden="1">{"TAB1",#N/A,TRUE,"GENERAL";"TAB2",#N/A,TRUE,"GENERAL";"TAB3",#N/A,TRUE,"GENERAL";"TAB4",#N/A,TRUE,"GENERAL";"TAB5",#N/A,TRUE,"GENERAL"}</definedName>
    <definedName name="__z2" localSheetId="14" hidden="1">{"via1",#N/A,TRUE,"general";"via2",#N/A,TRUE,"general";"via3",#N/A,TRUE,"general"}</definedName>
    <definedName name="__z2" localSheetId="16" hidden="1">{"via1",#N/A,TRUE,"general";"via2",#N/A,TRUE,"general";"via3",#N/A,TRUE,"general"}</definedName>
    <definedName name="__z2" localSheetId="17" hidden="1">{"via1",#N/A,TRUE,"general";"via2",#N/A,TRUE,"general";"via3",#N/A,TRUE,"general"}</definedName>
    <definedName name="__z2" localSheetId="13" hidden="1">{"via1",#N/A,TRUE,"general";"via2",#N/A,TRUE,"general";"via3",#N/A,TRUE,"general"}</definedName>
    <definedName name="__z2" localSheetId="15" hidden="1">{"via1",#N/A,TRUE,"general";"via2",#N/A,TRUE,"general";"via3",#N/A,TRUE,"general"}</definedName>
    <definedName name="__z2" hidden="1">{"via1",#N/A,TRUE,"general";"via2",#N/A,TRUE,"general";"via3",#N/A,TRUE,"general"}</definedName>
    <definedName name="__z3" localSheetId="14" hidden="1">{"via1",#N/A,TRUE,"general";"via2",#N/A,TRUE,"general";"via3",#N/A,TRUE,"general"}</definedName>
    <definedName name="__z3" localSheetId="16" hidden="1">{"via1",#N/A,TRUE,"general";"via2",#N/A,TRUE,"general";"via3",#N/A,TRUE,"general"}</definedName>
    <definedName name="__z3" localSheetId="17" hidden="1">{"via1",#N/A,TRUE,"general";"via2",#N/A,TRUE,"general";"via3",#N/A,TRUE,"general"}</definedName>
    <definedName name="__z3" localSheetId="13" hidden="1">{"via1",#N/A,TRUE,"general";"via2",#N/A,TRUE,"general";"via3",#N/A,TRUE,"general"}</definedName>
    <definedName name="__z3" localSheetId="15" hidden="1">{"via1",#N/A,TRUE,"general";"via2",#N/A,TRUE,"general";"via3",#N/A,TRUE,"general"}</definedName>
    <definedName name="__z3" hidden="1">{"via1",#N/A,TRUE,"general";"via2",#N/A,TRUE,"general";"via3",#N/A,TRUE,"general"}</definedName>
    <definedName name="__z4" localSheetId="14" hidden="1">{"TAB1",#N/A,TRUE,"GENERAL";"TAB2",#N/A,TRUE,"GENERAL";"TAB3",#N/A,TRUE,"GENERAL";"TAB4",#N/A,TRUE,"GENERAL";"TAB5",#N/A,TRUE,"GENERAL"}</definedName>
    <definedName name="__z4" localSheetId="16" hidden="1">{"TAB1",#N/A,TRUE,"GENERAL";"TAB2",#N/A,TRUE,"GENERAL";"TAB3",#N/A,TRUE,"GENERAL";"TAB4",#N/A,TRUE,"GENERAL";"TAB5",#N/A,TRUE,"GENERAL"}</definedName>
    <definedName name="__z4" localSheetId="17" hidden="1">{"TAB1",#N/A,TRUE,"GENERAL";"TAB2",#N/A,TRUE,"GENERAL";"TAB3",#N/A,TRUE,"GENERAL";"TAB4",#N/A,TRUE,"GENERAL";"TAB5",#N/A,TRUE,"GENERAL"}</definedName>
    <definedName name="__z4" localSheetId="13" hidden="1">{"TAB1",#N/A,TRUE,"GENERAL";"TAB2",#N/A,TRUE,"GENERAL";"TAB3",#N/A,TRUE,"GENERAL";"TAB4",#N/A,TRUE,"GENERAL";"TAB5",#N/A,TRUE,"GENERAL"}</definedName>
    <definedName name="__z4" localSheetId="15" hidden="1">{"TAB1",#N/A,TRUE,"GENERAL";"TAB2",#N/A,TRUE,"GENERAL";"TAB3",#N/A,TRUE,"GENERAL";"TAB4",#N/A,TRUE,"GENERAL";"TAB5",#N/A,TRUE,"GENERAL"}</definedName>
    <definedName name="__z4" hidden="1">{"TAB1",#N/A,TRUE,"GENERAL";"TAB2",#N/A,TRUE,"GENERAL";"TAB3",#N/A,TRUE,"GENERAL";"TAB4",#N/A,TRUE,"GENERAL";"TAB5",#N/A,TRUE,"GENERAL"}</definedName>
    <definedName name="__z5" localSheetId="14" hidden="1">{"via1",#N/A,TRUE,"general";"via2",#N/A,TRUE,"general";"via3",#N/A,TRUE,"general"}</definedName>
    <definedName name="__z5" localSheetId="16" hidden="1">{"via1",#N/A,TRUE,"general";"via2",#N/A,TRUE,"general";"via3",#N/A,TRUE,"general"}</definedName>
    <definedName name="__z5" localSheetId="17" hidden="1">{"via1",#N/A,TRUE,"general";"via2",#N/A,TRUE,"general";"via3",#N/A,TRUE,"general"}</definedName>
    <definedName name="__z5" localSheetId="13" hidden="1">{"via1",#N/A,TRUE,"general";"via2",#N/A,TRUE,"general";"via3",#N/A,TRUE,"general"}</definedName>
    <definedName name="__z5" localSheetId="15" hidden="1">{"via1",#N/A,TRUE,"general";"via2",#N/A,TRUE,"general";"via3",#N/A,TRUE,"general"}</definedName>
    <definedName name="__z5" hidden="1">{"via1",#N/A,TRUE,"general";"via2",#N/A,TRUE,"general";"via3",#N/A,TRUE,"general"}</definedName>
    <definedName name="__z6" localSheetId="14" hidden="1">{"TAB1",#N/A,TRUE,"GENERAL";"TAB2",#N/A,TRUE,"GENERAL";"TAB3",#N/A,TRUE,"GENERAL";"TAB4",#N/A,TRUE,"GENERAL";"TAB5",#N/A,TRUE,"GENERAL"}</definedName>
    <definedName name="__z6" localSheetId="16" hidden="1">{"TAB1",#N/A,TRUE,"GENERAL";"TAB2",#N/A,TRUE,"GENERAL";"TAB3",#N/A,TRUE,"GENERAL";"TAB4",#N/A,TRUE,"GENERAL";"TAB5",#N/A,TRUE,"GENERAL"}</definedName>
    <definedName name="__z6" localSheetId="17" hidden="1">{"TAB1",#N/A,TRUE,"GENERAL";"TAB2",#N/A,TRUE,"GENERAL";"TAB3",#N/A,TRUE,"GENERAL";"TAB4",#N/A,TRUE,"GENERAL";"TAB5",#N/A,TRUE,"GENERAL"}</definedName>
    <definedName name="__z6" localSheetId="13" hidden="1">{"TAB1",#N/A,TRUE,"GENERAL";"TAB2",#N/A,TRUE,"GENERAL";"TAB3",#N/A,TRUE,"GENERAL";"TAB4",#N/A,TRUE,"GENERAL";"TAB5",#N/A,TRUE,"GENERAL"}</definedName>
    <definedName name="__z6" localSheetId="15"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[10]EVA!$F$104:$I$104</definedName>
    <definedName name="_123" localSheetId="14" hidden="1">[8]G.G!#REF!</definedName>
    <definedName name="_123" localSheetId="16" hidden="1">[9]G.G!#REF!</definedName>
    <definedName name="_123" localSheetId="17" hidden="1">[9]G.G!#REF!</definedName>
    <definedName name="_123" localSheetId="13" hidden="1">[8]G.G!#REF!</definedName>
    <definedName name="_123" localSheetId="15" hidden="1">[8]G.G!#REF!</definedName>
    <definedName name="_123" hidden="1">[14]G.G!#REF!</definedName>
    <definedName name="_1Sin_nombre" localSheetId="3">#REF!</definedName>
    <definedName name="_1Sin_nombre" localSheetId="30">#REF!</definedName>
    <definedName name="_1Sin_nombre" localSheetId="31">#REF!</definedName>
    <definedName name="_1Sin_nombre" localSheetId="29">#REF!</definedName>
    <definedName name="_1Sin_nombre">#REF!</definedName>
    <definedName name="_2__123Graph_BCart_Utilidad" hidden="1">[10]EVA!$F$105:$I$105</definedName>
    <definedName name="_3__123Graph_CCart_Utilidad" hidden="1">[10]EVA!$F$106:$I$106</definedName>
    <definedName name="_30__AIU" localSheetId="3">#REF!</definedName>
    <definedName name="_30__AIU" localSheetId="30">#REF!</definedName>
    <definedName name="_30__AIU" localSheetId="31">#REF!</definedName>
    <definedName name="_30__AIU" localSheetId="29">#REF!</definedName>
    <definedName name="_30__AIU">#REF!</definedName>
    <definedName name="_4__123Graph_LBL_ACart_Utilidad" hidden="1">[10]EVA!$F$109:$I$109</definedName>
    <definedName name="_5__123Graph_LBL_BCart_Utilidad" hidden="1">[10]EVA!$F$110:$I$110</definedName>
    <definedName name="_6__123Graph_LBL_CCart_Utilidad" hidden="1">[10]EVA!$F$111:$I$111</definedName>
    <definedName name="_7__123Graph_XCart_Utilidad" hidden="1">[10]EVA!$F$103:$I$103</definedName>
    <definedName name="_a1" localSheetId="14"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3" hidden="1">{"TAB1",#N/A,TRUE,"GENERAL";"TAB2",#N/A,TRUE,"GENERAL";"TAB3",#N/A,TRUE,"GENERAL";"TAB4",#N/A,TRUE,"GENERAL";"TAB5",#N/A,TRUE,"GENERAL"}</definedName>
    <definedName name="_a1" localSheetId="15" hidden="1">{"TAB1",#N/A,TRUE,"GENERAL";"TAB2",#N/A,TRUE,"GENERAL";"TAB3",#N/A,TRUE,"GENERAL";"TAB4",#N/A,TRUE,"GENERAL";"TAB5",#N/A,TRUE,"GENERAL"}</definedName>
    <definedName name="_a1" hidden="1">{"TAB1",#N/A,TRUE,"GENERAL";"TAB2",#N/A,TRUE,"GENERAL";"TAB3",#N/A,TRUE,"GENERAL";"TAB4",#N/A,TRUE,"GENERAL";"TAB5",#N/A,TRUE,"GENERAL"}</definedName>
    <definedName name="_A1_1" localSheetId="14" hidden="1">{#N/A,#N/A,TRUE,"1842CWN0"}</definedName>
    <definedName name="_A1_1" localSheetId="13" hidden="1">{#N/A,#N/A,TRUE,"1842CWN0"}</definedName>
    <definedName name="_A1_1" localSheetId="15" hidden="1">{#N/A,#N/A,TRUE,"1842CWN0"}</definedName>
    <definedName name="_A1_1" hidden="1">{#N/A,#N/A,TRUE,"1842CWN0"}</definedName>
    <definedName name="_A1_2" localSheetId="14" hidden="1">{#N/A,#N/A,TRUE,"1842CWN0"}</definedName>
    <definedName name="_A1_2" localSheetId="13" hidden="1">{#N/A,#N/A,TRUE,"1842CWN0"}</definedName>
    <definedName name="_A1_2" localSheetId="15" hidden="1">{#N/A,#N/A,TRUE,"1842CWN0"}</definedName>
    <definedName name="_A1_2" hidden="1">{#N/A,#N/A,TRUE,"1842CWN0"}</definedName>
    <definedName name="_A17000">#REF!</definedName>
    <definedName name="_A20000">#REF!</definedName>
    <definedName name="_a3" localSheetId="14"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3" hidden="1">{"TAB1",#N/A,TRUE,"GENERAL";"TAB2",#N/A,TRUE,"GENERAL";"TAB3",#N/A,TRUE,"GENERAL";"TAB4",#N/A,TRUE,"GENERAL";"TAB5",#N/A,TRUE,"GENERAL"}</definedName>
    <definedName name="_a3" localSheetId="15"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4"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3" hidden="1">{"via1",#N/A,TRUE,"general";"via2",#N/A,TRUE,"general";"via3",#N/A,TRUE,"general"}</definedName>
    <definedName name="_a4" localSheetId="15" hidden="1">{"via1",#N/A,TRUE,"general";"via2",#N/A,TRUE,"general";"via3",#N/A,TRUE,"general"}</definedName>
    <definedName name="_a4" hidden="1">{"via1",#N/A,TRUE,"general";"via2",#N/A,TRUE,"general";"via3",#N/A,TRUE,"general"}</definedName>
    <definedName name="_a5" localSheetId="14"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3" hidden="1">{"TAB1",#N/A,TRUE,"GENERAL";"TAB2",#N/A,TRUE,"GENERAL";"TAB3",#N/A,TRUE,"GENERAL";"TAB4",#N/A,TRUE,"GENERAL";"TAB5",#N/A,TRUE,"GENERAL"}</definedName>
    <definedName name="_a5" localSheetId="15" hidden="1">{"TAB1",#N/A,TRUE,"GENERAL";"TAB2",#N/A,TRUE,"GENERAL";"TAB3",#N/A,TRUE,"GENERAL";"TAB4",#N/A,TRUE,"GENERAL";"TAB5",#N/A,TRUE,"GENERAL"}</definedName>
    <definedName name="_a5" hidden="1">{"TAB1",#N/A,TRUE,"GENERAL";"TAB2",#N/A,TRUE,"GENERAL";"TAB3",#N/A,TRUE,"GENERAL";"TAB4",#N/A,TRUE,"GENERAL";"TAB5",#N/A,TRUE,"GENERAL"}</definedName>
    <definedName name="_a6" localSheetId="14"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3" hidden="1">{"TAB1",#N/A,TRUE,"GENERAL";"TAB2",#N/A,TRUE,"GENERAL";"TAB3",#N/A,TRUE,"GENERAL";"TAB4",#N/A,TRUE,"GENERAL";"TAB5",#N/A,TRUE,"GENERAL"}</definedName>
    <definedName name="_a6" localSheetId="15" hidden="1">{"TAB1",#N/A,TRUE,"GENERAL";"TAB2",#N/A,TRUE,"GENERAL";"TAB3",#N/A,TRUE,"GENERAL";"TAB4",#N/A,TRUE,"GENERAL";"TAB5",#N/A,TRUE,"GENERAL"}</definedName>
    <definedName name="_a6" hidden="1">{"TAB1",#N/A,TRUE,"GENERAL";"TAB2",#N/A,TRUE,"GENERAL";"TAB3",#N/A,TRUE,"GENERAL";"TAB4",#N/A,TRUE,"GENERAL";"TAB5",#N/A,TRUE,"GENERAL"}</definedName>
    <definedName name="_AAS1" localSheetId="14" hidden="1">{#N/A,#N/A,TRUE,"INGENIERIA";#N/A,#N/A,TRUE,"COMPRAS";#N/A,#N/A,TRUE,"DIRECCION";#N/A,#N/A,TRUE,"RESUMEN"}</definedName>
    <definedName name="_AAS1" localSheetId="16" hidden="1">{#N/A,#N/A,TRUE,"INGENIERIA";#N/A,#N/A,TRUE,"COMPRAS";#N/A,#N/A,TRUE,"DIRECCION";#N/A,#N/A,TRUE,"RESUMEN"}</definedName>
    <definedName name="_AAS1" localSheetId="17" hidden="1">{#N/A,#N/A,TRUE,"INGENIERIA";#N/A,#N/A,TRUE,"COMPRAS";#N/A,#N/A,TRUE,"DIRECCION";#N/A,#N/A,TRUE,"RESUMEN"}</definedName>
    <definedName name="_AAS1" localSheetId="13" hidden="1">{#N/A,#N/A,TRUE,"INGENIERIA";#N/A,#N/A,TRUE,"COMPRAS";#N/A,#N/A,TRUE,"DIRECCION";#N/A,#N/A,TRUE,"RESUMEN"}</definedName>
    <definedName name="_AAS1" localSheetId="15" hidden="1">{#N/A,#N/A,TRUE,"INGENIERIA";#N/A,#N/A,TRUE,"COMPRAS";#N/A,#N/A,TRUE,"DIRECCION";#N/A,#N/A,TRUE,"RESUMEN"}</definedName>
    <definedName name="_AAS1" hidden="1">{#N/A,#N/A,TRUE,"INGENIERIA";#N/A,#N/A,TRUE,"COMPRAS";#N/A,#N/A,TRUE,"DIRECCION";#N/A,#N/A,TRUE,"RESUMEN"}</definedName>
    <definedName name="_AAS1_1" localSheetId="14" hidden="1">{#N/A,#N/A,TRUE,"INGENIERIA";#N/A,#N/A,TRUE,"COMPRAS";#N/A,#N/A,TRUE,"DIRECCION";#N/A,#N/A,TRUE,"RESUMEN"}</definedName>
    <definedName name="_AAS1_1" localSheetId="13" hidden="1">{#N/A,#N/A,TRUE,"INGENIERIA";#N/A,#N/A,TRUE,"COMPRAS";#N/A,#N/A,TRUE,"DIRECCION";#N/A,#N/A,TRUE,"RESUMEN"}</definedName>
    <definedName name="_AAS1_1" localSheetId="15" hidden="1">{#N/A,#N/A,TRUE,"INGENIERIA";#N/A,#N/A,TRUE,"COMPRAS";#N/A,#N/A,TRUE,"DIRECCION";#N/A,#N/A,TRUE,"RESUMEN"}</definedName>
    <definedName name="_AAS1_1" hidden="1">{#N/A,#N/A,TRUE,"INGENIERIA";#N/A,#N/A,TRUE,"COMPRAS";#N/A,#N/A,TRUE,"DIRECCION";#N/A,#N/A,TRUE,"RESUMEN"}</definedName>
    <definedName name="_AAS1_2" localSheetId="14" hidden="1">{#N/A,#N/A,TRUE,"INGENIERIA";#N/A,#N/A,TRUE,"COMPRAS";#N/A,#N/A,TRUE,"DIRECCION";#N/A,#N/A,TRUE,"RESUMEN"}</definedName>
    <definedName name="_AAS1_2" localSheetId="13" hidden="1">{#N/A,#N/A,TRUE,"INGENIERIA";#N/A,#N/A,TRUE,"COMPRAS";#N/A,#N/A,TRUE,"DIRECCION";#N/A,#N/A,TRUE,"RESUMEN"}</definedName>
    <definedName name="_AAS1_2" localSheetId="15" hidden="1">{#N/A,#N/A,TRUE,"INGENIERIA";#N/A,#N/A,TRUE,"COMPRAS";#N/A,#N/A,TRUE,"DIRECCION";#N/A,#N/A,TRUE,"RESUMEN"}</definedName>
    <definedName name="_AAS1_2" hidden="1">{#N/A,#N/A,TRUE,"INGENIERIA";#N/A,#N/A,TRUE,"COMPRAS";#N/A,#N/A,TRUE,"DIRECCION";#N/A,#N/A,TRUE,"RESUMEN"}</definedName>
    <definedName name="_ABC1" localSheetId="14" hidden="1">{#N/A,#N/A,TRUE,"1842CWN0"}</definedName>
    <definedName name="_ABC1" localSheetId="16" hidden="1">{#N/A,#N/A,TRUE,"1842CWN0"}</definedName>
    <definedName name="_ABC1" localSheetId="17" hidden="1">{#N/A,#N/A,TRUE,"1842CWN0"}</definedName>
    <definedName name="_ABC1" localSheetId="13" hidden="1">{#N/A,#N/A,TRUE,"1842CWN0"}</definedName>
    <definedName name="_ABC1" localSheetId="15" hidden="1">{#N/A,#N/A,TRUE,"1842CWN0"}</definedName>
    <definedName name="_ABC1" hidden="1">{#N/A,#N/A,TRUE,"1842CWN0"}</definedName>
    <definedName name="_ABC1_1" localSheetId="14" hidden="1">{#N/A,#N/A,TRUE,"1842CWN0"}</definedName>
    <definedName name="_ABC1_1" localSheetId="13" hidden="1">{#N/A,#N/A,TRUE,"1842CWN0"}</definedName>
    <definedName name="_ABC1_1" localSheetId="15" hidden="1">{#N/A,#N/A,TRUE,"1842CWN0"}</definedName>
    <definedName name="_ABC1_1" hidden="1">{#N/A,#N/A,TRUE,"1842CWN0"}</definedName>
    <definedName name="_ABC1_2" localSheetId="14" hidden="1">{#N/A,#N/A,TRUE,"1842CWN0"}</definedName>
    <definedName name="_ABC1_2" localSheetId="13" hidden="1">{#N/A,#N/A,TRUE,"1842CWN0"}</definedName>
    <definedName name="_ABC1_2" localSheetId="15" hidden="1">{#N/A,#N/A,TRUE,"1842CWN0"}</definedName>
    <definedName name="_ABC1_2" hidden="1">{#N/A,#N/A,TRUE,"1842CWN0"}</definedName>
    <definedName name="_abc2" localSheetId="14" hidden="1">{#N/A,#N/A,TRUE,"1842CWN0"}</definedName>
    <definedName name="_abc2" localSheetId="16" hidden="1">{#N/A,#N/A,TRUE,"1842CWN0"}</definedName>
    <definedName name="_abc2" localSheetId="17" hidden="1">{#N/A,#N/A,TRUE,"1842CWN0"}</definedName>
    <definedName name="_abc2" localSheetId="13" hidden="1">{#N/A,#N/A,TRUE,"1842CWN0"}</definedName>
    <definedName name="_abc2" localSheetId="15" hidden="1">{#N/A,#N/A,TRUE,"1842CWN0"}</definedName>
    <definedName name="_abc2" hidden="1">{#N/A,#N/A,TRUE,"1842CWN0"}</definedName>
    <definedName name="_abc2_1" localSheetId="14" hidden="1">{#N/A,#N/A,TRUE,"1842CWN0"}</definedName>
    <definedName name="_abc2_1" localSheetId="13" hidden="1">{#N/A,#N/A,TRUE,"1842CWN0"}</definedName>
    <definedName name="_abc2_1" localSheetId="15" hidden="1">{#N/A,#N/A,TRUE,"1842CWN0"}</definedName>
    <definedName name="_abc2_1" hidden="1">{#N/A,#N/A,TRUE,"1842CWN0"}</definedName>
    <definedName name="_abc2_2" localSheetId="14" hidden="1">{#N/A,#N/A,TRUE,"1842CWN0"}</definedName>
    <definedName name="_abc2_2" localSheetId="13" hidden="1">{#N/A,#N/A,TRUE,"1842CWN0"}</definedName>
    <definedName name="_abc2_2" localSheetId="15" hidden="1">{#N/A,#N/A,TRUE,"1842CWN0"}</definedName>
    <definedName name="_abc2_2" hidden="1">{#N/A,#N/A,TRUE,"1842CWN0"}</definedName>
    <definedName name="_ADH12" localSheetId="3">#REF!</definedName>
    <definedName name="_ADH12" localSheetId="30">#REF!</definedName>
    <definedName name="_ADH12" localSheetId="31">#REF!</definedName>
    <definedName name="_ADH12" localSheetId="29">#REF!</definedName>
    <definedName name="_ADH12">#REF!</definedName>
    <definedName name="_ADM12" localSheetId="3">#REF!</definedName>
    <definedName name="_ADM12" localSheetId="30">#REF!</definedName>
    <definedName name="_ADM12" localSheetId="31">#REF!</definedName>
    <definedName name="_ADM12" localSheetId="29">#REF!</definedName>
    <definedName name="_ADM12">#REF!</definedName>
    <definedName name="_ADM2">#REF!</definedName>
    <definedName name="_ADM3">#REF!</definedName>
    <definedName name="_ADM4">#REF!</definedName>
    <definedName name="_ADP1">#REF!</definedName>
    <definedName name="_AFC1">#REF!</definedName>
    <definedName name="_AFC3">#REF!</definedName>
    <definedName name="_AFC5">#REF!</definedName>
    <definedName name="_AIU1" localSheetId="3">#REF!</definedName>
    <definedName name="_AIU1" localSheetId="30">#REF!</definedName>
    <definedName name="_AIU1" localSheetId="31">#REF!</definedName>
    <definedName name="_AIU1" localSheetId="29">#REF!</definedName>
    <definedName name="_AIU1">#REF!</definedName>
    <definedName name="_AIU2">#REF!</definedName>
    <definedName name="_AIU3">#REF!</definedName>
    <definedName name="_AIU4">#REF!</definedName>
    <definedName name="_APU221">#REF!</definedName>
    <definedName name="_APU3">#REF!</definedName>
    <definedName name="_APU465" localSheetId="14">[2]!absc</definedName>
    <definedName name="_APU465" localSheetId="17">[2]!absc</definedName>
    <definedName name="_APU465" localSheetId="2">[2]!absc</definedName>
    <definedName name="_APU465" localSheetId="20">[2]!absc</definedName>
    <definedName name="_APU465" localSheetId="21">[2]!absc</definedName>
    <definedName name="_APU465" localSheetId="15">[2]!absc</definedName>
    <definedName name="_APU465">[2]!absc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4"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3" hidden="1">{"TAB1",#N/A,TRUE,"GENERAL";"TAB2",#N/A,TRUE,"GENERAL";"TAB3",#N/A,TRUE,"GENERAL";"TAB4",#N/A,TRUE,"GENERAL";"TAB5",#N/A,TRUE,"GENERAL"}</definedName>
    <definedName name="_b2" localSheetId="15" hidden="1">{"TAB1",#N/A,TRUE,"GENERAL";"TAB2",#N/A,TRUE,"GENERAL";"TAB3",#N/A,TRUE,"GENERAL";"TAB4",#N/A,TRUE,"GENERAL";"TAB5",#N/A,TRUE,"GENERAL"}</definedName>
    <definedName name="_b2" hidden="1">{"TAB1",#N/A,TRUE,"GENERAL";"TAB2",#N/A,TRUE,"GENERAL";"TAB3",#N/A,TRUE,"GENERAL";"TAB4",#N/A,TRUE,"GENERAL";"TAB5",#N/A,TRUE,"GENERAL"}</definedName>
    <definedName name="_b3" localSheetId="14"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3" hidden="1">{"TAB1",#N/A,TRUE,"GENERAL";"TAB2",#N/A,TRUE,"GENERAL";"TAB3",#N/A,TRUE,"GENERAL";"TAB4",#N/A,TRUE,"GENERAL";"TAB5",#N/A,TRUE,"GENERAL"}</definedName>
    <definedName name="_b3" localSheetId="15" hidden="1">{"TAB1",#N/A,TRUE,"GENERAL";"TAB2",#N/A,TRUE,"GENERAL";"TAB3",#N/A,TRUE,"GENERAL";"TAB4",#N/A,TRUE,"GENERAL";"TAB5",#N/A,TRUE,"GENERAL"}</definedName>
    <definedName name="_b3" hidden="1">{"TAB1",#N/A,TRUE,"GENERAL";"TAB2",#N/A,TRUE,"GENERAL";"TAB3",#N/A,TRUE,"GENERAL";"TAB4",#N/A,TRUE,"GENERAL";"TAB5",#N/A,TRUE,"GENERAL"}</definedName>
    <definedName name="_b4" localSheetId="14"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3" hidden="1">{"TAB1",#N/A,TRUE,"GENERAL";"TAB2",#N/A,TRUE,"GENERAL";"TAB3",#N/A,TRUE,"GENERAL";"TAB4",#N/A,TRUE,"GENERAL";"TAB5",#N/A,TRUE,"GENERAL"}</definedName>
    <definedName name="_b4" localSheetId="15" hidden="1">{"TAB1",#N/A,TRUE,"GENERAL";"TAB2",#N/A,TRUE,"GENERAL";"TAB3",#N/A,TRUE,"GENERAL";"TAB4",#N/A,TRUE,"GENERAL";"TAB5",#N/A,TRUE,"GENERAL"}</definedName>
    <definedName name="_b4" hidden="1">{"TAB1",#N/A,TRUE,"GENERAL";"TAB2",#N/A,TRUE,"GENERAL";"TAB3",#N/A,TRUE,"GENERAL";"TAB4",#N/A,TRUE,"GENERAL";"TAB5",#N/A,TRUE,"GENERAL"}</definedName>
    <definedName name="_b5" localSheetId="14"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3" hidden="1">{"TAB1",#N/A,TRUE,"GENERAL";"TAB2",#N/A,TRUE,"GENERAL";"TAB3",#N/A,TRUE,"GENERAL";"TAB4",#N/A,TRUE,"GENERAL";"TAB5",#N/A,TRUE,"GENERAL"}</definedName>
    <definedName name="_b5" localSheetId="15" hidden="1">{"TAB1",#N/A,TRUE,"GENERAL";"TAB2",#N/A,TRUE,"GENERAL";"TAB3",#N/A,TRUE,"GENERAL";"TAB4",#N/A,TRUE,"GENERAL";"TAB5",#N/A,TRUE,"GENERAL"}</definedName>
    <definedName name="_b5" hidden="1">{"TAB1",#N/A,TRUE,"GENERAL";"TAB2",#N/A,TRUE,"GENERAL";"TAB3",#N/A,TRUE,"GENERAL";"TAB4",#N/A,TRUE,"GENERAL";"TAB5",#N/A,TRUE,"GENERAL"}</definedName>
    <definedName name="_b6" localSheetId="14"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3" hidden="1">{"TAB1",#N/A,TRUE,"GENERAL";"TAB2",#N/A,TRUE,"GENERAL";"TAB3",#N/A,TRUE,"GENERAL";"TAB4",#N/A,TRUE,"GENERAL";"TAB5",#N/A,TRUE,"GENERAL"}</definedName>
    <definedName name="_b6" localSheetId="15" hidden="1">{"TAB1",#N/A,TRUE,"GENERAL";"TAB2",#N/A,TRUE,"GENERAL";"TAB3",#N/A,TRUE,"GENERAL";"TAB4",#N/A,TRUE,"GENERAL";"TAB5",#N/A,TRUE,"GENERAL"}</definedName>
    <definedName name="_b6" hidden="1">{"TAB1",#N/A,TRUE,"GENERAL";"TAB2",#N/A,TRUE,"GENERAL";"TAB3",#N/A,TRUE,"GENERAL";"TAB4",#N/A,TRUE,"GENERAL";"TAB5",#N/A,TRUE,"GENERAL"}</definedName>
    <definedName name="_b7" localSheetId="14"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3" hidden="1">{"via1",#N/A,TRUE,"general";"via2",#N/A,TRUE,"general";"via3",#N/A,TRUE,"general"}</definedName>
    <definedName name="_b7" localSheetId="15" hidden="1">{"via1",#N/A,TRUE,"general";"via2",#N/A,TRUE,"general";"via3",#N/A,TRUE,"general"}</definedName>
    <definedName name="_b7" hidden="1">{"via1",#N/A,TRUE,"general";"via2",#N/A,TRUE,"general";"via3",#N/A,TRUE,"general"}</definedName>
    <definedName name="_b8" localSheetId="14"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3" hidden="1">{"via1",#N/A,TRUE,"general";"via2",#N/A,TRUE,"general";"via3",#N/A,TRUE,"general"}</definedName>
    <definedName name="_b8" localSheetId="15" hidden="1">{"via1",#N/A,TRUE,"general";"via2",#N/A,TRUE,"general";"via3",#N/A,TRUE,"general"}</definedName>
    <definedName name="_b8" hidden="1">{"via1",#N/A,TRUE,"general";"via2",#N/A,TRUE,"general";"via3",#N/A,TRUE,"general"}</definedName>
    <definedName name="_BAZ10">#REF!</definedName>
    <definedName name="_bb9" localSheetId="14"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3" hidden="1">{"TAB1",#N/A,TRUE,"GENERAL";"TAB2",#N/A,TRUE,"GENERAL";"TAB3",#N/A,TRUE,"GENERAL";"TAB4",#N/A,TRUE,"GENERAL";"TAB5",#N/A,TRUE,"GENERAL"}</definedName>
    <definedName name="_bb9" localSheetId="15" hidden="1">{"TAB1",#N/A,TRUE,"GENERAL";"TAB2",#N/A,TRUE,"GENERAL";"TAB3",#N/A,TRUE,"GENERAL";"TAB4",#N/A,TRUE,"GENERAL";"TAB5",#N/A,TRUE,"GENERAL"}</definedName>
    <definedName name="_bb9"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5"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BLO20">#REF!</definedName>
    <definedName name="_C2254JH" localSheetId="3">#REF!</definedName>
    <definedName name="_C2254JH" localSheetId="30">#REF!</definedName>
    <definedName name="_C2254JH" localSheetId="31">#REF!</definedName>
    <definedName name="_C2254JH" localSheetId="29">#REF!</definedName>
    <definedName name="_C2254JH">#REF!</definedName>
    <definedName name="_C2256JH" localSheetId="3">#REF!</definedName>
    <definedName name="_C2256JH" localSheetId="30">#REF!</definedName>
    <definedName name="_C2256JH" localSheetId="31">#REF!</definedName>
    <definedName name="_C2256JH" localSheetId="29">#REF!</definedName>
    <definedName name="_C2256JH">#REF!</definedName>
    <definedName name="_C452JH" localSheetId="3">#REF!</definedName>
    <definedName name="_C452JH" localSheetId="30">#REF!</definedName>
    <definedName name="_C452JH" localSheetId="31">#REF!</definedName>
    <definedName name="_C452JH" localSheetId="29">#REF!</definedName>
    <definedName name="_C452JH">#REF!</definedName>
    <definedName name="_C903L" localSheetId="3">#REF!</definedName>
    <definedName name="_C903L" localSheetId="30">#REF!</definedName>
    <definedName name="_C903L" localSheetId="31">#REF!</definedName>
    <definedName name="_C903L" localSheetId="29">#REF!</definedName>
    <definedName name="_C903L">#REF!</definedName>
    <definedName name="_C908J" localSheetId="3">#REF!</definedName>
    <definedName name="_C908J" localSheetId="30">#REF!</definedName>
    <definedName name="_C908J" localSheetId="31">#REF!</definedName>
    <definedName name="_C908J" localSheetId="29">#REF!</definedName>
    <definedName name="_C908J">#REF!</definedName>
    <definedName name="_CAC1">#REF!</definedName>
    <definedName name="_CAC3">#REF!</definedName>
    <definedName name="_CAC5">#REF!</definedName>
    <definedName name="_CAN28" localSheetId="3">#REF!</definedName>
    <definedName name="_CAN28" localSheetId="30">#REF!</definedName>
    <definedName name="_CAN28" localSheetId="31">#REF!</definedName>
    <definedName name="_CAN28" localSheetId="29">#REF!</definedName>
    <definedName name="_CAN28">#REF!</definedName>
    <definedName name="_Cod1" localSheetId="3">#REF!</definedName>
    <definedName name="_Cod1" localSheetId="30">#REF!</definedName>
    <definedName name="_Cod1" localSheetId="31">#REF!</definedName>
    <definedName name="_Cod1" localSheetId="29">#REF!</definedName>
    <definedName name="_Cod1">#REF!</definedName>
    <definedName name="_CUA44">#REF!</definedName>
    <definedName name="_dasd" localSheetId="14" hidden="1">'[15]46W9'!#REF!</definedName>
    <definedName name="_dasd" localSheetId="13" hidden="1">'[15]46W9'!#REF!</definedName>
    <definedName name="_dasd" localSheetId="15" hidden="1">'[15]46W9'!#REF!</definedName>
    <definedName name="_dasd" hidden="1">'[16]46W9'!#REF!</definedName>
    <definedName name="_dhc1">[17]Dimensiones!$B$13</definedName>
    <definedName name="_dhc2">[17]Dimensiones!$B$17</definedName>
    <definedName name="_dhc3">[17]Dimensiones!$B$21</definedName>
    <definedName name="_dhc4">[17]Dimensiones!$B$25</definedName>
    <definedName name="_dhc5">[17]Dimensiones!$B$29</definedName>
    <definedName name="_dvc1">[17]Dimensiones!$B$12</definedName>
    <definedName name="_dvc2">[17]Dimensiones!$B$16</definedName>
    <definedName name="_dvc3">[17]Dimensiones!$B$20</definedName>
    <definedName name="_dvc4">[17]Dimensiones!$B$24</definedName>
    <definedName name="_dvc5">[17]Dimensiones!$B$28</definedName>
    <definedName name="_eac1">[17]Dimensiones!$F$10</definedName>
    <definedName name="_eac2">[17]Dimensiones!$F$13</definedName>
    <definedName name="_eac3">[17]Dimensiones!$F$16</definedName>
    <definedName name="_eac4">[17]Dimensiones!$F$19</definedName>
    <definedName name="_eac5">[17]Dimensiones!$F$22</definedName>
    <definedName name="_EEF110">#REF!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#N/A</definedName>
    <definedName name="_fc">[17]Dimensiones!$B$9</definedName>
    <definedName name="_FEC5">[6]datos!$N$2,[6]datos!$N$2:$N$500</definedName>
    <definedName name="_Fill" localSheetId="3" hidden="1">#REF!</definedName>
    <definedName name="_Fill" localSheetId="14" hidden="1">#REF!</definedName>
    <definedName name="_Fill" localSheetId="30" hidden="1">#REF!</definedName>
    <definedName name="_Fill" localSheetId="31" hidden="1">#REF!</definedName>
    <definedName name="_Fill" localSheetId="16" hidden="1">#REF!</definedName>
    <definedName name="_Fill" localSheetId="17" hidden="1">#REF!</definedName>
    <definedName name="_Fill" localSheetId="13" hidden="1">#REF!</definedName>
    <definedName name="_Fill" localSheetId="15" hidden="1">#REF!</definedName>
    <definedName name="_Fill" localSheetId="29" hidden="1">#REF!</definedName>
    <definedName name="_Fill" hidden="1">#REF!</definedName>
    <definedName name="_xlnm._FilterDatabase" localSheetId="14" hidden="1">'[15]46W9'!#REF!</definedName>
    <definedName name="_xlnm._FilterDatabase" localSheetId="30" hidden="1">'Base de Diseño (2)'!$A$1:$F$1</definedName>
    <definedName name="_xlnm._FilterDatabase" localSheetId="31" hidden="1">'Cálculo_Diseño  (2)'!$CL$1:$CL$590</definedName>
    <definedName name="_xlnm._FilterDatabase" localSheetId="27" hidden="1">'Hoja3 (2)'!$A$4:$D$244</definedName>
    <definedName name="_xlnm._FilterDatabase" localSheetId="16" hidden="1">'INT OBRA'!$B$12:$I$60</definedName>
    <definedName name="_xlnm._FilterDatabase" localSheetId="17" hidden="1">'INT SUM'!$B$12:$I$32</definedName>
    <definedName name="_xlnm._FilterDatabase" localSheetId="35" hidden="1">'ppto (2)'!#REF!</definedName>
    <definedName name="_xlnm._FilterDatabase" localSheetId="13" hidden="1">'[15]46W9'!#REF!</definedName>
    <definedName name="_xlnm._FilterDatabase" localSheetId="15" hidden="1">'[15]46W9'!#REF!</definedName>
    <definedName name="_xlnm._FilterDatabase" hidden="1">'[16]46W9'!#REF!</definedName>
    <definedName name="_FS01">#N/A</definedName>
    <definedName name="_FYB02">#REF!</definedName>
    <definedName name="_FYB03">#REF!</definedName>
    <definedName name="_FYB04">#REF!</definedName>
    <definedName name="_FYB08">#REF!</definedName>
    <definedName name="_FYB10">#REF!</definedName>
    <definedName name="_g2" localSheetId="14"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3" hidden="1">{"TAB1",#N/A,TRUE,"GENERAL";"TAB2",#N/A,TRUE,"GENERAL";"TAB3",#N/A,TRUE,"GENERAL";"TAB4",#N/A,TRUE,"GENERAL";"TAB5",#N/A,TRUE,"GENERAL"}</definedName>
    <definedName name="_g2" localSheetId="15" hidden="1">{"TAB1",#N/A,TRUE,"GENERAL";"TAB2",#N/A,TRUE,"GENERAL";"TAB3",#N/A,TRUE,"GENERAL";"TAB4",#N/A,TRUE,"GENERAL";"TAB5",#N/A,TRUE,"GENERAL"}</definedName>
    <definedName name="_g2" hidden="1">{"TAB1",#N/A,TRUE,"GENERAL";"TAB2",#N/A,TRUE,"GENERAL";"TAB3",#N/A,TRUE,"GENERAL";"TAB4",#N/A,TRUE,"GENERAL";"TAB5",#N/A,TRUE,"GENERAL"}</definedName>
    <definedName name="_g3" localSheetId="14"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3" hidden="1">{"via1",#N/A,TRUE,"general";"via2",#N/A,TRUE,"general";"via3",#N/A,TRUE,"general"}</definedName>
    <definedName name="_g3" localSheetId="15" hidden="1">{"via1",#N/A,TRUE,"general";"via2",#N/A,TRUE,"general";"via3",#N/A,TRUE,"general"}</definedName>
    <definedName name="_g3" hidden="1">{"via1",#N/A,TRUE,"general";"via2",#N/A,TRUE,"general";"via3",#N/A,TRUE,"general"}</definedName>
    <definedName name="_g4" localSheetId="14"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3" hidden="1">{"via1",#N/A,TRUE,"general";"via2",#N/A,TRUE,"general";"via3",#N/A,TRUE,"general"}</definedName>
    <definedName name="_g4" localSheetId="15" hidden="1">{"via1",#N/A,TRUE,"general";"via2",#N/A,TRUE,"general";"via3",#N/A,TRUE,"general"}</definedName>
    <definedName name="_g4" hidden="1">{"via1",#N/A,TRUE,"general";"via2",#N/A,TRUE,"general";"via3",#N/A,TRUE,"general"}</definedName>
    <definedName name="_g5" localSheetId="14"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3" hidden="1">{"via1",#N/A,TRUE,"general";"via2",#N/A,TRUE,"general";"via3",#N/A,TRUE,"general"}</definedName>
    <definedName name="_g5" localSheetId="15" hidden="1">{"via1",#N/A,TRUE,"general";"via2",#N/A,TRUE,"general";"via3",#N/A,TRUE,"general"}</definedName>
    <definedName name="_g5" hidden="1">{"via1",#N/A,TRUE,"general";"via2",#N/A,TRUE,"general";"via3",#N/A,TRUE,"general"}</definedName>
    <definedName name="_g6" localSheetId="14"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3" hidden="1">{"via1",#N/A,TRUE,"general";"via2",#N/A,TRUE,"general";"via3",#N/A,TRUE,"general"}</definedName>
    <definedName name="_g6" localSheetId="15" hidden="1">{"via1",#N/A,TRUE,"general";"via2",#N/A,TRUE,"general";"via3",#N/A,TRUE,"general"}</definedName>
    <definedName name="_g6" hidden="1">{"via1",#N/A,TRUE,"general";"via2",#N/A,TRUE,"general";"via3",#N/A,TRUE,"general"}</definedName>
    <definedName name="_g7" localSheetId="14"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3" hidden="1">{"TAB1",#N/A,TRUE,"GENERAL";"TAB2",#N/A,TRUE,"GENERAL";"TAB3",#N/A,TRUE,"GENERAL";"TAB4",#N/A,TRUE,"GENERAL";"TAB5",#N/A,TRUE,"GENERAL"}</definedName>
    <definedName name="_g7" localSheetId="15" hidden="1">{"TAB1",#N/A,TRUE,"GENERAL";"TAB2",#N/A,TRUE,"GENERAL";"TAB3",#N/A,TRUE,"GENERAL";"TAB4",#N/A,TRUE,"GENERAL";"TAB5",#N/A,TRUE,"GENERAL"}</definedName>
    <definedName name="_g7" hidden="1">{"TAB1",#N/A,TRUE,"GENERAL";"TAB2",#N/A,TRUE,"GENERAL";"TAB3",#N/A,TRUE,"GENERAL";"TAB4",#N/A,TRUE,"GENERAL";"TAB5",#N/A,TRUE,"GENERAL"}</definedName>
    <definedName name="_geo4000">#REF!</definedName>
    <definedName name="_GR1" localSheetId="14"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3" hidden="1">{"TAB1",#N/A,TRUE,"GENERAL";"TAB2",#N/A,TRUE,"GENERAL";"TAB3",#N/A,TRUE,"GENERAL";"TAB4",#N/A,TRUE,"GENERAL";"TAB5",#N/A,TRUE,"GENERAL"}</definedName>
    <definedName name="_GR1" localSheetId="15" hidden="1">{"TAB1",#N/A,TRUE,"GENERAL";"TAB2",#N/A,TRUE,"GENERAL";"TAB3",#N/A,TRUE,"GENERAL";"TAB4",#N/A,TRUE,"GENERAL";"TAB5",#N/A,TRUE,"GENERAL"}</definedName>
    <definedName name="_GR1" hidden="1">{"TAB1",#N/A,TRUE,"GENERAL";"TAB2",#N/A,TRUE,"GENERAL";"TAB3",#N/A,TRUE,"GENERAL";"TAB4",#N/A,TRUE,"GENERAL";"TAB5",#N/A,TRUE,"GENERAL"}</definedName>
    <definedName name="_GRILL" localSheetId="14" hidden="1">#REF!</definedName>
    <definedName name="_GRILL" localSheetId="13" hidden="1">#REF!</definedName>
    <definedName name="_GRILL" localSheetId="15" hidden="1">#REF!</definedName>
    <definedName name="_GRILL" hidden="1">#REF!</definedName>
    <definedName name="_gtr4" localSheetId="14"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3" hidden="1">{"via1",#N/A,TRUE,"general";"via2",#N/A,TRUE,"general";"via3",#N/A,TRUE,"general"}</definedName>
    <definedName name="_gtr4" localSheetId="15" hidden="1">{"via1",#N/A,TRUE,"general";"via2",#N/A,TRUE,"general";"via3",#N/A,TRUE,"general"}</definedName>
    <definedName name="_gtr4" hidden="1">{"via1",#N/A,TRUE,"general";"via2",#N/A,TRUE,"general";"via3",#N/A,TRUE,"general"}</definedName>
    <definedName name="_h2" localSheetId="14"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3" hidden="1">{"via1",#N/A,TRUE,"general";"via2",#N/A,TRUE,"general";"via3",#N/A,TRUE,"general"}</definedName>
    <definedName name="_h2" localSheetId="15" hidden="1">{"via1",#N/A,TRUE,"general";"via2",#N/A,TRUE,"general";"via3",#N/A,TRUE,"general"}</definedName>
    <definedName name="_h2" hidden="1">{"via1",#N/A,TRUE,"general";"via2",#N/A,TRUE,"general";"via3",#N/A,TRUE,"general"}</definedName>
    <definedName name="_h3" localSheetId="14"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3" hidden="1">{"via1",#N/A,TRUE,"general";"via2",#N/A,TRUE,"general";"via3",#N/A,TRUE,"general"}</definedName>
    <definedName name="_h3" localSheetId="15" hidden="1">{"via1",#N/A,TRUE,"general";"via2",#N/A,TRUE,"general";"via3",#N/A,TRUE,"general"}</definedName>
    <definedName name="_h3" hidden="1">{"via1",#N/A,TRUE,"general";"via2",#N/A,TRUE,"general";"via3",#N/A,TRUE,"general"}</definedName>
    <definedName name="_h4" localSheetId="14"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3" hidden="1">{"TAB1",#N/A,TRUE,"GENERAL";"TAB2",#N/A,TRUE,"GENERAL";"TAB3",#N/A,TRUE,"GENERAL";"TAB4",#N/A,TRUE,"GENERAL";"TAB5",#N/A,TRUE,"GENERAL"}</definedName>
    <definedName name="_h4" localSheetId="15" hidden="1">{"TAB1",#N/A,TRUE,"GENERAL";"TAB2",#N/A,TRUE,"GENERAL";"TAB3",#N/A,TRUE,"GENERAL";"TAB4",#N/A,TRUE,"GENERAL";"TAB5",#N/A,TRUE,"GENERAL"}</definedName>
    <definedName name="_h4" hidden="1">{"TAB1",#N/A,TRUE,"GENERAL";"TAB2",#N/A,TRUE,"GENERAL";"TAB3",#N/A,TRUE,"GENERAL";"TAB4",#N/A,TRUE,"GENERAL";"TAB5",#N/A,TRUE,"GENERAL"}</definedName>
    <definedName name="_h5" localSheetId="14"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3" hidden="1">{"TAB1",#N/A,TRUE,"GENERAL";"TAB2",#N/A,TRUE,"GENERAL";"TAB3",#N/A,TRUE,"GENERAL";"TAB4",#N/A,TRUE,"GENERAL";"TAB5",#N/A,TRUE,"GENERAL"}</definedName>
    <definedName name="_h5" localSheetId="15" hidden="1">{"TAB1",#N/A,TRUE,"GENERAL";"TAB2",#N/A,TRUE,"GENERAL";"TAB3",#N/A,TRUE,"GENERAL";"TAB4",#N/A,TRUE,"GENERAL";"TAB5",#N/A,TRUE,"GENERAL"}</definedName>
    <definedName name="_h5" hidden="1">{"TAB1",#N/A,TRUE,"GENERAL";"TAB2",#N/A,TRUE,"GENERAL";"TAB3",#N/A,TRUE,"GENERAL";"TAB4",#N/A,TRUE,"GENERAL";"TAB5",#N/A,TRUE,"GENERAL"}</definedName>
    <definedName name="_h6" localSheetId="14"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3" hidden="1">{"via1",#N/A,TRUE,"general";"via2",#N/A,TRUE,"general";"via3",#N/A,TRUE,"general"}</definedName>
    <definedName name="_h6" localSheetId="15" hidden="1">{"via1",#N/A,TRUE,"general";"via2",#N/A,TRUE,"general";"via3",#N/A,TRUE,"general"}</definedName>
    <definedName name="_h6" hidden="1">{"via1",#N/A,TRUE,"general";"via2",#N/A,TRUE,"general";"via3",#N/A,TRUE,"general"}</definedName>
    <definedName name="_h7" localSheetId="14"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3" hidden="1">{"TAB1",#N/A,TRUE,"GENERAL";"TAB2",#N/A,TRUE,"GENERAL";"TAB3",#N/A,TRUE,"GENERAL";"TAB4",#N/A,TRUE,"GENERAL";"TAB5",#N/A,TRUE,"GENERAL"}</definedName>
    <definedName name="_h7" localSheetId="15" hidden="1">{"TAB1",#N/A,TRUE,"GENERAL";"TAB2",#N/A,TRUE,"GENERAL";"TAB3",#N/A,TRUE,"GENERAL";"TAB4",#N/A,TRUE,"GENERAL";"TAB5",#N/A,TRUE,"GENERAL"}</definedName>
    <definedName name="_h7" hidden="1">{"TAB1",#N/A,TRUE,"GENERAL";"TAB2",#N/A,TRUE,"GENERAL";"TAB3",#N/A,TRUE,"GENERAL";"TAB4",#N/A,TRUE,"GENERAL";"TAB5",#N/A,TRUE,"GENERAL"}</definedName>
    <definedName name="_h8" localSheetId="14"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3" hidden="1">{"via1",#N/A,TRUE,"general";"via2",#N/A,TRUE,"general";"via3",#N/A,TRUE,"general"}</definedName>
    <definedName name="_h8" localSheetId="15" hidden="1">{"via1",#N/A,TRUE,"general";"via2",#N/A,TRUE,"general";"via3",#N/A,TRUE,"general"}</definedName>
    <definedName name="_h8" hidden="1">{"via1",#N/A,TRUE,"general";"via2",#N/A,TRUE,"general";"via3",#N/A,TRUE,"general"}</definedName>
    <definedName name="_hac1">[17]Dimensiones!$F$8</definedName>
    <definedName name="_hac2">[17]Dimensiones!$F$11</definedName>
    <definedName name="_hac3">[17]Dimensiones!$F$14</definedName>
    <definedName name="_hac4">[17]Dimensiones!$F$17</definedName>
    <definedName name="_hac5">[17]Dimensiones!$F$20</definedName>
    <definedName name="_hfh7" localSheetId="14"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3" hidden="1">{"via1",#N/A,TRUE,"general";"via2",#N/A,TRUE,"general";"via3",#N/A,TRUE,"general"}</definedName>
    <definedName name="_hfh7" localSheetId="15" hidden="1">{"via1",#N/A,TRUE,"general";"via2",#N/A,TRUE,"general";"via3",#N/A,TRUE,"general"}</definedName>
    <definedName name="_hfh7" hidden="1">{"via1",#N/A,TRUE,"general";"via2",#N/A,TRUE,"general";"via3",#N/A,TRUE,"general"}</definedName>
    <definedName name="_hhg1" hidden="1">{#N/A,#N/A,TRUE,"1842CWN0"}</definedName>
    <definedName name="_HUM1">[7]DATBAND!$I$3:$I$469</definedName>
    <definedName name="_HUM2">[7]DATBAND!$J$3:$J$453</definedName>
    <definedName name="_i1">#REF!</definedName>
    <definedName name="_i4" localSheetId="14"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3" hidden="1">{"via1",#N/A,TRUE,"general";"via2",#N/A,TRUE,"general";"via3",#N/A,TRUE,"general"}</definedName>
    <definedName name="_i4" localSheetId="15" hidden="1">{"via1",#N/A,TRUE,"general";"via2",#N/A,TRUE,"general";"via3",#N/A,TRUE,"general"}</definedName>
    <definedName name="_i4" hidden="1">{"via1",#N/A,TRUE,"general";"via2",#N/A,TRUE,"general";"via3",#N/A,TRUE,"general"}</definedName>
    <definedName name="_i5" localSheetId="14"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3" hidden="1">{"TAB1",#N/A,TRUE,"GENERAL";"TAB2",#N/A,TRUE,"GENERAL";"TAB3",#N/A,TRUE,"GENERAL";"TAB4",#N/A,TRUE,"GENERAL";"TAB5",#N/A,TRUE,"GENERAL"}</definedName>
    <definedName name="_i5" localSheetId="15" hidden="1">{"TAB1",#N/A,TRUE,"GENERAL";"TAB2",#N/A,TRUE,"GENERAL";"TAB3",#N/A,TRUE,"GENERAL";"TAB4",#N/A,TRUE,"GENERAL";"TAB5",#N/A,TRUE,"GENERAL"}</definedName>
    <definedName name="_i5" hidden="1">{"TAB1",#N/A,TRUE,"GENERAL";"TAB2",#N/A,TRUE,"GENERAL";"TAB3",#N/A,TRUE,"GENERAL";"TAB4",#N/A,TRUE,"GENERAL";"TAB5",#N/A,TRUE,"GENERAL"}</definedName>
    <definedName name="_i6" localSheetId="14"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3" hidden="1">{"TAB1",#N/A,TRUE,"GENERAL";"TAB2",#N/A,TRUE,"GENERAL";"TAB3",#N/A,TRUE,"GENERAL";"TAB4",#N/A,TRUE,"GENERAL";"TAB5",#N/A,TRUE,"GENERAL"}</definedName>
    <definedName name="_i6" localSheetId="15" hidden="1">{"TAB1",#N/A,TRUE,"GENERAL";"TAB2",#N/A,TRUE,"GENERAL";"TAB3",#N/A,TRUE,"GENERAL";"TAB4",#N/A,TRUE,"GENERAL";"TAB5",#N/A,TRUE,"GENERAL"}</definedName>
    <definedName name="_i6" hidden="1">{"TAB1",#N/A,TRUE,"GENERAL";"TAB2",#N/A,TRUE,"GENERAL";"TAB3",#N/A,TRUE,"GENERAL";"TAB4",#N/A,TRUE,"GENERAL";"TAB5",#N/A,TRUE,"GENERAL"}</definedName>
    <definedName name="_i7" localSheetId="14"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3" hidden="1">{"via1",#N/A,TRUE,"general";"via2",#N/A,TRUE,"general";"via3",#N/A,TRUE,"general"}</definedName>
    <definedName name="_i7" localSheetId="15" hidden="1">{"via1",#N/A,TRUE,"general";"via2",#N/A,TRUE,"general";"via3",#N/A,TRUE,"general"}</definedName>
    <definedName name="_i7" hidden="1">{"via1",#N/A,TRUE,"general";"via2",#N/A,TRUE,"general";"via3",#N/A,TRUE,"general"}</definedName>
    <definedName name="_i77" localSheetId="14"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3" hidden="1">{"TAB1",#N/A,TRUE,"GENERAL";"TAB2",#N/A,TRUE,"GENERAL";"TAB3",#N/A,TRUE,"GENERAL";"TAB4",#N/A,TRUE,"GENERAL";"TAB5",#N/A,TRUE,"GENERAL"}</definedName>
    <definedName name="_i77" localSheetId="15" hidden="1">{"TAB1",#N/A,TRUE,"GENERAL";"TAB2",#N/A,TRUE,"GENERAL";"TAB3",#N/A,TRUE,"GENERAL";"TAB4",#N/A,TRUE,"GENERAL";"TAB5",#N/A,TRUE,"GENERAL"}</definedName>
    <definedName name="_i77" hidden="1">{"TAB1",#N/A,TRUE,"GENERAL";"TAB2",#N/A,TRUE,"GENERAL";"TAB3",#N/A,TRUE,"GENERAL";"TAB4",#N/A,TRUE,"GENERAL";"TAB5",#N/A,TRUE,"GENERAL"}</definedName>
    <definedName name="_i8" localSheetId="14"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3" hidden="1">{"via1",#N/A,TRUE,"general";"via2",#N/A,TRUE,"general";"via3",#N/A,TRUE,"general"}</definedName>
    <definedName name="_i8" localSheetId="15" hidden="1">{"via1",#N/A,TRUE,"general";"via2",#N/A,TRUE,"general";"via3",#N/A,TRUE,"general"}</definedName>
    <definedName name="_i8" hidden="1">{"via1",#N/A,TRUE,"general";"via2",#N/A,TRUE,"general";"via3",#N/A,TRUE,"general"}</definedName>
    <definedName name="_i9" localSheetId="14"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3" hidden="1">{"TAB1",#N/A,TRUE,"GENERAL";"TAB2",#N/A,TRUE,"GENERAL";"TAB3",#N/A,TRUE,"GENERAL";"TAB4",#N/A,TRUE,"GENERAL";"TAB5",#N/A,TRUE,"GENERAL"}</definedName>
    <definedName name="_i9" localSheetId="15"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#REF!</definedName>
    <definedName name="_ITM4">#REF!</definedName>
    <definedName name="_J" localSheetId="14" hidden="1">{"TAB1",#N/A,TRUE,"GENERAL";"TAB2",#N/A,TRUE,"GENERAL";"TAB3",#N/A,TRUE,"GENERAL";"TAB4",#N/A,TRUE,"GENERAL";"TAB5",#N/A,TRUE,"GENERAL"}</definedName>
    <definedName name="_J" localSheetId="13" hidden="1">{"TAB1",#N/A,TRUE,"GENERAL";"TAB2",#N/A,TRUE,"GENERAL";"TAB3",#N/A,TRUE,"GENERAL";"TAB4",#N/A,TRUE,"GENERAL";"TAB5",#N/A,TRUE,"GENERAL"}</definedName>
    <definedName name="_J" localSheetId="15" hidden="1">{"TAB1",#N/A,TRUE,"GENERAL";"TAB2",#N/A,TRUE,"GENERAL";"TAB3",#N/A,TRUE,"GENERAL";"TAB4",#N/A,TRUE,"GENERAL";"TAB5",#N/A,TRUE,"GENERAL"}</definedName>
    <definedName name="_J" hidden="1">{"TAB1",#N/A,TRUE,"GENERAL";"TAB2",#N/A,TRUE,"GENERAL";"TAB3",#N/A,TRUE,"GENERAL";"TAB4",#N/A,TRUE,"GENERAL";"TAB5",#N/A,TRUE,"GENERAL"}</definedName>
    <definedName name="_k3" localSheetId="14"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3" hidden="1">{"TAB1",#N/A,TRUE,"GENERAL";"TAB2",#N/A,TRUE,"GENERAL";"TAB3",#N/A,TRUE,"GENERAL";"TAB4",#N/A,TRUE,"GENERAL";"TAB5",#N/A,TRUE,"GENERAL"}</definedName>
    <definedName name="_k3" localSheetId="15" hidden="1">{"TAB1",#N/A,TRUE,"GENERAL";"TAB2",#N/A,TRUE,"GENERAL";"TAB3",#N/A,TRUE,"GENERAL";"TAB4",#N/A,TRUE,"GENERAL";"TAB5",#N/A,TRUE,"GENERAL"}</definedName>
    <definedName name="_k3" hidden="1">{"TAB1",#N/A,TRUE,"GENERAL";"TAB2",#N/A,TRUE,"GENERAL";"TAB3",#N/A,TRUE,"GENERAL";"TAB4",#N/A,TRUE,"GENERAL";"TAB5",#N/A,TRUE,"GENERAL"}</definedName>
    <definedName name="_k4" localSheetId="14"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3" hidden="1">{"via1",#N/A,TRUE,"general";"via2",#N/A,TRUE,"general";"via3",#N/A,TRUE,"general"}</definedName>
    <definedName name="_k4" localSheetId="15" hidden="1">{"via1",#N/A,TRUE,"general";"via2",#N/A,TRUE,"general";"via3",#N/A,TRUE,"general"}</definedName>
    <definedName name="_k4" hidden="1">{"via1",#N/A,TRUE,"general";"via2",#N/A,TRUE,"general";"via3",#N/A,TRUE,"general"}</definedName>
    <definedName name="_k5" localSheetId="14"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3" hidden="1">{"via1",#N/A,TRUE,"general";"via2",#N/A,TRUE,"general";"via3",#N/A,TRUE,"general"}</definedName>
    <definedName name="_k5" localSheetId="15" hidden="1">{"via1",#N/A,TRUE,"general";"via2",#N/A,TRUE,"general";"via3",#N/A,TRUE,"general"}</definedName>
    <definedName name="_k5" hidden="1">{"via1",#N/A,TRUE,"general";"via2",#N/A,TRUE,"general";"via3",#N/A,TRUE,"general"}</definedName>
    <definedName name="_k6" localSheetId="14"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3" hidden="1">{"TAB1",#N/A,TRUE,"GENERAL";"TAB2",#N/A,TRUE,"GENERAL";"TAB3",#N/A,TRUE,"GENERAL";"TAB4",#N/A,TRUE,"GENERAL";"TAB5",#N/A,TRUE,"GENERAL"}</definedName>
    <definedName name="_k6" localSheetId="15" hidden="1">{"TAB1",#N/A,TRUE,"GENERAL";"TAB2",#N/A,TRUE,"GENERAL";"TAB3",#N/A,TRUE,"GENERAL";"TAB4",#N/A,TRUE,"GENERAL";"TAB5",#N/A,TRUE,"GENERAL"}</definedName>
    <definedName name="_k6" hidden="1">{"TAB1",#N/A,TRUE,"GENERAL";"TAB2",#N/A,TRUE,"GENERAL";"TAB3",#N/A,TRUE,"GENERAL";"TAB4",#N/A,TRUE,"GENERAL";"TAB5",#N/A,TRUE,"GENERAL"}</definedName>
    <definedName name="_k7" localSheetId="14"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3" hidden="1">{"via1",#N/A,TRUE,"general";"via2",#N/A,TRUE,"general";"via3",#N/A,TRUE,"general"}</definedName>
    <definedName name="_k7" localSheetId="15" hidden="1">{"via1",#N/A,TRUE,"general";"via2",#N/A,TRUE,"general";"via3",#N/A,TRUE,"general"}</definedName>
    <definedName name="_k7" hidden="1">{"via1",#N/A,TRUE,"general";"via2",#N/A,TRUE,"general";"via3",#N/A,TRUE,"general"}</definedName>
    <definedName name="_k8" localSheetId="14"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3" hidden="1">{"via1",#N/A,TRUE,"general";"via2",#N/A,TRUE,"general";"via3",#N/A,TRUE,"general"}</definedName>
    <definedName name="_k8" localSheetId="15" hidden="1">{"via1",#N/A,TRUE,"general";"via2",#N/A,TRUE,"general";"via3",#N/A,TRUE,"general"}</definedName>
    <definedName name="_k8" hidden="1">{"via1",#N/A,TRUE,"general";"via2",#N/A,TRUE,"general";"via3",#N/A,TRUE,"general"}</definedName>
    <definedName name="_k9" localSheetId="14"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3" hidden="1">{"TAB1",#N/A,TRUE,"GENERAL";"TAB2",#N/A,TRUE,"GENERAL";"TAB3",#N/A,TRUE,"GENERAL";"TAB4",#N/A,TRUE,"GENERAL";"TAB5",#N/A,TRUE,"GENERAL"}</definedName>
    <definedName name="_k9" localSheetId="15" hidden="1">{"TAB1",#N/A,TRUE,"GENERAL";"TAB2",#N/A,TRUE,"GENERAL";"TAB3",#N/A,TRUE,"GENERAL";"TAB4",#N/A,TRUE,"GENERAL";"TAB5",#N/A,TRUE,"GENERAL"}</definedName>
    <definedName name="_k9" hidden="1">{"TAB1",#N/A,TRUE,"GENERAL";"TAB2",#N/A,TRUE,"GENERAL";"TAB3",#N/A,TRUE,"GENERAL";"TAB4",#N/A,TRUE,"GENERAL";"TAB5",#N/A,TRUE,"GENERAL"}</definedName>
    <definedName name="_Key1" localSheetId="14" hidden="1">#REF!</definedName>
    <definedName name="_Key1" localSheetId="16" hidden="1">#REF!</definedName>
    <definedName name="_Key1" localSheetId="17" hidden="1">#REF!</definedName>
    <definedName name="_Key1" localSheetId="13" hidden="1">#REF!</definedName>
    <definedName name="_Key1" localSheetId="15" hidden="1">#REF!</definedName>
    <definedName name="_Key1" hidden="1">#REF!</definedName>
    <definedName name="_Key11" hidden="1">[18]INST!#REF!</definedName>
    <definedName name="_Key2" localSheetId="14" hidden="1">#REF!</definedName>
    <definedName name="_Key2" localSheetId="16" hidden="1">#REF!</definedName>
    <definedName name="_Key2" localSheetId="17" hidden="1">#REF!</definedName>
    <definedName name="_Key2" localSheetId="13" hidden="1">#REF!</definedName>
    <definedName name="_Key2" localSheetId="15" hidden="1">#REF!</definedName>
    <definedName name="_Key2" hidden="1">#REF!</definedName>
    <definedName name="_Key21" hidden="1">#REF!</definedName>
    <definedName name="_key3" hidden="1">#REF!</definedName>
    <definedName name="_key31" hidden="1">#REF!</definedName>
    <definedName name="_kjk6" localSheetId="14"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5"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c1">[17]Dimensiones!$F$9</definedName>
    <definedName name="_LAC18">#REF!</definedName>
    <definedName name="_lac2">[17]Dimensiones!$F$12</definedName>
    <definedName name="_lac3">[17]Dimensiones!$F$15</definedName>
    <definedName name="_lac4">[17]Dimensiones!$F$18</definedName>
    <definedName name="_lac5">[17]Dimensiones!$F$21</definedName>
    <definedName name="_lar03">#REF!</definedName>
    <definedName name="_m3" localSheetId="14"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3" hidden="1">{"via1",#N/A,TRUE,"general";"via2",#N/A,TRUE,"general";"via3",#N/A,TRUE,"general"}</definedName>
    <definedName name="_m3" localSheetId="15" hidden="1">{"via1",#N/A,TRUE,"general";"via2",#N/A,TRUE,"general";"via3",#N/A,TRUE,"general"}</definedName>
    <definedName name="_m3" hidden="1">{"via1",#N/A,TRUE,"general";"via2",#N/A,TRUE,"general";"via3",#N/A,TRUE,"general"}</definedName>
    <definedName name="_m4" localSheetId="14"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3" hidden="1">{"TAB1",#N/A,TRUE,"GENERAL";"TAB2",#N/A,TRUE,"GENERAL";"TAB3",#N/A,TRUE,"GENERAL";"TAB4",#N/A,TRUE,"GENERAL";"TAB5",#N/A,TRUE,"GENERAL"}</definedName>
    <definedName name="_m4" localSheetId="15" hidden="1">{"TAB1",#N/A,TRUE,"GENERAL";"TAB2",#N/A,TRUE,"GENERAL";"TAB3",#N/A,TRUE,"GENERAL";"TAB4",#N/A,TRUE,"GENERAL";"TAB5",#N/A,TRUE,"GENERAL"}</definedName>
    <definedName name="_m4" hidden="1">{"TAB1",#N/A,TRUE,"GENERAL";"TAB2",#N/A,TRUE,"GENERAL";"TAB3",#N/A,TRUE,"GENERAL";"TAB4",#N/A,TRUE,"GENERAL";"TAB5",#N/A,TRUE,"GENERAL"}</definedName>
    <definedName name="_m5" localSheetId="14"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3" hidden="1">{"via1",#N/A,TRUE,"general";"via2",#N/A,TRUE,"general";"via3",#N/A,TRUE,"general"}</definedName>
    <definedName name="_m5" localSheetId="15" hidden="1">{"via1",#N/A,TRUE,"general";"via2",#N/A,TRUE,"general";"via3",#N/A,TRUE,"general"}</definedName>
    <definedName name="_m5" hidden="1">{"via1",#N/A,TRUE,"general";"via2",#N/A,TRUE,"general";"via3",#N/A,TRUE,"general"}</definedName>
    <definedName name="_m6" localSheetId="14"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3" hidden="1">{"TAB1",#N/A,TRUE,"GENERAL";"TAB2",#N/A,TRUE,"GENERAL";"TAB3",#N/A,TRUE,"GENERAL";"TAB4",#N/A,TRUE,"GENERAL";"TAB5",#N/A,TRUE,"GENERAL"}</definedName>
    <definedName name="_m6" localSheetId="15" hidden="1">{"TAB1",#N/A,TRUE,"GENERAL";"TAB2",#N/A,TRUE,"GENERAL";"TAB3",#N/A,TRUE,"GENERAL";"TAB4",#N/A,TRUE,"GENERAL";"TAB5",#N/A,TRUE,"GENERAL"}</definedName>
    <definedName name="_m6" hidden="1">{"TAB1",#N/A,TRUE,"GENERAL";"TAB2",#N/A,TRUE,"GENERAL";"TAB3",#N/A,TRUE,"GENERAL";"TAB4",#N/A,TRUE,"GENERAL";"TAB5",#N/A,TRUE,"GENERAL"}</definedName>
    <definedName name="_m7" localSheetId="14"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3" hidden="1">{"TAB1",#N/A,TRUE,"GENERAL";"TAB2",#N/A,TRUE,"GENERAL";"TAB3",#N/A,TRUE,"GENERAL";"TAB4",#N/A,TRUE,"GENERAL";"TAB5",#N/A,TRUE,"GENERAL"}</definedName>
    <definedName name="_m7" localSheetId="15" hidden="1">{"TAB1",#N/A,TRUE,"GENERAL";"TAB2",#N/A,TRUE,"GENERAL";"TAB3",#N/A,TRUE,"GENERAL";"TAB4",#N/A,TRUE,"GENERAL";"TAB5",#N/A,TRUE,"GENERAL"}</definedName>
    <definedName name="_m7" hidden="1">{"TAB1",#N/A,TRUE,"GENERAL";"TAB2",#N/A,TRUE,"GENERAL";"TAB3",#N/A,TRUE,"GENERAL";"TAB4",#N/A,TRUE,"GENERAL";"TAB5",#N/A,TRUE,"GENERAL"}</definedName>
    <definedName name="_m8" localSheetId="14"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3" hidden="1">{"via1",#N/A,TRUE,"general";"via2",#N/A,TRUE,"general";"via3",#N/A,TRUE,"general"}</definedName>
    <definedName name="_m8" localSheetId="15" hidden="1">{"via1",#N/A,TRUE,"general";"via2",#N/A,TRUE,"general";"via3",#N/A,TRUE,"general"}</definedName>
    <definedName name="_m8" hidden="1">{"via1",#N/A,TRUE,"general";"via2",#N/A,TRUE,"general";"via3",#N/A,TRUE,"general"}</definedName>
    <definedName name="_m9" localSheetId="14"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3" hidden="1">{"via1",#N/A,TRUE,"general";"via2",#N/A,TRUE,"general";"via3",#N/A,TRUE,"general"}</definedName>
    <definedName name="_m9" localSheetId="15" hidden="1">{"via1",#N/A,TRUE,"general";"via2",#N/A,TRUE,"general";"via3",#N/A,TRUE,"general"}</definedName>
    <definedName name="_m9" hidden="1">{"via1",#N/A,TRUE,"general";"via2",#N/A,TRUE,"general";"via3",#N/A,TRUE,"general"}</definedName>
    <definedName name="_MA2">#REF!</definedName>
    <definedName name="_MAT1">#REF!</definedName>
    <definedName name="_mdc1">#REF!</definedName>
    <definedName name="_mdc2">#REF!</definedName>
    <definedName name="_mun2">[13]PESOS!#REF!</definedName>
    <definedName name="_n3" localSheetId="14"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3" hidden="1">{"TAB1",#N/A,TRUE,"GENERAL";"TAB2",#N/A,TRUE,"GENERAL";"TAB3",#N/A,TRUE,"GENERAL";"TAB4",#N/A,TRUE,"GENERAL";"TAB5",#N/A,TRUE,"GENERAL"}</definedName>
    <definedName name="_n3" localSheetId="15" hidden="1">{"TAB1",#N/A,TRUE,"GENERAL";"TAB2",#N/A,TRUE,"GENERAL";"TAB3",#N/A,TRUE,"GENERAL";"TAB4",#N/A,TRUE,"GENERAL";"TAB5",#N/A,TRUE,"GENERAL"}</definedName>
    <definedName name="_n3" hidden="1">{"TAB1",#N/A,TRUE,"GENERAL";"TAB2",#N/A,TRUE,"GENERAL";"TAB3",#N/A,TRUE,"GENERAL";"TAB4",#N/A,TRUE,"GENERAL";"TAB5",#N/A,TRUE,"GENERAL"}</definedName>
    <definedName name="_n4" localSheetId="14"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3" hidden="1">{"via1",#N/A,TRUE,"general";"via2",#N/A,TRUE,"general";"via3",#N/A,TRUE,"general"}</definedName>
    <definedName name="_n4" localSheetId="15" hidden="1">{"via1",#N/A,TRUE,"general";"via2",#N/A,TRUE,"general";"via3",#N/A,TRUE,"general"}</definedName>
    <definedName name="_n4" hidden="1">{"via1",#N/A,TRUE,"general";"via2",#N/A,TRUE,"general";"via3",#N/A,TRUE,"general"}</definedName>
    <definedName name="_n5" localSheetId="14"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3" hidden="1">{"TAB1",#N/A,TRUE,"GENERAL";"TAB2",#N/A,TRUE,"GENERAL";"TAB3",#N/A,TRUE,"GENERAL";"TAB4",#N/A,TRUE,"GENERAL";"TAB5",#N/A,TRUE,"GENERAL"}</definedName>
    <definedName name="_n5" localSheetId="15"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4"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3" hidden="1">{"via1",#N/A,TRUE,"general";"via2",#N/A,TRUE,"general";"via3",#N/A,TRUE,"general"}</definedName>
    <definedName name="_nyn7" localSheetId="15" hidden="1">{"via1",#N/A,TRUE,"general";"via2",#N/A,TRUE,"general";"via3",#N/A,TRUE,"general"}</definedName>
    <definedName name="_nyn7" hidden="1">{"via1",#N/A,TRUE,"general";"via2",#N/A,TRUE,"general";"via3",#N/A,TRUE,"general"}</definedName>
    <definedName name="_o4" localSheetId="14"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3" hidden="1">{"via1",#N/A,TRUE,"general";"via2",#N/A,TRUE,"general";"via3",#N/A,TRUE,"general"}</definedName>
    <definedName name="_o4" localSheetId="15" hidden="1">{"via1",#N/A,TRUE,"general";"via2",#N/A,TRUE,"general";"via3",#N/A,TRUE,"general"}</definedName>
    <definedName name="_o4" hidden="1">{"via1",#N/A,TRUE,"general";"via2",#N/A,TRUE,"general";"via3",#N/A,TRUE,"general"}</definedName>
    <definedName name="_o5" localSheetId="14"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3" hidden="1">{"TAB1",#N/A,TRUE,"GENERAL";"TAB2",#N/A,TRUE,"GENERAL";"TAB3",#N/A,TRUE,"GENERAL";"TAB4",#N/A,TRUE,"GENERAL";"TAB5",#N/A,TRUE,"GENERAL"}</definedName>
    <definedName name="_o5" localSheetId="15" hidden="1">{"TAB1",#N/A,TRUE,"GENERAL";"TAB2",#N/A,TRUE,"GENERAL";"TAB3",#N/A,TRUE,"GENERAL";"TAB4",#N/A,TRUE,"GENERAL";"TAB5",#N/A,TRUE,"GENERAL"}</definedName>
    <definedName name="_o5" hidden="1">{"TAB1",#N/A,TRUE,"GENERAL";"TAB2",#N/A,TRUE,"GENERAL";"TAB3",#N/A,TRUE,"GENERAL";"TAB4",#N/A,TRUE,"GENERAL";"TAB5",#N/A,TRUE,"GENERAL"}</definedName>
    <definedName name="_o6" localSheetId="14"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3" hidden="1">{"TAB1",#N/A,TRUE,"GENERAL";"TAB2",#N/A,TRUE,"GENERAL";"TAB3",#N/A,TRUE,"GENERAL";"TAB4",#N/A,TRUE,"GENERAL";"TAB5",#N/A,TRUE,"GENERAL"}</definedName>
    <definedName name="_o6" localSheetId="15" hidden="1">{"TAB1",#N/A,TRUE,"GENERAL";"TAB2",#N/A,TRUE,"GENERAL";"TAB3",#N/A,TRUE,"GENERAL";"TAB4",#N/A,TRUE,"GENERAL";"TAB5",#N/A,TRUE,"GENERAL"}</definedName>
    <definedName name="_o6" hidden="1">{"TAB1",#N/A,TRUE,"GENERAL";"TAB2",#N/A,TRUE,"GENERAL";"TAB3",#N/A,TRUE,"GENERAL";"TAB4",#N/A,TRUE,"GENERAL";"TAB5",#N/A,TRUE,"GENERAL"}</definedName>
    <definedName name="_o7" localSheetId="14"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3" hidden="1">{"TAB1",#N/A,TRUE,"GENERAL";"TAB2",#N/A,TRUE,"GENERAL";"TAB3",#N/A,TRUE,"GENERAL";"TAB4",#N/A,TRUE,"GENERAL";"TAB5",#N/A,TRUE,"GENERAL"}</definedName>
    <definedName name="_o7" localSheetId="15" hidden="1">{"TAB1",#N/A,TRUE,"GENERAL";"TAB2",#N/A,TRUE,"GENERAL";"TAB3",#N/A,TRUE,"GENERAL";"TAB4",#N/A,TRUE,"GENERAL";"TAB5",#N/A,TRUE,"GENERAL"}</definedName>
    <definedName name="_o7" hidden="1">{"TAB1",#N/A,TRUE,"GENERAL";"TAB2",#N/A,TRUE,"GENERAL";"TAB3",#N/A,TRUE,"GENERAL";"TAB4",#N/A,TRUE,"GENERAL";"TAB5",#N/A,TRUE,"GENERAL"}</definedName>
    <definedName name="_o8" localSheetId="14"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3" hidden="1">{"via1",#N/A,TRUE,"general";"via2",#N/A,TRUE,"general";"via3",#N/A,TRUE,"general"}</definedName>
    <definedName name="_o8" localSheetId="15" hidden="1">{"via1",#N/A,TRUE,"general";"via2",#N/A,TRUE,"general";"via3",#N/A,TRUE,"general"}</definedName>
    <definedName name="_o8" hidden="1">{"via1",#N/A,TRUE,"general";"via2",#N/A,TRUE,"general";"via3",#N/A,TRUE,"general"}</definedName>
    <definedName name="_o9" localSheetId="14"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3" hidden="1">{"TAB1",#N/A,TRUE,"GENERAL";"TAB2",#N/A,TRUE,"GENERAL";"TAB3",#N/A,TRUE,"GENERAL";"TAB4",#N/A,TRUE,"GENERAL";"TAB5",#N/A,TRUE,"GENERAL"}</definedName>
    <definedName name="_o9" localSheetId="15" hidden="1">{"TAB1",#N/A,TRUE,"GENERAL";"TAB2",#N/A,TRUE,"GENERAL";"TAB3",#N/A,TRUE,"GENERAL";"TAB4",#N/A,TRUE,"GENERAL";"TAB5",#N/A,TRUE,"GENERAL"}</definedName>
    <definedName name="_o9" hidden="1">{"TAB1",#N/A,TRUE,"GENERAL";"TAB2",#N/A,TRUE,"GENERAL";"TAB3",#N/A,TRUE,"GENERAL";"TAB4",#N/A,TRUE,"GENERAL";"TAB5",#N/A,TRUE,"GENERAL"}</definedName>
    <definedName name="_OB">[19]Otros!$D$14</definedName>
    <definedName name="_OF">[19]Otros!$D$15</definedName>
    <definedName name="_Order1" hidden="1">255</definedName>
    <definedName name="_Order2" localSheetId="16" hidden="1">0</definedName>
    <definedName name="_Order2" localSheetId="17" hidden="1">0</definedName>
    <definedName name="_Order2" hidden="1">255</definedName>
    <definedName name="_p6" localSheetId="14"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3" hidden="1">{"via1",#N/A,TRUE,"general";"via2",#N/A,TRUE,"general";"via3",#N/A,TRUE,"general"}</definedName>
    <definedName name="_p6" localSheetId="15" hidden="1">{"via1",#N/A,TRUE,"general";"via2",#N/A,TRUE,"general";"via3",#N/A,TRUE,"general"}</definedName>
    <definedName name="_p6" hidden="1">{"via1",#N/A,TRUE,"general";"via2",#N/A,TRUE,"general";"via3",#N/A,TRUE,"general"}</definedName>
    <definedName name="_p7" localSheetId="14"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3" hidden="1">{"via1",#N/A,TRUE,"general";"via2",#N/A,TRUE,"general";"via3",#N/A,TRUE,"general"}</definedName>
    <definedName name="_p7" localSheetId="15" hidden="1">{"via1",#N/A,TRUE,"general";"via2",#N/A,TRUE,"general";"via3",#N/A,TRUE,"general"}</definedName>
    <definedName name="_p7" hidden="1">{"via1",#N/A,TRUE,"general";"via2",#N/A,TRUE,"general";"via3",#N/A,TRUE,"general"}</definedName>
    <definedName name="_p8" localSheetId="14"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3" hidden="1">{"TAB1",#N/A,TRUE,"GENERAL";"TAB2",#N/A,TRUE,"GENERAL";"TAB3",#N/A,TRUE,"GENERAL";"TAB4",#N/A,TRUE,"GENERAL";"TAB5",#N/A,TRUE,"GENERAL"}</definedName>
    <definedName name="_p8" localSheetId="15"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L">[19]Otros!$D$17</definedName>
    <definedName name="_Parse_Out" localSheetId="14" hidden="1">#REF!</definedName>
    <definedName name="_Parse_Out" localSheetId="16" hidden="1">#REF!</definedName>
    <definedName name="_Parse_Out" localSheetId="17" hidden="1">#REF!</definedName>
    <definedName name="_Parse_Out" localSheetId="13" hidden="1">#REF!</definedName>
    <definedName name="_Parse_Out" localSheetId="15" hidden="1">#REF!</definedName>
    <definedName name="_Parse_Out" hidden="1">'[20]7422CW00'!#REF!</definedName>
    <definedName name="_PJ50">#REF!</definedName>
    <definedName name="_pj51">#REF!</definedName>
    <definedName name="_Po2" localSheetId="3">#REF!</definedName>
    <definedName name="_Po2" localSheetId="35">#REF!</definedName>
    <definedName name="_Po2">#REF!</definedName>
    <definedName name="_Po3" localSheetId="3">#REF!</definedName>
    <definedName name="_Po3">#REF!</definedName>
    <definedName name="_PRE1">#REF!</definedName>
    <definedName name="_r" localSheetId="14"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3" hidden="1">{"TAB1",#N/A,TRUE,"GENERAL";"TAB2",#N/A,TRUE,"GENERAL";"TAB3",#N/A,TRUE,"GENERAL";"TAB4",#N/A,TRUE,"GENERAL";"TAB5",#N/A,TRUE,"GENERAL"}</definedName>
    <definedName name="_r" localSheetId="15" hidden="1">{"TAB1",#N/A,TRUE,"GENERAL";"TAB2",#N/A,TRUE,"GENERAL";"TAB3",#N/A,TRUE,"GENERAL";"TAB4",#N/A,TRUE,"GENERAL";"TAB5",#N/A,TRUE,"GENERAL"}</definedName>
    <definedName name="_r">#REF!</definedName>
    <definedName name="_R1210JH">#REF!</definedName>
    <definedName name="_R32EL">#REF!</definedName>
    <definedName name="_R32JH" localSheetId="3">#REF!</definedName>
    <definedName name="_R32JH" localSheetId="30">#REF!</definedName>
    <definedName name="_R32JH" localSheetId="31">#REF!</definedName>
    <definedName name="_R32JH" localSheetId="35">#REF!</definedName>
    <definedName name="_R32JH" localSheetId="29">#REF!</definedName>
    <definedName name="_R32JH">#REF!</definedName>
    <definedName name="_R42JH">#REF!</definedName>
    <definedName name="_R43JH">#REF!</definedName>
    <definedName name="_r4r" localSheetId="14"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3" hidden="1">{"via1",#N/A,TRUE,"general";"via2",#N/A,TRUE,"general";"via3",#N/A,TRUE,"general"}</definedName>
    <definedName name="_r4r" localSheetId="15"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 localSheetId="3">#REF!</definedName>
    <definedName name="_R64JH" localSheetId="30">#REF!</definedName>
    <definedName name="_R64JH" localSheetId="31">#REF!</definedName>
    <definedName name="_R64JH" localSheetId="35">#REF!</definedName>
    <definedName name="_R64JH" localSheetId="29">#REF!</definedName>
    <definedName name="_R64JH">#REF!</definedName>
    <definedName name="_R83JH">#REF!</definedName>
    <definedName name="_R84JH">#REF!</definedName>
    <definedName name="_R86JH">#REF!</definedName>
    <definedName name="_RAS">[19]Otros!$D$18</definedName>
    <definedName name="_rc">#REF!</definedName>
    <definedName name="_RED32">#REF!</definedName>
    <definedName name="_ref4">#REF!</definedName>
    <definedName name="_Regression_Int" hidden="1">1</definedName>
    <definedName name="_REP21">#REF!</definedName>
    <definedName name="_REP42">#REF!</definedName>
    <definedName name="_REP43">#REF!</definedName>
    <definedName name="_RES64">#REF!</definedName>
    <definedName name="_rtu6" localSheetId="14"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3" hidden="1">{"via1",#N/A,TRUE,"general";"via2",#N/A,TRUE,"general";"via3",#N/A,TRUE,"general"}</definedName>
    <definedName name="_rtu6" localSheetId="15" hidden="1">{"via1",#N/A,TRUE,"general";"via2",#N/A,TRUE,"general";"via3",#N/A,TRUE,"general"}</definedName>
    <definedName name="_rtu6" hidden="1">{"via1",#N/A,TRUE,"general";"via2",#N/A,TRUE,"general";"via3",#N/A,TRUE,"general"}</definedName>
    <definedName name="_s" localSheetId="14" hidden="1">#REF!</definedName>
    <definedName name="_s" localSheetId="13" hidden="1">#REF!</definedName>
    <definedName name="_s" localSheetId="15" hidden="1">#REF!</definedName>
    <definedName name="_s" hidden="1">#REF!</definedName>
    <definedName name="_s1" localSheetId="14"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3" hidden="1">{"via1",#N/A,TRUE,"general";"via2",#N/A,TRUE,"general";"via3",#N/A,TRUE,"general"}</definedName>
    <definedName name="_s1" localSheetId="15" hidden="1">{"via1",#N/A,TRUE,"general";"via2",#N/A,TRUE,"general";"via3",#N/A,TRUE,"general"}</definedName>
    <definedName name="_s1" hidden="1">{"via1",#N/A,TRUE,"general";"via2",#N/A,TRUE,"general";"via3",#N/A,TRUE,"general"}</definedName>
    <definedName name="_s2" localSheetId="14"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3" hidden="1">{"TAB1",#N/A,TRUE,"GENERAL";"TAB2",#N/A,TRUE,"GENERAL";"TAB3",#N/A,TRUE,"GENERAL";"TAB4",#N/A,TRUE,"GENERAL";"TAB5",#N/A,TRUE,"GENERAL"}</definedName>
    <definedName name="_s2" localSheetId="15" hidden="1">{"TAB1",#N/A,TRUE,"GENERAL";"TAB2",#N/A,TRUE,"GENERAL";"TAB3",#N/A,TRUE,"GENERAL";"TAB4",#N/A,TRUE,"GENERAL";"TAB5",#N/A,TRUE,"GENERAL"}</definedName>
    <definedName name="_s2" hidden="1">{"TAB1",#N/A,TRUE,"GENERAL";"TAB2",#N/A,TRUE,"GENERAL";"TAB3",#N/A,TRUE,"GENERAL";"TAB4",#N/A,TRUE,"GENERAL";"TAB5",#N/A,TRUE,"GENERAL"}</definedName>
    <definedName name="_s3" localSheetId="14"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3" hidden="1">{"TAB1",#N/A,TRUE,"GENERAL";"TAB2",#N/A,TRUE,"GENERAL";"TAB3",#N/A,TRUE,"GENERAL";"TAB4",#N/A,TRUE,"GENERAL";"TAB5",#N/A,TRUE,"GENERAL"}</definedName>
    <definedName name="_s3" localSheetId="15" hidden="1">{"TAB1",#N/A,TRUE,"GENERAL";"TAB2",#N/A,TRUE,"GENERAL";"TAB3",#N/A,TRUE,"GENERAL";"TAB4",#N/A,TRUE,"GENERAL";"TAB5",#N/A,TRUE,"GENERAL"}</definedName>
    <definedName name="_s3" hidden="1">{"TAB1",#N/A,TRUE,"GENERAL";"TAB2",#N/A,TRUE,"GENERAL";"TAB3",#N/A,TRUE,"GENERAL";"TAB4",#N/A,TRUE,"GENERAL";"TAB5",#N/A,TRUE,"GENERAL"}</definedName>
    <definedName name="_s4" localSheetId="14"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3" hidden="1">{"via1",#N/A,TRUE,"general";"via2",#N/A,TRUE,"general";"via3",#N/A,TRUE,"general"}</definedName>
    <definedName name="_s4" localSheetId="15" hidden="1">{"via1",#N/A,TRUE,"general";"via2",#N/A,TRUE,"general";"via3",#N/A,TRUE,"general"}</definedName>
    <definedName name="_s4" hidden="1">{"via1",#N/A,TRUE,"general";"via2",#N/A,TRUE,"general";"via3",#N/A,TRUE,"general"}</definedName>
    <definedName name="_s5" localSheetId="14"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3" hidden="1">{"via1",#N/A,TRUE,"general";"via2",#N/A,TRUE,"general";"via3",#N/A,TRUE,"general"}</definedName>
    <definedName name="_s5" localSheetId="15" hidden="1">{"via1",#N/A,TRUE,"general";"via2",#N/A,TRUE,"general";"via3",#N/A,TRUE,"general"}</definedName>
    <definedName name="_s5" hidden="1">{"via1",#N/A,TRUE,"general";"via2",#N/A,TRUE,"general";"via3",#N/A,TRUE,"general"}</definedName>
    <definedName name="_s6" localSheetId="14"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3" hidden="1">{"TAB1",#N/A,TRUE,"GENERAL";"TAB2",#N/A,TRUE,"GENERAL";"TAB3",#N/A,TRUE,"GENERAL";"TAB4",#N/A,TRUE,"GENERAL";"TAB5",#N/A,TRUE,"GENERAL"}</definedName>
    <definedName name="_s6" localSheetId="15" hidden="1">{"TAB1",#N/A,TRUE,"GENERAL";"TAB2",#N/A,TRUE,"GENERAL";"TAB3",#N/A,TRUE,"GENERAL";"TAB4",#N/A,TRUE,"GENERAL";"TAB5",#N/A,TRUE,"GENERAL"}</definedName>
    <definedName name="_s6" hidden="1">{"TAB1",#N/A,TRUE,"GENERAL";"TAB2",#N/A,TRUE,"GENERAL";"TAB3",#N/A,TRUE,"GENERAL";"TAB4",#N/A,TRUE,"GENERAL";"TAB5",#N/A,TRUE,"GENERAL"}</definedName>
    <definedName name="_s7" localSheetId="14"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3" hidden="1">{"via1",#N/A,TRUE,"general";"via2",#N/A,TRUE,"general";"via3",#N/A,TRUE,"general"}</definedName>
    <definedName name="_s7" localSheetId="15"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MMLV">PREST!$D$16</definedName>
    <definedName name="_Sort" localSheetId="14" hidden="1">#REF!</definedName>
    <definedName name="_Sort" localSheetId="16" hidden="1">#REF!</definedName>
    <definedName name="_Sort" localSheetId="17" hidden="1">#REF!</definedName>
    <definedName name="_Sort" localSheetId="13" hidden="1">#REF!</definedName>
    <definedName name="_Sort" localSheetId="15" hidden="1">#REF!</definedName>
    <definedName name="_Sort" hidden="1">#REF!</definedName>
    <definedName name="_Sort1" localSheetId="14" hidden="1">#REF!</definedName>
    <definedName name="_Sort1" localSheetId="13" hidden="1">#REF!</definedName>
    <definedName name="_Sort1" localSheetId="15" hidden="1">#REF!</definedName>
    <definedName name="_Sort1" hidden="1">#REF!</definedName>
    <definedName name="_srn001">#REF!</definedName>
    <definedName name="_ST106" localSheetId="3">#REF!</definedName>
    <definedName name="_ST106" localSheetId="30">#REF!</definedName>
    <definedName name="_ST106" localSheetId="31">#REF!</definedName>
    <definedName name="_ST106" localSheetId="29">#REF!</definedName>
    <definedName name="_ST106">#REF!</definedName>
    <definedName name="_ST126" localSheetId="3">#REF!</definedName>
    <definedName name="_ST126" localSheetId="30">#REF!</definedName>
    <definedName name="_ST126" localSheetId="31">#REF!</definedName>
    <definedName name="_ST126" localSheetId="29">#REF!</definedName>
    <definedName name="_ST126">#REF!</definedName>
    <definedName name="_ST146">#REF!</definedName>
    <definedName name="_ST166">#REF!</definedName>
    <definedName name="_ST186" localSheetId="3">#REF!</definedName>
    <definedName name="_ST186" localSheetId="30">#REF!</definedName>
    <definedName name="_ST186" localSheetId="31">#REF!</definedName>
    <definedName name="_ST186" localSheetId="29">#REF!</definedName>
    <definedName name="_ST186">#REF!</definedName>
    <definedName name="_ST206" localSheetId="3">#REF!</definedName>
    <definedName name="_ST206" localSheetId="30">#REF!</definedName>
    <definedName name="_ST206" localSheetId="31">#REF!</definedName>
    <definedName name="_ST206" localSheetId="29">#REF!</definedName>
    <definedName name="_ST206">#REF!</definedName>
    <definedName name="_ST246" localSheetId="3">#REF!</definedName>
    <definedName name="_ST246" localSheetId="30">#REF!</definedName>
    <definedName name="_ST246" localSheetId="31">#REF!</definedName>
    <definedName name="_ST246" localSheetId="29">#REF!</definedName>
    <definedName name="_ST246">#REF!</definedName>
    <definedName name="_ST86" localSheetId="3">#REF!</definedName>
    <definedName name="_ST86" localSheetId="30">#REF!</definedName>
    <definedName name="_ST86" localSheetId="31">#REF!</definedName>
    <definedName name="_ST86" localSheetId="29">#REF!</definedName>
    <definedName name="_ST86">#REF!</definedName>
    <definedName name="_STP146" localSheetId="3">#REF!</definedName>
    <definedName name="_STP146" localSheetId="30">#REF!</definedName>
    <definedName name="_STP146" localSheetId="31">#REF!</definedName>
    <definedName name="_STP146" localSheetId="29">#REF!</definedName>
    <definedName name="_STP146">#REF!</definedName>
    <definedName name="_SY104">#REF!</definedName>
    <definedName name="_SY106" localSheetId="3">#REF!</definedName>
    <definedName name="_SY106" localSheetId="30">#REF!</definedName>
    <definedName name="_SY106" localSheetId="31">#REF!</definedName>
    <definedName name="_SY106" localSheetId="29">#REF!</definedName>
    <definedName name="_SY106">#REF!</definedName>
    <definedName name="_SY124">#REF!</definedName>
    <definedName name="_SY126">#REF!</definedName>
    <definedName name="_SY146" localSheetId="3">#REF!</definedName>
    <definedName name="_SY146" localSheetId="30">#REF!</definedName>
    <definedName name="_SY146" localSheetId="31">#REF!</definedName>
    <definedName name="_SY146" localSheetId="29">#REF!</definedName>
    <definedName name="_SY146">#REF!</definedName>
    <definedName name="_SY164">#REF!</definedName>
    <definedName name="_SY166">#REF!</definedName>
    <definedName name="_SY186">#REF!</definedName>
    <definedName name="_SY206">#REF!</definedName>
    <definedName name="_SY64">#REF!</definedName>
    <definedName name="_SY84">#REF!</definedName>
    <definedName name="_SY86" localSheetId="3">#REF!</definedName>
    <definedName name="_SY86" localSheetId="30">#REF!</definedName>
    <definedName name="_SY86" localSheetId="31">#REF!</definedName>
    <definedName name="_SY86" localSheetId="29">#REF!</definedName>
    <definedName name="_SY86">#REF!</definedName>
    <definedName name="_T22JH">#REF!</definedName>
    <definedName name="_t3" localSheetId="14"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3" hidden="1">{"TAB1",#N/A,TRUE,"GENERAL";"TAB2",#N/A,TRUE,"GENERAL";"TAB3",#N/A,TRUE,"GENERAL";"TAB4",#N/A,TRUE,"GENERAL";"TAB5",#N/A,TRUE,"GENERAL"}</definedName>
    <definedName name="_t3" localSheetId="15" hidden="1">{"TAB1",#N/A,TRUE,"GENERAL";"TAB2",#N/A,TRUE,"GENERAL";"TAB3",#N/A,TRUE,"GENERAL";"TAB4",#N/A,TRUE,"GENERAL";"TAB5",#N/A,TRUE,"GENERAL"}</definedName>
    <definedName name="_t3" hidden="1">{"TAB1",#N/A,TRUE,"GENERAL";"TAB2",#N/A,TRUE,"GENERAL";"TAB3",#N/A,TRUE,"GENERAL";"TAB4",#N/A,TRUE,"GENERAL";"TAB5",#N/A,TRUE,"GENERAL"}</definedName>
    <definedName name="_T32JH">#REF!</definedName>
    <definedName name="_T33JH">#REF!</definedName>
    <definedName name="_t4" localSheetId="14"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3" hidden="1">{"via1",#N/A,TRUE,"general";"via2",#N/A,TRUE,"general";"via3",#N/A,TRUE,"general"}</definedName>
    <definedName name="_t4" localSheetId="15" hidden="1">{"via1",#N/A,TRUE,"general";"via2",#N/A,TRUE,"general";"via3",#N/A,TRUE,"general"}</definedName>
    <definedName name="_t4" hidden="1">{"via1",#N/A,TRUE,"general";"via2",#N/A,TRUE,"general";"via3",#N/A,TRUE,"general"}</definedName>
    <definedName name="_T42JH">#REF!</definedName>
    <definedName name="_T43JH">#REF!</definedName>
    <definedName name="_T44JH">#REF!</definedName>
    <definedName name="_t5" localSheetId="14"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3" hidden="1">{"TAB1",#N/A,TRUE,"GENERAL";"TAB2",#N/A,TRUE,"GENERAL";"TAB3",#N/A,TRUE,"GENERAL";"TAB4",#N/A,TRUE,"GENERAL";"TAB5",#N/A,TRUE,"GENERAL"}</definedName>
    <definedName name="_t5" localSheetId="15" hidden="1">{"TAB1",#N/A,TRUE,"GENERAL";"TAB2",#N/A,TRUE,"GENERAL";"TAB3",#N/A,TRUE,"GENERAL";"TAB4",#N/A,TRUE,"GENERAL";"TAB5",#N/A,TRUE,"GENERAL"}</definedName>
    <definedName name="_t5" hidden="1">{"TAB1",#N/A,TRUE,"GENERAL";"TAB2",#N/A,TRUE,"GENERAL";"TAB3",#N/A,TRUE,"GENERAL";"TAB4",#N/A,TRUE,"GENERAL";"TAB5",#N/A,TRUE,"GENERAL"}</definedName>
    <definedName name="_t6" localSheetId="14"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3" hidden="1">{"via1",#N/A,TRUE,"general";"via2",#N/A,TRUE,"general";"via3",#N/A,TRUE,"general"}</definedName>
    <definedName name="_t6" localSheetId="15" hidden="1">{"via1",#N/A,TRUE,"general";"via2",#N/A,TRUE,"general";"via3",#N/A,TRUE,"general"}</definedName>
    <definedName name="_t6" hidden="1">{"via1",#N/A,TRUE,"general";"via2",#N/A,TRUE,"general";"via3",#N/A,TRUE,"general"}</definedName>
    <definedName name="_T62JH">#REF!</definedName>
    <definedName name="_t66" localSheetId="14"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3" hidden="1">{"TAB1",#N/A,TRUE,"GENERAL";"TAB2",#N/A,TRUE,"GENERAL";"TAB3",#N/A,TRUE,"GENERAL";"TAB4",#N/A,TRUE,"GENERAL";"TAB5",#N/A,TRUE,"GENERAL"}</definedName>
    <definedName name="_t66" localSheetId="15" hidden="1">{"TAB1",#N/A,TRUE,"GENERAL";"TAB2",#N/A,TRUE,"GENERAL";"TAB3",#N/A,TRUE,"GENERAL";"TAB4",#N/A,TRUE,"GENERAL";"TAB5",#N/A,TRUE,"GENERAL"}</definedName>
    <definedName name="_t66" hidden="1">{"TAB1",#N/A,TRUE,"GENERAL";"TAB2",#N/A,TRUE,"GENERAL";"TAB3",#N/A,TRUE,"GENERAL";"TAB4",#N/A,TRUE,"GENERAL";"TAB5",#N/A,TRUE,"GENERAL"}</definedName>
    <definedName name="_t7" localSheetId="14"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3" hidden="1">{"via1",#N/A,TRUE,"general";"via2",#N/A,TRUE,"general";"via3",#N/A,TRUE,"general"}</definedName>
    <definedName name="_t7" localSheetId="15" hidden="1">{"via1",#N/A,TRUE,"general";"via2",#N/A,TRUE,"general";"via3",#N/A,TRUE,"general"}</definedName>
    <definedName name="_t7" hidden="1">{"via1",#N/A,TRUE,"general";"via2",#N/A,TRUE,"general";"via3",#N/A,TRUE,"general"}</definedName>
    <definedName name="_t77" localSheetId="14"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3" hidden="1">{"TAB1",#N/A,TRUE,"GENERAL";"TAB2",#N/A,TRUE,"GENERAL";"TAB3",#N/A,TRUE,"GENERAL";"TAB4",#N/A,TRUE,"GENERAL";"TAB5",#N/A,TRUE,"GENERAL"}</definedName>
    <definedName name="_t77" localSheetId="15" hidden="1">{"TAB1",#N/A,TRUE,"GENERAL";"TAB2",#N/A,TRUE,"GENERAL";"TAB3",#N/A,TRUE,"GENERAL";"TAB4",#N/A,TRUE,"GENERAL";"TAB5",#N/A,TRUE,"GENERAL"}</definedName>
    <definedName name="_t77" hidden="1">{"TAB1",#N/A,TRUE,"GENERAL";"TAB2",#N/A,TRUE,"GENERAL";"TAB3",#N/A,TRUE,"GENERAL";"TAB4",#N/A,TRUE,"GENERAL";"TAB5",#N/A,TRUE,"GENERAL"}</definedName>
    <definedName name="_t8" localSheetId="14"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3" hidden="1">{"TAB1",#N/A,TRUE,"GENERAL";"TAB2",#N/A,TRUE,"GENERAL";"TAB3",#N/A,TRUE,"GENERAL";"TAB4",#N/A,TRUE,"GENERAL";"TAB5",#N/A,TRUE,"GENERAL"}</definedName>
    <definedName name="_t8" localSheetId="15" hidden="1">{"TAB1",#N/A,TRUE,"GENERAL";"TAB2",#N/A,TRUE,"GENERAL";"TAB3",#N/A,TRUE,"GENERAL";"TAB4",#N/A,TRUE,"GENERAL";"TAB5",#N/A,TRUE,"GENERAL"}</definedName>
    <definedName name="_t8" hidden="1">{"TAB1",#N/A,TRUE,"GENERAL";"TAB2",#N/A,TRUE,"GENERAL";"TAB3",#N/A,TRUE,"GENERAL";"TAB4",#N/A,TRUE,"GENERAL";"TAB5",#N/A,TRUE,"GENERAL"}</definedName>
    <definedName name="_t88" localSheetId="14"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3" hidden="1">{"via1",#N/A,TRUE,"general";"via2",#N/A,TRUE,"general";"via3",#N/A,TRUE,"general"}</definedName>
    <definedName name="_t88" localSheetId="15" hidden="1">{"via1",#N/A,TRUE,"general";"via2",#N/A,TRUE,"general";"via3",#N/A,TRUE,"general"}</definedName>
    <definedName name="_t88" hidden="1">{"via1",#N/A,TRUE,"general";"via2",#N/A,TRUE,"general";"via3",#N/A,TRUE,"general"}</definedName>
    <definedName name="_t9" localSheetId="14"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3" hidden="1">{"TAB1",#N/A,TRUE,"GENERAL";"TAB2",#N/A,TRUE,"GENERAL";"TAB3",#N/A,TRUE,"GENERAL";"TAB4",#N/A,TRUE,"GENERAL";"TAB5",#N/A,TRUE,"GENERAL"}</definedName>
    <definedName name="_t9" localSheetId="15" hidden="1">{"TAB1",#N/A,TRUE,"GENERAL";"TAB2",#N/A,TRUE,"GENERAL";"TAB3",#N/A,TRUE,"GENERAL";"TAB4",#N/A,TRUE,"GENERAL";"TAB5",#N/A,TRUE,"GENERAL"}</definedName>
    <definedName name="_t9" hidden="1">{"TAB1",#N/A,TRUE,"GENERAL";"TAB2",#N/A,TRUE,"GENERAL";"TAB3",#N/A,TRUE,"GENERAL";"TAB4",#N/A,TRUE,"GENERAL";"TAB5",#N/A,TRUE,"GENERAL"}</definedName>
    <definedName name="_t99" localSheetId="14"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3" hidden="1">{"via1",#N/A,TRUE,"general";"via2",#N/A,TRUE,"general";"via3",#N/A,TRUE,"general"}</definedName>
    <definedName name="_t99" localSheetId="15" hidden="1">{"via1",#N/A,TRUE,"general";"via2",#N/A,TRUE,"general";"via3",#N/A,TRUE,"general"}</definedName>
    <definedName name="_t99" hidden="1">{"via1",#N/A,TRUE,"general";"via2",#N/A,TRUE,"general";"via3",#N/A,TRUE,"general"}</definedName>
    <definedName name="_TA1">[7]DATBAND!$L$3:$L$652</definedName>
    <definedName name="_TA2">[7]DATBAND!$M$3:$M$570</definedName>
    <definedName name="_TA3">[7]DATBAND!$N$3:$N$446</definedName>
    <definedName name="_TA4">[7]DATBAND!$O$3:$O$678</definedName>
    <definedName name="_TA5">[7]DATBAND!$P$3:$P$601</definedName>
    <definedName name="_TA6">[7]DATBAND!$Q$3:$Q$531</definedName>
    <definedName name="_TA7">[7]DATBAND!$R$3:$R$504</definedName>
    <definedName name="_TA8">[7]DATBAND!$S$3:$S$674</definedName>
    <definedName name="_TA9">[7]DATBAND!$T$3:$T$544</definedName>
    <definedName name="_TABLA">#REF!</definedName>
    <definedName name="_Table1_Out" localSheetId="3" hidden="1">#REF!</definedName>
    <definedName name="_Table1_Out" hidden="1">#REF!</definedName>
    <definedName name="_Table2_In2" localSheetId="3" hidden="1">#REF!</definedName>
    <definedName name="_Table2_In2" hidden="1">#REF!</definedName>
    <definedName name="_Table2_Out" localSheetId="3" hidden="1">#REF!</definedName>
    <definedName name="_Table2_Out" hidden="1">#REF!</definedName>
    <definedName name="_TACOM">#REF!</definedName>
    <definedName name="_TACOR">#REF!</definedName>
    <definedName name="_TAP2">#REF!</definedName>
    <definedName name="_TAPAM">#REF!</definedName>
    <definedName name="_TASP1">#REF!</definedName>
    <definedName name="_TASP2">#REF!</definedName>
    <definedName name="_TEE1">#REF!</definedName>
    <definedName name="_TEE2">#REF!</definedName>
    <definedName name="_TEE32">#REF!</definedName>
    <definedName name="_TEE33">#REF!</definedName>
    <definedName name="_TEJAB">#REF!</definedName>
    <definedName name="_TEJAJ">#REF!</definedName>
    <definedName name="_TELEP">#REF!</definedName>
    <definedName name="_TEP22" localSheetId="3">#REF!</definedName>
    <definedName name="_TEP22" localSheetId="30">#REF!</definedName>
    <definedName name="_TEP22" localSheetId="31">#REF!</definedName>
    <definedName name="_TEP22" localSheetId="29">#REF!</definedName>
    <definedName name="_TEP22">#REF!</definedName>
    <definedName name="_TEP33">#REF!</definedName>
    <definedName name="_TEP44">#REF!</definedName>
    <definedName name="_TES44">#REF!</definedName>
    <definedName name="_TES64">#REF!</definedName>
    <definedName name="_TES66">#REF!</definedName>
    <definedName name="_TGALV">#REF!</definedName>
    <definedName name="_THF12" localSheetId="3">#REF!</definedName>
    <definedName name="_THF12" localSheetId="30">#REF!</definedName>
    <definedName name="_THF12" localSheetId="31">#REF!</definedName>
    <definedName name="_THF12" localSheetId="35">#REF!</definedName>
    <definedName name="_THF12" localSheetId="29">#REF!</definedName>
    <definedName name="_THF12">#REF!</definedName>
    <definedName name="_THF128" localSheetId="3">#REF!</definedName>
    <definedName name="_THF128" localSheetId="30">#REF!</definedName>
    <definedName name="_THF128" localSheetId="31">#REF!</definedName>
    <definedName name="_THF128" localSheetId="29">#REF!</definedName>
    <definedName name="_THF128">#REF!</definedName>
    <definedName name="_TNL24">#REF!</definedName>
    <definedName name="_TNL27" localSheetId="3">#REF!</definedName>
    <definedName name="_TNL27" localSheetId="30">#REF!</definedName>
    <definedName name="_TNL27" localSheetId="31">#REF!</definedName>
    <definedName name="_TNL27" localSheetId="29">#REF!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#REF!</definedName>
    <definedName name="_TNOV12">#REF!</definedName>
    <definedName name="_TNOV16">#REF!</definedName>
    <definedName name="_TNOV18">#REF!</definedName>
    <definedName name="_TNOV20">#REF!</definedName>
    <definedName name="_TNOV6">#REF!</definedName>
    <definedName name="_TNOV8">#REF!</definedName>
    <definedName name="_TNV24">#REF!</definedName>
    <definedName name="_TORNI">#REF!</definedName>
    <definedName name="_TPE1132" localSheetId="3">#REF!</definedName>
    <definedName name="_TPE1132" localSheetId="30">#REF!</definedName>
    <definedName name="_TPE1132" localSheetId="31">#REF!</definedName>
    <definedName name="_TPE1132" localSheetId="35">#REF!</definedName>
    <definedName name="_TPE1132" localSheetId="29">#REF!</definedName>
    <definedName name="_TPE1132">#REF!</definedName>
    <definedName name="_TPE12" localSheetId="3">#REF!</definedName>
    <definedName name="_TPE12" localSheetId="30">#REF!</definedName>
    <definedName name="_TPE12" localSheetId="31">#REF!</definedName>
    <definedName name="_TPE12" localSheetId="29">#REF!</definedName>
    <definedName name="_TPE12">#REF!</definedName>
    <definedName name="_TPE1331" localSheetId="3">#REF!</definedName>
    <definedName name="_TPE1331" localSheetId="30">#REF!</definedName>
    <definedName name="_TPE1331" localSheetId="31">#REF!</definedName>
    <definedName name="_TPE1331" localSheetId="35">#REF!</definedName>
    <definedName name="_TPE1331" localSheetId="29">#REF!</definedName>
    <definedName name="_TPE1331">#REF!</definedName>
    <definedName name="_TPE1701">#REF!</definedName>
    <definedName name="_TPE1702" localSheetId="3">#REF!</definedName>
    <definedName name="_TPE1702" localSheetId="30">#REF!</definedName>
    <definedName name="_TPE1702" localSheetId="31">#REF!</definedName>
    <definedName name="_TPE1702" localSheetId="35">#REF!</definedName>
    <definedName name="_TPE1702" localSheetId="29">#REF!</definedName>
    <definedName name="_TPE1702">#REF!</definedName>
    <definedName name="_TPE1703" localSheetId="3">#REF!</definedName>
    <definedName name="_TPE1703" localSheetId="30">#REF!</definedName>
    <definedName name="_TPE1703" localSheetId="31">#REF!</definedName>
    <definedName name="_TPE1703" localSheetId="35">#REF!</definedName>
    <definedName name="_TPE1703" localSheetId="29">#REF!</definedName>
    <definedName name="_TPE1703">#REF!</definedName>
    <definedName name="_TPE1704" localSheetId="3">#REF!</definedName>
    <definedName name="_TPE1704" localSheetId="30">#REF!</definedName>
    <definedName name="_TPE1704" localSheetId="31">#REF!</definedName>
    <definedName name="_TPE1704" localSheetId="35">#REF!</definedName>
    <definedName name="_TPE1704" localSheetId="29">#REF!</definedName>
    <definedName name="_TPE1704">#REF!</definedName>
    <definedName name="_TPE1706" localSheetId="3">#REF!</definedName>
    <definedName name="_TPE1706" localSheetId="30">#REF!</definedName>
    <definedName name="_TPE1706" localSheetId="31">#REF!</definedName>
    <definedName name="_TPE1706" localSheetId="35">#REF!</definedName>
    <definedName name="_TPE1706" localSheetId="29">#REF!</definedName>
    <definedName name="_TPE1706">#REF!</definedName>
    <definedName name="_TPE1708" localSheetId="3">#REF!</definedName>
    <definedName name="_TPE1708" localSheetId="30">#REF!</definedName>
    <definedName name="_TPE1708" localSheetId="31">#REF!</definedName>
    <definedName name="_TPE1708" localSheetId="35">#REF!</definedName>
    <definedName name="_TPE1708" localSheetId="29">#REF!</definedName>
    <definedName name="_TPE1708">#REF!</definedName>
    <definedName name="_TPE1710" localSheetId="3">#REF!</definedName>
    <definedName name="_TPE1710" localSheetId="30">#REF!</definedName>
    <definedName name="_TPE1710" localSheetId="31">#REF!</definedName>
    <definedName name="_TPE1710" localSheetId="35">#REF!</definedName>
    <definedName name="_TPE1710" localSheetId="29">#REF!</definedName>
    <definedName name="_TPE1710">#REF!</definedName>
    <definedName name="_TPE1735" localSheetId="3">#REF!</definedName>
    <definedName name="_TPE1735" localSheetId="30">#REF!</definedName>
    <definedName name="_TPE1735" localSheetId="31">#REF!</definedName>
    <definedName name="_TPE1735" localSheetId="35">#REF!</definedName>
    <definedName name="_TPE1735" localSheetId="29">#REF!</definedName>
    <definedName name="_TPE1735">#REF!</definedName>
    <definedName name="_TPE1763" localSheetId="3">#REF!</definedName>
    <definedName name="_TPE1763" localSheetId="30">#REF!</definedName>
    <definedName name="_TPE1763" localSheetId="31">#REF!</definedName>
    <definedName name="_TPE1763" localSheetId="35">#REF!</definedName>
    <definedName name="_TPE1763" localSheetId="29">#REF!</definedName>
    <definedName name="_TPE1763">#REF!</definedName>
    <definedName name="_TPE1790" localSheetId="3">#REF!</definedName>
    <definedName name="_TPE1790" localSheetId="30">#REF!</definedName>
    <definedName name="_TPE1790" localSheetId="31">#REF!</definedName>
    <definedName name="_TPE1790" localSheetId="35">#REF!</definedName>
    <definedName name="_TPE1790" localSheetId="29">#REF!</definedName>
    <definedName name="_TPE1790">#REF!</definedName>
    <definedName name="_TPE8016">#REF!</definedName>
    <definedName name="_TPE8020">#REF!</definedName>
    <definedName name="_TPE8025">#REF!</definedName>
    <definedName name="_TPF12" localSheetId="3">#REF!</definedName>
    <definedName name="_TPF12" localSheetId="30">#REF!</definedName>
    <definedName name="_TPF12" localSheetId="31">#REF!</definedName>
    <definedName name="_TPF12" localSheetId="29">#REF!</definedName>
    <definedName name="_TPF12">#REF!</definedName>
    <definedName name="_TPN1002">#REF!</definedName>
    <definedName name="_TPN1003">#REF!</definedName>
    <definedName name="_TPN1004">#REF!</definedName>
    <definedName name="_TPN1006">#REF!</definedName>
    <definedName name="_TPN10075">#REF!</definedName>
    <definedName name="_TPN1008">#REF!</definedName>
    <definedName name="_TPN1010">#REF!</definedName>
    <definedName name="_TPN1012">#REF!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N1611">#REF!</definedName>
    <definedName name="_TPN2096">#REF!</definedName>
    <definedName name="_TPVCME">#REF!</definedName>
    <definedName name="_TPVCP1">#REF!</definedName>
    <definedName name="_TR114">#REF!</definedName>
    <definedName name="_TRANAG">#REF!</definedName>
    <definedName name="_TRANAR">#REF!</definedName>
    <definedName name="_TRANS">#REF!</definedName>
    <definedName name="_TRITM">#REF!</definedName>
    <definedName name="_TRITU">#REF!</definedName>
    <definedName name="_tub91">#REF!</definedName>
    <definedName name="_TUBS4">#REF!</definedName>
    <definedName name="_TUBS6">#REF!</definedName>
    <definedName name="_TUZ22" localSheetId="3">#REF!</definedName>
    <definedName name="_TUZ22" localSheetId="30">#REF!</definedName>
    <definedName name="_TUZ22" localSheetId="31">#REF!</definedName>
    <definedName name="_TUZ22" localSheetId="35">#REF!</definedName>
    <definedName name="_TUZ22" localSheetId="29">#REF!</definedName>
    <definedName name="_TUZ22">#REF!</definedName>
    <definedName name="_TUZ36" localSheetId="3">#REF!</definedName>
    <definedName name="_TUZ36" localSheetId="30">#REF!</definedName>
    <definedName name="_TUZ36" localSheetId="31">#REF!</definedName>
    <definedName name="_TUZ36" localSheetId="35">#REF!</definedName>
    <definedName name="_TUZ36" localSheetId="29">#REF!</definedName>
    <definedName name="_TUZ36">#REF!</definedName>
    <definedName name="_TZ133">#REF!</definedName>
    <definedName name="_TZ2110">#REF!</definedName>
    <definedName name="_TZ2112">#REF!</definedName>
    <definedName name="_TZ2114">#REF!</definedName>
    <definedName name="_TZ2116">#REF!</definedName>
    <definedName name="_TZ212" localSheetId="3">#REF!</definedName>
    <definedName name="_TZ212" localSheetId="30">#REF!</definedName>
    <definedName name="_TZ212" localSheetId="31">#REF!</definedName>
    <definedName name="_TZ212" localSheetId="29">#REF!</definedName>
    <definedName name="_TZ212">#REF!</definedName>
    <definedName name="_TZ213" localSheetId="3">#REF!</definedName>
    <definedName name="_TZ213" localSheetId="30">#REF!</definedName>
    <definedName name="_TZ213" localSheetId="31">#REF!</definedName>
    <definedName name="_TZ213" localSheetId="29">#REF!</definedName>
    <definedName name="_TZ213">#REF!</definedName>
    <definedName name="_TZ214" localSheetId="3">#REF!</definedName>
    <definedName name="_TZ214" localSheetId="30">#REF!</definedName>
    <definedName name="_TZ214" localSheetId="31">#REF!</definedName>
    <definedName name="_TZ214" localSheetId="29">#REF!</definedName>
    <definedName name="_TZ214">#REF!</definedName>
    <definedName name="_TZ216" localSheetId="3">#REF!</definedName>
    <definedName name="_TZ216" localSheetId="30">#REF!</definedName>
    <definedName name="_TZ216" localSheetId="31">#REF!</definedName>
    <definedName name="_TZ216" localSheetId="29">#REF!</definedName>
    <definedName name="_TZ216">#REF!</definedName>
    <definedName name="_TZ218" localSheetId="3">#REF!</definedName>
    <definedName name="_TZ218" localSheetId="30">#REF!</definedName>
    <definedName name="_TZ218" localSheetId="31">#REF!</definedName>
    <definedName name="_TZ218" localSheetId="29">#REF!</definedName>
    <definedName name="_TZ218">#REF!</definedName>
    <definedName name="_TZ225">#REF!</definedName>
    <definedName name="_TZ2610">#REF!</definedName>
    <definedName name="_TZ2612">#REF!</definedName>
    <definedName name="_TZ2616" localSheetId="3">#REF!</definedName>
    <definedName name="_TZ2616" localSheetId="30">#REF!</definedName>
    <definedName name="_TZ2616" localSheetId="31">#REF!</definedName>
    <definedName name="_TZ2616" localSheetId="29">#REF!</definedName>
    <definedName name="_TZ2616">#REF!</definedName>
    <definedName name="_TZ262">#REF!</definedName>
    <definedName name="_TZ263">#REF!</definedName>
    <definedName name="_TZ264">#REF!</definedName>
    <definedName name="_TZ266">#REF!</definedName>
    <definedName name="_TZ268">#REF!</definedName>
    <definedName name="_TZ323" localSheetId="3">#REF!</definedName>
    <definedName name="_TZ323" localSheetId="30">#REF!</definedName>
    <definedName name="_TZ323" localSheetId="31">#REF!</definedName>
    <definedName name="_TZ323" localSheetId="35">#REF!</definedName>
    <definedName name="_TZ323" localSheetId="29">#REF!</definedName>
    <definedName name="_TZ323">#REF!</definedName>
    <definedName name="_TZ324" localSheetId="3">#REF!</definedName>
    <definedName name="_TZ324" localSheetId="30">#REF!</definedName>
    <definedName name="_TZ324" localSheetId="31">#REF!</definedName>
    <definedName name="_TZ324" localSheetId="35">#REF!</definedName>
    <definedName name="_TZ324" localSheetId="29">#REF!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14"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3" hidden="1">{"TAB1",#N/A,TRUE,"GENERAL";"TAB2",#N/A,TRUE,"GENERAL";"TAB3",#N/A,TRUE,"GENERAL";"TAB4",#N/A,TRUE,"GENERAL";"TAB5",#N/A,TRUE,"GENERAL"}</definedName>
    <definedName name="_u4" localSheetId="15" hidden="1">{"TAB1",#N/A,TRUE,"GENERAL";"TAB2",#N/A,TRUE,"GENERAL";"TAB3",#N/A,TRUE,"GENERAL";"TAB4",#N/A,TRUE,"GENERAL";"TAB5",#N/A,TRUE,"GENERAL"}</definedName>
    <definedName name="_u4" hidden="1">{"TAB1",#N/A,TRUE,"GENERAL";"TAB2",#N/A,TRUE,"GENERAL";"TAB3",#N/A,TRUE,"GENERAL";"TAB4",#N/A,TRUE,"GENERAL";"TAB5",#N/A,TRUE,"GENERAL"}</definedName>
    <definedName name="_u5" localSheetId="14"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3" hidden="1">{"TAB1",#N/A,TRUE,"GENERAL";"TAB2",#N/A,TRUE,"GENERAL";"TAB3",#N/A,TRUE,"GENERAL";"TAB4",#N/A,TRUE,"GENERAL";"TAB5",#N/A,TRUE,"GENERAL"}</definedName>
    <definedName name="_u5" localSheetId="15" hidden="1">{"TAB1",#N/A,TRUE,"GENERAL";"TAB2",#N/A,TRUE,"GENERAL";"TAB3",#N/A,TRUE,"GENERAL";"TAB4",#N/A,TRUE,"GENERAL";"TAB5",#N/A,TRUE,"GENERAL"}</definedName>
    <definedName name="_u5" hidden="1">{"TAB1",#N/A,TRUE,"GENERAL";"TAB2",#N/A,TRUE,"GENERAL";"TAB3",#N/A,TRUE,"GENERAL";"TAB4",#N/A,TRUE,"GENERAL";"TAB5",#N/A,TRUE,"GENERAL"}</definedName>
    <definedName name="_u6" localSheetId="14"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3" hidden="1">{"TAB1",#N/A,TRUE,"GENERAL";"TAB2",#N/A,TRUE,"GENERAL";"TAB3",#N/A,TRUE,"GENERAL";"TAB4",#N/A,TRUE,"GENERAL";"TAB5",#N/A,TRUE,"GENERAL"}</definedName>
    <definedName name="_u6" localSheetId="15" hidden="1">{"TAB1",#N/A,TRUE,"GENERAL";"TAB2",#N/A,TRUE,"GENERAL";"TAB3",#N/A,TRUE,"GENERAL";"TAB4",#N/A,TRUE,"GENERAL";"TAB5",#N/A,TRUE,"GENERAL"}</definedName>
    <definedName name="_u6" hidden="1">{"TAB1",#N/A,TRUE,"GENERAL";"TAB2",#N/A,TRUE,"GENERAL";"TAB3",#N/A,TRUE,"GENERAL";"TAB4",#N/A,TRUE,"GENERAL";"TAB5",#N/A,TRUE,"GENERAL"}</definedName>
    <definedName name="_u7" localSheetId="14"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3" hidden="1">{"via1",#N/A,TRUE,"general";"via2",#N/A,TRUE,"general";"via3",#N/A,TRUE,"general"}</definedName>
    <definedName name="_u7" localSheetId="15" hidden="1">{"via1",#N/A,TRUE,"general";"via2",#N/A,TRUE,"general";"via3",#N/A,TRUE,"general"}</definedName>
    <definedName name="_u7" hidden="1">{"via1",#N/A,TRUE,"general";"via2",#N/A,TRUE,"general";"via3",#N/A,TRUE,"general"}</definedName>
    <definedName name="_u8" localSheetId="14"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3" hidden="1">{"TAB1",#N/A,TRUE,"GENERAL";"TAB2",#N/A,TRUE,"GENERAL";"TAB3",#N/A,TRUE,"GENERAL";"TAB4",#N/A,TRUE,"GENERAL";"TAB5",#N/A,TRUE,"GENERAL"}</definedName>
    <definedName name="_u8" localSheetId="15" hidden="1">{"TAB1",#N/A,TRUE,"GENERAL";"TAB2",#N/A,TRUE,"GENERAL";"TAB3",#N/A,TRUE,"GENERAL";"TAB4",#N/A,TRUE,"GENERAL";"TAB5",#N/A,TRUE,"GENERAL"}</definedName>
    <definedName name="_u8" hidden="1">{"TAB1",#N/A,TRUE,"GENERAL";"TAB2",#N/A,TRUE,"GENERAL";"TAB3",#N/A,TRUE,"GENERAL";"TAB4",#N/A,TRUE,"GENERAL";"TAB5",#N/A,TRUE,"GENERAL"}</definedName>
    <definedName name="_u9" localSheetId="14"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3" hidden="1">{"TAB1",#N/A,TRUE,"GENERAL";"TAB2",#N/A,TRUE,"GENERAL";"TAB3",#N/A,TRUE,"GENERAL";"TAB4",#N/A,TRUE,"GENERAL";"TAB5",#N/A,TRUE,"GENERAL"}</definedName>
    <definedName name="_u9" localSheetId="15"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NI32">#REF!</definedName>
    <definedName name="_unj1" hidden="1">[4]INST!#REF!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14"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3" hidden="1">{"TAB1",#N/A,TRUE,"GENERAL";"TAB2",#N/A,TRUE,"GENERAL";"TAB3",#N/A,TRUE,"GENERAL";"TAB4",#N/A,TRUE,"GENERAL";"TAB5",#N/A,TRUE,"GENERAL"}</definedName>
    <definedName name="_ur7" localSheetId="15" hidden="1">{"TAB1",#N/A,TRUE,"GENERAL";"TAB2",#N/A,TRUE,"GENERAL";"TAB3",#N/A,TRUE,"GENERAL";"TAB4",#N/A,TRUE,"GENERAL";"TAB5",#N/A,TRUE,"GENERAL"}</definedName>
    <definedName name="_ur7" hidden="1">{"TAB1",#N/A,TRUE,"GENERAL";"TAB2",#N/A,TRUE,"GENERAL";"TAB3",#N/A,TRUE,"GENERAL";"TAB4",#N/A,TRUE,"GENERAL";"TAB5",#N/A,TRUE,"GENERAL"}</definedName>
    <definedName name="_UREP3">#REF!</definedName>
    <definedName name="_v2" localSheetId="14"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3" hidden="1">{"via1",#N/A,TRUE,"general";"via2",#N/A,TRUE,"general";"via3",#N/A,TRUE,"general"}</definedName>
    <definedName name="_v2" localSheetId="15" hidden="1">{"via1",#N/A,TRUE,"general";"via2",#N/A,TRUE,"general";"via3",#N/A,TRUE,"general"}</definedName>
    <definedName name="_v2" hidden="1">{"via1",#N/A,TRUE,"general";"via2",#N/A,TRUE,"general";"via3",#N/A,TRUE,"general"}</definedName>
    <definedName name="_v3" localSheetId="14"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3" hidden="1">{"TAB1",#N/A,TRUE,"GENERAL";"TAB2",#N/A,TRUE,"GENERAL";"TAB3",#N/A,TRUE,"GENERAL";"TAB4",#N/A,TRUE,"GENERAL";"TAB5",#N/A,TRUE,"GENERAL"}</definedName>
    <definedName name="_v3" localSheetId="15" hidden="1">{"TAB1",#N/A,TRUE,"GENERAL";"TAB2",#N/A,TRUE,"GENERAL";"TAB3",#N/A,TRUE,"GENERAL";"TAB4",#N/A,TRUE,"GENERAL";"TAB5",#N/A,TRUE,"GENERAL"}</definedName>
    <definedName name="_v3" hidden="1">{"TAB1",#N/A,TRUE,"GENERAL";"TAB2",#N/A,TRUE,"GENERAL";"TAB3",#N/A,TRUE,"GENERAL";"TAB4",#N/A,TRUE,"GENERAL";"TAB5",#N/A,TRUE,"GENERAL"}</definedName>
    <definedName name="_v4" localSheetId="14"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3" hidden="1">{"TAB1",#N/A,TRUE,"GENERAL";"TAB2",#N/A,TRUE,"GENERAL";"TAB3",#N/A,TRUE,"GENERAL";"TAB4",#N/A,TRUE,"GENERAL";"TAB5",#N/A,TRUE,"GENERAL"}</definedName>
    <definedName name="_v4" localSheetId="15" hidden="1">{"TAB1",#N/A,TRUE,"GENERAL";"TAB2",#N/A,TRUE,"GENERAL";"TAB3",#N/A,TRUE,"GENERAL";"TAB4",#N/A,TRUE,"GENERAL";"TAB5",#N/A,TRUE,"GENERAL"}</definedName>
    <definedName name="_v4" hidden="1">{"TAB1",#N/A,TRUE,"GENERAL";"TAB2",#N/A,TRUE,"GENERAL";"TAB3",#N/A,TRUE,"GENERAL";"TAB4",#N/A,TRUE,"GENERAL";"TAB5",#N/A,TRUE,"GENERAL"}</definedName>
    <definedName name="_v5" localSheetId="14"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3" hidden="1">{"TAB1",#N/A,TRUE,"GENERAL";"TAB2",#N/A,TRUE,"GENERAL";"TAB3",#N/A,TRUE,"GENERAL";"TAB4",#N/A,TRUE,"GENERAL";"TAB5",#N/A,TRUE,"GENERAL"}</definedName>
    <definedName name="_v5" localSheetId="15" hidden="1">{"TAB1",#N/A,TRUE,"GENERAL";"TAB2",#N/A,TRUE,"GENERAL";"TAB3",#N/A,TRUE,"GENERAL";"TAB4",#N/A,TRUE,"GENERAL";"TAB5",#N/A,TRUE,"GENERAL"}</definedName>
    <definedName name="_v5" hidden="1">{"TAB1",#N/A,TRUE,"GENERAL";"TAB2",#N/A,TRUE,"GENERAL";"TAB3",#N/A,TRUE,"GENERAL";"TAB4",#N/A,TRUE,"GENERAL";"TAB5",#N/A,TRUE,"GENERAL"}</definedName>
    <definedName name="_v6" localSheetId="14"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3" hidden="1">{"TAB1",#N/A,TRUE,"GENERAL";"TAB2",#N/A,TRUE,"GENERAL";"TAB3",#N/A,TRUE,"GENERAL";"TAB4",#N/A,TRUE,"GENERAL";"TAB5",#N/A,TRUE,"GENERAL"}</definedName>
    <definedName name="_v6" localSheetId="15" hidden="1">{"TAB1",#N/A,TRUE,"GENERAL";"TAB2",#N/A,TRUE,"GENERAL";"TAB3",#N/A,TRUE,"GENERAL";"TAB4",#N/A,TRUE,"GENERAL";"TAB5",#N/A,TRUE,"GENERAL"}</definedName>
    <definedName name="_v6" hidden="1">{"TAB1",#N/A,TRUE,"GENERAL";"TAB2",#N/A,TRUE,"GENERAL";"TAB3",#N/A,TRUE,"GENERAL";"TAB4",#N/A,TRUE,"GENERAL";"TAB5",#N/A,TRUE,"GENERAL"}</definedName>
    <definedName name="_v7" localSheetId="14"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3" hidden="1">{"via1",#N/A,TRUE,"general";"via2",#N/A,TRUE,"general";"via3",#N/A,TRUE,"general"}</definedName>
    <definedName name="_v7" localSheetId="15" hidden="1">{"via1",#N/A,TRUE,"general";"via2",#N/A,TRUE,"general";"via3",#N/A,TRUE,"general"}</definedName>
    <definedName name="_v7" hidden="1">{"via1",#N/A,TRUE,"general";"via2",#N/A,TRUE,"general";"via3",#N/A,TRUE,"general"}</definedName>
    <definedName name="_v8" localSheetId="14"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3" hidden="1">{"TAB1",#N/A,TRUE,"GENERAL";"TAB2",#N/A,TRUE,"GENERAL";"TAB3",#N/A,TRUE,"GENERAL";"TAB4",#N/A,TRUE,"GENERAL";"TAB5",#N/A,TRUE,"GENERAL"}</definedName>
    <definedName name="_v8" localSheetId="15" hidden="1">{"TAB1",#N/A,TRUE,"GENERAL";"TAB2",#N/A,TRUE,"GENERAL";"TAB3",#N/A,TRUE,"GENERAL";"TAB4",#N/A,TRUE,"GENERAL";"TAB5",#N/A,TRUE,"GENERAL"}</definedName>
    <definedName name="_v8" hidden="1">{"TAB1",#N/A,TRUE,"GENERAL";"TAB2",#N/A,TRUE,"GENERAL";"TAB3",#N/A,TRUE,"GENERAL";"TAB4",#N/A,TRUE,"GENERAL";"TAB5",#N/A,TRUE,"GENERAL"}</definedName>
    <definedName name="_v9" localSheetId="14"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3" hidden="1">{"TAB1",#N/A,TRUE,"GENERAL";"TAB2",#N/A,TRUE,"GENERAL";"TAB3",#N/A,TRUE,"GENERAL";"TAB4",#N/A,TRUE,"GENERAL";"TAB5",#N/A,TRUE,"GENERAL"}</definedName>
    <definedName name="_v9" localSheetId="15" hidden="1">{"TAB1",#N/A,TRUE,"GENERAL";"TAB2",#N/A,TRUE,"GENERAL";"TAB3",#N/A,TRUE,"GENERAL";"TAB4",#N/A,TRUE,"GENERAL";"TAB5",#N/A,TRUE,"GENERAL"}</definedName>
    <definedName name="_v9" hidden="1">{"TAB1",#N/A,TRUE,"GENERAL";"TAB2",#N/A,TRUE,"GENERAL";"TAB3",#N/A,TRUE,"GENERAL";"TAB4",#N/A,TRUE,"GENERAL";"TAB5",#N/A,TRUE,"GENERAL"}</definedName>
    <definedName name="_VCEL2">#REF!</definedName>
    <definedName name="_VCEL3">#REF!</definedName>
    <definedName name="_VCELA3">#REF!</definedName>
    <definedName name="_VEN02">#REF!</definedName>
    <definedName name="_vfv4" localSheetId="14"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3" hidden="1">{"via1",#N/A,TRUE,"general";"via2",#N/A,TRUE,"general";"via3",#N/A,TRUE,"general"}</definedName>
    <definedName name="_vfv4" localSheetId="15" hidden="1">{"via1",#N/A,TRUE,"general";"via2",#N/A,TRUE,"general";"via3",#N/A,TRUE,"general"}</definedName>
    <definedName name="_vfv4" hidden="1">{"via1",#N/A,TRUE,"general";"via2",#N/A,TRUE,"general";"via3",#N/A,TRUE,"general"}</definedName>
    <definedName name="_VIAJE">#REF!</definedName>
    <definedName name="_VIBGA">#REF!</definedName>
    <definedName name="_VIBRE">#REF!</definedName>
    <definedName name="_VIDRI">#REF!</definedName>
    <definedName name="_x1" localSheetId="14"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3" hidden="1">{"TAB1",#N/A,TRUE,"GENERAL";"TAB2",#N/A,TRUE,"GENERAL";"TAB3",#N/A,TRUE,"GENERAL";"TAB4",#N/A,TRUE,"GENERAL";"TAB5",#N/A,TRUE,"GENERAL"}</definedName>
    <definedName name="_x1" localSheetId="15" hidden="1">{"TAB1",#N/A,TRUE,"GENERAL";"TAB2",#N/A,TRUE,"GENERAL";"TAB3",#N/A,TRUE,"GENERAL";"TAB4",#N/A,TRUE,"GENERAL";"TAB5",#N/A,TRUE,"GENERAL"}</definedName>
    <definedName name="_x1" hidden="1">{"TAB1",#N/A,TRUE,"GENERAL";"TAB2",#N/A,TRUE,"GENERAL";"TAB3",#N/A,TRUE,"GENERAL";"TAB4",#N/A,TRUE,"GENERAL";"TAB5",#N/A,TRUE,"GENERAL"}</definedName>
    <definedName name="_x2" localSheetId="14"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3" hidden="1">{"via1",#N/A,TRUE,"general";"via2",#N/A,TRUE,"general";"via3",#N/A,TRUE,"general"}</definedName>
    <definedName name="_x2" localSheetId="15" hidden="1">{"via1",#N/A,TRUE,"general";"via2",#N/A,TRUE,"general";"via3",#N/A,TRUE,"general"}</definedName>
    <definedName name="_x2" hidden="1">{"via1",#N/A,TRUE,"general";"via2",#N/A,TRUE,"general";"via3",#N/A,TRUE,"general"}</definedName>
    <definedName name="_x3" localSheetId="14"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3" hidden="1">{"via1",#N/A,TRUE,"general";"via2",#N/A,TRUE,"general";"via3",#N/A,TRUE,"general"}</definedName>
    <definedName name="_x3" localSheetId="15" hidden="1">{"via1",#N/A,TRUE,"general";"via2",#N/A,TRUE,"general";"via3",#N/A,TRUE,"general"}</definedName>
    <definedName name="_x3" hidden="1">{"via1",#N/A,TRUE,"general";"via2",#N/A,TRUE,"general";"via3",#N/A,TRUE,"general"}</definedName>
    <definedName name="_x4" localSheetId="14"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3" hidden="1">{"via1",#N/A,TRUE,"general";"via2",#N/A,TRUE,"general";"via3",#N/A,TRUE,"general"}</definedName>
    <definedName name="_x4" localSheetId="15" hidden="1">{"via1",#N/A,TRUE,"general";"via2",#N/A,TRUE,"general";"via3",#N/A,TRUE,"general"}</definedName>
    <definedName name="_x4" hidden="1">{"via1",#N/A,TRUE,"general";"via2",#N/A,TRUE,"general";"via3",#N/A,TRUE,"general"}</definedName>
    <definedName name="_x5" localSheetId="14"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3" hidden="1">{"TAB1",#N/A,TRUE,"GENERAL";"TAB2",#N/A,TRUE,"GENERAL";"TAB3",#N/A,TRUE,"GENERAL";"TAB4",#N/A,TRUE,"GENERAL";"TAB5",#N/A,TRUE,"GENERAL"}</definedName>
    <definedName name="_x5" localSheetId="15" hidden="1">{"TAB1",#N/A,TRUE,"GENERAL";"TAB2",#N/A,TRUE,"GENERAL";"TAB3",#N/A,TRUE,"GENERAL";"TAB4",#N/A,TRUE,"GENERAL";"TAB5",#N/A,TRUE,"GENERAL"}</definedName>
    <definedName name="_x5" hidden="1">{"TAB1",#N/A,TRUE,"GENERAL";"TAB2",#N/A,TRUE,"GENERAL";"TAB3",#N/A,TRUE,"GENERAL";"TAB4",#N/A,TRUE,"GENERAL";"TAB5",#N/A,TRUE,"GENERAL"}</definedName>
    <definedName name="_x6" localSheetId="14"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3" hidden="1">{"TAB1",#N/A,TRUE,"GENERAL";"TAB2",#N/A,TRUE,"GENERAL";"TAB3",#N/A,TRUE,"GENERAL";"TAB4",#N/A,TRUE,"GENERAL";"TAB5",#N/A,TRUE,"GENERAL"}</definedName>
    <definedName name="_x6" localSheetId="15" hidden="1">{"TAB1",#N/A,TRUE,"GENERAL";"TAB2",#N/A,TRUE,"GENERAL";"TAB3",#N/A,TRUE,"GENERAL";"TAB4",#N/A,TRUE,"GENERAL";"TAB5",#N/A,TRUE,"GENERAL"}</definedName>
    <definedName name="_x6" hidden="1">{"TAB1",#N/A,TRUE,"GENERAL";"TAB2",#N/A,TRUE,"GENERAL";"TAB3",#N/A,TRUE,"GENERAL";"TAB4",#N/A,TRUE,"GENERAL";"TAB5",#N/A,TRUE,"GENERAL"}</definedName>
    <definedName name="_x7" localSheetId="14"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3" hidden="1">{"TAB1",#N/A,TRUE,"GENERAL";"TAB2",#N/A,TRUE,"GENERAL";"TAB3",#N/A,TRUE,"GENERAL";"TAB4",#N/A,TRUE,"GENERAL";"TAB5",#N/A,TRUE,"GENERAL"}</definedName>
    <definedName name="_x7" localSheetId="15" hidden="1">{"TAB1",#N/A,TRUE,"GENERAL";"TAB2",#N/A,TRUE,"GENERAL";"TAB3",#N/A,TRUE,"GENERAL";"TAB4",#N/A,TRUE,"GENERAL";"TAB5",#N/A,TRUE,"GENERAL"}</definedName>
    <definedName name="_x7" hidden="1">{"TAB1",#N/A,TRUE,"GENERAL";"TAB2",#N/A,TRUE,"GENERAL";"TAB3",#N/A,TRUE,"GENERAL";"TAB4",#N/A,TRUE,"GENERAL";"TAB5",#N/A,TRUE,"GENERAL"}</definedName>
    <definedName name="_x8" localSheetId="14"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3" hidden="1">{"via1",#N/A,TRUE,"general";"via2",#N/A,TRUE,"general";"via3",#N/A,TRUE,"general"}</definedName>
    <definedName name="_x8" localSheetId="15" hidden="1">{"via1",#N/A,TRUE,"general";"via2",#N/A,TRUE,"general";"via3",#N/A,TRUE,"general"}</definedName>
    <definedName name="_x8" hidden="1">{"via1",#N/A,TRUE,"general";"via2",#N/A,TRUE,"general";"via3",#N/A,TRUE,"general"}</definedName>
    <definedName name="_x9" localSheetId="14"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3" hidden="1">{"TAB1",#N/A,TRUE,"GENERAL";"TAB2",#N/A,TRUE,"GENERAL";"TAB3",#N/A,TRUE,"GENERAL";"TAB4",#N/A,TRUE,"GENERAL";"TAB5",#N/A,TRUE,"GENERAL"}</definedName>
    <definedName name="_x9" localSheetId="15" hidden="1">{"TAB1",#N/A,TRUE,"GENERAL";"TAB2",#N/A,TRUE,"GENERAL";"TAB3",#N/A,TRUE,"GENERAL";"TAB4",#N/A,TRUE,"GENERAL";"TAB5",#N/A,TRUE,"GENERAL"}</definedName>
    <definedName name="_x9" hidden="1">{"TAB1",#N/A,TRUE,"GENERAL";"TAB2",#N/A,TRUE,"GENERAL";"TAB3",#N/A,TRUE,"GENERAL";"TAB4",#N/A,TRUE,"GENERAL";"TAB5",#N/A,TRUE,"GENERAL"}</definedName>
    <definedName name="_y2" localSheetId="14"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3" hidden="1">{"TAB1",#N/A,TRUE,"GENERAL";"TAB2",#N/A,TRUE,"GENERAL";"TAB3",#N/A,TRUE,"GENERAL";"TAB4",#N/A,TRUE,"GENERAL";"TAB5",#N/A,TRUE,"GENERAL"}</definedName>
    <definedName name="_y2" localSheetId="15" hidden="1">{"TAB1",#N/A,TRUE,"GENERAL";"TAB2",#N/A,TRUE,"GENERAL";"TAB3",#N/A,TRUE,"GENERAL";"TAB4",#N/A,TRUE,"GENERAL";"TAB5",#N/A,TRUE,"GENERAL"}</definedName>
    <definedName name="_y2" hidden="1">{"TAB1",#N/A,TRUE,"GENERAL";"TAB2",#N/A,TRUE,"GENERAL";"TAB3",#N/A,TRUE,"GENERAL";"TAB4",#N/A,TRUE,"GENERAL";"TAB5",#N/A,TRUE,"GENERAL"}</definedName>
    <definedName name="_y3" localSheetId="14"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3" hidden="1">{"via1",#N/A,TRUE,"general";"via2",#N/A,TRUE,"general";"via3",#N/A,TRUE,"general"}</definedName>
    <definedName name="_y3" localSheetId="15" hidden="1">{"via1",#N/A,TRUE,"general";"via2",#N/A,TRUE,"general";"via3",#N/A,TRUE,"general"}</definedName>
    <definedName name="_y3" hidden="1">{"via1",#N/A,TRUE,"general";"via2",#N/A,TRUE,"general";"via3",#N/A,TRUE,"general"}</definedName>
    <definedName name="_y4" localSheetId="14"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3" hidden="1">{"via1",#N/A,TRUE,"general";"via2",#N/A,TRUE,"general";"via3",#N/A,TRUE,"general"}</definedName>
    <definedName name="_y4" localSheetId="15" hidden="1">{"via1",#N/A,TRUE,"general";"via2",#N/A,TRUE,"general";"via3",#N/A,TRUE,"general"}</definedName>
    <definedName name="_y4" hidden="1">{"via1",#N/A,TRUE,"general";"via2",#N/A,TRUE,"general";"via3",#N/A,TRUE,"general"}</definedName>
    <definedName name="_y5" localSheetId="14"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3" hidden="1">{"TAB1",#N/A,TRUE,"GENERAL";"TAB2",#N/A,TRUE,"GENERAL";"TAB3",#N/A,TRUE,"GENERAL";"TAB4",#N/A,TRUE,"GENERAL";"TAB5",#N/A,TRUE,"GENERAL"}</definedName>
    <definedName name="_y5" localSheetId="15" hidden="1">{"TAB1",#N/A,TRUE,"GENERAL";"TAB2",#N/A,TRUE,"GENERAL";"TAB3",#N/A,TRUE,"GENERAL";"TAB4",#N/A,TRUE,"GENERAL";"TAB5",#N/A,TRUE,"GENERAL"}</definedName>
    <definedName name="_y5" hidden="1">{"TAB1",#N/A,TRUE,"GENERAL";"TAB2",#N/A,TRUE,"GENERAL";"TAB3",#N/A,TRUE,"GENERAL";"TAB4",#N/A,TRUE,"GENERAL";"TAB5",#N/A,TRUE,"GENERAL"}</definedName>
    <definedName name="_y6" localSheetId="14"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3" hidden="1">{"via1",#N/A,TRUE,"general";"via2",#N/A,TRUE,"general";"via3",#N/A,TRUE,"general"}</definedName>
    <definedName name="_y6" localSheetId="15" hidden="1">{"via1",#N/A,TRUE,"general";"via2",#N/A,TRUE,"general";"via3",#N/A,TRUE,"general"}</definedName>
    <definedName name="_y6" hidden="1">{"via1",#N/A,TRUE,"general";"via2",#N/A,TRUE,"general";"via3",#N/A,TRUE,"general"}</definedName>
    <definedName name="_y7" localSheetId="14"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3" hidden="1">{"via1",#N/A,TRUE,"general";"via2",#N/A,TRUE,"general";"via3",#N/A,TRUE,"general"}</definedName>
    <definedName name="_y7" localSheetId="15" hidden="1">{"via1",#N/A,TRUE,"general";"via2",#N/A,TRUE,"general";"via3",#N/A,TRUE,"general"}</definedName>
    <definedName name="_y7" hidden="1">{"via1",#N/A,TRUE,"general";"via2",#N/A,TRUE,"general";"via3",#N/A,TRUE,"general"}</definedName>
    <definedName name="_y8" localSheetId="14"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3" hidden="1">{"via1",#N/A,TRUE,"general";"via2",#N/A,TRUE,"general";"via3",#N/A,TRUE,"general"}</definedName>
    <definedName name="_y8" localSheetId="15" hidden="1">{"via1",#N/A,TRUE,"general";"via2",#N/A,TRUE,"general";"via3",#N/A,TRUE,"general"}</definedName>
    <definedName name="_y8" hidden="1">{"via1",#N/A,TRUE,"general";"via2",#N/A,TRUE,"general";"via3",#N/A,TRUE,"general"}</definedName>
    <definedName name="_y9" localSheetId="14"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3" hidden="1">{"TAB1",#N/A,TRUE,"GENERAL";"TAB2",#N/A,TRUE,"GENERAL";"TAB3",#N/A,TRUE,"GENERAL";"TAB4",#N/A,TRUE,"GENERAL";"TAB5",#N/A,TRUE,"GENERAL"}</definedName>
    <definedName name="_y9" localSheetId="15" hidden="1">{"TAB1",#N/A,TRUE,"GENERAL";"TAB2",#N/A,TRUE,"GENERAL";"TAB3",#N/A,TRUE,"GENERAL";"TAB4",#N/A,TRUE,"GENERAL";"TAB5",#N/A,TRUE,"GENERAL"}</definedName>
    <definedName name="_y9" hidden="1">{"TAB1",#N/A,TRUE,"GENERAL";"TAB2",#N/A,TRUE,"GENERAL";"TAB3",#N/A,TRUE,"GENERAL";"TAB4",#N/A,TRUE,"GENERAL";"TAB5",#N/A,TRUE,"GENERAL"}</definedName>
    <definedName name="_z1" localSheetId="14"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3" hidden="1">{"TAB1",#N/A,TRUE,"GENERAL";"TAB2",#N/A,TRUE,"GENERAL";"TAB3",#N/A,TRUE,"GENERAL";"TAB4",#N/A,TRUE,"GENERAL";"TAB5",#N/A,TRUE,"GENERAL"}</definedName>
    <definedName name="_z1" localSheetId="15" hidden="1">{"TAB1",#N/A,TRUE,"GENERAL";"TAB2",#N/A,TRUE,"GENERAL";"TAB3",#N/A,TRUE,"GENERAL";"TAB4",#N/A,TRUE,"GENERAL";"TAB5",#N/A,TRUE,"GENERAL"}</definedName>
    <definedName name="_z1" hidden="1">{"TAB1",#N/A,TRUE,"GENERAL";"TAB2",#N/A,TRUE,"GENERAL";"TAB3",#N/A,TRUE,"GENERAL";"TAB4",#N/A,TRUE,"GENERAL";"TAB5",#N/A,TRUE,"GENERAL"}</definedName>
    <definedName name="_z2" localSheetId="14"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3" hidden="1">{"via1",#N/A,TRUE,"general";"via2",#N/A,TRUE,"general";"via3",#N/A,TRUE,"general"}</definedName>
    <definedName name="_z2" localSheetId="15" hidden="1">{"via1",#N/A,TRUE,"general";"via2",#N/A,TRUE,"general";"via3",#N/A,TRUE,"general"}</definedName>
    <definedName name="_z2" hidden="1">{"via1",#N/A,TRUE,"general";"via2",#N/A,TRUE,"general";"via3",#N/A,TRUE,"general"}</definedName>
    <definedName name="_z3" localSheetId="14"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3" hidden="1">{"via1",#N/A,TRUE,"general";"via2",#N/A,TRUE,"general";"via3",#N/A,TRUE,"general"}</definedName>
    <definedName name="_z3" localSheetId="15" hidden="1">{"via1",#N/A,TRUE,"general";"via2",#N/A,TRUE,"general";"via3",#N/A,TRUE,"general"}</definedName>
    <definedName name="_z3" hidden="1">{"via1",#N/A,TRUE,"general";"via2",#N/A,TRUE,"general";"via3",#N/A,TRUE,"general"}</definedName>
    <definedName name="_z4" localSheetId="14"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3" hidden="1">{"TAB1",#N/A,TRUE,"GENERAL";"TAB2",#N/A,TRUE,"GENERAL";"TAB3",#N/A,TRUE,"GENERAL";"TAB4",#N/A,TRUE,"GENERAL";"TAB5",#N/A,TRUE,"GENERAL"}</definedName>
    <definedName name="_z4" localSheetId="15" hidden="1">{"TAB1",#N/A,TRUE,"GENERAL";"TAB2",#N/A,TRUE,"GENERAL";"TAB3",#N/A,TRUE,"GENERAL";"TAB4",#N/A,TRUE,"GENERAL";"TAB5",#N/A,TRUE,"GENERAL"}</definedName>
    <definedName name="_z4" hidden="1">{"TAB1",#N/A,TRUE,"GENERAL";"TAB2",#N/A,TRUE,"GENERAL";"TAB3",#N/A,TRUE,"GENERAL";"TAB4",#N/A,TRUE,"GENERAL";"TAB5",#N/A,TRUE,"GENERAL"}</definedName>
    <definedName name="_z5" localSheetId="14"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3" hidden="1">{"via1",#N/A,TRUE,"general";"via2",#N/A,TRUE,"general";"via3",#N/A,TRUE,"general"}</definedName>
    <definedName name="_z5" localSheetId="15" hidden="1">{"via1",#N/A,TRUE,"general";"via2",#N/A,TRUE,"general";"via3",#N/A,TRUE,"general"}</definedName>
    <definedName name="_z5" hidden="1">{"via1",#N/A,TRUE,"general";"via2",#N/A,TRUE,"general";"via3",#N/A,TRUE,"general"}</definedName>
    <definedName name="_z6" localSheetId="14"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3" hidden="1">{"TAB1",#N/A,TRUE,"GENERAL";"TAB2",#N/A,TRUE,"GENERAL";"TAB3",#N/A,TRUE,"GENERAL";"TAB4",#N/A,TRUE,"GENERAL";"TAB5",#N/A,TRUE,"GENERAL"}</definedName>
    <definedName name="_z6" localSheetId="15" hidden="1">{"TAB1",#N/A,TRUE,"GENERAL";"TAB2",#N/A,TRUE,"GENERAL";"TAB3",#N/A,TRUE,"GENERAL";"TAB4",#N/A,TRUE,"GENERAL";"TAB5",#N/A,TRUE,"GENERAL"}</definedName>
    <definedName name="_z6" hidden="1">{"TAB1",#N/A,TRUE,"GENERAL";"TAB2",#N/A,TRUE,"GENERAL";"TAB3",#N/A,TRUE,"GENERAL";"TAB4",#N/A,TRUE,"GENERAL";"TAB5",#N/A,TRUE,"GENERAL"}</definedName>
    <definedName name="A" localSheetId="3">#REF!</definedName>
    <definedName name="a">#REF!</definedName>
    <definedName name="A.A..A" localSheetId="14" hidden="1">{"total",#N/A,FALSE,"TD 0% ";"total",#N/A,FALSE,"TD 12%";"total",#N/A,FALSE,"TD 10%"}</definedName>
    <definedName name="A.A..A" localSheetId="13" hidden="1">{"total",#N/A,FALSE,"TD 0% ";"total",#N/A,FALSE,"TD 12%";"total",#N/A,FALSE,"TD 10%"}</definedName>
    <definedName name="A.A..A" localSheetId="15" hidden="1">{"total",#N/A,FALSE,"TD 0% ";"total",#N/A,FALSE,"TD 12%";"total",#N/A,FALSE,"TD 10%"}</definedName>
    <definedName name="A.A..A" hidden="1">{"total",#N/A,FALSE,"TD 0% ";"total",#N/A,FALSE,"TD 12%";"total",#N/A,FALSE,"TD 10%"}</definedName>
    <definedName name="A_impresión_IM" localSheetId="3">#REF!</definedName>
    <definedName name="A_impresión_IM" localSheetId="30">#REF!</definedName>
    <definedName name="A_impresión_IM" localSheetId="31">#REF!</definedName>
    <definedName name="A_impresión_IM" localSheetId="29">#REF!</definedName>
    <definedName name="A_impresión_IM">#REF!</definedName>
    <definedName name="a2a" localSheetId="14"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3" hidden="1">{"TAB1",#N/A,TRUE,"GENERAL";"TAB2",#N/A,TRUE,"GENERAL";"TAB3",#N/A,TRUE,"GENERAL";"TAB4",#N/A,TRUE,"GENERAL";"TAB5",#N/A,TRUE,"GENERAL"}</definedName>
    <definedName name="a2a" localSheetId="15" hidden="1">{"TAB1",#N/A,TRUE,"GENERAL";"TAB2",#N/A,TRUE,"GENERAL";"TAB3",#N/A,TRUE,"GENERAL";"TAB4",#N/A,TRUE,"GENERAL";"TAB5",#N/A,TRUE,"GENERAL"}</definedName>
    <definedName name="a2a" hidden="1">{"TAB1",#N/A,TRUE,"GENERAL";"TAB2",#N/A,TRUE,"GENERAL";"TAB3",#N/A,TRUE,"GENERAL";"TAB4",#N/A,TRUE,"GENERAL";"TAB5",#N/A,TRUE,"GENERAL"}</definedName>
    <definedName name="A40FI" localSheetId="3">#REF!</definedName>
    <definedName name="A40FI" localSheetId="30">#REF!</definedName>
    <definedName name="A40FI" localSheetId="31">#REF!</definedName>
    <definedName name="A40FI" localSheetId="29">#REF!</definedName>
    <definedName name="A40FI">#REF!</definedName>
    <definedName name="A40LI" localSheetId="3">#REF!</definedName>
    <definedName name="A40LI" localSheetId="30">#REF!</definedName>
    <definedName name="A40LI" localSheetId="31">#REF!</definedName>
    <definedName name="A40LI" localSheetId="29">#REF!</definedName>
    <definedName name="A40LI">#REF!</definedName>
    <definedName name="A58CO" localSheetId="3">#REF!</definedName>
    <definedName name="A58CO" localSheetId="30">#REF!</definedName>
    <definedName name="A58CO" localSheetId="31">#REF!</definedName>
    <definedName name="A58CO" localSheetId="29">#REF!</definedName>
    <definedName name="A58CO">#REF!</definedName>
    <definedName name="A60FI" localSheetId="3">#REF!</definedName>
    <definedName name="A60FI" localSheetId="30">#REF!</definedName>
    <definedName name="A60FI" localSheetId="31">#REF!</definedName>
    <definedName name="A60FI" localSheetId="29">#REF!</definedName>
    <definedName name="A60FI">#REF!</definedName>
    <definedName name="A60FI1" localSheetId="3">#REF!</definedName>
    <definedName name="A60FI1" localSheetId="30">#REF!</definedName>
    <definedName name="A60FI1" localSheetId="31">#REF!</definedName>
    <definedName name="A60FI1" localSheetId="29">#REF!</definedName>
    <definedName name="A60FI1">#REF!</definedName>
    <definedName name="AA" localSheetId="14" hidden="1">{#N/A,#N/A,TRUE,"INGENIERIA";#N/A,#N/A,TRUE,"COMPRAS";#N/A,#N/A,TRUE,"DIRECCION";#N/A,#N/A,TRUE,"RESUMEN"}</definedName>
    <definedName name="AA" localSheetId="16" hidden="1">{#N/A,#N/A,TRUE,"INGENIERIA";#N/A,#N/A,TRUE,"COMPRAS";#N/A,#N/A,TRUE,"DIRECCION";#N/A,#N/A,TRUE,"RESUMEN"}</definedName>
    <definedName name="AA" localSheetId="17" hidden="1">{#N/A,#N/A,TRUE,"INGENIERIA";#N/A,#N/A,TRUE,"COMPRAS";#N/A,#N/A,TRUE,"DIRECCION";#N/A,#N/A,TRUE,"RESUMEN"}</definedName>
    <definedName name="AA" localSheetId="13" hidden="1">{#N/A,#N/A,TRUE,"INGENIERIA";#N/A,#N/A,TRUE,"COMPRAS";#N/A,#N/A,TRUE,"DIRECCION";#N/A,#N/A,TRUE,"RESUMEN"}</definedName>
    <definedName name="AA" localSheetId="15" hidden="1">{#N/A,#N/A,TRUE,"INGENIERIA";#N/A,#N/A,TRUE,"COMPRAS";#N/A,#N/A,TRUE,"DIRECCION";#N/A,#N/A,TRUE,"RESUMEN"}</definedName>
    <definedName name="aa">#N/A</definedName>
    <definedName name="AA_1" localSheetId="14" hidden="1">{#N/A,#N/A,TRUE,"INGENIERIA";#N/A,#N/A,TRUE,"COMPRAS";#N/A,#N/A,TRUE,"DIRECCION";#N/A,#N/A,TRUE,"RESUMEN"}</definedName>
    <definedName name="AA_1" localSheetId="13" hidden="1">{#N/A,#N/A,TRUE,"INGENIERIA";#N/A,#N/A,TRUE,"COMPRAS";#N/A,#N/A,TRUE,"DIRECCION";#N/A,#N/A,TRUE,"RESUMEN"}</definedName>
    <definedName name="AA_1" localSheetId="15" hidden="1">{#N/A,#N/A,TRUE,"INGENIERIA";#N/A,#N/A,TRUE,"COMPRAS";#N/A,#N/A,TRUE,"DIRECCION";#N/A,#N/A,TRUE,"RESUMEN"}</definedName>
    <definedName name="AA_1" hidden="1">{#N/A,#N/A,TRUE,"INGENIERIA";#N/A,#N/A,TRUE,"COMPRAS";#N/A,#N/A,TRUE,"DIRECCION";#N/A,#N/A,TRUE,"RESUMEN"}</definedName>
    <definedName name="AA_2" localSheetId="14" hidden="1">{#N/A,#N/A,TRUE,"INGENIERIA";#N/A,#N/A,TRUE,"COMPRAS";#N/A,#N/A,TRUE,"DIRECCION";#N/A,#N/A,TRUE,"RESUMEN"}</definedName>
    <definedName name="AA_2" localSheetId="13" hidden="1">{#N/A,#N/A,TRUE,"INGENIERIA";#N/A,#N/A,TRUE,"COMPRAS";#N/A,#N/A,TRUE,"DIRECCION";#N/A,#N/A,TRUE,"RESUMEN"}</definedName>
    <definedName name="AA_2" localSheetId="15" hidden="1">{#N/A,#N/A,TRUE,"INGENIERIA";#N/A,#N/A,TRUE,"COMPRAS";#N/A,#N/A,TRUE,"DIRECCION";#N/A,#N/A,TRUE,"RESUMEN"}</definedName>
    <definedName name="AA_2" hidden="1">{#N/A,#N/A,TRUE,"INGENIERIA";#N/A,#N/A,TRUE,"COMPRAS";#N/A,#N/A,TRUE,"DIRECCION";#N/A,#N/A,TRUE,"RESUMEN"}</definedName>
    <definedName name="AAA">'[21]AC2-AG96'!#REF!</definedName>
    <definedName name="aaaa" localSheetId="3">#REF!</definedName>
    <definedName name="aaaa" localSheetId="30">#REF!</definedName>
    <definedName name="aaaa" localSheetId="31">#REF!</definedName>
    <definedName name="aaaa" localSheetId="29">#REF!</definedName>
    <definedName name="aaaa">#REF!</definedName>
    <definedName name="aaaaa">'[21]AC2-AG96'!#REF!</definedName>
    <definedName name="aaaaaa">[22]otros!$C$5</definedName>
    <definedName name="aaaaas" localSheetId="14"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5"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14"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3" hidden="1">{"TAB1",#N/A,TRUE,"GENERAL";"TAB2",#N/A,TRUE,"GENERAL";"TAB3",#N/A,TRUE,"GENERAL";"TAB4",#N/A,TRUE,"GENERAL";"TAB5",#N/A,TRUE,"GENERAL"}</definedName>
    <definedName name="aas" localSheetId="15" hidden="1">{"TAB1",#N/A,TRUE,"GENERAL";"TAB2",#N/A,TRUE,"GENERAL";"TAB3",#N/A,TRUE,"GENERAL";"TAB4",#N/A,TRUE,"GENERAL";"TAB5",#N/A,TRUE,"GENERAL"}</definedName>
    <definedName name="aas" hidden="1">{"TAB1",#N/A,TRUE,"GENERAL";"TAB2",#N/A,TRUE,"GENERAL";"TAB3",#N/A,TRUE,"GENERAL";"TAB4",#N/A,TRUE,"GENERAL";"TAB5",#N/A,TRUE,"GENERAL"}</definedName>
    <definedName name="AAS_1" localSheetId="14" hidden="1">{#N/A,#N/A,TRUE,"INGENIERIA";#N/A,#N/A,TRUE,"COMPRAS";#N/A,#N/A,TRUE,"DIRECCION";#N/A,#N/A,TRUE,"RESUMEN"}</definedName>
    <definedName name="AAS_1" localSheetId="13" hidden="1">{#N/A,#N/A,TRUE,"INGENIERIA";#N/A,#N/A,TRUE,"COMPRAS";#N/A,#N/A,TRUE,"DIRECCION";#N/A,#N/A,TRUE,"RESUMEN"}</definedName>
    <definedName name="AAS_1" localSheetId="15" hidden="1">{#N/A,#N/A,TRUE,"INGENIERIA";#N/A,#N/A,TRUE,"COMPRAS";#N/A,#N/A,TRUE,"DIRECCION";#N/A,#N/A,TRUE,"RESUMEN"}</definedName>
    <definedName name="AAS_1" hidden="1">{#N/A,#N/A,TRUE,"INGENIERIA";#N/A,#N/A,TRUE,"COMPRAS";#N/A,#N/A,TRUE,"DIRECCION";#N/A,#N/A,TRUE,"RESUMEN"}</definedName>
    <definedName name="AAS_2" localSheetId="14" hidden="1">{#N/A,#N/A,TRUE,"INGENIERIA";#N/A,#N/A,TRUE,"COMPRAS";#N/A,#N/A,TRUE,"DIRECCION";#N/A,#N/A,TRUE,"RESUMEN"}</definedName>
    <definedName name="AAS_2" localSheetId="13" hidden="1">{#N/A,#N/A,TRUE,"INGENIERIA";#N/A,#N/A,TRUE,"COMPRAS";#N/A,#N/A,TRUE,"DIRECCION";#N/A,#N/A,TRUE,"RESUMEN"}</definedName>
    <definedName name="AAS_2" localSheetId="15" hidden="1">{#N/A,#N/A,TRUE,"INGENIERIA";#N/A,#N/A,TRUE,"COMPRAS";#N/A,#N/A,TRUE,"DIRECCION";#N/A,#N/A,TRUE,"RESUMEN"}</definedName>
    <definedName name="AAS_2" hidden="1">{#N/A,#N/A,TRUE,"INGENIERIA";#N/A,#N/A,TRUE,"COMPRAS";#N/A,#N/A,TRUE,"DIRECCION";#N/A,#N/A,TRUE,"RESUMEN"}</definedName>
    <definedName name="AB" localSheetId="3">#REF!</definedName>
    <definedName name="AB">#REF!</definedName>
    <definedName name="abc">#REF!</definedName>
    <definedName name="ABCD" localSheetId="14" hidden="1">#REF!</definedName>
    <definedName name="ABCD" localSheetId="16" hidden="1">#REF!</definedName>
    <definedName name="ABCD" localSheetId="17" hidden="1">#REF!</definedName>
    <definedName name="ABCD" localSheetId="13" hidden="1">#REF!</definedName>
    <definedName name="ABCD" localSheetId="15" hidden="1">#REF!</definedName>
    <definedName name="ABCD" hidden="1">#REF!</definedName>
    <definedName name="ABCDE" localSheetId="14" hidden="1">#REF!</definedName>
    <definedName name="ABCDE" localSheetId="16" hidden="1">#REF!</definedName>
    <definedName name="ABCDE" localSheetId="17" hidden="1">#REF!</definedName>
    <definedName name="ABCDE" localSheetId="13" hidden="1">#REF!</definedName>
    <definedName name="ABCDE" localSheetId="15" hidden="1">#REF!</definedName>
    <definedName name="ABCDE" hidden="1">#REF!</definedName>
    <definedName name="ABFIN">[7]DATBAND!$F$3:$F$742</definedName>
    <definedName name="ABG">#REF!</definedName>
    <definedName name="ABIN">[7]DATBAND!$E$3:$E$465</definedName>
    <definedName name="ABONO">#REF!</definedName>
    <definedName name="absc">#N/A</definedName>
    <definedName name="absc_">#N/A</definedName>
    <definedName name="absc_1">#N/A</definedName>
    <definedName name="ABSC1">[23]Datos!$D$3:$D$381</definedName>
    <definedName name="ABSC2">[23]Datos!$E$3:$E$454</definedName>
    <definedName name="ABSCF">'[7]DAT NUC'!$K$2:$K$521</definedName>
    <definedName name="ABSCI">'[7]DAT NUC'!$J$2:$J$1084</definedName>
    <definedName name="AC" localSheetId="3">#REF!</definedName>
    <definedName name="AC">#REF!</definedName>
    <definedName name="ACARREO" localSheetId="3">#REF!</definedName>
    <definedName name="ACARREO" localSheetId="30">#REF!</definedName>
    <definedName name="ACARREO" localSheetId="31">#REF!</definedName>
    <definedName name="ACARREO" localSheetId="29">#REF!</definedName>
    <definedName name="ACARREO">#REF!</definedName>
    <definedName name="ACARRH">#REF!</definedName>
    <definedName name="AccessDatabase" localSheetId="14" hidden="1">"A:\SAIN.mdb"</definedName>
    <definedName name="AccessDatabase" localSheetId="16" hidden="1">"C:\C-314\VOLUMENES\volfin4.mdb"</definedName>
    <definedName name="AccessDatabase" localSheetId="17" hidden="1">"C:\C-314\VOLUMENES\volfin4.mdb"</definedName>
    <definedName name="AccessDatabase" localSheetId="13" hidden="1">"A:\SAIN.mdb"</definedName>
    <definedName name="AccessDatabase" localSheetId="15" hidden="1">"A:\SAIN.mdb"</definedName>
    <definedName name="AccessDatabase" hidden="1">"C:\C-314\VOLUMENES\volfin4.mdb"</definedName>
    <definedName name="acci">#REF!</definedName>
    <definedName name="ace">#REF!</definedName>
    <definedName name="ACEITES">#REF!,#REF!,#REF!,#REF!,#REF!</definedName>
    <definedName name="acero">#REF!</definedName>
    <definedName name="Acero_60.000_psi__incluye_figurada">[24]Insumos!$D$20</definedName>
    <definedName name="ACOM" localSheetId="3">#REF!</definedName>
    <definedName name="ACOM" localSheetId="30">#REF!</definedName>
    <definedName name="ACOM" localSheetId="31">#REF!</definedName>
    <definedName name="ACOM" localSheetId="29">#REF!</definedName>
    <definedName name="ACOM">#REF!</definedName>
    <definedName name="ACOND">#REF!</definedName>
    <definedName name="ACOPLE3">#REF!</definedName>
    <definedName name="ACOPLE4">#REF!</definedName>
    <definedName name="ACOPLE6">#REF!</definedName>
    <definedName name="ACPM">#REF!</definedName>
    <definedName name="Acta" localSheetId="3">#REF!</definedName>
    <definedName name="Acta" localSheetId="30">#REF!</definedName>
    <definedName name="Acta" localSheetId="31">#REF!</definedName>
    <definedName name="Acta" localSheetId="29">#REF!</definedName>
    <definedName name="Acta">#REF!</definedName>
    <definedName name="Acta1" localSheetId="3">#REF!</definedName>
    <definedName name="Acta1" localSheetId="30">#REF!</definedName>
    <definedName name="Acta1" localSheetId="31">#REF!</definedName>
    <definedName name="Acta1" localSheetId="29">#REF!</definedName>
    <definedName name="Acta1">#REF!</definedName>
    <definedName name="ACTAAJUSTE3" localSheetId="14" hidden="1">{"via1",#N/A,TRUE,"general";"via2",#N/A,TRUE,"general";"via3",#N/A,TRUE,"general"}</definedName>
    <definedName name="ACTAAJUSTE3" localSheetId="16" hidden="1">{"via1",#N/A,TRUE,"general";"via2",#N/A,TRUE,"general";"via3",#N/A,TRUE,"general"}</definedName>
    <definedName name="ACTAAJUSTE3" localSheetId="17" hidden="1">{"via1",#N/A,TRUE,"general";"via2",#N/A,TRUE,"general";"via3",#N/A,TRUE,"general"}</definedName>
    <definedName name="ACTAAJUSTE3" localSheetId="13" hidden="1">{"via1",#N/A,TRUE,"general";"via2",#N/A,TRUE,"general";"via3",#N/A,TRUE,"general"}</definedName>
    <definedName name="ACTAAJUSTE3" localSheetId="15" hidden="1">{"via1",#N/A,TRUE,"general";"via2",#N/A,TRUE,"general";"via3",#N/A,TRUE,"general"}</definedName>
    <definedName name="ACTAAJUSTE3" hidden="1">{"via1",#N/A,TRUE,"general";"via2",#N/A,TRUE,"general";"via3",#N/A,TRUE,"general"}</definedName>
    <definedName name="actas">[25]TRASMILENIO!$A$4:$F$18</definedName>
    <definedName name="actividad">#REF!</definedName>
    <definedName name="actividades">#REF!</definedName>
    <definedName name="actual">'[26]ESTADO RED'!#REF!</definedName>
    <definedName name="acueducto">#REF!</definedName>
    <definedName name="Acumulado">[27]Datos!$S$3:$S$1912</definedName>
    <definedName name="ad">#REF!</definedName>
    <definedName name="ADFGSDB" localSheetId="14"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3" hidden="1">{"via1",#N/A,TRUE,"general";"via2",#N/A,TRUE,"general";"via3",#N/A,TRUE,"general"}</definedName>
    <definedName name="ADFGSDB" localSheetId="15" hidden="1">{"via1",#N/A,TRUE,"general";"via2",#N/A,TRUE,"general";"via3",#N/A,TRUE,"general"}</definedName>
    <definedName name="ADFGSDB" hidden="1">{"via1",#N/A,TRUE,"general";"via2",#N/A,TRUE,"general";"via3",#N/A,TRUE,"general"}</definedName>
    <definedName name="ADHEPO">#REF!</definedName>
    <definedName name="ADHEPOX" localSheetId="3">#REF!</definedName>
    <definedName name="ADHEPOX" localSheetId="30">#REF!</definedName>
    <definedName name="ADHEPOX" localSheetId="31">#REF!</definedName>
    <definedName name="ADHEPOX" localSheetId="29">#REF!</definedName>
    <definedName name="ADHEPOX">#REF!</definedName>
    <definedName name="ADIMPER" localSheetId="3">#REF!</definedName>
    <definedName name="ADIMPER" localSheetId="30">#REF!</definedName>
    <definedName name="ADIMPER" localSheetId="31">#REF!</definedName>
    <definedName name="ADIMPER" localSheetId="29">#REF!</definedName>
    <definedName name="ADIMPER">#REF!</definedName>
    <definedName name="ADM">[22]otros!$C$2</definedName>
    <definedName name="ADMINISTRA">#REF!</definedName>
    <definedName name="ADMINISTRACION" localSheetId="3">#REF!</definedName>
    <definedName name="ADMINISTRACION" localSheetId="30">#REF!</definedName>
    <definedName name="ADMINISTRACION" localSheetId="31">#REF!</definedName>
    <definedName name="ADMINISTRACION" localSheetId="29">#REF!</definedName>
    <definedName name="ADMINISTRACION">#REF!</definedName>
    <definedName name="Administración">'[24]A.I.U'!$I$110</definedName>
    <definedName name="ADMINISTRADOR">[28]CUMPLIMIENTO!$C$5</definedName>
    <definedName name="ADMINISTRADOR_VIAL__ARMANDO_SANCHEZ_SANCHEZ">[29]INDICMICROEMP!$A$20</definedName>
    <definedName name="ADMM">#REF!</definedName>
    <definedName name="ADMON">#REF!</definedName>
    <definedName name="admon1">[30]DATOS!$B$16</definedName>
    <definedName name="adoc1" localSheetId="14">[31]!absc</definedName>
    <definedName name="adoc1" localSheetId="17">[31]!absc</definedName>
    <definedName name="adoc1" localSheetId="2">[31]!absc</definedName>
    <definedName name="adoc1" localSheetId="20">[31]!absc</definedName>
    <definedName name="adoc1" localSheetId="21">[31]!absc</definedName>
    <definedName name="adoc1" localSheetId="15">[31]!absc</definedName>
    <definedName name="adoc1">[31]!absc</definedName>
    <definedName name="ADOC125" localSheetId="14">[32]!absc</definedName>
    <definedName name="ADOC125" localSheetId="17">[32]!absc</definedName>
    <definedName name="ADOC125" localSheetId="2">[32]!absc</definedName>
    <definedName name="ADOC125" localSheetId="20">[32]!absc</definedName>
    <definedName name="ADOC125" localSheetId="21">[32]!absc</definedName>
    <definedName name="ADOC125" localSheetId="15">[32]!absc</definedName>
    <definedName name="ADOC125">[32]!absc</definedName>
    <definedName name="adoq" localSheetId="14">[33]!absc</definedName>
    <definedName name="adoq" localSheetId="17">[33]!absc</definedName>
    <definedName name="adoq" localSheetId="2">[33]!absc</definedName>
    <definedName name="adoq" localSheetId="20">[33]!absc</definedName>
    <definedName name="adoq" localSheetId="21">[33]!absc</definedName>
    <definedName name="adoq" localSheetId="15">[33]!absc</definedName>
    <definedName name="adoq">[33]!absc</definedName>
    <definedName name="ADSAD" localSheetId="14"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5" hidden="1">{"TAB1",#N/A,TRUE,"GENERAL";"TAB2",#N/A,TRUE,"GENERAL";"TAB3",#N/A,TRUE,"GENERAL";"TAB4",#N/A,TRUE,"GENERAL";"TAB5",#N/A,TRUE,"GENERAL"}</definedName>
    <definedName name="ADSAD" hidden="1">{"TAB1",#N/A,TRUE,"GENERAL";"TAB2",#N/A,TRUE,"GENERAL";"TAB3",#N/A,TRUE,"GENERAL";"TAB4",#N/A,TRUE,"GENERAL";"TAB5",#N/A,TRUE,"GENERAL"}</definedName>
    <definedName name="AE" localSheetId="3">#REF!</definedName>
    <definedName name="AE">#REF!</definedName>
    <definedName name="aefa" localSheetId="14"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3" hidden="1">{"via1",#N/A,TRUE,"general";"via2",#N/A,TRUE,"general";"via3",#N/A,TRUE,"general"}</definedName>
    <definedName name="aefa" localSheetId="15" hidden="1">{"via1",#N/A,TRUE,"general";"via2",#N/A,TRUE,"general";"via3",#N/A,TRUE,"general"}</definedName>
    <definedName name="aefa" hidden="1">{"via1",#N/A,TRUE,"general";"via2",#N/A,TRUE,"general";"via3",#N/A,TRUE,"general"}</definedName>
    <definedName name="AF" localSheetId="3">#REF!</definedName>
    <definedName name="AF">#REF!</definedName>
    <definedName name="afdsw" localSheetId="14"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5" hidden="1">{"TAB1",#N/A,TRUE,"GENERAL";"TAB2",#N/A,TRUE,"GENERAL";"TAB3",#N/A,TRUE,"GENERAL";"TAB4",#N/A,TRUE,"GENERAL";"TAB5",#N/A,TRUE,"GENERAL"}</definedName>
    <definedName name="afdsw" hidden="1">{"TAB1",#N/A,TRUE,"GENERAL";"TAB2",#N/A,TRUE,"GENERAL";"TAB3",#N/A,TRUE,"GENERAL";"TAB4",#N/A,TRUE,"GENERAL";"TAB5",#N/A,TRUE,"GENERAL"}</definedName>
    <definedName name="Afranio" localSheetId="3">#REF!</definedName>
    <definedName name="Afranio" localSheetId="30">#REF!</definedName>
    <definedName name="Afranio" localSheetId="31">#REF!</definedName>
    <definedName name="Afranio" localSheetId="29">#REF!</definedName>
    <definedName name="Afranio">#REF!</definedName>
    <definedName name="AG" localSheetId="3">#REF!</definedName>
    <definedName name="AG">#REF!</definedName>
    <definedName name="agdsgg" localSheetId="14"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3" hidden="1">{"via1",#N/A,TRUE,"general";"via2",#N/A,TRUE,"general";"via3",#N/A,TRUE,"general"}</definedName>
    <definedName name="agdsgg" localSheetId="15" hidden="1">{"via1",#N/A,TRUE,"general";"via2",#N/A,TRUE,"general";"via3",#N/A,TRUE,"general"}</definedName>
    <definedName name="agdsgg" hidden="1">{"via1",#N/A,TRUE,"general";"via2",#N/A,TRUE,"general";"via3",#N/A,TRUE,"general"}</definedName>
    <definedName name="AGRICOLA">#REF!</definedName>
    <definedName name="AGUA" localSheetId="3">#REF!</definedName>
    <definedName name="Agua" localSheetId="14">[24]Insumos!$D$34</definedName>
    <definedName name="AGUA" localSheetId="30">#REF!</definedName>
    <definedName name="AGUA" localSheetId="31">#REF!</definedName>
    <definedName name="Agua" localSheetId="16">[24]Insumos!$D$34</definedName>
    <definedName name="Agua" localSheetId="17">[24]Insumos!$D$34</definedName>
    <definedName name="Agua" localSheetId="13">[24]Insumos!$D$34</definedName>
    <definedName name="Agua" localSheetId="15">[24]Insumos!$D$34</definedName>
    <definedName name="AGUA" localSheetId="29">#REF!</definedName>
    <definedName name="AGUA">#REF!</definedName>
    <definedName name="AH" localSheetId="3">#REF!</definedName>
    <definedName name="AH" localSheetId="30">#REF!</definedName>
    <definedName name="AH" localSheetId="31">#REF!</definedName>
    <definedName name="AH" localSheetId="29">#REF!</definedName>
    <definedName name="AH">#REF!</definedName>
    <definedName name="ahe">#REF!</definedName>
    <definedName name="AI" localSheetId="3">#REF!</definedName>
    <definedName name="AI" localSheetId="30">#REF!</definedName>
    <definedName name="AI" localSheetId="31">#REF!</definedName>
    <definedName name="AI" localSheetId="29">#REF!</definedName>
    <definedName name="AI">#REF!</definedName>
    <definedName name="AIRE">'[7]DAT NUC'!$P$2:$P$401</definedName>
    <definedName name="AIU" localSheetId="3">#REF!</definedName>
    <definedName name="AIU" localSheetId="30">#REF!</definedName>
    <definedName name="AIU" localSheetId="31">#REF!</definedName>
    <definedName name="AIU" localSheetId="35">#REF!</definedName>
    <definedName name="AIU" localSheetId="29">#REF!</definedName>
    <definedName name="AIU">#REF!</definedName>
    <definedName name="AIU.">#REF!</definedName>
    <definedName name="AIU_" localSheetId="3">#REF!</definedName>
    <definedName name="AIU_" localSheetId="30">#REF!</definedName>
    <definedName name="AIU_" localSheetId="31">#REF!</definedName>
    <definedName name="AIU_" localSheetId="29">#REF!</definedName>
    <definedName name="AIU_">#REF!</definedName>
    <definedName name="AIU_1">#REF!</definedName>
    <definedName name="AIU_2">#REF!</definedName>
    <definedName name="aiun">#REF!</definedName>
    <definedName name="AJ" localSheetId="3">#REF!</definedName>
    <definedName name="AJ">#REF!</definedName>
    <definedName name="Ajizal">#REF!</definedName>
    <definedName name="AjustDelAIU">#REF!</definedName>
    <definedName name="AK" localSheetId="3">#REF!</definedName>
    <definedName name="AK">#REF!</definedName>
    <definedName name="AL" localSheetId="3">#REF!</definedName>
    <definedName name="AL" localSheetId="30">#REF!</definedName>
    <definedName name="AL" localSheetId="31">#REF!</definedName>
    <definedName name="AL" localSheetId="29">#REF!</definedName>
    <definedName name="AL">#REF!</definedName>
    <definedName name="alambre">#REF!</definedName>
    <definedName name="Alambre_negro_no._18">[24]Insumos!$D$24</definedName>
    <definedName name="ALANR">#REF!</definedName>
    <definedName name="alc" localSheetId="14">[34]!absc</definedName>
    <definedName name="alc" localSheetId="17">[34]!absc</definedName>
    <definedName name="alc" localSheetId="2">[34]!absc</definedName>
    <definedName name="alc" localSheetId="20">[34]!absc</definedName>
    <definedName name="alc" localSheetId="21">[34]!absc</definedName>
    <definedName name="alc" localSheetId="15">[34]!absc</definedName>
    <definedName name="alc">[34]!absc</definedName>
    <definedName name="alcantarillado">#REF!</definedName>
    <definedName name="ale" localSheetId="3">#REF!</definedName>
    <definedName name="ale">#REF!</definedName>
    <definedName name="ALIV487" localSheetId="3">#REF!</definedName>
    <definedName name="ALIV487" localSheetId="30">#REF!</definedName>
    <definedName name="ALIV487" localSheetId="31">#REF!</definedName>
    <definedName name="ALIV487" localSheetId="29">#REF!</definedName>
    <definedName name="ALIV487">#REF!</definedName>
    <definedName name="Almacenista" localSheetId="3">#REF!</definedName>
    <definedName name="Almacenista" localSheetId="14">[24]CUADRILLAS!$B$19</definedName>
    <definedName name="Almacenista" localSheetId="30">#REF!</definedName>
    <definedName name="Almacenista" localSheetId="31">#REF!</definedName>
    <definedName name="Almacenista" localSheetId="16">[24]CUADRILLAS!$B$19</definedName>
    <definedName name="Almacenista" localSheetId="17">[24]CUADRILLAS!$B$19</definedName>
    <definedName name="Almacenista" localSheetId="13">[24]CUADRILLAS!$B$19</definedName>
    <definedName name="Almacenista" localSheetId="15">[24]CUADRILLAS!$B$19</definedName>
    <definedName name="Almacenista" localSheetId="29">#REF!</definedName>
    <definedName name="Almacenista">#REF!</definedName>
    <definedName name="ALPUA">#REF!</definedName>
    <definedName name="AM" localSheetId="3">#REF!</definedName>
    <definedName name="AM">#REF!</definedName>
    <definedName name="Ambien" localSheetId="14" hidden="1">#REF!</definedName>
    <definedName name="Ambien" localSheetId="13" hidden="1">#REF!</definedName>
    <definedName name="Ambien" localSheetId="15" hidden="1">#REF!</definedName>
    <definedName name="Ambien" hidden="1">#REF!</definedName>
    <definedName name="AMBIENTAL">[35]ELDORADO!$A$2:$H$15</definedName>
    <definedName name="AN" localSheetId="3">#REF!</definedName>
    <definedName name="AN">#REF!</definedName>
    <definedName name="ANALISIS" localSheetId="3">#REF!</definedName>
    <definedName name="ANALISIS" localSheetId="30">#REF!</definedName>
    <definedName name="ANALISIS" localSheetId="31">#REF!</definedName>
    <definedName name="ANALISIS" localSheetId="29">#REF!</definedName>
    <definedName name="ANALISIS">#REF!</definedName>
    <definedName name="ANCLAJE">'[36]MC SF GAVIONES'!#REF!</definedName>
    <definedName name="ANDAM">#REF!</definedName>
    <definedName name="ANDRESVARGAS" localSheetId="14" hidden="1">{"via1",#N/A,TRUE,"general";"via2",#N/A,TRUE,"general";"via3",#N/A,TRUE,"general"}</definedName>
    <definedName name="ANDRESVARGAS" localSheetId="13" hidden="1">{"via1",#N/A,TRUE,"general";"via2",#N/A,TRUE,"general";"via3",#N/A,TRUE,"general"}</definedName>
    <definedName name="ANDRESVARGAS" localSheetId="15" hidden="1">{"via1",#N/A,TRUE,"general";"via2",#N/A,TRUE,"general";"via3",#N/A,TRUE,"general"}</definedName>
    <definedName name="ANDRESVARGAS" hidden="1">{"via1",#N/A,TRUE,"general";"via2",#N/A,TRUE,"general";"via3",#N/A,TRUE,"general"}</definedName>
    <definedName name="ANG2X2" localSheetId="3">#REF!</definedName>
    <definedName name="ANG2X2" localSheetId="30">#REF!</definedName>
    <definedName name="ANG2X2" localSheetId="31">#REF!</definedName>
    <definedName name="ANG2X2" localSheetId="29">#REF!</definedName>
    <definedName name="ANG2X2">#REF!</definedName>
    <definedName name="ANGULO" localSheetId="3">#REF!</definedName>
    <definedName name="ANGULO" localSheetId="30">#REF!</definedName>
    <definedName name="ANGULO" localSheetId="31">#REF!</definedName>
    <definedName name="ANGULO" localSheetId="29">#REF!</definedName>
    <definedName name="ANGULO">#REF!</definedName>
    <definedName name="anscount" hidden="1">1</definedName>
    <definedName name="Antic">[37]BASES!$B$33</definedName>
    <definedName name="ANTICIPO">[38]BASES!$B$33</definedName>
    <definedName name="ANTONIA">#N/A</definedName>
    <definedName name="ANTRA">#REF!</definedName>
    <definedName name="AÑO">#REF!</definedName>
    <definedName name="año1">'[39]ESTADO RED'!#REF!</definedName>
    <definedName name="AÑOWUIE">'[40]Res-Accide-10'!$R$2:$R$7</definedName>
    <definedName name="AO" localSheetId="3">#REF!</definedName>
    <definedName name="AO">#REF!</definedName>
    <definedName name="AP" localSheetId="3">#REF!</definedName>
    <definedName name="AP">#REF!</definedName>
    <definedName name="Ap_con_2000">[24]CONCRETOS!$E$27</definedName>
    <definedName name="Ap_con_3000">[24]CONCRETOS!$E$28</definedName>
    <definedName name="Ap_Mor">[24]CONCRETOS!$E$30</definedName>
    <definedName name="apu" localSheetId="3">#REF!</definedName>
    <definedName name="APU" localSheetId="14">[41]APU!$A:$G</definedName>
    <definedName name="apu" localSheetId="30">#REF!</definedName>
    <definedName name="apu" localSheetId="31">#REF!</definedName>
    <definedName name="APU" localSheetId="16">[41]APU!$A:$G</definedName>
    <definedName name="APU" localSheetId="17">[41]APU!$A:$G</definedName>
    <definedName name="APU" localSheetId="13">[41]APU!$A:$G</definedName>
    <definedName name="APU" localSheetId="15">[41]APU!$A:$G</definedName>
    <definedName name="apu" localSheetId="29">#REF!</definedName>
    <definedName name="apu">#REF!</definedName>
    <definedName name="APU_AUXILIARES">'[41]APU AUXILIARES'!$A:$G</definedName>
    <definedName name="APU_AUXILIARES_1">'[42]APU AUXILIARES 1'!$A:$G</definedName>
    <definedName name="APU_AUXILIARES_3" localSheetId="14">#REF!</definedName>
    <definedName name="APU_AUXILIARES_3" localSheetId="13">#REF!</definedName>
    <definedName name="APU_AUXILIARES_3" localSheetId="15">#REF!</definedName>
    <definedName name="APU_AUXILIARES_3">#REF!</definedName>
    <definedName name="APU_AUXILIARES_4" localSheetId="14">#REF!</definedName>
    <definedName name="APU_AUXILIARES_4" localSheetId="13">#REF!</definedName>
    <definedName name="APU_AUXILIARES_4" localSheetId="15">#REF!</definedName>
    <definedName name="APU_AUXILIARES_4">#REF!</definedName>
    <definedName name="APU_AUXILIARES_5" localSheetId="14">#REF!</definedName>
    <definedName name="APU_AUXILIARES_5" localSheetId="13">#REF!</definedName>
    <definedName name="APU_AUXILIARES_5" localSheetId="15">#REF!</definedName>
    <definedName name="APU_AUXILIARES_5">#REF!</definedName>
    <definedName name="APU_AUXILIARES_6" localSheetId="14">#REF!</definedName>
    <definedName name="APU_AUXILIARES_6" localSheetId="13">#REF!</definedName>
    <definedName name="APU_AUXILIARES_6" localSheetId="15">#REF!</definedName>
    <definedName name="APU_AUXILIARES_6">#REF!</definedName>
    <definedName name="APU_AXULIARES_2">'[42]APU AUXILIARES 2'!$A$1:$G$1104</definedName>
    <definedName name="APU_directos">#REF!</definedName>
    <definedName name="APU221.1">#REF!</definedName>
    <definedName name="APU221.2">#REF!</definedName>
    <definedName name="APU5P" localSheetId="14">[2]!absc</definedName>
    <definedName name="APU5P" localSheetId="17">[2]!absc</definedName>
    <definedName name="APU5P" localSheetId="2">[2]!absc</definedName>
    <definedName name="APU5P" localSheetId="20">[2]!absc</definedName>
    <definedName name="APU5P" localSheetId="21">[2]!absc</definedName>
    <definedName name="APU5P" localSheetId="15">[2]!absc</definedName>
    <definedName name="APU5P">[2]!absc</definedName>
    <definedName name="APUSENDEROSVILLALILIAM" localSheetId="3">#REF!</definedName>
    <definedName name="APUSENDEROSVILLALILIAM" localSheetId="30">#REF!</definedName>
    <definedName name="APUSENDEROSVILLALILIAM" localSheetId="31">#REF!</definedName>
    <definedName name="APUSENDEROSVILLALILIAM" localSheetId="29">#REF!</definedName>
    <definedName name="APUSENDEROSVILLALILIAM">#REF!</definedName>
    <definedName name="AQ" localSheetId="3">#REF!</definedName>
    <definedName name="AQ">#REF!</definedName>
    <definedName name="aqaq" localSheetId="14"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3" hidden="1">{"TAB1",#N/A,TRUE,"GENERAL";"TAB2",#N/A,TRUE,"GENERAL";"TAB3",#N/A,TRUE,"GENERAL";"TAB4",#N/A,TRUE,"GENERAL";"TAB5",#N/A,TRUE,"GENERAL"}</definedName>
    <definedName name="aqaq" localSheetId="15" hidden="1">{"TAB1",#N/A,TRUE,"GENERAL";"TAB2",#N/A,TRUE,"GENERAL";"TAB3",#N/A,TRUE,"GENERAL";"TAB4",#N/A,TRUE,"GENERAL";"TAB5",#N/A,TRUE,"GENERAL"}</definedName>
    <definedName name="aqaq" hidden="1">{"TAB1",#N/A,TRUE,"GENERAL";"TAB2",#N/A,TRUE,"GENERAL";"TAB3",#N/A,TRUE,"GENERAL";"TAB4",#N/A,TRUE,"GENERAL";"TAB5",#N/A,TRUE,"GENERAL"}</definedName>
    <definedName name="AR" localSheetId="3">#REF!</definedName>
    <definedName name="AR">#REF!</definedName>
    <definedName name="Ar_con_2000">[24]CONCRETOS!$E$221</definedName>
    <definedName name="Ar_con_3000">[24]CONCRETOS!$E$222</definedName>
    <definedName name="Ar_Mor">[24]CONCRETOS!$E$224</definedName>
    <definedName name="ARANA">#REF!</definedName>
    <definedName name="ARAND" localSheetId="3">#REF!</definedName>
    <definedName name="ARAND" localSheetId="30">#REF!</definedName>
    <definedName name="ARAND" localSheetId="31">#REF!</definedName>
    <definedName name="ARAND" localSheetId="29">#REF!</definedName>
    <definedName name="ARAND">#REF!</definedName>
    <definedName name="arbol">#REF!</definedName>
    <definedName name="arbolunmetro" localSheetId="3">#REF!</definedName>
    <definedName name="arbolunmetro" localSheetId="30">#REF!</definedName>
    <definedName name="arbolunmetro" localSheetId="31">#REF!</definedName>
    <definedName name="arbolunmetro" localSheetId="29">#REF!</definedName>
    <definedName name="arbolunmetro">#REF!</definedName>
    <definedName name="are">#REF!</definedName>
    <definedName name="Area_canal">[17]Dimensiones!$B$36</definedName>
    <definedName name="Área_de_Cantidades" localSheetId="3">#REF!</definedName>
    <definedName name="Área_de_Cantidades" localSheetId="30">#REF!</definedName>
    <definedName name="Área_de_Cantidades" localSheetId="31">#REF!</definedName>
    <definedName name="Área_de_Cantidades" localSheetId="29">#REF!</definedName>
    <definedName name="Área_de_Cantidades">#REF!</definedName>
    <definedName name="_xlnm.Extract" localSheetId="3">#REF!</definedName>
    <definedName name="_xlnm.Extract">#REF!</definedName>
    <definedName name="_xlnm.Print_Area" localSheetId="3">#REF!</definedName>
    <definedName name="_xlnm.Print_Area" localSheetId="14">AMBIENTAL!$A$1:$I$49</definedName>
    <definedName name="_xlnm.Print_Area" localSheetId="7">'APU''S'!$A$1:$J$1067</definedName>
    <definedName name="_xlnm.Print_Area" localSheetId="8">'APU''S CONC'!$A$1:$J$168</definedName>
    <definedName name="_xlnm.Print_Area" localSheetId="10">AU!$A$1:$K$46</definedName>
    <definedName name="_xlnm.Print_Area" localSheetId="30">'Base de Diseño (2)'!$A$1:$D$1</definedName>
    <definedName name="_xlnm.Print_Area" localSheetId="9">BD!$A$1:$E$162</definedName>
    <definedName name="_xlnm.Print_Area" localSheetId="31">'Cálculo_Diseño  (2)'!$A$1:$CR$545</definedName>
    <definedName name="_xlnm.Print_Area" localSheetId="22">'CRONOGRAMA Y FLUJO INVERSIÓN'!$A$1:$R$36</definedName>
    <definedName name="_xlnm.Print_Area" localSheetId="18">'F.M.'!$A$1:$F$49</definedName>
    <definedName name="_xlnm.Print_Area" localSheetId="16">'INT OBRA'!$A$1:$AG$78</definedName>
    <definedName name="_xlnm.Print_Area" localSheetId="17">'INT SUM'!$A$1:$I$50</definedName>
    <definedName name="_xlnm.Print_Area" localSheetId="1">'PLAN FINANCIERO'!$A$1:$K$26</definedName>
    <definedName name="_xlnm.Print_Area" localSheetId="12">PMT!$A$1:$H$35</definedName>
    <definedName name="_xlnm.Print_Area" localSheetId="20">'PÓLIZAS INT OBRA'!$A$1:$H$23</definedName>
    <definedName name="_xlnm.Print_Area" localSheetId="21">'PÓLIZAS INT SUM'!$A$1:$H$23</definedName>
    <definedName name="_xlnm.Print_Area" localSheetId="19">'PÓLIZAS OBRA'!$A$1:$H$23</definedName>
    <definedName name="_xlnm.Print_Area" localSheetId="35">'ppto (2)'!$A$1:$G$146</definedName>
    <definedName name="_xlnm.Print_Area" localSheetId="11">PREST!$A$1:$AO$30</definedName>
    <definedName name="_xlnm.Print_Area" localSheetId="0">PRESUP!$A$1:$O$148</definedName>
    <definedName name="_xlnm.Print_Area" localSheetId="13">SOCIAL!$A$1:$I$26</definedName>
    <definedName name="_xlnm.Print_Area" localSheetId="15">SST!$A$1:$I$28</definedName>
    <definedName name="_xlnm.Print_Area">#REF!</definedName>
    <definedName name="areaprotegida">#REF!</definedName>
    <definedName name="ARELC">#REF!</definedName>
    <definedName name="ARELF">#REF!</definedName>
    <definedName name="ARENA">#REF!</definedName>
    <definedName name="Arena_fina">[24]Insumos!$D$25</definedName>
    <definedName name="Arena_lavada_de_peña">[24]Insumos!$D$26</definedName>
    <definedName name="ARENC" localSheetId="3">#REF!</definedName>
    <definedName name="ARENC" localSheetId="30">#REF!</definedName>
    <definedName name="ARENC" localSheetId="31">#REF!</definedName>
    <definedName name="ARENC" localSheetId="29">#REF!</definedName>
    <definedName name="ARENC">#REF!</definedName>
    <definedName name="ARENF" localSheetId="3">#REF!</definedName>
    <definedName name="ARENF" localSheetId="30">#REF!</definedName>
    <definedName name="ARENF" localSheetId="31">#REF!</definedName>
    <definedName name="ARENF" localSheetId="29">#REF!</definedName>
    <definedName name="ARENF">#REF!</definedName>
    <definedName name="ARENI" localSheetId="3">#REF!</definedName>
    <definedName name="ARENI" localSheetId="30">#REF!</definedName>
    <definedName name="ARENI" localSheetId="31">#REF!</definedName>
    <definedName name="ARENI" localSheetId="29">#REF!</definedName>
    <definedName name="ARENI">#REF!</definedName>
    <definedName name="ARENP" localSheetId="3">#REF!</definedName>
    <definedName name="ARENP" localSheetId="30">#REF!</definedName>
    <definedName name="ARENP" localSheetId="31">#REF!</definedName>
    <definedName name="ARENP" localSheetId="29">#REF!</definedName>
    <definedName name="ARENP">#REF!</definedName>
    <definedName name="armuve">#N/A</definedName>
    <definedName name="ARTURO" localSheetId="3">#REF!</definedName>
    <definedName name="ARTURO" localSheetId="30">#REF!</definedName>
    <definedName name="ARTURO" localSheetId="31">#REF!</definedName>
    <definedName name="ARTURO" localSheetId="29">#REF!</definedName>
    <definedName name="ARTURO">#REF!</definedName>
    <definedName name="AS" localSheetId="3">#REF!</definedName>
    <definedName name="AS">#REF!</definedName>
    <definedName name="asas">[43]formulario!$A$6:$D$37</definedName>
    <definedName name="asasasa">[43]equipos!$A$2:$E$772</definedName>
    <definedName name="asasasas">[43]MATERIALES!$A$3:$D$192</definedName>
    <definedName name="asasasasa">[43]ACARREO!$A$3:$C$26</definedName>
    <definedName name="asasasasas">[43]CUADBASI!$A$13:$F$46</definedName>
    <definedName name="ASB">#REF!</definedName>
    <definedName name="ASD" localSheetId="14"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3" hidden="1">{"via1",#N/A,TRUE,"general";"via2",#N/A,TRUE,"general";"via3",#N/A,TRUE,"general"}</definedName>
    <definedName name="ASD" localSheetId="15" hidden="1">{"via1",#N/A,TRUE,"general";"via2",#N/A,TRUE,"general";"via3",#N/A,TRUE,"general"}</definedName>
    <definedName name="ASD" hidden="1">{"via1",#N/A,TRUE,"general";"via2",#N/A,TRUE,"general";"via3",#N/A,TRUE,"general"}</definedName>
    <definedName name="ASDA" localSheetId="14"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3" hidden="1">{"via1",#N/A,TRUE,"general";"via2",#N/A,TRUE,"general";"via3",#N/A,TRUE,"general"}</definedName>
    <definedName name="ASDA" localSheetId="15" hidden="1">{"via1",#N/A,TRUE,"general";"via2",#N/A,TRUE,"general";"via3",#N/A,TRUE,"general"}</definedName>
    <definedName name="ASDA" hidden="1">{"via1",#N/A,TRUE,"general";"via2",#N/A,TRUE,"general";"via3",#N/A,TRUE,"general"}</definedName>
    <definedName name="asdasd" localSheetId="14"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5" hidden="1">{"TAB1",#N/A,TRUE,"GENERAL";"TAB2",#N/A,TRUE,"GENERAL";"TAB3",#N/A,TRUE,"GENERAL";"TAB4",#N/A,TRUE,"GENERAL";"TAB5",#N/A,TRUE,"GENERAL"}</definedName>
    <definedName name="asdasd" hidden="1">{"TAB1",#N/A,TRUE,"GENERAL";"TAB2",#N/A,TRUE,"GENERAL";"TAB3",#N/A,TRUE,"GENERAL";"TAB4",#N/A,TRUE,"GENERAL";"TAB5",#N/A,TRUE,"GENERAL"}</definedName>
    <definedName name="asdf" localSheetId="14"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3" hidden="1">{"via1",#N/A,TRUE,"general";"via2",#N/A,TRUE,"general";"via3",#N/A,TRUE,"general"}</definedName>
    <definedName name="asdf" localSheetId="15" hidden="1">{"via1",#N/A,TRUE,"general";"via2",#N/A,TRUE,"general";"via3",#N/A,TRUE,"general"}</definedName>
    <definedName name="asdf" hidden="1">{"via1",#N/A,TRUE,"general";"via2",#N/A,TRUE,"general";"via3",#N/A,TRUE,"general"}</definedName>
    <definedName name="asdfa" localSheetId="14"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3" hidden="1">{"via1",#N/A,TRUE,"general";"via2",#N/A,TRUE,"general";"via3",#N/A,TRUE,"general"}</definedName>
    <definedName name="asdfa" localSheetId="15" hidden="1">{"via1",#N/A,TRUE,"general";"via2",#N/A,TRUE,"general";"via3",#N/A,TRUE,"general"}</definedName>
    <definedName name="asdfa" hidden="1">{"via1",#N/A,TRUE,"general";"via2",#N/A,TRUE,"general";"via3",#N/A,TRUE,"general"}</definedName>
    <definedName name="ASDFGHJKLÑ">#N/A</definedName>
    <definedName name="asdfñk">#N/A</definedName>
    <definedName name="Asesor_de_Tráfico" localSheetId="14">[24]CUADRILLAS!#REF!</definedName>
    <definedName name="Asesor_de_Tráfico" localSheetId="13">[24]CUADRILLAS!#REF!</definedName>
    <definedName name="Asesor_de_Tráfico" localSheetId="15">[24]CUADRILLAS!#REF!</definedName>
    <definedName name="Asesor_de_Tráfico">[24]CUADRILLAS!#REF!</definedName>
    <definedName name="asfasd" localSheetId="14"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3" hidden="1">{"via1",#N/A,TRUE,"general";"via2",#N/A,TRUE,"general";"via3",#N/A,TRUE,"general"}</definedName>
    <definedName name="asfasd" localSheetId="15" hidden="1">{"via1",#N/A,TRUE,"general";"via2",#N/A,TRUE,"general";"via3",#N/A,TRUE,"general"}</definedName>
    <definedName name="asfasd" hidden="1">{"via1",#N/A,TRUE,"general";"via2",#N/A,TRUE,"general";"via3",#N/A,TRUE,"general"}</definedName>
    <definedName name="asfasdl" localSheetId="14"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3" hidden="1">{"via1",#N/A,TRUE,"general";"via2",#N/A,TRUE,"general";"via3",#N/A,TRUE,"general"}</definedName>
    <definedName name="asfasdl" localSheetId="15"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4"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3" hidden="1">{"TAB1",#N/A,TRUE,"GENERAL";"TAB2",#N/A,TRUE,"GENERAL";"TAB3",#N/A,TRUE,"GENERAL";"TAB4",#N/A,TRUE,"GENERAL";"TAB5",#N/A,TRUE,"GENERAL"}</definedName>
    <definedName name="asff" localSheetId="15" hidden="1">{"TAB1",#N/A,TRUE,"GENERAL";"TAB2",#N/A,TRUE,"GENERAL";"TAB3",#N/A,TRUE,"GENERAL";"TAB4",#N/A,TRUE,"GENERAL";"TAB5",#N/A,TRUE,"GENERAL"}</definedName>
    <definedName name="asff" hidden="1">{"TAB1",#N/A,TRUE,"GENERAL";"TAB2",#N/A,TRUE,"GENERAL";"TAB3",#N/A,TRUE,"GENERAL";"TAB4",#N/A,TRUE,"GENERAL";"TAB5",#N/A,TRUE,"GENERAL"}</definedName>
    <definedName name="asfghjoi" localSheetId="14"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3" hidden="1">{"via1",#N/A,TRUE,"general";"via2",#N/A,TRUE,"general";"via3",#N/A,TRUE,"general"}</definedName>
    <definedName name="asfghjoi" localSheetId="15" hidden="1">{"via1",#N/A,TRUE,"general";"via2",#N/A,TRUE,"general";"via3",#N/A,TRUE,"general"}</definedName>
    <definedName name="asfghjoi" hidden="1">{"via1",#N/A,TRUE,"general";"via2",#N/A,TRUE,"general";"via3",#N/A,TRUE,"general"}</definedName>
    <definedName name="asojkdr" localSheetId="14"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5"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T" localSheetId="3">#REF!</definedName>
    <definedName name="AT">#REF!</definedName>
    <definedName name="AU" localSheetId="3">#REF!</definedName>
    <definedName name="AU">#REF!</definedName>
    <definedName name="aur">#REF!</definedName>
    <definedName name="auto1">#REF!</definedName>
    <definedName name="auto123">#REF!</definedName>
    <definedName name="auto2">#REF!</definedName>
    <definedName name="auxilio">'[24]F. P. AIU'!$B$49</definedName>
    <definedName name="AV" localSheetId="3">#REF!</definedName>
    <definedName name="AV">#REF!</definedName>
    <definedName name="AW" localSheetId="3">#REF!</definedName>
    <definedName name="AW">#REF!</definedName>
    <definedName name="AX">#REF!</definedName>
    <definedName name="ay">#REF!</definedName>
    <definedName name="ayu">#REF!</definedName>
    <definedName name="AYUDA" localSheetId="3">#REF!</definedName>
    <definedName name="AYUDA" localSheetId="30">#REF!</definedName>
    <definedName name="AYUDA" localSheetId="31">#REF!</definedName>
    <definedName name="AYUDA" localSheetId="29">#REF!</definedName>
    <definedName name="AYUDA">#REF!</definedName>
    <definedName name="AYUDA_">#REF!</definedName>
    <definedName name="ayudante">[24]CUADRILLAS!$G$8</definedName>
    <definedName name="AYUDR" localSheetId="3">#REF!</definedName>
    <definedName name="AYUDR" localSheetId="30">#REF!</definedName>
    <definedName name="AYUDR" localSheetId="31">#REF!</definedName>
    <definedName name="AYUDR" localSheetId="29">#REF!</definedName>
    <definedName name="AYUDR">#REF!</definedName>
    <definedName name="AZ" localSheetId="3">#REF!</definedName>
    <definedName name="AZ">#REF!</definedName>
    <definedName name="azaz" localSheetId="14"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3" hidden="1">{"TAB1",#N/A,TRUE,"GENERAL";"TAB2",#N/A,TRUE,"GENERAL";"TAB3",#N/A,TRUE,"GENERAL";"TAB4",#N/A,TRUE,"GENERAL";"TAB5",#N/A,TRUE,"GENERAL"}</definedName>
    <definedName name="azaz" localSheetId="15" hidden="1">{"TAB1",#N/A,TRUE,"GENERAL";"TAB2",#N/A,TRUE,"GENERAL";"TAB3",#N/A,TRUE,"GENERAL";"TAB4",#N/A,TRUE,"GENERAL";"TAB5",#N/A,TRUE,"GENERAL"}</definedName>
    <definedName name="azaz" hidden="1">{"TAB1",#N/A,TRUE,"GENERAL";"TAB2",#N/A,TRUE,"GENERAL";"TAB3",#N/A,TRUE,"GENERAL";"TAB4",#N/A,TRUE,"GENERAL";"TAB5",#N/A,TRUE,"GENERAL"}</definedName>
    <definedName name="B" localSheetId="3">#REF!</definedName>
    <definedName name="B" localSheetId="14"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3" hidden="1">{"via1",#N/A,TRUE,"general";"via2",#N/A,TRUE,"general";"via3",#N/A,TRUE,"general"}</definedName>
    <definedName name="B" localSheetId="15" hidden="1">{"via1",#N/A,TRUE,"general";"via2",#N/A,TRUE,"general";"via3",#N/A,TRUE,"general"}</definedName>
    <definedName name="B">#REF!</definedName>
    <definedName name="BA" localSheetId="3">#REF!</definedName>
    <definedName name="BA" localSheetId="30">#REF!</definedName>
    <definedName name="BA" localSheetId="31">#REF!</definedName>
    <definedName name="BA" localSheetId="29">#REF!</definedName>
    <definedName name="BA">#REF!</definedName>
    <definedName name="band">#REF!</definedName>
    <definedName name="bandera" localSheetId="3">#REF!</definedName>
    <definedName name="bandera" localSheetId="30">#REF!</definedName>
    <definedName name="bandera" localSheetId="31">#REF!</definedName>
    <definedName name="bandera" localSheetId="29">#REF!</definedName>
    <definedName name="bandera">#REF!</definedName>
    <definedName name="Barreras_plasticas_de_Aproximación__Maletines_tipo_Newjersy__o_similar">[24]Insumos!$D$43</definedName>
    <definedName name="Base" localSheetId="3">#REF!</definedName>
    <definedName name="Base" localSheetId="30">#REF!</definedName>
    <definedName name="Base" localSheetId="31">#REF!</definedName>
    <definedName name="Base" localSheetId="29">#REF!</definedName>
    <definedName name="Base">#REF!</definedName>
    <definedName name="Base_datos_IM" localSheetId="3">#REF!</definedName>
    <definedName name="Base_datos_IM" localSheetId="30">#REF!</definedName>
    <definedName name="Base_datos_IM" localSheetId="31">#REF!</definedName>
    <definedName name="Base_datos_IM" localSheetId="29">#REF!</definedName>
    <definedName name="Base_datos_IM">#REF!</definedName>
    <definedName name="_xlnm.Database" localSheetId="3">#REF!</definedName>
    <definedName name="_xlnm.Database" localSheetId="14">#REF!</definedName>
    <definedName name="_xlnm.Database" localSheetId="13">#REF!</definedName>
    <definedName name="_xlnm.Database" localSheetId="15">#REF!</definedName>
    <definedName name="_xlnm.Database">#REF!</definedName>
    <definedName name="BASEG" localSheetId="3">#REF!</definedName>
    <definedName name="BASEG" localSheetId="30">#REF!</definedName>
    <definedName name="BASEG" localSheetId="31">#REF!</definedName>
    <definedName name="BASEG" localSheetId="29">#REF!</definedName>
    <definedName name="BASEG">#REF!</definedName>
    <definedName name="BASEPRE" localSheetId="3">#REF!</definedName>
    <definedName name="BASEPRE" localSheetId="30">#REF!</definedName>
    <definedName name="BASEPRE" localSheetId="31">#REF!</definedName>
    <definedName name="BASEPRE" localSheetId="29">#REF!</definedName>
    <definedName name="BASEPRE">#REF!</definedName>
    <definedName name="BB" localSheetId="3">#REF!</definedName>
    <definedName name="BB" localSheetId="30">#REF!</definedName>
    <definedName name="BB" localSheetId="31">#REF!</definedName>
    <definedName name="BB" localSheetId="29">#REF!</definedName>
    <definedName name="BB">#REF!</definedName>
    <definedName name="bbbbbb" localSheetId="14"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3" hidden="1">{"via1",#N/A,TRUE,"general";"via2",#N/A,TRUE,"general";"via3",#N/A,TRUE,"general"}</definedName>
    <definedName name="bbbbbb" localSheetId="15" hidden="1">{"via1",#N/A,TRUE,"general";"via2",#N/A,TRUE,"general";"via3",#N/A,TRUE,"general"}</definedName>
    <definedName name="bbbbbb" hidden="1">{"via1",#N/A,TRUE,"general";"via2",#N/A,TRUE,"general";"via3",#N/A,TRUE,"general"}</definedName>
    <definedName name="BBBBBBBB">#REF!</definedName>
    <definedName name="bbbbbh" localSheetId="14"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5" hidden="1">{"TAB1",#N/A,TRUE,"GENERAL";"TAB2",#N/A,TRUE,"GENERAL";"TAB3",#N/A,TRUE,"GENERAL";"TAB4",#N/A,TRUE,"GENERAL";"TAB5",#N/A,TRUE,"GENERAL"}</definedName>
    <definedName name="bbbbbh" hidden="1">{"TAB1",#N/A,TRUE,"GENERAL";"TAB2",#N/A,TRUE,"GENERAL";"TAB3",#N/A,TRUE,"GENERAL";"TAB4",#N/A,TRUE,"GENERAL";"TAB5",#N/A,TRUE,"GENERAL"}</definedName>
    <definedName name="bbd" localSheetId="14"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3" hidden="1">{"TAB1",#N/A,TRUE,"GENERAL";"TAB2",#N/A,TRUE,"GENERAL";"TAB3",#N/A,TRUE,"GENERAL";"TAB4",#N/A,TRUE,"GENERAL";"TAB5",#N/A,TRUE,"GENERAL"}</definedName>
    <definedName name="bbd" localSheetId="15" hidden="1">{"TAB1",#N/A,TRUE,"GENERAL";"TAB2",#N/A,TRUE,"GENERAL";"TAB3",#N/A,TRUE,"GENERAL";"TAB4",#N/A,TRUE,"GENERAL";"TAB5",#N/A,TRUE,"GENERAL"}</definedName>
    <definedName name="bbd" hidden="1">{"TAB1",#N/A,TRUE,"GENERAL";"TAB2",#N/A,TRUE,"GENERAL";"TAB3",#N/A,TRUE,"GENERAL";"TAB4",#N/A,TRUE,"GENERAL";"TAB5",#N/A,TRUE,"GENERAL"}</definedName>
    <definedName name="BC" localSheetId="3">#REF!</definedName>
    <definedName name="BC">#REF!</definedName>
    <definedName name="BCXBDFG" localSheetId="14"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5" hidden="1">{"TAB1",#N/A,TRUE,"GENERAL";"TAB2",#N/A,TRUE,"GENERAL";"TAB3",#N/A,TRUE,"GENERAL";"TAB4",#N/A,TRUE,"GENERAL";"TAB5",#N/A,TRUE,"GENERAL"}</definedName>
    <definedName name="BCXBDFG" hidden="1">{"TAB1",#N/A,TRUE,"GENERAL";"TAB2",#N/A,TRUE,"GENERAL";"TAB3",#N/A,TRUE,"GENERAL";"TAB4",#N/A,TRUE,"GENERAL";"TAB5",#N/A,TRUE,"GENERAL"}</definedName>
    <definedName name="BD" localSheetId="3">#REF!</definedName>
    <definedName name="BD">#REF!</definedName>
    <definedName name="BDFB" localSheetId="14"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3" hidden="1">{"via1",#N/A,TRUE,"general";"via2",#N/A,TRUE,"general";"via3",#N/A,TRUE,"general"}</definedName>
    <definedName name="BDFB" localSheetId="15" hidden="1">{"via1",#N/A,TRUE,"general";"via2",#N/A,TRUE,"general";"via3",#N/A,TRUE,"general"}</definedName>
    <definedName name="BDFB" hidden="1">{"via1",#N/A,TRUE,"general";"via2",#N/A,TRUE,"general";"via3",#N/A,TRUE,"general"}</definedName>
    <definedName name="BDFGDG" localSheetId="14"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5" hidden="1">{"TAB1",#N/A,TRUE,"GENERAL";"TAB2",#N/A,TRUE,"GENERAL";"TAB3",#N/A,TRUE,"GENERAL";"TAB4",#N/A,TRUE,"GENERAL";"TAB5",#N/A,TRUE,"GENERAL"}</definedName>
    <definedName name="BDFGDG" hidden="1">{"TAB1",#N/A,TRUE,"GENERAL";"TAB2",#N/A,TRUE,"GENERAL";"TAB3",#N/A,TRUE,"GENERAL";"TAB4",#N/A,TRUE,"GENERAL";"TAB5",#N/A,TRUE,"GENERAL"}</definedName>
    <definedName name="BE" localSheetId="3">#REF!</definedName>
    <definedName name="be" localSheetId="14" hidden="1">{"TAB1",#N/A,TRUE,"GENERAL";"TAB2",#N/A,TRUE,"GENERAL";"TAB3",#N/A,TRUE,"GENERAL";"TAB4",#N/A,TRUE,"GENERAL";"TAB5",#N/A,TRUE,"GENERAL"}</definedName>
    <definedName name="BE" localSheetId="30">#REF!</definedName>
    <definedName name="BE" localSheetId="31">#REF!</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3" hidden="1">{"TAB1",#N/A,TRUE,"GENERAL";"TAB2",#N/A,TRUE,"GENERAL";"TAB3",#N/A,TRUE,"GENERAL";"TAB4",#N/A,TRUE,"GENERAL";"TAB5",#N/A,TRUE,"GENERAL"}</definedName>
    <definedName name="be" localSheetId="15" hidden="1">{"TAB1",#N/A,TRUE,"GENERAL";"TAB2",#N/A,TRUE,"GENERAL";"TAB3",#N/A,TRUE,"GENERAL";"TAB4",#N/A,TRUE,"GENERAL";"TAB5",#N/A,TRUE,"GENERAL"}</definedName>
    <definedName name="BE" localSheetId="29">#REF!</definedName>
    <definedName name="BE">#REF!</definedName>
    <definedName name="Beg_Bal">#REF!</definedName>
    <definedName name="BF" localSheetId="3">#REF!</definedName>
    <definedName name="BF">#REF!</definedName>
    <definedName name="bfnfv" localSheetId="14"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5"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14"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3" hidden="1">{"TAB1",#N/A,TRUE,"GENERAL";"TAB2",#N/A,TRUE,"GENERAL";"TAB3",#N/A,TRUE,"GENERAL";"TAB4",#N/A,TRUE,"GENERAL";"TAB5",#N/A,TRUE,"GENERAL"}</definedName>
    <definedName name="bgb" localSheetId="15" hidden="1">{"TAB1",#N/A,TRUE,"GENERAL";"TAB2",#N/A,TRUE,"GENERAL";"TAB3",#N/A,TRUE,"GENERAL";"TAB4",#N/A,TRUE,"GENERAL";"TAB5",#N/A,TRUE,"GENERAL"}</definedName>
    <definedName name="bgb" hidden="1">{"TAB1",#N/A,TRUE,"GENERAL";"TAB2",#N/A,TRUE,"GENERAL";"TAB3",#N/A,TRUE,"GENERAL";"TAB4",#N/A,TRUE,"GENERAL";"TAB5",#N/A,TRUE,"GENERAL"}</definedName>
    <definedName name="BGDGFRT" localSheetId="14"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3" hidden="1">{"via1",#N/A,TRUE,"general";"via2",#N/A,TRUE,"general";"via3",#N/A,TRUE,"general"}</definedName>
    <definedName name="BGDGFRT" localSheetId="15" hidden="1">{"via1",#N/A,TRUE,"general";"via2",#N/A,TRUE,"general";"via3",#N/A,TRUE,"general"}</definedName>
    <definedName name="BGDGFRT" hidden="1">{"via1",#N/A,TRUE,"general";"via2",#N/A,TRUE,"general";"via3",#N/A,TRUE,"general"}</definedName>
    <definedName name="BGFBFH" localSheetId="14"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3" hidden="1">{"via1",#N/A,TRUE,"general";"via2",#N/A,TRUE,"general";"via3",#N/A,TRUE,"general"}</definedName>
    <definedName name="BGFBFH" localSheetId="15" hidden="1">{"via1",#N/A,TRUE,"general";"via2",#N/A,TRUE,"general";"via3",#N/A,TRUE,"general"}</definedName>
    <definedName name="BGFBFH" hidden="1">{"via1",#N/A,TRUE,"general";"via2",#N/A,TRUE,"general";"via3",#N/A,TRUE,"general"}</definedName>
    <definedName name="bgh">#REF!</definedName>
    <definedName name="bgvfcdx" localSheetId="14"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3" hidden="1">{"via1",#N/A,TRUE,"general";"via2",#N/A,TRUE,"general";"via3",#N/A,TRUE,"general"}</definedName>
    <definedName name="bgvfcdx" localSheetId="15" hidden="1">{"via1",#N/A,TRUE,"general";"via2",#N/A,TRUE,"general";"via3",#N/A,TRUE,"general"}</definedName>
    <definedName name="bgvfcdx" hidden="1">{"via1",#N/A,TRUE,"general";"via2",#N/A,TRUE,"general";"via3",#N/A,TRUE,"general"}</definedName>
    <definedName name="BH" localSheetId="3">#REF!</definedName>
    <definedName name="BH">#REF!</definedName>
    <definedName name="BHT">#REF!</definedName>
    <definedName name="BI" localSheetId="3">#REF!</definedName>
    <definedName name="BI">#REF!</definedName>
    <definedName name="bimestre">'[44]ESTADO RED'!$E$8</definedName>
    <definedName name="BISCO">#REF!</definedName>
    <definedName name="BJ" localSheetId="3">#REF!</definedName>
    <definedName name="BJ">#REF!</definedName>
    <definedName name="BJHVVHGH" localSheetId="14">DATE(YEAR([45]!Loan_Start),MONTH([45]!Loan_Start)+Payment_Number,DAY([45]!Loan_Start))</definedName>
    <definedName name="BJHVVHGH" localSheetId="17">DATE(YEAR([45]!Loan_Start),MONTH([45]!Loan_Start)+Payment_Number,DAY([45]!Loan_Start))</definedName>
    <definedName name="BJHVVHGH" localSheetId="2">DATE(YEAR([45]!Loan_Start),MONTH([45]!Loan_Start)+Payment_Number,DAY([45]!Loan_Start))</definedName>
    <definedName name="BJHVVHGH" localSheetId="20">DATE(YEAR([45]!Loan_Start),MONTH([45]!Loan_Start)+Payment_Number,DAY([45]!Loan_Start))</definedName>
    <definedName name="BJHVVHGH" localSheetId="21">DATE(YEAR([45]!Loan_Start),MONTH([45]!Loan_Start)+Payment_Number,DAY([45]!Loan_Start))</definedName>
    <definedName name="BJHVVHGH" localSheetId="15">DATE(YEAR([45]!Loan_Start),MONTH([45]!Loan_Start)+Payment_Number,DAY([45]!Loan_Start))</definedName>
    <definedName name="BJHVVHGH">DATE(YEAR(Loan_Start),MONTH(Loan_Start)+Payment_Number,DAY(Loan_Start))</definedName>
    <definedName name="BK" localSheetId="3">#REF!</definedName>
    <definedName name="BK">#REF!</definedName>
    <definedName name="BL" localSheetId="3">#REF!</definedName>
    <definedName name="BL">#REF!</definedName>
    <definedName name="BLOCT">#REF!</definedName>
    <definedName name="BLOQ" localSheetId="3">#REF!</definedName>
    <definedName name="BLOQ" localSheetId="30">#REF!</definedName>
    <definedName name="BLOQ" localSheetId="31">#REF!</definedName>
    <definedName name="BLOQ" localSheetId="29">#REF!</definedName>
    <definedName name="BLOQ">#REF!</definedName>
    <definedName name="BLOQC">#REF!</definedName>
    <definedName name="bloque" localSheetId="3">#REF!</definedName>
    <definedName name="bloque" localSheetId="30">#REF!</definedName>
    <definedName name="bloque" localSheetId="31">#REF!</definedName>
    <definedName name="bloque" localSheetId="29">#REF!</definedName>
    <definedName name="bloque">#REF!</definedName>
    <definedName name="BLPH1" hidden="1">#REF!</definedName>
    <definedName name="BM" localSheetId="3">#REF!</definedName>
    <definedName name="BM">#REF!</definedName>
    <definedName name="BMHIDRO" localSheetId="3">#REF!</definedName>
    <definedName name="BMHIDRO" localSheetId="30">#REF!</definedName>
    <definedName name="BMHIDRO" localSheetId="31">#REF!</definedName>
    <definedName name="BMHIDRO" localSheetId="29">#REF!</definedName>
    <definedName name="BMHIDRO">#REF!</definedName>
    <definedName name="BN" localSheetId="3">#REF!</definedName>
    <definedName name="BN">#REF!</definedName>
    <definedName name="bnm">#REF!</definedName>
    <definedName name="BO" localSheetId="3">#REF!</definedName>
    <definedName name="BO">#REF!</definedName>
    <definedName name="BOBCAT" localSheetId="3">#REF!</definedName>
    <definedName name="BOBCAT" localSheetId="30">#REF!</definedName>
    <definedName name="BOBCAT" localSheetId="31">#REF!</definedName>
    <definedName name="BOBCAT" localSheetId="29">#REF!</definedName>
    <definedName name="BOBCAT">#REF!</definedName>
    <definedName name="BOMBA" localSheetId="3">#REF!</definedName>
    <definedName name="BOMBA" localSheetId="30">#REF!</definedName>
    <definedName name="BOMBA" localSheetId="31">#REF!</definedName>
    <definedName name="BOMBA" localSheetId="29">#REF!</definedName>
    <definedName name="BOMBA">#REF!</definedName>
    <definedName name="BORDE1" localSheetId="3">#REF!</definedName>
    <definedName name="BORDE1">#REF!</definedName>
    <definedName name="BORDE2">#REF!</definedName>
    <definedName name="BORDE3" localSheetId="3">#REF!</definedName>
    <definedName name="BORDE3" localSheetId="30">#REF!</definedName>
    <definedName name="BORDE3" localSheetId="31">#REF!</definedName>
    <definedName name="BORDE3" localSheetId="29">#REF!</definedName>
    <definedName name="BORDE3">#REF!</definedName>
    <definedName name="Bordevia" localSheetId="3">#REF!</definedName>
    <definedName name="Bordevia" localSheetId="30">#REF!</definedName>
    <definedName name="Bordevia" localSheetId="31">#REF!</definedName>
    <definedName name="Bordevia" localSheetId="29">#REF!</definedName>
    <definedName name="Bordevia">#REF!</definedName>
    <definedName name="BOTAD" localSheetId="3">#REF!</definedName>
    <definedName name="BOTAD" localSheetId="30">#REF!</definedName>
    <definedName name="BOTAD" localSheetId="31">#REF!</definedName>
    <definedName name="BOTAD" localSheetId="29">#REF!</definedName>
    <definedName name="BOTAD">#REF!</definedName>
    <definedName name="BOTADA">#REF!</definedName>
    <definedName name="BOTES" localSheetId="3">#REF!</definedName>
    <definedName name="BOTES" localSheetId="30">#REF!</definedName>
    <definedName name="BOTES" localSheetId="31">#REF!</definedName>
    <definedName name="BOTES" localSheetId="29">#REF!</definedName>
    <definedName name="BOTES">#REF!</definedName>
    <definedName name="BP" localSheetId="3">#REF!</definedName>
    <definedName name="BP">#REF!</definedName>
    <definedName name="BQ" localSheetId="3">#REF!</definedName>
    <definedName name="BQ">#REF!</definedName>
    <definedName name="BR" localSheetId="3">#REF!</definedName>
    <definedName name="br" localSheetId="14"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3" hidden="1">{"TAB1",#N/A,TRUE,"GENERAL";"TAB2",#N/A,TRUE,"GENERAL";"TAB3",#N/A,TRUE,"GENERAL";"TAB4",#N/A,TRUE,"GENERAL";"TAB5",#N/A,TRUE,"GENERAL"}</definedName>
    <definedName name="br" localSheetId="15" hidden="1">{"TAB1",#N/A,TRUE,"GENERAL";"TAB2",#N/A,TRUE,"GENERAL";"TAB3",#N/A,TRUE,"GENERAL";"TAB4",#N/A,TRUE,"GENERAL";"TAB5",#N/A,TRUE,"GENERAL"}</definedName>
    <definedName name="BR">#REF!</definedName>
    <definedName name="Brida" localSheetId="3">#REF!</definedName>
    <definedName name="Brida" localSheetId="30">#REF!</definedName>
    <definedName name="Brida" localSheetId="31">#REF!</definedName>
    <definedName name="Brida" localSheetId="29">#REF!</definedName>
    <definedName name="Brida">#REF!</definedName>
    <definedName name="BRIQ">[7]DATBAND!$D$3:$D$395</definedName>
    <definedName name="BROCADIAM" localSheetId="3">#REF!</definedName>
    <definedName name="BROCADIAM" localSheetId="30">#REF!</definedName>
    <definedName name="BROCADIAM" localSheetId="31">#REF!</definedName>
    <definedName name="BROCADIAM" localSheetId="29">#REF!</definedName>
    <definedName name="BROCADIAM">#REF!</definedName>
    <definedName name="BROCH">#REF!</definedName>
    <definedName name="BS" localSheetId="3">#REF!</definedName>
    <definedName name="BS">#REF!</definedName>
    <definedName name="bsb" localSheetId="14"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3" hidden="1">{"via1",#N/A,TRUE,"general";"via2",#N/A,TRUE,"general";"via3",#N/A,TRUE,"general"}</definedName>
    <definedName name="bsb" localSheetId="15" hidden="1">{"via1",#N/A,TRUE,"general";"via2",#N/A,TRUE,"general";"via3",#N/A,TRUE,"general"}</definedName>
    <definedName name="bsb" hidden="1">{"via1",#N/A,TRUE,"general";"via2",#N/A,TRUE,"general";"via3",#N/A,TRUE,"general"}</definedName>
    <definedName name="BSOL64">#REF!</definedName>
    <definedName name="bspoi" localSheetId="14"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5" hidden="1">{"TAB1",#N/A,TRUE,"GENERAL";"TAB2",#N/A,TRUE,"GENERAL";"TAB3",#N/A,TRUE,"GENERAL";"TAB4",#N/A,TRUE,"GENERAL";"TAB5",#N/A,TRUE,"GENERAL"}</definedName>
    <definedName name="bspoi" hidden="1">{"TAB1",#N/A,TRUE,"GENERAL";"TAB2",#N/A,TRUE,"GENERAL";"TAB3",#N/A,TRUE,"GENERAL";"TAB4",#N/A,TRUE,"GENERAL";"TAB5",#N/A,TRUE,"GENERAL"}</definedName>
    <definedName name="BT" localSheetId="3">#REF!</definedName>
    <definedName name="bt" localSheetId="14" hidden="1">{"via1",#N/A,TRUE,"general";"via2",#N/A,TRUE,"general";"via3",#N/A,TRUE,"general"}</definedName>
    <definedName name="BT" localSheetId="30">#REF!</definedName>
    <definedName name="BT" localSheetId="31">#REF!</definedName>
    <definedName name="bt" localSheetId="16" hidden="1">{"via1",#N/A,TRUE,"general";"via2",#N/A,TRUE,"general";"via3",#N/A,TRUE,"general"}</definedName>
    <definedName name="bt" localSheetId="17" hidden="1">{"via1",#N/A,TRUE,"general";"via2",#N/A,TRUE,"general";"via3",#N/A,TRUE,"general"}</definedName>
    <definedName name="bt" localSheetId="13" hidden="1">{"via1",#N/A,TRUE,"general";"via2",#N/A,TRUE,"general";"via3",#N/A,TRUE,"general"}</definedName>
    <definedName name="bt" localSheetId="15" hidden="1">{"via1",#N/A,TRUE,"general";"via2",#N/A,TRUE,"general";"via3",#N/A,TRUE,"general"}</definedName>
    <definedName name="BT" localSheetId="29">#REF!</definedName>
    <definedName name="BT">#REF!</definedName>
    <definedName name="BTYJHTR" localSheetId="14"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5" hidden="1">{"TAB1",#N/A,TRUE,"GENERAL";"TAB2",#N/A,TRUE,"GENERAL";"TAB3",#N/A,TRUE,"GENERAL";"TAB4",#N/A,TRUE,"GENERAL";"TAB5",#N/A,TRUE,"GENERAL"}</definedName>
    <definedName name="BTYJHTR" hidden="1">{"TAB1",#N/A,TRUE,"GENERAL";"TAB2",#N/A,TRUE,"GENERAL";"TAB3",#N/A,TRUE,"GENERAL";"TAB4",#N/A,TRUE,"GENERAL";"TAB5",#N/A,TRUE,"GENERAL"}</definedName>
    <definedName name="BU" localSheetId="3">#REF!</definedName>
    <definedName name="BU" localSheetId="30">#REF!</definedName>
    <definedName name="BU" localSheetId="31">#REF!</definedName>
    <definedName name="BU" localSheetId="29">#REF!</definedName>
    <definedName name="BU">#REF!</definedName>
    <definedName name="BUENO">'[46]ESTADO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3">#REF!</definedName>
    <definedName name="BuiltIn_Print_Area" localSheetId="30">#REF!</definedName>
    <definedName name="BuiltIn_Print_Area" localSheetId="31">#REF!</definedName>
    <definedName name="BuiltIn_Print_Area" localSheetId="29">#REF!</definedName>
    <definedName name="BuiltIn_Print_Area">#REF!</definedName>
    <definedName name="BuiltIn_Print_Area___0" localSheetId="3">#REF!</definedName>
    <definedName name="BuiltIn_Print_Area___0" localSheetId="30">#REF!</definedName>
    <definedName name="BuiltIn_Print_Area___0" localSheetId="31">#REF!</definedName>
    <definedName name="BuiltIn_Print_Area___0" localSheetId="29">#REF!</definedName>
    <definedName name="BuiltIn_Print_Area___0">#REF!</definedName>
    <definedName name="BuiltIn_Print_Area___0___0" localSheetId="3">#REF!</definedName>
    <definedName name="BuiltIn_Print_Area___0___0" localSheetId="30">#REF!</definedName>
    <definedName name="BuiltIn_Print_Area___0___0" localSheetId="31">#REF!</definedName>
    <definedName name="BuiltIn_Print_Area___0___0" localSheetId="29">#REF!</definedName>
    <definedName name="BuiltIn_Print_Area___0___0">#REF!</definedName>
    <definedName name="BuiltIn_Print_Area___0___0___0" localSheetId="3">#REF!</definedName>
    <definedName name="BuiltIn_Print_Area___0___0___0" localSheetId="30">#REF!</definedName>
    <definedName name="BuiltIn_Print_Area___0___0___0" localSheetId="31">#REF!</definedName>
    <definedName name="BuiltIn_Print_Area___0___0___0" localSheetId="29">#REF!</definedName>
    <definedName name="BuiltIn_Print_Area___0___0___0">#REF!</definedName>
    <definedName name="BuiltIn_Print_Titles" localSheetId="3">#REF!</definedName>
    <definedName name="BuiltIn_Print_Titles" localSheetId="30">#REF!</definedName>
    <definedName name="BuiltIn_Print_Titles" localSheetId="31">#REF!</definedName>
    <definedName name="BuiltIn_Print_Titles" localSheetId="29">#REF!</definedName>
    <definedName name="BuiltIn_Print_Titles">#REF!</definedName>
    <definedName name="buld">#REF!</definedName>
    <definedName name="Buldozer__Potencia_al_volante_de_140_HP__motor_de_2200_RPM__longitud_de_hoja_4_80_m.">'[24]Equipo y transporte'!$D$21</definedName>
    <definedName name="BULL" localSheetId="3">#REF!</definedName>
    <definedName name="BULL" localSheetId="30">#REF!</definedName>
    <definedName name="BULL" localSheetId="31">#REF!</definedName>
    <definedName name="BULL" localSheetId="29">#REF!</definedName>
    <definedName name="BULL">#REF!</definedName>
    <definedName name="BULLDOZ">#REF!</definedName>
    <definedName name="BV" localSheetId="3">#REF!</definedName>
    <definedName name="BV">#REF!</definedName>
    <definedName name="bvbc" localSheetId="14"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3" hidden="1">{"TAB1",#N/A,TRUE,"GENERAL";"TAB2",#N/A,TRUE,"GENERAL";"TAB3",#N/A,TRUE,"GENERAL";"TAB4",#N/A,TRUE,"GENERAL";"TAB5",#N/A,TRUE,"GENERAL"}</definedName>
    <definedName name="bvbc" localSheetId="15" hidden="1">{"TAB1",#N/A,TRUE,"GENERAL";"TAB2",#N/A,TRUE,"GENERAL";"TAB3",#N/A,TRUE,"GENERAL";"TAB4",#N/A,TRUE,"GENERAL";"TAB5",#N/A,TRUE,"GENERAL"}</definedName>
    <definedName name="bvbc" hidden="1">{"TAB1",#N/A,TRUE,"GENERAL";"TAB2",#N/A,TRUE,"GENERAL";"TAB3",#N/A,TRUE,"GENERAL";"TAB4",#N/A,TRUE,"GENERAL";"TAB5",#N/A,TRUE,"GENERAL"}</definedName>
    <definedName name="bvcb" localSheetId="14"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3" hidden="1">{"via1",#N/A,TRUE,"general";"via2",#N/A,TRUE,"general";"via3",#N/A,TRUE,"general"}</definedName>
    <definedName name="bvcb" localSheetId="15" hidden="1">{"via1",#N/A,TRUE,"general";"via2",#N/A,TRUE,"general";"via3",#N/A,TRUE,"general"}</definedName>
    <definedName name="bvcb" hidden="1">{"via1",#N/A,TRUE,"general";"via2",#N/A,TRUE,"general";"via3",#N/A,TRUE,"general"}</definedName>
    <definedName name="bvn" localSheetId="14"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3" hidden="1">{"via1",#N/A,TRUE,"general";"via2",#N/A,TRUE,"general";"via3",#N/A,TRUE,"general"}</definedName>
    <definedName name="bvn" localSheetId="15" hidden="1">{"via1",#N/A,TRUE,"general";"via2",#N/A,TRUE,"general";"via3",#N/A,TRUE,"general"}</definedName>
    <definedName name="bvn" hidden="1">{"via1",#N/A,TRUE,"general";"via2",#N/A,TRUE,"general";"via3",#N/A,TRUE,"general"}</definedName>
    <definedName name="BW" localSheetId="3">#REF!</definedName>
    <definedName name="BW">#REF!</definedName>
    <definedName name="BX" localSheetId="3">#REF!</definedName>
    <definedName name="BX" localSheetId="30">#REF!</definedName>
    <definedName name="BX" localSheetId="31">#REF!</definedName>
    <definedName name="BX" localSheetId="29">#REF!</definedName>
    <definedName name="BX">#REF!</definedName>
    <definedName name="BY" localSheetId="3">#REF!</definedName>
    <definedName name="by" localSheetId="14"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3" hidden="1">{"via1",#N/A,TRUE,"general";"via2",#N/A,TRUE,"general";"via3",#N/A,TRUE,"general"}</definedName>
    <definedName name="by" localSheetId="15" hidden="1">{"via1",#N/A,TRUE,"general";"via2",#N/A,TRUE,"general";"via3",#N/A,TRUE,"general"}</definedName>
    <definedName name="BY">#REF!</definedName>
    <definedName name="BZ" localSheetId="3">#REF!</definedName>
    <definedName name="BZ">#REF!</definedName>
    <definedName name="C_" localSheetId="3">#REF!</definedName>
    <definedName name="C_" localSheetId="30">#REF!</definedName>
    <definedName name="C_" localSheetId="31">#REF!</definedName>
    <definedName name="C_" localSheetId="29">#REF!</definedName>
    <definedName name="C_">#REF!</definedName>
    <definedName name="C900.2">#REF!</definedName>
    <definedName name="C90445L" localSheetId="3">#REF!</definedName>
    <definedName name="C90445L" localSheetId="30">#REF!</definedName>
    <definedName name="C90445L" localSheetId="31">#REF!</definedName>
    <definedName name="C90445L" localSheetId="29">#REF!</definedName>
    <definedName name="C90445L">#REF!</definedName>
    <definedName name="CA" localSheetId="3">#REF!</definedName>
    <definedName name="CA">#REF!</definedName>
    <definedName name="caa" localSheetId="3">#REF!</definedName>
    <definedName name="caa" localSheetId="30">#REF!</definedName>
    <definedName name="caa" localSheetId="31">#REF!</definedName>
    <definedName name="caa" localSheetId="29">#REF!</definedName>
    <definedName name="caa">#REF!</definedName>
    <definedName name="CABAL">#REF!</definedName>
    <definedName name="cade">[24]CUADRILLAS!$B$12</definedName>
    <definedName name="CADIZA" localSheetId="3">#REF!</definedName>
    <definedName name="CADIZA" localSheetId="30">#REF!</definedName>
    <definedName name="CADIZA" localSheetId="31">#REF!</definedName>
    <definedName name="CADIZA" localSheetId="29">#REF!</definedName>
    <definedName name="CADIZA">#REF!</definedName>
    <definedName name="CAJAC">#REF!</definedName>
    <definedName name="CAJAV">#REF!</definedName>
    <definedName name="CAJMI">#REF!</definedName>
    <definedName name="CAMBIO" localSheetId="3">#REF!</definedName>
    <definedName name="CAMBIO" localSheetId="30">#REF!</definedName>
    <definedName name="CAMBIO" localSheetId="31">#REF!</definedName>
    <definedName name="CAMBIO" localSheetId="29">#REF!</definedName>
    <definedName name="CAMBIO">#REF!</definedName>
    <definedName name="camioneta">'[24]Equipo y transporte'!$D$26</definedName>
    <definedName name="Camioneta_D_300">'[24]Equipo y transporte'!$D$24</definedName>
    <definedName name="CANAL">#REF!</definedName>
    <definedName name="CANAL6">#REF!</definedName>
    <definedName name="cang">#REF!</definedName>
    <definedName name="CANGU" localSheetId="3">#REF!</definedName>
    <definedName name="CANGU" localSheetId="30">#REF!</definedName>
    <definedName name="CANGU" localSheetId="31">#REF!</definedName>
    <definedName name="CANGU" localSheetId="29">#REF!</definedName>
    <definedName name="CANGU">#REF!</definedName>
    <definedName name="CANGURO" localSheetId="3">#REF!</definedName>
    <definedName name="CANGURO" localSheetId="30">#REF!</definedName>
    <definedName name="CANGURO" localSheetId="31">#REF!</definedName>
    <definedName name="CANGURO" localSheetId="29">#REF!</definedName>
    <definedName name="CANGURO">#REF!</definedName>
    <definedName name="cant">[47]BASE!$C$4:$H$261</definedName>
    <definedName name="Cantidad" localSheetId="3">#REF!</definedName>
    <definedName name="Cantidad" localSheetId="30">#REF!</definedName>
    <definedName name="Cantidad" localSheetId="31">#REF!</definedName>
    <definedName name="Cantidad" localSheetId="29">#REF!</definedName>
    <definedName name="Cantidad">#REF!</definedName>
    <definedName name="CAP" localSheetId="3">#REF!</definedName>
    <definedName name="CAP" localSheetId="30">#REF!</definedName>
    <definedName name="CAP" localSheetId="31">#REF!</definedName>
    <definedName name="CAP" localSheetId="29">#REF!</definedName>
    <definedName name="CAP">#REF!</definedName>
    <definedName name="capt">#REF!</definedName>
    <definedName name="Car_con_2000">[24]CONCRETOS!$E$420</definedName>
    <definedName name="Car_con_3000">[24]CONCRETOS!$E$421</definedName>
    <definedName name="Car_Mor">[24]CONCRETOS!$E$423</definedName>
    <definedName name="caracterizacion">[24]Caracterización!$G$82</definedName>
    <definedName name="carg">#REF!</definedName>
    <definedName name="CARGAD">#REF!</definedName>
    <definedName name="CARGADOR">#REF!</definedName>
    <definedName name="CARGUER">#REF!</definedName>
    <definedName name="CARLOS" localSheetId="14">DATE(YEAR([45]!Loan_Start),MONTH([45]!Loan_Start)+Payment_Number,DAY([45]!Loan_Start))</definedName>
    <definedName name="CARLOS" localSheetId="17">DATE(YEAR([45]!Loan_Start),MONTH([45]!Loan_Start)+Payment_Number,DAY([45]!Loan_Start))</definedName>
    <definedName name="CARLOS" localSheetId="2">DATE(YEAR([45]!Loan_Start),MONTH([45]!Loan_Start)+Payment_Number,DAY([45]!Loan_Start))</definedName>
    <definedName name="CARLOS" localSheetId="20">DATE(YEAR([45]!Loan_Start),MONTH([45]!Loan_Start)+Payment_Number,DAY([45]!Loan_Start))</definedName>
    <definedName name="CARLOS" localSheetId="21">DATE(YEAR([45]!Loan_Start),MONTH([45]!Loan_Start)+Payment_Number,DAY([45]!Loan_Start))</definedName>
    <definedName name="CARLOS" localSheetId="15">DATE(YEAR([45]!Loan_Start),MONTH([45]!Loan_Start)+Payment_Number,DAY([45]!Loan_Start))</definedName>
    <definedName name="CARLOS">DATE(YEAR(Loan_Start),MONTH(Loan_Start)+Payment_Number,DAY(Loan_Start))</definedName>
    <definedName name="CAROL">'[48]precios-básicos2002'!$C$12:$C$56</definedName>
    <definedName name="carol1">'[30]precios-básicos2002'!$C$12:$C$56</definedName>
    <definedName name="CARRETERA" localSheetId="3">#REF!</definedName>
    <definedName name="CARRETERA" localSheetId="30">#REF!</definedName>
    <definedName name="CARRETERA" localSheetId="31">#REF!</definedName>
    <definedName name="CARRETERA" localSheetId="29">#REF!</definedName>
    <definedName name="CARRETERA">#REF!</definedName>
    <definedName name="CARRETERAS">[48]DATOS!$A$9</definedName>
    <definedName name="CARRO" localSheetId="3">#REF!</definedName>
    <definedName name="CARRO" localSheetId="30">#REF!</definedName>
    <definedName name="CARRO" localSheetId="31">#REF!</definedName>
    <definedName name="CARRO" localSheetId="29">#REF!</definedName>
    <definedName name="CARRO">#REF!</definedName>
    <definedName name="Carrotanque_1000_gl">'[24]Equipo y transporte'!$D$16</definedName>
    <definedName name="CARRTA">#REF!</definedName>
    <definedName name="Casa">#REF!</definedName>
    <definedName name="cata" localSheetId="3">#REF!</definedName>
    <definedName name="cata">#REF!</definedName>
    <definedName name="causa">#REF!</definedName>
    <definedName name="CB" localSheetId="3">#REF!</definedName>
    <definedName name="CB">#REF!</definedName>
    <definedName name="CBWorkbookPriority" hidden="1">-1602700874</definedName>
    <definedName name="CC" localSheetId="3">#REF!</definedName>
    <definedName name="CC">#REF!</definedName>
    <definedName name="ccccc" localSheetId="14"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5" hidden="1">{"TAB1",#N/A,TRUE,"GENERAL";"TAB2",#N/A,TRUE,"GENERAL";"TAB3",#N/A,TRUE,"GENERAL";"TAB4",#N/A,TRUE,"GENERAL";"TAB5",#N/A,TRUE,"GENERAL"}</definedName>
    <definedName name="ccccc" hidden="1">{"TAB1",#N/A,TRUE,"GENERAL";"TAB2",#N/A,TRUE,"GENERAL";"TAB3",#N/A,TRUE,"GENERAL";"TAB4",#N/A,TRUE,"GENERAL";"TAB5",#N/A,TRUE,"GENERAL"}</definedName>
    <definedName name="CCCCCC">'[49]A. P. U.'!#REF!</definedName>
    <definedName name="ccto210">#REF!</definedName>
    <definedName name="cd">#REF!</definedName>
    <definedName name="CD454JH" localSheetId="3">#REF!</definedName>
    <definedName name="CD454JH" localSheetId="30">#REF!</definedName>
    <definedName name="CD454JH" localSheetId="31">#REF!</definedName>
    <definedName name="CD454JH" localSheetId="35">#REF!</definedName>
    <definedName name="CD454JH" localSheetId="29">#REF!</definedName>
    <definedName name="CD454JH">#REF!</definedName>
    <definedName name="cdcd" localSheetId="14" hidden="1">#REF!</definedName>
    <definedName name="cdcd" localSheetId="13" hidden="1">#REF!</definedName>
    <definedName name="cdcd" localSheetId="15" hidden="1">#REF!</definedName>
    <definedName name="cdcd" hidden="1">#REF!</definedName>
    <definedName name="cdcdc" localSheetId="14"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3" hidden="1">{"via1",#N/A,TRUE,"general";"via2",#N/A,TRUE,"general";"via3",#N/A,TRUE,"general"}</definedName>
    <definedName name="cdcdc" localSheetId="15" hidden="1">{"via1",#N/A,TRUE,"general";"via2",#N/A,TRUE,"general";"via3",#N/A,TRUE,"general"}</definedName>
    <definedName name="cdcdc" hidden="1">{"via1",#N/A,TRUE,"general";"via2",#N/A,TRUE,"general";"via3",#N/A,TRUE,"general"}</definedName>
    <definedName name="CDctrl">[50]CDItem!$G$8</definedName>
    <definedName name="cdfgrtfd" hidden="1">#REF!</definedName>
    <definedName name="cds" hidden="1">{#N/A,#N/A,FALSE,"sumi ";#N/A,#N/A,FALSE,"RESUMEN"}</definedName>
    <definedName name="CE" localSheetId="3">#REF!</definedName>
    <definedName name="CE">#REF!</definedName>
    <definedName name="ceerf" localSheetId="14"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5" hidden="1">{"TAB1",#N/A,TRUE,"GENERAL";"TAB2",#N/A,TRUE,"GENERAL";"TAB3",#N/A,TRUE,"GENERAL";"TAB4",#N/A,TRUE,"GENERAL";"TAB5",#N/A,TRUE,"GENERAL"}</definedName>
    <definedName name="ceerf" hidden="1">{"TAB1",#N/A,TRUE,"GENERAL";"TAB2",#N/A,TRUE,"GENERAL";"TAB3",#N/A,TRUE,"GENERAL";"TAB4",#N/A,TRUE,"GENERAL";"TAB5",#N/A,TRUE,"GENERAL"}</definedName>
    <definedName name="Celador" localSheetId="3">#REF!</definedName>
    <definedName name="Celador" localSheetId="30">#REF!</definedName>
    <definedName name="Celador" localSheetId="31">#REF!</definedName>
    <definedName name="Celador" localSheetId="29">#REF!</definedName>
    <definedName name="Celador">#REF!</definedName>
    <definedName name="cem">#REF!</definedName>
    <definedName name="CEMEG" localSheetId="3">#REF!</definedName>
    <definedName name="CEMEG" localSheetId="30">#REF!</definedName>
    <definedName name="CEMEG" localSheetId="31">#REF!</definedName>
    <definedName name="CEMEG" localSheetId="29">#REF!</definedName>
    <definedName name="CEMEG">#REF!</definedName>
    <definedName name="CEMENTO">[51]Insum!$A$3:$H$63</definedName>
    <definedName name="Cemento_gris__Inlcuye_tranporte_interno_en_obra_cargue_y_descargue">[24]Insumos!$D$30</definedName>
    <definedName name="cesped">#REF!</definedName>
    <definedName name="CF" localSheetId="3">#REF!</definedName>
    <definedName name="CF">#REF!</definedName>
    <definedName name="CG" localSheetId="3">#REF!</definedName>
    <definedName name="CG" localSheetId="30">#REF!</definedName>
    <definedName name="CG" localSheetId="31">#REF!</definedName>
    <definedName name="CG" localSheetId="29">#REF!</definedName>
    <definedName name="CG">#REF!</definedName>
    <definedName name="CH" localSheetId="3">#REF!</definedName>
    <definedName name="CH" localSheetId="30">#REF!</definedName>
    <definedName name="CH" localSheetId="31">#REF!</definedName>
    <definedName name="CH" localSheetId="29">#REF!</definedName>
    <definedName name="CH">#REF!</definedName>
    <definedName name="CHAPA">#REF!</definedName>
    <definedName name="CHAPA14" localSheetId="3">#REF!</definedName>
    <definedName name="CHAPA14" localSheetId="30">#REF!</definedName>
    <definedName name="CHAPA14" localSheetId="31">#REF!</definedName>
    <definedName name="CHAPA14" localSheetId="29">#REF!</definedName>
    <definedName name="CHAPA14">#REF!</definedName>
    <definedName name="CHAPA16" localSheetId="3">#REF!</definedName>
    <definedName name="CHAPA16" localSheetId="30">#REF!</definedName>
    <definedName name="CHAPA16" localSheetId="31">#REF!</definedName>
    <definedName name="CHAPA16" localSheetId="29">#REF!</definedName>
    <definedName name="CHAPA16">#REF!</definedName>
    <definedName name="CHAPA20" localSheetId="3">#REF!</definedName>
    <definedName name="CHAPA20" localSheetId="30">#REF!</definedName>
    <definedName name="CHAPA20" localSheetId="31">#REF!</definedName>
    <definedName name="CHAPA20" localSheetId="29">#REF!</definedName>
    <definedName name="CHAPA20">#REF!</definedName>
    <definedName name="CHAPA24" localSheetId="3">#REF!</definedName>
    <definedName name="CHAPA24" localSheetId="30">#REF!</definedName>
    <definedName name="CHAPA24" localSheetId="31">#REF!</definedName>
    <definedName name="CHAPA24" localSheetId="29">#REF!</definedName>
    <definedName name="CHAPA24">#REF!</definedName>
    <definedName name="CHAPA30" localSheetId="3">#REF!</definedName>
    <definedName name="CHAPA30" localSheetId="30">#REF!</definedName>
    <definedName name="CHAPA30" localSheetId="31">#REF!</definedName>
    <definedName name="CHAPA30" localSheetId="29">#REF!</definedName>
    <definedName name="CHAPA30">#REF!</definedName>
    <definedName name="CHARN" localSheetId="3">#REF!</definedName>
    <definedName name="CHARN" localSheetId="30">#REF!</definedName>
    <definedName name="CHARN" localSheetId="31">#REF!</definedName>
    <definedName name="CHARN" localSheetId="29">#REF!</definedName>
    <definedName name="CHARN">#REF!</definedName>
    <definedName name="CHARN20" localSheetId="3">#REF!</definedName>
    <definedName name="CHARN20" localSheetId="30">#REF!</definedName>
    <definedName name="CHARN20" localSheetId="31">#REF!</definedName>
    <definedName name="CHARN20" localSheetId="29">#REF!</definedName>
    <definedName name="CHARN20">#REF!</definedName>
    <definedName name="Chi_con_2000">[24]CONCRETOS!$E$619</definedName>
    <definedName name="Chi_con_3000">[24]CONCRETOS!$E$620</definedName>
    <definedName name="Chi_Mor">[24]CONCRETOS!$E$622</definedName>
    <definedName name="CHIPARB" localSheetId="3">#REF!</definedName>
    <definedName name="CHIPARB" localSheetId="30">#REF!</definedName>
    <definedName name="CHIPARB" localSheetId="31">#REF!</definedName>
    <definedName name="CHIPARB" localSheetId="29">#REF!</definedName>
    <definedName name="CHIPARB">#REF!</definedName>
    <definedName name="CI" localSheetId="3">#REF!</definedName>
    <definedName name="CI">#REF!</definedName>
    <definedName name="CINTA">#REF!</definedName>
    <definedName name="Cinta_Plastica__PELIGRO_NO_PASE">[24]Insumos!$D$44</definedName>
    <definedName name="civ" localSheetId="14" hidden="1">{#N/A,#N/A,TRUE,"1842CWN0"}</definedName>
    <definedName name="civ" localSheetId="13" hidden="1">{#N/A,#N/A,TRUE,"1842CWN0"}</definedName>
    <definedName name="civ" localSheetId="15" hidden="1">{#N/A,#N/A,TRUE,"1842CWN0"}</definedName>
    <definedName name="civ" hidden="1">{#N/A,#N/A,TRUE,"1842CWN0"}</definedName>
    <definedName name="civ_1" localSheetId="14" hidden="1">{#N/A,#N/A,TRUE,"1842CWN0"}</definedName>
    <definedName name="civ_1" localSheetId="13" hidden="1">{#N/A,#N/A,TRUE,"1842CWN0"}</definedName>
    <definedName name="civ_1" localSheetId="15" hidden="1">{#N/A,#N/A,TRUE,"1842CWN0"}</definedName>
    <definedName name="civ_1" hidden="1">{#N/A,#N/A,TRUE,"1842CWN0"}</definedName>
    <definedName name="civ_2" localSheetId="14" hidden="1">{#N/A,#N/A,TRUE,"1842CWN0"}</definedName>
    <definedName name="civ_2" localSheetId="13" hidden="1">{#N/A,#N/A,TRUE,"1842CWN0"}</definedName>
    <definedName name="civ_2" localSheetId="15" hidden="1">{#N/A,#N/A,TRUE,"1842CWN0"}</definedName>
    <definedName name="civ_2" hidden="1">{#N/A,#N/A,TRUE,"1842CWN0"}</definedName>
    <definedName name="CJ" localSheetId="3">#REF!</definedName>
    <definedName name="CJ">#REF!</definedName>
    <definedName name="cjsa" hidden="1">#REF!</definedName>
    <definedName name="CK" localSheetId="3">#REF!</definedName>
    <definedName name="CK" localSheetId="30">#REF!</definedName>
    <definedName name="CK" localSheetId="31">#REF!</definedName>
    <definedName name="CK" localSheetId="29">#REF!</definedName>
    <definedName name="CK">#REF!</definedName>
    <definedName name="CL" localSheetId="3">#REF!</definedName>
    <definedName name="CL">#REF!</definedName>
    <definedName name="clase">#REF!</definedName>
    <definedName name="CLASIFIC">[23]Datos!$V$3:$V$646</definedName>
    <definedName name="clav">#REF!</definedName>
    <definedName name="CLAVO">#REF!</definedName>
    <definedName name="CLAVO1" localSheetId="3">#REF!</definedName>
    <definedName name="CLAVO1" localSheetId="30">#REF!</definedName>
    <definedName name="CLAVO1" localSheetId="31">#REF!</definedName>
    <definedName name="CLAVO1" localSheetId="29">#REF!</definedName>
    <definedName name="CLAVO1">#REF!</definedName>
    <definedName name="CM" localSheetId="3">#REF!</definedName>
    <definedName name="CM">#REF!</definedName>
    <definedName name="CMMO" localSheetId="3">#REF!</definedName>
    <definedName name="CMMO" localSheetId="30">#REF!</definedName>
    <definedName name="CMMO" localSheetId="31">#REF!</definedName>
    <definedName name="CMMO" localSheetId="29">#REF!</definedName>
    <definedName name="CMMO">#REF!</definedName>
    <definedName name="CMMOA">#REF!</definedName>
    <definedName name="CN" localSheetId="3">#REF!</definedName>
    <definedName name="CN" localSheetId="30">#REF!</definedName>
    <definedName name="CN" localSheetId="31">#REF!</definedName>
    <definedName name="CN" localSheetId="29">#REF!</definedName>
    <definedName name="CN">#REF!</definedName>
    <definedName name="cnmi2" localSheetId="3">#REF!</definedName>
    <definedName name="cnmi2" localSheetId="35">#REF!</definedName>
    <definedName name="cnmi2">#REF!</definedName>
    <definedName name="CO" localSheetId="3">#REF!</definedName>
    <definedName name="CO">#REF!</definedName>
    <definedName name="CO1116JH">#REF!</definedName>
    <definedName name="CO113JH" localSheetId="3">#REF!</definedName>
    <definedName name="CO113JH" localSheetId="30">#REF!</definedName>
    <definedName name="CO113JH" localSheetId="31">#REF!</definedName>
    <definedName name="CO113JH" localSheetId="29">#REF!</definedName>
    <definedName name="CO113JH">#REF!</definedName>
    <definedName name="CO118JH" localSheetId="3">#REF!</definedName>
    <definedName name="CO118JH" localSheetId="30">#REF!</definedName>
    <definedName name="CO118JH" localSheetId="31">#REF!</definedName>
    <definedName name="CO118JH" localSheetId="29">#REF!</definedName>
    <definedName name="CO118JH">#REF!</definedName>
    <definedName name="CO2216JH">#REF!</definedName>
    <definedName name="CO223JH" localSheetId="3">#REF!</definedName>
    <definedName name="CO223JH" localSheetId="30">#REF!</definedName>
    <definedName name="CO223JH" localSheetId="31">#REF!</definedName>
    <definedName name="CO223JH" localSheetId="29">#REF!</definedName>
    <definedName name="CO223JH">#REF!</definedName>
    <definedName name="CO226JH">#REF!</definedName>
    <definedName name="CO22JH">#REF!</definedName>
    <definedName name="CO23JH" localSheetId="3">#REF!</definedName>
    <definedName name="CO23JH" localSheetId="30">#REF!</definedName>
    <definedName name="CO23JH" localSheetId="31">#REF!</definedName>
    <definedName name="CO23JH" localSheetId="35">#REF!</definedName>
    <definedName name="CO23JH" localSheetId="29">#REF!</definedName>
    <definedName name="CO23JH">#REF!</definedName>
    <definedName name="CO456JH" localSheetId="3">#REF!</definedName>
    <definedName name="CO456JH" localSheetId="30">#REF!</definedName>
    <definedName name="CO456JH" localSheetId="31">#REF!</definedName>
    <definedName name="CO456JH" localSheetId="29">#REF!</definedName>
    <definedName name="CO456JH">#REF!</definedName>
    <definedName name="CO458JH" localSheetId="3">#REF!</definedName>
    <definedName name="CO458JH" localSheetId="30">#REF!</definedName>
    <definedName name="CO458JH" localSheetId="31">#REF!</definedName>
    <definedName name="CO458JH" localSheetId="35">#REF!</definedName>
    <definedName name="CO458JH" localSheetId="29">#REF!</definedName>
    <definedName name="CO458JH">#REF!</definedName>
    <definedName name="CO45S2">#REF!</definedName>
    <definedName name="CO45S3">#REF!</definedName>
    <definedName name="CO45S4">#REF!</definedName>
    <definedName name="CO45S6" localSheetId="3">#REF!</definedName>
    <definedName name="CO45S6" localSheetId="30">#REF!</definedName>
    <definedName name="CO45S6" localSheetId="31">#REF!</definedName>
    <definedName name="CO45S6" localSheetId="29">#REF!</definedName>
    <definedName name="CO45S6">#REF!</definedName>
    <definedName name="CO9016JH">#REF!</definedName>
    <definedName name="CO902JH" localSheetId="3">#REF!</definedName>
    <definedName name="CO902JH" localSheetId="30">#REF!</definedName>
    <definedName name="CO902JH" localSheetId="31">#REF!</definedName>
    <definedName name="CO902JH" localSheetId="35">#REF!</definedName>
    <definedName name="CO902JH" localSheetId="29">#REF!</definedName>
    <definedName name="CO902JH">#REF!</definedName>
    <definedName name="CO903JH" localSheetId="3">#REF!</definedName>
    <definedName name="CO903JH" localSheetId="30">#REF!</definedName>
    <definedName name="CO903JH" localSheetId="31">#REF!</definedName>
    <definedName name="CO903JH" localSheetId="35">#REF!</definedName>
    <definedName name="CO903JH" localSheetId="29">#REF!</definedName>
    <definedName name="CO903JH">#REF!</definedName>
    <definedName name="CO904JH" localSheetId="3">#REF!</definedName>
    <definedName name="CO904JH" localSheetId="30">#REF!</definedName>
    <definedName name="CO904JH" localSheetId="31">#REF!</definedName>
    <definedName name="CO904JH" localSheetId="35">#REF!</definedName>
    <definedName name="CO904JH" localSheetId="29">#REF!</definedName>
    <definedName name="CO904JH">#REF!</definedName>
    <definedName name="CO906JH" localSheetId="3">#REF!</definedName>
    <definedName name="CO906JH" localSheetId="30">#REF!</definedName>
    <definedName name="CO906JH" localSheetId="31">#REF!</definedName>
    <definedName name="CO906JH" localSheetId="35">#REF!</definedName>
    <definedName name="CO906JH" localSheetId="29">#REF!</definedName>
    <definedName name="CO906JH">#REF!</definedName>
    <definedName name="CO908JH" localSheetId="3">#REF!</definedName>
    <definedName name="CO908JH" localSheetId="30">#REF!</definedName>
    <definedName name="CO908JH" localSheetId="31">#REF!</definedName>
    <definedName name="CO908JH" localSheetId="35">#REF!</definedName>
    <definedName name="CO908JH" localSheetId="29">#REF!</definedName>
    <definedName name="CO908JH">#REF!</definedName>
    <definedName name="CO90P4">#REF!</definedName>
    <definedName name="CO90S2">#REF!</definedName>
    <definedName name="CO90S3">#REF!</definedName>
    <definedName name="CO90S4">#REF!</definedName>
    <definedName name="CO90S6">#REF!</definedName>
    <definedName name="CO910JH" localSheetId="3">#REF!</definedName>
    <definedName name="CO910JH" localSheetId="30">#REF!</definedName>
    <definedName name="CO910JH" localSheetId="31">#REF!</definedName>
    <definedName name="CO910JH" localSheetId="35">#REF!</definedName>
    <definedName name="CO910JH" localSheetId="29">#REF!</definedName>
    <definedName name="CO910JH">#REF!</definedName>
    <definedName name="CobroSuspencion">"Elipse 8"</definedName>
    <definedName name="Cod" localSheetId="3">#REF!</definedName>
    <definedName name="Cod" localSheetId="30">#REF!</definedName>
    <definedName name="Cod" localSheetId="31">#REF!</definedName>
    <definedName name="Cod" localSheetId="29">#REF!</definedName>
    <definedName name="Cod">#REF!</definedName>
    <definedName name="cod_programa">#REF!</definedName>
    <definedName name="cod_proyecto">#REF!</definedName>
    <definedName name="COD224JH" localSheetId="3">#REF!</definedName>
    <definedName name="COD224JH" localSheetId="30">#REF!</definedName>
    <definedName name="COD224JH" localSheetId="31">#REF!</definedName>
    <definedName name="COD224JH" localSheetId="29">#REF!</definedName>
    <definedName name="COD224JH">#REF!</definedName>
    <definedName name="COD456UC" localSheetId="3">#REF!</definedName>
    <definedName name="COD456UC" localSheetId="30">#REF!</definedName>
    <definedName name="COD456UC" localSheetId="31">#REF!</definedName>
    <definedName name="COD456UC" localSheetId="29">#REF!</definedName>
    <definedName name="COD456UC">#REF!</definedName>
    <definedName name="COD458JH" localSheetId="3">#REF!</definedName>
    <definedName name="COD458JH" localSheetId="30">#REF!</definedName>
    <definedName name="COD458JH" localSheetId="31">#REF!</definedName>
    <definedName name="COD458JH" localSheetId="29">#REF!</definedName>
    <definedName name="COD458JH">#REF!</definedName>
    <definedName name="COD903JH" localSheetId="3">#REF!</definedName>
    <definedName name="COD903JH" localSheetId="30">#REF!</definedName>
    <definedName name="COD903JH" localSheetId="31">#REF!</definedName>
    <definedName name="COD903JH" localSheetId="29">#REF!</definedName>
    <definedName name="COD903JH">#REF!</definedName>
    <definedName name="COD904JH">#REF!</definedName>
    <definedName name="COD906JH">#REF!</definedName>
    <definedName name="COD906UC" localSheetId="3">#REF!</definedName>
    <definedName name="COD906UC" localSheetId="30">#REF!</definedName>
    <definedName name="COD906UC" localSheetId="31">#REF!</definedName>
    <definedName name="COD906UC" localSheetId="29">#REF!</definedName>
    <definedName name="COD906UC">#REF!</definedName>
    <definedName name="COD90UC">#REF!</definedName>
    <definedName name="CÓDIGOS_EQUIPOS">'[41]INSUMOS EQUIPOS'!$A$8:$A$107</definedName>
    <definedName name="CÓDIGOS_MANO_DE_OBRA">'[41]INSUMOS MANO DE OBRA'!$A$8:$A$63</definedName>
    <definedName name="CÓDIGOS_SERVICIOS">'[41]INSUMOS SERVICIOS'!$A$12:$A$53</definedName>
    <definedName name="CÓDIGOS_TRANSPORTES">'[41]INSUMOS TRANSPORTES'!$A$8:$A$47</definedName>
    <definedName name="CODO906JH" localSheetId="3">#REF!</definedName>
    <definedName name="CODO906JH" localSheetId="30">#REF!</definedName>
    <definedName name="CODO906JH" localSheetId="31">#REF!</definedName>
    <definedName name="CODO906JH" localSheetId="29">#REF!</definedName>
    <definedName name="CODO906JH">#REF!</definedName>
    <definedName name="CODOS" localSheetId="3">#REF!</definedName>
    <definedName name="CODOS" localSheetId="30">#REF!</definedName>
    <definedName name="CODOS" localSheetId="31">#REF!</definedName>
    <definedName name="CODOS" localSheetId="29">#REF!</definedName>
    <definedName name="CODOS">#REF!</definedName>
    <definedName name="COLLDE" localSheetId="3">#REF!</definedName>
    <definedName name="COLLDE" localSheetId="30">#REF!</definedName>
    <definedName name="COLLDE" localSheetId="31">#REF!</definedName>
    <definedName name="COLLDE" localSheetId="29">#REF!</definedName>
    <definedName name="COLLDE">#REF!</definedName>
    <definedName name="COLLDE3" localSheetId="3">#REF!</definedName>
    <definedName name="COLLDE3" localSheetId="30">#REF!</definedName>
    <definedName name="COLLDE3" localSheetId="31">#REF!</definedName>
    <definedName name="COLLDE3" localSheetId="29">#REF!</definedName>
    <definedName name="COLLDE3">#REF!</definedName>
    <definedName name="COLLDE4" localSheetId="3">#REF!</definedName>
    <definedName name="COLLDE4" localSheetId="30">#REF!</definedName>
    <definedName name="COLLDE4" localSheetId="31">#REF!</definedName>
    <definedName name="COLLDE4" localSheetId="29">#REF!</definedName>
    <definedName name="COLLDE4">#REF!</definedName>
    <definedName name="COLLDER">#REF!</definedName>
    <definedName name="ColTap">#REF!</definedName>
    <definedName name="COMN1" localSheetId="3">#REF!</definedName>
    <definedName name="COMN1" localSheetId="35">#REF!</definedName>
    <definedName name="COMN1">#REF!</definedName>
    <definedName name="COMP">'[7]DAT NUC'!$M$2:$M$518</definedName>
    <definedName name="compneu">#REF!</definedName>
    <definedName name="COMPR" localSheetId="3">#REF!</definedName>
    <definedName name="COMPR" localSheetId="30">#REF!</definedName>
    <definedName name="COMPR" localSheetId="31">#REF!</definedName>
    <definedName name="COMPR" localSheetId="29">#REF!</definedName>
    <definedName name="COMPR">#REF!</definedName>
    <definedName name="COMPRE" localSheetId="3">#REF!</definedName>
    <definedName name="COMPRE" localSheetId="30">#REF!</definedName>
    <definedName name="COMPRE" localSheetId="31">#REF!</definedName>
    <definedName name="COMPRE" localSheetId="29">#REF!</definedName>
    <definedName name="COMPRE">#REF!</definedName>
    <definedName name="COMPRESOR">#REF!</definedName>
    <definedName name="Compresor_80HP__con_martillo">'[24]Equipo y transporte'!$D$25</definedName>
    <definedName name="COMPRNEU" localSheetId="3">#REF!</definedName>
    <definedName name="COMPRNEU" localSheetId="30">#REF!</definedName>
    <definedName name="COMPRNEU" localSheetId="31">#REF!</definedName>
    <definedName name="COMPRNEU" localSheetId="29">#REF!</definedName>
    <definedName name="COMPRNEU">#REF!</definedName>
    <definedName name="conc">#REF!</definedName>
    <definedName name="concreto">#REF!</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1_m">[17]Dimensiones!$F$36</definedName>
    <definedName name="Concreto2_m">[17]Dimensiones!$F$38</definedName>
    <definedName name="Concreto3_m">[17]Dimensiones!$F$40</definedName>
    <definedName name="Concreto4_m">[17]Dimensiones!$F$42</definedName>
    <definedName name="Concreto5_m">[17]Dimensiones!$F$44</definedName>
    <definedName name="Conexion" localSheetId="3">#REF!</definedName>
    <definedName name="Conexion" localSheetId="30">#REF!</definedName>
    <definedName name="Conexion" localSheetId="31">#REF!</definedName>
    <definedName name="Conexion" localSheetId="29">#REF!</definedName>
    <definedName name="Conexion">#REF!</definedName>
    <definedName name="CONM1" localSheetId="3">#REF!</definedName>
    <definedName name="CONM1" localSheetId="30">#REF!</definedName>
    <definedName name="CONM1" localSheetId="31">#REF!</definedName>
    <definedName name="CONM1" localSheetId="29">#REF!</definedName>
    <definedName name="CONM1">#REF!</definedName>
    <definedName name="CONM2">#REF!</definedName>
    <definedName name="CONMI" localSheetId="3">#REF!</definedName>
    <definedName name="CONMI" localSheetId="35">#REF!</definedName>
    <definedName name="CONMI">#REF!</definedName>
    <definedName name="CONMX" localSheetId="3">#REF!</definedName>
    <definedName name="CONMX" localSheetId="30">#REF!</definedName>
    <definedName name="CONMX" localSheetId="31">#REF!</definedName>
    <definedName name="CONMX" localSheetId="29">#REF!</definedName>
    <definedName name="CONMX">#REF!</definedName>
    <definedName name="CONREDC" localSheetId="3">#REF!</definedName>
    <definedName name="CONREDC" localSheetId="30">#REF!</definedName>
    <definedName name="CONREDC" localSheetId="31">#REF!</definedName>
    <definedName name="CONREDC" localSheetId="29">#REF!</definedName>
    <definedName name="CONREDC">#REF!</definedName>
    <definedName name="constante">[7]DATOS!$AO$3:$AO$483</definedName>
    <definedName name="contra" localSheetId="3">#REF!</definedName>
    <definedName name="contra" localSheetId="30">#REF!</definedName>
    <definedName name="contra" localSheetId="31">#REF!</definedName>
    <definedName name="contra" localSheetId="29">#REF!</definedName>
    <definedName name="contra">#REF!</definedName>
    <definedName name="Contreto_3000">#REF!</definedName>
    <definedName name="copia" localSheetId="3">#REF!</definedName>
    <definedName name="copia" localSheetId="30">#REF!</definedName>
    <definedName name="copia" localSheetId="31">#REF!</definedName>
    <definedName name="copia" localSheetId="29">#REF!</definedName>
    <definedName name="copia">#REF!</definedName>
    <definedName name="copiao4">#N/A</definedName>
    <definedName name="copiar">[52]Sheet1!$AC$68</definedName>
    <definedName name="CORED15">#REF!</definedName>
    <definedName name="corri">#N/A</definedName>
    <definedName name="CORTA">#REF!</definedName>
    <definedName name="CORTACT">#REF!</definedName>
    <definedName name="CORTACTO">#REF!</definedName>
    <definedName name="CORTADIS">#REF!</definedName>
    <definedName name="CORTAP" localSheetId="3">#REF!</definedName>
    <definedName name="CORTAP" localSheetId="30">#REF!</definedName>
    <definedName name="CORTAP" localSheetId="31">#REF!</definedName>
    <definedName name="CORTAP" localSheetId="29">#REF!</definedName>
    <definedName name="CORTAP">#REF!</definedName>
    <definedName name="CORTPD" localSheetId="3">#REF!</definedName>
    <definedName name="CORTPD" localSheetId="30">#REF!</definedName>
    <definedName name="CORTPD" localSheetId="31">#REF!</definedName>
    <definedName name="CORTPD" localSheetId="29">#REF!</definedName>
    <definedName name="CORTPD">#REF!</definedName>
    <definedName name="COSTO_TRANSPORTE">[53]Distanc!$B$5:$E$19</definedName>
    <definedName name="costo2" hidden="1">#REF!</definedName>
    <definedName name="COSTODIRECTO">#REF!</definedName>
    <definedName name="COSTOS">[54]TARIFAS!$A$1:$F$52</definedName>
    <definedName name="COSTOS_DIREC">[24]Pres!$H$165</definedName>
    <definedName name="cota">#REF!</definedName>
    <definedName name="COTAS" localSheetId="3">#REF!</definedName>
    <definedName name="COTAS" localSheetId="30">#REF!</definedName>
    <definedName name="COTAS" localSheetId="31">#REF!</definedName>
    <definedName name="COTAS" localSheetId="29">#REF!</definedName>
    <definedName name="COTAS">#REF!</definedName>
    <definedName name="cotasalfs">#REF!</definedName>
    <definedName name="COYLL" localSheetId="3">#REF!</definedName>
    <definedName name="COYLL" localSheetId="30">#REF!</definedName>
    <definedName name="COYLL" localSheetId="31">#REF!</definedName>
    <definedName name="COYLL" localSheetId="35">#REF!</definedName>
    <definedName name="COYLL" localSheetId="29">#REF!</definedName>
    <definedName name="COYLL">#REF!</definedName>
    <definedName name="CP" localSheetId="3">#REF!</definedName>
    <definedName name="CP">#REF!</definedName>
    <definedName name="CP226L">#REF!</definedName>
    <definedName name="CP452L" localSheetId="3">#REF!</definedName>
    <definedName name="CP452L" localSheetId="30">#REF!</definedName>
    <definedName name="CP452L" localSheetId="31">#REF!</definedName>
    <definedName name="CP452L" localSheetId="35">#REF!</definedName>
    <definedName name="CP452L" localSheetId="29">#REF!</definedName>
    <definedName name="CP452L">#REF!</definedName>
    <definedName name="CP453L" localSheetId="3">#REF!</definedName>
    <definedName name="CP453L" localSheetId="30">#REF!</definedName>
    <definedName name="CP453L" localSheetId="31">#REF!</definedName>
    <definedName name="CP453L" localSheetId="35">#REF!</definedName>
    <definedName name="CP453L" localSheetId="29">#REF!</definedName>
    <definedName name="CP453L">#REF!</definedName>
    <definedName name="CP454L">#REF!</definedName>
    <definedName name="CP902L" localSheetId="3">#REF!</definedName>
    <definedName name="CP902L" localSheetId="30">#REF!</definedName>
    <definedName name="CP902L" localSheetId="31">#REF!</definedName>
    <definedName name="CP902L" localSheetId="35">#REF!</definedName>
    <definedName name="CP902L" localSheetId="29">#REF!</definedName>
    <definedName name="CP902L">#REF!</definedName>
    <definedName name="CP903L" localSheetId="3">#REF!</definedName>
    <definedName name="CP903L" localSheetId="30">#REF!</definedName>
    <definedName name="CP903L" localSheetId="31">#REF!</definedName>
    <definedName name="CP903L" localSheetId="35">#REF!</definedName>
    <definedName name="CP903L" localSheetId="29">#REF!</definedName>
    <definedName name="CP903L">#REF!</definedName>
    <definedName name="CP904L" localSheetId="3">#REF!</definedName>
    <definedName name="CP904L" localSheetId="30">#REF!</definedName>
    <definedName name="CP904L" localSheetId="31">#REF!</definedName>
    <definedName name="CP904L" localSheetId="35">#REF!</definedName>
    <definedName name="CP904L" localSheetId="29">#REF!</definedName>
    <definedName name="CP904L">#REF!</definedName>
    <definedName name="CQ" localSheetId="3">#REF!</definedName>
    <definedName name="CQ">#REF!</definedName>
    <definedName name="CR" localSheetId="3">#REF!</definedName>
    <definedName name="CR">#REF!</definedName>
    <definedName name="CR22JH">#REF!</definedName>
    <definedName name="CR42JH">#REF!</definedName>
    <definedName name="CR43JH">#REF!</definedName>
    <definedName name="CR44JH">#REF!</definedName>
    <definedName name="CR66JH">#REF!</definedName>
    <definedName name="CRAS" localSheetId="3">#REF!</definedName>
    <definedName name="CRAS" localSheetId="30">#REF!</definedName>
    <definedName name="CRAS" localSheetId="31">#REF!</definedName>
    <definedName name="CRAS" localSheetId="29">#REF!</definedName>
    <definedName name="CRAS">#REF!</definedName>
    <definedName name="_xlnm.Criteria" localSheetId="3">#REF!</definedName>
    <definedName name="_xlnm.Criteria" localSheetId="30">#REF!</definedName>
    <definedName name="_xlnm.Criteria" localSheetId="31">#REF!</definedName>
    <definedName name="_xlnm.Criteria" localSheetId="29">#REF!</definedName>
    <definedName name="_xlnm.Criteria">#REF!</definedName>
    <definedName name="Criterios_IM">#REF!</definedName>
    <definedName name="Criticos">#REF!</definedName>
    <definedName name="CS">#REF!</definedName>
    <definedName name="CSIKA">#REF!</definedName>
    <definedName name="CT" localSheetId="3">#REF!</definedName>
    <definedName name="CT">#REF!</definedName>
    <definedName name="CT070KG">#REF!</definedName>
    <definedName name="CT080KG">#REF!</definedName>
    <definedName name="CT110K">#REF!</definedName>
    <definedName name="CT110KG">#REF!</definedName>
    <definedName name="CT140K">#REF!</definedName>
    <definedName name="CT140KG" localSheetId="3">#REF!</definedName>
    <definedName name="CT140KG" localSheetId="30">#REF!</definedName>
    <definedName name="CT140KG" localSheetId="31">#REF!</definedName>
    <definedName name="CT140KG" localSheetId="29">#REF!</definedName>
    <definedName name="CT140KG">#REF!</definedName>
    <definedName name="CT170KG" localSheetId="3">#REF!</definedName>
    <definedName name="CT170KG" localSheetId="30">#REF!</definedName>
    <definedName name="CT170KG" localSheetId="31">#REF!</definedName>
    <definedName name="CT170KG" localSheetId="29">#REF!</definedName>
    <definedName name="CT170KG">#REF!</definedName>
    <definedName name="CT180K">#REF!</definedName>
    <definedName name="CT180KG">#REF!</definedName>
    <definedName name="CT210K">#REF!</definedName>
    <definedName name="CT210KG" localSheetId="3">#REF!</definedName>
    <definedName name="CT210KG" localSheetId="30">#REF!</definedName>
    <definedName name="CT210KG" localSheetId="31">#REF!</definedName>
    <definedName name="CT210KG" localSheetId="29">#REF!</definedName>
    <definedName name="CT210KG">#REF!</definedName>
    <definedName name="CT245K">#REF!</definedName>
    <definedName name="CT245KG">#REF!</definedName>
    <definedName name="CT280KG">#REF!</definedName>
    <definedName name="CTA">#REF!</definedName>
    <definedName name="CTC140KG">#REF!</definedName>
    <definedName name="CU" localSheetId="3">#REF!</definedName>
    <definedName name="CU">#REF!</definedName>
    <definedName name="cuad">#REF!</definedName>
    <definedName name="cuadpav">#REF!</definedName>
    <definedName name="Cuadro" localSheetId="3">#REF!</definedName>
    <definedName name="Cuadro" localSheetId="30">#REF!</definedName>
    <definedName name="Cuadro" localSheetId="31">#REF!</definedName>
    <definedName name="Cuadro" localSheetId="29">#REF!</definedName>
    <definedName name="Cuadro">#REF!</definedName>
    <definedName name="cual">#REF!</definedName>
    <definedName name="CUBS">#REF!</definedName>
    <definedName name="cUCA" localSheetId="3">#REF!</definedName>
    <definedName name="cUCA" localSheetId="30">#REF!</definedName>
    <definedName name="cUCA" localSheetId="31">#REF!</definedName>
    <definedName name="cUCA" localSheetId="29">#REF!</definedName>
    <definedName name="cUCA">#REF!</definedName>
    <definedName name="CUEPOZO" localSheetId="3">#REF!</definedName>
    <definedName name="CUEPOZO" localSheetId="30">#REF!</definedName>
    <definedName name="CUEPOZO" localSheetId="31">#REF!</definedName>
    <definedName name="CUEPOZO" localSheetId="29">#REF!</definedName>
    <definedName name="CUEPOZO">#REF!</definedName>
    <definedName name="CUHIDR" localSheetId="3">#REF!</definedName>
    <definedName name="CUHIDR" localSheetId="30">#REF!</definedName>
    <definedName name="CUHIDR" localSheetId="31">#REF!</definedName>
    <definedName name="CUHIDR" localSheetId="29">#REF!</definedName>
    <definedName name="CUHIDR">#REF!</definedName>
    <definedName name="CUNET" localSheetId="14"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3" hidden="1">{"via1",#N/A,TRUE,"general";"via2",#N/A,TRUE,"general";"via3",#N/A,TRUE,"general"}</definedName>
    <definedName name="CUNET" localSheetId="15" hidden="1">{"via1",#N/A,TRUE,"general";"via2",#N/A,TRUE,"general";"via3",#N/A,TRUE,"general"}</definedName>
    <definedName name="CUNET" hidden="1">{"via1",#N/A,TRUE,"general";"via2",#N/A,TRUE,"general";"via3",#N/A,TRUE,"general"}</definedName>
    <definedName name="Cunetavia" localSheetId="3">#REF!</definedName>
    <definedName name="Cunetavia" localSheetId="30">#REF!</definedName>
    <definedName name="Cunetavia" localSheetId="31">#REF!</definedName>
    <definedName name="Cunetavia" localSheetId="29">#REF!</definedName>
    <definedName name="Cunetavia">#REF!</definedName>
    <definedName name="CV" localSheetId="3">#REF!</definedName>
    <definedName name="cv" localSheetId="14" hidden="1">{"TAB1",#N/A,TRUE,"GENERAL";"TAB2",#N/A,TRUE,"GENERAL";"TAB3",#N/A,TRUE,"GENERAL";"TAB4",#N/A,TRUE,"GENERAL";"TAB5",#N/A,TRUE,"GENERAL"}</definedName>
    <definedName name="CV" localSheetId="30">#REF!</definedName>
    <definedName name="CV" localSheetId="31">#REF!</definedName>
    <definedName name="cv" localSheetId="16" hidden="1">{"TAB1",#N/A,TRUE,"GENERAL";"TAB2",#N/A,TRUE,"GENERAL";"TAB3",#N/A,TRUE,"GENERAL";"TAB4",#N/A,TRUE,"GENERAL";"TAB5",#N/A,TRUE,"GENERAL"}</definedName>
    <definedName name="cv" localSheetId="17" hidden="1">{"TAB1",#N/A,TRUE,"GENERAL";"TAB2",#N/A,TRUE,"GENERAL";"TAB3",#N/A,TRUE,"GENERAL";"TAB4",#N/A,TRUE,"GENERAL";"TAB5",#N/A,TRUE,"GENERAL"}</definedName>
    <definedName name="cv" localSheetId="13" hidden="1">{"TAB1",#N/A,TRUE,"GENERAL";"TAB2",#N/A,TRUE,"GENERAL";"TAB3",#N/A,TRUE,"GENERAL";"TAB4",#N/A,TRUE,"GENERAL";"TAB5",#N/A,TRUE,"GENERAL"}</definedName>
    <definedName name="cv" localSheetId="15" hidden="1">{"TAB1",#N/A,TRUE,"GENERAL";"TAB2",#N/A,TRUE,"GENERAL";"TAB3",#N/A,TRUE,"GENERAL";"TAB4",#N/A,TRUE,"GENERAL";"TAB5",#N/A,TRUE,"GENERAL"}</definedName>
    <definedName name="CV" localSheetId="29">#REF!</definedName>
    <definedName name="CV">#REF!</definedName>
    <definedName name="CVa">#REF!</definedName>
    <definedName name="cvbcvbf" hidden="1">{#N/A,#N/A,TRUE,"INGENIERIA";#N/A,#N/A,TRUE,"COMPRAS";#N/A,#N/A,TRUE,"DIRECCION";#N/A,#N/A,TRUE,"RESUMEN"}</definedName>
    <definedName name="cvfvd" localSheetId="14"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3" hidden="1">{"via1",#N/A,TRUE,"general";"via2",#N/A,TRUE,"general";"via3",#N/A,TRUE,"general"}</definedName>
    <definedName name="cvfvd" localSheetId="15" hidden="1">{"via1",#N/A,TRUE,"general";"via2",#N/A,TRUE,"general";"via3",#N/A,TRUE,"general"}</definedName>
    <definedName name="cvfvd" hidden="1">{"via1",#N/A,TRUE,"general";"via2",#N/A,TRUE,"general";"via3",#N/A,TRUE,"general"}</definedName>
    <definedName name="cvn" localSheetId="14"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3" hidden="1">{"TAB1",#N/A,TRUE,"GENERAL";"TAB2",#N/A,TRUE,"GENERAL";"TAB3",#N/A,TRUE,"GENERAL";"TAB4",#N/A,TRUE,"GENERAL";"TAB5",#N/A,TRUE,"GENERAL"}</definedName>
    <definedName name="cvn" localSheetId="15" hidden="1">{"TAB1",#N/A,TRUE,"GENERAL";"TAB2",#N/A,TRUE,"GENERAL";"TAB3",#N/A,TRUE,"GENERAL";"TAB4",#N/A,TRUE,"GENERAL";"TAB5",#N/A,TRUE,"GENERAL"}</definedName>
    <definedName name="cvn" hidden="1">{"TAB1",#N/A,TRUE,"GENERAL";"TAB2",#N/A,TRUE,"GENERAL";"TAB3",#N/A,TRUE,"GENERAL";"TAB4",#N/A,TRUE,"GENERAL";"TAB5",#N/A,TRUE,"GENERAL"}</definedName>
    <definedName name="CVXC" localSheetId="14"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3" hidden="1">{"via1",#N/A,TRUE,"general";"via2",#N/A,TRUE,"general";"via3",#N/A,TRUE,"general"}</definedName>
    <definedName name="CVXC" localSheetId="15" hidden="1">{"via1",#N/A,TRUE,"general";"via2",#N/A,TRUE,"general";"via3",#N/A,TRUE,"general"}</definedName>
    <definedName name="CVXC" hidden="1">{"via1",#N/A,TRUE,"general";"via2",#N/A,TRUE,"general";"via3",#N/A,TRUE,"general"}</definedName>
    <definedName name="CW" localSheetId="3">#REF!</definedName>
    <definedName name="CW">#REF!</definedName>
    <definedName name="Cwvu.ComparEneMar9697." localSheetId="3" hidden="1">#REF!,#REF!,#REF!,#REF!,#REF!,#REF!</definedName>
    <definedName name="Cwvu.ComparEneMar9697." hidden="1">#REF!,#REF!,#REF!,#REF!,#REF!,#REF!</definedName>
    <definedName name="Cwvu.EneFeb." localSheetId="3" hidden="1">#REF!,#REF!</definedName>
    <definedName name="Cwvu.EneFeb." hidden="1">#REF!,#REF!</definedName>
    <definedName name="Cwvu.EneMar." localSheetId="3" hidden="1">#REF!,#REF!,#REF!,#REF!</definedName>
    <definedName name="Cwvu.EneMar." hidden="1">#REF!,#REF!,#REF!,#REF!</definedName>
    <definedName name="Cwvu.Formato._.Corto." localSheetId="3" hidden="1">#REF!,#REF!,#REF!,#REF!,#REF!,#REF!,#REF!,#REF!,#REF!,#REF!,#REF!,#REF!</definedName>
    <definedName name="Cwvu.Formato._.Corto." hidden="1">#REF!,#REF!,#REF!,#REF!,#REF!,#REF!,#REF!,#REF!,#REF!,#REF!,#REF!,#REF!</definedName>
    <definedName name="Cwvu.Formato._.Total." localSheetId="3" hidden="1">#REF!,#REF!,#REF!</definedName>
    <definedName name="Cwvu.Formato._.Total." hidden="1">#REF!,#REF!,#REF!</definedName>
    <definedName name="CX" localSheetId="3">#REF!</definedName>
    <definedName name="CX">#REF!</definedName>
    <definedName name="cy">#REF!</definedName>
    <definedName name="CYLL2">#REF!</definedName>
    <definedName name="CYLL3">#REF!</definedName>
    <definedName name="CYLL4">#REF!</definedName>
    <definedName name="CYLL6">#REF!</definedName>
    <definedName name="CZ" localSheetId="3">#REF!</definedName>
    <definedName name="CZ" localSheetId="30">#REF!</definedName>
    <definedName name="CZ" localSheetId="31">#REF!</definedName>
    <definedName name="CZ" localSheetId="29">#REF!</definedName>
    <definedName name="CZ">#REF!</definedName>
    <definedName name="d" localSheetId="14"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3" hidden="1">{"TAB1",#N/A,TRUE,"GENERAL";"TAB2",#N/A,TRUE,"GENERAL";"TAB3",#N/A,TRUE,"GENERAL";"TAB4",#N/A,TRUE,"GENERAL";"TAB5",#N/A,TRUE,"GENERAL"}</definedName>
    <definedName name="d" localSheetId="15" hidden="1">{"TAB1",#N/A,TRUE,"GENERAL";"TAB2",#N/A,TRUE,"GENERAL";"TAB3",#N/A,TRUE,"GENERAL";"TAB4",#N/A,TRUE,"GENERAL";"TAB5",#N/A,TRUE,"GENERAL"}</definedName>
    <definedName name="d">#REF!</definedName>
    <definedName name="DA" localSheetId="3">#REF!</definedName>
    <definedName name="DA">#REF!</definedName>
    <definedName name="DADADAD" localSheetId="14" hidden="1">{#N/A,#N/A,TRUE,"CODIGO DEPENDENCIA"}</definedName>
    <definedName name="DADADAD" localSheetId="16" hidden="1">{#N/A,#N/A,TRUE,"CODIGO DEPENDENCIA"}</definedName>
    <definedName name="DADADAD" localSheetId="17" hidden="1">{#N/A,#N/A,TRUE,"CODIGO DEPENDENCIA"}</definedName>
    <definedName name="DADADAD" localSheetId="13" hidden="1">{#N/A,#N/A,TRUE,"CODIGO DEPENDENCIA"}</definedName>
    <definedName name="DADADAD" localSheetId="15" hidden="1">{#N/A,#N/A,TRUE,"CODIGO DEPENDENCIA"}</definedName>
    <definedName name="DADADAD" hidden="1">{#N/A,#N/A,TRUE,"CODIGO DEPENDENCIA"}</definedName>
    <definedName name="DANI">[48]ITEMS!$B$6:$B$176</definedName>
    <definedName name="dario">'[55]GPI 526'!#REF!</definedName>
    <definedName name="DASD" localSheetId="14"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3" hidden="1">{"TAB1",#N/A,TRUE,"GENERAL";"TAB2",#N/A,TRUE,"GENERAL";"TAB3",#N/A,TRUE,"GENERAL";"TAB4",#N/A,TRUE,"GENERAL";"TAB5",#N/A,TRUE,"GENERAL"}</definedName>
    <definedName name="DASD" localSheetId="15"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OS" localSheetId="3">#REF!</definedName>
    <definedName name="Datos" localSheetId="30">'Base de Diseño (2)'!$A$2:$D$19</definedName>
    <definedName name="DATOS" localSheetId="31">#REF!</definedName>
    <definedName name="DATOS" localSheetId="29">#REF!</definedName>
    <definedName name="DATOS">#REF!</definedName>
    <definedName name="Datos_G1" localSheetId="3">#REF!</definedName>
    <definedName name="Datos_G1" localSheetId="30">#REF!</definedName>
    <definedName name="Datos_G1" localSheetId="31">#REF!</definedName>
    <definedName name="Datos_G1" localSheetId="29">#REF!</definedName>
    <definedName name="Datos_G1">#REF!</definedName>
    <definedName name="Datos_G2" localSheetId="3">#REF!</definedName>
    <definedName name="Datos_G2" localSheetId="30">#REF!</definedName>
    <definedName name="Datos_G2" localSheetId="31">#REF!</definedName>
    <definedName name="Datos_G2" localSheetId="29">#REF!</definedName>
    <definedName name="Datos_G2">#REF!</definedName>
    <definedName name="Datos_SW_G1" localSheetId="3">#REF!</definedName>
    <definedName name="Datos_SW_G1" localSheetId="30">#REF!</definedName>
    <definedName name="Datos_SW_G1" localSheetId="31">#REF!</definedName>
    <definedName name="Datos_SW_G1" localSheetId="29">#REF!</definedName>
    <definedName name="Datos_SW_G1">#REF!</definedName>
    <definedName name="Datos_SW_G2" localSheetId="3">#REF!</definedName>
    <definedName name="Datos_SW_G2" localSheetId="30">#REF!</definedName>
    <definedName name="Datos_SW_G2" localSheetId="31">#REF!</definedName>
    <definedName name="Datos_SW_G2" localSheetId="29">#REF!</definedName>
    <definedName name="Datos_SW_G2">#REF!</definedName>
    <definedName name="datos1" localSheetId="30">'Base de Diseño (2)'!#REF!</definedName>
    <definedName name="datos1">#REF!</definedName>
    <definedName name="datos2" localSheetId="30">'Base de Diseño (2)'!#REF!</definedName>
    <definedName name="datos3" localSheetId="30">'Base de Diseño (2)'!#REF!</definedName>
    <definedName name="datoseq">'[56]Dto Equipos'!$A$3:$E$20</definedName>
    <definedName name="DB" localSheetId="3">#REF!</definedName>
    <definedName name="DB">#REF!</definedName>
    <definedName name="dbfdfbi" localSheetId="14"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5"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 localSheetId="3">#REF!</definedName>
    <definedName name="DC">#REF!</definedName>
    <definedName name="Dcacm">#REF!</definedName>
    <definedName name="DCF">#REF!</definedName>
    <definedName name="DCSDCTV" localSheetId="14"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3" hidden="1">{"via1",#N/A,TRUE,"general";"via2",#N/A,TRUE,"general";"via3",#N/A,TRUE,"general"}</definedName>
    <definedName name="DCSDCTV" localSheetId="15" hidden="1">{"via1",#N/A,TRUE,"general";"via2",#N/A,TRUE,"general";"via3",#N/A,TRUE,"general"}</definedName>
    <definedName name="DCSDCTV" hidden="1">{"via1",#N/A,TRUE,"general";"via2",#N/A,TRUE,"general";"via3",#N/A,TRUE,"general"}</definedName>
    <definedName name="DD" localSheetId="3">#REF!</definedName>
    <definedName name="dd" localSheetId="14" hidden="1">{#N/A,#N/A,TRUE,"INGENIERIA";#N/A,#N/A,TRUE,"COMPRAS";#N/A,#N/A,TRUE,"DIRECCION";#N/A,#N/A,TRUE,"RESUMEN"}</definedName>
    <definedName name="dd" localSheetId="16" hidden="1">{#N/A,#N/A,TRUE,"INGENIERIA";#N/A,#N/A,TRUE,"COMPRAS";#N/A,#N/A,TRUE,"DIRECCION";#N/A,#N/A,TRUE,"RESUMEN"}</definedName>
    <definedName name="dd" localSheetId="17" hidden="1">{#N/A,#N/A,TRUE,"INGENIERIA";#N/A,#N/A,TRUE,"COMPRAS";#N/A,#N/A,TRUE,"DIRECCION";#N/A,#N/A,TRUE,"RESUMEN"}</definedName>
    <definedName name="dd" localSheetId="13" hidden="1">{#N/A,#N/A,TRUE,"INGENIERIA";#N/A,#N/A,TRUE,"COMPRAS";#N/A,#N/A,TRUE,"DIRECCION";#N/A,#N/A,TRUE,"RESUMEN"}</definedName>
    <definedName name="dd" localSheetId="15" hidden="1">{#N/A,#N/A,TRUE,"INGENIERIA";#N/A,#N/A,TRUE,"COMPRAS";#N/A,#N/A,TRUE,"DIRECCION";#N/A,#N/A,TRUE,"RESUMEN"}</definedName>
    <definedName name="DD">#REF!</definedName>
    <definedName name="dd_1" localSheetId="14" hidden="1">{#N/A,#N/A,TRUE,"INGENIERIA";#N/A,#N/A,TRUE,"COMPRAS";#N/A,#N/A,TRUE,"DIRECCION";#N/A,#N/A,TRUE,"RESUMEN"}</definedName>
    <definedName name="dd_1" localSheetId="13" hidden="1">{#N/A,#N/A,TRUE,"INGENIERIA";#N/A,#N/A,TRUE,"COMPRAS";#N/A,#N/A,TRUE,"DIRECCION";#N/A,#N/A,TRUE,"RESUMEN"}</definedName>
    <definedName name="dd_1" localSheetId="15" hidden="1">{#N/A,#N/A,TRUE,"INGENIERIA";#N/A,#N/A,TRUE,"COMPRAS";#N/A,#N/A,TRUE,"DIRECCION";#N/A,#N/A,TRUE,"RESUMEN"}</definedName>
    <definedName name="dd_1" hidden="1">{#N/A,#N/A,TRUE,"INGENIERIA";#N/A,#N/A,TRUE,"COMPRAS";#N/A,#N/A,TRUE,"DIRECCION";#N/A,#N/A,TRUE,"RESUMEN"}</definedName>
    <definedName name="dd_2" localSheetId="14" hidden="1">{#N/A,#N/A,TRUE,"INGENIERIA";#N/A,#N/A,TRUE,"COMPRAS";#N/A,#N/A,TRUE,"DIRECCION";#N/A,#N/A,TRUE,"RESUMEN"}</definedName>
    <definedName name="dd_2" localSheetId="13" hidden="1">{#N/A,#N/A,TRUE,"INGENIERIA";#N/A,#N/A,TRUE,"COMPRAS";#N/A,#N/A,TRUE,"DIRECCION";#N/A,#N/A,TRUE,"RESUMEN"}</definedName>
    <definedName name="dd_2" localSheetId="15" hidden="1">{#N/A,#N/A,TRUE,"INGENIERIA";#N/A,#N/A,TRUE,"COMPRAS";#N/A,#N/A,TRUE,"DIRECCION";#N/A,#N/A,TRUE,"RESUMEN"}</definedName>
    <definedName name="dd_2" hidden="1">{#N/A,#N/A,TRUE,"INGENIERIA";#N/A,#N/A,TRUE,"COMPRAS";#N/A,#N/A,TRUE,"DIRECCION";#N/A,#N/A,TRUE,"RESUMEN"}</definedName>
    <definedName name="ddd" localSheetId="14"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3" hidden="1">{"via1",#N/A,TRUE,"general";"via2",#N/A,TRUE,"general";"via3",#N/A,TRUE,"general"}</definedName>
    <definedName name="ddd" localSheetId="15"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4"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3" hidden="1">{"via1",#N/A,TRUE,"general";"via2",#N/A,TRUE,"general";"via3",#N/A,TRUE,"general"}</definedName>
    <definedName name="ddddt" localSheetId="15" hidden="1">{"via1",#N/A,TRUE,"general";"via2",#N/A,TRUE,"general";"via3",#N/A,TRUE,"general"}</definedName>
    <definedName name="ddddt" hidden="1">{"via1",#N/A,TRUE,"general";"via2",#N/A,TRUE,"general";"via3",#N/A,TRUE,"general"}</definedName>
    <definedName name="DDE" localSheetId="14" hidden="1">{#N/A,#N/A,TRUE,"1842CWN0"}</definedName>
    <definedName name="DDE" localSheetId="13" hidden="1">{#N/A,#N/A,TRUE,"1842CWN0"}</definedName>
    <definedName name="DDE" localSheetId="15" hidden="1">{#N/A,#N/A,TRUE,"1842CWN0"}</definedName>
    <definedName name="DDE" hidden="1">{#N/A,#N/A,TRUE,"1842CWN0"}</definedName>
    <definedName name="DDE_1" localSheetId="14" hidden="1">{#N/A,#N/A,TRUE,"1842CWN0"}</definedName>
    <definedName name="DDE_1" localSheetId="13" hidden="1">{#N/A,#N/A,TRUE,"1842CWN0"}</definedName>
    <definedName name="DDE_1" localSheetId="15" hidden="1">{#N/A,#N/A,TRUE,"1842CWN0"}</definedName>
    <definedName name="DDE_1" hidden="1">{#N/A,#N/A,TRUE,"1842CWN0"}</definedName>
    <definedName name="DDE_2" localSheetId="14" hidden="1">{#N/A,#N/A,TRUE,"1842CWN0"}</definedName>
    <definedName name="DDE_2" localSheetId="13" hidden="1">{#N/A,#N/A,TRUE,"1842CWN0"}</definedName>
    <definedName name="DDE_2" localSheetId="15" hidden="1">{#N/A,#N/A,TRUE,"1842CWN0"}</definedName>
    <definedName name="DDE_2" hidden="1">{#N/A,#N/A,TRUE,"1842CWN0"}</definedName>
    <definedName name="ddewdw" localSheetId="14"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5" hidden="1">{"TAB1",#N/A,TRUE,"GENERAL";"TAB2",#N/A,TRUE,"GENERAL";"TAB3",#N/A,TRUE,"GENERAL";"TAB4",#N/A,TRUE,"GENERAL";"TAB5",#N/A,TRUE,"GENERAL"}</definedName>
    <definedName name="ddewdw"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5" hidden="1">{"TAB1",#N/A,TRUE,"GENERAL";"TAB2",#N/A,TRUE,"GENERAL";"TAB3",#N/A,TRUE,"GENERAL";"TAB4",#N/A,TRUE,"GENERAL";"TAB5",#N/A,TRUE,"GENERAL"}</definedName>
    <definedName name="ddfdh"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5"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ded" localSheetId="14"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5" hidden="1">{"TAB1",#N/A,TRUE,"GENERAL";"TAB2",#N/A,TRUE,"GENERAL";"TAB3",#N/A,TRUE,"GENERAL";"TAB4",#N/A,TRUE,"GENERAL";"TAB5",#N/A,TRUE,"GENERAL"}</definedName>
    <definedName name="deded" hidden="1">{"TAB1",#N/A,TRUE,"GENERAL";"TAB2",#N/A,TRUE,"GENERAL";"TAB3",#N/A,TRUE,"GENERAL";"TAB4",#N/A,TRUE,"GENERAL";"TAB5",#N/A,TRUE,"GENERAL"}</definedName>
    <definedName name="DEDO" localSheetId="3"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3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3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36"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3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32"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33"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35"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29"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f">#REF!</definedName>
    <definedName name="defd" localSheetId="14"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3" hidden="1">{"via1",#N/A,TRUE,"general";"via2",#N/A,TRUE,"general";"via3",#N/A,TRUE,"general"}</definedName>
    <definedName name="defd" localSheetId="15" hidden="1">{"via1",#N/A,TRUE,"general";"via2",#N/A,TRUE,"general";"via3",#N/A,TRUE,"general"}</definedName>
    <definedName name="defd" hidden="1">{"via1",#N/A,TRUE,"general";"via2",#N/A,TRUE,"general";"via3",#N/A,TRUE,"general"}</definedName>
    <definedName name="delin">#REF!</definedName>
    <definedName name="Delineadores_tubulares__Colombinas">[24]Insumos!$D$42</definedName>
    <definedName name="demanto">#REF!</definedName>
    <definedName name="demarc">#REF!</definedName>
    <definedName name="DENSIDAD" localSheetId="3">#REF!</definedName>
    <definedName name="DENSIDAD" localSheetId="30">#REF!</definedName>
    <definedName name="DENSIDAD" localSheetId="31">#REF!</definedName>
    <definedName name="DENSIDAD" localSheetId="29">#REF!</definedName>
    <definedName name="DENSIDAD">#REF!</definedName>
    <definedName name="descapote" localSheetId="14" hidden="1">{"TAB1",#N/A,TRUE,"GENERAL";"TAB2",#N/A,TRUE,"GENERAL";"TAB3",#N/A,TRUE,"GENERAL";"TAB4",#N/A,TRUE,"GENERAL";"TAB5",#N/A,TRUE,"GENERAL"}</definedName>
    <definedName name="descapote" localSheetId="13" hidden="1">{"TAB1",#N/A,TRUE,"GENERAL";"TAB2",#N/A,TRUE,"GENERAL";"TAB3",#N/A,TRUE,"GENERAL";"TAB4",#N/A,TRUE,"GENERAL";"TAB5",#N/A,TRUE,"GENERAL"}</definedName>
    <definedName name="descapote" localSheetId="15" hidden="1">{"TAB1",#N/A,TRUE,"GENERAL";"TAB2",#N/A,TRUE,"GENERAL";"TAB3",#N/A,TRUE,"GENERAL";"TAB4",#N/A,TRUE,"GENERAL";"TAB5",#N/A,TRUE,"GENERAL"}</definedName>
    <definedName name="descapote" hidden="1">{"TAB1",#N/A,TRUE,"GENERAL";"TAB2",#N/A,TRUE,"GENERAL";"TAB3",#N/A,TRUE,"GENERAL";"TAB4",#N/A,TRUE,"GENERAL";"TAB5",#N/A,TRUE,"GENERAL"}</definedName>
    <definedName name="Descripcion">[23]Datos!$B$3:$B$16384</definedName>
    <definedName name="desi" localSheetId="3">#REF!</definedName>
    <definedName name="desi" localSheetId="30">#REF!</definedName>
    <definedName name="desi" localSheetId="31">#REF!</definedName>
    <definedName name="desi" localSheetId="29">#REF!</definedName>
    <definedName name="desi">#REF!</definedName>
    <definedName name="design">#REF!</definedName>
    <definedName name="design2">#REF!</definedName>
    <definedName name="DEX">#REF!</definedName>
    <definedName name="DF" localSheetId="3">#REF!</definedName>
    <definedName name="DF">#REF!</definedName>
    <definedName name="dfa" localSheetId="14"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3" hidden="1">{"TAB1",#N/A,TRUE,"GENERAL";"TAB2",#N/A,TRUE,"GENERAL";"TAB3",#N/A,TRUE,"GENERAL";"TAB4",#N/A,TRUE,"GENERAL";"TAB5",#N/A,TRUE,"GENERAL"}</definedName>
    <definedName name="dfa" localSheetId="15" hidden="1">{"TAB1",#N/A,TRUE,"GENERAL";"TAB2",#N/A,TRUE,"GENERAL";"TAB3",#N/A,TRUE,"GENERAL";"TAB4",#N/A,TRUE,"GENERAL";"TAB5",#N/A,TRUE,"GENERAL"}</definedName>
    <definedName name="dfa"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5" hidden="1">{"TAB1",#N/A,TRUE,"GENERAL";"TAB2",#N/A,TRUE,"GENERAL";"TAB3",#N/A,TRUE,"GENERAL";"TAB4",#N/A,TRUE,"GENERAL";"TAB5",#N/A,TRUE,"GENERAL"}</definedName>
    <definedName name="dfasd" hidden="1">{"TAB1",#N/A,TRUE,"GENERAL";"TAB2",#N/A,TRUE,"GENERAL";"TAB3",#N/A,TRUE,"GENERAL";"TAB4",#N/A,TRUE,"GENERAL";"TAB5",#N/A,TRUE,"GENERAL"}</definedName>
    <definedName name="DFBNJ" localSheetId="14"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3" hidden="1">{"via1",#N/A,TRUE,"general";"via2",#N/A,TRUE,"general";"via3",#N/A,TRUE,"general"}</definedName>
    <definedName name="DFBNJ" localSheetId="15" hidden="1">{"via1",#N/A,TRUE,"general";"via2",#N/A,TRUE,"general";"via3",#N/A,TRUE,"general"}</definedName>
    <definedName name="DFBNJ" hidden="1">{"via1",#N/A,TRUE,"general";"via2",#N/A,TRUE,"general";"via3",#N/A,TRUE,"general"}</definedName>
    <definedName name="DFDE" localSheetId="14" hidden="1">{#N/A,#N/A,TRUE,"1842CWN0"}</definedName>
    <definedName name="DFDE" localSheetId="13" hidden="1">{#N/A,#N/A,TRUE,"1842CWN0"}</definedName>
    <definedName name="DFDE" localSheetId="15" hidden="1">{#N/A,#N/A,TRUE,"1842CWN0"}</definedName>
    <definedName name="DFDE" hidden="1">{#N/A,#N/A,TRUE,"1842CWN0"}</definedName>
    <definedName name="DFDE_1" localSheetId="14" hidden="1">{#N/A,#N/A,TRUE,"1842CWN0"}</definedName>
    <definedName name="DFDE_1" localSheetId="13" hidden="1">{#N/A,#N/A,TRUE,"1842CWN0"}</definedName>
    <definedName name="DFDE_1" localSheetId="15" hidden="1">{#N/A,#N/A,TRUE,"1842CWN0"}</definedName>
    <definedName name="DFDE_1" hidden="1">{#N/A,#N/A,TRUE,"1842CWN0"}</definedName>
    <definedName name="DFDE_2" localSheetId="14" hidden="1">{#N/A,#N/A,TRUE,"1842CWN0"}</definedName>
    <definedName name="DFDE_2" localSheetId="13" hidden="1">{#N/A,#N/A,TRUE,"1842CWN0"}</definedName>
    <definedName name="DFDE_2" localSheetId="15" hidden="1">{#N/A,#N/A,TRUE,"1842CWN0"}</definedName>
    <definedName name="DFDE_2" hidden="1">{#N/A,#N/A,TRUE,"1842CWN0"}</definedName>
    <definedName name="dfds" localSheetId="14"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3" hidden="1">{"TAB1",#N/A,TRUE,"GENERAL";"TAB2",#N/A,TRUE,"GENERAL";"TAB3",#N/A,TRUE,"GENERAL";"TAB4",#N/A,TRUE,"GENERAL";"TAB5",#N/A,TRUE,"GENERAL"}</definedName>
    <definedName name="dfds" localSheetId="15" hidden="1">{"TAB1",#N/A,TRUE,"GENERAL";"TAB2",#N/A,TRUE,"GENERAL";"TAB3",#N/A,TRUE,"GENERAL";"TAB4",#N/A,TRUE,"GENERAL";"TAB5",#N/A,TRUE,"GENERAL"}</definedName>
    <definedName name="dfds" hidden="1">{"TAB1",#N/A,TRUE,"GENERAL";"TAB2",#N/A,TRUE,"GENERAL";"TAB3",#N/A,TRUE,"GENERAL";"TAB4",#N/A,TRUE,"GENERAL";"TAB5",#N/A,TRUE,"GENERAL"}</definedName>
    <definedName name="dfdsfi" localSheetId="14"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3" hidden="1">{"via1",#N/A,TRUE,"general";"via2",#N/A,TRUE,"general";"via3",#N/A,TRUE,"general"}</definedName>
    <definedName name="dfdsfi" localSheetId="15" hidden="1">{"via1",#N/A,TRUE,"general";"via2",#N/A,TRUE,"general";"via3",#N/A,TRUE,"general"}</definedName>
    <definedName name="dfdsfi" hidden="1">{"via1",#N/A,TRUE,"general";"via2",#N/A,TRUE,"general";"via3",#N/A,TRUE,"general"}</definedName>
    <definedName name="DFEET" localSheetId="14" hidden="1">{#N/A,#N/A,TRUE,"INGENIERIA";#N/A,#N/A,TRUE,"COMPRAS";#N/A,#N/A,TRUE,"DIRECCION";#N/A,#N/A,TRUE,"RESUMEN"}</definedName>
    <definedName name="DFEET" localSheetId="13" hidden="1">{#N/A,#N/A,TRUE,"INGENIERIA";#N/A,#N/A,TRUE,"COMPRAS";#N/A,#N/A,TRUE,"DIRECCION";#N/A,#N/A,TRUE,"RESUMEN"}</definedName>
    <definedName name="DFEET" localSheetId="15" hidden="1">{#N/A,#N/A,TRUE,"INGENIERIA";#N/A,#N/A,TRUE,"COMPRAS";#N/A,#N/A,TRUE,"DIRECCION";#N/A,#N/A,TRUE,"RESUMEN"}</definedName>
    <definedName name="DFEET" hidden="1">{#N/A,#N/A,TRUE,"INGENIERIA";#N/A,#N/A,TRUE,"COMPRAS";#N/A,#N/A,TRUE,"DIRECCION";#N/A,#N/A,TRUE,"RESUMEN"}</definedName>
    <definedName name="DFEET_1" localSheetId="14" hidden="1">{#N/A,#N/A,TRUE,"INGENIERIA";#N/A,#N/A,TRUE,"COMPRAS";#N/A,#N/A,TRUE,"DIRECCION";#N/A,#N/A,TRUE,"RESUMEN"}</definedName>
    <definedName name="DFEET_1" localSheetId="13" hidden="1">{#N/A,#N/A,TRUE,"INGENIERIA";#N/A,#N/A,TRUE,"COMPRAS";#N/A,#N/A,TRUE,"DIRECCION";#N/A,#N/A,TRUE,"RESUMEN"}</definedName>
    <definedName name="DFEET_1" localSheetId="15" hidden="1">{#N/A,#N/A,TRUE,"INGENIERIA";#N/A,#N/A,TRUE,"COMPRAS";#N/A,#N/A,TRUE,"DIRECCION";#N/A,#N/A,TRUE,"RESUMEN"}</definedName>
    <definedName name="DFEET_1" hidden="1">{#N/A,#N/A,TRUE,"INGENIERIA";#N/A,#N/A,TRUE,"COMPRAS";#N/A,#N/A,TRUE,"DIRECCION";#N/A,#N/A,TRUE,"RESUMEN"}</definedName>
    <definedName name="DFEET_2" localSheetId="14" hidden="1">{#N/A,#N/A,TRUE,"INGENIERIA";#N/A,#N/A,TRUE,"COMPRAS";#N/A,#N/A,TRUE,"DIRECCION";#N/A,#N/A,TRUE,"RESUMEN"}</definedName>
    <definedName name="DFEET_2" localSheetId="13" hidden="1">{#N/A,#N/A,TRUE,"INGENIERIA";#N/A,#N/A,TRUE,"COMPRAS";#N/A,#N/A,TRUE,"DIRECCION";#N/A,#N/A,TRUE,"RESUMEN"}</definedName>
    <definedName name="DFEET_2" localSheetId="15" hidden="1">{#N/A,#N/A,TRUE,"INGENIERIA";#N/A,#N/A,TRUE,"COMPRAS";#N/A,#N/A,TRUE,"DIRECCION";#N/A,#N/A,TRUE,"RESUMEN"}</definedName>
    <definedName name="DFEET_2" hidden="1">{#N/A,#N/A,TRUE,"INGENIERIA";#N/A,#N/A,TRUE,"COMPRAS";#N/A,#N/A,TRUE,"DIRECCION";#N/A,#N/A,TRUE,"RESUMEN"}</definedName>
    <definedName name="dffffe" localSheetId="14"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5" hidden="1">{"TAB1",#N/A,TRUE,"GENERAL";"TAB2",#N/A,TRUE,"GENERAL";"TAB3",#N/A,TRUE,"GENERAL";"TAB4",#N/A,TRUE,"GENERAL";"TAB5",#N/A,TRUE,"GENERAL"}</definedName>
    <definedName name="dffffe" hidden="1">{"TAB1",#N/A,TRUE,"GENERAL";"TAB2",#N/A,TRUE,"GENERAL";"TAB3",#N/A,TRUE,"GENERAL";"TAB4",#N/A,TRUE,"GENERAL";"TAB5",#N/A,TRUE,"GENERAL"}</definedName>
    <definedName name="DFG" localSheetId="14"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3" hidden="1">{"via1",#N/A,TRUE,"general";"via2",#N/A,TRUE,"general";"via3",#N/A,TRUE,"general"}</definedName>
    <definedName name="DFG" localSheetId="15" hidden="1">{"via1",#N/A,TRUE,"general";"via2",#N/A,TRUE,"general";"via3",#N/A,TRUE,"general"}</definedName>
    <definedName name="DFG" hidden="1">{"via1",#N/A,TRUE,"general";"via2",#N/A,TRUE,"general";"via3",#N/A,TRUE,"general"}</definedName>
    <definedName name="DFGBHJ" localSheetId="14"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3" hidden="1">{"via1",#N/A,TRUE,"general";"via2",#N/A,TRUE,"general";"via3",#N/A,TRUE,"general"}</definedName>
    <definedName name="DFGBHJ" localSheetId="15" hidden="1">{"via1",#N/A,TRUE,"general";"via2",#N/A,TRUE,"general";"via3",#N/A,TRUE,"general"}</definedName>
    <definedName name="DFGBHJ" hidden="1">{"via1",#N/A,TRUE,"general";"via2",#N/A,TRUE,"general";"via3",#N/A,TRUE,"general"}</definedName>
    <definedName name="dfgdf">[57]EQALT!$G$10:$BL$65</definedName>
    <definedName name="DFGDFG" localSheetId="14"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3" hidden="1">{"via1",#N/A,TRUE,"general";"via2",#N/A,TRUE,"general";"via3",#N/A,TRUE,"general"}</definedName>
    <definedName name="DFGDFG" localSheetId="15" hidden="1">{"via1",#N/A,TRUE,"general";"via2",#N/A,TRUE,"general";"via3",#N/A,TRUE,"general"}</definedName>
    <definedName name="DFGDFG" hidden="1">{"via1",#N/A,TRUE,"general";"via2",#N/A,TRUE,"general";"via3",#N/A,TRUE,"general"}</definedName>
    <definedName name="DFGDYYB" localSheetId="14"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5" hidden="1">{"TAB1",#N/A,TRUE,"GENERAL";"TAB2",#N/A,TRUE,"GENERAL";"TAB3",#N/A,TRUE,"GENERAL";"TAB4",#N/A,TRUE,"GENERAL";"TAB5",#N/A,TRUE,"GENERAL"}</definedName>
    <definedName name="DFGDYYB" hidden="1">{"TAB1",#N/A,TRUE,"GENERAL";"TAB2",#N/A,TRUE,"GENERAL";"TAB3",#N/A,TRUE,"GENERAL";"TAB4",#N/A,TRUE,"GENERAL";"TAB5",#N/A,TRUE,"GENERAL"}</definedName>
    <definedName name="dfgf" localSheetId="14"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3" hidden="1">{"via1",#N/A,TRUE,"general";"via2",#N/A,TRUE,"general";"via3",#N/A,TRUE,"general"}</definedName>
    <definedName name="dfgf" localSheetId="15" hidden="1">{"via1",#N/A,TRUE,"general";"via2",#N/A,TRUE,"general";"via3",#N/A,TRUE,"general"}</definedName>
    <definedName name="dfgf" hidden="1">{"via1",#N/A,TRUE,"general";"via2",#N/A,TRUE,"general";"via3",#N/A,TRUE,"general"}</definedName>
    <definedName name="DFGFBOP" localSheetId="14"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5" hidden="1">{"TAB1",#N/A,TRUE,"GENERAL";"TAB2",#N/A,TRUE,"GENERAL";"TAB3",#N/A,TRUE,"GENERAL";"TAB4",#N/A,TRUE,"GENERAL";"TAB5",#N/A,TRUE,"GENERAL"}</definedName>
    <definedName name="DFGFBOP"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5" hidden="1">{"TAB1",#N/A,TRUE,"GENERAL";"TAB2",#N/A,TRUE,"GENERAL";"TAB3",#N/A,TRUE,"GENERAL";"TAB4",#N/A,TRUE,"GENERAL";"TAB5",#N/A,TRUE,"GENERAL"}</definedName>
    <definedName name="DFGFDG" hidden="1">{"TAB1",#N/A,TRUE,"GENERAL";"TAB2",#N/A,TRUE,"GENERAL";"TAB3",#N/A,TRUE,"GENERAL";"TAB4",#N/A,TRUE,"GENERAL";"TAB5",#N/A,TRUE,"GENERAL"}</definedName>
    <definedName name="DFGV" localSheetId="14"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3" hidden="1">{"TAB1",#N/A,TRUE,"GENERAL";"TAB2",#N/A,TRUE,"GENERAL";"TAB3",#N/A,TRUE,"GENERAL";"TAB4",#N/A,TRUE,"GENERAL";"TAB5",#N/A,TRUE,"GENERAL"}</definedName>
    <definedName name="DFGV" localSheetId="15" hidden="1">{"TAB1",#N/A,TRUE,"GENERAL";"TAB2",#N/A,TRUE,"GENERAL";"TAB3",#N/A,TRUE,"GENERAL";"TAB4",#N/A,TRUE,"GENERAL";"TAB5",#N/A,TRUE,"GENERAL"}</definedName>
    <definedName name="DFGV"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5" hidden="1">{"TAB1",#N/A,TRUE,"GENERAL";"TAB2",#N/A,TRUE,"GENERAL";"TAB3",#N/A,TRUE,"GENERAL";"TAB4",#N/A,TRUE,"GENERAL";"TAB5",#N/A,TRUE,"GENERAL"}</definedName>
    <definedName name="dfgypuj" hidden="1">{"TAB1",#N/A,TRUE,"GENERAL";"TAB2",#N/A,TRUE,"GENERAL";"TAB3",#N/A,TRUE,"GENERAL";"TAB4",#N/A,TRUE,"GENERAL";"TAB5",#N/A,TRUE,"GENERAL"}</definedName>
    <definedName name="dfh" localSheetId="14"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3" hidden="1">{"TAB1",#N/A,TRUE,"GENERAL";"TAB2",#N/A,TRUE,"GENERAL";"TAB3",#N/A,TRUE,"GENERAL";"TAB4",#N/A,TRUE,"GENERAL";"TAB5",#N/A,TRUE,"GENERAL"}</definedName>
    <definedName name="dfh" localSheetId="15" hidden="1">{"TAB1",#N/A,TRUE,"GENERAL";"TAB2",#N/A,TRUE,"GENERAL";"TAB3",#N/A,TRUE,"GENERAL";"TAB4",#N/A,TRUE,"GENERAL";"TAB5",#N/A,TRUE,"GENERAL"}</definedName>
    <definedName name="dfh" hidden="1">{"TAB1",#N/A,TRUE,"GENERAL";"TAB2",#N/A,TRUE,"GENERAL";"TAB3",#N/A,TRUE,"GENERAL";"TAB4",#N/A,TRUE,"GENERAL";"TAB5",#N/A,TRUE,"GENERAL"}</definedName>
    <definedName name="dfhdr" localSheetId="14"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3" hidden="1">{"via1",#N/A,TRUE,"general";"via2",#N/A,TRUE,"general";"via3",#N/A,TRUE,"general"}</definedName>
    <definedName name="dfhdr" localSheetId="15" hidden="1">{"via1",#N/A,TRUE,"general";"via2",#N/A,TRUE,"general";"via3",#N/A,TRUE,"general"}</definedName>
    <definedName name="dfhdr" hidden="1">{"via1",#N/A,TRUE,"general";"via2",#N/A,TRUE,"general";"via3",#N/A,TRUE,"general"}</definedName>
    <definedName name="dfhgh" localSheetId="14"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3" hidden="1">{"via1",#N/A,TRUE,"general";"via2",#N/A,TRUE,"general";"via3",#N/A,TRUE,"general"}</definedName>
    <definedName name="dfhgh" localSheetId="15" hidden="1">{"via1",#N/A,TRUE,"general";"via2",#N/A,TRUE,"general";"via3",#N/A,TRUE,"general"}</definedName>
    <definedName name="dfhgh" hidden="1">{"via1",#N/A,TRUE,"general";"via2",#N/A,TRUE,"general";"via3",#N/A,TRUE,"general"}</definedName>
    <definedName name="dfj" localSheetId="14"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3" hidden="1">{"via1",#N/A,TRUE,"general";"via2",#N/A,TRUE,"general";"via3",#N/A,TRUE,"general"}</definedName>
    <definedName name="dfj" localSheetId="15" hidden="1">{"via1",#N/A,TRUE,"general";"via2",#N/A,TRUE,"general";"via3",#N/A,TRUE,"general"}</definedName>
    <definedName name="dfj" hidden="1">{"via1",#N/A,TRUE,"general";"via2",#N/A,TRUE,"general";"via3",#N/A,TRUE,"general"}</definedName>
    <definedName name="DFRFRF" localSheetId="14"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3" hidden="1">{"via1",#N/A,TRUE,"general";"via2",#N/A,TRUE,"general";"via3",#N/A,TRUE,"general"}</definedName>
    <definedName name="DFRFRF" localSheetId="15" hidden="1">{"via1",#N/A,TRUE,"general";"via2",#N/A,TRUE,"general";"via3",#N/A,TRUE,"general"}</definedName>
    <definedName name="DFRFRF" hidden="1">{"via1",#N/A,TRUE,"general";"via2",#N/A,TRUE,"general";"via3",#N/A,TRUE,"general"}</definedName>
    <definedName name="DFSDGDFG" localSheetId="3">#REF!</definedName>
    <definedName name="DFSDGDFG" localSheetId="30">#REF!</definedName>
    <definedName name="DFSDGDFG" localSheetId="31">#REF!</definedName>
    <definedName name="DFSDGDFG" localSheetId="29">#REF!</definedName>
    <definedName name="DFSDGDFG">#REF!</definedName>
    <definedName name="DFVUI" localSheetId="14"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3" hidden="1">{"via1",#N/A,TRUE,"general";"via2",#N/A,TRUE,"general";"via3",#N/A,TRUE,"general"}</definedName>
    <definedName name="DFVUI" localSheetId="15" hidden="1">{"via1",#N/A,TRUE,"general";"via2",#N/A,TRUE,"general";"via3",#N/A,TRUE,"general"}</definedName>
    <definedName name="DFVUI" hidden="1">{"via1",#N/A,TRUE,"general";"via2",#N/A,TRUE,"general";"via3",#N/A,TRUE,"general"}</definedName>
    <definedName name="DG" localSheetId="3">#REF!</definedName>
    <definedName name="dg" localSheetId="14"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3" hidden="1">{"via1",#N/A,TRUE,"general";"via2",#N/A,TRUE,"general";"via3",#N/A,TRUE,"general"}</definedName>
    <definedName name="dg" localSheetId="15" hidden="1">{"via1",#N/A,TRUE,"general";"via2",#N/A,TRUE,"general";"via3",#N/A,TRUE,"general"}</definedName>
    <definedName name="DG">#REF!</definedName>
    <definedName name="dgdgr" localSheetId="14"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3" hidden="1">{"via1",#N/A,TRUE,"general";"via2",#N/A,TRUE,"general";"via3",#N/A,TRUE,"general"}</definedName>
    <definedName name="dgdgr" localSheetId="15" hidden="1">{"via1",#N/A,TRUE,"general";"via2",#N/A,TRUE,"general";"via3",#N/A,TRUE,"general"}</definedName>
    <definedName name="dgdgr" hidden="1">{"via1",#N/A,TRUE,"general";"via2",#N/A,TRUE,"general";"via3",#N/A,TRUE,"general"}</definedName>
    <definedName name="dgfd" localSheetId="14"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3" hidden="1">{"TAB1",#N/A,TRUE,"GENERAL";"TAB2",#N/A,TRUE,"GENERAL";"TAB3",#N/A,TRUE,"GENERAL";"TAB4",#N/A,TRUE,"GENERAL";"TAB5",#N/A,TRUE,"GENERAL"}</definedName>
    <definedName name="dgfd" localSheetId="15" hidden="1">{"TAB1",#N/A,TRUE,"GENERAL";"TAB2",#N/A,TRUE,"GENERAL";"TAB3",#N/A,TRUE,"GENERAL";"TAB4",#N/A,TRUE,"GENERAL";"TAB5",#N/A,TRUE,"GENERAL"}</definedName>
    <definedName name="dgfd" hidden="1">{"TAB1",#N/A,TRUE,"GENERAL";"TAB2",#N/A,TRUE,"GENERAL";"TAB3",#N/A,TRUE,"GENERAL";"TAB4",#N/A,TRUE,"GENERAL";"TAB5",#N/A,TRUE,"GENERAL"}</definedName>
    <definedName name="DGFDFVSDF" localSheetId="14"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3" hidden="1">{"via1",#N/A,TRUE,"general";"via2",#N/A,TRUE,"general";"via3",#N/A,TRUE,"general"}</definedName>
    <definedName name="DGFDFVSDF" localSheetId="15" hidden="1">{"via1",#N/A,TRUE,"general";"via2",#N/A,TRUE,"general";"via3",#N/A,TRUE,"general"}</definedName>
    <definedName name="DGFDFVSDF" hidden="1">{"via1",#N/A,TRUE,"general";"via2",#N/A,TRUE,"general";"via3",#N/A,TRUE,"general"}</definedName>
    <definedName name="dgfdg" localSheetId="14"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3" hidden="1">{"via1",#N/A,TRUE,"general";"via2",#N/A,TRUE,"general";"via3",#N/A,TRUE,"general"}</definedName>
    <definedName name="dgfdg" localSheetId="15" hidden="1">{"via1",#N/A,TRUE,"general";"via2",#N/A,TRUE,"general";"via3",#N/A,TRUE,"general"}</definedName>
    <definedName name="dgfdg" hidden="1">{"via1",#N/A,TRUE,"general";"via2",#N/A,TRUE,"general";"via3",#N/A,TRUE,"general"}</definedName>
    <definedName name="DGFEE" localSheetId="14" hidden="1">{#N/A,#N/A,TRUE,"1842CWN0"}</definedName>
    <definedName name="DGFEE" localSheetId="13" hidden="1">{#N/A,#N/A,TRUE,"1842CWN0"}</definedName>
    <definedName name="DGFEE" localSheetId="15" hidden="1">{#N/A,#N/A,TRUE,"1842CWN0"}</definedName>
    <definedName name="DGFEE" hidden="1">{#N/A,#N/A,TRUE,"1842CWN0"}</definedName>
    <definedName name="DGFEE_1" localSheetId="14" hidden="1">{#N/A,#N/A,TRUE,"1842CWN0"}</definedName>
    <definedName name="DGFEE_1" localSheetId="13" hidden="1">{#N/A,#N/A,TRUE,"1842CWN0"}</definedName>
    <definedName name="DGFEE_1" localSheetId="15" hidden="1">{#N/A,#N/A,TRUE,"1842CWN0"}</definedName>
    <definedName name="DGFEE_1" hidden="1">{#N/A,#N/A,TRUE,"1842CWN0"}</definedName>
    <definedName name="DGFEE_2" localSheetId="14" hidden="1">{#N/A,#N/A,TRUE,"1842CWN0"}</definedName>
    <definedName name="DGFEE_2" localSheetId="13" hidden="1">{#N/A,#N/A,TRUE,"1842CWN0"}</definedName>
    <definedName name="DGFEE_2" localSheetId="15" hidden="1">{#N/A,#N/A,TRUE,"1842CWN0"}</definedName>
    <definedName name="DGFEE_2" hidden="1">{#N/A,#N/A,TRUE,"1842CWN0"}</definedName>
    <definedName name="DGFG" localSheetId="14"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3" hidden="1">{"via1",#N/A,TRUE,"general";"via2",#N/A,TRUE,"general";"via3",#N/A,TRUE,"general"}</definedName>
    <definedName name="DGFG" localSheetId="15" hidden="1">{"via1",#N/A,TRUE,"general";"via2",#N/A,TRUE,"general";"via3",#N/A,TRUE,"general"}</definedName>
    <definedName name="DGFG" hidden="1">{"via1",#N/A,TRUE,"general";"via2",#N/A,TRUE,"general";"via3",#N/A,TRUE,"general"}</definedName>
    <definedName name="DGFGGHF" localSheetId="14" hidden="1">{#N/A,#N/A,TRUE,"INGENIERIA";#N/A,#N/A,TRUE,"COMPRAS";#N/A,#N/A,TRUE,"DIRECCION";#N/A,#N/A,TRUE,"RESUMEN"}</definedName>
    <definedName name="DGFGGHF" localSheetId="13" hidden="1">{#N/A,#N/A,TRUE,"INGENIERIA";#N/A,#N/A,TRUE,"COMPRAS";#N/A,#N/A,TRUE,"DIRECCION";#N/A,#N/A,TRUE,"RESUMEN"}</definedName>
    <definedName name="DGFGGHF" localSheetId="15" hidden="1">{#N/A,#N/A,TRUE,"INGENIERIA";#N/A,#N/A,TRUE,"COMPRAS";#N/A,#N/A,TRUE,"DIRECCION";#N/A,#N/A,TRUE,"RESUMEN"}</definedName>
    <definedName name="DGFGGHF" hidden="1">{#N/A,#N/A,TRUE,"INGENIERIA";#N/A,#N/A,TRUE,"COMPRAS";#N/A,#N/A,TRUE,"DIRECCION";#N/A,#N/A,TRUE,"RESUMEN"}</definedName>
    <definedName name="DGFGGHF_1" localSheetId="14" hidden="1">{#N/A,#N/A,TRUE,"INGENIERIA";#N/A,#N/A,TRUE,"COMPRAS";#N/A,#N/A,TRUE,"DIRECCION";#N/A,#N/A,TRUE,"RESUMEN"}</definedName>
    <definedName name="DGFGGHF_1" localSheetId="13" hidden="1">{#N/A,#N/A,TRUE,"INGENIERIA";#N/A,#N/A,TRUE,"COMPRAS";#N/A,#N/A,TRUE,"DIRECCION";#N/A,#N/A,TRUE,"RESUMEN"}</definedName>
    <definedName name="DGFGGHF_1" localSheetId="15" hidden="1">{#N/A,#N/A,TRUE,"INGENIERIA";#N/A,#N/A,TRUE,"COMPRAS";#N/A,#N/A,TRUE,"DIRECCION";#N/A,#N/A,TRUE,"RESUMEN"}</definedName>
    <definedName name="DGFGGHF_1" hidden="1">{#N/A,#N/A,TRUE,"INGENIERIA";#N/A,#N/A,TRUE,"COMPRAS";#N/A,#N/A,TRUE,"DIRECCION";#N/A,#N/A,TRUE,"RESUMEN"}</definedName>
    <definedName name="DGFGGHF_2" localSheetId="14" hidden="1">{#N/A,#N/A,TRUE,"INGENIERIA";#N/A,#N/A,TRUE,"COMPRAS";#N/A,#N/A,TRUE,"DIRECCION";#N/A,#N/A,TRUE,"RESUMEN"}</definedName>
    <definedName name="DGFGGHF_2" localSheetId="13" hidden="1">{#N/A,#N/A,TRUE,"INGENIERIA";#N/A,#N/A,TRUE,"COMPRAS";#N/A,#N/A,TRUE,"DIRECCION";#N/A,#N/A,TRUE,"RESUMEN"}</definedName>
    <definedName name="DGFGGHF_2" localSheetId="15" hidden="1">{#N/A,#N/A,TRUE,"INGENIERIA";#N/A,#N/A,TRUE,"COMPRAS";#N/A,#N/A,TRUE,"DIRECCION";#N/A,#N/A,TRUE,"RESUMEN"}</definedName>
    <definedName name="DGFGGHF_2" hidden="1">{#N/A,#N/A,TRUE,"INGENIERIA";#N/A,#N/A,TRUE,"COMPRAS";#N/A,#N/A,TRUE,"DIRECCION";#N/A,#N/A,TRUE,"RESUMEN"}</definedName>
    <definedName name="DGFR" localSheetId="14" hidden="1">{#N/A,#N/A,TRUE,"1842CWN0"}</definedName>
    <definedName name="DGFR" localSheetId="13" hidden="1">{#N/A,#N/A,TRUE,"1842CWN0"}</definedName>
    <definedName name="DGFR" localSheetId="15" hidden="1">{#N/A,#N/A,TRUE,"1842CWN0"}</definedName>
    <definedName name="DGFR" hidden="1">{#N/A,#N/A,TRUE,"1842CWN0"}</definedName>
    <definedName name="DGFR_1" localSheetId="14" hidden="1">{#N/A,#N/A,TRUE,"1842CWN0"}</definedName>
    <definedName name="DGFR_1" localSheetId="13" hidden="1">{#N/A,#N/A,TRUE,"1842CWN0"}</definedName>
    <definedName name="DGFR_1" localSheetId="15" hidden="1">{#N/A,#N/A,TRUE,"1842CWN0"}</definedName>
    <definedName name="DGFR_1" hidden="1">{#N/A,#N/A,TRUE,"1842CWN0"}</definedName>
    <definedName name="DGFR_2" localSheetId="14" hidden="1">{#N/A,#N/A,TRUE,"1842CWN0"}</definedName>
    <definedName name="DGFR_2" localSheetId="13" hidden="1">{#N/A,#N/A,TRUE,"1842CWN0"}</definedName>
    <definedName name="DGFR_2" localSheetId="15" hidden="1">{#N/A,#N/A,TRUE,"1842CWN0"}</definedName>
    <definedName name="DGFR_2" hidden="1">{#N/A,#N/A,TRUE,"1842CWN0"}</definedName>
    <definedName name="dgfsado" localSheetId="14"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5" hidden="1">{"TAB1",#N/A,TRUE,"GENERAL";"TAB2",#N/A,TRUE,"GENERAL";"TAB3",#N/A,TRUE,"GENERAL";"TAB4",#N/A,TRUE,"GENERAL";"TAB5",#N/A,TRUE,"GENERAL"}</definedName>
    <definedName name="dgfsado" hidden="1">{"TAB1",#N/A,TRUE,"GENERAL";"TAB2",#N/A,TRUE,"GENERAL";"TAB3",#N/A,TRUE,"GENERAL";"TAB4",#N/A,TRUE,"GENERAL";"TAB5",#N/A,TRUE,"GENERAL"}</definedName>
    <definedName name="DGGGHHJT" localSheetId="14" hidden="1">{#N/A,#N/A,TRUE,"INGENIERIA";#N/A,#N/A,TRUE,"COMPRAS";#N/A,#N/A,TRUE,"DIRECCION";#N/A,#N/A,TRUE,"RESUMEN"}</definedName>
    <definedName name="DGGGHHJT" localSheetId="13" hidden="1">{#N/A,#N/A,TRUE,"INGENIERIA";#N/A,#N/A,TRUE,"COMPRAS";#N/A,#N/A,TRUE,"DIRECCION";#N/A,#N/A,TRUE,"RESUMEN"}</definedName>
    <definedName name="DGGGHHJT" localSheetId="15" hidden="1">{#N/A,#N/A,TRUE,"INGENIERIA";#N/A,#N/A,TRUE,"COMPRAS";#N/A,#N/A,TRUE,"DIRECCION";#N/A,#N/A,TRUE,"RESUMEN"}</definedName>
    <definedName name="DGGGHHJT" hidden="1">{#N/A,#N/A,TRUE,"INGENIERIA";#N/A,#N/A,TRUE,"COMPRAS";#N/A,#N/A,TRUE,"DIRECCION";#N/A,#N/A,TRUE,"RESUMEN"}</definedName>
    <definedName name="DGGGHHJT_1" localSheetId="14" hidden="1">{#N/A,#N/A,TRUE,"INGENIERIA";#N/A,#N/A,TRUE,"COMPRAS";#N/A,#N/A,TRUE,"DIRECCION";#N/A,#N/A,TRUE,"RESUMEN"}</definedName>
    <definedName name="DGGGHHJT_1" localSheetId="13" hidden="1">{#N/A,#N/A,TRUE,"INGENIERIA";#N/A,#N/A,TRUE,"COMPRAS";#N/A,#N/A,TRUE,"DIRECCION";#N/A,#N/A,TRUE,"RESUMEN"}</definedName>
    <definedName name="DGGGHHJT_1" localSheetId="15" hidden="1">{#N/A,#N/A,TRUE,"INGENIERIA";#N/A,#N/A,TRUE,"COMPRAS";#N/A,#N/A,TRUE,"DIRECCION";#N/A,#N/A,TRUE,"RESUMEN"}</definedName>
    <definedName name="DGGGHHJT_1" hidden="1">{#N/A,#N/A,TRUE,"INGENIERIA";#N/A,#N/A,TRUE,"COMPRAS";#N/A,#N/A,TRUE,"DIRECCION";#N/A,#N/A,TRUE,"RESUMEN"}</definedName>
    <definedName name="DGGGHHJT_2" localSheetId="14" hidden="1">{#N/A,#N/A,TRUE,"INGENIERIA";#N/A,#N/A,TRUE,"COMPRAS";#N/A,#N/A,TRUE,"DIRECCION";#N/A,#N/A,TRUE,"RESUMEN"}</definedName>
    <definedName name="DGGGHHJT_2" localSheetId="13" hidden="1">{#N/A,#N/A,TRUE,"INGENIERIA";#N/A,#N/A,TRUE,"COMPRAS";#N/A,#N/A,TRUE,"DIRECCION";#N/A,#N/A,TRUE,"RESUMEN"}</definedName>
    <definedName name="DGGGHHJT_2" localSheetId="15" hidden="1">{#N/A,#N/A,TRUE,"INGENIERIA";#N/A,#N/A,TRUE,"COMPRAS";#N/A,#N/A,TRUE,"DIRECCION";#N/A,#N/A,TRUE,"RESUMEN"}</definedName>
    <definedName name="DGGGHHJT_2" hidden="1">{#N/A,#N/A,TRUE,"INGENIERIA";#N/A,#N/A,TRUE,"COMPRAS";#N/A,#N/A,TRUE,"DIRECCION";#N/A,#N/A,TRUE,"RESUMEN"}</definedName>
    <definedName name="dghfs" localSheetId="3">#REF!</definedName>
    <definedName name="dghfs" localSheetId="30">#REF!</definedName>
    <definedName name="dghfs" localSheetId="31">#REF!</definedName>
    <definedName name="dghfs" localSheetId="29">#REF!</definedName>
    <definedName name="dghfs">#REF!</definedName>
    <definedName name="dgrdeb" localSheetId="14"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5" hidden="1">{"TAB1",#N/A,TRUE,"GENERAL";"TAB2",#N/A,TRUE,"GENERAL";"TAB3",#N/A,TRUE,"GENERAL";"TAB4",#N/A,TRUE,"GENERAL";"TAB5",#N/A,TRUE,"GENERAL"}</definedName>
    <definedName name="dgrdeb" hidden="1">{"TAB1",#N/A,TRUE,"GENERAL";"TAB2",#N/A,TRUE,"GENERAL";"TAB3",#N/A,TRUE,"GENERAL";"TAB4",#N/A,TRUE,"GENERAL";"TAB5",#N/A,TRUE,"GENERAL"}</definedName>
    <definedName name="dgreg" localSheetId="14"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3" hidden="1">{"via1",#N/A,TRUE,"general";"via2",#N/A,TRUE,"general";"via3",#N/A,TRUE,"general"}</definedName>
    <definedName name="dgreg" localSheetId="15" hidden="1">{"via1",#N/A,TRUE,"general";"via2",#N/A,TRUE,"general";"via3",#N/A,TRUE,"general"}</definedName>
    <definedName name="dgreg" hidden="1">{"via1",#N/A,TRUE,"general";"via2",#N/A,TRUE,"general";"via3",#N/A,TRUE,"general"}</definedName>
    <definedName name="DGRR" localSheetId="14" hidden="1">{#N/A,#N/A,TRUE,"INGENIERIA";#N/A,#N/A,TRUE,"COMPRAS";#N/A,#N/A,TRUE,"DIRECCION";#N/A,#N/A,TRUE,"RESUMEN"}</definedName>
    <definedName name="DGRR" localSheetId="13" hidden="1">{#N/A,#N/A,TRUE,"INGENIERIA";#N/A,#N/A,TRUE,"COMPRAS";#N/A,#N/A,TRUE,"DIRECCION";#N/A,#N/A,TRUE,"RESUMEN"}</definedName>
    <definedName name="DGRR" localSheetId="15" hidden="1">{#N/A,#N/A,TRUE,"INGENIERIA";#N/A,#N/A,TRUE,"COMPRAS";#N/A,#N/A,TRUE,"DIRECCION";#N/A,#N/A,TRUE,"RESUMEN"}</definedName>
    <definedName name="DGRR" hidden="1">{#N/A,#N/A,TRUE,"INGENIERIA";#N/A,#N/A,TRUE,"COMPRAS";#N/A,#N/A,TRUE,"DIRECCION";#N/A,#N/A,TRUE,"RESUMEN"}</definedName>
    <definedName name="DGRR_1" localSheetId="14" hidden="1">{#N/A,#N/A,TRUE,"INGENIERIA";#N/A,#N/A,TRUE,"COMPRAS";#N/A,#N/A,TRUE,"DIRECCION";#N/A,#N/A,TRUE,"RESUMEN"}</definedName>
    <definedName name="DGRR_1" localSheetId="13" hidden="1">{#N/A,#N/A,TRUE,"INGENIERIA";#N/A,#N/A,TRUE,"COMPRAS";#N/A,#N/A,TRUE,"DIRECCION";#N/A,#N/A,TRUE,"RESUMEN"}</definedName>
    <definedName name="DGRR_1" localSheetId="15" hidden="1">{#N/A,#N/A,TRUE,"INGENIERIA";#N/A,#N/A,TRUE,"COMPRAS";#N/A,#N/A,TRUE,"DIRECCION";#N/A,#N/A,TRUE,"RESUMEN"}</definedName>
    <definedName name="DGRR_1" hidden="1">{#N/A,#N/A,TRUE,"INGENIERIA";#N/A,#N/A,TRUE,"COMPRAS";#N/A,#N/A,TRUE,"DIRECCION";#N/A,#N/A,TRUE,"RESUMEN"}</definedName>
    <definedName name="DGRR_2" localSheetId="14" hidden="1">{#N/A,#N/A,TRUE,"INGENIERIA";#N/A,#N/A,TRUE,"COMPRAS";#N/A,#N/A,TRUE,"DIRECCION";#N/A,#N/A,TRUE,"RESUMEN"}</definedName>
    <definedName name="DGRR_2" localSheetId="13" hidden="1">{#N/A,#N/A,TRUE,"INGENIERIA";#N/A,#N/A,TRUE,"COMPRAS";#N/A,#N/A,TRUE,"DIRECCION";#N/A,#N/A,TRUE,"RESUMEN"}</definedName>
    <definedName name="DGRR_2" localSheetId="15" hidden="1">{#N/A,#N/A,TRUE,"INGENIERIA";#N/A,#N/A,TRUE,"COMPRAS";#N/A,#N/A,TRUE,"DIRECCION";#N/A,#N/A,TRUE,"RESUMEN"}</definedName>
    <definedName name="DGRR_2" hidden="1">{#N/A,#N/A,TRUE,"INGENIERIA";#N/A,#N/A,TRUE,"COMPRAS";#N/A,#N/A,TRUE,"DIRECCION";#N/A,#N/A,TRUE,"RESUMEN"}</definedName>
    <definedName name="DH" localSheetId="3">#REF!</definedName>
    <definedName name="DH" localSheetId="14"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3" hidden="1">{"via1",#N/A,TRUE,"general";"via2",#N/A,TRUE,"general";"via3",#N/A,TRUE,"general"}</definedName>
    <definedName name="DH" localSheetId="15" hidden="1">{"via1",#N/A,TRUE,"general";"via2",#N/A,TRUE,"general";"via3",#N/A,TRUE,"general"}</definedName>
    <definedName name="DH">#REF!</definedName>
    <definedName name="dhdth" localSheetId="14"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5" hidden="1">{"TAB1",#N/A,TRUE,"GENERAL";"TAB2",#N/A,TRUE,"GENERAL";"TAB3",#N/A,TRUE,"GENERAL";"TAB4",#N/A,TRUE,"GENERAL";"TAB5",#N/A,TRUE,"GENERAL"}</definedName>
    <definedName name="dhdth" hidden="1">{"TAB1",#N/A,TRUE,"GENERAL";"TAB2",#N/A,TRUE,"GENERAL";"TAB3",#N/A,TRUE,"GENERAL";"TAB4",#N/A,TRUE,"GENERAL";"TAB5",#N/A,TRUE,"GENERAL"}</definedName>
    <definedName name="dhgh" localSheetId="14"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3" hidden="1">{"via1",#N/A,TRUE,"general";"via2",#N/A,TRUE,"general";"via3",#N/A,TRUE,"general"}</definedName>
    <definedName name="dhgh" localSheetId="15" hidden="1">{"via1",#N/A,TRUE,"general";"via2",#N/A,TRUE,"general";"via3",#N/A,TRUE,"general"}</definedName>
    <definedName name="dhgh" hidden="1">{"via1",#N/A,TRUE,"general";"via2",#N/A,TRUE,"general";"via3",#N/A,TRUE,"general"}</definedName>
    <definedName name="DI" localSheetId="3">#REF!</definedName>
    <definedName name="DI" localSheetId="30">#REF!</definedName>
    <definedName name="DI" localSheetId="31">#REF!</definedName>
    <definedName name="DI" localSheetId="29">#REF!</definedName>
    <definedName name="DI">#REF!</definedName>
    <definedName name="DIA">#REF!</definedName>
    <definedName name="día" localSheetId="3">#REF!</definedName>
    <definedName name="día" localSheetId="30">#REF!</definedName>
    <definedName name="día" localSheetId="31">#REF!</definedName>
    <definedName name="día" localSheetId="29">#REF!</definedName>
    <definedName name="día">#REF!</definedName>
    <definedName name="DIAME" localSheetId="3">#REF!</definedName>
    <definedName name="DIAME" localSheetId="30">#REF!</definedName>
    <definedName name="DIAME" localSheetId="31">#REF!</definedName>
    <definedName name="DIAME" localSheetId="29">#REF!</definedName>
    <definedName name="DIAME">#REF!</definedName>
    <definedName name="diametros" localSheetId="3">#REF!</definedName>
    <definedName name="diametros" localSheetId="30">#REF!</definedName>
    <definedName name="diametros" localSheetId="31">#REF!</definedName>
    <definedName name="diametros" localSheetId="29">#REF!</definedName>
    <definedName name="diametros">#REF!</definedName>
    <definedName name="Diámetros">#N/A</definedName>
    <definedName name="DiametrosCodos">#REF!</definedName>
    <definedName name="DIANA" localSheetId="3">#REF!</definedName>
    <definedName name="DIANA">#REF!</definedName>
    <definedName name="diego">#REF!</definedName>
    <definedName name="diego1">#REF!</definedName>
    <definedName name="dife">#REF!</definedName>
    <definedName name="Director_de_obra">[24]CUADRILLAS!$B$16</definedName>
    <definedName name="Disco_abrasivo_corte_de_metal_14">[24]Insumos!$D$35</definedName>
    <definedName name="Diseño">#REF!</definedName>
    <definedName name="DIST_BORDILLO_GRANADA" localSheetId="14">[42]DISTANCIAS!#REF!</definedName>
    <definedName name="DIST_BORDILLO_GRANADA" localSheetId="13">[42]DISTANCIAS!#REF!</definedName>
    <definedName name="DIST_BORDILLO_GRANADA" localSheetId="15">[42]DISTANCIAS!#REF!</definedName>
    <definedName name="DIST_BORDILLO_GRANADA">[42]DISTANCIAS!#REF!</definedName>
    <definedName name="DIST_BORDILLO_MARINILLA" localSheetId="14">[42]DISTANCIAS!#REF!</definedName>
    <definedName name="DIST_BORDILLO_MARINILLA" localSheetId="13">[42]DISTANCIAS!#REF!</definedName>
    <definedName name="DIST_BORDILLO_MARINILLA" localSheetId="15">[42]DISTANCIAS!#REF!</definedName>
    <definedName name="DIST_BORDILLO_MARINILLA">[42]DISTANCIAS!#REF!</definedName>
    <definedName name="DIST_BORDILLO_SANCARLOS" localSheetId="14">[42]DISTANCIAS!#REF!</definedName>
    <definedName name="DIST_BORDILLO_SANCARLOS" localSheetId="13">[42]DISTANCIAS!#REF!</definedName>
    <definedName name="DIST_BORDILLO_SANCARLOS" localSheetId="15">[42]DISTANCIAS!#REF!</definedName>
    <definedName name="DIST_BORDILLO_SANCARLOS">[42]DISTANCIAS!#REF!</definedName>
    <definedName name="DIST_BORDILLO_STODOMINGO" localSheetId="14">[42]DISTANCIAS!#REF!</definedName>
    <definedName name="DIST_BORDILLO_STODOMINGO" localSheetId="13">[42]DISTANCIAS!#REF!</definedName>
    <definedName name="DIST_BORDILLO_STODOMINGO" localSheetId="15">[42]DISTANCIAS!#REF!</definedName>
    <definedName name="DIST_BORDILLO_STODOMINGO">[42]DISTANCIAS!#REF!</definedName>
    <definedName name="DISTANCIA_A_SITIO_DE_BOTADA__KM__BETANIA">[42]DISTANCIAS!$B$6</definedName>
    <definedName name="DISTANCIA_A_SITIO_DE_BOTADA__KM__HISPANIA">[42]DISTANCIAS!$B$10</definedName>
    <definedName name="DISTANCIA_A_SITIO_DE_BOTADA__KM__SALGAR">[42]DISTANCIAS!$B$12</definedName>
    <definedName name="DISTANCIA_A_SITIO_DE_CANTERA__KM__BETANIA">[42]DISTANCIAS!$B$7</definedName>
    <definedName name="DISTANCIA_A_SITIO_DE_CANTERA__KM__CIUDAD_BOLÍVAR">[42]DISTANCIAS!$B$9</definedName>
    <definedName name="DISTANCIA_A_SITIO_DE_CANTERA__KM__HISPANIA">[42]DISTANCIAS!$B$11</definedName>
    <definedName name="DISTANCIA_A_SITIO_DE_CANTERA__KM__SALGAR">[42]DISTANCIAS!$B$13</definedName>
    <definedName name="DISTANCIA_BORDILLO__KM__BETANIA">[42]DISTANCIAS!$B$15</definedName>
    <definedName name="DISTANCIA_BORDILLO__KM__CIUDAD_BOLIVAR">[42]DISTANCIAS!$B$16</definedName>
    <definedName name="DISTANCIA_BORDILLO__KM__HISPANIA">[42]DISTANCIAS!$B$17</definedName>
    <definedName name="DISTANCIA_BORDILLO__KM__SALGAR">[42]DISTANCIAS!$B$18</definedName>
    <definedName name="DistanciasPRS7801">[58]Hoja1!$K$3:$L$55</definedName>
    <definedName name="DistanciasPRS9003">[58]Hoja1!$A$3:$B$52</definedName>
    <definedName name="DistanciasPRS9004">[58]Hoja1!$F$3:$G$33</definedName>
    <definedName name="DJ" localSheetId="3">#REF!</definedName>
    <definedName name="DJ" localSheetId="30">#REF!</definedName>
    <definedName name="DJ" localSheetId="31">#REF!</definedName>
    <definedName name="DJ" localSheetId="29">#REF!</definedName>
    <definedName name="DJ">#REF!</definedName>
    <definedName name="djdytj" localSheetId="14"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5" hidden="1">{"TAB1",#N/A,TRUE,"GENERAL";"TAB2",#N/A,TRUE,"GENERAL";"TAB3",#N/A,TRUE,"GENERAL";"TAB4",#N/A,TRUE,"GENERAL";"TAB5",#N/A,TRUE,"GENERAL"}</definedName>
    <definedName name="djdytj" hidden="1">{"TAB1",#N/A,TRUE,"GENERAL";"TAB2",#N/A,TRUE,"GENERAL";"TAB3",#N/A,TRUE,"GENERAL";"TAB4",#N/A,TRUE,"GENERAL";"TAB5",#N/A,TRUE,"GENERAL"}</definedName>
    <definedName name="DK" localSheetId="3">#REF!</definedName>
    <definedName name="DK">#REF!</definedName>
    <definedName name="DL" localSheetId="3">#REF!</definedName>
    <definedName name="DL">#REF!</definedName>
    <definedName name="DM" localSheetId="3">#REF!</definedName>
    <definedName name="DM" localSheetId="30">#REF!</definedName>
    <definedName name="DM" localSheetId="31">#REF!</definedName>
    <definedName name="DM" localSheetId="29">#REF!</definedName>
    <definedName name="DM">#REF!</definedName>
    <definedName name="DN" localSheetId="3">#REF!</definedName>
    <definedName name="DN">#REF!</definedName>
    <definedName name="DO" localSheetId="3">#REF!</definedName>
    <definedName name="DO">#REF!</definedName>
    <definedName name="Domiciliaria" localSheetId="3">#REF!</definedName>
    <definedName name="Domiciliaria" localSheetId="30">#REF!</definedName>
    <definedName name="Domiciliaria" localSheetId="31">#REF!</definedName>
    <definedName name="Domiciliaria" localSheetId="29">#REF!</definedName>
    <definedName name="Domiciliaria">#REF!</definedName>
    <definedName name="DOR">#REF!</definedName>
    <definedName name="DP" localSheetId="3">#REF!</definedName>
    <definedName name="DP">#REF!</definedName>
    <definedName name="DQ" localSheetId="3">#REF!</definedName>
    <definedName name="DQ">#REF!</definedName>
    <definedName name="DR">#REF!</definedName>
    <definedName name="dren4">#REF!</definedName>
    <definedName name="drf">#REF!</definedName>
    <definedName name="dry" localSheetId="14"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3" hidden="1">{"via1",#N/A,TRUE,"general";"via2",#N/A,TRUE,"general";"via3",#N/A,TRUE,"general"}</definedName>
    <definedName name="dry" localSheetId="15" hidden="1">{"via1",#N/A,TRUE,"general";"via2",#N/A,TRUE,"general";"via3",#N/A,TRUE,"general"}</definedName>
    <definedName name="dry" hidden="1">{"via1",#N/A,TRUE,"general";"via2",#N/A,TRUE,"general";"via3",#N/A,TRUE,"general"}</definedName>
    <definedName name="DS" localSheetId="3">#REF!</definedName>
    <definedName name="DS" localSheetId="30">#REF!</definedName>
    <definedName name="DS" localSheetId="31">#REF!</definedName>
    <definedName name="DS" localSheetId="29">#REF!</definedName>
    <definedName name="DS">#REF!</definedName>
    <definedName name="DSA">#REF!</definedName>
    <definedName name="DSAD" localSheetId="14"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3" hidden="1">{"via1",#N/A,TRUE,"general";"via2",#N/A,TRUE,"general";"via3",#N/A,TRUE,"general"}</definedName>
    <definedName name="DSAD" localSheetId="15" hidden="1">{"via1",#N/A,TRUE,"general";"via2",#N/A,TRUE,"general";"via3",#N/A,TRUE,"general"}</definedName>
    <definedName name="DSAD" hidden="1">{"via1",#N/A,TRUE,"general";"via2",#N/A,TRUE,"general";"via3",#N/A,TRUE,"general"}</definedName>
    <definedName name="dsadfp" localSheetId="14"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5"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14"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3" hidden="1">{"via1",#N/A,TRUE,"general";"via2",#N/A,TRUE,"general";"via3",#N/A,TRUE,"general"}</definedName>
    <definedName name="DSD" localSheetId="15" hidden="1">{"via1",#N/A,TRUE,"general";"via2",#N/A,TRUE,"general";"via3",#N/A,TRUE,"general"}</definedName>
    <definedName name="DSD" hidden="1">{"via1",#N/A,TRUE,"general";"via2",#N/A,TRUE,"general";"via3",#N/A,TRUE,"general"}</definedName>
    <definedName name="dsdads4" localSheetId="14"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5" hidden="1">{"TAB1",#N/A,TRUE,"GENERAL";"TAB2",#N/A,TRUE,"GENERAL";"TAB3",#N/A,TRUE,"GENERAL";"TAB4",#N/A,TRUE,"GENERAL";"TAB5",#N/A,TRUE,"GENERAL"}</definedName>
    <definedName name="dsdads4" hidden="1">{"TAB1",#N/A,TRUE,"GENERAL";"TAB2",#N/A,TRUE,"GENERAL";"TAB3",#N/A,TRUE,"GENERAL";"TAB4",#N/A,TRUE,"GENERAL";"TAB5",#N/A,TRUE,"GENERAL"}</definedName>
    <definedName name="dsdsdsdsddsddsdddsdsdsdsdsdsdsdsdsdsdsdsds" localSheetId="14" hidden="1">'[15]46W9'!#REF!</definedName>
    <definedName name="dsdsdsdsddsddsdddsdsdsdsdsdsdsdsdsdsdsdsds" localSheetId="13" hidden="1">'[15]46W9'!#REF!</definedName>
    <definedName name="dsdsdsdsddsddsdddsdsdsdsdsdsdsdsdsdsdsdsds" localSheetId="15" hidden="1">'[15]46W9'!#REF!</definedName>
    <definedName name="dsdsdsdsddsddsdddsdsdsdsdsdsdsdsdsdsdsdsds" hidden="1">'[16]46W9'!#REF!</definedName>
    <definedName name="DSF" localSheetId="14"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3" hidden="1">{"via1",#N/A,TRUE,"general";"via2",#N/A,TRUE,"general";"via3",#N/A,TRUE,"general"}</definedName>
    <definedName name="DSF" localSheetId="15" hidden="1">{"via1",#N/A,TRUE,"general";"via2",#N/A,TRUE,"general";"via3",#N/A,TRUE,"general"}</definedName>
    <definedName name="DSF" hidden="1">{"via1",#N/A,TRUE,"general";"via2",#N/A,TRUE,"general";"via3",#N/A,TRUE,"general"}</definedName>
    <definedName name="DSFCVTY" localSheetId="14"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5" hidden="1">{"TAB1",#N/A,TRUE,"GENERAL";"TAB2",#N/A,TRUE,"GENERAL";"TAB3",#N/A,TRUE,"GENERAL";"TAB4",#N/A,TRUE,"GENERAL";"TAB5",#N/A,TRUE,"GENERAL"}</definedName>
    <definedName name="DSFCVTY" hidden="1">{"TAB1",#N/A,TRUE,"GENERAL";"TAB2",#N/A,TRUE,"GENERAL";"TAB3",#N/A,TRUE,"GENERAL";"TAB4",#N/A,TRUE,"GENERAL";"TAB5",#N/A,TRUE,"GENERAL"}</definedName>
    <definedName name="dsfg" localSheetId="14"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3" hidden="1">{"via1",#N/A,TRUE,"general";"via2",#N/A,TRUE,"general";"via3",#N/A,TRUE,"general"}</definedName>
    <definedName name="dsfg" localSheetId="15" hidden="1">{"via1",#N/A,TRUE,"general";"via2",#N/A,TRUE,"general";"via3",#N/A,TRUE,"general"}</definedName>
    <definedName name="dsfg" hidden="1">{"via1",#N/A,TRUE,"general";"via2",#N/A,TRUE,"general";"via3",#N/A,TRUE,"general"}</definedName>
    <definedName name="dsfhgfdh" localSheetId="14"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5" hidden="1">{"TAB1",#N/A,TRUE,"GENERAL";"TAB2",#N/A,TRUE,"GENERAL";"TAB3",#N/A,TRUE,"GENERAL";"TAB4",#N/A,TRUE,"GENERAL";"TAB5",#N/A,TRUE,"GENERAL"}</definedName>
    <definedName name="dsfhgfdh" hidden="1">{"TAB1",#N/A,TRUE,"GENERAL";"TAB2",#N/A,TRUE,"GENERAL";"TAB3",#N/A,TRUE,"GENERAL";"TAB4",#N/A,TRUE,"GENERAL";"TAB5",#N/A,TRUE,"GENERAL"}</definedName>
    <definedName name="dsfsdf" localSheetId="14"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3" hidden="1">{"via1",#N/A,TRUE,"general";"via2",#N/A,TRUE,"general";"via3",#N/A,TRUE,"general"}</definedName>
    <definedName name="dsfsdf" localSheetId="15" hidden="1">{"via1",#N/A,TRUE,"general";"via2",#N/A,TRUE,"general";"via3",#N/A,TRUE,"general"}</definedName>
    <definedName name="dsfsdf" hidden="1">{"via1",#N/A,TRUE,"general";"via2",#N/A,TRUE,"general";"via3",#N/A,TRUE,"general"}</definedName>
    <definedName name="DSFSDFCXV" localSheetId="14"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5" hidden="1">{"TAB1",#N/A,TRUE,"GENERAL";"TAB2",#N/A,TRUE,"GENERAL";"TAB3",#N/A,TRUE,"GENERAL";"TAB4",#N/A,TRUE,"GENERAL";"TAB5",#N/A,TRUE,"GENERAL"}</definedName>
    <definedName name="DSFSDFCXV"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5" hidden="1">{"TAB1",#N/A,TRUE,"GENERAL";"TAB2",#N/A,TRUE,"GENERAL";"TAB3",#N/A,TRUE,"GENERAL";"TAB4",#N/A,TRUE,"GENERAL";"TAB5",#N/A,TRUE,"GENERAL"}</definedName>
    <definedName name="dsfsvm" hidden="1">{"TAB1",#N/A,TRUE,"GENERAL";"TAB2",#N/A,TRUE,"GENERAL";"TAB3",#N/A,TRUE,"GENERAL";"TAB4",#N/A,TRUE,"GENERAL";"TAB5",#N/A,TRUE,"GENERAL"}</definedName>
    <definedName name="dsftbv" localSheetId="14"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3" hidden="1">{"via1",#N/A,TRUE,"general";"via2",#N/A,TRUE,"general";"via3",#N/A,TRUE,"general"}</definedName>
    <definedName name="dsftbv" localSheetId="15" hidden="1">{"via1",#N/A,TRUE,"general";"via2",#N/A,TRUE,"general";"via3",#N/A,TRUE,"general"}</definedName>
    <definedName name="dsftbv" hidden="1">{"via1",#N/A,TRUE,"general";"via2",#N/A,TRUE,"general";"via3",#N/A,TRUE,"general"}</definedName>
    <definedName name="DT" localSheetId="3">#REF!</definedName>
    <definedName name="DT" localSheetId="30">#REF!</definedName>
    <definedName name="DT" localSheetId="31">#REF!</definedName>
    <definedName name="DT" localSheetId="29">#REF!</definedName>
    <definedName name="DT">#REF!</definedName>
    <definedName name="dtrhj" localSheetId="14"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3" hidden="1">{"via1",#N/A,TRUE,"general";"via2",#N/A,TRUE,"general";"via3",#N/A,TRUE,"general"}</definedName>
    <definedName name="dtrhj" localSheetId="15" hidden="1">{"via1",#N/A,TRUE,"general";"via2",#N/A,TRUE,"general";"via3",#N/A,TRUE,"general"}</definedName>
    <definedName name="dtrhj" hidden="1">{"via1",#N/A,TRUE,"general";"via2",#N/A,TRUE,"general";"via3",#N/A,TRUE,"general"}</definedName>
    <definedName name="DTS">#REF!</definedName>
    <definedName name="DU" localSheetId="3">#REF!</definedName>
    <definedName name="DU">#REF!</definedName>
    <definedName name="DUCTO" localSheetId="3">#REF!</definedName>
    <definedName name="DUCTO">#REF!</definedName>
    <definedName name="duracion">[24]Hoja1!$B$13</definedName>
    <definedName name="DV" localSheetId="3">#REF!</definedName>
    <definedName name="DV">#REF!</definedName>
    <definedName name="DW">#REF!</definedName>
    <definedName name="DWPRICE" localSheetId="14" hidden="1">#REF!</definedName>
    <definedName name="DWPRICE" localSheetId="13" hidden="1">#REF!</definedName>
    <definedName name="DWPRICE" localSheetId="15" hidden="1">#REF!</definedName>
    <definedName name="DWPRICE" hidden="1">#REF!</definedName>
    <definedName name="DX">#REF!</definedName>
    <definedName name="dxfgg" localSheetId="14"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3" hidden="1">{"via1",#N/A,TRUE,"general";"via2",#N/A,TRUE,"general";"via3",#N/A,TRUE,"general"}</definedName>
    <definedName name="dxfgg" localSheetId="15" hidden="1">{"via1",#N/A,TRUE,"general";"via2",#N/A,TRUE,"general";"via3",#N/A,TRUE,"general"}</definedName>
    <definedName name="dxfgg" hidden="1">{"via1",#N/A,TRUE,"general";"via2",#N/A,TRUE,"general";"via3",#N/A,TRUE,"general"}</definedName>
    <definedName name="DY">#REF!</definedName>
    <definedName name="DZ">#REF!</definedName>
    <definedName name="E" localSheetId="3">#REF!</definedName>
    <definedName name="E" localSheetId="30">#REF!</definedName>
    <definedName name="E" localSheetId="31">#REF!</definedName>
    <definedName name="E" localSheetId="29">#REF!</definedName>
    <definedName name="E">#REF!</definedName>
    <definedName name="e3e33" localSheetId="14"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3" hidden="1">{"via1",#N/A,TRUE,"general";"via2",#N/A,TRUE,"general";"via3",#N/A,TRUE,"general"}</definedName>
    <definedName name="e3e33" localSheetId="15" hidden="1">{"via1",#N/A,TRUE,"general";"via2",#N/A,TRUE,"general";"via3",#N/A,TRUE,"general"}</definedName>
    <definedName name="e3e33" hidden="1">{"via1",#N/A,TRUE,"general";"via2",#N/A,TRUE,"general";"via3",#N/A,TRUE,"general"}</definedName>
    <definedName name="EA" localSheetId="3">#REF!</definedName>
    <definedName name="EA">#REF!</definedName>
    <definedName name="EB" localSheetId="3">#REF!</definedName>
    <definedName name="EB">#REF!</definedName>
    <definedName name="EC" localSheetId="3">#REF!</definedName>
    <definedName name="EC" localSheetId="30">#REF!</definedName>
    <definedName name="EC" localSheetId="31">#REF!</definedName>
    <definedName name="EC" localSheetId="29">#REF!</definedName>
    <definedName name="EC">#REF!</definedName>
    <definedName name="ece">#REF!</definedName>
    <definedName name="ED" localSheetId="3">#REF!</definedName>
    <definedName name="ED" localSheetId="30">#REF!</definedName>
    <definedName name="ED" localSheetId="31">#REF!</definedName>
    <definedName name="ED" localSheetId="29">#REF!</definedName>
    <definedName name="ED">#REF!</definedName>
    <definedName name="EDEDWSWQA" localSheetId="14"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5" hidden="1">{"TAB1",#N/A,TRUE,"GENERAL";"TAB2",#N/A,TRUE,"GENERAL";"TAB3",#N/A,TRUE,"GENERAL";"TAB4",#N/A,TRUE,"GENERAL";"TAB5",#N/A,TRUE,"GENERAL"}</definedName>
    <definedName name="EDEDWSWQA" hidden="1">{"TAB1",#N/A,TRUE,"GENERAL";"TAB2",#N/A,TRUE,"GENERAL";"TAB3",#N/A,TRUE,"GENERAL";"TAB4",#N/A,TRUE,"GENERAL";"TAB5",#N/A,TRUE,"GENERAL"}</definedName>
    <definedName name="edgfhmn" localSheetId="14"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3" hidden="1">{"via1",#N/A,TRUE,"general";"via2",#N/A,TRUE,"general";"via3",#N/A,TRUE,"general"}</definedName>
    <definedName name="edgfhmn" localSheetId="15" hidden="1">{"via1",#N/A,TRUE,"general";"via2",#N/A,TRUE,"general";"via3",#N/A,TRUE,"general"}</definedName>
    <definedName name="edgfhmn" hidden="1">{"via1",#N/A,TRUE,"general";"via2",#N/A,TRUE,"general";"via3",#N/A,TRUE,"general"}</definedName>
    <definedName name="ee" localSheetId="3">#REF!</definedName>
    <definedName name="ee" localSheetId="30">#REF!</definedName>
    <definedName name="ee" localSheetId="31">#REF!</definedName>
    <definedName name="ee" localSheetId="29">#REF!</definedName>
    <definedName name="ee">#REF!</definedName>
    <definedName name="eeedfr" localSheetId="14"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5" hidden="1">{"TAB1",#N/A,TRUE,"GENERAL";"TAB2",#N/A,TRUE,"GENERAL";"TAB3",#N/A,TRUE,"GENERAL";"TAB4",#N/A,TRUE,"GENERAL";"TAB5",#N/A,TRUE,"GENERAL"}</definedName>
    <definedName name="eeedfr"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5" hidden="1">{"TAB1",#N/A,TRUE,"GENERAL";"TAB2",#N/A,TRUE,"GENERAL";"TAB3",#N/A,TRUE,"GENERAL";"TAB4",#N/A,TRUE,"GENERAL";"TAB5",#N/A,TRUE,"GENERAL"}</definedName>
    <definedName name="eeeeer" hidden="1">{"TAB1",#N/A,TRUE,"GENERAL";"TAB2",#N/A,TRUE,"GENERAL";"TAB3",#N/A,TRUE,"GENERAL";"TAB4",#N/A,TRUE,"GENERAL";"TAB5",#N/A,TRUE,"GENERAL"}</definedName>
    <definedName name="eeerfd" localSheetId="14"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3" hidden="1">{"via1",#N/A,TRUE,"general";"via2",#N/A,TRUE,"general";"via3",#N/A,TRUE,"general"}</definedName>
    <definedName name="eeerfd" localSheetId="15" hidden="1">{"via1",#N/A,TRUE,"general";"via2",#N/A,TRUE,"general";"via3",#N/A,TRUE,"general"}</definedName>
    <definedName name="eeerfd" hidden="1">{"via1",#N/A,TRUE,"general";"via2",#N/A,TRUE,"general";"via3",#N/A,TRUE,"general"}</definedName>
    <definedName name="EF" localSheetId="3">#REF!</definedName>
    <definedName name="EF">#REF!</definedName>
    <definedName name="efef" localSheetId="14"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3" hidden="1">{"TAB1",#N/A,TRUE,"GENERAL";"TAB2",#N/A,TRUE,"GENERAL";"TAB3",#N/A,TRUE,"GENERAL";"TAB4",#N/A,TRUE,"GENERAL";"TAB5",#N/A,TRUE,"GENERAL"}</definedName>
    <definedName name="efef" localSheetId="15" hidden="1">{"TAB1",#N/A,TRUE,"GENERAL";"TAB2",#N/A,TRUE,"GENERAL";"TAB3",#N/A,TRUE,"GENERAL";"TAB4",#N/A,TRUE,"GENERAL";"TAB5",#N/A,TRUE,"GENERAL"}</definedName>
    <definedName name="efef" hidden="1">{"TAB1",#N/A,TRUE,"GENERAL";"TAB2",#N/A,TRUE,"GENERAL";"TAB3",#N/A,TRUE,"GENERAL";"TAB4",#N/A,TRUE,"GENERAL";"TAB5",#N/A,TRUE,"GENERAL"}</definedName>
    <definedName name="efer" localSheetId="14"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3" hidden="1">{"via1",#N/A,TRUE,"general";"via2",#N/A,TRUE,"general";"via3",#N/A,TRUE,"general"}</definedName>
    <definedName name="efer" localSheetId="15" hidden="1">{"via1",#N/A,TRUE,"general";"via2",#N/A,TRUE,"general";"via3",#N/A,TRUE,"general"}</definedName>
    <definedName name="efer" hidden="1">{"via1",#N/A,TRUE,"general";"via2",#N/A,TRUE,"general";"via3",#N/A,TRUE,"general"}</definedName>
    <definedName name="EG" localSheetId="3">#REF!</definedName>
    <definedName name="EG">#REF!</definedName>
    <definedName name="egeg" localSheetId="14"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3" hidden="1">{"TAB1",#N/A,TRUE,"GENERAL";"TAB2",#N/A,TRUE,"GENERAL";"TAB3",#N/A,TRUE,"GENERAL";"TAB4",#N/A,TRUE,"GENERAL";"TAB5",#N/A,TRUE,"GENERAL"}</definedName>
    <definedName name="egeg" localSheetId="15" hidden="1">{"TAB1",#N/A,TRUE,"GENERAL";"TAB2",#N/A,TRUE,"GENERAL";"TAB3",#N/A,TRUE,"GENERAL";"TAB4",#N/A,TRUE,"GENERAL";"TAB5",#N/A,TRUE,"GENERAL"}</definedName>
    <definedName name="egeg"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5" hidden="1">{"TAB1",#N/A,TRUE,"GENERAL";"TAB2",#N/A,TRUE,"GENERAL";"TAB3",#N/A,TRUE,"GENERAL";"TAB4",#N/A,TRUE,"GENERAL";"TAB5",#N/A,TRUE,"GENERAL"}</definedName>
    <definedName name="egtrgthrt" hidden="1">{"TAB1",#N/A,TRUE,"GENERAL";"TAB2",#N/A,TRUE,"GENERAL";"TAB3",#N/A,TRUE,"GENERAL";"TAB4",#N/A,TRUE,"GENERAL";"TAB5",#N/A,TRUE,"GENERAL"}</definedName>
    <definedName name="EH" localSheetId="3">#REF!</definedName>
    <definedName name="EH" localSheetId="30">#REF!</definedName>
    <definedName name="EH" localSheetId="31">#REF!</definedName>
    <definedName name="EH" localSheetId="29">#REF!</definedName>
    <definedName name="EH">#REF!</definedName>
    <definedName name="EI" localSheetId="3">#REF!</definedName>
    <definedName name="EI">#REF!</definedName>
    <definedName name="EJ" localSheetId="3">#REF!</definedName>
    <definedName name="EJ">#REF!</definedName>
    <definedName name="EJEC">[22]PRESUPUESTO!$E$7</definedName>
    <definedName name="EK" localSheetId="3">#REF!</definedName>
    <definedName name="EK">#REF!</definedName>
    <definedName name="EL" localSheetId="3">#REF!</definedName>
    <definedName name="EL">#REF!</definedName>
    <definedName name="electricosAPUS">#REF!</definedName>
    <definedName name="EM" localSheetId="3">#REF!</definedName>
    <definedName name="EM">#REF!</definedName>
    <definedName name="emanto">#REF!</definedName>
    <definedName name="eme">#N/A</definedName>
    <definedName name="EMPAQ" localSheetId="3">#REF!</definedName>
    <definedName name="EMPAQ" localSheetId="30">#REF!</definedName>
    <definedName name="EMPAQ" localSheetId="31">#REF!</definedName>
    <definedName name="EMPAQ" localSheetId="29">#REF!</definedName>
    <definedName name="EMPAQ">#REF!</definedName>
    <definedName name="EMPAQ15">#REF!</definedName>
    <definedName name="emul">#REF!</definedName>
    <definedName name="EN" localSheetId="3">#REF!</definedName>
    <definedName name="EN">#REF!</definedName>
    <definedName name="End_Bal">#REF!</definedName>
    <definedName name="Ene">#REF!</definedName>
    <definedName name="Ene_C">#REF!</definedName>
    <definedName name="EneFeb">#REF!</definedName>
    <definedName name="ENSAY" localSheetId="3">#REF!</definedName>
    <definedName name="ENSAY" localSheetId="30">#REF!</definedName>
    <definedName name="ENSAY" localSheetId="31">#REF!</definedName>
    <definedName name="ENSAY" localSheetId="29">#REF!</definedName>
    <definedName name="ENSAY">#REF!</definedName>
    <definedName name="ENTIDADES">[41]ENTIDADES!$A$6:$A$130</definedName>
    <definedName name="ENTRADASP">#REF!</definedName>
    <definedName name="EO" localSheetId="3">#REF!</definedName>
    <definedName name="EO">#REF!</definedName>
    <definedName name="EP" localSheetId="3">#REF!</definedName>
    <definedName name="EP">#REF!</definedName>
    <definedName name="EQ" localSheetId="3">#REF!</definedName>
    <definedName name="EQ">#REF!</definedName>
    <definedName name="EQPL">#REF!</definedName>
    <definedName name="equi">'[48]precios-básicos2002'!$C$12:$C$56</definedName>
    <definedName name="EQUIPO">[59]EQALT!$G$10:$BU$58</definedName>
    <definedName name="equipos_cargue">[60]equipos!$A$1:$A$3</definedName>
    <definedName name="eqw" localSheetId="14"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3" hidden="1">{"via1",#N/A,TRUE,"general";"via2",#N/A,TRUE,"general";"via3",#N/A,TRUE,"general"}</definedName>
    <definedName name="eqw" localSheetId="15" hidden="1">{"via1",#N/A,TRUE,"general";"via2",#N/A,TRUE,"general";"via3",#N/A,TRUE,"general"}</definedName>
    <definedName name="eqw" hidden="1">{"via1",#N/A,TRUE,"general";"via2",#N/A,TRUE,"general";"via3",#N/A,TRUE,"general"}</definedName>
    <definedName name="ER" localSheetId="3">#REF!</definedName>
    <definedName name="ER">#REF!</definedName>
    <definedName name="ere">#REF!</definedName>
    <definedName name="erfg" hidden="1">{#N/A,#N/A,FALSE,"Hoja1";#N/A,#N/A,FALSE,"Hoja2"}</definedName>
    <definedName name="erg" localSheetId="14"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3" hidden="1">{"TAB1",#N/A,TRUE,"GENERAL";"TAB2",#N/A,TRUE,"GENERAL";"TAB3",#N/A,TRUE,"GENERAL";"TAB4",#N/A,TRUE,"GENERAL";"TAB5",#N/A,TRUE,"GENERAL"}</definedName>
    <definedName name="erg" localSheetId="15" hidden="1">{"TAB1",#N/A,TRUE,"GENERAL";"TAB2",#N/A,TRUE,"GENERAL";"TAB3",#N/A,TRUE,"GENERAL";"TAB4",#N/A,TRUE,"GENERAL";"TAB5",#N/A,TRUE,"GENERAL"}</definedName>
    <definedName name="erg" hidden="1">{"TAB1",#N/A,TRUE,"GENERAL";"TAB2",#N/A,TRUE,"GENERAL";"TAB3",#N/A,TRUE,"GENERAL";"TAB4",#N/A,TRUE,"GENERAL";"TAB5",#N/A,TRUE,"GENERAL"}</definedName>
    <definedName name="erger" localSheetId="14"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3" hidden="1">{"via1",#N/A,TRUE,"general";"via2",#N/A,TRUE,"general";"via3",#N/A,TRUE,"general"}</definedName>
    <definedName name="erger" localSheetId="15" hidden="1">{"via1",#N/A,TRUE,"general";"via2",#N/A,TRUE,"general";"via3",#N/A,TRUE,"general"}</definedName>
    <definedName name="erger" hidden="1">{"via1",#N/A,TRUE,"general";"via2",#N/A,TRUE,"general";"via3",#N/A,TRUE,"general"}</definedName>
    <definedName name="ergerg" localSheetId="14"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3" hidden="1">{"via1",#N/A,TRUE,"general";"via2",#N/A,TRUE,"general";"via3",#N/A,TRUE,"general"}</definedName>
    <definedName name="ergerg" localSheetId="15" hidden="1">{"via1",#N/A,TRUE,"general";"via2",#N/A,TRUE,"general";"via3",#N/A,TRUE,"general"}</definedName>
    <definedName name="ergerg" hidden="1">{"via1",#N/A,TRUE,"general";"via2",#N/A,TRUE,"general";"via3",#N/A,TRUE,"general"}</definedName>
    <definedName name="ergfegr" localSheetId="14"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3" hidden="1">{"via1",#N/A,TRUE,"general";"via2",#N/A,TRUE,"general";"via3",#N/A,TRUE,"general"}</definedName>
    <definedName name="ergfegr" localSheetId="15" hidden="1">{"via1",#N/A,TRUE,"general";"via2",#N/A,TRUE,"general";"via3",#N/A,TRUE,"general"}</definedName>
    <definedName name="ergfegr" hidden="1">{"via1",#N/A,TRUE,"general";"via2",#N/A,TRUE,"general";"via3",#N/A,TRUE,"general"}</definedName>
    <definedName name="ergge" localSheetId="14"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5" hidden="1">{"TAB1",#N/A,TRUE,"GENERAL";"TAB2",#N/A,TRUE,"GENERAL";"TAB3",#N/A,TRUE,"GENERAL";"TAB4",#N/A,TRUE,"GENERAL";"TAB5",#N/A,TRUE,"GENERAL"}</definedName>
    <definedName name="ergge" hidden="1">{"TAB1",#N/A,TRUE,"GENERAL";"TAB2",#N/A,TRUE,"GENERAL";"TAB3",#N/A,TRUE,"GENERAL";"TAB4",#N/A,TRUE,"GENERAL";"TAB5",#N/A,TRUE,"GENERAL"}</definedName>
    <definedName name="erggewg" localSheetId="14"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3" hidden="1">{"via1",#N/A,TRUE,"general";"via2",#N/A,TRUE,"general";"via3",#N/A,TRUE,"general"}</definedName>
    <definedName name="erggewg" localSheetId="15" hidden="1">{"via1",#N/A,TRUE,"general";"via2",#N/A,TRUE,"general";"via3",#N/A,TRUE,"general"}</definedName>
    <definedName name="erggewg" hidden="1">{"via1",#N/A,TRUE,"general";"via2",#N/A,TRUE,"general";"via3",#N/A,TRUE,"general"}</definedName>
    <definedName name="ergreg" localSheetId="14"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5" hidden="1">{"TAB1",#N/A,TRUE,"GENERAL";"TAB2",#N/A,TRUE,"GENERAL";"TAB3",#N/A,TRUE,"GENERAL";"TAB4",#N/A,TRUE,"GENERAL";"TAB5",#N/A,TRUE,"GENERAL"}</definedName>
    <definedName name="ergreg" hidden="1">{"TAB1",#N/A,TRUE,"GENERAL";"TAB2",#N/A,TRUE,"GENERAL";"TAB3",#N/A,TRUE,"GENERAL";"TAB4",#N/A,TRUE,"GENERAL";"TAB5",#N/A,TRUE,"GENERAL"}</definedName>
    <definedName name="ergregerg" localSheetId="14"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3" hidden="1">{"via1",#N/A,TRUE,"general";"via2",#N/A,TRUE,"general";"via3",#N/A,TRUE,"general"}</definedName>
    <definedName name="ergregerg" localSheetId="15" hidden="1">{"via1",#N/A,TRUE,"general";"via2",#N/A,TRUE,"general";"via3",#N/A,TRUE,"general"}</definedName>
    <definedName name="ergregerg" hidden="1">{"via1",#N/A,TRUE,"general";"via2",#N/A,TRUE,"general";"via3",#N/A,TRUE,"general"}</definedName>
    <definedName name="ergrg" localSheetId="14"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5" hidden="1">{"TAB1",#N/A,TRUE,"GENERAL";"TAB2",#N/A,TRUE,"GENERAL";"TAB3",#N/A,TRUE,"GENERAL";"TAB4",#N/A,TRUE,"GENERAL";"TAB5",#N/A,TRUE,"GENERAL"}</definedName>
    <definedName name="ergrg"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5" hidden="1">{"TAB1",#N/A,TRUE,"GENERAL";"TAB2",#N/A,TRUE,"GENERAL";"TAB3",#N/A,TRUE,"GENERAL";"TAB4",#N/A,TRUE,"GENERAL";"TAB5",#N/A,TRUE,"GENERAL"}</definedName>
    <definedName name="ergweg" hidden="1">{"TAB1",#N/A,TRUE,"GENERAL";"TAB2",#N/A,TRUE,"GENERAL";"TAB3",#N/A,TRUE,"GENERAL";"TAB4",#N/A,TRUE,"GENERAL";"TAB5",#N/A,TRUE,"GENERAL"}</definedName>
    <definedName name="ergwreg" localSheetId="14"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3" hidden="1">{"via1",#N/A,TRUE,"general";"via2",#N/A,TRUE,"general";"via3",#N/A,TRUE,"general"}</definedName>
    <definedName name="ergwreg" localSheetId="15" hidden="1">{"via1",#N/A,TRUE,"general";"via2",#N/A,TRUE,"general";"via3",#N/A,TRUE,"general"}</definedName>
    <definedName name="ergwreg" hidden="1">{"via1",#N/A,TRUE,"general";"via2",#N/A,TRUE,"general";"via3",#N/A,TRUE,"general"}</definedName>
    <definedName name="erheyh" localSheetId="14"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5"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4" hidden="1">{"TAB1",#N/A,TRUE,"GENERAL";"TAB2",#N/A,TRUE,"GENERAL";"TAB3",#N/A,TRUE,"GENERAL";"TAB4",#N/A,TRUE,"GENERAL";"TAB5",#N/A,TRUE,"GENERAL"}</definedName>
    <definedName name="err" localSheetId="16" hidden="1">{"TAB1",#N/A,TRUE,"GENERAL";"TAB2",#N/A,TRUE,"GENERAL";"TAB3",#N/A,TRUE,"GENERAL";"TAB4",#N/A,TRUE,"GENERAL";"TAB5",#N/A,TRUE,"GENERAL"}</definedName>
    <definedName name="err" localSheetId="17" hidden="1">{"TAB1",#N/A,TRUE,"GENERAL";"TAB2",#N/A,TRUE,"GENERAL";"TAB3",#N/A,TRUE,"GENERAL";"TAB4",#N/A,TRUE,"GENERAL";"TAB5",#N/A,TRUE,"GENERAL"}</definedName>
    <definedName name="err" localSheetId="13" hidden="1">{"TAB1",#N/A,TRUE,"GENERAL";"TAB2",#N/A,TRUE,"GENERAL";"TAB3",#N/A,TRUE,"GENERAL";"TAB4",#N/A,TRUE,"GENERAL";"TAB5",#N/A,TRUE,"GENERAL"}</definedName>
    <definedName name="err" localSheetId="15" hidden="1">{"TAB1",#N/A,TRUE,"GENERAL";"TAB2",#N/A,TRUE,"GENERAL";"TAB3",#N/A,TRUE,"GENERAL";"TAB4",#N/A,TRUE,"GENERAL";"TAB5",#N/A,TRUE,"GENERAL"}</definedName>
    <definedName name="err" hidden="1">{"TAB1",#N/A,TRUE,"GENERAL";"TAB2",#N/A,TRUE,"GENERAL";"TAB3",#N/A,TRUE,"GENERAL";"TAB4",#N/A,TRUE,"GENERAL";"TAB5",#N/A,TRUE,"GENERAL"}</definedName>
    <definedName name="ERRDF">#REF!</definedName>
    <definedName name="ert" localSheetId="14"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3" hidden="1">{"via1",#N/A,TRUE,"general";"via2",#N/A,TRUE,"general";"via3",#N/A,TRUE,"general"}</definedName>
    <definedName name="ert" localSheetId="15" hidden="1">{"via1",#N/A,TRUE,"general";"via2",#N/A,TRUE,"general";"via3",#N/A,TRUE,"general"}</definedName>
    <definedName name="ert" hidden="1">{"via1",#N/A,TRUE,"general";"via2",#N/A,TRUE,"general";"via3",#N/A,TRUE,"general"}</definedName>
    <definedName name="erte" localSheetId="14"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3" hidden="1">{"via1",#N/A,TRUE,"general";"via2",#N/A,TRUE,"general";"via3",#N/A,TRUE,"general"}</definedName>
    <definedName name="erte" localSheetId="15" hidden="1">{"via1",#N/A,TRUE,"general";"via2",#N/A,TRUE,"general";"via3",#N/A,TRUE,"general"}</definedName>
    <definedName name="erte" hidden="1">{"via1",#N/A,TRUE,"general";"via2",#N/A,TRUE,"general";"via3",#N/A,TRUE,"general"}</definedName>
    <definedName name="erter" localSheetId="14"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5" hidden="1">{"TAB1",#N/A,TRUE,"GENERAL";"TAB2",#N/A,TRUE,"GENERAL";"TAB3",#N/A,TRUE,"GENERAL";"TAB4",#N/A,TRUE,"GENERAL";"TAB5",#N/A,TRUE,"GENERAL"}</definedName>
    <definedName name="erter" hidden="1">{"TAB1",#N/A,TRUE,"GENERAL";"TAB2",#N/A,TRUE,"GENERAL";"TAB3",#N/A,TRUE,"GENERAL";"TAB4",#N/A,TRUE,"GENERAL";"TAB5",#N/A,TRUE,"GENERAL"}</definedName>
    <definedName name="ertert" localSheetId="14"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3" hidden="1">{"via1",#N/A,TRUE,"general";"via2",#N/A,TRUE,"general";"via3",#N/A,TRUE,"general"}</definedName>
    <definedName name="ertert" localSheetId="15" hidden="1">{"via1",#N/A,TRUE,"general";"via2",#N/A,TRUE,"general";"via3",#N/A,TRUE,"general"}</definedName>
    <definedName name="ertert" hidden="1">{"via1",#N/A,TRUE,"general";"via2",#N/A,TRUE,"general";"via3",#N/A,TRUE,"general"}</definedName>
    <definedName name="ertgyhik" localSheetId="14"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5" hidden="1">{"TAB1",#N/A,TRUE,"GENERAL";"TAB2",#N/A,TRUE,"GENERAL";"TAB3",#N/A,TRUE,"GENERAL";"TAB4",#N/A,TRUE,"GENERAL";"TAB5",#N/A,TRUE,"GENERAL"}</definedName>
    <definedName name="ertgyhik" hidden="1">{"TAB1",#N/A,TRUE,"GENERAL";"TAB2",#N/A,TRUE,"GENERAL";"TAB3",#N/A,TRUE,"GENERAL";"TAB4",#N/A,TRUE,"GENERAL";"TAB5",#N/A,TRUE,"GENERAL"}</definedName>
    <definedName name="ertreb" localSheetId="14"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3" hidden="1">{"via1",#N/A,TRUE,"general";"via2",#N/A,TRUE,"general";"via3",#N/A,TRUE,"general"}</definedName>
    <definedName name="ertreb" localSheetId="15" hidden="1">{"via1",#N/A,TRUE,"general";"via2",#N/A,TRUE,"general";"via3",#N/A,TRUE,"general"}</definedName>
    <definedName name="ertreb" hidden="1">{"via1",#N/A,TRUE,"general";"via2",#N/A,TRUE,"general";"via3",#N/A,TRUE,"general"}</definedName>
    <definedName name="ertret" localSheetId="14"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5" hidden="1">{"TAB1",#N/A,TRUE,"GENERAL";"TAB2",#N/A,TRUE,"GENERAL";"TAB3",#N/A,TRUE,"GENERAL";"TAB4",#N/A,TRUE,"GENERAL";"TAB5",#N/A,TRUE,"GENERAL"}</definedName>
    <definedName name="ertret" hidden="1">{"TAB1",#N/A,TRUE,"GENERAL";"TAB2",#N/A,TRUE,"GENERAL";"TAB3",#N/A,TRUE,"GENERAL";"TAB4",#N/A,TRUE,"GENERAL";"TAB5",#N/A,TRUE,"GENERAL"}</definedName>
    <definedName name="erttret" localSheetId="14"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3" hidden="1">{"via1",#N/A,TRUE,"general";"via2",#N/A,TRUE,"general";"via3",#N/A,TRUE,"general"}</definedName>
    <definedName name="erttret" localSheetId="15" hidden="1">{"via1",#N/A,TRUE,"general";"via2",#N/A,TRUE,"general";"via3",#N/A,TRUE,"general"}</definedName>
    <definedName name="erttret" hidden="1">{"via1",#N/A,TRUE,"general";"via2",#N/A,TRUE,"general";"via3",#N/A,TRUE,"general"}</definedName>
    <definedName name="ertuiy" localSheetId="14"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3" hidden="1">{"via1",#N/A,TRUE,"general";"via2",#N/A,TRUE,"general";"via3",#N/A,TRUE,"general"}</definedName>
    <definedName name="ertuiy" localSheetId="15" hidden="1">{"via1",#N/A,TRUE,"general";"via2",#N/A,TRUE,"general";"via3",#N/A,TRUE,"general"}</definedName>
    <definedName name="ertuiy" hidden="1">{"via1",#N/A,TRUE,"general";"via2",#N/A,TRUE,"general";"via3",#N/A,TRUE,"general"}</definedName>
    <definedName name="ertwert" localSheetId="14"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5" hidden="1">{"TAB1",#N/A,TRUE,"GENERAL";"TAB2",#N/A,TRUE,"GENERAL";"TAB3",#N/A,TRUE,"GENERAL";"TAB4",#N/A,TRUE,"GENERAL";"TAB5",#N/A,TRUE,"GENERAL"}</definedName>
    <definedName name="ertwert" hidden="1">{"TAB1",#N/A,TRUE,"GENERAL";"TAB2",#N/A,TRUE,"GENERAL";"TAB3",#N/A,TRUE,"GENERAL";"TAB4",#N/A,TRUE,"GENERAL";"TAB5",#N/A,TRUE,"GENERAL"}</definedName>
    <definedName name="eru" localSheetId="14"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3" hidden="1">{"TAB1",#N/A,TRUE,"GENERAL";"TAB2",#N/A,TRUE,"GENERAL";"TAB3",#N/A,TRUE,"GENERAL";"TAB4",#N/A,TRUE,"GENERAL";"TAB5",#N/A,TRUE,"GENERAL"}</definedName>
    <definedName name="eru" localSheetId="15" hidden="1">{"TAB1",#N/A,TRUE,"GENERAL";"TAB2",#N/A,TRUE,"GENERAL";"TAB3",#N/A,TRUE,"GENERAL";"TAB4",#N/A,TRUE,"GENERAL";"TAB5",#N/A,TRUE,"GENERAL"}</definedName>
    <definedName name="eru" hidden="1">{"TAB1",#N/A,TRUE,"GENERAL";"TAB2",#N/A,TRUE,"GENERAL";"TAB3",#N/A,TRUE,"GENERAL";"TAB4",#N/A,TRUE,"GENERAL";"TAB5",#N/A,TRUE,"GENERAL"}</definedName>
    <definedName name="ERV" localSheetId="14"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3" hidden="1">{"via1",#N/A,TRUE,"general";"via2",#N/A,TRUE,"general";"via3",#N/A,TRUE,"general"}</definedName>
    <definedName name="ERV" localSheetId="15" hidden="1">{"via1",#N/A,TRUE,"general";"via2",#N/A,TRUE,"general";"via3",#N/A,TRUE,"general"}</definedName>
    <definedName name="ERV" hidden="1">{"via1",#N/A,TRUE,"general";"via2",#N/A,TRUE,"general";"via3",#N/A,TRUE,"general"}</definedName>
    <definedName name="erware" localSheetId="14"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3" hidden="1">{"via1",#N/A,TRUE,"general";"via2",#N/A,TRUE,"general";"via3",#N/A,TRUE,"general"}</definedName>
    <definedName name="erware" localSheetId="15" hidden="1">{"via1",#N/A,TRUE,"general";"via2",#N/A,TRUE,"general";"via3",#N/A,TRUE,"general"}</definedName>
    <definedName name="erware" hidden="1">{"via1",#N/A,TRUE,"general";"via2",#N/A,TRUE,"general";"via3",#N/A,TRUE,"general"}</definedName>
    <definedName name="ERWER" localSheetId="14"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3" hidden="1">{"via1",#N/A,TRUE,"general";"via2",#N/A,TRUE,"general";"via3",#N/A,TRUE,"general"}</definedName>
    <definedName name="ERWER" localSheetId="15" hidden="1">{"via1",#N/A,TRUE,"general";"via2",#N/A,TRUE,"general";"via3",#N/A,TRUE,"general"}</definedName>
    <definedName name="ERWER" hidden="1">{"via1",#N/A,TRUE,"general";"via2",#N/A,TRUE,"general";"via3",#N/A,TRUE,"general"}</definedName>
    <definedName name="erwertd" localSheetId="14"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5" hidden="1">{"TAB1",#N/A,TRUE,"GENERAL";"TAB2",#N/A,TRUE,"GENERAL";"TAB3",#N/A,TRUE,"GENERAL";"TAB4",#N/A,TRUE,"GENERAL";"TAB5",#N/A,TRUE,"GENERAL"}</definedName>
    <definedName name="erwertd" hidden="1">{"TAB1",#N/A,TRUE,"GENERAL";"TAB2",#N/A,TRUE,"GENERAL";"TAB3",#N/A,TRUE,"GENERAL";"TAB4",#N/A,TRUE,"GENERAL";"TAB5",#N/A,TRUE,"GENERAL"}</definedName>
    <definedName name="erwr" localSheetId="14"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3" hidden="1">{"TAB1",#N/A,TRUE,"GENERAL";"TAB2",#N/A,TRUE,"GENERAL";"TAB3",#N/A,TRUE,"GENERAL";"TAB4",#N/A,TRUE,"GENERAL";"TAB5",#N/A,TRUE,"GENERAL"}</definedName>
    <definedName name="erwr" localSheetId="15" hidden="1">{"TAB1",#N/A,TRUE,"GENERAL";"TAB2",#N/A,TRUE,"GENERAL";"TAB3",#N/A,TRUE,"GENERAL";"TAB4",#N/A,TRUE,"GENERAL";"TAB5",#N/A,TRUE,"GENERAL"}</definedName>
    <definedName name="erwr" hidden="1">{"TAB1",#N/A,TRUE,"GENERAL";"TAB2",#N/A,TRUE,"GENERAL";"TAB3",#N/A,TRUE,"GENERAL";"TAB4",#N/A,TRUE,"GENERAL";"TAB5",#N/A,TRUE,"GENERAL"}</definedName>
    <definedName name="ERWRL" localSheetId="14"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3" hidden="1">{"via1",#N/A,TRUE,"general";"via2",#N/A,TRUE,"general";"via3",#N/A,TRUE,"general"}</definedName>
    <definedName name="ERWRL" localSheetId="15" hidden="1">{"via1",#N/A,TRUE,"general";"via2",#N/A,TRUE,"general";"via3",#N/A,TRUE,"general"}</definedName>
    <definedName name="ERWRL" hidden="1">{"via1",#N/A,TRUE,"general";"via2",#N/A,TRUE,"general";"via3",#N/A,TRUE,"general"}</definedName>
    <definedName name="ery" localSheetId="14"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3" hidden="1">{"via1",#N/A,TRUE,"general";"via2",#N/A,TRUE,"general";"via3",#N/A,TRUE,"general"}</definedName>
    <definedName name="ery" localSheetId="15" hidden="1">{"via1",#N/A,TRUE,"general";"via2",#N/A,TRUE,"general";"via3",#N/A,TRUE,"general"}</definedName>
    <definedName name="ery" hidden="1">{"via1",#N/A,TRUE,"general";"via2",#N/A,TRUE,"general";"via3",#N/A,TRUE,"general"}</definedName>
    <definedName name="eryhd" localSheetId="14"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3" hidden="1">{"via1",#N/A,TRUE,"general";"via2",#N/A,TRUE,"general";"via3",#N/A,TRUE,"general"}</definedName>
    <definedName name="eryhd" localSheetId="15" hidden="1">{"via1",#N/A,TRUE,"general";"via2",#N/A,TRUE,"general";"via3",#N/A,TRUE,"general"}</definedName>
    <definedName name="eryhd" hidden="1">{"via1",#N/A,TRUE,"general";"via2",#N/A,TRUE,"general";"via3",#N/A,TRUE,"general"}</definedName>
    <definedName name="eryhdf" localSheetId="14"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5" hidden="1">{"TAB1",#N/A,TRUE,"GENERAL";"TAB2",#N/A,TRUE,"GENERAL";"TAB3",#N/A,TRUE,"GENERAL";"TAB4",#N/A,TRUE,"GENERAL";"TAB5",#N/A,TRUE,"GENERAL"}</definedName>
    <definedName name="eryhdf"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5" hidden="1">{"TAB1",#N/A,TRUE,"GENERAL";"TAB2",#N/A,TRUE,"GENERAL";"TAB3",#N/A,TRUE,"GENERAL";"TAB4",#N/A,TRUE,"GENERAL";"TAB5",#N/A,TRUE,"GENERAL"}</definedName>
    <definedName name="eryhk"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5" hidden="1">{"TAB1",#N/A,TRUE,"GENERAL";"TAB2",#N/A,TRUE,"GENERAL";"TAB3",#N/A,TRUE,"GENERAL";"TAB4",#N/A,TRUE,"GENERAL";"TAB5",#N/A,TRUE,"GENERAL"}</definedName>
    <definedName name="eryhrf"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5" hidden="1">{"TAB1",#N/A,TRUE,"GENERAL";"TAB2",#N/A,TRUE,"GENERAL";"TAB3",#N/A,TRUE,"GENERAL";"TAB4",#N/A,TRUE,"GENERAL";"TAB5",#N/A,TRUE,"GENERAL"}</definedName>
    <definedName name="eryre" hidden="1">{"TAB1",#N/A,TRUE,"GENERAL";"TAB2",#N/A,TRUE,"GENERAL";"TAB3",#N/A,TRUE,"GENERAL";"TAB4",#N/A,TRUE,"GENERAL";"TAB5",#N/A,TRUE,"GENERAL"}</definedName>
    <definedName name="erytd" localSheetId="14"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3" hidden="1">{"via1",#N/A,TRUE,"general";"via2",#N/A,TRUE,"general";"via3",#N/A,TRUE,"general"}</definedName>
    <definedName name="erytd" localSheetId="15" hidden="1">{"via1",#N/A,TRUE,"general";"via2",#N/A,TRUE,"general";"via3",#N/A,TRUE,"general"}</definedName>
    <definedName name="erytd" hidden="1">{"via1",#N/A,TRUE,"general";"via2",#N/A,TRUE,"general";"via3",#N/A,TRUE,"general"}</definedName>
    <definedName name="eryty" localSheetId="14"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3" hidden="1">{"via1",#N/A,TRUE,"general";"via2",#N/A,TRUE,"general";"via3",#N/A,TRUE,"general"}</definedName>
    <definedName name="eryty" localSheetId="15" hidden="1">{"via1",#N/A,TRUE,"general";"via2",#N/A,TRUE,"general";"via3",#N/A,TRUE,"general"}</definedName>
    <definedName name="eryty" hidden="1">{"via1",#N/A,TRUE,"general";"via2",#N/A,TRUE,"general";"via3",#N/A,TRUE,"general"}</definedName>
    <definedName name="eryy" localSheetId="14"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3" hidden="1">{"via1",#N/A,TRUE,"general";"via2",#N/A,TRUE,"general";"via3",#N/A,TRUE,"general"}</definedName>
    <definedName name="eryy" localSheetId="15" hidden="1">{"via1",#N/A,TRUE,"general";"via2",#N/A,TRUE,"general";"via3",#N/A,TRUE,"general"}</definedName>
    <definedName name="eryy" hidden="1">{"via1",#N/A,TRUE,"general";"via2",#N/A,TRUE,"general";"via3",#N/A,TRUE,"general"}</definedName>
    <definedName name="ES" localSheetId="3">#REF!</definedName>
    <definedName name="ES">#REF!</definedName>
    <definedName name="ESCALON" localSheetId="3">#REF!</definedName>
    <definedName name="ESCALON" localSheetId="30">#REF!</definedName>
    <definedName name="ESCALON" localSheetId="31">#REF!</definedName>
    <definedName name="ESCALON" localSheetId="29">#REF!</definedName>
    <definedName name="ESCALON">#REF!</definedName>
    <definedName name="ESP201.15">'[61]201.15'!$H$49</definedName>
    <definedName name="ESP201.21">'[61]201.21'!$H$50</definedName>
    <definedName name="ESP201.7">'[61]201.7'!$H$52</definedName>
    <definedName name="ESP201.8">'[61]201.8'!$H$53</definedName>
    <definedName name="ESP210.2.2">#REF!</definedName>
    <definedName name="ESP220.1">'[62]220.1'!$H$52</definedName>
    <definedName name="ESP225P">#REF!</definedName>
    <definedName name="ESP320.1">'[63]320.1'!$H$52</definedName>
    <definedName name="ESP330.1">'[62]330.1'!$H$52</definedName>
    <definedName name="ESP330.1P">'[61]330.1P (7801)'!$H$50</definedName>
    <definedName name="ESP330.2">'[63]330.2'!$H$52</definedName>
    <definedName name="ESP632.1P">'[61]632.1P '!$H$57</definedName>
    <definedName name="ESP632.4P">'[61]632.4P'!$H$51</definedName>
    <definedName name="ESP640.1.2">'[62]640.1.2'!$H$50</definedName>
    <definedName name="ESP673.1">'[62]673.1'!$H$49</definedName>
    <definedName name="ESP673.2">'[62]673.2'!$H$53</definedName>
    <definedName name="ESP700.1">'[63]700.1'!$H$52</definedName>
    <definedName name="ESPA25" localSheetId="3">#REF!</definedName>
    <definedName name="ESPA25" localSheetId="30">#REF!</definedName>
    <definedName name="ESPA25" localSheetId="31">#REF!</definedName>
    <definedName name="ESPA25" localSheetId="29">#REF!</definedName>
    <definedName name="ESPA25">#REF!</definedName>
    <definedName name="ESPECIFICACION">#REF!</definedName>
    <definedName name="Especificación">#REF!</definedName>
    <definedName name="ESPESOR">'[7]DAT NUC'!$O$2:$O$218</definedName>
    <definedName name="Estabilidad">[7]DATOS!$AF$3:$AF$1398</definedName>
    <definedName name="Estabilidad2">[7]DATOS!$AH$3:$AH$1399</definedName>
    <definedName name="Estabilidad3">[7]DATOS!$AJ$3:$AJ$1399</definedName>
    <definedName name="ESTAC">#REF!</definedName>
    <definedName name="ESTACION" localSheetId="3">#REF!</definedName>
    <definedName name="ESTACION" localSheetId="30">#REF!</definedName>
    <definedName name="ESTACION" localSheetId="31">#REF!</definedName>
    <definedName name="ESTACION" localSheetId="29">#REF!</definedName>
    <definedName name="ESTACION">#REF!</definedName>
    <definedName name="ESTADO_ACUEDUCTO" localSheetId="3">#REF!</definedName>
    <definedName name="ESTADO_ACUEDUCTO" localSheetId="30">#REF!</definedName>
    <definedName name="ESTADO_ACUEDUCTO" localSheetId="31">#REF!</definedName>
    <definedName name="ESTADO_ACUEDUCTO" localSheetId="29">#REF!</definedName>
    <definedName name="ESTADO_ACUEDUCTO">#REF!</definedName>
    <definedName name="ESTADO_ALCANTARILLADO" localSheetId="3">#REF!</definedName>
    <definedName name="ESTADO_ALCANTARILLADO" localSheetId="30">#REF!</definedName>
    <definedName name="ESTADO_ALCANTARILLADO" localSheetId="31">#REF!</definedName>
    <definedName name="ESTADO_ALCANTARILLADO" localSheetId="29">#REF!</definedName>
    <definedName name="ESTADO_ALCANTARILLADO">#REF!</definedName>
    <definedName name="Estadocamara" localSheetId="3">#REF!</definedName>
    <definedName name="Estadocamara" localSheetId="30">#REF!</definedName>
    <definedName name="Estadocamara" localSheetId="31">#REF!</definedName>
    <definedName name="Estadocamara" localSheetId="29">#REF!</definedName>
    <definedName name="Estadocamara">#REF!</definedName>
    <definedName name="estadotramite">#REF!</definedName>
    <definedName name="ESTATOT">#REF!</definedName>
    <definedName name="ESTOP">#REF!</definedName>
    <definedName name="ESTRUCTURA" localSheetId="14" hidden="1">{#N/A,#N/A,TRUE,"INGENIERIA";#N/A,#N/A,TRUE,"COMPRAS";#N/A,#N/A,TRUE,"DIRECCION";#N/A,#N/A,TRUE,"RESUMEN"}</definedName>
    <definedName name="ESTRUCTURA" localSheetId="16" hidden="1">{#N/A,#N/A,TRUE,"INGENIERIA";#N/A,#N/A,TRUE,"COMPRAS";#N/A,#N/A,TRUE,"DIRECCION";#N/A,#N/A,TRUE,"RESUMEN"}</definedName>
    <definedName name="ESTRUCTURA" localSheetId="17" hidden="1">{#N/A,#N/A,TRUE,"INGENIERIA";#N/A,#N/A,TRUE,"COMPRAS";#N/A,#N/A,TRUE,"DIRECCION";#N/A,#N/A,TRUE,"RESUMEN"}</definedName>
    <definedName name="ESTRUCTURA" localSheetId="13" hidden="1">{#N/A,#N/A,TRUE,"INGENIERIA";#N/A,#N/A,TRUE,"COMPRAS";#N/A,#N/A,TRUE,"DIRECCION";#N/A,#N/A,TRUE,"RESUMEN"}</definedName>
    <definedName name="ESTRUCTURA" localSheetId="15" hidden="1">{#N/A,#N/A,TRUE,"INGENIERIA";#N/A,#N/A,TRUE,"COMPRAS";#N/A,#N/A,TRUE,"DIRECCION";#N/A,#N/A,TRUE,"RESUMEN"}</definedName>
    <definedName name="ESTRUCTURA" hidden="1">{#N/A,#N/A,TRUE,"INGENIERIA";#N/A,#N/A,TRUE,"COMPRAS";#N/A,#N/A,TRUE,"DIRECCION";#N/A,#N/A,TRUE,"RESUMEN"}</definedName>
    <definedName name="ESTRUCTURA_1" localSheetId="14" hidden="1">{#N/A,#N/A,TRUE,"INGENIERIA";#N/A,#N/A,TRUE,"COMPRAS";#N/A,#N/A,TRUE,"DIRECCION";#N/A,#N/A,TRUE,"RESUMEN"}</definedName>
    <definedName name="ESTRUCTURA_1" localSheetId="13" hidden="1">{#N/A,#N/A,TRUE,"INGENIERIA";#N/A,#N/A,TRUE,"COMPRAS";#N/A,#N/A,TRUE,"DIRECCION";#N/A,#N/A,TRUE,"RESUMEN"}</definedName>
    <definedName name="ESTRUCTURA_1" localSheetId="15" hidden="1">{#N/A,#N/A,TRUE,"INGENIERIA";#N/A,#N/A,TRUE,"COMPRAS";#N/A,#N/A,TRUE,"DIRECCION";#N/A,#N/A,TRUE,"RESUMEN"}</definedName>
    <definedName name="ESTRUCTURA_1" hidden="1">{#N/A,#N/A,TRUE,"INGENIERIA";#N/A,#N/A,TRUE,"COMPRAS";#N/A,#N/A,TRUE,"DIRECCION";#N/A,#N/A,TRUE,"RESUMEN"}</definedName>
    <definedName name="ESTRUCTURA_2" localSheetId="14" hidden="1">{#N/A,#N/A,TRUE,"INGENIERIA";#N/A,#N/A,TRUE,"COMPRAS";#N/A,#N/A,TRUE,"DIRECCION";#N/A,#N/A,TRUE,"RESUMEN"}</definedName>
    <definedName name="ESTRUCTURA_2" localSheetId="13" hidden="1">{#N/A,#N/A,TRUE,"INGENIERIA";#N/A,#N/A,TRUE,"COMPRAS";#N/A,#N/A,TRUE,"DIRECCION";#N/A,#N/A,TRUE,"RESUMEN"}</definedName>
    <definedName name="ESTRUCTURA_2" localSheetId="15" hidden="1">{#N/A,#N/A,TRUE,"INGENIERIA";#N/A,#N/A,TRUE,"COMPRAS";#N/A,#N/A,TRUE,"DIRECCION";#N/A,#N/A,TRUE,"RESUMEN"}</definedName>
    <definedName name="ESTRUCTURA_2" hidden="1">{#N/A,#N/A,TRUE,"INGENIERIA";#N/A,#N/A,TRUE,"COMPRAS";#N/A,#N/A,TRUE,"DIRECCION";#N/A,#N/A,TRUE,"RESUMEN"}</definedName>
    <definedName name="ET" localSheetId="3">#REF!</definedName>
    <definedName name="ET">#REF!</definedName>
    <definedName name="etertgg" localSheetId="14"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3" hidden="1">{"via1",#N/A,TRUE,"general";"via2",#N/A,TRUE,"general";"via3",#N/A,TRUE,"general"}</definedName>
    <definedName name="etertgg" localSheetId="15" hidden="1">{"via1",#N/A,TRUE,"general";"via2",#N/A,TRUE,"general";"via3",#N/A,TRUE,"general"}</definedName>
    <definedName name="etertgg" hidden="1">{"via1",#N/A,TRUE,"general";"via2",#N/A,TRUE,"general";"via3",#N/A,TRUE,"general"}</definedName>
    <definedName name="etertt" hidden="1">{#N/A,#N/A,TRUE,"1842CWN0"}</definedName>
    <definedName name="etewt" localSheetId="14"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5" hidden="1">{"TAB1",#N/A,TRUE,"GENERAL";"TAB2",#N/A,TRUE,"GENERAL";"TAB3",#N/A,TRUE,"GENERAL";"TAB4",#N/A,TRUE,"GENERAL";"TAB5",#N/A,TRUE,"GENERAL"}</definedName>
    <definedName name="etewt" hidden="1">{"TAB1",#N/A,TRUE,"GENERAL";"TAB2",#N/A,TRUE,"GENERAL";"TAB3",#N/A,TRUE,"GENERAL";"TAB4",#N/A,TRUE,"GENERAL";"TAB5",#N/A,TRUE,"GENERAL"}</definedName>
    <definedName name="etu" localSheetId="14"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3" hidden="1">{"via1",#N/A,TRUE,"general";"via2",#N/A,TRUE,"general";"via3",#N/A,TRUE,"general"}</definedName>
    <definedName name="etu" localSheetId="15" hidden="1">{"via1",#N/A,TRUE,"general";"via2",#N/A,TRUE,"general";"via3",#N/A,TRUE,"general"}</definedName>
    <definedName name="etu" hidden="1">{"via1",#N/A,TRUE,"general";"via2",#N/A,TRUE,"general";"via3",#N/A,TRUE,"general"}</definedName>
    <definedName name="etueh" localSheetId="14"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3" hidden="1">{"via1",#N/A,TRUE,"general";"via2",#N/A,TRUE,"general";"via3",#N/A,TRUE,"general"}</definedName>
    <definedName name="etueh" localSheetId="15" hidden="1">{"via1",#N/A,TRUE,"general";"via2",#N/A,TRUE,"general";"via3",#N/A,TRUE,"general"}</definedName>
    <definedName name="etueh" hidden="1">{"via1",#N/A,TRUE,"general";"via2",#N/A,TRUE,"general";"via3",#N/A,TRUE,"general"}</definedName>
    <definedName name="etyty" localSheetId="14"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3" hidden="1">{"via1",#N/A,TRUE,"general";"via2",#N/A,TRUE,"general";"via3",#N/A,TRUE,"general"}</definedName>
    <definedName name="etyty" localSheetId="15" hidden="1">{"via1",#N/A,TRUE,"general";"via2",#N/A,TRUE,"general";"via3",#N/A,TRUE,"general"}</definedName>
    <definedName name="etyty" hidden="1">{"via1",#N/A,TRUE,"general";"via2",#N/A,TRUE,"general";"via3",#N/A,TRUE,"general"}</definedName>
    <definedName name="etyu" localSheetId="14"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3" hidden="1">{"TAB1",#N/A,TRUE,"GENERAL";"TAB2",#N/A,TRUE,"GENERAL";"TAB3",#N/A,TRUE,"GENERAL";"TAB4",#N/A,TRUE,"GENERAL";"TAB5",#N/A,TRUE,"GENERAL"}</definedName>
    <definedName name="etyu" localSheetId="15" hidden="1">{"TAB1",#N/A,TRUE,"GENERAL";"TAB2",#N/A,TRUE,"GENERAL";"TAB3",#N/A,TRUE,"GENERAL";"TAB4",#N/A,TRUE,"GENERAL";"TAB5",#N/A,TRUE,"GENERAL"}</definedName>
    <definedName name="etyu" hidden="1">{"TAB1",#N/A,TRUE,"GENERAL";"TAB2",#N/A,TRUE,"GENERAL";"TAB3",#N/A,TRUE,"GENERAL";"TAB4",#N/A,TRUE,"GENERAL";"TAB5",#N/A,TRUE,"GENERAL"}</definedName>
    <definedName name="EU" localSheetId="3">#REF!</definedName>
    <definedName name="eu" localSheetId="14"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3" hidden="1">{"via1",#N/A,TRUE,"general";"via2",#N/A,TRUE,"general";"via3",#N/A,TRUE,"general"}</definedName>
    <definedName name="eu" localSheetId="15" hidden="1">{"via1",#N/A,TRUE,"general";"via2",#N/A,TRUE,"general";"via3",#N/A,TRUE,"general"}</definedName>
    <definedName name="EU">#REF!</definedName>
    <definedName name="eut" localSheetId="14"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3" hidden="1">{"via1",#N/A,TRUE,"general";"via2",#N/A,TRUE,"general";"via3",#N/A,TRUE,"general"}</definedName>
    <definedName name="eut" localSheetId="15" hidden="1">{"via1",#N/A,TRUE,"general";"via2",#N/A,TRUE,"general";"via3",#N/A,TRUE,"general"}</definedName>
    <definedName name="eut" hidden="1">{"via1",#N/A,TRUE,"general";"via2",#N/A,TRUE,"general";"via3",#N/A,TRUE,"general"}</definedName>
    <definedName name="euyt" localSheetId="14"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3" hidden="1">{"TAB1",#N/A,TRUE,"GENERAL";"TAB2",#N/A,TRUE,"GENERAL";"TAB3",#N/A,TRUE,"GENERAL";"TAB4",#N/A,TRUE,"GENERAL";"TAB5",#N/A,TRUE,"GENERAL"}</definedName>
    <definedName name="euyt" localSheetId="15" hidden="1">{"TAB1",#N/A,TRUE,"GENERAL";"TAB2",#N/A,TRUE,"GENERAL";"TAB3",#N/A,TRUE,"GENERAL";"TAB4",#N/A,TRUE,"GENERAL";"TAB5",#N/A,TRUE,"GENERAL"}</definedName>
    <definedName name="euyt" hidden="1">{"TAB1",#N/A,TRUE,"GENERAL";"TAB2",#N/A,TRUE,"GENERAL";"TAB3",#N/A,TRUE,"GENERAL";"TAB4",#N/A,TRUE,"GENERAL";"TAB5",#N/A,TRUE,"GENERAL"}</definedName>
    <definedName name="EV" localSheetId="3">#REF!</definedName>
    <definedName name="EV">#REF!</definedName>
    <definedName name="EW" localSheetId="3">#REF!</definedName>
    <definedName name="EW" localSheetId="30">#REF!</definedName>
    <definedName name="EW" localSheetId="31">#REF!</definedName>
    <definedName name="EW" localSheetId="29">#REF!</definedName>
    <definedName name="EW">#REF!</definedName>
    <definedName name="ewegt" localSheetId="14"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5" hidden="1">{"TAB1",#N/A,TRUE,"GENERAL";"TAB2",#N/A,TRUE,"GENERAL";"TAB3",#N/A,TRUE,"GENERAL";"TAB4",#N/A,TRUE,"GENERAL";"TAB5",#N/A,TRUE,"GENERAL"}</definedName>
    <definedName name="ewegt"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5" hidden="1">{"TAB1",#N/A,TRUE,"GENERAL";"TAB2",#N/A,TRUE,"GENERAL";"TAB3",#N/A,TRUE,"GENERAL";"TAB4",#N/A,TRUE,"GENERAL";"TAB5",#N/A,TRUE,"GENERAL"}</definedName>
    <definedName name="ewfewfg" hidden="1">{"TAB1",#N/A,TRUE,"GENERAL";"TAB2",#N/A,TRUE,"GENERAL";"TAB3",#N/A,TRUE,"GENERAL";"TAB4",#N/A,TRUE,"GENERAL";"TAB5",#N/A,TRUE,"GENERAL"}</definedName>
    <definedName name="ewre" localSheetId="14"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3" hidden="1">{"TAB1",#N/A,TRUE,"GENERAL";"TAB2",#N/A,TRUE,"GENERAL";"TAB3",#N/A,TRUE,"GENERAL";"TAB4",#N/A,TRUE,"GENERAL";"TAB5",#N/A,TRUE,"GENERAL"}</definedName>
    <definedName name="ewre" localSheetId="15" hidden="1">{"TAB1",#N/A,TRUE,"GENERAL";"TAB2",#N/A,TRUE,"GENERAL";"TAB3",#N/A,TRUE,"GENERAL";"TAB4",#N/A,TRUE,"GENERAL";"TAB5",#N/A,TRUE,"GENERAL"}</definedName>
    <definedName name="ewre"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5" hidden="1">{"TAB1",#N/A,TRUE,"GENERAL";"TAB2",#N/A,TRUE,"GENERAL";"TAB3",#N/A,TRUE,"GENERAL";"TAB4",#N/A,TRUE,"GENERAL";"TAB5",#N/A,TRUE,"GENERAL"}</definedName>
    <definedName name="ewrewf" hidden="1">{"TAB1",#N/A,TRUE,"GENERAL";"TAB2",#N/A,TRUE,"GENERAL";"TAB3",#N/A,TRUE,"GENERAL";"TAB4",#N/A,TRUE,"GENERAL";"TAB5",#N/A,TRUE,"GENERAL"}</definedName>
    <definedName name="ewrr" localSheetId="14"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3" hidden="1">{"TAB1",#N/A,TRUE,"GENERAL";"TAB2",#N/A,TRUE,"GENERAL";"TAB3",#N/A,TRUE,"GENERAL";"TAB4",#N/A,TRUE,"GENERAL";"TAB5",#N/A,TRUE,"GENERAL"}</definedName>
    <definedName name="ewrr" localSheetId="15" hidden="1">{"TAB1",#N/A,TRUE,"GENERAL";"TAB2",#N/A,TRUE,"GENERAL";"TAB3",#N/A,TRUE,"GENERAL";"TAB4",#N/A,TRUE,"GENERAL";"TAB5",#N/A,TRUE,"GENERAL"}</definedName>
    <definedName name="ewrr" hidden="1">{"TAB1",#N/A,TRUE,"GENERAL";"TAB2",#N/A,TRUE,"GENERAL";"TAB3",#N/A,TRUE,"GENERAL";"TAB4",#N/A,TRUE,"GENERAL";"TAB5",#N/A,TRUE,"GENERAL"}</definedName>
    <definedName name="ewrt" localSheetId="14"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3" hidden="1">{"TAB1",#N/A,TRUE,"GENERAL";"TAB2",#N/A,TRUE,"GENERAL";"TAB3",#N/A,TRUE,"GENERAL";"TAB4",#N/A,TRUE,"GENERAL";"TAB5",#N/A,TRUE,"GENERAL"}</definedName>
    <definedName name="ewrt" localSheetId="15" hidden="1">{"TAB1",#N/A,TRUE,"GENERAL";"TAB2",#N/A,TRUE,"GENERAL";"TAB3",#N/A,TRUE,"GENERAL";"TAB4",#N/A,TRUE,"GENERAL";"TAB5",#N/A,TRUE,"GENERAL"}</definedName>
    <definedName name="ewrt"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5" hidden="1">{"TAB1",#N/A,TRUE,"GENERAL";"TAB2",#N/A,TRUE,"GENERAL";"TAB3",#N/A,TRUE,"GENERAL";"TAB4",#N/A,TRUE,"GENERAL";"TAB5",#N/A,TRUE,"GENERAL"}</definedName>
    <definedName name="ewrwer" hidden="1">{"TAB1",#N/A,TRUE,"GENERAL";"TAB2",#N/A,TRUE,"GENERAL";"TAB3",#N/A,TRUE,"GENERAL";"TAB4",#N/A,TRUE,"GENERAL";"TAB5",#N/A,TRUE,"GENERAL"}</definedName>
    <definedName name="EX" localSheetId="3">#REF!</definedName>
    <definedName name="EX" localSheetId="30">#REF!</definedName>
    <definedName name="EX" localSheetId="31">#REF!</definedName>
    <definedName name="EX" localSheetId="29">#REF!</definedName>
    <definedName name="EX">#REF!</definedName>
    <definedName name="EX_1" hidden="1">#REF!</definedName>
    <definedName name="exc">#REF!</definedName>
    <definedName name="exCEL">#REF!</definedName>
    <definedName name="Excel_BuiltIn__FilterDatabase">#REF!</definedName>
    <definedName name="Excel_BuiltIn_Database" localSheetId="3">#REF!</definedName>
    <definedName name="Excel_BuiltIn_Database" localSheetId="30">#REF!</definedName>
    <definedName name="Excel_BuiltIn_Database" localSheetId="31">#REF!</definedName>
    <definedName name="Excel_BuiltIn_Database" localSheetId="29">#REF!</definedName>
    <definedName name="Excel_BuiltIn_Database">#REF!</definedName>
    <definedName name="Excel_BuiltIn_Print_Area">#REF!</definedName>
    <definedName name="Excel_BuiltIn_Print_Area_1_1" localSheetId="3">#REF!</definedName>
    <definedName name="Excel_BuiltIn_Print_Area_1_1" localSheetId="30">#REF!</definedName>
    <definedName name="Excel_BuiltIn_Print_Area_1_1" localSheetId="31">#REF!</definedName>
    <definedName name="Excel_BuiltIn_Print_Area_1_1" localSheetId="29">#REF!</definedName>
    <definedName name="Excel_BuiltIn_Print_Area_1_1">#REF!</definedName>
    <definedName name="Excel_BuiltIn_Print_Area_1_1_1" localSheetId="3">#REF!</definedName>
    <definedName name="Excel_BuiltIn_Print_Area_1_1_1" localSheetId="30">#REF!</definedName>
    <definedName name="Excel_BuiltIn_Print_Area_1_1_1" localSheetId="31">#REF!</definedName>
    <definedName name="Excel_BuiltIn_Print_Area_1_1_1" localSheetId="29">#REF!</definedName>
    <definedName name="Excel_BuiltIn_Print_Area_1_1_1">#REF!</definedName>
    <definedName name="Excel_BuiltIn_Print_Area_1_1_2" localSheetId="3">#REF!</definedName>
    <definedName name="Excel_BuiltIn_Print_Area_1_1_2" localSheetId="30">#REF!</definedName>
    <definedName name="Excel_BuiltIn_Print_Area_1_1_2" localSheetId="31">#REF!</definedName>
    <definedName name="Excel_BuiltIn_Print_Area_1_1_2" localSheetId="29">#REF!</definedName>
    <definedName name="Excel_BuiltIn_Print_Area_1_1_2">#REF!</definedName>
    <definedName name="Excel_BuiltIn_Print_Area_1_1_3" localSheetId="3">#REF!</definedName>
    <definedName name="Excel_BuiltIn_Print_Area_1_1_3" localSheetId="30">#REF!</definedName>
    <definedName name="Excel_BuiltIn_Print_Area_1_1_3" localSheetId="31">#REF!</definedName>
    <definedName name="Excel_BuiltIn_Print_Area_1_1_3" localSheetId="29">#REF!</definedName>
    <definedName name="Excel_BuiltIn_Print_Area_1_1_3">#REF!</definedName>
    <definedName name="Excel_BuiltIn_Print_Area_1_1_3_2" localSheetId="3">#REF!</definedName>
    <definedName name="Excel_BuiltIn_Print_Area_1_1_3_2" localSheetId="30">#REF!</definedName>
    <definedName name="Excel_BuiltIn_Print_Area_1_1_3_2" localSheetId="31">#REF!</definedName>
    <definedName name="Excel_BuiltIn_Print_Area_1_1_3_2" localSheetId="29">#REF!</definedName>
    <definedName name="Excel_BuiltIn_Print_Area_1_1_3_2">#REF!</definedName>
    <definedName name="Excel_BuiltIn_Print_Area_1_1_3_7" localSheetId="3">#REF!</definedName>
    <definedName name="Excel_BuiltIn_Print_Area_1_1_3_7" localSheetId="30">#REF!</definedName>
    <definedName name="Excel_BuiltIn_Print_Area_1_1_3_7" localSheetId="31">#REF!</definedName>
    <definedName name="Excel_BuiltIn_Print_Area_1_1_3_7" localSheetId="29">#REF!</definedName>
    <definedName name="Excel_BuiltIn_Print_Area_1_1_3_7">#REF!</definedName>
    <definedName name="Excel_BuiltIn_Print_Area_1_1_4" localSheetId="3">#REF!</definedName>
    <definedName name="Excel_BuiltIn_Print_Area_1_1_4" localSheetId="30">#REF!</definedName>
    <definedName name="Excel_BuiltIn_Print_Area_1_1_4" localSheetId="31">#REF!</definedName>
    <definedName name="Excel_BuiltIn_Print_Area_1_1_4" localSheetId="29">#REF!</definedName>
    <definedName name="Excel_BuiltIn_Print_Area_1_1_4">#REF!</definedName>
    <definedName name="Excel_BuiltIn_Print_Area_1_1_7" localSheetId="3">#REF!</definedName>
    <definedName name="Excel_BuiltIn_Print_Area_1_1_7" localSheetId="30">#REF!</definedName>
    <definedName name="Excel_BuiltIn_Print_Area_1_1_7" localSheetId="31">#REF!</definedName>
    <definedName name="Excel_BuiltIn_Print_Area_1_1_7" localSheetId="29">#REF!</definedName>
    <definedName name="Excel_BuiltIn_Print_Area_1_1_7">#REF!</definedName>
    <definedName name="Excel_BuiltIn_Print_Area_2_1" localSheetId="3">#REF!</definedName>
    <definedName name="Excel_BuiltIn_Print_Area_2_1" localSheetId="30">#REF!</definedName>
    <definedName name="Excel_BuiltIn_Print_Area_2_1" localSheetId="31">#REF!</definedName>
    <definedName name="Excel_BuiltIn_Print_Area_2_1" localSheetId="29">#REF!</definedName>
    <definedName name="Excel_BuiltIn_Print_Area_2_1">#REF!</definedName>
    <definedName name="Excel_BuiltIn_Print_Area_2_1_1" localSheetId="3">#REF!</definedName>
    <definedName name="Excel_BuiltIn_Print_Area_2_1_1" localSheetId="30">#REF!</definedName>
    <definedName name="Excel_BuiltIn_Print_Area_2_1_1" localSheetId="31">#REF!</definedName>
    <definedName name="Excel_BuiltIn_Print_Area_2_1_1" localSheetId="29">#REF!</definedName>
    <definedName name="Excel_BuiltIn_Print_Area_2_1_1">#REF!</definedName>
    <definedName name="Excel_BuiltIn_Print_Area_2_1_2" localSheetId="3">#REF!</definedName>
    <definedName name="Excel_BuiltIn_Print_Area_2_1_2" localSheetId="30">#REF!</definedName>
    <definedName name="Excel_BuiltIn_Print_Area_2_1_2" localSheetId="31">#REF!</definedName>
    <definedName name="Excel_BuiltIn_Print_Area_2_1_2" localSheetId="29">#REF!</definedName>
    <definedName name="Excel_BuiltIn_Print_Area_2_1_2">#REF!</definedName>
    <definedName name="Excel_BuiltIn_Print_Area_2_1_3" localSheetId="3">#REF!</definedName>
    <definedName name="Excel_BuiltIn_Print_Area_2_1_3" localSheetId="30">#REF!</definedName>
    <definedName name="Excel_BuiltIn_Print_Area_2_1_3" localSheetId="31">#REF!</definedName>
    <definedName name="Excel_BuiltIn_Print_Area_2_1_3" localSheetId="29">#REF!</definedName>
    <definedName name="Excel_BuiltIn_Print_Area_2_1_3">#REF!</definedName>
    <definedName name="Excel_BuiltIn_Print_Area_2_1_3_2" localSheetId="3">#REF!</definedName>
    <definedName name="Excel_BuiltIn_Print_Area_2_1_3_2" localSheetId="30">#REF!</definedName>
    <definedName name="Excel_BuiltIn_Print_Area_2_1_3_2" localSheetId="31">#REF!</definedName>
    <definedName name="Excel_BuiltIn_Print_Area_2_1_3_2" localSheetId="29">#REF!</definedName>
    <definedName name="Excel_BuiltIn_Print_Area_2_1_3_2">#REF!</definedName>
    <definedName name="Excel_BuiltIn_Print_Area_2_1_3_7" localSheetId="3">#REF!</definedName>
    <definedName name="Excel_BuiltIn_Print_Area_2_1_3_7" localSheetId="30">#REF!</definedName>
    <definedName name="Excel_BuiltIn_Print_Area_2_1_3_7" localSheetId="31">#REF!</definedName>
    <definedName name="Excel_BuiltIn_Print_Area_2_1_3_7" localSheetId="29">#REF!</definedName>
    <definedName name="Excel_BuiltIn_Print_Area_2_1_3_7">#REF!</definedName>
    <definedName name="Excel_BuiltIn_Print_Area_2_1_4" localSheetId="3">#REF!</definedName>
    <definedName name="Excel_BuiltIn_Print_Area_2_1_4" localSheetId="30">#REF!</definedName>
    <definedName name="Excel_BuiltIn_Print_Area_2_1_4" localSheetId="31">#REF!</definedName>
    <definedName name="Excel_BuiltIn_Print_Area_2_1_4" localSheetId="29">#REF!</definedName>
    <definedName name="Excel_BuiltIn_Print_Area_2_1_4">#REF!</definedName>
    <definedName name="Excel_BuiltIn_Print_Area_2_1_7" localSheetId="3">#REF!</definedName>
    <definedName name="Excel_BuiltIn_Print_Area_2_1_7" localSheetId="30">#REF!</definedName>
    <definedName name="Excel_BuiltIn_Print_Area_2_1_7" localSheetId="31">#REF!</definedName>
    <definedName name="Excel_BuiltIn_Print_Area_2_1_7" localSheetId="29">#REF!</definedName>
    <definedName name="Excel_BuiltIn_Print_Area_2_1_7">#REF!</definedName>
    <definedName name="Excel_BuiltIn_Print_Area_3">#REF!</definedName>
    <definedName name="Excel_BuiltIn_Print_Area_3_X">#REF!</definedName>
    <definedName name="Excel_BuiltIn_Print_Area_4" localSheetId="3">#REF!</definedName>
    <definedName name="Excel_BuiltIn_Print_Area_4" localSheetId="30">#REF!</definedName>
    <definedName name="Excel_BuiltIn_Print_Area_4" localSheetId="31">#REF!</definedName>
    <definedName name="Excel_BuiltIn_Print_Area_4" localSheetId="29">#REF!</definedName>
    <definedName name="Excel_BuiltIn_Print_Area_4">#REF!</definedName>
    <definedName name="Excel_BuiltIn_Print_Area_4_1" localSheetId="3">#REF!</definedName>
    <definedName name="Excel_BuiltIn_Print_Area_4_1" localSheetId="30">#REF!</definedName>
    <definedName name="Excel_BuiltIn_Print_Area_4_1" localSheetId="31">#REF!</definedName>
    <definedName name="Excel_BuiltIn_Print_Area_4_1" localSheetId="29">#REF!</definedName>
    <definedName name="Excel_BuiltIn_Print_Area_4_1">#REF!</definedName>
    <definedName name="Excel_BuiltIn_Print_Area_4_1_2" localSheetId="3">#REF!</definedName>
    <definedName name="Excel_BuiltIn_Print_Area_4_1_2" localSheetId="30">#REF!</definedName>
    <definedName name="Excel_BuiltIn_Print_Area_4_1_2" localSheetId="31">#REF!</definedName>
    <definedName name="Excel_BuiltIn_Print_Area_4_1_2" localSheetId="29">#REF!</definedName>
    <definedName name="Excel_BuiltIn_Print_Area_4_1_2">#REF!</definedName>
    <definedName name="Excel_BuiltIn_Print_Area_5" localSheetId="3">#REF!</definedName>
    <definedName name="Excel_BuiltIn_Print_Area_5" localSheetId="30">#REF!</definedName>
    <definedName name="Excel_BuiltIn_Print_Area_5" localSheetId="31">#REF!</definedName>
    <definedName name="Excel_BuiltIn_Print_Area_5" localSheetId="29">#REF!</definedName>
    <definedName name="Excel_BuiltIn_Print_Area_5">#REF!</definedName>
    <definedName name="Excel_BuiltIn_Print_Area_5_1" localSheetId="3">#REF!</definedName>
    <definedName name="Excel_BuiltIn_Print_Area_5_1" localSheetId="30">#REF!</definedName>
    <definedName name="Excel_BuiltIn_Print_Area_5_1" localSheetId="31">#REF!</definedName>
    <definedName name="Excel_BuiltIn_Print_Area_5_1" localSheetId="29">#REF!</definedName>
    <definedName name="Excel_BuiltIn_Print_Area_5_1">#REF!</definedName>
    <definedName name="Excel_BuiltIn_Print_Area_5_1_2" localSheetId="3">#REF!</definedName>
    <definedName name="Excel_BuiltIn_Print_Area_5_1_2" localSheetId="30">#REF!</definedName>
    <definedName name="Excel_BuiltIn_Print_Area_5_1_2" localSheetId="31">#REF!</definedName>
    <definedName name="Excel_BuiltIn_Print_Area_5_1_2" localSheetId="29">#REF!</definedName>
    <definedName name="Excel_BuiltIn_Print_Area_5_1_2">#REF!</definedName>
    <definedName name="Excel_BuiltIn_Print_Area_5_1_3" localSheetId="3">#REF!</definedName>
    <definedName name="Excel_BuiltIn_Print_Area_5_1_3" localSheetId="30">#REF!</definedName>
    <definedName name="Excel_BuiltIn_Print_Area_5_1_3" localSheetId="31">#REF!</definedName>
    <definedName name="Excel_BuiltIn_Print_Area_5_1_3" localSheetId="29">#REF!</definedName>
    <definedName name="Excel_BuiltIn_Print_Area_5_1_3">#REF!</definedName>
    <definedName name="Excel_BuiltIn_Print_Area_5_1_3_2" localSheetId="3">#REF!</definedName>
    <definedName name="Excel_BuiltIn_Print_Area_5_1_3_2" localSheetId="30">#REF!</definedName>
    <definedName name="Excel_BuiltIn_Print_Area_5_1_3_2" localSheetId="31">#REF!</definedName>
    <definedName name="Excel_BuiltIn_Print_Area_5_1_3_2" localSheetId="29">#REF!</definedName>
    <definedName name="Excel_BuiltIn_Print_Area_5_1_3_2">#REF!</definedName>
    <definedName name="Excel_BuiltIn_Print_Area_5_1_3_7" localSheetId="3">#REF!</definedName>
    <definedName name="Excel_BuiltIn_Print_Area_5_1_3_7" localSheetId="30">#REF!</definedName>
    <definedName name="Excel_BuiltIn_Print_Area_5_1_3_7" localSheetId="31">#REF!</definedName>
    <definedName name="Excel_BuiltIn_Print_Area_5_1_3_7" localSheetId="29">#REF!</definedName>
    <definedName name="Excel_BuiltIn_Print_Area_5_1_3_7">#REF!</definedName>
    <definedName name="Excel_BuiltIn_Print_Area_5_1_4" localSheetId="3">#REF!</definedName>
    <definedName name="Excel_BuiltIn_Print_Area_5_1_4" localSheetId="30">#REF!</definedName>
    <definedName name="Excel_BuiltIn_Print_Area_5_1_4" localSheetId="31">#REF!</definedName>
    <definedName name="Excel_BuiltIn_Print_Area_5_1_4" localSheetId="29">#REF!</definedName>
    <definedName name="Excel_BuiltIn_Print_Area_5_1_4">#REF!</definedName>
    <definedName name="Excel_BuiltIn_Print_Area_5_1_7" localSheetId="3">#REF!</definedName>
    <definedName name="Excel_BuiltIn_Print_Area_5_1_7" localSheetId="30">#REF!</definedName>
    <definedName name="Excel_BuiltIn_Print_Area_5_1_7" localSheetId="31">#REF!</definedName>
    <definedName name="Excel_BuiltIn_Print_Area_5_1_7" localSheetId="29">#REF!</definedName>
    <definedName name="Excel_BuiltIn_Print_Area_5_1_7">#REF!</definedName>
    <definedName name="Excel_BuiltIn_Print_Area_5_2" localSheetId="3">#REF!</definedName>
    <definedName name="Excel_BuiltIn_Print_Area_5_2" localSheetId="30">#REF!</definedName>
    <definedName name="Excel_BuiltIn_Print_Area_5_2" localSheetId="31">#REF!</definedName>
    <definedName name="Excel_BuiltIn_Print_Area_5_2" localSheetId="29">#REF!</definedName>
    <definedName name="Excel_BuiltIn_Print_Area_5_2">#REF!</definedName>
    <definedName name="Excel_BuiltIn_Print_Titles">#REF!</definedName>
    <definedName name="Excel_BuiltIn_Print_Titles_10">[55]SKJ452!#REF!</definedName>
    <definedName name="Excel_BuiltIn_Print_Titles_11">[55]ITA878!#REF!</definedName>
    <definedName name="Excel_BuiltIn_Print_Titles_12">'[55]AEA-944'!#REF!</definedName>
    <definedName name="Excel_BuiltIn_Print_Titles_13">'[55]DUB-823'!#REF!</definedName>
    <definedName name="Excel_BuiltIn_Print_Titles_14">'[55]GPI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[55]XXJ617!#REF!</definedName>
    <definedName name="Excel_BuiltIn_Print_Titles_20">#REF!</definedName>
    <definedName name="Excel_BuiltIn_Print_Titles_21">[55]SNG_855!#REF!</definedName>
    <definedName name="Excel_BuiltIn_Print_Titles_23">#REF!</definedName>
    <definedName name="Excel_BuiltIn_Print_Titles_3">#REF!</definedName>
    <definedName name="Excel_BuiltIn_Print_Titles_5">'[55]VEA 374'!#REF!</definedName>
    <definedName name="Excel_BuiltIn_Print_Titles_5_XX">'[55]VEA 374'!#REF!</definedName>
    <definedName name="Excel_BuiltIn_Print_Titles_6">#REF!</definedName>
    <definedName name="Excel_BuiltIn_Print_Titles_7">[55]HFB024!#REF!</definedName>
    <definedName name="Excel_BuiltIn_Print_Titles_8">#REF!</definedName>
    <definedName name="Excel_BuiltIn_Print_Titles_9">[55]PAJ825!#REF!</definedName>
    <definedName name="EXCROC">'[64]Análisis de precios'!$H$52</definedName>
    <definedName name="Existencia" localSheetId="3">#REF!</definedName>
    <definedName name="Existencia" localSheetId="30">#REF!</definedName>
    <definedName name="Existencia" localSheetId="31">#REF!</definedName>
    <definedName name="Existencia" localSheetId="29">#REF!</definedName>
    <definedName name="Existencia">#REF!</definedName>
    <definedName name="extra">#REF!</definedName>
    <definedName name="Extra_Pay">#REF!</definedName>
    <definedName name="EY" localSheetId="3">#REF!</definedName>
    <definedName name="EY">#REF!</definedName>
    <definedName name="EZ" localSheetId="3">#REF!</definedName>
    <definedName name="EZ">#REF!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 localSheetId="3">#REF!</definedName>
    <definedName name="FA">#REF!</definedName>
    <definedName name="FABI" localSheetId="14">Scheduled_Payment+Extra_Payment</definedName>
    <definedName name="FABI" localSheetId="17">Scheduled_Payment+Extra_Payment</definedName>
    <definedName name="FABI" localSheetId="2">Scheduled_Payment+Extra_Payment</definedName>
    <definedName name="FABI" localSheetId="20">Scheduled_Payment+Extra_Payment</definedName>
    <definedName name="FABI" localSheetId="21">Scheduled_Payment+Extra_Payment</definedName>
    <definedName name="FABI" localSheetId="15">Scheduled_Payment+Extra_Payment</definedName>
    <definedName name="FABI">Scheduled_Payment+Extra_Payment</definedName>
    <definedName name="FABIAN">#N/A</definedName>
    <definedName name="FAC" localSheetId="14" hidden="1">#REF!</definedName>
    <definedName name="FAC" localSheetId="16" hidden="1">#REF!</definedName>
    <definedName name="FAC" localSheetId="17" hidden="1">#REF!</definedName>
    <definedName name="FAC" localSheetId="13" hidden="1">#REF!</definedName>
    <definedName name="FAC" localSheetId="15" hidden="1">#REF!</definedName>
    <definedName name="FAC" hidden="1">#REF!</definedName>
    <definedName name="Factor_1.55" localSheetId="3">#REF!</definedName>
    <definedName name="Factor_1.55" localSheetId="30">#REF!</definedName>
    <definedName name="Factor_1.55" localSheetId="31">#REF!</definedName>
    <definedName name="Factor_1.55" localSheetId="29">#REF!</definedName>
    <definedName name="Factor_1.55">#REF!</definedName>
    <definedName name="FACTOR_PRESTACIONAL">'[41]FACTOR PRESTACIONAL'!$A$7:$BE$32</definedName>
    <definedName name="Factor1.55" localSheetId="3">#REF!</definedName>
    <definedName name="Factor1.55" localSheetId="30">#REF!</definedName>
    <definedName name="Factor1.55" localSheetId="31">#REF!</definedName>
    <definedName name="Factor1.55" localSheetId="29">#REF!</definedName>
    <definedName name="Factor1.55">#REF!</definedName>
    <definedName name="Factor2.1" localSheetId="3">#REF!</definedName>
    <definedName name="Factor2.1" localSheetId="30">#REF!</definedName>
    <definedName name="Factor2.1" localSheetId="31">#REF!</definedName>
    <definedName name="Factor2.1" localSheetId="29">#REF!</definedName>
    <definedName name="Factor2.1">#REF!</definedName>
    <definedName name="factor3">#REF!</definedName>
    <definedName name="FACTOR4">#REF!</definedName>
    <definedName name="FACTOR5">#REF!</definedName>
    <definedName name="factura">[25]SUAZA2!$A$1:$J$13</definedName>
    <definedName name="FACTURADO">'[65]Itemes Renovación'!#REF!</definedName>
    <definedName name="fafssdfasfd" localSheetId="3">#REF!</definedName>
    <definedName name="fafssdfasfd" localSheetId="30">#REF!</definedName>
    <definedName name="fafssdfasfd" localSheetId="31">#REF!</definedName>
    <definedName name="fafssdfasfd" localSheetId="29">#REF!</definedName>
    <definedName name="fafssdfasfd">#REF!</definedName>
    <definedName name="FALTANTES1">'[66]CANT OBRA'!$1:$1048576</definedName>
    <definedName name="FB" localSheetId="3">#REF!</definedName>
    <definedName name="FB">#REF!</definedName>
    <definedName name="FD" localSheetId="3">#REF!</definedName>
    <definedName name="FD">#REF!</definedName>
    <definedName name="fda" localSheetId="14"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3" hidden="1">{"TAB1",#N/A,TRUE,"GENERAL";"TAB2",#N/A,TRUE,"GENERAL";"TAB3",#N/A,TRUE,"GENERAL";"TAB4",#N/A,TRUE,"GENERAL";"TAB5",#N/A,TRUE,"GENERAL"}</definedName>
    <definedName name="fda" localSheetId="15" hidden="1">{"TAB1",#N/A,TRUE,"GENERAL";"TAB2",#N/A,TRUE,"GENERAL";"TAB3",#N/A,TRUE,"GENERAL";"TAB4",#N/A,TRUE,"GENERAL";"TAB5",#N/A,TRUE,"GENERAL"}</definedName>
    <definedName name="fda" hidden="1">{"TAB1",#N/A,TRUE,"GENERAL";"TAB2",#N/A,TRUE,"GENERAL";"TAB3",#N/A,TRUE,"GENERAL";"TAB4",#N/A,TRUE,"GENERAL";"TAB5",#N/A,TRUE,"GENERAL"}</definedName>
    <definedName name="fdadsfa" localSheetId="14" hidden="1">{"PRES REHAB ARM-PER POR ITEMS  KM A KM",#N/A,TRUE,"Rehabilitacion Arm-Per"}</definedName>
    <definedName name="fdadsfa" localSheetId="16" hidden="1">{"PRES REHAB ARM-PER POR ITEMS  KM A KM",#N/A,TRUE,"Rehabilitacion Arm-Per"}</definedName>
    <definedName name="fdadsfa" localSheetId="17" hidden="1">{"PRES REHAB ARM-PER POR ITEMS  KM A KM",#N/A,TRUE,"Rehabilitacion Arm-Per"}</definedName>
    <definedName name="fdadsfa" localSheetId="13" hidden="1">{"PRES REHAB ARM-PER POR ITEMS  KM A KM",#N/A,TRUE,"Rehabilitacion Arm-Per"}</definedName>
    <definedName name="fdadsfa" localSheetId="15" hidden="1">{"PRES REHAB ARM-PER POR ITEMS  KM A KM",#N/A,TRUE,"Rehabilitacion Arm-Per"}</definedName>
    <definedName name="fdadsfa" hidden="1">{"PRES REHAB ARM-PER POR ITEMS  KM A KM",#N/A,TRUE,"Rehabilitacion Arm-Per"}</definedName>
    <definedName name="fdbjp" localSheetId="14"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5" hidden="1">{"TAB1",#N/A,TRUE,"GENERAL";"TAB2",#N/A,TRUE,"GENERAL";"TAB3",#N/A,TRUE,"GENERAL";"TAB4",#N/A,TRUE,"GENERAL";"TAB5",#N/A,TRUE,"GENERAL"}</definedName>
    <definedName name="fdbjp" hidden="1">{"TAB1",#N/A,TRUE,"GENERAL";"TAB2",#N/A,TRUE,"GENERAL";"TAB3",#N/A,TRUE,"GENERAL";"TAB4",#N/A,TRUE,"GENERAL";"TAB5",#N/A,TRUE,"GENERAL"}</definedName>
    <definedName name="fdf" localSheetId="14"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3" hidden="1">{"TAB1",#N/A,TRUE,"GENERAL";"TAB2",#N/A,TRUE,"GENERAL";"TAB3",#N/A,TRUE,"GENERAL";"TAB4",#N/A,TRUE,"GENERAL";"TAB5",#N/A,TRUE,"GENERAL"}</definedName>
    <definedName name="fdf" localSheetId="15" hidden="1">{"TAB1",#N/A,TRUE,"GENERAL";"TAB2",#N/A,TRUE,"GENERAL";"TAB3",#N/A,TRUE,"GENERAL";"TAB4",#N/A,TRUE,"GENERAL";"TAB5",#N/A,TRUE,"GENERAL"}</definedName>
    <definedName name="fdf" hidden="1">{"TAB1",#N/A,TRUE,"GENERAL";"TAB2",#N/A,TRUE,"GENERAL";"TAB3",#N/A,TRUE,"GENERAL";"TAB4",#N/A,TRUE,"GENERAL";"TAB5",#N/A,TRUE,"GENERAL"}</definedName>
    <definedName name="fdg" localSheetId="14"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3" hidden="1">{"via1",#N/A,TRUE,"general";"via2",#N/A,TRUE,"general";"via3",#N/A,TRUE,"general"}</definedName>
    <definedName name="fdg" localSheetId="15" hidden="1">{"via1",#N/A,TRUE,"general";"via2",#N/A,TRUE,"general";"via3",#N/A,TRUE,"general"}</definedName>
    <definedName name="fdg" hidden="1">{"via1",#N/A,TRUE,"general";"via2",#N/A,TRUE,"general";"via3",#N/A,TRUE,"general"}</definedName>
    <definedName name="FDGASDFASD" localSheetId="3">#REF!</definedName>
    <definedName name="FDGASDFASD" localSheetId="30">#REF!</definedName>
    <definedName name="FDGASDFASD" localSheetId="31">#REF!</definedName>
    <definedName name="FDGASDFASD" localSheetId="29">#REF!</definedName>
    <definedName name="FDGASDFASD">#REF!</definedName>
    <definedName name="FDGD" localSheetId="14"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3" hidden="1">{"TAB1",#N/A,TRUE,"GENERAL";"TAB2",#N/A,TRUE,"GENERAL";"TAB3",#N/A,TRUE,"GENERAL";"TAB4",#N/A,TRUE,"GENERAL";"TAB5",#N/A,TRUE,"GENERAL"}</definedName>
    <definedName name="FDGD" localSheetId="15" hidden="1">{"TAB1",#N/A,TRUE,"GENERAL";"TAB2",#N/A,TRUE,"GENERAL";"TAB3",#N/A,TRUE,"GENERAL";"TAB4",#N/A,TRUE,"GENERAL";"TAB5",#N/A,TRUE,"GENERAL"}</definedName>
    <definedName name="FDGD"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5" hidden="1">{"TAB1",#N/A,TRUE,"GENERAL";"TAB2",#N/A,TRUE,"GENERAL";"TAB3",#N/A,TRUE,"GENERAL";"TAB4",#N/A,TRUE,"GENERAL";"TAB5",#N/A,TRUE,"GENERAL"}</definedName>
    <definedName name="FDGFDBBP" hidden="1">{"TAB1",#N/A,TRUE,"GENERAL";"TAB2",#N/A,TRUE,"GENERAL";"TAB3",#N/A,TRUE,"GENERAL";"TAB4",#N/A,TRUE,"GENERAL";"TAB5",#N/A,TRUE,"GENERAL"}</definedName>
    <definedName name="fdh" localSheetId="14"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3" hidden="1">{"TAB1",#N/A,TRUE,"GENERAL";"TAB2",#N/A,TRUE,"GENERAL";"TAB3",#N/A,TRUE,"GENERAL";"TAB4",#N/A,TRUE,"GENERAL";"TAB5",#N/A,TRUE,"GENERAL"}</definedName>
    <definedName name="fdh" localSheetId="15"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4"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3" hidden="1">{"TAB1",#N/A,TRUE,"GENERAL";"TAB2",#N/A,TRUE,"GENERAL";"TAB3",#N/A,TRUE,"GENERAL";"TAB4",#N/A,TRUE,"GENERAL";"TAB5",#N/A,TRUE,"GENERAL"}</definedName>
    <definedName name="fdsf" localSheetId="15" hidden="1">{"TAB1",#N/A,TRUE,"GENERAL";"TAB2",#N/A,TRUE,"GENERAL";"TAB3",#N/A,TRUE,"GENERAL";"TAB4",#N/A,TRUE,"GENERAL";"TAB5",#N/A,TRUE,"GENERAL"}</definedName>
    <definedName name="fdsf"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5" hidden="1">{"TAB1",#N/A,TRUE,"GENERAL";"TAB2",#N/A,TRUE,"GENERAL";"TAB3",#N/A,TRUE,"GENERAL";"TAB4",#N/A,TRUE,"GENERAL";"TAB5",#N/A,TRUE,"GENERAL"}</definedName>
    <definedName name="fdsfds" hidden="1">{"TAB1",#N/A,TRUE,"GENERAL";"TAB2",#N/A,TRUE,"GENERAL";"TAB3",#N/A,TRUE,"GENERAL";"TAB4",#N/A,TRUE,"GENERAL";"TAB5",#N/A,TRUE,"GENERAL"}</definedName>
    <definedName name="fdsfdsf" localSheetId="14"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3" hidden="1">{"via1",#N/A,TRUE,"general";"via2",#N/A,TRUE,"general";"via3",#N/A,TRUE,"general"}</definedName>
    <definedName name="fdsfdsf" localSheetId="15" hidden="1">{"via1",#N/A,TRUE,"general";"via2",#N/A,TRUE,"general";"via3",#N/A,TRUE,"general"}</definedName>
    <definedName name="fdsfdsf" hidden="1">{"via1",#N/A,TRUE,"general";"via2",#N/A,TRUE,"general";"via3",#N/A,TRUE,"general"}</definedName>
    <definedName name="fdsgfds" localSheetId="14"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3" hidden="1">{"via1",#N/A,TRUE,"general";"via2",#N/A,TRUE,"general";"via3",#N/A,TRUE,"general"}</definedName>
    <definedName name="fdsgfds" localSheetId="15" hidden="1">{"via1",#N/A,TRUE,"general";"via2",#N/A,TRUE,"general";"via3",#N/A,TRUE,"general"}</definedName>
    <definedName name="fdsgfds" hidden="1">{"via1",#N/A,TRUE,"general";"via2",#N/A,TRUE,"general";"via3",#N/A,TRUE,"general"}</definedName>
    <definedName name="fdsgsdfu" localSheetId="14"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5" hidden="1">{"TAB1",#N/A,TRUE,"GENERAL";"TAB2",#N/A,TRUE,"GENERAL";"TAB3",#N/A,TRUE,"GENERAL";"TAB4",#N/A,TRUE,"GENERAL";"TAB5",#N/A,TRUE,"GENERAL"}</definedName>
    <definedName name="fdsgsdfu"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5" hidden="1">{"TAB1",#N/A,TRUE,"GENERAL";"TAB2",#N/A,TRUE,"GENERAL";"TAB3",#N/A,TRUE,"GENERAL";"TAB4",#N/A,TRUE,"GENERAL";"TAB5",#N/A,TRUE,"GENERAL"}</definedName>
    <definedName name="FDSIO" hidden="1">{"TAB1",#N/A,TRUE,"GENERAL";"TAB2",#N/A,TRUE,"GENERAL";"TAB3",#N/A,TRUE,"GENERAL";"TAB4",#N/A,TRUE,"GENERAL";"TAB5",#N/A,TRUE,"GENERAL"}</definedName>
    <definedName name="FE" localSheetId="3">#REF!</definedName>
    <definedName name="FE">#REF!</definedName>
    <definedName name="Feb">#REF!</definedName>
    <definedName name="Feb_C">#REF!</definedName>
    <definedName name="FEC">'[7]DAT NUC'!$B$2:$B$472</definedName>
    <definedName name="FECH">[7]DATBAND!$B$3:$B$390</definedName>
    <definedName name="FECHA" localSheetId="3">#REF!</definedName>
    <definedName name="FECHA" localSheetId="30">#REF!</definedName>
    <definedName name="FECHA" localSheetId="31">#REF!</definedName>
    <definedName name="FECHA" localSheetId="29">#REF!</definedName>
    <definedName name="FECHA">#REF!</definedName>
    <definedName name="FECHA5">[6]datos!$N$2,[6]datos!$N$2:$N$500</definedName>
    <definedName name="fer">'[40]Res-Accide-10'!#REF!</definedName>
    <definedName name="ferfer" localSheetId="14"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3" hidden="1">{"via1",#N/A,TRUE,"general";"via2",#N/A,TRUE,"general";"via3",#N/A,TRUE,"general"}</definedName>
    <definedName name="ferfer" localSheetId="15" hidden="1">{"via1",#N/A,TRUE,"general";"via2",#N/A,TRUE,"general";"via3",#N/A,TRUE,"general"}</definedName>
    <definedName name="ferfer" hidden="1">{"via1",#N/A,TRUE,"general";"via2",#N/A,TRUE,"general";"via3",#N/A,TRUE,"general"}</definedName>
    <definedName name="ff">#REF!</definedName>
    <definedName name="fff" localSheetId="14"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3" hidden="1">{"via1",#N/A,TRUE,"general";"via2",#N/A,TRUE,"general";"via3",#N/A,TRUE,"general"}</definedName>
    <definedName name="fff" localSheetId="15" hidden="1">{"via1",#N/A,TRUE,"general";"via2",#N/A,TRUE,"general";"via3",#N/A,TRUE,"general"}</definedName>
    <definedName name="fff" hidden="1">{"via1",#N/A,TRUE,"general";"via2",#N/A,TRUE,"general";"via3",#N/A,TRUE,"general"}</definedName>
    <definedName name="FFFF"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3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3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36"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3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3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3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3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2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d" localSheetId="14"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3" hidden="1">{"via1",#N/A,TRUE,"general";"via2",#N/A,TRUE,"general";"via3",#N/A,TRUE,"general"}</definedName>
    <definedName name="ffffd" localSheetId="15" hidden="1">{"via1",#N/A,TRUE,"general";"via2",#N/A,TRUE,"general";"via3",#N/A,TRUE,"general"}</definedName>
    <definedName name="ffffd" hidden="1">{"via1",#N/A,TRUE,"general";"via2",#N/A,TRUE,"general";"via3",#N/A,TRUE,"general"}</definedName>
    <definedName name="fffffft" localSheetId="14"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5" hidden="1">{"TAB1",#N/A,TRUE,"GENERAL";"TAB2",#N/A,TRUE,"GENERAL";"TAB3",#N/A,TRUE,"GENERAL";"TAB4",#N/A,TRUE,"GENERAL";"TAB5",#N/A,TRUE,"GENERAL"}</definedName>
    <definedName name="fffffft"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5" hidden="1">{"TAB1",#N/A,TRUE,"GENERAL";"TAB2",#N/A,TRUE,"GENERAL";"TAB3",#N/A,TRUE,"GENERAL";"TAB4",#N/A,TRUE,"GENERAL";"TAB5",#N/A,TRUE,"GENERAL"}</definedName>
    <definedName name="fffffik"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5" hidden="1">{"TAB1",#N/A,TRUE,"GENERAL";"TAB2",#N/A,TRUE,"GENERAL";"TAB3",#N/A,TRUE,"GENERAL";"TAB4",#N/A,TRUE,"GENERAL";"TAB5",#N/A,TRUE,"GENERAL"}</definedName>
    <definedName name="fffffj" hidden="1">{"TAB1",#N/A,TRUE,"GENERAL";"TAB2",#N/A,TRUE,"GENERAL";"TAB3",#N/A,TRUE,"GENERAL";"TAB4",#N/A,TRUE,"GENERAL";"TAB5",#N/A,TRUE,"GENERAL"}</definedName>
    <definedName name="ffffrd" localSheetId="14"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3" hidden="1">{"via1",#N/A,TRUE,"general";"via2",#N/A,TRUE,"general";"via3",#N/A,TRUE,"general"}</definedName>
    <definedName name="ffffrd" localSheetId="15" hidden="1">{"via1",#N/A,TRUE,"general";"via2",#N/A,TRUE,"general";"via3",#N/A,TRUE,"general"}</definedName>
    <definedName name="ffffrd" hidden="1">{"via1",#N/A,TRUE,"general";"via2",#N/A,TRUE,"general";"via3",#N/A,TRUE,"general"}</definedName>
    <definedName name="ffffy" localSheetId="14"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5" hidden="1">{"TAB1",#N/A,TRUE,"GENERAL";"TAB2",#N/A,TRUE,"GENERAL";"TAB3",#N/A,TRUE,"GENERAL";"TAB4",#N/A,TRUE,"GENERAL";"TAB5",#N/A,TRUE,"GENERAL"}</definedName>
    <definedName name="ffffy"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5" hidden="1">{"TAB1",#N/A,TRUE,"GENERAL";"TAB2",#N/A,TRUE,"GENERAL";"TAB3",#N/A,TRUE,"GENERAL";"TAB4",#N/A,TRUE,"GENERAL";"TAB5",#N/A,TRUE,"GENERAL"}</definedName>
    <definedName name="fffrfr" hidden="1">{"TAB1",#N/A,TRUE,"GENERAL";"TAB2",#N/A,TRUE,"GENERAL";"TAB3",#N/A,TRUE,"GENERAL";"TAB4",#N/A,TRUE,"GENERAL";"TAB5",#N/A,TRUE,"GENERAL"}</definedName>
    <definedName name="fffs" localSheetId="14"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3" hidden="1">{"TAB1",#N/A,TRUE,"GENERAL";"TAB2",#N/A,TRUE,"GENERAL";"TAB3",#N/A,TRUE,"GENERAL";"TAB4",#N/A,TRUE,"GENERAL";"TAB5",#N/A,TRUE,"GENERAL"}</definedName>
    <definedName name="fffs" localSheetId="15"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#REF!</definedName>
    <definedName name="fgdfg" localSheetId="14"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5" hidden="1">{"TAB1",#N/A,TRUE,"GENERAL";"TAB2",#N/A,TRUE,"GENERAL";"TAB3",#N/A,TRUE,"GENERAL";"TAB4",#N/A,TRUE,"GENERAL";"TAB5",#N/A,TRUE,"GENERAL"}</definedName>
    <definedName name="fgdfg" hidden="1">{"TAB1",#N/A,TRUE,"GENERAL";"TAB2",#N/A,TRUE,"GENERAL";"TAB3",#N/A,TRUE,"GENERAL";"TAB4",#N/A,TRUE,"GENERAL";"TAB5",#N/A,TRUE,"GENERAL"}</definedName>
    <definedName name="fgdfsgr" localSheetId="14"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3" hidden="1">{"via1",#N/A,TRUE,"general";"via2",#N/A,TRUE,"general";"via3",#N/A,TRUE,"general"}</definedName>
    <definedName name="fgdfsgr" localSheetId="15" hidden="1">{"via1",#N/A,TRUE,"general";"via2",#N/A,TRUE,"general";"via3",#N/A,TRUE,"general"}</definedName>
    <definedName name="fgdfsgr" hidden="1">{"via1",#N/A,TRUE,"general";"via2",#N/A,TRUE,"general";"via3",#N/A,TRUE,"general"}</definedName>
    <definedName name="fgdsfg" localSheetId="14"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5" hidden="1">{"TAB1",#N/A,TRUE,"GENERAL";"TAB2",#N/A,TRUE,"GENERAL";"TAB3",#N/A,TRUE,"GENERAL";"TAB4",#N/A,TRUE,"GENERAL";"TAB5",#N/A,TRUE,"GENERAL"}</definedName>
    <definedName name="fgdsfg" hidden="1">{"TAB1",#N/A,TRUE,"GENERAL";"TAB2",#N/A,TRUE,"GENERAL";"TAB3",#N/A,TRUE,"GENERAL";"TAB4",#N/A,TRUE,"GENERAL";"TAB5",#N/A,TRUE,"GENERAL"}</definedName>
    <definedName name="FGFDH" localSheetId="14"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3" hidden="1">{"via1",#N/A,TRUE,"general";"via2",#N/A,TRUE,"general";"via3",#N/A,TRUE,"general"}</definedName>
    <definedName name="FGFDH" localSheetId="15" hidden="1">{"via1",#N/A,TRUE,"general";"via2",#N/A,TRUE,"general";"via3",#N/A,TRUE,"general"}</definedName>
    <definedName name="FGFDH" hidden="1">{"via1",#N/A,TRUE,"general";"via2",#N/A,TRUE,"general";"via3",#N/A,TRUE,"general"}</definedName>
    <definedName name="fgg">#REF!</definedName>
    <definedName name="fgghhj" localSheetId="14"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3" hidden="1">{"via1",#N/A,TRUE,"general";"via2",#N/A,TRUE,"general";"via3",#N/A,TRUE,"general"}</definedName>
    <definedName name="fgghhj" localSheetId="15" hidden="1">{"via1",#N/A,TRUE,"general";"via2",#N/A,TRUE,"general";"via3",#N/A,TRUE,"general"}</definedName>
    <definedName name="fgghhj" hidden="1">{"via1",#N/A,TRUE,"general";"via2",#N/A,TRUE,"general";"via3",#N/A,TRUE,"general"}</definedName>
    <definedName name="FGHFBC" localSheetId="14"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3" hidden="1">{"via1",#N/A,TRUE,"general";"via2",#N/A,TRUE,"general";"via3",#N/A,TRUE,"general"}</definedName>
    <definedName name="FGHFBC" localSheetId="15" hidden="1">{"via1",#N/A,TRUE,"general";"via2",#N/A,TRUE,"general";"via3",#N/A,TRUE,"general"}</definedName>
    <definedName name="FGHFBC" hidden="1">{"via1",#N/A,TRUE,"general";"via2",#N/A,TRUE,"general";"via3",#N/A,TRUE,"general"}</definedName>
    <definedName name="fghfg" localSheetId="14"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5" hidden="1">{"TAB1",#N/A,TRUE,"GENERAL";"TAB2",#N/A,TRUE,"GENERAL";"TAB3",#N/A,TRUE,"GENERAL";"TAB4",#N/A,TRUE,"GENERAL";"TAB5",#N/A,TRUE,"GENERAL"}</definedName>
    <definedName name="fghfg" hidden="1">{"TAB1",#N/A,TRUE,"GENERAL";"TAB2",#N/A,TRUE,"GENERAL";"TAB3",#N/A,TRUE,"GENERAL";"TAB4",#N/A,TRUE,"GENERAL";"TAB5",#N/A,TRUE,"GENERAL"}</definedName>
    <definedName name="fghfgh" localSheetId="14"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3" hidden="1">{"via1",#N/A,TRUE,"general";"via2",#N/A,TRUE,"general";"via3",#N/A,TRUE,"general"}</definedName>
    <definedName name="fghfgh" localSheetId="15" hidden="1">{"via1",#N/A,TRUE,"general";"via2",#N/A,TRUE,"general";"via3",#N/A,TRUE,"general"}</definedName>
    <definedName name="fghfgh" hidden="1">{"via1",#N/A,TRUE,"general";"via2",#N/A,TRUE,"general";"via3",#N/A,TRUE,"general"}</definedName>
    <definedName name="FGHFW" localSheetId="14"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3" hidden="1">{"via1",#N/A,TRUE,"general";"via2",#N/A,TRUE,"general";"via3",#N/A,TRUE,"general"}</definedName>
    <definedName name="FGHFW" localSheetId="15" hidden="1">{"via1",#N/A,TRUE,"general";"via2",#N/A,TRUE,"general";"via3",#N/A,TRUE,"general"}</definedName>
    <definedName name="FGHFW" hidden="1">{"via1",#N/A,TRUE,"general";"via2",#N/A,TRUE,"general";"via3",#N/A,TRUE,"general"}</definedName>
    <definedName name="fghhh" localSheetId="14"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5" hidden="1">{"TAB1",#N/A,TRUE,"GENERAL";"TAB2",#N/A,TRUE,"GENERAL";"TAB3",#N/A,TRUE,"GENERAL";"TAB4",#N/A,TRUE,"GENERAL";"TAB5",#N/A,TRUE,"GENERAL"}</definedName>
    <definedName name="fghhh" hidden="1">{"TAB1",#N/A,TRUE,"GENERAL";"TAB2",#N/A,TRUE,"GENERAL";"TAB3",#N/A,TRUE,"GENERAL";"TAB4",#N/A,TRUE,"GENERAL";"TAB5",#N/A,TRUE,"GENERAL"}</definedName>
    <definedName name="fghsfgh" localSheetId="14"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3" hidden="1">{"via1",#N/A,TRUE,"general";"via2",#N/A,TRUE,"general";"via3",#N/A,TRUE,"general"}</definedName>
    <definedName name="fghsfgh" localSheetId="15" hidden="1">{"via1",#N/A,TRUE,"general";"via2",#N/A,TRUE,"general";"via3",#N/A,TRUE,"general"}</definedName>
    <definedName name="fghsfgh" hidden="1">{"via1",#N/A,TRUE,"general";"via2",#N/A,TRUE,"general";"via3",#N/A,TRUE,"general"}</definedName>
    <definedName name="fght" localSheetId="14"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3" hidden="1">{"TAB1",#N/A,TRUE,"GENERAL";"TAB2",#N/A,TRUE,"GENERAL";"TAB3",#N/A,TRUE,"GENERAL";"TAB4",#N/A,TRUE,"GENERAL";"TAB5",#N/A,TRUE,"GENERAL"}</definedName>
    <definedName name="fght" localSheetId="15" hidden="1">{"TAB1",#N/A,TRUE,"GENERAL";"TAB2",#N/A,TRUE,"GENERAL";"TAB3",#N/A,TRUE,"GENERAL";"TAB4",#N/A,TRUE,"GENERAL";"TAB5",#N/A,TRUE,"GENERAL"}</definedName>
    <definedName name="fght"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5"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#REF!</definedName>
    <definedName name="fhfg" localSheetId="14"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3" hidden="1">{"TAB1",#N/A,TRUE,"GENERAL";"TAB2",#N/A,TRUE,"GENERAL";"TAB3",#N/A,TRUE,"GENERAL";"TAB4",#N/A,TRUE,"GENERAL";"TAB5",#N/A,TRUE,"GENERAL"}</definedName>
    <definedName name="fhfg" localSheetId="15" hidden="1">{"TAB1",#N/A,TRUE,"GENERAL";"TAB2",#N/A,TRUE,"GENERAL";"TAB3",#N/A,TRUE,"GENERAL";"TAB4",#N/A,TRUE,"GENERAL";"TAB5",#N/A,TRUE,"GENERAL"}</definedName>
    <definedName name="fhfg" hidden="1">{"TAB1",#N/A,TRUE,"GENERAL";"TAB2",#N/A,TRUE,"GENERAL";"TAB3",#N/A,TRUE,"GENERAL";"TAB4",#N/A,TRUE,"GENERAL";"TAB5",#N/A,TRUE,"GENERAL"}</definedName>
    <definedName name="fhfgh" localSheetId="14"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3" hidden="1">{"via1",#N/A,TRUE,"general";"via2",#N/A,TRUE,"general";"via3",#N/A,TRUE,"general"}</definedName>
    <definedName name="fhfgh" localSheetId="15" hidden="1">{"via1",#N/A,TRUE,"general";"via2",#N/A,TRUE,"general";"via3",#N/A,TRUE,"general"}</definedName>
    <definedName name="fhfgh" hidden="1">{"via1",#N/A,TRUE,"general";"via2",#N/A,TRUE,"general";"via3",#N/A,TRUE,"general"}</definedName>
    <definedName name="fhg" localSheetId="14" hidden="1">{#N/A,#N/A,TRUE,"1842CWN0"}</definedName>
    <definedName name="fhg" localSheetId="16" hidden="1">{#N/A,#N/A,TRUE,"1842CWN0"}</definedName>
    <definedName name="fhg" localSheetId="17" hidden="1">{#N/A,#N/A,TRUE,"1842CWN0"}</definedName>
    <definedName name="fhg" localSheetId="13" hidden="1">{#N/A,#N/A,TRUE,"1842CWN0"}</definedName>
    <definedName name="fhg" localSheetId="15" hidden="1">{#N/A,#N/A,TRUE,"1842CWN0"}</definedName>
    <definedName name="fhg" hidden="1">{#N/A,#N/A,TRUE,"1842CWN0"}</definedName>
    <definedName name="fhg_1" localSheetId="14" hidden="1">{#N/A,#N/A,TRUE,"1842CWN0"}</definedName>
    <definedName name="fhg_1" localSheetId="13" hidden="1">{#N/A,#N/A,TRUE,"1842CWN0"}</definedName>
    <definedName name="fhg_1" localSheetId="15" hidden="1">{#N/A,#N/A,TRUE,"1842CWN0"}</definedName>
    <definedName name="fhg_1" hidden="1">{#N/A,#N/A,TRUE,"1842CWN0"}</definedName>
    <definedName name="fhg_2" localSheetId="14" hidden="1">{#N/A,#N/A,TRUE,"1842CWN0"}</definedName>
    <definedName name="fhg_2" localSheetId="13" hidden="1">{#N/A,#N/A,TRUE,"1842CWN0"}</definedName>
    <definedName name="fhg_2" localSheetId="15" hidden="1">{#N/A,#N/A,TRUE,"1842CWN0"}</definedName>
    <definedName name="fhg_2" hidden="1">{#N/A,#N/A,TRUE,"1842CWN0"}</definedName>
    <definedName name="fhgh" localSheetId="14"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3" hidden="1">{"via1",#N/A,TRUE,"general";"via2",#N/A,TRUE,"general";"via3",#N/A,TRUE,"general"}</definedName>
    <definedName name="fhgh" localSheetId="15" hidden="1">{"via1",#N/A,TRUE,"general";"via2",#N/A,TRUE,"general";"via3",#N/A,TRUE,"general"}</definedName>
    <definedName name="fhgh" hidden="1">{"via1",#N/A,TRUE,"general";"via2",#N/A,TRUE,"general";"via3",#N/A,TRUE,"general"}</definedName>
    <definedName name="fhpltyunh" localSheetId="14"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3" hidden="1">{"via1",#N/A,TRUE,"general";"via2",#N/A,TRUE,"general";"via3",#N/A,TRUE,"general"}</definedName>
    <definedName name="fhpltyunh" localSheetId="15" hidden="1">{"via1",#N/A,TRUE,"general";"via2",#N/A,TRUE,"general";"via3",#N/A,TRUE,"general"}</definedName>
    <definedName name="fhpltyunh" hidden="1">{"via1",#N/A,TRUE,"general";"via2",#N/A,TRUE,"general";"via3",#N/A,TRUE,"general"}</definedName>
    <definedName name="fi" localSheetId="3">#REF!</definedName>
    <definedName name="fi" localSheetId="30">#REF!</definedName>
    <definedName name="fi" localSheetId="31">#REF!</definedName>
    <definedName name="fi" localSheetId="29">#REF!</definedName>
    <definedName name="fi">#REF!</definedName>
    <definedName name="FIELT">#REF!</definedName>
    <definedName name="Fill" hidden="1">#REF!</definedName>
    <definedName name="fill1" hidden="1">#REF!</definedName>
    <definedName name="filt">#REF!</definedName>
    <definedName name="FILTRANTES" localSheetId="3">#REF!</definedName>
    <definedName name="FILTRANTES">#REF!</definedName>
    <definedName name="fin">#REF!</definedName>
    <definedName name="final" localSheetId="3">#REF!</definedName>
    <definedName name="final" localSheetId="30">#REF!</definedName>
    <definedName name="final" localSheetId="31">#REF!</definedName>
    <definedName name="final" localSheetId="29">#REF!</definedName>
    <definedName name="final">#REF!</definedName>
    <definedName name="FINANCIACION">#N/A</definedName>
    <definedName name="FINI" localSheetId="3">#REF!</definedName>
    <definedName name="FINI" localSheetId="30">#REF!</definedName>
    <definedName name="FINI" localSheetId="31">#REF!</definedName>
    <definedName name="FINI" localSheetId="29">#REF!</definedName>
    <definedName name="FINI">#REF!</definedName>
    <definedName name="FJ" localSheetId="3">#REF!</definedName>
    <definedName name="FJ">#REF!</definedName>
    <definedName name="FK" localSheetId="3">#REF!</definedName>
    <definedName name="FK" localSheetId="30">#REF!</definedName>
    <definedName name="FK" localSheetId="31">#REF!</definedName>
    <definedName name="FK" localSheetId="29">#REF!</definedName>
    <definedName name="FK">#REF!</definedName>
    <definedName name="fkdfkdfj" localSheetId="3">#REF!</definedName>
    <definedName name="fkdfkdfj" localSheetId="30">#REF!</definedName>
    <definedName name="fkdfkdfj" localSheetId="31">#REF!</definedName>
    <definedName name="fkdfkdfj" localSheetId="29">#REF!</definedName>
    <definedName name="fkdfkdfj">#REF!</definedName>
    <definedName name="FL" localSheetId="3">#REF!</definedName>
    <definedName name="FL" localSheetId="30">#REF!</definedName>
    <definedName name="FL" localSheetId="31">#REF!</definedName>
    <definedName name="FL" localSheetId="29">#REF!</definedName>
    <definedName name="FL">#REF!</definedName>
    <definedName name="Flasher_luminoso_para_barricadas">[24]Insumos!$D$45</definedName>
    <definedName name="FLETE20KM" localSheetId="3">#REF!</definedName>
    <definedName name="FLETE20KM" localSheetId="30">#REF!</definedName>
    <definedName name="FLETE20KM" localSheetId="31">#REF!</definedName>
    <definedName name="FLETE20KM" localSheetId="29">#REF!</definedName>
    <definedName name="FLETE20KM">#REF!</definedName>
    <definedName name="FLETEMAT">#REF!</definedName>
    <definedName name="flq">#REF!</definedName>
    <definedName name="Flujo">[7]DATOS!$AG$3:$AG$1398</definedName>
    <definedName name="Flujo2">[7]DATOS!$AI$3:$AI$1399</definedName>
    <definedName name="Flujo3">[7]DATOS!$AK$3:$AK$1399</definedName>
    <definedName name="FM" localSheetId="3">#REF!</definedName>
    <definedName name="FM">#REF!</definedName>
    <definedName name="FN" localSheetId="3">#REF!</definedName>
    <definedName name="FN">#REF!</definedName>
    <definedName name="FO" localSheetId="3">#REF!</definedName>
    <definedName name="FO" localSheetId="30">#REF!</definedName>
    <definedName name="FO" localSheetId="31">#REF!</definedName>
    <definedName name="FO" localSheetId="29">#REF!</definedName>
    <definedName name="FO">#REF!</definedName>
    <definedName name="fomulario3">#REF!</definedName>
    <definedName name="Fondo">[7]DATOS!$U$3:$U$1398</definedName>
    <definedName name="form">#REF!</definedName>
    <definedName name="FORM3" localSheetId="3">#REF!</definedName>
    <definedName name="FORM3" localSheetId="30">#REF!</definedName>
    <definedName name="FORM3" localSheetId="31">#REF!</definedName>
    <definedName name="FORM3" localSheetId="29">#REF!</definedName>
    <definedName name="FORM3">#REF!</definedName>
    <definedName name="FORMA" localSheetId="3">#REF!</definedName>
    <definedName name="FORMA" localSheetId="30">#REF!</definedName>
    <definedName name="FORMA" localSheetId="31">#REF!</definedName>
    <definedName name="FORMA" localSheetId="29">#REF!</definedName>
    <definedName name="FORMA">#REF!</definedName>
    <definedName name="FORMAC">#REF!</definedName>
    <definedName name="FORMALE" localSheetId="3">#REF!</definedName>
    <definedName name="FORMALE" localSheetId="30">#REF!</definedName>
    <definedName name="FORMALE" localSheetId="31">#REF!</definedName>
    <definedName name="FORMALE" localSheetId="29">#REF!</definedName>
    <definedName name="FORMALE">#REF!</definedName>
    <definedName name="formaleta_madera">'[24]Equipo y transporte'!$D$14</definedName>
    <definedName name="FORMATO_5" localSheetId="3">#REF!</definedName>
    <definedName name="FORMATO_5" localSheetId="30">#REF!</definedName>
    <definedName name="FORMATO_5" localSheetId="31">#REF!</definedName>
    <definedName name="FORMATO_5" localSheetId="29">#REF!</definedName>
    <definedName name="FORMATO_5">#REF!</definedName>
    <definedName name="FORMC" localSheetId="3">#REF!</definedName>
    <definedName name="FORMC" localSheetId="30">#REF!</definedName>
    <definedName name="FORMC" localSheetId="31">#REF!</definedName>
    <definedName name="FORMC" localSheetId="29">#REF!</definedName>
    <definedName name="FORMC">#REF!</definedName>
    <definedName name="FORMH" localSheetId="3">#REF!</definedName>
    <definedName name="FORMH" localSheetId="30">#REF!</definedName>
    <definedName name="FORMH" localSheetId="31">#REF!</definedName>
    <definedName name="FORMH" localSheetId="29">#REF!</definedName>
    <definedName name="FORMH">#REF!</definedName>
    <definedName name="FORMH1">#REF!</definedName>
    <definedName name="FORMM">#REF!</definedName>
    <definedName name="FORMSUM" localSheetId="3">#REF!</definedName>
    <definedName name="FORMSUM" localSheetId="30">#REF!</definedName>
    <definedName name="FORMSUM" localSheetId="31">#REF!</definedName>
    <definedName name="FORMSUM" localSheetId="29">#REF!</definedName>
    <definedName name="FORMSUM">#REF!</definedName>
    <definedName name="formu">[47]BASE!$C$4:$H$261</definedName>
    <definedName name="Formulario">+#REF!</definedName>
    <definedName name="formularioCantidades" localSheetId="3">#REF!</definedName>
    <definedName name="formularioCantidades" localSheetId="30">#REF!</definedName>
    <definedName name="formularioCantidades" localSheetId="31">#REF!</definedName>
    <definedName name="formularioCantidades" localSheetId="29">#REF!</definedName>
    <definedName name="formularioCantidades">#REF!</definedName>
    <definedName name="FOTO">#REF!</definedName>
    <definedName name="FOTOS" localSheetId="14">[67]!absc</definedName>
    <definedName name="FOTOS" localSheetId="17">[67]!absc</definedName>
    <definedName name="FOTOS" localSheetId="2">[67]!absc</definedName>
    <definedName name="FOTOS" localSheetId="20">[67]!absc</definedName>
    <definedName name="FOTOS" localSheetId="21">[67]!absc</definedName>
    <definedName name="FOTOS" localSheetId="15">[67]!absc</definedName>
    <definedName name="FOTOS">[67]!absc</definedName>
    <definedName name="FP" localSheetId="3">#REF!</definedName>
    <definedName name="FP">#REF!</definedName>
    <definedName name="FQ" localSheetId="3">#REF!</definedName>
    <definedName name="FQ">#REF!</definedName>
    <definedName name="FR" localSheetId="3">#REF!</definedName>
    <definedName name="FR">#REF!</definedName>
    <definedName name="frbgsd" localSheetId="14"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5" hidden="1">{"TAB1",#N/A,TRUE,"GENERAL";"TAB2",#N/A,TRUE,"GENERAL";"TAB3",#N/A,TRUE,"GENERAL";"TAB4",#N/A,TRUE,"GENERAL";"TAB5",#N/A,TRUE,"GENERAL"}</definedName>
    <definedName name="frbgsd" hidden="1">{"TAB1",#N/A,TRUE,"GENERAL";"TAB2",#N/A,TRUE,"GENERAL";"TAB3",#N/A,TRUE,"GENERAL";"TAB4",#N/A,TRUE,"GENERAL";"TAB5",#N/A,TRUE,"GENERAL"}</definedName>
    <definedName name="frefr" localSheetId="14"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3" hidden="1">{"via1",#N/A,TRUE,"general";"via2",#N/A,TRUE,"general";"via3",#N/A,TRUE,"general"}</definedName>
    <definedName name="frefr" localSheetId="15" hidden="1">{"via1",#N/A,TRUE,"general";"via2",#N/A,TRUE,"general";"via3",#N/A,TRUE,"general"}</definedName>
    <definedName name="frefr" hidden="1">{"via1",#N/A,TRUE,"general";"via2",#N/A,TRUE,"general";"via3",#N/A,TRUE,"general"}</definedName>
    <definedName name="fres">#REF!</definedName>
    <definedName name="frfa" localSheetId="14"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3" hidden="1">{"via1",#N/A,TRUE,"general";"via2",#N/A,TRUE,"general";"via3",#N/A,TRUE,"general"}</definedName>
    <definedName name="frfa" localSheetId="15" hidden="1">{"via1",#N/A,TRUE,"general";"via2",#N/A,TRUE,"general";"via3",#N/A,TRUE,"general"}</definedName>
    <definedName name="frfa" hidden="1">{"via1",#N/A,TRUE,"general";"via2",#N/A,TRUE,"general";"via3",#N/A,TRUE,"general"}</definedName>
    <definedName name="frfr" localSheetId="14"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3" hidden="1">{"TAB1",#N/A,TRUE,"GENERAL";"TAB2",#N/A,TRUE,"GENERAL";"TAB3",#N/A,TRUE,"GENERAL";"TAB4",#N/A,TRUE,"GENERAL";"TAB5",#N/A,TRUE,"GENERAL"}</definedName>
    <definedName name="frfr" localSheetId="15" hidden="1">{"TAB1",#N/A,TRUE,"GENERAL";"TAB2",#N/A,TRUE,"GENERAL";"TAB3",#N/A,TRUE,"GENERAL";"TAB4",#N/A,TRUE,"GENERAL";"TAB5",#N/A,TRUE,"GENERAL"}</definedName>
    <definedName name="frfr" hidden="1">{"TAB1",#N/A,TRUE,"GENERAL";"TAB2",#N/A,TRUE,"GENERAL";"TAB3",#N/A,TRUE,"GENERAL";"TAB4",#N/A,TRUE,"GENERAL";"TAB5",#N/A,TRUE,"GENERAL"}</definedName>
    <definedName name="FS" localSheetId="3">#REF!</definedName>
    <definedName name="FS">#REF!</definedName>
    <definedName name="FT">#REF!</definedName>
    <definedName name="FU">#REF!</definedName>
    <definedName name="Full_Print">#REF!</definedName>
    <definedName name="FV">#REF!</definedName>
    <definedName name="FW">#REF!</definedName>
    <definedName name="fwff" localSheetId="14"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3" hidden="1">{"via1",#N/A,TRUE,"general";"via2",#N/A,TRUE,"general";"via3",#N/A,TRUE,"general"}</definedName>
    <definedName name="fwff" localSheetId="15" hidden="1">{"via1",#N/A,TRUE,"general";"via2",#N/A,TRUE,"general";"via3",#N/A,TRUE,"general"}</definedName>
    <definedName name="fwff" hidden="1">{"via1",#N/A,TRUE,"general";"via2",#N/A,TRUE,"general";"via3",#N/A,TRUE,"general"}</definedName>
    <definedName name="fwwe" localSheetId="14"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3" hidden="1">{"via1",#N/A,TRUE,"general";"via2",#N/A,TRUE,"general";"via3",#N/A,TRUE,"general"}</definedName>
    <definedName name="fwwe" localSheetId="15" hidden="1">{"via1",#N/A,TRUE,"general";"via2",#N/A,TRUE,"general";"via3",#N/A,TRUE,"general"}</definedName>
    <definedName name="fwwe" hidden="1">{"via1",#N/A,TRUE,"general";"via2",#N/A,TRUE,"general";"via3",#N/A,TRUE,"general"}</definedName>
    <definedName name="FX">#REF!</definedName>
    <definedName name="FY">#REF!</definedName>
    <definedName name="FZ">#REF!</definedName>
    <definedName name="g" localSheetId="3">#REF!</definedName>
    <definedName name="g" localSheetId="30">#REF!</definedName>
    <definedName name="g" localSheetId="31">#REF!</definedName>
    <definedName name="g" localSheetId="29">#REF!</definedName>
    <definedName name="g">#REF!</definedName>
    <definedName name="GA" localSheetId="3">#REF!</definedName>
    <definedName name="GA">#REF!</definedName>
    <definedName name="GAJ">#REF!</definedName>
    <definedName name="GASO" localSheetId="3">#REF!</definedName>
    <definedName name="GASO" localSheetId="30">#REF!</definedName>
    <definedName name="GASO" localSheetId="31">#REF!</definedName>
    <definedName name="GASO" localSheetId="29">#REF!</definedName>
    <definedName name="GASO">#REF!</definedName>
    <definedName name="GB" localSheetId="3">#REF!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4"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5" hidden="1">{"TAB1",#N/A,TRUE,"GENERAL";"TAB2",#N/A,TRUE,"GENERAL";"TAB3",#N/A,TRUE,"GENERAL";"TAB4",#N/A,TRUE,"GENERAL";"TAB5",#N/A,TRUE,"GENERAL"}</definedName>
    <definedName name="gbbfghghj" hidden="1">{"TAB1",#N/A,TRUE,"GENERAL";"TAB2",#N/A,TRUE,"GENERAL";"TAB3",#N/A,TRUE,"GENERAL";"TAB4",#N/A,TRUE,"GENERAL";"TAB5",#N/A,TRUE,"GENERAL"}</definedName>
    <definedName name="GC" localSheetId="3">#REF!</definedName>
    <definedName name="GC">#REF!</definedName>
    <definedName name="GD" localSheetId="3">#REF!</definedName>
    <definedName name="GD" localSheetId="30">#REF!</definedName>
    <definedName name="GD" localSheetId="31">#REF!</definedName>
    <definedName name="GD" localSheetId="29">#REF!</definedName>
    <definedName name="GD">#REF!</definedName>
    <definedName name="gdj">#REF!</definedName>
    <definedName name="gdt" localSheetId="14"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3" hidden="1">{"TAB1",#N/A,TRUE,"GENERAL";"TAB2",#N/A,TRUE,"GENERAL";"TAB3",#N/A,TRUE,"GENERAL";"TAB4",#N/A,TRUE,"GENERAL";"TAB5",#N/A,TRUE,"GENERAL"}</definedName>
    <definedName name="gdt" localSheetId="15" hidden="1">{"TAB1",#N/A,TRUE,"GENERAL";"TAB2",#N/A,TRUE,"GENERAL";"TAB3",#N/A,TRUE,"GENERAL";"TAB4",#N/A,TRUE,"GENERAL";"TAB5",#N/A,TRUE,"GENERAL"}</definedName>
    <definedName name="gdt" hidden="1">{"TAB1",#N/A,TRUE,"GENERAL";"TAB2",#N/A,TRUE,"GENERAL";"TAB3",#N/A,TRUE,"GENERAL";"TAB4",#N/A,TRUE,"GENERAL";"TAB5",#N/A,TRUE,"GENERAL"}</definedName>
    <definedName name="GE" localSheetId="3">#REF!</definedName>
    <definedName name="GE" localSheetId="30">#REF!</definedName>
    <definedName name="GE" localSheetId="31">#REF!</definedName>
    <definedName name="GE" localSheetId="29">#REF!</definedName>
    <definedName name="GE">#REF!</definedName>
    <definedName name="geg" localSheetId="14"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3" hidden="1">{"via1",#N/A,TRUE,"general";"via2",#N/A,TRUE,"general";"via3",#N/A,TRUE,"general"}</definedName>
    <definedName name="geg" localSheetId="15" hidden="1">{"via1",#N/A,TRUE,"general";"via2",#N/A,TRUE,"general";"via3",#N/A,TRUE,"general"}</definedName>
    <definedName name="geg" hidden="1">{"via1",#N/A,TRUE,"general";"via2",#N/A,TRUE,"general";"via3",#N/A,TRUE,"general"}</definedName>
    <definedName name="geo">#REF!</definedName>
    <definedName name="geodren">#REF!</definedName>
    <definedName name="geomalla">#REF!</definedName>
    <definedName name="GEOT">#REF!</definedName>
    <definedName name="Geotex">#REF!</definedName>
    <definedName name="gerg" localSheetId="14"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3" hidden="1">{"TAB1",#N/A,TRUE,"GENERAL";"TAB2",#N/A,TRUE,"GENERAL";"TAB3",#N/A,TRUE,"GENERAL";"TAB4",#N/A,TRUE,"GENERAL";"TAB5",#N/A,TRUE,"GENERAL"}</definedName>
    <definedName name="gerg" localSheetId="15" hidden="1">{"TAB1",#N/A,TRUE,"GENERAL";"TAB2",#N/A,TRUE,"GENERAL";"TAB3",#N/A,TRUE,"GENERAL";"TAB4",#N/A,TRUE,"GENERAL";"TAB5",#N/A,TRUE,"GENERAL"}</definedName>
    <definedName name="gerg" hidden="1">{"TAB1",#N/A,TRUE,"GENERAL";"TAB2",#N/A,TRUE,"GENERAL";"TAB3",#N/A,TRUE,"GENERAL";"TAB4",#N/A,TRUE,"GENERAL";"TAB5",#N/A,TRUE,"GENERAL"}</definedName>
    <definedName name="gerg54" localSheetId="14"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3" hidden="1">{"via1",#N/A,TRUE,"general";"via2",#N/A,TRUE,"general";"via3",#N/A,TRUE,"general"}</definedName>
    <definedName name="gerg54" localSheetId="15" hidden="1">{"via1",#N/A,TRUE,"general";"via2",#N/A,TRUE,"general";"via3",#N/A,TRUE,"general"}</definedName>
    <definedName name="gerg54" hidden="1">{"via1",#N/A,TRUE,"general";"via2",#N/A,TRUE,"general";"via3",#N/A,TRUE,"general"}</definedName>
    <definedName name="gergew" localSheetId="14"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5" hidden="1">{"TAB1",#N/A,TRUE,"GENERAL";"TAB2",#N/A,TRUE,"GENERAL";"TAB3",#N/A,TRUE,"GENERAL";"TAB4",#N/A,TRUE,"GENERAL";"TAB5",#N/A,TRUE,"GENERAL"}</definedName>
    <definedName name="gergew"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5" hidden="1">{"TAB1",#N/A,TRUE,"GENERAL";"TAB2",#N/A,TRUE,"GENERAL";"TAB3",#N/A,TRUE,"GENERAL";"TAB4",#N/A,TRUE,"GENERAL";"TAB5",#N/A,TRUE,"GENERAL"}</definedName>
    <definedName name="gergw" hidden="1">{"TAB1",#N/A,TRUE,"GENERAL";"TAB2",#N/A,TRUE,"GENERAL";"TAB3",#N/A,TRUE,"GENERAL";"TAB4",#N/A,TRUE,"GENERAL";"TAB5",#N/A,TRUE,"GENERAL"}</definedName>
    <definedName name="GF" localSheetId="3">#REF!</definedName>
    <definedName name="GF">#REF!</definedName>
    <definedName name="gfd" localSheetId="14"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3" hidden="1">{"TAB1",#N/A,TRUE,"GENERAL";"TAB2",#N/A,TRUE,"GENERAL";"TAB3",#N/A,TRUE,"GENERAL";"TAB4",#N/A,TRUE,"GENERAL";"TAB5",#N/A,TRUE,"GENERAL"}</definedName>
    <definedName name="gfd" localSheetId="15" hidden="1">{"TAB1",#N/A,TRUE,"GENERAL";"TAB2",#N/A,TRUE,"GENERAL";"TAB3",#N/A,TRUE,"GENERAL";"TAB4",#N/A,TRUE,"GENERAL";"TAB5",#N/A,TRUE,"GENERAL"}</definedName>
    <definedName name="gfd" hidden="1">{"TAB1",#N/A,TRUE,"GENERAL";"TAB2",#N/A,TRUE,"GENERAL";"TAB3",#N/A,TRUE,"GENERAL";"TAB4",#N/A,TRUE,"GENERAL";"TAB5",#N/A,TRUE,"GENERAL"}</definedName>
    <definedName name="gfdg" localSheetId="14"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3" hidden="1">{"via1",#N/A,TRUE,"general";"via2",#N/A,TRUE,"general";"via3",#N/A,TRUE,"general"}</definedName>
    <definedName name="gfdg" localSheetId="15"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4"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3" hidden="1">{"via1",#N/A,TRUE,"general";"via2",#N/A,TRUE,"general";"via3",#N/A,TRUE,"general"}</definedName>
    <definedName name="gfgfgr" localSheetId="15" hidden="1">{"via1",#N/A,TRUE,"general";"via2",#N/A,TRUE,"general";"via3",#N/A,TRUE,"general"}</definedName>
    <definedName name="gfgfgr" hidden="1">{"via1",#N/A,TRUE,"general";"via2",#N/A,TRUE,"general";"via3",#N/A,TRUE,"general"}</definedName>
    <definedName name="gfhf" localSheetId="14"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3" hidden="1">{"via1",#N/A,TRUE,"general";"via2",#N/A,TRUE,"general";"via3",#N/A,TRUE,"general"}</definedName>
    <definedName name="gfhf" localSheetId="15" hidden="1">{"via1",#N/A,TRUE,"general";"via2",#N/A,TRUE,"general";"via3",#N/A,TRUE,"general"}</definedName>
    <definedName name="gfhf" hidden="1">{"via1",#N/A,TRUE,"general";"via2",#N/A,TRUE,"general";"via3",#N/A,TRUE,"general"}</definedName>
    <definedName name="gfhfdh" localSheetId="14"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5" hidden="1">{"TAB1",#N/A,TRUE,"GENERAL";"TAB2",#N/A,TRUE,"GENERAL";"TAB3",#N/A,TRUE,"GENERAL";"TAB4",#N/A,TRUE,"GENERAL";"TAB5",#N/A,TRUE,"GENERAL"}</definedName>
    <definedName name="gfhfdh"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5" hidden="1">{"TAB1",#N/A,TRUE,"GENERAL";"TAB2",#N/A,TRUE,"GENERAL";"TAB3",#N/A,TRUE,"GENERAL";"TAB4",#N/A,TRUE,"GENERAL";"TAB5",#N/A,TRUE,"GENERAL"}</definedName>
    <definedName name="gfhgfh"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5" hidden="1">{"TAB1",#N/A,TRUE,"GENERAL";"TAB2",#N/A,TRUE,"GENERAL";"TAB3",#N/A,TRUE,"GENERAL";"TAB4",#N/A,TRUE,"GENERAL";"TAB5",#N/A,TRUE,"GENERAL"}</definedName>
    <definedName name="GFJHGJ" hidden="1">{"TAB1",#N/A,TRUE,"GENERAL";"TAB2",#N/A,TRUE,"GENERAL";"TAB3",#N/A,TRUE,"GENERAL";"TAB4",#N/A,TRUE,"GENERAL";"TAB5",#N/A,TRUE,"GENERAL"}</definedName>
    <definedName name="gfjjh" localSheetId="14"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3" hidden="1">{"via1",#N/A,TRUE,"general";"via2",#N/A,TRUE,"general";"via3",#N/A,TRUE,"general"}</definedName>
    <definedName name="gfjjh" localSheetId="15" hidden="1">{"via1",#N/A,TRUE,"general";"via2",#N/A,TRUE,"general";"via3",#N/A,TRUE,"general"}</definedName>
    <definedName name="gfjjh" hidden="1">{"via1",#N/A,TRUE,"general";"via2",#N/A,TRUE,"general";"via3",#N/A,TRUE,"general"}</definedName>
    <definedName name="gft">#REF!</definedName>
    <definedName name="gfutyj6" localSheetId="14"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3" hidden="1">{"via1",#N/A,TRUE,"general";"via2",#N/A,TRUE,"general";"via3",#N/A,TRUE,"general"}</definedName>
    <definedName name="gfutyj6" localSheetId="15" hidden="1">{"via1",#N/A,TRUE,"general";"via2",#N/A,TRUE,"general";"via3",#N/A,TRUE,"general"}</definedName>
    <definedName name="gfutyj6" hidden="1">{"via1",#N/A,TRUE,"general";"via2",#N/A,TRUE,"general";"via3",#N/A,TRUE,"general"}</definedName>
    <definedName name="gg" localSheetId="14"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3" hidden="1">{"TAB1",#N/A,TRUE,"GENERAL";"TAB2",#N/A,TRUE,"GENERAL";"TAB3",#N/A,TRUE,"GENERAL";"TAB4",#N/A,TRUE,"GENERAL";"TAB5",#N/A,TRUE,"GENERAL"}</definedName>
    <definedName name="gg" localSheetId="15" hidden="1">{"TAB1",#N/A,TRUE,"GENERAL";"TAB2",#N/A,TRUE,"GENERAL";"TAB3",#N/A,TRUE,"GENERAL";"TAB4",#N/A,TRUE,"GENERAL";"TAB5",#N/A,TRUE,"GENERAL"}</definedName>
    <definedName name="gg" hidden="1">{"TAB1",#N/A,TRUE,"GENERAL";"TAB2",#N/A,TRUE,"GENERAL";"TAB3",#N/A,TRUE,"GENERAL";"TAB4",#N/A,TRUE,"GENERAL";"TAB5",#N/A,TRUE,"GENERAL"}</definedName>
    <definedName name="ggdr" localSheetId="14"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3" hidden="1">{"via1",#N/A,TRUE,"general";"via2",#N/A,TRUE,"general";"via3",#N/A,TRUE,"general"}</definedName>
    <definedName name="ggdr" localSheetId="15" hidden="1">{"via1",#N/A,TRUE,"general";"via2",#N/A,TRUE,"general";"via3",#N/A,TRUE,"general"}</definedName>
    <definedName name="ggdr" hidden="1">{"via1",#N/A,TRUE,"general";"via2",#N/A,TRUE,"general";"via3",#N/A,TRUE,"general"}</definedName>
    <definedName name="ggerg" localSheetId="14"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5" hidden="1">{"TAB1",#N/A,TRUE,"GENERAL";"TAB2",#N/A,TRUE,"GENERAL";"TAB3",#N/A,TRUE,"GENERAL";"TAB4",#N/A,TRUE,"GENERAL";"TAB5",#N/A,TRUE,"GENERAL"}</definedName>
    <definedName name="ggerg" hidden="1">{"TAB1",#N/A,TRUE,"GENERAL";"TAB2",#N/A,TRUE,"GENERAL";"TAB3",#N/A,TRUE,"GENERAL";"TAB4",#N/A,TRUE,"GENERAL";"TAB5",#N/A,TRUE,"GENERAL"}</definedName>
    <definedName name="GGG">#N/A</definedName>
    <definedName name="gggb" localSheetId="14"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3" hidden="1">{"TAB1",#N/A,TRUE,"GENERAL";"TAB2",#N/A,TRUE,"GENERAL";"TAB3",#N/A,TRUE,"GENERAL";"TAB4",#N/A,TRUE,"GENERAL";"TAB5",#N/A,TRUE,"GENERAL"}</definedName>
    <definedName name="gggb" localSheetId="15" hidden="1">{"TAB1",#N/A,TRUE,"GENERAL";"TAB2",#N/A,TRUE,"GENERAL";"TAB3",#N/A,TRUE,"GENERAL";"TAB4",#N/A,TRUE,"GENERAL";"TAB5",#N/A,TRUE,"GENERAL"}</definedName>
    <definedName name="gggb" hidden="1">{"TAB1",#N/A,TRUE,"GENERAL";"TAB2",#N/A,TRUE,"GENERAL";"TAB3",#N/A,TRUE,"GENERAL";"TAB4",#N/A,TRUE,"GENERAL";"TAB5",#N/A,TRUE,"GENERAL"}</definedName>
    <definedName name="gggg" localSheetId="14"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3" hidden="1">{"via1",#N/A,TRUE,"general";"via2",#N/A,TRUE,"general";"via3",#N/A,TRUE,"general"}</definedName>
    <definedName name="gggg" localSheetId="15" hidden="1">{"via1",#N/A,TRUE,"general";"via2",#N/A,TRUE,"general";"via3",#N/A,TRUE,"general"}</definedName>
    <definedName name="gggg" hidden="1">{"via1",#N/A,TRUE,"general";"via2",#N/A,TRUE,"general";"via3",#N/A,TRUE,"general"}</definedName>
    <definedName name="ggggd" localSheetId="14"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5" hidden="1">{"TAB1",#N/A,TRUE,"GENERAL";"TAB2",#N/A,TRUE,"GENERAL";"TAB3",#N/A,TRUE,"GENERAL";"TAB4",#N/A,TRUE,"GENERAL";"TAB5",#N/A,TRUE,"GENERAL"}</definedName>
    <definedName name="ggggd" hidden="1">{"TAB1",#N/A,TRUE,"GENERAL";"TAB2",#N/A,TRUE,"GENERAL";"TAB3",#N/A,TRUE,"GENERAL";"TAB4",#N/A,TRUE,"GENERAL";"TAB5",#N/A,TRUE,"GENERAL"}</definedName>
    <definedName name="gggggt" localSheetId="14"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3" hidden="1">{"via1",#N/A,TRUE,"general";"via2",#N/A,TRUE,"general";"via3",#N/A,TRUE,"general"}</definedName>
    <definedName name="gggggt" localSheetId="15" hidden="1">{"via1",#N/A,TRUE,"general";"via2",#N/A,TRUE,"general";"via3",#N/A,TRUE,"general"}</definedName>
    <definedName name="gggggt" hidden="1">{"via1",#N/A,TRUE,"general";"via2",#N/A,TRUE,"general";"via3",#N/A,TRUE,"general"}</definedName>
    <definedName name="gggghn" localSheetId="14"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5" hidden="1">{"TAB1",#N/A,TRUE,"GENERAL";"TAB2",#N/A,TRUE,"GENERAL";"TAB3",#N/A,TRUE,"GENERAL";"TAB4",#N/A,TRUE,"GENERAL";"TAB5",#N/A,TRUE,"GENERAL"}</definedName>
    <definedName name="gggghn"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5" hidden="1">{"TAB1",#N/A,TRUE,"GENERAL";"TAB2",#N/A,TRUE,"GENERAL";"TAB3",#N/A,TRUE,"GENERAL";"TAB4",#N/A,TRUE,"GENERAL";"TAB5",#N/A,TRUE,"GENERAL"}</definedName>
    <definedName name="ggggt"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5" hidden="1">{"TAB1",#N/A,TRUE,"GENERAL";"TAB2",#N/A,TRUE,"GENERAL";"TAB3",#N/A,TRUE,"GENERAL";"TAB4",#N/A,TRUE,"GENERAL";"TAB5",#N/A,TRUE,"GENERAL"}</definedName>
    <definedName name="ggggy" hidden="1">{"TAB1",#N/A,TRUE,"GENERAL";"TAB2",#N/A,TRUE,"GENERAL";"TAB3",#N/A,TRUE,"GENERAL";"TAB4",#N/A,TRUE,"GENERAL";"TAB5",#N/A,TRUE,"GENERAL"}</definedName>
    <definedName name="gggtgd" localSheetId="14"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3" hidden="1">{"via1",#N/A,TRUE,"general";"via2",#N/A,TRUE,"general";"via3",#N/A,TRUE,"general"}</definedName>
    <definedName name="gggtgd" localSheetId="15" hidden="1">{"via1",#N/A,TRUE,"general";"via2",#N/A,TRUE,"general";"via3",#N/A,TRUE,"general"}</definedName>
    <definedName name="gggtgd" hidden="1">{"via1",#N/A,TRUE,"general";"via2",#N/A,TRUE,"general";"via3",#N/A,TRUE,"general"}</definedName>
    <definedName name="ggjgjkg" hidden="1">{#N/A,#N/A,TRUE,"1842CWN0"}</definedName>
    <definedName name="ggtgt" localSheetId="14"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3" hidden="1">{"via1",#N/A,TRUE,"general";"via2",#N/A,TRUE,"general";"via3",#N/A,TRUE,"general"}</definedName>
    <definedName name="ggtgt" localSheetId="15" hidden="1">{"via1",#N/A,TRUE,"general";"via2",#N/A,TRUE,"general";"via3",#N/A,TRUE,"general"}</definedName>
    <definedName name="ggtgt" hidden="1">{"via1",#N/A,TRUE,"general";"via2",#N/A,TRUE,"general";"via3",#N/A,TRUE,"general"}</definedName>
    <definedName name="GH" localSheetId="3">#REF!</definedName>
    <definedName name="GH">#REF!</definedName>
    <definedName name="ghdghuy" localSheetId="14"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3" hidden="1">{"via1",#N/A,TRUE,"general";"via2",#N/A,TRUE,"general";"via3",#N/A,TRUE,"general"}</definedName>
    <definedName name="ghdghuy" localSheetId="15" hidden="1">{"via1",#N/A,TRUE,"general";"via2",#N/A,TRUE,"general";"via3",#N/A,TRUE,"general"}</definedName>
    <definedName name="ghdghuy" hidden="1">{"via1",#N/A,TRUE,"general";"via2",#N/A,TRUE,"general";"via3",#N/A,TRUE,"general"}</definedName>
    <definedName name="GHDP" localSheetId="14"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3" hidden="1">{"via1",#N/A,TRUE,"general";"via2",#N/A,TRUE,"general";"via3",#N/A,TRUE,"general"}</definedName>
    <definedName name="GHDP" localSheetId="15" hidden="1">{"via1",#N/A,TRUE,"general";"via2",#N/A,TRUE,"general";"via3",#N/A,TRUE,"general"}</definedName>
    <definedName name="GHDP" hidden="1">{"via1",#N/A,TRUE,"general";"via2",#N/A,TRUE,"general";"via3",#N/A,TRUE,"general"}</definedName>
    <definedName name="ghfg" localSheetId="14"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3" hidden="1">{"via1",#N/A,TRUE,"general";"via2",#N/A,TRUE,"general";"via3",#N/A,TRUE,"general"}</definedName>
    <definedName name="ghfg" localSheetId="15" hidden="1">{"via1",#N/A,TRUE,"general";"via2",#N/A,TRUE,"general";"via3",#N/A,TRUE,"general"}</definedName>
    <definedName name="ghfg" hidden="1">{"via1",#N/A,TRUE,"general";"via2",#N/A,TRUE,"general";"via3",#N/A,TRUE,"general"}</definedName>
    <definedName name="GHIUGEfhohpfjdpsaj" hidden="1">#REF!</definedName>
    <definedName name="ghjghj" localSheetId="14"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5" hidden="1">{"TAB1",#N/A,TRUE,"GENERAL";"TAB2",#N/A,TRUE,"GENERAL";"TAB3",#N/A,TRUE,"GENERAL";"TAB4",#N/A,TRUE,"GENERAL";"TAB5",#N/A,TRUE,"GENERAL"}</definedName>
    <definedName name="ghjghj"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5"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 localSheetId="3">#REF!</definedName>
    <definedName name="GI" localSheetId="30">#REF!</definedName>
    <definedName name="GI" localSheetId="31">#REF!</definedName>
    <definedName name="GI" localSheetId="29">#REF!</definedName>
    <definedName name="GI">#REF!</definedName>
    <definedName name="giova" localSheetId="3">#REF!</definedName>
    <definedName name="giova" localSheetId="30">#REF!</definedName>
    <definedName name="giova" localSheetId="31">#REF!</definedName>
    <definedName name="giova" localSheetId="29">#REF!</definedName>
    <definedName name="giova">#REF!</definedName>
    <definedName name="GJ" localSheetId="3">#REF!</definedName>
    <definedName name="GJ">#REF!</definedName>
    <definedName name="GJHVCB" localSheetId="14"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5" hidden="1">{"TAB1",#N/A,TRUE,"GENERAL";"TAB2",#N/A,TRUE,"GENERAL";"TAB3",#N/A,TRUE,"GENERAL";"TAB4",#N/A,TRUE,"GENERAL";"TAB5",#N/A,TRUE,"GENERAL"}</definedName>
    <definedName name="GJHVCB" hidden="1">{"TAB1",#N/A,TRUE,"GENERAL";"TAB2",#N/A,TRUE,"GENERAL";"TAB3",#N/A,TRUE,"GENERAL";"TAB4",#N/A,TRUE,"GENERAL";"TAB5",#N/A,TRUE,"GENERAL"}</definedName>
    <definedName name="GK" localSheetId="3">#REF!</definedName>
    <definedName name="gk" localSheetId="14"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3" hidden="1">{"via1",#N/A,TRUE,"general";"via2",#N/A,TRUE,"general";"via3",#N/A,TRUE,"general"}</definedName>
    <definedName name="gk" localSheetId="15" hidden="1">{"via1",#N/A,TRUE,"general";"via2",#N/A,TRUE,"general";"via3",#N/A,TRUE,"general"}</definedName>
    <definedName name="GK">#REF!</definedName>
    <definedName name="GKJDGDIJZ">"Imagen 3"</definedName>
    <definedName name="GL" localSheetId="3">#REF!</definedName>
    <definedName name="GL">#REF!</definedName>
    <definedName name="GM" localSheetId="3">#REF!</definedName>
    <definedName name="GM">#REF!</definedName>
    <definedName name="gmt">#REF!</definedName>
    <definedName name="GN">#REF!</definedName>
    <definedName name="gnm">#REF!</definedName>
    <definedName name="gñ">#REF!</definedName>
    <definedName name="GO">#REF!</definedName>
    <definedName name="GP">#REF!</definedName>
    <definedName name="GQ">#REF!</definedName>
    <definedName name="GR">#REF!</definedName>
    <definedName name="GRAD">'[7]DAT NUC'!$N$2:$N$514</definedName>
    <definedName name="GRADA">[7]Nucleos!$D$14</definedName>
    <definedName name="gradacion">[7]DATOS!$N$3:$AK$1203</definedName>
    <definedName name="GRAF1ANO" localSheetId="14"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3" hidden="1">{"via1",#N/A,TRUE,"general";"via2",#N/A,TRUE,"general";"via3",#N/A,TRUE,"general"}</definedName>
    <definedName name="GRAF1ANO" localSheetId="15" hidden="1">{"via1",#N/A,TRUE,"general";"via2",#N/A,TRUE,"general";"via3",#N/A,TRUE,"general"}</definedName>
    <definedName name="GRAF1ANO" hidden="1">{"via1",#N/A,TRUE,"general";"via2",#N/A,TRUE,"general";"via3",#N/A,TRUE,"general"}</definedName>
    <definedName name="GRAF1AÑO" localSheetId="14"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5"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 localSheetId="3">#REF!</definedName>
    <definedName name="GRAMA" localSheetId="30">#REF!</definedName>
    <definedName name="GRAMA" localSheetId="31">#REF!</definedName>
    <definedName name="GRAMA" localSheetId="29">#REF!</definedName>
    <definedName name="GRAMA">#REF!</definedName>
    <definedName name="graNo">[7]DATOS!$AL$3:$AL$1328</definedName>
    <definedName name="GRAP">#REF!</definedName>
    <definedName name="grapas">#REF!</definedName>
    <definedName name="GRAV2">#REF!</definedName>
    <definedName name="GRAV3">#REF!</definedName>
    <definedName name="GRAV4">#REF!</definedName>
    <definedName name="Grava">[24]Insumos!$D$27</definedName>
    <definedName name="GRAVILLA">#REF!</definedName>
    <definedName name="gregds" localSheetId="14"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5" hidden="1">{"TAB1",#N/A,TRUE,"GENERAL";"TAB2",#N/A,TRUE,"GENERAL";"TAB3",#N/A,TRUE,"GENERAL";"TAB4",#N/A,TRUE,"GENERAL";"TAB5",#N/A,TRUE,"GENERAL"}</definedName>
    <definedName name="gregds"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5" hidden="1">{"TAB1",#N/A,TRUE,"GENERAL";"TAB2",#N/A,TRUE,"GENERAL";"TAB3",#N/A,TRUE,"GENERAL";"TAB4",#N/A,TRUE,"GENERAL";"TAB5",#N/A,TRUE,"GENERAL"}</definedName>
    <definedName name="grehrtyh" hidden="1">{"TAB1",#N/A,TRUE,"GENERAL";"TAB2",#N/A,TRUE,"GENERAL";"TAB3",#N/A,TRUE,"GENERAL";"TAB4",#N/A,TRUE,"GENERAL";"TAB5",#N/A,TRUE,"GENERAL"}</definedName>
    <definedName name="grggwero" localSheetId="14"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3" hidden="1">{"via1",#N/A,TRUE,"general";"via2",#N/A,TRUE,"general";"via3",#N/A,TRUE,"general"}</definedName>
    <definedName name="grggwero" localSheetId="15" hidden="1">{"via1",#N/A,TRUE,"general";"via2",#N/A,TRUE,"general";"via3",#N/A,TRUE,"general"}</definedName>
    <definedName name="grggwero" hidden="1">{"via1",#N/A,TRUE,"general";"via2",#N/A,TRUE,"general";"via3",#N/A,TRUE,"general"}</definedName>
    <definedName name="grl">#REF!</definedName>
    <definedName name="grtyerh" localSheetId="14"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5"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 localSheetId="3">#REF!</definedName>
    <definedName name="GS">#REF!</definedName>
    <definedName name="GSDG" localSheetId="14"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3" hidden="1">{"TAB1",#N/A,TRUE,"GENERAL";"TAB2",#N/A,TRUE,"GENERAL";"TAB3",#N/A,TRUE,"GENERAL";"TAB4",#N/A,TRUE,"GENERAL";"TAB5",#N/A,TRUE,"GENERAL"}</definedName>
    <definedName name="GSDG" localSheetId="15" hidden="1">{"TAB1",#N/A,TRUE,"GENERAL";"TAB2",#N/A,TRUE,"GENERAL";"TAB3",#N/A,TRUE,"GENERAL";"TAB4",#N/A,TRUE,"GENERAL";"TAB5",#N/A,TRUE,"GENERAL"}</definedName>
    <definedName name="GSDG" hidden="1">{"TAB1",#N/A,TRUE,"GENERAL";"TAB2",#N/A,TRUE,"GENERAL";"TAB3",#N/A,TRUE,"GENERAL";"TAB4",#N/A,TRUE,"GENERAL";"TAB5",#N/A,TRUE,"GENERAL"}</definedName>
    <definedName name="gsfsf" localSheetId="14"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3" hidden="1">{"via1",#N/A,TRUE,"general";"via2",#N/A,TRUE,"general";"via3",#N/A,TRUE,"general"}</definedName>
    <definedName name="gsfsf" localSheetId="15" hidden="1">{"via1",#N/A,TRUE,"general";"via2",#N/A,TRUE,"general";"via3",#N/A,TRUE,"general"}</definedName>
    <definedName name="gsfsf" hidden="1">{"via1",#N/A,TRUE,"general";"via2",#N/A,TRUE,"general";"via3",#N/A,TRUE,"general"}</definedName>
    <definedName name="GT" localSheetId="3">#REF!</definedName>
    <definedName name="GT">#REF!</definedName>
    <definedName name="gte">#REF!</definedName>
    <definedName name="gtgt" localSheetId="14"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3" hidden="1">{"via1",#N/A,TRUE,"general";"via2",#N/A,TRUE,"general";"via3",#N/A,TRUE,"general"}</definedName>
    <definedName name="gtgt" localSheetId="15" hidden="1">{"via1",#N/A,TRUE,"general";"via2",#N/A,TRUE,"general";"via3",#N/A,TRUE,"general"}</definedName>
    <definedName name="gtgt" hidden="1">{"via1",#N/A,TRUE,"general";"via2",#N/A,TRUE,"general";"via3",#N/A,TRUE,"general"}</definedName>
    <definedName name="gtgtg" localSheetId="14"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3" hidden="1">{"via1",#N/A,TRUE,"general";"via2",#N/A,TRUE,"general";"via3",#N/A,TRUE,"general"}</definedName>
    <definedName name="gtgtg" localSheetId="15" hidden="1">{"via1",#N/A,TRUE,"general";"via2",#N/A,TRUE,"general";"via3",#N/A,TRUE,"general"}</definedName>
    <definedName name="gtgtg" hidden="1">{"via1",#N/A,TRUE,"general";"via2",#N/A,TRUE,"general";"via3",#N/A,TRUE,"general"}</definedName>
    <definedName name="gtgtgff" localSheetId="14"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3" hidden="1">{"via1",#N/A,TRUE,"general";"via2",#N/A,TRUE,"general";"via3",#N/A,TRUE,"general"}</definedName>
    <definedName name="gtgtgff" localSheetId="15" hidden="1">{"via1",#N/A,TRUE,"general";"via2",#N/A,TRUE,"general";"via3",#N/A,TRUE,"general"}</definedName>
    <definedName name="gtgtgff" hidden="1">{"via1",#N/A,TRUE,"general";"via2",#N/A,TRUE,"general";"via3",#N/A,TRUE,"general"}</definedName>
    <definedName name="gtgtgyh" localSheetId="14"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5" hidden="1">{"TAB1",#N/A,TRUE,"GENERAL";"TAB2",#N/A,TRUE,"GENERAL";"TAB3",#N/A,TRUE,"GENERAL";"TAB4",#N/A,TRUE,"GENERAL";"TAB5",#N/A,TRUE,"GENERAL"}</definedName>
    <definedName name="gtgtgyh"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5"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 localSheetId="3">#REF!</definedName>
    <definedName name="GU">#REF!</definedName>
    <definedName name="GUADAÑ" localSheetId="3">#REF!</definedName>
    <definedName name="GUADAÑ" localSheetId="30">#REF!</definedName>
    <definedName name="GUADAÑ" localSheetId="31">#REF!</definedName>
    <definedName name="GUADAÑ" localSheetId="29">#REF!</definedName>
    <definedName name="GUADAÑ">#REF!</definedName>
    <definedName name="GV" localSheetId="3">#REF!</definedName>
    <definedName name="GV">#REF!</definedName>
    <definedName name="GW" localSheetId="3">#REF!</definedName>
    <definedName name="GW" localSheetId="30">#REF!</definedName>
    <definedName name="GW" localSheetId="31">#REF!</definedName>
    <definedName name="GW" localSheetId="29">#REF!</definedName>
    <definedName name="GW">#REF!</definedName>
    <definedName name="GX" localSheetId="3">#REF!</definedName>
    <definedName name="GX" localSheetId="30">#REF!</definedName>
    <definedName name="GX" localSheetId="31">#REF!</definedName>
    <definedName name="GX" localSheetId="29">#REF!</definedName>
    <definedName name="GX">#REF!</definedName>
    <definedName name="GY" localSheetId="3">#REF!</definedName>
    <definedName name="GY">#REF!</definedName>
    <definedName name="GZ" localSheetId="3">#REF!</definedName>
    <definedName name="GZ">#REF!</definedName>
    <definedName name="H" localSheetId="3">#REF!</definedName>
    <definedName name="H" localSheetId="30">#REF!</definedName>
    <definedName name="H" localSheetId="31">#REF!</definedName>
    <definedName name="H" localSheetId="29">#REF!</definedName>
    <definedName name="H">#REF!</definedName>
    <definedName name="h75mh">#REF!</definedName>
    <definedName name="h9h" localSheetId="14"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3" hidden="1">{"via1",#N/A,TRUE,"general";"via2",#N/A,TRUE,"general";"via3",#N/A,TRUE,"general"}</definedName>
    <definedName name="h9h" localSheetId="15" hidden="1">{"via1",#N/A,TRUE,"general";"via2",#N/A,TRUE,"general";"via3",#N/A,TRUE,"general"}</definedName>
    <definedName name="h9h" hidden="1">{"via1",#N/A,TRUE,"general";"via2",#N/A,TRUE,"general";"via3",#N/A,TRUE,"general"}</definedName>
    <definedName name="HA" localSheetId="3">#REF!</definedName>
    <definedName name="HA">#REF!</definedName>
    <definedName name="HABITANTES" localSheetId="3">#REF!</definedName>
    <definedName name="HABITANTES" localSheetId="30">#REF!</definedName>
    <definedName name="HABITANTES" localSheetId="31">#REF!</definedName>
    <definedName name="HABITANTES" localSheetId="29">#REF!</definedName>
    <definedName name="HABITANTES">#REF!</definedName>
    <definedName name="HACER" localSheetId="3"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3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3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3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34"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32"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33"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35"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29"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B">#REF!</definedName>
    <definedName name="hbfdhrw" localSheetId="14"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5"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C78MH" localSheetId="3">#REF!</definedName>
    <definedName name="HC78MH" localSheetId="30">#REF!</definedName>
    <definedName name="HC78MH" localSheetId="31">#REF!</definedName>
    <definedName name="HC78MH" localSheetId="29">#REF!</definedName>
    <definedName name="HC78MH">#REF!</definedName>
    <definedName name="HD" localSheetId="3">#REF!</definedName>
    <definedName name="HD">#REF!</definedName>
    <definedName name="hdfh" localSheetId="14"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3" hidden="1">{"via1",#N/A,TRUE,"general";"via2",#N/A,TRUE,"general";"via3",#N/A,TRUE,"general"}</definedName>
    <definedName name="hdfh" localSheetId="15" hidden="1">{"via1",#N/A,TRUE,"general";"via2",#N/A,TRUE,"general";"via3",#N/A,TRUE,"general"}</definedName>
    <definedName name="hdfh" hidden="1">{"via1",#N/A,TRUE,"general";"via2",#N/A,TRUE,"general";"via3",#N/A,TRUE,"general"}</definedName>
    <definedName name="hdfh4" localSheetId="14"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5" hidden="1">{"TAB1",#N/A,TRUE,"GENERAL";"TAB2",#N/A,TRUE,"GENERAL";"TAB3",#N/A,TRUE,"GENERAL";"TAB4",#N/A,TRUE,"GENERAL";"TAB5",#N/A,TRUE,"GENERAL"}</definedName>
    <definedName name="hdfh4"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5" hidden="1">{"TAB1",#N/A,TRUE,"GENERAL";"TAB2",#N/A,TRUE,"GENERAL";"TAB3",#N/A,TRUE,"GENERAL";"TAB4",#N/A,TRUE,"GENERAL";"TAB5",#N/A,TRUE,"GENERAL"}</definedName>
    <definedName name="hdfhwq" hidden="1">{"TAB1",#N/A,TRUE,"GENERAL";"TAB2",#N/A,TRUE,"GENERAL";"TAB3",#N/A,TRUE,"GENERAL";"TAB4",#N/A,TRUE,"GENERAL";"TAB5",#N/A,TRUE,"GENERAL"}</definedName>
    <definedName name="hdgh" localSheetId="14"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3" hidden="1">{"via1",#N/A,TRUE,"general";"via2",#N/A,TRUE,"general";"via3",#N/A,TRUE,"general"}</definedName>
    <definedName name="hdgh" localSheetId="15" hidden="1">{"via1",#N/A,TRUE,"general";"via2",#N/A,TRUE,"general";"via3",#N/A,TRUE,"general"}</definedName>
    <definedName name="hdgh" hidden="1">{"via1",#N/A,TRUE,"general";"via2",#N/A,TRUE,"general";"via3",#N/A,TRUE,"general"}</definedName>
    <definedName name="hdhf" localSheetId="14"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3" hidden="1">{"TAB1",#N/A,TRUE,"GENERAL";"TAB2",#N/A,TRUE,"GENERAL";"TAB3",#N/A,TRUE,"GENERAL";"TAB4",#N/A,TRUE,"GENERAL";"TAB5",#N/A,TRUE,"GENERAL"}</definedName>
    <definedName name="hdhf" localSheetId="15" hidden="1">{"TAB1",#N/A,TRUE,"GENERAL";"TAB2",#N/A,TRUE,"GENERAL";"TAB3",#N/A,TRUE,"GENERAL";"TAB4",#N/A,TRUE,"GENERAL";"TAB5",#N/A,TRUE,"GENERAL"}</definedName>
    <definedName name="hdhf" hidden="1">{"TAB1",#N/A,TRUE,"GENERAL";"TAB2",#N/A,TRUE,"GENERAL";"TAB3",#N/A,TRUE,"GENERAL";"TAB4",#N/A,TRUE,"GENERAL";"TAB5",#N/A,TRUE,"GENERAL"}</definedName>
    <definedName name="HE" localSheetId="3">#REF!</definedName>
    <definedName name="HE">#REF!</definedName>
    <definedName name="Header_Row">ROW(#REF!)</definedName>
    <definedName name="hernan">'[68]Itemes Renovación'!#REF!</definedName>
    <definedName name="HF" localSheetId="3">#REF!</definedName>
    <definedName name="HF">#REF!</definedName>
    <definedName name="hfgh" localSheetId="14"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3" hidden="1">{"via1",#N/A,TRUE,"general";"via2",#N/A,TRUE,"general";"via3",#N/A,TRUE,"general"}</definedName>
    <definedName name="hfgh" localSheetId="15" hidden="1">{"via1",#N/A,TRUE,"general";"via2",#N/A,TRUE,"general";"via3",#N/A,TRUE,"general"}</definedName>
    <definedName name="hfgh" hidden="1">{"via1",#N/A,TRUE,"general";"via2",#N/A,TRUE,"general";"via3",#N/A,TRUE,"general"}</definedName>
    <definedName name="hfh" localSheetId="14"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3" hidden="1">{"TAB1",#N/A,TRUE,"GENERAL";"TAB2",#N/A,TRUE,"GENERAL";"TAB3",#N/A,TRUE,"GENERAL";"TAB4",#N/A,TRUE,"GENERAL";"TAB5",#N/A,TRUE,"GENERAL"}</definedName>
    <definedName name="hfh" localSheetId="15" hidden="1">{"TAB1",#N/A,TRUE,"GENERAL";"TAB2",#N/A,TRUE,"GENERAL";"TAB3",#N/A,TRUE,"GENERAL";"TAB4",#N/A,TRUE,"GENERAL";"TAB5",#N/A,TRUE,"GENERAL"}</definedName>
    <definedName name="hfh" hidden="1">{"TAB1",#N/A,TRUE,"GENERAL";"TAB2",#N/A,TRUE,"GENERAL";"TAB3",#N/A,TRUE,"GENERAL";"TAB4",#N/A,TRUE,"GENERAL";"TAB5",#N/A,TRUE,"GENERAL"}</definedName>
    <definedName name="hfhg" localSheetId="14"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3" hidden="1">{"TAB1",#N/A,TRUE,"GENERAL";"TAB2",#N/A,TRUE,"GENERAL";"TAB3",#N/A,TRUE,"GENERAL";"TAB4",#N/A,TRUE,"GENERAL";"TAB5",#N/A,TRUE,"GENERAL"}</definedName>
    <definedName name="hfhg" localSheetId="15" hidden="1">{"TAB1",#N/A,TRUE,"GENERAL";"TAB2",#N/A,TRUE,"GENERAL";"TAB3",#N/A,TRUE,"GENERAL";"TAB4",#N/A,TRUE,"GENERAL";"TAB5",#N/A,TRUE,"GENERAL"}</definedName>
    <definedName name="hfhg" hidden="1">{"TAB1",#N/A,TRUE,"GENERAL";"TAB2",#N/A,TRUE,"GENERAL";"TAB3",#N/A,TRUE,"GENERAL";"TAB4",#N/A,TRUE,"GENERAL";"TAB5",#N/A,TRUE,"GENERAL"}</definedName>
    <definedName name="hft">[17]Dimensiones!$D$9</definedName>
    <definedName name="hfthr" localSheetId="14"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3" hidden="1">{"via1",#N/A,TRUE,"general";"via2",#N/A,TRUE,"general";"via3",#N/A,TRUE,"general"}</definedName>
    <definedName name="hfthr" localSheetId="15" hidden="1">{"via1",#N/A,TRUE,"general";"via2",#N/A,TRUE,"general";"via3",#N/A,TRUE,"general"}</definedName>
    <definedName name="hfthr" hidden="1">{"via1",#N/A,TRUE,"general";"via2",#N/A,TRUE,"general";"via3",#N/A,TRUE,"general"}</definedName>
    <definedName name="HG" localSheetId="3">#REF!</definedName>
    <definedName name="hg" localSheetId="14"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3" hidden="1">{"via1",#N/A,TRUE,"general";"via2",#N/A,TRUE,"general";"via3",#N/A,TRUE,"general"}</definedName>
    <definedName name="hg" localSheetId="15" hidden="1">{"via1",#N/A,TRUE,"general";"via2",#N/A,TRUE,"general";"via3",#N/A,TRUE,"general"}</definedName>
    <definedName name="HG">#REF!</definedName>
    <definedName name="HGFH" localSheetId="14"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3" hidden="1">{"via1",#N/A,TRUE,"general";"via2",#N/A,TRUE,"general";"via3",#N/A,TRUE,"general"}</definedName>
    <definedName name="HGFH" localSheetId="15" hidden="1">{"via1",#N/A,TRUE,"general";"via2",#N/A,TRUE,"general";"via3",#N/A,TRUE,"general"}</definedName>
    <definedName name="HGFH" hidden="1">{"via1",#N/A,TRUE,"general";"via2",#N/A,TRUE,"general";"via3",#N/A,TRUE,"general"}</definedName>
    <definedName name="hgfhty" localSheetId="14"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3" hidden="1">{"via1",#N/A,TRUE,"general";"via2",#N/A,TRUE,"general";"via3",#N/A,TRUE,"general"}</definedName>
    <definedName name="hgfhty" localSheetId="15" hidden="1">{"via1",#N/A,TRUE,"general";"via2",#N/A,TRUE,"general";"via3",#N/A,TRUE,"general"}</definedName>
    <definedName name="hgfhty" hidden="1">{"via1",#N/A,TRUE,"general";"via2",#N/A,TRUE,"general";"via3",#N/A,TRUE,"general"}</definedName>
    <definedName name="HGHFH7" localSheetId="14"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5" hidden="1">{"TAB1",#N/A,TRUE,"GENERAL";"TAB2",#N/A,TRUE,"GENERAL";"TAB3",#N/A,TRUE,"GENERAL";"TAB4",#N/A,TRUE,"GENERAL";"TAB5",#N/A,TRUE,"GENERAL"}</definedName>
    <definedName name="HGHFH7"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5" hidden="1">{"TAB1",#N/A,TRUE,"GENERAL";"TAB2",#N/A,TRUE,"GENERAL";"TAB3",#N/A,TRUE,"GENERAL";"TAB4",#N/A,TRUE,"GENERAL";"TAB5",#N/A,TRUE,"GENERAL"}</definedName>
    <definedName name="hghhj" hidden="1">{"TAB1",#N/A,TRUE,"GENERAL";"TAB2",#N/A,TRUE,"GENERAL";"TAB3",#N/A,TRUE,"GENERAL";"TAB4",#N/A,TRUE,"GENERAL";"TAB5",#N/A,TRUE,"GENERAL"}</definedName>
    <definedName name="hghydj" localSheetId="14"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3" hidden="1">{"via1",#N/A,TRUE,"general";"via2",#N/A,TRUE,"general";"via3",#N/A,TRUE,"general"}</definedName>
    <definedName name="hghydj" localSheetId="15" hidden="1">{"via1",#N/A,TRUE,"general";"via2",#N/A,TRUE,"general";"via3",#N/A,TRUE,"general"}</definedName>
    <definedName name="hghydj" hidden="1">{"via1",#N/A,TRUE,"general";"via2",#N/A,TRUE,"general";"via3",#N/A,TRUE,"general"}</definedName>
    <definedName name="hgjfjw" localSheetId="14"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3" hidden="1">{"via1",#N/A,TRUE,"general";"via2",#N/A,TRUE,"general";"via3",#N/A,TRUE,"general"}</definedName>
    <definedName name="hgjfjw" localSheetId="15" hidden="1">{"via1",#N/A,TRUE,"general";"via2",#N/A,TRUE,"general";"via3",#N/A,TRUE,"general"}</definedName>
    <definedName name="hgjfjw" hidden="1">{"via1",#N/A,TRUE,"general";"via2",#N/A,TRUE,"general";"via3",#N/A,TRUE,"general"}</definedName>
    <definedName name="HGJG" localSheetId="14"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3" hidden="1">{"TAB1",#N/A,TRUE,"GENERAL";"TAB2",#N/A,TRUE,"GENERAL";"TAB3",#N/A,TRUE,"GENERAL";"TAB4",#N/A,TRUE,"GENERAL";"TAB5",#N/A,TRUE,"GENERAL"}</definedName>
    <definedName name="HGJG" localSheetId="15"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14" hidden="1">'[15]46W9'!#REF!</definedName>
    <definedName name="hh" localSheetId="16" hidden="1">'[16]46W9'!#REF!</definedName>
    <definedName name="hh" localSheetId="17" hidden="1">'[16]46W9'!#REF!</definedName>
    <definedName name="hh" localSheetId="13" hidden="1">'[15]46W9'!#REF!</definedName>
    <definedName name="hh" localSheetId="15" hidden="1">'[15]46W9'!#REF!</definedName>
    <definedName name="HH">#REF!</definedName>
    <definedName name="hhg" hidden="1">{#N/A,#N/A,TRUE,"1842CWN0"}</definedName>
    <definedName name="hhh" localSheetId="14"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3" hidden="1">{"TAB1",#N/A,TRUE,"GENERAL";"TAB2",#N/A,TRUE,"GENERAL";"TAB3",#N/A,TRUE,"GENERAL";"TAB4",#N/A,TRUE,"GENERAL";"TAB5",#N/A,TRUE,"GENERAL"}</definedName>
    <definedName name="hhh" localSheetId="15" hidden="1">{"TAB1",#N/A,TRUE,"GENERAL";"TAB2",#N/A,TRUE,"GENERAL";"TAB3",#N/A,TRUE,"GENERAL";"TAB4",#N/A,TRUE,"GENERAL";"TAB5",#N/A,TRUE,"GENERAL"}</definedName>
    <definedName name="hhh" hidden="1">{"TAB1",#N/A,TRUE,"GENERAL";"TAB2",#N/A,TRUE,"GENERAL";"TAB3",#N/A,TRUE,"GENERAL";"TAB4",#N/A,TRUE,"GENERAL";"TAB5",#N/A,TRUE,"GENERAL"}</definedName>
    <definedName name="hhhh"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3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3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36"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3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3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3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3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2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hh" localSheetId="14"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3" hidden="1">{"via1",#N/A,TRUE,"general";"via2",#N/A,TRUE,"general";"via3",#N/A,TRUE,"general"}</definedName>
    <definedName name="hhhhhh" localSheetId="15" hidden="1">{"via1",#N/A,TRUE,"general";"via2",#N/A,TRUE,"general";"via3",#N/A,TRUE,"general"}</definedName>
    <definedName name="hhhhhh" hidden="1">{"via1",#N/A,TRUE,"general";"via2",#N/A,TRUE,"general";"via3",#N/A,TRUE,"general"}</definedName>
    <definedName name="hhhhhho" localSheetId="14"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5" hidden="1">{"TAB1",#N/A,TRUE,"GENERAL";"TAB2",#N/A,TRUE,"GENERAL";"TAB3",#N/A,TRUE,"GENERAL";"TAB4",#N/A,TRUE,"GENERAL";"TAB5",#N/A,TRUE,"GENERAL"}</definedName>
    <definedName name="hhhhhho"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5" hidden="1">{"TAB1",#N/A,TRUE,"GENERAL";"TAB2",#N/A,TRUE,"GENERAL";"TAB3",#N/A,TRUE,"GENERAL";"TAB4",#N/A,TRUE,"GENERAL";"TAB5",#N/A,TRUE,"GENERAL"}</definedName>
    <definedName name="hhhhhpy" hidden="1">{"TAB1",#N/A,TRUE,"GENERAL";"TAB2",#N/A,TRUE,"GENERAL";"TAB3",#N/A,TRUE,"GENERAL";"TAB4",#N/A,TRUE,"GENERAL";"TAB5",#N/A,TRUE,"GENERAL"}</definedName>
    <definedName name="hhhhth" localSheetId="14"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3" hidden="1">{"via1",#N/A,TRUE,"general";"via2",#N/A,TRUE,"general";"via3",#N/A,TRUE,"general"}</definedName>
    <definedName name="hhhhth" localSheetId="15" hidden="1">{"via1",#N/A,TRUE,"general";"via2",#N/A,TRUE,"general";"via3",#N/A,TRUE,"general"}</definedName>
    <definedName name="hhhhth" hidden="1">{"via1",#N/A,TRUE,"general";"via2",#N/A,TRUE,"general";"via3",#N/A,TRUE,"general"}</definedName>
    <definedName name="hhhyhyh" localSheetId="14"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5" hidden="1">{"TAB1",#N/A,TRUE,"GENERAL";"TAB2",#N/A,TRUE,"GENERAL";"TAB3",#N/A,TRUE,"GENERAL";"TAB4",#N/A,TRUE,"GENERAL";"TAB5",#N/A,TRUE,"GENERAL"}</definedName>
    <definedName name="hhhyhyh" hidden="1">{"TAB1",#N/A,TRUE,"GENERAL";"TAB2",#N/A,TRUE,"GENERAL";"TAB3",#N/A,TRUE,"GENERAL";"TAB4",#N/A,TRUE,"GENERAL";"TAB5",#N/A,TRUE,"GENERAL"}</definedName>
    <definedName name="hhtrhreh" localSheetId="14"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3" hidden="1">{"via1",#N/A,TRUE,"general";"via2",#N/A,TRUE,"general";"via3",#N/A,TRUE,"general"}</definedName>
    <definedName name="hhtrhreh" localSheetId="15" hidden="1">{"via1",#N/A,TRUE,"general";"via2",#N/A,TRUE,"general";"via3",#N/A,TRUE,"general"}</definedName>
    <definedName name="hhtrhreh" hidden="1">{"via1",#N/A,TRUE,"general";"via2",#N/A,TRUE,"general";"via3",#N/A,TRUE,"general"}</definedName>
    <definedName name="HI">#REF!</definedName>
    <definedName name="Hid">#REF!</definedName>
    <definedName name="HIDRO6" localSheetId="3">#REF!</definedName>
    <definedName name="HIDRO6" localSheetId="30">#REF!</definedName>
    <definedName name="HIDRO6" localSheetId="31">#REF!</definedName>
    <definedName name="HIDRO6" localSheetId="29">#REF!</definedName>
    <definedName name="HIDRO6">#REF!</definedName>
    <definedName name="hit">[17]Dimensiones!$D$8</definedName>
    <definedName name="HJ" localSheetId="3">#REF!</definedName>
    <definedName name="HJ">#REF!</definedName>
    <definedName name="hjfg" localSheetId="14"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3" hidden="1">{"via1",#N/A,TRUE,"general";"via2",#N/A,TRUE,"general";"via3",#N/A,TRUE,"general"}</definedName>
    <definedName name="hjfg" localSheetId="15" hidden="1">{"via1",#N/A,TRUE,"general";"via2",#N/A,TRUE,"general";"via3",#N/A,TRUE,"general"}</definedName>
    <definedName name="hjfg" hidden="1">{"via1",#N/A,TRUE,"general";"via2",#N/A,TRUE,"general";"via3",#N/A,TRUE,"general"}</definedName>
    <definedName name="hjgh" localSheetId="14"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3" hidden="1">{"TAB1",#N/A,TRUE,"GENERAL";"TAB2",#N/A,TRUE,"GENERAL";"TAB3",#N/A,TRUE,"GENERAL";"TAB4",#N/A,TRUE,"GENERAL";"TAB5",#N/A,TRUE,"GENERAL"}</definedName>
    <definedName name="hjgh" localSheetId="15" hidden="1">{"TAB1",#N/A,TRUE,"GENERAL";"TAB2",#N/A,TRUE,"GENERAL";"TAB3",#N/A,TRUE,"GENERAL";"TAB4",#N/A,TRUE,"GENERAL";"TAB5",#N/A,TRUE,"GENERAL"}</definedName>
    <definedName name="hjgh"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5" hidden="1">{"TAB1",#N/A,TRUE,"GENERAL";"TAB2",#N/A,TRUE,"GENERAL";"TAB3",#N/A,TRUE,"GENERAL";"TAB4",#N/A,TRUE,"GENERAL";"TAB5",#N/A,TRUE,"GENERAL"}</definedName>
    <definedName name="hjghj" hidden="1">{"TAB1",#N/A,TRUE,"GENERAL";"TAB2",#N/A,TRUE,"GENERAL";"TAB3",#N/A,TRUE,"GENERAL";"TAB4",#N/A,TRUE,"GENERAL";"TAB5",#N/A,TRUE,"GENERAL"}</definedName>
    <definedName name="hjhjh" localSheetId="3"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30"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31"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36"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34"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32"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33"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35"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29" hidden="1">{TRUE,TRUE,-2.75,-17.75,483,276.75,FALSE,TRUE,TRUE,TRUE,0,3,15,1,110,11,8,4,TRUE,TRUE,3,TRUE,1,TRUE,75,"Swvu.EneFeb.","ACwvu.EneFeb.",#N/A,FALSE,FALSE,1.24,0.787401575,0.74,0.984251969,1,"","",FALSE,FALSE,FALSE,FALSE,1,#N/A,1,1,#DIV/0!,FALSE,"Rwvu.EneFeb.","Cwvu.EneFeb.",FALSE,FALSE,FALSE,1,300,300,FALSE,FALSE,TRUE,TRUE,TRUE}</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g" localSheetId="14"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5" hidden="1">{"TAB1",#N/A,TRUE,"GENERAL";"TAB2",#N/A,TRUE,"GENERAL";"TAB3",#N/A,TRUE,"GENERAL";"TAB4",#N/A,TRUE,"GENERAL";"TAB5",#N/A,TRUE,"GENERAL"}</definedName>
    <definedName name="hjhjhg" hidden="1">{"TAB1",#N/A,TRUE,"GENERAL";"TAB2",#N/A,TRUE,"GENERAL";"TAB3",#N/A,TRUE,"GENERAL";"TAB4",#N/A,TRUE,"GENERAL";"TAB5",#N/A,TRUE,"GENERAL"}</definedName>
    <definedName name="HJHJHJHJ"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3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3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36"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3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3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3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3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2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k">#REF!</definedName>
    <definedName name="HJKH" localSheetId="14"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3" hidden="1">{"via1",#N/A,TRUE,"general";"via2",#N/A,TRUE,"general";"via3",#N/A,TRUE,"general"}</definedName>
    <definedName name="HJKH" localSheetId="15" hidden="1">{"via1",#N/A,TRUE,"general";"via2",#N/A,TRUE,"general";"via3",#N/A,TRUE,"general"}</definedName>
    <definedName name="HJKH" hidden="1">{"via1",#N/A,TRUE,"general";"via2",#N/A,TRUE,"general";"via3",#N/A,TRUE,"general"}</definedName>
    <definedName name="hjkjk" localSheetId="14"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3" hidden="1">{"via1",#N/A,TRUE,"general";"via2",#N/A,TRUE,"general";"via3",#N/A,TRUE,"general"}</definedName>
    <definedName name="hjkjk" localSheetId="15" hidden="1">{"via1",#N/A,TRUE,"general";"via2",#N/A,TRUE,"general";"via3",#N/A,TRUE,"general"}</definedName>
    <definedName name="hjkjk" hidden="1">{"via1",#N/A,TRUE,"general";"via2",#N/A,TRUE,"general";"via3",#N/A,TRUE,"general"}</definedName>
    <definedName name="HK">#REF!</definedName>
    <definedName name="hkjhjkhkhk" localSheetId="3">#REF!</definedName>
    <definedName name="hkjhjkhkhk" localSheetId="30">#REF!</definedName>
    <definedName name="hkjhjkhkhk" localSheetId="31">#REF!</definedName>
    <definedName name="hkjhjkhkhk" localSheetId="29">#REF!</definedName>
    <definedName name="hkjhjkhkhk">#REF!</definedName>
    <definedName name="HL" localSheetId="3">#REF!</definedName>
    <definedName name="HL">#REF!</definedName>
    <definedName name="HM" localSheetId="3">#REF!</definedName>
    <definedName name="HM">#REF!</definedName>
    <definedName name="HM3EB">#REF!</definedName>
    <definedName name="HM3JH">#REF!</definedName>
    <definedName name="HMHF3" localSheetId="3">#REF!</definedName>
    <definedName name="HMHF3" localSheetId="30">#REF!</definedName>
    <definedName name="HMHF3" localSheetId="31">#REF!</definedName>
    <definedName name="HMHF3" localSheetId="35">#REF!</definedName>
    <definedName name="HMHF3" localSheetId="29">#REF!</definedName>
    <definedName name="HMHF3">#REF!</definedName>
    <definedName name="HN" localSheetId="3">#REF!</definedName>
    <definedName name="hn" localSheetId="14" hidden="1">{"TAB1",#N/A,TRUE,"GENERAL";"TAB2",#N/A,TRUE,"GENERAL";"TAB3",#N/A,TRUE,"GENERAL";"TAB4",#N/A,TRUE,"GENERAL";"TAB5",#N/A,TRUE,"GENERAL"}</definedName>
    <definedName name="HN" localSheetId="30">#REF!</definedName>
    <definedName name="HN" localSheetId="31">#REF!</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3" hidden="1">{"TAB1",#N/A,TRUE,"GENERAL";"TAB2",#N/A,TRUE,"GENERAL";"TAB3",#N/A,TRUE,"GENERAL";"TAB4",#N/A,TRUE,"GENERAL";"TAB5",#N/A,TRUE,"GENERAL"}</definedName>
    <definedName name="hn" localSheetId="15" hidden="1">{"TAB1",#N/A,TRUE,"GENERAL";"TAB2",#N/A,TRUE,"GENERAL";"TAB3",#N/A,TRUE,"GENERAL";"TAB4",#N/A,TRUE,"GENERAL";"TAB5",#N/A,TRUE,"GENERAL"}</definedName>
    <definedName name="HN" localSheetId="29">#REF!</definedName>
    <definedName name="HN">#REF!</definedName>
    <definedName name="hnt">#REF!</definedName>
    <definedName name="HO" localSheetId="3">#REF!</definedName>
    <definedName name="HO" localSheetId="30">#REF!</definedName>
    <definedName name="HO" localSheetId="31">#REF!</definedName>
    <definedName name="HO" localSheetId="29">#REF!</definedName>
    <definedName name="HO">#REF!</definedName>
    <definedName name="HOCOL">#REF!</definedName>
    <definedName name="HOJA" localSheetId="14">DATE(YEAR([45]!Loan_Start),MONTH([45]!Loan_Start)+Payment_Number,DAY([45]!Loan_Start))</definedName>
    <definedName name="HOJA" localSheetId="17">DATE(YEAR([45]!Loan_Start),MONTH([45]!Loan_Start)+Payment_Number,DAY([45]!Loan_Start))</definedName>
    <definedName name="HOJA" localSheetId="2">DATE(YEAR([45]!Loan_Start),MONTH([45]!Loan_Start)+Payment_Number,DAY([45]!Loan_Start))</definedName>
    <definedName name="HOJA" localSheetId="20">DATE(YEAR([45]!Loan_Start),MONTH([45]!Loan_Start)+Payment_Number,DAY([45]!Loan_Start))</definedName>
    <definedName name="HOJA" localSheetId="21">DATE(YEAR([45]!Loan_Start),MONTH([45]!Loan_Start)+Payment_Number,DAY([45]!Loan_Start))</definedName>
    <definedName name="HOJA" localSheetId="15">DATE(YEAR([45]!Loan_Start),MONTH([45]!Loan_Start)+Payment_Number,DAY([45]!Loan_Start))</definedName>
    <definedName name="HOJA">DATE(YEAR([45]!Loan_Start),MONTH([45]!Loan_Start)+Payment_Number,DAY([45]!Loan_Start))</definedName>
    <definedName name="HOJA1">#REF!</definedName>
    <definedName name="HOJA444" localSheetId="14">DATE(YEAR([45]!Loan_Start),MONTH([45]!Loan_Start)+Payment_Number,DAY([45]!Loan_Start))</definedName>
    <definedName name="HOJA444" localSheetId="17">DATE(YEAR([45]!Loan_Start),MONTH([45]!Loan_Start)+Payment_Number,DAY([45]!Loan_Start))</definedName>
    <definedName name="HOJA444" localSheetId="2">DATE(YEAR([45]!Loan_Start),MONTH([45]!Loan_Start)+Payment_Number,DAY([45]!Loan_Start))</definedName>
    <definedName name="HOJA444" localSheetId="20">DATE(YEAR([45]!Loan_Start),MONTH([45]!Loan_Start)+Payment_Number,DAY([45]!Loan_Start))</definedName>
    <definedName name="HOJA444" localSheetId="21">DATE(YEAR([45]!Loan_Start),MONTH([45]!Loan_Start)+Payment_Number,DAY([45]!Loan_Start))</definedName>
    <definedName name="HOJA444" localSheetId="15">DATE(YEAR([45]!Loan_Start),MONTH([45]!Loan_Start)+Payment_Number,DAY([45]!Loan_Start))</definedName>
    <definedName name="HOJA444">DATE(YEAR([45]!Loan_Start),MONTH([45]!Loan_Start)+Payment_Number,DAY([45]!Loan_Start))</definedName>
    <definedName name="HOJA8">#REF!</definedName>
    <definedName name="HOR">[7]DATBAND!$C$3:$C$410</definedName>
    <definedName name="HORA">[7]DATOS!$C$3:$C$318</definedName>
    <definedName name="HORA2">'[69]Itemes Renovación'!#REF!</definedName>
    <definedName name="HORALL">'[7]DAT NUC'!$E$2:$E$477</definedName>
    <definedName name="HORAS">'[7]DAT NUC'!$D$2:$D$493</definedName>
    <definedName name="horat" localSheetId="3">#REF!</definedName>
    <definedName name="horat">#REF!</definedName>
    <definedName name="horat2">'[70]Itemes Renovación'!#REF!</definedName>
    <definedName name="HP" localSheetId="3">#REF!</definedName>
    <definedName name="HP">#REF!</definedName>
    <definedName name="HQ" localSheetId="3">#REF!</definedName>
    <definedName name="HQ">#REF!</definedName>
    <definedName name="hqi">#REF!</definedName>
    <definedName name="HR" localSheetId="3">#REF!</definedName>
    <definedName name="HR" localSheetId="30">#REF!</definedName>
    <definedName name="HR" localSheetId="31">#REF!</definedName>
    <definedName name="HR" localSheetId="29">#REF!</definedName>
    <definedName name="HR">#REF!</definedName>
    <definedName name="hreer" localSheetId="14"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5" hidden="1">{"TAB1",#N/A,TRUE,"GENERAL";"TAB2",#N/A,TRUE,"GENERAL";"TAB3",#N/A,TRUE,"GENERAL";"TAB4",#N/A,TRUE,"GENERAL";"TAB5",#N/A,TRUE,"GENERAL"}</definedName>
    <definedName name="hreer"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5" hidden="1">{"TAB1",#N/A,TRUE,"GENERAL";"TAB2",#N/A,TRUE,"GENERAL";"TAB3",#N/A,TRUE,"GENERAL";"TAB4",#N/A,TRUE,"GENERAL";"TAB5",#N/A,TRUE,"GENERAL"}</definedName>
    <definedName name="hrhth"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5" hidden="1">{"TAB1",#N/A,TRUE,"GENERAL";"TAB2",#N/A,TRUE,"GENERAL";"TAB3",#N/A,TRUE,"GENERAL";"TAB4",#N/A,TRUE,"GENERAL";"TAB5",#N/A,TRUE,"GENERAL"}</definedName>
    <definedName name="hrthtrh" hidden="1">{"TAB1",#N/A,TRUE,"GENERAL";"TAB2",#N/A,TRUE,"GENERAL";"TAB3",#N/A,TRUE,"GENERAL";"TAB4",#N/A,TRUE,"GENERAL";"TAB5",#N/A,TRUE,"GENERAL"}</definedName>
    <definedName name="HS" localSheetId="3">#REF!</definedName>
    <definedName name="HS">#REF!</definedName>
    <definedName name="hsfg" localSheetId="14"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3" hidden="1">{"via1",#N/A,TRUE,"general";"via2",#N/A,TRUE,"general";"via3",#N/A,TRUE,"general"}</definedName>
    <definedName name="hsfg" localSheetId="15" hidden="1">{"via1",#N/A,TRUE,"general";"via2",#N/A,TRUE,"general";"via3",#N/A,TRUE,"general"}</definedName>
    <definedName name="hsfg" hidden="1">{"via1",#N/A,TRUE,"general";"via2",#N/A,TRUE,"general";"via3",#N/A,TRUE,"general"}</definedName>
    <definedName name="HT" localSheetId="3">#REF!</definedName>
    <definedName name="HT">#REF!</definedName>
    <definedName name="HT75MH" localSheetId="3">#REF!</definedName>
    <definedName name="HT75MH" localSheetId="30">#REF!</definedName>
    <definedName name="HT75MH" localSheetId="31">#REF!</definedName>
    <definedName name="HT75MH" localSheetId="29">#REF!</definedName>
    <definedName name="HT75MH">#REF!</definedName>
    <definedName name="hthdrf" localSheetId="14"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5"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H" localSheetId="3">#REF!</definedName>
    <definedName name="HTMH" localSheetId="30">#REF!</definedName>
    <definedName name="HTMH" localSheetId="31">#REF!</definedName>
    <definedName name="HTMH" localSheetId="29">#REF!</definedName>
    <definedName name="HTMH">#REF!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4"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3" hidden="1">{"via1",#N/A,TRUE,"general";"via2",#N/A,TRUE,"general";"via3",#N/A,TRUE,"general"}</definedName>
    <definedName name="htryrt7" localSheetId="15" hidden="1">{"via1",#N/A,TRUE,"general";"via2",#N/A,TRUE,"general";"via3",#N/A,TRUE,"general"}</definedName>
    <definedName name="htryrt7" hidden="1">{"via1",#N/A,TRUE,"general";"via2",#N/A,TRUE,"general";"via3",#N/A,TRUE,"general"}</definedName>
    <definedName name="HU" localSheetId="3">#REF!</definedName>
    <definedName name="HU">#REF!</definedName>
    <definedName name="HV" localSheetId="3">#REF!</definedName>
    <definedName name="HV">#REF!</definedName>
    <definedName name="HW" localSheetId="3">#REF!</definedName>
    <definedName name="HW">#REF!</definedName>
    <definedName name="HX" localSheetId="3">#REF!</definedName>
    <definedName name="HX">#REF!</definedName>
    <definedName name="HY">#REF!</definedName>
    <definedName name="hyhjop" localSheetId="14"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5" hidden="1">{"TAB1",#N/A,TRUE,"GENERAL";"TAB2",#N/A,TRUE,"GENERAL";"TAB3",#N/A,TRUE,"GENERAL";"TAB4",#N/A,TRUE,"GENERAL";"TAB5",#N/A,TRUE,"GENERAL"}</definedName>
    <definedName name="hyhjop"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5" hidden="1">{"TAB1",#N/A,TRUE,"GENERAL";"TAB2",#N/A,TRUE,"GENERAL";"TAB3",#N/A,TRUE,"GENERAL";"TAB4",#N/A,TRUE,"GENERAL";"TAB5",#N/A,TRUE,"GENERAL"}</definedName>
    <definedName name="hyhyh" hidden="1">{"TAB1",#N/A,TRUE,"GENERAL";"TAB2",#N/A,TRUE,"GENERAL";"TAB3",#N/A,TRUE,"GENERAL";"TAB4",#N/A,TRUE,"GENERAL";"TAB5",#N/A,TRUE,"GENERAL"}</definedName>
    <definedName name="HYSTER" localSheetId="3">#REF!</definedName>
    <definedName name="HYSTER" localSheetId="30">#REF!</definedName>
    <definedName name="HYSTER" localSheetId="31">#REF!</definedName>
    <definedName name="HYSTER" localSheetId="29">#REF!</definedName>
    <definedName name="HYSTER">#REF!</definedName>
    <definedName name="HYT">#REF!</definedName>
    <definedName name="hytirs" localSheetId="14"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3" hidden="1">{"via1",#N/A,TRUE,"general";"via2",#N/A,TRUE,"general";"via3",#N/A,TRUE,"general"}</definedName>
    <definedName name="hytirs" localSheetId="15" hidden="1">{"via1",#N/A,TRUE,"general";"via2",#N/A,TRUE,"general";"via3",#N/A,TRUE,"general"}</definedName>
    <definedName name="hytirs" hidden="1">{"via1",#N/A,TRUE,"general";"via2",#N/A,TRUE,"general";"via3",#N/A,TRUE,"general"}</definedName>
    <definedName name="HZ" localSheetId="3">#REF!</definedName>
    <definedName name="HZ">#REF!</definedName>
    <definedName name="I">#REF!</definedName>
    <definedName name="I21b55" localSheetId="3">#REF!</definedName>
    <definedName name="I21b55" localSheetId="30">#REF!</definedName>
    <definedName name="I21b55" localSheetId="31">#REF!</definedName>
    <definedName name="I21b55" localSheetId="29">#REF!</definedName>
    <definedName name="I21b55">#REF!</definedName>
    <definedName name="i8i" localSheetId="14"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3" hidden="1">{"TAB1",#N/A,TRUE,"GENERAL";"TAB2",#N/A,TRUE,"GENERAL";"TAB3",#N/A,TRUE,"GENERAL";"TAB4",#N/A,TRUE,"GENERAL";"TAB5",#N/A,TRUE,"GENERAL"}</definedName>
    <definedName name="i8i" localSheetId="15" hidden="1">{"TAB1",#N/A,TRUE,"GENERAL";"TAB2",#N/A,TRUE,"GENERAL";"TAB3",#N/A,TRUE,"GENERAL";"TAB4",#N/A,TRUE,"GENERAL";"TAB5",#N/A,TRUE,"GENERAL"}</definedName>
    <definedName name="i8i" hidden="1">{"TAB1",#N/A,TRUE,"GENERAL";"TAB2",#N/A,TRUE,"GENERAL";"TAB3",#N/A,TRUE,"GENERAL";"TAB4",#N/A,TRUE,"GENERAL";"TAB5",#N/A,TRUE,"GENERAL"}</definedName>
    <definedName name="IA" localSheetId="3">#REF!</definedName>
    <definedName name="IA">#REF!</definedName>
    <definedName name="IB" localSheetId="3">#REF!</definedName>
    <definedName name="IB">#REF!</definedName>
    <definedName name="IC">#REF!</definedName>
    <definedName name="ID">#REF!</definedName>
    <definedName name="IE">#REF!</definedName>
    <definedName name="IF">#REF!</definedName>
    <definedName name="IG" localSheetId="3">#REF!</definedName>
    <definedName name="IG" localSheetId="30">#REF!</definedName>
    <definedName name="IG" localSheetId="31">#REF!</definedName>
    <definedName name="IG" localSheetId="29">#REF!</definedName>
    <definedName name="IG">#REF!</definedName>
    <definedName name="IH" localSheetId="3">#REF!</definedName>
    <definedName name="IH" localSheetId="30">#REF!</definedName>
    <definedName name="IH" localSheetId="31">#REF!</definedName>
    <definedName name="IH" localSheetId="29">#REF!</definedName>
    <definedName name="IH">#REF!</definedName>
    <definedName name="II" localSheetId="3" hidden="1">#REF!</definedName>
    <definedName name="ii" localSheetId="14" hidden="1">{"TAB1",#N/A,TRUE,"GENERAL";"TAB2",#N/A,TRUE,"GENERAL";"TAB3",#N/A,TRUE,"GENERAL";"TAB4",#N/A,TRUE,"GENERAL";"TAB5",#N/A,TRUE,"GENERAL"}</definedName>
    <definedName name="II" localSheetId="30" hidden="1">#REF!</definedName>
    <definedName name="II" localSheetId="31" hidden="1">#REF!</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3" hidden="1">{"TAB1",#N/A,TRUE,"GENERAL";"TAB2",#N/A,TRUE,"GENERAL";"TAB3",#N/A,TRUE,"GENERAL";"TAB4",#N/A,TRUE,"GENERAL";"TAB5",#N/A,TRUE,"GENERAL"}</definedName>
    <definedName name="ii" localSheetId="15" hidden="1">{"TAB1",#N/A,TRUE,"GENERAL";"TAB2",#N/A,TRUE,"GENERAL";"TAB3",#N/A,TRUE,"GENERAL";"TAB4",#N/A,TRUE,"GENERAL";"TAB5",#N/A,TRUE,"GENERAL"}</definedName>
    <definedName name="II" localSheetId="29" hidden="1">#REF!</definedName>
    <definedName name="II" hidden="1">#REF!</definedName>
    <definedName name="iii" localSheetId="14"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3" hidden="1">{"via1",#N/A,TRUE,"general";"via2",#N/A,TRUE,"general";"via3",#N/A,TRUE,"general"}</definedName>
    <definedName name="iii" localSheetId="15" hidden="1">{"via1",#N/A,TRUE,"general";"via2",#N/A,TRUE,"general";"via3",#N/A,TRUE,"general"}</definedName>
    <definedName name="iii" hidden="1">{"via1",#N/A,TRUE,"general";"via2",#N/A,TRUE,"general";"via3",#N/A,TRUE,"general"}</definedName>
    <definedName name="iiii" localSheetId="14"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3" hidden="1">{"via1",#N/A,TRUE,"general";"via2",#N/A,TRUE,"general";"via3",#N/A,TRUE,"general"}</definedName>
    <definedName name="iiii" localSheetId="15" hidden="1">{"via1",#N/A,TRUE,"general";"via2",#N/A,TRUE,"general";"via3",#N/A,TRUE,"general"}</definedName>
    <definedName name="iiii" hidden="1">{"via1",#N/A,TRUE,"general";"via2",#N/A,TRUE,"general";"via3",#N/A,TRUE,"general"}</definedName>
    <definedName name="iiiiiiik" localSheetId="14"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3" hidden="1">{"via1",#N/A,TRUE,"general";"via2",#N/A,TRUE,"general";"via3",#N/A,TRUE,"general"}</definedName>
    <definedName name="iiiiiiik" localSheetId="15" hidden="1">{"via1",#N/A,TRUE,"general";"via2",#N/A,TRUE,"general";"via3",#N/A,TRUE,"general"}</definedName>
    <definedName name="iiiiiiik" hidden="1">{"via1",#N/A,TRUE,"general";"via2",#N/A,TRUE,"general";"via3",#N/A,TRUE,"general"}</definedName>
    <definedName name="iiiiuh" localSheetId="14"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5" hidden="1">{"TAB1",#N/A,TRUE,"GENERAL";"TAB2",#N/A,TRUE,"GENERAL";"TAB3",#N/A,TRUE,"GENERAL";"TAB4",#N/A,TRUE,"GENERAL";"TAB5",#N/A,TRUE,"GENERAL"}</definedName>
    <definedName name="iiiiuh" hidden="1">{"TAB1",#N/A,TRUE,"GENERAL";"TAB2",#N/A,TRUE,"GENERAL";"TAB3",#N/A,TRUE,"GENERAL";"TAB4",#N/A,TRUE,"GENERAL";"TAB5",#N/A,TRUE,"GENERAL"}</definedName>
    <definedName name="IJ" localSheetId="3">#REF!</definedName>
    <definedName name="IJ">#REF!</definedName>
    <definedName name="IK" localSheetId="3">#REF!</definedName>
    <definedName name="IK">#REF!</definedName>
    <definedName name="ikj">#REF!</definedName>
    <definedName name="iktgvfmu" localSheetId="14"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5" hidden="1">{"TAB1",#N/A,TRUE,"GENERAL";"TAB2",#N/A,TRUE,"GENERAL";"TAB3",#N/A,TRUE,"GENERAL";"TAB4",#N/A,TRUE,"GENERAL";"TAB5",#N/A,TRUE,"GENERAL"}</definedName>
    <definedName name="iktgvfmu" hidden="1">{"TAB1",#N/A,TRUE,"GENERAL";"TAB2",#N/A,TRUE,"GENERAL";"TAB3",#N/A,TRUE,"GENERAL";"TAB4",#N/A,TRUE,"GENERAL";"TAB5",#N/A,TRUE,"GENERAL"}</definedName>
    <definedName name="IL" localSheetId="3" hidden="1">#REF!</definedName>
    <definedName name="IL" hidden="1">#REF!</definedName>
    <definedName name="IM" localSheetId="3" hidden="1">#REF!</definedName>
    <definedName name="IM" hidden="1">#REF!</definedName>
    <definedName name="IMP">[22]otros!$C$3</definedName>
    <definedName name="Impacto" localSheetId="3">#REF!</definedName>
    <definedName name="Impacto" localSheetId="30">#REF!</definedName>
    <definedName name="Impacto" localSheetId="31">#REF!</definedName>
    <definedName name="Impacto" localSheetId="29">#REF!</definedName>
    <definedName name="Impacto">#REF!</definedName>
    <definedName name="IMPRE" localSheetId="3">#REF!</definedName>
    <definedName name="IMPRE" localSheetId="30">#REF!</definedName>
    <definedName name="IMPRE" localSheetId="31">#REF!</definedName>
    <definedName name="IMPRE" localSheetId="29">#REF!</definedName>
    <definedName name="IMPRE">#REF!</definedName>
    <definedName name="Imprevistos" localSheetId="14">'[24]A.I.U'!$I$111</definedName>
    <definedName name="Imprevistos" localSheetId="16">'[24]A.I.U'!$I$111</definedName>
    <definedName name="Imprevistos" localSheetId="17">'[24]A.I.U'!$I$111</definedName>
    <definedName name="Imprevistos" localSheetId="13">'[24]A.I.U'!$I$111</definedName>
    <definedName name="Imprevistos" localSheetId="15">'[24]A.I.U'!$I$111</definedName>
    <definedName name="IMPREVISTOS">#REF!</definedName>
    <definedName name="IMPRI">#REF!</definedName>
    <definedName name="IN" localSheetId="3" hidden="1">#REF!</definedName>
    <definedName name="IN" hidden="1">#REF!</definedName>
    <definedName name="IND">#N/A</definedName>
    <definedName name="IND_CALIDAD">'[71]BSC VS OBJ. CALIDAD'!$D$4:$I$4</definedName>
    <definedName name="INDI">[72]ICCP!$C$103:$J$104</definedName>
    <definedName name="indicador">#REF!</definedName>
    <definedName name="INDICE">#REF!</definedName>
    <definedName name="inf" localSheetId="3">#REF!</definedName>
    <definedName name="inf" localSheetId="14">#REF!</definedName>
    <definedName name="inf" localSheetId="30">#REF!</definedName>
    <definedName name="inf" localSheetId="31">#REF!</definedName>
    <definedName name="inf" localSheetId="16">#REF!</definedName>
    <definedName name="inf" localSheetId="17">#REF!</definedName>
    <definedName name="inf" localSheetId="13">#REF!</definedName>
    <definedName name="inf" localSheetId="15">#REF!</definedName>
    <definedName name="inf" localSheetId="29">#REF!</definedName>
    <definedName name="inf">#REF!</definedName>
    <definedName name="INFG">#REF!</definedName>
    <definedName name="informe" localSheetId="3">#REF!</definedName>
    <definedName name="informe" localSheetId="30">#REF!</definedName>
    <definedName name="informe" localSheetId="31">#REF!</definedName>
    <definedName name="informe" localSheetId="29">#REF!</definedName>
    <definedName name="informe">#REF!</definedName>
    <definedName name="INGENIERIA1" hidden="1">#REF!</definedName>
    <definedName name="INGENIERIA11" hidden="1">#REF!</definedName>
    <definedName name="Ingeniero" localSheetId="3">#REF!</definedName>
    <definedName name="Ingeniero" localSheetId="30">#REF!</definedName>
    <definedName name="Ingeniero" localSheetId="31">#REF!</definedName>
    <definedName name="Ingeniero" localSheetId="29">#REF!</definedName>
    <definedName name="Ingeniero">#REF!</definedName>
    <definedName name="Ingeniero_ambiental">[24]CUADRILLAS!$B$17</definedName>
    <definedName name="inicial">[7]DATOS!$E$3:$E$1655</definedName>
    <definedName name="Inicio">[50]BASES!$E$26</definedName>
    <definedName name="inme">#REF!</definedName>
    <definedName name="INMEL">[73]ELECTRICO!$A$6:$G$101</definedName>
    <definedName name="Inspector_de_Obra">[24]CUADRILLAS!$B$15</definedName>
    <definedName name="INSU">#REF!</definedName>
    <definedName name="INSUMOS" localSheetId="3">#REF!</definedName>
    <definedName name="INSUMOS">#REF!</definedName>
    <definedName name="Insumos_auxiliares">[74]Insumos!#REF!</definedName>
    <definedName name="Insumos_basicos">#REF!</definedName>
    <definedName name="INSUMOS_ENSAYOS" localSheetId="14">#REF!</definedName>
    <definedName name="INSUMOS_ENSAYOS" localSheetId="13">#REF!</definedName>
    <definedName name="INSUMOS_ENSAYOS" localSheetId="15">#REF!</definedName>
    <definedName name="INSUMOS_ENSAYOS">#REF!</definedName>
    <definedName name="INSUMOS_EQUIPOS">'[41]INSUMOS EQUIPOS'!$A$1:$D$107</definedName>
    <definedName name="INSUMOS_MANO_DE_OBRA">'[41]INSUMOS MANO DE OBRA'!$A$1:$I$63</definedName>
    <definedName name="INSUMOS_MATERIALES">'[41]INSUMOS MATERIALES'!$A$1:$D$528</definedName>
    <definedName name="INSUMOS_SERVICIOS">'[41]INSUMOS SERVICIOS'!$A$1:$D$53</definedName>
    <definedName name="INSUMOS_TRANSPORTES">'[41]INSUMOS TRANSPORTES'!$A$1:$D$47</definedName>
    <definedName name="Int">#REF!</definedName>
    <definedName name="InTap">#REF!</definedName>
    <definedName name="Interest_Rate">#REF!</definedName>
    <definedName name="INTERv">#REF!</definedName>
    <definedName name="INTERVENTORIA" localSheetId="14" hidden="1">[8]G.G!#REF!</definedName>
    <definedName name="INTERVENTORIA" localSheetId="13" hidden="1">[8]G.G!#REF!</definedName>
    <definedName name="INTERVENTORIA" localSheetId="15" hidden="1">[8]G.G!#REF!</definedName>
    <definedName name="INTERVENTORIA" hidden="1">[9]G.G!#REF!</definedName>
    <definedName name="interventoria_2" localSheetId="14" hidden="1">#REF!</definedName>
    <definedName name="interventoria_2" localSheetId="13" hidden="1">#REF!</definedName>
    <definedName name="interventoria_2" localSheetId="15" hidden="1">#REF!</definedName>
    <definedName name="interventoria_2" hidden="1">#REF!</definedName>
    <definedName name="IntVal">#REF!</definedName>
    <definedName name="INV_11">'[75]PR 1'!$A$2:$N$655</definedName>
    <definedName name="IO" localSheetId="3">#REF!</definedName>
    <definedName name="IO" localSheetId="30">#REF!</definedName>
    <definedName name="IO" localSheetId="31">#REF!</definedName>
    <definedName name="IO" localSheetId="29">#REF!</definedName>
    <definedName name="IO">#REF!</definedName>
    <definedName name="IOUHH">#N/A</definedName>
    <definedName name="IP" localSheetId="3">#REF!</definedName>
    <definedName name="IP" localSheetId="30">#REF!</definedName>
    <definedName name="IP" localSheetId="31">#REF!</definedName>
    <definedName name="IP" localSheetId="29">#REF!</definedName>
    <definedName name="IP">#REF!</definedName>
    <definedName name="IQ" localSheetId="3">#REF!</definedName>
    <definedName name="IQ" localSheetId="30">#REF!</definedName>
    <definedName name="IQ" localSheetId="31">#REF!</definedName>
    <definedName name="IQ" localSheetId="29">#REF!</definedName>
    <definedName name="IQ">#REF!</definedName>
    <definedName name="IR" localSheetId="3">#REF!</definedName>
    <definedName name="IR" localSheetId="30">#REF!</definedName>
    <definedName name="IR" localSheetId="31">#REF!</definedName>
    <definedName name="IR" localSheetId="29">#REF!</definedName>
    <definedName name="IR">#REF!</definedName>
    <definedName name="irng" hidden="1">#REF!</definedName>
    <definedName name="irrigador" localSheetId="3">#REF!</definedName>
    <definedName name="irrigador" localSheetId="30">#REF!</definedName>
    <definedName name="irrigador" localSheetId="31">#REF!</definedName>
    <definedName name="irrigador" localSheetId="29">#REF!</definedName>
    <definedName name="irrigador">#REF!</definedName>
    <definedName name="IS" localSheetId="3">#REF!</definedName>
    <definedName name="IS" localSheetId="30">#REF!</definedName>
    <definedName name="IS" localSheetId="31">#REF!</definedName>
    <definedName name="IS" localSheetId="29">#REF!</definedName>
    <definedName name="IS">#REF!</definedName>
    <definedName name="IT" localSheetId="3">#REF!</definedName>
    <definedName name="IT" localSheetId="30">#REF!</definedName>
    <definedName name="IT" localSheetId="31">#REF!</definedName>
    <definedName name="IT" localSheetId="29">#REF!</definedName>
    <definedName name="IT">#REF!</definedName>
    <definedName name="it.">#REF!</definedName>
    <definedName name="ITEM">[76]BASE!$C$4:$H$261</definedName>
    <definedName name="ITEM1" localSheetId="3">#REF!</definedName>
    <definedName name="ITEM1" localSheetId="30">#REF!</definedName>
    <definedName name="ITEM1" localSheetId="31">#REF!</definedName>
    <definedName name="ITEM1" localSheetId="29">#REF!</definedName>
    <definedName name="ITEM1">#REF!</definedName>
    <definedName name="ITEM15">#REF!</definedName>
    <definedName name="ITEM16">#REF!</definedName>
    <definedName name="ITEM2" localSheetId="3">#REF!</definedName>
    <definedName name="ITEM2" localSheetId="30">#REF!</definedName>
    <definedName name="ITEM2" localSheetId="31">#REF!</definedName>
    <definedName name="ITEM2" localSheetId="29">#REF!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'[77]1'!#REF!</definedName>
    <definedName name="ITEM230">#REF!</definedName>
    <definedName name="item230.1">#REF!</definedName>
    <definedName name="ITEM3" localSheetId="3">#REF!</definedName>
    <definedName name="ITEM3" localSheetId="30">#REF!</definedName>
    <definedName name="ITEM3" localSheetId="31">#REF!</definedName>
    <definedName name="ITEM3" localSheetId="29">#REF!</definedName>
    <definedName name="ITEM3">#REF!</definedName>
    <definedName name="item310">#REF!</definedName>
    <definedName name="ITEM32">#REF!</definedName>
    <definedName name="item320">#REF!</definedName>
    <definedName name="item320.2">#REF!</definedName>
    <definedName name="ITEM330">#REF!</definedName>
    <definedName name="item330.1">#REF!</definedName>
    <definedName name="ITEM4">#REF!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 localSheetId="3">#REF!</definedName>
    <definedName name="ItemCodos" localSheetId="30">#REF!</definedName>
    <definedName name="ItemCodos" localSheetId="31">#REF!</definedName>
    <definedName name="ItemCodos" localSheetId="29">#REF!</definedName>
    <definedName name="ItemCodos">#REF!</definedName>
    <definedName name="ITEMES">[78]todos!$A$7:$D$38</definedName>
    <definedName name="ITEMS" localSheetId="3">#REF!</definedName>
    <definedName name="ITEMS">#REF!</definedName>
    <definedName name="ITEN320">#REF!</definedName>
    <definedName name="Iterar" localSheetId="3">#REF!</definedName>
    <definedName name="Iterar" localSheetId="30">#REF!</definedName>
    <definedName name="Iterar" localSheetId="31">#REF!</definedName>
    <definedName name="Iterar" localSheetId="29">#REF!</definedName>
    <definedName name="Iterar">#REF!</definedName>
    <definedName name="IU" localSheetId="3">#REF!</definedName>
    <definedName name="IU" localSheetId="30">#REF!</definedName>
    <definedName name="IU" localSheetId="31">#REF!</definedName>
    <definedName name="IU" localSheetId="29">#REF!</definedName>
    <definedName name="IU">#REF!</definedName>
    <definedName name="IUI" localSheetId="14"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3" hidden="1">{"TAB1",#N/A,TRUE,"GENERAL";"TAB2",#N/A,TRUE,"GENERAL";"TAB3",#N/A,TRUE,"GENERAL";"TAB4",#N/A,TRUE,"GENERAL";"TAB5",#N/A,TRUE,"GENERAL"}</definedName>
    <definedName name="IUI" localSheetId="15" hidden="1">{"TAB1",#N/A,TRUE,"GENERAL";"TAB2",#N/A,TRUE,"GENERAL";"TAB3",#N/A,TRUE,"GENERAL";"TAB4",#N/A,TRUE,"GENERAL";"TAB5",#N/A,TRUE,"GENERAL"}</definedName>
    <definedName name="IUI"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5" hidden="1">{"TAB1",#N/A,TRUE,"GENERAL";"TAB2",#N/A,TRUE,"GENERAL";"TAB3",#N/A,TRUE,"GENERAL";"TAB4",#N/A,TRUE,"GENERAL";"TAB5",#N/A,TRUE,"GENERAL"}</definedName>
    <definedName name="iuit7" hidden="1">{"TAB1",#N/A,TRUE,"GENERAL";"TAB2",#N/A,TRUE,"GENERAL";"TAB3",#N/A,TRUE,"GENERAL";"TAB4",#N/A,TRUE,"GENERAL";"TAB5",#N/A,TRUE,"GENERAL"}</definedName>
    <definedName name="iul" localSheetId="14"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3" hidden="1">{"via1",#N/A,TRUE,"general";"via2",#N/A,TRUE,"general";"via3",#N/A,TRUE,"general"}</definedName>
    <definedName name="iul" localSheetId="15" hidden="1">{"via1",#N/A,TRUE,"general";"via2",#N/A,TRUE,"general";"via3",#N/A,TRUE,"general"}</definedName>
    <definedName name="iul" hidden="1">{"via1",#N/A,TRUE,"general";"via2",#N/A,TRUE,"general";"via3",#N/A,TRUE,"general"}</definedName>
    <definedName name="iuouio" localSheetId="14"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3" hidden="1">{"via1",#N/A,TRUE,"general";"via2",#N/A,TRUE,"general";"via3",#N/A,TRUE,"general"}</definedName>
    <definedName name="iuouio" localSheetId="15" hidden="1">{"via1",#N/A,TRUE,"general";"via2",#N/A,TRUE,"general";"via3",#N/A,TRUE,"general"}</definedName>
    <definedName name="iuouio" hidden="1">{"via1",#N/A,TRUE,"general";"via2",#N/A,TRUE,"general";"via3",#N/A,TRUE,"general"}</definedName>
    <definedName name="iuyi9" localSheetId="14"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5" hidden="1">{"TAB1",#N/A,TRUE,"GENERAL";"TAB2",#N/A,TRUE,"GENERAL";"TAB3",#N/A,TRUE,"GENERAL";"TAB4",#N/A,TRUE,"GENERAL";"TAB5",#N/A,TRUE,"GENERAL"}</definedName>
    <definedName name="iuyi9" hidden="1">{"TAB1",#N/A,TRUE,"GENERAL";"TAB2",#N/A,TRUE,"GENERAL";"TAB3",#N/A,TRUE,"GENERAL";"TAB4",#N/A,TRUE,"GENERAL";"TAB5",#N/A,TRUE,"GENERAL"}</definedName>
    <definedName name="IV" localSheetId="3">#REF!</definedName>
    <definedName name="IV" localSheetId="30">#REF!</definedName>
    <definedName name="IV" localSheetId="31">#REF!</definedName>
    <definedName name="IV" localSheetId="29">#REF!</definedName>
    <definedName name="IV">#REF!</definedName>
    <definedName name="IVA">#REF!</definedName>
    <definedName name="IW" localSheetId="3">#REF!</definedName>
    <definedName name="IW" localSheetId="30">#REF!</definedName>
    <definedName name="IW" localSheetId="31">#REF!</definedName>
    <definedName name="IW" localSheetId="29">#REF!</definedName>
    <definedName name="IW">#REF!</definedName>
    <definedName name="IX" localSheetId="3">#REF!</definedName>
    <definedName name="IX" localSheetId="30">#REF!</definedName>
    <definedName name="IX" localSheetId="31">#REF!</definedName>
    <definedName name="IX" localSheetId="29">#REF!</definedName>
    <definedName name="IX">#REF!</definedName>
    <definedName name="IY" localSheetId="3">#REF!</definedName>
    <definedName name="IY" localSheetId="30">#REF!</definedName>
    <definedName name="IY" localSheetId="31">#REF!</definedName>
    <definedName name="IY" localSheetId="29">#REF!</definedName>
    <definedName name="IY">#REF!</definedName>
    <definedName name="iyuiuyi" localSheetId="14"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3" hidden="1">{"via1",#N/A,TRUE,"general";"via2",#N/A,TRUE,"general";"via3",#N/A,TRUE,"general"}</definedName>
    <definedName name="iyuiuyi" localSheetId="15" hidden="1">{"via1",#N/A,TRUE,"general";"via2",#N/A,TRUE,"general";"via3",#N/A,TRUE,"general"}</definedName>
    <definedName name="iyuiuyi" hidden="1">{"via1",#N/A,TRUE,"general";"via2",#N/A,TRUE,"general";"via3",#N/A,TRUE,"general"}</definedName>
    <definedName name="IZ" localSheetId="3">#REF!</definedName>
    <definedName name="IZ" localSheetId="30">#REF!</definedName>
    <definedName name="IZ" localSheetId="31">#REF!</definedName>
    <definedName name="IZ" localSheetId="29">#REF!</definedName>
    <definedName name="IZ">#REF!</definedName>
    <definedName name="j" localSheetId="14"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3" hidden="1">{"TAB1",#N/A,TRUE,"GENERAL";"TAB2",#N/A,TRUE,"GENERAL";"TAB3",#N/A,TRUE,"GENERAL";"TAB4",#N/A,TRUE,"GENERAL";"TAB5",#N/A,TRUE,"GENERAL"}</definedName>
    <definedName name="j" localSheetId="15" hidden="1">{"TAB1",#N/A,TRUE,"GENERAL";"TAB2",#N/A,TRUE,"GENERAL";"TAB3",#N/A,TRUE,"GENERAL";"TAB4",#N/A,TRUE,"GENERAL";"TAB5",#N/A,TRUE,"GENERAL"}</definedName>
    <definedName name="j" hidden="1">{"TAB1",#N/A,TRUE,"GENERAL";"TAB2",#N/A,TRUE,"GENERAL";"TAB3",#N/A,TRUE,"GENERAL";"TAB4",#N/A,TRUE,"GENERAL";"TAB5",#N/A,TRUE,"GENERAL"}</definedName>
    <definedName name="jd" localSheetId="14"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3" hidden="1">{"via1",#N/A,TRUE,"general";"via2",#N/A,TRUE,"general";"via3",#N/A,TRUE,"general"}</definedName>
    <definedName name="jd" localSheetId="15" hidden="1">{"via1",#N/A,TRUE,"general";"via2",#N/A,TRUE,"general";"via3",#N/A,TRUE,"general"}</definedName>
    <definedName name="jd" hidden="1">{"via1",#N/A,TRUE,"general";"via2",#N/A,TRUE,"general";"via3",#N/A,TRUE,"general"}</definedName>
    <definedName name="jdfjkd" localSheetId="3">#REF!</definedName>
    <definedName name="jdfjkd" localSheetId="30">#REF!</definedName>
    <definedName name="jdfjkd" localSheetId="31">#REF!</definedName>
    <definedName name="jdfjkd" localSheetId="29">#REF!</definedName>
    <definedName name="jdfjkd">#REF!</definedName>
    <definedName name="jdh" localSheetId="14"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3" hidden="1">{"TAB1",#N/A,TRUE,"GENERAL";"TAB2",#N/A,TRUE,"GENERAL";"TAB3",#N/A,TRUE,"GENERAL";"TAB4",#N/A,TRUE,"GENERAL";"TAB5",#N/A,TRUE,"GENERAL"}</definedName>
    <definedName name="jdh" localSheetId="15" hidden="1">{"TAB1",#N/A,TRUE,"GENERAL";"TAB2",#N/A,TRUE,"GENERAL";"TAB3",#N/A,TRUE,"GENERAL";"TAB4",#N/A,TRUE,"GENERAL";"TAB5",#N/A,TRUE,"GENERAL"}</definedName>
    <definedName name="jdh" hidden="1">{"TAB1",#N/A,TRUE,"GENERAL";"TAB2",#N/A,TRUE,"GENERAL";"TAB3",#N/A,TRUE,"GENERAL";"TAB4",#N/A,TRUE,"GENERAL";"TAB5",#N/A,TRUE,"GENERAL"}</definedName>
    <definedName name="jev">'[79]Desmonte y Limpieza'!$J$4</definedName>
    <definedName name="jeytj" localSheetId="14"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5"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4"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5" hidden="1">{"TAB1",#N/A,TRUE,"GENERAL";"TAB2",#N/A,TRUE,"GENERAL";"TAB3",#N/A,TRUE,"GENERAL";"TAB4",#N/A,TRUE,"GENERAL";"TAB5",#N/A,TRUE,"GENERAL"}</definedName>
    <definedName name="jfhjfrt" hidden="1">{"TAB1",#N/A,TRUE,"GENERAL";"TAB2",#N/A,TRUE,"GENERAL";"TAB3",#N/A,TRUE,"GENERAL";"TAB4",#N/A,TRUE,"GENERAL";"TAB5",#N/A,TRUE,"GENERAL"}</definedName>
    <definedName name="jgfj" localSheetId="14"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3" hidden="1">{"via1",#N/A,TRUE,"general";"via2",#N/A,TRUE,"general";"via3",#N/A,TRUE,"general"}</definedName>
    <definedName name="jgfj" localSheetId="15" hidden="1">{"via1",#N/A,TRUE,"general";"via2",#N/A,TRUE,"general";"via3",#N/A,TRUE,"general"}</definedName>
    <definedName name="jgfj" hidden="1">{"via1",#N/A,TRUE,"general";"via2",#N/A,TRUE,"general";"via3",#N/A,TRUE,"general"}</definedName>
    <definedName name="jghj" localSheetId="14"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3" hidden="1">{"TAB1",#N/A,TRUE,"GENERAL";"TAB2",#N/A,TRUE,"GENERAL";"TAB3",#N/A,TRUE,"GENERAL";"TAB4",#N/A,TRUE,"GENERAL";"TAB5",#N/A,TRUE,"GENERAL"}</definedName>
    <definedName name="jghj" localSheetId="15" hidden="1">{"TAB1",#N/A,TRUE,"GENERAL";"TAB2",#N/A,TRUE,"GENERAL";"TAB3",#N/A,TRUE,"GENERAL";"TAB4",#N/A,TRUE,"GENERAL";"TAB5",#N/A,TRUE,"GENERAL"}</definedName>
    <definedName name="jghj" hidden="1">{"TAB1",#N/A,TRUE,"GENERAL";"TAB2",#N/A,TRUE,"GENERAL";"TAB3",#N/A,TRUE,"GENERAL";"TAB4",#N/A,TRUE,"GENERAL";"TAB5",#N/A,TRUE,"GENERAL"}</definedName>
    <definedName name="jgj" localSheetId="14"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3" hidden="1">{"TAB1",#N/A,TRUE,"GENERAL";"TAB2",#N/A,TRUE,"GENERAL";"TAB3",#N/A,TRUE,"GENERAL";"TAB4",#N/A,TRUE,"GENERAL";"TAB5",#N/A,TRUE,"GENERAL"}</definedName>
    <definedName name="jgj" localSheetId="15"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4"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3" hidden="1">{"TAB1",#N/A,TRUE,"GENERAL";"TAB2",#N/A,TRUE,"GENERAL";"TAB3",#N/A,TRUE,"GENERAL";"TAB4",#N/A,TRUE,"GENERAL";"TAB5",#N/A,TRUE,"GENERAL"}</definedName>
    <definedName name="jhg" localSheetId="15" hidden="1">{"TAB1",#N/A,TRUE,"GENERAL";"TAB2",#N/A,TRUE,"GENERAL";"TAB3",#N/A,TRUE,"GENERAL";"TAB4",#N/A,TRUE,"GENERAL";"TAB5",#N/A,TRUE,"GENERAL"}</definedName>
    <definedName name="jhg" hidden="1">{"TAB1",#N/A,TRUE,"GENERAL";"TAB2",#N/A,TRUE,"GENERAL";"TAB3",#N/A,TRUE,"GENERAL";"TAB4",#N/A,TRUE,"GENERAL";"TAB5",#N/A,TRUE,"GENERAL"}</definedName>
    <definedName name="JHHHHH" localSheetId="3">#REF!</definedName>
    <definedName name="JHHHHH">#REF!</definedName>
    <definedName name="jhjyj" localSheetId="14"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3" hidden="1">{"via1",#N/A,TRUE,"general";"via2",#N/A,TRUE,"general";"via3",#N/A,TRUE,"general"}</definedName>
    <definedName name="jhjyj" localSheetId="15" hidden="1">{"via1",#N/A,TRUE,"general";"via2",#N/A,TRUE,"general";"via3",#N/A,TRUE,"general"}</definedName>
    <definedName name="jhjyj" hidden="1">{"via1",#N/A,TRUE,"general";"via2",#N/A,TRUE,"general";"via3",#N/A,TRUE,"general"}</definedName>
    <definedName name="JHK" localSheetId="14"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3" hidden="1">{"TAB1",#N/A,TRUE,"GENERAL";"TAB2",#N/A,TRUE,"GENERAL";"TAB3",#N/A,TRUE,"GENERAL";"TAB4",#N/A,TRUE,"GENERAL";"TAB5",#N/A,TRUE,"GENERAL"}</definedName>
    <definedName name="JHK" localSheetId="15" hidden="1">{"TAB1",#N/A,TRUE,"GENERAL";"TAB2",#N/A,TRUE,"GENERAL";"TAB3",#N/A,TRUE,"GENERAL";"TAB4",#N/A,TRUE,"GENERAL";"TAB5",#N/A,TRUE,"GENERAL"}</definedName>
    <definedName name="JHK"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5" hidden="1">{"TAB1",#N/A,TRUE,"GENERAL";"TAB2",#N/A,TRUE,"GENERAL";"TAB3",#N/A,TRUE,"GENERAL";"TAB4",#N/A,TRUE,"GENERAL";"TAB5",#N/A,TRUE,"GENERAL"}</definedName>
    <definedName name="jhkgjkvf" hidden="1">{"TAB1",#N/A,TRUE,"GENERAL";"TAB2",#N/A,TRUE,"GENERAL";"TAB3",#N/A,TRUE,"GENERAL";"TAB4",#N/A,TRUE,"GENERAL";"TAB5",#N/A,TRUE,"GENERAL"}</definedName>
    <definedName name="jj" localSheetId="14" hidden="1">{"via1",#N/A,TRUE,"general";"via2",#N/A,TRUE,"general";"via3",#N/A,TRUE,"general"}</definedName>
    <definedName name="jj" localSheetId="16" hidden="1">{"via1",#N/A,TRUE,"general";"via2",#N/A,TRUE,"general";"via3",#N/A,TRUE,"general"}</definedName>
    <definedName name="jj" localSheetId="17" hidden="1">{"via1",#N/A,TRUE,"general";"via2",#N/A,TRUE,"general";"via3",#N/A,TRUE,"general"}</definedName>
    <definedName name="jj" localSheetId="13" hidden="1">{"via1",#N/A,TRUE,"general";"via2",#N/A,TRUE,"general";"via3",#N/A,TRUE,"general"}</definedName>
    <definedName name="jj" localSheetId="15" hidden="1">{"via1",#N/A,TRUE,"general";"via2",#N/A,TRUE,"general";"via3",#N/A,TRUE,"general"}</definedName>
    <definedName name="jj" hidden="1">{"via1",#N/A,TRUE,"general";"via2",#N/A,TRUE,"general";"via3",#N/A,TRUE,"general"}</definedName>
    <definedName name="jjfq" localSheetId="14"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3" hidden="1">{"via1",#N/A,TRUE,"general";"via2",#N/A,TRUE,"general";"via3",#N/A,TRUE,"general"}</definedName>
    <definedName name="jjfq" localSheetId="15" hidden="1">{"via1",#N/A,TRUE,"general";"via2",#N/A,TRUE,"general";"via3",#N/A,TRUE,"general"}</definedName>
    <definedName name="jjfq" hidden="1">{"via1",#N/A,TRUE,"general";"via2",#N/A,TRUE,"general";"via3",#N/A,TRUE,"general"}</definedName>
    <definedName name="JJJ" hidden="1">{#N/A,#N/A,FALSE,"Hoja1";#N/A,#N/A,FALSE,"Hoja2"}</definedName>
    <definedName name="jjjhjddfg" localSheetId="14"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3" hidden="1">{"via1",#N/A,TRUE,"general";"via2",#N/A,TRUE,"general";"via3",#N/A,TRUE,"general"}</definedName>
    <definedName name="jjjhjddfg" localSheetId="15" hidden="1">{"via1",#N/A,TRUE,"general";"via2",#N/A,TRUE,"general";"via3",#N/A,TRUE,"general"}</definedName>
    <definedName name="jjjhjddfg" hidden="1">{"via1",#N/A,TRUE,"general";"via2",#N/A,TRUE,"general";"via3",#N/A,TRUE,"general"}</definedName>
    <definedName name="jjjjju" localSheetId="14"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3" hidden="1">{"via1",#N/A,TRUE,"general";"via2",#N/A,TRUE,"general";"via3",#N/A,TRUE,"general"}</definedName>
    <definedName name="jjjjju" localSheetId="15" hidden="1">{"via1",#N/A,TRUE,"general";"via2",#N/A,TRUE,"general";"via3",#N/A,TRUE,"general"}</definedName>
    <definedName name="jjjjju" hidden="1">{"via1",#N/A,TRUE,"general";"via2",#N/A,TRUE,"general";"via3",#N/A,TRUE,"general"}</definedName>
    <definedName name="jjujujty" localSheetId="14"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5" hidden="1">{"TAB1",#N/A,TRUE,"GENERAL";"TAB2",#N/A,TRUE,"GENERAL";"TAB3",#N/A,TRUE,"GENERAL";"TAB4",#N/A,TRUE,"GENERAL";"TAB5",#N/A,TRUE,"GENERAL"}</definedName>
    <definedName name="jjujujty" hidden="1">{"TAB1",#N/A,TRUE,"GENERAL";"TAB2",#N/A,TRUE,"GENERAL";"TAB3",#N/A,TRUE,"GENERAL";"TAB4",#N/A,TRUE,"GENERAL";"TAB5",#N/A,TRUE,"GENERAL"}</definedName>
    <definedName name="jjyjy" localSheetId="14"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3" hidden="1">{"via1",#N/A,TRUE,"general";"via2",#N/A,TRUE,"general";"via3",#N/A,TRUE,"general"}</definedName>
    <definedName name="jjyjy" localSheetId="15" hidden="1">{"via1",#N/A,TRUE,"general";"via2",#N/A,TRUE,"general";"via3",#N/A,TRUE,"general"}</definedName>
    <definedName name="jjyjy" hidden="1">{"via1",#N/A,TRUE,"general";"via2",#N/A,TRUE,"general";"via3",#N/A,TRUE,"general"}</definedName>
    <definedName name="jk">#REF!</definedName>
    <definedName name="JKJKJK"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3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3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36"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3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3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3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3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2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localSheetId="3"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3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3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36"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3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32"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33"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35"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29"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k" localSheetId="14"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3" hidden="1">{"TAB1",#N/A,TRUE,"GENERAL";"TAB2",#N/A,TRUE,"GENERAL";"TAB3",#N/A,TRUE,"GENERAL";"TAB4",#N/A,TRUE,"GENERAL";"TAB5",#N/A,TRUE,"GENERAL"}</definedName>
    <definedName name="jkk" localSheetId="15" hidden="1">{"TAB1",#N/A,TRUE,"GENERAL";"TAB2",#N/A,TRUE,"GENERAL";"TAB3",#N/A,TRUE,"GENERAL";"TAB4",#N/A,TRUE,"GENERAL";"TAB5",#N/A,TRUE,"GENERAL"}</definedName>
    <definedName name="jkk" hidden="1">{"TAB1",#N/A,TRUE,"GENERAL";"TAB2",#N/A,TRUE,"GENERAL";"TAB3",#N/A,TRUE,"GENERAL";"TAB4",#N/A,TRUE,"GENERAL";"TAB5",#N/A,TRUE,"GENERAL"}</definedName>
    <definedName name="jkl" localSheetId="14" hidden="1">{"TAB1",#N/A,TRUE,"GENERAL";"TAB2",#N/A,TRUE,"GENERAL";"TAB3",#N/A,TRUE,"GENERAL";"TAB4",#N/A,TRUE,"GENERAL";"TAB5",#N/A,TRUE,"GENERAL"}</definedName>
    <definedName name="jkl" localSheetId="16" hidden="1">{"TAB1",#N/A,TRUE,"GENERAL";"TAB2",#N/A,TRUE,"GENERAL";"TAB3",#N/A,TRUE,"GENERAL";"TAB4",#N/A,TRUE,"GENERAL";"TAB5",#N/A,TRUE,"GENERAL"}</definedName>
    <definedName name="jkl" localSheetId="17" hidden="1">{"TAB1",#N/A,TRUE,"GENERAL";"TAB2",#N/A,TRUE,"GENERAL";"TAB3",#N/A,TRUE,"GENERAL";"TAB4",#N/A,TRUE,"GENERAL";"TAB5",#N/A,TRUE,"GENERAL"}</definedName>
    <definedName name="jkl" localSheetId="13" hidden="1">{"TAB1",#N/A,TRUE,"GENERAL";"TAB2",#N/A,TRUE,"GENERAL";"TAB3",#N/A,TRUE,"GENERAL";"TAB4",#N/A,TRUE,"GENERAL";"TAB5",#N/A,TRUE,"GENERAL"}</definedName>
    <definedName name="jkl" localSheetId="15"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#N/A</definedName>
    <definedName name="JRYJ" localSheetId="14"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3" hidden="1">{"via1",#N/A,TRUE,"general";"via2",#N/A,TRUE,"general";"via3",#N/A,TRUE,"general"}</definedName>
    <definedName name="JRYJ" localSheetId="15" hidden="1">{"via1",#N/A,TRUE,"general";"via2",#N/A,TRUE,"general";"via3",#N/A,TRUE,"general"}</definedName>
    <definedName name="JRYJ" hidden="1">{"via1",#N/A,TRUE,"general";"via2",#N/A,TRUE,"general";"via3",#N/A,TRUE,"general"}</definedName>
    <definedName name="jt">#REF!</definedName>
    <definedName name="jtyj" localSheetId="14"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3" hidden="1">{"TAB1",#N/A,TRUE,"GENERAL";"TAB2",#N/A,TRUE,"GENERAL";"TAB3",#N/A,TRUE,"GENERAL";"TAB4",#N/A,TRUE,"GENERAL";"TAB5",#N/A,TRUE,"GENERAL"}</definedName>
    <definedName name="jtyj" localSheetId="15" hidden="1">{"TAB1",#N/A,TRUE,"GENERAL";"TAB2",#N/A,TRUE,"GENERAL";"TAB3",#N/A,TRUE,"GENERAL";"TAB4",#N/A,TRUE,"GENERAL";"TAB5",#N/A,TRUE,"GENERAL"}</definedName>
    <definedName name="jtyj"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5"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i">#REF!</definedName>
    <definedName name="juj" localSheetId="14"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3" hidden="1">{"via1",#N/A,TRUE,"general";"via2",#N/A,TRUE,"general";"via3",#N/A,TRUE,"general"}</definedName>
    <definedName name="juj" localSheetId="15" hidden="1">{"via1",#N/A,TRUE,"general";"via2",#N/A,TRUE,"general";"via3",#N/A,TRUE,"general"}</definedName>
    <definedName name="juj" hidden="1">{"via1",#N/A,TRUE,"general";"via2",#N/A,TRUE,"general";"via3",#N/A,TRUE,"general"}</definedName>
    <definedName name="jujcx" localSheetId="14"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3" hidden="1">{"via1",#N/A,TRUE,"general";"via2",#N/A,TRUE,"general";"via3",#N/A,TRUE,"general"}</definedName>
    <definedName name="jujcx" localSheetId="15" hidden="1">{"via1",#N/A,TRUE,"general";"via2",#N/A,TRUE,"general";"via3",#N/A,TRUE,"general"}</definedName>
    <definedName name="jujcx" hidden="1">{"via1",#N/A,TRUE,"general";"via2",#N/A,TRUE,"general";"via3",#N/A,TRUE,"general"}</definedName>
    <definedName name="jujuj" localSheetId="14"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3" hidden="1">{"via1",#N/A,TRUE,"general";"via2",#N/A,TRUE,"general";"via3",#N/A,TRUE,"general"}</definedName>
    <definedName name="jujuj" localSheetId="15" hidden="1">{"via1",#N/A,TRUE,"general";"via2",#N/A,TRUE,"general";"via3",#N/A,TRUE,"general"}</definedName>
    <definedName name="jujuj" hidden="1">{"via1",#N/A,TRUE,"general";"via2",#N/A,TRUE,"general";"via3",#N/A,TRUE,"general"}</definedName>
    <definedName name="jujujuju" localSheetId="14"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5" hidden="1">{"TAB1",#N/A,TRUE,"GENERAL";"TAB2",#N/A,TRUE,"GENERAL";"TAB3",#N/A,TRUE,"GENERAL";"TAB4",#N/A,TRUE,"GENERAL";"TAB5",#N/A,TRUE,"GENERAL"}</definedName>
    <definedName name="jujujuju" hidden="1">{"TAB1",#N/A,TRUE,"GENERAL";"TAB2",#N/A,TRUE,"GENERAL";"TAB3",#N/A,TRUE,"GENERAL";"TAB4",#N/A,TRUE,"GENERAL";"TAB5",#N/A,TRUE,"GENERAL"}</definedName>
    <definedName name="JulAgo">#REF!</definedName>
    <definedName name="JulAgo_C">#REF!</definedName>
    <definedName name="jun">#REF!</definedName>
    <definedName name="juuuhb" localSheetId="14"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5"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14"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3" hidden="1">{"via1",#N/A,TRUE,"general";"via2",#N/A,TRUE,"general";"via3",#N/A,TRUE,"general"}</definedName>
    <definedName name="jyjt7" localSheetId="15" hidden="1">{"via1",#N/A,TRUE,"general";"via2",#N/A,TRUE,"general";"via3",#N/A,TRUE,"general"}</definedName>
    <definedName name="jyjt7" hidden="1">{"via1",#N/A,TRUE,"general";"via2",#N/A,TRUE,"general";"via3",#N/A,TRUE,"general"}</definedName>
    <definedName name="jyt" localSheetId="14"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3" hidden="1">{"via1",#N/A,TRUE,"general";"via2",#N/A,TRUE,"general";"via3",#N/A,TRUE,"general"}</definedName>
    <definedName name="jyt" localSheetId="15" hidden="1">{"via1",#N/A,TRUE,"general";"via2",#N/A,TRUE,"general";"via3",#N/A,TRUE,"general"}</definedName>
    <definedName name="jyt" hidden="1">{"via1",#N/A,TRUE,"general";"via2",#N/A,TRUE,"general";"via3",#N/A,TRUE,"general"}</definedName>
    <definedName name="jytj" localSheetId="14"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3" hidden="1">{"via1",#N/A,TRUE,"general";"via2",#N/A,TRUE,"general";"via3",#N/A,TRUE,"general"}</definedName>
    <definedName name="jytj" localSheetId="15" hidden="1">{"via1",#N/A,TRUE,"general";"via2",#N/A,TRUE,"general";"via3",#N/A,TRUE,"general"}</definedName>
    <definedName name="jytj" hidden="1">{"via1",#N/A,TRUE,"general";"via2",#N/A,TRUE,"general";"via3",#N/A,TRUE,"general"}</definedName>
    <definedName name="jyuju" localSheetId="14"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3" hidden="1">{"via1",#N/A,TRUE,"general";"via2",#N/A,TRUE,"general";"via3",#N/A,TRUE,"general"}</definedName>
    <definedName name="jyuju" localSheetId="15" hidden="1">{"via1",#N/A,TRUE,"general";"via2",#N/A,TRUE,"general";"via3",#N/A,TRUE,"general"}</definedName>
    <definedName name="jyuju" hidden="1">{"via1",#N/A,TRUE,"general";"via2",#N/A,TRUE,"general";"via3",#N/A,TRUE,"general"}</definedName>
    <definedName name="jyujyuj" localSheetId="14"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3" hidden="1">{"via1",#N/A,TRUE,"general";"via2",#N/A,TRUE,"general";"via3",#N/A,TRUE,"general"}</definedName>
    <definedName name="jyujyuj" localSheetId="15"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14" hidden="1">{#N/A,#N/A,TRUE,"1842CWN0"}</definedName>
    <definedName name="KDL" localSheetId="13" hidden="1">{#N/A,#N/A,TRUE,"1842CWN0"}</definedName>
    <definedName name="KDL" localSheetId="15" hidden="1">{#N/A,#N/A,TRUE,"1842CWN0"}</definedName>
    <definedName name="KDL" hidden="1">{#N/A,#N/A,TRUE,"1842CWN0"}</definedName>
    <definedName name="KDL_1" localSheetId="14" hidden="1">{#N/A,#N/A,TRUE,"1842CWN0"}</definedName>
    <definedName name="KDL_1" localSheetId="13" hidden="1">{#N/A,#N/A,TRUE,"1842CWN0"}</definedName>
    <definedName name="KDL_1" localSheetId="15" hidden="1">{#N/A,#N/A,TRUE,"1842CWN0"}</definedName>
    <definedName name="KDL_1" hidden="1">{#N/A,#N/A,TRUE,"1842CWN0"}</definedName>
    <definedName name="KDL_2" localSheetId="14" hidden="1">{#N/A,#N/A,TRUE,"1842CWN0"}</definedName>
    <definedName name="KDL_2" localSheetId="13" hidden="1">{#N/A,#N/A,TRUE,"1842CWN0"}</definedName>
    <definedName name="KDL_2" localSheetId="15" hidden="1">{#N/A,#N/A,TRUE,"1842CWN0"}</definedName>
    <definedName name="KDL_2" hidden="1">{#N/A,#N/A,TRUE,"1842CWN0"}</definedName>
    <definedName name="kdmfm" hidden="1">#REF!</definedName>
    <definedName name="KHGGH" localSheetId="14"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3" hidden="1">{"via1",#N/A,TRUE,"general";"via2",#N/A,TRUE,"general";"via3",#N/A,TRUE,"general"}</definedName>
    <definedName name="KHGGH" localSheetId="15" hidden="1">{"via1",#N/A,TRUE,"general";"via2",#N/A,TRUE,"general";"via3",#N/A,TRUE,"general"}</definedName>
    <definedName name="KHGGH" hidden="1">{"via1",#N/A,TRUE,"general";"via2",#N/A,TRUE,"general";"via3",#N/A,TRUE,"general"}</definedName>
    <definedName name="khjk7" localSheetId="14"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5"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14"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3" hidden="1">{"via1",#N/A,TRUE,"general";"via2",#N/A,TRUE,"general";"via3",#N/A,TRUE,"general"}</definedName>
    <definedName name="kikik" localSheetId="15"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14"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3" hidden="1">{"via1",#N/A,TRUE,"general";"via2",#N/A,TRUE,"general";"via3",#N/A,TRUE,"general"}</definedName>
    <definedName name="kjhkd" localSheetId="15" hidden="1">{"via1",#N/A,TRUE,"general";"via2",#N/A,TRUE,"general";"via3",#N/A,TRUE,"general"}</definedName>
    <definedName name="kjhkd" hidden="1">{"via1",#N/A,TRUE,"general";"via2",#N/A,TRUE,"general";"via3",#N/A,TRUE,"general"}</definedName>
    <definedName name="kjk" localSheetId="14"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3" hidden="1">{"via1",#N/A,TRUE,"general";"via2",#N/A,TRUE,"general";"via3",#N/A,TRUE,"general"}</definedName>
    <definedName name="kjk" localSheetId="15" hidden="1">{"via1",#N/A,TRUE,"general";"via2",#N/A,TRUE,"general";"via3",#N/A,TRUE,"general"}</definedName>
    <definedName name="kjk" hidden="1">{"via1",#N/A,TRUE,"general";"via2",#N/A,TRUE,"general";"via3",#N/A,TRUE,"general"}</definedName>
    <definedName name="kjtrkjr" localSheetId="14"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3" hidden="1">{"via1",#N/A,TRUE,"general";"via2",#N/A,TRUE,"general";"via3",#N/A,TRUE,"general"}</definedName>
    <definedName name="kjtrkjr" localSheetId="15" hidden="1">{"via1",#N/A,TRUE,"general";"via2",#N/A,TRUE,"general";"via3",#N/A,TRUE,"general"}</definedName>
    <definedName name="kjtrkjr" hidden="1">{"via1",#N/A,TRUE,"general";"via2",#N/A,TRUE,"general";"via3",#N/A,TRUE,"general"}</definedName>
    <definedName name="KK" hidden="1">[80]OCTUBRE!#REF!</definedName>
    <definedName name="kkkk">'[81]ACTA DE OBRA'!$B$234</definedName>
    <definedName name="kkkki" localSheetId="14"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3" hidden="1">{"via1",#N/A,TRUE,"general";"via2",#N/A,TRUE,"general";"via3",#N/A,TRUE,"general"}</definedName>
    <definedName name="kkkki" localSheetId="15" hidden="1">{"via1",#N/A,TRUE,"general";"via2",#N/A,TRUE,"general";"via3",#N/A,TRUE,"general"}</definedName>
    <definedName name="kkkki" hidden="1">{"via1",#N/A,TRUE,"general";"via2",#N/A,TRUE,"general";"via3",#N/A,TRUE,"general"}</definedName>
    <definedName name="kkkkkki" localSheetId="14"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5" hidden="1">{"TAB1",#N/A,TRUE,"GENERAL";"TAB2",#N/A,TRUE,"GENERAL";"TAB3",#N/A,TRUE,"GENERAL";"TAB4",#N/A,TRUE,"GENERAL";"TAB5",#N/A,TRUE,"GENERAL"}</definedName>
    <definedName name="kkkkkki" hidden="1">{"TAB1",#N/A,TRUE,"GENERAL";"TAB2",#N/A,TRUE,"GENERAL";"TAB3",#N/A,TRUE,"GENERAL";"TAB4",#N/A,TRUE,"GENERAL";"TAB5",#N/A,TRUE,"GENERAL"}</definedName>
    <definedName name="KL" localSheetId="3">#REF!</definedName>
    <definedName name="KL" localSheetId="30">#REF!</definedName>
    <definedName name="KL" localSheetId="31">#REF!</definedName>
    <definedName name="KL" localSheetId="29">#REF!</definedName>
    <definedName name="KL">#REF!</definedName>
    <definedName name="klklk">#REF!</definedName>
    <definedName name="kñy">#REF!</definedName>
    <definedName name="KO" localSheetId="14" hidden="1">#REF!</definedName>
    <definedName name="KO" localSheetId="16" hidden="1">#REF!</definedName>
    <definedName name="KO" localSheetId="17" hidden="1">#REF!</definedName>
    <definedName name="KO" localSheetId="13" hidden="1">#REF!</definedName>
    <definedName name="KO" localSheetId="15" hidden="1">#REF!</definedName>
    <definedName name="KO" hidden="1">#REF!</definedName>
    <definedName name="krtrk" localSheetId="14"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3" hidden="1">{"via1",#N/A,TRUE,"general";"via2",#N/A,TRUE,"general";"via3",#N/A,TRUE,"general"}</definedName>
    <definedName name="krtrk" localSheetId="15" hidden="1">{"via1",#N/A,TRUE,"general";"via2",#N/A,TRUE,"general";"via3",#N/A,TRUE,"general"}</definedName>
    <definedName name="krtrk" hidden="1">{"via1",#N/A,TRUE,"general";"via2",#N/A,TRUE,"general";"via3",#N/A,TRUE,"general"}</definedName>
    <definedName name="KU" localSheetId="3">#REF!</definedName>
    <definedName name="KU" localSheetId="30">#REF!</definedName>
    <definedName name="KU" localSheetId="31">#REF!</definedName>
    <definedName name="KU" localSheetId="29">#REF!</definedName>
    <definedName name="KU">#REF!</definedName>
    <definedName name="kuh">#REF!</definedName>
    <definedName name="kuy">#REF!</definedName>
    <definedName name="kyr" localSheetId="14"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3" hidden="1">{"TAB1",#N/A,TRUE,"GENERAL";"TAB2",#N/A,TRUE,"GENERAL";"TAB3",#N/A,TRUE,"GENERAL";"TAB4",#N/A,TRUE,"GENERAL";"TAB5",#N/A,TRUE,"GENERAL"}</definedName>
    <definedName name="kyr" localSheetId="15" hidden="1">{"TAB1",#N/A,TRUE,"GENERAL";"TAB2",#N/A,TRUE,"GENERAL";"TAB3",#N/A,TRUE,"GENERAL";"TAB4",#N/A,TRUE,"GENERAL";"TAB5",#N/A,TRUE,"GENERAL"}</definedName>
    <definedName name="kyr" hidden="1">{"TAB1",#N/A,TRUE,"GENERAL";"TAB2",#N/A,TRUE,"GENERAL";"TAB3",#N/A,TRUE,"GENERAL";"TAB4",#N/A,TRUE,"GENERAL";"TAB5",#N/A,TRUE,"GENERAL"}</definedName>
    <definedName name="L_L">#N/A</definedName>
    <definedName name="la">#REF!</definedName>
    <definedName name="LACC34">#REF!</definedName>
    <definedName name="LAD">[7]DATBAND!$G$3:$G$795</definedName>
    <definedName name="LADO">'[7]DAT NUC'!$L$2:$L$143</definedName>
    <definedName name="LADRI1520">#REF!</definedName>
    <definedName name="lame" hidden="1">#REF!</definedName>
    <definedName name="LARGU" localSheetId="3">#REF!</definedName>
    <definedName name="LARGU" localSheetId="30">#REF!</definedName>
    <definedName name="LARGU" localSheetId="31">#REF!</definedName>
    <definedName name="LARGU" localSheetId="29">#REF!</definedName>
    <definedName name="LARGU">#REF!</definedName>
    <definedName name="LARGUE">#REF!</definedName>
    <definedName name="Last_Row">#N/A</definedName>
    <definedName name="LECHOS" localSheetId="3">#REF!</definedName>
    <definedName name="LECHOS" localSheetId="30">#REF!</definedName>
    <definedName name="LECHOS" localSheetId="31">#REF!</definedName>
    <definedName name="LECHOS" localSheetId="29">#REF!</definedName>
    <definedName name="LECHOS">#REF!</definedName>
    <definedName name="lechosdos" localSheetId="3">#REF!</definedName>
    <definedName name="lechosdos" localSheetId="30">#REF!</definedName>
    <definedName name="lechosdos" localSheetId="31">#REF!</definedName>
    <definedName name="lechosdos" localSheetId="29">#REF!</definedName>
    <definedName name="lechosdos">#REF!</definedName>
    <definedName name="Lestrategicas">#REF!</definedName>
    <definedName name="lia">#REF!</definedName>
    <definedName name="LICITACION">#REF!</definedName>
    <definedName name="LIGA" localSheetId="3">#REF!</definedName>
    <definedName name="LIGA" localSheetId="30">#REF!</definedName>
    <definedName name="LIGA" localSheetId="31">#REF!</definedName>
    <definedName name="LIGA" localSheetId="29">#REF!</definedName>
    <definedName name="LIGA">#REF!</definedName>
    <definedName name="LIMP">#REF!</definedName>
    <definedName name="LIMP14">#REF!</definedName>
    <definedName name="linc1">[17]Dimensiones!$B$15</definedName>
    <definedName name="linc2">[17]Dimensiones!$B$19</definedName>
    <definedName name="linc3">[17]Dimensiones!$B$23</definedName>
    <definedName name="linc4">[17]Dimensiones!$B$27</definedName>
    <definedName name="linc5">[17]Dimensiones!$B$31</definedName>
    <definedName name="LINEA">[48]DATOS!$B$16</definedName>
    <definedName name="lineas">#REF!</definedName>
    <definedName name="LisaCodSAO" localSheetId="3">#REF!</definedName>
    <definedName name="LisaCodSAO" localSheetId="30">#REF!</definedName>
    <definedName name="LisaCodSAO" localSheetId="31">#REF!</definedName>
    <definedName name="LisaCodSAO" localSheetId="29">#REF!</definedName>
    <definedName name="LisaCodSAO">#REF!</definedName>
    <definedName name="lista" localSheetId="3">#REF!</definedName>
    <definedName name="lista" localSheetId="30">#REF!</definedName>
    <definedName name="lista" localSheetId="31">#REF!</definedName>
    <definedName name="lista" localSheetId="29">#REF!</definedName>
    <definedName name="lista">#REF!</definedName>
    <definedName name="Listacanti" localSheetId="3">#REF!</definedName>
    <definedName name="Listacanti" localSheetId="30">#REF!</definedName>
    <definedName name="Listacanti" localSheetId="31">#REF!</definedName>
    <definedName name="Listacanti" localSheetId="29">#REF!</definedName>
    <definedName name="Listacanti">#REF!</definedName>
    <definedName name="ListaCantidad" localSheetId="3">#REF!</definedName>
    <definedName name="ListaCantidad" localSheetId="30">#REF!</definedName>
    <definedName name="ListaCantidad" localSheetId="31">#REF!</definedName>
    <definedName name="ListaCantidad" localSheetId="29">#REF!</definedName>
    <definedName name="ListaCantidad">#REF!</definedName>
    <definedName name="ListaItem" localSheetId="3">#REF!</definedName>
    <definedName name="ListaItem" localSheetId="30">#REF!</definedName>
    <definedName name="ListaItem" localSheetId="31">#REF!</definedName>
    <definedName name="ListaItem" localSheetId="29">#REF!</definedName>
    <definedName name="ListaItem">#REF!</definedName>
    <definedName name="listaprecios" localSheetId="3">#REF!</definedName>
    <definedName name="listaprecios" localSheetId="30">#REF!</definedName>
    <definedName name="listaprecios" localSheetId="31">#REF!</definedName>
    <definedName name="listaprecios" localSheetId="29">#REF!</definedName>
    <definedName name="listaprecios">#REF!</definedName>
    <definedName name="ListaUni">#REF!</definedName>
    <definedName name="LISTON">#REF!</definedName>
    <definedName name="liuoo" localSheetId="14"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5" hidden="1">{"TAB1",#N/A,TRUE,"GENERAL";"TAB2",#N/A,TRUE,"GENERAL";"TAB3",#N/A,TRUE,"GENERAL";"TAB4",#N/A,TRUE,"GENERAL";"TAB5",#N/A,TRUE,"GENERAL"}</definedName>
    <definedName name="liuoo" hidden="1">{"TAB1",#N/A,TRUE,"GENERAL";"TAB2",#N/A,TRUE,"GENERAL";"TAB3",#N/A,TRUE,"GENERAL";"TAB4",#N/A,TRUE,"GENERAL";"TAB5",#N/A,TRUE,"GENERAL"}</definedName>
    <definedName name="lkj" localSheetId="14"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3" hidden="1">{"via1",#N/A,TRUE,"general";"via2",#N/A,TRUE,"general";"via3",#N/A,TRUE,"general"}</definedName>
    <definedName name="lkj" localSheetId="15" hidden="1">{"via1",#N/A,TRUE,"general";"via2",#N/A,TRUE,"general";"via3",#N/A,TRUE,"general"}</definedName>
    <definedName name="lkj" hidden="1">{"via1",#N/A,TRUE,"general";"via2",#N/A,TRUE,"general";"via3",#N/A,TRUE,"general"}</definedName>
    <definedName name="LKJLJK" localSheetId="14"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5" hidden="1">{"TAB1",#N/A,TRUE,"GENERAL";"TAB2",#N/A,TRUE,"GENERAL";"TAB3",#N/A,TRUE,"GENERAL";"TAB4",#N/A,TRUE,"GENERAL";"TAB5",#N/A,TRUE,"GENERAL"}</definedName>
    <definedName name="LKJLJK" hidden="1">{"TAB1",#N/A,TRUE,"GENERAL";"TAB2",#N/A,TRUE,"GENERAL";"TAB3",#N/A,TRUE,"GENERAL";"TAB4",#N/A,TRUE,"GENERAL";"TAB5",#N/A,TRUE,"GENERAL"}</definedName>
    <definedName name="LKM">#REF!</definedName>
    <definedName name="LL" hidden="1">{#N/A,#N/A,FALSE,"orthoflow";#N/A,#N/A,FALSE,"Miscelaneos";#N/A,#N/A,FALSE,"Instrumentacio";#N/A,#N/A,FALSE,"Electrico";#N/A,#N/A,FALSE,"Valv. Seguridad"}</definedName>
    <definedName name="LLAC12" localSheetId="3">#REF!</definedName>
    <definedName name="LLAC12" localSheetId="30">#REF!</definedName>
    <definedName name="LLAC12" localSheetId="31">#REF!</definedName>
    <definedName name="LLAC12" localSheetId="29">#REF!</definedName>
    <definedName name="LLAC12">#REF!</definedName>
    <definedName name="LLANTAS" localSheetId="3">#REF!</definedName>
    <definedName name="LLANTAS" localSheetId="30">#REF!</definedName>
    <definedName name="LLANTAS" localSheetId="31">#REF!</definedName>
    <definedName name="LLANTAS" localSheetId="29">#REF!</definedName>
    <definedName name="LLANTAS">#REF!</definedName>
    <definedName name="LLAP12" localSheetId="3">#REF!</definedName>
    <definedName name="LLAP12" localSheetId="30">#REF!</definedName>
    <definedName name="LLAP12" localSheetId="31">#REF!</definedName>
    <definedName name="LLAP12" localSheetId="29">#REF!</definedName>
    <definedName name="LLAP12">#REF!</definedName>
    <definedName name="lll">#REF!</definedName>
    <definedName name="lllllh" localSheetId="14"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3" hidden="1">{"via1",#N/A,TRUE,"general";"via2",#N/A,TRUE,"general";"via3",#N/A,TRUE,"general"}</definedName>
    <definedName name="lllllh" localSheetId="15" hidden="1">{"via1",#N/A,TRUE,"general";"via2",#N/A,TRUE,"general";"via3",#N/A,TRUE,"general"}</definedName>
    <definedName name="lllllh" hidden="1">{"via1",#N/A,TRUE,"general";"via2",#N/A,TRUE,"general";"via3",#N/A,TRUE,"general"}</definedName>
    <definedName name="lllllllo" localSheetId="14"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3" hidden="1">{"via1",#N/A,TRUE,"general";"via2",#N/A,TRUE,"general";"via3",#N/A,TRUE,"general"}</definedName>
    <definedName name="lllllllo" localSheetId="15" hidden="1">{"via1",#N/A,TRUE,"general";"via2",#N/A,TRUE,"general";"via3",#N/A,TRUE,"general"}</definedName>
    <definedName name="lllllllo" hidden="1">{"via1",#N/A,TRUE,"general";"via2",#N/A,TRUE,"general";"via3",#N/A,TRUE,"general"}</definedName>
    <definedName name="LÑP">#REF!</definedName>
    <definedName name="lo">#REF!</definedName>
    <definedName name="Loan_Amount">#REF!</definedName>
    <definedName name="Loan_Start">#REF!</definedName>
    <definedName name="Loan_Years">#REF!</definedName>
    <definedName name="loc">[82]INDICE!#REF!</definedName>
    <definedName name="LOCA" localSheetId="14">[33]!absc</definedName>
    <definedName name="LOCA" localSheetId="17">[33]!absc</definedName>
    <definedName name="LOCA" localSheetId="2">[33]!absc</definedName>
    <definedName name="LOCA" localSheetId="20">[33]!absc</definedName>
    <definedName name="LOCA" localSheetId="21">[33]!absc</definedName>
    <definedName name="LOCA" localSheetId="15">[33]!absc</definedName>
    <definedName name="LOCA">[33]!absc</definedName>
    <definedName name="LOCA1" localSheetId="14">[33]!absc</definedName>
    <definedName name="LOCA1" localSheetId="17">[33]!absc</definedName>
    <definedName name="LOCA1" localSheetId="2">[33]!absc</definedName>
    <definedName name="LOCA1" localSheetId="20">[33]!absc</definedName>
    <definedName name="LOCA1" localSheetId="21">[33]!absc</definedName>
    <definedName name="LOCA1" localSheetId="15">[33]!absc</definedName>
    <definedName name="LOCA1">[33]!absc</definedName>
    <definedName name="LOCA2" localSheetId="14">[83]!absc</definedName>
    <definedName name="LOCA2" localSheetId="17">[83]!absc</definedName>
    <definedName name="LOCA2" localSheetId="2">[83]!absc</definedName>
    <definedName name="LOCA2" localSheetId="20">[83]!absc</definedName>
    <definedName name="LOCA2" localSheetId="21">[83]!absc</definedName>
    <definedName name="LOCA2" localSheetId="15">[83]!absc</definedName>
    <definedName name="LOCA2">[83]!absc</definedName>
    <definedName name="LOCALIZACION_Y_REPLANTEO">#REF!</definedName>
    <definedName name="LOCALIZACIÓN_Y_REPLANTEO._ESTRUCTURAS">[84]INDICE!#REF!</definedName>
    <definedName name="LOGO">#N/A</definedName>
    <definedName name="LOI">#REF!</definedName>
    <definedName name="lolol" localSheetId="14"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5" hidden="1">{"TAB1",#N/A,TRUE,"GENERAL";"TAB2",#N/A,TRUE,"GENERAL";"TAB3",#N/A,TRUE,"GENERAL";"TAB4",#N/A,TRUE,"GENERAL";"TAB5",#N/A,TRUE,"GENERAL"}</definedName>
    <definedName name="lolol" hidden="1">{"TAB1",#N/A,TRUE,"GENERAL";"TAB2",#N/A,TRUE,"GENERAL";"TAB3",#N/A,TRUE,"GENERAL";"TAB4",#N/A,TRUE,"GENERAL";"TAB5",#N/A,TRUE,"GENERAL"}</definedName>
    <definedName name="LONG" localSheetId="3">#REF!</definedName>
    <definedName name="LONG" localSheetId="30">#REF!</definedName>
    <definedName name="LONG" localSheetId="31">#REF!</definedName>
    <definedName name="LONG" localSheetId="29">#REF!</definedName>
    <definedName name="LONG">#REF!</definedName>
    <definedName name="longitud" localSheetId="3">#REF!</definedName>
    <definedName name="longitud" localSheetId="30">#REF!</definedName>
    <definedName name="longitud" localSheetId="31">#REF!</definedName>
    <definedName name="longitud" localSheetId="29">#REF!</definedName>
    <definedName name="longitud">#REF!</definedName>
    <definedName name="longitudalfs">#REF!</definedName>
    <definedName name="LOPE">#REF!</definedName>
    <definedName name="lplpl" localSheetId="14"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3" hidden="1">{"via1",#N/A,TRUE,"general";"via2",#N/A,TRUE,"general";"via3",#N/A,TRUE,"general"}</definedName>
    <definedName name="lplpl" localSheetId="15" hidden="1">{"via1",#N/A,TRUE,"general";"via2",#N/A,TRUE,"general";"via3",#N/A,TRUE,"general"}</definedName>
    <definedName name="lplpl" hidden="1">{"via1",#N/A,TRUE,"general";"via2",#N/A,TRUE,"general";"via3",#N/A,TRUE,"general"}</definedName>
    <definedName name="LUBRI">#REF!</definedName>
    <definedName name="Lubricante" localSheetId="3">#REF!</definedName>
    <definedName name="Lubricante">#REF!</definedName>
    <definedName name="lucy" localSheetId="14" hidden="1">{"TAB1",#N/A,TRUE,"GENERAL";"TAB2",#N/A,TRUE,"GENERAL";"TAB3",#N/A,TRUE,"GENERAL";"TAB4",#N/A,TRUE,"GENERAL";"TAB5",#N/A,TRUE,"GENERAL"}</definedName>
    <definedName name="lucy" localSheetId="16" hidden="1">{"TAB1",#N/A,TRUE,"GENERAL";"TAB2",#N/A,TRUE,"GENERAL";"TAB3",#N/A,TRUE,"GENERAL";"TAB4",#N/A,TRUE,"GENERAL";"TAB5",#N/A,TRUE,"GENERAL"}</definedName>
    <definedName name="lucy" localSheetId="17" hidden="1">{"TAB1",#N/A,TRUE,"GENERAL";"TAB2",#N/A,TRUE,"GENERAL";"TAB3",#N/A,TRUE,"GENERAL";"TAB4",#N/A,TRUE,"GENERAL";"TAB5",#N/A,TRUE,"GENERAL"}</definedName>
    <definedName name="lucy" localSheetId="13" hidden="1">{"TAB1",#N/A,TRUE,"GENERAL";"TAB2",#N/A,TRUE,"GENERAL";"TAB3",#N/A,TRUE,"GENERAL";"TAB4",#N/A,TRUE,"GENERAL";"TAB5",#N/A,TRUE,"GENERAL"}</definedName>
    <definedName name="lucy" localSheetId="15" hidden="1">{"TAB1",#N/A,TRUE,"GENERAL";"TAB2",#N/A,TRUE,"GENERAL";"TAB3",#N/A,TRUE,"GENERAL";"TAB4",#N/A,TRUE,"GENERAL";"TAB5",#N/A,TRUE,"GENERAL"}</definedName>
    <definedName name="lucy" hidden="1">{"TAB1",#N/A,TRUE,"GENERAL";"TAB2",#N/A,TRUE,"GENERAL";"TAB3",#N/A,TRUE,"GENERAL";"TAB4",#N/A,TRUE,"GENERAL";"TAB5",#N/A,TRUE,"GENERAL"}</definedName>
    <definedName name="lun">'[40]Res-Accide-10'!#REF!</definedName>
    <definedName name="LUPVC" localSheetId="3">#REF!</definedName>
    <definedName name="LUPVC" localSheetId="30">#REF!</definedName>
    <definedName name="LUPVC" localSheetId="31">#REF!</definedName>
    <definedName name="LUPVC" localSheetId="29">#REF!</definedName>
    <definedName name="LUPVC">#REF!</definedName>
    <definedName name="LUPVT">#REF!</definedName>
    <definedName name="luz" localSheetId="3">#REF!</definedName>
    <definedName name="luz" localSheetId="30">#REF!</definedName>
    <definedName name="luz" localSheetId="31">#REF!</definedName>
    <definedName name="luz" localSheetId="29">#REF!</definedName>
    <definedName name="luz">#REF!</definedName>
    <definedName name="M" localSheetId="3">#REF!</definedName>
    <definedName name="M" localSheetId="30">#REF!</definedName>
    <definedName name="M" localSheetId="31">#REF!</definedName>
    <definedName name="M" localSheetId="29">#REF!</definedName>
    <definedName name="m">#REF!</definedName>
    <definedName name="M120K">#REF!</definedName>
    <definedName name="M240K" localSheetId="3">#REF!</definedName>
    <definedName name="M240K" localSheetId="30">#REF!</definedName>
    <definedName name="M240K" localSheetId="31">#REF!</definedName>
    <definedName name="M240K" localSheetId="29">#REF!</definedName>
    <definedName name="M240K">#REF!</definedName>
    <definedName name="M280K" localSheetId="3">#REF!</definedName>
    <definedName name="M280K" localSheetId="30">#REF!</definedName>
    <definedName name="M280K" localSheetId="31">#REF!</definedName>
    <definedName name="M280K" localSheetId="29">#REF!</definedName>
    <definedName name="M280K">#REF!</definedName>
    <definedName name="MA">'[40]Res-Accide-10'!#REF!</definedName>
    <definedName name="MA34K">#REF!</definedName>
    <definedName name="MADCEP" localSheetId="3">#REF!</definedName>
    <definedName name="MADCEP" localSheetId="30">#REF!</definedName>
    <definedName name="MADCEP" localSheetId="31">#REF!</definedName>
    <definedName name="MADCEP" localSheetId="29">#REF!</definedName>
    <definedName name="MADCEP">#REF!</definedName>
    <definedName name="MADCJ">#REF!</definedName>
    <definedName name="MADE110" localSheetId="3">#REF!</definedName>
    <definedName name="MADE110" localSheetId="30">#REF!</definedName>
    <definedName name="MADE110" localSheetId="31">#REF!</definedName>
    <definedName name="MADE110" localSheetId="29">#REF!</definedName>
    <definedName name="MADE110">#REF!</definedName>
    <definedName name="Maestro_de_Obra">[24]CUADRILLAS!$B$13</definedName>
    <definedName name="mafdsf" localSheetId="14"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3" hidden="1">{"via1",#N/A,TRUE,"general";"via2",#N/A,TRUE,"general";"via3",#N/A,TRUE,"general"}</definedName>
    <definedName name="mafdsf" localSheetId="15" hidden="1">{"via1",#N/A,TRUE,"general";"via2",#N/A,TRUE,"general";"via3",#N/A,TRUE,"general"}</definedName>
    <definedName name="mafdsf" hidden="1">{"via1",#N/A,TRUE,"general";"via2",#N/A,TRUE,"general";"via3",#N/A,TRUE,"general"}</definedName>
    <definedName name="MAL">'[85]Estado Resumen'!#REF!&lt;2.5</definedName>
    <definedName name="malla">#REF!</definedName>
    <definedName name="MALLAELC" localSheetId="3">#REF!</definedName>
    <definedName name="MALLAELC" localSheetId="30">#REF!</definedName>
    <definedName name="MALLAELC" localSheetId="31">#REF!</definedName>
    <definedName name="MALLAELC" localSheetId="29">#REF!</definedName>
    <definedName name="MALLAELC">#REF!</definedName>
    <definedName name="MALO">'[86]ESTADO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'[87]Datos-Gráfica-Apartada'!#REF!</definedName>
    <definedName name="MANGUER" localSheetId="3">#REF!</definedName>
    <definedName name="MANGUER" localSheetId="30">#REF!</definedName>
    <definedName name="MANGUER" localSheetId="31">#REF!</definedName>
    <definedName name="MANGUER" localSheetId="29">#REF!</definedName>
    <definedName name="MANGUER">#REF!</definedName>
    <definedName name="MANOME" localSheetId="3">#REF!</definedName>
    <definedName name="MANOME" localSheetId="30">#REF!</definedName>
    <definedName name="MANOME" localSheetId="31">#REF!</definedName>
    <definedName name="MANOME" localSheetId="29">#REF!</definedName>
    <definedName name="MANOME">#REF!</definedName>
    <definedName name="MANTO">#REF!</definedName>
    <definedName name="mao" localSheetId="14"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3" hidden="1">{"TAB1",#N/A,TRUE,"GENERAL";"TAB2",#N/A,TRUE,"GENERAL";"TAB3",#N/A,TRUE,"GENERAL";"TAB4",#N/A,TRUE,"GENERAL";"TAB5",#N/A,TRUE,"GENERAL"}</definedName>
    <definedName name="mao" localSheetId="15" hidden="1">{"TAB1",#N/A,TRUE,"GENERAL";"TAB2",#N/A,TRUE,"GENERAL";"TAB3",#N/A,TRUE,"GENERAL";"TAB4",#N/A,TRUE,"GENERAL";"TAB5",#N/A,TRUE,"GENERAL"}</definedName>
    <definedName name="mao" hidden="1">{"TAB1",#N/A,TRUE,"GENERAL";"TAB2",#N/A,TRUE,"GENERAL";"TAB3",#N/A,TRUE,"GENERAL";"TAB4",#N/A,TRUE,"GENERAL";"TAB5",#N/A,TRUE,"GENERAL"}</definedName>
    <definedName name="maow" localSheetId="14"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3" hidden="1">{"via1",#N/A,TRUE,"general";"via2",#N/A,TRUE,"general";"via3",#N/A,TRUE,"general"}</definedName>
    <definedName name="maow" localSheetId="15" hidden="1">{"via1",#N/A,TRUE,"general";"via2",#N/A,TRUE,"general";"via3",#N/A,TRUE,"general"}</definedName>
    <definedName name="maow" hidden="1">{"via1",#N/A,TRUE,"general";"via2",#N/A,TRUE,"general";"via3",#N/A,TRUE,"general"}</definedName>
    <definedName name="MAP">'[88]PU (2)'!#REF!</definedName>
    <definedName name="MAQUINAR">[51]Insum!$A$68:$H$98</definedName>
    <definedName name="Mar">#REF!</definedName>
    <definedName name="Mar_C">#REF!</definedName>
    <definedName name="MARABA">#REF!</definedName>
    <definedName name="MarAbr">#REF!</definedName>
    <definedName name="MARAVILLA" localSheetId="14" hidden="1">{"PRES REHAB ARM-PER POR ITEMS  KM A KM",#N/A,TRUE,"Rehabilitacion Arm-Per"}</definedName>
    <definedName name="MARAVILLA" localSheetId="16" hidden="1">{"PRES REHAB ARM-PER POR ITEMS  KM A KM",#N/A,TRUE,"Rehabilitacion Arm-Per"}</definedName>
    <definedName name="MARAVILLA" localSheetId="17" hidden="1">{"PRES REHAB ARM-PER POR ITEMS  KM A KM",#N/A,TRUE,"Rehabilitacion Arm-Per"}</definedName>
    <definedName name="MARAVILLA" localSheetId="13" hidden="1">{"PRES REHAB ARM-PER POR ITEMS  KM A KM",#N/A,TRUE,"Rehabilitacion Arm-Per"}</definedName>
    <definedName name="MARAVILLA" localSheetId="15" hidden="1">{"PRES REHAB ARM-PER POR ITEMS  KM A KM",#N/A,TRUE,"Rehabilitacion Arm-Per"}</definedName>
    <definedName name="MARAVILLA" hidden="1">{"PRES REHAB ARM-PER POR ITEMS  KM A KM",#N/A,TRUE,"Rehabilitacion Arm-Per"}</definedName>
    <definedName name="margen">[7]DATOS!$G$3:$G$900</definedName>
    <definedName name="MARTA">IF(Loan_Amount*Interest_Rate*Loan_Years*Loan_Start&gt;0,1,0)</definedName>
    <definedName name="MARTHA">[48]DATOS!$A$9</definedName>
    <definedName name="MARYLUZ" localSheetId="14" hidden="1">{"PRES REHAB ARM-PER POR ITEMS  KM A KM",#N/A,TRUE,"Rehabilitacion Arm-Per"}</definedName>
    <definedName name="MARYLUZ" localSheetId="16" hidden="1">{"PRES REHAB ARM-PER POR ITEMS  KM A KM",#N/A,TRUE,"Rehabilitacion Arm-Per"}</definedName>
    <definedName name="MARYLUZ" localSheetId="17" hidden="1">{"PRES REHAB ARM-PER POR ITEMS  KM A KM",#N/A,TRUE,"Rehabilitacion Arm-Per"}</definedName>
    <definedName name="MARYLUZ" localSheetId="13" hidden="1">{"PRES REHAB ARM-PER POR ITEMS  KM A KM",#N/A,TRUE,"Rehabilitacion Arm-Per"}</definedName>
    <definedName name="MARYLUZ" localSheetId="15" hidden="1">{"PRES REHAB ARM-PER POR ITEMS  KM A KM",#N/A,TRUE,"Rehabilitacion Arm-Per"}</definedName>
    <definedName name="MARYLUZ" hidden="1">{"PRES REHAB ARM-PER POR ITEMS  KM A KM",#N/A,TRUE,"Rehabilitacion Arm-Per"}</definedName>
    <definedName name="masor" localSheetId="14"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3" hidden="1">{"via1",#N/A,TRUE,"general";"via2",#N/A,TRUE,"general";"via3",#N/A,TRUE,"general"}</definedName>
    <definedName name="masor" localSheetId="15" hidden="1">{"via1",#N/A,TRUE,"general";"via2",#N/A,TRUE,"general";"via3",#N/A,TRUE,"general"}</definedName>
    <definedName name="masor" hidden="1">{"via1",#N/A,TRUE,"general";"via2",#N/A,TRUE,"general";"via3",#N/A,TRUE,"general"}</definedName>
    <definedName name="MAT">#REF!</definedName>
    <definedName name="mater">'[48]precios-básicos2002'!$C$59:$C$127</definedName>
    <definedName name="MATERIAL" localSheetId="3">#REF!</definedName>
    <definedName name="MATERIAL" localSheetId="30">#REF!</definedName>
    <definedName name="MATERIAL" localSheetId="31">#REF!</definedName>
    <definedName name="MATERIAL" localSheetId="29">#REF!</definedName>
    <definedName name="MATERIAL">#REF!</definedName>
    <definedName name="Materiales" localSheetId="3">#REF!</definedName>
    <definedName name="materiales" localSheetId="14">[89]MATERIALES!$B$6:$D$403</definedName>
    <definedName name="Materiales" localSheetId="30">#REF!</definedName>
    <definedName name="Materiales" localSheetId="31">#REF!</definedName>
    <definedName name="materiales" localSheetId="16">[89]MATERIALES!$B$6:$D$403</definedName>
    <definedName name="materiales" localSheetId="17">[89]MATERIALES!$B$6:$D$403</definedName>
    <definedName name="materiales" localSheetId="13">[89]MATERIALES!$B$6:$D$403</definedName>
    <definedName name="materiales" localSheetId="15">[89]MATERIALES!$B$6:$D$403</definedName>
    <definedName name="Materiales" localSheetId="29">#REF!</definedName>
    <definedName name="Materiales">#REF!</definedName>
    <definedName name="MaterialTub" localSheetId="3">#REF!</definedName>
    <definedName name="MaterialTub" localSheetId="30">#REF!</definedName>
    <definedName name="MaterialTub" localSheetId="31">#REF!</definedName>
    <definedName name="MaterialTub" localSheetId="29">#REF!</definedName>
    <definedName name="MaterialTub">#REF!</definedName>
    <definedName name="MATPR">#REF!</definedName>
    <definedName name="matriz">#REF!,#REF!</definedName>
    <definedName name="MatTuberia" localSheetId="3">#REF!</definedName>
    <definedName name="MatTuberia" localSheetId="30">#REF!</definedName>
    <definedName name="MatTuberia" localSheetId="31">#REF!</definedName>
    <definedName name="MatTuberia" localSheetId="29">#REF!</definedName>
    <definedName name="MatTuberia">#REF!</definedName>
    <definedName name="MayJun">#REF!</definedName>
    <definedName name="MayJun_C">#REF!</definedName>
    <definedName name="mc" localSheetId="3">#REF!</definedName>
    <definedName name="mc" localSheetId="30">#REF!</definedName>
    <definedName name="mc" localSheetId="31">#REF!</definedName>
    <definedName name="mc" localSheetId="29">#REF!</definedName>
    <definedName name="mc">#REF!</definedName>
    <definedName name="MC4CM">#REF!</definedName>
    <definedName name="mdc2a">#REF!</definedName>
    <definedName name="mdd" localSheetId="14"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3" hidden="1">{"via1",#N/A,TRUE,"general";"via2",#N/A,TRUE,"general";"via3",#N/A,TRUE,"general"}</definedName>
    <definedName name="mdd" localSheetId="15" hidden="1">{"via1",#N/A,TRUE,"general";"via2",#N/A,TRUE,"general";"via3",#N/A,TRUE,"general"}</definedName>
    <definedName name="mdd" hidden="1">{"via1",#N/A,TRUE,"general";"via2",#N/A,TRUE,"general";"via3",#N/A,TRUE,"general"}</definedName>
    <definedName name="mdo">'[48]precios-básicos2002'!$C$131:$C$140</definedName>
    <definedName name="med">#REF!</definedName>
    <definedName name="MEDID">#REF!</definedName>
    <definedName name="meg" localSheetId="14"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3" hidden="1">{"TAB1",#N/A,TRUE,"GENERAL";"TAB2",#N/A,TRUE,"GENERAL";"TAB3",#N/A,TRUE,"GENERAL";"TAB4",#N/A,TRUE,"GENERAL";"TAB5",#N/A,TRUE,"GENERAL"}</definedName>
    <definedName name="meg" localSheetId="15"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m" localSheetId="3">#REF!</definedName>
    <definedName name="mem">#REF!</definedName>
    <definedName name="MEMORIAS">[41]MEMORIAS!$A:$H</definedName>
    <definedName name="MES">#REF!</definedName>
    <definedName name="MES_COM">#REF!</definedName>
    <definedName name="MESES">[90]meses!$A$1:$B$12</definedName>
    <definedName name="MESOLD" localSheetId="3">#REF!</definedName>
    <definedName name="MESOLD" localSheetId="30">#REF!</definedName>
    <definedName name="MESOLD" localSheetId="31">#REF!</definedName>
    <definedName name="MESOLD" localSheetId="29">#REF!</definedName>
    <definedName name="MESOLD">#REF!</definedName>
    <definedName name="met" localSheetId="14" hidden="1">{#N/A,#N/A,TRUE,"1842CWN0"}</definedName>
    <definedName name="met" localSheetId="13" hidden="1">{#N/A,#N/A,TRUE,"1842CWN0"}</definedName>
    <definedName name="met" localSheetId="15" hidden="1">{#N/A,#N/A,TRUE,"1842CWN0"}</definedName>
    <definedName name="met" hidden="1">{#N/A,#N/A,TRUE,"1842CWN0"}</definedName>
    <definedName name="met_1" localSheetId="14" hidden="1">{#N/A,#N/A,TRUE,"1842CWN0"}</definedName>
    <definedName name="met_1" localSheetId="13" hidden="1">{#N/A,#N/A,TRUE,"1842CWN0"}</definedName>
    <definedName name="met_1" localSheetId="15" hidden="1">{#N/A,#N/A,TRUE,"1842CWN0"}</definedName>
    <definedName name="met_1" hidden="1">{#N/A,#N/A,TRUE,"1842CWN0"}</definedName>
    <definedName name="met_2" localSheetId="14" hidden="1">{#N/A,#N/A,TRUE,"1842CWN0"}</definedName>
    <definedName name="met_2" localSheetId="13" hidden="1">{#N/A,#N/A,TRUE,"1842CWN0"}</definedName>
    <definedName name="met_2" localSheetId="15" hidden="1">{#N/A,#N/A,TRUE,"1842CWN0"}</definedName>
    <definedName name="met_2" hidden="1">{#N/A,#N/A,TRUE,"1842CWN0"}</definedName>
    <definedName name="metal" localSheetId="14" hidden="1">{#N/A,#N/A,TRUE,"1842CWN0"}</definedName>
    <definedName name="metal" localSheetId="13" hidden="1">{#N/A,#N/A,TRUE,"1842CWN0"}</definedName>
    <definedName name="metal" localSheetId="15" hidden="1">{#N/A,#N/A,TRUE,"1842CWN0"}</definedName>
    <definedName name="metal" hidden="1">{#N/A,#N/A,TRUE,"1842CWN0"}</definedName>
    <definedName name="metal_1" localSheetId="14" hidden="1">{#N/A,#N/A,TRUE,"1842CWN0"}</definedName>
    <definedName name="metal_1" localSheetId="13" hidden="1">{#N/A,#N/A,TRUE,"1842CWN0"}</definedName>
    <definedName name="metal_1" localSheetId="15" hidden="1">{#N/A,#N/A,TRUE,"1842CWN0"}</definedName>
    <definedName name="metal_1" hidden="1">{#N/A,#N/A,TRUE,"1842CWN0"}</definedName>
    <definedName name="metal_2" localSheetId="14" hidden="1">{#N/A,#N/A,TRUE,"1842CWN0"}</definedName>
    <definedName name="metal_2" localSheetId="13" hidden="1">{#N/A,#N/A,TRUE,"1842CWN0"}</definedName>
    <definedName name="metal_2" localSheetId="15" hidden="1">{#N/A,#N/A,TRUE,"1842CWN0"}</definedName>
    <definedName name="metal_2" hidden="1">{#N/A,#N/A,TRUE,"1842CWN0"}</definedName>
    <definedName name="Mezcladora_trompo_a_gasolina__Inc._combustible">'[24]Equipo y transporte'!$D$19</definedName>
    <definedName name="mf">#REF!</definedName>
    <definedName name="mfgjrdt" localSheetId="14"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5" hidden="1">{"TAB1",#N/A,TRUE,"GENERAL";"TAB2",#N/A,TRUE,"GENERAL";"TAB3",#N/A,TRUE,"GENERAL";"TAB4",#N/A,TRUE,"GENERAL";"TAB5",#N/A,TRUE,"GENERAL"}</definedName>
    <definedName name="mfgjrdt" hidden="1">{"TAB1",#N/A,TRUE,"GENERAL";"TAB2",#N/A,TRUE,"GENERAL";"TAB3",#N/A,TRUE,"GENERAL";"TAB4",#N/A,TRUE,"GENERAL";"TAB5",#N/A,TRUE,"GENERAL"}</definedName>
    <definedName name="mghm" localSheetId="14"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3" hidden="1">{"via1",#N/A,TRUE,"general";"via2",#N/A,TRUE,"general";"via3",#N/A,TRUE,"general"}</definedName>
    <definedName name="mghm" localSheetId="15"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CROVLC" localSheetId="3">#REF!</definedName>
    <definedName name="MICROVLC" localSheetId="30">#REF!</definedName>
    <definedName name="MICROVLC" localSheetId="31">#REF!</definedName>
    <definedName name="MICROVLC" localSheetId="29">#REF!</definedName>
    <definedName name="MICROVLC">#REF!</definedName>
    <definedName name="MICROVOLC">#REF!</definedName>
    <definedName name="mjmj" localSheetId="14"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3" hidden="1">{"via1",#N/A,TRUE,"general";"via2",#N/A,TRUE,"general";"via3",#N/A,TRUE,"general"}</definedName>
    <definedName name="mjmj" localSheetId="15" hidden="1">{"via1",#N/A,TRUE,"general";"via2",#N/A,TRUE,"general";"via3",#N/A,TRUE,"general"}</definedName>
    <definedName name="mjmj" hidden="1">{"via1",#N/A,TRUE,"general";"via2",#N/A,TRUE,"general";"via3",#N/A,TRUE,"general"}</definedName>
    <definedName name="mjmjmn" localSheetId="14"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3" hidden="1">{"via1",#N/A,TRUE,"general";"via2",#N/A,TRUE,"general";"via3",#N/A,TRUE,"general"}</definedName>
    <definedName name="mjmjmn" localSheetId="15" hidden="1">{"via1",#N/A,TRUE,"general";"via2",#N/A,TRUE,"general";"via3",#N/A,TRUE,"general"}</definedName>
    <definedName name="mjmjmn" hidden="1">{"via1",#N/A,TRUE,"general";"via2",#N/A,TRUE,"general";"via3",#N/A,TRUE,"general"}</definedName>
    <definedName name="mjnhgkio" localSheetId="14"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3" hidden="1">{"via1",#N/A,TRUE,"general";"via2",#N/A,TRUE,"general";"via3",#N/A,TRUE,"general"}</definedName>
    <definedName name="mjnhgkio" localSheetId="15"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DC" localSheetId="3">#REF!</definedName>
    <definedName name="MMDC" localSheetId="30">#REF!</definedName>
    <definedName name="MMDC" localSheetId="31">#REF!</definedName>
    <definedName name="MMDC" localSheetId="29">#REF!</definedName>
    <definedName name="MMDC">#REF!</definedName>
    <definedName name="mmjmjh" localSheetId="14"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5" hidden="1">{"TAB1",#N/A,TRUE,"GENERAL";"TAB2",#N/A,TRUE,"GENERAL";"TAB3",#N/A,TRUE,"GENERAL";"TAB4",#N/A,TRUE,"GENERAL";"TAB5",#N/A,TRUE,"GENERAL"}</definedName>
    <definedName name="mmjmjh" hidden="1">{"TAB1",#N/A,TRUE,"GENERAL";"TAB2",#N/A,TRUE,"GENERAL";"TAB3",#N/A,TRUE,"GENERAL";"TAB4",#N/A,TRUE,"GENERAL";"TAB5",#N/A,TRUE,"GENERAL"}</definedName>
    <definedName name="mmm" localSheetId="14"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3" hidden="1">{"TAB1",#N/A,TRUE,"GENERAL";"TAB2",#N/A,TRUE,"GENERAL";"TAB3",#N/A,TRUE,"GENERAL";"TAB4",#N/A,TRUE,"GENERAL";"TAB5",#N/A,TRUE,"GENERAL"}</definedName>
    <definedName name="mmm" localSheetId="15" hidden="1">{"TAB1",#N/A,TRUE,"GENERAL";"TAB2",#N/A,TRUE,"GENERAL";"TAB3",#N/A,TRUE,"GENERAL";"TAB4",#N/A,TRUE,"GENERAL";"TAB5",#N/A,TRUE,"GENERAL"}</definedName>
    <definedName name="mmm" hidden="1">{"TAB1",#N/A,TRUE,"GENERAL";"TAB2",#N/A,TRUE,"GENERAL";"TAB3",#N/A,TRUE,"GENERAL";"TAB4",#N/A,TRUE,"GENERAL";"TAB5",#N/A,TRUE,"GENERAL"}</definedName>
    <definedName name="mmmh" localSheetId="14"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3" hidden="1">{"via1",#N/A,TRUE,"general";"via2",#N/A,TRUE,"general";"via3",#N/A,TRUE,"general"}</definedName>
    <definedName name="mmmh" localSheetId="15" hidden="1">{"via1",#N/A,TRUE,"general";"via2",#N/A,TRUE,"general";"via3",#N/A,TRUE,"general"}</definedName>
    <definedName name="mmmh" hidden="1">{"via1",#N/A,TRUE,"general";"via2",#N/A,TRUE,"general";"via3",#N/A,TRUE,"general"}</definedName>
    <definedName name="mmmmmjyt" localSheetId="14"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5" hidden="1">{"TAB1",#N/A,TRUE,"GENERAL";"TAB2",#N/A,TRUE,"GENERAL";"TAB3",#N/A,TRUE,"GENERAL";"TAB4",#N/A,TRUE,"GENERAL";"TAB5",#N/A,TRUE,"GENERAL"}</definedName>
    <definedName name="mmmmmjyt" hidden="1">{"TAB1",#N/A,TRUE,"GENERAL";"TAB2",#N/A,TRUE,"GENERAL";"TAB3",#N/A,TRUE,"GENERAL";"TAB4",#N/A,TRUE,"GENERAL";"TAB5",#N/A,TRUE,"GENERAL"}</definedName>
    <definedName name="mmmmmmg" localSheetId="14"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3" hidden="1">{"via1",#N/A,TRUE,"general";"via2",#N/A,TRUE,"general";"via3",#N/A,TRUE,"general"}</definedName>
    <definedName name="mmmmmmg" localSheetId="15" hidden="1">{"via1",#N/A,TRUE,"general";"via2",#N/A,TRUE,"general";"via3",#N/A,TRUE,"general"}</definedName>
    <definedName name="mmmmmmg" hidden="1">{"via1",#N/A,TRUE,"general";"via2",#N/A,TRUE,"general";"via3",#N/A,TRUE,"general"}</definedName>
    <definedName name="MN" localSheetId="14"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3" hidden="1">{"via1",#N/A,TRUE,"general";"via2",#N/A,TRUE,"general";"via3",#N/A,TRUE,"general"}</definedName>
    <definedName name="MN" localSheetId="15" hidden="1">{"via1",#N/A,TRUE,"general";"via2",#N/A,TRUE,"general";"via3",#N/A,TRUE,"general"}</definedName>
    <definedName name="MN" hidden="1">{"via1",#N/A,TRUE,"general";"via2",#N/A,TRUE,"general";"via3",#N/A,TRUE,"general"}</definedName>
    <definedName name="mo">[91]otros!$A$21:$A$74</definedName>
    <definedName name="MO120K">#REF!</definedName>
    <definedName name="MO240K">#REF!</definedName>
    <definedName name="MO280K">#REF!</definedName>
    <definedName name="MOA" hidden="1">{#N/A,#N/A,FALSE,"Hoja1";#N/A,#N/A,FALSE,"Hoja2"}</definedName>
    <definedName name="mobra">'[48]precios-básicos2002'!$C$131:$E$140</definedName>
    <definedName name="MOCARG" localSheetId="3">#REF!</definedName>
    <definedName name="MOCARG" localSheetId="30">#REF!</definedName>
    <definedName name="MOCARG" localSheetId="31">#REF!</definedName>
    <definedName name="MOCARG" localSheetId="29">#REF!</definedName>
    <definedName name="MOCARG">#REF!</definedName>
    <definedName name="MODIF1" localSheetId="3">#REF!</definedName>
    <definedName name="MODIF1" localSheetId="30">#REF!</definedName>
    <definedName name="MODIF1" localSheetId="31">#REF!</definedName>
    <definedName name="MODIF1" localSheetId="29">#REF!</definedName>
    <definedName name="MODIF1">#REF!</definedName>
    <definedName name="MODIF1_2" localSheetId="3">#REF!</definedName>
    <definedName name="MODIF1_2" localSheetId="30">#REF!</definedName>
    <definedName name="MODIF1_2" localSheetId="31">#REF!</definedName>
    <definedName name="MODIF1_2" localSheetId="29">#REF!</definedName>
    <definedName name="MODIF1_2">#REF!</definedName>
    <definedName name="MODIF1_7" localSheetId="3">#REF!</definedName>
    <definedName name="MODIF1_7" localSheetId="30">#REF!</definedName>
    <definedName name="MODIF1_7" localSheetId="31">#REF!</definedName>
    <definedName name="MODIF1_7" localSheetId="29">#REF!</definedName>
    <definedName name="MODIF1_7">#REF!</definedName>
    <definedName name="MOdificad" localSheetId="14" hidden="1">#REF!</definedName>
    <definedName name="MOdificad" localSheetId="13" hidden="1">#REF!</definedName>
    <definedName name="MOdificad" localSheetId="15" hidden="1">#REF!</definedName>
    <definedName name="MOdificad" hidden="1">#REF!</definedName>
    <definedName name="MODIVejec" hidden="1">{#N/A,#N/A,FALSE,"Hoja1";#N/A,#N/A,FALSE,"Hoja2"}</definedName>
    <definedName name="MOE" hidden="1">{#N/A,#N/A,FALSE,"Hoja1";#N/A,#N/A,FALSE,"Hoja2"}</definedName>
    <definedName name="MOENC">#REF!</definedName>
    <definedName name="MOGRA" localSheetId="3">#REF!</definedName>
    <definedName name="MOGRA" localSheetId="30">#REF!</definedName>
    <definedName name="MOGRA" localSheetId="31">#REF!</definedName>
    <definedName name="MOGRA" localSheetId="29">#REF!</definedName>
    <definedName name="MOGRA">#REF!</definedName>
    <definedName name="MOIHF">#REF!</definedName>
    <definedName name="MOPRE">#REF!</definedName>
    <definedName name="MOTO" localSheetId="3">#REF!</definedName>
    <definedName name="MOTO" localSheetId="30">#REF!</definedName>
    <definedName name="MOTO" localSheetId="31">#REF!</definedName>
    <definedName name="MOTO" localSheetId="29">#REF!</definedName>
    <definedName name="MOTO">#REF!</definedName>
    <definedName name="MOTOB2">#REF!</definedName>
    <definedName name="MOTOBOMBA" localSheetId="3">#REF!</definedName>
    <definedName name="MOTOBOMBA" localSheetId="30">#REF!</definedName>
    <definedName name="MOTOBOMBA" localSheetId="31">#REF!</definedName>
    <definedName name="MOTOBOMBA" localSheetId="29">#REF!</definedName>
    <definedName name="MOTOBOMBA">#REF!</definedName>
    <definedName name="MOTON">#REF!</definedName>
    <definedName name="Motoniveladora_120_HP.">'[24]Equipo y transporte'!$D$10</definedName>
    <definedName name="MOTOP" localSheetId="3">#REF!</definedName>
    <definedName name="MOTOP" localSheetId="30">#REF!</definedName>
    <definedName name="MOTOP" localSheetId="31">#REF!</definedName>
    <definedName name="MOTOP" localSheetId="29">#REF!</definedName>
    <definedName name="MOTOP">#REF!</definedName>
    <definedName name="MOTOSIE" localSheetId="3">#REF!</definedName>
    <definedName name="MOTOSIE" localSheetId="30">#REF!</definedName>
    <definedName name="MOTOSIE" localSheetId="31">#REF!</definedName>
    <definedName name="MOTOSIE" localSheetId="29">#REF!</definedName>
    <definedName name="MOTOSIE">#REF!</definedName>
    <definedName name="MOVOL">#REF!</definedName>
    <definedName name="mr">#REF!</definedName>
    <definedName name="MUEST">'[92]Mezclas asfálticas'!$G$6</definedName>
    <definedName name="MuestNo">[93]DATOS!$AI$3:$AI$1127</definedName>
    <definedName name="muestra">[7]Proc0009m!$G$6</definedName>
    <definedName name="MuestraNo">[7]DATOS!$A$3:$A$1398</definedName>
    <definedName name="muni1">[24]Hoja1!$B$3</definedName>
    <definedName name="muni2">[24]Hoja1!$B$4</definedName>
    <definedName name="muni3">[24]Hoja1!$B$5</definedName>
    <definedName name="muni4">[24]Hoja1!$B$6</definedName>
    <definedName name="muni5">[24]Hoja1!$B$7</definedName>
    <definedName name="muni6">[24]Hoja1!$B$8</definedName>
    <definedName name="muni7">[24]Hoja1!$B$9</definedName>
    <definedName name="municipio">#REF!</definedName>
    <definedName name="municipios">#REF!</definedName>
    <definedName name="n" localSheetId="14"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3" hidden="1">{"via1",#N/A,TRUE,"general";"via2",#N/A,TRUE,"general";"via3",#N/A,TRUE,"general"}</definedName>
    <definedName name="n" localSheetId="15" hidden="1">{"via1",#N/A,TRUE,"general";"via2",#N/A,TRUE,"general";"via3",#N/A,TRUE,"general"}</definedName>
    <definedName name="n" hidden="1">{"via1",#N/A,TRUE,"general";"via2",#N/A,TRUE,"general";"via3",#N/A,TRUE,"general"}</definedName>
    <definedName name="NB">#REF!</definedName>
    <definedName name="nbv">#REF!</definedName>
    <definedName name="nbvnv" localSheetId="14"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3" hidden="1">{"via1",#N/A,TRUE,"general";"via2",#N/A,TRUE,"general";"via3",#N/A,TRUE,"general"}</definedName>
    <definedName name="nbvnv" localSheetId="15" hidden="1">{"via1",#N/A,TRUE,"general";"via2",#N/A,TRUE,"general";"via3",#N/A,TRUE,"general"}</definedName>
    <definedName name="nbvnv" hidden="1">{"via1",#N/A,TRUE,"general";"via2",#N/A,TRUE,"general";"via3",#N/A,TRUE,"general"}</definedName>
    <definedName name="NDHS" localSheetId="14"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3" hidden="1">{"TAB1",#N/A,TRUE,"GENERAL";"TAB2",#N/A,TRUE,"GENERAL";"TAB3",#N/A,TRUE,"GENERAL";"TAB4",#N/A,TRUE,"GENERAL";"TAB5",#N/A,TRUE,"GENERAL"}</definedName>
    <definedName name="NDHS" localSheetId="15"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ES">#REF!</definedName>
    <definedName name="nf" localSheetId="14"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3" hidden="1">{"TAB1",#N/A,TRUE,"GENERAL";"TAB2",#N/A,TRUE,"GENERAL";"TAB3",#N/A,TRUE,"GENERAL";"TAB4",#N/A,TRUE,"GENERAL";"TAB5",#N/A,TRUE,"GENERAL"}</definedName>
    <definedName name="nf" localSheetId="15" hidden="1">{"TAB1",#N/A,TRUE,"GENERAL";"TAB2",#N/A,TRUE,"GENERAL";"TAB3",#N/A,TRUE,"GENERAL";"TAB4",#N/A,TRUE,"GENERAL";"TAB5",#N/A,TRUE,"GENERAL"}</definedName>
    <definedName name="nf" hidden="1">{"TAB1",#N/A,TRUE,"GENERAL";"TAB2",#N/A,TRUE,"GENERAL";"TAB3",#N/A,TRUE,"GENERAL";"TAB4",#N/A,TRUE,"GENERAL";"TAB5",#N/A,TRUE,"GENERAL"}</definedName>
    <definedName name="nfg" localSheetId="14"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3" hidden="1">{"via1",#N/A,TRUE,"general";"via2",#N/A,TRUE,"general";"via3",#N/A,TRUE,"general"}</definedName>
    <definedName name="nfg" localSheetId="15" hidden="1">{"via1",#N/A,TRUE,"general";"via2",#N/A,TRUE,"general";"via3",#N/A,TRUE,"general"}</definedName>
    <definedName name="nfg" hidden="1">{"via1",#N/A,TRUE,"general";"via2",#N/A,TRUE,"general";"via3",#N/A,TRUE,"general"}</definedName>
    <definedName name="nfgn" localSheetId="14"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3" hidden="1">{"via1",#N/A,TRUE,"general";"via2",#N/A,TRUE,"general";"via3",#N/A,TRUE,"general"}</definedName>
    <definedName name="nfgn" localSheetId="15" hidden="1">{"via1",#N/A,TRUE,"general";"via2",#N/A,TRUE,"general";"via3",#N/A,TRUE,"general"}</definedName>
    <definedName name="nfgn" hidden="1">{"via1",#N/A,TRUE,"general";"via2",#N/A,TRUE,"general";"via3",#N/A,TRUE,"general"}</definedName>
    <definedName name="ngdn" localSheetId="14"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3" hidden="1">{"TAB1",#N/A,TRUE,"GENERAL";"TAB2",#N/A,TRUE,"GENERAL";"TAB3",#N/A,TRUE,"GENERAL";"TAB4",#N/A,TRUE,"GENERAL";"TAB5",#N/A,TRUE,"GENERAL"}</definedName>
    <definedName name="ngdn" localSheetId="15" hidden="1">{"TAB1",#N/A,TRUE,"GENERAL";"TAB2",#N/A,TRUE,"GENERAL";"TAB3",#N/A,TRUE,"GENERAL";"TAB4",#N/A,TRUE,"GENERAL";"TAB5",#N/A,TRUE,"GENERAL"}</definedName>
    <definedName name="ngdn" hidden="1">{"TAB1",#N/A,TRUE,"GENERAL";"TAB2",#N/A,TRUE,"GENERAL";"TAB3",#N/A,TRUE,"GENERAL";"TAB4",#N/A,TRUE,"GENERAL";"TAB5",#N/A,TRUE,"GENERAL"}</definedName>
    <definedName name="ngfh" localSheetId="14"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3" hidden="1">{"via1",#N/A,TRUE,"general";"via2",#N/A,TRUE,"general";"via3",#N/A,TRUE,"general"}</definedName>
    <definedName name="ngfh" localSheetId="15" hidden="1">{"via1",#N/A,TRUE,"general";"via2",#N/A,TRUE,"general";"via3",#N/A,TRUE,"general"}</definedName>
    <definedName name="ngfh" hidden="1">{"via1",#N/A,TRUE,"general";"via2",#N/A,TRUE,"general";"via3",#N/A,TRUE,"general"}</definedName>
    <definedName name="NHG">#REF!</definedName>
    <definedName name="nhn" localSheetId="14"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3" hidden="1">{"via1",#N/A,TRUE,"general";"via2",#N/A,TRUE,"general";"via3",#N/A,TRUE,"general"}</definedName>
    <definedName name="nhn" localSheetId="15" hidden="1">{"via1",#N/A,TRUE,"general";"via2",#N/A,TRUE,"general";"via3",#N/A,TRUE,"general"}</definedName>
    <definedName name="nhn" hidden="1">{"via1",#N/A,TRUE,"general";"via2",#N/A,TRUE,"general";"via3",#N/A,TRUE,"general"}</definedName>
    <definedName name="nhncfgn" localSheetId="14"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5" hidden="1">{"TAB1",#N/A,TRUE,"GENERAL";"TAB2",#N/A,TRUE,"GENERAL";"TAB3",#N/A,TRUE,"GENERAL";"TAB4",#N/A,TRUE,"GENERAL";"TAB5",#N/A,TRUE,"GENERAL"}</definedName>
    <definedName name="nhncfgn" hidden="1">{"TAB1",#N/A,TRUE,"GENERAL";"TAB2",#N/A,TRUE,"GENERAL";"TAB3",#N/A,TRUE,"GENERAL";"TAB4",#N/A,TRUE,"GENERAL";"TAB5",#N/A,TRUE,"GENERAL"}</definedName>
    <definedName name="nhndr" localSheetId="14"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3" hidden="1">{"via1",#N/A,TRUE,"general";"via2",#N/A,TRUE,"general";"via3",#N/A,TRUE,"general"}</definedName>
    <definedName name="nhndr" localSheetId="15" hidden="1">{"via1",#N/A,TRUE,"general";"via2",#N/A,TRUE,"general";"via3",#N/A,TRUE,"general"}</definedName>
    <definedName name="nhndr" hidden="1">{"via1",#N/A,TRUE,"general";"via2",#N/A,TRUE,"general";"via3",#N/A,TRUE,"general"}</definedName>
    <definedName name="Niqui" localSheetId="3">#REF!</definedName>
    <definedName name="Niqui" localSheetId="30">#REF!</definedName>
    <definedName name="Niqui" localSheetId="31">#REF!</definedName>
    <definedName name="Niqui" localSheetId="29">#REF!</definedName>
    <definedName name="Niqui">#REF!</definedName>
    <definedName name="NIVPRE" localSheetId="3">#REF!</definedName>
    <definedName name="NIVPRE" localSheetId="30">#REF!</definedName>
    <definedName name="NIVPRE" localSheetId="31">#REF!</definedName>
    <definedName name="NIVPRE" localSheetId="29">#REF!</definedName>
    <definedName name="NIVPRE">#REF!</definedName>
    <definedName name="NJH">#REF!</definedName>
    <definedName name="nm">#REF!</definedName>
    <definedName name="nmmmm" localSheetId="14"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3" hidden="1">{"via1",#N/A,TRUE,"general";"via2",#N/A,TRUE,"general";"via3",#N/A,TRUE,"general"}</definedName>
    <definedName name="nmmmm" localSheetId="15" hidden="1">{"via1",#N/A,TRUE,"general";"via2",#N/A,TRUE,"general";"via3",#N/A,TRUE,"general"}</definedName>
    <definedName name="nmmmm" hidden="1">{"via1",#N/A,TRUE,"general";"via2",#N/A,TRUE,"general";"via3",#N/A,TRUE,"general"}</definedName>
    <definedName name="NN" localSheetId="3">#REF!</definedName>
    <definedName name="NN" localSheetId="14" hidden="1">{"TAB1",#N/A,TRUE,"GENERAL";"TAB2",#N/A,TRUE,"GENERAL";"TAB3",#N/A,TRUE,"GENERAL";"TAB4",#N/A,TRUE,"GENERAL";"TAB5",#N/A,TRUE,"GENERAL"}</definedName>
    <definedName name="NN" localSheetId="30">#REF!</definedName>
    <definedName name="NN" localSheetId="31">#REF!</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3" hidden="1">{"TAB1",#N/A,TRUE,"GENERAL";"TAB2",#N/A,TRUE,"GENERAL";"TAB3",#N/A,TRUE,"GENERAL";"TAB4",#N/A,TRUE,"GENERAL";"TAB5",#N/A,TRUE,"GENERAL"}</definedName>
    <definedName name="NN" localSheetId="15" hidden="1">{"TAB1",#N/A,TRUE,"GENERAL";"TAB2",#N/A,TRUE,"GENERAL";"TAB3",#N/A,TRUE,"GENERAL";"TAB4",#N/A,TRUE,"GENERAL";"TAB5",#N/A,TRUE,"GENERAL"}</definedName>
    <definedName name="NN" localSheetId="29">#REF!</definedName>
    <definedName name="NN">#REF!</definedName>
    <definedName name="nndng" localSheetId="14"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5" hidden="1">{"TAB1",#N/A,TRUE,"GENERAL";"TAB2",#N/A,TRUE,"GENERAL";"TAB3",#N/A,TRUE,"GENERAL";"TAB4",#N/A,TRUE,"GENERAL";"TAB5",#N/A,TRUE,"GENERAL"}</definedName>
    <definedName name="nndng" hidden="1">{"TAB1",#N/A,TRUE,"GENERAL";"TAB2",#N/A,TRUE,"GENERAL";"TAB3",#N/A,TRUE,"GENERAL";"TAB4",#N/A,TRUE,"GENERAL";"TAB5",#N/A,TRUE,"GENERAL"}</definedName>
    <definedName name="nnn" localSheetId="14"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3" hidden="1">{"TAB1",#N/A,TRUE,"GENERAL";"TAB2",#N/A,TRUE,"GENERAL";"TAB3",#N/A,TRUE,"GENERAL";"TAB4",#N/A,TRUE,"GENERAL";"TAB5",#N/A,TRUE,"GENERAL"}</definedName>
    <definedName name="nnn" localSheetId="15" hidden="1">{"TAB1",#N/A,TRUE,"GENERAL";"TAB2",#N/A,TRUE,"GENERAL";"TAB3",#N/A,TRUE,"GENERAL";"TAB4",#N/A,TRUE,"GENERAL";"TAB5",#N/A,TRUE,"GENERAL"}</definedName>
    <definedName name="nnn" hidden="1">{"TAB1",#N/A,TRUE,"GENERAL";"TAB2",#N/A,TRUE,"GENERAL";"TAB3",#N/A,TRUE,"GENERAL";"TAB4",#N/A,TRUE,"GENERAL";"TAB5",#N/A,TRUE,"GENERAL"}</definedName>
    <definedName name="nnnhd" localSheetId="14"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3" hidden="1">{"via1",#N/A,TRUE,"general";"via2",#N/A,TRUE,"general";"via3",#N/A,TRUE,"general"}</definedName>
    <definedName name="nnnhd" localSheetId="15" hidden="1">{"via1",#N/A,TRUE,"general";"via2",#N/A,TRUE,"general";"via3",#N/A,TRUE,"general"}</definedName>
    <definedName name="nnnhd" hidden="1">{"via1",#N/A,TRUE,"general";"via2",#N/A,TRUE,"general";"via3",#N/A,TRUE,"general"}</definedName>
    <definedName name="nnnnn" localSheetId="14"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3" hidden="1">{"via1",#N/A,TRUE,"general";"via2",#N/A,TRUE,"general";"via3",#N/A,TRUE,"general"}</definedName>
    <definedName name="nnnnn" localSheetId="15" hidden="1">{"via1",#N/A,TRUE,"general";"via2",#N/A,TRUE,"general";"via3",#N/A,TRUE,"general"}</definedName>
    <definedName name="nnnnn" hidden="1">{"via1",#N/A,TRUE,"general";"via2",#N/A,TRUE,"general";"via3",#N/A,TRUE,"general"}</definedName>
    <definedName name="nnnnnd" localSheetId="14"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5" hidden="1">{"TAB1",#N/A,TRUE,"GENERAL";"TAB2",#N/A,TRUE,"GENERAL";"TAB3",#N/A,TRUE,"GENERAL";"TAB4",#N/A,TRUE,"GENERAL";"TAB5",#N/A,TRUE,"GENERAL"}</definedName>
    <definedName name="nnnnnd"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5" hidden="1">{"TAB1",#N/A,TRUE,"GENERAL";"TAB2",#N/A,TRUE,"GENERAL";"TAB3",#N/A,TRUE,"GENERAL";"TAB4",#N/A,TRUE,"GENERAL";"TAB5",#N/A,TRUE,"GENERAL"}</definedName>
    <definedName name="nnnnnf" hidden="1">{"TAB1",#N/A,TRUE,"GENERAL";"TAB2",#N/A,TRUE,"GENERAL";"TAB3",#N/A,TRUE,"GENERAL";"TAB4",#N/A,TRUE,"GENERAL";"TAB5",#N/A,TRUE,"GENERAL"}</definedName>
    <definedName name="nnnnnh" localSheetId="14"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3" hidden="1">{"via1",#N/A,TRUE,"general";"via2",#N/A,TRUE,"general";"via3",#N/A,TRUE,"general"}</definedName>
    <definedName name="nnnnnh" localSheetId="15" hidden="1">{"via1",#N/A,TRUE,"general";"via2",#N/A,TRUE,"general";"via3",#N/A,TRUE,"general"}</definedName>
    <definedName name="nnnnnh" hidden="1">{"via1",#N/A,TRUE,"general";"via2",#N/A,TRUE,"general";"via3",#N/A,TRUE,"general"}</definedName>
    <definedName name="NO">#N/A</definedName>
    <definedName name="No._tanques">[17]Dimensiones!$D$36</definedName>
    <definedName name="nombre" localSheetId="3">#REF!</definedName>
    <definedName name="nombre" localSheetId="30">#REF!</definedName>
    <definedName name="nombre" localSheetId="31">#REF!</definedName>
    <definedName name="nombre" localSheetId="29">#REF!</definedName>
    <definedName name="nombre">#REF!</definedName>
    <definedName name="NoMuestra">'[23]Proc 0009h'!$G$4</definedName>
    <definedName name="Norte" localSheetId="3">#REF!</definedName>
    <definedName name="Norte" localSheetId="30">#REF!</definedName>
    <definedName name="Norte" localSheetId="31">#REF!</definedName>
    <definedName name="Norte" localSheetId="29">#REF!</definedName>
    <definedName name="Norte">#REF!</definedName>
    <definedName name="NovDic">#REF!</definedName>
    <definedName name="nr">#REF!</definedName>
    <definedName name="nt">#REF!</definedName>
    <definedName name="NUCLEO">'[7]DAT NUC'!$A$2:$A$830</definedName>
    <definedName name="NUCNUM">[7]Nucleos!$I$5</definedName>
    <definedName name="NUEVO">[94]ACARREO!$A$3:$C$24</definedName>
    <definedName name="NÚM">'[7]Proc 0009h'!$G$4</definedName>
    <definedName name="Num_Pmt_Per_Year">#REF!</definedName>
    <definedName name="Number_of_Payments">MATCH(0.01,End_Bal,-1)+1</definedName>
    <definedName name="NÚMERO">[7]DATBAND!$A$3:$A$422</definedName>
    <definedName name="nxn" localSheetId="14"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3" hidden="1">{"via1",#N/A,TRUE,"general";"via2",#N/A,TRUE,"general";"via3",#N/A,TRUE,"general"}</definedName>
    <definedName name="nxn" localSheetId="15" hidden="1">{"via1",#N/A,TRUE,"general";"via2",#N/A,TRUE,"general";"via3",#N/A,TRUE,"general"}</definedName>
    <definedName name="nxn" hidden="1">{"via1",#N/A,TRUE,"general";"via2",#N/A,TRUE,"general";"via3",#N/A,TRUE,"general"}</definedName>
    <definedName name="ñ" localSheetId="3">#REF!</definedName>
    <definedName name="ñ" localSheetId="30">#REF!</definedName>
    <definedName name="ñ" localSheetId="31">#REF!</definedName>
    <definedName name="ñ" localSheetId="29">#REF!</definedName>
    <definedName name="ñ">#REF!</definedName>
    <definedName name="ñl">#REF!</definedName>
    <definedName name="ññ">#REF!</definedName>
    <definedName name="ÑÑÑ">#REF!</definedName>
    <definedName name="ñok">#REF!</definedName>
    <definedName name="ñp">#REF!</definedName>
    <definedName name="ñpñpñ" localSheetId="14"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3" hidden="1">{"via1",#N/A,TRUE,"general";"via2",#N/A,TRUE,"general";"via3",#N/A,TRUE,"general"}</definedName>
    <definedName name="ñpñpñ" localSheetId="15" hidden="1">{"via1",#N/A,TRUE,"general";"via2",#N/A,TRUE,"general";"via3",#N/A,TRUE,"general"}</definedName>
    <definedName name="ñpñpñ" hidden="1">{"via1",#N/A,TRUE,"general";"via2",#N/A,TRUE,"general";"via3",#N/A,TRUE,"general"}</definedName>
    <definedName name="ñpo">#REF!</definedName>
    <definedName name="O" localSheetId="3">#REF!</definedName>
    <definedName name="O" localSheetId="30">#REF!</definedName>
    <definedName name="O" localSheetId="31">#REF!</definedName>
    <definedName name="O" localSheetId="35">#REF!</definedName>
    <definedName name="O" localSheetId="29">#REF!</definedName>
    <definedName name="O">#REF!</definedName>
    <definedName name="º1">#REF!</definedName>
    <definedName name="o9o9" localSheetId="14"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3" hidden="1">{"via1",#N/A,TRUE,"general";"via2",#N/A,TRUE,"general";"via3",#N/A,TRUE,"general"}</definedName>
    <definedName name="o9o9" localSheetId="15" hidden="1">{"via1",#N/A,TRUE,"general";"via2",#N/A,TRUE,"general";"via3",#N/A,TRUE,"general"}</definedName>
    <definedName name="o9o9" hidden="1">{"via1",#N/A,TRUE,"general";"via2",#N/A,TRUE,"general";"via3",#N/A,TRUE,"general"}</definedName>
    <definedName name="OBJ">[22]PRESUPUESTO!$C$10</definedName>
    <definedName name="OBJETO" localSheetId="3">#REF!</definedName>
    <definedName name="OBJETO" localSheetId="30">#REF!</definedName>
    <definedName name="OBJETO" localSheetId="31">#REF!</definedName>
    <definedName name="OBJETO" localSheetId="29">#REF!</definedName>
    <definedName name="OBJETO">#REF!</definedName>
    <definedName name="obra">#REF!</definedName>
    <definedName name="obras" hidden="1">#REF!</definedName>
    <definedName name="obras11" hidden="1">#REF!</definedName>
    <definedName name="obre">#REF!</definedName>
    <definedName name="OBSERVACION">[23]Datos!$C$3:$C$235</definedName>
    <definedName name="Observaciones" localSheetId="3">#REF!</definedName>
    <definedName name="Observaciones" localSheetId="30">#REF!</definedName>
    <definedName name="Observaciones" localSheetId="31">#REF!</definedName>
    <definedName name="Observaciones" localSheetId="29">#REF!</definedName>
    <definedName name="Observaciones">#REF!</definedName>
    <definedName name="OCTUBRE" hidden="1">{#N/A,#N/A,FALSE,"orthoflow";#N/A,#N/A,FALSE,"Miscelaneos";#N/A,#N/A,FALSE,"Instrumentacio";#N/A,#N/A,FALSE,"Electrico";#N/A,#N/A,FALSE,"Valv. Seguridad"}</definedName>
    <definedName name="ofi">#REF!</definedName>
    <definedName name="OFICI" localSheetId="3">#REF!</definedName>
    <definedName name="OFICI" localSheetId="30">#REF!</definedName>
    <definedName name="OFICI" localSheetId="31">#REF!</definedName>
    <definedName name="OFICI" localSheetId="29">#REF!</definedName>
    <definedName name="OFICI">#REF!</definedName>
    <definedName name="OFICI_">#REF!</definedName>
    <definedName name="ofici1">#REF!</definedName>
    <definedName name="oficial">[24]CUADRILLAS!$G$9</definedName>
    <definedName name="Oficios_Varios">[24]CUADRILLAS!$B$25</definedName>
    <definedName name="oiret" localSheetId="14"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5" hidden="1">{"TAB1",#N/A,TRUE,"GENERAL";"TAB2",#N/A,TRUE,"GENERAL";"TAB3",#N/A,TRUE,"GENERAL";"TAB4",#N/A,TRUE,"GENERAL";"TAB5",#N/A,TRUE,"GENERAL"}</definedName>
    <definedName name="oiret"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5" hidden="1">{"TAB1",#N/A,TRUE,"GENERAL";"TAB2",#N/A,TRUE,"GENERAL";"TAB3",#N/A,TRUE,"GENERAL";"TAB4",#N/A,TRUE,"GENERAL";"TAB5",#N/A,TRUE,"GENERAL"}</definedName>
    <definedName name="oirgrth" hidden="1">{"TAB1",#N/A,TRUE,"GENERAL";"TAB2",#N/A,TRUE,"GENERAL";"TAB3",#N/A,TRUE,"GENERAL";"TAB4",#N/A,TRUE,"GENERAL";"TAB5",#N/A,TRUE,"GENERAL"}</definedName>
    <definedName name="OIUOIU" localSheetId="14"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3" hidden="1">{"via1",#N/A,TRUE,"general";"via2",#N/A,TRUE,"general";"via3",#N/A,TRUE,"general"}</definedName>
    <definedName name="OIUOIU" localSheetId="15" hidden="1">{"via1",#N/A,TRUE,"general";"via2",#N/A,TRUE,"general";"via3",#N/A,TRUE,"general"}</definedName>
    <definedName name="OIUOIU" hidden="1">{"via1",#N/A,TRUE,"general";"via2",#N/A,TRUE,"general";"via3",#N/A,TRUE,"general"}</definedName>
    <definedName name="Ojo" hidden="1">#N/A</definedName>
    <definedName name="oo">#REF!</definedName>
    <definedName name="ooo" localSheetId="14"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3" hidden="1">{"via1",#N/A,TRUE,"general";"via2",#N/A,TRUE,"general";"via3",#N/A,TRUE,"general"}</definedName>
    <definedName name="ooo" localSheetId="15" hidden="1">{"via1",#N/A,TRUE,"general";"via2",#N/A,TRUE,"general";"via3",#N/A,TRUE,"general"}</definedName>
    <definedName name="ooo" hidden="1">{"via1",#N/A,TRUE,"general";"via2",#N/A,TRUE,"general";"via3",#N/A,TRUE,"general"}</definedName>
    <definedName name="ooooiii" localSheetId="14"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5" hidden="1">{"TAB1",#N/A,TRUE,"GENERAL";"TAB2",#N/A,TRUE,"GENERAL";"TAB3",#N/A,TRUE,"GENERAL";"TAB4",#N/A,TRUE,"GENERAL";"TAB5",#N/A,TRUE,"GENERAL"}</definedName>
    <definedName name="ooooiii" hidden="1">{"TAB1",#N/A,TRUE,"GENERAL";"TAB2",#N/A,TRUE,"GENERAL";"TAB3",#N/A,TRUE,"GENERAL";"TAB4",#N/A,TRUE,"GENERAL";"TAB5",#N/A,TRUE,"GENERAL"}</definedName>
    <definedName name="oooos" localSheetId="14"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3" hidden="1">{"via1",#N/A,TRUE,"general";"via2",#N/A,TRUE,"general";"via3",#N/A,TRUE,"general"}</definedName>
    <definedName name="oooos" localSheetId="15" hidden="1">{"via1",#N/A,TRUE,"general";"via2",#N/A,TRUE,"general";"via3",#N/A,TRUE,"general"}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[3]INST!#REF!</definedName>
    <definedName name="os">#REF!</definedName>
    <definedName name="OSCAR" localSheetId="3">#REF!</definedName>
    <definedName name="OSCAR" localSheetId="30">#REF!</definedName>
    <definedName name="OSCAR" localSheetId="31">#REF!</definedName>
    <definedName name="OSCAR" localSheetId="29">#REF!</definedName>
    <definedName name="OSCAR">#REF!</definedName>
    <definedName name="otros">#N/A</definedName>
    <definedName name="P" localSheetId="3">#REF!</definedName>
    <definedName name="P" localSheetId="30">#REF!</definedName>
    <definedName name="P" localSheetId="31">#REF!</definedName>
    <definedName name="P" localSheetId="29">#REF!</definedName>
    <definedName name="P">#REF!</definedName>
    <definedName name="p0p0" localSheetId="14"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3" hidden="1">{"via1",#N/A,TRUE,"general";"via2",#N/A,TRUE,"general";"via3",#N/A,TRUE,"general"}</definedName>
    <definedName name="p0p0" localSheetId="15" hidden="1">{"via1",#N/A,TRUE,"general";"via2",#N/A,TRUE,"general";"via3",#N/A,TRUE,"general"}</definedName>
    <definedName name="p0p0" hidden="1">{"via1",#N/A,TRUE,"general";"via2",#N/A,TRUE,"general";"via3",#N/A,TRUE,"general"}</definedName>
    <definedName name="P150X240">#REF!</definedName>
    <definedName name="P80X200">#REF!</definedName>
    <definedName name="P90X200">#REF!</definedName>
    <definedName name="PA" hidden="1">#REF!</definedName>
    <definedName name="PA14X">#REF!</definedName>
    <definedName name="PAJARITA" localSheetId="3">#REF!</definedName>
    <definedName name="PAJARITA" localSheetId="30">#REF!</definedName>
    <definedName name="PAJARITA" localSheetId="31">#REF!</definedName>
    <definedName name="PAJARITA" localSheetId="29">#REF!</definedName>
    <definedName name="PAJARITA">#REF!</definedName>
    <definedName name="PAPA" localSheetId="3">#REF!</definedName>
    <definedName name="PAPA" localSheetId="30">#REF!</definedName>
    <definedName name="PAPA" localSheetId="31">#REF!</definedName>
    <definedName name="PAPA" localSheetId="29">#REF!</definedName>
    <definedName name="PAPA">#REF!</definedName>
    <definedName name="PAPSO_INTERVENTORÍA" localSheetId="14">#REF!</definedName>
    <definedName name="PAPSO_INTERVENTORÍA" localSheetId="13">#REF!</definedName>
    <definedName name="PAPSO_INTERVENTORÍA" localSheetId="15">#REF!</definedName>
    <definedName name="PAPSO_INTERVENTORÍA">#REF!</definedName>
    <definedName name="PAPSO_OBRA" localSheetId="14">#REF!</definedName>
    <definedName name="PAPSO_OBRA" localSheetId="13">#REF!</definedName>
    <definedName name="PAPSO_OBRA" localSheetId="15">#REF!</definedName>
    <definedName name="PAPSO_OBRA">#REF!</definedName>
    <definedName name="par">#REF!</definedName>
    <definedName name="PARAFINA">'[7]DAT NUC'!$Q$2:$Q$550</definedName>
    <definedName name="pasav">#REF!</definedName>
    <definedName name="pasavia" localSheetId="3">#REF!</definedName>
    <definedName name="pasavia" localSheetId="30">#REF!</definedName>
    <definedName name="pasavia" localSheetId="31">#REF!</definedName>
    <definedName name="pasavia" localSheetId="29">#REF!</definedName>
    <definedName name="pasavia">#REF!</definedName>
    <definedName name="PATIOS">[95]INDICE!$A$9:$G$290</definedName>
    <definedName name="pav">#REF!</definedName>
    <definedName name="Pay_Date">#REF!</definedName>
    <definedName name="Pay_Num">#REF!</definedName>
    <definedName name="Payment_Date" localSheetId="14">DATE(YEAR([45]!Loan_Start),MONTH([45]!Loan_Start)+Payment_Number,DAY([45]!Loan_Start))</definedName>
    <definedName name="Payment_Date" localSheetId="17">DATE(YEAR([45]!Loan_Start),MONTH([45]!Loan_Start)+Payment_Number,DAY([45]!Loan_Start))</definedName>
    <definedName name="Payment_Date" localSheetId="2">DATE(YEAR([45]!Loan_Start),MONTH([45]!Loan_Start)+Payment_Number,DAY([45]!Loan_Start))</definedName>
    <definedName name="Payment_Date" localSheetId="20">DATE(YEAR([45]!Loan_Start),MONTH([45]!Loan_Start)+Payment_Number,DAY([45]!Loan_Start))</definedName>
    <definedName name="Payment_Date" localSheetId="21">DATE(YEAR([45]!Loan_Start),MONTH([45]!Loan_Start)+Payment_Number,DAY([45]!Loan_Start))</definedName>
    <definedName name="Payment_Date" localSheetId="15">DATE(YEAR([45]!Loan_Start),MONTH([45]!Loan_Start)+Payment_Number,DAY([45]!Loan_Start))</definedName>
    <definedName name="Payment_Date">DATE(YEAR(Loan_Start),MONTH(Loan_Start)+Payment_Number,DAY(Loan_Start))</definedName>
    <definedName name="Payment_Needed">"Pago necesario"</definedName>
    <definedName name="PAZ">#N/A</definedName>
    <definedName name="PEGCO">#REF!</definedName>
    <definedName name="Peldaño" localSheetId="3">#REF!</definedName>
    <definedName name="Peldaño" localSheetId="30">#REF!</definedName>
    <definedName name="Peldaño" localSheetId="31">#REF!</definedName>
    <definedName name="Peldaño" localSheetId="29">#REF!</definedName>
    <definedName name="Peldaño">#REF!</definedName>
    <definedName name="pendiente" hidden="1">#N/A</definedName>
    <definedName name="PEPE">#N/A</definedName>
    <definedName name="periodo">#REF!</definedName>
    <definedName name="PERM" localSheetId="3">#REF!</definedName>
    <definedName name="PERM" localSheetId="30">#REF!</definedName>
    <definedName name="PERM" localSheetId="31">#REF!</definedName>
    <definedName name="PERM" localSheetId="29">#REF!</definedName>
    <definedName name="PERM">#REF!</definedName>
    <definedName name="permisos" localSheetId="3">#REF!</definedName>
    <definedName name="permisos">#REF!</definedName>
    <definedName name="PERNO">#REF!</definedName>
    <definedName name="peso">[96]acero!$O$13:$P$22</definedName>
    <definedName name="Peso1A">[7]DATOS!$J$3:$J$1398</definedName>
    <definedName name="Peso2A">[7]DATOS!$K$3:$K$1398</definedName>
    <definedName name="Pesoagua2">[7]DATOS!$AB$3:$AB$1399</definedName>
    <definedName name="Pesoagua3">[7]DATOS!$AE$3:$AE$1399</definedName>
    <definedName name="PesoAire">[7]DATOS!$W$3:$W$1438</definedName>
    <definedName name="PesoAire2">[7]DATOS!$Z$3:$Z$1399</definedName>
    <definedName name="Pesoaire3">[7]DATOS!$AC$3:$AC$1399</definedName>
    <definedName name="Pesoenagua">[7]DATOS!$Y$3:$Y$1398</definedName>
    <definedName name="Pesoparaf3">[7]DATOS!$AD$3:$AD$1399</definedName>
    <definedName name="Pesoparafinada">[7]DATOS!$X$3:$X$1398</definedName>
    <definedName name="PesoParf2">[7]DATOS!$AA$3:$AA$1399</definedName>
    <definedName name="pi">#REF!</definedName>
    <definedName name="PIE4A6">#REF!</definedName>
    <definedName name="PIECR">#REF!</definedName>
    <definedName name="pied">#REF!</definedName>
    <definedName name="PIEDR" localSheetId="3">#REF!</definedName>
    <definedName name="PIEDR" localSheetId="30">#REF!</definedName>
    <definedName name="PIEDR" localSheetId="31">#REF!</definedName>
    <definedName name="PIEDR" localSheetId="29">#REF!</definedName>
    <definedName name="PIEDR">#REF!</definedName>
    <definedName name="piedragav">#REF!</definedName>
    <definedName name="PILOTE">#REF!</definedName>
    <definedName name="Pin">#REF!</definedName>
    <definedName name="PINANT" localSheetId="3">#REF!</definedName>
    <definedName name="PINANT" localSheetId="30">#REF!</definedName>
    <definedName name="PINANT" localSheetId="31">#REF!</definedName>
    <definedName name="PINANT" localSheetId="29">#REF!</definedName>
    <definedName name="PINANT">#REF!</definedName>
    <definedName name="PINBAR">#REF!</definedName>
    <definedName name="PINBLA">#REF!</definedName>
    <definedName name="pint">#REF!</definedName>
    <definedName name="pk">#REF!</definedName>
    <definedName name="PKHK" localSheetId="14"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3" hidden="1">{"TAB1",#N/A,TRUE,"GENERAL";"TAB2",#N/A,TRUE,"GENERAL";"TAB3",#N/A,TRUE,"GENERAL";"TAB4",#N/A,TRUE,"GENERAL";"TAB5",#N/A,TRUE,"GENERAL"}</definedName>
    <definedName name="PKHK" localSheetId="15" hidden="1">{"TAB1",#N/A,TRUE,"GENERAL";"TAB2",#N/A,TRUE,"GENERAL";"TAB3",#N/A,TRUE,"GENERAL";"TAB4",#N/A,TRUE,"GENERAL";"TAB5",#N/A,TRUE,"GENERAL"}</definedName>
    <definedName name="PKHK" hidden="1">{"TAB1",#N/A,TRUE,"GENERAL";"TAB2",#N/A,TRUE,"GENERAL";"TAB3",#N/A,TRUE,"GENERAL";"TAB4",#N/A,TRUE,"GENERAL";"TAB5",#N/A,TRUE,"GENERAL"}</definedName>
    <definedName name="pkj" localSheetId="14"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3" hidden="1">{"TAB1",#N/A,TRUE,"GENERAL";"TAB2",#N/A,TRUE,"GENERAL";"TAB3",#N/A,TRUE,"GENERAL";"TAB4",#N/A,TRUE,"GENERAL";"TAB5",#N/A,TRUE,"GENERAL"}</definedName>
    <definedName name="pkj" localSheetId="15" hidden="1">{"TAB1",#N/A,TRUE,"GENERAL";"TAB2",#N/A,TRUE,"GENERAL";"TAB3",#N/A,TRUE,"GENERAL";"TAB4",#N/A,TRUE,"GENERAL";"TAB5",#N/A,TRUE,"GENERAL"}</definedName>
    <definedName name="pkj" hidden="1">{"TAB1",#N/A,TRUE,"GENERAL";"TAB2",#N/A,TRUE,"GENERAL";"TAB3",#N/A,TRUE,"GENERAL";"TAB4",#N/A,TRUE,"GENERAL";"TAB5",#N/A,TRUE,"GENERAL"}</definedName>
    <definedName name="PL" localSheetId="14" hidden="1">{"TAB1",#N/A,TRUE,"GENERAL";"TAB2",#N/A,TRUE,"GENERAL";"TAB3",#N/A,TRUE,"GENERAL";"TAB4",#N/A,TRUE,"GENERAL";"TAB5",#N/A,TRUE,"GENERAL"}</definedName>
    <definedName name="PL" localSheetId="13" hidden="1">{"TAB1",#N/A,TRUE,"GENERAL";"TAB2",#N/A,TRUE,"GENERAL";"TAB3",#N/A,TRUE,"GENERAL";"TAB4",#N/A,TRUE,"GENERAL";"TAB5",#N/A,TRUE,"GENERAL"}</definedName>
    <definedName name="PL" localSheetId="15" hidden="1">{"TAB1",#N/A,TRUE,"GENERAL";"TAB2",#N/A,TRUE,"GENERAL";"TAB3",#N/A,TRUE,"GENERAL";"TAB4",#N/A,TRUE,"GENERAL";"TAB5",#N/A,TRUE,"GENERAL"}</definedName>
    <definedName name="PL" hidden="1">{"TAB1",#N/A,TRUE,"GENERAL";"TAB2",#N/A,TRUE,"GENERAL";"TAB3",#N/A,TRUE,"GENERAL";"TAB4",#N/A,TRUE,"GENERAL";"TAB5",#N/A,TRUE,"GENERAL"}</definedName>
    <definedName name="PLAD" localSheetId="14"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3" hidden="1">{"TAB1",#N/A,TRUE,"GENERAL";"TAB2",#N/A,TRUE,"GENERAL";"TAB3",#N/A,TRUE,"GENERAL";"TAB4",#N/A,TRUE,"GENERAL";"TAB5",#N/A,TRUE,"GENERAL"}</definedName>
    <definedName name="PLAD" localSheetId="15" hidden="1">{"TAB1",#N/A,TRUE,"GENERAL";"TAB2",#N/A,TRUE,"GENERAL";"TAB3",#N/A,TRUE,"GENERAL";"TAB4",#N/A,TRUE,"GENERAL";"TAB5",#N/A,TRUE,"GENERAL"}</definedName>
    <definedName name="PLAD" hidden="1">{"TAB1",#N/A,TRUE,"GENERAL";"TAB2",#N/A,TRUE,"GENERAL";"TAB3",#N/A,TRUE,"GENERAL";"TAB4",#N/A,TRUE,"GENERAL";"TAB5",#N/A,TRUE,"GENERAL"}</definedName>
    <definedName name="PLAELE" localSheetId="3">#REF!</definedName>
    <definedName name="PLAELE" localSheetId="30">#REF!</definedName>
    <definedName name="PLAELE" localSheetId="31">#REF!</definedName>
    <definedName name="PLAELE" localSheetId="29">#REF!</definedName>
    <definedName name="PLAELE">#REF!</definedName>
    <definedName name="planta">[7]DATOS!$AN$3:$AN$2313</definedName>
    <definedName name="Planta_Electrica__Diesel_Gasolina">'[24]Equipo y transporte'!$D$29</definedName>
    <definedName name="PLAST">#REF!</definedName>
    <definedName name="PLATINA" localSheetId="3">#REF!</definedName>
    <definedName name="PLATINA" localSheetId="30">#REF!</definedName>
    <definedName name="PLATINA" localSheetId="31">#REF!</definedName>
    <definedName name="PLATINA" localSheetId="29">#REF!</definedName>
    <definedName name="PLATINA">#REF!</definedName>
    <definedName name="Plaz">[50]BASES!$E$27</definedName>
    <definedName name="Plazo" localSheetId="3">#REF!</definedName>
    <definedName name="Plazo" localSheetId="30">#REF!</definedName>
    <definedName name="Plazo" localSheetId="31">#REF!</definedName>
    <definedName name="Plazo" localSheetId="29">#REF!</definedName>
    <definedName name="Plazo">#REF!</definedName>
    <definedName name="PlazoAIU">#REF!</definedName>
    <definedName name="PLPLUNN" localSheetId="14"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5"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localSheetId="14"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3" hidden="1">{"via1",#N/A,TRUE,"general";"via2",#N/A,TRUE,"general";"via3",#N/A,TRUE,"general"}</definedName>
    <definedName name="POIUP" localSheetId="15" hidden="1">{"via1",#N/A,TRUE,"general";"via2",#N/A,TRUE,"general";"via3",#N/A,TRUE,"general"}</definedName>
    <definedName name="POIUP" hidden="1">{"via1",#N/A,TRUE,"general";"via2",#N/A,TRUE,"general";"via3",#N/A,TRUE,"general"}</definedName>
    <definedName name="POLINOMIAL1" localSheetId="3">#REF!</definedName>
    <definedName name="POLINOMIAL1">#REF!</definedName>
    <definedName name="Polynomial" localSheetId="3">#REF!</definedName>
    <definedName name="Polynomial" localSheetId="30">#REF!</definedName>
    <definedName name="Polynomial" localSheetId="31">#REF!</definedName>
    <definedName name="Polynomial" localSheetId="29">#REF!</definedName>
    <definedName name="Polynomial">#REF!</definedName>
    <definedName name="pomch">#REF!</definedName>
    <definedName name="PoMede" localSheetId="3">#REF!</definedName>
    <definedName name="PoMede" localSheetId="30">#REF!</definedName>
    <definedName name="PoMede" localSheetId="31">#REF!</definedName>
    <definedName name="PoMede" localSheetId="35">#REF!</definedName>
    <definedName name="PoMede" localSheetId="29">#REF!</definedName>
    <definedName name="PoMede">#REF!</definedName>
    <definedName name="POO">#REF!</definedName>
    <definedName name="popop" localSheetId="14"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3" hidden="1">{"via1",#N/A,TRUE,"general";"via2",#N/A,TRUE,"general";"via3",#N/A,TRUE,"general"}</definedName>
    <definedName name="popop" localSheetId="15" hidden="1">{"via1",#N/A,TRUE,"general";"via2",#N/A,TRUE,"general";"via3",#N/A,TRUE,"general"}</definedName>
    <definedName name="popop" hidden="1">{"via1",#N/A,TRUE,"general";"via2",#N/A,TRUE,"general";"via3",#N/A,TRUE,"general"}</definedName>
    <definedName name="popp" localSheetId="14"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3" hidden="1">{"via1",#N/A,TRUE,"general";"via2",#N/A,TRUE,"general";"via3",#N/A,TRUE,"general"}</definedName>
    <definedName name="popp" localSheetId="15" hidden="1">{"via1",#N/A,TRUE,"general";"via2",#N/A,TRUE,"general";"via3",#N/A,TRUE,"general"}</definedName>
    <definedName name="popp" hidden="1">{"via1",#N/A,TRUE,"general";"via2",#N/A,TRUE,"general";"via3",#N/A,TRUE,"general"}</definedName>
    <definedName name="popu">#REF!</definedName>
    <definedName name="popvds" localSheetId="14"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5"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[38]BASES!$E$26</definedName>
    <definedName name="pos">#REF!</definedName>
    <definedName name="post">#REF!</definedName>
    <definedName name="poste">#REF!</definedName>
    <definedName name="Poste_en_angulo_de_2_2_1_4_de_3_5m_para_señal">[24]Insumos!$D$38</definedName>
    <definedName name="pouig" localSheetId="14"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3" hidden="1">{"via1",#N/A,TRUE,"general";"via2",#N/A,TRUE,"general";"via3",#N/A,TRUE,"general"}</definedName>
    <definedName name="pouig" localSheetId="15" hidden="1">{"via1",#N/A,TRUE,"general";"via2",#N/A,TRUE,"general";"via3",#N/A,TRUE,"general"}</definedName>
    <definedName name="pouig" hidden="1">{"via1",#N/A,TRUE,"general";"via2",#N/A,TRUE,"general";"via3",#N/A,TRUE,"general"}</definedName>
    <definedName name="pp">#REF!</definedName>
    <definedName name="ppp">#REF!</definedName>
    <definedName name="PPPP" hidden="1">{#N/A,#N/A,FALSE,"orthoflow";#N/A,#N/A,FALSE,"Miscelaneos";#N/A,#N/A,FALSE,"Instrumentacio";#N/A,#N/A,FALSE,"Electrico";#N/A,#N/A,FALSE,"Valv. Seguridad"}</definedName>
    <definedName name="ppppp9" localSheetId="14"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3" hidden="1">{"via1",#N/A,TRUE,"general";"via2",#N/A,TRUE,"general";"via3",#N/A,TRUE,"general"}</definedName>
    <definedName name="ppppp9" localSheetId="15" hidden="1">{"via1",#N/A,TRUE,"general";"via2",#N/A,TRUE,"general";"via3",#N/A,TRUE,"general"}</definedName>
    <definedName name="ppppp9" hidden="1">{"via1",#N/A,TRUE,"general";"via2",#N/A,TRUE,"general";"via3",#N/A,TRUE,"general"}</definedName>
    <definedName name="pppppd" localSheetId="14"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5" hidden="1">{"TAB1",#N/A,TRUE,"GENERAL";"TAB2",#N/A,TRUE,"GENERAL";"TAB3",#N/A,TRUE,"GENERAL";"TAB4",#N/A,TRUE,"GENERAL";"TAB5",#N/A,TRUE,"GENERAL"}</definedName>
    <definedName name="pppppd" hidden="1">{"TAB1",#N/A,TRUE,"GENERAL";"TAB2",#N/A,TRUE,"GENERAL";"TAB3",#N/A,TRUE,"GENERAL";"TAB4",#N/A,TRUE,"GENERAL";"TAB5",#N/A,TRUE,"GENERAL"}</definedName>
    <definedName name="Ppto" localSheetId="3">#REF!</definedName>
    <definedName name="Ppto" localSheetId="30">#REF!</definedName>
    <definedName name="Ppto" localSheetId="31">#REF!</definedName>
    <definedName name="Ppto" localSheetId="29">#REF!</definedName>
    <definedName name="Ppto">#REF!</definedName>
    <definedName name="PPtoNorte" localSheetId="3">#REF!</definedName>
    <definedName name="PPtoNorte" localSheetId="30">#REF!</definedName>
    <definedName name="PPtoNorte" localSheetId="31">#REF!</definedName>
    <definedName name="PPtoNorte" localSheetId="29">#REF!</definedName>
    <definedName name="PPtoNorte">#REF!</definedName>
    <definedName name="pqroj" localSheetId="14"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3" hidden="1">{"via1",#N/A,TRUE,"general";"via2",#N/A,TRUE,"general";"via3",#N/A,TRUE,"general"}</definedName>
    <definedName name="pqroj" localSheetId="15" hidden="1">{"via1",#N/A,TRUE,"general";"via2",#N/A,TRUE,"general";"via3",#N/A,TRUE,"general"}</definedName>
    <definedName name="pqroj" hidden="1">{"via1",#N/A,TRUE,"general";"via2",#N/A,TRUE,"general";"via3",#N/A,TRUE,"general"}</definedName>
    <definedName name="pre">#REF!</definedName>
    <definedName name="Precio" localSheetId="3">#REF!</definedName>
    <definedName name="Precio" localSheetId="30">#REF!</definedName>
    <definedName name="Precio" localSheetId="31">#REF!</definedName>
    <definedName name="Precio" localSheetId="29">#REF!</definedName>
    <definedName name="Precio">#REF!</definedName>
    <definedName name="precio2" localSheetId="3">#REF!</definedName>
    <definedName name="precio2" localSheetId="30">#REF!</definedName>
    <definedName name="precio2" localSheetId="31">#REF!</definedName>
    <definedName name="precio2" localSheetId="29">#REF!</definedName>
    <definedName name="precio2">#REF!</definedName>
    <definedName name="PrecioS" localSheetId="3">#REF!</definedName>
    <definedName name="PrecioS" localSheetId="30">#REF!</definedName>
    <definedName name="PrecioS" localSheetId="31">#REF!</definedName>
    <definedName name="PrecioS" localSheetId="29">#REF!</definedName>
    <definedName name="PrecioS">#REF!</definedName>
    <definedName name="PRES.AGRI" localSheetId="3">#REF!</definedName>
    <definedName name="PRES.AGRI" localSheetId="30">#REF!</definedName>
    <definedName name="PRES.AGRI" localSheetId="31">#REF!</definedName>
    <definedName name="PRES.AGRI" localSheetId="29">#REF!</definedName>
    <definedName name="PRES.AGRI">#REF!</definedName>
    <definedName name="presicion">#REF!</definedName>
    <definedName name="PRESIPISTO" localSheetId="3">#REF!</definedName>
    <definedName name="PRESIPISTO" localSheetId="30">#REF!</definedName>
    <definedName name="PRESIPISTO" localSheetId="31">#REF!</definedName>
    <definedName name="PRESIPISTO" localSheetId="29">#REF!</definedName>
    <definedName name="PRESIPISTO">#REF!</definedName>
    <definedName name="PREST">#REF!</definedName>
    <definedName name="presta" localSheetId="3">#REF!</definedName>
    <definedName name="presta" localSheetId="30">#REF!</definedName>
    <definedName name="presta" localSheetId="31">#REF!</definedName>
    <definedName name="presta" localSheetId="29">#REF!</definedName>
    <definedName name="PRESTA">#REF!</definedName>
    <definedName name="prestaciones">[48]DATOS!$B$14</definedName>
    <definedName name="Prestaciones_1">'[24]F. P. AIU'!$C$73</definedName>
    <definedName name="Prestaciones_2">'[24]F. P. AIU'!$B$73</definedName>
    <definedName name="Prestaciones_sociales">#N/A</definedName>
    <definedName name="Presupuesto" localSheetId="14" hidden="1">[97]OCTUBRE!#REF!</definedName>
    <definedName name="Presupuesto" localSheetId="16" hidden="1">[98]OCTUBRE!#REF!</definedName>
    <definedName name="Presupuesto" localSheetId="17" hidden="1">[98]OCTUBRE!#REF!</definedName>
    <definedName name="Presupuesto" localSheetId="13" hidden="1">[97]OCTUBRE!#REF!</definedName>
    <definedName name="Presupuesto" localSheetId="15" hidden="1">[97]OCTUBRE!#REF!</definedName>
    <definedName name="PRESUPUESTO">#REF!</definedName>
    <definedName name="PRIMER" localSheetId="14"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3" hidden="1">{"via1",#N/A,TRUE,"general";"via2",#N/A,TRUE,"general";"via3",#N/A,TRUE,"general"}</definedName>
    <definedName name="PRIMER" localSheetId="15" hidden="1">{"via1",#N/A,TRUE,"general";"via2",#N/A,TRUE,"general";"via3",#N/A,TRUE,"general"}</definedName>
    <definedName name="PRIMER" hidden="1">{"via1",#N/A,TRUE,"general";"via2",#N/A,TRUE,"general";"via3",#N/A,TRUE,"general"}</definedName>
    <definedName name="PRIMET" localSheetId="14"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5"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 localSheetId="30">#REF!</definedName>
    <definedName name="PRINT_AREA_MI" localSheetId="31">#REF!</definedName>
    <definedName name="PRINT_AREA_MI" localSheetId="29">#REF!</definedName>
    <definedName name="PRINT_AREA_MI">#REF!</definedName>
    <definedName name="Print_Area_Reset">OFFSET(Full_Print,0,0,Last_Row)</definedName>
    <definedName name="PRINT_TITLES">#N/A</definedName>
    <definedName name="PRINT_TITLES_MI">#N/A</definedName>
    <definedName name="Print_Titles2">#N/A</definedName>
    <definedName name="PROCESO">#REF!</definedName>
    <definedName name="Producto">[23]Datos!$R$3:$R$160</definedName>
    <definedName name="PROF" localSheetId="3">#REF!</definedName>
    <definedName name="PROF" localSheetId="30">#REF!</definedName>
    <definedName name="PROF" localSheetId="31">#REF!</definedName>
    <definedName name="PROF" localSheetId="29">#REF!</definedName>
    <definedName name="PROF">#REF!</definedName>
    <definedName name="Profesional_SISO">[24]CUADRILLAS!$B$21</definedName>
    <definedName name="PrOfic">[50]BASES!$B$31</definedName>
    <definedName name="PROG" localSheetId="14" hidden="1">#REF!</definedName>
    <definedName name="PROG" localSheetId="16" hidden="1">#REF!</definedName>
    <definedName name="PROG" localSheetId="17" hidden="1">#REF!</definedName>
    <definedName name="PROG" localSheetId="13" hidden="1">#REF!</definedName>
    <definedName name="PROG" localSheetId="15" hidden="1">#REF!</definedName>
    <definedName name="PROG" hidden="1">#REF!</definedName>
    <definedName name="programa">#REF!</definedName>
    <definedName name="programainv">#N/A</definedName>
    <definedName name="programas">#REF!</definedName>
    <definedName name="Proponente">#REF!</definedName>
    <definedName name="Prov">#REF!</definedName>
    <definedName name="PROVISIONALES" localSheetId="14" hidden="1">#REF!</definedName>
    <definedName name="PROVISIONALES" localSheetId="13" hidden="1">#REF!</definedName>
    <definedName name="PROVISIONALES" localSheetId="15" hidden="1">#REF!</definedName>
    <definedName name="PROVISIONALES" hidden="1">#REF!</definedName>
    <definedName name="proyecto">[24]Pres!$D$22</definedName>
    <definedName name="proyectos">#REF!</definedName>
    <definedName name="PRUEBA">#N/A</definedName>
    <definedName name="prueba1" localSheetId="14">[99]!absc</definedName>
    <definedName name="prueba1" localSheetId="17">[99]!absc</definedName>
    <definedName name="prueba1" localSheetId="2">[99]!absc</definedName>
    <definedName name="prueba1" localSheetId="20">[99]!absc</definedName>
    <definedName name="prueba1" localSheetId="21">[99]!absc</definedName>
    <definedName name="prueba1" localSheetId="15">[99]!absc</definedName>
    <definedName name="prueba1">[99]!absc</definedName>
    <definedName name="PRUEBA2">#REF!</definedName>
    <definedName name="PTAR" hidden="1">{#N/A,#N/A,FALSE,"Estatico";#N/A,#N/A,FALSE,"Tuberia";#N/A,#N/A,FALSE,"Instrumentación";#N/A,#N/A,FALSE,"Mecanica";#N/A,#N/A,FALSE,"Electrico";#N/A,#N/A,FALSE,"Ofic.Civiles"}</definedName>
    <definedName name="ptope" localSheetId="14"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5" hidden="1">{"TAB1",#N/A,TRUE,"GENERAL";"TAB2",#N/A,TRUE,"GENERAL";"TAB3",#N/A,TRUE,"GENERAL";"TAB4",#N/A,TRUE,"GENERAL";"TAB5",#N/A,TRUE,"GENERAL"}</definedName>
    <definedName name="ptope" hidden="1">{"TAB1",#N/A,TRUE,"GENERAL";"TAB2",#N/A,TRUE,"GENERAL";"TAB3",#N/A,TRUE,"GENERAL";"TAB4",#N/A,TRUE,"GENERAL";"TAB5",#N/A,TRUE,"GENERAL"}</definedName>
    <definedName name="ptopes" localSheetId="14"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3" hidden="1">{"via1",#N/A,TRUE,"general";"via2",#N/A,TRUE,"general";"via3",#N/A,TRUE,"general"}</definedName>
    <definedName name="ptopes" localSheetId="15" hidden="1">{"via1",#N/A,TRUE,"general";"via2",#N/A,TRUE,"general";"via3",#N/A,TRUE,"general"}</definedName>
    <definedName name="ptopes" hidden="1">{"via1",#N/A,TRUE,"general";"via2",#N/A,TRUE,"general";"via3",#N/A,TRUE,"general"}</definedName>
    <definedName name="PUNAC" localSheetId="3">#REF!</definedName>
    <definedName name="PUNAC" localSheetId="30">#REF!</definedName>
    <definedName name="PUNAC" localSheetId="31">#REF!</definedName>
    <definedName name="PUNAC" localSheetId="29">#REF!</definedName>
    <definedName name="PUNAC">#REF!</definedName>
    <definedName name="PUNTI">#REF!</definedName>
    <definedName name="q" localSheetId="3" hidden="1">{"via1",#N/A,TRUE,"general";"via2",#N/A,TRUE,"general";"via3",#N/A,TRUE,"general"}</definedName>
    <definedName name="q" localSheetId="14" hidden="1">{"via1",#N/A,TRUE,"general";"via2",#N/A,TRUE,"general";"via3",#N/A,TRUE,"general"}</definedName>
    <definedName name="q" localSheetId="30" hidden="1">{"via1",#N/A,TRUE,"general";"via2",#N/A,TRUE,"general";"via3",#N/A,TRUE,"general"}</definedName>
    <definedName name="q" localSheetId="31" hidden="1">{"via1",#N/A,TRUE,"general";"via2",#N/A,TRUE,"general";"via3",#N/A,TRUE,"general"}</definedName>
    <definedName name="q" localSheetId="36" hidden="1">{"via1",#N/A,TRUE,"general";"via2",#N/A,TRUE,"general";"via3",#N/A,TRUE,"general"}</definedName>
    <definedName name="q" localSheetId="34" hidden="1">{"via1",#N/A,TRUE,"general";"via2",#N/A,TRUE,"general";"via3",#N/A,TRUE,"general"}</definedName>
    <definedName name="q" localSheetId="32" hidden="1">{"via1",#N/A,TRUE,"general";"via2",#N/A,TRUE,"general";"via3",#N/A,TRUE,"general"}</definedName>
    <definedName name="q" localSheetId="33" hidden="1">{"via1",#N/A,TRUE,"general";"via2",#N/A,TRUE,"general";"via3",#N/A,TRUE,"general"}</definedName>
    <definedName name="q" localSheetId="16" hidden="1">{"via1",#N/A,TRUE,"general";"via2",#N/A,TRUE,"general";"via3",#N/A,TRUE,"general"}</definedName>
    <definedName name="q" localSheetId="17" hidden="1">{"via1",#N/A,TRUE,"general";"via2",#N/A,TRUE,"general";"via3",#N/A,TRUE,"general"}</definedName>
    <definedName name="q" localSheetId="35" hidden="1">{"via1",#N/A,TRUE,"general";"via2",#N/A,TRUE,"general";"via3",#N/A,TRUE,"general"}</definedName>
    <definedName name="q" localSheetId="13" hidden="1">{"via1",#N/A,TRUE,"general";"via2",#N/A,TRUE,"general";"via3",#N/A,TRUE,"general"}</definedName>
    <definedName name="q" localSheetId="15" hidden="1">{"via1",#N/A,TRUE,"general";"via2",#N/A,TRUE,"general";"via3",#N/A,TRUE,"general"}</definedName>
    <definedName name="q" localSheetId="29" hidden="1">{"via1",#N/A,TRUE,"general";"via2",#N/A,TRUE,"general";"via3",#N/A,TRUE,"general"}</definedName>
    <definedName name="Q">#REF!</definedName>
    <definedName name="q1q1q" localSheetId="14"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3" hidden="1">{"via1",#N/A,TRUE,"general";"via2",#N/A,TRUE,"general";"via3",#N/A,TRUE,"general"}</definedName>
    <definedName name="q1q1q" localSheetId="15" hidden="1">{"via1",#N/A,TRUE,"general";"via2",#N/A,TRUE,"general";"via3",#N/A,TRUE,"general"}</definedName>
    <definedName name="q1q1q" hidden="1">{"via1",#N/A,TRUE,"general";"via2",#N/A,TRUE,"general";"via3",#N/A,TRUE,"general"}</definedName>
    <definedName name="qaedtguj" localSheetId="14"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3" hidden="1">{"via1",#N/A,TRUE,"general";"via2",#N/A,TRUE,"general";"via3",#N/A,TRUE,"general"}</definedName>
    <definedName name="qaedtguj" localSheetId="15" hidden="1">{"via1",#N/A,TRUE,"general";"via2",#N/A,TRUE,"general";"via3",#N/A,TRUE,"general"}</definedName>
    <definedName name="qaedtguj" hidden="1">{"via1",#N/A,TRUE,"general";"via2",#N/A,TRUE,"general";"via3",#N/A,TRUE,"general"}</definedName>
    <definedName name="QAQSWS" localSheetId="14"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3" hidden="1">{"via1",#N/A,TRUE,"general";"via2",#N/A,TRUE,"general";"via3",#N/A,TRUE,"general"}</definedName>
    <definedName name="QAQSWS" localSheetId="15" hidden="1">{"via1",#N/A,TRUE,"general";"via2",#N/A,TRUE,"general";"via3",#N/A,TRUE,"general"}</definedName>
    <definedName name="QAQSWS" hidden="1">{"via1",#N/A,TRUE,"general";"via2",#N/A,TRUE,"general";"via3",#N/A,TRUE,"general"}</definedName>
    <definedName name="qaqwwxcr" localSheetId="14"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3" hidden="1">{"via1",#N/A,TRUE,"general";"via2",#N/A,TRUE,"general";"via3",#N/A,TRUE,"general"}</definedName>
    <definedName name="qaqwwxcr" localSheetId="15" hidden="1">{"via1",#N/A,TRUE,"general";"via2",#N/A,TRUE,"general";"via3",#N/A,TRUE,"general"}</definedName>
    <definedName name="qaqwwxcr" hidden="1">{"via1",#N/A,TRUE,"general";"via2",#N/A,TRUE,"general";"via3",#N/A,TRUE,"general"}</definedName>
    <definedName name="qaz">#REF!</definedName>
    <definedName name="qedcd" localSheetId="14"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3" hidden="1">{"via1",#N/A,TRUE,"general";"via2",#N/A,TRUE,"general";"via3",#N/A,TRUE,"general"}</definedName>
    <definedName name="qedcd" localSheetId="15" hidden="1">{"via1",#N/A,TRUE,"general";"via2",#N/A,TRUE,"general";"via3",#N/A,TRUE,"general"}</definedName>
    <definedName name="qedcd" hidden="1">{"via1",#N/A,TRUE,"general";"via2",#N/A,TRUE,"general";"via3",#N/A,TRUE,"general"}</definedName>
    <definedName name="qeqewe" localSheetId="14"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5" hidden="1">{"TAB1",#N/A,TRUE,"GENERAL";"TAB2",#N/A,TRUE,"GENERAL";"TAB3",#N/A,TRUE,"GENERAL";"TAB4",#N/A,TRUE,"GENERAL";"TAB5",#N/A,TRUE,"GENERAL"}</definedName>
    <definedName name="qeqewe" hidden="1">{"TAB1",#N/A,TRUE,"GENERAL";"TAB2",#N/A,TRUE,"GENERAL";"TAB3",#N/A,TRUE,"GENERAL";"TAB4",#N/A,TRUE,"GENERAL";"TAB5",#N/A,TRUE,"GENERAL"}</definedName>
    <definedName name="qewj" localSheetId="14"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3" hidden="1">{"via1",#N/A,TRUE,"general";"via2",#N/A,TRUE,"general";"via3",#N/A,TRUE,"general"}</definedName>
    <definedName name="qewj" localSheetId="15" hidden="1">{"via1",#N/A,TRUE,"general";"via2",#N/A,TRUE,"general";"via3",#N/A,TRUE,"general"}</definedName>
    <definedName name="qewj" hidden="1">{"via1",#N/A,TRUE,"general";"via2",#N/A,TRUE,"general";"via3",#N/A,TRUE,"general"}</definedName>
    <definedName name="qq" hidden="1">{"TAB1",#N/A,TRUE,"GENERAL";"TAB2",#N/A,TRUE,"GENERAL";"TAB3",#N/A,TRUE,"GENERAL";"TAB4",#N/A,TRUE,"GENERAL";"TAB5",#N/A,TRUE,"GENERAL"}</definedName>
    <definedName name="qqqqqw" localSheetId="14"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3" hidden="1">{"via1",#N/A,TRUE,"general";"via2",#N/A,TRUE,"general";"via3",#N/A,TRUE,"general"}</definedName>
    <definedName name="qqqqqw" localSheetId="15" hidden="1">{"via1",#N/A,TRUE,"general";"via2",#N/A,TRUE,"general";"via3",#N/A,TRUE,"general"}</definedName>
    <definedName name="qqqqqw" hidden="1">{"via1",#N/A,TRUE,"general";"via2",#N/A,TRUE,"general";"via3",#N/A,TRUE,"general"}</definedName>
    <definedName name="qw" localSheetId="14"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3" hidden="1">{"via1",#N/A,TRUE,"general";"via2",#N/A,TRUE,"general";"via3",#N/A,TRUE,"general"}</definedName>
    <definedName name="qw" localSheetId="15" hidden="1">{"via1",#N/A,TRUE,"general";"via2",#N/A,TRUE,"general";"via3",#N/A,TRUE,"general"}</definedName>
    <definedName name="qw" hidden="1">{"via1",#N/A,TRUE,"general";"via2",#N/A,TRUE,"general";"via3",#N/A,TRUE,"general"}</definedName>
    <definedName name="qwdas2" localSheetId="14"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3" hidden="1">{"via1",#N/A,TRUE,"general";"via2",#N/A,TRUE,"general";"via3",#N/A,TRUE,"general"}</definedName>
    <definedName name="qwdas2" localSheetId="15" hidden="1">{"via1",#N/A,TRUE,"general";"via2",#N/A,TRUE,"general";"via3",#N/A,TRUE,"general"}</definedName>
    <definedName name="qwdas2" hidden="1">{"via1",#N/A,TRUE,"general";"via2",#N/A,TRUE,"general";"via3",#N/A,TRUE,"general"}</definedName>
    <definedName name="qweqe" localSheetId="14"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5" hidden="1">{"TAB1",#N/A,TRUE,"GENERAL";"TAB2",#N/A,TRUE,"GENERAL";"TAB3",#N/A,TRUE,"GENERAL";"TAB4",#N/A,TRUE,"GENERAL";"TAB5",#N/A,TRUE,"GENERAL"}</definedName>
    <definedName name="qweqe" hidden="1">{"TAB1",#N/A,TRUE,"GENERAL";"TAB2",#N/A,TRUE,"GENERAL";"TAB3",#N/A,TRUE,"GENERAL";"TAB4",#N/A,TRUE,"GENERAL";"TAB5",#N/A,TRUE,"GENERAL"}</definedName>
    <definedName name="QWERTY">#N/A</definedName>
    <definedName name="qwewertet" hidden="1">{#N/A,#N/A,TRUE,"1842CWN0"}</definedName>
    <definedName name="qwqwqwj" localSheetId="14"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5" hidden="1">{"TAB1",#N/A,TRUE,"GENERAL";"TAB2",#N/A,TRUE,"GENERAL";"TAB3",#N/A,TRUE,"GENERAL";"TAB4",#N/A,TRUE,"GENERAL";"TAB5",#N/A,TRUE,"GENERAL"}</definedName>
    <definedName name="qwqwqwj" hidden="1">{"TAB1",#N/A,TRUE,"GENERAL";"TAB2",#N/A,TRUE,"GENERAL";"TAB3",#N/A,TRUE,"GENERAL";"TAB4",#N/A,TRUE,"GENERAL";"TAB5",#N/A,TRUE,"GENERAL"}</definedName>
    <definedName name="Rajón_de_piedra_del_municipio">[24]Insumos!$D$29</definedName>
    <definedName name="rangofin">#REF!,#REF!</definedName>
    <definedName name="Rasante" localSheetId="3">#REF!</definedName>
    <definedName name="Rasante" localSheetId="30">#REF!</definedName>
    <definedName name="Rasante" localSheetId="31">#REF!</definedName>
    <definedName name="Rasante" localSheetId="29">#REF!</definedName>
    <definedName name="Rasante">#REF!</definedName>
    <definedName name="RASF">#REF!</definedName>
    <definedName name="rds">#REF!</definedName>
    <definedName name="RE1610JH">#REF!</definedName>
    <definedName name="RE1614EB">#REF!</definedName>
    <definedName name="RE4NTA">[100]EQUIPOS!$D$8</definedName>
    <definedName name="RE64JH">#REF!</definedName>
    <definedName name="RECURSOS">#REF!</definedName>
    <definedName name="Red" localSheetId="3">#REF!</definedName>
    <definedName name="Red" localSheetId="30">#REF!</definedName>
    <definedName name="Red" localSheetId="31">#REF!</definedName>
    <definedName name="Red" localSheetId="29">#REF!</definedName>
    <definedName name="Red">#REF!</definedName>
    <definedName name="REG">'[85]Estado Resumen'!XFC1&gt;2.5</definedName>
    <definedName name="rege" localSheetId="14"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3" hidden="1">{"TAB1",#N/A,TRUE,"GENERAL";"TAB2",#N/A,TRUE,"GENERAL";"TAB3",#N/A,TRUE,"GENERAL";"TAB4",#N/A,TRUE,"GENERAL";"TAB5",#N/A,TRUE,"GENERAL"}</definedName>
    <definedName name="rege" localSheetId="15" hidden="1">{"TAB1",#N/A,TRUE,"GENERAL";"TAB2",#N/A,TRUE,"GENERAL";"TAB3",#N/A,TRUE,"GENERAL";"TAB4",#N/A,TRUE,"GENERAL";"TAB5",#N/A,TRUE,"GENERAL"}</definedName>
    <definedName name="rege" hidden="1">{"TAB1",#N/A,TRUE,"GENERAL";"TAB2",#N/A,TRUE,"GENERAL";"TAB3",#N/A,TRUE,"GENERAL";"TAB4",#N/A,TRUE,"GENERAL";"TAB5",#N/A,TRUE,"GENERAL"}</definedName>
    <definedName name="regional">[44]CARRETERAS!$A$2</definedName>
    <definedName name="REGIS" localSheetId="3">#REF!</definedName>
    <definedName name="REGIS" localSheetId="30">#REF!</definedName>
    <definedName name="REGIS" localSheetId="31">#REF!</definedName>
    <definedName name="REGIS" localSheetId="29">#REF!</definedName>
    <definedName name="REGIS">#REF!</definedName>
    <definedName name="REGIST">#REF!</definedName>
    <definedName name="regresd" localSheetId="14"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5" hidden="1">{"TAB1",#N/A,TRUE,"GENERAL";"TAB2",#N/A,TRUE,"GENERAL";"TAB3",#N/A,TRUE,"GENERAL";"TAB4",#N/A,TRUE,"GENERAL";"TAB5",#N/A,TRUE,"GENERAL"}</definedName>
    <definedName name="regresd"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5" hidden="1">{"TAB1",#N/A,TRUE,"GENERAL";"TAB2",#N/A,TRUE,"GENERAL";"TAB3",#N/A,TRUE,"GENERAL";"TAB4",#N/A,TRUE,"GENERAL";"TAB5",#N/A,TRUE,"GENERAL"}</definedName>
    <definedName name="regthio" hidden="1">{"TAB1",#N/A,TRUE,"GENERAL";"TAB2",#N/A,TRUE,"GENERAL";"TAB3",#N/A,TRUE,"GENERAL";"TAB4",#N/A,TRUE,"GENERAL";"TAB5",#N/A,TRUE,"GENERAL"}</definedName>
    <definedName name="REGULAR">'[86]ESTADO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#N/A</definedName>
    <definedName name="Reimbursement">"Reembolso"</definedName>
    <definedName name="reinicio">#N/A</definedName>
    <definedName name="REJHE" localSheetId="14"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3" hidden="1">{"via1",#N/A,TRUE,"general";"via2",#N/A,TRUE,"general";"via3",#N/A,TRUE,"general"}</definedName>
    <definedName name="REJHE" localSheetId="15" hidden="1">{"via1",#N/A,TRUE,"general";"via2",#N/A,TRUE,"general";"via3",#N/A,TRUE,"general"}</definedName>
    <definedName name="REJHE" hidden="1">{"via1",#N/A,TRUE,"general";"via2",#N/A,TRUE,"general";"via3",#N/A,TRUE,"general"}</definedName>
    <definedName name="REJILLA">#REF!</definedName>
    <definedName name="REJSUM" localSheetId="3">#REF!</definedName>
    <definedName name="REJSUM" localSheetId="30">#REF!</definedName>
    <definedName name="REJSUM" localSheetId="31">#REF!</definedName>
    <definedName name="REJSUM" localSheetId="29">#REF!</definedName>
    <definedName name="REJSUM">#REF!</definedName>
    <definedName name="RELACUION">#REF!</definedName>
    <definedName name="rell">#REF!</definedName>
    <definedName name="RELLG">#REF!</definedName>
    <definedName name="rer" localSheetId="14"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3" hidden="1">{"via1",#N/A,TRUE,"general";"via2",#N/A,TRUE,"general";"via3",#N/A,TRUE,"general"}</definedName>
    <definedName name="rer" localSheetId="15" hidden="1">{"via1",#N/A,TRUE,"general";"via2",#N/A,TRUE,"general";"via3",#N/A,TRUE,"general"}</definedName>
    <definedName name="rer" hidden="1">{"via1",#N/A,TRUE,"general";"via2",#N/A,TRUE,"general";"via3",#N/A,TRUE,"general"}</definedName>
    <definedName name="rererw" localSheetId="14"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5" hidden="1">{"TAB1",#N/A,TRUE,"GENERAL";"TAB2",#N/A,TRUE,"GENERAL";"TAB3",#N/A,TRUE,"GENERAL";"TAB4",#N/A,TRUE,"GENERAL";"TAB5",#N/A,TRUE,"GENERAL"}</definedName>
    <definedName name="rererw" hidden="1">{"TAB1",#N/A,TRUE,"GENERAL";"TAB2",#N/A,TRUE,"GENERAL";"TAB3",#N/A,TRUE,"GENERAL";"TAB4",#N/A,TRUE,"GENERAL";"TAB5",#N/A,TRUE,"GENERAL"}</definedName>
    <definedName name="rerg" localSheetId="14"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3" hidden="1">{"TAB1",#N/A,TRUE,"GENERAL";"TAB2",#N/A,TRUE,"GENERAL";"TAB3",#N/A,TRUE,"GENERAL";"TAB4",#N/A,TRUE,"GENERAL";"TAB5",#N/A,TRUE,"GENERAL"}</definedName>
    <definedName name="rerg" localSheetId="15" hidden="1">{"TAB1",#N/A,TRUE,"GENERAL";"TAB2",#N/A,TRUE,"GENERAL";"TAB3",#N/A,TRUE,"GENERAL";"TAB4",#N/A,TRUE,"GENERAL";"TAB5",#N/A,TRUE,"GENERAL"}</definedName>
    <definedName name="rerg"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5" hidden="1">{"TAB1",#N/A,TRUE,"GENERAL";"TAB2",#N/A,TRUE,"GENERAL";"TAB3",#N/A,TRUE,"GENERAL";"TAB4",#N/A,TRUE,"GENERAL";"TAB5",#N/A,TRUE,"GENERAL"}</definedName>
    <definedName name="rerrrrw" hidden="1">{"TAB1",#N/A,TRUE,"GENERAL";"TAB2",#N/A,TRUE,"GENERAL";"TAB3",#N/A,TRUE,"GENERAL";"TAB4",#N/A,TRUE,"GENERAL";"TAB5",#N/A,TRUE,"GENERAL"}</definedName>
    <definedName name="residente">'[44]GENERALIDADES '!$E$9</definedName>
    <definedName name="Residente_de_obra">[24]CUADRILLAS!$B$14</definedName>
    <definedName name="RESU" localSheetId="3">#REF!</definedName>
    <definedName name="RESU" localSheetId="30">#REF!</definedName>
    <definedName name="RESU" localSheetId="31">#REF!</definedName>
    <definedName name="RESU" localSheetId="29">#REF!</definedName>
    <definedName name="RESU">#REF!</definedName>
    <definedName name="RESUM">'[77]1'!#REF!</definedName>
    <definedName name="resum2">'[101]PU (2)'!#REF!</definedName>
    <definedName name="resumen" localSheetId="3">#REF!</definedName>
    <definedName name="resumen" localSheetId="30">#REF!</definedName>
    <definedName name="resumen" localSheetId="31">#REF!</definedName>
    <definedName name="resumen" localSheetId="29">#REF!</definedName>
    <definedName name="resumen">#REF!</definedName>
    <definedName name="Retenc">[50]BASES!$E$31</definedName>
    <definedName name="Retenido1">[23]Datos!$I$3:$I$16384</definedName>
    <definedName name="Retenido10">[23]Datos!$M$3:$M$16384</definedName>
    <definedName name="Retenido100">[7]DATOS!$S$3:$S$1398</definedName>
    <definedName name="Retenido112">[23]Datos!$H$3:$H$16384</definedName>
    <definedName name="RETENIDO2">[23]Datos!$G$3:$G$363</definedName>
    <definedName name="Retenido200">[7]DATOS!$T$3:$T$1398</definedName>
    <definedName name="Retenido30">[7]DATOS!$Q$3:$Q$1398</definedName>
    <definedName name="Retenido34">[7]DATOS!$M$3:$M$1400</definedName>
    <definedName name="Retenido38">[7]DATOS!$N$3:$N$1398</definedName>
    <definedName name="Retenido4">[7]DATOS!$O$3:$O$1398</definedName>
    <definedName name="Retenido40">[23]Datos!$N$3:$N$16384</definedName>
    <definedName name="Retenido50">[7]DATOS!$R$3:$R$1398</definedName>
    <definedName name="Retenido8">[7]DATOS!$P$3:$P$1398</definedName>
    <definedName name="RETRO" localSheetId="3">#REF!</definedName>
    <definedName name="RETRO" localSheetId="30">#REF!</definedName>
    <definedName name="RETRO" localSheetId="31">#REF!</definedName>
    <definedName name="RETRO" localSheetId="29">#REF!</definedName>
    <definedName name="RETRO">#REF!</definedName>
    <definedName name="Retroexcavadora_de_llantas">'[24]Equipo y transporte'!$D$20</definedName>
    <definedName name="RETTRE" localSheetId="14"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3" hidden="1">{"via1",#N/A,TRUE,"general";"via2",#N/A,TRUE,"general";"via3",#N/A,TRUE,"general"}</definedName>
    <definedName name="RETTRE" localSheetId="15" hidden="1">{"via1",#N/A,TRUE,"general";"via2",#N/A,TRUE,"general";"via3",#N/A,TRUE,"general"}</definedName>
    <definedName name="RETTRE" hidden="1">{"via1",#N/A,TRUE,"general";"via2",#N/A,TRUE,"general";"via3",#N/A,TRUE,"general"}</definedName>
    <definedName name="rety" localSheetId="14"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3" hidden="1">{"TAB1",#N/A,TRUE,"GENERAL";"TAB2",#N/A,TRUE,"GENERAL";"TAB3",#N/A,TRUE,"GENERAL";"TAB4",#N/A,TRUE,"GENERAL";"TAB5",#N/A,TRUE,"GENERAL"}</definedName>
    <definedName name="rety" localSheetId="15" hidden="1">{"TAB1",#N/A,TRUE,"GENERAL";"TAB2",#N/A,TRUE,"GENERAL";"TAB3",#N/A,TRUE,"GENERAL";"TAB4",#N/A,TRUE,"GENERAL";"TAB5",#N/A,TRUE,"GENERAL"}</definedName>
    <definedName name="rety" hidden="1">{"TAB1",#N/A,TRUE,"GENERAL";"TAB2",#N/A,TRUE,"GENERAL";"TAB3",#N/A,TRUE,"GENERAL";"TAB4",#N/A,TRUE,"GENERAL";"TAB5",#N/A,TRUE,"GENERAL"}</definedName>
    <definedName name="rewfreg" localSheetId="14"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3" hidden="1">{"via1",#N/A,TRUE,"general";"via2",#N/A,TRUE,"general";"via3",#N/A,TRUE,"general"}</definedName>
    <definedName name="rewfreg" localSheetId="15" hidden="1">{"via1",#N/A,TRUE,"general";"via2",#N/A,TRUE,"general";"via3",#N/A,TRUE,"general"}</definedName>
    <definedName name="rewfreg" hidden="1">{"via1",#N/A,TRUE,"general";"via2",#N/A,TRUE,"general";"via3",#N/A,TRUE,"general"}</definedName>
    <definedName name="rewr" localSheetId="14"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3" hidden="1">{"via1",#N/A,TRUE,"general";"via2",#N/A,TRUE,"general";"via3",#N/A,TRUE,"general"}</definedName>
    <definedName name="rewr" localSheetId="15" hidden="1">{"via1",#N/A,TRUE,"general";"via2",#N/A,TRUE,"general";"via3",#N/A,TRUE,"general"}</definedName>
    <definedName name="rewr" hidden="1">{"via1",#N/A,TRUE,"general";"via2",#N/A,TRUE,"general";"via3",#N/A,TRUE,"general"}</definedName>
    <definedName name="REWWER" localSheetId="14"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5" hidden="1">{"TAB1",#N/A,TRUE,"GENERAL";"TAB2",#N/A,TRUE,"GENERAL";"TAB3",#N/A,TRUE,"GENERAL";"TAB4",#N/A,TRUE,"GENERAL";"TAB5",#N/A,TRUE,"GENERAL"}</definedName>
    <definedName name="REWWER" hidden="1">{"TAB1",#N/A,TRUE,"GENERAL";"TAB2",#N/A,TRUE,"GENERAL";"TAB3",#N/A,TRUE,"GENERAL";"TAB4",#N/A,TRUE,"GENERAL";"TAB5",#N/A,TRUE,"GENERAL"}</definedName>
    <definedName name="REY" localSheetId="3">#REF!</definedName>
    <definedName name="REY" localSheetId="35">#REF!</definedName>
    <definedName name="REY">#REF!</definedName>
    <definedName name="reyepoi" localSheetId="14"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5" hidden="1">{"TAB1",#N/A,TRUE,"GENERAL";"TAB2",#N/A,TRUE,"GENERAL";"TAB3",#N/A,TRUE,"GENERAL";"TAB4",#N/A,TRUE,"GENERAL";"TAB5",#N/A,TRUE,"GENERAL"}</definedName>
    <definedName name="reyepoi" hidden="1">{"TAB1",#N/A,TRUE,"GENERAL";"TAB2",#N/A,TRUE,"GENERAL";"TAB3",#N/A,TRUE,"GENERAL";"TAB4",#N/A,TRUE,"GENERAL";"TAB5",#N/A,TRUE,"GENERAL"}</definedName>
    <definedName name="reyety" localSheetId="14"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3" hidden="1">{"via1",#N/A,TRUE,"general";"via2",#N/A,TRUE,"general";"via3",#N/A,TRUE,"general"}</definedName>
    <definedName name="reyety" localSheetId="15" hidden="1">{"via1",#N/A,TRUE,"general";"via2",#N/A,TRUE,"general";"via3",#N/A,TRUE,"general"}</definedName>
    <definedName name="reyety" hidden="1">{"via1",#N/A,TRUE,"general";"via2",#N/A,TRUE,"general";"via3",#N/A,TRUE,"general"}</definedName>
    <definedName name="reyty" localSheetId="14"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3" hidden="1">{"via1",#N/A,TRUE,"general";"via2",#N/A,TRUE,"general";"via3",#N/A,TRUE,"general"}</definedName>
    <definedName name="reyty" localSheetId="15" hidden="1">{"via1",#N/A,TRUE,"general";"via2",#N/A,TRUE,"general";"via3",#N/A,TRUE,"general"}</definedName>
    <definedName name="reyty" hidden="1">{"via1",#N/A,TRUE,"general";"via2",#N/A,TRUE,"general";"via3",#N/A,TRUE,"general"}</definedName>
    <definedName name="reyyt" localSheetId="14"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3" hidden="1">{"via1",#N/A,TRUE,"general";"via2",#N/A,TRUE,"general";"via3",#N/A,TRUE,"general"}</definedName>
    <definedName name="reyyt" localSheetId="15" hidden="1">{"via1",#N/A,TRUE,"general";"via2",#N/A,TRUE,"general";"via3",#N/A,TRUE,"general"}</definedName>
    <definedName name="reyyt" hidden="1">{"via1",#N/A,TRUE,"general";"via2",#N/A,TRUE,"general";"via3",#N/A,TRUE,"general"}</definedName>
    <definedName name="rfhnhjyu" localSheetId="14"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5" hidden="1">{"TAB1",#N/A,TRUE,"GENERAL";"TAB2",#N/A,TRUE,"GENERAL";"TAB3",#N/A,TRUE,"GENERAL";"TAB4",#N/A,TRUE,"GENERAL";"TAB5",#N/A,TRUE,"GENERAL"}</definedName>
    <definedName name="rfhnhjyu" hidden="1">{"TAB1",#N/A,TRUE,"GENERAL";"TAB2",#N/A,TRUE,"GENERAL";"TAB3",#N/A,TRUE,"GENERAL";"TAB4",#N/A,TRUE,"GENERAL";"TAB5",#N/A,TRUE,"GENERAL"}</definedName>
    <definedName name="rfrf" localSheetId="14"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3" hidden="1">{"via1",#N/A,TRUE,"general";"via2",#N/A,TRUE,"general";"via3",#N/A,TRUE,"general"}</definedName>
    <definedName name="rfrf" localSheetId="15" hidden="1">{"via1",#N/A,TRUE,"general";"via2",#N/A,TRUE,"general";"via3",#N/A,TRUE,"general"}</definedName>
    <definedName name="rfrf" hidden="1">{"via1",#N/A,TRUE,"general";"via2",#N/A,TRUE,"general";"via3",#N/A,TRUE,"general"}</definedName>
    <definedName name="rge" localSheetId="14"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3" hidden="1">{"via1",#N/A,TRUE,"general";"via2",#N/A,TRUE,"general";"via3",#N/A,TRUE,"general"}</definedName>
    <definedName name="rge" localSheetId="15" hidden="1">{"via1",#N/A,TRUE,"general";"via2",#N/A,TRUE,"general";"via3",#N/A,TRUE,"general"}</definedName>
    <definedName name="rge" hidden="1">{"via1",#N/A,TRUE,"general";"via2",#N/A,TRUE,"general";"via3",#N/A,TRUE,"general"}</definedName>
    <definedName name="rgegg" localSheetId="14"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3" hidden="1">{"via1",#N/A,TRUE,"general";"via2",#N/A,TRUE,"general";"via3",#N/A,TRUE,"general"}</definedName>
    <definedName name="rgegg" localSheetId="15" hidden="1">{"via1",#N/A,TRUE,"general";"via2",#N/A,TRUE,"general";"via3",#N/A,TRUE,"general"}</definedName>
    <definedName name="rgegg" hidden="1">{"via1",#N/A,TRUE,"general";"via2",#N/A,TRUE,"general";"via3",#N/A,TRUE,"general"}</definedName>
    <definedName name="rhh" localSheetId="14"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3" hidden="1">{"TAB1",#N/A,TRUE,"GENERAL";"TAB2",#N/A,TRUE,"GENERAL";"TAB3",#N/A,TRUE,"GENERAL";"TAB4",#N/A,TRUE,"GENERAL";"TAB5",#N/A,TRUE,"GENERAL"}</definedName>
    <definedName name="rhh" localSheetId="15" hidden="1">{"TAB1",#N/A,TRUE,"GENERAL";"TAB2",#N/A,TRUE,"GENERAL";"TAB3",#N/A,TRUE,"GENERAL";"TAB4",#N/A,TRUE,"GENERAL";"TAB5",#N/A,TRUE,"GENERAL"}</definedName>
    <definedName name="rhh"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5" hidden="1">{"TAB1",#N/A,TRUE,"GENERAL";"TAB2",#N/A,TRUE,"GENERAL";"TAB3",#N/A,TRUE,"GENERAL";"TAB4",#N/A,TRUE,"GENERAL";"TAB5",#N/A,TRUE,"GENERAL"}</definedName>
    <definedName name="rhrtd"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5" hidden="1">{"TAB1",#N/A,TRUE,"GENERAL";"TAB2",#N/A,TRUE,"GENERAL";"TAB3",#N/A,TRUE,"GENERAL";"TAB4",#N/A,TRUE,"GENERAL";"TAB5",#N/A,TRUE,"GENERAL"}</definedName>
    <definedName name="rhtry" hidden="1">{"TAB1",#N/A,TRUE,"GENERAL";"TAB2",#N/A,TRUE,"GENERAL";"TAB3",#N/A,TRUE,"GENERAL";"TAB4",#N/A,TRUE,"GENERAL";"TAB5",#N/A,TRUE,"GENERAL"}</definedName>
    <definedName name="RICO">IF(Loan_Amount*Interest_Rate*Loan_Years*Loan_Start&gt;0,1,0)</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4"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3" hidden="1">{"TAB1",#N/A,TRUE,"GENERAL";"TAB2",#N/A,TRUE,"GENERAL";"TAB3",#N/A,TRUE,"GENERAL";"TAB4",#N/A,TRUE,"GENERAL";"TAB5",#N/A,TRUE,"GENERAL"}</definedName>
    <definedName name="rj" localSheetId="15" hidden="1">{"TAB1",#N/A,TRUE,"GENERAL";"TAB2",#N/A,TRUE,"GENERAL";"TAB3",#N/A,TRUE,"GENERAL";"TAB4",#N/A,TRUE,"GENERAL";"TAB5",#N/A,TRUE,"GENERAL"}</definedName>
    <definedName name="rj"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5" hidden="1">{"TAB1",#N/A,TRUE,"GENERAL";"TAB2",#N/A,TRUE,"GENERAL";"TAB3",#N/A,TRUE,"GENERAL";"TAB4",#N/A,TRUE,"GENERAL";"TAB5",#N/A,TRUE,"GENERAL"}</definedName>
    <definedName name="rjjth" hidden="1">{"TAB1",#N/A,TRUE,"GENERAL";"TAB2",#N/A,TRUE,"GENERAL";"TAB3",#N/A,TRUE,"GENERAL";"TAB4",#N/A,TRUE,"GENERAL";"TAB5",#N/A,TRUE,"GENERAL"}</definedName>
    <definedName name="rjy" localSheetId="14"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3" hidden="1">{"via1",#N/A,TRUE,"general";"via2",#N/A,TRUE,"general";"via3",#N/A,TRUE,"general"}</definedName>
    <definedName name="rjy" localSheetId="15" hidden="1">{"via1",#N/A,TRUE,"general";"via2",#N/A,TRUE,"general";"via3",#N/A,TRUE,"general"}</definedName>
    <definedName name="rjy" hidden="1">{"via1",#N/A,TRUE,"general";"via2",#N/A,TRUE,"general";"via3",#N/A,TRUE,"general"}</definedName>
    <definedName name="rkjyk" localSheetId="14"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5" hidden="1">{"TAB1",#N/A,TRUE,"GENERAL";"TAB2",#N/A,TRUE,"GENERAL";"TAB3",#N/A,TRUE,"GENERAL";"TAB4",#N/A,TRUE,"GENERAL";"TAB5",#N/A,TRUE,"GENERAL"}</definedName>
    <definedName name="rkjyk" hidden="1">{"TAB1",#N/A,TRUE,"GENERAL";"TAB2",#N/A,TRUE,"GENERAL";"TAB3",#N/A,TRUE,"GENERAL";"TAB4",#N/A,TRUE,"GENERAL";"TAB5",#N/A,TRUE,"GENERAL"}</definedName>
    <definedName name="rkru" localSheetId="14"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3" hidden="1">{"via1",#N/A,TRUE,"general";"via2",#N/A,TRUE,"general";"via3",#N/A,TRUE,"general"}</definedName>
    <definedName name="rkru" localSheetId="15" hidden="1">{"via1",#N/A,TRUE,"general";"via2",#N/A,TRUE,"general";"via3",#N/A,TRUE,"general"}</definedName>
    <definedName name="rkru" hidden="1">{"via1",#N/A,TRUE,"general";"via2",#N/A,TRUE,"general";"via3",#N/A,TRUE,"general"}</definedName>
    <definedName name="rky" localSheetId="14"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3" hidden="1">{"TAB1",#N/A,TRUE,"GENERAL";"TAB2",#N/A,TRUE,"GENERAL";"TAB3",#N/A,TRUE,"GENERAL";"TAB4",#N/A,TRUE,"GENERAL";"TAB5",#N/A,TRUE,"GENERAL"}</definedName>
    <definedName name="rky" localSheetId="15"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ñ">#REF!</definedName>
    <definedName name="RODDOBL" localSheetId="3">#REF!</definedName>
    <definedName name="RODDOBL" localSheetId="30">#REF!</definedName>
    <definedName name="RODDOBL" localSheetId="31">#REF!</definedName>
    <definedName name="RODDOBL" localSheetId="29">#REF!</definedName>
    <definedName name="RODDOBL">#REF!</definedName>
    <definedName name="RODILLO" localSheetId="3">#REF!</definedName>
    <definedName name="RODILLO" localSheetId="30">#REF!</definedName>
    <definedName name="RODILLO" localSheetId="31">#REF!</definedName>
    <definedName name="RODILLO" localSheetId="29">#REF!</definedName>
    <definedName name="RODILLO">#REF!</definedName>
    <definedName name="ROTOPERC">#REF!</definedName>
    <definedName name="rr">#REF!</definedName>
    <definedName name="rrr" localSheetId="14"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3" hidden="1">{"via1",#N/A,TRUE,"general";"via2",#N/A,TRUE,"general";"via3",#N/A,TRUE,"general"}</definedName>
    <definedName name="rrr" localSheetId="15" hidden="1">{"via1",#N/A,TRUE,"general";"via2",#N/A,TRUE,"general";"via3",#N/A,TRUE,"general"}</definedName>
    <definedName name="rrr" hidden="1">{"via1",#N/A,TRUE,"general";"via2",#N/A,TRUE,"general";"via3",#N/A,TRUE,"general"}</definedName>
    <definedName name="rrrrrb" localSheetId="14"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3" hidden="1">{"via1",#N/A,TRUE,"general";"via2",#N/A,TRUE,"general";"via3",#N/A,TRUE,"general"}</definedName>
    <definedName name="rrrrrb" localSheetId="15" hidden="1">{"via1",#N/A,TRUE,"general";"via2",#N/A,TRUE,"general";"via3",#N/A,TRUE,"general"}</definedName>
    <definedName name="rrrrrb" hidden="1">{"via1",#N/A,TRUE,"general";"via2",#N/A,TRUE,"general";"via3",#N/A,TRUE,"general"}</definedName>
    <definedName name="rrrrrrre" localSheetId="14"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5" hidden="1">{"TAB1",#N/A,TRUE,"GENERAL";"TAB2",#N/A,TRUE,"GENERAL";"TAB3",#N/A,TRUE,"GENERAL";"TAB4",#N/A,TRUE,"GENERAL";"TAB5",#N/A,TRUE,"GENERAL"}</definedName>
    <definedName name="rrrrrrre" hidden="1">{"TAB1",#N/A,TRUE,"GENERAL";"TAB2",#N/A,TRUE,"GENERAL";"TAB3",#N/A,TRUE,"GENERAL";"TAB4",#N/A,TRUE,"GENERAL";"TAB5",#N/A,TRUE,"GENERAL"}</definedName>
    <definedName name="rrrrt" localSheetId="14"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3" hidden="1">{"via1",#N/A,TRUE,"general";"via2",#N/A,TRUE,"general";"via3",#N/A,TRUE,"general"}</definedName>
    <definedName name="rrrrt" localSheetId="15" hidden="1">{"via1",#N/A,TRUE,"general";"via2",#N/A,TRUE,"general";"via3",#N/A,TRUE,"general"}</definedName>
    <definedName name="rrrrt" hidden="1">{"via1",#N/A,TRUE,"general";"via2",#N/A,TRUE,"general";"via3",#N/A,TRUE,"general"}</definedName>
    <definedName name="rsadf">#REF!</definedName>
    <definedName name="rsdgsd5" localSheetId="14"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5" hidden="1">{"TAB1",#N/A,TRUE,"GENERAL";"TAB2",#N/A,TRUE,"GENERAL";"TAB3",#N/A,TRUE,"GENERAL";"TAB4",#N/A,TRUE,"GENERAL";"TAB5",#N/A,TRUE,"GENERAL"}</definedName>
    <definedName name="rsdgsd5" hidden="1">{"TAB1",#N/A,TRUE,"GENERAL";"TAB2",#N/A,TRUE,"GENERAL";"TAB3",#N/A,TRUE,"GENERAL";"TAB4",#N/A,TRUE,"GENERAL";"TAB5",#N/A,TRUE,"GENERAL"}</definedName>
    <definedName name="rt" localSheetId="14"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3" hidden="1">{"TAB1",#N/A,TRUE,"GENERAL";"TAB2",#N/A,TRUE,"GENERAL";"TAB3",#N/A,TRUE,"GENERAL";"TAB4",#N/A,TRUE,"GENERAL";"TAB5",#N/A,TRUE,"GENERAL"}</definedName>
    <definedName name="rt" localSheetId="15" hidden="1">{"TAB1",#N/A,TRUE,"GENERAL";"TAB2",#N/A,TRUE,"GENERAL";"TAB3",#N/A,TRUE,"GENERAL";"TAB4",#N/A,TRUE,"GENERAL";"TAB5",#N/A,TRUE,"GENERAL"}</definedName>
    <definedName name="rt" hidden="1">{"TAB1",#N/A,TRUE,"GENERAL";"TAB2",#N/A,TRUE,"GENERAL";"TAB3",#N/A,TRUE,"GENERAL";"TAB4",#N/A,TRUE,"GENERAL";"TAB5",#N/A,TRUE,"GENERAL"}</definedName>
    <definedName name="rte" localSheetId="14"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3" hidden="1">{"TAB1",#N/A,TRUE,"GENERAL";"TAB2",#N/A,TRUE,"GENERAL";"TAB3",#N/A,TRUE,"GENERAL";"TAB4",#N/A,TRUE,"GENERAL";"TAB5",#N/A,TRUE,"GENERAL"}</definedName>
    <definedName name="rte" localSheetId="15" hidden="1">{"TAB1",#N/A,TRUE,"GENERAL";"TAB2",#N/A,TRUE,"GENERAL";"TAB3",#N/A,TRUE,"GENERAL";"TAB4",#N/A,TRUE,"GENERAL";"TAB5",#N/A,TRUE,"GENERAL"}</definedName>
    <definedName name="rte" hidden="1">{"TAB1",#N/A,TRUE,"GENERAL";"TAB2",#N/A,TRUE,"GENERAL";"TAB3",#N/A,TRUE,"GENERAL";"TAB4",#N/A,TRUE,"GENERAL";"TAB5",#N/A,TRUE,"GENERAL"}</definedName>
    <definedName name="rteg" localSheetId="14"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3" hidden="1">{"via1",#N/A,TRUE,"general";"via2",#N/A,TRUE,"general";"via3",#N/A,TRUE,"general"}</definedName>
    <definedName name="rteg" localSheetId="15" hidden="1">{"via1",#N/A,TRUE,"general";"via2",#N/A,TRUE,"general";"via3",#N/A,TRUE,"general"}</definedName>
    <definedName name="rteg" hidden="1">{"via1",#N/A,TRUE,"general";"via2",#N/A,TRUE,"general";"via3",#N/A,TRUE,"general"}</definedName>
    <definedName name="rtert" localSheetId="14"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5" hidden="1">{"TAB1",#N/A,TRUE,"GENERAL";"TAB2",#N/A,TRUE,"GENERAL";"TAB3",#N/A,TRUE,"GENERAL";"TAB4",#N/A,TRUE,"GENERAL";"TAB5",#N/A,TRUE,"GENERAL"}</definedName>
    <definedName name="rtert" hidden="1">{"TAB1",#N/A,TRUE,"GENERAL";"TAB2",#N/A,TRUE,"GENERAL";"TAB3",#N/A,TRUE,"GENERAL";"TAB4",#N/A,TRUE,"GENERAL";"TAB5",#N/A,TRUE,"GENERAL"}</definedName>
    <definedName name="rtes" localSheetId="14"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3" hidden="1">{"via1",#N/A,TRUE,"general";"via2",#N/A,TRUE,"general";"via3",#N/A,TRUE,"general"}</definedName>
    <definedName name="rtes" localSheetId="15" hidden="1">{"via1",#N/A,TRUE,"general";"via2",#N/A,TRUE,"general";"via3",#N/A,TRUE,"general"}</definedName>
    <definedName name="rtes" hidden="1">{"via1",#N/A,TRUE,"general";"via2",#N/A,TRUE,"general";"via3",#N/A,TRUE,"general"}</definedName>
    <definedName name="rtewth" localSheetId="14"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5" hidden="1">{"TAB1",#N/A,TRUE,"GENERAL";"TAB2",#N/A,TRUE,"GENERAL";"TAB3",#N/A,TRUE,"GENERAL";"TAB4",#N/A,TRUE,"GENERAL";"TAB5",#N/A,TRUE,"GENERAL"}</definedName>
    <definedName name="rtewth"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5" hidden="1">{"TAB1",#N/A,TRUE,"GENERAL";"TAB2",#N/A,TRUE,"GENERAL";"TAB3",#N/A,TRUE,"GENERAL";"TAB4",#N/A,TRUE,"GENERAL";"TAB5",#N/A,TRUE,"GENERAL"}</definedName>
    <definedName name="rthjtj" hidden="1">{"TAB1",#N/A,TRUE,"GENERAL";"TAB2",#N/A,TRUE,"GENERAL";"TAB3",#N/A,TRUE,"GENERAL";"TAB4",#N/A,TRUE,"GENERAL";"TAB5",#N/A,TRUE,"GENERAL"}</definedName>
    <definedName name="rthrthg" localSheetId="14"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3" hidden="1">{"via1",#N/A,TRUE,"general";"via2",#N/A,TRUE,"general";"via3",#N/A,TRUE,"general"}</definedName>
    <definedName name="rthrthg" localSheetId="15" hidden="1">{"via1",#N/A,TRUE,"general";"via2",#N/A,TRUE,"general";"via3",#N/A,TRUE,"general"}</definedName>
    <definedName name="rthrthg" hidden="1">{"via1",#N/A,TRUE,"general";"via2",#N/A,TRUE,"general";"via3",#N/A,TRUE,"general"}</definedName>
    <definedName name="rthtrh" localSheetId="14"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3" hidden="1">{"via1",#N/A,TRUE,"general";"via2",#N/A,TRUE,"general";"via3",#N/A,TRUE,"general"}</definedName>
    <definedName name="rthtrh" localSheetId="15" hidden="1">{"via1",#N/A,TRUE,"general";"via2",#N/A,TRUE,"general";"via3",#N/A,TRUE,"general"}</definedName>
    <definedName name="rthtrh" hidden="1">{"via1",#N/A,TRUE,"general";"via2",#N/A,TRUE,"general";"via3",#N/A,TRUE,"general"}</definedName>
    <definedName name="rtkk" localSheetId="14"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3" hidden="1">{"via1",#N/A,TRUE,"general";"via2",#N/A,TRUE,"general";"via3",#N/A,TRUE,"general"}</definedName>
    <definedName name="rtkk" localSheetId="15" hidden="1">{"via1",#N/A,TRUE,"general";"via2",#N/A,TRUE,"general";"via3",#N/A,TRUE,"general"}</definedName>
    <definedName name="rtkk" hidden="1">{"via1",#N/A,TRUE,"general";"via2",#N/A,TRUE,"general";"via3",#N/A,TRUE,"general"}</definedName>
    <definedName name="rttthy" localSheetId="14"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3" hidden="1">{"via1",#N/A,TRUE,"general";"via2",#N/A,TRUE,"general";"via3",#N/A,TRUE,"general"}</definedName>
    <definedName name="rttthy" localSheetId="15" hidden="1">{"via1",#N/A,TRUE,"general";"via2",#N/A,TRUE,"general";"via3",#N/A,TRUE,"general"}</definedName>
    <definedName name="rttthy" hidden="1">{"via1",#N/A,TRUE,"general";"via2",#N/A,TRUE,"general";"via3",#N/A,TRUE,"general"}</definedName>
    <definedName name="rtu" localSheetId="14"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3" hidden="1">{"via1",#N/A,TRUE,"general";"via2",#N/A,TRUE,"general";"via3",#N/A,TRUE,"general"}</definedName>
    <definedName name="rtu" localSheetId="15" hidden="1">{"via1",#N/A,TRUE,"general";"via2",#N/A,TRUE,"general";"via3",#N/A,TRUE,"general"}</definedName>
    <definedName name="rtu" hidden="1">{"via1",#N/A,TRUE,"general";"via2",#N/A,TRUE,"general";"via3",#N/A,TRUE,"general"}</definedName>
    <definedName name="rtug" localSheetId="14"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3" hidden="1">{"TAB1",#N/A,TRUE,"GENERAL";"TAB2",#N/A,TRUE,"GENERAL";"TAB3",#N/A,TRUE,"GENERAL";"TAB4",#N/A,TRUE,"GENERAL";"TAB5",#N/A,TRUE,"GENERAL"}</definedName>
    <definedName name="rtug" localSheetId="15" hidden="1">{"TAB1",#N/A,TRUE,"GENERAL";"TAB2",#N/A,TRUE,"GENERAL";"TAB3",#N/A,TRUE,"GENERAL";"TAB4",#N/A,TRUE,"GENERAL";"TAB5",#N/A,TRUE,"GENERAL"}</definedName>
    <definedName name="rtug"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5" hidden="1">{"TAB1",#N/A,TRUE,"GENERAL";"TAB2",#N/A,TRUE,"GENERAL";"TAB3",#N/A,TRUE,"GENERAL";"TAB4",#N/A,TRUE,"GENERAL";"TAB5",#N/A,TRUE,"GENERAL"}</definedName>
    <definedName name="rtugsd" hidden="1">{"TAB1",#N/A,TRUE,"GENERAL";"TAB2",#N/A,TRUE,"GENERAL";"TAB3",#N/A,TRUE,"GENERAL";"TAB4",#N/A,TRUE,"GENERAL";"TAB5",#N/A,TRUE,"GENERAL"}</definedName>
    <definedName name="rturtu" localSheetId="14"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3" hidden="1">{"via1",#N/A,TRUE,"general";"via2",#N/A,TRUE,"general";"via3",#N/A,TRUE,"general"}</definedName>
    <definedName name="rturtu" localSheetId="15" hidden="1">{"via1",#N/A,TRUE,"general";"via2",#N/A,TRUE,"general";"via3",#N/A,TRUE,"general"}</definedName>
    <definedName name="rturtu" hidden="1">{"via1",#N/A,TRUE,"general";"via2",#N/A,TRUE,"general";"via3",#N/A,TRUE,"general"}</definedName>
    <definedName name="rturu" localSheetId="14"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3" hidden="1">{"via1",#N/A,TRUE,"general";"via2",#N/A,TRUE,"general";"via3",#N/A,TRUE,"general"}</definedName>
    <definedName name="rturu" localSheetId="15" hidden="1">{"via1",#N/A,TRUE,"general";"via2",#N/A,TRUE,"general";"via3",#N/A,TRUE,"general"}</definedName>
    <definedName name="rturu" hidden="1">{"via1",#N/A,TRUE,"general";"via2",#N/A,TRUE,"general";"via3",#N/A,TRUE,"general"}</definedName>
    <definedName name="rtut" localSheetId="14"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3" hidden="1">{"via1",#N/A,TRUE,"general";"via2",#N/A,TRUE,"general";"via3",#N/A,TRUE,"general"}</definedName>
    <definedName name="rtut" localSheetId="15" hidden="1">{"via1",#N/A,TRUE,"general";"via2",#N/A,TRUE,"general";"via3",#N/A,TRUE,"general"}</definedName>
    <definedName name="rtut" hidden="1">{"via1",#N/A,TRUE,"general";"via2",#N/A,TRUE,"general";"via3",#N/A,TRUE,"general"}</definedName>
    <definedName name="rtutru" localSheetId="14"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3" hidden="1">{"via1",#N/A,TRUE,"general";"via2",#N/A,TRUE,"general";"via3",#N/A,TRUE,"general"}</definedName>
    <definedName name="rtutru" localSheetId="15" hidden="1">{"via1",#N/A,TRUE,"general";"via2",#N/A,TRUE,"general";"via3",#N/A,TRUE,"general"}</definedName>
    <definedName name="rtutru" hidden="1">{"via1",#N/A,TRUE,"general";"via2",#N/A,TRUE,"general";"via3",#N/A,TRUE,"general"}</definedName>
    <definedName name="rtuy" localSheetId="14"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3" hidden="1">{"via1",#N/A,TRUE,"general";"via2",#N/A,TRUE,"general";"via3",#N/A,TRUE,"general"}</definedName>
    <definedName name="rtuy" localSheetId="15" hidden="1">{"via1",#N/A,TRUE,"general";"via2",#N/A,TRUE,"general";"via3",#N/A,TRUE,"general"}</definedName>
    <definedName name="rtuy" hidden="1">{"via1",#N/A,TRUE,"general";"via2",#N/A,TRUE,"general";"via3",#N/A,TRUE,"general"}</definedName>
    <definedName name="rty">#REF!</definedName>
    <definedName name="rtyhr" localSheetId="14"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5" hidden="1">{"TAB1",#N/A,TRUE,"GENERAL";"TAB2",#N/A,TRUE,"GENERAL";"TAB3",#N/A,TRUE,"GENERAL";"TAB4",#N/A,TRUE,"GENERAL";"TAB5",#N/A,TRUE,"GENERAL"}</definedName>
    <definedName name="rtyhr" hidden="1">{"TAB1",#N/A,TRUE,"GENERAL";"TAB2",#N/A,TRUE,"GENERAL";"TAB3",#N/A,TRUE,"GENERAL";"TAB4",#N/A,TRUE,"GENERAL";"TAB5",#N/A,TRUE,"GENERAL"}</definedName>
    <definedName name="rtym" localSheetId="14"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3" hidden="1">{"via1",#N/A,TRUE,"general";"via2",#N/A,TRUE,"general";"via3",#N/A,TRUE,"general"}</definedName>
    <definedName name="rtym" localSheetId="15" hidden="1">{"via1",#N/A,TRUE,"general";"via2",#N/A,TRUE,"general";"via3",#N/A,TRUE,"general"}</definedName>
    <definedName name="rtym" hidden="1">{"via1",#N/A,TRUE,"general";"via2",#N/A,TRUE,"general";"via3",#N/A,TRUE,"general"}</definedName>
    <definedName name="rtyrey" localSheetId="14"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5" hidden="1">{"TAB1",#N/A,TRUE,"GENERAL";"TAB2",#N/A,TRUE,"GENERAL";"TAB3",#N/A,TRUE,"GENERAL";"TAB4",#N/A,TRUE,"GENERAL";"TAB5",#N/A,TRUE,"GENERAL"}</definedName>
    <definedName name="rtyrey" hidden="1">{"TAB1",#N/A,TRUE,"GENERAL";"TAB2",#N/A,TRUE,"GENERAL";"TAB3",#N/A,TRUE,"GENERAL";"TAB4",#N/A,TRUE,"GENERAL";"TAB5",#N/A,TRUE,"GENERAL"}</definedName>
    <definedName name="rtyrh" localSheetId="14"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3" hidden="1">{"via1",#N/A,TRUE,"general";"via2",#N/A,TRUE,"general";"via3",#N/A,TRUE,"general"}</definedName>
    <definedName name="rtyrh" localSheetId="15" hidden="1">{"via1",#N/A,TRUE,"general";"via2",#N/A,TRUE,"general";"via3",#N/A,TRUE,"general"}</definedName>
    <definedName name="rtyrh" hidden="1">{"via1",#N/A,TRUE,"general";"via2",#N/A,TRUE,"general";"via3",#N/A,TRUE,"general"}</definedName>
    <definedName name="RTYRTY" localSheetId="14"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3" hidden="1">{"via1",#N/A,TRUE,"general";"via2",#N/A,TRUE,"general";"via3",#N/A,TRUE,"general"}</definedName>
    <definedName name="RTYRTY" localSheetId="15" hidden="1">{"via1",#N/A,TRUE,"general";"via2",#N/A,TRUE,"general";"via3",#N/A,TRUE,"general"}</definedName>
    <definedName name="RTYRTY" hidden="1">{"via1",#N/A,TRUE,"general";"via2",#N/A,TRUE,"general";"via3",#N/A,TRUE,"general"}</definedName>
    <definedName name="rtyt" localSheetId="14"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3" hidden="1">{"TAB1",#N/A,TRUE,"GENERAL";"TAB2",#N/A,TRUE,"GENERAL";"TAB3",#N/A,TRUE,"GENERAL";"TAB4",#N/A,TRUE,"GENERAL";"TAB5",#N/A,TRUE,"GENERAL"}</definedName>
    <definedName name="rtyt" localSheetId="15" hidden="1">{"TAB1",#N/A,TRUE,"GENERAL";"TAB2",#N/A,TRUE,"GENERAL";"TAB3",#N/A,TRUE,"GENERAL";"TAB4",#N/A,TRUE,"GENERAL";"TAB5",#N/A,TRUE,"GENERAL"}</definedName>
    <definedName name="rtyt" hidden="1">{"TAB1",#N/A,TRUE,"GENERAL";"TAB2",#N/A,TRUE,"GENERAL";"TAB3",#N/A,TRUE,"GENERAL";"TAB4",#N/A,TRUE,"GENERAL";"TAB5",#N/A,TRUE,"GENERAL"}</definedName>
    <definedName name="rtytry" localSheetId="14"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3" hidden="1">{"via1",#N/A,TRUE,"general";"via2",#N/A,TRUE,"general";"via3",#N/A,TRUE,"general"}</definedName>
    <definedName name="rtytry" localSheetId="15" hidden="1">{"via1",#N/A,TRUE,"general";"via2",#N/A,TRUE,"general";"via3",#N/A,TRUE,"general"}</definedName>
    <definedName name="rtytry" hidden="1">{"via1",#N/A,TRUE,"general";"via2",#N/A,TRUE,"general";"via3",#N/A,TRUE,"general"}</definedName>
    <definedName name="ruru" localSheetId="14"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3" hidden="1">{"TAB1",#N/A,TRUE,"GENERAL";"TAB2",#N/A,TRUE,"GENERAL";"TAB3",#N/A,TRUE,"GENERAL";"TAB4",#N/A,TRUE,"GENERAL";"TAB5",#N/A,TRUE,"GENERAL"}</definedName>
    <definedName name="ruru" localSheetId="15" hidden="1">{"TAB1",#N/A,TRUE,"GENERAL";"TAB2",#N/A,TRUE,"GENERAL";"TAB3",#N/A,TRUE,"GENERAL";"TAB4",#N/A,TRUE,"GENERAL";"TAB5",#N/A,TRUE,"GENERAL"}</definedName>
    <definedName name="ruru" hidden="1">{"TAB1",#N/A,TRUE,"GENERAL";"TAB2",#N/A,TRUE,"GENERAL";"TAB3",#N/A,TRUE,"GENERAL";"TAB4",#N/A,TRUE,"GENERAL";"TAB5",#N/A,TRUE,"GENERAL"}</definedName>
    <definedName name="RUTA" localSheetId="14">DATE(YEAR([45]!Loan_Start),MONTH([45]!Loan_Start)+Payment_Number,DAY([45]!Loan_Start))</definedName>
    <definedName name="RUTA" localSheetId="17">DATE(YEAR([45]!Loan_Start),MONTH([45]!Loan_Start)+Payment_Number,DAY([45]!Loan_Start))</definedName>
    <definedName name="RUTA" localSheetId="2">DATE(YEAR([45]!Loan_Start),MONTH([45]!Loan_Start)+Payment_Number,DAY([45]!Loan_Start))</definedName>
    <definedName name="RUTA" localSheetId="20">DATE(YEAR([45]!Loan_Start),MONTH([45]!Loan_Start)+Payment_Number,DAY([45]!Loan_Start))</definedName>
    <definedName name="RUTA" localSheetId="21">DATE(YEAR([45]!Loan_Start),MONTH([45]!Loan_Start)+Payment_Number,DAY([45]!Loan_Start))</definedName>
    <definedName name="RUTA" localSheetId="15">DATE(YEAR([45]!Loan_Start),MONTH([45]!Loan_Start)+Payment_Number,DAY([45]!Loan_Start))</definedName>
    <definedName name="RUTA">DATE(YEAR([45]!Loan_Start),MONTH([45]!Loan_Start)+Payment_Number,DAY([45]!Loan_Start))</definedName>
    <definedName name="rutu" localSheetId="14"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3" hidden="1">{"via1",#N/A,TRUE,"general";"via2",#N/A,TRUE,"general";"via3",#N/A,TRUE,"general"}</definedName>
    <definedName name="rutu" localSheetId="15" hidden="1">{"via1",#N/A,TRUE,"general";"via2",#N/A,TRUE,"general";"via3",#N/A,TRUE,"general"}</definedName>
    <definedName name="rutu" hidden="1">{"via1",#N/A,TRUE,"general";"via2",#N/A,TRUE,"general";"via3",#N/A,TRUE,"general"}</definedName>
    <definedName name="RW">[102]items!$C$4:$J$248</definedName>
    <definedName name="rwt" localSheetId="14"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3" hidden="1">{"via1",#N/A,TRUE,"general";"via2",#N/A,TRUE,"general";"via3",#N/A,TRUE,"general"}</definedName>
    <definedName name="rwt" localSheetId="15" hidden="1">{"via1",#N/A,TRUE,"general";"via2",#N/A,TRUE,"general";"via3",#N/A,TRUE,"general"}</definedName>
    <definedName name="rwt" hidden="1">{"via1",#N/A,TRUE,"general";"via2",#N/A,TRUE,"general";"via3",#N/A,TRUE,"general"}</definedName>
    <definedName name="Rwvu.ComparEneMar9697." hidden="1">#REF!,#REF!</definedName>
    <definedName name="Rwvu.EneFeb." hidden="1">#REF!,#REF!</definedName>
    <definedName name="Rwvu.Formato._.Corto." hidden="1">#REF!,#REF!,#REF!,#REF!,#REF!,#REF!</definedName>
    <definedName name="Rwvu.OPEF._.96." hidden="1">#REF!,#REF!</definedName>
    <definedName name="Rwvu.OPEF._.97." localSheetId="3" hidden="1">#REF!,#REF!,#REF!</definedName>
    <definedName name="Rwvu.OPEF._.97." hidden="1">#REF!,#REF!,#REF!</definedName>
    <definedName name="ry" localSheetId="14"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3" hidden="1">{"via1",#N/A,TRUE,"general";"via2",#N/A,TRUE,"general";"via3",#N/A,TRUE,"general"}</definedName>
    <definedName name="ry" localSheetId="15" hidden="1">{"via1",#N/A,TRUE,"general";"via2",#N/A,TRUE,"general";"via3",#N/A,TRUE,"general"}</definedName>
    <definedName name="ry" hidden="1">{"via1",#N/A,TRUE,"general";"via2",#N/A,TRUE,"general";"via3",#N/A,TRUE,"general"}</definedName>
    <definedName name="ryeryb" localSheetId="14"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5" hidden="1">{"TAB1",#N/A,TRUE,"GENERAL";"TAB2",#N/A,TRUE,"GENERAL";"TAB3",#N/A,TRUE,"GENERAL";"TAB4",#N/A,TRUE,"GENERAL";"TAB5",#N/A,TRUE,"GENERAL"}</definedName>
    <definedName name="ryeryb" hidden="1">{"TAB1",#N/A,TRUE,"GENERAL";"TAB2",#N/A,TRUE,"GENERAL";"TAB3",#N/A,TRUE,"GENERAL";"TAB4",#N/A,TRUE,"GENERAL";"TAB5",#N/A,TRUE,"GENERAL"}</definedName>
    <definedName name="rytrsdg" localSheetId="14"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3" hidden="1">{"via1",#N/A,TRUE,"general";"via2",#N/A,TRUE,"general";"via3",#N/A,TRUE,"general"}</definedName>
    <definedName name="rytrsdg" localSheetId="15" hidden="1">{"via1",#N/A,TRUE,"general";"via2",#N/A,TRUE,"general";"via3",#N/A,TRUE,"general"}</definedName>
    <definedName name="rytrsdg" hidden="1">{"via1",#N/A,TRUE,"general";"via2",#N/A,TRUE,"general";"via3",#N/A,TRUE,"general"}</definedName>
    <definedName name="s" localSheetId="3">#REF!</definedName>
    <definedName name="s" localSheetId="30">#REF!</definedName>
    <definedName name="s" localSheetId="31">#REF!</definedName>
    <definedName name="s" localSheetId="16" hidden="1">{"via1",#N/A,TRUE,"general";"via2",#N/A,TRUE,"general";"via3",#N/A,TRUE,"general"}</definedName>
    <definedName name="s" localSheetId="17" hidden="1">{"via1",#N/A,TRUE,"general";"via2",#N/A,TRUE,"general";"via3",#N/A,TRUE,"general"}</definedName>
    <definedName name="s" localSheetId="29">#REF!</definedName>
    <definedName name="s">#REF!</definedName>
    <definedName name="saa" localSheetId="14"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3" hidden="1">{"via1",#N/A,TRUE,"general";"via2",#N/A,TRUE,"general";"via3",#N/A,TRUE,"general"}</definedName>
    <definedName name="saa" localSheetId="15" hidden="1">{"via1",#N/A,TRUE,"general";"via2",#N/A,TRUE,"general";"via3",#N/A,TRUE,"general"}</definedName>
    <definedName name="saa" hidden="1">{"via1",#N/A,TRUE,"general";"via2",#N/A,TRUE,"general";"via3",#N/A,TRUE,"general"}</definedName>
    <definedName name="Sabaneta">#REF!</definedName>
    <definedName name="SAD" localSheetId="14"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3" hidden="1">{"via1",#N/A,TRUE,"general";"via2",#N/A,TRUE,"general";"via3",#N/A,TRUE,"general"}</definedName>
    <definedName name="SAD" localSheetId="15" hidden="1">{"via1",#N/A,TRUE,"general";"via2",#N/A,TRUE,"general";"via3",#N/A,TRUE,"general"}</definedName>
    <definedName name="SAD" hidden="1">{"via1",#N/A,TRUE,"general";"via2",#N/A,TRUE,"general";"via3",#N/A,TRUE,"general"}</definedName>
    <definedName name="SADF" localSheetId="14"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3" hidden="1">{"via1",#N/A,TRUE,"general";"via2",#N/A,TRUE,"general";"via3",#N/A,TRUE,"general"}</definedName>
    <definedName name="SADF" localSheetId="15" hidden="1">{"via1",#N/A,TRUE,"general";"via2",#N/A,TRUE,"general";"via3",#N/A,TRUE,"general"}</definedName>
    <definedName name="SADF" hidden="1">{"via1",#N/A,TRUE,"general";"via2",#N/A,TRUE,"general";"via3",#N/A,TRUE,"general"}</definedName>
    <definedName name="sadff" localSheetId="14"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5" hidden="1">{"TAB1",#N/A,TRUE,"GENERAL";"TAB2",#N/A,TRUE,"GENERAL";"TAB3",#N/A,TRUE,"GENERAL";"TAB4",#N/A,TRUE,"GENERAL";"TAB5",#N/A,TRUE,"GENERAL"}</definedName>
    <definedName name="sadff" hidden="1">{"TAB1",#N/A,TRUE,"GENERAL";"TAB2",#N/A,TRUE,"GENERAL";"TAB3",#N/A,TRUE,"GENERAL";"TAB4",#N/A,TRUE,"GENERAL";"TAB5",#N/A,TRUE,"GENERAL"}</definedName>
    <definedName name="sadfo" localSheetId="14"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3" hidden="1">{"via1",#N/A,TRUE,"general";"via2",#N/A,TRUE,"general";"via3",#N/A,TRUE,"general"}</definedName>
    <definedName name="sadfo" localSheetId="15" hidden="1">{"via1",#N/A,TRUE,"general";"via2",#N/A,TRUE,"general";"via3",#N/A,TRUE,"general"}</definedName>
    <definedName name="sadfo" hidden="1">{"via1",#N/A,TRUE,"general";"via2",#N/A,TRUE,"general";"via3",#N/A,TRUE,"general"}</definedName>
    <definedName name="safdp" localSheetId="14"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5" hidden="1">{"TAB1",#N/A,TRUE,"GENERAL";"TAB2",#N/A,TRUE,"GENERAL";"TAB3",#N/A,TRUE,"GENERAL";"TAB4",#N/A,TRUE,"GENERAL";"TAB5",#N/A,TRUE,"GENERAL"}</definedName>
    <definedName name="safdp" hidden="1">{"TAB1",#N/A,TRUE,"GENERAL";"TAB2",#N/A,TRUE,"GENERAL";"TAB3",#N/A,TRUE,"GENERAL";"TAB4",#N/A,TRUE,"GENERAL";"TAB5",#N/A,TRUE,"GENERAL"}</definedName>
    <definedName name="salarios">#N/A</definedName>
    <definedName name="SalMinimo">[50]BASES!$E$41</definedName>
    <definedName name="Santos">#REF!</definedName>
    <definedName name="SAOG7" localSheetId="3">#REF!</definedName>
    <definedName name="SAOG7" localSheetId="30">#REF!</definedName>
    <definedName name="SAOG7" localSheetId="31">#REF!</definedName>
    <definedName name="SAOG7" localSheetId="29">#REF!</definedName>
    <definedName name="SAOG7">#REF!</definedName>
    <definedName name="SAOG7OCTUBRE" localSheetId="3">#REF!</definedName>
    <definedName name="SAOG7OCTUBRE" localSheetId="30">#REF!</definedName>
    <definedName name="SAOG7OCTUBRE" localSheetId="31">#REF!</definedName>
    <definedName name="SAOG7OCTUBRE" localSheetId="29">#REF!</definedName>
    <definedName name="SAOG7OCTUBRE">#REF!</definedName>
    <definedName name="SASASASASAS" localSheetId="14" hidden="1">{"via1",#N/A,TRUE,"general";"via2",#N/A,TRUE,"general";"via3",#N/A,TRUE,"general"}</definedName>
    <definedName name="SASASASASAS" localSheetId="13" hidden="1">{"via1",#N/A,TRUE,"general";"via2",#N/A,TRUE,"general";"via3",#N/A,TRUE,"general"}</definedName>
    <definedName name="SASASASASAS" localSheetId="15" hidden="1">{"via1",#N/A,TRUE,"general";"via2",#N/A,TRUE,"general";"via3",#N/A,TRUE,"general"}</definedName>
    <definedName name="SASASASASAS" hidden="1">{"via1",#N/A,TRUE,"general";"via2",#N/A,TRUE,"general";"via3",#N/A,TRUE,"general"}</definedName>
    <definedName name="SBASG" localSheetId="3">#REF!</definedName>
    <definedName name="SBASG" localSheetId="30">#REF!</definedName>
    <definedName name="SBASG" localSheetId="31">#REF!</definedName>
    <definedName name="SBASG" localSheetId="29">#REF!</definedName>
    <definedName name="SBASG">#REF!</definedName>
    <definedName name="sbe">#REF!</definedName>
    <definedName name="sbg">#REF!</definedName>
    <definedName name="sbgfbgdr" localSheetId="14"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3" hidden="1">{"via1",#N/A,TRUE,"general";"via2",#N/A,TRUE,"general";"via3",#N/A,TRUE,"general"}</definedName>
    <definedName name="sbgfbgdr" localSheetId="15"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14"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3" hidden="1">{"TAB1",#N/A,TRUE,"GENERAL";"TAB2",#N/A,TRUE,"GENERAL";"TAB3",#N/A,TRUE,"GENERAL";"TAB4",#N/A,TRUE,"GENERAL";"TAB5",#N/A,TRUE,"GENERAL"}</definedName>
    <definedName name="sd" localSheetId="15" hidden="1">{"TAB1",#N/A,TRUE,"GENERAL";"TAB2",#N/A,TRUE,"GENERAL";"TAB3",#N/A,TRUE,"GENERAL";"TAB4",#N/A,TRUE,"GENERAL";"TAB5",#N/A,TRUE,"GENERAL"}</definedName>
    <definedName name="sd" hidden="1">{"TAB1",#N/A,TRUE,"GENERAL";"TAB2",#N/A,TRUE,"GENERAL";"TAB3",#N/A,TRUE,"GENERAL";"TAB4",#N/A,TRUE,"GENERAL";"TAB5",#N/A,TRUE,"GENERAL"}</definedName>
    <definedName name="sdaf" localSheetId="14"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3" hidden="1">{"via1",#N/A,TRUE,"general";"via2",#N/A,TRUE,"general";"via3",#N/A,TRUE,"general"}</definedName>
    <definedName name="sdaf" localSheetId="15" hidden="1">{"via1",#N/A,TRUE,"general";"via2",#N/A,TRUE,"general";"via3",#N/A,TRUE,"general"}</definedName>
    <definedName name="sdaf" hidden="1">{"via1",#N/A,TRUE,"general";"via2",#N/A,TRUE,"general";"via3",#N/A,TRUE,"general"}</definedName>
    <definedName name="SDas" localSheetId="3">#REF!</definedName>
    <definedName name="sdas" localSheetId="14" hidden="1">{"via1",#N/A,TRUE,"general";"via2",#N/A,TRUE,"general";"via3",#N/A,TRUE,"general"}</definedName>
    <definedName name="SDas" localSheetId="30">#REF!</definedName>
    <definedName name="SDas" localSheetId="31">#REF!</definedName>
    <definedName name="sdas" localSheetId="16" hidden="1">{"via1",#N/A,TRUE,"general";"via2",#N/A,TRUE,"general";"via3",#N/A,TRUE,"general"}</definedName>
    <definedName name="sdas" localSheetId="17" hidden="1">{"via1",#N/A,TRUE,"general";"via2",#N/A,TRUE,"general";"via3",#N/A,TRUE,"general"}</definedName>
    <definedName name="sdas" localSheetId="13" hidden="1">{"via1",#N/A,TRUE,"general";"via2",#N/A,TRUE,"general";"via3",#N/A,TRUE,"general"}</definedName>
    <definedName name="sdas" localSheetId="15" hidden="1">{"via1",#N/A,TRUE,"general";"via2",#N/A,TRUE,"general";"via3",#N/A,TRUE,"general"}</definedName>
    <definedName name="SDas" localSheetId="29">#REF!</definedName>
    <definedName name="SDas">#REF!</definedName>
    <definedName name="sdasdf" localSheetId="14"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3" hidden="1">{"via1",#N/A,TRUE,"general";"via2",#N/A,TRUE,"general";"via3",#N/A,TRUE,"general"}</definedName>
    <definedName name="sdasdf" localSheetId="15" hidden="1">{"via1",#N/A,TRUE,"general";"via2",#N/A,TRUE,"general";"via3",#N/A,TRUE,"general"}</definedName>
    <definedName name="sdasdf" hidden="1">{"via1",#N/A,TRUE,"general";"via2",#N/A,TRUE,"general";"via3",#N/A,TRUE,"general"}</definedName>
    <definedName name="SDCDSCT" localSheetId="14"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5"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#REF!</definedName>
    <definedName name="SDFCE" localSheetId="14"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5" hidden="1">{"TAB1",#N/A,TRUE,"GENERAL";"TAB2",#N/A,TRUE,"GENERAL";"TAB3",#N/A,TRUE,"GENERAL";"TAB4",#N/A,TRUE,"GENERAL";"TAB5",#N/A,TRUE,"GENERAL"}</definedName>
    <definedName name="SDFCE" hidden="1">{"TAB1",#N/A,TRUE,"GENERAL";"TAB2",#N/A,TRUE,"GENERAL";"TAB3",#N/A,TRUE,"GENERAL";"TAB4",#N/A,TRUE,"GENERAL";"TAB5",#N/A,TRUE,"GENERAL"}</definedName>
    <definedName name="sdfd" localSheetId="14"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3" hidden="1">{"via1",#N/A,TRUE,"general";"via2",#N/A,TRUE,"general";"via3",#N/A,TRUE,"general"}</definedName>
    <definedName name="sdfd" localSheetId="15" hidden="1">{"via1",#N/A,TRUE,"general";"via2",#N/A,TRUE,"general";"via3",#N/A,TRUE,"general"}</definedName>
    <definedName name="sdfd" hidden="1">{"via1",#N/A,TRUE,"general";"via2",#N/A,TRUE,"general";"via3",#N/A,TRUE,"general"}</definedName>
    <definedName name="SDFDG" hidden="1">{#N/A,#N/A,TRUE,"1842CWN0"}</definedName>
    <definedName name="sdfds" localSheetId="14"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3" hidden="1">{"via1",#N/A,TRUE,"general";"via2",#N/A,TRUE,"general";"via3",#N/A,TRUE,"general"}</definedName>
    <definedName name="sdfds" localSheetId="15" hidden="1">{"via1",#N/A,TRUE,"general";"via2",#N/A,TRUE,"general";"via3",#N/A,TRUE,"general"}</definedName>
    <definedName name="sdfds" hidden="1">{"via1",#N/A,TRUE,"general";"via2",#N/A,TRUE,"general";"via3",#N/A,TRUE,"general"}</definedName>
    <definedName name="SDFDSO" localSheetId="14"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3" hidden="1">{"via1",#N/A,TRUE,"general";"via2",#N/A,TRUE,"general";"via3",#N/A,TRUE,"general"}</definedName>
    <definedName name="SDFDSO" localSheetId="15" hidden="1">{"via1",#N/A,TRUE,"general";"via2",#N/A,TRUE,"general";"via3",#N/A,TRUE,"general"}</definedName>
    <definedName name="SDFDSO" hidden="1">{"via1",#N/A,TRUE,"general";"via2",#N/A,TRUE,"general";"via3",#N/A,TRUE,"general"}</definedName>
    <definedName name="sdfdstp" localSheetId="14"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5" hidden="1">{"TAB1",#N/A,TRUE,"GENERAL";"TAB2",#N/A,TRUE,"GENERAL";"TAB3",#N/A,TRUE,"GENERAL";"TAB4",#N/A,TRUE,"GENERAL";"TAB5",#N/A,TRUE,"GENERAL"}</definedName>
    <definedName name="sdfdstp" hidden="1">{"TAB1",#N/A,TRUE,"GENERAL";"TAB2",#N/A,TRUE,"GENERAL";"TAB3",#N/A,TRUE,"GENERAL";"TAB4",#N/A,TRUE,"GENERAL";"TAB5",#N/A,TRUE,"GENERAL"}</definedName>
    <definedName name="SDFEO" localSheetId="14"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3" hidden="1">{"via1",#N/A,TRUE,"general";"via2",#N/A,TRUE,"general";"via3",#N/A,TRUE,"general"}</definedName>
    <definedName name="SDFEO" localSheetId="15" hidden="1">{"via1",#N/A,TRUE,"general";"via2",#N/A,TRUE,"general";"via3",#N/A,TRUE,"general"}</definedName>
    <definedName name="SDFEO" hidden="1">{"via1",#N/A,TRUE,"general";"via2",#N/A,TRUE,"general";"via3",#N/A,TRUE,"general"}</definedName>
    <definedName name="sdfg" localSheetId="14"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3" hidden="1">{"TAB1",#N/A,TRUE,"GENERAL";"TAB2",#N/A,TRUE,"GENERAL";"TAB3",#N/A,TRUE,"GENERAL";"TAB4",#N/A,TRUE,"GENERAL";"TAB5",#N/A,TRUE,"GENERAL"}</definedName>
    <definedName name="sdfg" localSheetId="15" hidden="1">{"TAB1",#N/A,TRUE,"GENERAL";"TAB2",#N/A,TRUE,"GENERAL";"TAB3",#N/A,TRUE,"GENERAL";"TAB4",#N/A,TRUE,"GENERAL";"TAB5",#N/A,TRUE,"GENERAL"}</definedName>
    <definedName name="sdfg" hidden="1">{"TAB1",#N/A,TRUE,"GENERAL";"TAB2",#N/A,TRUE,"GENERAL";"TAB3",#N/A,TRUE,"GENERAL";"TAB4",#N/A,TRUE,"GENERAL";"TAB5",#N/A,TRUE,"GENERAL"}</definedName>
    <definedName name="sdfgdsfk" localSheetId="14"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3" hidden="1">{"via1",#N/A,TRUE,"general";"via2",#N/A,TRUE,"general";"via3",#N/A,TRUE,"general"}</definedName>
    <definedName name="sdfgdsfk" localSheetId="15" hidden="1">{"via1",#N/A,TRUE,"general";"via2",#N/A,TRUE,"general";"via3",#N/A,TRUE,"general"}</definedName>
    <definedName name="sdfgdsfk" hidden="1">{"via1",#N/A,TRUE,"general";"via2",#N/A,TRUE,"general";"via3",#N/A,TRUE,"general"}</definedName>
    <definedName name="sdfgsg" localSheetId="14"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3" hidden="1">{"via1",#N/A,TRUE,"general";"via2",#N/A,TRUE,"general";"via3",#N/A,TRUE,"general"}</definedName>
    <definedName name="sdfgsg" localSheetId="15" hidden="1">{"via1",#N/A,TRUE,"general";"via2",#N/A,TRUE,"general";"via3",#N/A,TRUE,"general"}</definedName>
    <definedName name="sdfgsg" hidden="1">{"via1",#N/A,TRUE,"general";"via2",#N/A,TRUE,"general";"via3",#N/A,TRUE,"general"}</definedName>
    <definedName name="SDFLJK" localSheetId="14"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5" hidden="1">{"TAB1",#N/A,TRUE,"GENERAL";"TAB2",#N/A,TRUE,"GENERAL";"TAB3",#N/A,TRUE,"GENERAL";"TAB4",#N/A,TRUE,"GENERAL";"TAB5",#N/A,TRUE,"GENERAL"}</definedName>
    <definedName name="SDFLJK" hidden="1">{"TAB1",#N/A,TRUE,"GENERAL";"TAB2",#N/A,TRUE,"GENERAL";"TAB3",#N/A,TRUE,"GENERAL";"TAB4",#N/A,TRUE,"GENERAL";"TAB5",#N/A,TRUE,"GENERAL"}</definedName>
    <definedName name="sdfsd4" localSheetId="14"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3" hidden="1">{"via1",#N/A,TRUE,"general";"via2",#N/A,TRUE,"general";"via3",#N/A,TRUE,"general"}</definedName>
    <definedName name="sdfsd4" localSheetId="15" hidden="1">{"via1",#N/A,TRUE,"general";"via2",#N/A,TRUE,"general";"via3",#N/A,TRUE,"general"}</definedName>
    <definedName name="sdfsd4" hidden="1">{"via1",#N/A,TRUE,"general";"via2",#N/A,TRUE,"general";"via3",#N/A,TRUE,"general"}</definedName>
    <definedName name="SDFSDF" localSheetId="14"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5" hidden="1">{"TAB1",#N/A,TRUE,"GENERAL";"TAB2",#N/A,TRUE,"GENERAL";"TAB3",#N/A,TRUE,"GENERAL";"TAB4",#N/A,TRUE,"GENERAL";"TAB5",#N/A,TRUE,"GENERAL"}</definedName>
    <definedName name="SDFSDF" hidden="1">{"TAB1",#N/A,TRUE,"GENERAL";"TAB2",#N/A,TRUE,"GENERAL";"TAB3",#N/A,TRUE,"GENERAL";"TAB4",#N/A,TRUE,"GENERAL";"TAB5",#N/A,TRUE,"GENERAL"}</definedName>
    <definedName name="sdfsdfb" localSheetId="14"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3" hidden="1">{"via1",#N/A,TRUE,"general";"via2",#N/A,TRUE,"general";"via3",#N/A,TRUE,"general"}</definedName>
    <definedName name="sdfsdfb" localSheetId="15"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4"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5" hidden="1">{"TAB1",#N/A,TRUE,"GENERAL";"TAB2",#N/A,TRUE,"GENERAL";"TAB3",#N/A,TRUE,"GENERAL";"TAB4",#N/A,TRUE,"GENERAL";"TAB5",#N/A,TRUE,"GENERAL"}</definedName>
    <definedName name="SDFSF"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5" hidden="1">{"TAB1",#N/A,TRUE,"GENERAL";"TAB2",#N/A,TRUE,"GENERAL";"TAB3",#N/A,TRUE,"GENERAL";"TAB4",#N/A,TRUE,"GENERAL";"TAB5",#N/A,TRUE,"GENERAL"}</definedName>
    <definedName name="sdfsv"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5" hidden="1">{"TAB1",#N/A,TRUE,"GENERAL";"TAB2",#N/A,TRUE,"GENERAL";"TAB3",#N/A,TRUE,"GENERAL";"TAB4",#N/A,TRUE,"GENERAL";"TAB5",#N/A,TRUE,"GENERAL"}</definedName>
    <definedName name="sdgfd" hidden="1">{"TAB1",#N/A,TRUE,"GENERAL";"TAB2",#N/A,TRUE,"GENERAL";"TAB3",#N/A,TRUE,"GENERAL";"TAB4",#N/A,TRUE,"GENERAL";"TAB5",#N/A,TRUE,"GENERAL"}</definedName>
    <definedName name="sdgfgp" localSheetId="14"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3" hidden="1">{"via1",#N/A,TRUE,"general";"via2",#N/A,TRUE,"general";"via3",#N/A,TRUE,"general"}</definedName>
    <definedName name="sdgfgp" localSheetId="15" hidden="1">{"via1",#N/A,TRUE,"general";"via2",#N/A,TRUE,"general";"via3",#N/A,TRUE,"general"}</definedName>
    <definedName name="sdgfgp" hidden="1">{"via1",#N/A,TRUE,"general";"via2",#N/A,TRUE,"general";"via3",#N/A,TRUE,"general"}</definedName>
    <definedName name="sdgfiu" localSheetId="14"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3" hidden="1">{"via1",#N/A,TRUE,"general";"via2",#N/A,TRUE,"general";"via3",#N/A,TRUE,"general"}</definedName>
    <definedName name="sdgfiu" localSheetId="15" hidden="1">{"via1",#N/A,TRUE,"general";"via2",#N/A,TRUE,"general";"via3",#N/A,TRUE,"general"}</definedName>
    <definedName name="sdgfiu" hidden="1">{"via1",#N/A,TRUE,"general";"via2",#N/A,TRUE,"general";"via3",#N/A,TRUE,"general"}</definedName>
    <definedName name="sdgsd" localSheetId="14"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5" hidden="1">{"TAB1",#N/A,TRUE,"GENERAL";"TAB2",#N/A,TRUE,"GENERAL";"TAB3",#N/A,TRUE,"GENERAL";"TAB4",#N/A,TRUE,"GENERAL";"TAB5",#N/A,TRUE,"GENERAL"}</definedName>
    <definedName name="sdgsd" hidden="1">{"TAB1",#N/A,TRUE,"GENERAL";"TAB2",#N/A,TRUE,"GENERAL";"TAB3",#N/A,TRUE,"GENERAL";"TAB4",#N/A,TRUE,"GENERAL";"TAB5",#N/A,TRUE,"GENERAL"}</definedName>
    <definedName name="sdgsg" localSheetId="14"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3" hidden="1">{"via1",#N/A,TRUE,"general";"via2",#N/A,TRUE,"general";"via3",#N/A,TRUE,"general"}</definedName>
    <definedName name="sdgsg" localSheetId="15" hidden="1">{"via1",#N/A,TRUE,"general";"via2",#N/A,TRUE,"general";"via3",#N/A,TRUE,"general"}</definedName>
    <definedName name="sdgsg" hidden="1">{"via1",#N/A,TRUE,"general";"via2",#N/A,TRUE,"general";"via3",#N/A,TRUE,"general"}</definedName>
    <definedName name="SDIKOM" localSheetId="14"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5" hidden="1">{"TAB1",#N/A,TRUE,"GENERAL";"TAB2",#N/A,TRUE,"GENERAL";"TAB3",#N/A,TRUE,"GENERAL";"TAB4",#N/A,TRUE,"GENERAL";"TAB5",#N/A,TRUE,"GENERAL"}</definedName>
    <definedName name="SDIKOM" hidden="1">{"TAB1",#N/A,TRUE,"GENERAL";"TAB2",#N/A,TRUE,"GENERAL";"TAB3",#N/A,TRUE,"GENERAL";"TAB4",#N/A,TRUE,"GENERAL";"TAB5",#N/A,TRUE,"GENERAL"}</definedName>
    <definedName name="sdsdfh" localSheetId="14"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3" hidden="1">{"via1",#N/A,TRUE,"general";"via2",#N/A,TRUE,"general";"via3",#N/A,TRUE,"general"}</definedName>
    <definedName name="sdsdfh" localSheetId="15" hidden="1">{"via1",#N/A,TRUE,"general";"via2",#N/A,TRUE,"general";"via3",#N/A,TRUE,"general"}</definedName>
    <definedName name="sdsdfh" hidden="1">{"via1",#N/A,TRUE,"general";"via2",#N/A,TRUE,"general";"via3",#N/A,TRUE,"general"}</definedName>
    <definedName name="sdsdfsdff" hidden="1">{#N/A,#N/A,TRUE,"1842CWN0"}</definedName>
    <definedName name="SE">[103]Datos!$B$3:$D$72</definedName>
    <definedName name="SECP2015">#REF!</definedName>
    <definedName name="SECPO100" localSheetId="3">#REF!</definedName>
    <definedName name="SECPO100" localSheetId="30">#REF!</definedName>
    <definedName name="SECPO100" localSheetId="31">#REF!</definedName>
    <definedName name="SECPO100" localSheetId="29">#REF!</definedName>
    <definedName name="SECPO100">#REF!</definedName>
    <definedName name="SECPO115">#REF!</definedName>
    <definedName name="SECPO25" localSheetId="3">#REF!</definedName>
    <definedName name="SECPO25" localSheetId="30">#REF!</definedName>
    <definedName name="SECPO25" localSheetId="31">#REF!</definedName>
    <definedName name="SECPO25" localSheetId="29">#REF!</definedName>
    <definedName name="SECPO25">#REF!</definedName>
    <definedName name="SECPO50" localSheetId="3">#REF!</definedName>
    <definedName name="SECPO50" localSheetId="30">#REF!</definedName>
    <definedName name="SECPO50" localSheetId="31">#REF!</definedName>
    <definedName name="SECPO50" localSheetId="29">#REF!</definedName>
    <definedName name="SECPO50">#REF!</definedName>
    <definedName name="SECPO515">#REF!</definedName>
    <definedName name="Secretaria">[24]CUADRILLAS!$B$26</definedName>
    <definedName name="SECTOR">#REF!</definedName>
    <definedName name="segundo">'[26]ESTADO RED'!#REF!</definedName>
    <definedName name="sem">#REF!</definedName>
    <definedName name="semanal">#REF!</definedName>
    <definedName name="semilla" localSheetId="3">#REF!</definedName>
    <definedName name="semilla" localSheetId="30">#REF!</definedName>
    <definedName name="semilla" localSheetId="31">#REF!</definedName>
    <definedName name="semilla" localSheetId="29">#REF!</definedName>
    <definedName name="semilla">#REF!</definedName>
    <definedName name="Señal__grupo_1_._Tablero_en_lámina_galvanizada_de_75cm_75cm__calibre_16__reflectivo_tipo_1__incluye_poste">[24]Insumos!$D$39</definedName>
    <definedName name="señv">#REF!</definedName>
    <definedName name="SEPAR">#REF!</definedName>
    <definedName name="SepOct">#REF!</definedName>
    <definedName name="SepOct_C">#REF!</definedName>
    <definedName name="septico" localSheetId="3">#REF!</definedName>
    <definedName name="septico" localSheetId="30">#REF!</definedName>
    <definedName name="septico" localSheetId="31">#REF!</definedName>
    <definedName name="septico" localSheetId="29">#REF!</definedName>
    <definedName name="septico">#REF!</definedName>
    <definedName name="SERO">#N/A</definedName>
    <definedName name="servicio">#REF!</definedName>
    <definedName name="setrj" localSheetId="14"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3" hidden="1">{"via1",#N/A,TRUE,"general";"via2",#N/A,TRUE,"general";"via3",#N/A,TRUE,"general"}</definedName>
    <definedName name="setrj" localSheetId="15" hidden="1">{"via1",#N/A,TRUE,"general";"via2",#N/A,TRUE,"general";"via3",#N/A,TRUE,"general"}</definedName>
    <definedName name="setrj" hidden="1">{"via1",#N/A,TRUE,"general";"via2",#N/A,TRUE,"general";"via3",#N/A,TRUE,"general"}</definedName>
    <definedName name="sett" localSheetId="14"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3" hidden="1">{"via1",#N/A,TRUE,"general";"via2",#N/A,TRUE,"general";"via3",#N/A,TRUE,"general"}</definedName>
    <definedName name="sett" localSheetId="15" hidden="1">{"via1",#N/A,TRUE,"general";"via2",#N/A,TRUE,"general";"via3",#N/A,TRUE,"general"}</definedName>
    <definedName name="sett" hidden="1">{"via1",#N/A,TRUE,"general";"via2",#N/A,TRUE,"general";"via3",#N/A,TRUE,"general"}</definedName>
    <definedName name="sfasf" localSheetId="14"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5" hidden="1">{"TAB1",#N/A,TRUE,"GENERAL";"TAB2",#N/A,TRUE,"GENERAL";"TAB3",#N/A,TRUE,"GENERAL";"TAB4",#N/A,TRUE,"GENERAL";"TAB5",#N/A,TRUE,"GENERAL"}</definedName>
    <definedName name="sfasf"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5" hidden="1">{"TAB1",#N/A,TRUE,"GENERAL";"TAB2",#N/A,TRUE,"GENERAL";"TAB3",#N/A,TRUE,"GENERAL";"TAB4",#N/A,TRUE,"GENERAL";"TAB5",#N/A,TRUE,"GENERAL"}</definedName>
    <definedName name="SFHSGFH" hidden="1">{"TAB1",#N/A,TRUE,"GENERAL";"TAB2",#N/A,TRUE,"GENERAL";"TAB3",#N/A,TRUE,"GENERAL";"TAB4",#N/A,TRUE,"GENERAL";"TAB5",#N/A,TRUE,"GENERAL"}</definedName>
    <definedName name="sfsd" localSheetId="14"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3" hidden="1">{"via1",#N/A,TRUE,"general";"via2",#N/A,TRUE,"general";"via3",#N/A,TRUE,"general"}</definedName>
    <definedName name="sfsd" localSheetId="15" hidden="1">{"via1",#N/A,TRUE,"general";"via2",#N/A,TRUE,"general";"via3",#N/A,TRUE,"general"}</definedName>
    <definedName name="sfsd" hidden="1">{"via1",#N/A,TRUE,"general";"via2",#N/A,TRUE,"general";"via3",#N/A,TRUE,"general"}</definedName>
    <definedName name="sfsdf" localSheetId="14"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5" hidden="1">{"TAB1",#N/A,TRUE,"GENERAL";"TAB2",#N/A,TRUE,"GENERAL";"TAB3",#N/A,TRUE,"GENERAL";"TAB4",#N/A,TRUE,"GENERAL";"TAB5",#N/A,TRUE,"GENERAL"}</definedName>
    <definedName name="sfsdf"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5" hidden="1">{"TAB1",#N/A,TRUE,"GENERAL";"TAB2",#N/A,TRUE,"GENERAL";"TAB3",#N/A,TRUE,"GENERAL";"TAB4",#N/A,TRUE,"GENERAL";"TAB5",#N/A,TRUE,"GENERAL"}</definedName>
    <definedName name="sfsdferg"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5" hidden="1">{"TAB1",#N/A,TRUE,"GENERAL";"TAB2",#N/A,TRUE,"GENERAL";"TAB3",#N/A,TRUE,"GENERAL";"TAB4",#N/A,TRUE,"GENERAL";"TAB5",#N/A,TRUE,"GENERAL"}</definedName>
    <definedName name="sfsdfs" hidden="1">{"TAB1",#N/A,TRUE,"GENERAL";"TAB2",#N/A,TRUE,"GENERAL";"TAB3",#N/A,TRUE,"GENERAL";"TAB4",#N/A,TRUE,"GENERAL";"TAB5",#N/A,TRUE,"GENERAL"}</definedName>
    <definedName name="SHARED_FORMULA_10___0">NA()</definedName>
    <definedName name="SHARED_FORMULA_14___0">NA()</definedName>
    <definedName name="SHARED_FORMULA_18___0">NA()</definedName>
    <definedName name="SHARED_FORMULA_2___0">1/13</definedName>
    <definedName name="SHARED_FORMULA_21">#N/A</definedName>
    <definedName name="SHARED_FORMULA_22___0">NA()</definedName>
    <definedName name="SHARED_FORMULA_26___0">NA()</definedName>
    <definedName name="SHARED_FORMULA_30___0">NA()</definedName>
    <definedName name="SHARED_FORMULA_34">NA()</definedName>
    <definedName name="SHARED_FORMULA_38">NA()</definedName>
    <definedName name="SHARED_FORMULA_6___0">NA()</definedName>
    <definedName name="si">#REF!</definedName>
    <definedName name="SIKAD">#REF!</definedName>
    <definedName name="SIKAROD" localSheetId="3">#REF!</definedName>
    <definedName name="SIKAROD" localSheetId="30">#REF!</definedName>
    <definedName name="SIKAROD" localSheetId="31">#REF!</definedName>
    <definedName name="SIKAROD" localSheetId="29">#REF!</definedName>
    <definedName name="SIKAROD">#REF!</definedName>
    <definedName name="SIKAS" localSheetId="3">#REF!</definedName>
    <definedName name="SIKAS" localSheetId="30">#REF!</definedName>
    <definedName name="SIKAS" localSheetId="31">#REF!</definedName>
    <definedName name="SIKAS" localSheetId="29">#REF!</definedName>
    <definedName name="SIKAS">#REF!</definedName>
    <definedName name="Sin_nombre" localSheetId="3">#REF!</definedName>
    <definedName name="Sin_nombre" localSheetId="30">#REF!</definedName>
    <definedName name="Sin_nombre" localSheetId="31">#REF!</definedName>
    <definedName name="Sin_nombre" localSheetId="29">#REF!</definedName>
    <definedName name="Sin_nombre">#REF!</definedName>
    <definedName name="SISISIS">#N/A</definedName>
    <definedName name="sk">#REF!</definedName>
    <definedName name="SLPVC" localSheetId="3">#REF!</definedName>
    <definedName name="SLPVC" localSheetId="30">#REF!</definedName>
    <definedName name="SLPVC" localSheetId="31">#REF!</definedName>
    <definedName name="SLPVC" localSheetId="29">#REF!</definedName>
    <definedName name="SLPVC">#REF!</definedName>
    <definedName name="sm" localSheetId="3">#REF!</definedName>
    <definedName name="sm" localSheetId="30">#REF!</definedName>
    <definedName name="sm" localSheetId="31">#REF!</definedName>
    <definedName name="sm" localSheetId="29">#REF!</definedName>
    <definedName name="sm">#REF!</definedName>
    <definedName name="smlv">'[24]F. P. AIU'!$B$48</definedName>
    <definedName name="SMMLV" localSheetId="3">#REF!</definedName>
    <definedName name="SMMLV" localSheetId="30">#REF!</definedName>
    <definedName name="SMMLV" localSheetId="31">#REF!</definedName>
    <definedName name="SMMLV" localSheetId="29">#REF!</definedName>
    <definedName name="SMMLV">#REF!</definedName>
    <definedName name="sn">#REF!</definedName>
    <definedName name="snw">#REF!</definedName>
    <definedName name="sñ">#REF!</definedName>
    <definedName name="so">#REF!</definedName>
    <definedName name="SOLD14">#REF!</definedName>
    <definedName name="SOLDA">#REF!</definedName>
    <definedName name="SOLPVC">#REF!</definedName>
    <definedName name="sr">#REF!</definedName>
    <definedName name="srwrwr" localSheetId="14"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5"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#N/A</definedName>
    <definedName name="sssss7" localSheetId="14"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3" hidden="1">{"via1",#N/A,TRUE,"general";"via2",#N/A,TRUE,"general";"via3",#N/A,TRUE,"general"}</definedName>
    <definedName name="sssss7" localSheetId="15" hidden="1">{"via1",#N/A,TRUE,"general";"via2",#N/A,TRUE,"general";"via3",#N/A,TRUE,"general"}</definedName>
    <definedName name="sssss7" hidden="1">{"via1",#N/A,TRUE,"general";"via2",#N/A,TRUE,"general";"via3",#N/A,TRUE,"general"}</definedName>
    <definedName name="sssssa" localSheetId="14"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5" hidden="1">{"TAB1",#N/A,TRUE,"GENERAL";"TAB2",#N/A,TRUE,"GENERAL";"TAB3",#N/A,TRUE,"GENERAL";"TAB4",#N/A,TRUE,"GENERAL";"TAB5",#N/A,TRUE,"GENERAL"}</definedName>
    <definedName name="sssssa" hidden="1">{"TAB1",#N/A,TRUE,"GENERAL";"TAB2",#N/A,TRUE,"GENERAL";"TAB3",#N/A,TRUE,"GENERAL";"TAB4",#N/A,TRUE,"GENERAL";"TAB5",#N/A,TRUE,"GENERAL"}</definedName>
    <definedName name="SSSSSSS">IF(Loan_Amount*Interest_Rate*Loan_Years*Loan_Start&gt;0,1,0)</definedName>
    <definedName name="sssssy" localSheetId="14"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3" hidden="1">{"via1",#N/A,TRUE,"general";"via2",#N/A,TRUE,"general";"via3",#N/A,TRUE,"general"}</definedName>
    <definedName name="sssssy" localSheetId="15" hidden="1">{"via1",#N/A,TRUE,"general";"via2",#N/A,TRUE,"general";"via3",#N/A,TRUE,"general"}</definedName>
    <definedName name="sssssy" hidden="1">{"via1",#N/A,TRUE,"general";"via2",#N/A,TRUE,"general";"via3",#N/A,TRUE,"general"}</definedName>
    <definedName name="stt" localSheetId="14"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3" hidden="1">{"via1",#N/A,TRUE,"general";"via2",#N/A,TRUE,"general";"via3",#N/A,TRUE,"general"}</definedName>
    <definedName name="stt" localSheetId="15" hidden="1">{"via1",#N/A,TRUE,"general";"via2",#N/A,TRUE,"general";"via3",#N/A,TRUE,"general"}</definedName>
    <definedName name="stt" hidden="1">{"via1",#N/A,TRUE,"general";"via2",#N/A,TRUE,"general";"via3",#N/A,TRUE,"general"}</definedName>
    <definedName name="SUBA">#REF!</definedName>
    <definedName name="SUBBASE" localSheetId="3">#REF!</definedName>
    <definedName name="SUBBASE" localSheetId="30">#REF!</definedName>
    <definedName name="SUBBASE" localSheetId="31">#REF!</definedName>
    <definedName name="SUBBASE" localSheetId="29">#REF!</definedName>
    <definedName name="SUBBASE">#REF!</definedName>
    <definedName name="Subbase2">#REF!</definedName>
    <definedName name="Subbse_Granular">[24]Insumos!$D$28</definedName>
    <definedName name="SUELDOS">[104]SALARIOS!$A$9:$I$200</definedName>
    <definedName name="SUELLEN">#REF!</definedName>
    <definedName name="sum" localSheetId="3">#REF!</definedName>
    <definedName name="sum" localSheetId="35">#REF!</definedName>
    <definedName name="sum">#REF!</definedName>
    <definedName name="suma">#REF!</definedName>
    <definedName name="SUMIN">#REF!</definedName>
    <definedName name="Summary">#REF!</definedName>
    <definedName name="SUPPT19">#REF!</definedName>
    <definedName name="SUPT12">#REF!</definedName>
    <definedName name="SUPT19">#REF!</definedName>
    <definedName name="sw">#N/A</definedName>
    <definedName name="swsw" localSheetId="14"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3" hidden="1">{"via1",#N/A,TRUE,"general";"via2",#N/A,TRUE,"general";"via3",#N/A,TRUE,"general"}</definedName>
    <definedName name="swsw" localSheetId="15" hidden="1">{"via1",#N/A,TRUE,"general";"via2",#N/A,TRUE,"general";"via3",#N/A,TRUE,"general"}</definedName>
    <definedName name="swsw" hidden="1">{"via1",#N/A,TRUE,"general";"via2",#N/A,TRUE,"general";"via3",#N/A,TRUE,"general"}</definedName>
    <definedName name="swsw3" localSheetId="14"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5" hidden="1">{"TAB1",#N/A,TRUE,"GENERAL";"TAB2",#N/A,TRUE,"GENERAL";"TAB3",#N/A,TRUE,"GENERAL";"TAB4",#N/A,TRUE,"GENERAL";"TAB5",#N/A,TRUE,"GENERAL"}</definedName>
    <definedName name="swsw3" hidden="1">{"TAB1",#N/A,TRUE,"GENERAL";"TAB2",#N/A,TRUE,"GENERAL";"TAB3",#N/A,TRUE,"GENERAL";"TAB4",#N/A,TRUE,"GENERAL";"TAB5",#N/A,TRUE,"GENERAL"}</definedName>
    <definedName name="SZ">#REF!</definedName>
    <definedName name="t" localSheetId="14">[2]!absc</definedName>
    <definedName name="t" localSheetId="17">[2]!absc</definedName>
    <definedName name="t" localSheetId="2">[2]!absc</definedName>
    <definedName name="t" localSheetId="20">[2]!absc</definedName>
    <definedName name="t" localSheetId="21">[2]!absc</definedName>
    <definedName name="t" localSheetId="15">[2]!absc</definedName>
    <definedName name="t">[2]!absc</definedName>
    <definedName name="T126JH" localSheetId="3">#REF!</definedName>
    <definedName name="T126JH" localSheetId="30">#REF!</definedName>
    <definedName name="T126JH" localSheetId="31">#REF!</definedName>
    <definedName name="T126JH" localSheetId="29">#REF!</definedName>
    <definedName name="T126JH">#REF!</definedName>
    <definedName name="T164JH">#REF!</definedName>
    <definedName name="T22JH" localSheetId="3">#REF!</definedName>
    <definedName name="T22JH" localSheetId="30">#REF!</definedName>
    <definedName name="T22JH" localSheetId="31">#REF!</definedName>
    <definedName name="T22JH" localSheetId="35">#REF!</definedName>
    <definedName name="T22JH" localSheetId="29">#REF!</definedName>
    <definedName name="T22JH">#REF!</definedName>
    <definedName name="T2HDJH">#REF!</definedName>
    <definedName name="T32JH" localSheetId="3">#REF!</definedName>
    <definedName name="T32JH" localSheetId="30">#REF!</definedName>
    <definedName name="T32JH" localSheetId="31">#REF!</definedName>
    <definedName name="T32JH" localSheetId="35">#REF!</definedName>
    <definedName name="T32JH" localSheetId="29">#REF!</definedName>
    <definedName name="T32JH">#REF!</definedName>
    <definedName name="T33JH" localSheetId="3">#REF!</definedName>
    <definedName name="T33JH" localSheetId="30">#REF!</definedName>
    <definedName name="T33JH" localSheetId="31">#REF!</definedName>
    <definedName name="T33JH" localSheetId="35">#REF!</definedName>
    <definedName name="T33JH" localSheetId="29">#REF!</definedName>
    <definedName name="T33JH">#REF!</definedName>
    <definedName name="T3HDJH" localSheetId="3">#REF!</definedName>
    <definedName name="T3HDJH" localSheetId="30">#REF!</definedName>
    <definedName name="T3HDJH" localSheetId="31">#REF!</definedName>
    <definedName name="T3HDJH" localSheetId="29">#REF!</definedName>
    <definedName name="T3HDJH">#REF!</definedName>
    <definedName name="T42JH" localSheetId="3">#REF!</definedName>
    <definedName name="T42JH" localSheetId="30">#REF!</definedName>
    <definedName name="T42JH" localSheetId="31">#REF!</definedName>
    <definedName name="T42JH" localSheetId="35">#REF!</definedName>
    <definedName name="T42JH" localSheetId="29">#REF!</definedName>
    <definedName name="T42JH">#REF!</definedName>
    <definedName name="T43JH" localSheetId="3">#REF!</definedName>
    <definedName name="T43JH" localSheetId="30">#REF!</definedName>
    <definedName name="T43JH" localSheetId="31">#REF!</definedName>
    <definedName name="T43JH" localSheetId="35">#REF!</definedName>
    <definedName name="T43JH" localSheetId="29">#REF!</definedName>
    <definedName name="T43JH">#REF!</definedName>
    <definedName name="T44JH" localSheetId="3">#REF!</definedName>
    <definedName name="T44JH" localSheetId="30">#REF!</definedName>
    <definedName name="T44JH" localSheetId="31">#REF!</definedName>
    <definedName name="T44JH" localSheetId="35">#REF!</definedName>
    <definedName name="T44JH" localSheetId="29">#REF!</definedName>
    <definedName name="T44JH">#REF!</definedName>
    <definedName name="T4HDJH" localSheetId="3">#REF!</definedName>
    <definedName name="T4HDJH" localSheetId="30">#REF!</definedName>
    <definedName name="T4HDJH" localSheetId="31">#REF!</definedName>
    <definedName name="T4HDJH" localSheetId="29">#REF!</definedName>
    <definedName name="T4HDJH">#REF!</definedName>
    <definedName name="t5t5" localSheetId="14"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3" hidden="1">{"TAB1",#N/A,TRUE,"GENERAL";"TAB2",#N/A,TRUE,"GENERAL";"TAB3",#N/A,TRUE,"GENERAL";"TAB4",#N/A,TRUE,"GENERAL";"TAB5",#N/A,TRUE,"GENERAL"}</definedName>
    <definedName name="t5t5" localSheetId="15" hidden="1">{"TAB1",#N/A,TRUE,"GENERAL";"TAB2",#N/A,TRUE,"GENERAL";"TAB3",#N/A,TRUE,"GENERAL";"TAB4",#N/A,TRUE,"GENERAL";"TAB5",#N/A,TRUE,"GENERAL"}</definedName>
    <definedName name="t5t5" hidden="1">{"TAB1",#N/A,TRUE,"GENERAL";"TAB2",#N/A,TRUE,"GENERAL";"TAB3",#N/A,TRUE,"GENERAL";"TAB4",#N/A,TRUE,"GENERAL";"TAB5",#N/A,TRUE,"GENERAL"}</definedName>
    <definedName name="T62JH" localSheetId="3">#REF!</definedName>
    <definedName name="T62JH" localSheetId="30">#REF!</definedName>
    <definedName name="T62JH" localSheetId="31">#REF!</definedName>
    <definedName name="T62JH" localSheetId="35">#REF!</definedName>
    <definedName name="T62JH" localSheetId="29">#REF!</definedName>
    <definedName name="T62JH">#REF!</definedName>
    <definedName name="T63JH" localSheetId="3">#REF!</definedName>
    <definedName name="T63JH" localSheetId="30">#REF!</definedName>
    <definedName name="T63JH" localSheetId="31">#REF!</definedName>
    <definedName name="T63JH" localSheetId="35">#REF!</definedName>
    <definedName name="T63JH" localSheetId="29">#REF!</definedName>
    <definedName name="T63JH">#REF!</definedName>
    <definedName name="T64JH" localSheetId="3">#REF!</definedName>
    <definedName name="T64JH" localSheetId="30">#REF!</definedName>
    <definedName name="T64JH" localSheetId="31">#REF!</definedName>
    <definedName name="T64JH" localSheetId="35">#REF!</definedName>
    <definedName name="T64JH" localSheetId="29">#REF!</definedName>
    <definedName name="T64JH">#REF!</definedName>
    <definedName name="T66JH" localSheetId="3">#REF!</definedName>
    <definedName name="T66JH" localSheetId="30">#REF!</definedName>
    <definedName name="T66JH" localSheetId="31">#REF!</definedName>
    <definedName name="T66JH" localSheetId="35">#REF!</definedName>
    <definedName name="T66JH" localSheetId="29">#REF!</definedName>
    <definedName name="T66JH">#REF!</definedName>
    <definedName name="T82JH" localSheetId="3">#REF!</definedName>
    <definedName name="T82JH" localSheetId="30">#REF!</definedName>
    <definedName name="T82JH" localSheetId="31">#REF!</definedName>
    <definedName name="T82JH" localSheetId="35">#REF!</definedName>
    <definedName name="T82JH" localSheetId="29">#REF!</definedName>
    <definedName name="T82JH">#REF!</definedName>
    <definedName name="T83JH" localSheetId="3">#REF!</definedName>
    <definedName name="T83JH" localSheetId="30">#REF!</definedName>
    <definedName name="T83JH" localSheetId="31">#REF!</definedName>
    <definedName name="T83JH" localSheetId="35">#REF!</definedName>
    <definedName name="T83JH" localSheetId="29">#REF!</definedName>
    <definedName name="T83JH">#REF!</definedName>
    <definedName name="T84JH" localSheetId="3">#REF!</definedName>
    <definedName name="T84JH" localSheetId="30">#REF!</definedName>
    <definedName name="T84JH" localSheetId="31">#REF!</definedName>
    <definedName name="T84JH" localSheetId="35">#REF!</definedName>
    <definedName name="T84JH" localSheetId="29">#REF!</definedName>
    <definedName name="T84JH">#REF!</definedName>
    <definedName name="T88EB" localSheetId="3">#REF!</definedName>
    <definedName name="T88EB" localSheetId="30">#REF!</definedName>
    <definedName name="T88EB" localSheetId="31">#REF!</definedName>
    <definedName name="T88EB" localSheetId="35">#REF!</definedName>
    <definedName name="T88EB" localSheetId="29">#REF!</definedName>
    <definedName name="T88EB">#REF!</definedName>
    <definedName name="T88EL" localSheetId="3">#REF!</definedName>
    <definedName name="T88EL" localSheetId="30">#REF!</definedName>
    <definedName name="T88EL" localSheetId="31">#REF!</definedName>
    <definedName name="T88EL" localSheetId="35">#REF!</definedName>
    <definedName name="T88EL" localSheetId="29">#REF!</definedName>
    <definedName name="T88EL">#REF!</definedName>
    <definedName name="T88JH" localSheetId="3">#REF!</definedName>
    <definedName name="T88JH" localSheetId="30">#REF!</definedName>
    <definedName name="T88JH" localSheetId="31">#REF!</definedName>
    <definedName name="T88JH" localSheetId="29">#REF!</definedName>
    <definedName name="T88JH">#REF!</definedName>
    <definedName name="T8HDJH" localSheetId="3">#REF!</definedName>
    <definedName name="T8HDJH" localSheetId="30">#REF!</definedName>
    <definedName name="T8HDJH" localSheetId="31">#REF!</definedName>
    <definedName name="T8HDJH" localSheetId="29">#REF!</definedName>
    <definedName name="T8HDJH">#REF!</definedName>
    <definedName name="TAB">#REF!</definedName>
    <definedName name="TabBL">#REF!</definedName>
    <definedName name="TabCIM" localSheetId="3">#REF!</definedName>
    <definedName name="TabCIM" localSheetId="30">#REF!</definedName>
    <definedName name="TabCIM" localSheetId="31">#REF!</definedName>
    <definedName name="TabCIM" localSheetId="29">#REF!</definedName>
    <definedName name="TabCIM">#REF!</definedName>
    <definedName name="TABLA">#REF!</definedName>
    <definedName name="TABLA_DE_CONTENIDO__A1" comment="VOLVER A TABLA DE CONTENIDO">#REF!</definedName>
    <definedName name="TABLA1.2.2">'[105]A.P.U'!#REF!</definedName>
    <definedName name="TABLA17X20" localSheetId="3">#REF!</definedName>
    <definedName name="TABLA17X20" localSheetId="30">#REF!</definedName>
    <definedName name="TABLA17X20" localSheetId="31">#REF!</definedName>
    <definedName name="TABLA17X20" localSheetId="29">#REF!</definedName>
    <definedName name="TABLA17X20">#REF!</definedName>
    <definedName name="TablaElDorado">[25]ELDORADO!$A$2:$H$15</definedName>
    <definedName name="TablaIbague">[25]IBAGUE!$A$2:$G$18</definedName>
    <definedName name="TablaStarosa">'[25]STA ROSA'!$A$6:$I$23</definedName>
    <definedName name="TABLILLA">#REF!</definedName>
    <definedName name="TabPE">#REF!</definedName>
    <definedName name="TabPVC">#REF!</definedName>
    <definedName name="tacha">#REF!</definedName>
    <definedName name="TACOM">#REF!</definedName>
    <definedName name="TACOM1">#REF!</definedName>
    <definedName name="TACOR" localSheetId="3">#REF!</definedName>
    <definedName name="TACOR" localSheetId="30">#REF!</definedName>
    <definedName name="TACOR" localSheetId="31">#REF!</definedName>
    <definedName name="TACOR" localSheetId="29">#REF!</definedName>
    <definedName name="TACOR">#REF!</definedName>
    <definedName name="TACOR_">#REF!</definedName>
    <definedName name="TANQUE" localSheetId="3">#REF!</definedName>
    <definedName name="TANQUE" localSheetId="30">#REF!</definedName>
    <definedName name="TANQUE" localSheetId="31">#REF!</definedName>
    <definedName name="TANQUE" localSheetId="29">#REF!</definedName>
    <definedName name="TANQUE">#REF!</definedName>
    <definedName name="TAPAM">#REF!</definedName>
    <definedName name="TAPAPRE" localSheetId="3">#REF!</definedName>
    <definedName name="TAPAPRE" localSheetId="30">#REF!</definedName>
    <definedName name="TAPAPRE" localSheetId="31">#REF!</definedName>
    <definedName name="TAPAPRE" localSheetId="29">#REF!</definedName>
    <definedName name="TAPAPRE">#REF!</definedName>
    <definedName name="TAPASEG" localSheetId="3">#REF!</definedName>
    <definedName name="TAPASEG" localSheetId="30">#REF!</definedName>
    <definedName name="TAPASEG" localSheetId="31">#REF!</definedName>
    <definedName name="TAPASEG" localSheetId="29">#REF!</definedName>
    <definedName name="TAPASEG">#REF!</definedName>
    <definedName name="TAPDEC1820S" localSheetId="3">#REF!</definedName>
    <definedName name="TAPDEC1820S" localSheetId="30">#REF!</definedName>
    <definedName name="TAPDEC1820S" localSheetId="31">#REF!</definedName>
    <definedName name="TAPDEC1820S" localSheetId="29">#REF!</definedName>
    <definedName name="TAPDEC1820S">#REF!</definedName>
    <definedName name="TAPDEC2427S" localSheetId="3">#REF!</definedName>
    <definedName name="TAPDEC2427S" localSheetId="30">#REF!</definedName>
    <definedName name="TAPDEC2427S" localSheetId="31">#REF!</definedName>
    <definedName name="TAPDEC2427S" localSheetId="29">#REF!</definedName>
    <definedName name="TAPDEC2427S">#REF!</definedName>
    <definedName name="TAPDEC36" localSheetId="3">#REF!</definedName>
    <definedName name="TAPDEC36" localSheetId="30">#REF!</definedName>
    <definedName name="TAPDEC36" localSheetId="31">#REF!</definedName>
    <definedName name="TAPDEC36" localSheetId="29">#REF!</definedName>
    <definedName name="TAPDEC36">#REF!</definedName>
    <definedName name="TAPDEC812" localSheetId="3">#REF!</definedName>
    <definedName name="TAPDEC812" localSheetId="30">#REF!</definedName>
    <definedName name="TAPDEC812" localSheetId="31">#REF!</definedName>
    <definedName name="TAPDEC812" localSheetId="29">#REF!</definedName>
    <definedName name="TAPDEC812">#REF!</definedName>
    <definedName name="TAPDEC812S" localSheetId="3">#REF!</definedName>
    <definedName name="TAPDEC812S" localSheetId="30">#REF!</definedName>
    <definedName name="TAPDEC812S" localSheetId="31">#REF!</definedName>
    <definedName name="TAPDEC812S" localSheetId="29">#REF!</definedName>
    <definedName name="TAPDEC812S">#REF!</definedName>
    <definedName name="TAPDEC916S" localSheetId="3">#REF!</definedName>
    <definedName name="TAPDEC916S" localSheetId="30">#REF!</definedName>
    <definedName name="TAPDEC916S" localSheetId="31">#REF!</definedName>
    <definedName name="TAPDEC916S" localSheetId="29">#REF!</definedName>
    <definedName name="TAPDEC916S">#REF!</definedName>
    <definedName name="tarifas">[106]Equipo!$A$4:$E$72</definedName>
    <definedName name="Tasa_Cambio">[107]PRESUPUESTO!#REF!</definedName>
    <definedName name="TASH2_">#REF!</definedName>
    <definedName name="TASH4_">#REF!</definedName>
    <definedName name="TASP1">#REF!</definedName>
    <definedName name="TASP2">#REF!</definedName>
    <definedName name="TASP3">#REF!</definedName>
    <definedName name="TASP4">#REF!</definedName>
    <definedName name="TASP6">#REF!</definedName>
    <definedName name="TASR4">#REF!</definedName>
    <definedName name="tb">#REF!</definedName>
    <definedName name="tdy" localSheetId="14"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3" hidden="1">{"TAB1",#N/A,TRUE,"GENERAL";"TAB2",#N/A,TRUE,"GENERAL";"TAB3",#N/A,TRUE,"GENERAL";"TAB4",#N/A,TRUE,"GENERAL";"TAB5",#N/A,TRUE,"GENERAL"}</definedName>
    <definedName name="tdy" localSheetId="15" hidden="1">{"TAB1",#N/A,TRUE,"GENERAL";"TAB2",#N/A,TRUE,"GENERAL";"TAB3",#N/A,TRUE,"GENERAL";"TAB4",#N/A,TRUE,"GENERAL";"TAB5",#N/A,TRUE,"GENERAL"}</definedName>
    <definedName name="tdy" hidden="1">{"TAB1",#N/A,TRUE,"GENERAL";"TAB2",#N/A,TRUE,"GENERAL";"TAB3",#N/A,TRUE,"GENERAL";"TAB4",#N/A,TRUE,"GENERAL";"TAB5",#N/A,TRUE,"GENERAL"}</definedName>
    <definedName name="TE22JH">#REF!</definedName>
    <definedName name="TE33JH" localSheetId="3">#REF!</definedName>
    <definedName name="TE33JH" localSheetId="30">#REF!</definedName>
    <definedName name="TE33JH" localSheetId="31">#REF!</definedName>
    <definedName name="TE33JH" localSheetId="29">#REF!</definedName>
    <definedName name="TE33JH">#REF!</definedName>
    <definedName name="TE43JH" localSheetId="3">#REF!</definedName>
    <definedName name="TE43JH" localSheetId="30">#REF!</definedName>
    <definedName name="TE43JH" localSheetId="31">#REF!</definedName>
    <definedName name="TE43JH" localSheetId="29">#REF!</definedName>
    <definedName name="TE43JH">#REF!</definedName>
    <definedName name="TE44JH">#REF!</definedName>
    <definedName name="TE62JH" localSheetId="3">#REF!</definedName>
    <definedName name="TE62JH" localSheetId="30">#REF!</definedName>
    <definedName name="TE62JH" localSheetId="31">#REF!</definedName>
    <definedName name="TE62JH" localSheetId="29">#REF!</definedName>
    <definedName name="TE62JH">#REF!</definedName>
    <definedName name="TE63JH" localSheetId="3">#REF!</definedName>
    <definedName name="TE63JH" localSheetId="30">#REF!</definedName>
    <definedName name="TE63JH" localSheetId="31">#REF!</definedName>
    <definedName name="TE63JH" localSheetId="29">#REF!</definedName>
    <definedName name="TE63JH">#REF!</definedName>
    <definedName name="TECHINT_INTERNATIONAL_CONSTRUCTION">"CP03"</definedName>
    <definedName name="TECN" localSheetId="14">DATE(YEAR([45]!Loan_Start),MONTH([45]!Loan_Start)+Payment_Number,DAY([45]!Loan_Start))</definedName>
    <definedName name="TECN" localSheetId="17">DATE(YEAR([45]!Loan_Start),MONTH([45]!Loan_Start)+Payment_Number,DAY([45]!Loan_Start))</definedName>
    <definedName name="TECN" localSheetId="2">DATE(YEAR([45]!Loan_Start),MONTH([45]!Loan_Start)+Payment_Number,DAY([45]!Loan_Start))</definedName>
    <definedName name="TECN" localSheetId="20">DATE(YEAR([45]!Loan_Start),MONTH([45]!Loan_Start)+Payment_Number,DAY([45]!Loan_Start))</definedName>
    <definedName name="TECN" localSheetId="21">DATE(YEAR([45]!Loan_Start),MONTH([45]!Loan_Start)+Payment_Number,DAY([45]!Loan_Start))</definedName>
    <definedName name="TECN" localSheetId="15">DATE(YEAR([45]!Loan_Start),MONTH([45]!Loan_Start)+Payment_Number,DAY([45]!Loan_Start))</definedName>
    <definedName name="TECN">DATE(YEAR(Loan_Start),MONTH(Loan_Start)+Payment_Number,DAY(Loan_Start))</definedName>
    <definedName name="TEE62JH">#REF!</definedName>
    <definedName name="TEJAB">#REF!</definedName>
    <definedName name="TEJAJ">#REF!</definedName>
    <definedName name="TEJAZINC">#REF!</definedName>
    <definedName name="TELACERR" localSheetId="3">#REF!</definedName>
    <definedName name="TELACERR" localSheetId="30">#REF!</definedName>
    <definedName name="TELACERR" localSheetId="31">#REF!</definedName>
    <definedName name="TELACERR" localSheetId="29">#REF!</definedName>
    <definedName name="TELACERR">#REF!</definedName>
    <definedName name="TELEP" localSheetId="3">#REF!</definedName>
    <definedName name="TELEP" localSheetId="30">#REF!</definedName>
    <definedName name="TELEP" localSheetId="31">#REF!</definedName>
    <definedName name="TELEP" localSheetId="29">#REF!</definedName>
    <definedName name="TELEP">#REF!</definedName>
    <definedName name="TELERA" localSheetId="3">#REF!</definedName>
    <definedName name="TELERA" localSheetId="30">#REF!</definedName>
    <definedName name="TELERA" localSheetId="31">#REF!</definedName>
    <definedName name="TELERA" localSheetId="29">#REF!</definedName>
    <definedName name="TELERA">#REF!</definedName>
    <definedName name="TEMPLL">'[7]DAT NUC'!$G$2:$G$532</definedName>
    <definedName name="TEMPS">'[7]DAT NUC'!$F$2:$F$444</definedName>
    <definedName name="TER">#N/A</definedName>
    <definedName name="term">#REF!</definedName>
    <definedName name="terminadora">#REF!</definedName>
    <definedName name="terminales" localSheetId="3">#REF!</definedName>
    <definedName name="terminales" localSheetId="30">#REF!</definedName>
    <definedName name="terminales" localSheetId="31">#REF!</definedName>
    <definedName name="terminales" localSheetId="29">#REF!</definedName>
    <definedName name="terminales">#REF!</definedName>
    <definedName name="TÉRMINOS">#N/A</definedName>
    <definedName name="TERR">[22]PRESUPUESTO!$I$7</definedName>
    <definedName name="territoriales">#REF!</definedName>
    <definedName name="tewst" localSheetId="14"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5" hidden="1">{"TAB1",#N/A,TRUE,"GENERAL";"TAB2",#N/A,TRUE,"GENERAL";"TAB3",#N/A,TRUE,"GENERAL";"TAB4",#N/A,TRUE,"GENERAL";"TAB5",#N/A,TRUE,"GENERAL"}</definedName>
    <definedName name="tewst" hidden="1">{"TAB1",#N/A,TRUE,"GENERAL";"TAB2",#N/A,TRUE,"GENERAL";"TAB3",#N/A,TRUE,"GENERAL";"TAB4",#N/A,TRUE,"GENERAL";"TAB5",#N/A,TRUE,"GENERAL"}</definedName>
    <definedName name="teytrh" localSheetId="14"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3" hidden="1">{"via1",#N/A,TRUE,"general";"via2",#N/A,TRUE,"general";"via3",#N/A,TRUE,"general"}</definedName>
    <definedName name="teytrh" localSheetId="15" hidden="1">{"via1",#N/A,TRUE,"general";"via2",#N/A,TRUE,"general";"via3",#N/A,TRUE,"general"}</definedName>
    <definedName name="teytrh" hidden="1">{"via1",#N/A,TRUE,"general";"via2",#N/A,TRUE,"general";"via3",#N/A,TRUE,"general"}</definedName>
    <definedName name="TGALV">#REF!</definedName>
    <definedName name="TGRASA">#REF!</definedName>
    <definedName name="th">#REF!</definedName>
    <definedName name="TH10J" localSheetId="3">#REF!</definedName>
    <definedName name="TH10J" localSheetId="30">#REF!</definedName>
    <definedName name="TH10J" localSheetId="31">#REF!</definedName>
    <definedName name="TH10J" localSheetId="35">#REF!</definedName>
    <definedName name="TH10J" localSheetId="29">#REF!</definedName>
    <definedName name="TH10J">#REF!</definedName>
    <definedName name="thdh" localSheetId="14"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3" hidden="1">{"TAB1",#N/A,TRUE,"GENERAL";"TAB2",#N/A,TRUE,"GENERAL";"TAB3",#N/A,TRUE,"GENERAL";"TAB4",#N/A,TRUE,"GENERAL";"TAB5",#N/A,TRUE,"GENERAL"}</definedName>
    <definedName name="thdh" localSheetId="15"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tj" localSheetId="14"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3" hidden="1">{"via1",#N/A,TRUE,"general";"via2",#N/A,TRUE,"general";"via3",#N/A,TRUE,"general"}</definedName>
    <definedName name="thtj" localSheetId="15" hidden="1">{"via1",#N/A,TRUE,"general";"via2",#N/A,TRUE,"general";"via3",#N/A,TRUE,"general"}</definedName>
    <definedName name="thtj" hidden="1">{"via1",#N/A,TRUE,"general";"via2",#N/A,TRUE,"general";"via3",#N/A,TRUE,"general"}</definedName>
    <definedName name="TIEMPO">[38]BASES!$E$27</definedName>
    <definedName name="Tipocimentacion" localSheetId="3">#REF!</definedName>
    <definedName name="Tipocimentacion" localSheetId="30">#REF!</definedName>
    <definedName name="Tipocimentacion" localSheetId="31">#REF!</definedName>
    <definedName name="Tipocimentacion" localSheetId="29">#REF!</definedName>
    <definedName name="Tipocimentacion">#REF!</definedName>
    <definedName name="tipov">#REF!</definedName>
    <definedName name="TIT">#REF!</definedName>
    <definedName name="titi">IF(Loan_Amount*Interest_Rate*Loan_Years*Loan_Start&gt;0,1,0)</definedName>
    <definedName name="TITO">#N/A</definedName>
    <definedName name="TITOF">#N/A</definedName>
    <definedName name="titular_actualizados">#REF!</definedName>
    <definedName name="TITULO">#REF!</definedName>
    <definedName name="_xlnm.Print_Titles" localSheetId="14">AMBIENTAL!$2:$6</definedName>
    <definedName name="_xlnm.Print_Titles" localSheetId="31">'Cálculo_Diseño  (2)'!$C:$D,'Cálculo_Diseño  (2)'!$5:$8</definedName>
    <definedName name="_xlnm.Print_Titles" localSheetId="35">'ppto (2)'!$1:$8</definedName>
    <definedName name="_xlnm.Print_Titles" localSheetId="13">SOCIAL!$2:$6</definedName>
    <definedName name="_xlnm.Print_Titles" localSheetId="15">SST!$2:$6</definedName>
    <definedName name="_xlnm.Print_Titles">#N/A</definedName>
    <definedName name="Títulos_a_imprimir_IM">#REF!</definedName>
    <definedName name="tj">#REF!</definedName>
    <definedName name="TK_1" hidden="1">[18]INST!#REF!</definedName>
    <definedName name="tl">#REF!</definedName>
    <definedName name="TMMSEG">#REF!</definedName>
    <definedName name="tn">#REF!</definedName>
    <definedName name="TNOV10" localSheetId="3">#REF!</definedName>
    <definedName name="TNOV10" localSheetId="30">#REF!</definedName>
    <definedName name="TNOV10" localSheetId="31">#REF!</definedName>
    <definedName name="TNOV10" localSheetId="29">#REF!</definedName>
    <definedName name="TNOV10">#REF!</definedName>
    <definedName name="TNOV12" localSheetId="3">#REF!</definedName>
    <definedName name="TNOV12" localSheetId="30">#REF!</definedName>
    <definedName name="TNOV12" localSheetId="31">#REF!</definedName>
    <definedName name="TNOV12" localSheetId="29">#REF!</definedName>
    <definedName name="TNOV12">#REF!</definedName>
    <definedName name="TNOV14" localSheetId="3">#REF!</definedName>
    <definedName name="TNOV14" localSheetId="30">#REF!</definedName>
    <definedName name="TNOV14" localSheetId="31">#REF!</definedName>
    <definedName name="TNOV14" localSheetId="29">#REF!</definedName>
    <definedName name="TNOV14">#REF!</definedName>
    <definedName name="TNOV16" localSheetId="3">#REF!</definedName>
    <definedName name="TNOV16" localSheetId="30">#REF!</definedName>
    <definedName name="TNOV16" localSheetId="31">#REF!</definedName>
    <definedName name="TNOV16" localSheetId="29">#REF!</definedName>
    <definedName name="TNOV16">#REF!</definedName>
    <definedName name="TNOV18" localSheetId="3">#REF!</definedName>
    <definedName name="TNOV18" localSheetId="30">#REF!</definedName>
    <definedName name="TNOV18" localSheetId="31">#REF!</definedName>
    <definedName name="TNOV18" localSheetId="29">#REF!</definedName>
    <definedName name="TNOV18">#REF!</definedName>
    <definedName name="TNOV20" localSheetId="3">#REF!</definedName>
    <definedName name="TNOV20" localSheetId="30">#REF!</definedName>
    <definedName name="TNOV20" localSheetId="31">#REF!</definedName>
    <definedName name="TNOV20" localSheetId="29">#REF!</definedName>
    <definedName name="TNOV20">#REF!</definedName>
    <definedName name="TNOV24" localSheetId="3">#REF!</definedName>
    <definedName name="TNOV24" localSheetId="30">#REF!</definedName>
    <definedName name="TNOV24" localSheetId="31">#REF!</definedName>
    <definedName name="TNOV24" localSheetId="29">#REF!</definedName>
    <definedName name="TNOV24">#REF!</definedName>
    <definedName name="TNOV6" localSheetId="3">#REF!</definedName>
    <definedName name="TNOV6" localSheetId="30">#REF!</definedName>
    <definedName name="TNOV6" localSheetId="31">#REF!</definedName>
    <definedName name="TNOV6" localSheetId="29">#REF!</definedName>
    <definedName name="TNOV6">#REF!</definedName>
    <definedName name="TNOV8" localSheetId="3">#REF!</definedName>
    <definedName name="TNOV8" localSheetId="30">#REF!</definedName>
    <definedName name="TNOV8" localSheetId="31">#REF!</definedName>
    <definedName name="TNOV8" localSheetId="29">#REF!</definedName>
    <definedName name="TNOV8">#REF!</definedName>
    <definedName name="TODOANA" localSheetId="3">#REF!</definedName>
    <definedName name="TODOANA">#REF!</definedName>
    <definedName name="TODOINSU">#REF!</definedName>
    <definedName name="TODOITEM">#REF!</definedName>
    <definedName name="TOMADO">'[7]DAT NUC'!$H$2:$H$902</definedName>
    <definedName name="TopEncargado" localSheetId="3">#REF!</definedName>
    <definedName name="TopEncargado" localSheetId="30">#REF!</definedName>
    <definedName name="TopEncargado" localSheetId="31">#REF!</definedName>
    <definedName name="TopEncargado" localSheetId="29">#REF!</definedName>
    <definedName name="TopEncargado">#REF!</definedName>
    <definedName name="Topo">[24]CUADRILLAS!$B$11</definedName>
    <definedName name="TORNI">#REF!</definedName>
    <definedName name="tortas" localSheetId="14"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5" hidden="1">{"TAB1",#N/A,TRUE,"GENERAL";"TAB2",#N/A,TRUE,"GENERAL";"TAB3",#N/A,TRUE,"GENERAL";"TAB4",#N/A,TRUE,"GENERAL";"TAB5",#N/A,TRUE,"GENERAL"}</definedName>
    <definedName name="tortas" hidden="1">{"TAB1",#N/A,TRUE,"GENERAL";"TAB2",#N/A,TRUE,"GENERAL";"TAB3",#N/A,TRUE,"GENERAL";"TAB4",#N/A,TRUE,"GENERAL";"TAB5",#N/A,TRUE,"GENERAL"}</definedName>
    <definedName name="tortas2" localSheetId="14"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3" hidden="1">{"via1",#N/A,TRUE,"general";"via2",#N/A,TRUE,"general";"via3",#N/A,TRUE,"general"}</definedName>
    <definedName name="tortas2" localSheetId="15" hidden="1">{"via1",#N/A,TRUE,"general";"via2",#N/A,TRUE,"general";"via3",#N/A,TRUE,"general"}</definedName>
    <definedName name="tortas2" hidden="1">{"via1",#N/A,TRUE,"general";"via2",#N/A,TRUE,"general";"via3",#N/A,TRUE,"general"}</definedName>
    <definedName name="Tot_Act01" localSheetId="3">#REF!</definedName>
    <definedName name="Tot_Act01" localSheetId="30">#REF!</definedName>
    <definedName name="Tot_Act01" localSheetId="31">#REF!</definedName>
    <definedName name="Tot_Act01" localSheetId="29">#REF!</definedName>
    <definedName name="Tot_Act01">#REF!</definedName>
    <definedName name="Tot_Act02" localSheetId="3">#REF!</definedName>
    <definedName name="Tot_Act02" localSheetId="30">#REF!</definedName>
    <definedName name="Tot_Act02" localSheetId="31">#REF!</definedName>
    <definedName name="Tot_Act02" localSheetId="29">#REF!</definedName>
    <definedName name="Tot_Act02">#REF!</definedName>
    <definedName name="Tot_Act03" localSheetId="3">#REF!</definedName>
    <definedName name="Tot_Act03" localSheetId="30">#REF!</definedName>
    <definedName name="Tot_Act03" localSheetId="31">#REF!</definedName>
    <definedName name="Tot_Act03" localSheetId="29">#REF!</definedName>
    <definedName name="Tot_Act03">#REF!</definedName>
    <definedName name="TOTAL">#REF!</definedName>
    <definedName name="Total_Interest">#REF!</definedName>
    <definedName name="Total_Pay">#REF!</definedName>
    <definedName name="Total_Payment" localSheetId="14">Scheduled_Payment+Extra_Payment</definedName>
    <definedName name="Total_Payment" localSheetId="17">Scheduled_Payment+Extra_Payment</definedName>
    <definedName name="Total_Payment" localSheetId="2">Scheduled_Payment+Extra_Payment</definedName>
    <definedName name="Total_Payment" localSheetId="20">Scheduled_Payment+Extra_Payment</definedName>
    <definedName name="Total_Payment" localSheetId="21">Scheduled_Payment+Extra_Payment</definedName>
    <definedName name="Total_Payment" localSheetId="15">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ITEM1.1">'[105]A.P.U'!#REF!</definedName>
    <definedName name="TOTALITEM1.1.1">'[105]A.P.U'!#REF!</definedName>
    <definedName name="TOTALITEM1.1.2">'[105]A.P.U'!#REF!</definedName>
    <definedName name="TOTALITEM1.1.3">'[105]A.P.U'!#REF!</definedName>
    <definedName name="TOTALITEM1.1.4">'[105]A.P.U'!#REF!</definedName>
    <definedName name="TOTALITEM1.2.1">'[105]A.P.U'!#REF!</definedName>
    <definedName name="TOTALITEM1.2.2">'[105]A.P.U'!#REF!</definedName>
    <definedName name="TOTALITEM1.2.3">'[105]A.P.U'!#REF!</definedName>
    <definedName name="TOTALITEM1.2.4">'[105]A.P.U'!#REF!</definedName>
    <definedName name="TOTALITEM1.2.5">'[105]A.P.U'!#REF!</definedName>
    <definedName name="TOTALITEM1.2.6">'[105]A.P.U'!#REF!</definedName>
    <definedName name="TOTALITEM1.3.1">'[105]A.P.U'!#REF!</definedName>
    <definedName name="TOTALITEM1.4">'[105]A.P.U'!#REF!</definedName>
    <definedName name="TOTALITEM1.5">'[105]A.P.U'!#REF!</definedName>
    <definedName name="TOTALITEM1.6">'[105]A.P.U'!#REF!</definedName>
    <definedName name="TOTALITEM1.7">'[105]A.P.U'!#REF!</definedName>
    <definedName name="TOTALITEM1.8">'[105]A.P.U'!#REF!</definedName>
    <definedName name="TOTALITEM10.1">'[105]A.P.U'!#REF!</definedName>
    <definedName name="TOTALITEM11.1">'[105]A.P.U'!#REF!</definedName>
    <definedName name="TOTALITEM11.2">'[105]A.P.U'!#REF!</definedName>
    <definedName name="TOTALITEM11.3">'[105]A.P.U'!#REF!</definedName>
    <definedName name="TOTALITEM11.4">'[105]A.P.U'!#REF!</definedName>
    <definedName name="TOTALITEM11.5">'[105]A.P.U'!#REF!</definedName>
    <definedName name="TOTALITEM11.6">'[105]A.P.U'!#REF!</definedName>
    <definedName name="TOTALITEM12.1">'[105]A.P.U'!#REF!</definedName>
    <definedName name="TOTALITEM12.10">'[105]A.P.U'!#REF!</definedName>
    <definedName name="TOTALITEM12.2">'[105]A.P.U'!#REF!</definedName>
    <definedName name="TOTALITEM12.3">'[105]A.P.U'!#REF!</definedName>
    <definedName name="TOTALITEM12.4">'[105]A.P.U'!#REF!</definedName>
    <definedName name="TOTALITEM12.5">'[105]A.P.U'!#REF!</definedName>
    <definedName name="TOTALITEM12.6">'[105]A.P.U'!#REF!</definedName>
    <definedName name="TOTALITEM12.7">'[105]A.P.U'!#REF!</definedName>
    <definedName name="TOTALITEM12.8">'[105]A.P.U'!#REF!</definedName>
    <definedName name="TOTALITEM12.9">'[105]A.P.U'!#REF!</definedName>
    <definedName name="TOTALITEM13.1.1">'[105]A.P.U'!#REF!</definedName>
    <definedName name="TOTALITEM13.1.2">'[105]A.P.U'!#REF!</definedName>
    <definedName name="TOTALITEM13.1.3">'[105]A.P.U'!#REF!</definedName>
    <definedName name="TOTALITEM13.2.2">'[105]A.P.U'!#REF!</definedName>
    <definedName name="TOTALITEM14.2">'[105]A.P.U'!#REF!</definedName>
    <definedName name="TOTALITEM14.3">'[105]A.P.U'!#REF!</definedName>
    <definedName name="TOTALITEM14.4">'[105]A.P.U'!#REF!</definedName>
    <definedName name="TOTALITEM14.5">'[105]A.P.U'!#REF!</definedName>
    <definedName name="TOTALITEM14.6">'[105]A.P.U'!#REF!</definedName>
    <definedName name="TOTALITEM15">'[105]A.P.U'!#REF!</definedName>
    <definedName name="TOTALITEM16">'[105]A.P.U'!#REF!</definedName>
    <definedName name="TOTALITEM2.1">'[105]A.P.U'!#REF!</definedName>
    <definedName name="TOTALITEM2.10">'[105]A.P.U'!#REF!</definedName>
    <definedName name="TOTALITEM2.11.1">'[105]A.P.U'!#REF!</definedName>
    <definedName name="TOTALITEM2.11.2">'[105]A.P.U'!#REF!</definedName>
    <definedName name="TOTALITEM2.12.1">'[105]A.P.U'!#REF!</definedName>
    <definedName name="TOTALITEM2.2">'[105]A.P.U'!#REF!</definedName>
    <definedName name="TOTALITEM2.3">'[105]A.P.U'!#REF!</definedName>
    <definedName name="TOTALITEM2.4">'[105]A.P.U'!#REF!</definedName>
    <definedName name="TOTALITEM2.5">'[105]A.P.U'!#REF!</definedName>
    <definedName name="TOTALITEM2.6">'[105]A.P.U'!#REF!</definedName>
    <definedName name="TOTALITEM2.7">'[105]A.P.U'!#REF!</definedName>
    <definedName name="TOTALITEM3.1.1">'[105]A.P.U'!#REF!</definedName>
    <definedName name="TOTALITEM3.1.2">'[105]A.P.U'!#REF!</definedName>
    <definedName name="TOTALITEM3.2">'[105]A.P.U'!#REF!</definedName>
    <definedName name="TOTALITEM3.3">'[105]A.P.U'!#REF!</definedName>
    <definedName name="TOTALITEM3.4.1">'[105]A.P.U'!#REF!</definedName>
    <definedName name="TOTALITEM3.4.2">'[105]A.P.U'!#REF!</definedName>
    <definedName name="TOTALITEM3.4.3">'[105]A.P.U'!#REF!</definedName>
    <definedName name="TOTALITEM3.5.1">'[105]A.P.U'!#REF!</definedName>
    <definedName name="TOTALITEM3.5.2">'[105]A.P.U'!#REF!</definedName>
    <definedName name="TOTALITEM3.5.3">'[105]A.P.U'!#REF!</definedName>
    <definedName name="TOTALITEM4.1.2">'[105]A.P.U'!#REF!</definedName>
    <definedName name="TOTALITEM4.1.3">'[105]A.P.U'!#REF!</definedName>
    <definedName name="TOTALITEM4.1.4">'[105]A.P.U'!#REF!</definedName>
    <definedName name="TOTALITEM4.2">'[105]A.P.U'!#REF!</definedName>
    <definedName name="TOTALITEM4.3">'[105]A.P.U'!#REF!</definedName>
    <definedName name="TOTALITEM4.4">'[105]A.P.U'!#REF!</definedName>
    <definedName name="TOTALITEM4.5">'[105]A.P.U'!#REF!</definedName>
    <definedName name="TOTALITEM4.6">'[105]A.P.U'!#REF!</definedName>
    <definedName name="TOTALITEM5.1">'[105]A.P.U'!#REF!</definedName>
    <definedName name="TOTALITEM5.2">'[105]A.P.U'!#REF!</definedName>
    <definedName name="TOTALITEM5.3">'[105]A.P.U'!#REF!</definedName>
    <definedName name="TOTALITEM5.4">'[105]A.P.U'!#REF!</definedName>
    <definedName name="TOTALITEM6.1">'[105]A.P.U'!#REF!</definedName>
    <definedName name="TOTALITEM6.2">'[105]A.P.U'!#REF!</definedName>
    <definedName name="TOTALITEM6.3">'[105]A.P.U'!#REF!</definedName>
    <definedName name="TOTALITEM7.1">'[105]A.P.U'!#REF!</definedName>
    <definedName name="TOTALITEM7.2">'[105]A.P.U'!#REF!</definedName>
    <definedName name="TOTALITEM7.3">'[105]A.P.U'!#REF!</definedName>
    <definedName name="TOTALITEM7.4">'[105]A.P.U'!#REF!</definedName>
    <definedName name="TOTALITEM7.5">'[105]A.P.U'!#REF!</definedName>
    <definedName name="TOTALITEM8.1">'[105]A.P.U'!#REF!</definedName>
    <definedName name="TOTALITEM8.2">'[105]A.P.U'!#REF!</definedName>
    <definedName name="TOTALITEM8.3">'[105]A.P.U'!#REF!</definedName>
    <definedName name="TOTALITEM8.4">'[105]A.P.U'!#REF!</definedName>
    <definedName name="TOTALITEM8.5">'[105]A.P.U'!#REF!</definedName>
    <definedName name="TOTALITEM8.6">'[105]A.P.U'!#REF!</definedName>
    <definedName name="TOTALITEM8.7">'[105]A.P.U'!#REF!</definedName>
    <definedName name="TOTALITEM8.8">'[105]A.P.U'!#REF!</definedName>
    <definedName name="TOTALITEM9.1">'[105]A.P.U'!#REF!</definedName>
    <definedName name="TOTALITEM9.2">'[105]A.P.U'!#REF!</definedName>
    <definedName name="TOTALITEM9.3">'[105]A.P.U'!#REF!</definedName>
    <definedName name="TOTALITEM9.4">'[105]A.P.U'!#REF!</definedName>
    <definedName name="TOTALITEM9.5">'[105]A.P.U'!#REF!</definedName>
    <definedName name="TOTALITEM9.6">'[105]A.P.U'!#REF!</definedName>
    <definedName name="TOTALITEM9.7">'[105]A.P.U'!#REF!</definedName>
    <definedName name="TOTALITEM9.8">'[105]A.P.U'!#REF!</definedName>
    <definedName name="TOTALITEN1.2.4">'[105]A.P.U'!#REF!</definedName>
    <definedName name="TotalOpti" localSheetId="3">#REF!</definedName>
    <definedName name="TotalOpti" localSheetId="30">#REF!</definedName>
    <definedName name="TotalOpti" localSheetId="31">#REF!</definedName>
    <definedName name="TotalOpti" localSheetId="29">#REF!</definedName>
    <definedName name="TotalOpti">#REF!</definedName>
    <definedName name="TOTALOPTIM">#REF!</definedName>
    <definedName name="TOTALOPTIMIZACION">#REF!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REPOS">#REF!</definedName>
    <definedName name="TOTALREPOSICION">#REF!</definedName>
    <definedName name="TP" localSheetId="3">#REF!</definedName>
    <definedName name="TP" localSheetId="30">#REF!</definedName>
    <definedName name="TP" localSheetId="31">#REF!</definedName>
    <definedName name="TP" localSheetId="29">#REF!</definedName>
    <definedName name="TP">#REF!</definedName>
    <definedName name="TPVCME">#REF!</definedName>
    <definedName name="TPVCP1">#REF!</definedName>
    <definedName name="TPVCS3" localSheetId="3">#REF!</definedName>
    <definedName name="TPVCS3" localSheetId="30">#REF!</definedName>
    <definedName name="TPVCS3" localSheetId="31">#REF!</definedName>
    <definedName name="TPVCS3" localSheetId="35">#REF!</definedName>
    <definedName name="TPVCS3" localSheetId="29">#REF!</definedName>
    <definedName name="TPVCS3">#REF!</definedName>
    <definedName name="TPVCS4">#REF!</definedName>
    <definedName name="TPVTC" localSheetId="3">#REF!</definedName>
    <definedName name="TPVTC" localSheetId="30">#REF!</definedName>
    <definedName name="TPVTC" localSheetId="31">#REF!</definedName>
    <definedName name="TPVTC" localSheetId="29">#REF!</definedName>
    <definedName name="TPVTC">#REF!</definedName>
    <definedName name="tr" localSheetId="14"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3" hidden="1">{"TAB1",#N/A,TRUE,"GENERAL";"TAB2",#N/A,TRUE,"GENERAL";"TAB3",#N/A,TRUE,"GENERAL";"TAB4",#N/A,TRUE,"GENERAL";"TAB5",#N/A,TRUE,"GENERAL"}</definedName>
    <definedName name="tr" localSheetId="15" hidden="1">{"TAB1",#N/A,TRUE,"GENERAL";"TAB2",#N/A,TRUE,"GENERAL";"TAB3",#N/A,TRUE,"GENERAL";"TAB4",#N/A,TRUE,"GENERAL";"TAB5",#N/A,TRUE,"GENERAL"}</definedName>
    <definedName name="tr">#REF!</definedName>
    <definedName name="tramites">#REF!</definedName>
    <definedName name="tramos">#REF!</definedName>
    <definedName name="TRANA" localSheetId="3">#REF!</definedName>
    <definedName name="TRANA" localSheetId="30">#REF!</definedName>
    <definedName name="TRANA" localSheetId="31">#REF!</definedName>
    <definedName name="TRANA" localSheetId="35">#REF!</definedName>
    <definedName name="TRANA" localSheetId="29">#REF!</definedName>
    <definedName name="TRANA">#REF!</definedName>
    <definedName name="TRANAG" localSheetId="3">#REF!</definedName>
    <definedName name="TRANAG" localSheetId="30">#REF!</definedName>
    <definedName name="TRANAG" localSheetId="31">#REF!</definedName>
    <definedName name="TRANAG" localSheetId="29">#REF!</definedName>
    <definedName name="TRANAG">#REF!</definedName>
    <definedName name="TRANAR" localSheetId="3">#REF!</definedName>
    <definedName name="TRANAR" localSheetId="30">#REF!</definedName>
    <definedName name="TRANAR" localSheetId="31">#REF!</definedName>
    <definedName name="TRANAR" localSheetId="29">#REF!</definedName>
    <definedName name="TRANAR">#REF!</definedName>
    <definedName name="TRANS" localSheetId="3">#REF!</definedName>
    <definedName name="TRANS" localSheetId="30">#REF!</definedName>
    <definedName name="TRANS" localSheetId="31">#REF!</definedName>
    <definedName name="TRANS" localSheetId="29">#REF!</definedName>
    <definedName name="TRANS">#REF!</definedName>
    <definedName name="TRANSINT" localSheetId="3">#REF!</definedName>
    <definedName name="TRANSINT" localSheetId="30">#REF!</definedName>
    <definedName name="TRANSINT" localSheetId="31">#REF!</definedName>
    <definedName name="TRANSINT" localSheetId="29">#REF!</definedName>
    <definedName name="TRANSINT">#REF!</definedName>
    <definedName name="TRANSPER" localSheetId="3">#REF!</definedName>
    <definedName name="TRANSPER" localSheetId="30">#REF!</definedName>
    <definedName name="TRANSPER" localSheetId="31">#REF!</definedName>
    <definedName name="TRANSPER" localSheetId="29">#REF!</definedName>
    <definedName name="TRANSPER">#REF!</definedName>
    <definedName name="Transporte_volco">'[24]Equipo y transporte'!$D$18</definedName>
    <definedName name="trasporte">#REF!</definedName>
    <definedName name="TRAT">[108]desmonte!$E$48</definedName>
    <definedName name="tre">#REF!</definedName>
    <definedName name="trest" localSheetId="14"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5" hidden="1">{"TAB1",#N/A,TRUE,"GENERAL";"TAB2",#N/A,TRUE,"GENERAL";"TAB3",#N/A,TRUE,"GENERAL";"TAB4",#N/A,TRUE,"GENERAL";"TAB5",#N/A,TRUE,"GENERAL"}</definedName>
    <definedName name="trest" hidden="1">{"TAB1",#N/A,TRUE,"GENERAL";"TAB2",#N/A,TRUE,"GENERAL";"TAB3",#N/A,TRUE,"GENERAL";"TAB4",#N/A,TRUE,"GENERAL";"TAB5",#N/A,TRUE,"GENERAL"}</definedName>
    <definedName name="tret" localSheetId="14"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3" hidden="1">{"TAB1",#N/A,TRUE,"GENERAL";"TAB2",#N/A,TRUE,"GENERAL";"TAB3",#N/A,TRUE,"GENERAL";"TAB4",#N/A,TRUE,"GENERAL";"TAB5",#N/A,TRUE,"GENERAL"}</definedName>
    <definedName name="tret" localSheetId="15" hidden="1">{"TAB1",#N/A,TRUE,"GENERAL";"TAB2",#N/A,TRUE,"GENERAL";"TAB3",#N/A,TRUE,"GENERAL";"TAB4",#N/A,TRUE,"GENERAL";"TAB5",#N/A,TRUE,"GENERAL"}</definedName>
    <definedName name="tret" hidden="1">{"TAB1",#N/A,TRUE,"GENERAL";"TAB2",#N/A,TRUE,"GENERAL";"TAB3",#N/A,TRUE,"GENERAL";"TAB4",#N/A,TRUE,"GENERAL";"TAB5",#N/A,TRUE,"GENERAL"}</definedName>
    <definedName name="trh" localSheetId="14"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3" hidden="1">{"via1",#N/A,TRUE,"general";"via2",#N/A,TRUE,"general";"via3",#N/A,TRUE,"general"}</definedName>
    <definedName name="trh" localSheetId="15" hidden="1">{"via1",#N/A,TRUE,"general";"via2",#N/A,TRUE,"general";"via3",#N/A,TRUE,"general"}</definedName>
    <definedName name="trh" hidden="1">{"via1",#N/A,TRUE,"general";"via2",#N/A,TRUE,"general";"via3",#N/A,TRUE,"general"}</definedName>
    <definedName name="trhfh" localSheetId="14"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3" hidden="1">{"via1",#N/A,TRUE,"general";"via2",#N/A,TRUE,"general";"via3",#N/A,TRUE,"general"}</definedName>
    <definedName name="trhfh" localSheetId="15" hidden="1">{"via1",#N/A,TRUE,"general";"via2",#N/A,TRUE,"general";"via3",#N/A,TRUE,"general"}</definedName>
    <definedName name="trhfh" hidden="1">{"via1",#N/A,TRUE,"general";"via2",#N/A,TRUE,"general";"via3",#N/A,TRUE,"general"}</definedName>
    <definedName name="trimestre1">'[39]ESTADO RED'!$E$8</definedName>
    <definedName name="trit">#REF!</definedName>
    <definedName name="TRITM">#REF!</definedName>
    <definedName name="TRITU" localSheetId="3">#REF!</definedName>
    <definedName name="TRITU" localSheetId="30">#REF!</definedName>
    <definedName name="TRITU" localSheetId="31">#REF!</definedName>
    <definedName name="TRITU" localSheetId="29">#REF!</definedName>
    <definedName name="TRITU">#REF!</definedName>
    <definedName name="TRITU1" localSheetId="3">#REF!</definedName>
    <definedName name="TRITU1" localSheetId="30">#REF!</definedName>
    <definedName name="TRITU1" localSheetId="31">#REF!</definedName>
    <definedName name="TRITU1" localSheetId="29">#REF!</definedName>
    <definedName name="TRITU1">#REF!</definedName>
    <definedName name="trjfgjh" localSheetId="14"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3" hidden="1">{"via1",#N/A,TRUE,"general";"via2",#N/A,TRUE,"general";"via3",#N/A,TRUE,"general"}</definedName>
    <definedName name="trjfgjh" localSheetId="15" hidden="1">{"via1",#N/A,TRUE,"general";"via2",#N/A,TRUE,"general";"via3",#N/A,TRUE,"general"}</definedName>
    <definedName name="trjfgjh" hidden="1">{"via1",#N/A,TRUE,"general";"via2",#N/A,TRUE,"general";"via3",#N/A,TRUE,"general"}</definedName>
    <definedName name="TRM">[109]Hoja3!$N$1</definedName>
    <definedName name="Tronzadora">'[24]Equipo y transporte'!$D$13</definedName>
    <definedName name="TROZADO" localSheetId="3">#REF!</definedName>
    <definedName name="TROZADO" localSheetId="30">#REF!</definedName>
    <definedName name="TROZADO" localSheetId="31">#REF!</definedName>
    <definedName name="TROZADO" localSheetId="29">#REF!</definedName>
    <definedName name="TROZADO">#REF!</definedName>
    <definedName name="tru" localSheetId="14"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3" hidden="1">{"via1",#N/A,TRUE,"general";"via2",#N/A,TRUE,"general";"via3",#N/A,TRUE,"general"}</definedName>
    <definedName name="tru" localSheetId="15" hidden="1">{"via1",#N/A,TRUE,"general";"via2",#N/A,TRUE,"general";"via3",#N/A,TRUE,"general"}</definedName>
    <definedName name="tru" hidden="1">{"via1",#N/A,TRUE,"general";"via2",#N/A,TRUE,"general";"via3",#N/A,TRUE,"general"}</definedName>
    <definedName name="truds" localSheetId="14"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3" hidden="1">{"via1",#N/A,TRUE,"general";"via2",#N/A,TRUE,"general";"via3",#N/A,TRUE,"general"}</definedName>
    <definedName name="truds" localSheetId="15" hidden="1">{"via1",#N/A,TRUE,"general";"via2",#N/A,TRUE,"general";"via3",#N/A,TRUE,"general"}</definedName>
    <definedName name="truds" hidden="1">{"via1",#N/A,TRUE,"general";"via2",#N/A,TRUE,"general";"via3",#N/A,TRUE,"general"}</definedName>
    <definedName name="trutu" localSheetId="14"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3" hidden="1">{"via1",#N/A,TRUE,"general";"via2",#N/A,TRUE,"general";"via3",#N/A,TRUE,"general"}</definedName>
    <definedName name="trutu" localSheetId="15" hidden="1">{"via1",#N/A,TRUE,"general";"via2",#N/A,TRUE,"general";"via3",#N/A,TRUE,"general"}</definedName>
    <definedName name="trutu" hidden="1">{"via1",#N/A,TRUE,"general";"via2",#N/A,TRUE,"general";"via3",#N/A,TRUE,"general"}</definedName>
    <definedName name="trydfg" localSheetId="14"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3" hidden="1">{"via1",#N/A,TRUE,"general";"via2",#N/A,TRUE,"general";"via3",#N/A,TRUE,"general"}</definedName>
    <definedName name="trydfg" localSheetId="15" hidden="1">{"via1",#N/A,TRUE,"general";"via2",#N/A,TRUE,"general";"via3",#N/A,TRUE,"general"}</definedName>
    <definedName name="trydfg" hidden="1">{"via1",#N/A,TRUE,"general";"via2",#N/A,TRUE,"general";"via3",#N/A,TRUE,"general"}</definedName>
    <definedName name="trydtrygf" localSheetId="14"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3" hidden="1">{"via1",#N/A,TRUE,"general";"via2",#N/A,TRUE,"general";"via3",#N/A,TRUE,"general"}</definedName>
    <definedName name="trydtrygf" localSheetId="15" hidden="1">{"via1",#N/A,TRUE,"general";"via2",#N/A,TRUE,"general";"via3",#N/A,TRUE,"general"}</definedName>
    <definedName name="trydtrygf" hidden="1">{"via1",#N/A,TRUE,"general";"via2",#N/A,TRUE,"general";"via3",#N/A,TRUE,"general"}</definedName>
    <definedName name="tryery" localSheetId="14"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5" hidden="1">{"TAB1",#N/A,TRUE,"GENERAL";"TAB2",#N/A,TRUE,"GENERAL";"TAB3",#N/A,TRUE,"GENERAL";"TAB4",#N/A,TRUE,"GENERAL";"TAB5",#N/A,TRUE,"GENERAL"}</definedName>
    <definedName name="tryery"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5" hidden="1">{"TAB1",#N/A,TRUE,"GENERAL";"TAB2",#N/A,TRUE,"GENERAL";"TAB3",#N/A,TRUE,"GENERAL";"TAB4",#N/A,TRUE,"GENERAL";"TAB5",#N/A,TRUE,"GENERAL"}</definedName>
    <definedName name="tryi6" hidden="1">{"TAB1",#N/A,TRUE,"GENERAL";"TAB2",#N/A,TRUE,"GENERAL";"TAB3",#N/A,TRUE,"GENERAL";"TAB4",#N/A,TRUE,"GENERAL";"TAB5",#N/A,TRUE,"GENERAL"}</definedName>
    <definedName name="tryrth" localSheetId="14"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3" hidden="1">{"via1",#N/A,TRUE,"general";"via2",#N/A,TRUE,"general";"via3",#N/A,TRUE,"general"}</definedName>
    <definedName name="tryrth" localSheetId="15" hidden="1">{"via1",#N/A,TRUE,"general";"via2",#N/A,TRUE,"general";"via3",#N/A,TRUE,"general"}</definedName>
    <definedName name="tryrth" hidden="1">{"via1",#N/A,TRUE,"general";"via2",#N/A,TRUE,"general";"via3",#N/A,TRUE,"general"}</definedName>
    <definedName name="TS">#REF!</definedName>
    <definedName name="tsert" localSheetId="14"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5"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14"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3" hidden="1">{"via1",#N/A,TRUE,"general";"via2",#N/A,TRUE,"general";"via3",#N/A,TRUE,"general"}</definedName>
    <definedName name="TTR" localSheetId="15" hidden="1">{"via1",#N/A,TRUE,"general";"via2",#N/A,TRUE,"general";"via3",#N/A,TRUE,"general"}</definedName>
    <definedName name="TTR" hidden="1">{"via1",#N/A,TRUE,"general";"via2",#N/A,TRUE,"general";"via3",#N/A,TRUE,"general"}</definedName>
    <definedName name="ttrff" localSheetId="14"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3" hidden="1">{"via1",#N/A,TRUE,"general";"via2",#N/A,TRUE,"general";"via3",#N/A,TRUE,"general"}</definedName>
    <definedName name="ttrff" localSheetId="15" hidden="1">{"via1",#N/A,TRUE,"general";"via2",#N/A,TRUE,"general";"via3",#N/A,TRUE,"general"}</definedName>
    <definedName name="ttrff" hidden="1">{"via1",#N/A,TRUE,"general";"via2",#N/A,TRUE,"general";"via3",#N/A,TRUE,"general"}</definedName>
    <definedName name="ttt" localSheetId="14"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3" hidden="1">{"TAB1",#N/A,TRUE,"GENERAL";"TAB2",#N/A,TRUE,"GENERAL";"TAB3",#N/A,TRUE,"GENERAL";"TAB4",#N/A,TRUE,"GENERAL";"TAB5",#N/A,TRUE,"GENERAL"}</definedName>
    <definedName name="ttt" localSheetId="15" hidden="1">{"TAB1",#N/A,TRUE,"GENERAL";"TAB2",#N/A,TRUE,"GENERAL";"TAB3",#N/A,TRUE,"GENERAL";"TAB4",#N/A,TRUE,"GENERAL";"TAB5",#N/A,TRUE,"GENERAL"}</definedName>
    <definedName name="ttt" hidden="1">{"TAB1",#N/A,TRUE,"GENERAL";"TAB2",#N/A,TRUE,"GENERAL";"TAB3",#N/A,TRUE,"GENERAL";"TAB4",#N/A,TRUE,"GENERAL";"TAB5",#N/A,TRUE,"GENERAL"}</definedName>
    <definedName name="tttt7" localSheetId="14"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3" hidden="1">{"via1",#N/A,TRUE,"general";"via2",#N/A,TRUE,"general";"via3",#N/A,TRUE,"general"}</definedName>
    <definedName name="tttt7" localSheetId="15" hidden="1">{"via1",#N/A,TRUE,"general";"via2",#N/A,TRUE,"general";"via3",#N/A,TRUE,"general"}</definedName>
    <definedName name="tttt7" hidden="1">{"via1",#N/A,TRUE,"general";"via2",#N/A,TRUE,"general";"via3",#N/A,TRUE,"general"}</definedName>
    <definedName name="tttthy" localSheetId="14"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5" hidden="1">{"TAB1",#N/A,TRUE,"GENERAL";"TAB2",#N/A,TRUE,"GENERAL";"TAB3",#N/A,TRUE,"GENERAL";"TAB4",#N/A,TRUE,"GENERAL";"TAB5",#N/A,TRUE,"GENERAL"}</definedName>
    <definedName name="tttthy" hidden="1">{"TAB1",#N/A,TRUE,"GENERAL";"TAB2",#N/A,TRUE,"GENERAL";"TAB3",#N/A,TRUE,"GENERAL";"TAB4",#N/A,TRUE,"GENERAL";"TAB5",#N/A,TRUE,"GENERAL"}</definedName>
    <definedName name="ttttr" localSheetId="14"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3" hidden="1">{"via1",#N/A,TRUE,"general";"via2",#N/A,TRUE,"general";"via3",#N/A,TRUE,"general"}</definedName>
    <definedName name="ttttr" localSheetId="15" hidden="1">{"via1",#N/A,TRUE,"general";"via2",#N/A,TRUE,"general";"via3",#N/A,TRUE,"general"}</definedName>
    <definedName name="ttttr" hidden="1">{"via1",#N/A,TRUE,"general";"via2",#N/A,TRUE,"general";"via3",#N/A,TRUE,"general"}</definedName>
    <definedName name="ttttt" localSheetId="14"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5" hidden="1">{"TAB1",#N/A,TRUE,"GENERAL";"TAB2",#N/A,TRUE,"GENERAL";"TAB3",#N/A,TRUE,"GENERAL";"TAB4",#N/A,TRUE,"GENERAL";"TAB5",#N/A,TRUE,"GENERAL"}</definedName>
    <definedName name="ttttt" hidden="1">{"TAB1",#N/A,TRUE,"GENERAL";"TAB2",#N/A,TRUE,"GENERAL";"TAB3",#N/A,TRUE,"GENERAL";"TAB4",#N/A,TRUE,"GENERAL";"TAB5",#N/A,TRUE,"GENERAL"}</definedName>
    <definedName name="TTTTTT">[110]glvc!#REF!</definedName>
    <definedName name="tu" localSheetId="14"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3" hidden="1">{"via1",#N/A,TRUE,"general";"via2",#N/A,TRUE,"general";"via3",#N/A,TRUE,"general"}</definedName>
    <definedName name="tu" localSheetId="15" hidden="1">{"via1",#N/A,TRUE,"general";"via2",#N/A,TRUE,"general";"via3",#N/A,TRUE,"general"}</definedName>
    <definedName name="tu" hidden="1">{"via1",#N/A,TRUE,"general";"via2",#N/A,TRUE,"general";"via3",#N/A,TRUE,"general"}</definedName>
    <definedName name="TUAC10" localSheetId="3">#REF!</definedName>
    <definedName name="TUAC10">#REF!</definedName>
    <definedName name="TUAC12">#REF!</definedName>
    <definedName name="TUAC14">#REF!</definedName>
    <definedName name="TUAC16" localSheetId="3">#REF!</definedName>
    <definedName name="TUAC16">#REF!</definedName>
    <definedName name="TUAC4">#REF!</definedName>
    <definedName name="TUAC6">#REF!</definedName>
    <definedName name="TUB14HD">#REF!</definedName>
    <definedName name="TUB16HD">#REF!</definedName>
    <definedName name="TUB8AC" localSheetId="3">#REF!</definedName>
    <definedName name="TUB8AC" localSheetId="30">#REF!</definedName>
    <definedName name="TUB8AC" localSheetId="31">#REF!</definedName>
    <definedName name="TUB8AC" localSheetId="29">#REF!</definedName>
    <definedName name="TUB8AC">#REF!</definedName>
    <definedName name="TUBERIA" hidden="1">#REF!</definedName>
    <definedName name="Tubería_PVC_alcantarillado_36___Inc.Transporte">[24]Insumos!$D$36</definedName>
    <definedName name="TUBERIA1" hidden="1">#REF!</definedName>
    <definedName name="TUBNE">#REF!</definedName>
    <definedName name="Tubo_rectangular_100x40x1.5_mm">[24]Insumos!$D$67</definedName>
    <definedName name="TUBS2">#REF!</definedName>
    <definedName name="TUBS3">#REF!</definedName>
    <definedName name="TUBS4">#REF!</definedName>
    <definedName name="TUBS6" localSheetId="3">#REF!</definedName>
    <definedName name="TUBS6" localSheetId="30">#REF!</definedName>
    <definedName name="TUBS6" localSheetId="31">#REF!</definedName>
    <definedName name="TUBS6" localSheetId="29">#REF!</definedName>
    <definedName name="TUBS6">#REF!</definedName>
    <definedName name="TUERCA" localSheetId="3">#REF!</definedName>
    <definedName name="TUERCA" localSheetId="30">#REF!</definedName>
    <definedName name="TUERCA" localSheetId="31">#REF!</definedName>
    <definedName name="TUERCA" localSheetId="29">#REF!</definedName>
    <definedName name="TUERCA">#REF!</definedName>
    <definedName name="TUHD10" localSheetId="3">#REF!</definedName>
    <definedName name="TUHD10" localSheetId="30">#REF!</definedName>
    <definedName name="TUHD10" localSheetId="31">#REF!</definedName>
    <definedName name="TUHD10" localSheetId="29">#REF!</definedName>
    <definedName name="TUHD10">#REF!</definedName>
    <definedName name="TUHD16" localSheetId="3">#REF!</definedName>
    <definedName name="TUHD16" localSheetId="30">#REF!</definedName>
    <definedName name="TUHD16" localSheetId="31">#REF!</definedName>
    <definedName name="TUHD16" localSheetId="29">#REF!</definedName>
    <definedName name="TUHD16">#REF!</definedName>
    <definedName name="TUPI">MATCH(0.01,End_Bal,-1)+1</definedName>
    <definedName name="tur" localSheetId="14"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3" hidden="1">{"TAB1",#N/A,TRUE,"GENERAL";"TAB2",#N/A,TRUE,"GENERAL";"TAB3",#N/A,TRUE,"GENERAL";"TAB4",#N/A,TRUE,"GENERAL";"TAB5",#N/A,TRUE,"GENERAL"}</definedName>
    <definedName name="tur" localSheetId="15" hidden="1">{"TAB1",#N/A,TRUE,"GENERAL";"TAB2",#N/A,TRUE,"GENERAL";"TAB3",#N/A,TRUE,"GENERAL";"TAB4",#N/A,TRUE,"GENERAL";"TAB5",#N/A,TRUE,"GENERAL"}</definedName>
    <definedName name="tur" hidden="1">{"TAB1",#N/A,TRUE,"GENERAL";"TAB2",#N/A,TRUE,"GENERAL";"TAB3",#N/A,TRUE,"GENERAL";"TAB4",#N/A,TRUE,"GENERAL";"TAB5",#N/A,TRUE,"GENERAL"}</definedName>
    <definedName name="turu" localSheetId="14"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3" hidden="1">{"TAB1",#N/A,TRUE,"GENERAL";"TAB2",#N/A,TRUE,"GENERAL";"TAB3",#N/A,TRUE,"GENERAL";"TAB4",#N/A,TRUE,"GENERAL";"TAB5",#N/A,TRUE,"GENERAL"}</definedName>
    <definedName name="turu" localSheetId="15" hidden="1">{"TAB1",#N/A,TRUE,"GENERAL";"TAB2",#N/A,TRUE,"GENERAL";"TAB3",#N/A,TRUE,"GENERAL";"TAB4",#N/A,TRUE,"GENERAL";"TAB5",#N/A,TRUE,"GENERAL"}</definedName>
    <definedName name="turu" hidden="1">{"TAB1",#N/A,TRUE,"GENERAL";"TAB2",#N/A,TRUE,"GENERAL";"TAB3",#N/A,TRUE,"GENERAL";"TAB4",#N/A,TRUE,"GENERAL";"TAB5",#N/A,TRUE,"GENERAL"}</definedName>
    <definedName name="twer" localSheetId="14"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3" hidden="1">{"TAB1",#N/A,TRUE,"GENERAL";"TAB2",#N/A,TRUE,"GENERAL";"TAB3",#N/A,TRUE,"GENERAL";"TAB4",#N/A,TRUE,"GENERAL";"TAB5",#N/A,TRUE,"GENERAL"}</definedName>
    <definedName name="twer" localSheetId="15" hidden="1">{"TAB1",#N/A,TRUE,"GENERAL";"TAB2",#N/A,TRUE,"GENERAL";"TAB3",#N/A,TRUE,"GENERAL";"TAB4",#N/A,TRUE,"GENERAL";"TAB5",#N/A,TRUE,"GENERAL"}</definedName>
    <definedName name="twer" hidden="1">{"TAB1",#N/A,TRUE,"GENERAL";"TAB2",#N/A,TRUE,"GENERAL";"TAB3",#N/A,TRUE,"GENERAL";"TAB4",#N/A,TRUE,"GENERAL";"TAB5",#N/A,TRUE,"GENERAL"}</definedName>
    <definedName name="twet" localSheetId="14"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3" hidden="1">{"TAB1",#N/A,TRUE,"GENERAL";"TAB2",#N/A,TRUE,"GENERAL";"TAB3",#N/A,TRUE,"GENERAL";"TAB4",#N/A,TRUE,"GENERAL";"TAB5",#N/A,TRUE,"GENERAL"}</definedName>
    <definedName name="twet" localSheetId="15" hidden="1">{"TAB1",#N/A,TRUE,"GENERAL";"TAB2",#N/A,TRUE,"GENERAL";"TAB3",#N/A,TRUE,"GENERAL";"TAB4",#N/A,TRUE,"GENERAL";"TAB5",#N/A,TRUE,"GENERAL"}</definedName>
    <definedName name="twet" hidden="1">{"TAB1",#N/A,TRUE,"GENERAL";"TAB2",#N/A,TRUE,"GENERAL";"TAB3",#N/A,TRUE,"GENERAL";"TAB4",#N/A,TRUE,"GENERAL";"TAB5",#N/A,TRUE,"GENERAL"}</definedName>
    <definedName name="ty" localSheetId="14"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3" hidden="1">{"via1",#N/A,TRUE,"general";"via2",#N/A,TRUE,"general";"via3",#N/A,TRUE,"general"}</definedName>
    <definedName name="ty" localSheetId="15" hidden="1">{"via1",#N/A,TRUE,"general";"via2",#N/A,TRUE,"general";"via3",#N/A,TRUE,"general"}</definedName>
    <definedName name="ty" hidden="1">{"via1",#N/A,TRUE,"general";"via2",#N/A,TRUE,"general";"via3",#N/A,TRUE,"general"}</definedName>
    <definedName name="tyery" localSheetId="14"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3" hidden="1">{"via1",#N/A,TRUE,"general";"via2",#N/A,TRUE,"general";"via3",#N/A,TRUE,"general"}</definedName>
    <definedName name="tyery" localSheetId="15" hidden="1">{"via1",#N/A,TRUE,"general";"via2",#N/A,TRUE,"general";"via3",#N/A,TRUE,"general"}</definedName>
    <definedName name="tyery" hidden="1">{"via1",#N/A,TRUE,"general";"via2",#N/A,TRUE,"general";"via3",#N/A,TRUE,"general"}</definedName>
    <definedName name="tyj" localSheetId="14"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3" hidden="1">{"TAB1",#N/A,TRUE,"GENERAL";"TAB2",#N/A,TRUE,"GENERAL";"TAB3",#N/A,TRUE,"GENERAL";"TAB4",#N/A,TRUE,"GENERAL";"TAB5",#N/A,TRUE,"GENERAL"}</definedName>
    <definedName name="tyj" localSheetId="15" hidden="1">{"TAB1",#N/A,TRUE,"GENERAL";"TAB2",#N/A,TRUE,"GENERAL";"TAB3",#N/A,TRUE,"GENERAL";"TAB4",#N/A,TRUE,"GENERAL";"TAB5",#N/A,TRUE,"GENERAL"}</definedName>
    <definedName name="tyj"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5" hidden="1">{"TAB1",#N/A,TRUE,"GENERAL";"TAB2",#N/A,TRUE,"GENERAL";"TAB3",#N/A,TRUE,"GENERAL";"TAB4",#N/A,TRUE,"GENERAL";"TAB5",#N/A,TRUE,"GENERAL"}</definedName>
    <definedName name="tyjtyj"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hidden="1">{"TAB1",#N/A,TRUE,"GENERAL";"TAB2",#N/A,TRUE,"GENERAL";"TAB3",#N/A,TRUE,"GENERAL";"TAB4",#N/A,TRUE,"GENERAL";"TAB5",#N/A,TRUE,"GENERAL"}</definedName>
    <definedName name="tyk" localSheetId="14"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3" hidden="1">{"via1",#N/A,TRUE,"general";"via2",#N/A,TRUE,"general";"via3",#N/A,TRUE,"general"}</definedName>
    <definedName name="tyk" localSheetId="15" hidden="1">{"via1",#N/A,TRUE,"general";"via2",#N/A,TRUE,"general";"via3",#N/A,TRUE,"general"}</definedName>
    <definedName name="tyk" hidden="1">{"via1",#N/A,TRUE,"general";"via2",#N/A,TRUE,"general";"via3",#N/A,TRUE,"general"}</definedName>
    <definedName name="tym" localSheetId="14"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3" hidden="1">{"via1",#N/A,TRUE,"general";"via2",#N/A,TRUE,"general";"via3",#N/A,TRUE,"general"}</definedName>
    <definedName name="tym" localSheetId="15" hidden="1">{"via1",#N/A,TRUE,"general";"via2",#N/A,TRUE,"general";"via3",#N/A,TRUE,"general"}</definedName>
    <definedName name="tym" hidden="1">{"via1",#N/A,TRUE,"general";"via2",#N/A,TRUE,"general";"via3",#N/A,TRUE,"general"}</definedName>
    <definedName name="tyr" localSheetId="14"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3" hidden="1">{"via1",#N/A,TRUE,"general";"via2",#N/A,TRUE,"general";"via3",#N/A,TRUE,"general"}</definedName>
    <definedName name="tyr" localSheetId="15" hidden="1">{"via1",#N/A,TRUE,"general";"via2",#N/A,TRUE,"general";"via3",#N/A,TRUE,"general"}</definedName>
    <definedName name="tyr" hidden="1">{"via1",#N/A,TRUE,"general";"via2",#N/A,TRUE,"general";"via3",#N/A,TRUE,"general"}</definedName>
    <definedName name="tytgfhgfh" localSheetId="14"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5" hidden="1">{"TAB1",#N/A,TRUE,"GENERAL";"TAB2",#N/A,TRUE,"GENERAL";"TAB3",#N/A,TRUE,"GENERAL";"TAB4",#N/A,TRUE,"GENERAL";"TAB5",#N/A,TRUE,"GENERAL"}</definedName>
    <definedName name="tytgfhgfh" hidden="1">{"TAB1",#N/A,TRUE,"GENERAL";"TAB2",#N/A,TRUE,"GENERAL";"TAB3",#N/A,TRUE,"GENERAL";"TAB4",#N/A,TRUE,"GENERAL";"TAB5",#N/A,TRUE,"GENERAL"}</definedName>
    <definedName name="tyty" localSheetId="14"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3" hidden="1">{"TAB1",#N/A,TRUE,"GENERAL";"TAB2",#N/A,TRUE,"GENERAL";"TAB3",#N/A,TRUE,"GENERAL";"TAB4",#N/A,TRUE,"GENERAL";"TAB5",#N/A,TRUE,"GENERAL"}</definedName>
    <definedName name="tyty" localSheetId="15"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4"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5" hidden="1">{"TAB1",#N/A,TRUE,"GENERAL";"TAB2",#N/A,TRUE,"GENERAL";"TAB3",#N/A,TRUE,"GENERAL";"TAB4",#N/A,TRUE,"GENERAL";"TAB5",#N/A,TRUE,"GENERAL"}</definedName>
    <definedName name="TYUIYI"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5" hidden="1">{"TAB1",#N/A,TRUE,"GENERAL";"TAB2",#N/A,TRUE,"GENERAL";"TAB3",#N/A,TRUE,"GENERAL";"TAB4",#N/A,TRUE,"GENERAL";"TAB5",#N/A,TRUE,"GENERAL"}</definedName>
    <definedName name="tyujh"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5" hidden="1">{"TAB1",#N/A,TRUE,"GENERAL";"TAB2",#N/A,TRUE,"GENERAL";"TAB3",#N/A,TRUE,"GENERAL";"TAB4",#N/A,TRUE,"GENERAL";"TAB5",#N/A,TRUE,"GENERAL"}</definedName>
    <definedName name="tyuty" hidden="1">{"TAB1",#N/A,TRUE,"GENERAL";"TAB2",#N/A,TRUE,"GENERAL";"TAB3",#N/A,TRUE,"GENERAL";"TAB4",#N/A,TRUE,"GENERAL";"TAB5",#N/A,TRUE,"GENERAL"}</definedName>
    <definedName name="tyutyu" localSheetId="14"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3" hidden="1">{"via1",#N/A,TRUE,"general";"via2",#N/A,TRUE,"general";"via3",#N/A,TRUE,"general"}</definedName>
    <definedName name="tyutyu" localSheetId="15" hidden="1">{"via1",#N/A,TRUE,"general";"via2",#N/A,TRUE,"general";"via3",#N/A,TRUE,"general"}</definedName>
    <definedName name="tyutyu" hidden="1">{"via1",#N/A,TRUE,"general";"via2",#N/A,TRUE,"general";"via3",#N/A,TRUE,"general"}</definedName>
    <definedName name="tyxg" localSheetId="14"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3" hidden="1">{"via1",#N/A,TRUE,"general";"via2",#N/A,TRUE,"general";"via3",#N/A,TRUE,"general"}</definedName>
    <definedName name="tyxg" localSheetId="15" hidden="1">{"via1",#N/A,TRUE,"general";"via2",#N/A,TRUE,"general";"via3",#N/A,TRUE,"general"}</definedName>
    <definedName name="tyxg" hidden="1">{"via1",#N/A,TRUE,"general";"via2",#N/A,TRUE,"general";"via3",#N/A,TRUE,"general"}</definedName>
    <definedName name="TZ2110UP">#REF!</definedName>
    <definedName name="TZ2116UP">#REF!</definedName>
    <definedName name="U">#REF!</definedName>
    <definedName name="U_Z" localSheetId="3">#REF!</definedName>
    <definedName name="U_Z" localSheetId="30">#REF!</definedName>
    <definedName name="U_Z" localSheetId="31">#REF!</definedName>
    <definedName name="U_Z" localSheetId="29">#REF!</definedName>
    <definedName name="U_Z">#REF!</definedName>
    <definedName name="u3u" localSheetId="14"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3" hidden="1">{"TAB1",#N/A,TRUE,"GENERAL";"TAB2",#N/A,TRUE,"GENERAL";"TAB3",#N/A,TRUE,"GENERAL";"TAB4",#N/A,TRUE,"GENERAL";"TAB5",#N/A,TRUE,"GENERAL"}</definedName>
    <definedName name="u3u" localSheetId="15" hidden="1">{"TAB1",#N/A,TRUE,"GENERAL";"TAB2",#N/A,TRUE,"GENERAL";"TAB3",#N/A,TRUE,"GENERAL";"TAB4",#N/A,TRUE,"GENERAL";"TAB5",#N/A,TRUE,"GENERAL"}</definedName>
    <definedName name="u3u" hidden="1">{"TAB1",#N/A,TRUE,"GENERAL";"TAB2",#N/A,TRUE,"GENERAL";"TAB3",#N/A,TRUE,"GENERAL";"TAB4",#N/A,TRUE,"GENERAL";"TAB5",#N/A,TRUE,"GENERAL"}</definedName>
    <definedName name="U6JH" localSheetId="3">#REF!</definedName>
    <definedName name="U6JH" localSheetId="30">#REF!</definedName>
    <definedName name="U6JH" localSheetId="31">#REF!</definedName>
    <definedName name="U6JH" localSheetId="29">#REF!</definedName>
    <definedName name="U6JH">#REF!</definedName>
    <definedName name="u7u7" localSheetId="14"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3" hidden="1">{"TAB1",#N/A,TRUE,"GENERAL";"TAB2",#N/A,TRUE,"GENERAL";"TAB3",#N/A,TRUE,"GENERAL";"TAB4",#N/A,TRUE,"GENERAL";"TAB5",#N/A,TRUE,"GENERAL"}</definedName>
    <definedName name="u7u7" localSheetId="15" hidden="1">{"TAB1",#N/A,TRUE,"GENERAL";"TAB2",#N/A,TRUE,"GENERAL";"TAB3",#N/A,TRUE,"GENERAL";"TAB4",#N/A,TRUE,"GENERAL";"TAB5",#N/A,TRUE,"GENERAL"}</definedName>
    <definedName name="u7u7" hidden="1">{"TAB1",#N/A,TRUE,"GENERAL";"TAB2",#N/A,TRUE,"GENERAL";"TAB3",#N/A,TRUE,"GENERAL";"TAB4",#N/A,TRUE,"GENERAL";"TAB5",#N/A,TRUE,"GENERAL"}</definedName>
    <definedName name="UALU">#REF!</definedName>
    <definedName name="Ubicación">#REF!</definedName>
    <definedName name="uhghjkhjhk" localSheetId="3">#REF!</definedName>
    <definedName name="uhghjkhjhk" localSheetId="30">#REF!</definedName>
    <definedName name="uhghjkhjhk" localSheetId="31">#REF!</definedName>
    <definedName name="uhghjkhjhk" localSheetId="35">#REF!</definedName>
    <definedName name="uhghjkhjhk" localSheetId="29">#REF!</definedName>
    <definedName name="uhghjkhjhk">#REF!</definedName>
    <definedName name="UI" localSheetId="14"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3" hidden="1">{"via1",#N/A,TRUE,"general";"via2",#N/A,TRUE,"general";"via3",#N/A,TRUE,"general"}</definedName>
    <definedName name="UI" localSheetId="15" hidden="1">{"via1",#N/A,TRUE,"general";"via2",#N/A,TRUE,"general";"via3",#N/A,TRUE,"general"}</definedName>
    <definedName name="UI" hidden="1">{"via1",#N/A,TRUE,"general";"via2",#N/A,TRUE,"general";"via3",#N/A,TRUE,"general"}</definedName>
    <definedName name="uijhj" localSheetId="14"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3" hidden="1">{"via1",#N/A,TRUE,"general";"via2",#N/A,TRUE,"general";"via3",#N/A,TRUE,"general"}</definedName>
    <definedName name="uijhj" localSheetId="15" hidden="1">{"via1",#N/A,TRUE,"general";"via2",#N/A,TRUE,"general";"via3",#N/A,TRUE,"general"}</definedName>
    <definedName name="uijhj" hidden="1">{"via1",#N/A,TRUE,"general";"via2",#N/A,TRUE,"general";"via3",#N/A,TRUE,"general"}</definedName>
    <definedName name="uio" localSheetId="14"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3" hidden="1">{"TAB1",#N/A,TRUE,"GENERAL";"TAB2",#N/A,TRUE,"GENERAL";"TAB3",#N/A,TRUE,"GENERAL";"TAB4",#N/A,TRUE,"GENERAL";"TAB5",#N/A,TRUE,"GENERAL"}</definedName>
    <definedName name="uio" localSheetId="15" hidden="1">{"TAB1",#N/A,TRUE,"GENERAL";"TAB2",#N/A,TRUE,"GENERAL";"TAB3",#N/A,TRUE,"GENERAL";"TAB4",#N/A,TRUE,"GENERAL";"TAB5",#N/A,TRUE,"GENERAL"}</definedName>
    <definedName name="uio" hidden="1">{"TAB1",#N/A,TRUE,"GENERAL";"TAB2",#N/A,TRUE,"GENERAL";"TAB3",#N/A,TRUE,"GENERAL";"TAB4",#N/A,TRUE,"GENERAL";"TAB5",#N/A,TRUE,"GENERAL"}</definedName>
    <definedName name="uiou" localSheetId="14"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3" hidden="1">{"TAB1",#N/A,TRUE,"GENERAL";"TAB2",#N/A,TRUE,"GENERAL";"TAB3",#N/A,TRUE,"GENERAL";"TAB4",#N/A,TRUE,"GENERAL";"TAB5",#N/A,TRUE,"GENERAL"}</definedName>
    <definedName name="uiou" localSheetId="15" hidden="1">{"TAB1",#N/A,TRUE,"GENERAL";"TAB2",#N/A,TRUE,"GENERAL";"TAB3",#N/A,TRUE,"GENERAL";"TAB4",#N/A,TRUE,"GENERAL";"TAB5",#N/A,TRUE,"GENERAL"}</definedName>
    <definedName name="uiou" hidden="1">{"TAB1",#N/A,TRUE,"GENERAL";"TAB2",#N/A,TRUE,"GENERAL";"TAB3",#N/A,TRUE,"GENERAL";"TAB4",#N/A,TRUE,"GENERAL";"TAB5",#N/A,TRUE,"GENERAL"}</definedName>
    <definedName name="uir" localSheetId="14"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3" hidden="1">{"via1",#N/A,TRUE,"general";"via2",#N/A,TRUE,"general";"via3",#N/A,TRUE,"general"}</definedName>
    <definedName name="uir" localSheetId="15" hidden="1">{"via1",#N/A,TRUE,"general";"via2",#N/A,TRUE,"general";"via3",#N/A,TRUE,"general"}</definedName>
    <definedName name="uir" hidden="1">{"via1",#N/A,TRUE,"general";"via2",#N/A,TRUE,"general";"via3",#N/A,TRUE,"general"}</definedName>
    <definedName name="uituii" localSheetId="14"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5" hidden="1">{"TAB1",#N/A,TRUE,"GENERAL";"TAB2",#N/A,TRUE,"GENERAL";"TAB3",#N/A,TRUE,"GENERAL";"TAB4",#N/A,TRUE,"GENERAL";"TAB5",#N/A,TRUE,"GENERAL"}</definedName>
    <definedName name="uituii" hidden="1">{"TAB1",#N/A,TRUE,"GENERAL";"TAB2",#N/A,TRUE,"GENERAL";"TAB3",#N/A,TRUE,"GENERAL";"TAB4",#N/A,TRUE,"GENERAL";"TAB5",#N/A,TRUE,"GENERAL"}</definedName>
    <definedName name="uityjj" localSheetId="14"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3" hidden="1">{"via1",#N/A,TRUE,"general";"via2",#N/A,TRUE,"general";"via3",#N/A,TRUE,"general"}</definedName>
    <definedName name="uityjj" localSheetId="15" hidden="1">{"via1",#N/A,TRUE,"general";"via2",#N/A,TRUE,"general";"via3",#N/A,TRUE,"general"}</definedName>
    <definedName name="uityjj" hidden="1">{"via1",#N/A,TRUE,"general";"via2",#N/A,TRUE,"general";"via3",#N/A,TRUE,"general"}</definedName>
    <definedName name="uiufgj" localSheetId="14"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5" hidden="1">{"TAB1",#N/A,TRUE,"GENERAL";"TAB2",#N/A,TRUE,"GENERAL";"TAB3",#N/A,TRUE,"GENERAL";"TAB4",#N/A,TRUE,"GENERAL";"TAB5",#N/A,TRUE,"GENERAL"}</definedName>
    <definedName name="uiufgj"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5" hidden="1">{"TAB1",#N/A,TRUE,"GENERAL";"TAB2",#N/A,TRUE,"GENERAL";"TAB3",#N/A,TRUE,"GENERAL";"TAB4",#N/A,TRUE,"GENERAL";"TAB5",#N/A,TRUE,"GENERAL"}</definedName>
    <definedName name="UIUYI" hidden="1">{"TAB1",#N/A,TRUE,"GENERAL";"TAB2",#N/A,TRUE,"GENERAL";"TAB3",#N/A,TRUE,"GENERAL";"TAB4",#N/A,TRUE,"GENERAL";"TAB5",#N/A,TRUE,"GENERAL"}</definedName>
    <definedName name="ujhghjh">#REF!</definedName>
    <definedName name="ULTIMA" localSheetId="3">#REF!</definedName>
    <definedName name="ULTIMA" localSheetId="30">#REF!</definedName>
    <definedName name="ULTIMA" localSheetId="31">#REF!</definedName>
    <definedName name="ULTIMA" localSheetId="29">#REF!</definedName>
    <definedName name="ULTIMA">#REF!</definedName>
    <definedName name="UN">#REF!</definedName>
    <definedName name="und" localSheetId="3">#REF!</definedName>
    <definedName name="und">#REF!</definedName>
    <definedName name="UNION_Z" localSheetId="3">#REF!</definedName>
    <definedName name="UNION_Z" localSheetId="30">#REF!</definedName>
    <definedName name="UNION_Z" localSheetId="31">#REF!</definedName>
    <definedName name="UNION_Z" localSheetId="29">#REF!</definedName>
    <definedName name="UNION_Z">#REF!</definedName>
    <definedName name="UNITARIO">[111]Unitarios!$A$3:$D$13</definedName>
    <definedName name="Unitarios">#REF!</definedName>
    <definedName name="unj" hidden="1">[12]INST!#REF!</definedName>
    <definedName name="uno">#N/A</definedName>
    <definedName name="UNOV30">#REF!</definedName>
    <definedName name="UNOV36">#REF!</definedName>
    <definedName name="UNPVP4" localSheetId="3">#REF!</definedName>
    <definedName name="UNPVP4">#REF!</definedName>
    <definedName name="UNPVP5" localSheetId="3">#REF!</definedName>
    <definedName name="UNPVP5">#REF!</definedName>
    <definedName name="UNPVP6" localSheetId="3">#REF!</definedName>
    <definedName name="UNPVP6">#REF!</definedName>
    <definedName name="UNREP6HD">#REF!</definedName>
    <definedName name="UNSOLD" localSheetId="3">#REF!</definedName>
    <definedName name="UNSOLD" localSheetId="30">#REF!</definedName>
    <definedName name="UNSOLD" localSheetId="31">#REF!</definedName>
    <definedName name="UNSOLD" localSheetId="29">#REF!</definedName>
    <definedName name="UNSOLD">#REF!</definedName>
    <definedName name="UOUIV" localSheetId="14"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5" hidden="1">{"TAB1",#N/A,TRUE,"GENERAL";"TAB2",#N/A,TRUE,"GENERAL";"TAB3",#N/A,TRUE,"GENERAL";"TAB4",#N/A,TRUE,"GENERAL";"TAB5",#N/A,TRUE,"GENERAL"}</definedName>
    <definedName name="UOUIV" hidden="1">{"TAB1",#N/A,TRUE,"GENERAL";"TAB2",#N/A,TRUE,"GENERAL";"TAB3",#N/A,TRUE,"GENERAL";"TAB4",#N/A,TRUE,"GENERAL";"TAB5",#N/A,TRUE,"GENERAL"}</definedName>
    <definedName name="UPVC" localSheetId="3">#REF!</definedName>
    <definedName name="UPVC" localSheetId="30">#REF!</definedName>
    <definedName name="UPVC" localSheetId="31">#REF!</definedName>
    <definedName name="UPVC" localSheetId="29">#REF!</definedName>
    <definedName name="UPVC">#REF!</definedName>
    <definedName name="URAP10">#REF!</definedName>
    <definedName name="URAP2">#REF!</definedName>
    <definedName name="URAP3">#REF!</definedName>
    <definedName name="URAP4">#REF!</definedName>
    <definedName name="URAP6">#REF!</definedName>
    <definedName name="URAP8">#REF!</definedName>
    <definedName name="UREP10">#REF!</definedName>
    <definedName name="UREP12">#REF!</definedName>
    <definedName name="UREP2">#REF!</definedName>
    <definedName name="UREP3">#REF!</definedName>
    <definedName name="UREP4">#REF!</definedName>
    <definedName name="UREP6">#REF!</definedName>
    <definedName name="UREP8">#REF!</definedName>
    <definedName name="uriel">#N/A</definedName>
    <definedName name="uryur" localSheetId="14"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5"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CM14HD14AC">#REF!</definedName>
    <definedName name="UTIL" localSheetId="3">#REF!</definedName>
    <definedName name="UTIL" localSheetId="30">#REF!</definedName>
    <definedName name="UTIL" localSheetId="31">#REF!</definedName>
    <definedName name="UTIL" localSheetId="29">#REF!</definedName>
    <definedName name="UTIL">#REF!</definedName>
    <definedName name="Utilidad" localSheetId="14">'[24]A.I.U'!$I$112</definedName>
    <definedName name="Utilidad" localSheetId="16">'[24]A.I.U'!$I$112</definedName>
    <definedName name="Utilidad" localSheetId="17">'[24]A.I.U'!$I$112</definedName>
    <definedName name="Utilidad" localSheetId="13">'[24]A.I.U'!$I$112</definedName>
    <definedName name="Utilidad" localSheetId="15">'[24]A.I.U'!$I$112</definedName>
    <definedName name="UTILIDAD">#REF!</definedName>
    <definedName name="Utilidadrev">#REF!</definedName>
    <definedName name="UTL">[22]otros!$C$4</definedName>
    <definedName name="uu" localSheetId="14"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3" hidden="1">{"TAB1",#N/A,TRUE,"GENERAL";"TAB2",#N/A,TRUE,"GENERAL";"TAB3",#N/A,TRUE,"GENERAL";"TAB4",#N/A,TRUE,"GENERAL";"TAB5",#N/A,TRUE,"GENERAL"}</definedName>
    <definedName name="uu" localSheetId="15" hidden="1">{"TAB1",#N/A,TRUE,"GENERAL";"TAB2",#N/A,TRUE,"GENERAL";"TAB3",#N/A,TRUE,"GENERAL";"TAB4",#N/A,TRUE,"GENERAL";"TAB5",#N/A,TRUE,"GENERAL"}</definedName>
    <definedName name="uu" hidden="1">{"TAB1",#N/A,TRUE,"GENERAL";"TAB2",#N/A,TRUE,"GENERAL";"TAB3",#N/A,TRUE,"GENERAL";"TAB4",#N/A,TRUE,"GENERAL";"TAB5",#N/A,TRUE,"GENERAL"}</definedName>
    <definedName name="UU3HD" localSheetId="3">#REF!</definedName>
    <definedName name="UU3HD" localSheetId="30">#REF!</definedName>
    <definedName name="UU3HD" localSheetId="31">#REF!</definedName>
    <definedName name="UU3HD" localSheetId="29">#REF!</definedName>
    <definedName name="UU3HD">#REF!</definedName>
    <definedName name="UU4HD" localSheetId="3">#REF!</definedName>
    <definedName name="UU4HD" localSheetId="30">#REF!</definedName>
    <definedName name="UU4HD" localSheetId="31">#REF!</definedName>
    <definedName name="UU4HD" localSheetId="29">#REF!</definedName>
    <definedName name="UU4HD">#REF!</definedName>
    <definedName name="uuu" localSheetId="14"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3" hidden="1">{"TAB1",#N/A,TRUE,"GENERAL";"TAB2",#N/A,TRUE,"GENERAL";"TAB3",#N/A,TRUE,"GENERAL";"TAB4",#N/A,TRUE,"GENERAL";"TAB5",#N/A,TRUE,"GENERAL"}</definedName>
    <definedName name="uuu" localSheetId="15" hidden="1">{"TAB1",#N/A,TRUE,"GENERAL";"TAB2",#N/A,TRUE,"GENERAL";"TAB3",#N/A,TRUE,"GENERAL";"TAB4",#N/A,TRUE,"GENERAL";"TAB5",#N/A,TRUE,"GENERAL"}</definedName>
    <definedName name="uuu"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5" hidden="1">{"TAB1",#N/A,TRUE,"GENERAL";"TAB2",#N/A,TRUE,"GENERAL";"TAB3",#N/A,TRUE,"GENERAL";"TAB4",#N/A,TRUE,"GENERAL";"TAB5",#N/A,TRUE,"GENERAL"}</definedName>
    <definedName name="uuuuo" hidden="1">{"TAB1",#N/A,TRUE,"GENERAL";"TAB2",#N/A,TRUE,"GENERAL";"TAB3",#N/A,TRUE,"GENERAL";"TAB4",#N/A,TRUE,"GENERAL";"TAB5",#N/A,TRUE,"GENERAL"}</definedName>
    <definedName name="uuuuuj" localSheetId="14"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3" hidden="1">{"via1",#N/A,TRUE,"general";"via2",#N/A,TRUE,"general";"via3",#N/A,TRUE,"general"}</definedName>
    <definedName name="uuuuuj" localSheetId="15" hidden="1">{"via1",#N/A,TRUE,"general";"via2",#N/A,TRUE,"general";"via3",#N/A,TRUE,"general"}</definedName>
    <definedName name="uuuuuj" hidden="1">{"via1",#N/A,TRUE,"general";"via2",#N/A,TRUE,"general";"via3",#N/A,TRUE,"general"}</definedName>
    <definedName name="UUUUUUU" localSheetId="14" hidden="1">{"TAB1",#N/A,TRUE,"GENERAL";"TAB2",#N/A,TRUE,"GENERAL";"TAB3",#N/A,TRUE,"GENERAL";"TAB4",#N/A,TRUE,"GENERAL";"TAB5",#N/A,TRUE,"GENERAL"}</definedName>
    <definedName name="UUUUUUU" localSheetId="13" hidden="1">{"TAB1",#N/A,TRUE,"GENERAL";"TAB2",#N/A,TRUE,"GENERAL";"TAB3",#N/A,TRUE,"GENERAL";"TAB4",#N/A,TRUE,"GENERAL";"TAB5",#N/A,TRUE,"GENERAL"}</definedName>
    <definedName name="UUUUUUU" localSheetId="15" hidden="1">{"TAB1",#N/A,TRUE,"GENERAL";"TAB2",#N/A,TRUE,"GENERAL";"TAB3",#N/A,TRUE,"GENERAL";"TAB4",#N/A,TRUE,"GENERAL";"TAB5",#N/A,TRUE,"GENERAL"}</definedName>
    <definedName name="UUUUUUU"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5"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4"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5" hidden="1">{"TAB1",#N/A,TRUE,"GENERAL";"TAB2",#N/A,TRUE,"GENERAL";"TAB3",#N/A,TRUE,"GENERAL";"TAB4",#N/A,TRUE,"GENERAL";"TAB5",#N/A,TRUE,"GENERAL"}</definedName>
    <definedName name="uyiyiy" hidden="1">{"TAB1",#N/A,TRUE,"GENERAL";"TAB2",#N/A,TRUE,"GENERAL";"TAB3",#N/A,TRUE,"GENERAL";"TAB4",#N/A,TRUE,"GENERAL";"TAB5",#N/A,TRUE,"GENERAL"}</definedName>
    <definedName name="uytu" localSheetId="14"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3" hidden="1">{"TAB1",#N/A,TRUE,"GENERAL";"TAB2",#N/A,TRUE,"GENERAL";"TAB3",#N/A,TRUE,"GENERAL";"TAB4",#N/A,TRUE,"GENERAL";"TAB5",#N/A,TRUE,"GENERAL"}</definedName>
    <definedName name="uytu" localSheetId="15" hidden="1">{"TAB1",#N/A,TRUE,"GENERAL";"TAB2",#N/A,TRUE,"GENERAL";"TAB3",#N/A,TRUE,"GENERAL";"TAB4",#N/A,TRUE,"GENERAL";"TAB5",#N/A,TRUE,"GENERAL"}</definedName>
    <definedName name="uytu" hidden="1">{"TAB1",#N/A,TRUE,"GENERAL";"TAB2",#N/A,TRUE,"GENERAL";"TAB3",#N/A,TRUE,"GENERAL";"TAB4",#N/A,TRUE,"GENERAL";"TAB5",#N/A,TRUE,"GENERAL"}</definedName>
    <definedName name="uyur" localSheetId="14"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3" hidden="1">{"via1",#N/A,TRUE,"general";"via2",#N/A,TRUE,"general";"via3",#N/A,TRUE,"general"}</definedName>
    <definedName name="uyur" localSheetId="15" hidden="1">{"via1",#N/A,TRUE,"general";"via2",#N/A,TRUE,"general";"via3",#N/A,TRUE,"general"}</definedName>
    <definedName name="uyur" hidden="1">{"via1",#N/A,TRUE,"general";"via2",#N/A,TRUE,"general";"via3",#N/A,TRUE,"general"}</definedName>
    <definedName name="v" localSheetId="3">#REF!</definedName>
    <definedName name="v" localSheetId="14" hidden="1">{"TAB1",#N/A,TRUE,"GENERAL";"TAB2",#N/A,TRUE,"GENERAL";"TAB3",#N/A,TRUE,"GENERAL";"TAB4",#N/A,TRUE,"GENERAL";"TAB5",#N/A,TRUE,"GENERAL"}</definedName>
    <definedName name="v" localSheetId="30">#REF!</definedName>
    <definedName name="v" localSheetId="31">#REF!</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3" hidden="1">{"TAB1",#N/A,TRUE,"GENERAL";"TAB2",#N/A,TRUE,"GENERAL";"TAB3",#N/A,TRUE,"GENERAL";"TAB4",#N/A,TRUE,"GENERAL";"TAB5",#N/A,TRUE,"GENERAL"}</definedName>
    <definedName name="v" localSheetId="15" hidden="1">{"TAB1",#N/A,TRUE,"GENERAL";"TAB2",#N/A,TRUE,"GENERAL";"TAB3",#N/A,TRUE,"GENERAL";"TAB4",#N/A,TRUE,"GENERAL";"TAB5",#N/A,TRUE,"GENERAL"}</definedName>
    <definedName name="v" localSheetId="29">#REF!</definedName>
    <definedName name="v">#REF!</definedName>
    <definedName name="VALDES">#REF!</definedName>
    <definedName name="Valla">'[24]Apu Valla'!$G$78</definedName>
    <definedName name="VALMA3">#REF!</definedName>
    <definedName name="VALMA4">#REF!</definedName>
    <definedName name="valor1">#REF!</definedName>
    <definedName name="valor2">#REF!</definedName>
    <definedName name="VALOR3">#REF!</definedName>
    <definedName name="valparaiso" localSheetId="3">#REF!</definedName>
    <definedName name="valparaiso">#REF!</definedName>
    <definedName name="Values_Entered">IF(Loan_Amount*Interest_Rate*Loan_Years*Loan_Start&gt;0,1,0)</definedName>
    <definedName name="vaquita" localSheetId="14" hidden="1">{"PRES REHAB ARM-PER POR ITEMS  KM A KM",#N/A,TRUE,"Rehabilitacion Arm-Per"}</definedName>
    <definedName name="vaquita" localSheetId="16" hidden="1">{"PRES REHAB ARM-PER POR ITEMS  KM A KM",#N/A,TRUE,"Rehabilitacion Arm-Per"}</definedName>
    <definedName name="vaquita" localSheetId="17" hidden="1">{"PRES REHAB ARM-PER POR ITEMS  KM A KM",#N/A,TRUE,"Rehabilitacion Arm-Per"}</definedName>
    <definedName name="vaquita" localSheetId="13" hidden="1">{"PRES REHAB ARM-PER POR ITEMS  KM A KM",#N/A,TRUE,"Rehabilitacion Arm-Per"}</definedName>
    <definedName name="vaquita" localSheetId="15" hidden="1">{"PRES REHAB ARM-PER POR ITEMS  KM A KM",#N/A,TRUE,"Rehabilitacion Arm-Per"}</definedName>
    <definedName name="vaquita" hidden="1">{"PRES REHAB ARM-PER POR ITEMS  KM A KM",#N/A,TRUE,"Rehabilitacion Arm-Per"}</definedName>
    <definedName name="Var">#REF!</definedName>
    <definedName name="Varios">#REF!</definedName>
    <definedName name="Varios2">#REF!</definedName>
    <definedName name="VARLI" localSheetId="3">#REF!</definedName>
    <definedName name="VARLI" localSheetId="30">#REF!</definedName>
    <definedName name="VARLI" localSheetId="31">#REF!</definedName>
    <definedName name="VARLI" localSheetId="29">#REF!</definedName>
    <definedName name="VARLI">#REF!</definedName>
    <definedName name="vas">#REF!</definedName>
    <definedName name="vb">#REF!</definedName>
    <definedName name="VBOL2">#REF!</definedName>
    <definedName name="VBOL4">#REF!</definedName>
    <definedName name="vbvbvbvb" localSheetId="14"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5"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 localSheetId="3">#REF!</definedName>
    <definedName name="VCEL8" localSheetId="30">#REF!</definedName>
    <definedName name="VCEL8" localSheetId="31">#REF!</definedName>
    <definedName name="VCEL8" localSheetId="35">#REF!</definedName>
    <definedName name="VCEL8" localSheetId="29">#REF!</definedName>
    <definedName name="VCEL8">#REF!</definedName>
    <definedName name="VCELA2">#REF!</definedName>
    <definedName name="VCELA3">#REF!</definedName>
    <definedName name="VCELA4">#REF!</definedName>
    <definedName name="VCELA6">#REF!</definedName>
    <definedName name="VCELAVNA2JH">#REF!</definedName>
    <definedName name="VCELAVNA4JH">#REF!</definedName>
    <definedName name="VCELAVNA6JH">#REF!</definedName>
    <definedName name="VCELVNA3JH" localSheetId="3">#REF!</definedName>
    <definedName name="VCELVNA3JH" localSheetId="30">#REF!</definedName>
    <definedName name="VCELVNA3JH" localSheetId="31">#REF!</definedName>
    <definedName name="VCELVNA3JH" localSheetId="29">#REF!</definedName>
    <definedName name="VCELVNA3JH">#REF!</definedName>
    <definedName name="VCELVNA6JH" localSheetId="3">#REF!</definedName>
    <definedName name="VCELVNA6JH" localSheetId="30">#REF!</definedName>
    <definedName name="VCELVNA6JH" localSheetId="31">#REF!</definedName>
    <definedName name="VCELVNA6JH" localSheetId="29">#REF!</definedName>
    <definedName name="VCELVNA6JH">#REF!</definedName>
    <definedName name="VCEVNAEL3">#REF!</definedName>
    <definedName name="vck">#REF!</definedName>
    <definedName name="VCSBVNAEL2">#REF!</definedName>
    <definedName name="VCSBVNAEL3">#REF!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3">#REF!</definedName>
    <definedName name="VD" localSheetId="30">#REF!</definedName>
    <definedName name="VD" localSheetId="31">#REF!</definedName>
    <definedName name="VD" localSheetId="29">#REF!</definedName>
    <definedName name="VD">#REF!</definedName>
    <definedName name="vdfvuio" localSheetId="14"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3" hidden="1">{"via1",#N/A,TRUE,"general";"via2",#N/A,TRUE,"general";"via3",#N/A,TRUE,"general"}</definedName>
    <definedName name="vdfvuio" localSheetId="15" hidden="1">{"via1",#N/A,TRUE,"general";"via2",#N/A,TRUE,"general";"via3",#N/A,TRUE,"general"}</definedName>
    <definedName name="vdfvuio" hidden="1">{"via1",#N/A,TRUE,"general";"via2",#N/A,TRUE,"general";"via3",#N/A,TRUE,"general"}</definedName>
    <definedName name="vdsvnj" localSheetId="14"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3" hidden="1">{"via1",#N/A,TRUE,"general";"via2",#N/A,TRUE,"general";"via3",#N/A,TRUE,"general"}</definedName>
    <definedName name="vdsvnj" localSheetId="15" hidden="1">{"via1",#N/A,TRUE,"general";"via2",#N/A,TRUE,"general";"via3",#N/A,TRUE,"general"}</definedName>
    <definedName name="vdsvnj" hidden="1">{"via1",#N/A,TRUE,"general";"via2",#N/A,TRUE,"general";"via3",#N/A,TRUE,"general"}</definedName>
    <definedName name="Vehiculo__Tipo_pickup">'[24]A.I.U'!$E$104</definedName>
    <definedName name="VentaAiu">#REF!</definedName>
    <definedName name="VENTI">#REF!</definedName>
    <definedName name="Version4OK" hidden="1">{"Datos de las Curvas",#N/A,TRUE,"TABLA-CALCULOS"}</definedName>
    <definedName name="VERT" localSheetId="3">#REF!</definedName>
    <definedName name="VERT" localSheetId="30">#REF!</definedName>
    <definedName name="VERT" localSheetId="31">#REF!</definedName>
    <definedName name="VERT" localSheetId="29">#REF!</definedName>
    <definedName name="VERT">#REF!</definedName>
    <definedName name="vfbgnhyt" localSheetId="14"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3" hidden="1">{"via1",#N/A,TRUE,"general";"via2",#N/A,TRUE,"general";"via3",#N/A,TRUE,"general"}</definedName>
    <definedName name="vfbgnhyt" localSheetId="15" hidden="1">{"via1",#N/A,TRUE,"general";"via2",#N/A,TRUE,"general";"via3",#N/A,TRUE,"general"}</definedName>
    <definedName name="vfbgnhyt" hidden="1">{"via1",#N/A,TRUE,"general";"via2",#N/A,TRUE,"general";"via3",#N/A,TRUE,"general"}</definedName>
    <definedName name="vfn">#REF!</definedName>
    <definedName name="vfvdv" localSheetId="14"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5" hidden="1">{"TAB1",#N/A,TRUE,"GENERAL";"TAB2",#N/A,TRUE,"GENERAL";"TAB3",#N/A,TRUE,"GENERAL";"TAB4",#N/A,TRUE,"GENERAL";"TAB5",#N/A,TRUE,"GENERAL"}</definedName>
    <definedName name="vfvdv" hidden="1">{"TAB1",#N/A,TRUE,"GENERAL";"TAB2",#N/A,TRUE,"GENERAL";"TAB3",#N/A,TRUE,"GENERAL";"TAB4",#N/A,TRUE,"GENERAL";"TAB5",#N/A,TRUE,"GENERAL"}</definedName>
    <definedName name="vfvf" localSheetId="14"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3" hidden="1">{"TAB1",#N/A,TRUE,"GENERAL";"TAB2",#N/A,TRUE,"GENERAL";"TAB3",#N/A,TRUE,"GENERAL";"TAB4",#N/A,TRUE,"GENERAL";"TAB5",#N/A,TRUE,"GENERAL"}</definedName>
    <definedName name="vfvf" localSheetId="15"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hidden="1">{"via1",#N/A,TRUE,"general";"via2",#N/A,TRUE,"general";"via3",#N/A,TRUE,"general"}</definedName>
    <definedName name="VIAJ">[7]DATOS!$D$3:$D$365</definedName>
    <definedName name="VIAJE" localSheetId="3">#REF!</definedName>
    <definedName name="VIAJE" localSheetId="30">#REF!</definedName>
    <definedName name="VIAJE" localSheetId="31">#REF!</definedName>
    <definedName name="VIAJE" localSheetId="29">#REF!</definedName>
    <definedName name="VIAJE">#REF!</definedName>
    <definedName name="vias">[103]Datos!$H$2:$H$6</definedName>
    <definedName name="VIATICOSTOPO" localSheetId="3">#REF!</definedName>
    <definedName name="VIATICOSTOPO" localSheetId="30">#REF!</definedName>
    <definedName name="VIATICOSTOPO" localSheetId="31">#REF!</definedName>
    <definedName name="VIATICOSTOPO" localSheetId="29">#REF!</definedName>
    <definedName name="VIATICOSTOPO">#REF!</definedName>
    <definedName name="VIBGA" localSheetId="3">#REF!</definedName>
    <definedName name="VIBGA" localSheetId="30">#REF!</definedName>
    <definedName name="VIBGA" localSheetId="31">#REF!</definedName>
    <definedName name="VIBGA" localSheetId="29">#REF!</definedName>
    <definedName name="VIBGA">#REF!</definedName>
    <definedName name="vibr">#REF!</definedName>
    <definedName name="VIBRA" localSheetId="3">#REF!</definedName>
    <definedName name="VIBRA" localSheetId="30">#REF!</definedName>
    <definedName name="VIBRA" localSheetId="31">#REF!</definedName>
    <definedName name="VIBRA" localSheetId="29">#REF!</definedName>
    <definedName name="VIBRA">#REF!</definedName>
    <definedName name="VIBRADOR">#REF!</definedName>
    <definedName name="Vibrador_a_gasolina">'[24]Equipo y transporte'!$D$11</definedName>
    <definedName name="VIBRCOM">#REF!</definedName>
    <definedName name="VIBRE" localSheetId="3">#REF!</definedName>
    <definedName name="VIBRE" localSheetId="30">#REF!</definedName>
    <definedName name="VIBRE" localSheetId="31">#REF!</definedName>
    <definedName name="VIBRE" localSheetId="29">#REF!</definedName>
    <definedName name="VIBRE">#REF!</definedName>
    <definedName name="VIBRO" localSheetId="3">#REF!</definedName>
    <definedName name="VIBRO" localSheetId="30">#REF!</definedName>
    <definedName name="VIBRO" localSheetId="31">#REF!</definedName>
    <definedName name="VIBRO" localSheetId="29">#REF!</definedName>
    <definedName name="VIBRO">#REF!</definedName>
    <definedName name="vibrocompactador_de_8_t.">'[24]Equipo y transporte'!$D$12</definedName>
    <definedName name="victor">'[112]ARMENIA-CLUB DE TIRO'!$A$59:$Q$114</definedName>
    <definedName name="VIDRI">#REF!</definedName>
    <definedName name="viscosidad" localSheetId="3">#REF!</definedName>
    <definedName name="viscosidad" localSheetId="30">#REF!</definedName>
    <definedName name="viscosidad" localSheetId="31">#REF!</definedName>
    <definedName name="viscosidad" localSheetId="29">#REF!</definedName>
    <definedName name="viscosidad">#REF!</definedName>
    <definedName name="vk" localSheetId="14"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3" hidden="1">{"via1",#N/A,TRUE,"general";"via2",#N/A,TRUE,"general";"via3",#N/A,TRUE,"general"}</definedName>
    <definedName name="vk" localSheetId="15" hidden="1">{"via1",#N/A,TRUE,"general";"via2",#N/A,TRUE,"general";"via3",#N/A,TRUE,"general"}</definedName>
    <definedName name="vk" hidden="1">{"via1",#N/A,TRUE,"general";"via2",#N/A,TRUE,"general";"via3",#N/A,TRUE,"general"}</definedName>
    <definedName name="vm">#REF!</definedName>
    <definedName name="vnbvxb" localSheetId="14"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3" hidden="1">{"via1",#N/A,TRUE,"general";"via2",#N/A,TRUE,"general";"via3",#N/A,TRUE,"general"}</definedName>
    <definedName name="vnbvxb" localSheetId="15" hidden="1">{"via1",#N/A,TRUE,"general";"via2",#N/A,TRUE,"general";"via3",#N/A,TRUE,"general"}</definedName>
    <definedName name="vnbvxb" hidden="1">{"via1",#N/A,TRUE,"general";"via2",#N/A,TRUE,"general";"via3",#N/A,TRUE,"general"}</definedName>
    <definedName name="VNVBN" localSheetId="14"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5" hidden="1">{"TAB1",#N/A,TRUE,"GENERAL";"TAB2",#N/A,TRUE,"GENERAL";"TAB3",#N/A,TRUE,"GENERAL";"TAB4",#N/A,TRUE,"GENERAL";"TAB5",#N/A,TRUE,"GENERAL"}</definedName>
    <definedName name="VNVBN" hidden="1">{"TAB1",#N/A,TRUE,"GENERAL";"TAB2",#N/A,TRUE,"GENERAL";"TAB3",#N/A,TRUE,"GENERAL";"TAB4",#N/A,TRUE,"GENERAL";"TAB5",#N/A,TRUE,"GENERAL"}</definedName>
    <definedName name="vol">#REF!</definedName>
    <definedName name="Vol_aletas1">[17]Dimensiones!$F$37</definedName>
    <definedName name="Vol_aletas2">[17]Dimensiones!$F$39</definedName>
    <definedName name="Vol_aletas3">[17]Dimensiones!$F$41</definedName>
    <definedName name="Vol_aletas4">[17]Dimensiones!$F$43</definedName>
    <definedName name="Vol_aletas5">[17]Dimensiones!$F$45</definedName>
    <definedName name="Vol_tanques">[17]Dimensiones!$D$37</definedName>
    <definedName name="VolCIM">#REF!</definedName>
    <definedName name="volm3km">#REF!</definedName>
    <definedName name="VolPE">#REF!</definedName>
    <definedName name="VolPVC">#REF!</definedName>
    <definedName name="VOLQUET">#REF!</definedName>
    <definedName name="VOLQUETA" localSheetId="3">#REF!</definedName>
    <definedName name="VOLQUETA" localSheetId="30">#REF!</definedName>
    <definedName name="VOLQUETA" localSheetId="31">#REF!</definedName>
    <definedName name="VOLQUETA" localSheetId="29">#REF!</definedName>
    <definedName name="VOLQUETA">#REF!</definedName>
    <definedName name="Volqueta__6_m³">'[24]Equipo y transporte'!$D$17</definedName>
    <definedName name="Volumen">[7]DATOS!$AM$3:$AM$2292</definedName>
    <definedName name="volumen_corporativo">#REF!</definedName>
    <definedName name="VPVC2">#REF!</definedName>
    <definedName name="vsdfj" localSheetId="14"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3" hidden="1">{"via1",#N/A,TRUE,"general";"via2",#N/A,TRUE,"general";"via3",#N/A,TRUE,"general"}</definedName>
    <definedName name="vsdfj" localSheetId="15" hidden="1">{"via1",#N/A,TRUE,"general";"via2",#N/A,TRUE,"general";"via3",#N/A,TRUE,"general"}</definedName>
    <definedName name="vsdfj" hidden="1">{"via1",#N/A,TRUE,"general";"via2",#N/A,TRUE,"general";"via3",#N/A,TRUE,"general"}</definedName>
    <definedName name="vt" localSheetId="14"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3" hidden="1">{"via1",#N/A,TRUE,"general";"via2",#N/A,TRUE,"general";"via3",#N/A,TRUE,"general"}</definedName>
    <definedName name="vt" localSheetId="15" hidden="1">{"via1",#N/A,TRUE,"general";"via2",#N/A,TRUE,"general";"via3",#N/A,TRUE,"general"}</definedName>
    <definedName name="vt" hidden="1">{"via1",#N/A,TRUE,"general";"via2",#N/A,TRUE,"general";"via3",#N/A,TRUE,"general"}</definedName>
    <definedName name="VUELTA">[73]Vuelta!$C$6:$J$500</definedName>
    <definedName name="vv">#REF!</definedName>
    <definedName name="vvcxv" localSheetId="14"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5"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4"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3" hidden="1">{"via1",#N/A,TRUE,"general";"via2",#N/A,TRUE,"general";"via3",#N/A,TRUE,"general"}</definedName>
    <definedName name="vvvvt" localSheetId="15" hidden="1">{"via1",#N/A,TRUE,"general";"via2",#N/A,TRUE,"general";"via3",#N/A,TRUE,"general"}</definedName>
    <definedName name="vvvvt" hidden="1">{"via1",#N/A,TRUE,"general";"via2",#N/A,TRUE,"general";"via3",#N/A,TRUE,"general"}</definedName>
    <definedName name="vvvvvvf" localSheetId="14"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3" hidden="1">{"via1",#N/A,TRUE,"general";"via2",#N/A,TRUE,"general";"via3",#N/A,TRUE,"general"}</definedName>
    <definedName name="vvvvvvf" localSheetId="15" hidden="1">{"via1",#N/A,TRUE,"general";"via2",#N/A,TRUE,"general";"via3",#N/A,TRUE,"general"}</definedName>
    <definedName name="vvvvvvf" hidden="1">{"via1",#N/A,TRUE,"general";"via2",#N/A,TRUE,"general";"via3",#N/A,TRUE,"general"}</definedName>
    <definedName name="vy" localSheetId="14"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3" hidden="1">{"TAB1",#N/A,TRUE,"GENERAL";"TAB2",#N/A,TRUE,"GENERAL";"TAB3",#N/A,TRUE,"GENERAL";"TAB4",#N/A,TRUE,"GENERAL";"TAB5",#N/A,TRUE,"GENERAL"}</definedName>
    <definedName name="vy" localSheetId="15" hidden="1">{"TAB1",#N/A,TRUE,"GENERAL";"TAB2",#N/A,TRUE,"GENERAL";"TAB3",#N/A,TRUE,"GENERAL";"TAB4",#N/A,TRUE,"GENERAL";"TAB5",#N/A,TRUE,"GENERAL"}</definedName>
    <definedName name="vy" hidden="1">{"TAB1",#N/A,TRUE,"GENERAL";"TAB2",#N/A,TRUE,"GENERAL";"TAB3",#N/A,TRUE,"GENERAL";"TAB4",#N/A,TRUE,"GENERAL";"TAB5",#N/A,TRUE,"GENERAL"}</definedName>
    <definedName name="w" localSheetId="14" hidden="1">#REF!</definedName>
    <definedName name="w" localSheetId="16" hidden="1">#REF!</definedName>
    <definedName name="w" localSheetId="17" hidden="1">#REF!</definedName>
    <definedName name="w" localSheetId="13" hidden="1">#REF!</definedName>
    <definedName name="w" localSheetId="15" hidden="1">#REF!</definedName>
    <definedName name="w" hidden="1">#REF!</definedName>
    <definedName name="w2w2w" localSheetId="14"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3" hidden="1">{"via1",#N/A,TRUE,"general";"via2",#N/A,TRUE,"general";"via3",#N/A,TRUE,"general"}</definedName>
    <definedName name="w2w2w" localSheetId="15" hidden="1">{"via1",#N/A,TRUE,"general";"via2",#N/A,TRUE,"general";"via3",#N/A,TRUE,"general"}</definedName>
    <definedName name="w2w2w" hidden="1">{"via1",#N/A,TRUE,"general";"via2",#N/A,TRUE,"general";"via3",#N/A,TRUE,"general"}</definedName>
    <definedName name="WDD" hidden="1">{#N/A,#N/A,FALSE,"orthoflow";#N/A,#N/A,FALSE,"Miscelaneos";#N/A,#N/A,FALSE,"Instrumentacio";#N/A,#N/A,FALSE,"Electrico";#N/A,#N/A,FALSE,"Valv. Seguridad"}</definedName>
    <definedName name="WDFSDF">'[40]Res-Accide-10'!#REF!</definedName>
    <definedName name="we">#REF!</definedName>
    <definedName name="WEERTEG" localSheetId="3">#REF!</definedName>
    <definedName name="WEERTEG" localSheetId="30">#REF!</definedName>
    <definedName name="WEERTEG" localSheetId="31">#REF!</definedName>
    <definedName name="WEERTEG" localSheetId="29">#REF!</definedName>
    <definedName name="WEERTEG">#REF!</definedName>
    <definedName name="WEFWE">'[40]Res-Accide-10'!#REF!</definedName>
    <definedName name="WER">'[40]Res-Accide-10'!$S$2:$S$7</definedName>
    <definedName name="werew" localSheetId="14"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5" hidden="1">{"TAB1",#N/A,TRUE,"GENERAL";"TAB2",#N/A,TRUE,"GENERAL";"TAB3",#N/A,TRUE,"GENERAL";"TAB4",#N/A,TRUE,"GENERAL";"TAB5",#N/A,TRUE,"GENERAL"}</definedName>
    <definedName name="werew" hidden="1">{"TAB1",#N/A,TRUE,"GENERAL";"TAB2",#N/A,TRUE,"GENERAL";"TAB3",#N/A,TRUE,"GENERAL";"TAB4",#N/A,TRUE,"GENERAL";"TAB5",#N/A,TRUE,"GENERAL"}</definedName>
    <definedName name="WEREWR" localSheetId="14"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3" hidden="1">{"via1",#N/A,TRUE,"general";"via2",#N/A,TRUE,"general";"via3",#N/A,TRUE,"general"}</definedName>
    <definedName name="WEREWR" localSheetId="15" hidden="1">{"via1",#N/A,TRUE,"general";"via2",#N/A,TRUE,"general";"via3",#N/A,TRUE,"general"}</definedName>
    <definedName name="WEREWR" hidden="1">{"via1",#N/A,TRUE,"general";"via2",#N/A,TRUE,"general";"via3",#N/A,TRUE,"general"}</definedName>
    <definedName name="werfdsf" localSheetId="14"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5" hidden="1">{"TAB1",#N/A,TRUE,"GENERAL";"TAB2",#N/A,TRUE,"GENERAL";"TAB3",#N/A,TRUE,"GENERAL";"TAB4",#N/A,TRUE,"GENERAL";"TAB5",#N/A,TRUE,"GENERAL"}</definedName>
    <definedName name="werfdsf" hidden="1">{"TAB1",#N/A,TRUE,"GENERAL";"TAB2",#N/A,TRUE,"GENERAL";"TAB3",#N/A,TRUE,"GENERAL";"TAB4",#N/A,TRUE,"GENERAL";"TAB5",#N/A,TRUE,"GENERAL"}</definedName>
    <definedName name="werh" localSheetId="14"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3" hidden="1">{"via1",#N/A,TRUE,"general";"via2",#N/A,TRUE,"general";"via3",#N/A,TRUE,"general"}</definedName>
    <definedName name="werh" localSheetId="15" hidden="1">{"via1",#N/A,TRUE,"general";"via2",#N/A,TRUE,"general";"via3",#N/A,TRUE,"general"}</definedName>
    <definedName name="werh" hidden="1">{"via1",#N/A,TRUE,"general";"via2",#N/A,TRUE,"general";"via3",#N/A,TRUE,"general"}</definedName>
    <definedName name="wersfdfrguyo" localSheetId="14"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3" hidden="1">{"via1",#N/A,TRUE,"general";"via2",#N/A,TRUE,"general";"via3",#N/A,TRUE,"general"}</definedName>
    <definedName name="wersfdfrguyo" localSheetId="15" hidden="1">{"via1",#N/A,TRUE,"general";"via2",#N/A,TRUE,"general";"via3",#N/A,TRUE,"general"}</definedName>
    <definedName name="wersfdfrguyo" hidden="1">{"via1",#N/A,TRUE,"general";"via2",#N/A,TRUE,"general";"via3",#N/A,TRUE,"general"}</definedName>
    <definedName name="werwr" localSheetId="14"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3" hidden="1">{"via1",#N/A,TRUE,"general";"via2",#N/A,TRUE,"general";"via3",#N/A,TRUE,"general"}</definedName>
    <definedName name="werwr" localSheetId="15" hidden="1">{"via1",#N/A,TRUE,"general";"via2",#N/A,TRUE,"general";"via3",#N/A,TRUE,"general"}</definedName>
    <definedName name="werwr" hidden="1">{"via1",#N/A,TRUE,"general";"via2",#N/A,TRUE,"general";"via3",#N/A,TRUE,"general"}</definedName>
    <definedName name="WERWVN" localSheetId="14"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5" hidden="1">{"TAB1",#N/A,TRUE,"GENERAL";"TAB2",#N/A,TRUE,"GENERAL";"TAB3",#N/A,TRUE,"GENERAL";"TAB4",#N/A,TRUE,"GENERAL";"TAB5",#N/A,TRUE,"GENERAL"}</definedName>
    <definedName name="WERWVN" hidden="1">{"TAB1",#N/A,TRUE,"GENERAL";"TAB2",#N/A,TRUE,"GENERAL";"TAB3",#N/A,TRUE,"GENERAL";"TAB4",#N/A,TRUE,"GENERAL";"TAB5",#N/A,TRUE,"GENERAL"}</definedName>
    <definedName name="wetrew" localSheetId="14"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3" hidden="1">{"via1",#N/A,TRUE,"general";"via2",#N/A,TRUE,"general";"via3",#N/A,TRUE,"general"}</definedName>
    <definedName name="wetrew" localSheetId="15" hidden="1">{"via1",#N/A,TRUE,"general";"via2",#N/A,TRUE,"general";"via3",#N/A,TRUE,"general"}</definedName>
    <definedName name="wetrew" hidden="1">{"via1",#N/A,TRUE,"general";"via2",#N/A,TRUE,"general";"via3",#N/A,TRUE,"general"}</definedName>
    <definedName name="wettt" localSheetId="14"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3" hidden="1">{"via1",#N/A,TRUE,"general";"via2",#N/A,TRUE,"general";"via3",#N/A,TRUE,"general"}</definedName>
    <definedName name="wettt" localSheetId="15" hidden="1">{"via1",#N/A,TRUE,"general";"via2",#N/A,TRUE,"general";"via3",#N/A,TRUE,"general"}</definedName>
    <definedName name="wettt" hidden="1">{"via1",#N/A,TRUE,"general";"via2",#N/A,TRUE,"general";"via3",#N/A,TRUE,"general"}</definedName>
    <definedName name="wetwretd" localSheetId="14"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3" hidden="1">{"via1",#N/A,TRUE,"general";"via2",#N/A,TRUE,"general";"via3",#N/A,TRUE,"general"}</definedName>
    <definedName name="wetwretd" localSheetId="15" hidden="1">{"via1",#N/A,TRUE,"general";"via2",#N/A,TRUE,"general";"via3",#N/A,TRUE,"general"}</definedName>
    <definedName name="wetwretd" hidden="1">{"via1",#N/A,TRUE,"general";"via2",#N/A,TRUE,"general";"via3",#N/A,TRUE,"general"}</definedName>
    <definedName name="wew" localSheetId="14"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3" hidden="1">{"via1",#N/A,TRUE,"general";"via2",#N/A,TRUE,"general";"via3",#N/A,TRUE,"general"}</definedName>
    <definedName name="wew" localSheetId="15" hidden="1">{"via1",#N/A,TRUE,"general";"via2",#N/A,TRUE,"general";"via3",#N/A,TRUE,"general"}</definedName>
    <definedName name="wew" hidden="1">{"via1",#N/A,TRUE,"general";"via2",#N/A,TRUE,"general";"via3",#N/A,TRUE,"general"}</definedName>
    <definedName name="wffag" localSheetId="14"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3" hidden="1">{"via1",#N/A,TRUE,"general";"via2",#N/A,TRUE,"general";"via3",#N/A,TRUE,"general"}</definedName>
    <definedName name="wffag" localSheetId="15" hidden="1">{"via1",#N/A,TRUE,"general";"via2",#N/A,TRUE,"general";"via3",#N/A,TRUE,"general"}</definedName>
    <definedName name="wffag" hidden="1">{"via1",#N/A,TRUE,"general";"via2",#N/A,TRUE,"general";"via3",#N/A,TRUE,"general"}</definedName>
    <definedName name="WILSON">'[40]Res-Accide-10'!#REF!</definedName>
    <definedName name="wj">#REF!</definedName>
    <definedName name="wl">#REF!</definedName>
    <definedName name="WPWPS" localSheetId="14">[2]!absc</definedName>
    <definedName name="WPWPS" localSheetId="17">[2]!absc</definedName>
    <definedName name="WPWPS" localSheetId="2">[2]!absc</definedName>
    <definedName name="WPWPS" localSheetId="20">[2]!absc</definedName>
    <definedName name="WPWPS" localSheetId="21">[2]!absc</definedName>
    <definedName name="WPWPS" localSheetId="15">[2]!absc</definedName>
    <definedName name="WPWPS">[2]!absc</definedName>
    <definedName name="WQEEWQ" localSheetId="14"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5" hidden="1">{"TAB1",#N/A,TRUE,"GENERAL";"TAB2",#N/A,TRUE,"GENERAL";"TAB3",#N/A,TRUE,"GENERAL";"TAB4",#N/A,TRUE,"GENERAL";"TAB5",#N/A,TRUE,"GENERAL"}</definedName>
    <definedName name="WQEEWQ" hidden="1">{"TAB1",#N/A,TRUE,"GENERAL";"TAB2",#N/A,TRUE,"GENERAL";"TAB3",#N/A,TRUE,"GENERAL";"TAB4",#N/A,TRUE,"GENERAL";"TAB5",#N/A,TRUE,"GENERAL"}</definedName>
    <definedName name="wrn.actafabi." localSheetId="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6"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4"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5"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9"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r." localSheetId="14" hidden="1">{#N/A,#N/A,TRUE,"CODIGO DEPENDENCIA"}</definedName>
    <definedName name="wrn.ar." localSheetId="16" hidden="1">{#N/A,#N/A,TRUE,"CODIGO DEPENDENCIA"}</definedName>
    <definedName name="wrn.ar." localSheetId="17" hidden="1">{#N/A,#N/A,TRUE,"CODIGO DEPENDENCIA"}</definedName>
    <definedName name="wrn.ar." localSheetId="13" hidden="1">{#N/A,#N/A,TRUE,"CODIGO DEPENDENCIA"}</definedName>
    <definedName name="wrn.ar." localSheetId="15" hidden="1">{#N/A,#N/A,TRUE,"CODIGO DEPENDENCIA"}</definedName>
    <definedName name="wrn.ar." hidden="1">{#N/A,#N/A,TRUE,"CODIGO DEPENDENCIA"}</definedName>
    <definedName name="wrn.civil._.works." localSheetId="14" hidden="1">{#N/A,#N/A,TRUE,"1842CWN0"}</definedName>
    <definedName name="wrn.civil._.works." localSheetId="16" hidden="1">{#N/A,#N/A,TRUE,"1842CWN0"}</definedName>
    <definedName name="wrn.civil._.works." localSheetId="17" hidden="1">{#N/A,#N/A,TRUE,"1842CWN0"}</definedName>
    <definedName name="wrn.civil._.works." localSheetId="13" hidden="1">{#N/A,#N/A,TRUE,"1842CWN0"}</definedName>
    <definedName name="wrn.civil._.works." localSheetId="15" hidden="1">{#N/A,#N/A,TRUE,"1842CWN0"}</definedName>
    <definedName name="wrn.civil._.works." hidden="1">{#N/A,#N/A,TRUE,"1842CWN0"}</definedName>
    <definedName name="wrn.civil._.works._1" localSheetId="14" hidden="1">{#N/A,#N/A,TRUE,"1842CWN0"}</definedName>
    <definedName name="wrn.civil._.works._1" localSheetId="13" hidden="1">{#N/A,#N/A,TRUE,"1842CWN0"}</definedName>
    <definedName name="wrn.civil._.works._1" localSheetId="15" hidden="1">{#N/A,#N/A,TRUE,"1842CWN0"}</definedName>
    <definedName name="wrn.civil._.works._1" hidden="1">{#N/A,#N/A,TRUE,"1842CWN0"}</definedName>
    <definedName name="wrn.civil._.works._2" localSheetId="14" hidden="1">{#N/A,#N/A,TRUE,"1842CWN0"}</definedName>
    <definedName name="wrn.civil._.works._2" localSheetId="13" hidden="1">{#N/A,#N/A,TRUE,"1842CWN0"}</definedName>
    <definedName name="wrn.civil._.works._2" localSheetId="15" hidden="1">{#N/A,#N/A,TRUE,"1842CWN0"}</definedName>
    <definedName name="wrn.civil._.works._2" hidden="1">{#N/A,#N/A,TRUE,"1842CWN0"}</definedName>
    <definedName name="wrn.ESTADO._.REHABILITACION." localSheetId="14" hidden="1">{"PRES REHAB ARM-PER POR ITEMS  KM A KM",#N/A,TRUE,"Rehabilitacion Arm-Per"}</definedName>
    <definedName name="wrn.ESTADO._.REHABILITACION." localSheetId="16" hidden="1">{"PRES REHAB ARM-PER POR ITEMS  KM A KM",#N/A,TRUE,"Rehabilitacion Arm-Per"}</definedName>
    <definedName name="wrn.ESTADO._.REHABILITACION." localSheetId="17" hidden="1">{"PRES REHAB ARM-PER POR ITEMS  KM A KM",#N/A,TRUE,"Rehabilitacion Arm-Per"}</definedName>
    <definedName name="wrn.ESTADO._.REHABILITACION." localSheetId="13" hidden="1">{"PRES REHAB ARM-PER POR ITEMS  KM A KM",#N/A,TRUE,"Rehabilitacion Arm-Per"}</definedName>
    <definedName name="wrn.ESTADO._.REHABILITACION." localSheetId="15" hidden="1">{"PRES REHAB ARM-PER POR ITEMS  KM A KM",#N/A,TRUE,"Rehabilitacion Arm-Per"}</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3" hidden="1">{"VIA1",#N/A,TRUE,"formul";"VIA2",#N/A,TRUE,"formul";"VIA3",#N/A,TRUE,"formul"}</definedName>
    <definedName name="wrn.formu." localSheetId="14" hidden="1">{"VIA1",#N/A,TRUE,"formul";"VIA2",#N/A,TRUE,"formul";"VIA3",#N/A,TRUE,"formul"}</definedName>
    <definedName name="wrn.formu." localSheetId="30" hidden="1">{"VIA1",#N/A,TRUE,"formul";"VIA2",#N/A,TRUE,"formul";"VIA3",#N/A,TRUE,"formul"}</definedName>
    <definedName name="wrn.formu." localSheetId="31" hidden="1">{"VIA1",#N/A,TRUE,"formul";"VIA2",#N/A,TRUE,"formul";"VIA3",#N/A,TRUE,"formul"}</definedName>
    <definedName name="wrn.formu." localSheetId="36" hidden="1">{"VIA1",#N/A,TRUE,"formul";"VIA2",#N/A,TRUE,"formul";"VIA3",#N/A,TRUE,"formul"}</definedName>
    <definedName name="wrn.formu." localSheetId="34" hidden="1">{"VIA1",#N/A,TRUE,"formul";"VIA2",#N/A,TRUE,"formul";"VIA3",#N/A,TRUE,"formul"}</definedName>
    <definedName name="wrn.formu." localSheetId="32" hidden="1">{"VIA1",#N/A,TRUE,"formul";"VIA2",#N/A,TRUE,"formul";"VIA3",#N/A,TRUE,"formul"}</definedName>
    <definedName name="wrn.formu." localSheetId="33" hidden="1">{"VIA1",#N/A,TRUE,"formul";"VIA2",#N/A,TRUE,"formul";"VIA3",#N/A,TRUE,"formul"}</definedName>
    <definedName name="wrn.formu." localSheetId="16" hidden="1">{"VIA1",#N/A,TRUE,"formul";"VIA2",#N/A,TRUE,"formul";"VIA3",#N/A,TRUE,"formul"}</definedName>
    <definedName name="wrn.formu." localSheetId="17" hidden="1">{"VIA1",#N/A,TRUE,"formul";"VIA2",#N/A,TRUE,"formul";"VIA3",#N/A,TRUE,"formul"}</definedName>
    <definedName name="wrn.formu." localSheetId="35" hidden="1">{"VIA1",#N/A,TRUE,"formul";"VIA2",#N/A,TRUE,"formul";"VIA3",#N/A,TRUE,"formul"}</definedName>
    <definedName name="wrn.formu." localSheetId="13" hidden="1">{"VIA1",#N/A,TRUE,"formul";"VIA2",#N/A,TRUE,"formul";"VIA3",#N/A,TRUE,"formul"}</definedName>
    <definedName name="wrn.formu." localSheetId="15" hidden="1">{"VIA1",#N/A,TRUE,"formul";"VIA2",#N/A,TRUE,"formul";"VIA3",#N/A,TRUE,"formul"}</definedName>
    <definedName name="wrn.formu." localSheetId="29" hidden="1">{"VIA1",#N/A,TRUE,"formul";"VIA2",#N/A,TRUE,"formul";"VIA3",#N/A,TRUE,"formul"}</definedName>
    <definedName name="wrn.formu." hidden="1">{"VIA1",#N/A,TRUE,"formul";"VIA2",#N/A,TRUE,"formul";"VIA3",#N/A,TRUE,"formul"}</definedName>
    <definedName name="wrn.GENERAL." localSheetId="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36"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3"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35"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29" hidden="1">{"TAB1",#N/A,TRUE,"GENERAL";"TAB2",#N/A,TRUE,"GENERAL";"TAB3",#N/A,TRUE,"GENERAL";"TAB4",#N/A,TRUE,"GENERAL";"TAB5",#N/A,TRUE,"GENERAL"}</definedName>
    <definedName name="wrn.GENERAL." hidden="1">{"TAB1",#N/A,TRUE,"GENERAL";"TAB2",#N/A,TRUE,"GENERAL";"TAB3",#N/A,TRUE,"GENERAL";"TAB4",#N/A,TRUE,"GENERAL";"TAB5",#N/A,TRUE,"GENERAL"}</definedName>
    <definedName name="wrn.GERENCIA." localSheetId="14" hidden="1">{#N/A,#N/A,TRUE,"INGENIERIA";#N/A,#N/A,TRUE,"COMPRAS";#N/A,#N/A,TRUE,"DIRECCION";#N/A,#N/A,TRUE,"RESUMEN"}</definedName>
    <definedName name="wrn.GERENCIA." localSheetId="16" hidden="1">{#N/A,#N/A,TRUE,"INGENIERIA";#N/A,#N/A,TRUE,"COMPRAS";#N/A,#N/A,TRUE,"DIRECCION";#N/A,#N/A,TRUE,"RESUMEN"}</definedName>
    <definedName name="wrn.GERENCIA." localSheetId="17" hidden="1">{#N/A,#N/A,TRUE,"INGENIERIA";#N/A,#N/A,TRUE,"COMPRAS";#N/A,#N/A,TRUE,"DIRECCION";#N/A,#N/A,TRUE,"RESUMEN"}</definedName>
    <definedName name="wrn.GERENCIA." localSheetId="13" hidden="1">{#N/A,#N/A,TRUE,"INGENIERIA";#N/A,#N/A,TRUE,"COMPRAS";#N/A,#N/A,TRUE,"DIRECCION";#N/A,#N/A,TRUE,"RESUMEN"}</definedName>
    <definedName name="wrn.GERENCIA." localSheetId="15" hidden="1">{#N/A,#N/A,TRUE,"INGENIERIA";#N/A,#N/A,TRUE,"COMPRAS";#N/A,#N/A,TRUE,"DIRECCION";#N/A,#N/A,TRUE,"RESUMEN"}</definedName>
    <definedName name="wrn.GERENCIA." hidden="1">{#N/A,#N/A,TRUE,"INGENIERIA";#N/A,#N/A,TRUE,"COMPRAS";#N/A,#N/A,TRUE,"DIRECCION";#N/A,#N/A,TRUE,"RESUMEN"}</definedName>
    <definedName name="wrn.GERENCIA._1" localSheetId="14" hidden="1">{#N/A,#N/A,TRUE,"INGENIERIA";#N/A,#N/A,TRUE,"COMPRAS";#N/A,#N/A,TRUE,"DIRECCION";#N/A,#N/A,TRUE,"RESUMEN"}</definedName>
    <definedName name="wrn.GERENCIA._1" localSheetId="13" hidden="1">{#N/A,#N/A,TRUE,"INGENIERIA";#N/A,#N/A,TRUE,"COMPRAS";#N/A,#N/A,TRUE,"DIRECCION";#N/A,#N/A,TRUE,"RESUMEN"}</definedName>
    <definedName name="wrn.GERENCIA._1" localSheetId="15" hidden="1">{#N/A,#N/A,TRUE,"INGENIERIA";#N/A,#N/A,TRUE,"COMPRAS";#N/A,#N/A,TRUE,"DIRECCION";#N/A,#N/A,TRUE,"RESUMEN"}</definedName>
    <definedName name="wrn.GERENCIA._1" hidden="1">{#N/A,#N/A,TRUE,"INGENIERIA";#N/A,#N/A,TRUE,"COMPRAS";#N/A,#N/A,TRUE,"DIRECCION";#N/A,#N/A,TRUE,"RESUMEN"}</definedName>
    <definedName name="wrn.GERENCIA._2" localSheetId="14" hidden="1">{#N/A,#N/A,TRUE,"INGENIERIA";#N/A,#N/A,TRUE,"COMPRAS";#N/A,#N/A,TRUE,"DIRECCION";#N/A,#N/A,TRUE,"RESUMEN"}</definedName>
    <definedName name="wrn.GERENCIA._2" localSheetId="13" hidden="1">{#N/A,#N/A,TRUE,"INGENIERIA";#N/A,#N/A,TRUE,"COMPRAS";#N/A,#N/A,TRUE,"DIRECCION";#N/A,#N/A,TRUE,"RESUMEN"}</definedName>
    <definedName name="wrn.GERENCIA._2" localSheetId="15" hidden="1">{#N/A,#N/A,TRUE,"INGENIERIA";#N/A,#N/A,TRUE,"COMPRAS";#N/A,#N/A,TRUE,"DIRECCION";#N/A,#N/A,TRUE,"RESUMEN"}</definedName>
    <definedName name="wrn.GERENCIA._2" hidden="1">{#N/A,#N/A,TRUE,"INGENIERIA";#N/A,#N/A,TRUE,"COMPRAS";#N/A,#N/A,TRUE,"DIRECCION";#N/A,#N/A,TRUE,"RESUMEN"}</definedName>
    <definedName name="wrn.Impresion._.Datos._.de._.las._.Curvas." hidden="1">{"Datos de las Curvas",#N/A,TRUE,"TABLA-CALCULOS"}</definedName>
    <definedName name="wrn.LL0004A." localSheetId="14" hidden="1">{#N/A,#N/A,FALSE,"List. Tie-in's Rev. A Diesel";#N/A,#N/A,FALSE,"List. Tie-in's Rev. A Gasolina";#N/A,#N/A,FALSE,"List. Tie-in's Rev. A Crudo";#N/A,#N/A,FALSE,"List. Tie-in's Rev. A Fuel Oil"}</definedName>
    <definedName name="wrn.LL0004A." localSheetId="13" hidden="1">{#N/A,#N/A,FALSE,"List. Tie-in's Rev. A Diesel";#N/A,#N/A,FALSE,"List. Tie-in's Rev. A Gasolina";#N/A,#N/A,FALSE,"List. Tie-in's Rev. A Crudo";#N/A,#N/A,FALSE,"List. Tie-in's Rev. A Fuel Oil"}</definedName>
    <definedName name="wrn.LL0004A." localSheetId="15" hidden="1">{#N/A,#N/A,FALSE,"List. Tie-in's Rev. A Diesel";#N/A,#N/A,FALSE,"List. Tie-in's Rev. A Gasolina";#N/A,#N/A,FALSE,"List. Tie-in's Rev. A Crudo";#N/A,#N/A,FALSE,"List. Tie-in's Rev. A Fuel Oil"}</definedName>
    <definedName name="wrn.LL0004A." hidden="1">{#N/A,#N/A,FALSE,"List. Tie-in's Rev. A Diesel";#N/A,#N/A,FALSE,"List. Tie-in's Rev. A Gasolina";#N/A,#N/A,FALSE,"List. Tie-in's Rev. A Crudo";#N/A,#N/A,FALSE,"List. Tie-in's Rev. A Fuel Oil"}</definedName>
    <definedName name="wrn.OPERADORES." hidden="1">{#N/A,#N/A,TRUE,"T1"}</definedName>
    <definedName name="wrn.procurement." hidden="1">{#N/A,#N/A,FALSE,"sumi ";#N/A,#N/A,FALSE,"RESUMEN"}</definedName>
    <definedName name="wrn.res7" hidden="1">{#N/A,#N/A,FALSE,"Hoja1";#N/A,#N/A,FALSE,"Hoja2"}</definedName>
    <definedName name="wrn.resumen." localSheetId="14" hidden="1">{"total",#N/A,FALSE,"TD 0% ";"total",#N/A,FALSE,"TD 12%";"total",#N/A,FALSE,"TD 10%"}</definedName>
    <definedName name="wrn.resumen." localSheetId="16" hidden="1">{"total",#N/A,FALSE,"TD 0% ";"total",#N/A,FALSE,"TD 12%";"total",#N/A,FALSE,"TD 10%"}</definedName>
    <definedName name="wrn.resumen." localSheetId="17" hidden="1">{"total",#N/A,FALSE,"TD 0% ";"total",#N/A,FALSE,"TD 12%";"total",#N/A,FALSE,"TD 10%"}</definedName>
    <definedName name="wrn.resumen." localSheetId="13" hidden="1">{"total",#N/A,FALSE,"TD 0% ";"total",#N/A,FALSE,"TD 12%";"total",#N/A,FALSE,"TD 10%"}</definedName>
    <definedName name="wrn.resumen." localSheetId="15" hidden="1">{"total",#N/A,FALSE,"TD 0% ";"total",#N/A,FALSE,"TD 12%";"total",#N/A,FALSE,"TD 10%"}</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4"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3" hidden="1">{"via1",#N/A,TRUE,"general";"via2",#N/A,TRUE,"general";"via3",#N/A,TRUE,"general"}</definedName>
    <definedName name="wrn.via" localSheetId="15" hidden="1">{"via1",#N/A,TRUE,"general";"via2",#N/A,TRUE,"general";"via3",#N/A,TRUE,"general"}</definedName>
    <definedName name="wrn.via" hidden="1">{"via1",#N/A,TRUE,"general";"via2",#N/A,TRUE,"general";"via3",#N/A,TRUE,"general"}</definedName>
    <definedName name="wrn.via." localSheetId="3" hidden="1">{"via1",#N/A,TRUE,"general";"via2",#N/A,TRUE,"general";"via3",#N/A,TRUE,"general"}</definedName>
    <definedName name="wrn.via." localSheetId="14" hidden="1">{"via1",#N/A,TRUE,"general";"via2",#N/A,TRUE,"general";"via3",#N/A,TRUE,"general"}</definedName>
    <definedName name="wrn.via." localSheetId="30" hidden="1">{"via1",#N/A,TRUE,"general";"via2",#N/A,TRUE,"general";"via3",#N/A,TRUE,"general"}</definedName>
    <definedName name="wrn.via." localSheetId="31" hidden="1">{"via1",#N/A,TRUE,"general";"via2",#N/A,TRUE,"general";"via3",#N/A,TRUE,"general"}</definedName>
    <definedName name="wrn.via." localSheetId="36" hidden="1">{"via1",#N/A,TRUE,"general";"via2",#N/A,TRUE,"general";"via3",#N/A,TRUE,"general"}</definedName>
    <definedName name="wrn.via." localSheetId="34" hidden="1">{"via1",#N/A,TRUE,"general";"via2",#N/A,TRUE,"general";"via3",#N/A,TRUE,"general"}</definedName>
    <definedName name="wrn.via." localSheetId="32" hidden="1">{"via1",#N/A,TRUE,"general";"via2",#N/A,TRUE,"general";"via3",#N/A,TRUE,"general"}</definedName>
    <definedName name="wrn.via." localSheetId="33"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35" hidden="1">{"via1",#N/A,TRUE,"general";"via2",#N/A,TRUE,"general";"via3",#N/A,TRUE,"general"}</definedName>
    <definedName name="wrn.via." localSheetId="13" hidden="1">{"via1",#N/A,TRUE,"general";"via2",#N/A,TRUE,"general";"via3",#N/A,TRUE,"general"}</definedName>
    <definedName name="wrn.via." localSheetId="15" hidden="1">{"via1",#N/A,TRUE,"general";"via2",#N/A,TRUE,"general";"via3",#N/A,TRUE,"general"}</definedName>
    <definedName name="wrn.via." localSheetId="29" hidden="1">{"via1",#N/A,TRUE,"general";"via2",#N/A,TRUE,"general";"via3",#N/A,TRUE,"general"}</definedName>
    <definedName name="wrn.via." hidden="1">{"via1",#N/A,TRUE,"general";"via2",#N/A,TRUE,"general";"via3",#N/A,TRUE,"general"}</definedName>
    <definedName name="ws">#REF!</definedName>
    <definedName name="wsnhed" localSheetId="14"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3" hidden="1">{"via1",#N/A,TRUE,"general";"via2",#N/A,TRUE,"general";"via3",#N/A,TRUE,"general"}</definedName>
    <definedName name="wsnhed" localSheetId="15" hidden="1">{"via1",#N/A,TRUE,"general";"via2",#N/A,TRUE,"general";"via3",#N/A,TRUE,"general"}</definedName>
    <definedName name="wsnhed" hidden="1">{"via1",#N/A,TRUE,"general";"via2",#N/A,TRUE,"general";"via3",#N/A,TRUE,"general"}</definedName>
    <definedName name="wswswsqa" localSheetId="14"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3" hidden="1">{"via1",#N/A,TRUE,"general";"via2",#N/A,TRUE,"general";"via3",#N/A,TRUE,"general"}</definedName>
    <definedName name="wswswsqa" localSheetId="15" hidden="1">{"via1",#N/A,TRUE,"general";"via2",#N/A,TRUE,"general";"via3",#N/A,TRUE,"general"}</definedName>
    <definedName name="wswswsqa" hidden="1">{"via1",#N/A,TRUE,"general";"via2",#N/A,TRUE,"general";"via3",#N/A,TRUE,"general"}</definedName>
    <definedName name="wtt" localSheetId="14"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3" hidden="1">{"TAB1",#N/A,TRUE,"GENERAL";"TAB2",#N/A,TRUE,"GENERAL";"TAB3",#N/A,TRUE,"GENERAL";"TAB4",#N/A,TRUE,"GENERAL";"TAB5",#N/A,TRUE,"GENERAL"}</definedName>
    <definedName name="wtt" localSheetId="15" hidden="1">{"TAB1",#N/A,TRUE,"GENERAL";"TAB2",#N/A,TRUE,"GENERAL";"TAB3",#N/A,TRUE,"GENERAL";"TAB4",#N/A,TRUE,"GENERAL";"TAB5",#N/A,TRUE,"GENERAL"}</definedName>
    <definedName name="wtt" hidden="1">{"TAB1",#N/A,TRUE,"GENERAL";"TAB2",#N/A,TRUE,"GENERAL";"TAB3",#N/A,TRUE,"GENERAL";"TAB4",#N/A,TRUE,"GENERAL";"TAB5",#N/A,TRUE,"GENERAL"}</definedName>
    <definedName name="wvu.ComparEneMar9697." localSheetId="3"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3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3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36"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34"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32"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33"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35"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29"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3"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30"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31"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36"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34"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32"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33"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35"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29"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3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3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36"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3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3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3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3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2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3"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3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3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36"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3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32"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33"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35"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29"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3"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3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3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3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34"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32"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33"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35"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29"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3"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30"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31"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36"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34"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32"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33"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35"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29"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ww">#REF!</definedName>
    <definedName name="wwded3" localSheetId="14"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3" hidden="1">{"via1",#N/A,TRUE,"general";"via2",#N/A,TRUE,"general";"via3",#N/A,TRUE,"general"}</definedName>
    <definedName name="wwded3" localSheetId="15" hidden="1">{"via1",#N/A,TRUE,"general";"via2",#N/A,TRUE,"general";"via3",#N/A,TRUE,"general"}</definedName>
    <definedName name="wwded3" hidden="1">{"via1",#N/A,TRUE,"general";"via2",#N/A,TRUE,"general";"via3",#N/A,TRUE,"general"}</definedName>
    <definedName name="wwwwe" localSheetId="14"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5" hidden="1">{"TAB1",#N/A,TRUE,"GENERAL";"TAB2",#N/A,TRUE,"GENERAL";"TAB3",#N/A,TRUE,"GENERAL";"TAB4",#N/A,TRUE,"GENERAL";"TAB5",#N/A,TRUE,"GENERAL"}</definedName>
    <definedName name="wwwwe" hidden="1">{"TAB1",#N/A,TRUE,"GENERAL";"TAB2",#N/A,TRUE,"GENERAL";"TAB3",#N/A,TRUE,"GENERAL";"TAB4",#N/A,TRUE,"GENERAL";"TAB5",#N/A,TRUE,"GENERAL"}</definedName>
    <definedName name="wyty" localSheetId="14"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3" hidden="1">{"via1",#N/A,TRUE,"general";"via2",#N/A,TRUE,"general";"via3",#N/A,TRUE,"general"}</definedName>
    <definedName name="wyty" localSheetId="15" hidden="1">{"via1",#N/A,TRUE,"general";"via2",#N/A,TRUE,"general";"via3",#N/A,TRUE,"general"}</definedName>
    <definedName name="wyty" hidden="1">{"via1",#N/A,TRUE,"general";"via2",#N/A,TRUE,"general";"via3",#N/A,TRUE,"general"}</definedName>
    <definedName name="x">#REF!</definedName>
    <definedName name="xb">#REF!</definedName>
    <definedName name="xcbvbs" localSheetId="14"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5"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W" localSheetId="14" hidden="1">{#N/A,#N/A,TRUE,"1842CWN0"}</definedName>
    <definedName name="XSW" localSheetId="16" hidden="1">{#N/A,#N/A,TRUE,"1842CWN0"}</definedName>
    <definedName name="XSW" localSheetId="17" hidden="1">{#N/A,#N/A,TRUE,"1842CWN0"}</definedName>
    <definedName name="XSW" localSheetId="13" hidden="1">{#N/A,#N/A,TRUE,"1842CWN0"}</definedName>
    <definedName name="XSW" localSheetId="15" hidden="1">{#N/A,#N/A,TRUE,"1842CWN0"}</definedName>
    <definedName name="XSW" hidden="1">{#N/A,#N/A,TRUE,"1842CWN0"}</definedName>
    <definedName name="XSW_1" localSheetId="14" hidden="1">{#N/A,#N/A,TRUE,"1842CWN0"}</definedName>
    <definedName name="XSW_1" localSheetId="13" hidden="1">{#N/A,#N/A,TRUE,"1842CWN0"}</definedName>
    <definedName name="XSW_1" localSheetId="15" hidden="1">{#N/A,#N/A,TRUE,"1842CWN0"}</definedName>
    <definedName name="XSW_1" hidden="1">{#N/A,#N/A,TRUE,"1842CWN0"}</definedName>
    <definedName name="XSW_2" localSheetId="14" hidden="1">{#N/A,#N/A,TRUE,"1842CWN0"}</definedName>
    <definedName name="XSW_2" localSheetId="13" hidden="1">{#N/A,#N/A,TRUE,"1842CWN0"}</definedName>
    <definedName name="XSW_2" localSheetId="15" hidden="1">{#N/A,#N/A,TRUE,"1842CWN0"}</definedName>
    <definedName name="XSW_2" hidden="1">{#N/A,#N/A,TRUE,"1842CWN0"}</definedName>
    <definedName name="xsxs" localSheetId="14"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3" hidden="1">{"TAB1",#N/A,TRUE,"GENERAL";"TAB2",#N/A,TRUE,"GENERAL";"TAB3",#N/A,TRUE,"GENERAL";"TAB4",#N/A,TRUE,"GENERAL";"TAB5",#N/A,TRUE,"GENERAL"}</definedName>
    <definedName name="xsxs" localSheetId="15"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14"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3" hidden="1">{"via1",#N/A,TRUE,"general";"via2",#N/A,TRUE,"general";"via3",#N/A,TRUE,"general"}</definedName>
    <definedName name="xxfg" localSheetId="15" hidden="1">{"via1",#N/A,TRUE,"general";"via2",#N/A,TRUE,"general";"via3",#N/A,TRUE,"general"}</definedName>
    <definedName name="xxfg" hidden="1">{"via1",#N/A,TRUE,"general";"via2",#N/A,TRUE,"general";"via3",#N/A,TRUE,"general"}</definedName>
    <definedName name="XXX">#REF!</definedName>
    <definedName name="XXXX" localSheetId="14" hidden="1">#REF!</definedName>
    <definedName name="XXXX" localSheetId="16" hidden="1">#REF!</definedName>
    <definedName name="XXXX" localSheetId="17" hidden="1">#REF!</definedName>
    <definedName name="XXXX" localSheetId="13" hidden="1">#REF!</definedName>
    <definedName name="XXXX" localSheetId="15" hidden="1">#REF!</definedName>
    <definedName name="XXXX" hidden="1">#REF!</definedName>
    <definedName name="xxxxx" localSheetId="14">[113]!absc</definedName>
    <definedName name="xxxxx" localSheetId="17">[113]!absc</definedName>
    <definedName name="xxxxx" localSheetId="2">[113]!absc</definedName>
    <definedName name="xxxxx" localSheetId="20">[113]!absc</definedName>
    <definedName name="xxxxx" localSheetId="21">[113]!absc</definedName>
    <definedName name="xxxxx" localSheetId="15">[113]!absc</definedName>
    <definedName name="xxxxx">[113]!absc</definedName>
    <definedName name="xxxxxds" localSheetId="14"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3" hidden="1">{"via1",#N/A,TRUE,"general";"via2",#N/A,TRUE,"general";"via3",#N/A,TRUE,"general"}</definedName>
    <definedName name="xxxxxds" localSheetId="15"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#REF!</definedName>
    <definedName name="xxxxxxxxxx29" localSheetId="14"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3" hidden="1">{"via1",#N/A,TRUE,"general";"via2",#N/A,TRUE,"general";"via3",#N/A,TRUE,"general"}</definedName>
    <definedName name="xxxxxxxxxx29" localSheetId="15" hidden="1">{"via1",#N/A,TRUE,"general";"via2",#N/A,TRUE,"general";"via3",#N/A,TRUE,"general"}</definedName>
    <definedName name="xxxxxxxxxx29" hidden="1">{"via1",#N/A,TRUE,"general";"via2",#N/A,TRUE,"general";"via3",#N/A,TRUE,"general"}</definedName>
    <definedName name="XXXXXXXXXXXX">#REF!</definedName>
    <definedName name="XZS" localSheetId="14" hidden="1">#REF!</definedName>
    <definedName name="XZS" localSheetId="16" hidden="1">#REF!</definedName>
    <definedName name="XZS" localSheetId="17" hidden="1">#REF!</definedName>
    <definedName name="XZS" localSheetId="13" hidden="1">#REF!</definedName>
    <definedName name="XZS" localSheetId="15" hidden="1">#REF!</definedName>
    <definedName name="XZS" hidden="1">#REF!</definedName>
    <definedName name="XZXZV" localSheetId="14"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3" hidden="1">{"via1",#N/A,TRUE,"general";"via2",#N/A,TRUE,"general";"via3",#N/A,TRUE,"general"}</definedName>
    <definedName name="XZXZV" localSheetId="15" hidden="1">{"via1",#N/A,TRUE,"general";"via2",#N/A,TRUE,"general";"via3",#N/A,TRUE,"general"}</definedName>
    <definedName name="XZXZV" hidden="1">{"via1",#N/A,TRUE,"general";"via2",#N/A,TRUE,"general";"via3",#N/A,TRUE,"general"}</definedName>
    <definedName name="Y" localSheetId="14">[31]!absc</definedName>
    <definedName name="Y" localSheetId="17">[31]!absc</definedName>
    <definedName name="Y" localSheetId="2">[31]!absc</definedName>
    <definedName name="Y" localSheetId="20">[31]!absc</definedName>
    <definedName name="Y" localSheetId="21">[31]!absc</definedName>
    <definedName name="Y" localSheetId="15">[31]!absc</definedName>
    <definedName name="Y">[31]!absc</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3JH">#REF!</definedName>
    <definedName name="y6y6" localSheetId="14"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3" hidden="1">{"via1",#N/A,TRUE,"general";"via2",#N/A,TRUE,"general";"via3",#N/A,TRUE,"general"}</definedName>
    <definedName name="y6y6" localSheetId="15" hidden="1">{"via1",#N/A,TRUE,"general";"via2",#N/A,TRUE,"general";"via3",#N/A,TRUE,"general"}</definedName>
    <definedName name="y6y6" hidden="1">{"via1",#N/A,TRUE,"general";"via2",#N/A,TRUE,"general";"via3",#N/A,TRUE,"general"}</definedName>
    <definedName name="YA">#REF!</definedName>
    <definedName name="yamile">[23]Datos!$C$2:$C$254</definedName>
    <definedName name="yery" localSheetId="14"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3" hidden="1">{"via1",#N/A,TRUE,"general";"via2",#N/A,TRUE,"general";"via3",#N/A,TRUE,"general"}</definedName>
    <definedName name="yery" localSheetId="15" hidden="1">{"via1",#N/A,TRUE,"general";"via2",#N/A,TRUE,"general";"via3",#N/A,TRUE,"general"}</definedName>
    <definedName name="yery" hidden="1">{"via1",#N/A,TRUE,"general";"via2",#N/A,TRUE,"general";"via3",#N/A,TRUE,"general"}</definedName>
    <definedName name="yhy" localSheetId="14"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3" hidden="1">{"TAB1",#N/A,TRUE,"GENERAL";"TAB2",#N/A,TRUE,"GENERAL";"TAB3",#N/A,TRUE,"GENERAL";"TAB4",#N/A,TRUE,"GENERAL";"TAB5",#N/A,TRUE,"GENERAL"}</definedName>
    <definedName name="yhy" localSheetId="15" hidden="1">{"TAB1",#N/A,TRUE,"GENERAL";"TAB2",#N/A,TRUE,"GENERAL";"TAB3",#N/A,TRUE,"GENERAL";"TAB4",#N/A,TRUE,"GENERAL";"TAB5",#N/A,TRUE,"GENERAL"}</definedName>
    <definedName name="yhy" hidden="1">{"TAB1",#N/A,TRUE,"GENERAL";"TAB2",#N/A,TRUE,"GENERAL";"TAB3",#N/A,TRUE,"GENERAL";"TAB4",#N/A,TRUE,"GENERAL";"TAB5",#N/A,TRUE,"GENERAL"}</definedName>
    <definedName name="yjyj" localSheetId="14"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3" hidden="1">{"TAB1",#N/A,TRUE,"GENERAL";"TAB2",#N/A,TRUE,"GENERAL";"TAB3",#N/A,TRUE,"GENERAL";"TAB4",#N/A,TRUE,"GENERAL";"TAB5",#N/A,TRUE,"GENERAL"}</definedName>
    <definedName name="yjyj" localSheetId="15"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'[114]cant y precios'!$A$11:$J$56</definedName>
    <definedName name="yrey" localSheetId="14"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3" hidden="1">{"via1",#N/A,TRUE,"general";"via2",#N/A,TRUE,"general";"via3",#N/A,TRUE,"general"}</definedName>
    <definedName name="yrey" localSheetId="15" hidden="1">{"via1",#N/A,TRUE,"general";"via2",#N/A,TRUE,"general";"via3",#N/A,TRUE,"general"}</definedName>
    <definedName name="yrey" hidden="1">{"via1",#N/A,TRUE,"general";"via2",#N/A,TRUE,"general";"via3",#N/A,TRUE,"general"}</definedName>
    <definedName name="yry" localSheetId="14"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3" hidden="1">{"via1",#N/A,TRUE,"general";"via2",#N/A,TRUE,"general";"via3",#N/A,TRUE,"general"}</definedName>
    <definedName name="yry" localSheetId="15" hidden="1">{"via1",#N/A,TRUE,"general";"via2",#N/A,TRUE,"general";"via3",#N/A,TRUE,"general"}</definedName>
    <definedName name="yry" hidden="1">{"via1",#N/A,TRUE,"general";"via2",#N/A,TRUE,"general";"via3",#N/A,TRUE,"general"}</definedName>
    <definedName name="ytj" localSheetId="14"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3" hidden="1">{"TAB1",#N/A,TRUE,"GENERAL";"TAB2",#N/A,TRUE,"GENERAL";"TAB3",#N/A,TRUE,"GENERAL";"TAB4",#N/A,TRUE,"GENERAL";"TAB5",#N/A,TRUE,"GENERAL"}</definedName>
    <definedName name="ytj" localSheetId="15" hidden="1">{"TAB1",#N/A,TRUE,"GENERAL";"TAB2",#N/A,TRUE,"GENERAL";"TAB3",#N/A,TRUE,"GENERAL";"TAB4",#N/A,TRUE,"GENERAL";"TAB5",#N/A,TRUE,"GENERAL"}</definedName>
    <definedName name="ytj" hidden="1">{"TAB1",#N/A,TRUE,"GENERAL";"TAB2",#N/A,TRUE,"GENERAL";"TAB3",#N/A,TRUE,"GENERAL";"TAB4",#N/A,TRUE,"GENERAL";"TAB5",#N/A,TRUE,"GENERAL"}</definedName>
    <definedName name="ytjt6" localSheetId="14"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3" hidden="1">{"via1",#N/A,TRUE,"general";"via2",#N/A,TRUE,"general";"via3",#N/A,TRUE,"general"}</definedName>
    <definedName name="ytjt6" localSheetId="15" hidden="1">{"via1",#N/A,TRUE,"general";"via2",#N/A,TRUE,"general";"via3",#N/A,TRUE,"general"}</definedName>
    <definedName name="ytjt6" hidden="1">{"via1",#N/A,TRUE,"general";"via2",#N/A,TRUE,"general";"via3",#N/A,TRUE,"general"}</definedName>
    <definedName name="ytrwyr" localSheetId="14"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5" hidden="1">{"TAB1",#N/A,TRUE,"GENERAL";"TAB2",#N/A,TRUE,"GENERAL";"TAB3",#N/A,TRUE,"GENERAL";"TAB4",#N/A,TRUE,"GENERAL";"TAB5",#N/A,TRUE,"GENERAL"}</definedName>
    <definedName name="ytrwyr" hidden="1">{"TAB1",#N/A,TRUE,"GENERAL";"TAB2",#N/A,TRUE,"GENERAL";"TAB3",#N/A,TRUE,"GENERAL";"TAB4",#N/A,TRUE,"GENERAL";"TAB5",#N/A,TRUE,"GENERAL"}</definedName>
    <definedName name="ytry" localSheetId="14"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3" hidden="1">{"via1",#N/A,TRUE,"general";"via2",#N/A,TRUE,"general";"via3",#N/A,TRUE,"general"}</definedName>
    <definedName name="ytry" localSheetId="15" hidden="1">{"via1",#N/A,TRUE,"general";"via2",#N/A,TRUE,"general";"via3",#N/A,TRUE,"general"}</definedName>
    <definedName name="ytry" hidden="1">{"via1",#N/A,TRUE,"general";"via2",#N/A,TRUE,"general";"via3",#N/A,TRUE,"general"}</definedName>
    <definedName name="ytryrty" localSheetId="14"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3" hidden="1">{"via1",#N/A,TRUE,"general";"via2",#N/A,TRUE,"general";"via3",#N/A,TRUE,"general"}</definedName>
    <definedName name="ytryrty" localSheetId="15" hidden="1">{"via1",#N/A,TRUE,"general";"via2",#N/A,TRUE,"general";"via3",#N/A,TRUE,"general"}</definedName>
    <definedName name="ytryrty" hidden="1">{"via1",#N/A,TRUE,"general";"via2",#N/A,TRUE,"general";"via3",#N/A,TRUE,"general"}</definedName>
    <definedName name="YTRYUYT" localSheetId="14"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5" hidden="1">{"TAB1",#N/A,TRUE,"GENERAL";"TAB2",#N/A,TRUE,"GENERAL";"TAB3",#N/A,TRUE,"GENERAL";"TAB4",#N/A,TRUE,"GENERAL";"TAB5",#N/A,TRUE,"GENERAL"}</definedName>
    <definedName name="YTRYUYT"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5" hidden="1">{"TAB1",#N/A,TRUE,"GENERAL";"TAB2",#N/A,TRUE,"GENERAL";"TAB3",#N/A,TRUE,"GENERAL";"TAB4",#N/A,TRUE,"GENERAL";"TAB5",#N/A,TRUE,"GENERAL"}</definedName>
    <definedName name="ytudfgd"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5" hidden="1">{"TAB1",#N/A,TRUE,"GENERAL";"TAB2",#N/A,TRUE,"GENERAL";"TAB3",#N/A,TRUE,"GENERAL";"TAB4",#N/A,TRUE,"GENERAL";"TAB5",#N/A,TRUE,"GENERAL"}</definedName>
    <definedName name="yturtu7"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5" hidden="1">{"TAB1",#N/A,TRUE,"GENERAL";"TAB2",#N/A,TRUE,"GENERAL";"TAB3",#N/A,TRUE,"GENERAL";"TAB4",#N/A,TRUE,"GENERAL";"TAB5",#N/A,TRUE,"GENERAL"}</definedName>
    <definedName name="yturu" hidden="1">{"TAB1",#N/A,TRUE,"GENERAL";"TAB2",#N/A,TRUE,"GENERAL";"TAB3",#N/A,TRUE,"GENERAL";"TAB4",#N/A,TRUE,"GENERAL";"TAB5",#N/A,TRUE,"GENERAL"}</definedName>
    <definedName name="ytuytfgh" localSheetId="14"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3" hidden="1">{"via1",#N/A,TRUE,"general";"via2",#N/A,TRUE,"general";"via3",#N/A,TRUE,"general"}</definedName>
    <definedName name="ytuytfgh" localSheetId="15" hidden="1">{"via1",#N/A,TRUE,"general";"via2",#N/A,TRUE,"general";"via3",#N/A,TRUE,"general"}</definedName>
    <definedName name="ytuytfgh" hidden="1">{"via1",#N/A,TRUE,"general";"via2",#N/A,TRUE,"general";"via3",#N/A,TRUE,"general"}</definedName>
    <definedName name="yty" localSheetId="14"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3" hidden="1">{"TAB1",#N/A,TRUE,"GENERAL";"TAB2",#N/A,TRUE,"GENERAL";"TAB3",#N/A,TRUE,"GENERAL";"TAB4",#N/A,TRUE,"GENERAL";"TAB5",#N/A,TRUE,"GENERAL"}</definedName>
    <definedName name="yty" localSheetId="15" hidden="1">{"TAB1",#N/A,TRUE,"GENERAL";"TAB2",#N/A,TRUE,"GENERAL";"TAB3",#N/A,TRUE,"GENERAL";"TAB4",#N/A,TRUE,"GENERAL";"TAB5",#N/A,TRUE,"GENERAL"}</definedName>
    <definedName name="yty" hidden="1">{"TAB1",#N/A,TRUE,"GENERAL";"TAB2",#N/A,TRUE,"GENERAL";"TAB3",#N/A,TRUE,"GENERAL";"TAB4",#N/A,TRUE,"GENERAL";"TAB5",#N/A,TRUE,"GENERAL"}</definedName>
    <definedName name="ytyyh" localSheetId="14"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3" hidden="1">{"via1",#N/A,TRUE,"general";"via2",#N/A,TRUE,"general";"via3",#N/A,TRUE,"general"}</definedName>
    <definedName name="ytyyh" localSheetId="15" hidden="1">{"via1",#N/A,TRUE,"general";"via2",#N/A,TRUE,"general";"via3",#N/A,TRUE,"general"}</definedName>
    <definedName name="ytyyh" hidden="1">{"via1",#N/A,TRUE,"general";"via2",#N/A,TRUE,"general";"via3",#N/A,TRUE,"general"}</definedName>
    <definedName name="ytzacdfg" localSheetId="14"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5" hidden="1">{"TAB1",#N/A,TRUE,"GENERAL";"TAB2",#N/A,TRUE,"GENERAL";"TAB3",#N/A,TRUE,"GENERAL";"TAB4",#N/A,TRUE,"GENERAL";"TAB5",#N/A,TRUE,"GENERAL"}</definedName>
    <definedName name="ytzacdfg" hidden="1">{"TAB1",#N/A,TRUE,"GENERAL";"TAB2",#N/A,TRUE,"GENERAL";"TAB3",#N/A,TRUE,"GENERAL";"TAB4",#N/A,TRUE,"GENERAL";"TAB5",#N/A,TRUE,"GENERAL"}</definedName>
    <definedName name="yu" localSheetId="14"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3" hidden="1">{"TAB1",#N/A,TRUE,"GENERAL";"TAB2",#N/A,TRUE,"GENERAL";"TAB3",#N/A,TRUE,"GENERAL";"TAB4",#N/A,TRUE,"GENERAL";"TAB5",#N/A,TRUE,"GENERAL"}</definedName>
    <definedName name="yu" localSheetId="15" hidden="1">{"TAB1",#N/A,TRUE,"GENERAL";"TAB2",#N/A,TRUE,"GENERAL";"TAB3",#N/A,TRUE,"GENERAL";"TAB4",#N/A,TRUE,"GENERAL";"TAB5",#N/A,TRUE,"GENERAL"}</definedName>
    <definedName name="yu"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5" hidden="1">{"TAB1",#N/A,TRUE,"GENERAL";"TAB2",#N/A,TRUE,"GENERAL";"TAB3",#N/A,TRUE,"GENERAL";"TAB4",#N/A,TRUE,"GENERAL";"TAB5",#N/A,TRUE,"GENERAL"}</definedName>
    <definedName name="yudre54" hidden="1">{"TAB1",#N/A,TRUE,"GENERAL";"TAB2",#N/A,TRUE,"GENERAL";"TAB3",#N/A,TRUE,"GENERAL";"TAB4",#N/A,TRUE,"GENERAL";"TAB5",#N/A,TRUE,"GENERAL"}</definedName>
    <definedName name="yuf" localSheetId="14" hidden="1">{"TAB1",#N/A,TRUE,"GENERAL";"TAB2",#N/A,TRUE,"GENERAL";"TAB3",#N/A,TRUE,"GENERAL";"TAB4",#N/A,TRUE,"GENERAL";"TAB5",#N/A,TRUE,"GENERAL"}</definedName>
    <definedName name="yuf" localSheetId="16" hidden="1">{"TAB1",#N/A,TRUE,"GENERAL";"TAB2",#N/A,TRUE,"GENERAL";"TAB3",#N/A,TRUE,"GENERAL";"TAB4",#N/A,TRUE,"GENERAL";"TAB5",#N/A,TRUE,"GENERAL"}</definedName>
    <definedName name="yuf" localSheetId="17" hidden="1">{"TAB1",#N/A,TRUE,"GENERAL";"TAB2",#N/A,TRUE,"GENERAL";"TAB3",#N/A,TRUE,"GENERAL";"TAB4",#N/A,TRUE,"GENERAL";"TAB5",#N/A,TRUE,"GENERAL"}</definedName>
    <definedName name="yuf" localSheetId="13" hidden="1">{"TAB1",#N/A,TRUE,"GENERAL";"TAB2",#N/A,TRUE,"GENERAL";"TAB3",#N/A,TRUE,"GENERAL";"TAB4",#N/A,TRUE,"GENERAL";"TAB5",#N/A,TRUE,"GENERAL"}</definedName>
    <definedName name="yuf" localSheetId="15" hidden="1">{"TAB1",#N/A,TRUE,"GENERAL";"TAB2",#N/A,TRUE,"GENERAL";"TAB3",#N/A,TRUE,"GENERAL";"TAB4",#N/A,TRUE,"GENERAL";"TAB5",#N/A,TRUE,"GENERAL"}</definedName>
    <definedName name="yuf"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5"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4"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3" hidden="1">{"via1",#N/A,TRUE,"general";"via2",#N/A,TRUE,"general";"via3",#N/A,TRUE,"general"}</definedName>
    <definedName name="yutu" localSheetId="15" hidden="1">{"via1",#N/A,TRUE,"general";"via2",#N/A,TRUE,"general";"via3",#N/A,TRUE,"general"}</definedName>
    <definedName name="yutu" hidden="1">{"via1",#N/A,TRUE,"general";"via2",#N/A,TRUE,"general";"via3",#N/A,TRUE,"general"}</definedName>
    <definedName name="yuuiiy" localSheetId="14"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3" hidden="1">{"via1",#N/A,TRUE,"general";"via2",#N/A,TRUE,"general";"via3",#N/A,TRUE,"general"}</definedName>
    <definedName name="yuuiiy" localSheetId="15" hidden="1">{"via1",#N/A,TRUE,"general";"via2",#N/A,TRUE,"general";"via3",#N/A,TRUE,"general"}</definedName>
    <definedName name="yuuiiy" hidden="1">{"via1",#N/A,TRUE,"general";"via2",#N/A,TRUE,"general";"via3",#N/A,TRUE,"general"}</definedName>
    <definedName name="yuuuuuu" localSheetId="14"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3" hidden="1">{"via1",#N/A,TRUE,"general";"via2",#N/A,TRUE,"general";"via3",#N/A,TRUE,"general"}</definedName>
    <definedName name="yuuuuuu" localSheetId="15" hidden="1">{"via1",#N/A,TRUE,"general";"via2",#N/A,TRUE,"general";"via3",#N/A,TRUE,"general"}</definedName>
    <definedName name="yuuuuuu" hidden="1">{"via1",#N/A,TRUE,"general";"via2",#N/A,TRUE,"general";"via3",#N/A,TRUE,"general"}</definedName>
    <definedName name="YUYYYY">#REF!</definedName>
    <definedName name="yy" localSheetId="14"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3" hidden="1">{"via1",#N/A,TRUE,"general";"via2",#N/A,TRUE,"general";"via3",#N/A,TRUE,"general"}</definedName>
    <definedName name="yy" localSheetId="15" hidden="1">{"via1",#N/A,TRUE,"general";"via2",#N/A,TRUE,"general";"via3",#N/A,TRUE,"general"}</definedName>
    <definedName name="yy" hidden="1">{"via1",#N/A,TRUE,"general";"via2",#N/A,TRUE,"general";"via3",#N/A,TRUE,"general"}</definedName>
    <definedName name="yyy" localSheetId="14"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3" hidden="1">{"TAB1",#N/A,TRUE,"GENERAL";"TAB2",#N/A,TRUE,"GENERAL";"TAB3",#N/A,TRUE,"GENERAL";"TAB4",#N/A,TRUE,"GENERAL";"TAB5",#N/A,TRUE,"GENERAL"}</definedName>
    <definedName name="yyy" localSheetId="15" hidden="1">{"TAB1",#N/A,TRUE,"GENERAL";"TAB2",#N/A,TRUE,"GENERAL";"TAB3",#N/A,TRUE,"GENERAL";"TAB4",#N/A,TRUE,"GENERAL";"TAB5",#N/A,TRUE,"GENERAL"}</definedName>
    <definedName name="yyy"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5" hidden="1">{"TAB1",#N/A,TRUE,"GENERAL";"TAB2",#N/A,TRUE,"GENERAL";"TAB3",#N/A,TRUE,"GENERAL";"TAB4",#N/A,TRUE,"GENERAL";"TAB5",#N/A,TRUE,"GENERAL"}</definedName>
    <definedName name="yyyuh"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5" hidden="1">{"TAB1",#N/A,TRUE,"GENERAL";"TAB2",#N/A,TRUE,"GENERAL";"TAB3",#N/A,TRUE,"GENERAL";"TAB4",#N/A,TRUE,"GENERAL";"TAB5",#N/A,TRUE,"GENERAL"}</definedName>
    <definedName name="yyyyhhh" hidden="1">{"TAB1",#N/A,TRUE,"GENERAL";"TAB2",#N/A,TRUE,"GENERAL";"TAB3",#N/A,TRUE,"GENERAL";"TAB4",#N/A,TRUE,"GENERAL";"TAB5",#N/A,TRUE,"GENERAL"}</definedName>
    <definedName name="yyyyyf" localSheetId="14"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3" hidden="1">{"via1",#N/A,TRUE,"general";"via2",#N/A,TRUE,"general";"via3",#N/A,TRUE,"general"}</definedName>
    <definedName name="yyyyyf" localSheetId="15" hidden="1">{"via1",#N/A,TRUE,"general";"via2",#N/A,TRUE,"general";"via3",#N/A,TRUE,"general"}</definedName>
    <definedName name="yyyyyf" hidden="1">{"via1",#N/A,TRUE,"general";"via2",#N/A,TRUE,"general";"via3",#N/A,TRUE,"general"}</definedName>
    <definedName name="Z">#REF!</definedName>
    <definedName name="Z_086A872D_15DF_436A_8459_CE22F6819FF4_.wvu.Rows" localSheetId="14" hidden="1">[15]Presentacion!#REF!</definedName>
    <definedName name="Z_086A872D_15DF_436A_8459_CE22F6819FF4_.wvu.Rows" localSheetId="13" hidden="1">[15]Presentacion!#REF!</definedName>
    <definedName name="Z_086A872D_15DF_436A_8459_CE22F6819FF4_.wvu.Rows" localSheetId="15" hidden="1">[15]Presentacion!#REF!</definedName>
    <definedName name="Z_086A872D_15DF_436A_8459_CE22F6819FF4_.wvu.Rows" hidden="1">[16]Presentacion!#REF!</definedName>
    <definedName name="Z_91E95AE5_DCC2_11D0_8DF1_00805F2A002D_.wvu.Cols" hidden="1">#REF!,#REF!</definedName>
    <definedName name="Z_91E95AE6_DCC2_11D0_8DF1_00805F2A002D_.wvu.Cols" hidden="1">#REF!,#REF!</definedName>
    <definedName name="Z_91E95AE6_DCC2_11D0_8DF1_00805F2A002D_.wvu.Rows" localSheetId="3" hidden="1">#REF!,#REF!</definedName>
    <definedName name="Z_91E95AE6_DCC2_11D0_8DF1_00805F2A002D_.wvu.Rows" hidden="1">#REF!,#REF!</definedName>
    <definedName name="Z_91E95AE7_DCC2_11D0_8DF1_00805F2A002D_.wvu.Cols" hidden="1">#REF!,#REF!,#REF!,#REF!,#REF!,#REF!,#REF!,#REF!</definedName>
    <definedName name="Z_91E95AE8_DCC2_11D0_8DF1_00805F2A002D_.wvu.Cols" hidden="1">#REF!,#REF!,#REF!,#REF!,#REF!</definedName>
    <definedName name="Z_91E95AE9_DCC2_11D0_8DF1_00805F2A002D_.wvu.Cols" hidden="1">#REF!,#REF!,#REF!,#REF!,#REF!,#REF!</definedName>
    <definedName name="Z_91E95AEB_DCC2_11D0_8DF1_00805F2A002D_.wvu.Cols" hidden="1">#REF!,#REF!</definedName>
    <definedName name="Z_91E95AEC_DCC2_11D0_8DF1_00805F2A002D_.wvu.Cols" hidden="1">#REF!,#REF!,#REF!,#REF!,#REF!</definedName>
    <definedName name="Z_D55C8B2E_861A_459E_9D09_3AF38A1DE99E_.wvu.Rows" localSheetId="14" hidden="1">[15]Presentacion!#REF!</definedName>
    <definedName name="Z_D55C8B2E_861A_459E_9D09_3AF38A1DE99E_.wvu.Rows" localSheetId="13" hidden="1">[15]Presentacion!#REF!</definedName>
    <definedName name="Z_D55C8B2E_861A_459E_9D09_3AF38A1DE99E_.wvu.Rows" localSheetId="15" hidden="1">[15]Presentacion!#REF!</definedName>
    <definedName name="Z_D55C8B2E_861A_459E_9D09_3AF38A1DE99E_.wvu.Rows" hidden="1">[16]Presentacion!#REF!</definedName>
    <definedName name="Z_F540D718_D9AA_403F_AE49_60D937FD77E5_.wvu.Rows" localSheetId="14" hidden="1">[15]Presentacion!#REF!</definedName>
    <definedName name="Z_F540D718_D9AA_403F_AE49_60D937FD77E5_.wvu.Rows" localSheetId="13" hidden="1">[15]Presentacion!#REF!</definedName>
    <definedName name="Z_F540D718_D9AA_403F_AE49_60D937FD77E5_.wvu.Rows" localSheetId="15" hidden="1">[15]Presentacion!#REF!</definedName>
    <definedName name="Z_F540D718_D9AA_403F_AE49_60D937FD77E5_.wvu.Rows" hidden="1">[16]Presentacion!#REF!</definedName>
    <definedName name="ZAQ" localSheetId="14" hidden="1">{#N/A,#N/A,TRUE,"INGENIERIA";#N/A,#N/A,TRUE,"COMPRAS";#N/A,#N/A,TRUE,"DIRECCION";#N/A,#N/A,TRUE,"RESUMEN"}</definedName>
    <definedName name="ZAQ" localSheetId="16" hidden="1">{#N/A,#N/A,TRUE,"INGENIERIA";#N/A,#N/A,TRUE,"COMPRAS";#N/A,#N/A,TRUE,"DIRECCION";#N/A,#N/A,TRUE,"RESUMEN"}</definedName>
    <definedName name="ZAQ" localSheetId="17" hidden="1">{#N/A,#N/A,TRUE,"INGENIERIA";#N/A,#N/A,TRUE,"COMPRAS";#N/A,#N/A,TRUE,"DIRECCION";#N/A,#N/A,TRUE,"RESUMEN"}</definedName>
    <definedName name="ZAQ" localSheetId="13" hidden="1">{#N/A,#N/A,TRUE,"INGENIERIA";#N/A,#N/A,TRUE,"COMPRAS";#N/A,#N/A,TRUE,"DIRECCION";#N/A,#N/A,TRUE,"RESUMEN"}</definedName>
    <definedName name="ZAQ" localSheetId="15" hidden="1">{#N/A,#N/A,TRUE,"INGENIERIA";#N/A,#N/A,TRUE,"COMPRAS";#N/A,#N/A,TRUE,"DIRECCION";#N/A,#N/A,TRUE,"RESUMEN"}</definedName>
    <definedName name="ZAQ" hidden="1">{#N/A,#N/A,TRUE,"INGENIERIA";#N/A,#N/A,TRUE,"COMPRAS";#N/A,#N/A,TRUE,"DIRECCION";#N/A,#N/A,TRUE,"RESUMEN"}</definedName>
    <definedName name="ZAQ_1" localSheetId="14" hidden="1">{#N/A,#N/A,TRUE,"INGENIERIA";#N/A,#N/A,TRUE,"COMPRAS";#N/A,#N/A,TRUE,"DIRECCION";#N/A,#N/A,TRUE,"RESUMEN"}</definedName>
    <definedName name="ZAQ_1" localSheetId="13" hidden="1">{#N/A,#N/A,TRUE,"INGENIERIA";#N/A,#N/A,TRUE,"COMPRAS";#N/A,#N/A,TRUE,"DIRECCION";#N/A,#N/A,TRUE,"RESUMEN"}</definedName>
    <definedName name="ZAQ_1" localSheetId="15" hidden="1">{#N/A,#N/A,TRUE,"INGENIERIA";#N/A,#N/A,TRUE,"COMPRAS";#N/A,#N/A,TRUE,"DIRECCION";#N/A,#N/A,TRUE,"RESUMEN"}</definedName>
    <definedName name="ZAQ_1" hidden="1">{#N/A,#N/A,TRUE,"INGENIERIA";#N/A,#N/A,TRUE,"COMPRAS";#N/A,#N/A,TRUE,"DIRECCION";#N/A,#N/A,TRUE,"RESUMEN"}</definedName>
    <definedName name="ZAQ_2" localSheetId="14" hidden="1">{#N/A,#N/A,TRUE,"INGENIERIA";#N/A,#N/A,TRUE,"COMPRAS";#N/A,#N/A,TRUE,"DIRECCION";#N/A,#N/A,TRUE,"RESUMEN"}</definedName>
    <definedName name="ZAQ_2" localSheetId="13" hidden="1">{#N/A,#N/A,TRUE,"INGENIERIA";#N/A,#N/A,TRUE,"COMPRAS";#N/A,#N/A,TRUE,"DIRECCION";#N/A,#N/A,TRUE,"RESUMEN"}</definedName>
    <definedName name="ZAQ_2" localSheetId="15"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localSheetId="14"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3" hidden="1">{"via1",#N/A,TRUE,"general";"via2",#N/A,TRUE,"general";"via3",#N/A,TRUE,"general"}</definedName>
    <definedName name="zdervr" localSheetId="15" hidden="1">{"via1",#N/A,TRUE,"general";"via2",#N/A,TRUE,"general";"via3",#N/A,TRUE,"general"}</definedName>
    <definedName name="zdervr" hidden="1">{"via1",#N/A,TRUE,"general";"via2",#N/A,TRUE,"general";"via3",#N/A,TRUE,"general"}</definedName>
    <definedName name="ZDF">#REF!</definedName>
    <definedName name="zdr">#REF!</definedName>
    <definedName name="zonificacion">#REF!</definedName>
    <definedName name="ZUNCH" localSheetId="3">#REF!</definedName>
    <definedName name="ZUNCH" localSheetId="30">#REF!</definedName>
    <definedName name="ZUNCH" localSheetId="31">#REF!</definedName>
    <definedName name="ZUNCH" localSheetId="29">#REF!</definedName>
    <definedName name="ZUNCH">#REF!</definedName>
    <definedName name="zx">#REF!</definedName>
    <definedName name="zxczds" localSheetId="14"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5" hidden="1">{"TAB1",#N/A,TRUE,"GENERAL";"TAB2",#N/A,TRUE,"GENERAL";"TAB3",#N/A,TRUE,"GENERAL";"TAB4",#N/A,TRUE,"GENERAL";"TAB5",#N/A,TRUE,"GENERAL"}</definedName>
    <definedName name="zxczds" hidden="1">{"TAB1",#N/A,TRUE,"GENERAL";"TAB2",#N/A,TRUE,"GENERAL";"TAB3",#N/A,TRUE,"GENERAL";"TAB4",#N/A,TRUE,"GENERAL";"TAB5",#N/A,TRUE,"GENERAL"}</definedName>
    <definedName name="zxsdftyu" localSheetId="14"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3" hidden="1">{"via1",#N/A,TRUE,"general";"via2",#N/A,TRUE,"general";"via3",#N/A,TRUE,"general"}</definedName>
    <definedName name="zxsdftyu" localSheetId="15" hidden="1">{"via1",#N/A,TRUE,"general";"via2",#N/A,TRUE,"general";"via3",#N/A,TRUE,"general"}</definedName>
    <definedName name="zxsdftyu" hidden="1">{"via1",#N/A,TRUE,"general";"via2",#N/A,TRUE,"general";"via3",#N/A,TRUE,"general"}</definedName>
    <definedName name="zxvxczv" localSheetId="14"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3" hidden="1">{"via1",#N/A,TRUE,"general";"via2",#N/A,TRUE,"general";"via3",#N/A,TRUE,"general"}</definedName>
    <definedName name="zxvxczv" localSheetId="15" hidden="1">{"via1",#N/A,TRUE,"general";"via2",#N/A,TRUE,"general";"via3",#N/A,TRUE,"general"}</definedName>
    <definedName name="zxvxczv" hidden="1">{"via1",#N/A,TRUE,"general";"via2",#N/A,TRUE,"general";"via3",#N/A,TRUE,"general"}</definedName>
    <definedName name="zz">#REF!</definedName>
    <definedName name="ZZZZZZZZZZZ">'[49]A. P. U.'!#REF!</definedName>
  </definedNames>
  <calcPr calcId="191029" iterate="1"/>
  <pivotCaches>
    <pivotCache cacheId="4" r:id="rId15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7" i="127" l="1"/>
  <c r="H56" i="127"/>
  <c r="H51" i="127"/>
  <c r="J13" i="14" l="1"/>
  <c r="F41" i="128"/>
  <c r="F40" i="128"/>
  <c r="F39" i="128"/>
  <c r="F38" i="128"/>
  <c r="F37" i="128"/>
  <c r="F36" i="128"/>
  <c r="G25" i="14" l="1"/>
  <c r="D16" i="2"/>
  <c r="D17" i="2"/>
  <c r="D40" i="2"/>
  <c r="D55" i="2"/>
  <c r="D56" i="2"/>
  <c r="D63" i="2"/>
  <c r="D83" i="2"/>
  <c r="D84" i="2"/>
  <c r="D92" i="2"/>
  <c r="D93" i="2"/>
  <c r="D94" i="2"/>
  <c r="D95" i="2"/>
  <c r="D96" i="2"/>
  <c r="D97" i="2"/>
  <c r="D98" i="2"/>
  <c r="D99" i="2"/>
  <c r="D100" i="2"/>
  <c r="D101" i="2"/>
  <c r="D102" i="2"/>
  <c r="D103" i="2"/>
  <c r="D104" i="2"/>
  <c r="D105" i="2"/>
  <c r="D106" i="2"/>
  <c r="D107" i="2"/>
  <c r="D111" i="2"/>
  <c r="D112" i="2"/>
  <c r="D113" i="2"/>
  <c r="D114" i="2"/>
  <c r="D115" i="2"/>
  <c r="D116" i="2"/>
  <c r="D117" i="2"/>
  <c r="D118" i="2"/>
  <c r="D119" i="2"/>
  <c r="D120" i="2"/>
  <c r="D121" i="2"/>
  <c r="D122" i="2"/>
  <c r="D123" i="2"/>
  <c r="D124" i="2"/>
  <c r="D125" i="2"/>
  <c r="D126" i="2"/>
  <c r="D127" i="2"/>
  <c r="D128" i="2"/>
  <c r="D129" i="2"/>
  <c r="D130" i="2"/>
  <c r="D131" i="2"/>
  <c r="D132" i="2"/>
  <c r="D134" i="2"/>
  <c r="D138" i="2"/>
  <c r="D140" i="2"/>
  <c r="D147" i="2"/>
  <c r="D158" i="2"/>
  <c r="J14" i="14"/>
  <c r="J15" i="14"/>
  <c r="J16" i="14"/>
  <c r="J17" i="14"/>
  <c r="J18" i="14"/>
  <c r="J19" i="14"/>
  <c r="J20" i="14"/>
  <c r="M6" i="56" l="1"/>
  <c r="C236" i="57"/>
  <c r="E25" i="128"/>
  <c r="H53" i="127"/>
  <c r="E294" i="57" l="1"/>
  <c r="C286" i="57"/>
  <c r="C260" i="57"/>
  <c r="C259" i="57"/>
  <c r="E125" i="57"/>
  <c r="C162" i="4"/>
  <c r="C149" i="4"/>
  <c r="C136" i="4"/>
  <c r="C123" i="4"/>
  <c r="C109" i="4"/>
  <c r="C95" i="4"/>
  <c r="C81" i="4"/>
  <c r="C67" i="4"/>
  <c r="C53" i="4"/>
  <c r="C39" i="4"/>
  <c r="C25" i="4"/>
  <c r="C11" i="4"/>
  <c r="C125" i="57"/>
  <c r="C36" i="57" l="1"/>
  <c r="J35" i="57"/>
  <c r="E8" i="57"/>
  <c r="E9" i="57"/>
  <c r="H9" i="57" s="1"/>
  <c r="V6" i="56" s="1"/>
  <c r="E10" i="57"/>
  <c r="F10" i="57" s="1"/>
  <c r="E11" i="57"/>
  <c r="F11" i="57" s="1"/>
  <c r="F13" i="57" l="1"/>
  <c r="Z6" i="56"/>
  <c r="D8" i="57"/>
  <c r="D9" i="57"/>
  <c r="D10" i="57"/>
  <c r="D11" i="57"/>
  <c r="H25" i="127"/>
  <c r="C212" i="57"/>
  <c r="C208" i="57"/>
  <c r="D15" i="172" l="1"/>
  <c r="E54" i="127" l="1"/>
  <c r="H54" i="127" s="1"/>
  <c r="G607" i="57"/>
  <c r="C27" i="1" l="1"/>
  <c r="C29" i="1" s="1"/>
  <c r="D6" i="1" l="1"/>
  <c r="D5" i="2" s="1"/>
  <c r="D5" i="1"/>
  <c r="D4" i="2" s="1"/>
  <c r="D7" i="1"/>
  <c r="D6" i="2" s="1"/>
  <c r="C117" i="56"/>
  <c r="C8" i="149" l="1"/>
  <c r="C273" i="57"/>
  <c r="D273" i="57"/>
  <c r="E273" i="57"/>
  <c r="I273" i="57" s="1"/>
  <c r="B9" i="174"/>
  <c r="B4" i="128"/>
  <c r="C268" i="57" l="1"/>
  <c r="C274" i="57" s="1"/>
  <c r="C271" i="57"/>
  <c r="C269" i="57"/>
  <c r="D32" i="56"/>
  <c r="C32" i="56"/>
  <c r="B32" i="56"/>
  <c r="C272" i="57"/>
  <c r="C116" i="57"/>
  <c r="E271" i="57"/>
  <c r="E272" i="57"/>
  <c r="E268" i="57"/>
  <c r="F268" i="57" s="1"/>
  <c r="D269" i="57"/>
  <c r="D271" i="57"/>
  <c r="D272" i="57"/>
  <c r="D274" i="57"/>
  <c r="D268" i="57"/>
  <c r="D251" i="57"/>
  <c r="C164" i="57"/>
  <c r="G271" i="57" l="1"/>
  <c r="I272" i="57"/>
  <c r="X32" i="56" s="1"/>
  <c r="G26" i="141" l="1"/>
  <c r="E36" i="56" s="1"/>
  <c r="E82" i="56"/>
  <c r="E80" i="56"/>
  <c r="E78" i="56"/>
  <c r="Q32" i="56"/>
  <c r="E32" i="56"/>
  <c r="E10" i="56" l="1"/>
  <c r="E24" i="56"/>
  <c r="E39" i="56" s="1"/>
  <c r="D12" i="175"/>
  <c r="C6" i="175"/>
  <c r="E13" i="175" s="1"/>
  <c r="H19" i="174"/>
  <c r="H28" i="174"/>
  <c r="H29" i="174" s="1"/>
  <c r="H17" i="174"/>
  <c r="B2" i="175"/>
  <c r="E15" i="175" l="1"/>
  <c r="E12" i="175"/>
  <c r="G12" i="175" s="1"/>
  <c r="E14" i="175"/>
  <c r="E11" i="175"/>
  <c r="H20" i="174"/>
  <c r="H22" i="174" s="1"/>
  <c r="H30" i="174" s="1"/>
  <c r="H31" i="174" s="1"/>
  <c r="H32" i="174" s="1"/>
  <c r="G20" i="173"/>
  <c r="G19" i="173"/>
  <c r="G18" i="173"/>
  <c r="G17" i="173"/>
  <c r="G16" i="173"/>
  <c r="G14" i="173"/>
  <c r="G13" i="173"/>
  <c r="G10" i="173"/>
  <c r="B4" i="173"/>
  <c r="G39" i="172"/>
  <c r="G38" i="172"/>
  <c r="G37" i="172"/>
  <c r="G36" i="172"/>
  <c r="G35" i="172"/>
  <c r="G34" i="172"/>
  <c r="G31" i="172"/>
  <c r="G26" i="172"/>
  <c r="G25" i="172"/>
  <c r="G24" i="172"/>
  <c r="G22" i="172"/>
  <c r="G21" i="172"/>
  <c r="G20" i="172"/>
  <c r="G19" i="172"/>
  <c r="G17" i="172"/>
  <c r="G16" i="172"/>
  <c r="G15" i="172"/>
  <c r="G14" i="172"/>
  <c r="G11" i="172"/>
  <c r="B4" i="172"/>
  <c r="F5" i="170"/>
  <c r="F6" i="170"/>
  <c r="F7" i="170"/>
  <c r="F8" i="170"/>
  <c r="F9" i="170"/>
  <c r="F10" i="170"/>
  <c r="F12" i="170"/>
  <c r="F14" i="170"/>
  <c r="F15" i="170"/>
  <c r="F17" i="170"/>
  <c r="F18" i="170"/>
  <c r="F19" i="170"/>
  <c r="F20" i="170"/>
  <c r="F21" i="170"/>
  <c r="F22" i="170"/>
  <c r="F23" i="170"/>
  <c r="F24" i="170"/>
  <c r="F25" i="170"/>
  <c r="F26" i="170"/>
  <c r="F27" i="170"/>
  <c r="F28" i="170"/>
  <c r="F30" i="170"/>
  <c r="F31" i="170"/>
  <c r="F32" i="170"/>
  <c r="F33" i="170"/>
  <c r="F34" i="170"/>
  <c r="F36" i="170"/>
  <c r="F37" i="170"/>
  <c r="F38" i="170"/>
  <c r="F39" i="170"/>
  <c r="F40" i="170"/>
  <c r="F41" i="170"/>
  <c r="F42" i="170"/>
  <c r="F43" i="170"/>
  <c r="F44" i="170"/>
  <c r="F45" i="170"/>
  <c r="F46" i="170"/>
  <c r="F47" i="170"/>
  <c r="F48" i="170"/>
  <c r="F49" i="170"/>
  <c r="F50" i="170"/>
  <c r="F51" i="170"/>
  <c r="F52" i="170"/>
  <c r="F53" i="170"/>
  <c r="F55" i="170"/>
  <c r="F56" i="170"/>
  <c r="F58" i="170"/>
  <c r="F59" i="170"/>
  <c r="F60" i="170"/>
  <c r="F62" i="170"/>
  <c r="F63" i="170"/>
  <c r="F64" i="170"/>
  <c r="F66" i="170"/>
  <c r="F68" i="170"/>
  <c r="F69" i="170"/>
  <c r="F70" i="170"/>
  <c r="F71" i="170"/>
  <c r="F72" i="170"/>
  <c r="F73" i="170"/>
  <c r="F74" i="170"/>
  <c r="F75" i="170"/>
  <c r="F76" i="170"/>
  <c r="F77" i="170"/>
  <c r="F78" i="170"/>
  <c r="F79" i="170"/>
  <c r="F80" i="170"/>
  <c r="F82" i="170"/>
  <c r="F83" i="170"/>
  <c r="F84" i="170"/>
  <c r="F85" i="170"/>
  <c r="F86" i="170"/>
  <c r="F88" i="170"/>
  <c r="F89" i="170"/>
  <c r="F90" i="170"/>
  <c r="F91" i="170"/>
  <c r="F92" i="170"/>
  <c r="F93" i="170"/>
  <c r="F94" i="170"/>
  <c r="F95" i="170"/>
  <c r="F96" i="170"/>
  <c r="F97" i="170"/>
  <c r="F98" i="170"/>
  <c r="F100" i="170"/>
  <c r="F101" i="170"/>
  <c r="F102" i="170"/>
  <c r="F103" i="170"/>
  <c r="F104" i="170"/>
  <c r="F105" i="170"/>
  <c r="F106" i="170"/>
  <c r="F107" i="170"/>
  <c r="F109" i="170"/>
  <c r="F110" i="170"/>
  <c r="F111" i="170"/>
  <c r="F114" i="170"/>
  <c r="F115" i="170"/>
  <c r="F116" i="170"/>
  <c r="F117" i="170"/>
  <c r="F118" i="170"/>
  <c r="F119" i="170"/>
  <c r="F120" i="170"/>
  <c r="F121" i="170"/>
  <c r="F122" i="170"/>
  <c r="F123" i="170"/>
  <c r="F125" i="170"/>
  <c r="F126" i="170"/>
  <c r="F127" i="170"/>
  <c r="F128" i="170"/>
  <c r="F129" i="170"/>
  <c r="F130" i="170"/>
  <c r="F131" i="170"/>
  <c r="F132" i="170"/>
  <c r="F133" i="170"/>
  <c r="F135" i="170"/>
  <c r="F136" i="170"/>
  <c r="F137" i="170"/>
  <c r="F138" i="170"/>
  <c r="F139" i="170"/>
  <c r="F142" i="170"/>
  <c r="F143" i="170"/>
  <c r="F144" i="170"/>
  <c r="F145" i="170"/>
  <c r="F146" i="170"/>
  <c r="F148" i="170"/>
  <c r="F149" i="170"/>
  <c r="F151" i="170"/>
  <c r="F152" i="170"/>
  <c r="F153" i="170"/>
  <c r="F154" i="170"/>
  <c r="F155" i="170"/>
  <c r="F156" i="170"/>
  <c r="F157" i="170"/>
  <c r="F158" i="170"/>
  <c r="F159" i="170"/>
  <c r="F160" i="170"/>
  <c r="F161" i="170"/>
  <c r="F162" i="170"/>
  <c r="F163" i="170"/>
  <c r="F164" i="170"/>
  <c r="F165" i="170"/>
  <c r="F166" i="170"/>
  <c r="C11" i="169"/>
  <c r="F11" i="169"/>
  <c r="C13" i="169"/>
  <c r="F13" i="169"/>
  <c r="C14" i="169"/>
  <c r="F14" i="169"/>
  <c r="C16" i="169"/>
  <c r="F16" i="169"/>
  <c r="C17" i="169"/>
  <c r="F17" i="169"/>
  <c r="C18" i="169"/>
  <c r="F18" i="169"/>
  <c r="C19" i="169"/>
  <c r="F19" i="169"/>
  <c r="C20" i="169"/>
  <c r="F20" i="169"/>
  <c r="C21" i="169"/>
  <c r="F21" i="169"/>
  <c r="C22" i="169"/>
  <c r="F22" i="169"/>
  <c r="C23" i="169"/>
  <c r="F23" i="169"/>
  <c r="C24" i="169"/>
  <c r="F24" i="169"/>
  <c r="C26" i="169"/>
  <c r="F26" i="169"/>
  <c r="C27" i="169"/>
  <c r="F27" i="169"/>
  <c r="C28" i="169"/>
  <c r="F28" i="169"/>
  <c r="C30" i="169"/>
  <c r="F30" i="169"/>
  <c r="C31" i="169"/>
  <c r="F31" i="169"/>
  <c r="C33" i="169"/>
  <c r="F33" i="169"/>
  <c r="C35" i="169"/>
  <c r="F35" i="169"/>
  <c r="C37" i="169"/>
  <c r="E37" i="169"/>
  <c r="F37" i="169"/>
  <c r="C38" i="169"/>
  <c r="E38" i="169"/>
  <c r="F38" i="169"/>
  <c r="C39" i="169"/>
  <c r="E39" i="169"/>
  <c r="F39" i="169"/>
  <c r="C40" i="169"/>
  <c r="F40" i="169"/>
  <c r="G40" i="169" s="1"/>
  <c r="C41" i="169"/>
  <c r="F41" i="169"/>
  <c r="G41" i="169" s="1"/>
  <c r="C42" i="169"/>
  <c r="F42" i="169"/>
  <c r="G42" i="169" s="1"/>
  <c r="C43" i="169"/>
  <c r="F43" i="169"/>
  <c r="G43" i="169" s="1"/>
  <c r="C44" i="169"/>
  <c r="F44" i="169"/>
  <c r="C49" i="169"/>
  <c r="F49" i="169"/>
  <c r="C55" i="169"/>
  <c r="E55" i="169"/>
  <c r="F55" i="169"/>
  <c r="C56" i="169"/>
  <c r="E56" i="169"/>
  <c r="F56" i="169"/>
  <c r="G56" i="169" s="1"/>
  <c r="C58" i="169"/>
  <c r="F58" i="169"/>
  <c r="C59" i="169"/>
  <c r="F59" i="169"/>
  <c r="C60" i="169"/>
  <c r="F60" i="169"/>
  <c r="C61" i="169"/>
  <c r="F61" i="169"/>
  <c r="C63" i="169"/>
  <c r="F63" i="169"/>
  <c r="C64" i="169"/>
  <c r="F64" i="169"/>
  <c r="C66" i="169"/>
  <c r="F66" i="169"/>
  <c r="C68" i="169"/>
  <c r="F68" i="169"/>
  <c r="G68" i="169" s="1"/>
  <c r="C69" i="169"/>
  <c r="F69" i="169"/>
  <c r="C71" i="169"/>
  <c r="E71" i="169"/>
  <c r="F71" i="169"/>
  <c r="C72" i="169"/>
  <c r="E72" i="169"/>
  <c r="F72" i="169"/>
  <c r="C73" i="169"/>
  <c r="F73" i="169"/>
  <c r="C80" i="169"/>
  <c r="F80" i="169"/>
  <c r="G80" i="169" s="1"/>
  <c r="G95" i="169" s="1"/>
  <c r="C82" i="169"/>
  <c r="F82" i="169"/>
  <c r="G82" i="169" s="1"/>
  <c r="C84" i="169"/>
  <c r="F84" i="169"/>
  <c r="G84" i="169" s="1"/>
  <c r="C85" i="169"/>
  <c r="E85" i="169"/>
  <c r="F85" i="169"/>
  <c r="C86" i="169"/>
  <c r="E86" i="169"/>
  <c r="F86" i="169"/>
  <c r="C87" i="169"/>
  <c r="E87" i="169"/>
  <c r="F87" i="169"/>
  <c r="C89" i="169"/>
  <c r="F89" i="169"/>
  <c r="C90" i="169"/>
  <c r="F90" i="169"/>
  <c r="C92" i="169"/>
  <c r="F92" i="169"/>
  <c r="C94" i="169"/>
  <c r="F94" i="169"/>
  <c r="G94" i="169" s="1"/>
  <c r="C99" i="169"/>
  <c r="F99" i="169"/>
  <c r="G99" i="169" s="1"/>
  <c r="G117" i="169" s="1"/>
  <c r="C100" i="169"/>
  <c r="F100" i="169"/>
  <c r="G100" i="169" s="1"/>
  <c r="C101" i="169"/>
  <c r="F101" i="169"/>
  <c r="G101" i="169" s="1"/>
  <c r="C103" i="169"/>
  <c r="F103" i="169"/>
  <c r="G103" i="169" s="1"/>
  <c r="C105" i="169"/>
  <c r="F105" i="169"/>
  <c r="G105" i="169" s="1"/>
  <c r="C106" i="169"/>
  <c r="F106" i="169"/>
  <c r="G106" i="169" s="1"/>
  <c r="C107" i="169"/>
  <c r="F107" i="169"/>
  <c r="G107" i="169" s="1"/>
  <c r="C108" i="169"/>
  <c r="F108" i="169"/>
  <c r="G108" i="169" s="1"/>
  <c r="C109" i="169"/>
  <c r="F109" i="169"/>
  <c r="G109" i="169" s="1"/>
  <c r="C110" i="169"/>
  <c r="F110" i="169"/>
  <c r="G110" i="169"/>
  <c r="C111" i="169"/>
  <c r="F111" i="169"/>
  <c r="G111" i="169" s="1"/>
  <c r="C112" i="169"/>
  <c r="F112" i="169"/>
  <c r="G112" i="169" s="1"/>
  <c r="C113" i="169"/>
  <c r="F113" i="169"/>
  <c r="G113" i="169" s="1"/>
  <c r="C114" i="169"/>
  <c r="F114" i="169"/>
  <c r="G114" i="169" s="1"/>
  <c r="C115" i="169"/>
  <c r="F115" i="169"/>
  <c r="G115" i="169" s="1"/>
  <c r="C116" i="169"/>
  <c r="F116" i="169"/>
  <c r="G116" i="169" s="1"/>
  <c r="C121" i="169"/>
  <c r="F121" i="169"/>
  <c r="G121" i="169" s="1"/>
  <c r="G131" i="169" s="1"/>
  <c r="C122" i="169"/>
  <c r="F122" i="169"/>
  <c r="G122" i="169" s="1"/>
  <c r="C124" i="169"/>
  <c r="F124" i="169"/>
  <c r="G124" i="169" s="1"/>
  <c r="C125" i="169"/>
  <c r="E125" i="169"/>
  <c r="F125" i="169"/>
  <c r="C127" i="169"/>
  <c r="E127" i="169"/>
  <c r="F127" i="169"/>
  <c r="C129" i="169"/>
  <c r="F129" i="169"/>
  <c r="G129" i="169" s="1"/>
  <c r="C130" i="169"/>
  <c r="F130" i="169"/>
  <c r="G130" i="169" s="1"/>
  <c r="BA1" i="168"/>
  <c r="BA2" i="168"/>
  <c r="BA4" i="168"/>
  <c r="BA5" i="168"/>
  <c r="D7" i="168"/>
  <c r="E7" i="168" s="1"/>
  <c r="I7" i="168"/>
  <c r="K7" i="168"/>
  <c r="B134" i="168"/>
  <c r="L134" i="168" s="1"/>
  <c r="C134" i="168"/>
  <c r="CI134" i="168" s="1"/>
  <c r="D134" i="168"/>
  <c r="DS135" i="168"/>
  <c r="DT135" i="168"/>
  <c r="B136" i="168"/>
  <c r="BM136" i="168" s="1"/>
  <c r="C136" i="168"/>
  <c r="CI136" i="168" s="1"/>
  <c r="D136" i="168"/>
  <c r="DI136" i="168"/>
  <c r="BD137" i="168"/>
  <c r="DS137" i="168"/>
  <c r="DT137" i="168"/>
  <c r="BD138" i="168"/>
  <c r="DS138" i="168"/>
  <c r="DT138" i="168"/>
  <c r="BD139" i="168"/>
  <c r="DS139" i="168"/>
  <c r="DT139" i="168"/>
  <c r="B140" i="168"/>
  <c r="L140" i="168" s="1"/>
  <c r="C140" i="168"/>
  <c r="CI140" i="168" s="1"/>
  <c r="D140" i="168"/>
  <c r="DS141" i="168"/>
  <c r="DT141" i="168"/>
  <c r="DS142" i="168"/>
  <c r="DT142" i="168"/>
  <c r="DS143" i="168"/>
  <c r="DT143" i="168"/>
  <c r="DS144" i="168"/>
  <c r="DT144" i="168"/>
  <c r="DS145" i="168"/>
  <c r="DT145" i="168"/>
  <c r="DS146" i="168"/>
  <c r="DT146" i="168"/>
  <c r="B147" i="168"/>
  <c r="T147" i="168" s="1"/>
  <c r="C147" i="168"/>
  <c r="CI147" i="168" s="1"/>
  <c r="D147" i="168"/>
  <c r="B148" i="168"/>
  <c r="AV148" i="168" s="1"/>
  <c r="C148" i="168"/>
  <c r="CI148" i="168" s="1"/>
  <c r="D148" i="168"/>
  <c r="DS149" i="168"/>
  <c r="DT149" i="168"/>
  <c r="DS150" i="168"/>
  <c r="DT150" i="168"/>
  <c r="DS151" i="168"/>
  <c r="DT151" i="168"/>
  <c r="DS152" i="168"/>
  <c r="DT152" i="168"/>
  <c r="DS153" i="168"/>
  <c r="DT153" i="168"/>
  <c r="DS154" i="168"/>
  <c r="DT154" i="168"/>
  <c r="B155" i="168"/>
  <c r="DI155" i="168" s="1"/>
  <c r="C155" i="168"/>
  <c r="CI155" i="168" s="1"/>
  <c r="D155" i="168"/>
  <c r="BM155" i="168"/>
  <c r="DS156" i="168"/>
  <c r="DT156" i="168"/>
  <c r="DS157" i="168"/>
  <c r="DT157" i="168"/>
  <c r="DS158" i="168"/>
  <c r="DT158" i="168"/>
  <c r="DS159" i="168"/>
  <c r="DT159" i="168"/>
  <c r="DS160" i="168"/>
  <c r="DT160" i="168"/>
  <c r="B161" i="168"/>
  <c r="BN161" i="168" s="1"/>
  <c r="C161" i="168"/>
  <c r="CI161" i="168" s="1"/>
  <c r="D161" i="168"/>
  <c r="T161" i="168"/>
  <c r="BM161" i="168"/>
  <c r="B162" i="168"/>
  <c r="S162" i="168" s="1"/>
  <c r="C162" i="168"/>
  <c r="CI162" i="168" s="1"/>
  <c r="D162" i="168"/>
  <c r="B163" i="168"/>
  <c r="C163" i="168"/>
  <c r="CI163" i="168" s="1"/>
  <c r="AH163" i="168" s="1"/>
  <c r="D163" i="168"/>
  <c r="BL163" i="168"/>
  <c r="BM163" i="168"/>
  <c r="DS164" i="168"/>
  <c r="DT164" i="168"/>
  <c r="DS165" i="168"/>
  <c r="DT165" i="168"/>
  <c r="DS166" i="168"/>
  <c r="DT166" i="168"/>
  <c r="DS167" i="168"/>
  <c r="DT167" i="168"/>
  <c r="DS168" i="168"/>
  <c r="DT168" i="168"/>
  <c r="DS169" i="168"/>
  <c r="DT169" i="168"/>
  <c r="DS170" i="168"/>
  <c r="DT170" i="168"/>
  <c r="DS171" i="168"/>
  <c r="DT171" i="168"/>
  <c r="DS172" i="168"/>
  <c r="DT172" i="168"/>
  <c r="DS173" i="168"/>
  <c r="DT173" i="168"/>
  <c r="DS174" i="168"/>
  <c r="DT174" i="168"/>
  <c r="DS175" i="168"/>
  <c r="DT175" i="168"/>
  <c r="DS176" i="168"/>
  <c r="DT176" i="168"/>
  <c r="DS177" i="168"/>
  <c r="DT177" i="168"/>
  <c r="DS178" i="168"/>
  <c r="DT178" i="168"/>
  <c r="DS179" i="168"/>
  <c r="DT179" i="168"/>
  <c r="DS180" i="168"/>
  <c r="DT180" i="168"/>
  <c r="DS181" i="168"/>
  <c r="DT181" i="168"/>
  <c r="DS182" i="168"/>
  <c r="DT182" i="168"/>
  <c r="DS183" i="168"/>
  <c r="DT183" i="168"/>
  <c r="DS184" i="168"/>
  <c r="DT184" i="168"/>
  <c r="DS185" i="168"/>
  <c r="DT185" i="168"/>
  <c r="DS186" i="168"/>
  <c r="DT186" i="168"/>
  <c r="DS187" i="168"/>
  <c r="DT187" i="168"/>
  <c r="DS188" i="168"/>
  <c r="DT188" i="168"/>
  <c r="DS189" i="168"/>
  <c r="DT189" i="168"/>
  <c r="DS190" i="168"/>
  <c r="DT190" i="168"/>
  <c r="DS191" i="168"/>
  <c r="DT191" i="168"/>
  <c r="DS192" i="168"/>
  <c r="DT192" i="168"/>
  <c r="DS193" i="168"/>
  <c r="DT193" i="168"/>
  <c r="DS194" i="168"/>
  <c r="DT194" i="168"/>
  <c r="DS195" i="168"/>
  <c r="DT195" i="168"/>
  <c r="DS196" i="168"/>
  <c r="DT196" i="168"/>
  <c r="DS197" i="168"/>
  <c r="DT197" i="168"/>
  <c r="DS198" i="168"/>
  <c r="DT198" i="168"/>
  <c r="DS199" i="168"/>
  <c r="DT199" i="168"/>
  <c r="DS200" i="168"/>
  <c r="DT200" i="168"/>
  <c r="DS201" i="168"/>
  <c r="DT201" i="168"/>
  <c r="DS202" i="168"/>
  <c r="DT202" i="168"/>
  <c r="DS203" i="168"/>
  <c r="DT203" i="168"/>
  <c r="DS204" i="168"/>
  <c r="DT204" i="168"/>
  <c r="DS205" i="168"/>
  <c r="DT205" i="168"/>
  <c r="DS206" i="168"/>
  <c r="DT206" i="168"/>
  <c r="DS207" i="168"/>
  <c r="DT207" i="168"/>
  <c r="DS208" i="168"/>
  <c r="DT208" i="168"/>
  <c r="DS209" i="168"/>
  <c r="DT209" i="168"/>
  <c r="DS210" i="168"/>
  <c r="DT210" i="168"/>
  <c r="DS211" i="168"/>
  <c r="DT211" i="168"/>
  <c r="DS212" i="168"/>
  <c r="DT212" i="168"/>
  <c r="DS213" i="168"/>
  <c r="DT213" i="168"/>
  <c r="DS214" i="168"/>
  <c r="DT214" i="168"/>
  <c r="DS215" i="168"/>
  <c r="DT215" i="168"/>
  <c r="DS216" i="168"/>
  <c r="DT216" i="168"/>
  <c r="DS217" i="168"/>
  <c r="DT217" i="168"/>
  <c r="DS218" i="168"/>
  <c r="DT218" i="168"/>
  <c r="DS219" i="168"/>
  <c r="DT219" i="168"/>
  <c r="DS220" i="168"/>
  <c r="DT220" i="168"/>
  <c r="DS221" i="168"/>
  <c r="DT221" i="168"/>
  <c r="DS222" i="168"/>
  <c r="DT222" i="168"/>
  <c r="DS223" i="168"/>
  <c r="DT223" i="168"/>
  <c r="DS224" i="168"/>
  <c r="DT224" i="168"/>
  <c r="DS225" i="168"/>
  <c r="DT225" i="168"/>
  <c r="DS226" i="168"/>
  <c r="DT226" i="168"/>
  <c r="DS227" i="168"/>
  <c r="DT227" i="168"/>
  <c r="B228" i="168"/>
  <c r="L228" i="168" s="1"/>
  <c r="C228" i="168"/>
  <c r="D228" i="168"/>
  <c r="CI228" i="168"/>
  <c r="AH228" i="168" s="1"/>
  <c r="DS229" i="168"/>
  <c r="DT229" i="168"/>
  <c r="DS230" i="168"/>
  <c r="DT230" i="168"/>
  <c r="DS231" i="168"/>
  <c r="DT231" i="168"/>
  <c r="DS232" i="168"/>
  <c r="DT232" i="168"/>
  <c r="DS233" i="168"/>
  <c r="DT233" i="168"/>
  <c r="DS234" i="168"/>
  <c r="DT234" i="168"/>
  <c r="DS235" i="168"/>
  <c r="DT235" i="168"/>
  <c r="DS236" i="168"/>
  <c r="DT236" i="168"/>
  <c r="B237" i="168"/>
  <c r="T237" i="168" s="1"/>
  <c r="C237" i="168"/>
  <c r="CI237" i="168" s="1"/>
  <c r="D237" i="168"/>
  <c r="B238" i="168"/>
  <c r="BL238" i="168" s="1"/>
  <c r="C238" i="168"/>
  <c r="CI238" i="168" s="1"/>
  <c r="D238" i="168"/>
  <c r="BM238" i="168"/>
  <c r="BN238" i="168"/>
  <c r="DS239" i="168"/>
  <c r="DT239" i="168"/>
  <c r="DS240" i="168"/>
  <c r="DT240" i="168"/>
  <c r="DS241" i="168"/>
  <c r="DT241" i="168"/>
  <c r="DS242" i="168"/>
  <c r="DT242" i="168"/>
  <c r="DS243" i="168"/>
  <c r="DT243" i="168"/>
  <c r="DS244" i="168"/>
  <c r="DT244" i="168"/>
  <c r="DS245" i="168"/>
  <c r="DT245" i="168"/>
  <c r="DS246" i="168"/>
  <c r="DT246" i="168"/>
  <c r="DS247" i="168"/>
  <c r="DT247" i="168"/>
  <c r="DS248" i="168"/>
  <c r="DT248" i="168"/>
  <c r="DS249" i="168"/>
  <c r="DT249" i="168"/>
  <c r="DS250" i="168"/>
  <c r="DT250" i="168"/>
  <c r="DS251" i="168"/>
  <c r="DT251" i="168"/>
  <c r="DS252" i="168"/>
  <c r="DT252" i="168"/>
  <c r="DS253" i="168"/>
  <c r="DT253" i="168"/>
  <c r="DS254" i="168"/>
  <c r="DT254" i="168"/>
  <c r="DS255" i="168"/>
  <c r="DT255" i="168"/>
  <c r="DS256" i="168"/>
  <c r="DT256" i="168"/>
  <c r="DS257" i="168"/>
  <c r="DT257" i="168"/>
  <c r="DS258" i="168"/>
  <c r="DT258" i="168"/>
  <c r="DS259" i="168"/>
  <c r="DT259" i="168"/>
  <c r="DS260" i="168"/>
  <c r="DT260" i="168"/>
  <c r="DS261" i="168"/>
  <c r="DT261" i="168"/>
  <c r="DS262" i="168"/>
  <c r="DT262" i="168"/>
  <c r="DS263" i="168"/>
  <c r="DT263" i="168"/>
  <c r="DS264" i="168"/>
  <c r="DT264" i="168"/>
  <c r="DS265" i="168"/>
  <c r="DT265" i="168"/>
  <c r="DS266" i="168"/>
  <c r="DT266" i="168"/>
  <c r="DS267" i="168"/>
  <c r="DT267" i="168"/>
  <c r="DS268" i="168"/>
  <c r="DT268" i="168"/>
  <c r="DS269" i="168"/>
  <c r="DT269" i="168"/>
  <c r="DS270" i="168"/>
  <c r="DT270" i="168"/>
  <c r="DS271" i="168"/>
  <c r="DT271" i="168"/>
  <c r="DS272" i="168"/>
  <c r="DT272" i="168"/>
  <c r="DS273" i="168"/>
  <c r="DT273" i="168"/>
  <c r="DS274" i="168"/>
  <c r="DT274" i="168"/>
  <c r="DS275" i="168"/>
  <c r="DT275" i="168"/>
  <c r="DS276" i="168"/>
  <c r="DT276" i="168"/>
  <c r="DS277" i="168"/>
  <c r="DT277" i="168"/>
  <c r="DS278" i="168"/>
  <c r="DT278" i="168"/>
  <c r="DS279" i="168"/>
  <c r="DT279" i="168"/>
  <c r="DS280" i="168"/>
  <c r="DT280" i="168"/>
  <c r="DS281" i="168"/>
  <c r="DT281" i="168"/>
  <c r="DS282" i="168"/>
  <c r="DT282" i="168"/>
  <c r="DS283" i="168"/>
  <c r="DT283" i="168"/>
  <c r="DS284" i="168"/>
  <c r="DT284" i="168"/>
  <c r="DS285" i="168"/>
  <c r="DT285" i="168"/>
  <c r="DS286" i="168"/>
  <c r="DT286" i="168"/>
  <c r="DS287" i="168"/>
  <c r="DT287" i="168"/>
  <c r="DS288" i="168"/>
  <c r="DT288" i="168"/>
  <c r="DS289" i="168"/>
  <c r="DT289" i="168"/>
  <c r="DS290" i="168"/>
  <c r="DT290" i="168"/>
  <c r="DS291" i="168"/>
  <c r="DT291" i="168"/>
  <c r="DS292" i="168"/>
  <c r="DT292" i="168"/>
  <c r="DS293" i="168"/>
  <c r="DT293" i="168"/>
  <c r="DS294" i="168"/>
  <c r="DT294" i="168"/>
  <c r="DS295" i="168"/>
  <c r="DT295" i="168"/>
  <c r="DS296" i="168"/>
  <c r="DT296" i="168"/>
  <c r="DS297" i="168"/>
  <c r="DT297" i="168"/>
  <c r="DS298" i="168"/>
  <c r="DT298" i="168"/>
  <c r="DS299" i="168"/>
  <c r="DT299" i="168"/>
  <c r="DS300" i="168"/>
  <c r="DT300" i="168"/>
  <c r="DS301" i="168"/>
  <c r="DT301" i="168"/>
  <c r="DS302" i="168"/>
  <c r="DT302" i="168"/>
  <c r="DS303" i="168"/>
  <c r="DT303" i="168"/>
  <c r="DS304" i="168"/>
  <c r="DT304" i="168"/>
  <c r="B305" i="168"/>
  <c r="BK305" i="168" s="1"/>
  <c r="C305" i="168"/>
  <c r="CI305" i="168" s="1"/>
  <c r="AE305" i="168" s="1"/>
  <c r="D305" i="168"/>
  <c r="BH305" i="168"/>
  <c r="BM305" i="168"/>
  <c r="B306" i="168"/>
  <c r="AB306" i="168" s="1"/>
  <c r="C306" i="168"/>
  <c r="CI306" i="168" s="1"/>
  <c r="D306" i="168"/>
  <c r="DS307" i="168"/>
  <c r="DT307" i="168"/>
  <c r="DS308" i="168"/>
  <c r="DT308" i="168"/>
  <c r="DS309" i="168"/>
  <c r="DT309" i="168"/>
  <c r="DS310" i="168"/>
  <c r="DT310" i="168"/>
  <c r="DS311" i="168"/>
  <c r="DT311" i="168"/>
  <c r="DS312" i="168"/>
  <c r="DT312" i="168"/>
  <c r="B313" i="168"/>
  <c r="S313" i="168" s="1"/>
  <c r="C313" i="168"/>
  <c r="CI313" i="168" s="1"/>
  <c r="AH313" i="168" s="1"/>
  <c r="D313" i="168"/>
  <c r="DS314" i="168"/>
  <c r="DT314" i="168"/>
  <c r="DS315" i="168"/>
  <c r="DT315" i="168"/>
  <c r="DS316" i="168"/>
  <c r="DT316" i="168"/>
  <c r="DS317" i="168"/>
  <c r="DT317" i="168"/>
  <c r="DS318" i="168"/>
  <c r="DT318" i="168"/>
  <c r="DS319" i="168"/>
  <c r="DT319" i="168"/>
  <c r="DS320" i="168"/>
  <c r="DT320" i="168"/>
  <c r="DS321" i="168"/>
  <c r="DT321" i="168"/>
  <c r="DS322" i="168"/>
  <c r="DT322" i="168"/>
  <c r="DS323" i="168"/>
  <c r="DT323" i="168"/>
  <c r="DS324" i="168"/>
  <c r="DT324" i="168"/>
  <c r="DS325" i="168"/>
  <c r="DT325" i="168"/>
  <c r="DS326" i="168"/>
  <c r="DT326" i="168"/>
  <c r="B327" i="168"/>
  <c r="T327" i="168" s="1"/>
  <c r="C327" i="168"/>
  <c r="CI327" i="168" s="1"/>
  <c r="D327" i="168"/>
  <c r="B328" i="168"/>
  <c r="BN328" i="168" s="1"/>
  <c r="D328" i="168"/>
  <c r="B329" i="168"/>
  <c r="BM329" i="168" s="1"/>
  <c r="C329" i="168"/>
  <c r="D329" i="168"/>
  <c r="AB329" i="168"/>
  <c r="BN329" i="168"/>
  <c r="CI329" i="168"/>
  <c r="AH329" i="168" s="1"/>
  <c r="B330" i="168"/>
  <c r="AB330" i="168" s="1"/>
  <c r="C330" i="168"/>
  <c r="CI330" i="168" s="1"/>
  <c r="D330" i="168"/>
  <c r="B331" i="168"/>
  <c r="BN331" i="168" s="1"/>
  <c r="C331" i="168"/>
  <c r="CI331" i="168" s="1"/>
  <c r="D331" i="168"/>
  <c r="BL331" i="168"/>
  <c r="BM331" i="168"/>
  <c r="BD332" i="168"/>
  <c r="BD333" i="168"/>
  <c r="BD334" i="168"/>
  <c r="BD335" i="168"/>
  <c r="BD336" i="168"/>
  <c r="BD337" i="168"/>
  <c r="BD338" i="168"/>
  <c r="BD339" i="168"/>
  <c r="BD340" i="168"/>
  <c r="BD341" i="168"/>
  <c r="BD342" i="168"/>
  <c r="BD343" i="168"/>
  <c r="BD344" i="168"/>
  <c r="BD345" i="168"/>
  <c r="BD346" i="168"/>
  <c r="BD347" i="168"/>
  <c r="BD348" i="168"/>
  <c r="BD349" i="168"/>
  <c r="BD350" i="168"/>
  <c r="BD351" i="168"/>
  <c r="BD352" i="168"/>
  <c r="BD353" i="168"/>
  <c r="BD354" i="168"/>
  <c r="BD355" i="168"/>
  <c r="BD356" i="168"/>
  <c r="BD357" i="168"/>
  <c r="BD358" i="168"/>
  <c r="BD359" i="168"/>
  <c r="BD360" i="168"/>
  <c r="BD361" i="168"/>
  <c r="BD362" i="168"/>
  <c r="BD363" i="168"/>
  <c r="BD364" i="168"/>
  <c r="BD365" i="168"/>
  <c r="BD366" i="168"/>
  <c r="BD367" i="168"/>
  <c r="BD368" i="168"/>
  <c r="BD369" i="168"/>
  <c r="BD370" i="168"/>
  <c r="BD371" i="168"/>
  <c r="BD372" i="168"/>
  <c r="BD373" i="168"/>
  <c r="BD374" i="168"/>
  <c r="BD375" i="168"/>
  <c r="BD376" i="168"/>
  <c r="BD377" i="168"/>
  <c r="BD378" i="168"/>
  <c r="BD379" i="168"/>
  <c r="BD380" i="168"/>
  <c r="BD381" i="168"/>
  <c r="BD382" i="168"/>
  <c r="BD383" i="168"/>
  <c r="BD384" i="168"/>
  <c r="BD385" i="168"/>
  <c r="BD386" i="168"/>
  <c r="BD387" i="168"/>
  <c r="BD388" i="168"/>
  <c r="BD389" i="168"/>
  <c r="BD390" i="168"/>
  <c r="BD391" i="168"/>
  <c r="BD392" i="168"/>
  <c r="BD393" i="168"/>
  <c r="BD394" i="168"/>
  <c r="BD395" i="168"/>
  <c r="BD396" i="168"/>
  <c r="BD397" i="168"/>
  <c r="BD398" i="168"/>
  <c r="BD399" i="168"/>
  <c r="BD400" i="168"/>
  <c r="BD401" i="168"/>
  <c r="BD402" i="168"/>
  <c r="BD403" i="168"/>
  <c r="BD404" i="168"/>
  <c r="BD405" i="168"/>
  <c r="BD406" i="168"/>
  <c r="BD407" i="168"/>
  <c r="BD408" i="168"/>
  <c r="BD409" i="168"/>
  <c r="BD410" i="168"/>
  <c r="BD411" i="168"/>
  <c r="BD412" i="168"/>
  <c r="BD413" i="168"/>
  <c r="BD414" i="168"/>
  <c r="BD415" i="168"/>
  <c r="BD416" i="168"/>
  <c r="BD417" i="168"/>
  <c r="BD418" i="168"/>
  <c r="BD419" i="168"/>
  <c r="BD420" i="168"/>
  <c r="BD421" i="168"/>
  <c r="BD422" i="168"/>
  <c r="BD423" i="168"/>
  <c r="BD424" i="168"/>
  <c r="BD425" i="168"/>
  <c r="BD426" i="168"/>
  <c r="BD427" i="168"/>
  <c r="BD428" i="168"/>
  <c r="BD429" i="168"/>
  <c r="BD430" i="168"/>
  <c r="BD431" i="168"/>
  <c r="BD432" i="168"/>
  <c r="BD433" i="168"/>
  <c r="BD434" i="168"/>
  <c r="BD435" i="168"/>
  <c r="BD436" i="168"/>
  <c r="BD437" i="168"/>
  <c r="BD438" i="168"/>
  <c r="BD439" i="168"/>
  <c r="BD440" i="168"/>
  <c r="BD441" i="168"/>
  <c r="BD442" i="168"/>
  <c r="BD443" i="168"/>
  <c r="BD444" i="168"/>
  <c r="BD445" i="168"/>
  <c r="BD446" i="168"/>
  <c r="BD447" i="168"/>
  <c r="BD448" i="168"/>
  <c r="BD449" i="168"/>
  <c r="BD450" i="168"/>
  <c r="BD451" i="168"/>
  <c r="BD452" i="168"/>
  <c r="BD453" i="168"/>
  <c r="BD454" i="168"/>
  <c r="BD455" i="168"/>
  <c r="BD456" i="168"/>
  <c r="BD457" i="168"/>
  <c r="BD458" i="168"/>
  <c r="BD459" i="168"/>
  <c r="BD460" i="168"/>
  <c r="BD461" i="168"/>
  <c r="BD462" i="168"/>
  <c r="BD463" i="168"/>
  <c r="BD464" i="168"/>
  <c r="BD465" i="168"/>
  <c r="BD466" i="168"/>
  <c r="BD467" i="168"/>
  <c r="BD468" i="168"/>
  <c r="BD469" i="168"/>
  <c r="BD470" i="168"/>
  <c r="BD471" i="168"/>
  <c r="BD472" i="168"/>
  <c r="BD473" i="168"/>
  <c r="BD474" i="168"/>
  <c r="BD475" i="168"/>
  <c r="BD476" i="168"/>
  <c r="BD477" i="168"/>
  <c r="BD478" i="168"/>
  <c r="BD479" i="168"/>
  <c r="BD480" i="168"/>
  <c r="BD481" i="168"/>
  <c r="BD482" i="168"/>
  <c r="BD483" i="168"/>
  <c r="BD484" i="168"/>
  <c r="BD485" i="168"/>
  <c r="BD486" i="168"/>
  <c r="BD487" i="168"/>
  <c r="BD488" i="168"/>
  <c r="BD489" i="168"/>
  <c r="BD490" i="168"/>
  <c r="BD491" i="168"/>
  <c r="BD492" i="168"/>
  <c r="BD493" i="168"/>
  <c r="BD494" i="168"/>
  <c r="BD495" i="168"/>
  <c r="BD496" i="168"/>
  <c r="BD497" i="168"/>
  <c r="BD498" i="168"/>
  <c r="BD499" i="168"/>
  <c r="BD500" i="168"/>
  <c r="BD501" i="168"/>
  <c r="DH503" i="168"/>
  <c r="DK503" i="168"/>
  <c r="E23" i="56" s="1"/>
  <c r="EI503" i="168"/>
  <c r="K535" i="168"/>
  <c r="K538" i="168"/>
  <c r="M538" i="168"/>
  <c r="K541" i="168"/>
  <c r="M541" i="168"/>
  <c r="H2" i="166"/>
  <c r="P2" i="166"/>
  <c r="H3" i="166"/>
  <c r="P3" i="166"/>
  <c r="H4" i="166"/>
  <c r="P4" i="166"/>
  <c r="H5" i="166"/>
  <c r="P5" i="166"/>
  <c r="H6" i="166"/>
  <c r="P6" i="166"/>
  <c r="H7" i="166"/>
  <c r="H8" i="166"/>
  <c r="H9" i="166"/>
  <c r="H10" i="166"/>
  <c r="H11" i="166"/>
  <c r="H12" i="166"/>
  <c r="H13" i="166"/>
  <c r="H14" i="166"/>
  <c r="H15" i="166"/>
  <c r="H16" i="166"/>
  <c r="H17" i="166"/>
  <c r="H18" i="166"/>
  <c r="H19" i="166"/>
  <c r="H20" i="166"/>
  <c r="H21" i="166"/>
  <c r="H22" i="166"/>
  <c r="H23" i="166"/>
  <c r="H24" i="166"/>
  <c r="H25" i="166"/>
  <c r="H26" i="166"/>
  <c r="H27" i="166"/>
  <c r="H28" i="166"/>
  <c r="H29" i="166"/>
  <c r="H30" i="166"/>
  <c r="H31" i="166"/>
  <c r="H32" i="166"/>
  <c r="H33" i="166"/>
  <c r="H34" i="166"/>
  <c r="H35" i="166"/>
  <c r="H36" i="166"/>
  <c r="H37" i="166"/>
  <c r="H38" i="166"/>
  <c r="H39" i="166"/>
  <c r="H40" i="166"/>
  <c r="H41" i="166"/>
  <c r="H42" i="166"/>
  <c r="H43" i="166"/>
  <c r="H44" i="166"/>
  <c r="H45" i="166"/>
  <c r="H46" i="166"/>
  <c r="H47" i="166"/>
  <c r="H48" i="166"/>
  <c r="H49" i="166"/>
  <c r="H50" i="166"/>
  <c r="H51" i="166"/>
  <c r="H52" i="166"/>
  <c r="H53" i="166"/>
  <c r="H54" i="166"/>
  <c r="H55" i="166"/>
  <c r="H56" i="166"/>
  <c r="H57" i="166"/>
  <c r="H58" i="166"/>
  <c r="H59" i="166"/>
  <c r="H60" i="166"/>
  <c r="H61" i="166"/>
  <c r="H62" i="166"/>
  <c r="H63" i="166"/>
  <c r="H64" i="166"/>
  <c r="H65" i="166"/>
  <c r="H66" i="166"/>
  <c r="H67" i="166"/>
  <c r="H68" i="166"/>
  <c r="H69" i="166"/>
  <c r="H70" i="166"/>
  <c r="H71" i="166"/>
  <c r="H72" i="166"/>
  <c r="H73" i="166"/>
  <c r="H74" i="166"/>
  <c r="H75" i="166"/>
  <c r="H76" i="166"/>
  <c r="H77" i="166"/>
  <c r="H78" i="166"/>
  <c r="H79" i="166"/>
  <c r="H80" i="166"/>
  <c r="H81" i="166"/>
  <c r="H82" i="166"/>
  <c r="H83" i="166"/>
  <c r="H84" i="166"/>
  <c r="H85" i="166"/>
  <c r="H86" i="166"/>
  <c r="H87" i="166"/>
  <c r="H88" i="166"/>
  <c r="H89" i="166"/>
  <c r="H90" i="166"/>
  <c r="H91" i="166"/>
  <c r="H92" i="166"/>
  <c r="H93" i="166"/>
  <c r="H94" i="166"/>
  <c r="H95" i="166"/>
  <c r="H96" i="166"/>
  <c r="H97" i="166"/>
  <c r="H98" i="166"/>
  <c r="H99" i="166"/>
  <c r="H100" i="166"/>
  <c r="H101" i="166"/>
  <c r="H102" i="166"/>
  <c r="H103" i="166"/>
  <c r="H104" i="166"/>
  <c r="H105" i="166"/>
  <c r="H106" i="166"/>
  <c r="H107" i="166"/>
  <c r="H108" i="166"/>
  <c r="H109" i="166"/>
  <c r="H110" i="166"/>
  <c r="H111" i="166"/>
  <c r="H112" i="166"/>
  <c r="H113" i="166"/>
  <c r="H114" i="166"/>
  <c r="H115" i="166"/>
  <c r="H116" i="166"/>
  <c r="H117" i="166"/>
  <c r="H118" i="166"/>
  <c r="H119" i="166"/>
  <c r="H120" i="166"/>
  <c r="H121" i="166"/>
  <c r="H122" i="166"/>
  <c r="H123" i="166"/>
  <c r="H124" i="166"/>
  <c r="H125" i="166"/>
  <c r="H126" i="166"/>
  <c r="H127" i="166"/>
  <c r="H128" i="166"/>
  <c r="H129" i="166"/>
  <c r="H130" i="166"/>
  <c r="H131" i="166"/>
  <c r="H132" i="166"/>
  <c r="H133" i="166"/>
  <c r="H134" i="166"/>
  <c r="H135" i="166"/>
  <c r="H136" i="166"/>
  <c r="H137" i="166"/>
  <c r="H138" i="166"/>
  <c r="H139" i="166"/>
  <c r="H140" i="166"/>
  <c r="H141" i="166"/>
  <c r="H142" i="166"/>
  <c r="H143" i="166"/>
  <c r="H144" i="166"/>
  <c r="H145" i="166"/>
  <c r="H146" i="166"/>
  <c r="H147" i="166"/>
  <c r="H148" i="166"/>
  <c r="H149" i="166"/>
  <c r="H150" i="166"/>
  <c r="H151" i="166"/>
  <c r="H152" i="166"/>
  <c r="H153" i="166"/>
  <c r="H154" i="166"/>
  <c r="H155" i="166"/>
  <c r="H156" i="166"/>
  <c r="H157" i="166"/>
  <c r="H158" i="166"/>
  <c r="H159" i="166"/>
  <c r="H160" i="166"/>
  <c r="H161" i="166"/>
  <c r="H162" i="166"/>
  <c r="H163" i="166"/>
  <c r="H164" i="166"/>
  <c r="H165" i="166"/>
  <c r="H166" i="166"/>
  <c r="H167" i="166"/>
  <c r="H168" i="166"/>
  <c r="H169" i="166"/>
  <c r="H170" i="166"/>
  <c r="H171" i="166"/>
  <c r="H172" i="166"/>
  <c r="H173" i="166"/>
  <c r="H174" i="166"/>
  <c r="H175" i="166"/>
  <c r="H176" i="166"/>
  <c r="H177" i="166"/>
  <c r="H178" i="166"/>
  <c r="H179" i="166"/>
  <c r="H180" i="166"/>
  <c r="H182" i="166"/>
  <c r="H183" i="166"/>
  <c r="H184" i="166"/>
  <c r="H185" i="166"/>
  <c r="H186" i="166"/>
  <c r="H187" i="166"/>
  <c r="H188" i="166"/>
  <c r="H189" i="166"/>
  <c r="H190" i="166"/>
  <c r="H191" i="166"/>
  <c r="H192" i="166"/>
  <c r="H193" i="166"/>
  <c r="H194" i="166"/>
  <c r="H195" i="166"/>
  <c r="H196" i="166"/>
  <c r="H197" i="166"/>
  <c r="H198" i="166"/>
  <c r="H199" i="166"/>
  <c r="H200" i="166"/>
  <c r="H201" i="166"/>
  <c r="H202" i="166"/>
  <c r="H203" i="166"/>
  <c r="H204" i="166"/>
  <c r="H205" i="166"/>
  <c r="H206" i="166"/>
  <c r="H207" i="166"/>
  <c r="H208" i="166"/>
  <c r="H209" i="166"/>
  <c r="H210" i="166"/>
  <c r="H211" i="166"/>
  <c r="H212" i="166"/>
  <c r="H213" i="166"/>
  <c r="H214" i="166"/>
  <c r="H215" i="166"/>
  <c r="H216" i="166"/>
  <c r="H217" i="166"/>
  <c r="H218" i="166"/>
  <c r="H219" i="166"/>
  <c r="H220" i="166"/>
  <c r="H221" i="166"/>
  <c r="H222" i="166"/>
  <c r="H223" i="166"/>
  <c r="H224" i="166"/>
  <c r="H225" i="166"/>
  <c r="H226" i="166"/>
  <c r="H227" i="166"/>
  <c r="H228" i="166"/>
  <c r="H229" i="166"/>
  <c r="H230" i="166"/>
  <c r="H231" i="166"/>
  <c r="H232" i="166"/>
  <c r="H233" i="166"/>
  <c r="H234" i="166"/>
  <c r="H235" i="166"/>
  <c r="H236" i="166"/>
  <c r="H237" i="166"/>
  <c r="H238" i="166"/>
  <c r="H239" i="166"/>
  <c r="H240" i="166"/>
  <c r="H241" i="166"/>
  <c r="H242" i="166"/>
  <c r="H243" i="166"/>
  <c r="H244" i="166"/>
  <c r="H245" i="166"/>
  <c r="H246" i="166"/>
  <c r="H247" i="166"/>
  <c r="H248" i="166"/>
  <c r="H249" i="166"/>
  <c r="H250" i="166"/>
  <c r="H251" i="166"/>
  <c r="H252" i="166"/>
  <c r="H253" i="166"/>
  <c r="H254" i="166"/>
  <c r="H255" i="166"/>
  <c r="H256" i="166"/>
  <c r="H257" i="166"/>
  <c r="H258" i="166"/>
  <c r="H259" i="166"/>
  <c r="H260" i="166"/>
  <c r="H261" i="166"/>
  <c r="H262" i="166"/>
  <c r="H263" i="166"/>
  <c r="H264" i="166"/>
  <c r="H265" i="166"/>
  <c r="H266" i="166"/>
  <c r="H267" i="166"/>
  <c r="H268" i="166"/>
  <c r="H269" i="166"/>
  <c r="H270" i="166"/>
  <c r="H271" i="166"/>
  <c r="H272" i="166"/>
  <c r="H273" i="166"/>
  <c r="H274" i="166"/>
  <c r="H275" i="166"/>
  <c r="H276" i="166"/>
  <c r="H277" i="166"/>
  <c r="H278" i="166"/>
  <c r="H279" i="166"/>
  <c r="H280" i="166"/>
  <c r="H281" i="166"/>
  <c r="H282" i="166"/>
  <c r="H283" i="166"/>
  <c r="H284" i="166"/>
  <c r="H285" i="166"/>
  <c r="H286" i="166"/>
  <c r="H287" i="166"/>
  <c r="H288" i="166"/>
  <c r="H289" i="166"/>
  <c r="H290" i="166"/>
  <c r="H291" i="166"/>
  <c r="H292" i="166"/>
  <c r="H293" i="166"/>
  <c r="H294" i="166"/>
  <c r="H295" i="166"/>
  <c r="H296" i="166"/>
  <c r="H297" i="166"/>
  <c r="H298" i="166"/>
  <c r="H299" i="166"/>
  <c r="H300" i="166"/>
  <c r="H301" i="166"/>
  <c r="H302" i="166"/>
  <c r="H303" i="166"/>
  <c r="H304" i="166"/>
  <c r="H305" i="166"/>
  <c r="H306" i="166"/>
  <c r="H307" i="166"/>
  <c r="H308" i="166"/>
  <c r="H309" i="166"/>
  <c r="H310" i="166"/>
  <c r="H311" i="166"/>
  <c r="H312" i="166"/>
  <c r="H313" i="166"/>
  <c r="H314" i="166"/>
  <c r="H315" i="166"/>
  <c r="H316" i="166"/>
  <c r="H317" i="166"/>
  <c r="H318" i="166"/>
  <c r="H319" i="166"/>
  <c r="H320" i="166"/>
  <c r="H321" i="166"/>
  <c r="H322" i="166"/>
  <c r="H323" i="166"/>
  <c r="H324" i="166"/>
  <c r="H325" i="166"/>
  <c r="H326" i="166"/>
  <c r="H327" i="166"/>
  <c r="H328" i="166"/>
  <c r="H329" i="166"/>
  <c r="H330" i="166"/>
  <c r="H331" i="166"/>
  <c r="H332" i="166"/>
  <c r="H333" i="166"/>
  <c r="H334" i="166"/>
  <c r="H335" i="166"/>
  <c r="H336" i="166"/>
  <c r="H337" i="166"/>
  <c r="H338" i="166"/>
  <c r="H339" i="166"/>
  <c r="H340" i="166"/>
  <c r="H341" i="166"/>
  <c r="H342" i="166"/>
  <c r="H343" i="166"/>
  <c r="H344" i="166"/>
  <c r="H345" i="166"/>
  <c r="H346" i="166"/>
  <c r="H347" i="166"/>
  <c r="H348" i="166"/>
  <c r="H349" i="166"/>
  <c r="H350" i="166"/>
  <c r="H351" i="166"/>
  <c r="H352" i="166"/>
  <c r="H353" i="166"/>
  <c r="H354" i="166"/>
  <c r="H355" i="166"/>
  <c r="H356" i="166"/>
  <c r="H357" i="166"/>
  <c r="H358" i="166"/>
  <c r="H359" i="166"/>
  <c r="H360" i="166"/>
  <c r="H361" i="166"/>
  <c r="H362" i="166"/>
  <c r="H363" i="166"/>
  <c r="H364" i="166"/>
  <c r="H365" i="166"/>
  <c r="H366" i="166"/>
  <c r="H367" i="166"/>
  <c r="H368" i="166"/>
  <c r="H369" i="166"/>
  <c r="H370" i="166"/>
  <c r="H371" i="166"/>
  <c r="H372" i="166"/>
  <c r="H373" i="166"/>
  <c r="H374" i="166"/>
  <c r="H375" i="166"/>
  <c r="H376" i="166"/>
  <c r="H377" i="166"/>
  <c r="H378" i="166"/>
  <c r="H379" i="166"/>
  <c r="H380" i="166"/>
  <c r="H381" i="166"/>
  <c r="H382" i="166"/>
  <c r="H383" i="166"/>
  <c r="H384" i="166"/>
  <c r="H385" i="166"/>
  <c r="H386" i="166"/>
  <c r="H387" i="166"/>
  <c r="H388" i="166"/>
  <c r="H389" i="166"/>
  <c r="H390" i="166"/>
  <c r="H391" i="166"/>
  <c r="H392" i="166"/>
  <c r="H393" i="166"/>
  <c r="H394" i="166"/>
  <c r="H395" i="166"/>
  <c r="H396" i="166"/>
  <c r="H397" i="166"/>
  <c r="H398" i="166"/>
  <c r="H399" i="166"/>
  <c r="H400" i="166"/>
  <c r="H401" i="166"/>
  <c r="H402" i="166"/>
  <c r="H403" i="166"/>
  <c r="H404" i="166"/>
  <c r="H405" i="166"/>
  <c r="H406" i="166"/>
  <c r="H407" i="166"/>
  <c r="H408" i="166"/>
  <c r="H409" i="166"/>
  <c r="H410" i="166"/>
  <c r="H411" i="166"/>
  <c r="H412" i="166"/>
  <c r="H413" i="166"/>
  <c r="H414" i="166"/>
  <c r="H415" i="166"/>
  <c r="H416" i="166"/>
  <c r="H417" i="166"/>
  <c r="H418" i="166"/>
  <c r="H419" i="166"/>
  <c r="H420" i="166"/>
  <c r="H421" i="166"/>
  <c r="H422" i="166"/>
  <c r="H423" i="166"/>
  <c r="H424" i="166"/>
  <c r="H425" i="166"/>
  <c r="H426" i="166"/>
  <c r="H427" i="166"/>
  <c r="H428" i="166"/>
  <c r="H429" i="166"/>
  <c r="H430" i="166"/>
  <c r="H431" i="166"/>
  <c r="H432" i="166"/>
  <c r="H433" i="166"/>
  <c r="H434" i="166"/>
  <c r="H435" i="166"/>
  <c r="H436" i="166"/>
  <c r="H437" i="166"/>
  <c r="H438" i="166"/>
  <c r="H439" i="166"/>
  <c r="H440" i="166"/>
  <c r="H441" i="166"/>
  <c r="H442" i="166"/>
  <c r="H443" i="166"/>
  <c r="H444" i="166"/>
  <c r="H445" i="166"/>
  <c r="H446" i="166"/>
  <c r="H447" i="166"/>
  <c r="H448" i="166"/>
  <c r="H449" i="166"/>
  <c r="H450" i="166"/>
  <c r="H451" i="166"/>
  <c r="H452" i="166"/>
  <c r="H453" i="166"/>
  <c r="H454" i="166"/>
  <c r="H455" i="166"/>
  <c r="H456" i="166"/>
  <c r="H457" i="166"/>
  <c r="H458" i="166"/>
  <c r="H459" i="166"/>
  <c r="H460" i="166"/>
  <c r="H461" i="166"/>
  <c r="H462" i="166"/>
  <c r="H463" i="166"/>
  <c r="H464" i="166"/>
  <c r="H465" i="166"/>
  <c r="H466" i="166"/>
  <c r="H467" i="166"/>
  <c r="H468" i="166"/>
  <c r="H469" i="166"/>
  <c r="H470" i="166"/>
  <c r="H471" i="166"/>
  <c r="H472" i="166"/>
  <c r="H473" i="166"/>
  <c r="H474" i="166"/>
  <c r="H475" i="166"/>
  <c r="H476" i="166"/>
  <c r="H477" i="166"/>
  <c r="H478" i="166"/>
  <c r="H479" i="166"/>
  <c r="H480" i="166"/>
  <c r="H481" i="166"/>
  <c r="H482" i="166"/>
  <c r="H483" i="166"/>
  <c r="H484" i="166"/>
  <c r="H485" i="166"/>
  <c r="H486" i="166"/>
  <c r="H487" i="166"/>
  <c r="H488" i="166"/>
  <c r="H489" i="166"/>
  <c r="H490" i="166"/>
  <c r="H3" i="165"/>
  <c r="H4" i="165"/>
  <c r="H5" i="165"/>
  <c r="H6" i="165"/>
  <c r="H7" i="165"/>
  <c r="H8" i="165"/>
  <c r="H9" i="165"/>
  <c r="H10" i="165"/>
  <c r="H12" i="165"/>
  <c r="H13" i="165"/>
  <c r="H14" i="165"/>
  <c r="H15" i="165"/>
  <c r="H16" i="165"/>
  <c r="H17" i="165"/>
  <c r="H18" i="165"/>
  <c r="H19" i="165"/>
  <c r="H20" i="165"/>
  <c r="H21" i="165"/>
  <c r="H22" i="165"/>
  <c r="H23" i="165"/>
  <c r="H24" i="165"/>
  <c r="H25" i="165"/>
  <c r="H26" i="165"/>
  <c r="H27" i="165"/>
  <c r="H28" i="165"/>
  <c r="H29" i="165"/>
  <c r="H31" i="165"/>
  <c r="H32" i="165"/>
  <c r="H33" i="165"/>
  <c r="H34" i="165"/>
  <c r="H35" i="165"/>
  <c r="H36" i="165"/>
  <c r="D41" i="165"/>
  <c r="P11" i="164"/>
  <c r="V13" i="164"/>
  <c r="AI21" i="164"/>
  <c r="BB21" i="164"/>
  <c r="BC21" i="164"/>
  <c r="G22" i="164"/>
  <c r="AE22" i="164" s="1"/>
  <c r="K22" i="164"/>
  <c r="L22" i="164" s="1"/>
  <c r="BP22" i="164" s="1"/>
  <c r="Q22" i="164"/>
  <c r="U22" i="164"/>
  <c r="X22" i="164"/>
  <c r="AD22" i="164"/>
  <c r="AJ22" i="164"/>
  <c r="AX22" i="164"/>
  <c r="AO22" i="164" s="1"/>
  <c r="BB22" i="164"/>
  <c r="BC22" i="164"/>
  <c r="BI22" i="164"/>
  <c r="BJ22" i="164" s="1"/>
  <c r="CK22" i="164" s="1"/>
  <c r="CN22" i="164"/>
  <c r="AA23" i="164"/>
  <c r="BB23" i="164"/>
  <c r="BC23" i="164"/>
  <c r="BJ23" i="164"/>
  <c r="CC23" i="164"/>
  <c r="G24" i="164"/>
  <c r="AE24" i="164" s="1"/>
  <c r="K24" i="164"/>
  <c r="L24" i="164" s="1"/>
  <c r="BP24" i="164" s="1"/>
  <c r="Q24" i="164"/>
  <c r="U24" i="164"/>
  <c r="X24" i="164"/>
  <c r="AD24" i="164"/>
  <c r="AJ24" i="164"/>
  <c r="AX24" i="164"/>
  <c r="BB24" i="164"/>
  <c r="BH24" i="164" s="1"/>
  <c r="BC24" i="164"/>
  <c r="BI24" i="164" s="1"/>
  <c r="BJ24" i="164" s="1"/>
  <c r="CK24" i="164" s="1"/>
  <c r="CN24" i="164"/>
  <c r="AA25" i="164"/>
  <c r="BB25" i="164"/>
  <c r="BC25" i="164"/>
  <c r="BJ25" i="164"/>
  <c r="CC25" i="164"/>
  <c r="G26" i="164"/>
  <c r="H26" i="164" s="1"/>
  <c r="Y26" i="164" s="1"/>
  <c r="K26" i="164"/>
  <c r="L26" i="164" s="1"/>
  <c r="Z26" i="164" s="1"/>
  <c r="Q26" i="164"/>
  <c r="U26" i="164"/>
  <c r="X26" i="164"/>
  <c r="AD26" i="164"/>
  <c r="AE26" i="164"/>
  <c r="AJ26" i="164"/>
  <c r="AX26" i="164"/>
  <c r="CR26" i="164" s="1"/>
  <c r="CO26" i="164" s="1"/>
  <c r="BB26" i="164"/>
  <c r="BH26" i="164" s="1"/>
  <c r="BC26" i="164"/>
  <c r="CN26" i="164"/>
  <c r="AA27" i="164"/>
  <c r="BB27" i="164"/>
  <c r="BC27" i="164"/>
  <c r="BJ27" i="164"/>
  <c r="CC27" i="164"/>
  <c r="G28" i="164"/>
  <c r="H28" i="164" s="1"/>
  <c r="K28" i="164"/>
  <c r="L28" i="164" s="1"/>
  <c r="K29" i="164" s="1"/>
  <c r="L29" i="164" s="1"/>
  <c r="Q28" i="164"/>
  <c r="U28" i="164"/>
  <c r="X28" i="164"/>
  <c r="AD28" i="164"/>
  <c r="AE28" i="164"/>
  <c r="AJ28" i="164"/>
  <c r="AX28" i="164"/>
  <c r="BB28" i="164"/>
  <c r="BC28" i="164"/>
  <c r="BI28" i="164" s="1"/>
  <c r="CN28" i="164"/>
  <c r="Q29" i="164"/>
  <c r="U29" i="164"/>
  <c r="X29" i="164"/>
  <c r="AD29" i="164"/>
  <c r="AE29" i="164"/>
  <c r="AJ29" i="164"/>
  <c r="AX29" i="164"/>
  <c r="CR29" i="164" s="1"/>
  <c r="CO29" i="164" s="1"/>
  <c r="BB29" i="164"/>
  <c r="BH29" i="164" s="1"/>
  <c r="BC29" i="164"/>
  <c r="BI29" i="164" s="1"/>
  <c r="BJ29" i="164" s="1"/>
  <c r="CK29" i="164" s="1"/>
  <c r="CN29" i="164"/>
  <c r="Q30" i="164"/>
  <c r="U30" i="164"/>
  <c r="X30" i="164"/>
  <c r="AD30" i="164"/>
  <c r="AE30" i="164"/>
  <c r="AJ30" i="164"/>
  <c r="AX30" i="164"/>
  <c r="CR30" i="164" s="1"/>
  <c r="CO30" i="164" s="1"/>
  <c r="BB30" i="164"/>
  <c r="BH30" i="164" s="1"/>
  <c r="BC30" i="164"/>
  <c r="BI30" i="164"/>
  <c r="CN30" i="164"/>
  <c r="AA31" i="164"/>
  <c r="BB31" i="164"/>
  <c r="BC31" i="164"/>
  <c r="CC31" i="164"/>
  <c r="G32" i="164"/>
  <c r="H32" i="164" s="1"/>
  <c r="Y32" i="164" s="1"/>
  <c r="K32" i="164"/>
  <c r="L32" i="164" s="1"/>
  <c r="Q32" i="164"/>
  <c r="U32" i="164"/>
  <c r="X32" i="164"/>
  <c r="AD32" i="164"/>
  <c r="AE32" i="164"/>
  <c r="AJ32" i="164"/>
  <c r="AX32" i="164"/>
  <c r="AO32" i="164" s="1"/>
  <c r="BB32" i="164"/>
  <c r="BH32" i="164" s="1"/>
  <c r="BC32" i="164"/>
  <c r="BI32" i="164" s="1"/>
  <c r="CN32" i="164"/>
  <c r="Q33" i="164"/>
  <c r="U33" i="164"/>
  <c r="X33" i="164"/>
  <c r="AD33" i="164"/>
  <c r="AE33" i="164"/>
  <c r="AJ33" i="164"/>
  <c r="AX33" i="164"/>
  <c r="CR33" i="164" s="1"/>
  <c r="CO33" i="164" s="1"/>
  <c r="BB33" i="164"/>
  <c r="BC33" i="164"/>
  <c r="BI33" i="164" s="1"/>
  <c r="BJ33" i="164" s="1"/>
  <c r="CK33" i="164" s="1"/>
  <c r="CN33" i="164"/>
  <c r="AA34" i="164"/>
  <c r="BB34" i="164"/>
  <c r="BC34" i="164"/>
  <c r="CC34" i="164"/>
  <c r="G35" i="164"/>
  <c r="H35" i="164" s="1"/>
  <c r="K35" i="164"/>
  <c r="L35" i="164" s="1"/>
  <c r="Q35" i="164"/>
  <c r="U35" i="164"/>
  <c r="X35" i="164"/>
  <c r="AD35" i="164"/>
  <c r="AE35" i="164"/>
  <c r="AJ35" i="164"/>
  <c r="AX35" i="164"/>
  <c r="AO35" i="164" s="1"/>
  <c r="BB35" i="164"/>
  <c r="BC35" i="164"/>
  <c r="BI35" i="164" s="1"/>
  <c r="CN35" i="164"/>
  <c r="CR35" i="164"/>
  <c r="CO35" i="164" s="1"/>
  <c r="AA36" i="164"/>
  <c r="BB36" i="164"/>
  <c r="BC36" i="164"/>
  <c r="BJ36" i="164"/>
  <c r="CC36" i="164"/>
  <c r="G37" i="164"/>
  <c r="H37" i="164" s="1"/>
  <c r="K37" i="164"/>
  <c r="L37" i="164" s="1"/>
  <c r="Z37" i="164" s="1"/>
  <c r="Q37" i="164"/>
  <c r="U37" i="164"/>
  <c r="X37" i="164"/>
  <c r="AD37" i="164"/>
  <c r="AE37" i="164"/>
  <c r="AJ37" i="164"/>
  <c r="AX37" i="164"/>
  <c r="BB37" i="164"/>
  <c r="BH37" i="164" s="1"/>
  <c r="BC37" i="164"/>
  <c r="BI37" i="164" s="1"/>
  <c r="CN37" i="164"/>
  <c r="Q38" i="164"/>
  <c r="U38" i="164"/>
  <c r="X38" i="164"/>
  <c r="AD38" i="164"/>
  <c r="AE38" i="164"/>
  <c r="AJ38" i="164"/>
  <c r="AX38" i="164"/>
  <c r="BB38" i="164"/>
  <c r="BC38" i="164"/>
  <c r="BI38" i="164" s="1"/>
  <c r="CN38" i="164"/>
  <c r="Q39" i="164"/>
  <c r="U39" i="164"/>
  <c r="X39" i="164"/>
  <c r="AD39" i="164"/>
  <c r="AE39" i="164"/>
  <c r="AJ39" i="164"/>
  <c r="AX39" i="164"/>
  <c r="CR39" i="164" s="1"/>
  <c r="CO39" i="164" s="1"/>
  <c r="BB39" i="164"/>
  <c r="BC39" i="164"/>
  <c r="BH39" i="164"/>
  <c r="CN39" i="164"/>
  <c r="Q40" i="164"/>
  <c r="U40" i="164"/>
  <c r="X40" i="164"/>
  <c r="AD40" i="164"/>
  <c r="AE40" i="164"/>
  <c r="AJ40" i="164"/>
  <c r="AX40" i="164"/>
  <c r="BB40" i="164"/>
  <c r="BC40" i="164"/>
  <c r="BH40" i="164"/>
  <c r="CN40" i="164"/>
  <c r="Q41" i="164"/>
  <c r="U41" i="164"/>
  <c r="X41" i="164"/>
  <c r="AD41" i="164"/>
  <c r="AJ41" i="164"/>
  <c r="AX41" i="164"/>
  <c r="AO41" i="164" s="1"/>
  <c r="BB41" i="164"/>
  <c r="BH41" i="164" s="1"/>
  <c r="BC41" i="164"/>
  <c r="BI41" i="164" s="1"/>
  <c r="CN41" i="164"/>
  <c r="Q42" i="164"/>
  <c r="U42" i="164"/>
  <c r="X42" i="164"/>
  <c r="AD42" i="164"/>
  <c r="AE42" i="164"/>
  <c r="AJ42" i="164"/>
  <c r="AO42" i="164"/>
  <c r="AX42" i="164"/>
  <c r="CR42" i="164" s="1"/>
  <c r="CO42" i="164" s="1"/>
  <c r="BB42" i="164"/>
  <c r="BH42" i="164" s="1"/>
  <c r="BC42" i="164"/>
  <c r="BI42" i="164" s="1"/>
  <c r="CN42" i="164"/>
  <c r="AA43" i="164"/>
  <c r="BB43" i="164"/>
  <c r="BC43" i="164"/>
  <c r="CC43" i="164"/>
  <c r="G44" i="164"/>
  <c r="H44" i="164" s="1"/>
  <c r="K44" i="164"/>
  <c r="L44" i="164" s="1"/>
  <c r="Q44" i="164"/>
  <c r="U44" i="164"/>
  <c r="X44" i="164"/>
  <c r="AD44" i="164"/>
  <c r="AE44" i="164"/>
  <c r="AJ44" i="164"/>
  <c r="AX44" i="164"/>
  <c r="CR44" i="164" s="1"/>
  <c r="CO44" i="164" s="1"/>
  <c r="BB44" i="164"/>
  <c r="BC44" i="164"/>
  <c r="BI44" i="164" s="1"/>
  <c r="BJ44" i="164" s="1"/>
  <c r="CK44" i="164" s="1"/>
  <c r="BH44" i="164"/>
  <c r="CN44" i="164"/>
  <c r="AA45" i="164"/>
  <c r="BB45" i="164"/>
  <c r="BC45" i="164"/>
  <c r="CC45" i="164"/>
  <c r="G46" i="164"/>
  <c r="H46" i="164" s="1"/>
  <c r="K46" i="164"/>
  <c r="L46" i="164" s="1"/>
  <c r="Z46" i="164" s="1"/>
  <c r="Q46" i="164"/>
  <c r="U46" i="164"/>
  <c r="X46" i="164"/>
  <c r="AD46" i="164"/>
  <c r="AE46" i="164"/>
  <c r="AJ46" i="164"/>
  <c r="AX46" i="164"/>
  <c r="AO46" i="164" s="1"/>
  <c r="BB46" i="164"/>
  <c r="BH46" i="164" s="1"/>
  <c r="BL46" i="164" s="1"/>
  <c r="BC46" i="164"/>
  <c r="BI46" i="164" s="1"/>
  <c r="CN46" i="164"/>
  <c r="Q47" i="164"/>
  <c r="U47" i="164"/>
  <c r="X47" i="164"/>
  <c r="AD47" i="164"/>
  <c r="AE47" i="164"/>
  <c r="AJ47" i="164"/>
  <c r="AX47" i="164"/>
  <c r="CR47" i="164" s="1"/>
  <c r="CO47" i="164" s="1"/>
  <c r="BB47" i="164"/>
  <c r="BC47" i="164"/>
  <c r="BI47" i="164" s="1"/>
  <c r="CN47" i="164"/>
  <c r="Q48" i="164"/>
  <c r="U48" i="164"/>
  <c r="X48" i="164"/>
  <c r="AD48" i="164"/>
  <c r="AE48" i="164"/>
  <c r="AJ48" i="164"/>
  <c r="AX48" i="164"/>
  <c r="CR48" i="164" s="1"/>
  <c r="CO48" i="164" s="1"/>
  <c r="BB48" i="164"/>
  <c r="BC48" i="164"/>
  <c r="BI48" i="164" s="1"/>
  <c r="CN48" i="164"/>
  <c r="Q49" i="164"/>
  <c r="U49" i="164"/>
  <c r="X49" i="164"/>
  <c r="AD49" i="164"/>
  <c r="AE49" i="164"/>
  <c r="AJ49" i="164"/>
  <c r="AX49" i="164"/>
  <c r="CR49" i="164" s="1"/>
  <c r="CO49" i="164" s="1"/>
  <c r="BB49" i="164"/>
  <c r="BH49" i="164" s="1"/>
  <c r="BC49" i="164"/>
  <c r="CN49" i="164"/>
  <c r="Q50" i="164"/>
  <c r="U50" i="164"/>
  <c r="X50" i="164"/>
  <c r="AD50" i="164"/>
  <c r="AE50" i="164"/>
  <c r="AJ50" i="164"/>
  <c r="AX50" i="164"/>
  <c r="CR50" i="164" s="1"/>
  <c r="CO50" i="164" s="1"/>
  <c r="BB50" i="164"/>
  <c r="BH50" i="164" s="1"/>
  <c r="BC50" i="164"/>
  <c r="CN50" i="164"/>
  <c r="Q51" i="164"/>
  <c r="U51" i="164"/>
  <c r="X51" i="164"/>
  <c r="AD51" i="164"/>
  <c r="AE51" i="164"/>
  <c r="AJ51" i="164"/>
  <c r="AX51" i="164"/>
  <c r="BB51" i="164"/>
  <c r="BC51" i="164"/>
  <c r="BI51" i="164" s="1"/>
  <c r="CN51" i="164"/>
  <c r="Q52" i="164"/>
  <c r="U52" i="164"/>
  <c r="X52" i="164"/>
  <c r="AD52" i="164"/>
  <c r="AE52" i="164"/>
  <c r="AJ52" i="164"/>
  <c r="AX52" i="164"/>
  <c r="BB52" i="164"/>
  <c r="BH52" i="164" s="1"/>
  <c r="BC52" i="164"/>
  <c r="CN52" i="164"/>
  <c r="Q53" i="164"/>
  <c r="U53" i="164"/>
  <c r="X53" i="164"/>
  <c r="AD53" i="164"/>
  <c r="AE53" i="164"/>
  <c r="AJ53" i="164"/>
  <c r="AX53" i="164"/>
  <c r="CR53" i="164" s="1"/>
  <c r="CO53" i="164" s="1"/>
  <c r="BB53" i="164"/>
  <c r="BC53" i="164"/>
  <c r="BI53" i="164" s="1"/>
  <c r="CN53" i="164"/>
  <c r="Q54" i="164"/>
  <c r="U54" i="164"/>
  <c r="X54" i="164"/>
  <c r="AD54" i="164"/>
  <c r="AE54" i="164"/>
  <c r="AJ54" i="164"/>
  <c r="AX54" i="164"/>
  <c r="AO54" i="164" s="1"/>
  <c r="BB54" i="164"/>
  <c r="BH54" i="164" s="1"/>
  <c r="BC54" i="164"/>
  <c r="BI54" i="164" s="1"/>
  <c r="CN54" i="164"/>
  <c r="Q55" i="164"/>
  <c r="U55" i="164"/>
  <c r="X55" i="164"/>
  <c r="AD55" i="164"/>
  <c r="AJ55" i="164"/>
  <c r="AX55" i="164"/>
  <c r="AO55" i="164" s="1"/>
  <c r="BB55" i="164"/>
  <c r="BH55" i="164" s="1"/>
  <c r="BC55" i="164"/>
  <c r="BI55" i="164" s="1"/>
  <c r="CN55" i="164"/>
  <c r="Q56" i="164"/>
  <c r="U56" i="164"/>
  <c r="X56" i="164"/>
  <c r="AD56" i="164"/>
  <c r="AE56" i="164"/>
  <c r="AJ56" i="164"/>
  <c r="AX56" i="164"/>
  <c r="AO56" i="164" s="1"/>
  <c r="BB56" i="164"/>
  <c r="BH56" i="164" s="1"/>
  <c r="BC56" i="164"/>
  <c r="BI56" i="164"/>
  <c r="BJ56" i="164" s="1"/>
  <c r="CK56" i="164" s="1"/>
  <c r="CN56" i="164"/>
  <c r="CR56" i="164"/>
  <c r="CO56" i="164" s="1"/>
  <c r="AA57" i="164"/>
  <c r="BB57" i="164"/>
  <c r="BC57" i="164"/>
  <c r="CC57" i="164"/>
  <c r="G58" i="164"/>
  <c r="H58" i="164" s="1"/>
  <c r="K58" i="164"/>
  <c r="L58" i="164" s="1"/>
  <c r="BP58" i="164" s="1"/>
  <c r="CF58" i="164" s="1"/>
  <c r="CJ58" i="164" s="1"/>
  <c r="Q58" i="164"/>
  <c r="U58" i="164"/>
  <c r="X58" i="164"/>
  <c r="AD58" i="164"/>
  <c r="AE58" i="164"/>
  <c r="AJ58" i="164"/>
  <c r="AX58" i="164"/>
  <c r="AO58" i="164" s="1"/>
  <c r="BB58" i="164"/>
  <c r="BH58" i="164" s="1"/>
  <c r="BC58" i="164"/>
  <c r="BI58" i="164" s="1"/>
  <c r="BJ58" i="164" s="1"/>
  <c r="CK58" i="164" s="1"/>
  <c r="CN58" i="164"/>
  <c r="AA59" i="164"/>
  <c r="BB59" i="164"/>
  <c r="BC59" i="164"/>
  <c r="CC59" i="164"/>
  <c r="G60" i="164"/>
  <c r="H60" i="164" s="1"/>
  <c r="Y60" i="164" s="1"/>
  <c r="K60" i="164"/>
  <c r="L60" i="164" s="1"/>
  <c r="Q60" i="164"/>
  <c r="U60" i="164"/>
  <c r="X60" i="164"/>
  <c r="AD60" i="164"/>
  <c r="AE60" i="164"/>
  <c r="AJ60" i="164"/>
  <c r="AX60" i="164"/>
  <c r="BB60" i="164"/>
  <c r="BC60" i="164"/>
  <c r="BI60" i="164" s="1"/>
  <c r="BJ60" i="164" s="1"/>
  <c r="CK60" i="164" s="1"/>
  <c r="CN60" i="164"/>
  <c r="AA61" i="164"/>
  <c r="BB61" i="164"/>
  <c r="G62" i="164"/>
  <c r="H62" i="164" s="1"/>
  <c r="K62" i="164"/>
  <c r="L62" i="164" s="1"/>
  <c r="Q62" i="164"/>
  <c r="U62" i="164"/>
  <c r="X62" i="164"/>
  <c r="AD62" i="164"/>
  <c r="AE62" i="164"/>
  <c r="AJ62" i="164"/>
  <c r="AX62" i="164"/>
  <c r="BB62" i="164"/>
  <c r="BH62" i="164" s="1"/>
  <c r="BC62" i="164"/>
  <c r="BI62" i="164" s="1"/>
  <c r="CN62" i="164"/>
  <c r="Q63" i="164"/>
  <c r="U63" i="164"/>
  <c r="X63" i="164"/>
  <c r="AD63" i="164"/>
  <c r="AE63" i="164"/>
  <c r="AJ63" i="164"/>
  <c r="AX63" i="164"/>
  <c r="CR63" i="164" s="1"/>
  <c r="BB63" i="164"/>
  <c r="BH63" i="164" s="1"/>
  <c r="BC63" i="164"/>
  <c r="BI63" i="164" s="1"/>
  <c r="CN63" i="164"/>
  <c r="Q64" i="164"/>
  <c r="U64" i="164"/>
  <c r="X64" i="164"/>
  <c r="AD64" i="164"/>
  <c r="AE64" i="164"/>
  <c r="AJ64" i="164"/>
  <c r="AX64" i="164"/>
  <c r="AO64" i="164" s="1"/>
  <c r="BB64" i="164"/>
  <c r="BH64" i="164" s="1"/>
  <c r="BC64" i="164"/>
  <c r="BI64" i="164" s="1"/>
  <c r="CN64" i="164"/>
  <c r="AA65" i="164"/>
  <c r="BB65" i="164"/>
  <c r="G66" i="164"/>
  <c r="H66" i="164" s="1"/>
  <c r="K66" i="164"/>
  <c r="L66" i="164" s="1"/>
  <c r="Q66" i="164"/>
  <c r="U66" i="164"/>
  <c r="X66" i="164"/>
  <c r="AD66" i="164"/>
  <c r="AE66" i="164"/>
  <c r="AJ66" i="164"/>
  <c r="AX66" i="164"/>
  <c r="CR66" i="164" s="1"/>
  <c r="CO66" i="164" s="1"/>
  <c r="BB66" i="164"/>
  <c r="BC66" i="164"/>
  <c r="BI66" i="164" s="1"/>
  <c r="BJ66" i="164" s="1"/>
  <c r="CK66" i="164" s="1"/>
  <c r="CN66" i="164"/>
  <c r="AA67" i="164"/>
  <c r="AM67" i="164"/>
  <c r="BB67" i="164"/>
  <c r="BC67" i="164"/>
  <c r="CC67" i="164"/>
  <c r="G68" i="164"/>
  <c r="H68" i="164" s="1"/>
  <c r="G69" i="164" s="1"/>
  <c r="H69" i="164" s="1"/>
  <c r="Y69" i="164" s="1"/>
  <c r="K68" i="164"/>
  <c r="L68" i="164" s="1"/>
  <c r="Q68" i="164"/>
  <c r="U68" i="164"/>
  <c r="X68" i="164"/>
  <c r="AD68" i="164"/>
  <c r="AE68" i="164"/>
  <c r="AJ68" i="164"/>
  <c r="AX68" i="164"/>
  <c r="AO68" i="164" s="1"/>
  <c r="BB68" i="164"/>
  <c r="BH68" i="164" s="1"/>
  <c r="BC68" i="164"/>
  <c r="BI68" i="164" s="1"/>
  <c r="CN68" i="164"/>
  <c r="Q69" i="164"/>
  <c r="U69" i="164"/>
  <c r="X69" i="164"/>
  <c r="AD69" i="164"/>
  <c r="AE69" i="164"/>
  <c r="AJ69" i="164"/>
  <c r="AX69" i="164"/>
  <c r="CR69" i="164" s="1"/>
  <c r="CO69" i="164" s="1"/>
  <c r="BB69" i="164"/>
  <c r="BC69" i="164"/>
  <c r="BI69" i="164" s="1"/>
  <c r="BJ69" i="164" s="1"/>
  <c r="CK69" i="164" s="1"/>
  <c r="CN69" i="164"/>
  <c r="AA70" i="164"/>
  <c r="AM70" i="164"/>
  <c r="BB70" i="164"/>
  <c r="BC70" i="164"/>
  <c r="CC70" i="164"/>
  <c r="G71" i="164"/>
  <c r="H71" i="164" s="1"/>
  <c r="G72" i="164" s="1"/>
  <c r="H72" i="164" s="1"/>
  <c r="Y72" i="164" s="1"/>
  <c r="K71" i="164"/>
  <c r="L71" i="164" s="1"/>
  <c r="Q71" i="164"/>
  <c r="U71" i="164"/>
  <c r="X71" i="164"/>
  <c r="AD71" i="164"/>
  <c r="AE71" i="164"/>
  <c r="AJ71" i="164"/>
  <c r="AX71" i="164"/>
  <c r="AO71" i="164" s="1"/>
  <c r="BB71" i="164"/>
  <c r="BC71" i="164"/>
  <c r="BI71" i="164" s="1"/>
  <c r="CN71" i="164"/>
  <c r="Q72" i="164"/>
  <c r="U72" i="164"/>
  <c r="X72" i="164"/>
  <c r="AD72" i="164"/>
  <c r="AE72" i="164"/>
  <c r="AJ72" i="164"/>
  <c r="AX72" i="164"/>
  <c r="BB72" i="164"/>
  <c r="BC72" i="164"/>
  <c r="BI72" i="164" s="1"/>
  <c r="BJ72" i="164" s="1"/>
  <c r="CK72" i="164"/>
  <c r="CN72" i="164"/>
  <c r="AA73" i="164"/>
  <c r="AM73" i="164"/>
  <c r="BB73" i="164"/>
  <c r="BJ73" i="164"/>
  <c r="CC73" i="164"/>
  <c r="G74" i="164"/>
  <c r="H74" i="164" s="1"/>
  <c r="I74" i="164"/>
  <c r="K74" i="164"/>
  <c r="Q74" i="164"/>
  <c r="U74" i="164"/>
  <c r="X74" i="164"/>
  <c r="AD74" i="164"/>
  <c r="AE74" i="164"/>
  <c r="AJ74" i="164"/>
  <c r="AX74" i="164"/>
  <c r="BB74" i="164"/>
  <c r="BH74" i="164" s="1"/>
  <c r="BC74" i="164"/>
  <c r="BI74" i="164" s="1"/>
  <c r="CN74" i="164"/>
  <c r="Q75" i="164"/>
  <c r="U75" i="164"/>
  <c r="X75" i="164"/>
  <c r="AD75" i="164"/>
  <c r="AE75" i="164"/>
  <c r="AJ75" i="164"/>
  <c r="AX75" i="164"/>
  <c r="CR75" i="164" s="1"/>
  <c r="CO75" i="164" s="1"/>
  <c r="BB75" i="164"/>
  <c r="BH75" i="164" s="1"/>
  <c r="BC75" i="164"/>
  <c r="BI75" i="164" s="1"/>
  <c r="BJ75" i="164" s="1"/>
  <c r="CK75" i="164" s="1"/>
  <c r="CN75" i="164"/>
  <c r="AA76" i="164"/>
  <c r="AM76" i="164"/>
  <c r="BB76" i="164"/>
  <c r="BC76" i="164"/>
  <c r="BJ76" i="164"/>
  <c r="CC76" i="164"/>
  <c r="G77" i="164"/>
  <c r="H77" i="164" s="1"/>
  <c r="Y77" i="164" s="1"/>
  <c r="I77" i="164"/>
  <c r="K77" i="164"/>
  <c r="Q77" i="164"/>
  <c r="U77" i="164"/>
  <c r="X77" i="164"/>
  <c r="AD77" i="164"/>
  <c r="AE77" i="164"/>
  <c r="AJ77" i="164"/>
  <c r="AX77" i="164"/>
  <c r="AO77" i="164" s="1"/>
  <c r="BB77" i="164"/>
  <c r="BH77" i="164" s="1"/>
  <c r="BC77" i="164"/>
  <c r="CN77" i="164"/>
  <c r="CR77" i="164"/>
  <c r="CO77" i="164" s="1"/>
  <c r="Q78" i="164"/>
  <c r="U78" i="164"/>
  <c r="X78" i="164"/>
  <c r="AD78" i="164"/>
  <c r="AE78" i="164"/>
  <c r="AJ78" i="164"/>
  <c r="AX78" i="164"/>
  <c r="CR78" i="164" s="1"/>
  <c r="CO78" i="164" s="1"/>
  <c r="BB78" i="164"/>
  <c r="BC78" i="164"/>
  <c r="BI78" i="164" s="1"/>
  <c r="BH78" i="164"/>
  <c r="CN78" i="164"/>
  <c r="Q79" i="164"/>
  <c r="U79" i="164"/>
  <c r="X79" i="164"/>
  <c r="AD79" i="164"/>
  <c r="AE79" i="164"/>
  <c r="AJ79" i="164"/>
  <c r="AX79" i="164"/>
  <c r="BB79" i="164"/>
  <c r="BH79" i="164" s="1"/>
  <c r="BC79" i="164"/>
  <c r="BI79" i="164" s="1"/>
  <c r="CN79" i="164"/>
  <c r="Q80" i="164"/>
  <c r="U80" i="164"/>
  <c r="X80" i="164"/>
  <c r="AD80" i="164"/>
  <c r="AE80" i="164"/>
  <c r="AJ80" i="164"/>
  <c r="AX80" i="164"/>
  <c r="BB80" i="164"/>
  <c r="BC80" i="164"/>
  <c r="BI80" i="164" s="1"/>
  <c r="CN80" i="164"/>
  <c r="Q81" i="164"/>
  <c r="U81" i="164"/>
  <c r="X81" i="164"/>
  <c r="AD81" i="164"/>
  <c r="AE81" i="164"/>
  <c r="AJ81" i="164"/>
  <c r="AO81" i="164"/>
  <c r="AX81" i="164"/>
  <c r="CR81" i="164" s="1"/>
  <c r="CO81" i="164" s="1"/>
  <c r="BB81" i="164"/>
  <c r="BC81" i="164"/>
  <c r="BI81" i="164" s="1"/>
  <c r="BJ81" i="164" s="1"/>
  <c r="CK81" i="164" s="1"/>
  <c r="BH81" i="164"/>
  <c r="CN81" i="164"/>
  <c r="Q82" i="164"/>
  <c r="U82" i="164"/>
  <c r="X82" i="164"/>
  <c r="AD82" i="164"/>
  <c r="AE82" i="164"/>
  <c r="AJ82" i="164"/>
  <c r="AX82" i="164"/>
  <c r="CR82" i="164" s="1"/>
  <c r="CO82" i="164" s="1"/>
  <c r="BB82" i="164"/>
  <c r="BH82" i="164" s="1"/>
  <c r="BC82" i="164"/>
  <c r="BI82" i="164" s="1"/>
  <c r="CN82" i="164"/>
  <c r="Q83" i="164"/>
  <c r="U83" i="164"/>
  <c r="X83" i="164"/>
  <c r="AD83" i="164"/>
  <c r="AE83" i="164"/>
  <c r="AJ83" i="164"/>
  <c r="AX83" i="164"/>
  <c r="AO83" i="164" s="1"/>
  <c r="BB83" i="164"/>
  <c r="BC83" i="164"/>
  <c r="BI83" i="164" s="1"/>
  <c r="BJ83" i="164" s="1"/>
  <c r="CK83" i="164" s="1"/>
  <c r="CN83" i="164"/>
  <c r="AA84" i="164"/>
  <c r="AM84" i="164"/>
  <c r="BB84" i="164"/>
  <c r="BC84" i="164"/>
  <c r="BJ84" i="164"/>
  <c r="CC84" i="164"/>
  <c r="G85" i="164"/>
  <c r="H85" i="164" s="1"/>
  <c r="Y85" i="164" s="1"/>
  <c r="I85" i="164"/>
  <c r="K85" i="164"/>
  <c r="Q85" i="164"/>
  <c r="U85" i="164"/>
  <c r="X85" i="164"/>
  <c r="AD85" i="164"/>
  <c r="AE85" i="164"/>
  <c r="AJ85" i="164"/>
  <c r="AX85" i="164"/>
  <c r="AO85" i="164" s="1"/>
  <c r="BB85" i="164"/>
  <c r="BC85" i="164"/>
  <c r="BI85" i="164" s="1"/>
  <c r="BJ85" i="164" s="1"/>
  <c r="CK85" i="164" s="1"/>
  <c r="CN85" i="164"/>
  <c r="AA86" i="164"/>
  <c r="AM86" i="164"/>
  <c r="BB86" i="164"/>
  <c r="BC86" i="164"/>
  <c r="BJ86" i="164"/>
  <c r="CC86" i="164"/>
  <c r="G87" i="164"/>
  <c r="H87" i="164" s="1"/>
  <c r="I87" i="164"/>
  <c r="K87" i="164"/>
  <c r="Q87" i="164"/>
  <c r="U87" i="164"/>
  <c r="X87" i="164"/>
  <c r="AD87" i="164"/>
  <c r="AE87" i="164"/>
  <c r="AJ87" i="164"/>
  <c r="AX87" i="164"/>
  <c r="BB87" i="164"/>
  <c r="BC87" i="164"/>
  <c r="BI87" i="164" s="1"/>
  <c r="BJ87" i="164" s="1"/>
  <c r="CK87" i="164" s="1"/>
  <c r="CN87" i="164"/>
  <c r="AA88" i="164"/>
  <c r="AM88" i="164"/>
  <c r="BB88" i="164"/>
  <c r="BC88" i="164"/>
  <c r="BJ88" i="164"/>
  <c r="CC88" i="164"/>
  <c r="G89" i="164"/>
  <c r="H89" i="164" s="1"/>
  <c r="I89" i="164"/>
  <c r="K89" i="164"/>
  <c r="Q89" i="164"/>
  <c r="U89" i="164"/>
  <c r="X89" i="164"/>
  <c r="AD89" i="164"/>
  <c r="AE89" i="164"/>
  <c r="AJ89" i="164"/>
  <c r="AX89" i="164"/>
  <c r="CR89" i="164" s="1"/>
  <c r="CO89" i="164" s="1"/>
  <c r="BB89" i="164"/>
  <c r="BC89" i="164"/>
  <c r="BI89" i="164" s="1"/>
  <c r="BJ89" i="164" s="1"/>
  <c r="CK89" i="164" s="1"/>
  <c r="CN89" i="164"/>
  <c r="AA90" i="164"/>
  <c r="AM90" i="164"/>
  <c r="BB90" i="164"/>
  <c r="BC90" i="164"/>
  <c r="BJ90" i="164"/>
  <c r="CC90" i="164"/>
  <c r="G91" i="164"/>
  <c r="H91" i="164" s="1"/>
  <c r="I91" i="164"/>
  <c r="K91" i="164"/>
  <c r="Q91" i="164"/>
  <c r="U91" i="164"/>
  <c r="X91" i="164"/>
  <c r="AD91" i="164"/>
  <c r="AE91" i="164"/>
  <c r="AJ91" i="164"/>
  <c r="AX91" i="164"/>
  <c r="BB91" i="164"/>
  <c r="BC91" i="164"/>
  <c r="BI91" i="164" s="1"/>
  <c r="BJ91" i="164" s="1"/>
  <c r="CK91" i="164" s="1"/>
  <c r="CN91" i="164"/>
  <c r="AA92" i="164"/>
  <c r="AM92" i="164"/>
  <c r="BB92" i="164"/>
  <c r="BC92" i="164"/>
  <c r="BJ92" i="164"/>
  <c r="CC92" i="164"/>
  <c r="G93" i="164"/>
  <c r="H93" i="164" s="1"/>
  <c r="K93" i="164"/>
  <c r="L93" i="164" s="1"/>
  <c r="Q93" i="164"/>
  <c r="U93" i="164"/>
  <c r="X93" i="164"/>
  <c r="AD93" i="164"/>
  <c r="AE93" i="164"/>
  <c r="AJ93" i="164"/>
  <c r="AX93" i="164"/>
  <c r="AO93" i="164" s="1"/>
  <c r="BB93" i="164"/>
  <c r="BH93" i="164" s="1"/>
  <c r="BC93" i="164"/>
  <c r="BI93" i="164" s="1"/>
  <c r="BJ93" i="164" s="1"/>
  <c r="CK93" i="164" s="1"/>
  <c r="CN93" i="164"/>
  <c r="AA94" i="164"/>
  <c r="AM94" i="164"/>
  <c r="BB94" i="164"/>
  <c r="BC94" i="164"/>
  <c r="BJ94" i="164"/>
  <c r="CC94" i="164"/>
  <c r="G95" i="164"/>
  <c r="H95" i="164" s="1"/>
  <c r="Y95" i="164" s="1"/>
  <c r="K95" i="164"/>
  <c r="L95" i="164" s="1"/>
  <c r="Q95" i="164"/>
  <c r="U95" i="164"/>
  <c r="X95" i="164"/>
  <c r="AD95" i="164"/>
  <c r="AE95" i="164"/>
  <c r="AJ95" i="164"/>
  <c r="AX95" i="164"/>
  <c r="BB95" i="164"/>
  <c r="BH95" i="164" s="1"/>
  <c r="BC95" i="164"/>
  <c r="BI95" i="164" s="1"/>
  <c r="BJ95" i="164" s="1"/>
  <c r="CK95" i="164" s="1"/>
  <c r="CN95" i="164"/>
  <c r="AA96" i="164"/>
  <c r="AM96" i="164"/>
  <c r="BB96" i="164"/>
  <c r="BC96" i="164"/>
  <c r="BJ96" i="164"/>
  <c r="CC96" i="164"/>
  <c r="G97" i="164"/>
  <c r="H97" i="164" s="1"/>
  <c r="K97" i="164"/>
  <c r="L97" i="164" s="1"/>
  <c r="Q97" i="164"/>
  <c r="U97" i="164"/>
  <c r="X97" i="164"/>
  <c r="AD97" i="164"/>
  <c r="AE97" i="164"/>
  <c r="AJ97" i="164"/>
  <c r="AX97" i="164"/>
  <c r="CR97" i="164" s="1"/>
  <c r="CO97" i="164" s="1"/>
  <c r="BB97" i="164"/>
  <c r="BC97" i="164"/>
  <c r="BI97" i="164" s="1"/>
  <c r="BJ97" i="164" s="1"/>
  <c r="CK97" i="164" s="1"/>
  <c r="CN97" i="164"/>
  <c r="AA98" i="164"/>
  <c r="AM98" i="164"/>
  <c r="BB98" i="164"/>
  <c r="BC98" i="164"/>
  <c r="BJ98" i="164"/>
  <c r="CC98" i="164"/>
  <c r="G99" i="164"/>
  <c r="H99" i="164"/>
  <c r="K99" i="164"/>
  <c r="L99" i="164" s="1"/>
  <c r="K100" i="164" s="1"/>
  <c r="L100" i="164" s="1"/>
  <c r="Q99" i="164"/>
  <c r="U99" i="164"/>
  <c r="X99" i="164"/>
  <c r="AD99" i="164"/>
  <c r="AE99" i="164"/>
  <c r="AJ99" i="164"/>
  <c r="AX99" i="164"/>
  <c r="AO99" i="164" s="1"/>
  <c r="BB99" i="164"/>
  <c r="BC99" i="164"/>
  <c r="BI99" i="164" s="1"/>
  <c r="CN99" i="164"/>
  <c r="Q100" i="164"/>
  <c r="U100" i="164"/>
  <c r="X100" i="164"/>
  <c r="AD100" i="164"/>
  <c r="AE100" i="164"/>
  <c r="AJ100" i="164"/>
  <c r="AO100" i="164"/>
  <c r="AX100" i="164"/>
  <c r="CR100" i="164" s="1"/>
  <c r="CO100" i="164" s="1"/>
  <c r="BB100" i="164"/>
  <c r="BH100" i="164" s="1"/>
  <c r="BC100" i="164"/>
  <c r="BI100" i="164" s="1"/>
  <c r="BJ100" i="164" s="1"/>
  <c r="CK100" i="164" s="1"/>
  <c r="CN100" i="164"/>
  <c r="AA101" i="164"/>
  <c r="AM101" i="164"/>
  <c r="BB101" i="164"/>
  <c r="BC101" i="164"/>
  <c r="CC101" i="164"/>
  <c r="G102" i="164"/>
  <c r="H102" i="164" s="1"/>
  <c r="K102" i="164"/>
  <c r="L102" i="164" s="1"/>
  <c r="Q102" i="164"/>
  <c r="U102" i="164"/>
  <c r="X102" i="164"/>
  <c r="AD102" i="164"/>
  <c r="AE102" i="164"/>
  <c r="AJ102" i="164"/>
  <c r="AX102" i="164"/>
  <c r="AO102" i="164" s="1"/>
  <c r="BB102" i="164"/>
  <c r="BC102" i="164"/>
  <c r="BI102" i="164" s="1"/>
  <c r="CN102" i="164"/>
  <c r="Q103" i="164"/>
  <c r="U103" i="164"/>
  <c r="X103" i="164"/>
  <c r="AD103" i="164"/>
  <c r="AE103" i="164"/>
  <c r="AJ103" i="164"/>
  <c r="AX103" i="164"/>
  <c r="CR103" i="164" s="1"/>
  <c r="CO103" i="164" s="1"/>
  <c r="BB103" i="164"/>
  <c r="BH103" i="164" s="1"/>
  <c r="BC103" i="164"/>
  <c r="BI103" i="164" s="1"/>
  <c r="BJ103" i="164" s="1"/>
  <c r="CK103" i="164" s="1"/>
  <c r="CN103" i="164"/>
  <c r="Q104" i="164"/>
  <c r="AA104" i="164"/>
  <c r="AM104" i="164"/>
  <c r="BB104" i="164"/>
  <c r="BC104" i="164"/>
  <c r="CC104" i="164"/>
  <c r="G105" i="164"/>
  <c r="AE105" i="164" s="1"/>
  <c r="I105" i="164"/>
  <c r="K105" i="164"/>
  <c r="Q105" i="164"/>
  <c r="U105" i="164"/>
  <c r="X105" i="164"/>
  <c r="AD105" i="164"/>
  <c r="AJ105" i="164"/>
  <c r="AX105" i="164"/>
  <c r="CR105" i="164" s="1"/>
  <c r="CO105" i="164" s="1"/>
  <c r="BB105" i="164"/>
  <c r="BH105" i="164" s="1"/>
  <c r="BC105" i="164"/>
  <c r="CN105" i="164"/>
  <c r="I106" i="164"/>
  <c r="Q106" i="164"/>
  <c r="U106" i="164"/>
  <c r="X106" i="164"/>
  <c r="AD106" i="164"/>
  <c r="AE106" i="164"/>
  <c r="AJ106" i="164"/>
  <c r="AX106" i="164"/>
  <c r="CR106" i="164" s="1"/>
  <c r="CO106" i="164" s="1"/>
  <c r="BB106" i="164"/>
  <c r="BC106" i="164"/>
  <c r="BI106" i="164" s="1"/>
  <c r="BH106" i="164"/>
  <c r="CN106" i="164"/>
  <c r="I107" i="164"/>
  <c r="Q107" i="164"/>
  <c r="U107" i="164"/>
  <c r="X107" i="164"/>
  <c r="AD107" i="164"/>
  <c r="AE107" i="164"/>
  <c r="AJ107" i="164"/>
  <c r="AX107" i="164"/>
  <c r="BB107" i="164"/>
  <c r="BH107" i="164" s="1"/>
  <c r="BC107" i="164"/>
  <c r="BI107" i="164" s="1"/>
  <c r="CN107" i="164"/>
  <c r="E108" i="164"/>
  <c r="I108" i="164" s="1"/>
  <c r="Q108" i="164"/>
  <c r="U108" i="164"/>
  <c r="X108" i="164"/>
  <c r="AD108" i="164"/>
  <c r="AE108" i="164"/>
  <c r="AJ108" i="164"/>
  <c r="AX108" i="164"/>
  <c r="AO108" i="164" s="1"/>
  <c r="BB108" i="164"/>
  <c r="BH108" i="164" s="1"/>
  <c r="BL108" i="164" s="1"/>
  <c r="BC108" i="164"/>
  <c r="BI108" i="164"/>
  <c r="CN108" i="164"/>
  <c r="Q109" i="164"/>
  <c r="U109" i="164"/>
  <c r="X109" i="164"/>
  <c r="AD109" i="164"/>
  <c r="AE109" i="164"/>
  <c r="AJ109" i="164"/>
  <c r="AX109" i="164"/>
  <c r="AO109" i="164" s="1"/>
  <c r="BB109" i="164"/>
  <c r="BC109" i="164"/>
  <c r="BI109" i="164" s="1"/>
  <c r="CN109" i="164"/>
  <c r="E110" i="164"/>
  <c r="Q110" i="164"/>
  <c r="U110" i="164"/>
  <c r="X110" i="164"/>
  <c r="AE110" i="164"/>
  <c r="AJ110" i="164"/>
  <c r="AX110" i="164"/>
  <c r="BB110" i="164"/>
  <c r="BC110" i="164"/>
  <c r="BI110" i="164" s="1"/>
  <c r="CN110" i="164"/>
  <c r="I111" i="164"/>
  <c r="Q111" i="164"/>
  <c r="U111" i="164"/>
  <c r="X111" i="164"/>
  <c r="AD111" i="164"/>
  <c r="AE111" i="164"/>
  <c r="AJ111" i="164"/>
  <c r="AX111" i="164"/>
  <c r="CR111" i="164" s="1"/>
  <c r="CO111" i="164" s="1"/>
  <c r="BB111" i="164"/>
  <c r="BH111" i="164" s="1"/>
  <c r="BC111" i="164"/>
  <c r="CN111" i="164"/>
  <c r="I112" i="164"/>
  <c r="Q112" i="164"/>
  <c r="U112" i="164"/>
  <c r="X112" i="164"/>
  <c r="AD112" i="164"/>
  <c r="AE112" i="164"/>
  <c r="AJ112" i="164"/>
  <c r="AX112" i="164"/>
  <c r="CR112" i="164" s="1"/>
  <c r="CO112" i="164" s="1"/>
  <c r="BB112" i="164"/>
  <c r="BC112" i="164"/>
  <c r="BI112" i="164" s="1"/>
  <c r="BP112" i="164"/>
  <c r="BZ112" i="164" s="1"/>
  <c r="CF112" i="164"/>
  <c r="CJ112" i="164" s="1"/>
  <c r="CN112" i="164"/>
  <c r="K113" i="164"/>
  <c r="L113" i="164" s="1"/>
  <c r="BP113" i="164" s="1"/>
  <c r="CF113" i="164" s="1"/>
  <c r="CJ113" i="164" s="1"/>
  <c r="Q113" i="164"/>
  <c r="U113" i="164"/>
  <c r="X113" i="164"/>
  <c r="AD113" i="164"/>
  <c r="AE113" i="164"/>
  <c r="AJ113" i="164"/>
  <c r="AX113" i="164"/>
  <c r="AO113" i="164" s="1"/>
  <c r="BB113" i="164"/>
  <c r="BH113" i="164" s="1"/>
  <c r="BC113" i="164"/>
  <c r="BI113" i="164" s="1"/>
  <c r="BJ113" i="164" s="1"/>
  <c r="CK113" i="164" s="1"/>
  <c r="CN113" i="164"/>
  <c r="AA114" i="164"/>
  <c r="AM114" i="164"/>
  <c r="BB114" i="164"/>
  <c r="BC114" i="164"/>
  <c r="CC114" i="164"/>
  <c r="Q115" i="164"/>
  <c r="U115" i="164"/>
  <c r="X115" i="164"/>
  <c r="AD115" i="164"/>
  <c r="AE115" i="164"/>
  <c r="AJ115" i="164"/>
  <c r="AN115" i="164"/>
  <c r="AX115" i="164"/>
  <c r="BB115" i="164"/>
  <c r="BC115" i="164"/>
  <c r="BI115" i="164" s="1"/>
  <c r="BJ115" i="164" s="1"/>
  <c r="CK115" i="164" s="1"/>
  <c r="CN115" i="164"/>
  <c r="AA116" i="164"/>
  <c r="AM116" i="164"/>
  <c r="BB116" i="164"/>
  <c r="BC116" i="164"/>
  <c r="CC116" i="164"/>
  <c r="E117" i="164"/>
  <c r="G117" i="164"/>
  <c r="K117" i="164"/>
  <c r="Q117" i="164"/>
  <c r="U117" i="164"/>
  <c r="X117" i="164"/>
  <c r="AE117" i="164"/>
  <c r="AJ117" i="164"/>
  <c r="AO117" i="164"/>
  <c r="AX117" i="164"/>
  <c r="CR117" i="164" s="1"/>
  <c r="CO117" i="164" s="1"/>
  <c r="BB117" i="164"/>
  <c r="BH117" i="164" s="1"/>
  <c r="BC117" i="164"/>
  <c r="BI117" i="164" s="1"/>
  <c r="CN117" i="164"/>
  <c r="E118" i="164"/>
  <c r="Q118" i="164"/>
  <c r="U118" i="164"/>
  <c r="X118" i="164"/>
  <c r="AE118" i="164"/>
  <c r="AJ118" i="164"/>
  <c r="AX118" i="164"/>
  <c r="CR118" i="164" s="1"/>
  <c r="CO118" i="164" s="1"/>
  <c r="BB118" i="164"/>
  <c r="BH118" i="164" s="1"/>
  <c r="BC118" i="164"/>
  <c r="CN118" i="164"/>
  <c r="AA119" i="164"/>
  <c r="AM119" i="164"/>
  <c r="BB119" i="164"/>
  <c r="BC119" i="164"/>
  <c r="CC119" i="164"/>
  <c r="G120" i="164"/>
  <c r="H120" i="164" s="1"/>
  <c r="K120" i="164"/>
  <c r="L120" i="164" s="1"/>
  <c r="Q120" i="164"/>
  <c r="U120" i="164"/>
  <c r="X120" i="164"/>
  <c r="AD120" i="164"/>
  <c r="AE120" i="164"/>
  <c r="AJ120" i="164"/>
  <c r="AX120" i="164"/>
  <c r="BB120" i="164"/>
  <c r="BH120" i="164" s="1"/>
  <c r="BC120" i="164"/>
  <c r="BI120" i="164" s="1"/>
  <c r="BJ120" i="164" s="1"/>
  <c r="CK120" i="164" s="1"/>
  <c r="CN120" i="164"/>
  <c r="AA121" i="164"/>
  <c r="AM121" i="164"/>
  <c r="BB121" i="164"/>
  <c r="BC121" i="164"/>
  <c r="CC121" i="164"/>
  <c r="G122" i="164"/>
  <c r="H122" i="164" s="1"/>
  <c r="K122" i="164"/>
  <c r="L122" i="164" s="1"/>
  <c r="Z122" i="164" s="1"/>
  <c r="Q122" i="164"/>
  <c r="U122" i="164"/>
  <c r="X122" i="164"/>
  <c r="AD122" i="164"/>
  <c r="AE122" i="164"/>
  <c r="AJ122" i="164"/>
  <c r="AX122" i="164"/>
  <c r="BB122" i="164"/>
  <c r="BH122" i="164" s="1"/>
  <c r="BC122" i="164"/>
  <c r="BI122" i="164" s="1"/>
  <c r="CN122" i="164"/>
  <c r="Q123" i="164"/>
  <c r="U123" i="164"/>
  <c r="X123" i="164"/>
  <c r="AD123" i="164"/>
  <c r="AE123" i="164"/>
  <c r="AJ123" i="164"/>
  <c r="AX123" i="164"/>
  <c r="CR123" i="164" s="1"/>
  <c r="CO123" i="164" s="1"/>
  <c r="BB123" i="164"/>
  <c r="BC123" i="164"/>
  <c r="BI123" i="164"/>
  <c r="CN123" i="164"/>
  <c r="Q124" i="164"/>
  <c r="U124" i="164"/>
  <c r="X124" i="164"/>
  <c r="AD124" i="164"/>
  <c r="AE124" i="164"/>
  <c r="AJ124" i="164"/>
  <c r="AX124" i="164"/>
  <c r="AO124" i="164" s="1"/>
  <c r="BB124" i="164"/>
  <c r="BC124" i="164"/>
  <c r="BI124" i="164" s="1"/>
  <c r="BH124" i="164"/>
  <c r="CN124" i="164"/>
  <c r="Q125" i="164"/>
  <c r="U125" i="164"/>
  <c r="X125" i="164"/>
  <c r="AD125" i="164"/>
  <c r="AE125" i="164"/>
  <c r="AJ125" i="164"/>
  <c r="AX125" i="164"/>
  <c r="AO125" i="164" s="1"/>
  <c r="BB125" i="164"/>
  <c r="BH125" i="164" s="1"/>
  <c r="BC125" i="164"/>
  <c r="BI125" i="164" s="1"/>
  <c r="CN125" i="164"/>
  <c r="CR125" i="164"/>
  <c r="CO125" i="164" s="1"/>
  <c r="Q126" i="164"/>
  <c r="U126" i="164"/>
  <c r="X126" i="164"/>
  <c r="AD126" i="164"/>
  <c r="AE126" i="164"/>
  <c r="AJ126" i="164"/>
  <c r="AX126" i="164"/>
  <c r="CR126" i="164" s="1"/>
  <c r="BB126" i="164"/>
  <c r="BC126" i="164"/>
  <c r="BI126" i="164" s="1"/>
  <c r="BH126" i="164"/>
  <c r="CN126" i="164"/>
  <c r="Q127" i="164"/>
  <c r="U127" i="164"/>
  <c r="X127" i="164"/>
  <c r="AD127" i="164"/>
  <c r="AE127" i="164"/>
  <c r="AJ127" i="164"/>
  <c r="AX127" i="164"/>
  <c r="BB127" i="164"/>
  <c r="BC127" i="164"/>
  <c r="BI127" i="164" s="1"/>
  <c r="BJ127" i="164" s="1"/>
  <c r="CK127" i="164" s="1"/>
  <c r="BH127" i="164"/>
  <c r="CN127" i="164"/>
  <c r="AA128" i="164"/>
  <c r="AM128" i="164"/>
  <c r="BB128" i="164"/>
  <c r="BC128" i="164"/>
  <c r="CC128" i="164"/>
  <c r="G129" i="164"/>
  <c r="H129" i="164" s="1"/>
  <c r="Y129" i="164" s="1"/>
  <c r="K129" i="164"/>
  <c r="L129" i="164" s="1"/>
  <c r="Z129" i="164" s="1"/>
  <c r="Q129" i="164"/>
  <c r="U129" i="164"/>
  <c r="X129" i="164"/>
  <c r="AD129" i="164"/>
  <c r="AE129" i="164"/>
  <c r="AJ129" i="164"/>
  <c r="AX129" i="164"/>
  <c r="BB129" i="164"/>
  <c r="BH129" i="164" s="1"/>
  <c r="BC129" i="164"/>
  <c r="BI129" i="164" s="1"/>
  <c r="CN129" i="164"/>
  <c r="Q130" i="164"/>
  <c r="U130" i="164"/>
  <c r="X130" i="164"/>
  <c r="AD130" i="164"/>
  <c r="AE130" i="164"/>
  <c r="AJ130" i="164"/>
  <c r="AX130" i="164"/>
  <c r="CR130" i="164" s="1"/>
  <c r="CO130" i="164" s="1"/>
  <c r="BB130" i="164"/>
  <c r="BC130" i="164"/>
  <c r="BI130" i="164"/>
  <c r="BJ130" i="164" s="1"/>
  <c r="CK130" i="164" s="1"/>
  <c r="CN130" i="164"/>
  <c r="AA131" i="164"/>
  <c r="AM131" i="164"/>
  <c r="BB131" i="164"/>
  <c r="BC131" i="164"/>
  <c r="CC131" i="164"/>
  <c r="G132" i="164"/>
  <c r="H132" i="164" s="1"/>
  <c r="G133" i="164" s="1"/>
  <c r="H133" i="164" s="1"/>
  <c r="Y133" i="164" s="1"/>
  <c r="K132" i="164"/>
  <c r="L132" i="164" s="1"/>
  <c r="Z132" i="164" s="1"/>
  <c r="Q132" i="164"/>
  <c r="U132" i="164"/>
  <c r="X132" i="164"/>
  <c r="AD132" i="164"/>
  <c r="AE132" i="164"/>
  <c r="AJ132" i="164"/>
  <c r="AX132" i="164"/>
  <c r="AO132" i="164" s="1"/>
  <c r="BB132" i="164"/>
  <c r="BH132" i="164" s="1"/>
  <c r="BC132" i="164"/>
  <c r="BI132" i="164"/>
  <c r="CN132" i="164"/>
  <c r="Q133" i="164"/>
  <c r="U133" i="164"/>
  <c r="X133" i="164"/>
  <c r="AD133" i="164"/>
  <c r="AE133" i="164"/>
  <c r="AJ133" i="164"/>
  <c r="AX133" i="164"/>
  <c r="BK133" i="164" s="1"/>
  <c r="BB133" i="164"/>
  <c r="BH133" i="164" s="1"/>
  <c r="BC133" i="164"/>
  <c r="BI133" i="164" s="1"/>
  <c r="BJ133" i="164" s="1"/>
  <c r="CK133" i="164" s="1"/>
  <c r="CN133" i="164"/>
  <c r="AA134" i="164"/>
  <c r="BB134" i="164"/>
  <c r="G135" i="164"/>
  <c r="H135" i="164" s="1"/>
  <c r="Y135" i="164" s="1"/>
  <c r="K135" i="164"/>
  <c r="L135" i="164" s="1"/>
  <c r="U135" i="164"/>
  <c r="X135" i="164"/>
  <c r="AD135" i="164"/>
  <c r="AE135" i="164"/>
  <c r="AJ135" i="164"/>
  <c r="AX135" i="164"/>
  <c r="BH135" i="164"/>
  <c r="BI135" i="164"/>
  <c r="CN135" i="164"/>
  <c r="AA136" i="164"/>
  <c r="AF136" i="164"/>
  <c r="BB136" i="164"/>
  <c r="G137" i="164"/>
  <c r="H137" i="164" s="1"/>
  <c r="Y137" i="164" s="1"/>
  <c r="K137" i="164"/>
  <c r="L137" i="164" s="1"/>
  <c r="U137" i="164"/>
  <c r="X137" i="164"/>
  <c r="AD137" i="164"/>
  <c r="AE137" i="164"/>
  <c r="AJ137" i="164"/>
  <c r="AX137" i="164"/>
  <c r="BB137" i="164"/>
  <c r="BC137" i="164"/>
  <c r="CN137" i="164"/>
  <c r="AA138" i="164"/>
  <c r="AF138" i="164"/>
  <c r="BB138" i="164"/>
  <c r="G139" i="164"/>
  <c r="H139" i="164" s="1"/>
  <c r="Y139" i="164" s="1"/>
  <c r="K139" i="164"/>
  <c r="L139" i="164" s="1"/>
  <c r="U139" i="164"/>
  <c r="X139" i="164"/>
  <c r="AD139" i="164"/>
  <c r="AE139" i="164"/>
  <c r="AJ139" i="164"/>
  <c r="AX139" i="164"/>
  <c r="BB139" i="164"/>
  <c r="BC139" i="164"/>
  <c r="BI139" i="164" s="1"/>
  <c r="CN139" i="164"/>
  <c r="CR139" i="164"/>
  <c r="CO139" i="164" s="1"/>
  <c r="AA140" i="164"/>
  <c r="AF140" i="164"/>
  <c r="AW140" i="164"/>
  <c r="BB140" i="164"/>
  <c r="G141" i="164"/>
  <c r="H141" i="164" s="1"/>
  <c r="K141" i="164"/>
  <c r="L141" i="164" s="1"/>
  <c r="Z141" i="164" s="1"/>
  <c r="U141" i="164"/>
  <c r="X141" i="164"/>
  <c r="AD141" i="164"/>
  <c r="AE141" i="164"/>
  <c r="AJ141" i="164"/>
  <c r="AX141" i="164"/>
  <c r="AO141" i="164" s="1"/>
  <c r="BH141" i="164"/>
  <c r="BI141" i="164"/>
  <c r="CN141" i="164"/>
  <c r="AA142" i="164"/>
  <c r="AF142" i="164"/>
  <c r="BB142" i="164"/>
  <c r="G143" i="164"/>
  <c r="H143" i="164" s="1"/>
  <c r="K143" i="164"/>
  <c r="L143" i="164" s="1"/>
  <c r="U143" i="164"/>
  <c r="X143" i="164"/>
  <c r="AD143" i="164"/>
  <c r="AE143" i="164"/>
  <c r="AJ143" i="164"/>
  <c r="AX143" i="164"/>
  <c r="AO143" i="164" s="1"/>
  <c r="BB143" i="164"/>
  <c r="BC143" i="164"/>
  <c r="BI143" i="164" s="1"/>
  <c r="BJ143" i="164" s="1"/>
  <c r="CK143" i="164" s="1"/>
  <c r="CN143" i="164"/>
  <c r="AA144" i="164"/>
  <c r="AF144" i="164"/>
  <c r="AM144" i="164"/>
  <c r="AW144" i="164"/>
  <c r="BB144" i="164"/>
  <c r="BC144" i="164"/>
  <c r="CC144" i="164"/>
  <c r="G145" i="164"/>
  <c r="H145" i="164" s="1"/>
  <c r="Y145" i="164" s="1"/>
  <c r="I145" i="164"/>
  <c r="K145" i="164"/>
  <c r="U145" i="164"/>
  <c r="X145" i="164"/>
  <c r="AD145" i="164"/>
  <c r="AE145" i="164"/>
  <c r="AJ145" i="164"/>
  <c r="AX145" i="164"/>
  <c r="BB145" i="164"/>
  <c r="BC145" i="164"/>
  <c r="BI145" i="164" s="1"/>
  <c r="CN145" i="164"/>
  <c r="A146" i="164"/>
  <c r="A148" i="164" s="1"/>
  <c r="A149" i="164" s="1"/>
  <c r="A151" i="164" s="1"/>
  <c r="I146" i="164"/>
  <c r="Q146" i="164"/>
  <c r="U146" i="164"/>
  <c r="X146" i="164"/>
  <c r="AD146" i="164"/>
  <c r="AE146" i="164"/>
  <c r="AJ146" i="164"/>
  <c r="AX146" i="164"/>
  <c r="AO146" i="164" s="1"/>
  <c r="BB146" i="164"/>
  <c r="BC146" i="164"/>
  <c r="BI146" i="164" s="1"/>
  <c r="BJ146" i="164" s="1"/>
  <c r="CK146" i="164" s="1"/>
  <c r="CN146" i="164"/>
  <c r="CR146" i="164"/>
  <c r="CO146" i="164" s="1"/>
  <c r="AA147" i="164"/>
  <c r="AF147" i="164"/>
  <c r="E148" i="164"/>
  <c r="I148" i="164" s="1"/>
  <c r="G148" i="164"/>
  <c r="K148" i="164"/>
  <c r="U148" i="164"/>
  <c r="X148" i="164"/>
  <c r="AD148" i="164"/>
  <c r="AE148" i="164"/>
  <c r="AJ148" i="164"/>
  <c r="AX148" i="164"/>
  <c r="E147" i="168" s="1"/>
  <c r="H147" i="168"/>
  <c r="CN148" i="164"/>
  <c r="U149" i="164"/>
  <c r="X149" i="164"/>
  <c r="AD149" i="164"/>
  <c r="AE149" i="164"/>
  <c r="AJ149" i="164"/>
  <c r="AX149" i="164"/>
  <c r="BH149" i="164"/>
  <c r="BI149" i="164"/>
  <c r="K148" i="168" s="1"/>
  <c r="CN149" i="164"/>
  <c r="AA150" i="164"/>
  <c r="AF150" i="164"/>
  <c r="BB150" i="164"/>
  <c r="BC150" i="164"/>
  <c r="C151" i="164"/>
  <c r="X151" i="164" s="1"/>
  <c r="G151" i="164"/>
  <c r="H151" i="164" s="1"/>
  <c r="Y151" i="164" s="1"/>
  <c r="K151" i="164"/>
  <c r="L151" i="164" s="1"/>
  <c r="Q151" i="164"/>
  <c r="U151" i="164"/>
  <c r="AD151" i="164"/>
  <c r="AE151" i="164"/>
  <c r="AJ151" i="164"/>
  <c r="CN151" i="164"/>
  <c r="Q152" i="164"/>
  <c r="U152" i="164"/>
  <c r="X152" i="164"/>
  <c r="AD152" i="164"/>
  <c r="AE152" i="164"/>
  <c r="AJ152" i="164"/>
  <c r="AX152" i="164"/>
  <c r="BB152" i="164"/>
  <c r="BH152" i="164" s="1"/>
  <c r="BC152" i="164"/>
  <c r="BI152" i="164" s="1"/>
  <c r="CN152" i="164"/>
  <c r="Q153" i="164"/>
  <c r="AA153" i="164"/>
  <c r="AF153" i="164"/>
  <c r="AW153" i="164"/>
  <c r="BB153" i="164"/>
  <c r="BC153" i="164"/>
  <c r="G154" i="164"/>
  <c r="H154" i="164" s="1"/>
  <c r="G155" i="164" s="1"/>
  <c r="I154" i="164"/>
  <c r="K154" i="164"/>
  <c r="Q154" i="164"/>
  <c r="U154" i="164"/>
  <c r="X154" i="164"/>
  <c r="AD154" i="164"/>
  <c r="AE154" i="164"/>
  <c r="AJ154" i="164"/>
  <c r="AX154" i="164"/>
  <c r="BB154" i="164"/>
  <c r="BH154" i="164" s="1"/>
  <c r="BC154" i="164"/>
  <c r="BI154" i="164" s="1"/>
  <c r="CN154" i="164"/>
  <c r="H155" i="164"/>
  <c r="Q155" i="164"/>
  <c r="U155" i="164"/>
  <c r="X155" i="164"/>
  <c r="AD155" i="164"/>
  <c r="AE155" i="164"/>
  <c r="AJ155" i="164"/>
  <c r="AX155" i="164"/>
  <c r="BB155" i="164"/>
  <c r="BH155" i="164" s="1"/>
  <c r="BC155" i="164"/>
  <c r="CN155" i="164"/>
  <c r="I156" i="164"/>
  <c r="Q156" i="164"/>
  <c r="U156" i="164"/>
  <c r="X156" i="164"/>
  <c r="AD156" i="164"/>
  <c r="AE156" i="164"/>
  <c r="AJ156" i="164"/>
  <c r="AX156" i="164"/>
  <c r="CR156" i="164" s="1"/>
  <c r="BB156" i="164"/>
  <c r="BC156" i="164"/>
  <c r="BI156" i="164" s="1"/>
  <c r="CN156" i="164"/>
  <c r="Q157" i="164"/>
  <c r="AA157" i="164"/>
  <c r="AF157" i="164"/>
  <c r="BB157" i="164"/>
  <c r="BC157" i="164"/>
  <c r="G158" i="164"/>
  <c r="H158" i="164" s="1"/>
  <c r="K158" i="164"/>
  <c r="L158" i="164" s="1"/>
  <c r="Q158" i="164"/>
  <c r="U158" i="164"/>
  <c r="X158" i="164"/>
  <c r="AD158" i="164"/>
  <c r="AE158" i="164"/>
  <c r="AJ158" i="164"/>
  <c r="AX158" i="164"/>
  <c r="AO158" i="164" s="1"/>
  <c r="BB158" i="164"/>
  <c r="BH158" i="164" s="1"/>
  <c r="BC158" i="164"/>
  <c r="BI158" i="164" s="1"/>
  <c r="CN158" i="164"/>
  <c r="Q159" i="164"/>
  <c r="U159" i="164"/>
  <c r="X159" i="164"/>
  <c r="AD159" i="164"/>
  <c r="AE159" i="164"/>
  <c r="AJ159" i="164"/>
  <c r="AX159" i="164"/>
  <c r="CR159" i="164" s="1"/>
  <c r="CO159" i="164" s="1"/>
  <c r="BB159" i="164"/>
  <c r="BC159" i="164"/>
  <c r="BI159" i="164" s="1"/>
  <c r="CN159" i="164"/>
  <c r="I160" i="164"/>
  <c r="Q160" i="164"/>
  <c r="U160" i="164"/>
  <c r="X160" i="164"/>
  <c r="AD160" i="164"/>
  <c r="AE160" i="164"/>
  <c r="AJ160" i="164"/>
  <c r="AO160" i="164"/>
  <c r="AX160" i="164"/>
  <c r="BB160" i="164"/>
  <c r="BH160" i="164" s="1"/>
  <c r="BC160" i="164"/>
  <c r="BI160" i="164" s="1"/>
  <c r="BL160" i="164" s="1"/>
  <c r="CN160" i="164"/>
  <c r="CR160" i="164"/>
  <c r="CO160" i="164" s="1"/>
  <c r="AA161" i="164"/>
  <c r="AF161" i="164"/>
  <c r="BB161" i="164"/>
  <c r="G162" i="164"/>
  <c r="H162" i="164" s="1"/>
  <c r="Y162" i="164" s="1"/>
  <c r="I162" i="164"/>
  <c r="K162" i="164"/>
  <c r="Q162" i="164"/>
  <c r="U162" i="164"/>
  <c r="X162" i="164"/>
  <c r="AD162" i="164"/>
  <c r="AE162" i="164"/>
  <c r="AJ162" i="164"/>
  <c r="AX162" i="164"/>
  <c r="BB162" i="164"/>
  <c r="BC162" i="164"/>
  <c r="BI162" i="164" s="1"/>
  <c r="CN162" i="164"/>
  <c r="I163" i="164"/>
  <c r="Q163" i="164"/>
  <c r="U163" i="164"/>
  <c r="X163" i="164"/>
  <c r="AD163" i="164"/>
  <c r="AE163" i="164"/>
  <c r="AJ163" i="164"/>
  <c r="AX163" i="164"/>
  <c r="AO163" i="164" s="1"/>
  <c r="BB163" i="164"/>
  <c r="BC163" i="164"/>
  <c r="BI163" i="164" s="1"/>
  <c r="BH163" i="164"/>
  <c r="CN163" i="164"/>
  <c r="E164" i="164"/>
  <c r="AD164" i="164" s="1"/>
  <c r="Q164" i="164"/>
  <c r="U164" i="164"/>
  <c r="X164" i="164"/>
  <c r="AE164" i="164"/>
  <c r="AJ164" i="164"/>
  <c r="AX164" i="164"/>
  <c r="AO164" i="164" s="1"/>
  <c r="BB164" i="164"/>
  <c r="BH164" i="164" s="1"/>
  <c r="BC164" i="164"/>
  <c r="BI164" i="164" s="1"/>
  <c r="CN164" i="164"/>
  <c r="Q165" i="164"/>
  <c r="AA165" i="164"/>
  <c r="AF165" i="164"/>
  <c r="G166" i="164"/>
  <c r="H166" i="164" s="1"/>
  <c r="Y166" i="164" s="1"/>
  <c r="K166" i="164"/>
  <c r="L166" i="164" s="1"/>
  <c r="Q166" i="164"/>
  <c r="U166" i="164"/>
  <c r="X166" i="164"/>
  <c r="AD166" i="164"/>
  <c r="AE166" i="164"/>
  <c r="AJ166" i="164"/>
  <c r="AX166" i="164"/>
  <c r="AO166" i="164" s="1"/>
  <c r="BB166" i="164"/>
  <c r="BH166" i="164" s="1"/>
  <c r="BC166" i="164"/>
  <c r="BI166" i="164" s="1"/>
  <c r="CN166" i="164"/>
  <c r="Q167" i="164"/>
  <c r="U167" i="164"/>
  <c r="X167" i="164"/>
  <c r="AD167" i="164"/>
  <c r="AE167" i="164"/>
  <c r="AJ167" i="164"/>
  <c r="AX167" i="164"/>
  <c r="CR167" i="164" s="1"/>
  <c r="CO167" i="164" s="1"/>
  <c r="BB167" i="164"/>
  <c r="BH167" i="164" s="1"/>
  <c r="BC167" i="164"/>
  <c r="BI167" i="164" s="1"/>
  <c r="CN167" i="164"/>
  <c r="Q168" i="164"/>
  <c r="U168" i="164"/>
  <c r="X168" i="164"/>
  <c r="AD168" i="164"/>
  <c r="AE168" i="164"/>
  <c r="AJ168" i="164"/>
  <c r="AX168" i="164"/>
  <c r="BB168" i="164"/>
  <c r="BC168" i="164"/>
  <c r="BI168" i="164" s="1"/>
  <c r="BH168" i="164"/>
  <c r="CN168" i="164"/>
  <c r="Q169" i="164"/>
  <c r="U169" i="164"/>
  <c r="X169" i="164"/>
  <c r="AD169" i="164"/>
  <c r="AE169" i="164"/>
  <c r="AJ169" i="164"/>
  <c r="AX169" i="164"/>
  <c r="BB169" i="164"/>
  <c r="BH169" i="164" s="1"/>
  <c r="BC169" i="164"/>
  <c r="BI169" i="164" s="1"/>
  <c r="CN169" i="164"/>
  <c r="Q170" i="164"/>
  <c r="U170" i="164"/>
  <c r="X170" i="164"/>
  <c r="AD170" i="164"/>
  <c r="AE170" i="164"/>
  <c r="AJ170" i="164"/>
  <c r="AX170" i="164"/>
  <c r="BB170" i="164"/>
  <c r="BH170" i="164" s="1"/>
  <c r="BC170" i="164"/>
  <c r="BI170" i="164" s="1"/>
  <c r="CN170" i="164"/>
  <c r="Q171" i="164"/>
  <c r="U171" i="164"/>
  <c r="X171" i="164"/>
  <c r="AD171" i="164"/>
  <c r="AE171" i="164"/>
  <c r="AJ171" i="164"/>
  <c r="AX171" i="164"/>
  <c r="CR171" i="164" s="1"/>
  <c r="BB171" i="164"/>
  <c r="BC171" i="164"/>
  <c r="BI171" i="164"/>
  <c r="CN171" i="164"/>
  <c r="CO171" i="164"/>
  <c r="Q172" i="164"/>
  <c r="U172" i="164"/>
  <c r="X172" i="164"/>
  <c r="AD172" i="164"/>
  <c r="AE172" i="164"/>
  <c r="AJ172" i="164"/>
  <c r="AX172" i="164"/>
  <c r="AO172" i="164" s="1"/>
  <c r="BB172" i="164"/>
  <c r="BH172" i="164" s="1"/>
  <c r="BC172" i="164"/>
  <c r="CN172" i="164"/>
  <c r="CR172" i="164"/>
  <c r="CO172" i="164" s="1"/>
  <c r="Q173" i="164"/>
  <c r="AA173" i="164"/>
  <c r="AF173" i="164"/>
  <c r="AM173" i="164"/>
  <c r="AW173" i="164"/>
  <c r="BB173" i="164"/>
  <c r="BC173" i="164"/>
  <c r="CC173" i="164"/>
  <c r="G174" i="164"/>
  <c r="H174" i="164" s="1"/>
  <c r="K174" i="164"/>
  <c r="L174" i="164"/>
  <c r="Q174" i="164"/>
  <c r="U174" i="164"/>
  <c r="X174" i="164"/>
  <c r="AD174" i="164"/>
  <c r="AE174" i="164"/>
  <c r="AJ174" i="164"/>
  <c r="AX174" i="164"/>
  <c r="BB174" i="164"/>
  <c r="BH174" i="164" s="1"/>
  <c r="BC174" i="164"/>
  <c r="BI174" i="164" s="1"/>
  <c r="CN174" i="164"/>
  <c r="Q175" i="164"/>
  <c r="AA175" i="164"/>
  <c r="AF175" i="164"/>
  <c r="AM175" i="164"/>
  <c r="AW175" i="164"/>
  <c r="BB175" i="164"/>
  <c r="BC175" i="164"/>
  <c r="CC175" i="164"/>
  <c r="G176" i="164"/>
  <c r="H176" i="164"/>
  <c r="K176" i="164"/>
  <c r="L176" i="164" s="1"/>
  <c r="Q176" i="164"/>
  <c r="U176" i="164"/>
  <c r="X176" i="164"/>
  <c r="AD176" i="164"/>
  <c r="AE176" i="164"/>
  <c r="AJ176" i="164"/>
  <c r="AX176" i="164"/>
  <c r="CR176" i="164" s="1"/>
  <c r="CO176" i="164" s="1"/>
  <c r="BB176" i="164"/>
  <c r="BH176" i="164" s="1"/>
  <c r="BC176" i="164"/>
  <c r="BI176" i="164" s="1"/>
  <c r="CN176" i="164"/>
  <c r="Q177" i="164"/>
  <c r="AA177" i="164"/>
  <c r="AF177" i="164"/>
  <c r="AM177" i="164"/>
  <c r="AW177" i="164"/>
  <c r="BB177" i="164"/>
  <c r="BC177" i="164"/>
  <c r="CC177" i="164"/>
  <c r="G178" i="164"/>
  <c r="H178" i="164" s="1"/>
  <c r="K178" i="164"/>
  <c r="L178" i="164" s="1"/>
  <c r="Q178" i="164"/>
  <c r="U178" i="164"/>
  <c r="X178" i="164"/>
  <c r="AD178" i="164"/>
  <c r="AE178" i="164"/>
  <c r="AJ178" i="164"/>
  <c r="AX178" i="164"/>
  <c r="AO178" i="164" s="1"/>
  <c r="BB178" i="164"/>
  <c r="BC178" i="164"/>
  <c r="BI178" i="164"/>
  <c r="CN178" i="164"/>
  <c r="Q179" i="164"/>
  <c r="AA179" i="164"/>
  <c r="AF179" i="164"/>
  <c r="AM179" i="164"/>
  <c r="AW179" i="164"/>
  <c r="BB179" i="164"/>
  <c r="BC179" i="164"/>
  <c r="CC179" i="164"/>
  <c r="G180" i="164"/>
  <c r="H180" i="164" s="1"/>
  <c r="K180" i="164"/>
  <c r="L180" i="164" s="1"/>
  <c r="Q180" i="164"/>
  <c r="U180" i="164"/>
  <c r="X180" i="164"/>
  <c r="AD180" i="164"/>
  <c r="AE180" i="164"/>
  <c r="AJ180" i="164"/>
  <c r="AX180" i="164"/>
  <c r="AO180" i="164" s="1"/>
  <c r="BB180" i="164"/>
  <c r="BH180" i="164" s="1"/>
  <c r="BC180" i="164"/>
  <c r="BI180" i="164" s="1"/>
  <c r="CN180" i="164"/>
  <c r="AA181" i="164"/>
  <c r="AF181" i="164"/>
  <c r="AW181" i="164"/>
  <c r="BB181" i="164"/>
  <c r="BC181" i="164"/>
  <c r="G182" i="164"/>
  <c r="H182" i="164" s="1"/>
  <c r="K182" i="164"/>
  <c r="L182" i="164" s="1"/>
  <c r="U182" i="164"/>
  <c r="X182" i="164"/>
  <c r="Z182" i="164"/>
  <c r="AD182" i="164"/>
  <c r="AE182" i="164"/>
  <c r="AJ182" i="164"/>
  <c r="AX182" i="164"/>
  <c r="BB182" i="164"/>
  <c r="BC182" i="164"/>
  <c r="BI182" i="164" s="1"/>
  <c r="CN182" i="164"/>
  <c r="U183" i="164"/>
  <c r="X183" i="164"/>
  <c r="AD183" i="164"/>
  <c r="AE183" i="164"/>
  <c r="AJ183" i="164"/>
  <c r="AX183" i="164"/>
  <c r="BB183" i="164"/>
  <c r="BC183" i="164"/>
  <c r="BI183" i="164" s="1"/>
  <c r="CN183" i="164"/>
  <c r="U184" i="164"/>
  <c r="X184" i="164"/>
  <c r="AD184" i="164"/>
  <c r="AE184" i="164"/>
  <c r="AJ184" i="164"/>
  <c r="AX184" i="164"/>
  <c r="BB184" i="164"/>
  <c r="CN184" i="164"/>
  <c r="U185" i="164"/>
  <c r="X185" i="164"/>
  <c r="AD185" i="164"/>
  <c r="AE185" i="164"/>
  <c r="AJ185" i="164"/>
  <c r="AX185" i="164"/>
  <c r="CR185" i="164" s="1"/>
  <c r="CO185" i="164" s="1"/>
  <c r="BC185" i="164"/>
  <c r="BI185" i="164" s="1"/>
  <c r="CN185" i="164"/>
  <c r="U186" i="164"/>
  <c r="X186" i="164"/>
  <c r="AD186" i="164"/>
  <c r="AE186" i="164"/>
  <c r="AJ186" i="164"/>
  <c r="AX186" i="164"/>
  <c r="AO186" i="164" s="1"/>
  <c r="BB186" i="164"/>
  <c r="BH186" i="164" s="1"/>
  <c r="BC186" i="164"/>
  <c r="BI186" i="164" s="1"/>
  <c r="CN186" i="164"/>
  <c r="U187" i="164"/>
  <c r="X187" i="164"/>
  <c r="AD187" i="164"/>
  <c r="AE187" i="164"/>
  <c r="AJ187" i="164"/>
  <c r="AX187" i="164"/>
  <c r="AO187" i="164" s="1"/>
  <c r="BB187" i="164"/>
  <c r="BH187" i="164" s="1"/>
  <c r="BC187" i="164"/>
  <c r="BI187" i="164" s="1"/>
  <c r="CN187" i="164"/>
  <c r="U188" i="164"/>
  <c r="X188" i="164"/>
  <c r="AD188" i="164"/>
  <c r="AE188" i="164"/>
  <c r="AJ188" i="164"/>
  <c r="AX188" i="164"/>
  <c r="AO188" i="164" s="1"/>
  <c r="BB188" i="164"/>
  <c r="BH188" i="164" s="1"/>
  <c r="BC188" i="164"/>
  <c r="BI188" i="164" s="1"/>
  <c r="CN188" i="164"/>
  <c r="U189" i="164"/>
  <c r="X189" i="164"/>
  <c r="AD189" i="164"/>
  <c r="AE189" i="164"/>
  <c r="AJ189" i="164"/>
  <c r="AX189" i="164"/>
  <c r="CR189" i="164" s="1"/>
  <c r="CO189" i="164" s="1"/>
  <c r="BB189" i="164"/>
  <c r="BC189" i="164"/>
  <c r="BI189" i="164" s="1"/>
  <c r="CN189" i="164"/>
  <c r="U190" i="164"/>
  <c r="X190" i="164"/>
  <c r="AD190" i="164"/>
  <c r="AE190" i="164"/>
  <c r="AJ190" i="164"/>
  <c r="AX190" i="164"/>
  <c r="BB190" i="164"/>
  <c r="BC190" i="164"/>
  <c r="BI190" i="164" s="1"/>
  <c r="CN190" i="164"/>
  <c r="U191" i="164"/>
  <c r="X191" i="164"/>
  <c r="AD191" i="164"/>
  <c r="AE191" i="164"/>
  <c r="AJ191" i="164"/>
  <c r="AX191" i="164"/>
  <c r="CR191" i="164" s="1"/>
  <c r="CO191" i="164" s="1"/>
  <c r="BB191" i="164"/>
  <c r="BC191" i="164"/>
  <c r="BI191" i="164" s="1"/>
  <c r="CN191" i="164"/>
  <c r="AA192" i="164"/>
  <c r="AF192" i="164"/>
  <c r="AW192" i="164"/>
  <c r="BB192" i="164"/>
  <c r="BC192" i="164"/>
  <c r="G193" i="164"/>
  <c r="H193" i="164" s="1"/>
  <c r="K193" i="164"/>
  <c r="L193" i="164" s="1"/>
  <c r="Z193" i="164" s="1"/>
  <c r="U193" i="164"/>
  <c r="X193" i="164"/>
  <c r="AD193" i="164"/>
  <c r="AE193" i="164"/>
  <c r="AJ193" i="164"/>
  <c r="AX193" i="164"/>
  <c r="AO193" i="164" s="1"/>
  <c r="BB193" i="164"/>
  <c r="BH193" i="164" s="1"/>
  <c r="BC193" i="164"/>
  <c r="BI193" i="164" s="1"/>
  <c r="CN193" i="164"/>
  <c r="U194" i="164"/>
  <c r="X194" i="164"/>
  <c r="AD194" i="164"/>
  <c r="AE194" i="164"/>
  <c r="AJ194" i="164"/>
  <c r="AX194" i="164"/>
  <c r="BB194" i="164"/>
  <c r="BH194" i="164" s="1"/>
  <c r="BC194" i="164"/>
  <c r="BI194" i="164" s="1"/>
  <c r="CN194" i="164"/>
  <c r="AA195" i="164"/>
  <c r="AF195" i="164"/>
  <c r="AM195" i="164"/>
  <c r="AW195" i="164"/>
  <c r="BB195" i="164"/>
  <c r="BC195" i="164"/>
  <c r="CC195" i="164"/>
  <c r="G196" i="164"/>
  <c r="H196" i="164"/>
  <c r="K196" i="164"/>
  <c r="L196" i="164" s="1"/>
  <c r="Q196" i="164"/>
  <c r="U196" i="164"/>
  <c r="X196" i="164"/>
  <c r="AD196" i="164"/>
  <c r="AE196" i="164"/>
  <c r="AJ196" i="164"/>
  <c r="AX196" i="164"/>
  <c r="AO196" i="164" s="1"/>
  <c r="BB196" i="164"/>
  <c r="BH196" i="164" s="1"/>
  <c r="BC196" i="164"/>
  <c r="CN196" i="164"/>
  <c r="Q197" i="164"/>
  <c r="Q200" i="164" s="1"/>
  <c r="U197" i="164"/>
  <c r="X197" i="164"/>
  <c r="AD197" i="164"/>
  <c r="AE197" i="164"/>
  <c r="AJ197" i="164"/>
  <c r="AX197" i="164"/>
  <c r="AO197" i="164" s="1"/>
  <c r="BB197" i="164"/>
  <c r="BH197" i="164" s="1"/>
  <c r="BC197" i="164"/>
  <c r="BI197" i="164" s="1"/>
  <c r="CN197" i="164"/>
  <c r="CR197" i="164"/>
  <c r="CO197" i="164" s="1"/>
  <c r="AA198" i="164"/>
  <c r="AF198" i="164"/>
  <c r="AM198" i="164"/>
  <c r="AW198" i="164"/>
  <c r="BB198" i="164"/>
  <c r="BC198" i="164"/>
  <c r="CC198" i="164"/>
  <c r="G199" i="164"/>
  <c r="K199" i="164"/>
  <c r="L199" i="164" s="1"/>
  <c r="U199" i="164"/>
  <c r="X199" i="164"/>
  <c r="AD199" i="164"/>
  <c r="AJ199" i="164"/>
  <c r="AX199" i="164"/>
  <c r="AO199" i="164" s="1"/>
  <c r="BB199" i="164"/>
  <c r="BC199" i="164"/>
  <c r="BI199" i="164" s="1"/>
  <c r="CN199" i="164"/>
  <c r="U200" i="164"/>
  <c r="X200" i="164"/>
  <c r="AD200" i="164"/>
  <c r="AE200" i="164"/>
  <c r="AJ200" i="164"/>
  <c r="AX200" i="164"/>
  <c r="AO200" i="164" s="1"/>
  <c r="BB200" i="164"/>
  <c r="BC200" i="164"/>
  <c r="BI200" i="164" s="1"/>
  <c r="CN200" i="164"/>
  <c r="Q201" i="164"/>
  <c r="U201" i="164"/>
  <c r="X201" i="164"/>
  <c r="AD201" i="164"/>
  <c r="AE201" i="164"/>
  <c r="AJ201" i="164"/>
  <c r="AX201" i="164"/>
  <c r="CR201" i="164" s="1"/>
  <c r="CO201" i="164" s="1"/>
  <c r="BB201" i="164"/>
  <c r="BH201" i="164" s="1"/>
  <c r="BC201" i="164"/>
  <c r="BI201" i="164" s="1"/>
  <c r="CN201" i="164"/>
  <c r="Q202" i="164"/>
  <c r="U202" i="164"/>
  <c r="X202" i="164"/>
  <c r="AD202" i="164"/>
  <c r="AE202" i="164"/>
  <c r="AJ202" i="164"/>
  <c r="AX202" i="164"/>
  <c r="AO202" i="164" s="1"/>
  <c r="BB202" i="164"/>
  <c r="BC202" i="164"/>
  <c r="BI202" i="164" s="1"/>
  <c r="CN202" i="164"/>
  <c r="AA203" i="164"/>
  <c r="AF203" i="164"/>
  <c r="AW203" i="164"/>
  <c r="BB203" i="164"/>
  <c r="BC203" i="164"/>
  <c r="G204" i="164"/>
  <c r="H204" i="164"/>
  <c r="K204" i="164"/>
  <c r="L204" i="164" s="1"/>
  <c r="Q204" i="164"/>
  <c r="U204" i="164"/>
  <c r="X204" i="164"/>
  <c r="AD204" i="164"/>
  <c r="AE204" i="164"/>
  <c r="AJ204" i="164"/>
  <c r="AX204" i="164"/>
  <c r="AO204" i="164" s="1"/>
  <c r="BB204" i="164"/>
  <c r="BH204" i="164" s="1"/>
  <c r="BC204" i="164"/>
  <c r="BI204" i="164" s="1"/>
  <c r="BL204" i="164" s="1"/>
  <c r="CN204" i="164"/>
  <c r="I205" i="164"/>
  <c r="Q205" i="164"/>
  <c r="U205" i="164"/>
  <c r="X205" i="164"/>
  <c r="AD205" i="164"/>
  <c r="AE205" i="164"/>
  <c r="AJ205" i="164"/>
  <c r="AX205" i="164"/>
  <c r="CR205" i="164" s="1"/>
  <c r="BB205" i="164"/>
  <c r="BC205" i="164"/>
  <c r="BI205" i="164" s="1"/>
  <c r="BH205" i="164"/>
  <c r="CN205" i="164"/>
  <c r="Q206" i="164"/>
  <c r="U206" i="164"/>
  <c r="X206" i="164"/>
  <c r="AD206" i="164"/>
  <c r="AE206" i="164"/>
  <c r="AJ206" i="164"/>
  <c r="AX206" i="164"/>
  <c r="CR206" i="164" s="1"/>
  <c r="BB206" i="164"/>
  <c r="BH206" i="164" s="1"/>
  <c r="BC206" i="164"/>
  <c r="BI206" i="164" s="1"/>
  <c r="CN206" i="164"/>
  <c r="AA207" i="164"/>
  <c r="AF207" i="164"/>
  <c r="AW207" i="164"/>
  <c r="BB207" i="164"/>
  <c r="BC207" i="164"/>
  <c r="G208" i="164"/>
  <c r="H208" i="164" s="1"/>
  <c r="K208" i="164"/>
  <c r="L208" i="164" s="1"/>
  <c r="Q208" i="164"/>
  <c r="U208" i="164"/>
  <c r="X208" i="164"/>
  <c r="AD208" i="164"/>
  <c r="AE208" i="164"/>
  <c r="AJ208" i="164"/>
  <c r="AX208" i="164"/>
  <c r="CR208" i="164" s="1"/>
  <c r="CO208" i="164" s="1"/>
  <c r="BB208" i="164"/>
  <c r="BH208" i="164" s="1"/>
  <c r="BC208" i="164"/>
  <c r="BI208" i="164" s="1"/>
  <c r="CN208" i="164"/>
  <c r="AA209" i="164"/>
  <c r="AF209" i="164"/>
  <c r="AM209" i="164"/>
  <c r="AW209" i="164"/>
  <c r="BB209" i="164"/>
  <c r="BC209" i="164"/>
  <c r="CC209" i="164"/>
  <c r="G210" i="164"/>
  <c r="H210" i="164" s="1"/>
  <c r="Y210" i="164" s="1"/>
  <c r="K210" i="164"/>
  <c r="L210" i="164" s="1"/>
  <c r="Q210" i="164"/>
  <c r="U210" i="164"/>
  <c r="X210" i="164"/>
  <c r="AD210" i="164"/>
  <c r="AE210" i="164"/>
  <c r="AJ210" i="164"/>
  <c r="AX210" i="164"/>
  <c r="CR210" i="164" s="1"/>
  <c r="CO210" i="164" s="1"/>
  <c r="BB210" i="164"/>
  <c r="BH210" i="164" s="1"/>
  <c r="BC210" i="164"/>
  <c r="BI210" i="164" s="1"/>
  <c r="CN210" i="164"/>
  <c r="Q211" i="164"/>
  <c r="U211" i="164"/>
  <c r="X211" i="164"/>
  <c r="AD211" i="164"/>
  <c r="AE211" i="164"/>
  <c r="AJ211" i="164"/>
  <c r="AX211" i="164"/>
  <c r="CR211" i="164" s="1"/>
  <c r="CO211" i="164" s="1"/>
  <c r="BB211" i="164"/>
  <c r="BH211" i="164" s="1"/>
  <c r="BC211" i="164"/>
  <c r="BI211" i="164" s="1"/>
  <c r="CN211" i="164"/>
  <c r="Q212" i="164"/>
  <c r="U212" i="164"/>
  <c r="X212" i="164"/>
  <c r="AD212" i="164"/>
  <c r="AE212" i="164"/>
  <c r="AJ212" i="164"/>
  <c r="AX212" i="164"/>
  <c r="AO212" i="164" s="1"/>
  <c r="BB212" i="164"/>
  <c r="BH212" i="164" s="1"/>
  <c r="BC212" i="164"/>
  <c r="BI212" i="164" s="1"/>
  <c r="CN212" i="164"/>
  <c r="I213" i="164"/>
  <c r="Q213" i="164"/>
  <c r="U213" i="164"/>
  <c r="X213" i="164"/>
  <c r="AD213" i="164"/>
  <c r="AE213" i="164"/>
  <c r="AJ213" i="164"/>
  <c r="AX213" i="164"/>
  <c r="BB213" i="164"/>
  <c r="BH213" i="164" s="1"/>
  <c r="BC213" i="164"/>
  <c r="BI213" i="164" s="1"/>
  <c r="CN213" i="164"/>
  <c r="Q214" i="164"/>
  <c r="U214" i="164"/>
  <c r="X214" i="164"/>
  <c r="AD214" i="164"/>
  <c r="AE214" i="164"/>
  <c r="AJ214" i="164"/>
  <c r="AX214" i="164"/>
  <c r="CR214" i="164" s="1"/>
  <c r="CO214" i="164" s="1"/>
  <c r="BB214" i="164"/>
  <c r="BH214" i="164" s="1"/>
  <c r="BC214" i="164"/>
  <c r="BI214" i="164" s="1"/>
  <c r="CN214" i="164"/>
  <c r="AA215" i="164"/>
  <c r="AF215" i="164"/>
  <c r="AM215" i="164"/>
  <c r="AW215" i="164"/>
  <c r="BB215" i="164"/>
  <c r="BC215" i="164"/>
  <c r="CC215" i="164"/>
  <c r="G216" i="164"/>
  <c r="H216" i="164" s="1"/>
  <c r="K216" i="164"/>
  <c r="L216" i="164" s="1"/>
  <c r="Q216" i="164"/>
  <c r="U216" i="164"/>
  <c r="X216" i="164"/>
  <c r="AD216" i="164"/>
  <c r="AE216" i="164"/>
  <c r="AJ216" i="164"/>
  <c r="AX216" i="164"/>
  <c r="CR216" i="164" s="1"/>
  <c r="CO216" i="164" s="1"/>
  <c r="BB216" i="164"/>
  <c r="BC216" i="164"/>
  <c r="BI216" i="164" s="1"/>
  <c r="CN216" i="164"/>
  <c r="AA217" i="164"/>
  <c r="AF217" i="164"/>
  <c r="AM217" i="164"/>
  <c r="AW217" i="164"/>
  <c r="BB217" i="164"/>
  <c r="BC217" i="164"/>
  <c r="CC217" i="164"/>
  <c r="G218" i="164"/>
  <c r="H218" i="164" s="1"/>
  <c r="I218" i="164"/>
  <c r="K218" i="164"/>
  <c r="L218" i="164" s="1"/>
  <c r="CX218" i="164" s="1"/>
  <c r="Q218" i="164"/>
  <c r="U218" i="164"/>
  <c r="X218" i="164"/>
  <c r="AD218" i="164"/>
  <c r="AE218" i="164"/>
  <c r="AJ218" i="164"/>
  <c r="AX218" i="164"/>
  <c r="AO218" i="164" s="1"/>
  <c r="BB218" i="164"/>
  <c r="BC218" i="164"/>
  <c r="BI218" i="164" s="1"/>
  <c r="CN218" i="164"/>
  <c r="CR218" i="164"/>
  <c r="CO218" i="164" s="1"/>
  <c r="AA219" i="164"/>
  <c r="AF219" i="164"/>
  <c r="AM219" i="164"/>
  <c r="AW219" i="164"/>
  <c r="BB219" i="164"/>
  <c r="BC219" i="164"/>
  <c r="CC219" i="164"/>
  <c r="G220" i="164"/>
  <c r="H220" i="164" s="1"/>
  <c r="G221" i="164" s="1"/>
  <c r="H221" i="164" s="1"/>
  <c r="G222" i="164" s="1"/>
  <c r="H222" i="164" s="1"/>
  <c r="Y222" i="164" s="1"/>
  <c r="K220" i="164"/>
  <c r="L220" i="164" s="1"/>
  <c r="Q220" i="164"/>
  <c r="U220" i="164"/>
  <c r="X220" i="164"/>
  <c r="AD220" i="164"/>
  <c r="AE220" i="164"/>
  <c r="AJ220" i="164"/>
  <c r="AX220" i="164"/>
  <c r="BB220" i="164"/>
  <c r="BC220" i="164"/>
  <c r="BI220" i="164" s="1"/>
  <c r="CN220" i="164"/>
  <c r="Q221" i="164"/>
  <c r="U221" i="164"/>
  <c r="X221" i="164"/>
  <c r="AD221" i="164"/>
  <c r="AE221" i="164"/>
  <c r="AJ221" i="164"/>
  <c r="AX221" i="164"/>
  <c r="BB221" i="164"/>
  <c r="BC221" i="164"/>
  <c r="BI221" i="164" s="1"/>
  <c r="CN221" i="164"/>
  <c r="Q222" i="164"/>
  <c r="U222" i="164"/>
  <c r="X222" i="164"/>
  <c r="AD222" i="164"/>
  <c r="AE222" i="164"/>
  <c r="AJ222" i="164"/>
  <c r="AX222" i="164"/>
  <c r="BB222" i="164"/>
  <c r="BH222" i="164" s="1"/>
  <c r="BL222" i="164" s="1"/>
  <c r="BC222" i="164"/>
  <c r="BI222" i="164" s="1"/>
  <c r="CN222" i="164"/>
  <c r="Q223" i="164"/>
  <c r="U223" i="164"/>
  <c r="X223" i="164"/>
  <c r="AD223" i="164"/>
  <c r="AE223" i="164"/>
  <c r="AJ223" i="164"/>
  <c r="AX223" i="164"/>
  <c r="BB223" i="164"/>
  <c r="BC223" i="164"/>
  <c r="BI223" i="164" s="1"/>
  <c r="CN223" i="164"/>
  <c r="Q224" i="164"/>
  <c r="U224" i="164"/>
  <c r="X224" i="164"/>
  <c r="AD224" i="164"/>
  <c r="AE224" i="164"/>
  <c r="AJ224" i="164"/>
  <c r="AX224" i="164"/>
  <c r="AO224" i="164" s="1"/>
  <c r="BB224" i="164"/>
  <c r="BH224" i="164" s="1"/>
  <c r="BC224" i="164"/>
  <c r="BI224" i="164" s="1"/>
  <c r="CN224" i="164"/>
  <c r="Q225" i="164"/>
  <c r="U225" i="164"/>
  <c r="X225" i="164"/>
  <c r="AD225" i="164"/>
  <c r="AE225" i="164"/>
  <c r="AJ225" i="164"/>
  <c r="AX225" i="164"/>
  <c r="BB225" i="164"/>
  <c r="BH225" i="164" s="1"/>
  <c r="BC225" i="164"/>
  <c r="BI225" i="164"/>
  <c r="CN225" i="164"/>
  <c r="Q226" i="164"/>
  <c r="U226" i="164"/>
  <c r="X226" i="164"/>
  <c r="AD226" i="164"/>
  <c r="AE226" i="164"/>
  <c r="AJ226" i="164"/>
  <c r="AX226" i="164"/>
  <c r="AO226" i="164" s="1"/>
  <c r="BB226" i="164"/>
  <c r="BC226" i="164"/>
  <c r="BI226" i="164"/>
  <c r="CN226" i="164"/>
  <c r="Q227" i="164"/>
  <c r="U227" i="164"/>
  <c r="X227" i="164"/>
  <c r="AD227" i="164"/>
  <c r="AE227" i="164"/>
  <c r="AJ227" i="164"/>
  <c r="AX227" i="164"/>
  <c r="AO227" i="164" s="1"/>
  <c r="BB227" i="164"/>
  <c r="BC227" i="164"/>
  <c r="BI227" i="164" s="1"/>
  <c r="CN227" i="164"/>
  <c r="CR227" i="164"/>
  <c r="CO227" i="164" s="1"/>
  <c r="AA228" i="164"/>
  <c r="AF228" i="164"/>
  <c r="BB228" i="164"/>
  <c r="G229" i="164"/>
  <c r="H229" i="164" s="1"/>
  <c r="I229" i="164"/>
  <c r="K229" i="164"/>
  <c r="Q229" i="164"/>
  <c r="U229" i="164"/>
  <c r="X229" i="164"/>
  <c r="AD229" i="164"/>
  <c r="AE229" i="164"/>
  <c r="AJ229" i="164"/>
  <c r="AX229" i="164"/>
  <c r="AO229" i="164" s="1"/>
  <c r="BB229" i="164"/>
  <c r="BH229" i="164" s="1"/>
  <c r="BC229" i="164"/>
  <c r="CN229" i="164"/>
  <c r="Q230" i="164"/>
  <c r="U230" i="164"/>
  <c r="X230" i="164"/>
  <c r="AD230" i="164"/>
  <c r="AE230" i="164"/>
  <c r="AJ230" i="164"/>
  <c r="AX230" i="164"/>
  <c r="BB230" i="164"/>
  <c r="BH230" i="164" s="1"/>
  <c r="BC230" i="164"/>
  <c r="BI230" i="164" s="1"/>
  <c r="CN230" i="164"/>
  <c r="Q231" i="164"/>
  <c r="U231" i="164"/>
  <c r="X231" i="164"/>
  <c r="AD231" i="164"/>
  <c r="AE231" i="164"/>
  <c r="AJ231" i="164"/>
  <c r="AX231" i="164"/>
  <c r="BB231" i="164"/>
  <c r="BC231" i="164"/>
  <c r="BI231" i="164" s="1"/>
  <c r="CN231" i="164"/>
  <c r="Q232" i="164"/>
  <c r="U232" i="164"/>
  <c r="X232" i="164"/>
  <c r="AD232" i="164"/>
  <c r="AE232" i="164"/>
  <c r="AJ232" i="164"/>
  <c r="AX232" i="164"/>
  <c r="CR232" i="164" s="1"/>
  <c r="CO232" i="164" s="1"/>
  <c r="BB232" i="164"/>
  <c r="BH232" i="164" s="1"/>
  <c r="BC232" i="164"/>
  <c r="CN232" i="164"/>
  <c r="Q233" i="164"/>
  <c r="U233" i="164"/>
  <c r="X233" i="164"/>
  <c r="AD233" i="164"/>
  <c r="AE233" i="164"/>
  <c r="AJ233" i="164"/>
  <c r="AX233" i="164"/>
  <c r="AO233" i="164" s="1"/>
  <c r="BB233" i="164"/>
  <c r="BH233" i="164" s="1"/>
  <c r="BC233" i="164"/>
  <c r="BI233" i="164" s="1"/>
  <c r="BL233" i="164" s="1"/>
  <c r="CN233" i="164"/>
  <c r="Q234" i="164"/>
  <c r="U234" i="164"/>
  <c r="X234" i="164"/>
  <c r="AD234" i="164"/>
  <c r="AE234" i="164"/>
  <c r="AJ234" i="164"/>
  <c r="AX234" i="164"/>
  <c r="AO234" i="164" s="1"/>
  <c r="BB234" i="164"/>
  <c r="BH234" i="164" s="1"/>
  <c r="BC234" i="164"/>
  <c r="BI234" i="164" s="1"/>
  <c r="CN234" i="164"/>
  <c r="AA235" i="164"/>
  <c r="AF235" i="164"/>
  <c r="BB235" i="164"/>
  <c r="G236" i="164"/>
  <c r="H236" i="164" s="1"/>
  <c r="K236" i="164"/>
  <c r="L236" i="164"/>
  <c r="Q236" i="164"/>
  <c r="U236" i="164"/>
  <c r="X236" i="164"/>
  <c r="AD236" i="164"/>
  <c r="AE236" i="164"/>
  <c r="AJ236" i="164"/>
  <c r="AX236" i="164"/>
  <c r="AO236" i="164" s="1"/>
  <c r="BB236" i="164"/>
  <c r="BH236" i="164" s="1"/>
  <c r="CN236" i="164"/>
  <c r="Q237" i="164"/>
  <c r="U237" i="164"/>
  <c r="X237" i="164"/>
  <c r="AD237" i="164"/>
  <c r="AE237" i="164"/>
  <c r="AJ237" i="164"/>
  <c r="AX237" i="164"/>
  <c r="BC237" i="164"/>
  <c r="BI237" i="164"/>
  <c r="CN237" i="164"/>
  <c r="U238" i="164"/>
  <c r="X238" i="164"/>
  <c r="AD238" i="164"/>
  <c r="AE238" i="164"/>
  <c r="AJ238" i="164"/>
  <c r="AX238" i="164"/>
  <c r="AO238" i="164" s="1"/>
  <c r="BH238" i="164"/>
  <c r="BI238" i="164"/>
  <c r="CN238" i="164"/>
  <c r="U239" i="164"/>
  <c r="X239" i="164"/>
  <c r="AD239" i="164"/>
  <c r="AE239" i="164"/>
  <c r="AJ239" i="164"/>
  <c r="AN239" i="164"/>
  <c r="AX239" i="164"/>
  <c r="H238" i="168"/>
  <c r="BI239" i="164"/>
  <c r="CN239" i="164"/>
  <c r="AA240" i="164"/>
  <c r="AF240" i="164"/>
  <c r="BB240" i="164"/>
  <c r="BC240" i="164"/>
  <c r="G241" i="164"/>
  <c r="H241" i="164" s="1"/>
  <c r="K241" i="164"/>
  <c r="L241" i="164" s="1"/>
  <c r="Z241" i="164" s="1"/>
  <c r="Q241" i="164"/>
  <c r="U241" i="164"/>
  <c r="X241" i="164"/>
  <c r="AD241" i="164"/>
  <c r="AE241" i="164"/>
  <c r="AJ241" i="164"/>
  <c r="AX241" i="164"/>
  <c r="CR241" i="164" s="1"/>
  <c r="CO241" i="164" s="1"/>
  <c r="BB241" i="164"/>
  <c r="BH241" i="164" s="1"/>
  <c r="BC241" i="164"/>
  <c r="BI241" i="164" s="1"/>
  <c r="CN241" i="164"/>
  <c r="Q242" i="164"/>
  <c r="U242" i="164"/>
  <c r="X242" i="164"/>
  <c r="AD242" i="164"/>
  <c r="AE242" i="164"/>
  <c r="AJ242" i="164"/>
  <c r="AX242" i="164"/>
  <c r="BB242" i="164"/>
  <c r="BC242" i="164"/>
  <c r="BI242" i="164" s="1"/>
  <c r="CN242" i="164"/>
  <c r="AA243" i="164"/>
  <c r="AF243" i="164"/>
  <c r="AM243" i="164"/>
  <c r="AW243" i="164"/>
  <c r="BB243" i="164"/>
  <c r="BC243" i="164"/>
  <c r="CC243" i="164"/>
  <c r="G244" i="164"/>
  <c r="H244" i="164" s="1"/>
  <c r="K244" i="164"/>
  <c r="L244" i="164" s="1"/>
  <c r="Q244" i="164"/>
  <c r="U244" i="164"/>
  <c r="X244" i="164"/>
  <c r="AD244" i="164"/>
  <c r="AE244" i="164"/>
  <c r="AJ244" i="164"/>
  <c r="AX244" i="164"/>
  <c r="CR244" i="164" s="1"/>
  <c r="CO244" i="164" s="1"/>
  <c r="BB244" i="164"/>
  <c r="BH244" i="164" s="1"/>
  <c r="BC244" i="164"/>
  <c r="BI244" i="164"/>
  <c r="CN244" i="164"/>
  <c r="Q245" i="164"/>
  <c r="U245" i="164"/>
  <c r="X245" i="164"/>
  <c r="AD245" i="164"/>
  <c r="AE245" i="164"/>
  <c r="AJ245" i="164"/>
  <c r="AX245" i="164"/>
  <c r="BB245" i="164"/>
  <c r="BH245" i="164" s="1"/>
  <c r="BC245" i="164"/>
  <c r="BI245" i="164" s="1"/>
  <c r="CN245" i="164"/>
  <c r="Q246" i="164"/>
  <c r="U246" i="164"/>
  <c r="X246" i="164"/>
  <c r="AD246" i="164"/>
  <c r="AE246" i="164"/>
  <c r="AJ246" i="164"/>
  <c r="AX246" i="164"/>
  <c r="AO246" i="164" s="1"/>
  <c r="BB246" i="164"/>
  <c r="BC246" i="164"/>
  <c r="BI246" i="164" s="1"/>
  <c r="CN246" i="164"/>
  <c r="Q247" i="164"/>
  <c r="U247" i="164"/>
  <c r="X247" i="164"/>
  <c r="AD247" i="164"/>
  <c r="AE247" i="164"/>
  <c r="AJ247" i="164"/>
  <c r="AX247" i="164"/>
  <c r="AO247" i="164" s="1"/>
  <c r="BB247" i="164"/>
  <c r="BC247" i="164"/>
  <c r="BI247" i="164" s="1"/>
  <c r="BH247" i="164"/>
  <c r="CN247" i="164"/>
  <c r="Q248" i="164"/>
  <c r="U248" i="164"/>
  <c r="X248" i="164"/>
  <c r="AD248" i="164"/>
  <c r="AE248" i="164"/>
  <c r="AJ248" i="164"/>
  <c r="AX248" i="164"/>
  <c r="AO248" i="164" s="1"/>
  <c r="BB248" i="164"/>
  <c r="BC248" i="164"/>
  <c r="BI248" i="164" s="1"/>
  <c r="CN248" i="164"/>
  <c r="CR248" i="164"/>
  <c r="CO248" i="164" s="1"/>
  <c r="Q249" i="164"/>
  <c r="U249" i="164"/>
  <c r="X249" i="164"/>
  <c r="AD249" i="164"/>
  <c r="AE249" i="164"/>
  <c r="AJ249" i="164"/>
  <c r="AX249" i="164"/>
  <c r="CR249" i="164" s="1"/>
  <c r="CO249" i="164" s="1"/>
  <c r="BB249" i="164"/>
  <c r="BC249" i="164"/>
  <c r="BI249" i="164" s="1"/>
  <c r="CN249" i="164"/>
  <c r="Q250" i="164"/>
  <c r="U250" i="164"/>
  <c r="X250" i="164"/>
  <c r="AD250" i="164"/>
  <c r="AE250" i="164"/>
  <c r="AJ250" i="164"/>
  <c r="AX250" i="164"/>
  <c r="CR250" i="164" s="1"/>
  <c r="CO250" i="164" s="1"/>
  <c r="BB250" i="164"/>
  <c r="BH250" i="164" s="1"/>
  <c r="BC250" i="164"/>
  <c r="CN250" i="164"/>
  <c r="AA251" i="164"/>
  <c r="AF251" i="164"/>
  <c r="AM251" i="164"/>
  <c r="AW251" i="164"/>
  <c r="BB251" i="164"/>
  <c r="BC251" i="164"/>
  <c r="CC251" i="164"/>
  <c r="G252" i="164"/>
  <c r="H252" i="164" s="1"/>
  <c r="K252" i="164"/>
  <c r="L252" i="164" s="1"/>
  <c r="Q252" i="164"/>
  <c r="U252" i="164"/>
  <c r="X252" i="164"/>
  <c r="AD252" i="164"/>
  <c r="AE252" i="164"/>
  <c r="AJ252" i="164"/>
  <c r="AX252" i="164"/>
  <c r="CR252" i="164" s="1"/>
  <c r="CO252" i="164" s="1"/>
  <c r="BB252" i="164"/>
  <c r="BC252" i="164"/>
  <c r="BI252" i="164" s="1"/>
  <c r="CN252" i="164"/>
  <c r="AA253" i="164"/>
  <c r="AF253" i="164"/>
  <c r="AM253" i="164"/>
  <c r="AW253" i="164"/>
  <c r="BB253" i="164"/>
  <c r="BC253" i="164"/>
  <c r="CC253" i="164"/>
  <c r="G254" i="164"/>
  <c r="H254" i="164" s="1"/>
  <c r="Y254" i="164" s="1"/>
  <c r="K254" i="164"/>
  <c r="L254" i="164" s="1"/>
  <c r="Q254" i="164"/>
  <c r="U254" i="164"/>
  <c r="X254" i="164"/>
  <c r="AD254" i="164"/>
  <c r="AE254" i="164"/>
  <c r="AJ254" i="164"/>
  <c r="AX254" i="164"/>
  <c r="AO254" i="164" s="1"/>
  <c r="BB254" i="164"/>
  <c r="BC254" i="164"/>
  <c r="BI254" i="164" s="1"/>
  <c r="CN254" i="164"/>
  <c r="C255" i="164"/>
  <c r="Q255" i="164"/>
  <c r="AD255" i="164"/>
  <c r="AE255" i="164"/>
  <c r="AJ255" i="164"/>
  <c r="AX255" i="164"/>
  <c r="AO255" i="164" s="1"/>
  <c r="BC255" i="164"/>
  <c r="BI255" i="164" s="1"/>
  <c r="CN255" i="164"/>
  <c r="Q256" i="164"/>
  <c r="AA256" i="164"/>
  <c r="AF256" i="164"/>
  <c r="AM256" i="164"/>
  <c r="AW256" i="164"/>
  <c r="BB256" i="164"/>
  <c r="BC256" i="164"/>
  <c r="CC256" i="164"/>
  <c r="G257" i="164"/>
  <c r="H257" i="164" s="1"/>
  <c r="Y257" i="164" s="1"/>
  <c r="K257" i="164"/>
  <c r="L257" i="164" s="1"/>
  <c r="Q257" i="164"/>
  <c r="U257" i="164"/>
  <c r="X257" i="164"/>
  <c r="AD257" i="164"/>
  <c r="AE257" i="164"/>
  <c r="AJ257" i="164"/>
  <c r="AX257" i="164"/>
  <c r="BB257" i="164"/>
  <c r="BH257" i="164" s="1"/>
  <c r="BC257" i="164"/>
  <c r="BI257" i="164" s="1"/>
  <c r="CN257" i="164"/>
  <c r="Q258" i="164"/>
  <c r="AA258" i="164"/>
  <c r="AF258" i="164"/>
  <c r="AM258" i="164"/>
  <c r="AW258" i="164"/>
  <c r="BB258" i="164"/>
  <c r="BC258" i="164"/>
  <c r="CC258" i="164"/>
  <c r="G259" i="164"/>
  <c r="H259" i="164"/>
  <c r="Y259" i="164" s="1"/>
  <c r="K259" i="164"/>
  <c r="L259" i="164" s="1"/>
  <c r="Q259" i="164"/>
  <c r="U259" i="164"/>
  <c r="X259" i="164"/>
  <c r="AD259" i="164"/>
  <c r="AE259" i="164"/>
  <c r="AJ259" i="164"/>
  <c r="AX259" i="164"/>
  <c r="CR259" i="164" s="1"/>
  <c r="CO259" i="164" s="1"/>
  <c r="BB259" i="164"/>
  <c r="BC259" i="164"/>
  <c r="BI259" i="164" s="1"/>
  <c r="BH259" i="164"/>
  <c r="CN259" i="164"/>
  <c r="Q260" i="164"/>
  <c r="U260" i="164"/>
  <c r="X260" i="164"/>
  <c r="AD260" i="164"/>
  <c r="AE260" i="164"/>
  <c r="AJ260" i="164"/>
  <c r="AX260" i="164"/>
  <c r="CR260" i="164" s="1"/>
  <c r="CO260" i="164" s="1"/>
  <c r="BB260" i="164"/>
  <c r="BH260" i="164" s="1"/>
  <c r="BC260" i="164"/>
  <c r="BI260" i="164" s="1"/>
  <c r="CN260" i="164"/>
  <c r="Q261" i="164"/>
  <c r="AA261" i="164"/>
  <c r="AF261" i="164"/>
  <c r="AM261" i="164"/>
  <c r="AW261" i="164"/>
  <c r="BB261" i="164"/>
  <c r="BC261" i="164"/>
  <c r="CC261" i="164"/>
  <c r="G262" i="164"/>
  <c r="H262" i="164" s="1"/>
  <c r="G260" i="164" s="1"/>
  <c r="H260" i="164" s="1"/>
  <c r="K262" i="164"/>
  <c r="L262" i="164" s="1"/>
  <c r="Q262" i="164"/>
  <c r="U262" i="164"/>
  <c r="X262" i="164"/>
  <c r="AD262" i="164"/>
  <c r="AE262" i="164"/>
  <c r="AJ262" i="164"/>
  <c r="AX262" i="164"/>
  <c r="BB262" i="164"/>
  <c r="BH262" i="164" s="1"/>
  <c r="BC262" i="164"/>
  <c r="CN262" i="164"/>
  <c r="Q263" i="164"/>
  <c r="AA263" i="164"/>
  <c r="AF263" i="164"/>
  <c r="AM263" i="164"/>
  <c r="AW263" i="164"/>
  <c r="BB263" i="164"/>
  <c r="BC263" i="164"/>
  <c r="CC263" i="164"/>
  <c r="G264" i="164"/>
  <c r="H264" i="164" s="1"/>
  <c r="Y264" i="164" s="1"/>
  <c r="K264" i="164"/>
  <c r="L264" i="164" s="1"/>
  <c r="Z264" i="164" s="1"/>
  <c r="Q264" i="164"/>
  <c r="U264" i="164"/>
  <c r="X264" i="164"/>
  <c r="AD264" i="164"/>
  <c r="AE264" i="164"/>
  <c r="AJ264" i="164"/>
  <c r="AX264" i="164"/>
  <c r="CR264" i="164" s="1"/>
  <c r="CO264" i="164" s="1"/>
  <c r="BB264" i="164"/>
  <c r="BH264" i="164" s="1"/>
  <c r="BC264" i="164"/>
  <c r="BI264" i="164" s="1"/>
  <c r="CN264" i="164"/>
  <c r="Q265" i="164"/>
  <c r="AA265" i="164"/>
  <c r="AF265" i="164"/>
  <c r="AW265" i="164"/>
  <c r="BB265" i="164"/>
  <c r="G266" i="164"/>
  <c r="H266" i="164" s="1"/>
  <c r="Y266" i="164" s="1"/>
  <c r="K266" i="164"/>
  <c r="L266" i="164" s="1"/>
  <c r="Q266" i="164"/>
  <c r="U266" i="164"/>
  <c r="X266" i="164"/>
  <c r="AD266" i="164"/>
  <c r="AE266" i="164"/>
  <c r="AJ266" i="164"/>
  <c r="AX266" i="164"/>
  <c r="BB266" i="164"/>
  <c r="BH266" i="164" s="1"/>
  <c r="BC266" i="164"/>
  <c r="BI266" i="164" s="1"/>
  <c r="CN266" i="164"/>
  <c r="Q267" i="164"/>
  <c r="U267" i="164"/>
  <c r="X267" i="164"/>
  <c r="AD267" i="164"/>
  <c r="AE267" i="164"/>
  <c r="AJ267" i="164"/>
  <c r="AX267" i="164"/>
  <c r="AO267" i="164" s="1"/>
  <c r="BB267" i="164"/>
  <c r="BH267" i="164" s="1"/>
  <c r="BC267" i="164"/>
  <c r="BI267" i="164" s="1"/>
  <c r="CN267" i="164"/>
  <c r="Q268" i="164"/>
  <c r="U268" i="164"/>
  <c r="X268" i="164"/>
  <c r="AD268" i="164"/>
  <c r="AE268" i="164"/>
  <c r="AJ268" i="164"/>
  <c r="AX268" i="164"/>
  <c r="BB268" i="164"/>
  <c r="BC268" i="164"/>
  <c r="BI268" i="164" s="1"/>
  <c r="BH268" i="164"/>
  <c r="CN268" i="164"/>
  <c r="Q269" i="164"/>
  <c r="U269" i="164"/>
  <c r="X269" i="164"/>
  <c r="AD269" i="164"/>
  <c r="AE269" i="164"/>
  <c r="AJ269" i="164"/>
  <c r="AX269" i="164"/>
  <c r="CR269" i="164" s="1"/>
  <c r="CO269" i="164" s="1"/>
  <c r="BB269" i="164"/>
  <c r="BC269" i="164"/>
  <c r="BI269" i="164" s="1"/>
  <c r="CN269" i="164"/>
  <c r="Q270" i="164"/>
  <c r="AA270" i="164"/>
  <c r="AF270" i="164"/>
  <c r="AW270" i="164"/>
  <c r="BB270" i="164"/>
  <c r="BC270" i="164"/>
  <c r="G271" i="164"/>
  <c r="H271" i="164" s="1"/>
  <c r="K271" i="164"/>
  <c r="L271" i="164" s="1"/>
  <c r="Z271" i="164" s="1"/>
  <c r="Q271" i="164"/>
  <c r="U271" i="164"/>
  <c r="X271" i="164"/>
  <c r="AD271" i="164"/>
  <c r="AE271" i="164"/>
  <c r="AJ271" i="164"/>
  <c r="AX271" i="164"/>
  <c r="CR271" i="164" s="1"/>
  <c r="CO271" i="164" s="1"/>
  <c r="BB271" i="164"/>
  <c r="BH271" i="164" s="1"/>
  <c r="BC271" i="164"/>
  <c r="BI271" i="164" s="1"/>
  <c r="CN271" i="164"/>
  <c r="Q272" i="164"/>
  <c r="U272" i="164"/>
  <c r="X272" i="164"/>
  <c r="AD272" i="164"/>
  <c r="AE272" i="164"/>
  <c r="AJ272" i="164"/>
  <c r="AX272" i="164"/>
  <c r="CR272" i="164" s="1"/>
  <c r="CO272" i="164" s="1"/>
  <c r="BB272" i="164"/>
  <c r="BC272" i="164"/>
  <c r="BI272" i="164" s="1"/>
  <c r="CN272" i="164"/>
  <c r="Q273" i="164"/>
  <c r="AA273" i="164"/>
  <c r="AF273" i="164"/>
  <c r="AM273" i="164"/>
  <c r="AW273" i="164"/>
  <c r="BB273" i="164"/>
  <c r="BC273" i="164"/>
  <c r="CC273" i="164"/>
  <c r="G274" i="164"/>
  <c r="H274" i="164" s="1"/>
  <c r="Y274" i="164" s="1"/>
  <c r="K274" i="164"/>
  <c r="L274" i="164" s="1"/>
  <c r="Q274" i="164"/>
  <c r="U274" i="164"/>
  <c r="X274" i="164"/>
  <c r="AD274" i="164"/>
  <c r="AE274" i="164"/>
  <c r="AJ274" i="164"/>
  <c r="AX274" i="164"/>
  <c r="CR274" i="164" s="1"/>
  <c r="CO274" i="164" s="1"/>
  <c r="BB274" i="164"/>
  <c r="BH274" i="164" s="1"/>
  <c r="BC274" i="164"/>
  <c r="BI274" i="164" s="1"/>
  <c r="CN274" i="164"/>
  <c r="Q275" i="164"/>
  <c r="AA275" i="164"/>
  <c r="AF275" i="164"/>
  <c r="AM275" i="164"/>
  <c r="AW275" i="164"/>
  <c r="BB275" i="164"/>
  <c r="BC275" i="164"/>
  <c r="CC275" i="164"/>
  <c r="G276" i="164"/>
  <c r="H276" i="164" s="1"/>
  <c r="Y276" i="164" s="1"/>
  <c r="K276" i="164"/>
  <c r="L276" i="164" s="1"/>
  <c r="Q276" i="164"/>
  <c r="U276" i="164"/>
  <c r="X276" i="164"/>
  <c r="AD276" i="164"/>
  <c r="AE276" i="164"/>
  <c r="AJ276" i="164"/>
  <c r="AX276" i="164"/>
  <c r="CR276" i="164" s="1"/>
  <c r="CO276" i="164" s="1"/>
  <c r="BB276" i="164"/>
  <c r="BH276" i="164" s="1"/>
  <c r="BC276" i="164"/>
  <c r="BI276" i="164" s="1"/>
  <c r="CN276" i="164"/>
  <c r="Q277" i="164"/>
  <c r="U277" i="164"/>
  <c r="X277" i="164"/>
  <c r="AD277" i="164"/>
  <c r="AE277" i="164"/>
  <c r="AJ277" i="164"/>
  <c r="AX277" i="164"/>
  <c r="CR277" i="164" s="1"/>
  <c r="CO277" i="164" s="1"/>
  <c r="BB277" i="164"/>
  <c r="BC277" i="164"/>
  <c r="BI277" i="164" s="1"/>
  <c r="BH277" i="164"/>
  <c r="CN277" i="164"/>
  <c r="Q278" i="164"/>
  <c r="AA278" i="164"/>
  <c r="AF278" i="164"/>
  <c r="AM278" i="164"/>
  <c r="AW278" i="164"/>
  <c r="BB278" i="164"/>
  <c r="BC278" i="164"/>
  <c r="CC278" i="164"/>
  <c r="G279" i="164"/>
  <c r="H279" i="164" s="1"/>
  <c r="K279" i="164"/>
  <c r="L279" i="164" s="1"/>
  <c r="Q279" i="164"/>
  <c r="U279" i="164"/>
  <c r="X279" i="164"/>
  <c r="AD279" i="164"/>
  <c r="AE279" i="164"/>
  <c r="AJ279" i="164"/>
  <c r="AX279" i="164"/>
  <c r="CR279" i="164" s="1"/>
  <c r="CO279" i="164" s="1"/>
  <c r="BB279" i="164"/>
  <c r="BC279" i="164"/>
  <c r="BI279" i="164" s="1"/>
  <c r="BH279" i="164"/>
  <c r="CN279" i="164"/>
  <c r="Q280" i="164"/>
  <c r="AA280" i="164"/>
  <c r="AF280" i="164"/>
  <c r="AW280" i="164"/>
  <c r="BB280" i="164"/>
  <c r="BC280" i="164"/>
  <c r="G281" i="164"/>
  <c r="H281" i="164" s="1"/>
  <c r="Y281" i="164" s="1"/>
  <c r="K281" i="164"/>
  <c r="L281" i="164" s="1"/>
  <c r="Z281" i="164" s="1"/>
  <c r="Q281" i="164"/>
  <c r="U281" i="164"/>
  <c r="X281" i="164"/>
  <c r="AD281" i="164"/>
  <c r="AE281" i="164"/>
  <c r="AJ281" i="164"/>
  <c r="AX281" i="164"/>
  <c r="CR281" i="164" s="1"/>
  <c r="BB281" i="164"/>
  <c r="BH281" i="164" s="1"/>
  <c r="BC281" i="164"/>
  <c r="BI281" i="164" s="1"/>
  <c r="CN281" i="164"/>
  <c r="C282" i="164"/>
  <c r="BC282" i="164" s="1"/>
  <c r="BI282" i="164" s="1"/>
  <c r="Q282" i="164"/>
  <c r="AD282" i="164"/>
  <c r="AE282" i="164"/>
  <c r="AJ282" i="164"/>
  <c r="CN282" i="164"/>
  <c r="Q283" i="164"/>
  <c r="U283" i="164"/>
  <c r="X283" i="164"/>
  <c r="AD283" i="164"/>
  <c r="AE283" i="164"/>
  <c r="AJ283" i="164"/>
  <c r="AX283" i="164"/>
  <c r="BK283" i="164" s="1"/>
  <c r="AK283" i="164" s="1"/>
  <c r="BB283" i="164"/>
  <c r="BH283" i="164" s="1"/>
  <c r="BC283" i="164"/>
  <c r="BI283" i="164" s="1"/>
  <c r="CN283" i="164"/>
  <c r="Q284" i="164"/>
  <c r="U284" i="164"/>
  <c r="X284" i="164"/>
  <c r="AD284" i="164"/>
  <c r="AE284" i="164"/>
  <c r="AJ284" i="164"/>
  <c r="AX284" i="164"/>
  <c r="AO284" i="164" s="1"/>
  <c r="BB284" i="164"/>
  <c r="BC284" i="164"/>
  <c r="BI284" i="164" s="1"/>
  <c r="CN284" i="164"/>
  <c r="Q285" i="164"/>
  <c r="U285" i="164"/>
  <c r="X285" i="164"/>
  <c r="AD285" i="164"/>
  <c r="AE285" i="164"/>
  <c r="AJ285" i="164"/>
  <c r="AX285" i="164"/>
  <c r="CR285" i="164" s="1"/>
  <c r="BB285" i="164"/>
  <c r="BH285" i="164" s="1"/>
  <c r="BC285" i="164"/>
  <c r="BI285" i="164" s="1"/>
  <c r="CN285" i="164"/>
  <c r="Q286" i="164"/>
  <c r="U286" i="164"/>
  <c r="X286" i="164"/>
  <c r="AD286" i="164"/>
  <c r="AE286" i="164"/>
  <c r="AJ286" i="164"/>
  <c r="AX286" i="164"/>
  <c r="CR286" i="164" s="1"/>
  <c r="BB286" i="164"/>
  <c r="BH286" i="164" s="1"/>
  <c r="BC286" i="164"/>
  <c r="BI286" i="164"/>
  <c r="CN286" i="164"/>
  <c r="Q287" i="164"/>
  <c r="U287" i="164"/>
  <c r="X287" i="164"/>
  <c r="AD287" i="164"/>
  <c r="AE287" i="164"/>
  <c r="AJ287" i="164"/>
  <c r="AX287" i="164"/>
  <c r="BB287" i="164"/>
  <c r="BC287" i="164"/>
  <c r="BI287" i="164" s="1"/>
  <c r="BH287" i="164"/>
  <c r="CN287" i="164"/>
  <c r="Q288" i="164"/>
  <c r="U288" i="164"/>
  <c r="X288" i="164"/>
  <c r="AD288" i="164"/>
  <c r="AE288" i="164"/>
  <c r="AJ288" i="164"/>
  <c r="AX288" i="164"/>
  <c r="BB288" i="164"/>
  <c r="BC288" i="164"/>
  <c r="BI288" i="164" s="1"/>
  <c r="BH288" i="164"/>
  <c r="CN288" i="164"/>
  <c r="Q289" i="164"/>
  <c r="U289" i="164"/>
  <c r="X289" i="164"/>
  <c r="AD289" i="164"/>
  <c r="AE289" i="164"/>
  <c r="AJ289" i="164"/>
  <c r="AX289" i="164"/>
  <c r="CR289" i="164" s="1"/>
  <c r="BB289" i="164"/>
  <c r="BH289" i="164" s="1"/>
  <c r="BC289" i="164"/>
  <c r="CN289" i="164"/>
  <c r="Q290" i="164"/>
  <c r="U290" i="164"/>
  <c r="X290" i="164"/>
  <c r="AD290" i="164"/>
  <c r="AE290" i="164"/>
  <c r="AJ290" i="164"/>
  <c r="AX290" i="164"/>
  <c r="CR290" i="164" s="1"/>
  <c r="BB290" i="164"/>
  <c r="BC290" i="164"/>
  <c r="BI290" i="164" s="1"/>
  <c r="CN290" i="164"/>
  <c r="Q291" i="164"/>
  <c r="AA291" i="164"/>
  <c r="AF291" i="164"/>
  <c r="AW291" i="164"/>
  <c r="BB291" i="164"/>
  <c r="BC291" i="164"/>
  <c r="G292" i="164"/>
  <c r="H292" i="164" s="1"/>
  <c r="K292" i="164"/>
  <c r="L292" i="164" s="1"/>
  <c r="Q292" i="164"/>
  <c r="U292" i="164"/>
  <c r="X292" i="164"/>
  <c r="AD292" i="164"/>
  <c r="AE292" i="164"/>
  <c r="AJ292" i="164"/>
  <c r="AX292" i="164"/>
  <c r="CR292" i="164" s="1"/>
  <c r="CO292" i="164" s="1"/>
  <c r="BB292" i="164"/>
  <c r="BH292" i="164" s="1"/>
  <c r="BC292" i="164"/>
  <c r="BI292" i="164" s="1"/>
  <c r="CN292" i="164"/>
  <c r="Q293" i="164"/>
  <c r="U293" i="164"/>
  <c r="X293" i="164"/>
  <c r="AD293" i="164"/>
  <c r="AE293" i="164"/>
  <c r="AJ293" i="164"/>
  <c r="AX293" i="164"/>
  <c r="CR293" i="164" s="1"/>
  <c r="CO293" i="164" s="1"/>
  <c r="BB293" i="164"/>
  <c r="BC293" i="164"/>
  <c r="BI293" i="164" s="1"/>
  <c r="CN293" i="164"/>
  <c r="Q294" i="164"/>
  <c r="AA294" i="164"/>
  <c r="AF294" i="164"/>
  <c r="AW294" i="164"/>
  <c r="BB294" i="164"/>
  <c r="BC294" i="164"/>
  <c r="G295" i="164"/>
  <c r="H295" i="164" s="1"/>
  <c r="Y295" i="164" s="1"/>
  <c r="K295" i="164"/>
  <c r="L295" i="164" s="1"/>
  <c r="Q295" i="164"/>
  <c r="U295" i="164"/>
  <c r="X295" i="164"/>
  <c r="AD295" i="164"/>
  <c r="AE295" i="164"/>
  <c r="AJ295" i="164"/>
  <c r="AX295" i="164"/>
  <c r="AO295" i="164" s="1"/>
  <c r="BB295" i="164"/>
  <c r="BH295" i="164" s="1"/>
  <c r="BC295" i="164"/>
  <c r="BI295" i="164" s="1"/>
  <c r="CN295" i="164"/>
  <c r="Q296" i="164"/>
  <c r="AA296" i="164"/>
  <c r="AF296" i="164"/>
  <c r="AM296" i="164"/>
  <c r="AW296" i="164"/>
  <c r="BB296" i="164"/>
  <c r="BC296" i="164"/>
  <c r="CC296" i="164"/>
  <c r="G297" i="164"/>
  <c r="H297" i="164" s="1"/>
  <c r="K297" i="164"/>
  <c r="L297" i="164" s="1"/>
  <c r="Q297" i="164"/>
  <c r="U297" i="164"/>
  <c r="X297" i="164"/>
  <c r="AD297" i="164"/>
  <c r="AE297" i="164"/>
  <c r="AJ297" i="164"/>
  <c r="AX297" i="164"/>
  <c r="AO297" i="164" s="1"/>
  <c r="BB297" i="164"/>
  <c r="BC297" i="164"/>
  <c r="BI297" i="164" s="1"/>
  <c r="CN297" i="164"/>
  <c r="Q298" i="164"/>
  <c r="U298" i="164"/>
  <c r="X298" i="164"/>
  <c r="AD298" i="164"/>
  <c r="AE298" i="164"/>
  <c r="AJ298" i="164"/>
  <c r="AX298" i="164"/>
  <c r="AO298" i="164" s="1"/>
  <c r="BB298" i="164"/>
  <c r="BH298" i="164" s="1"/>
  <c r="BC298" i="164"/>
  <c r="BI298" i="164" s="1"/>
  <c r="CN298" i="164"/>
  <c r="Q299" i="164"/>
  <c r="U299" i="164"/>
  <c r="X299" i="164"/>
  <c r="AD299" i="164"/>
  <c r="AE299" i="164"/>
  <c r="AJ299" i="164"/>
  <c r="AX299" i="164"/>
  <c r="AO299" i="164" s="1"/>
  <c r="BB299" i="164"/>
  <c r="BH299" i="164" s="1"/>
  <c r="BC299" i="164"/>
  <c r="BI299" i="164" s="1"/>
  <c r="CN299" i="164"/>
  <c r="Q300" i="164"/>
  <c r="U300" i="164"/>
  <c r="X300" i="164"/>
  <c r="AD300" i="164"/>
  <c r="AE300" i="164"/>
  <c r="AJ300" i="164"/>
  <c r="AX300" i="164"/>
  <c r="AO300" i="164" s="1"/>
  <c r="BB300" i="164"/>
  <c r="BH300" i="164" s="1"/>
  <c r="BC300" i="164"/>
  <c r="BI300" i="164" s="1"/>
  <c r="CN300" i="164"/>
  <c r="Q301" i="164"/>
  <c r="U301" i="164"/>
  <c r="X301" i="164"/>
  <c r="AD301" i="164"/>
  <c r="AE301" i="164"/>
  <c r="AJ301" i="164"/>
  <c r="AX301" i="164"/>
  <c r="AO301" i="164" s="1"/>
  <c r="BB301" i="164"/>
  <c r="BH301" i="164" s="1"/>
  <c r="BC301" i="164"/>
  <c r="BI301" i="164" s="1"/>
  <c r="CN301" i="164"/>
  <c r="CR301" i="164"/>
  <c r="CO301" i="164" s="1"/>
  <c r="Q302" i="164"/>
  <c r="U302" i="164"/>
  <c r="X302" i="164"/>
  <c r="AD302" i="164"/>
  <c r="AE302" i="164"/>
  <c r="AJ302" i="164"/>
  <c r="AX302" i="164"/>
  <c r="AO302" i="164" s="1"/>
  <c r="BB302" i="164"/>
  <c r="BC302" i="164"/>
  <c r="BH302" i="164"/>
  <c r="CN302" i="164"/>
  <c r="Q303" i="164"/>
  <c r="AA303" i="164"/>
  <c r="AF303" i="164"/>
  <c r="AM303" i="164"/>
  <c r="AW303" i="164"/>
  <c r="BB303" i="164"/>
  <c r="BC303" i="164"/>
  <c r="CC303" i="164"/>
  <c r="G304" i="164"/>
  <c r="H304" i="164" s="1"/>
  <c r="K304" i="164"/>
  <c r="L304" i="164" s="1"/>
  <c r="CX304" i="164" s="1"/>
  <c r="Q304" i="164"/>
  <c r="U304" i="164"/>
  <c r="X304" i="164"/>
  <c r="AD304" i="164"/>
  <c r="AE304" i="164"/>
  <c r="AJ304" i="164"/>
  <c r="AX304" i="164"/>
  <c r="AO304" i="164" s="1"/>
  <c r="BB304" i="164"/>
  <c r="BC304" i="164"/>
  <c r="BI304" i="164" s="1"/>
  <c r="CN304" i="164"/>
  <c r="AA305" i="164"/>
  <c r="AF305" i="164"/>
  <c r="BB305" i="164"/>
  <c r="G306" i="164"/>
  <c r="H306" i="164" s="1"/>
  <c r="K306" i="164"/>
  <c r="L306" i="164" s="1"/>
  <c r="Q306" i="164"/>
  <c r="U306" i="164"/>
  <c r="X306" i="164"/>
  <c r="AD306" i="164"/>
  <c r="AE306" i="164"/>
  <c r="AJ306" i="164"/>
  <c r="AX306" i="164"/>
  <c r="CN306" i="164"/>
  <c r="Q307" i="164"/>
  <c r="U307" i="164"/>
  <c r="X307" i="164"/>
  <c r="AD307" i="164"/>
  <c r="AE307" i="164"/>
  <c r="AJ307" i="164"/>
  <c r="AX307" i="164"/>
  <c r="CR307" i="164" s="1"/>
  <c r="CO307" i="164" s="1"/>
  <c r="BH307" i="164"/>
  <c r="BI307" i="164"/>
  <c r="CN307" i="164"/>
  <c r="AA308" i="164"/>
  <c r="AF308" i="164"/>
  <c r="BB308" i="164"/>
  <c r="BC308" i="164"/>
  <c r="G309" i="164"/>
  <c r="H309" i="164" s="1"/>
  <c r="Y309" i="164" s="1"/>
  <c r="K309" i="164"/>
  <c r="L309" i="164" s="1"/>
  <c r="Q309" i="164"/>
  <c r="U309" i="164"/>
  <c r="X309" i="164"/>
  <c r="AD309" i="164"/>
  <c r="AE309" i="164"/>
  <c r="AJ309" i="164"/>
  <c r="AX309" i="164"/>
  <c r="AO309" i="164" s="1"/>
  <c r="BB309" i="164"/>
  <c r="BH309" i="164" s="1"/>
  <c r="BC309" i="164"/>
  <c r="BI309" i="164" s="1"/>
  <c r="CN309" i="164"/>
  <c r="CR309" i="164"/>
  <c r="CO309" i="164" s="1"/>
  <c r="Q310" i="164"/>
  <c r="U310" i="164"/>
  <c r="X310" i="164"/>
  <c r="AD310" i="164"/>
  <c r="AE310" i="164"/>
  <c r="AJ310" i="164"/>
  <c r="AX310" i="164"/>
  <c r="CR310" i="164" s="1"/>
  <c r="CO310" i="164" s="1"/>
  <c r="BB310" i="164"/>
  <c r="BC310" i="164"/>
  <c r="BI310" i="164" s="1"/>
  <c r="CN310" i="164"/>
  <c r="AA311" i="164"/>
  <c r="AF311" i="164"/>
  <c r="BB311" i="164"/>
  <c r="BC311" i="164"/>
  <c r="CC311" i="164"/>
  <c r="G312" i="164"/>
  <c r="H312" i="164" s="1"/>
  <c r="Y312" i="164" s="1"/>
  <c r="K312" i="164"/>
  <c r="L312" i="164" s="1"/>
  <c r="Q312" i="164"/>
  <c r="U312" i="164"/>
  <c r="X312" i="164"/>
  <c r="AD312" i="164"/>
  <c r="AE312" i="164"/>
  <c r="AJ312" i="164"/>
  <c r="AX312" i="164"/>
  <c r="AO312" i="164" s="1"/>
  <c r="BB312" i="164"/>
  <c r="BC312" i="164"/>
  <c r="BI312" i="164" s="1"/>
  <c r="CN312" i="164"/>
  <c r="AA313" i="164"/>
  <c r="AF313" i="164"/>
  <c r="G314" i="164"/>
  <c r="H314" i="164" s="1"/>
  <c r="Y314" i="164" s="1"/>
  <c r="K314" i="164"/>
  <c r="L314" i="164" s="1"/>
  <c r="Q314" i="164"/>
  <c r="U314" i="164"/>
  <c r="X314" i="164"/>
  <c r="AD314" i="164"/>
  <c r="AE314" i="164"/>
  <c r="AJ314" i="164"/>
  <c r="AX314" i="164"/>
  <c r="BB314" i="164"/>
  <c r="BC314" i="164"/>
  <c r="I313" i="168" s="1"/>
  <c r="CN314" i="164"/>
  <c r="CR314" i="164"/>
  <c r="CO314" i="164" s="1"/>
  <c r="AA315" i="164"/>
  <c r="AF315" i="164"/>
  <c r="BB315" i="164"/>
  <c r="G316" i="164"/>
  <c r="H316" i="164" s="1"/>
  <c r="K316" i="164"/>
  <c r="L316" i="164" s="1"/>
  <c r="K317" i="164" s="1"/>
  <c r="L317" i="164" s="1"/>
  <c r="Q316" i="164"/>
  <c r="U316" i="164"/>
  <c r="X316" i="164"/>
  <c r="AD316" i="164"/>
  <c r="AE316" i="164"/>
  <c r="AJ316" i="164"/>
  <c r="AX316" i="164"/>
  <c r="BB316" i="164"/>
  <c r="BH316" i="164" s="1"/>
  <c r="BC316" i="164"/>
  <c r="BI316" i="164" s="1"/>
  <c r="CN316" i="164"/>
  <c r="Q317" i="164"/>
  <c r="U317" i="164"/>
  <c r="X317" i="164"/>
  <c r="AD317" i="164"/>
  <c r="AE317" i="164"/>
  <c r="AJ317" i="164"/>
  <c r="AX317" i="164"/>
  <c r="BB317" i="164"/>
  <c r="BC317" i="164"/>
  <c r="BI317" i="164" s="1"/>
  <c r="BH317" i="164"/>
  <c r="CN317" i="164"/>
  <c r="E318" i="164"/>
  <c r="AD318" i="164" s="1"/>
  <c r="I318" i="164"/>
  <c r="Q318" i="164"/>
  <c r="U318" i="164"/>
  <c r="X318" i="164"/>
  <c r="AE318" i="164"/>
  <c r="AJ318" i="164"/>
  <c r="AX318" i="164"/>
  <c r="AO318" i="164" s="1"/>
  <c r="BB318" i="164"/>
  <c r="BH318" i="164" s="1"/>
  <c r="BC318" i="164"/>
  <c r="BI318" i="164" s="1"/>
  <c r="CN318" i="164"/>
  <c r="CR318" i="164"/>
  <c r="CO318" i="164" s="1"/>
  <c r="I319" i="164"/>
  <c r="Q319" i="164"/>
  <c r="U319" i="164"/>
  <c r="X319" i="164"/>
  <c r="AD319" i="164"/>
  <c r="AE319" i="164"/>
  <c r="AJ319" i="164"/>
  <c r="AX319" i="164"/>
  <c r="AO319" i="164" s="1"/>
  <c r="BB319" i="164"/>
  <c r="BH319" i="164" s="1"/>
  <c r="BC319" i="164"/>
  <c r="BI319" i="164" s="1"/>
  <c r="CN319" i="164"/>
  <c r="I320" i="164"/>
  <c r="Q320" i="164"/>
  <c r="U320" i="164"/>
  <c r="X320" i="164"/>
  <c r="AD320" i="164"/>
  <c r="AE320" i="164"/>
  <c r="AJ320" i="164"/>
  <c r="AX320" i="164"/>
  <c r="AO320" i="164" s="1"/>
  <c r="BB320" i="164"/>
  <c r="BC320" i="164"/>
  <c r="BI320" i="164" s="1"/>
  <c r="CN320" i="164"/>
  <c r="I321" i="164"/>
  <c r="Q321" i="164"/>
  <c r="U321" i="164"/>
  <c r="X321" i="164"/>
  <c r="AD321" i="164"/>
  <c r="AE321" i="164"/>
  <c r="AJ321" i="164"/>
  <c r="AX321" i="164"/>
  <c r="BB321" i="164"/>
  <c r="BH321" i="164" s="1"/>
  <c r="BC321" i="164"/>
  <c r="BI321" i="164"/>
  <c r="CN321" i="164"/>
  <c r="I322" i="164"/>
  <c r="Q322" i="164"/>
  <c r="U322" i="164"/>
  <c r="X322" i="164"/>
  <c r="AD322" i="164"/>
  <c r="AE322" i="164"/>
  <c r="AJ322" i="164"/>
  <c r="AO322" i="164"/>
  <c r="AX322" i="164"/>
  <c r="CR322" i="164" s="1"/>
  <c r="CO322" i="164" s="1"/>
  <c r="BB322" i="164"/>
  <c r="BH322" i="164" s="1"/>
  <c r="BC322" i="164"/>
  <c r="BI322" i="164" s="1"/>
  <c r="CN322" i="164"/>
  <c r="E323" i="164"/>
  <c r="AD323" i="164" s="1"/>
  <c r="I323" i="164"/>
  <c r="Q323" i="164"/>
  <c r="U323" i="164"/>
  <c r="X323" i="164"/>
  <c r="AJ323" i="164"/>
  <c r="AX323" i="164"/>
  <c r="CR323" i="164" s="1"/>
  <c r="CO323" i="164" s="1"/>
  <c r="BB323" i="164"/>
  <c r="BC323" i="164"/>
  <c r="BI323" i="164"/>
  <c r="CN323" i="164"/>
  <c r="I324" i="164"/>
  <c r="Q324" i="164"/>
  <c r="U324" i="164"/>
  <c r="X324" i="164"/>
  <c r="AD324" i="164"/>
  <c r="AE324" i="164"/>
  <c r="AJ324" i="164"/>
  <c r="AX324" i="164"/>
  <c r="CR324" i="164" s="1"/>
  <c r="CO324" i="164" s="1"/>
  <c r="BB324" i="164"/>
  <c r="BH324" i="164" s="1"/>
  <c r="BC324" i="164"/>
  <c r="CN324" i="164"/>
  <c r="I325" i="164"/>
  <c r="Q325" i="164"/>
  <c r="U325" i="164"/>
  <c r="X325" i="164"/>
  <c r="AD325" i="164"/>
  <c r="AE325" i="164"/>
  <c r="AJ325" i="164"/>
  <c r="AX325" i="164"/>
  <c r="CR325" i="164" s="1"/>
  <c r="BB325" i="164"/>
  <c r="BC325" i="164"/>
  <c r="BI325" i="164" s="1"/>
  <c r="BP325" i="164"/>
  <c r="CN325" i="164"/>
  <c r="C326" i="164"/>
  <c r="AX326" i="164" s="1"/>
  <c r="I326" i="164"/>
  <c r="AD326" i="164"/>
  <c r="AE326" i="164"/>
  <c r="AJ326" i="164"/>
  <c r="CN326" i="164"/>
  <c r="AA327" i="164"/>
  <c r="AF327" i="164"/>
  <c r="BB327" i="164"/>
  <c r="G328" i="164"/>
  <c r="H328" i="164" s="1"/>
  <c r="I328" i="164"/>
  <c r="K328" i="164"/>
  <c r="Q328" i="164"/>
  <c r="U328" i="164"/>
  <c r="X328" i="164"/>
  <c r="AD328" i="164"/>
  <c r="AE328" i="164"/>
  <c r="AJ328" i="164"/>
  <c r="AX328" i="164"/>
  <c r="BB328" i="164"/>
  <c r="H327" i="168" s="1"/>
  <c r="BC328" i="164"/>
  <c r="CN328" i="164"/>
  <c r="C329" i="164"/>
  <c r="C328" i="168" s="1"/>
  <c r="CI328" i="168" s="1"/>
  <c r="I329" i="164"/>
  <c r="Q329" i="164"/>
  <c r="U329" i="164"/>
  <c r="X329" i="164"/>
  <c r="AD329" i="164"/>
  <c r="AE329" i="164"/>
  <c r="AJ329" i="164"/>
  <c r="BB329" i="164"/>
  <c r="BH329" i="164" s="1"/>
  <c r="CN329" i="164"/>
  <c r="I330" i="164"/>
  <c r="Q330" i="164"/>
  <c r="U330" i="164"/>
  <c r="X330" i="164"/>
  <c r="AD330" i="164"/>
  <c r="AE330" i="164"/>
  <c r="AJ330" i="164"/>
  <c r="AX330" i="164"/>
  <c r="CR330" i="164" s="1"/>
  <c r="CO330" i="164" s="1"/>
  <c r="BB330" i="164"/>
  <c r="H329" i="168" s="1"/>
  <c r="BC330" i="164"/>
  <c r="CN330" i="164"/>
  <c r="I331" i="164"/>
  <c r="Q331" i="164"/>
  <c r="U331" i="164"/>
  <c r="X331" i="164"/>
  <c r="AD331" i="164"/>
  <c r="AE331" i="164"/>
  <c r="AJ331" i="164"/>
  <c r="AX331" i="164"/>
  <c r="AO331" i="164" s="1"/>
  <c r="BB331" i="164"/>
  <c r="BH331" i="164" s="1"/>
  <c r="BC331" i="164"/>
  <c r="BI331" i="164" s="1"/>
  <c r="CN331" i="164"/>
  <c r="Q332" i="164"/>
  <c r="U332" i="164"/>
  <c r="X332" i="164"/>
  <c r="AD332" i="164"/>
  <c r="AE332" i="164"/>
  <c r="AJ332" i="164"/>
  <c r="AX332" i="164"/>
  <c r="AO332" i="164" s="1"/>
  <c r="BB332" i="164"/>
  <c r="H331" i="168" s="1"/>
  <c r="BC332" i="164"/>
  <c r="I331" i="168" s="1"/>
  <c r="BI332" i="164"/>
  <c r="K331" i="168" s="1"/>
  <c r="CN332" i="164"/>
  <c r="G333" i="164"/>
  <c r="H333" i="164" s="1"/>
  <c r="K333" i="164"/>
  <c r="L333" i="164" s="1"/>
  <c r="K334" i="164" s="1"/>
  <c r="L334" i="164" s="1"/>
  <c r="Z334" i="164" s="1"/>
  <c r="Q333" i="164"/>
  <c r="U333" i="164"/>
  <c r="X333" i="164"/>
  <c r="AD333" i="164"/>
  <c r="AE333" i="164"/>
  <c r="AJ333" i="164"/>
  <c r="AX333" i="164"/>
  <c r="BB333" i="164"/>
  <c r="BH333" i="164" s="1"/>
  <c r="BC333" i="164"/>
  <c r="BI333" i="164"/>
  <c r="CN333" i="164"/>
  <c r="Q334" i="164"/>
  <c r="U334" i="164"/>
  <c r="X334" i="164"/>
  <c r="AD334" i="164"/>
  <c r="AE334" i="164"/>
  <c r="AJ334" i="164"/>
  <c r="AX334" i="164"/>
  <c r="CR334" i="164" s="1"/>
  <c r="BB334" i="164"/>
  <c r="BC334" i="164"/>
  <c r="BI334" i="164" s="1"/>
  <c r="CN334" i="164"/>
  <c r="CO334" i="164"/>
  <c r="Q335" i="164"/>
  <c r="U335" i="164"/>
  <c r="X335" i="164"/>
  <c r="AD335" i="164"/>
  <c r="AE335" i="164"/>
  <c r="AJ335" i="164"/>
  <c r="AX335" i="164"/>
  <c r="AO335" i="164" s="1"/>
  <c r="BB335" i="164"/>
  <c r="BH335" i="164" s="1"/>
  <c r="BC335" i="164"/>
  <c r="BI335" i="164" s="1"/>
  <c r="CN335" i="164"/>
  <c r="CR335" i="164"/>
  <c r="CO335" i="164" s="1"/>
  <c r="Q336" i="164"/>
  <c r="U336" i="164"/>
  <c r="X336" i="164"/>
  <c r="AD336" i="164"/>
  <c r="AE336" i="164"/>
  <c r="AJ336" i="164"/>
  <c r="AX336" i="164"/>
  <c r="AO336" i="164" s="1"/>
  <c r="BB336" i="164"/>
  <c r="BH336" i="164" s="1"/>
  <c r="BC336" i="164"/>
  <c r="CN336" i="164"/>
  <c r="C337" i="164"/>
  <c r="AX337" i="164" s="1"/>
  <c r="AO337" i="164" s="1"/>
  <c r="Q337" i="164"/>
  <c r="U337" i="164"/>
  <c r="AD337" i="164"/>
  <c r="AE337" i="164"/>
  <c r="AJ337" i="164"/>
  <c r="CN337" i="164"/>
  <c r="C338" i="164"/>
  <c r="X338" i="164" s="1"/>
  <c r="Q338" i="164"/>
  <c r="AD338" i="164"/>
  <c r="AE338" i="164"/>
  <c r="AJ338" i="164"/>
  <c r="CN338" i="164"/>
  <c r="C339" i="164"/>
  <c r="AX339" i="164" s="1"/>
  <c r="Q339" i="164"/>
  <c r="AD339" i="164"/>
  <c r="AE339" i="164"/>
  <c r="AJ339" i="164"/>
  <c r="CN339" i="164"/>
  <c r="Q340" i="164"/>
  <c r="U340" i="164"/>
  <c r="X340" i="164"/>
  <c r="AD340" i="164"/>
  <c r="AE340" i="164"/>
  <c r="AJ340" i="164"/>
  <c r="AX340" i="164"/>
  <c r="CR340" i="164" s="1"/>
  <c r="CO340" i="164" s="1"/>
  <c r="BB340" i="164"/>
  <c r="BH340" i="164" s="1"/>
  <c r="BC340" i="164"/>
  <c r="CN340" i="164"/>
  <c r="C341" i="164"/>
  <c r="Q341" i="164"/>
  <c r="AD341" i="164"/>
  <c r="AE341" i="164"/>
  <c r="AJ341" i="164"/>
  <c r="CN341" i="164"/>
  <c r="C342" i="164"/>
  <c r="Q342" i="164"/>
  <c r="AD342" i="164"/>
  <c r="AE342" i="164"/>
  <c r="AJ342" i="164"/>
  <c r="BI342" i="164"/>
  <c r="CN342" i="164"/>
  <c r="C343" i="164"/>
  <c r="AX343" i="164" s="1"/>
  <c r="Q343" i="164"/>
  <c r="AD343" i="164"/>
  <c r="AE343" i="164"/>
  <c r="AJ343" i="164"/>
  <c r="CN343" i="164"/>
  <c r="C344" i="164"/>
  <c r="U344" i="164" s="1"/>
  <c r="Q344" i="164"/>
  <c r="AD344" i="164"/>
  <c r="AE344" i="164"/>
  <c r="AJ344" i="164"/>
  <c r="CN344" i="164"/>
  <c r="C345" i="164"/>
  <c r="Q345" i="164"/>
  <c r="AD345" i="164"/>
  <c r="AE345" i="164"/>
  <c r="AJ345" i="164"/>
  <c r="BH345" i="164"/>
  <c r="BI345" i="164"/>
  <c r="CN345" i="164"/>
  <c r="C346" i="164"/>
  <c r="U346" i="164" s="1"/>
  <c r="Q346" i="164"/>
  <c r="AD346" i="164"/>
  <c r="AE346" i="164"/>
  <c r="AJ346" i="164"/>
  <c r="BH346" i="164"/>
  <c r="BI346" i="164"/>
  <c r="CN346" i="164"/>
  <c r="C347" i="164"/>
  <c r="AX347" i="164" s="1"/>
  <c r="BK347" i="164" s="1"/>
  <c r="Q347" i="164"/>
  <c r="U347" i="164"/>
  <c r="AD347" i="164"/>
  <c r="AE347" i="164"/>
  <c r="AJ347" i="164"/>
  <c r="BH347" i="164"/>
  <c r="BI347" i="164"/>
  <c r="CN347" i="164"/>
  <c r="C348" i="164"/>
  <c r="X348" i="164" s="1"/>
  <c r="Q348" i="164"/>
  <c r="AD348" i="164"/>
  <c r="AE348" i="164"/>
  <c r="AJ348" i="164"/>
  <c r="CN348" i="164"/>
  <c r="C349" i="164"/>
  <c r="AX349" i="164" s="1"/>
  <c r="AO349" i="164" s="1"/>
  <c r="Q349" i="164"/>
  <c r="AD349" i="164"/>
  <c r="AE349" i="164"/>
  <c r="AJ349" i="164"/>
  <c r="BI349" i="164"/>
  <c r="CN349" i="164"/>
  <c r="C350" i="164"/>
  <c r="Q350" i="164"/>
  <c r="U350" i="164"/>
  <c r="AD350" i="164"/>
  <c r="AE350" i="164"/>
  <c r="AJ350" i="164"/>
  <c r="BI350" i="164"/>
  <c r="CN350" i="164"/>
  <c r="C351" i="164"/>
  <c r="Q351" i="164"/>
  <c r="X351" i="164"/>
  <c r="AD351" i="164"/>
  <c r="AE351" i="164"/>
  <c r="AJ351" i="164"/>
  <c r="BH351" i="164"/>
  <c r="CN351" i="164"/>
  <c r="C352" i="164"/>
  <c r="BC352" i="164" s="1"/>
  <c r="BI352" i="164" s="1"/>
  <c r="Q352" i="164"/>
  <c r="AD352" i="164"/>
  <c r="AE352" i="164"/>
  <c r="AJ352" i="164"/>
  <c r="CN352" i="164"/>
  <c r="C353" i="164"/>
  <c r="BB353" i="164" s="1"/>
  <c r="BH353" i="164" s="1"/>
  <c r="Q353" i="164"/>
  <c r="AD353" i="164"/>
  <c r="AE353" i="164"/>
  <c r="AJ353" i="164"/>
  <c r="CN353" i="164"/>
  <c r="C354" i="164"/>
  <c r="BC354" i="164" s="1"/>
  <c r="BI354" i="164" s="1"/>
  <c r="Q354" i="164"/>
  <c r="X354" i="164"/>
  <c r="AD354" i="164"/>
  <c r="AE354" i="164"/>
  <c r="AJ354" i="164"/>
  <c r="CN354" i="164"/>
  <c r="C355" i="164"/>
  <c r="U355" i="164" s="1"/>
  <c r="Q355" i="164"/>
  <c r="AD355" i="164"/>
  <c r="AE355" i="164"/>
  <c r="AJ355" i="164"/>
  <c r="AX355" i="164"/>
  <c r="BB355" i="164"/>
  <c r="CN355" i="164"/>
  <c r="C356" i="164"/>
  <c r="X356" i="164" s="1"/>
  <c r="Q356" i="164"/>
  <c r="AD356" i="164"/>
  <c r="AE356" i="164"/>
  <c r="AJ356" i="164"/>
  <c r="CN356" i="164"/>
  <c r="C357" i="164"/>
  <c r="X357" i="164" s="1"/>
  <c r="Q357" i="164"/>
  <c r="AD357" i="164"/>
  <c r="AE357" i="164"/>
  <c r="AJ357" i="164"/>
  <c r="CN357" i="164"/>
  <c r="Q358" i="164"/>
  <c r="U358" i="164"/>
  <c r="X358" i="164"/>
  <c r="AD358" i="164"/>
  <c r="AE358" i="164"/>
  <c r="AJ358" i="164"/>
  <c r="AX358" i="164"/>
  <c r="CR358" i="164" s="1"/>
  <c r="CO358" i="164" s="1"/>
  <c r="BB358" i="164"/>
  <c r="BH358" i="164" s="1"/>
  <c r="BC358" i="164"/>
  <c r="BI358" i="164" s="1"/>
  <c r="CN358" i="164"/>
  <c r="Q359" i="164"/>
  <c r="U359" i="164"/>
  <c r="X359" i="164"/>
  <c r="AD359" i="164"/>
  <c r="AJ359" i="164"/>
  <c r="AX359" i="164"/>
  <c r="AO359" i="164" s="1"/>
  <c r="BB359" i="164"/>
  <c r="BC359" i="164"/>
  <c r="BI359" i="164"/>
  <c r="CN359" i="164"/>
  <c r="Q360" i="164"/>
  <c r="U360" i="164"/>
  <c r="X360" i="164"/>
  <c r="AD360" i="164"/>
  <c r="AE360" i="164"/>
  <c r="AJ360" i="164"/>
  <c r="AX360" i="164"/>
  <c r="CR360" i="164" s="1"/>
  <c r="CO360" i="164" s="1"/>
  <c r="BB360" i="164"/>
  <c r="BH360" i="164" s="1"/>
  <c r="BC360" i="164"/>
  <c r="BI360" i="164" s="1"/>
  <c r="CN360" i="164"/>
  <c r="Q361" i="164"/>
  <c r="U361" i="164"/>
  <c r="X361" i="164"/>
  <c r="AD361" i="164"/>
  <c r="AE361" i="164"/>
  <c r="AJ361" i="164"/>
  <c r="AX361" i="164"/>
  <c r="AO361" i="164" s="1"/>
  <c r="BB361" i="164"/>
  <c r="BC361" i="164"/>
  <c r="BI361" i="164" s="1"/>
  <c r="CN361" i="164"/>
  <c r="Q362" i="164"/>
  <c r="U362" i="164"/>
  <c r="X362" i="164"/>
  <c r="AD362" i="164"/>
  <c r="AE362" i="164"/>
  <c r="AJ362" i="164"/>
  <c r="AX362" i="164"/>
  <c r="CR362" i="164" s="1"/>
  <c r="BB362" i="164"/>
  <c r="BH362" i="164" s="1"/>
  <c r="BC362" i="164"/>
  <c r="BI362" i="164" s="1"/>
  <c r="CN362" i="164"/>
  <c r="Q363" i="164"/>
  <c r="U363" i="164"/>
  <c r="X363" i="164"/>
  <c r="AD363" i="164"/>
  <c r="AE363" i="164"/>
  <c r="AJ363" i="164"/>
  <c r="AX363" i="164"/>
  <c r="BB363" i="164"/>
  <c r="BC363" i="164"/>
  <c r="BI363" i="164" s="1"/>
  <c r="CN363" i="164"/>
  <c r="Q364" i="164"/>
  <c r="U364" i="164"/>
  <c r="X364" i="164"/>
  <c r="AD364" i="164"/>
  <c r="AE364" i="164"/>
  <c r="AJ364" i="164"/>
  <c r="AX364" i="164"/>
  <c r="AO364" i="164" s="1"/>
  <c r="BB364" i="164"/>
  <c r="BC364" i="164"/>
  <c r="BI364" i="164"/>
  <c r="CN364" i="164"/>
  <c r="Q365" i="164"/>
  <c r="U365" i="164"/>
  <c r="X365" i="164"/>
  <c r="AD365" i="164"/>
  <c r="AE365" i="164"/>
  <c r="AJ365" i="164"/>
  <c r="AX365" i="164"/>
  <c r="AO365" i="164" s="1"/>
  <c r="BB365" i="164"/>
  <c r="BH365" i="164" s="1"/>
  <c r="BC365" i="164"/>
  <c r="BI365" i="164" s="1"/>
  <c r="CN365" i="164"/>
  <c r="Q366" i="164"/>
  <c r="U366" i="164"/>
  <c r="X366" i="164"/>
  <c r="AD366" i="164"/>
  <c r="AE366" i="164"/>
  <c r="AJ366" i="164"/>
  <c r="AX366" i="164"/>
  <c r="AO366" i="164" s="1"/>
  <c r="BB366" i="164"/>
  <c r="BH366" i="164" s="1"/>
  <c r="BC366" i="164"/>
  <c r="BI366" i="164" s="1"/>
  <c r="CN366" i="164"/>
  <c r="CR366" i="164"/>
  <c r="CO366" i="164" s="1"/>
  <c r="Q367" i="164"/>
  <c r="U367" i="164"/>
  <c r="X367" i="164"/>
  <c r="AD367" i="164"/>
  <c r="AE367" i="164"/>
  <c r="AJ367" i="164"/>
  <c r="AX367" i="164"/>
  <c r="CR367" i="164" s="1"/>
  <c r="CO367" i="164" s="1"/>
  <c r="BB367" i="164"/>
  <c r="BH367" i="164" s="1"/>
  <c r="BC367" i="164"/>
  <c r="BI367" i="164" s="1"/>
  <c r="CN367" i="164"/>
  <c r="Q368" i="164"/>
  <c r="U368" i="164"/>
  <c r="X368" i="164"/>
  <c r="AD368" i="164"/>
  <c r="AE368" i="164"/>
  <c r="AJ368" i="164"/>
  <c r="AX368" i="164"/>
  <c r="AO368" i="164" s="1"/>
  <c r="BB368" i="164"/>
  <c r="BC368" i="164"/>
  <c r="BI368" i="164" s="1"/>
  <c r="CN368" i="164"/>
  <c r="Q369" i="164"/>
  <c r="U369" i="164"/>
  <c r="X369" i="164"/>
  <c r="AD369" i="164"/>
  <c r="AE369" i="164"/>
  <c r="AJ369" i="164"/>
  <c r="AX369" i="164"/>
  <c r="AO369" i="164" s="1"/>
  <c r="BB369" i="164"/>
  <c r="BH369" i="164" s="1"/>
  <c r="BC369" i="164"/>
  <c r="BI369" i="164" s="1"/>
  <c r="CN369" i="164"/>
  <c r="G370" i="164"/>
  <c r="H370" i="164" s="1"/>
  <c r="AA370" i="164"/>
  <c r="AF370" i="164"/>
  <c r="AM370" i="164"/>
  <c r="BB370" i="164"/>
  <c r="BC370" i="164"/>
  <c r="BJ370" i="164"/>
  <c r="CC370" i="164"/>
  <c r="CO370" i="164"/>
  <c r="CP370" i="164"/>
  <c r="G371" i="164"/>
  <c r="H371" i="164" s="1"/>
  <c r="Y371" i="164" s="1"/>
  <c r="K371" i="164"/>
  <c r="L371" i="164" s="1"/>
  <c r="Q371" i="164"/>
  <c r="U371" i="164"/>
  <c r="X371" i="164"/>
  <c r="AD371" i="164"/>
  <c r="AE371" i="164"/>
  <c r="AJ371" i="164"/>
  <c r="AX371" i="164"/>
  <c r="AO371" i="164" s="1"/>
  <c r="BB371" i="164"/>
  <c r="BH371" i="164" s="1"/>
  <c r="BC371" i="164"/>
  <c r="BI371" i="164"/>
  <c r="CN371" i="164"/>
  <c r="Q372" i="164"/>
  <c r="U372" i="164"/>
  <c r="X372" i="164"/>
  <c r="AD372" i="164"/>
  <c r="AE372" i="164"/>
  <c r="AJ372" i="164"/>
  <c r="AX372" i="164"/>
  <c r="AO372" i="164" s="1"/>
  <c r="BB372" i="164"/>
  <c r="BK372" i="164" s="1"/>
  <c r="BC372" i="164"/>
  <c r="BI372" i="164" s="1"/>
  <c r="BH372" i="164"/>
  <c r="CN372" i="164"/>
  <c r="Q373" i="164"/>
  <c r="U373" i="164"/>
  <c r="X373" i="164"/>
  <c r="AD373" i="164"/>
  <c r="AE373" i="164"/>
  <c r="AJ373" i="164"/>
  <c r="AX373" i="164"/>
  <c r="BB373" i="164"/>
  <c r="BH373" i="164" s="1"/>
  <c r="BC373" i="164"/>
  <c r="BI373" i="164" s="1"/>
  <c r="CN373" i="164"/>
  <c r="Q374" i="164"/>
  <c r="U374" i="164"/>
  <c r="X374" i="164"/>
  <c r="AD374" i="164"/>
  <c r="AE374" i="164"/>
  <c r="AJ374" i="164"/>
  <c r="AX374" i="164"/>
  <c r="CR374" i="164" s="1"/>
  <c r="CO374" i="164" s="1"/>
  <c r="BB374" i="164"/>
  <c r="BH374" i="164" s="1"/>
  <c r="BC374" i="164"/>
  <c r="BI374" i="164" s="1"/>
  <c r="CN374" i="164"/>
  <c r="Q375" i="164"/>
  <c r="U375" i="164"/>
  <c r="X375" i="164"/>
  <c r="AD375" i="164"/>
  <c r="AE375" i="164"/>
  <c r="AJ375" i="164"/>
  <c r="AX375" i="164"/>
  <c r="AO375" i="164" s="1"/>
  <c r="BB375" i="164"/>
  <c r="BC375" i="164"/>
  <c r="BI375" i="164"/>
  <c r="CN375" i="164"/>
  <c r="Q376" i="164"/>
  <c r="U376" i="164"/>
  <c r="X376" i="164"/>
  <c r="AD376" i="164"/>
  <c r="AE376" i="164"/>
  <c r="AJ376" i="164"/>
  <c r="AX376" i="164"/>
  <c r="CR376" i="164" s="1"/>
  <c r="CO376" i="164" s="1"/>
  <c r="BB376" i="164"/>
  <c r="BC376" i="164"/>
  <c r="BH376" i="164"/>
  <c r="BI376" i="164"/>
  <c r="CN376" i="164"/>
  <c r="Q377" i="164"/>
  <c r="U377" i="164"/>
  <c r="X377" i="164"/>
  <c r="AD377" i="164"/>
  <c r="AE377" i="164"/>
  <c r="AJ377" i="164"/>
  <c r="AX377" i="164"/>
  <c r="BB377" i="164"/>
  <c r="BC377" i="164"/>
  <c r="BI377" i="164" s="1"/>
  <c r="CN377" i="164"/>
  <c r="Q378" i="164"/>
  <c r="U378" i="164"/>
  <c r="X378" i="164"/>
  <c r="AD378" i="164"/>
  <c r="AE378" i="164"/>
  <c r="AJ378" i="164"/>
  <c r="AX378" i="164"/>
  <c r="AO378" i="164" s="1"/>
  <c r="BB378" i="164"/>
  <c r="BC378" i="164"/>
  <c r="BI378" i="164" s="1"/>
  <c r="CN378" i="164"/>
  <c r="G379" i="164"/>
  <c r="H379" i="164" s="1"/>
  <c r="AA379" i="164"/>
  <c r="AF379" i="164"/>
  <c r="AM379" i="164"/>
  <c r="BB379" i="164"/>
  <c r="BC379" i="164"/>
  <c r="BJ379" i="164"/>
  <c r="CC379" i="164"/>
  <c r="CO379" i="164"/>
  <c r="CP379" i="164"/>
  <c r="G380" i="164"/>
  <c r="H380" i="164" s="1"/>
  <c r="K380" i="164"/>
  <c r="L380" i="164" s="1"/>
  <c r="Q380" i="164"/>
  <c r="U380" i="164"/>
  <c r="X380" i="164"/>
  <c r="AD380" i="164"/>
  <c r="AE380" i="164"/>
  <c r="AJ380" i="164"/>
  <c r="AX380" i="164"/>
  <c r="BB380" i="164"/>
  <c r="BC380" i="164"/>
  <c r="BI380" i="164" s="1"/>
  <c r="BH380" i="164"/>
  <c r="CN380" i="164"/>
  <c r="Q381" i="164"/>
  <c r="U381" i="164"/>
  <c r="X381" i="164"/>
  <c r="AD381" i="164"/>
  <c r="AE381" i="164"/>
  <c r="AJ381" i="164"/>
  <c r="AX381" i="164"/>
  <c r="BB381" i="164"/>
  <c r="BC381" i="164"/>
  <c r="BI381" i="164" s="1"/>
  <c r="CN381" i="164"/>
  <c r="Q382" i="164"/>
  <c r="U382" i="164"/>
  <c r="X382" i="164"/>
  <c r="AD382" i="164"/>
  <c r="AE382" i="164"/>
  <c r="AJ382" i="164"/>
  <c r="AX382" i="164"/>
  <c r="CR382" i="164" s="1"/>
  <c r="CO382" i="164" s="1"/>
  <c r="BB382" i="164"/>
  <c r="BH382" i="164" s="1"/>
  <c r="BC382" i="164"/>
  <c r="BI382" i="164"/>
  <c r="CN382" i="164"/>
  <c r="Q383" i="164"/>
  <c r="U383" i="164"/>
  <c r="X383" i="164"/>
  <c r="AD383" i="164"/>
  <c r="AE383" i="164"/>
  <c r="AJ383" i="164"/>
  <c r="AO383" i="164"/>
  <c r="AX383" i="164"/>
  <c r="CR383" i="164" s="1"/>
  <c r="CO383" i="164" s="1"/>
  <c r="BB383" i="164"/>
  <c r="BH383" i="164" s="1"/>
  <c r="BC383" i="164"/>
  <c r="BI383" i="164" s="1"/>
  <c r="CN383" i="164"/>
  <c r="Q384" i="164"/>
  <c r="U384" i="164"/>
  <c r="X384" i="164"/>
  <c r="AD384" i="164"/>
  <c r="AE384" i="164"/>
  <c r="AJ384" i="164"/>
  <c r="AX384" i="164"/>
  <c r="CR384" i="164" s="1"/>
  <c r="CO384" i="164" s="1"/>
  <c r="BB384" i="164"/>
  <c r="BC384" i="164"/>
  <c r="BI384" i="164" s="1"/>
  <c r="CN384" i="164"/>
  <c r="Q385" i="164"/>
  <c r="U385" i="164"/>
  <c r="X385" i="164"/>
  <c r="AD385" i="164"/>
  <c r="AE385" i="164"/>
  <c r="AJ385" i="164"/>
  <c r="AX385" i="164"/>
  <c r="AO385" i="164" s="1"/>
  <c r="BB385" i="164"/>
  <c r="BC385" i="164"/>
  <c r="BI385" i="164" s="1"/>
  <c r="CN385" i="164"/>
  <c r="Q386" i="164"/>
  <c r="U386" i="164"/>
  <c r="X386" i="164"/>
  <c r="AD386" i="164"/>
  <c r="AE386" i="164"/>
  <c r="AJ386" i="164"/>
  <c r="AX386" i="164"/>
  <c r="BB386" i="164"/>
  <c r="BC386" i="164"/>
  <c r="BI386" i="164" s="1"/>
  <c r="BH386" i="164"/>
  <c r="CN386" i="164"/>
  <c r="Q387" i="164"/>
  <c r="U387" i="164"/>
  <c r="X387" i="164"/>
  <c r="AD387" i="164"/>
  <c r="AE387" i="164"/>
  <c r="AJ387" i="164"/>
  <c r="AX387" i="164"/>
  <c r="BB387" i="164"/>
  <c r="BC387" i="164"/>
  <c r="BI387" i="164" s="1"/>
  <c r="CN387" i="164"/>
  <c r="G388" i="164"/>
  <c r="H388" i="164" s="1"/>
  <c r="AA388" i="164"/>
  <c r="AF388" i="164"/>
  <c r="AM388" i="164"/>
  <c r="BB388" i="164"/>
  <c r="BC388" i="164"/>
  <c r="BJ388" i="164"/>
  <c r="CC388" i="164"/>
  <c r="CO388" i="164"/>
  <c r="CP388" i="164"/>
  <c r="G389" i="164"/>
  <c r="H389" i="164" s="1"/>
  <c r="G390" i="164" s="1"/>
  <c r="H390" i="164" s="1"/>
  <c r="Y390" i="164" s="1"/>
  <c r="K389" i="164"/>
  <c r="L389" i="164" s="1"/>
  <c r="CX389" i="164" s="1"/>
  <c r="Q389" i="164"/>
  <c r="U389" i="164"/>
  <c r="X389" i="164"/>
  <c r="AD389" i="164"/>
  <c r="AE389" i="164"/>
  <c r="AJ389" i="164"/>
  <c r="AX389" i="164"/>
  <c r="BB389" i="164"/>
  <c r="BH389" i="164" s="1"/>
  <c r="BC389" i="164"/>
  <c r="BI389" i="164" s="1"/>
  <c r="CN389" i="164"/>
  <c r="Q390" i="164"/>
  <c r="U390" i="164"/>
  <c r="X390" i="164"/>
  <c r="AD390" i="164"/>
  <c r="AE390" i="164"/>
  <c r="AJ390" i="164"/>
  <c r="AX390" i="164"/>
  <c r="AO390" i="164" s="1"/>
  <c r="BB390" i="164"/>
  <c r="BK390" i="164" s="1"/>
  <c r="CP390" i="164" s="1"/>
  <c r="BC390" i="164"/>
  <c r="BI390" i="164" s="1"/>
  <c r="CN390" i="164"/>
  <c r="CR390" i="164"/>
  <c r="CO390" i="164" s="1"/>
  <c r="Q391" i="164"/>
  <c r="U391" i="164"/>
  <c r="X391" i="164"/>
  <c r="AD391" i="164"/>
  <c r="AE391" i="164"/>
  <c r="AJ391" i="164"/>
  <c r="AX391" i="164"/>
  <c r="CR391" i="164" s="1"/>
  <c r="CO391" i="164" s="1"/>
  <c r="BB391" i="164"/>
  <c r="BC391" i="164"/>
  <c r="BI391" i="164" s="1"/>
  <c r="CN391" i="164"/>
  <c r="G392" i="164"/>
  <c r="H392" i="164" s="1"/>
  <c r="AA392" i="164"/>
  <c r="AF392" i="164"/>
  <c r="AM392" i="164"/>
  <c r="BB392" i="164"/>
  <c r="BC392" i="164"/>
  <c r="BJ392" i="164"/>
  <c r="CC392" i="164"/>
  <c r="CO392" i="164"/>
  <c r="CP392" i="164"/>
  <c r="G393" i="164"/>
  <c r="H393" i="164" s="1"/>
  <c r="K393" i="164"/>
  <c r="L393" i="164" s="1"/>
  <c r="Q393" i="164"/>
  <c r="U393" i="164"/>
  <c r="X393" i="164"/>
  <c r="AD393" i="164"/>
  <c r="AE393" i="164"/>
  <c r="AJ393" i="164"/>
  <c r="AX393" i="164"/>
  <c r="BB393" i="164"/>
  <c r="BH393" i="164" s="1"/>
  <c r="BC393" i="164"/>
  <c r="BI393" i="164"/>
  <c r="CN393" i="164"/>
  <c r="Q394" i="164"/>
  <c r="U394" i="164"/>
  <c r="X394" i="164"/>
  <c r="AD394" i="164"/>
  <c r="AE394" i="164"/>
  <c r="AJ394" i="164"/>
  <c r="AX394" i="164"/>
  <c r="CR394" i="164" s="1"/>
  <c r="CO394" i="164" s="1"/>
  <c r="BB394" i="164"/>
  <c r="BH394" i="164" s="1"/>
  <c r="BC394" i="164"/>
  <c r="BI394" i="164" s="1"/>
  <c r="CN394" i="164"/>
  <c r="G395" i="164"/>
  <c r="H395" i="164" s="1"/>
  <c r="AA395" i="164"/>
  <c r="AF395" i="164"/>
  <c r="AM395" i="164"/>
  <c r="BB395" i="164"/>
  <c r="BC395" i="164"/>
  <c r="BJ395" i="164"/>
  <c r="CC395" i="164"/>
  <c r="CO395" i="164"/>
  <c r="CP395" i="164"/>
  <c r="G396" i="164"/>
  <c r="H396" i="164" s="1"/>
  <c r="K396" i="164"/>
  <c r="L396" i="164" s="1"/>
  <c r="Q396" i="164"/>
  <c r="U396" i="164"/>
  <c r="X396" i="164"/>
  <c r="AD396" i="164"/>
  <c r="AE396" i="164"/>
  <c r="AJ396" i="164"/>
  <c r="AX396" i="164"/>
  <c r="AO396" i="164" s="1"/>
  <c r="BB396" i="164"/>
  <c r="BC396" i="164"/>
  <c r="BI396" i="164" s="1"/>
  <c r="CN396" i="164"/>
  <c r="G397" i="164"/>
  <c r="H397" i="164" s="1"/>
  <c r="Q397" i="164"/>
  <c r="AA397" i="164"/>
  <c r="AF397" i="164"/>
  <c r="AM397" i="164"/>
  <c r="BB397" i="164"/>
  <c r="BC397" i="164"/>
  <c r="BJ397" i="164"/>
  <c r="CC397" i="164"/>
  <c r="CO397" i="164"/>
  <c r="CP397" i="164"/>
  <c r="Q398" i="164"/>
  <c r="U398" i="164"/>
  <c r="X398" i="164"/>
  <c r="AD398" i="164"/>
  <c r="AE398" i="164"/>
  <c r="AJ398" i="164"/>
  <c r="AN398" i="164"/>
  <c r="AX398" i="164"/>
  <c r="AO398" i="164" s="1"/>
  <c r="BB398" i="164"/>
  <c r="BH398" i="164" s="1"/>
  <c r="BC398" i="164"/>
  <c r="BI398" i="164" s="1"/>
  <c r="CN398" i="164"/>
  <c r="G399" i="164"/>
  <c r="H399" i="164" s="1"/>
  <c r="Q399" i="164"/>
  <c r="AA399" i="164"/>
  <c r="AF399" i="164"/>
  <c r="AM399" i="164"/>
  <c r="BB399" i="164"/>
  <c r="BC399" i="164"/>
  <c r="BJ399" i="164"/>
  <c r="CC399" i="164"/>
  <c r="CO399" i="164"/>
  <c r="CP399" i="164"/>
  <c r="G400" i="164"/>
  <c r="H400" i="164"/>
  <c r="K400" i="164"/>
  <c r="L400" i="164" s="1"/>
  <c r="Q400" i="164"/>
  <c r="U400" i="164"/>
  <c r="X400" i="164"/>
  <c r="AD400" i="164"/>
  <c r="AE400" i="164"/>
  <c r="AJ400" i="164"/>
  <c r="AX400" i="164"/>
  <c r="CR400" i="164" s="1"/>
  <c r="CO400" i="164" s="1"/>
  <c r="BB400" i="164"/>
  <c r="BC400" i="164"/>
  <c r="BI400" i="164" s="1"/>
  <c r="CN400" i="164"/>
  <c r="Q401" i="164"/>
  <c r="U401" i="164"/>
  <c r="X401" i="164"/>
  <c r="AD401" i="164"/>
  <c r="AE401" i="164"/>
  <c r="AJ401" i="164"/>
  <c r="AX401" i="164"/>
  <c r="CR401" i="164" s="1"/>
  <c r="CO401" i="164" s="1"/>
  <c r="BB401" i="164"/>
  <c r="BH401" i="164" s="1"/>
  <c r="BC401" i="164"/>
  <c r="BI401" i="164"/>
  <c r="CN401" i="164"/>
  <c r="Q402" i="164"/>
  <c r="U402" i="164"/>
  <c r="X402" i="164"/>
  <c r="AD402" i="164"/>
  <c r="AE402" i="164"/>
  <c r="AJ402" i="164"/>
  <c r="AX402" i="164"/>
  <c r="AO402" i="164" s="1"/>
  <c r="BB402" i="164"/>
  <c r="BC402" i="164"/>
  <c r="BI402" i="164" s="1"/>
  <c r="CN402" i="164"/>
  <c r="Q403" i="164"/>
  <c r="U403" i="164"/>
  <c r="X403" i="164"/>
  <c r="AD403" i="164"/>
  <c r="AE403" i="164"/>
  <c r="AJ403" i="164"/>
  <c r="AX403" i="164"/>
  <c r="CR403" i="164" s="1"/>
  <c r="CO403" i="164" s="1"/>
  <c r="BB403" i="164"/>
  <c r="BH403" i="164" s="1"/>
  <c r="BC403" i="164"/>
  <c r="BI403" i="164" s="1"/>
  <c r="CN403" i="164"/>
  <c r="Q404" i="164"/>
  <c r="U404" i="164"/>
  <c r="X404" i="164"/>
  <c r="AD404" i="164"/>
  <c r="AE404" i="164"/>
  <c r="AJ404" i="164"/>
  <c r="AX404" i="164"/>
  <c r="CR404" i="164" s="1"/>
  <c r="CO404" i="164" s="1"/>
  <c r="BB404" i="164"/>
  <c r="BH404" i="164" s="1"/>
  <c r="BC404" i="164"/>
  <c r="BI404" i="164" s="1"/>
  <c r="CN404" i="164"/>
  <c r="G405" i="164"/>
  <c r="H405" i="164" s="1"/>
  <c r="Q405" i="164"/>
  <c r="AA405" i="164"/>
  <c r="AF405" i="164"/>
  <c r="AM405" i="164"/>
  <c r="BB405" i="164"/>
  <c r="BC405" i="164"/>
  <c r="BJ405" i="164"/>
  <c r="CC405" i="164"/>
  <c r="CO405" i="164"/>
  <c r="CP405" i="164"/>
  <c r="G406" i="164"/>
  <c r="H406" i="164" s="1"/>
  <c r="K406" i="164"/>
  <c r="L406" i="164" s="1"/>
  <c r="K407" i="164" s="1"/>
  <c r="L407" i="164" s="1"/>
  <c r="Q406" i="164"/>
  <c r="U406" i="164"/>
  <c r="X406" i="164"/>
  <c r="AD406" i="164"/>
  <c r="AE406" i="164"/>
  <c r="AJ406" i="164"/>
  <c r="AX406" i="164"/>
  <c r="BB406" i="164"/>
  <c r="BH406" i="164" s="1"/>
  <c r="BC406" i="164"/>
  <c r="BI406" i="164" s="1"/>
  <c r="CN406" i="164"/>
  <c r="Q407" i="164"/>
  <c r="U407" i="164"/>
  <c r="X407" i="164"/>
  <c r="AD407" i="164"/>
  <c r="AE407" i="164"/>
  <c r="AJ407" i="164"/>
  <c r="AX407" i="164"/>
  <c r="AO407" i="164" s="1"/>
  <c r="BB407" i="164"/>
  <c r="BC407" i="164"/>
  <c r="BI407" i="164" s="1"/>
  <c r="CN407" i="164"/>
  <c r="Q408" i="164"/>
  <c r="U408" i="164"/>
  <c r="X408" i="164"/>
  <c r="AD408" i="164"/>
  <c r="AE408" i="164"/>
  <c r="AJ408" i="164"/>
  <c r="AX408" i="164"/>
  <c r="CR408" i="164" s="1"/>
  <c r="CO408" i="164" s="1"/>
  <c r="BB408" i="164"/>
  <c r="BC408" i="164"/>
  <c r="BH408" i="164"/>
  <c r="BI408" i="164"/>
  <c r="CN408" i="164"/>
  <c r="G409" i="164"/>
  <c r="H409" i="164" s="1"/>
  <c r="Q409" i="164"/>
  <c r="AA409" i="164"/>
  <c r="AF409" i="164"/>
  <c r="AM409" i="164"/>
  <c r="BB409" i="164"/>
  <c r="BC409" i="164"/>
  <c r="BJ409" i="164"/>
  <c r="CC409" i="164"/>
  <c r="CO409" i="164"/>
  <c r="CP409" i="164"/>
  <c r="G410" i="164"/>
  <c r="H410" i="164" s="1"/>
  <c r="G411" i="164" s="1"/>
  <c r="H411" i="164" s="1"/>
  <c r="K410" i="164"/>
  <c r="L410" i="164"/>
  <c r="K411" i="164" s="1"/>
  <c r="L411" i="164" s="1"/>
  <c r="Z411" i="164" s="1"/>
  <c r="Q410" i="164"/>
  <c r="U410" i="164"/>
  <c r="X410" i="164"/>
  <c r="AD410" i="164"/>
  <c r="AE410" i="164"/>
  <c r="AJ410" i="164"/>
  <c r="AX410" i="164"/>
  <c r="AO410" i="164" s="1"/>
  <c r="BB410" i="164"/>
  <c r="BH410" i="164" s="1"/>
  <c r="BC410" i="164"/>
  <c r="BI410" i="164" s="1"/>
  <c r="CN410" i="164"/>
  <c r="Q411" i="164"/>
  <c r="U411" i="164"/>
  <c r="X411" i="164"/>
  <c r="AD411" i="164"/>
  <c r="AE411" i="164"/>
  <c r="AJ411" i="164"/>
  <c r="AX411" i="164"/>
  <c r="BB411" i="164"/>
  <c r="BH411" i="164" s="1"/>
  <c r="BC411" i="164"/>
  <c r="BI411" i="164"/>
  <c r="CN411" i="164"/>
  <c r="G412" i="164"/>
  <c r="H412" i="164" s="1"/>
  <c r="Q412" i="164"/>
  <c r="AA412" i="164"/>
  <c r="AF412" i="164"/>
  <c r="AM412" i="164"/>
  <c r="BB412" i="164"/>
  <c r="BC412" i="164"/>
  <c r="BJ412" i="164"/>
  <c r="CC412" i="164"/>
  <c r="CO412" i="164"/>
  <c r="CP412" i="164"/>
  <c r="G413" i="164"/>
  <c r="H413" i="164"/>
  <c r="K413" i="164"/>
  <c r="L413" i="164" s="1"/>
  <c r="Q413" i="164"/>
  <c r="U413" i="164"/>
  <c r="X413" i="164"/>
  <c r="AD413" i="164"/>
  <c r="AE413" i="164"/>
  <c r="AJ413" i="164"/>
  <c r="AO413" i="164"/>
  <c r="AX413" i="164"/>
  <c r="BB413" i="164"/>
  <c r="BH413" i="164" s="1"/>
  <c r="BC413" i="164"/>
  <c r="CN413" i="164"/>
  <c r="CR413" i="164"/>
  <c r="CO413" i="164" s="1"/>
  <c r="Q414" i="164"/>
  <c r="U414" i="164"/>
  <c r="X414" i="164"/>
  <c r="AD414" i="164"/>
  <c r="AE414" i="164"/>
  <c r="AJ414" i="164"/>
  <c r="AX414" i="164"/>
  <c r="AO414" i="164" s="1"/>
  <c r="BB414" i="164"/>
  <c r="BC414" i="164"/>
  <c r="BI414" i="164" s="1"/>
  <c r="CN414" i="164"/>
  <c r="CR414" i="164"/>
  <c r="CO414" i="164" s="1"/>
  <c r="Q415" i="164"/>
  <c r="U415" i="164"/>
  <c r="X415" i="164"/>
  <c r="AD415" i="164"/>
  <c r="AE415" i="164"/>
  <c r="AJ415" i="164"/>
  <c r="AX415" i="164"/>
  <c r="AO415" i="164" s="1"/>
  <c r="BB415" i="164"/>
  <c r="BC415" i="164"/>
  <c r="BI415" i="164" s="1"/>
  <c r="CN415" i="164"/>
  <c r="Q416" i="164"/>
  <c r="U416" i="164"/>
  <c r="X416" i="164"/>
  <c r="AD416" i="164"/>
  <c r="AE416" i="164"/>
  <c r="AJ416" i="164"/>
  <c r="AX416" i="164"/>
  <c r="CR416" i="164" s="1"/>
  <c r="CO416" i="164" s="1"/>
  <c r="BB416" i="164"/>
  <c r="BH416" i="164" s="1"/>
  <c r="BL416" i="164" s="1"/>
  <c r="BC416" i="164"/>
  <c r="BI416" i="164" s="1"/>
  <c r="CN416" i="164"/>
  <c r="Q417" i="164"/>
  <c r="U417" i="164"/>
  <c r="X417" i="164"/>
  <c r="AD417" i="164"/>
  <c r="AE417" i="164"/>
  <c r="AJ417" i="164"/>
  <c r="AX417" i="164"/>
  <c r="AO417" i="164" s="1"/>
  <c r="BB417" i="164"/>
  <c r="BH417" i="164" s="1"/>
  <c r="BC417" i="164"/>
  <c r="BI417" i="164" s="1"/>
  <c r="CN417" i="164"/>
  <c r="G418" i="164"/>
  <c r="H418" i="164" s="1"/>
  <c r="Q418" i="164"/>
  <c r="AA418" i="164"/>
  <c r="AF418" i="164"/>
  <c r="AM418" i="164"/>
  <c r="BB418" i="164"/>
  <c r="BC418" i="164"/>
  <c r="BJ418" i="164"/>
  <c r="CC418" i="164"/>
  <c r="CO418" i="164"/>
  <c r="CP418" i="164"/>
  <c r="G419" i="164"/>
  <c r="H419" i="164" s="1"/>
  <c r="K419" i="164"/>
  <c r="L419" i="164" s="1"/>
  <c r="Z419" i="164" s="1"/>
  <c r="Q419" i="164"/>
  <c r="U419" i="164"/>
  <c r="X419" i="164"/>
  <c r="AD419" i="164"/>
  <c r="AE419" i="164"/>
  <c r="AJ419" i="164"/>
  <c r="AX419" i="164"/>
  <c r="BB419" i="164"/>
  <c r="BH419" i="164" s="1"/>
  <c r="BC419" i="164"/>
  <c r="BI419" i="164" s="1"/>
  <c r="CN419" i="164"/>
  <c r="Q420" i="164"/>
  <c r="U420" i="164"/>
  <c r="X420" i="164"/>
  <c r="AD420" i="164"/>
  <c r="AE420" i="164"/>
  <c r="AJ420" i="164"/>
  <c r="AX420" i="164"/>
  <c r="AO420" i="164" s="1"/>
  <c r="BB420" i="164"/>
  <c r="BH420" i="164" s="1"/>
  <c r="BC420" i="164"/>
  <c r="BI420" i="164" s="1"/>
  <c r="CN420" i="164"/>
  <c r="Q421" i="164"/>
  <c r="U421" i="164"/>
  <c r="X421" i="164"/>
  <c r="AD421" i="164"/>
  <c r="AE421" i="164"/>
  <c r="AJ421" i="164"/>
  <c r="AX421" i="164"/>
  <c r="CR421" i="164" s="1"/>
  <c r="BB421" i="164"/>
  <c r="BH421" i="164" s="1"/>
  <c r="BC421" i="164"/>
  <c r="BI421" i="164" s="1"/>
  <c r="CN421" i="164"/>
  <c r="CO421" i="164"/>
  <c r="Q422" i="164"/>
  <c r="U422" i="164"/>
  <c r="X422" i="164"/>
  <c r="AD422" i="164"/>
  <c r="AE422" i="164"/>
  <c r="AJ422" i="164"/>
  <c r="AX422" i="164"/>
  <c r="BB422" i="164"/>
  <c r="BH422" i="164" s="1"/>
  <c r="BC422" i="164"/>
  <c r="BI422" i="164" s="1"/>
  <c r="CN422" i="164"/>
  <c r="Q423" i="164"/>
  <c r="U423" i="164"/>
  <c r="X423" i="164"/>
  <c r="AD423" i="164"/>
  <c r="AE423" i="164"/>
  <c r="AJ423" i="164"/>
  <c r="AX423" i="164"/>
  <c r="AO423" i="164" s="1"/>
  <c r="BB423" i="164"/>
  <c r="BC423" i="164"/>
  <c r="BI423" i="164" s="1"/>
  <c r="CN423" i="164"/>
  <c r="Q424" i="164"/>
  <c r="U424" i="164"/>
  <c r="X424" i="164"/>
  <c r="AD424" i="164"/>
  <c r="AE424" i="164"/>
  <c r="AJ424" i="164"/>
  <c r="AX424" i="164"/>
  <c r="BB424" i="164"/>
  <c r="BC424" i="164"/>
  <c r="BH424" i="164"/>
  <c r="BI424" i="164"/>
  <c r="CN424" i="164"/>
  <c r="Q425" i="164"/>
  <c r="U425" i="164"/>
  <c r="X425" i="164"/>
  <c r="AD425" i="164"/>
  <c r="AE425" i="164"/>
  <c r="AJ425" i="164"/>
  <c r="AX425" i="164"/>
  <c r="CR425" i="164" s="1"/>
  <c r="CO425" i="164" s="1"/>
  <c r="BB425" i="164"/>
  <c r="BH425" i="164" s="1"/>
  <c r="BC425" i="164"/>
  <c r="BI425" i="164" s="1"/>
  <c r="CN425" i="164"/>
  <c r="Q426" i="164"/>
  <c r="U426" i="164"/>
  <c r="X426" i="164"/>
  <c r="AD426" i="164"/>
  <c r="AE426" i="164"/>
  <c r="AJ426" i="164"/>
  <c r="AX426" i="164"/>
  <c r="AO426" i="164" s="1"/>
  <c r="BB426" i="164"/>
  <c r="BC426" i="164"/>
  <c r="BI426" i="164" s="1"/>
  <c r="CN426" i="164"/>
  <c r="G427" i="164"/>
  <c r="H427" i="164" s="1"/>
  <c r="Q427" i="164"/>
  <c r="AA427" i="164"/>
  <c r="AF427" i="164"/>
  <c r="AM427" i="164"/>
  <c r="BB427" i="164"/>
  <c r="BC427" i="164"/>
  <c r="BJ427" i="164"/>
  <c r="CC427" i="164"/>
  <c r="CO427" i="164"/>
  <c r="CP427" i="164"/>
  <c r="G428" i="164"/>
  <c r="H428" i="164" s="1"/>
  <c r="K428" i="164"/>
  <c r="L428" i="164" s="1"/>
  <c r="Q428" i="164"/>
  <c r="U428" i="164"/>
  <c r="X428" i="164"/>
  <c r="AD428" i="164"/>
  <c r="AE428" i="164"/>
  <c r="AJ428" i="164"/>
  <c r="AX428" i="164"/>
  <c r="CR428" i="164" s="1"/>
  <c r="CO428" i="164" s="1"/>
  <c r="BB428" i="164"/>
  <c r="BC428" i="164"/>
  <c r="BI428" i="164" s="1"/>
  <c r="BH428" i="164"/>
  <c r="CN428" i="164"/>
  <c r="Q429" i="164"/>
  <c r="U429" i="164"/>
  <c r="X429" i="164"/>
  <c r="AD429" i="164"/>
  <c r="AE429" i="164"/>
  <c r="AJ429" i="164"/>
  <c r="AX429" i="164"/>
  <c r="CR429" i="164" s="1"/>
  <c r="CO429" i="164" s="1"/>
  <c r="BB429" i="164"/>
  <c r="BH429" i="164" s="1"/>
  <c r="BC429" i="164"/>
  <c r="BI429" i="164"/>
  <c r="CN429" i="164"/>
  <c r="G430" i="164"/>
  <c r="H430" i="164" s="1"/>
  <c r="Q430" i="164"/>
  <c r="AA430" i="164"/>
  <c r="AF430" i="164"/>
  <c r="AM430" i="164"/>
  <c r="BB430" i="164"/>
  <c r="BC430" i="164"/>
  <c r="BJ430" i="164"/>
  <c r="CC430" i="164"/>
  <c r="CO430" i="164"/>
  <c r="CP430" i="164"/>
  <c r="G431" i="164"/>
  <c r="H431" i="164" s="1"/>
  <c r="G432" i="164" s="1"/>
  <c r="H432" i="164" s="1"/>
  <c r="K431" i="164"/>
  <c r="L431" i="164" s="1"/>
  <c r="K432" i="164" s="1"/>
  <c r="L432" i="164" s="1"/>
  <c r="Q431" i="164"/>
  <c r="U431" i="164"/>
  <c r="X431" i="164"/>
  <c r="AD431" i="164"/>
  <c r="AE431" i="164"/>
  <c r="AJ431" i="164"/>
  <c r="AX431" i="164"/>
  <c r="BB431" i="164"/>
  <c r="BH431" i="164" s="1"/>
  <c r="BC431" i="164"/>
  <c r="BI431" i="164" s="1"/>
  <c r="CN431" i="164"/>
  <c r="Q432" i="164"/>
  <c r="U432" i="164"/>
  <c r="X432" i="164"/>
  <c r="AD432" i="164"/>
  <c r="AE432" i="164"/>
  <c r="AJ432" i="164"/>
  <c r="AX432" i="164"/>
  <c r="CR432" i="164" s="1"/>
  <c r="CO432" i="164" s="1"/>
  <c r="BB432" i="164"/>
  <c r="BC432" i="164"/>
  <c r="BI432" i="164" s="1"/>
  <c r="CN432" i="164"/>
  <c r="Q433" i="164"/>
  <c r="U433" i="164"/>
  <c r="X433" i="164"/>
  <c r="AD433" i="164"/>
  <c r="AE433" i="164"/>
  <c r="AJ433" i="164"/>
  <c r="AX433" i="164"/>
  <c r="CR433" i="164" s="1"/>
  <c r="CO433" i="164" s="1"/>
  <c r="BB433" i="164"/>
  <c r="BH433" i="164" s="1"/>
  <c r="BC433" i="164"/>
  <c r="BI433" i="164" s="1"/>
  <c r="CN433" i="164"/>
  <c r="G434" i="164"/>
  <c r="H434" i="164" s="1"/>
  <c r="Q434" i="164"/>
  <c r="AA434" i="164"/>
  <c r="AF434" i="164"/>
  <c r="AM434" i="164"/>
  <c r="BB434" i="164"/>
  <c r="BC434" i="164"/>
  <c r="BJ434" i="164"/>
  <c r="CC434" i="164"/>
  <c r="CO434" i="164"/>
  <c r="CP434" i="164"/>
  <c r="G435" i="164"/>
  <c r="H435" i="164" s="1"/>
  <c r="K435" i="164"/>
  <c r="L435" i="164" s="1"/>
  <c r="Z435" i="164" s="1"/>
  <c r="Q435" i="164"/>
  <c r="U435" i="164"/>
  <c r="X435" i="164"/>
  <c r="AD435" i="164"/>
  <c r="AE435" i="164"/>
  <c r="AJ435" i="164"/>
  <c r="AX435" i="164"/>
  <c r="AO435" i="164" s="1"/>
  <c r="BB435" i="164"/>
  <c r="BH435" i="164" s="1"/>
  <c r="BC435" i="164"/>
  <c r="BI435" i="164" s="1"/>
  <c r="BK435" i="164"/>
  <c r="CN435" i="164"/>
  <c r="Q436" i="164"/>
  <c r="U436" i="164"/>
  <c r="X436" i="164"/>
  <c r="AD436" i="164"/>
  <c r="AE436" i="164"/>
  <c r="AJ436" i="164"/>
  <c r="AX436" i="164"/>
  <c r="CR436" i="164" s="1"/>
  <c r="CO436" i="164" s="1"/>
  <c r="BB436" i="164"/>
  <c r="BH436" i="164" s="1"/>
  <c r="BC436" i="164"/>
  <c r="BI436" i="164" s="1"/>
  <c r="CN436" i="164"/>
  <c r="Q437" i="164"/>
  <c r="U437" i="164"/>
  <c r="X437" i="164"/>
  <c r="AD437" i="164"/>
  <c r="AE437" i="164"/>
  <c r="AJ437" i="164"/>
  <c r="AX437" i="164"/>
  <c r="BB437" i="164"/>
  <c r="BH437" i="164" s="1"/>
  <c r="BC437" i="164"/>
  <c r="BI437" i="164" s="1"/>
  <c r="CN437" i="164"/>
  <c r="G438" i="164"/>
  <c r="H438" i="164" s="1"/>
  <c r="Q438" i="164"/>
  <c r="AA438" i="164"/>
  <c r="AF438" i="164"/>
  <c r="AM438" i="164"/>
  <c r="BB438" i="164"/>
  <c r="BC438" i="164"/>
  <c r="BJ438" i="164"/>
  <c r="CC438" i="164"/>
  <c r="CO438" i="164"/>
  <c r="CP438" i="164"/>
  <c r="G439" i="164"/>
  <c r="H439" i="164"/>
  <c r="Y439" i="164" s="1"/>
  <c r="K439" i="164"/>
  <c r="L439" i="164"/>
  <c r="Q439" i="164"/>
  <c r="U439" i="164"/>
  <c r="X439" i="164"/>
  <c r="AD439" i="164"/>
  <c r="AE439" i="164"/>
  <c r="AJ439" i="164"/>
  <c r="AX439" i="164"/>
  <c r="BB439" i="164"/>
  <c r="BH439" i="164" s="1"/>
  <c r="BC439" i="164"/>
  <c r="CN439" i="164"/>
  <c r="G440" i="164"/>
  <c r="H440" i="164" s="1"/>
  <c r="Q440" i="164"/>
  <c r="AA440" i="164"/>
  <c r="AF440" i="164"/>
  <c r="AM440" i="164"/>
  <c r="BB440" i="164"/>
  <c r="BC440" i="164"/>
  <c r="BJ440" i="164"/>
  <c r="CC440" i="164"/>
  <c r="CO440" i="164"/>
  <c r="CP440" i="164"/>
  <c r="G441" i="164"/>
  <c r="H441" i="164" s="1"/>
  <c r="K441" i="164"/>
  <c r="L441" i="164" s="1"/>
  <c r="BP441" i="164" s="1"/>
  <c r="Q441" i="164"/>
  <c r="U441" i="164"/>
  <c r="X441" i="164"/>
  <c r="AD441" i="164"/>
  <c r="AE441" i="164"/>
  <c r="AJ441" i="164"/>
  <c r="AX441" i="164"/>
  <c r="CR441" i="164" s="1"/>
  <c r="CO441" i="164" s="1"/>
  <c r="BB441" i="164"/>
  <c r="BC441" i="164"/>
  <c r="BI441" i="164" s="1"/>
  <c r="CN441" i="164"/>
  <c r="Q442" i="164"/>
  <c r="U442" i="164"/>
  <c r="X442" i="164"/>
  <c r="AD442" i="164"/>
  <c r="AE442" i="164"/>
  <c r="AJ442" i="164"/>
  <c r="AX442" i="164"/>
  <c r="CR442" i="164" s="1"/>
  <c r="CO442" i="164" s="1"/>
  <c r="BB442" i="164"/>
  <c r="BC442" i="164"/>
  <c r="BI442" i="164" s="1"/>
  <c r="CN442" i="164"/>
  <c r="G443" i="164"/>
  <c r="H443" i="164" s="1"/>
  <c r="Q443" i="164"/>
  <c r="AA443" i="164"/>
  <c r="AF443" i="164"/>
  <c r="AM443" i="164"/>
  <c r="BB443" i="164"/>
  <c r="BC443" i="164"/>
  <c r="BJ443" i="164"/>
  <c r="CC443" i="164"/>
  <c r="CO443" i="164"/>
  <c r="CP443" i="164"/>
  <c r="G444" i="164"/>
  <c r="H444" i="164" s="1"/>
  <c r="K444" i="164"/>
  <c r="L444" i="164" s="1"/>
  <c r="Z444" i="164" s="1"/>
  <c r="Q444" i="164"/>
  <c r="U444" i="164"/>
  <c r="X444" i="164"/>
  <c r="AD444" i="164"/>
  <c r="AE444" i="164"/>
  <c r="AJ444" i="164"/>
  <c r="AX444" i="164"/>
  <c r="CR444" i="164" s="1"/>
  <c r="BB444" i="164"/>
  <c r="BC444" i="164"/>
  <c r="BI444" i="164"/>
  <c r="CN444" i="164"/>
  <c r="CO444" i="164"/>
  <c r="G445" i="164"/>
  <c r="H445" i="164" s="1"/>
  <c r="Q445" i="164"/>
  <c r="AA445" i="164"/>
  <c r="AF445" i="164"/>
  <c r="AM445" i="164"/>
  <c r="BB445" i="164"/>
  <c r="BC445" i="164"/>
  <c r="BJ445" i="164"/>
  <c r="CC445" i="164"/>
  <c r="CO445" i="164"/>
  <c r="CP445" i="164"/>
  <c r="G446" i="164"/>
  <c r="H446" i="164" s="1"/>
  <c r="Y446" i="164" s="1"/>
  <c r="K446" i="164"/>
  <c r="L446" i="164" s="1"/>
  <c r="Z446" i="164" s="1"/>
  <c r="Q446" i="164"/>
  <c r="U446" i="164"/>
  <c r="X446" i="164"/>
  <c r="AD446" i="164"/>
  <c r="AE446" i="164"/>
  <c r="AJ446" i="164"/>
  <c r="AX446" i="164"/>
  <c r="CR446" i="164" s="1"/>
  <c r="CO446" i="164" s="1"/>
  <c r="BB446" i="164"/>
  <c r="BH446" i="164" s="1"/>
  <c r="BC446" i="164"/>
  <c r="BI446" i="164" s="1"/>
  <c r="CN446" i="164"/>
  <c r="G447" i="164"/>
  <c r="H447" i="164" s="1"/>
  <c r="Q447" i="164"/>
  <c r="AA447" i="164"/>
  <c r="AF447" i="164"/>
  <c r="AM447" i="164"/>
  <c r="BB447" i="164"/>
  <c r="BC447" i="164"/>
  <c r="BJ447" i="164"/>
  <c r="CC447" i="164"/>
  <c r="CO447" i="164"/>
  <c r="CP447" i="164"/>
  <c r="G448" i="164"/>
  <c r="H448" i="164" s="1"/>
  <c r="Y448" i="164" s="1"/>
  <c r="K448" i="164"/>
  <c r="L448" i="164" s="1"/>
  <c r="Q448" i="164"/>
  <c r="U448" i="164"/>
  <c r="X448" i="164"/>
  <c r="Z448" i="164"/>
  <c r="AD448" i="164"/>
  <c r="AE448" i="164"/>
  <c r="AJ448" i="164"/>
  <c r="AX448" i="164"/>
  <c r="BB448" i="164"/>
  <c r="BC448" i="164"/>
  <c r="BI448" i="164" s="1"/>
  <c r="CN448" i="164"/>
  <c r="Q449" i="164"/>
  <c r="U449" i="164"/>
  <c r="X449" i="164"/>
  <c r="AD449" i="164"/>
  <c r="AE449" i="164"/>
  <c r="AJ449" i="164"/>
  <c r="AX449" i="164"/>
  <c r="AO449" i="164" s="1"/>
  <c r="BB449" i="164"/>
  <c r="BH449" i="164" s="1"/>
  <c r="BC449" i="164"/>
  <c r="BI449" i="164" s="1"/>
  <c r="CN449" i="164"/>
  <c r="Q450" i="164"/>
  <c r="U450" i="164"/>
  <c r="X450" i="164"/>
  <c r="AD450" i="164"/>
  <c r="AE450" i="164"/>
  <c r="AJ450" i="164"/>
  <c r="AX450" i="164"/>
  <c r="BB450" i="164"/>
  <c r="BH450" i="164" s="1"/>
  <c r="BC450" i="164"/>
  <c r="BI450" i="164" s="1"/>
  <c r="CN450" i="164"/>
  <c r="Q451" i="164"/>
  <c r="U451" i="164"/>
  <c r="X451" i="164"/>
  <c r="AD451" i="164"/>
  <c r="AE451" i="164"/>
  <c r="AJ451" i="164"/>
  <c r="AX451" i="164"/>
  <c r="BB451" i="164"/>
  <c r="BC451" i="164"/>
  <c r="BI451" i="164"/>
  <c r="CN451" i="164"/>
  <c r="Q452" i="164"/>
  <c r="U452" i="164"/>
  <c r="X452" i="164"/>
  <c r="AD452" i="164"/>
  <c r="AJ452" i="164"/>
  <c r="AX452" i="164"/>
  <c r="AO452" i="164" s="1"/>
  <c r="BB452" i="164"/>
  <c r="BH452" i="164" s="1"/>
  <c r="BC452" i="164"/>
  <c r="BI452" i="164" s="1"/>
  <c r="CN452" i="164"/>
  <c r="Q453" i="164"/>
  <c r="U453" i="164"/>
  <c r="X453" i="164"/>
  <c r="AD453" i="164"/>
  <c r="AE453" i="164"/>
  <c r="AJ453" i="164"/>
  <c r="AX453" i="164"/>
  <c r="AO453" i="164" s="1"/>
  <c r="BB453" i="164"/>
  <c r="BH453" i="164" s="1"/>
  <c r="BC453" i="164"/>
  <c r="CN453" i="164"/>
  <c r="G454" i="164"/>
  <c r="H454" i="164" s="1"/>
  <c r="Q454" i="164"/>
  <c r="AA454" i="164"/>
  <c r="AF454" i="164"/>
  <c r="AM454" i="164"/>
  <c r="BB454" i="164"/>
  <c r="BC454" i="164"/>
  <c r="BJ454" i="164"/>
  <c r="CC454" i="164"/>
  <c r="CO454" i="164"/>
  <c r="CP454" i="164"/>
  <c r="G455" i="164"/>
  <c r="H455" i="164" s="1"/>
  <c r="Y455" i="164" s="1"/>
  <c r="K455" i="164"/>
  <c r="L455" i="164" s="1"/>
  <c r="Z455" i="164" s="1"/>
  <c r="Q455" i="164"/>
  <c r="U455" i="164"/>
  <c r="X455" i="164"/>
  <c r="AD455" i="164"/>
  <c r="AJ455" i="164"/>
  <c r="AX455" i="164"/>
  <c r="AO455" i="164" s="1"/>
  <c r="BB455" i="164"/>
  <c r="BH455" i="164" s="1"/>
  <c r="BC455" i="164"/>
  <c r="BI455" i="164" s="1"/>
  <c r="CN455" i="164"/>
  <c r="G456" i="164"/>
  <c r="H456" i="164" s="1"/>
  <c r="Q456" i="164"/>
  <c r="AA456" i="164"/>
  <c r="AF456" i="164"/>
  <c r="AM456" i="164"/>
  <c r="BB456" i="164"/>
  <c r="BC456" i="164"/>
  <c r="BJ456" i="164"/>
  <c r="CC456" i="164"/>
  <c r="CO456" i="164"/>
  <c r="CP456" i="164"/>
  <c r="G457" i="164"/>
  <c r="H457" i="164"/>
  <c r="Y457" i="164" s="1"/>
  <c r="K457" i="164"/>
  <c r="L457" i="164" s="1"/>
  <c r="Q457" i="164"/>
  <c r="U457" i="164"/>
  <c r="X457" i="164"/>
  <c r="AD457" i="164"/>
  <c r="AE457" i="164"/>
  <c r="AJ457" i="164"/>
  <c r="AX457" i="164"/>
  <c r="CR457" i="164" s="1"/>
  <c r="CO457" i="164" s="1"/>
  <c r="BB457" i="164"/>
  <c r="BC457" i="164"/>
  <c r="BI457" i="164" s="1"/>
  <c r="CN457" i="164"/>
  <c r="G458" i="164"/>
  <c r="H458" i="164" s="1"/>
  <c r="Q458" i="164"/>
  <c r="AA458" i="164"/>
  <c r="AF458" i="164"/>
  <c r="AM458" i="164"/>
  <c r="BB458" i="164"/>
  <c r="BC458" i="164"/>
  <c r="BJ458" i="164"/>
  <c r="CC458" i="164"/>
  <c r="CO458" i="164"/>
  <c r="CP458" i="164"/>
  <c r="G459" i="164"/>
  <c r="H459" i="164" s="1"/>
  <c r="K459" i="164"/>
  <c r="L459" i="164" s="1"/>
  <c r="Q459" i="164"/>
  <c r="U459" i="164"/>
  <c r="X459" i="164"/>
  <c r="AD459" i="164"/>
  <c r="AE459" i="164"/>
  <c r="AJ459" i="164"/>
  <c r="AX459" i="164"/>
  <c r="BB459" i="164"/>
  <c r="BC459" i="164"/>
  <c r="BI459" i="164" s="1"/>
  <c r="BH459" i="164"/>
  <c r="CN459" i="164"/>
  <c r="Q460" i="164"/>
  <c r="U460" i="164"/>
  <c r="X460" i="164"/>
  <c r="AD460" i="164"/>
  <c r="AE460" i="164"/>
  <c r="AJ460" i="164"/>
  <c r="AX460" i="164"/>
  <c r="AO460" i="164" s="1"/>
  <c r="BB460" i="164"/>
  <c r="BH460" i="164" s="1"/>
  <c r="BC460" i="164"/>
  <c r="BI460" i="164" s="1"/>
  <c r="CN460" i="164"/>
  <c r="Q461" i="164"/>
  <c r="U461" i="164"/>
  <c r="X461" i="164"/>
  <c r="AD461" i="164"/>
  <c r="AE461" i="164"/>
  <c r="AJ461" i="164"/>
  <c r="AX461" i="164"/>
  <c r="CR461" i="164" s="1"/>
  <c r="CO461" i="164" s="1"/>
  <c r="BB461" i="164"/>
  <c r="BH461" i="164" s="1"/>
  <c r="BC461" i="164"/>
  <c r="CN461" i="164"/>
  <c r="Q462" i="164"/>
  <c r="U462" i="164"/>
  <c r="X462" i="164"/>
  <c r="AD462" i="164"/>
  <c r="AE462" i="164"/>
  <c r="AJ462" i="164"/>
  <c r="AX462" i="164"/>
  <c r="BB462" i="164"/>
  <c r="BC462" i="164"/>
  <c r="BI462" i="164" s="1"/>
  <c r="BH462" i="164"/>
  <c r="CN462" i="164"/>
  <c r="Q463" i="164"/>
  <c r="U463" i="164"/>
  <c r="X463" i="164"/>
  <c r="AD463" i="164"/>
  <c r="AE463" i="164"/>
  <c r="AJ463" i="164"/>
  <c r="AX463" i="164"/>
  <c r="CR463" i="164" s="1"/>
  <c r="CO463" i="164" s="1"/>
  <c r="BB463" i="164"/>
  <c r="BC463" i="164"/>
  <c r="BI463" i="164" s="1"/>
  <c r="CN463" i="164"/>
  <c r="G464" i="164"/>
  <c r="H464" i="164" s="1"/>
  <c r="Q464" i="164"/>
  <c r="AA464" i="164"/>
  <c r="AF464" i="164"/>
  <c r="AM464" i="164"/>
  <c r="BB464" i="164"/>
  <c r="BC464" i="164"/>
  <c r="BJ464" i="164"/>
  <c r="CC464" i="164"/>
  <c r="CO464" i="164"/>
  <c r="CP464" i="164"/>
  <c r="G465" i="164"/>
  <c r="H465" i="164" s="1"/>
  <c r="K465" i="164"/>
  <c r="L465" i="164" s="1"/>
  <c r="Z465" i="164" s="1"/>
  <c r="Q465" i="164"/>
  <c r="U465" i="164"/>
  <c r="X465" i="164"/>
  <c r="AD465" i="164"/>
  <c r="AE465" i="164"/>
  <c r="AJ465" i="164"/>
  <c r="AX465" i="164"/>
  <c r="AO465" i="164" s="1"/>
  <c r="BB465" i="164"/>
  <c r="BC465" i="164"/>
  <c r="BI465" i="164" s="1"/>
  <c r="CN465" i="164"/>
  <c r="Q466" i="164"/>
  <c r="U466" i="164"/>
  <c r="X466" i="164"/>
  <c r="AD466" i="164"/>
  <c r="AE466" i="164"/>
  <c r="AJ466" i="164"/>
  <c r="AX466" i="164"/>
  <c r="CR466" i="164" s="1"/>
  <c r="CO466" i="164" s="1"/>
  <c r="BB466" i="164"/>
  <c r="BH466" i="164" s="1"/>
  <c r="BC466" i="164"/>
  <c r="BI466" i="164" s="1"/>
  <c r="CN466" i="164"/>
  <c r="Q467" i="164"/>
  <c r="U467" i="164"/>
  <c r="X467" i="164"/>
  <c r="AD467" i="164"/>
  <c r="AE467" i="164"/>
  <c r="AJ467" i="164"/>
  <c r="AX467" i="164"/>
  <c r="BB467" i="164"/>
  <c r="BH467" i="164" s="1"/>
  <c r="BC467" i="164"/>
  <c r="BI467" i="164" s="1"/>
  <c r="CN467" i="164"/>
  <c r="Q468" i="164"/>
  <c r="U468" i="164"/>
  <c r="X468" i="164"/>
  <c r="AD468" i="164"/>
  <c r="AE468" i="164"/>
  <c r="AJ468" i="164"/>
  <c r="AX468" i="164"/>
  <c r="BB468" i="164"/>
  <c r="BC468" i="164"/>
  <c r="BI468" i="164" s="1"/>
  <c r="CN468" i="164"/>
  <c r="Q469" i="164"/>
  <c r="U469" i="164"/>
  <c r="X469" i="164"/>
  <c r="AD469" i="164"/>
  <c r="AE469" i="164"/>
  <c r="AJ469" i="164"/>
  <c r="AO469" i="164"/>
  <c r="AX469" i="164"/>
  <c r="CR469" i="164" s="1"/>
  <c r="CO469" i="164" s="1"/>
  <c r="BB469" i="164"/>
  <c r="BC469" i="164"/>
  <c r="BI469" i="164" s="1"/>
  <c r="CN469" i="164"/>
  <c r="Q470" i="164"/>
  <c r="U470" i="164"/>
  <c r="X470" i="164"/>
  <c r="AD470" i="164"/>
  <c r="AE470" i="164"/>
  <c r="AJ470" i="164"/>
  <c r="AX470" i="164"/>
  <c r="AO470" i="164" s="1"/>
  <c r="BB470" i="164"/>
  <c r="BC470" i="164"/>
  <c r="BI470" i="164"/>
  <c r="CN470" i="164"/>
  <c r="G471" i="164"/>
  <c r="H471" i="164" s="1"/>
  <c r="Q471" i="164"/>
  <c r="AA471" i="164"/>
  <c r="AF471" i="164"/>
  <c r="AM471" i="164"/>
  <c r="BB471" i="164"/>
  <c r="BC471" i="164"/>
  <c r="BJ471" i="164"/>
  <c r="CC471" i="164"/>
  <c r="CO471" i="164"/>
  <c r="CP471" i="164"/>
  <c r="G472" i="164"/>
  <c r="H472" i="164" s="1"/>
  <c r="K472" i="164"/>
  <c r="L472" i="164" s="1"/>
  <c r="CX472" i="164" s="1"/>
  <c r="Q472" i="164"/>
  <c r="U472" i="164"/>
  <c r="X472" i="164"/>
  <c r="AD472" i="164"/>
  <c r="AE472" i="164"/>
  <c r="AJ472" i="164"/>
  <c r="AX472" i="164"/>
  <c r="AO472" i="164" s="1"/>
  <c r="BB472" i="164"/>
  <c r="BH472" i="164" s="1"/>
  <c r="BC472" i="164"/>
  <c r="BI472" i="164" s="1"/>
  <c r="CN472" i="164"/>
  <c r="Q473" i="164"/>
  <c r="U473" i="164"/>
  <c r="X473" i="164"/>
  <c r="AD473" i="164"/>
  <c r="AE473" i="164"/>
  <c r="AJ473" i="164"/>
  <c r="AO473" i="164"/>
  <c r="AX473" i="164"/>
  <c r="CR473" i="164" s="1"/>
  <c r="CO473" i="164" s="1"/>
  <c r="BB473" i="164"/>
  <c r="BC473" i="164"/>
  <c r="BI473" i="164" s="1"/>
  <c r="CN473" i="164"/>
  <c r="Q474" i="164"/>
  <c r="U474" i="164"/>
  <c r="X474" i="164"/>
  <c r="AD474" i="164"/>
  <c r="AE474" i="164"/>
  <c r="AJ474" i="164"/>
  <c r="AX474" i="164"/>
  <c r="AO474" i="164" s="1"/>
  <c r="BB474" i="164"/>
  <c r="BH474" i="164" s="1"/>
  <c r="BC474" i="164"/>
  <c r="BI474" i="164" s="1"/>
  <c r="CN474" i="164"/>
  <c r="G475" i="164"/>
  <c r="H475" i="164" s="1"/>
  <c r="Q475" i="164"/>
  <c r="AA475" i="164"/>
  <c r="AF475" i="164"/>
  <c r="AM475" i="164"/>
  <c r="BB475" i="164"/>
  <c r="BC475" i="164"/>
  <c r="BJ475" i="164"/>
  <c r="CC475" i="164"/>
  <c r="CO475" i="164"/>
  <c r="CP475" i="164"/>
  <c r="G476" i="164"/>
  <c r="H476" i="164" s="1"/>
  <c r="Y476" i="164" s="1"/>
  <c r="K476" i="164"/>
  <c r="L476" i="164" s="1"/>
  <c r="Q476" i="164"/>
  <c r="U476" i="164"/>
  <c r="X476" i="164"/>
  <c r="AD476" i="164"/>
  <c r="AE476" i="164"/>
  <c r="AJ476" i="164"/>
  <c r="AX476" i="164"/>
  <c r="BB476" i="164"/>
  <c r="BC476" i="164"/>
  <c r="BI476" i="164" s="1"/>
  <c r="CN476" i="164"/>
  <c r="G477" i="164"/>
  <c r="H477" i="164"/>
  <c r="Q477" i="164"/>
  <c r="AA477" i="164"/>
  <c r="AF477" i="164"/>
  <c r="AM477" i="164"/>
  <c r="BB477" i="164"/>
  <c r="BC477" i="164"/>
  <c r="BJ477" i="164"/>
  <c r="CC477" i="164"/>
  <c r="CO477" i="164"/>
  <c r="CP477" i="164"/>
  <c r="G478" i="164"/>
  <c r="H478" i="164" s="1"/>
  <c r="K478" i="164"/>
  <c r="L478" i="164" s="1"/>
  <c r="Q478" i="164"/>
  <c r="U478" i="164"/>
  <c r="X478" i="164"/>
  <c r="AD478" i="164"/>
  <c r="AE478" i="164"/>
  <c r="AJ478" i="164"/>
  <c r="AX478" i="164"/>
  <c r="CR478" i="164" s="1"/>
  <c r="CO478" i="164" s="1"/>
  <c r="BB478" i="164"/>
  <c r="BH478" i="164" s="1"/>
  <c r="BC478" i="164"/>
  <c r="BI478" i="164" s="1"/>
  <c r="CN478" i="164"/>
  <c r="G479" i="164"/>
  <c r="H479" i="164" s="1"/>
  <c r="Q479" i="164"/>
  <c r="AA479" i="164"/>
  <c r="AF479" i="164"/>
  <c r="AM479" i="164"/>
  <c r="BB479" i="164"/>
  <c r="BC479" i="164"/>
  <c r="BJ479" i="164"/>
  <c r="CC479" i="164"/>
  <c r="CO479" i="164"/>
  <c r="CP479" i="164"/>
  <c r="G480" i="164"/>
  <c r="H480" i="164" s="1"/>
  <c r="G481" i="164" s="1"/>
  <c r="H481" i="164" s="1"/>
  <c r="K480" i="164"/>
  <c r="L480" i="164" s="1"/>
  <c r="Q480" i="164"/>
  <c r="U480" i="164"/>
  <c r="X480" i="164"/>
  <c r="AD480" i="164"/>
  <c r="AE480" i="164"/>
  <c r="AJ480" i="164"/>
  <c r="AX480" i="164"/>
  <c r="CR480" i="164" s="1"/>
  <c r="CO480" i="164" s="1"/>
  <c r="BB480" i="164"/>
  <c r="BH480" i="164" s="1"/>
  <c r="BC480" i="164"/>
  <c r="BI480" i="164" s="1"/>
  <c r="CN480" i="164"/>
  <c r="Q481" i="164"/>
  <c r="U481" i="164"/>
  <c r="X481" i="164"/>
  <c r="AD481" i="164"/>
  <c r="AE481" i="164"/>
  <c r="AJ481" i="164"/>
  <c r="AX481" i="164"/>
  <c r="BB481" i="164"/>
  <c r="BC481" i="164"/>
  <c r="BI481" i="164" s="1"/>
  <c r="CN481" i="164"/>
  <c r="Q482" i="164"/>
  <c r="U482" i="164"/>
  <c r="X482" i="164"/>
  <c r="AD482" i="164"/>
  <c r="AE482" i="164"/>
  <c r="AJ482" i="164"/>
  <c r="AX482" i="164"/>
  <c r="BB482" i="164"/>
  <c r="BH482" i="164" s="1"/>
  <c r="BC482" i="164"/>
  <c r="BI482" i="164" s="1"/>
  <c r="CN482" i="164"/>
  <c r="Q483" i="164"/>
  <c r="U483" i="164"/>
  <c r="X483" i="164"/>
  <c r="AD483" i="164"/>
  <c r="AE483" i="164"/>
  <c r="AJ483" i="164"/>
  <c r="AX483" i="164"/>
  <c r="BB483" i="164"/>
  <c r="BH483" i="164" s="1"/>
  <c r="BC483" i="164"/>
  <c r="BI483" i="164" s="1"/>
  <c r="CN483" i="164"/>
  <c r="Q484" i="164"/>
  <c r="U484" i="164"/>
  <c r="X484" i="164"/>
  <c r="AD484" i="164"/>
  <c r="AE484" i="164"/>
  <c r="AJ484" i="164"/>
  <c r="AX484" i="164"/>
  <c r="AO484" i="164" s="1"/>
  <c r="BB484" i="164"/>
  <c r="BC484" i="164"/>
  <c r="BI484" i="164" s="1"/>
  <c r="CN484" i="164"/>
  <c r="Q485" i="164"/>
  <c r="U485" i="164"/>
  <c r="X485" i="164"/>
  <c r="AD485" i="164"/>
  <c r="AE485" i="164"/>
  <c r="AJ485" i="164"/>
  <c r="AX485" i="164"/>
  <c r="BB485" i="164"/>
  <c r="BC485" i="164"/>
  <c r="BI485" i="164" s="1"/>
  <c r="BH485" i="164"/>
  <c r="CN485" i="164"/>
  <c r="Q486" i="164"/>
  <c r="U486" i="164"/>
  <c r="X486" i="164"/>
  <c r="AD486" i="164"/>
  <c r="AE486" i="164"/>
  <c r="AJ486" i="164"/>
  <c r="AX486" i="164"/>
  <c r="AO486" i="164" s="1"/>
  <c r="BB486" i="164"/>
  <c r="BH486" i="164" s="1"/>
  <c r="BL486" i="164" s="1"/>
  <c r="BC486" i="164"/>
  <c r="BI486" i="164" s="1"/>
  <c r="CN486" i="164"/>
  <c r="Q487" i="164"/>
  <c r="U487" i="164"/>
  <c r="X487" i="164"/>
  <c r="AD487" i="164"/>
  <c r="AE487" i="164"/>
  <c r="AJ487" i="164"/>
  <c r="AX487" i="164"/>
  <c r="BB487" i="164"/>
  <c r="BH487" i="164" s="1"/>
  <c r="BC487" i="164"/>
  <c r="BI487" i="164" s="1"/>
  <c r="CN487" i="164"/>
  <c r="Q488" i="164"/>
  <c r="U488" i="164"/>
  <c r="X488" i="164"/>
  <c r="AD488" i="164"/>
  <c r="AE488" i="164"/>
  <c r="AJ488" i="164"/>
  <c r="AX488" i="164"/>
  <c r="BB488" i="164"/>
  <c r="BC488" i="164"/>
  <c r="BI488" i="164" s="1"/>
  <c r="BH488" i="164"/>
  <c r="CN488" i="164"/>
  <c r="Q489" i="164"/>
  <c r="U489" i="164"/>
  <c r="X489" i="164"/>
  <c r="AD489" i="164"/>
  <c r="AE489" i="164"/>
  <c r="AJ489" i="164"/>
  <c r="AX489" i="164"/>
  <c r="AO489" i="164" s="1"/>
  <c r="BB489" i="164"/>
  <c r="BC489" i="164"/>
  <c r="BI489" i="164" s="1"/>
  <c r="BH489" i="164"/>
  <c r="BL489" i="164" s="1"/>
  <c r="BK489" i="164"/>
  <c r="AK489" i="164" s="1"/>
  <c r="CN489" i="164"/>
  <c r="Q490" i="164"/>
  <c r="U490" i="164"/>
  <c r="X490" i="164"/>
  <c r="AD490" i="164"/>
  <c r="AE490" i="164"/>
  <c r="AJ490" i="164"/>
  <c r="AX490" i="164"/>
  <c r="AO490" i="164" s="1"/>
  <c r="BB490" i="164"/>
  <c r="BH490" i="164" s="1"/>
  <c r="BC490" i="164"/>
  <c r="BI490" i="164" s="1"/>
  <c r="CN490" i="164"/>
  <c r="Q491" i="164"/>
  <c r="U491" i="164"/>
  <c r="X491" i="164"/>
  <c r="AD491" i="164"/>
  <c r="AE491" i="164"/>
  <c r="AJ491" i="164"/>
  <c r="AX491" i="164"/>
  <c r="CR491" i="164" s="1"/>
  <c r="CO491" i="164" s="1"/>
  <c r="BB491" i="164"/>
  <c r="BH491" i="164" s="1"/>
  <c r="BC491" i="164"/>
  <c r="BI491" i="164" s="1"/>
  <c r="CN491" i="164"/>
  <c r="Q492" i="164"/>
  <c r="U492" i="164"/>
  <c r="X492" i="164"/>
  <c r="AD492" i="164"/>
  <c r="AE492" i="164"/>
  <c r="AJ492" i="164"/>
  <c r="AX492" i="164"/>
  <c r="CR492" i="164" s="1"/>
  <c r="CO492" i="164" s="1"/>
  <c r="BB492" i="164"/>
  <c r="BC492" i="164"/>
  <c r="BI492" i="164" s="1"/>
  <c r="CN492" i="164"/>
  <c r="Q493" i="164"/>
  <c r="U493" i="164"/>
  <c r="X493" i="164"/>
  <c r="AD493" i="164"/>
  <c r="AE493" i="164"/>
  <c r="AJ493" i="164"/>
  <c r="AO493" i="164"/>
  <c r="AX493" i="164"/>
  <c r="BB493" i="164"/>
  <c r="BC493" i="164"/>
  <c r="BI493" i="164" s="1"/>
  <c r="CN493" i="164"/>
  <c r="CR493" i="164"/>
  <c r="CO493" i="164" s="1"/>
  <c r="Q494" i="164"/>
  <c r="U494" i="164"/>
  <c r="X494" i="164"/>
  <c r="AD494" i="164"/>
  <c r="AE494" i="164"/>
  <c r="AJ494" i="164"/>
  <c r="AX494" i="164"/>
  <c r="CR494" i="164" s="1"/>
  <c r="BB494" i="164"/>
  <c r="BC494" i="164"/>
  <c r="BI494" i="164" s="1"/>
  <c r="CN494" i="164"/>
  <c r="CO494" i="164"/>
  <c r="Q495" i="164"/>
  <c r="U495" i="164"/>
  <c r="X495" i="164"/>
  <c r="AD495" i="164"/>
  <c r="AE495" i="164"/>
  <c r="AJ495" i="164"/>
  <c r="AX495" i="164"/>
  <c r="AO495" i="164" s="1"/>
  <c r="BB495" i="164"/>
  <c r="BH495" i="164" s="1"/>
  <c r="BC495" i="164"/>
  <c r="BI495" i="164" s="1"/>
  <c r="CN495" i="164"/>
  <c r="Q496" i="164"/>
  <c r="U496" i="164"/>
  <c r="X496" i="164"/>
  <c r="AD496" i="164"/>
  <c r="AE496" i="164"/>
  <c r="AJ496" i="164"/>
  <c r="AX496" i="164"/>
  <c r="AO496" i="164" s="1"/>
  <c r="BB496" i="164"/>
  <c r="BH496" i="164" s="1"/>
  <c r="BC496" i="164"/>
  <c r="BI496" i="164"/>
  <c r="CN496" i="164"/>
  <c r="Q497" i="164"/>
  <c r="U497" i="164"/>
  <c r="X497" i="164"/>
  <c r="AD497" i="164"/>
  <c r="AE497" i="164"/>
  <c r="AJ497" i="164"/>
  <c r="AX497" i="164"/>
  <c r="AO497" i="164" s="1"/>
  <c r="BB497" i="164"/>
  <c r="BH497" i="164" s="1"/>
  <c r="BC497" i="164"/>
  <c r="BI497" i="164" s="1"/>
  <c r="CN497" i="164"/>
  <c r="Q498" i="164"/>
  <c r="U498" i="164"/>
  <c r="X498" i="164"/>
  <c r="AD498" i="164"/>
  <c r="AE498" i="164"/>
  <c r="AJ498" i="164"/>
  <c r="AX498" i="164"/>
  <c r="CR498" i="164" s="1"/>
  <c r="CO498" i="164" s="1"/>
  <c r="BB498" i="164"/>
  <c r="BC498" i="164"/>
  <c r="BI498" i="164" s="1"/>
  <c r="CN498" i="164"/>
  <c r="Q499" i="164"/>
  <c r="U499" i="164"/>
  <c r="X499" i="164"/>
  <c r="AD499" i="164"/>
  <c r="AE499" i="164"/>
  <c r="AJ499" i="164"/>
  <c r="AX499" i="164"/>
  <c r="AO499" i="164" s="1"/>
  <c r="BB499" i="164"/>
  <c r="BH499" i="164" s="1"/>
  <c r="BC499" i="164"/>
  <c r="CN499" i="164"/>
  <c r="Q500" i="164"/>
  <c r="U500" i="164"/>
  <c r="X500" i="164"/>
  <c r="AD500" i="164"/>
  <c r="AE500" i="164"/>
  <c r="AJ500" i="164"/>
  <c r="AX500" i="164"/>
  <c r="AO500" i="164" s="1"/>
  <c r="BB500" i="164"/>
  <c r="BH500" i="164" s="1"/>
  <c r="BC500" i="164"/>
  <c r="BI500" i="164" s="1"/>
  <c r="CN500" i="164"/>
  <c r="Q501" i="164"/>
  <c r="U501" i="164"/>
  <c r="X501" i="164"/>
  <c r="AD501" i="164"/>
  <c r="AE501" i="164"/>
  <c r="AJ501" i="164"/>
  <c r="AX501" i="164"/>
  <c r="AO501" i="164" s="1"/>
  <c r="BB501" i="164"/>
  <c r="BH501" i="164" s="1"/>
  <c r="BC501" i="164"/>
  <c r="BI501" i="164" s="1"/>
  <c r="CN501" i="164"/>
  <c r="Q502" i="164"/>
  <c r="U502" i="164"/>
  <c r="X502" i="164"/>
  <c r="AD502" i="164"/>
  <c r="AE502" i="164"/>
  <c r="AJ502" i="164"/>
  <c r="AX502" i="164"/>
  <c r="AO502" i="164" s="1"/>
  <c r="BB502" i="164"/>
  <c r="BH502" i="164" s="1"/>
  <c r="BC502" i="164"/>
  <c r="BI502" i="164" s="1"/>
  <c r="CN502" i="164"/>
  <c r="Q503" i="164"/>
  <c r="U503" i="164"/>
  <c r="X503" i="164"/>
  <c r="AD503" i="164"/>
  <c r="AE503" i="164"/>
  <c r="AJ503" i="164"/>
  <c r="AX503" i="164"/>
  <c r="AO503" i="164" s="1"/>
  <c r="BB503" i="164"/>
  <c r="BH503" i="164" s="1"/>
  <c r="BC503" i="164"/>
  <c r="BI503" i="164"/>
  <c r="CN503" i="164"/>
  <c r="Q504" i="164"/>
  <c r="U504" i="164"/>
  <c r="X504" i="164"/>
  <c r="AD504" i="164"/>
  <c r="AE504" i="164"/>
  <c r="AJ504" i="164"/>
  <c r="AX504" i="164"/>
  <c r="CR504" i="164" s="1"/>
  <c r="CO504" i="164" s="1"/>
  <c r="BB504" i="164"/>
  <c r="BH504" i="164" s="1"/>
  <c r="BC504" i="164"/>
  <c r="BI504" i="164" s="1"/>
  <c r="CN504" i="164"/>
  <c r="Q505" i="164"/>
  <c r="U505" i="164"/>
  <c r="X505" i="164"/>
  <c r="AD505" i="164"/>
  <c r="AE505" i="164"/>
  <c r="AJ505" i="164"/>
  <c r="AX505" i="164"/>
  <c r="AO505" i="164" s="1"/>
  <c r="BB505" i="164"/>
  <c r="BC505" i="164"/>
  <c r="BI505" i="164" s="1"/>
  <c r="BH505" i="164"/>
  <c r="CN505" i="164"/>
  <c r="Q506" i="164"/>
  <c r="U506" i="164"/>
  <c r="X506" i="164"/>
  <c r="AD506" i="164"/>
  <c r="AE506" i="164"/>
  <c r="AJ506" i="164"/>
  <c r="AX506" i="164"/>
  <c r="AO506" i="164" s="1"/>
  <c r="BB506" i="164"/>
  <c r="BC506" i="164"/>
  <c r="BI506" i="164"/>
  <c r="CN506" i="164"/>
  <c r="D8" i="163"/>
  <c r="D324" i="163"/>
  <c r="B9" i="162"/>
  <c r="F9" i="162"/>
  <c r="B10" i="162"/>
  <c r="F10" i="162"/>
  <c r="B11" i="162"/>
  <c r="AZ26" i="164" s="1"/>
  <c r="F11" i="162"/>
  <c r="B12" i="162"/>
  <c r="F12" i="162"/>
  <c r="B13" i="162"/>
  <c r="F13" i="162"/>
  <c r="B14" i="162"/>
  <c r="F14" i="162"/>
  <c r="B15" i="162"/>
  <c r="F15" i="162"/>
  <c r="B16" i="162"/>
  <c r="F16" i="162"/>
  <c r="B17" i="162"/>
  <c r="F17" i="162"/>
  <c r="B18" i="162"/>
  <c r="F18" i="162"/>
  <c r="B19" i="162"/>
  <c r="F19" i="162"/>
  <c r="B20" i="162"/>
  <c r="F20" i="162"/>
  <c r="B21" i="162"/>
  <c r="F21" i="162"/>
  <c r="B22" i="162"/>
  <c r="F22" i="162"/>
  <c r="B23" i="162"/>
  <c r="F23" i="162"/>
  <c r="G23" i="162"/>
  <c r="B24" i="162"/>
  <c r="F24" i="162"/>
  <c r="B25" i="162"/>
  <c r="F25" i="162"/>
  <c r="B26" i="162"/>
  <c r="F26" i="162"/>
  <c r="B27" i="162"/>
  <c r="F27" i="162"/>
  <c r="B28" i="162"/>
  <c r="F28" i="162"/>
  <c r="B29" i="162"/>
  <c r="F29" i="162"/>
  <c r="B30" i="162"/>
  <c r="F30" i="162"/>
  <c r="B31" i="162"/>
  <c r="F31" i="162"/>
  <c r="B32" i="162"/>
  <c r="F32" i="162"/>
  <c r="B33" i="162"/>
  <c r="F33" i="162"/>
  <c r="B34" i="162"/>
  <c r="F34" i="162"/>
  <c r="B35" i="162"/>
  <c r="F35" i="162"/>
  <c r="B36" i="162"/>
  <c r="F36" i="162"/>
  <c r="B37" i="162"/>
  <c r="F37" i="162"/>
  <c r="B38" i="162"/>
  <c r="F38" i="162"/>
  <c r="B39" i="162"/>
  <c r="F39" i="162"/>
  <c r="A40" i="162"/>
  <c r="B40" i="162" s="1"/>
  <c r="F40" i="162"/>
  <c r="B41" i="162"/>
  <c r="F41" i="162"/>
  <c r="B42" i="162"/>
  <c r="F42" i="162"/>
  <c r="B43" i="162"/>
  <c r="F43" i="162"/>
  <c r="D51" i="162"/>
  <c r="C51" i="162" s="1"/>
  <c r="AB51" i="162" s="1"/>
  <c r="N51" i="162" s="1"/>
  <c r="F51" i="162"/>
  <c r="AD51" i="162"/>
  <c r="AE51" i="162" s="1"/>
  <c r="D52" i="162"/>
  <c r="C52" i="162" s="1"/>
  <c r="F52" i="162"/>
  <c r="AD52" i="162"/>
  <c r="AE52" i="162"/>
  <c r="D53" i="162"/>
  <c r="C53" i="162" s="1"/>
  <c r="F53" i="162"/>
  <c r="AD53" i="162"/>
  <c r="AE53" i="162" s="1"/>
  <c r="D54" i="162"/>
  <c r="C54" i="162" s="1"/>
  <c r="Z54" i="162" s="1"/>
  <c r="F54" i="162"/>
  <c r="AD54" i="162"/>
  <c r="AE54" i="162" s="1"/>
  <c r="D55" i="162"/>
  <c r="C55" i="162" s="1"/>
  <c r="G55" i="162" s="1"/>
  <c r="F55" i="162"/>
  <c r="AD55" i="162"/>
  <c r="AE55" i="162" s="1"/>
  <c r="D56" i="162"/>
  <c r="C56" i="162" s="1"/>
  <c r="F56" i="162"/>
  <c r="AD56" i="162"/>
  <c r="AE56" i="162" s="1"/>
  <c r="D57" i="162"/>
  <c r="C57" i="162" s="1"/>
  <c r="F57" i="162"/>
  <c r="AD57" i="162"/>
  <c r="AE57" i="162" s="1"/>
  <c r="D58" i="162"/>
  <c r="C58" i="162" s="1"/>
  <c r="F58" i="162"/>
  <c r="AD58" i="162"/>
  <c r="AE58" i="162" s="1"/>
  <c r="D59" i="162"/>
  <c r="C59" i="162" s="1"/>
  <c r="F59" i="162"/>
  <c r="AD59" i="162"/>
  <c r="AE59" i="162" s="1"/>
  <c r="D60" i="162"/>
  <c r="C60" i="162" s="1"/>
  <c r="F60" i="162"/>
  <c r="AD60" i="162"/>
  <c r="AE60" i="162" s="1"/>
  <c r="D61" i="162"/>
  <c r="C61" i="162" s="1"/>
  <c r="F61" i="162"/>
  <c r="AD61" i="162"/>
  <c r="AE61" i="162" s="1"/>
  <c r="D62" i="162"/>
  <c r="C62" i="162" s="1"/>
  <c r="F62" i="162"/>
  <c r="AD62" i="162"/>
  <c r="AE62" i="162" s="1"/>
  <c r="D63" i="162"/>
  <c r="C63" i="162" s="1"/>
  <c r="G63" i="162" s="1"/>
  <c r="F63" i="162"/>
  <c r="AD63" i="162"/>
  <c r="AE63" i="162" s="1"/>
  <c r="D64" i="162"/>
  <c r="C64" i="162" s="1"/>
  <c r="F64" i="162"/>
  <c r="AD64" i="162"/>
  <c r="AE64" i="162"/>
  <c r="D65" i="162"/>
  <c r="C65" i="162" s="1"/>
  <c r="K65" i="162" s="1"/>
  <c r="F65" i="162"/>
  <c r="O65" i="162" s="1"/>
  <c r="G65" i="162"/>
  <c r="D66" i="162"/>
  <c r="C66" i="162" s="1"/>
  <c r="F66" i="162"/>
  <c r="AD66" i="162"/>
  <c r="AE66" i="162"/>
  <c r="D67" i="162"/>
  <c r="C67" i="162" s="1"/>
  <c r="F67" i="162"/>
  <c r="E68" i="162"/>
  <c r="D74" i="162"/>
  <c r="F74" i="162"/>
  <c r="G74" i="162"/>
  <c r="J74" i="162" s="1"/>
  <c r="Z74" i="162"/>
  <c r="AB74" i="162"/>
  <c r="N74" i="162" s="1"/>
  <c r="D75" i="162"/>
  <c r="F75" i="162"/>
  <c r="G75" i="162"/>
  <c r="M75" i="162" s="1"/>
  <c r="H75" i="162"/>
  <c r="I75" i="162"/>
  <c r="J75" i="162"/>
  <c r="L75" i="162"/>
  <c r="Z75" i="162"/>
  <c r="K75" i="162" s="1"/>
  <c r="AB75" i="162"/>
  <c r="N75" i="162" s="1"/>
  <c r="D76" i="162"/>
  <c r="F76" i="162"/>
  <c r="G76" i="162"/>
  <c r="H76" i="162" s="1"/>
  <c r="Z76" i="162"/>
  <c r="AB76" i="162"/>
  <c r="N76" i="162" s="1"/>
  <c r="D77" i="162"/>
  <c r="F77" i="162"/>
  <c r="G77" i="162"/>
  <c r="J77" i="162" s="1"/>
  <c r="Z77" i="162"/>
  <c r="AB77" i="162"/>
  <c r="N77" i="162" s="1"/>
  <c r="D78" i="162"/>
  <c r="F78" i="162"/>
  <c r="G78" i="162"/>
  <c r="M78" i="162" s="1"/>
  <c r="I78" i="162"/>
  <c r="L78" i="162"/>
  <c r="Z78" i="162"/>
  <c r="K78" i="162" s="1"/>
  <c r="AB78" i="162"/>
  <c r="N78" i="162" s="1"/>
  <c r="D79" i="162"/>
  <c r="F79" i="162"/>
  <c r="G79" i="162"/>
  <c r="I79" i="162" s="1"/>
  <c r="Z79" i="162"/>
  <c r="AB79" i="162"/>
  <c r="N79" i="162" s="1"/>
  <c r="D80" i="162"/>
  <c r="F80" i="162"/>
  <c r="G80" i="162"/>
  <c r="I80" i="162" s="1"/>
  <c r="Z80" i="162"/>
  <c r="K80" i="162" s="1"/>
  <c r="AB80" i="162"/>
  <c r="N80" i="162" s="1"/>
  <c r="D81" i="162"/>
  <c r="F81" i="162"/>
  <c r="G81" i="162"/>
  <c r="M81" i="162" s="1"/>
  <c r="H81" i="162"/>
  <c r="Z81" i="162"/>
  <c r="AB81" i="162"/>
  <c r="N81" i="162" s="1"/>
  <c r="D82" i="162"/>
  <c r="F82" i="162"/>
  <c r="G82" i="162"/>
  <c r="Z82" i="162"/>
  <c r="AB82" i="162"/>
  <c r="U82" i="162" s="1"/>
  <c r="D83" i="162"/>
  <c r="F83" i="162"/>
  <c r="G83" i="162"/>
  <c r="I83" i="162" s="1"/>
  <c r="H83" i="162"/>
  <c r="J83" i="162"/>
  <c r="L83" i="162"/>
  <c r="M83" i="162"/>
  <c r="T83" i="162"/>
  <c r="Z83" i="162"/>
  <c r="AB83" i="162"/>
  <c r="N83" i="162" s="1"/>
  <c r="D84" i="162"/>
  <c r="F84" i="162"/>
  <c r="G84" i="162"/>
  <c r="I84" i="162" s="1"/>
  <c r="J84" i="162"/>
  <c r="Z84" i="162"/>
  <c r="K84" i="162" s="1"/>
  <c r="AB84" i="162"/>
  <c r="N84" i="162" s="1"/>
  <c r="D85" i="162"/>
  <c r="F85" i="162"/>
  <c r="G85" i="162"/>
  <c r="I85" i="162" s="1"/>
  <c r="Z85" i="162"/>
  <c r="AB85" i="162"/>
  <c r="N85" i="162" s="1"/>
  <c r="D86" i="162"/>
  <c r="F86" i="162"/>
  <c r="G86" i="162"/>
  <c r="L86" i="162" s="1"/>
  <c r="H86" i="162"/>
  <c r="I86" i="162"/>
  <c r="J86" i="162"/>
  <c r="K86" i="162"/>
  <c r="M86" i="162"/>
  <c r="Z86" i="162"/>
  <c r="AB86" i="162"/>
  <c r="N86" i="162" s="1"/>
  <c r="D87" i="162"/>
  <c r="F87" i="162"/>
  <c r="G87" i="162"/>
  <c r="I87" i="162" s="1"/>
  <c r="H87" i="162"/>
  <c r="Z87" i="162"/>
  <c r="AB87" i="162"/>
  <c r="D88" i="162"/>
  <c r="F88" i="162"/>
  <c r="G88" i="162"/>
  <c r="I88" i="162" s="1"/>
  <c r="H88" i="162"/>
  <c r="Z88" i="162"/>
  <c r="AB88" i="162"/>
  <c r="D89" i="162"/>
  <c r="F89" i="162"/>
  <c r="G89" i="162"/>
  <c r="J89" i="162" s="1"/>
  <c r="Z89" i="162"/>
  <c r="K89" i="162" s="1"/>
  <c r="AB89" i="162"/>
  <c r="N89" i="162" s="1"/>
  <c r="J97" i="162"/>
  <c r="K97" i="162"/>
  <c r="L97" i="162"/>
  <c r="M97" i="162" s="1"/>
  <c r="N97" i="162" s="1"/>
  <c r="O97" i="162" s="1"/>
  <c r="P97" i="162" s="1"/>
  <c r="Q97" i="162" s="1"/>
  <c r="R97" i="162" s="1"/>
  <c r="S97" i="162" s="1"/>
  <c r="T97" i="162" s="1"/>
  <c r="K102" i="162"/>
  <c r="C103" i="162"/>
  <c r="K103" i="162"/>
  <c r="K104" i="162"/>
  <c r="K105" i="162"/>
  <c r="K106" i="162"/>
  <c r="K107" i="162"/>
  <c r="K108" i="162"/>
  <c r="K109" i="162"/>
  <c r="K110" i="162"/>
  <c r="T110" i="162"/>
  <c r="K111" i="162"/>
  <c r="K112" i="162"/>
  <c r="K113" i="162"/>
  <c r="K114" i="162"/>
  <c r="K115" i="162"/>
  <c r="K116" i="162"/>
  <c r="K117" i="162"/>
  <c r="K118" i="162"/>
  <c r="K119" i="162"/>
  <c r="K120" i="162"/>
  <c r="K121" i="162"/>
  <c r="K122" i="162"/>
  <c r="K123" i="162"/>
  <c r="K124" i="162"/>
  <c r="K125" i="162"/>
  <c r="K126" i="162"/>
  <c r="K128" i="162"/>
  <c r="K129" i="162"/>
  <c r="K130" i="162"/>
  <c r="K131" i="162"/>
  <c r="K132" i="162"/>
  <c r="K133" i="162"/>
  <c r="K134" i="162"/>
  <c r="K135" i="162"/>
  <c r="K6" i="161"/>
  <c r="L6" i="161"/>
  <c r="M6" i="161"/>
  <c r="K7" i="161"/>
  <c r="L7" i="161"/>
  <c r="M7" i="161" s="1"/>
  <c r="K8" i="161"/>
  <c r="L8" i="161"/>
  <c r="M8" i="161" s="1"/>
  <c r="K9" i="161"/>
  <c r="L9" i="161"/>
  <c r="M9" i="161" s="1"/>
  <c r="K10" i="161"/>
  <c r="L10" i="161"/>
  <c r="M10" i="161"/>
  <c r="K11" i="161"/>
  <c r="L11" i="161"/>
  <c r="M11" i="161" s="1"/>
  <c r="K12" i="161"/>
  <c r="L12" i="161"/>
  <c r="M12" i="161"/>
  <c r="K13" i="161"/>
  <c r="L13" i="161"/>
  <c r="M13" i="161" s="1"/>
  <c r="K14" i="161"/>
  <c r="L14" i="161"/>
  <c r="M14" i="161" s="1"/>
  <c r="K15" i="161"/>
  <c r="L15" i="161"/>
  <c r="M15" i="161" s="1"/>
  <c r="K16" i="161"/>
  <c r="L16" i="161"/>
  <c r="M16" i="161"/>
  <c r="K17" i="161"/>
  <c r="L17" i="161"/>
  <c r="M17" i="161" s="1"/>
  <c r="K18" i="161"/>
  <c r="L18" i="161"/>
  <c r="M18" i="161" s="1"/>
  <c r="K19" i="161"/>
  <c r="L19" i="161"/>
  <c r="M19" i="161" s="1"/>
  <c r="K20" i="161"/>
  <c r="L20" i="161"/>
  <c r="M20" i="161"/>
  <c r="K21" i="161"/>
  <c r="L21" i="161"/>
  <c r="M21" i="161" s="1"/>
  <c r="K22" i="161"/>
  <c r="L22" i="161"/>
  <c r="M22" i="161" s="1"/>
  <c r="K23" i="161"/>
  <c r="L23" i="161"/>
  <c r="M23" i="161" s="1"/>
  <c r="K24" i="161"/>
  <c r="L24" i="161"/>
  <c r="M24" i="161"/>
  <c r="BJ117" i="164" l="1"/>
  <c r="CK117" i="164" s="1"/>
  <c r="AE327" i="168"/>
  <c r="AO112" i="164"/>
  <c r="G71" i="169"/>
  <c r="BL366" i="164"/>
  <c r="AO310" i="164"/>
  <c r="BL180" i="164"/>
  <c r="I136" i="168"/>
  <c r="L74" i="164"/>
  <c r="K75" i="164" s="1"/>
  <c r="L75" i="164" s="1"/>
  <c r="Z75" i="164" s="1"/>
  <c r="AE155" i="168"/>
  <c r="AO293" i="164"/>
  <c r="AO206" i="164"/>
  <c r="AO63" i="164"/>
  <c r="M65" i="162"/>
  <c r="BL264" i="164"/>
  <c r="AO48" i="164"/>
  <c r="BK359" i="164"/>
  <c r="CP359" i="164" s="1"/>
  <c r="BB356" i="164"/>
  <c r="BH356" i="164" s="1"/>
  <c r="L65" i="162"/>
  <c r="U343" i="164"/>
  <c r="BK259" i="164"/>
  <c r="Q199" i="164"/>
  <c r="CR166" i="164"/>
  <c r="CO166" i="164" s="1"/>
  <c r="G87" i="169"/>
  <c r="AO279" i="164"/>
  <c r="BL245" i="164"/>
  <c r="BK60" i="164"/>
  <c r="AZ448" i="164"/>
  <c r="CR234" i="164"/>
  <c r="CR417" i="164"/>
  <c r="CO417" i="164" s="1"/>
  <c r="U356" i="164"/>
  <c r="AO105" i="164"/>
  <c r="Q65" i="162"/>
  <c r="BL383" i="164"/>
  <c r="CR54" i="164"/>
  <c r="CO54" i="164" s="1"/>
  <c r="K79" i="162"/>
  <c r="BL372" i="164"/>
  <c r="U349" i="164"/>
  <c r="BL32" i="164"/>
  <c r="BJ149" i="164"/>
  <c r="CK149" i="164" s="1"/>
  <c r="AO421" i="164"/>
  <c r="BK200" i="164"/>
  <c r="AO400" i="164"/>
  <c r="AO404" i="164"/>
  <c r="I305" i="168"/>
  <c r="AZ158" i="164"/>
  <c r="G85" i="169"/>
  <c r="AO457" i="164"/>
  <c r="AO425" i="164"/>
  <c r="CR238" i="164"/>
  <c r="CO238" i="164" s="1"/>
  <c r="CX166" i="164"/>
  <c r="BL58" i="164"/>
  <c r="BL148" i="168"/>
  <c r="BL365" i="164"/>
  <c r="AO123" i="164"/>
  <c r="T55" i="162"/>
  <c r="K466" i="164"/>
  <c r="L466" i="164" s="1"/>
  <c r="Z466" i="164" s="1"/>
  <c r="BK444" i="164"/>
  <c r="AO391" i="164"/>
  <c r="CR284" i="164"/>
  <c r="H148" i="164"/>
  <c r="CX32" i="164"/>
  <c r="S327" i="168"/>
  <c r="V327" i="168" s="1"/>
  <c r="BO327" i="168" s="1"/>
  <c r="AO463" i="164"/>
  <c r="P79" i="162"/>
  <c r="AO29" i="164"/>
  <c r="AB54" i="162"/>
  <c r="N54" i="162" s="1"/>
  <c r="G54" i="162"/>
  <c r="K54" i="162" s="1"/>
  <c r="CR337" i="164"/>
  <c r="CO337" i="164" s="1"/>
  <c r="X282" i="164"/>
  <c r="R327" i="168"/>
  <c r="U327" i="168" s="1"/>
  <c r="DI305" i="168"/>
  <c r="BL299" i="164"/>
  <c r="AO292" i="164"/>
  <c r="BK123" i="164"/>
  <c r="AK123" i="164" s="1"/>
  <c r="H85" i="162"/>
  <c r="CR489" i="164"/>
  <c r="CO489" i="164" s="1"/>
  <c r="CR420" i="164"/>
  <c r="CO420" i="164" s="1"/>
  <c r="AO408" i="164"/>
  <c r="I327" i="168"/>
  <c r="CR55" i="164"/>
  <c r="CO55" i="164" s="1"/>
  <c r="BN305" i="168"/>
  <c r="CE305" i="168" s="1"/>
  <c r="G38" i="169"/>
  <c r="Z28" i="164"/>
  <c r="K33" i="164"/>
  <c r="L33" i="164" s="1"/>
  <c r="CX419" i="164"/>
  <c r="L229" i="164"/>
  <c r="K230" i="164" s="1"/>
  <c r="L230" i="164" s="1"/>
  <c r="CX174" i="164"/>
  <c r="L148" i="164"/>
  <c r="Z148" i="164" s="1"/>
  <c r="L89" i="164"/>
  <c r="K460" i="164"/>
  <c r="L460" i="164" s="1"/>
  <c r="Z460" i="164" s="1"/>
  <c r="Z459" i="164"/>
  <c r="Y428" i="164"/>
  <c r="G429" i="164"/>
  <c r="H429" i="164" s="1"/>
  <c r="Y429" i="164" s="1"/>
  <c r="BL194" i="164"/>
  <c r="Z53" i="162"/>
  <c r="AB53" i="162"/>
  <c r="N53" i="162" s="1"/>
  <c r="Q76" i="162"/>
  <c r="BK442" i="164"/>
  <c r="AK442" i="164" s="1"/>
  <c r="AL442" i="164" s="1"/>
  <c r="AO432" i="164"/>
  <c r="U88" i="162"/>
  <c r="T87" i="162"/>
  <c r="I77" i="162"/>
  <c r="R74" i="162"/>
  <c r="CR470" i="164"/>
  <c r="CO470" i="164" s="1"/>
  <c r="K88" i="162"/>
  <c r="R83" i="162"/>
  <c r="P82" i="162"/>
  <c r="J80" i="162"/>
  <c r="R78" i="162"/>
  <c r="H77" i="162"/>
  <c r="K74" i="162"/>
  <c r="AO436" i="164"/>
  <c r="CR396" i="164"/>
  <c r="CO396" i="164" s="1"/>
  <c r="AO384" i="164"/>
  <c r="BC356" i="164"/>
  <c r="BI356" i="164" s="1"/>
  <c r="AO340" i="164"/>
  <c r="CR320" i="164"/>
  <c r="CO320" i="164" s="1"/>
  <c r="BB282" i="164"/>
  <c r="BH282" i="164" s="1"/>
  <c r="AO281" i="164"/>
  <c r="BK227" i="164"/>
  <c r="AK227" i="164" s="1"/>
  <c r="AL227" i="164" s="1"/>
  <c r="CU205" i="164"/>
  <c r="CX180" i="164"/>
  <c r="AO176" i="164"/>
  <c r="BM313" i="168"/>
  <c r="R306" i="168"/>
  <c r="R305" i="168"/>
  <c r="BM162" i="168"/>
  <c r="AB147" i="168"/>
  <c r="CU401" i="164"/>
  <c r="CU322" i="164"/>
  <c r="BJ48" i="164"/>
  <c r="CK48" i="164" s="1"/>
  <c r="EC327" i="168"/>
  <c r="EH327" i="168" s="1"/>
  <c r="T313" i="168"/>
  <c r="L306" i="168"/>
  <c r="BK162" i="168"/>
  <c r="R147" i="168"/>
  <c r="U147" i="168" s="1"/>
  <c r="BN134" i="168"/>
  <c r="CE134" i="168" s="1"/>
  <c r="Y480" i="164"/>
  <c r="AZ455" i="164"/>
  <c r="BM455" i="164" s="1"/>
  <c r="M88" i="162"/>
  <c r="P78" i="162"/>
  <c r="I74" i="162"/>
  <c r="BK410" i="164"/>
  <c r="T77" i="162"/>
  <c r="H74" i="162"/>
  <c r="CR506" i="164"/>
  <c r="CO506" i="164" s="1"/>
  <c r="CR497" i="164"/>
  <c r="CO497" i="164" s="1"/>
  <c r="CR496" i="164"/>
  <c r="CO496" i="164" s="1"/>
  <c r="CR490" i="164"/>
  <c r="CO490" i="164" s="1"/>
  <c r="BL472" i="164"/>
  <c r="CR368" i="164"/>
  <c r="CO368" i="164" s="1"/>
  <c r="AX353" i="164"/>
  <c r="CR353" i="164" s="1"/>
  <c r="BC338" i="164"/>
  <c r="BI338" i="164" s="1"/>
  <c r="BK292" i="164"/>
  <c r="BK274" i="164"/>
  <c r="CR267" i="164"/>
  <c r="CO267" i="164" s="1"/>
  <c r="BL260" i="164"/>
  <c r="BL257" i="164"/>
  <c r="CR124" i="164"/>
  <c r="CO124" i="164" s="1"/>
  <c r="AO111" i="164"/>
  <c r="L91" i="164"/>
  <c r="CX91" i="164" s="1"/>
  <c r="AO89" i="164"/>
  <c r="BL24" i="164"/>
  <c r="DI327" i="168"/>
  <c r="BL134" i="168"/>
  <c r="U53" i="162"/>
  <c r="CR371" i="164"/>
  <c r="CO371" i="164" s="1"/>
  <c r="X349" i="164"/>
  <c r="BB338" i="164"/>
  <c r="BH338" i="164" s="1"/>
  <c r="BC329" i="164"/>
  <c r="BI329" i="164" s="1"/>
  <c r="K328" i="168" s="1"/>
  <c r="BI328" i="164"/>
  <c r="K327" i="168" s="1"/>
  <c r="G329" i="164"/>
  <c r="H329" i="164" s="1"/>
  <c r="CU117" i="164"/>
  <c r="Z60" i="164"/>
  <c r="BL44" i="164"/>
  <c r="BJ38" i="164"/>
  <c r="CK38" i="164" s="1"/>
  <c r="BL327" i="168"/>
  <c r="S74" i="162"/>
  <c r="CR359" i="164"/>
  <c r="CO359" i="164" s="1"/>
  <c r="CR158" i="164"/>
  <c r="CO158" i="164" s="1"/>
  <c r="BJ123" i="164"/>
  <c r="CK123" i="164" s="1"/>
  <c r="AO403" i="164"/>
  <c r="AP398" i="164"/>
  <c r="AN399" i="164" s="1"/>
  <c r="BK371" i="164"/>
  <c r="AK371" i="164" s="1"/>
  <c r="AL371" i="164" s="1"/>
  <c r="AO347" i="164"/>
  <c r="AX344" i="164"/>
  <c r="CR344" i="164" s="1"/>
  <c r="CO344" i="164" s="1"/>
  <c r="AX329" i="164"/>
  <c r="BL329" i="164" s="1"/>
  <c r="F328" i="168" s="1"/>
  <c r="AM328" i="168" s="1"/>
  <c r="CX309" i="164"/>
  <c r="CR299" i="164"/>
  <c r="CO299" i="164" s="1"/>
  <c r="AO259" i="164"/>
  <c r="BL247" i="164"/>
  <c r="BK213" i="164"/>
  <c r="BL126" i="164"/>
  <c r="CB112" i="164"/>
  <c r="AO49" i="164"/>
  <c r="V313" i="168"/>
  <c r="BO313" i="168" s="1"/>
  <c r="K76" i="162"/>
  <c r="CR495" i="164"/>
  <c r="CO495" i="164" s="1"/>
  <c r="CX441" i="164"/>
  <c r="BD441" i="164" s="1"/>
  <c r="CW441" i="164" s="1"/>
  <c r="BL428" i="164"/>
  <c r="G381" i="164"/>
  <c r="H381" i="164" s="1"/>
  <c r="G382" i="164" s="1"/>
  <c r="H382" i="164" s="1"/>
  <c r="X353" i="164"/>
  <c r="CR298" i="164"/>
  <c r="CO298" i="164" s="1"/>
  <c r="BK285" i="164"/>
  <c r="CR236" i="164"/>
  <c r="CO236" i="164" s="1"/>
  <c r="CR202" i="164"/>
  <c r="CO202" i="164" s="1"/>
  <c r="CR141" i="164"/>
  <c r="CO141" i="164" s="1"/>
  <c r="BX112" i="164"/>
  <c r="CR108" i="164"/>
  <c r="CO108" i="164" s="1"/>
  <c r="BJ54" i="164"/>
  <c r="CK54" i="164" s="1"/>
  <c r="AV329" i="168"/>
  <c r="DI306" i="168"/>
  <c r="EC305" i="168"/>
  <c r="EH305" i="168" s="1"/>
  <c r="AB238" i="168"/>
  <c r="BL228" i="168"/>
  <c r="BL136" i="168"/>
  <c r="BK476" i="164"/>
  <c r="M76" i="162"/>
  <c r="BK492" i="164"/>
  <c r="CP492" i="164" s="1"/>
  <c r="Q78" i="162"/>
  <c r="I76" i="162"/>
  <c r="AO491" i="164"/>
  <c r="BK481" i="164"/>
  <c r="AK481" i="164" s="1"/>
  <c r="AL481" i="164" s="1"/>
  <c r="BH444" i="164"/>
  <c r="CR435" i="164"/>
  <c r="CO435" i="164" s="1"/>
  <c r="BL431" i="164"/>
  <c r="BL425" i="164"/>
  <c r="CR385" i="164"/>
  <c r="CO385" i="164" s="1"/>
  <c r="BH359" i="164"/>
  <c r="BL359" i="164" s="1"/>
  <c r="U353" i="164"/>
  <c r="U338" i="164"/>
  <c r="BK277" i="164"/>
  <c r="AO276" i="164"/>
  <c r="BK247" i="164"/>
  <c r="CP247" i="164" s="1"/>
  <c r="CX158" i="164"/>
  <c r="AO148" i="164"/>
  <c r="BV112" i="164"/>
  <c r="BJ74" i="164"/>
  <c r="CK74" i="164" s="1"/>
  <c r="BL74" i="164"/>
  <c r="BN306" i="168"/>
  <c r="AV228" i="168"/>
  <c r="BK136" i="168"/>
  <c r="G86" i="169"/>
  <c r="BL504" i="164"/>
  <c r="Q88" i="162"/>
  <c r="S83" i="162"/>
  <c r="O75" i="162"/>
  <c r="H54" i="162"/>
  <c r="BK496" i="164"/>
  <c r="AK496" i="164" s="1"/>
  <c r="CR453" i="164"/>
  <c r="CO453" i="164" s="1"/>
  <c r="BK424" i="164"/>
  <c r="AK424" i="164" s="1"/>
  <c r="AL424" i="164" s="1"/>
  <c r="U357" i="164"/>
  <c r="AX348" i="164"/>
  <c r="CR348" i="164" s="1"/>
  <c r="CO348" i="164" s="1"/>
  <c r="Y220" i="164"/>
  <c r="CU201" i="164"/>
  <c r="BT112" i="164"/>
  <c r="AR112" i="164" s="1"/>
  <c r="AS112" i="164" s="1"/>
  <c r="AT112" i="164" s="1"/>
  <c r="AO53" i="164"/>
  <c r="AO33" i="164"/>
  <c r="BM306" i="168"/>
  <c r="AE238" i="168"/>
  <c r="EC155" i="168"/>
  <c r="EH155" i="168" s="1"/>
  <c r="EC147" i="168"/>
  <c r="EH147" i="168" s="1"/>
  <c r="AL123" i="164"/>
  <c r="H105" i="164"/>
  <c r="BJ80" i="164"/>
  <c r="CK80" i="164" s="1"/>
  <c r="BK77" i="164"/>
  <c r="CP77" i="164" s="1"/>
  <c r="AO75" i="164"/>
  <c r="BL306" i="168"/>
  <c r="BN155" i="168"/>
  <c r="CE155" i="168" s="1"/>
  <c r="BN147" i="168"/>
  <c r="CE147" i="168" s="1"/>
  <c r="CU241" i="164"/>
  <c r="AO376" i="164"/>
  <c r="BL281" i="164"/>
  <c r="AO189" i="164"/>
  <c r="BL176" i="164"/>
  <c r="BK306" i="168"/>
  <c r="BM147" i="168"/>
  <c r="AL496" i="164"/>
  <c r="CR486" i="164"/>
  <c r="CO486" i="164" s="1"/>
  <c r="CR410" i="164"/>
  <c r="CO410" i="164" s="1"/>
  <c r="BL362" i="164"/>
  <c r="BB352" i="164"/>
  <c r="BH352" i="164" s="1"/>
  <c r="CR312" i="164"/>
  <c r="CO312" i="164" s="1"/>
  <c r="AN312" i="164" s="1"/>
  <c r="AP312" i="164" s="1"/>
  <c r="AM312" i="164" s="1"/>
  <c r="AV312" i="164" s="1"/>
  <c r="CR304" i="164"/>
  <c r="CO304" i="164" s="1"/>
  <c r="CU301" i="164"/>
  <c r="BK194" i="164"/>
  <c r="CR83" i="164"/>
  <c r="CO83" i="164" s="1"/>
  <c r="BK81" i="164"/>
  <c r="AK81" i="164" s="1"/>
  <c r="AL81" i="164" s="1"/>
  <c r="AO78" i="164"/>
  <c r="CR71" i="164"/>
  <c r="CO71" i="164" s="1"/>
  <c r="AE331" i="168"/>
  <c r="AV305" i="168"/>
  <c r="BH147" i="168"/>
  <c r="G58" i="162"/>
  <c r="Q58" i="162" s="1"/>
  <c r="N58" i="162"/>
  <c r="Z56" i="162"/>
  <c r="G56" i="162"/>
  <c r="I56" i="162" s="1"/>
  <c r="AB56" i="162"/>
  <c r="N56" i="162" s="1"/>
  <c r="Z67" i="162"/>
  <c r="G67" i="162"/>
  <c r="Z61" i="162"/>
  <c r="AB61" i="162"/>
  <c r="N61" i="162" s="1"/>
  <c r="G61" i="162"/>
  <c r="S61" i="162" s="1"/>
  <c r="G52" i="162"/>
  <c r="P52" i="162" s="1"/>
  <c r="AB52" i="162"/>
  <c r="N52" i="162" s="1"/>
  <c r="T89" i="162"/>
  <c r="CR481" i="164"/>
  <c r="CO481" i="164" s="1"/>
  <c r="AO481" i="164"/>
  <c r="G298" i="164"/>
  <c r="H298" i="164" s="1"/>
  <c r="G299" i="164" s="1"/>
  <c r="H299" i="164" s="1"/>
  <c r="Y297" i="164"/>
  <c r="AO482" i="164"/>
  <c r="CR482" i="164"/>
  <c r="CO482" i="164" s="1"/>
  <c r="BL487" i="164"/>
  <c r="AO439" i="164"/>
  <c r="CR439" i="164"/>
  <c r="CO439" i="164" s="1"/>
  <c r="AO422" i="164"/>
  <c r="CR422" i="164"/>
  <c r="CO422" i="164" s="1"/>
  <c r="AO317" i="164"/>
  <c r="CR317" i="164"/>
  <c r="CO317" i="164" s="1"/>
  <c r="BL167" i="164"/>
  <c r="CU167" i="164"/>
  <c r="AO483" i="164"/>
  <c r="CR483" i="164"/>
  <c r="CO483" i="164" s="1"/>
  <c r="AO333" i="164"/>
  <c r="BK333" i="164"/>
  <c r="CR333" i="164"/>
  <c r="U89" i="162"/>
  <c r="T88" i="162"/>
  <c r="U87" i="162"/>
  <c r="R86" i="162"/>
  <c r="S86" i="162"/>
  <c r="O82" i="162"/>
  <c r="O76" i="162"/>
  <c r="Q74" i="162"/>
  <c r="U58" i="162"/>
  <c r="CR424" i="164"/>
  <c r="CO424" i="164" s="1"/>
  <c r="AO424" i="164"/>
  <c r="AO373" i="164"/>
  <c r="CR373" i="164"/>
  <c r="CO373" i="164" s="1"/>
  <c r="BL241" i="164"/>
  <c r="G230" i="164"/>
  <c r="H230" i="164" s="1"/>
  <c r="Y229" i="164"/>
  <c r="AO487" i="164"/>
  <c r="CR487" i="164"/>
  <c r="CO487" i="164" s="1"/>
  <c r="M89" i="162"/>
  <c r="R88" i="162"/>
  <c r="T86" i="162"/>
  <c r="H84" i="162"/>
  <c r="M82" i="162"/>
  <c r="R79" i="162"/>
  <c r="S78" i="162"/>
  <c r="O74" i="162"/>
  <c r="R54" i="162"/>
  <c r="AO488" i="164"/>
  <c r="CR488" i="164"/>
  <c r="CO488" i="164" s="1"/>
  <c r="CR460" i="164"/>
  <c r="CO460" i="164" s="1"/>
  <c r="CR449" i="164"/>
  <c r="CO449" i="164" s="1"/>
  <c r="CR262" i="164"/>
  <c r="CO262" i="164" s="1"/>
  <c r="AO262" i="164"/>
  <c r="CR221" i="164"/>
  <c r="CO221" i="164" s="1"/>
  <c r="AO221" i="164"/>
  <c r="BK469" i="164"/>
  <c r="AK469" i="164" s="1"/>
  <c r="AL469" i="164" s="1"/>
  <c r="S82" i="162"/>
  <c r="U81" i="162"/>
  <c r="Q82" i="162"/>
  <c r="L89" i="162"/>
  <c r="P88" i="162"/>
  <c r="M87" i="162"/>
  <c r="P86" i="162"/>
  <c r="K85" i="162"/>
  <c r="I82" i="162"/>
  <c r="Q79" i="162"/>
  <c r="M74" i="162"/>
  <c r="CR502" i="164"/>
  <c r="CO502" i="164" s="1"/>
  <c r="CP496" i="164"/>
  <c r="U76" i="162"/>
  <c r="T74" i="162"/>
  <c r="CR505" i="164"/>
  <c r="CO505" i="164" s="1"/>
  <c r="S88" i="162"/>
  <c r="K87" i="162"/>
  <c r="U86" i="162"/>
  <c r="N82" i="162"/>
  <c r="U78" i="162"/>
  <c r="P74" i="162"/>
  <c r="BK505" i="164"/>
  <c r="CP505" i="164" s="1"/>
  <c r="CP481" i="164"/>
  <c r="CR472" i="164"/>
  <c r="CO472" i="164" s="1"/>
  <c r="Z413" i="164"/>
  <c r="CX413" i="164"/>
  <c r="O88" i="162"/>
  <c r="L87" i="162"/>
  <c r="O86" i="162"/>
  <c r="M85" i="162"/>
  <c r="T84" i="162"/>
  <c r="H82" i="162"/>
  <c r="L74" i="162"/>
  <c r="H65" i="162"/>
  <c r="CR500" i="164"/>
  <c r="CO500" i="164" s="1"/>
  <c r="BK480" i="164"/>
  <c r="CP480" i="164" s="1"/>
  <c r="AN480" i="164" s="1"/>
  <c r="BK460" i="164"/>
  <c r="CP460" i="164" s="1"/>
  <c r="Z210" i="164"/>
  <c r="K211" i="164"/>
  <c r="L211" i="164" s="1"/>
  <c r="AO169" i="164"/>
  <c r="CR169" i="164"/>
  <c r="CO169" i="164" s="1"/>
  <c r="AO504" i="164"/>
  <c r="I89" i="162"/>
  <c r="J87" i="162"/>
  <c r="L85" i="162"/>
  <c r="BH481" i="164"/>
  <c r="BL481" i="164" s="1"/>
  <c r="BL480" i="164"/>
  <c r="BH476" i="164"/>
  <c r="BL476" i="164" s="1"/>
  <c r="BI461" i="164"/>
  <c r="BL461" i="164" s="1"/>
  <c r="BK461" i="164"/>
  <c r="AK461" i="164" s="1"/>
  <c r="AL461" i="164" s="1"/>
  <c r="CR380" i="164"/>
  <c r="CO380" i="164" s="1"/>
  <c r="AO380" i="164"/>
  <c r="AO339" i="164"/>
  <c r="CR339" i="164"/>
  <c r="CO339" i="164" s="1"/>
  <c r="BP244" i="164"/>
  <c r="CB244" i="164" s="1"/>
  <c r="K245" i="164"/>
  <c r="L245" i="164" s="1"/>
  <c r="BP245" i="164" s="1"/>
  <c r="H89" i="162"/>
  <c r="J85" i="162"/>
  <c r="L80" i="162"/>
  <c r="L79" i="162"/>
  <c r="BK504" i="164"/>
  <c r="BK502" i="164"/>
  <c r="BK499" i="164"/>
  <c r="AK499" i="164" s="1"/>
  <c r="AL499" i="164" s="1"/>
  <c r="BI499" i="164"/>
  <c r="BH498" i="164"/>
  <c r="BL498" i="164" s="1"/>
  <c r="BK498" i="164"/>
  <c r="CP498" i="164" s="1"/>
  <c r="BL496" i="164"/>
  <c r="G420" i="164"/>
  <c r="H420" i="164" s="1"/>
  <c r="Y419" i="164"/>
  <c r="BK414" i="164"/>
  <c r="AK414" i="164" s="1"/>
  <c r="AL414" i="164" s="1"/>
  <c r="BH414" i="164"/>
  <c r="CU414" i="164" s="1"/>
  <c r="BH400" i="164"/>
  <c r="CU400" i="164" s="1"/>
  <c r="BK400" i="164"/>
  <c r="AK400" i="164" s="1"/>
  <c r="AL400" i="164" s="1"/>
  <c r="Z259" i="164"/>
  <c r="CX259" i="164"/>
  <c r="AZ204" i="164"/>
  <c r="BM204" i="164" s="1"/>
  <c r="Z204" i="164"/>
  <c r="CR170" i="164"/>
  <c r="CO170" i="164" s="1"/>
  <c r="AO170" i="164"/>
  <c r="BH463" i="164"/>
  <c r="BL463" i="164" s="1"/>
  <c r="BK463" i="164"/>
  <c r="AK463" i="164" s="1"/>
  <c r="AL463" i="164" s="1"/>
  <c r="CR459" i="164"/>
  <c r="CO459" i="164" s="1"/>
  <c r="AO459" i="164"/>
  <c r="AO450" i="164"/>
  <c r="CR450" i="164"/>
  <c r="CO450" i="164" s="1"/>
  <c r="BK446" i="164"/>
  <c r="AK446" i="164" s="1"/>
  <c r="AL446" i="164" s="1"/>
  <c r="AO446" i="164"/>
  <c r="CX444" i="164"/>
  <c r="BH415" i="164"/>
  <c r="BL415" i="164" s="1"/>
  <c r="BK415" i="164"/>
  <c r="AO389" i="164"/>
  <c r="CR389" i="164"/>
  <c r="CO389" i="164" s="1"/>
  <c r="BH312" i="164"/>
  <c r="BK312" i="164"/>
  <c r="BH293" i="164"/>
  <c r="BK293" i="164"/>
  <c r="CP293" i="164" s="1"/>
  <c r="AK292" i="164"/>
  <c r="AL292" i="164" s="1"/>
  <c r="CP292" i="164"/>
  <c r="Z428" i="164"/>
  <c r="K429" i="164"/>
  <c r="L429" i="164" s="1"/>
  <c r="Z429" i="164" s="1"/>
  <c r="BL422" i="164"/>
  <c r="CU410" i="164"/>
  <c r="AN292" i="164"/>
  <c r="AP292" i="164" s="1"/>
  <c r="CR462" i="164"/>
  <c r="CO462" i="164" s="1"/>
  <c r="AO462" i="164"/>
  <c r="Q85" i="162"/>
  <c r="BK495" i="164"/>
  <c r="CP489" i="164"/>
  <c r="BH470" i="164"/>
  <c r="BK470" i="164"/>
  <c r="CP470" i="164" s="1"/>
  <c r="Z297" i="164"/>
  <c r="CX297" i="164"/>
  <c r="CX262" i="164"/>
  <c r="CU211" i="164"/>
  <c r="Y62" i="164"/>
  <c r="G63" i="164"/>
  <c r="H63" i="164" s="1"/>
  <c r="BK474" i="164"/>
  <c r="AO442" i="164"/>
  <c r="BL401" i="164"/>
  <c r="AO394" i="164"/>
  <c r="CR361" i="164"/>
  <c r="CO361" i="164" s="1"/>
  <c r="U352" i="164"/>
  <c r="X347" i="164"/>
  <c r="BI314" i="164"/>
  <c r="K313" i="168" s="1"/>
  <c r="BL301" i="164"/>
  <c r="BK299" i="164"/>
  <c r="AK299" i="164" s="1"/>
  <c r="AL299" i="164" s="1"/>
  <c r="AO290" i="164"/>
  <c r="AO286" i="164"/>
  <c r="BL285" i="164"/>
  <c r="BK279" i="164"/>
  <c r="CR204" i="164"/>
  <c r="CO204" i="164" s="1"/>
  <c r="CR200" i="164"/>
  <c r="CO200" i="164" s="1"/>
  <c r="CR199" i="164"/>
  <c r="CO199" i="164" s="1"/>
  <c r="BK197" i="164"/>
  <c r="CR178" i="164"/>
  <c r="CO178" i="164" s="1"/>
  <c r="BJ112" i="164"/>
  <c r="CK112" i="164" s="1"/>
  <c r="CR102" i="164"/>
  <c r="CO102" i="164" s="1"/>
  <c r="BK441" i="164"/>
  <c r="BH390" i="164"/>
  <c r="BL371" i="164"/>
  <c r="BB357" i="164"/>
  <c r="BH357" i="164" s="1"/>
  <c r="CU335" i="164"/>
  <c r="BK284" i="164"/>
  <c r="CU271" i="164"/>
  <c r="E228" i="168"/>
  <c r="CR229" i="164"/>
  <c r="CO229" i="164" s="1"/>
  <c r="BK212" i="164"/>
  <c r="AK212" i="164" s="1"/>
  <c r="AL212" i="164" s="1"/>
  <c r="H199" i="164"/>
  <c r="Y199" i="164" s="1"/>
  <c r="AE199" i="164"/>
  <c r="AO191" i="164"/>
  <c r="AO183" i="164"/>
  <c r="CR183" i="164"/>
  <c r="BK158" i="164"/>
  <c r="BP158" i="164"/>
  <c r="BX158" i="164" s="1"/>
  <c r="K159" i="164"/>
  <c r="L159" i="164" s="1"/>
  <c r="K160" i="164" s="1"/>
  <c r="L160" i="164" s="1"/>
  <c r="K123" i="164"/>
  <c r="L123" i="164" s="1"/>
  <c r="BJ110" i="164"/>
  <c r="CK110" i="164" s="1"/>
  <c r="BK74" i="164"/>
  <c r="CR74" i="164"/>
  <c r="CO74" i="164" s="1"/>
  <c r="AO74" i="164"/>
  <c r="CU29" i="164"/>
  <c r="CU490" i="164"/>
  <c r="AZ441" i="164"/>
  <c r="AO428" i="164"/>
  <c r="AO416" i="164"/>
  <c r="AO401" i="164"/>
  <c r="AX357" i="164"/>
  <c r="BK325" i="164"/>
  <c r="AK325" i="164" s="1"/>
  <c r="AL325" i="164" s="1"/>
  <c r="BH200" i="164"/>
  <c r="BJ125" i="164"/>
  <c r="CK125" i="164" s="1"/>
  <c r="BK105" i="164"/>
  <c r="BI105" i="164"/>
  <c r="BL105" i="164" s="1"/>
  <c r="BK368" i="164"/>
  <c r="AK368" i="164" s="1"/>
  <c r="AL368" i="164" s="1"/>
  <c r="BK367" i="164"/>
  <c r="CP367" i="164" s="1"/>
  <c r="BC337" i="164"/>
  <c r="BI337" i="164" s="1"/>
  <c r="BK310" i="164"/>
  <c r="U282" i="164"/>
  <c r="AO232" i="164"/>
  <c r="AO214" i="164"/>
  <c r="AO213" i="164"/>
  <c r="BL211" i="164"/>
  <c r="AO205" i="164"/>
  <c r="BK204" i="164"/>
  <c r="AK204" i="164" s="1"/>
  <c r="AL204" i="164" s="1"/>
  <c r="CR163" i="164"/>
  <c r="CO163" i="164" s="1"/>
  <c r="BJ126" i="164"/>
  <c r="CK126" i="164" s="1"/>
  <c r="AO110" i="164"/>
  <c r="CR110" i="164"/>
  <c r="CO110" i="164" s="1"/>
  <c r="CU103" i="164"/>
  <c r="AO52" i="164"/>
  <c r="CR52" i="164"/>
  <c r="CO52" i="164" s="1"/>
  <c r="G39" i="169"/>
  <c r="BL455" i="164"/>
  <c r="BK433" i="164"/>
  <c r="AK433" i="164" s="1"/>
  <c r="AL433" i="164" s="1"/>
  <c r="BL376" i="164"/>
  <c r="CU366" i="164"/>
  <c r="BK361" i="164"/>
  <c r="AK361" i="164" s="1"/>
  <c r="CU358" i="164"/>
  <c r="AX356" i="164"/>
  <c r="BC339" i="164"/>
  <c r="BI339" i="164" s="1"/>
  <c r="AX338" i="164"/>
  <c r="AO334" i="164"/>
  <c r="AO325" i="164"/>
  <c r="CU317" i="164"/>
  <c r="CU274" i="164"/>
  <c r="U255" i="164"/>
  <c r="X255" i="164"/>
  <c r="BH216" i="164"/>
  <c r="BL216" i="164" s="1"/>
  <c r="BK216" i="164"/>
  <c r="BL164" i="164"/>
  <c r="F163" i="168" s="1"/>
  <c r="CR91" i="164"/>
  <c r="CO91" i="164" s="1"/>
  <c r="AO91" i="164"/>
  <c r="BK69" i="164"/>
  <c r="BH69" i="164"/>
  <c r="BJ68" i="164" s="1"/>
  <c r="CK68" i="164" s="1"/>
  <c r="BL55" i="164"/>
  <c r="CR452" i="164"/>
  <c r="CO452" i="164" s="1"/>
  <c r="AZ444" i="164"/>
  <c r="BD444" i="164" s="1"/>
  <c r="CW444" i="164" s="1"/>
  <c r="AZ419" i="164"/>
  <c r="BK413" i="164"/>
  <c r="AK413" i="164" s="1"/>
  <c r="AL413" i="164" s="1"/>
  <c r="CR372" i="164"/>
  <c r="CO372" i="164" s="1"/>
  <c r="AO367" i="164"/>
  <c r="BK364" i="164"/>
  <c r="AK364" i="164" s="1"/>
  <c r="AL364" i="164" s="1"/>
  <c r="AO362" i="164"/>
  <c r="BL347" i="164"/>
  <c r="BL333" i="164"/>
  <c r="CR297" i="164"/>
  <c r="CO297" i="164" s="1"/>
  <c r="BK176" i="164"/>
  <c r="BK170" i="164"/>
  <c r="CP170" i="164" s="1"/>
  <c r="BK164" i="164"/>
  <c r="AK164" i="164" s="1"/>
  <c r="AL164" i="164" s="1"/>
  <c r="AO103" i="164"/>
  <c r="Y410" i="164"/>
  <c r="BK383" i="164"/>
  <c r="CP383" i="164" s="1"/>
  <c r="BK376" i="164"/>
  <c r="CP376" i="164" s="1"/>
  <c r="AO323" i="164"/>
  <c r="CR319" i="164"/>
  <c r="CO319" i="164" s="1"/>
  <c r="BK316" i="164"/>
  <c r="CR295" i="164"/>
  <c r="AO272" i="164"/>
  <c r="BK260" i="164"/>
  <c r="CR255" i="164"/>
  <c r="CO255" i="164" s="1"/>
  <c r="CR233" i="164"/>
  <c r="CR224" i="164"/>
  <c r="CO224" i="164" s="1"/>
  <c r="AO216" i="164"/>
  <c r="BH189" i="164"/>
  <c r="BL189" i="164" s="1"/>
  <c r="BK189" i="164"/>
  <c r="BK168" i="164"/>
  <c r="AK168" i="164" s="1"/>
  <c r="AL168" i="164" s="1"/>
  <c r="BK167" i="164"/>
  <c r="BK163" i="164"/>
  <c r="AK163" i="164" s="1"/>
  <c r="AL163" i="164" s="1"/>
  <c r="L154" i="164"/>
  <c r="Z154" i="164" s="1"/>
  <c r="BI118" i="164"/>
  <c r="CU118" i="164" s="1"/>
  <c r="BK118" i="164"/>
  <c r="BH97" i="164"/>
  <c r="BL97" i="164" s="1"/>
  <c r="BK97" i="164"/>
  <c r="CP97" i="164" s="1"/>
  <c r="AN97" i="164" s="1"/>
  <c r="CX62" i="164"/>
  <c r="Z62" i="164"/>
  <c r="BL450" i="164"/>
  <c r="BK449" i="164"/>
  <c r="AK449" i="164" s="1"/>
  <c r="AL449" i="164" s="1"/>
  <c r="K442" i="164"/>
  <c r="L442" i="164" s="1"/>
  <c r="BK398" i="164"/>
  <c r="BK380" i="164"/>
  <c r="BK373" i="164"/>
  <c r="CR349" i="164"/>
  <c r="CO349" i="164" s="1"/>
  <c r="X337" i="164"/>
  <c r="CU285" i="164"/>
  <c r="CR247" i="164"/>
  <c r="CO247" i="164" s="1"/>
  <c r="CP227" i="164"/>
  <c r="BK221" i="164"/>
  <c r="AK221" i="164" s="1"/>
  <c r="AL221" i="164" s="1"/>
  <c r="BH221" i="164"/>
  <c r="BL221" i="164" s="1"/>
  <c r="BK171" i="164"/>
  <c r="AK171" i="164" s="1"/>
  <c r="AL171" i="164" s="1"/>
  <c r="BH171" i="164"/>
  <c r="CU171" i="164" s="1"/>
  <c r="BH72" i="164"/>
  <c r="BJ71" i="164" s="1"/>
  <c r="CK71" i="164" s="1"/>
  <c r="BK72" i="164"/>
  <c r="CP72" i="164" s="1"/>
  <c r="AZ476" i="164"/>
  <c r="BH469" i="164"/>
  <c r="CU469" i="164" s="1"/>
  <c r="BK452" i="164"/>
  <c r="AK452" i="164" s="1"/>
  <c r="AL452" i="164" s="1"/>
  <c r="CR415" i="164"/>
  <c r="CO415" i="164" s="1"/>
  <c r="CU394" i="164"/>
  <c r="BC353" i="164"/>
  <c r="BI353" i="164" s="1"/>
  <c r="BH328" i="164"/>
  <c r="BB255" i="164"/>
  <c r="BK244" i="164"/>
  <c r="AK244" i="164" s="1"/>
  <c r="AL244" i="164" s="1"/>
  <c r="BK241" i="164"/>
  <c r="AK241" i="164" s="1"/>
  <c r="AL241" i="164" s="1"/>
  <c r="BK233" i="164"/>
  <c r="AK233" i="164" s="1"/>
  <c r="AL233" i="164" s="1"/>
  <c r="BK206" i="164"/>
  <c r="AK206" i="164" s="1"/>
  <c r="AL206" i="164" s="1"/>
  <c r="CR87" i="164"/>
  <c r="CO87" i="164" s="1"/>
  <c r="AO87" i="164"/>
  <c r="BL81" i="164"/>
  <c r="CR72" i="164"/>
  <c r="CO72" i="164" s="1"/>
  <c r="AO72" i="164"/>
  <c r="BH71" i="164"/>
  <c r="BK71" i="164"/>
  <c r="AK71" i="164" s="1"/>
  <c r="AL71" i="164" s="1"/>
  <c r="BH35" i="164"/>
  <c r="BL35" i="164" s="1"/>
  <c r="BK35" i="164"/>
  <c r="CB24" i="164"/>
  <c r="BR24" i="164"/>
  <c r="X346" i="164"/>
  <c r="BL206" i="164"/>
  <c r="AO159" i="164"/>
  <c r="CR109" i="164"/>
  <c r="CO109" i="164" s="1"/>
  <c r="BL100" i="164"/>
  <c r="BH99" i="164"/>
  <c r="BL99" i="164" s="1"/>
  <c r="BK99" i="164"/>
  <c r="BI77" i="164"/>
  <c r="BJ77" i="164" s="1"/>
  <c r="CK77" i="164" s="1"/>
  <c r="BH441" i="164"/>
  <c r="CU441" i="164" s="1"/>
  <c r="Y431" i="164"/>
  <c r="CU428" i="164"/>
  <c r="CU416" i="164"/>
  <c r="BK404" i="164"/>
  <c r="BK403" i="164"/>
  <c r="BK393" i="164"/>
  <c r="CP393" i="164" s="1"/>
  <c r="CR336" i="164"/>
  <c r="CO336" i="164" s="1"/>
  <c r="BH284" i="164"/>
  <c r="BL284" i="164" s="1"/>
  <c r="CR212" i="164"/>
  <c r="CO212" i="164" s="1"/>
  <c r="BK191" i="164"/>
  <c r="CP191" i="164" s="1"/>
  <c r="AO162" i="164"/>
  <c r="CR162" i="164"/>
  <c r="CO162" i="164" s="1"/>
  <c r="H136" i="168"/>
  <c r="BH137" i="164"/>
  <c r="J136" i="168" s="1"/>
  <c r="BK130" i="164"/>
  <c r="CP130" i="164" s="1"/>
  <c r="BH130" i="164"/>
  <c r="CU130" i="164" s="1"/>
  <c r="BK89" i="164"/>
  <c r="BH89" i="164"/>
  <c r="BL89" i="164" s="1"/>
  <c r="CR62" i="164"/>
  <c r="CO62" i="164" s="1"/>
  <c r="AO62" i="164"/>
  <c r="BH48" i="164"/>
  <c r="BJ47" i="164" s="1"/>
  <c r="CK47" i="164" s="1"/>
  <c r="BK48" i="164"/>
  <c r="BJ30" i="164"/>
  <c r="CK30" i="164" s="1"/>
  <c r="BL30" i="164"/>
  <c r="CU30" i="164"/>
  <c r="CU160" i="164"/>
  <c r="BR112" i="164"/>
  <c r="L77" i="164"/>
  <c r="AZ77" i="164" s="1"/>
  <c r="BK55" i="164"/>
  <c r="AK55" i="164" s="1"/>
  <c r="AL55" i="164" s="1"/>
  <c r="BK29" i="164"/>
  <c r="BK331" i="168"/>
  <c r="BN330" i="168"/>
  <c r="CE330" i="168" s="1"/>
  <c r="L327" i="168"/>
  <c r="R313" i="168"/>
  <c r="U313" i="168" s="1"/>
  <c r="AB305" i="168"/>
  <c r="S238" i="168"/>
  <c r="V238" i="168" s="1"/>
  <c r="BO238" i="168" s="1"/>
  <c r="AB228" i="168"/>
  <c r="BL155" i="168"/>
  <c r="AV136" i="168"/>
  <c r="CR132" i="164"/>
  <c r="CO132" i="164" s="1"/>
  <c r="G78" i="164"/>
  <c r="H78" i="164" s="1"/>
  <c r="Y78" i="164" s="1"/>
  <c r="AV331" i="168"/>
  <c r="T329" i="168"/>
  <c r="BN327" i="168"/>
  <c r="CE327" i="168" s="1"/>
  <c r="U305" i="168"/>
  <c r="R238" i="168"/>
  <c r="U238" i="168" s="1"/>
  <c r="BK155" i="168"/>
  <c r="AB136" i="168"/>
  <c r="BL271" i="164"/>
  <c r="BK187" i="164"/>
  <c r="BL186" i="164"/>
  <c r="AO167" i="164"/>
  <c r="CR148" i="164"/>
  <c r="CO148" i="164" s="1"/>
  <c r="AO118" i="164"/>
  <c r="CR113" i="164"/>
  <c r="CO113" i="164" s="1"/>
  <c r="BK108" i="164"/>
  <c r="BJ41" i="164"/>
  <c r="CK41" i="164" s="1"/>
  <c r="AO30" i="164"/>
  <c r="AB331" i="168"/>
  <c r="S329" i="168"/>
  <c r="V329" i="168" s="1"/>
  <c r="BO329" i="168" s="1"/>
  <c r="BM327" i="168"/>
  <c r="T305" i="168"/>
  <c r="T228" i="168"/>
  <c r="AE162" i="168"/>
  <c r="AB155" i="168"/>
  <c r="DI140" i="168"/>
  <c r="T136" i="168"/>
  <c r="BK54" i="164"/>
  <c r="CP54" i="164" s="1"/>
  <c r="BJ28" i="164"/>
  <c r="CK28" i="164" s="1"/>
  <c r="S228" i="168"/>
  <c r="V228" i="168" s="1"/>
  <c r="BO228" i="168" s="1"/>
  <c r="T155" i="168"/>
  <c r="BM140" i="168"/>
  <c r="S136" i="168"/>
  <c r="V136" i="168" s="1"/>
  <c r="BL187" i="164"/>
  <c r="BK75" i="164"/>
  <c r="BK63" i="164"/>
  <c r="AK63" i="164" s="1"/>
  <c r="AL63" i="164" s="1"/>
  <c r="BH60" i="164"/>
  <c r="BL60" i="164" s="1"/>
  <c r="CU44" i="164"/>
  <c r="AO39" i="164"/>
  <c r="BK327" i="168"/>
  <c r="R228" i="168"/>
  <c r="U228" i="168" s="1"/>
  <c r="S155" i="168"/>
  <c r="BK140" i="168"/>
  <c r="R136" i="168"/>
  <c r="U136" i="168" s="1"/>
  <c r="CR143" i="164"/>
  <c r="CO143" i="164" s="1"/>
  <c r="BK132" i="164"/>
  <c r="BL107" i="164"/>
  <c r="BK103" i="164"/>
  <c r="AK103" i="164" s="1"/>
  <c r="AL103" i="164" s="1"/>
  <c r="H22" i="164"/>
  <c r="Y22" i="164" s="1"/>
  <c r="P7" i="166"/>
  <c r="E68" i="166" s="1"/>
  <c r="T331" i="168"/>
  <c r="AV327" i="168"/>
  <c r="EC228" i="168"/>
  <c r="EH228" i="168" s="1"/>
  <c r="L155" i="168"/>
  <c r="EC331" i="168"/>
  <c r="EH331" i="168" s="1"/>
  <c r="S331" i="168"/>
  <c r="V331" i="168" s="1"/>
  <c r="BO331" i="168" s="1"/>
  <c r="EC329" i="168"/>
  <c r="EH329" i="168" s="1"/>
  <c r="AB327" i="168"/>
  <c r="EC313" i="168"/>
  <c r="EH313" i="168" s="1"/>
  <c r="BN237" i="168"/>
  <c r="CE237" i="168" s="1"/>
  <c r="DI228" i="168"/>
  <c r="EC136" i="168"/>
  <c r="EH136" i="168" s="1"/>
  <c r="AH136" i="168"/>
  <c r="G127" i="169"/>
  <c r="G37" i="169"/>
  <c r="BL103" i="164"/>
  <c r="BJ53" i="164"/>
  <c r="CK53" i="164" s="1"/>
  <c r="G33" i="164"/>
  <c r="H33" i="164" s="1"/>
  <c r="DI331" i="168"/>
  <c r="R331" i="168"/>
  <c r="U331" i="168" s="1"/>
  <c r="AV237" i="168"/>
  <c r="G21" i="173"/>
  <c r="G42" i="14" s="1"/>
  <c r="J42" i="14" s="1"/>
  <c r="BK68" i="164"/>
  <c r="CP68" i="164" s="1"/>
  <c r="H24" i="164"/>
  <c r="Z24" i="164" s="1"/>
  <c r="L331" i="168"/>
  <c r="BN228" i="168"/>
  <c r="CE228" i="168" s="1"/>
  <c r="BN136" i="168"/>
  <c r="CE136" i="168" s="1"/>
  <c r="BK62" i="164"/>
  <c r="AK62" i="164" s="1"/>
  <c r="AL62" i="164" s="1"/>
  <c r="BK56" i="164"/>
  <c r="BM228" i="168"/>
  <c r="E90" i="169"/>
  <c r="G90" i="169" s="1"/>
  <c r="BK148" i="164"/>
  <c r="BI306" i="164"/>
  <c r="K305" i="168" s="1"/>
  <c r="BK141" i="164"/>
  <c r="BH239" i="164"/>
  <c r="BL239" i="164" s="1"/>
  <c r="BH148" i="164"/>
  <c r="BJ331" i="168"/>
  <c r="CE331" i="168"/>
  <c r="AH331" i="168"/>
  <c r="AE329" i="168"/>
  <c r="G42" i="172"/>
  <c r="G41" i="14" s="1"/>
  <c r="AE313" i="168"/>
  <c r="AH305" i="168"/>
  <c r="AH327" i="168"/>
  <c r="BJ161" i="168"/>
  <c r="Z66" i="162"/>
  <c r="AB66" i="162"/>
  <c r="G66" i="162"/>
  <c r="Q66" i="162" s="1"/>
  <c r="G64" i="162"/>
  <c r="H64" i="162" s="1"/>
  <c r="AB64" i="162"/>
  <c r="N64" i="162" s="1"/>
  <c r="Z64" i="162"/>
  <c r="I63" i="162"/>
  <c r="O63" i="162"/>
  <c r="M63" i="162"/>
  <c r="N59" i="162"/>
  <c r="Z59" i="162"/>
  <c r="G59" i="162"/>
  <c r="J59" i="162" s="1"/>
  <c r="Z457" i="164"/>
  <c r="CX457" i="164"/>
  <c r="AZ457" i="164"/>
  <c r="O58" i="162"/>
  <c r="I58" i="162"/>
  <c r="M58" i="162"/>
  <c r="R56" i="162"/>
  <c r="K56" i="162"/>
  <c r="Z62" i="162"/>
  <c r="G62" i="162"/>
  <c r="O62" i="162" s="1"/>
  <c r="AB62" i="162"/>
  <c r="N62" i="162" s="1"/>
  <c r="Z57" i="162"/>
  <c r="G57" i="162"/>
  <c r="S57" i="162" s="1"/>
  <c r="AB57" i="162"/>
  <c r="N57" i="162" s="1"/>
  <c r="Z478" i="164"/>
  <c r="CX478" i="164"/>
  <c r="AZ478" i="164"/>
  <c r="BL459" i="164"/>
  <c r="BH484" i="164"/>
  <c r="BK484" i="164"/>
  <c r="R85" i="162"/>
  <c r="Q55" i="162"/>
  <c r="BK506" i="164"/>
  <c r="CR503" i="164"/>
  <c r="CO503" i="164" s="1"/>
  <c r="CU497" i="164"/>
  <c r="BL482" i="164"/>
  <c r="Y481" i="164"/>
  <c r="G482" i="164"/>
  <c r="H482" i="164" s="1"/>
  <c r="CX476" i="164"/>
  <c r="CP469" i="164"/>
  <c r="BL460" i="164"/>
  <c r="CU460" i="164"/>
  <c r="BH457" i="164"/>
  <c r="BK457" i="164"/>
  <c r="BH432" i="164"/>
  <c r="BK432" i="164"/>
  <c r="AO476" i="164"/>
  <c r="CR476" i="164"/>
  <c r="CO476" i="164" s="1"/>
  <c r="Z476" i="164"/>
  <c r="CP461" i="164"/>
  <c r="CR406" i="164"/>
  <c r="CO406" i="164" s="1"/>
  <c r="BK406" i="164"/>
  <c r="AO406" i="164"/>
  <c r="T75" i="162"/>
  <c r="AB60" i="162"/>
  <c r="BH448" i="164"/>
  <c r="BK448" i="164"/>
  <c r="AO478" i="164"/>
  <c r="T85" i="162"/>
  <c r="K81" i="162"/>
  <c r="R81" i="162"/>
  <c r="R75" i="162"/>
  <c r="S55" i="162"/>
  <c r="CP476" i="164"/>
  <c r="AK476" i="164"/>
  <c r="AL476" i="164" s="1"/>
  <c r="BL474" i="164"/>
  <c r="BH493" i="164"/>
  <c r="BK493" i="164"/>
  <c r="CU480" i="164"/>
  <c r="BI453" i="164"/>
  <c r="CU453" i="164" s="1"/>
  <c r="BK453" i="164"/>
  <c r="N88" i="162"/>
  <c r="S84" i="162"/>
  <c r="Q81" i="162"/>
  <c r="J79" i="162"/>
  <c r="J65" i="162"/>
  <c r="M55" i="162"/>
  <c r="BL491" i="164"/>
  <c r="BL488" i="164"/>
  <c r="BK473" i="164"/>
  <c r="BH473" i="164"/>
  <c r="AO468" i="164"/>
  <c r="CR468" i="164"/>
  <c r="CO468" i="164" s="1"/>
  <c r="CU463" i="164"/>
  <c r="BL453" i="164"/>
  <c r="AL435" i="164"/>
  <c r="BL404" i="164"/>
  <c r="CU404" i="164"/>
  <c r="Q87" i="162"/>
  <c r="S87" i="162"/>
  <c r="H80" i="162"/>
  <c r="M80" i="162"/>
  <c r="R87" i="162"/>
  <c r="O85" i="162"/>
  <c r="L82" i="162"/>
  <c r="R80" i="162"/>
  <c r="T80" i="162"/>
  <c r="S77" i="162"/>
  <c r="H63" i="162"/>
  <c r="T56" i="162"/>
  <c r="Z52" i="162"/>
  <c r="P87" i="162"/>
  <c r="R84" i="162"/>
  <c r="K83" i="162"/>
  <c r="U83" i="162"/>
  <c r="P83" i="162"/>
  <c r="J82" i="162"/>
  <c r="P81" i="162"/>
  <c r="U80" i="162"/>
  <c r="R77" i="162"/>
  <c r="J76" i="162"/>
  <c r="L76" i="162"/>
  <c r="AB63" i="162"/>
  <c r="U56" i="162"/>
  <c r="L55" i="162"/>
  <c r="AO492" i="164"/>
  <c r="BK487" i="164"/>
  <c r="CR467" i="164"/>
  <c r="AO467" i="164"/>
  <c r="BK467" i="164"/>
  <c r="BL467" i="164"/>
  <c r="AZ465" i="164"/>
  <c r="G460" i="164"/>
  <c r="H460" i="164" s="1"/>
  <c r="Y459" i="164"/>
  <c r="AZ459" i="164"/>
  <c r="CX459" i="164"/>
  <c r="BL436" i="164"/>
  <c r="CU436" i="164"/>
  <c r="G421" i="164"/>
  <c r="H421" i="164" s="1"/>
  <c r="Y420" i="164"/>
  <c r="CR499" i="164"/>
  <c r="BL495" i="164"/>
  <c r="BK491" i="164"/>
  <c r="AO485" i="164"/>
  <c r="Y465" i="164"/>
  <c r="G466" i="164"/>
  <c r="H466" i="164" s="1"/>
  <c r="BR441" i="164"/>
  <c r="BV441" i="164"/>
  <c r="BX441" i="164"/>
  <c r="BZ441" i="164"/>
  <c r="CB441" i="164"/>
  <c r="BT441" i="164"/>
  <c r="CF441" i="164"/>
  <c r="CJ441" i="164" s="1"/>
  <c r="AK404" i="164"/>
  <c r="AL404" i="164" s="1"/>
  <c r="CP404" i="164"/>
  <c r="Y478" i="164"/>
  <c r="BL446" i="164"/>
  <c r="CU446" i="164"/>
  <c r="P85" i="162"/>
  <c r="S80" i="162"/>
  <c r="M79" i="162"/>
  <c r="H79" i="162"/>
  <c r="P77" i="162"/>
  <c r="H56" i="162"/>
  <c r="M56" i="162"/>
  <c r="BL505" i="164"/>
  <c r="BL503" i="164"/>
  <c r="N87" i="162"/>
  <c r="AO419" i="164"/>
  <c r="CR419" i="164"/>
  <c r="CO419" i="164" s="1"/>
  <c r="BK419" i="164"/>
  <c r="CR437" i="164"/>
  <c r="CO437" i="164" s="1"/>
  <c r="AO437" i="164"/>
  <c r="P75" i="162"/>
  <c r="P84" i="162"/>
  <c r="U84" i="162"/>
  <c r="T81" i="162"/>
  <c r="U77" i="162"/>
  <c r="S81" i="162"/>
  <c r="U74" i="162"/>
  <c r="U59" i="162"/>
  <c r="P54" i="162"/>
  <c r="U54" i="162"/>
  <c r="O87" i="162"/>
  <c r="Q84" i="162"/>
  <c r="O81" i="162"/>
  <c r="Q63" i="162"/>
  <c r="J55" i="162"/>
  <c r="CU504" i="164"/>
  <c r="O84" i="162"/>
  <c r="Q80" i="162"/>
  <c r="O79" i="162"/>
  <c r="T79" i="162"/>
  <c r="T76" i="162"/>
  <c r="AB67" i="162"/>
  <c r="P65" i="162"/>
  <c r="U65" i="162"/>
  <c r="T63" i="162"/>
  <c r="T58" i="162"/>
  <c r="Q56" i="162"/>
  <c r="I55" i="162"/>
  <c r="Q54" i="162"/>
  <c r="G51" i="162"/>
  <c r="I51" i="162" s="1"/>
  <c r="Z51" i="162"/>
  <c r="BC184" i="164"/>
  <c r="BI184" i="164" s="1"/>
  <c r="BB185" i="164"/>
  <c r="BL483" i="164"/>
  <c r="S85" i="162"/>
  <c r="U85" i="162"/>
  <c r="CX182" i="164"/>
  <c r="CX229" i="164"/>
  <c r="Q75" i="162"/>
  <c r="S75" i="162"/>
  <c r="O89" i="162"/>
  <c r="Q89" i="162"/>
  <c r="BL500" i="164"/>
  <c r="CP499" i="164"/>
  <c r="CU489" i="164"/>
  <c r="BL444" i="164"/>
  <c r="CU444" i="164"/>
  <c r="S89" i="162"/>
  <c r="R82" i="162"/>
  <c r="K82" i="162"/>
  <c r="P80" i="162"/>
  <c r="BL502" i="164"/>
  <c r="BL501" i="164"/>
  <c r="BK483" i="164"/>
  <c r="AK480" i="164"/>
  <c r="AL480" i="164" s="1"/>
  <c r="AK441" i="164"/>
  <c r="AL441" i="164" s="1"/>
  <c r="CP441" i="164"/>
  <c r="AN441" i="164" s="1"/>
  <c r="R89" i="162"/>
  <c r="J88" i="162"/>
  <c r="L88" i="162"/>
  <c r="L84" i="162"/>
  <c r="Q83" i="162"/>
  <c r="J81" i="162"/>
  <c r="O80" i="162"/>
  <c r="S79" i="162"/>
  <c r="H78" i="162"/>
  <c r="J78" i="162"/>
  <c r="L77" i="162"/>
  <c r="R76" i="162"/>
  <c r="S65" i="162"/>
  <c r="O61" i="162"/>
  <c r="Z60" i="162"/>
  <c r="G60" i="162"/>
  <c r="T60" i="162" s="1"/>
  <c r="O56" i="162"/>
  <c r="Z55" i="162"/>
  <c r="M54" i="162"/>
  <c r="BH506" i="164"/>
  <c r="BK501" i="164"/>
  <c r="BH492" i="164"/>
  <c r="BL490" i="164"/>
  <c r="CR485" i="164"/>
  <c r="CO485" i="164" s="1"/>
  <c r="CR484" i="164"/>
  <c r="CO484" i="164" s="1"/>
  <c r="Z480" i="164"/>
  <c r="AZ480" i="164"/>
  <c r="CX480" i="164"/>
  <c r="K481" i="164"/>
  <c r="L481" i="164" s="1"/>
  <c r="AZ472" i="164"/>
  <c r="K473" i="164"/>
  <c r="L473" i="164" s="1"/>
  <c r="Z472" i="164"/>
  <c r="AK444" i="164"/>
  <c r="AL444" i="164" s="1"/>
  <c r="CP444" i="164"/>
  <c r="AN444" i="164" s="1"/>
  <c r="AP444" i="164" s="1"/>
  <c r="BL420" i="164"/>
  <c r="CU420" i="164"/>
  <c r="P55" i="162"/>
  <c r="AB55" i="162"/>
  <c r="O77" i="162"/>
  <c r="Q77" i="162"/>
  <c r="O55" i="162"/>
  <c r="M84" i="162"/>
  <c r="L81" i="162"/>
  <c r="U79" i="162"/>
  <c r="M77" i="162"/>
  <c r="S76" i="162"/>
  <c r="T65" i="162"/>
  <c r="N65" i="162"/>
  <c r="I65" i="162"/>
  <c r="S63" i="162"/>
  <c r="J63" i="162"/>
  <c r="Z63" i="162"/>
  <c r="L63" i="162"/>
  <c r="S58" i="162"/>
  <c r="J58" i="162"/>
  <c r="Z58" i="162"/>
  <c r="L58" i="162"/>
  <c r="P56" i="162"/>
  <c r="H55" i="162"/>
  <c r="O54" i="162"/>
  <c r="U51" i="162"/>
  <c r="BB237" i="164"/>
  <c r="BC236" i="164"/>
  <c r="BL497" i="164"/>
  <c r="CU496" i="164"/>
  <c r="BK494" i="164"/>
  <c r="BH494" i="164"/>
  <c r="P89" i="162"/>
  <c r="Q86" i="162"/>
  <c r="O83" i="162"/>
  <c r="T82" i="162"/>
  <c r="I81" i="162"/>
  <c r="T78" i="162"/>
  <c r="O78" i="162"/>
  <c r="K77" i="162"/>
  <c r="P76" i="162"/>
  <c r="U75" i="162"/>
  <c r="R65" i="162"/>
  <c r="P63" i="162"/>
  <c r="P58" i="162"/>
  <c r="L54" i="162"/>
  <c r="G53" i="162"/>
  <c r="K53" i="162" s="1"/>
  <c r="BD158" i="164"/>
  <c r="CW158" i="164" s="1"/>
  <c r="BL499" i="164"/>
  <c r="CU491" i="164"/>
  <c r="BK490" i="164"/>
  <c r="CU488" i="164"/>
  <c r="BL485" i="164"/>
  <c r="BL478" i="164"/>
  <c r="CU478" i="164"/>
  <c r="G473" i="164"/>
  <c r="H473" i="164" s="1"/>
  <c r="Y472" i="164"/>
  <c r="CX455" i="164"/>
  <c r="BL414" i="164"/>
  <c r="Y396" i="164"/>
  <c r="BH384" i="164"/>
  <c r="BK384" i="164"/>
  <c r="CR501" i="164"/>
  <c r="CO501" i="164" s="1"/>
  <c r="AO498" i="164"/>
  <c r="BK485" i="164"/>
  <c r="CR474" i="164"/>
  <c r="CO474" i="164" s="1"/>
  <c r="BH468" i="164"/>
  <c r="BK468" i="164"/>
  <c r="BL462" i="164"/>
  <c r="BK459" i="164"/>
  <c r="AE455" i="164"/>
  <c r="Y411" i="164"/>
  <c r="BL406" i="164"/>
  <c r="CP372" i="164"/>
  <c r="AK372" i="164"/>
  <c r="AO411" i="164"/>
  <c r="CR411" i="164"/>
  <c r="CO411" i="164" s="1"/>
  <c r="BK497" i="164"/>
  <c r="BK486" i="164"/>
  <c r="BK478" i="164"/>
  <c r="AO466" i="164"/>
  <c r="BH465" i="164"/>
  <c r="BK465" i="164"/>
  <c r="BL449" i="164"/>
  <c r="AO448" i="164"/>
  <c r="CR448" i="164"/>
  <c r="CO448" i="164" s="1"/>
  <c r="G407" i="164"/>
  <c r="H407" i="164" s="1"/>
  <c r="AZ407" i="164" s="1"/>
  <c r="Y406" i="164"/>
  <c r="BK482" i="164"/>
  <c r="BK472" i="164"/>
  <c r="CU462" i="164"/>
  <c r="BK450" i="164"/>
  <c r="G442" i="164"/>
  <c r="H442" i="164" s="1"/>
  <c r="Y441" i="164"/>
  <c r="BK429" i="164"/>
  <c r="BL421" i="164"/>
  <c r="CU421" i="164"/>
  <c r="K408" i="164"/>
  <c r="L408" i="164" s="1"/>
  <c r="Z407" i="164"/>
  <c r="BH402" i="164"/>
  <c r="BK402" i="164"/>
  <c r="BL398" i="164"/>
  <c r="AO494" i="164"/>
  <c r="AO480" i="164"/>
  <c r="BL466" i="164"/>
  <c r="CR465" i="164"/>
  <c r="CO465" i="164" s="1"/>
  <c r="CX465" i="164"/>
  <c r="BI439" i="164"/>
  <c r="BK439" i="164"/>
  <c r="BL433" i="164"/>
  <c r="CU433" i="164"/>
  <c r="CX432" i="164"/>
  <c r="K433" i="164"/>
  <c r="L433" i="164" s="1"/>
  <c r="Z432" i="164"/>
  <c r="AZ432" i="164"/>
  <c r="AO381" i="164"/>
  <c r="CR381" i="164"/>
  <c r="CO381" i="164" s="1"/>
  <c r="BK503" i="164"/>
  <c r="AZ62" i="164"/>
  <c r="AZ102" i="164"/>
  <c r="AZ166" i="164"/>
  <c r="AZ132" i="164"/>
  <c r="AZ271" i="164"/>
  <c r="AZ446" i="164"/>
  <c r="AL489" i="164"/>
  <c r="BK488" i="164"/>
  <c r="CU461" i="164"/>
  <c r="CR455" i="164"/>
  <c r="CO455" i="164" s="1"/>
  <c r="Y444" i="164"/>
  <c r="CP435" i="164"/>
  <c r="AN435" i="164" s="1"/>
  <c r="AP435" i="164" s="1"/>
  <c r="AK435" i="164"/>
  <c r="BK431" i="164"/>
  <c r="BH423" i="164"/>
  <c r="BK423" i="164"/>
  <c r="CP410" i="164"/>
  <c r="AK410" i="164"/>
  <c r="AL410" i="164" s="1"/>
  <c r="BH407" i="164"/>
  <c r="BK407" i="164"/>
  <c r="G394" i="164"/>
  <c r="H394" i="164" s="1"/>
  <c r="AO382" i="164"/>
  <c r="CU466" i="164"/>
  <c r="AK460" i="164"/>
  <c r="AL460" i="164" s="1"/>
  <c r="CX448" i="164"/>
  <c r="K449" i="164"/>
  <c r="L449" i="164" s="1"/>
  <c r="CR431" i="164"/>
  <c r="CO431" i="164" s="1"/>
  <c r="AO431" i="164"/>
  <c r="CU429" i="164"/>
  <c r="BL429" i="164"/>
  <c r="BL424" i="164"/>
  <c r="BL408" i="164"/>
  <c r="CU408" i="164"/>
  <c r="AO461" i="164"/>
  <c r="BH451" i="164"/>
  <c r="BK451" i="164"/>
  <c r="G449" i="164"/>
  <c r="H449" i="164" s="1"/>
  <c r="Z439" i="164"/>
  <c r="AZ439" i="164"/>
  <c r="CX439" i="164"/>
  <c r="BL437" i="164"/>
  <c r="CU425" i="164"/>
  <c r="BL410" i="164"/>
  <c r="BL403" i="164"/>
  <c r="CU403" i="164"/>
  <c r="K401" i="164"/>
  <c r="L401" i="164" s="1"/>
  <c r="CX400" i="164"/>
  <c r="AZ400" i="164"/>
  <c r="Z400" i="164"/>
  <c r="BK466" i="164"/>
  <c r="BK462" i="164"/>
  <c r="Z441" i="164"/>
  <c r="BL435" i="164"/>
  <c r="CU417" i="164"/>
  <c r="BL417" i="164"/>
  <c r="CX411" i="164"/>
  <c r="AZ411" i="164"/>
  <c r="Y400" i="164"/>
  <c r="G401" i="164"/>
  <c r="H401" i="164" s="1"/>
  <c r="BK500" i="164"/>
  <c r="BL452" i="164"/>
  <c r="AO451" i="164"/>
  <c r="CR451" i="164"/>
  <c r="CO451" i="164" s="1"/>
  <c r="CP446" i="164"/>
  <c r="AN446" i="164" s="1"/>
  <c r="AP446" i="164" s="1"/>
  <c r="BK437" i="164"/>
  <c r="G433" i="164"/>
  <c r="H433" i="164" s="1"/>
  <c r="Y432" i="164"/>
  <c r="BH426" i="164"/>
  <c r="BK426" i="164"/>
  <c r="BL411" i="164"/>
  <c r="CU411" i="164"/>
  <c r="AK403" i="164"/>
  <c r="AL403" i="164" s="1"/>
  <c r="CP403" i="164"/>
  <c r="BH442" i="164"/>
  <c r="Y435" i="164"/>
  <c r="AZ431" i="164"/>
  <c r="Z431" i="164"/>
  <c r="CX428" i="164"/>
  <c r="CR426" i="164"/>
  <c r="CO426" i="164" s="1"/>
  <c r="CR423" i="164"/>
  <c r="CO423" i="164" s="1"/>
  <c r="BL419" i="164"/>
  <c r="BI413" i="164"/>
  <c r="BL413" i="164" s="1"/>
  <c r="BK401" i="164"/>
  <c r="BH396" i="164"/>
  <c r="BK396" i="164"/>
  <c r="BL393" i="164"/>
  <c r="Y380" i="164"/>
  <c r="BH377" i="164"/>
  <c r="BK377" i="164"/>
  <c r="BL369" i="164"/>
  <c r="BK425" i="164"/>
  <c r="BK422" i="164"/>
  <c r="BK394" i="164"/>
  <c r="CR386" i="164"/>
  <c r="AO386" i="164"/>
  <c r="CU360" i="164"/>
  <c r="BL360" i="164"/>
  <c r="CR402" i="164"/>
  <c r="CO402" i="164" s="1"/>
  <c r="AO393" i="164"/>
  <c r="CR393" i="164"/>
  <c r="CO393" i="164" s="1"/>
  <c r="AN393" i="164" s="1"/>
  <c r="BH391" i="164"/>
  <c r="BK391" i="164"/>
  <c r="K390" i="164"/>
  <c r="L390" i="164" s="1"/>
  <c r="Z389" i="164"/>
  <c r="AZ389" i="164"/>
  <c r="AN380" i="164"/>
  <c r="AP380" i="164" s="1"/>
  <c r="BK420" i="164"/>
  <c r="BK417" i="164"/>
  <c r="CR407" i="164"/>
  <c r="CO407" i="164" s="1"/>
  <c r="BL400" i="164"/>
  <c r="Y389" i="164"/>
  <c r="BK455" i="164"/>
  <c r="AO444" i="164"/>
  <c r="AO433" i="164"/>
  <c r="AZ428" i="164"/>
  <c r="K414" i="164"/>
  <c r="L414" i="164" s="1"/>
  <c r="AZ413" i="164"/>
  <c r="Z410" i="164"/>
  <c r="AZ410" i="164"/>
  <c r="CX410" i="164"/>
  <c r="CX446" i="164"/>
  <c r="CX435" i="164"/>
  <c r="AO429" i="164"/>
  <c r="K420" i="164"/>
  <c r="L420" i="164" s="1"/>
  <c r="CX406" i="164"/>
  <c r="AZ406" i="164"/>
  <c r="AK390" i="164"/>
  <c r="AL390" i="164" s="1"/>
  <c r="G391" i="164"/>
  <c r="H391" i="164" s="1"/>
  <c r="BK385" i="164"/>
  <c r="BH385" i="164"/>
  <c r="CU383" i="164"/>
  <c r="BK378" i="164"/>
  <c r="BH378" i="164"/>
  <c r="BK436" i="164"/>
  <c r="CX431" i="164"/>
  <c r="BK421" i="164"/>
  <c r="CR387" i="164"/>
  <c r="CO387" i="164" s="1"/>
  <c r="BL380" i="164"/>
  <c r="AK393" i="164"/>
  <c r="AL393" i="164" s="1"/>
  <c r="K394" i="164"/>
  <c r="L394" i="164" s="1"/>
  <c r="Z393" i="164"/>
  <c r="AZ393" i="164"/>
  <c r="BL389" i="164"/>
  <c r="CU389" i="164"/>
  <c r="BL373" i="164"/>
  <c r="CU373" i="164"/>
  <c r="BK428" i="164"/>
  <c r="BK416" i="164"/>
  <c r="Z406" i="164"/>
  <c r="CX393" i="164"/>
  <c r="AO387" i="164"/>
  <c r="AK383" i="164"/>
  <c r="AL383" i="164" s="1"/>
  <c r="AO441" i="164"/>
  <c r="Y393" i="164"/>
  <c r="BL382" i="164"/>
  <c r="CU382" i="164"/>
  <c r="AZ435" i="164"/>
  <c r="BK411" i="164"/>
  <c r="BK408" i="164"/>
  <c r="BL394" i="164"/>
  <c r="BL386" i="164"/>
  <c r="AK380" i="164"/>
  <c r="AL380" i="164" s="1"/>
  <c r="CP380" i="164"/>
  <c r="CX380" i="164"/>
  <c r="CX396" i="164"/>
  <c r="Z396" i="164"/>
  <c r="AZ396" i="164"/>
  <c r="BK389" i="164"/>
  <c r="CR378" i="164"/>
  <c r="CO378" i="164" s="1"/>
  <c r="BL358" i="164"/>
  <c r="Y413" i="164"/>
  <c r="G414" i="164"/>
  <c r="H414" i="164" s="1"/>
  <c r="CU374" i="164"/>
  <c r="CP364" i="164"/>
  <c r="BH381" i="164"/>
  <c r="BK381" i="164"/>
  <c r="CU376" i="164"/>
  <c r="AO374" i="164"/>
  <c r="AK373" i="164"/>
  <c r="AL373" i="164" s="1"/>
  <c r="CP373" i="164"/>
  <c r="BH387" i="164"/>
  <c r="BK387" i="164"/>
  <c r="AO377" i="164"/>
  <c r="BH375" i="164"/>
  <c r="BK375" i="164"/>
  <c r="CR375" i="164"/>
  <c r="CO375" i="164" s="1"/>
  <c r="AO363" i="164"/>
  <c r="CR363" i="164"/>
  <c r="CO363" i="164" s="1"/>
  <c r="BK386" i="164"/>
  <c r="BK382" i="164"/>
  <c r="AL372" i="164"/>
  <c r="BL367" i="164"/>
  <c r="CU367" i="164"/>
  <c r="K282" i="164"/>
  <c r="L282" i="164" s="1"/>
  <c r="Z380" i="164"/>
  <c r="AZ380" i="164"/>
  <c r="CR377" i="164"/>
  <c r="CO377" i="164" s="1"/>
  <c r="AK376" i="164"/>
  <c r="AL376" i="164" s="1"/>
  <c r="CR398" i="164"/>
  <c r="CO398" i="164" s="1"/>
  <c r="K381" i="164"/>
  <c r="L381" i="164" s="1"/>
  <c r="BL374" i="164"/>
  <c r="CU362" i="164"/>
  <c r="CO362" i="164"/>
  <c r="BH364" i="164"/>
  <c r="BK362" i="164"/>
  <c r="CU309" i="164"/>
  <c r="BL309" i="164"/>
  <c r="Z371" i="164"/>
  <c r="AZ371" i="164"/>
  <c r="Y333" i="164"/>
  <c r="G334" i="164"/>
  <c r="H334" i="164" s="1"/>
  <c r="AZ334" i="164" s="1"/>
  <c r="BK369" i="164"/>
  <c r="AO353" i="164"/>
  <c r="CP347" i="164"/>
  <c r="AK347" i="164"/>
  <c r="AL347" i="164" s="1"/>
  <c r="BK363" i="164"/>
  <c r="BH363" i="164"/>
  <c r="AX342" i="164"/>
  <c r="X342" i="164"/>
  <c r="BB342" i="164"/>
  <c r="BK374" i="164"/>
  <c r="BK366" i="164"/>
  <c r="BC357" i="164"/>
  <c r="BI357" i="164" s="1"/>
  <c r="CU312" i="164"/>
  <c r="BL312" i="164"/>
  <c r="I329" i="168"/>
  <c r="BI330" i="164"/>
  <c r="K329" i="168" s="1"/>
  <c r="BK330" i="164"/>
  <c r="K372" i="164"/>
  <c r="L372" i="164" s="1"/>
  <c r="CR365" i="164"/>
  <c r="BK365" i="164"/>
  <c r="BH361" i="164"/>
  <c r="AO360" i="164"/>
  <c r="BK358" i="164"/>
  <c r="AO358" i="164"/>
  <c r="AX354" i="164"/>
  <c r="BB354" i="164"/>
  <c r="U354" i="164"/>
  <c r="G372" i="164"/>
  <c r="H372" i="164" s="1"/>
  <c r="CR369" i="164"/>
  <c r="CO369" i="164" s="1"/>
  <c r="BH368" i="164"/>
  <c r="BH355" i="164"/>
  <c r="U351" i="164"/>
  <c r="AX351" i="164"/>
  <c r="CX371" i="164"/>
  <c r="AL361" i="164"/>
  <c r="CR364" i="164"/>
  <c r="CO364" i="164" s="1"/>
  <c r="BI344" i="164"/>
  <c r="X344" i="164"/>
  <c r="BH343" i="164"/>
  <c r="BI340" i="164"/>
  <c r="CU340" i="164" s="1"/>
  <c r="BK340" i="164"/>
  <c r="BI336" i="164"/>
  <c r="CU336" i="164" s="1"/>
  <c r="BK336" i="164"/>
  <c r="BK360" i="164"/>
  <c r="AX350" i="164"/>
  <c r="X350" i="164"/>
  <c r="CR343" i="164"/>
  <c r="CO343" i="164" s="1"/>
  <c r="AO343" i="164"/>
  <c r="U342" i="164"/>
  <c r="X352" i="164"/>
  <c r="AX352" i="164"/>
  <c r="BL352" i="164" s="1"/>
  <c r="U348" i="164"/>
  <c r="BI348" i="164"/>
  <c r="BK349" i="164"/>
  <c r="BC341" i="164"/>
  <c r="BI341" i="164" s="1"/>
  <c r="BB341" i="164"/>
  <c r="L328" i="164"/>
  <c r="CX314" i="164"/>
  <c r="AZ314" i="164"/>
  <c r="Z314" i="164"/>
  <c r="CR347" i="164"/>
  <c r="U345" i="164"/>
  <c r="AX345" i="164"/>
  <c r="X345" i="164"/>
  <c r="CR321" i="164"/>
  <c r="AO321" i="164"/>
  <c r="BK321" i="164"/>
  <c r="CR355" i="164"/>
  <c r="CO355" i="164" s="1"/>
  <c r="AO355" i="164"/>
  <c r="U339" i="164"/>
  <c r="BB339" i="164"/>
  <c r="BK334" i="164"/>
  <c r="BH334" i="164"/>
  <c r="BH323" i="164"/>
  <c r="BK323" i="164"/>
  <c r="U341" i="164"/>
  <c r="AX341" i="164"/>
  <c r="BL335" i="164"/>
  <c r="E327" i="168"/>
  <c r="CR328" i="164"/>
  <c r="CO328" i="164" s="1"/>
  <c r="AO328" i="164"/>
  <c r="BK328" i="164"/>
  <c r="BL316" i="164"/>
  <c r="CO295" i="164"/>
  <c r="CU295" i="164"/>
  <c r="BH320" i="164"/>
  <c r="BK320" i="164"/>
  <c r="CP316" i="164"/>
  <c r="AK316" i="164"/>
  <c r="AL316" i="164" s="1"/>
  <c r="Z295" i="164"/>
  <c r="CX295" i="164"/>
  <c r="AZ295" i="164"/>
  <c r="K335" i="164"/>
  <c r="L335" i="164" s="1"/>
  <c r="CX334" i="164"/>
  <c r="CR329" i="164"/>
  <c r="AO329" i="164"/>
  <c r="CX312" i="164"/>
  <c r="K310" i="164"/>
  <c r="L310" i="164" s="1"/>
  <c r="K200" i="164" s="1"/>
  <c r="L200" i="164" s="1"/>
  <c r="Z312" i="164"/>
  <c r="AZ312" i="164"/>
  <c r="BC355" i="164"/>
  <c r="BI355" i="164" s="1"/>
  <c r="X355" i="164"/>
  <c r="BH348" i="164"/>
  <c r="BI343" i="164"/>
  <c r="X343" i="164"/>
  <c r="X341" i="164"/>
  <c r="X339" i="164"/>
  <c r="BK335" i="164"/>
  <c r="AK312" i="164"/>
  <c r="AL312" i="164" s="1"/>
  <c r="CP312" i="164"/>
  <c r="BL331" i="164"/>
  <c r="BH349" i="164"/>
  <c r="AX346" i="164"/>
  <c r="BB337" i="164"/>
  <c r="BK331" i="164"/>
  <c r="H313" i="168"/>
  <c r="BH314" i="164"/>
  <c r="BK314" i="164"/>
  <c r="Y329" i="164"/>
  <c r="BI324" i="164"/>
  <c r="BK324" i="164"/>
  <c r="BH310" i="164"/>
  <c r="K307" i="164"/>
  <c r="L307" i="164" s="1"/>
  <c r="Z306" i="164"/>
  <c r="CU319" i="164"/>
  <c r="BL319" i="164"/>
  <c r="CR316" i="164"/>
  <c r="CO316" i="164" s="1"/>
  <c r="AO316" i="164"/>
  <c r="G307" i="164"/>
  <c r="H307" i="164" s="1"/>
  <c r="Y306" i="164"/>
  <c r="AZ333" i="164"/>
  <c r="Z333" i="164"/>
  <c r="CX333" i="164"/>
  <c r="BX325" i="164"/>
  <c r="BZ325" i="164"/>
  <c r="CB325" i="164"/>
  <c r="BR325" i="164"/>
  <c r="CF325" i="164"/>
  <c r="CJ325" i="164" s="1"/>
  <c r="BT325" i="164"/>
  <c r="BV325" i="164"/>
  <c r="Z317" i="164"/>
  <c r="G317" i="164"/>
  <c r="H317" i="164" s="1"/>
  <c r="AZ317" i="164" s="1"/>
  <c r="AZ316" i="164"/>
  <c r="Y316" i="164"/>
  <c r="CP310" i="164"/>
  <c r="AK310" i="164"/>
  <c r="AL310" i="164" s="1"/>
  <c r="J327" i="168"/>
  <c r="CR326" i="164"/>
  <c r="CO326" i="164" s="1"/>
  <c r="AO326" i="164"/>
  <c r="BL318" i="164"/>
  <c r="BL307" i="164"/>
  <c r="F306" i="168" s="1"/>
  <c r="AM306" i="168" s="1"/>
  <c r="CU307" i="164"/>
  <c r="AO330" i="164"/>
  <c r="G330" i="164"/>
  <c r="H330" i="164" s="1"/>
  <c r="CU318" i="164"/>
  <c r="BK318" i="164"/>
  <c r="BK332" i="164"/>
  <c r="BH325" i="164"/>
  <c r="BL317" i="164"/>
  <c r="BK297" i="164"/>
  <c r="BH297" i="164"/>
  <c r="BH332" i="164"/>
  <c r="BK319" i="164"/>
  <c r="BL322" i="164"/>
  <c r="BK317" i="164"/>
  <c r="BI302" i="164"/>
  <c r="BL302" i="164" s="1"/>
  <c r="BK302" i="164"/>
  <c r="AM292" i="164"/>
  <c r="AN293" i="164"/>
  <c r="AP293" i="164" s="1"/>
  <c r="AM293" i="164" s="1"/>
  <c r="BL321" i="164"/>
  <c r="Z309" i="164"/>
  <c r="AZ309" i="164"/>
  <c r="H305" i="168"/>
  <c r="BK306" i="164"/>
  <c r="BH306" i="164"/>
  <c r="AO306" i="164"/>
  <c r="CR306" i="164"/>
  <c r="CO306" i="164" s="1"/>
  <c r="BK304" i="164"/>
  <c r="BH304" i="164"/>
  <c r="K326" i="164"/>
  <c r="L326" i="164" s="1"/>
  <c r="BI326" i="164"/>
  <c r="BK309" i="164"/>
  <c r="BK307" i="164"/>
  <c r="BL276" i="164"/>
  <c r="CU276" i="164"/>
  <c r="CR331" i="164"/>
  <c r="CO331" i="164" s="1"/>
  <c r="Y328" i="164"/>
  <c r="AO307" i="164"/>
  <c r="AZ304" i="164"/>
  <c r="Z304" i="164"/>
  <c r="E331" i="168"/>
  <c r="DJ331" i="168" s="1"/>
  <c r="CR332" i="164"/>
  <c r="CO332" i="164" s="1"/>
  <c r="BH330" i="164"/>
  <c r="X326" i="164"/>
  <c r="AO324" i="164"/>
  <c r="Y304" i="164"/>
  <c r="Y292" i="164"/>
  <c r="G293" i="164"/>
  <c r="H293" i="164" s="1"/>
  <c r="CO281" i="164"/>
  <c r="CU281" i="164"/>
  <c r="U326" i="164"/>
  <c r="BK322" i="164"/>
  <c r="CX316" i="164"/>
  <c r="Z316" i="164"/>
  <c r="G310" i="164"/>
  <c r="H310" i="164" s="1"/>
  <c r="E313" i="168"/>
  <c r="CU292" i="164"/>
  <c r="BL292" i="164"/>
  <c r="BL267" i="164"/>
  <c r="CU267" i="164"/>
  <c r="Y260" i="164"/>
  <c r="BH246" i="164"/>
  <c r="BK246" i="164"/>
  <c r="BL244" i="164"/>
  <c r="CU244" i="164"/>
  <c r="BL293" i="164"/>
  <c r="AZ292" i="164"/>
  <c r="Z292" i="164"/>
  <c r="CX292" i="164"/>
  <c r="AO287" i="164"/>
  <c r="CR287" i="164"/>
  <c r="CU287" i="164" s="1"/>
  <c r="BK287" i="164"/>
  <c r="CX279" i="164"/>
  <c r="K277" i="164"/>
  <c r="L277" i="164" s="1"/>
  <c r="AZ279" i="164"/>
  <c r="G272" i="164"/>
  <c r="H272" i="164" s="1"/>
  <c r="Y271" i="164"/>
  <c r="BI250" i="164"/>
  <c r="BK250" i="164"/>
  <c r="CR302" i="164"/>
  <c r="CO302" i="164" s="1"/>
  <c r="BK300" i="164"/>
  <c r="CU293" i="164"/>
  <c r="K293" i="164"/>
  <c r="L293" i="164" s="1"/>
  <c r="BL288" i="164"/>
  <c r="AK284" i="164"/>
  <c r="AL284" i="164" s="1"/>
  <c r="CP284" i="164"/>
  <c r="G277" i="164"/>
  <c r="H277" i="164" s="1"/>
  <c r="Y279" i="164"/>
  <c r="AO269" i="164"/>
  <c r="Z257" i="164"/>
  <c r="AZ257" i="164"/>
  <c r="CX257" i="164"/>
  <c r="BK298" i="164"/>
  <c r="AZ297" i="164"/>
  <c r="BL286" i="164"/>
  <c r="CU286" i="164"/>
  <c r="CX281" i="164"/>
  <c r="AZ281" i="164"/>
  <c r="CU298" i="164"/>
  <c r="BL298" i="164"/>
  <c r="BH249" i="164"/>
  <c r="BK249" i="164"/>
  <c r="BK290" i="164"/>
  <c r="AK290" i="164" s="1"/>
  <c r="AL290" i="164" s="1"/>
  <c r="BH290" i="164"/>
  <c r="CR288" i="164"/>
  <c r="CU288" i="164" s="1"/>
  <c r="AO288" i="164"/>
  <c r="AO314" i="164"/>
  <c r="BP297" i="164"/>
  <c r="BK289" i="164"/>
  <c r="BI289" i="164"/>
  <c r="CP274" i="164"/>
  <c r="AN274" i="164" s="1"/>
  <c r="AK274" i="164"/>
  <c r="AL274" i="164" s="1"/>
  <c r="AO266" i="164"/>
  <c r="CR266" i="164"/>
  <c r="CO266" i="164" s="1"/>
  <c r="CR283" i="164"/>
  <c r="CU283" i="164" s="1"/>
  <c r="AO283" i="164"/>
  <c r="BL283" i="164"/>
  <c r="CR268" i="164"/>
  <c r="CU268" i="164" s="1"/>
  <c r="AO268" i="164"/>
  <c r="BK268" i="164"/>
  <c r="AK268" i="164" s="1"/>
  <c r="AL268" i="164" s="1"/>
  <c r="BK301" i="164"/>
  <c r="BL295" i="164"/>
  <c r="BL287" i="164"/>
  <c r="AK285" i="164"/>
  <c r="AL285" i="164" s="1"/>
  <c r="CP285" i="164"/>
  <c r="BL279" i="164"/>
  <c r="CU279" i="164"/>
  <c r="Z279" i="164"/>
  <c r="K298" i="164"/>
  <c r="L298" i="164" s="1"/>
  <c r="AK293" i="164"/>
  <c r="AL293" i="164" s="1"/>
  <c r="Z274" i="164"/>
  <c r="AZ274" i="164"/>
  <c r="CX274" i="164"/>
  <c r="K272" i="164"/>
  <c r="L272" i="164" s="1"/>
  <c r="K260" i="164"/>
  <c r="L260" i="164" s="1"/>
  <c r="Z262" i="164"/>
  <c r="AZ262" i="164"/>
  <c r="K237" i="168"/>
  <c r="CU238" i="164"/>
  <c r="CR300" i="164"/>
  <c r="CO300" i="164" s="1"/>
  <c r="BL300" i="164"/>
  <c r="AL283" i="164"/>
  <c r="BL259" i="164"/>
  <c r="CU259" i="164"/>
  <c r="BH272" i="164"/>
  <c r="BK272" i="164"/>
  <c r="BK271" i="164"/>
  <c r="BL268" i="164"/>
  <c r="CX264" i="164"/>
  <c r="CR254" i="164"/>
  <c r="CO254" i="164" s="1"/>
  <c r="BH242" i="164"/>
  <c r="BK242" i="164"/>
  <c r="BL230" i="164"/>
  <c r="BK269" i="164"/>
  <c r="Z252" i="164"/>
  <c r="CX252" i="164"/>
  <c r="AO245" i="164"/>
  <c r="CR245" i="164"/>
  <c r="AO242" i="164"/>
  <c r="CR242" i="164"/>
  <c r="CO242" i="164" s="1"/>
  <c r="CP213" i="164"/>
  <c r="AK213" i="164"/>
  <c r="AO289" i="164"/>
  <c r="CU277" i="164"/>
  <c r="BL274" i="164"/>
  <c r="CX271" i="164"/>
  <c r="BK267" i="164"/>
  <c r="AK267" i="164" s="1"/>
  <c r="AL267" i="164" s="1"/>
  <c r="K267" i="164"/>
  <c r="L267" i="164" s="1"/>
  <c r="CR230" i="164"/>
  <c r="BK230" i="164"/>
  <c r="AO230" i="164"/>
  <c r="BL225" i="164"/>
  <c r="E238" i="168"/>
  <c r="CR239" i="164"/>
  <c r="AO239" i="164"/>
  <c r="BK239" i="164"/>
  <c r="K237" i="164"/>
  <c r="L237" i="164" s="1"/>
  <c r="CX236" i="164"/>
  <c r="AZ236" i="164"/>
  <c r="Z236" i="164"/>
  <c r="CR231" i="164"/>
  <c r="CO231" i="164" s="1"/>
  <c r="AO231" i="164"/>
  <c r="BK257" i="164"/>
  <c r="CX254" i="164"/>
  <c r="BH248" i="164"/>
  <c r="BK248" i="164"/>
  <c r="AO237" i="164"/>
  <c r="CR237" i="164"/>
  <c r="BL234" i="164"/>
  <c r="CU234" i="164"/>
  <c r="Z216" i="164"/>
  <c r="AZ216" i="164"/>
  <c r="CX216" i="164"/>
  <c r="Y208" i="164"/>
  <c r="CP194" i="164"/>
  <c r="AK194" i="164"/>
  <c r="AL194" i="164" s="1"/>
  <c r="BK288" i="164"/>
  <c r="BK281" i="164"/>
  <c r="Z276" i="164"/>
  <c r="AZ276" i="164"/>
  <c r="Z266" i="164"/>
  <c r="AZ266" i="164"/>
  <c r="CX266" i="164"/>
  <c r="CU264" i="164"/>
  <c r="BT244" i="164"/>
  <c r="AR244" i="164" s="1"/>
  <c r="BV244" i="164"/>
  <c r="G237" i="164"/>
  <c r="H237" i="164" s="1"/>
  <c r="Y236" i="164"/>
  <c r="BI232" i="164"/>
  <c r="CU232" i="164" s="1"/>
  <c r="BK232" i="164"/>
  <c r="AK232" i="164" s="1"/>
  <c r="AL232" i="164" s="1"/>
  <c r="BH220" i="164"/>
  <c r="BK220" i="164"/>
  <c r="CP212" i="164"/>
  <c r="AO210" i="164"/>
  <c r="BK286" i="164"/>
  <c r="G267" i="164"/>
  <c r="H267" i="164" s="1"/>
  <c r="G242" i="164" s="1"/>
  <c r="H242" i="164" s="1"/>
  <c r="AZ264" i="164"/>
  <c r="AK260" i="164"/>
  <c r="AL260" i="164" s="1"/>
  <c r="CP260" i="164"/>
  <c r="BH255" i="164"/>
  <c r="BK255" i="164"/>
  <c r="AO250" i="164"/>
  <c r="AO249" i="164"/>
  <c r="CR225" i="164"/>
  <c r="CO225" i="164" s="1"/>
  <c r="AO225" i="164"/>
  <c r="BK225" i="164"/>
  <c r="BL214" i="164"/>
  <c r="CU214" i="164"/>
  <c r="BL208" i="164"/>
  <c r="CU208" i="164"/>
  <c r="AO264" i="164"/>
  <c r="BI262" i="164"/>
  <c r="CU262" i="164" s="1"/>
  <c r="BK262" i="164"/>
  <c r="CR257" i="164"/>
  <c r="CO257" i="164" s="1"/>
  <c r="AO257" i="164"/>
  <c r="CX244" i="164"/>
  <c r="AZ244" i="164"/>
  <c r="G245" i="164"/>
  <c r="H245" i="164" s="1"/>
  <c r="Y244" i="164"/>
  <c r="Z244" i="164"/>
  <c r="BL224" i="164"/>
  <c r="CU224" i="164"/>
  <c r="BK218" i="164"/>
  <c r="BH218" i="164"/>
  <c r="G282" i="164"/>
  <c r="H282" i="164" s="1"/>
  <c r="BK276" i="164"/>
  <c r="AO274" i="164"/>
  <c r="AO271" i="164"/>
  <c r="BL266" i="164"/>
  <c r="BH252" i="164"/>
  <c r="BK252" i="164"/>
  <c r="Y252" i="164"/>
  <c r="CP241" i="164"/>
  <c r="AN241" i="164" s="1"/>
  <c r="AZ241" i="164"/>
  <c r="Y241" i="164"/>
  <c r="CX241" i="164"/>
  <c r="AO285" i="164"/>
  <c r="CX276" i="164"/>
  <c r="BK266" i="164"/>
  <c r="BH254" i="164"/>
  <c r="BK254" i="164"/>
  <c r="AZ252" i="164"/>
  <c r="J228" i="168"/>
  <c r="BK295" i="164"/>
  <c r="BL277" i="164"/>
  <c r="BH269" i="164"/>
  <c r="CU260" i="164"/>
  <c r="AK259" i="164"/>
  <c r="AL259" i="164" s="1"/>
  <c r="CP259" i="164"/>
  <c r="AN259" i="164" s="1"/>
  <c r="AP259" i="164" s="1"/>
  <c r="AZ254" i="164"/>
  <c r="Z254" i="164"/>
  <c r="AO252" i="164"/>
  <c r="CP244" i="164"/>
  <c r="AN244" i="164" s="1"/>
  <c r="CP233" i="164"/>
  <c r="CR226" i="164"/>
  <c r="CO226" i="164" s="1"/>
  <c r="Y218" i="164"/>
  <c r="CX208" i="164"/>
  <c r="Z208" i="164"/>
  <c r="K205" i="164"/>
  <c r="L205" i="164" s="1"/>
  <c r="AZ208" i="164"/>
  <c r="BL205" i="164"/>
  <c r="AO208" i="164"/>
  <c r="BK264" i="164"/>
  <c r="BL238" i="164"/>
  <c r="F237" i="168" s="1"/>
  <c r="CU233" i="164"/>
  <c r="BK224" i="164"/>
  <c r="CR220" i="164"/>
  <c r="CO220" i="164" s="1"/>
  <c r="AK200" i="164"/>
  <c r="AL200" i="164" s="1"/>
  <c r="CP200" i="164"/>
  <c r="BK234" i="164"/>
  <c r="Z229" i="164"/>
  <c r="AZ229" i="164"/>
  <c r="BH227" i="164"/>
  <c r="BK214" i="164"/>
  <c r="G211" i="164"/>
  <c r="H211" i="164" s="1"/>
  <c r="AZ210" i="164"/>
  <c r="CX210" i="164"/>
  <c r="Y262" i="164"/>
  <c r="AZ259" i="164"/>
  <c r="BK245" i="164"/>
  <c r="AO244" i="164"/>
  <c r="BL212" i="164"/>
  <c r="CU212" i="164"/>
  <c r="Y193" i="164"/>
  <c r="AX282" i="164"/>
  <c r="AO277" i="164"/>
  <c r="AO260" i="164"/>
  <c r="CR246" i="164"/>
  <c r="CO246" i="164" s="1"/>
  <c r="BH223" i="164"/>
  <c r="BK223" i="164"/>
  <c r="AO220" i="164"/>
  <c r="CP216" i="164"/>
  <c r="AN216" i="164" s="1"/>
  <c r="AK216" i="164"/>
  <c r="AL216" i="164" s="1"/>
  <c r="AO241" i="164"/>
  <c r="BK238" i="164"/>
  <c r="I228" i="168"/>
  <c r="BI229" i="164"/>
  <c r="CR223" i="164"/>
  <c r="CO223" i="164" s="1"/>
  <c r="CP221" i="164"/>
  <c r="K221" i="164"/>
  <c r="L221" i="164" s="1"/>
  <c r="Z176" i="164"/>
  <c r="CX176" i="164"/>
  <c r="AZ176" i="164"/>
  <c r="H228" i="168"/>
  <c r="BK229" i="164"/>
  <c r="CX220" i="164"/>
  <c r="Z220" i="164"/>
  <c r="AZ220" i="164"/>
  <c r="Z218" i="164"/>
  <c r="AZ218" i="164"/>
  <c r="Z199" i="164"/>
  <c r="AO185" i="164"/>
  <c r="CR222" i="164"/>
  <c r="CO222" i="164" s="1"/>
  <c r="AO222" i="164"/>
  <c r="BK222" i="164"/>
  <c r="Y221" i="164"/>
  <c r="BL213" i="164"/>
  <c r="BH231" i="164"/>
  <c r="BK231" i="164"/>
  <c r="AK231" i="164" s="1"/>
  <c r="AL231" i="164" s="1"/>
  <c r="BH226" i="164"/>
  <c r="BK226" i="164"/>
  <c r="AO223" i="164"/>
  <c r="BL210" i="164"/>
  <c r="BH199" i="164"/>
  <c r="BK199" i="164"/>
  <c r="BH190" i="164"/>
  <c r="BK190" i="164"/>
  <c r="CR174" i="164"/>
  <c r="CO174" i="164" s="1"/>
  <c r="AO174" i="164"/>
  <c r="G156" i="164"/>
  <c r="H156" i="164" s="1"/>
  <c r="Y155" i="164"/>
  <c r="CU210" i="164"/>
  <c r="CX193" i="164"/>
  <c r="AO190" i="164"/>
  <c r="CR190" i="164"/>
  <c r="CO190" i="164" s="1"/>
  <c r="BK211" i="164"/>
  <c r="BL201" i="164"/>
  <c r="AO201" i="164"/>
  <c r="K197" i="164"/>
  <c r="L197" i="164" s="1"/>
  <c r="K194" i="164" s="1"/>
  <c r="L194" i="164" s="1"/>
  <c r="AZ196" i="164"/>
  <c r="CU189" i="164"/>
  <c r="Y216" i="164"/>
  <c r="BK208" i="164"/>
  <c r="BP196" i="164"/>
  <c r="BL193" i="164"/>
  <c r="BL188" i="164"/>
  <c r="BH183" i="164"/>
  <c r="BK183" i="164"/>
  <c r="AK183" i="164" s="1"/>
  <c r="AL183" i="164" s="1"/>
  <c r="BH182" i="164"/>
  <c r="BK182" i="164"/>
  <c r="BK178" i="164"/>
  <c r="BH178" i="164"/>
  <c r="Y178" i="164"/>
  <c r="AL213" i="164"/>
  <c r="BK210" i="164"/>
  <c r="BK205" i="164"/>
  <c r="AK205" i="164" s="1"/>
  <c r="AL205" i="164" s="1"/>
  <c r="G197" i="164"/>
  <c r="H197" i="164" s="1"/>
  <c r="AO182" i="164"/>
  <c r="CR182" i="164"/>
  <c r="CO182" i="164" s="1"/>
  <c r="CR213" i="164"/>
  <c r="CO213" i="164" s="1"/>
  <c r="AO211" i="164"/>
  <c r="CX204" i="164"/>
  <c r="CX196" i="164"/>
  <c r="BK188" i="164"/>
  <c r="BH184" i="164"/>
  <c r="BK184" i="164"/>
  <c r="AK184" i="164" s="1"/>
  <c r="AL184" i="164" s="1"/>
  <c r="AK170" i="164"/>
  <c r="AL170" i="164" s="1"/>
  <c r="BL169" i="164"/>
  <c r="CU206" i="164"/>
  <c r="BH202" i="164"/>
  <c r="BK202" i="164"/>
  <c r="BK186" i="164"/>
  <c r="CX178" i="164"/>
  <c r="G205" i="164"/>
  <c r="H205" i="164" s="1"/>
  <c r="Y204" i="164"/>
  <c r="BK201" i="164"/>
  <c r="BL200" i="164"/>
  <c r="CU200" i="164"/>
  <c r="BL197" i="164"/>
  <c r="CU197" i="164"/>
  <c r="BI196" i="164"/>
  <c r="BL196" i="164" s="1"/>
  <c r="BK196" i="164"/>
  <c r="CP187" i="164"/>
  <c r="AK187" i="164"/>
  <c r="AL187" i="164" s="1"/>
  <c r="AO184" i="164"/>
  <c r="CR184" i="164"/>
  <c r="Z196" i="164"/>
  <c r="CR194" i="164"/>
  <c r="AO194" i="164"/>
  <c r="AZ193" i="164"/>
  <c r="CR196" i="164"/>
  <c r="CO196" i="164" s="1"/>
  <c r="Y196" i="164"/>
  <c r="BH191" i="164"/>
  <c r="CR186" i="164"/>
  <c r="CR180" i="164"/>
  <c r="A152" i="164"/>
  <c r="BK193" i="164"/>
  <c r="AZ174" i="164"/>
  <c r="BL170" i="164"/>
  <c r="BL168" i="164"/>
  <c r="L105" i="164"/>
  <c r="AZ180" i="164"/>
  <c r="Z180" i="164"/>
  <c r="BK174" i="164"/>
  <c r="Y174" i="164"/>
  <c r="BL163" i="164"/>
  <c r="BH156" i="164"/>
  <c r="BK156" i="164"/>
  <c r="AK156" i="164" s="1"/>
  <c r="AL156" i="164" s="1"/>
  <c r="CR187" i="164"/>
  <c r="CO187" i="164" s="1"/>
  <c r="AZ182" i="164"/>
  <c r="Y180" i="164"/>
  <c r="Y176" i="164"/>
  <c r="BL174" i="164"/>
  <c r="CP171" i="164"/>
  <c r="BL154" i="164"/>
  <c r="AK133" i="164"/>
  <c r="AL133" i="164" s="1"/>
  <c r="CP133" i="164"/>
  <c r="Y182" i="164"/>
  <c r="G183" i="164"/>
  <c r="H183" i="164" s="1"/>
  <c r="BI172" i="164"/>
  <c r="BK172" i="164"/>
  <c r="CR168" i="164"/>
  <c r="AO168" i="164"/>
  <c r="CR193" i="164"/>
  <c r="CO193" i="164" s="1"/>
  <c r="CR188" i="164"/>
  <c r="BK180" i="164"/>
  <c r="CU164" i="164"/>
  <c r="AZ178" i="164"/>
  <c r="Z178" i="164"/>
  <c r="BL166" i="164"/>
  <c r="CU166" i="164"/>
  <c r="Z120" i="164"/>
  <c r="AZ120" i="164"/>
  <c r="CX120" i="164"/>
  <c r="CU176" i="164"/>
  <c r="Z174" i="164"/>
  <c r="Z166" i="164"/>
  <c r="AO171" i="164"/>
  <c r="BK166" i="164"/>
  <c r="Y158" i="164"/>
  <c r="G159" i="164"/>
  <c r="H159" i="164" s="1"/>
  <c r="K155" i="164"/>
  <c r="L155" i="164" s="1"/>
  <c r="CX154" i="164"/>
  <c r="BK169" i="164"/>
  <c r="Y154" i="164"/>
  <c r="Z135" i="164"/>
  <c r="BH145" i="164"/>
  <c r="BK145" i="164"/>
  <c r="BJ141" i="164"/>
  <c r="CK141" i="164" s="1"/>
  <c r="CX97" i="164"/>
  <c r="AZ97" i="164"/>
  <c r="Z97" i="164"/>
  <c r="Z158" i="164"/>
  <c r="Y143" i="164"/>
  <c r="BL141" i="164"/>
  <c r="F140" i="168" s="1"/>
  <c r="AM140" i="168" s="1"/>
  <c r="BL135" i="164"/>
  <c r="F134" i="168" s="1"/>
  <c r="AM134" i="168" s="1"/>
  <c r="BH159" i="164"/>
  <c r="BK159" i="164"/>
  <c r="BI155" i="164"/>
  <c r="BK155" i="164"/>
  <c r="AK155" i="164" s="1"/>
  <c r="AL155" i="164" s="1"/>
  <c r="G147" i="168"/>
  <c r="BD148" i="164"/>
  <c r="BJ135" i="164"/>
  <c r="CK135" i="164" s="1"/>
  <c r="K167" i="164"/>
  <c r="L167" i="164" s="1"/>
  <c r="CR164" i="164"/>
  <c r="CO164" i="164" s="1"/>
  <c r="BL130" i="164"/>
  <c r="BJ129" i="164"/>
  <c r="CK129" i="164" s="1"/>
  <c r="I164" i="164"/>
  <c r="BL158" i="164"/>
  <c r="AZ137" i="164"/>
  <c r="Z137" i="164"/>
  <c r="CX137" i="164"/>
  <c r="G167" i="164"/>
  <c r="H167" i="164" s="1"/>
  <c r="L162" i="164"/>
  <c r="AK158" i="164"/>
  <c r="AL158" i="164" s="1"/>
  <c r="CP158" i="164"/>
  <c r="AN158" i="164" s="1"/>
  <c r="AP158" i="164" s="1"/>
  <c r="AO152" i="164"/>
  <c r="CR152" i="164"/>
  <c r="Z151" i="164"/>
  <c r="AZ151" i="164"/>
  <c r="CX151" i="164"/>
  <c r="BI111" i="164"/>
  <c r="BK111" i="164"/>
  <c r="CR149" i="164"/>
  <c r="CO149" i="164" s="1"/>
  <c r="AO149" i="164"/>
  <c r="AK148" i="164"/>
  <c r="AL148" i="164" s="1"/>
  <c r="CP148" i="164"/>
  <c r="AO145" i="164"/>
  <c r="CR145" i="164"/>
  <c r="CO145" i="164" s="1"/>
  <c r="L145" i="164"/>
  <c r="BJ139" i="164"/>
  <c r="CK139" i="164" s="1"/>
  <c r="CX139" i="164"/>
  <c r="AZ139" i="164"/>
  <c r="CO126" i="164"/>
  <c r="CU126" i="164"/>
  <c r="BK162" i="164"/>
  <c r="CB158" i="164"/>
  <c r="BV158" i="164"/>
  <c r="BK152" i="164"/>
  <c r="G146" i="164"/>
  <c r="H146" i="164" s="1"/>
  <c r="BH139" i="164"/>
  <c r="BK139" i="164"/>
  <c r="CR154" i="164"/>
  <c r="CO154" i="164" s="1"/>
  <c r="AO154" i="164"/>
  <c r="BL152" i="164"/>
  <c r="E136" i="168"/>
  <c r="CR137" i="164"/>
  <c r="CO137" i="164" s="1"/>
  <c r="AO137" i="164"/>
  <c r="BK135" i="164"/>
  <c r="BL133" i="164"/>
  <c r="BL127" i="164"/>
  <c r="BL125" i="164"/>
  <c r="CU125" i="164"/>
  <c r="AO135" i="164"/>
  <c r="CR135" i="164"/>
  <c r="CO135" i="164" s="1"/>
  <c r="CR133" i="164"/>
  <c r="CO133" i="164" s="1"/>
  <c r="AO133" i="164"/>
  <c r="BK129" i="164"/>
  <c r="AO129" i="164"/>
  <c r="BK160" i="164"/>
  <c r="BK149" i="164"/>
  <c r="BK146" i="164"/>
  <c r="BH146" i="164"/>
  <c r="AO127" i="164"/>
  <c r="CR127" i="164"/>
  <c r="CO127" i="164" s="1"/>
  <c r="BH162" i="164"/>
  <c r="J161" i="168" s="1"/>
  <c r="AA161" i="168" s="1"/>
  <c r="BP161" i="168" s="1"/>
  <c r="AO155" i="164"/>
  <c r="BL149" i="164"/>
  <c r="F148" i="168" s="1"/>
  <c r="AM148" i="168" s="1"/>
  <c r="BI148" i="164"/>
  <c r="K147" i="168" s="1"/>
  <c r="BK143" i="164"/>
  <c r="BH143" i="164"/>
  <c r="Y141" i="164"/>
  <c r="Z139" i="164"/>
  <c r="G130" i="164"/>
  <c r="H130" i="164" s="1"/>
  <c r="G123" i="164"/>
  <c r="H123" i="164" s="1"/>
  <c r="Y122" i="164"/>
  <c r="BH115" i="164"/>
  <c r="BK115" i="164"/>
  <c r="CR155" i="164"/>
  <c r="BK154" i="164"/>
  <c r="AX151" i="164"/>
  <c r="BB151" i="164"/>
  <c r="BC151" i="164"/>
  <c r="BI151" i="164" s="1"/>
  <c r="BJ151" i="164" s="1"/>
  <c r="CK151" i="164" s="1"/>
  <c r="G149" i="164"/>
  <c r="H149" i="164" s="1"/>
  <c r="Y148" i="164"/>
  <c r="Z143" i="164"/>
  <c r="AZ143" i="164"/>
  <c r="CX143" i="164"/>
  <c r="CR129" i="164"/>
  <c r="CO129" i="164" s="1"/>
  <c r="BJ124" i="164"/>
  <c r="CK124" i="164" s="1"/>
  <c r="H117" i="164"/>
  <c r="AD117" i="164"/>
  <c r="I117" i="164"/>
  <c r="AO122" i="164"/>
  <c r="BL113" i="164"/>
  <c r="BK127" i="164"/>
  <c r="BK126" i="164"/>
  <c r="AD118" i="164"/>
  <c r="I118" i="164"/>
  <c r="CR115" i="164"/>
  <c r="CO115" i="164" s="1"/>
  <c r="AO115" i="164"/>
  <c r="AO130" i="164"/>
  <c r="BL129" i="164"/>
  <c r="AO156" i="164"/>
  <c r="CX129" i="164"/>
  <c r="AZ129" i="164"/>
  <c r="BK124" i="164"/>
  <c r="CX122" i="164"/>
  <c r="AZ122" i="164"/>
  <c r="CU135" i="164"/>
  <c r="K133" i="164"/>
  <c r="L133" i="164" s="1"/>
  <c r="CR122" i="164"/>
  <c r="CO122" i="164" s="1"/>
  <c r="BJ107" i="164"/>
  <c r="CK107" i="164" s="1"/>
  <c r="CU106" i="164"/>
  <c r="BL106" i="164"/>
  <c r="BJ106" i="164"/>
  <c r="CK106" i="164" s="1"/>
  <c r="CX132" i="164"/>
  <c r="BL124" i="164"/>
  <c r="CH112" i="164"/>
  <c r="I110" i="164"/>
  <c r="AD110" i="164"/>
  <c r="BK137" i="164"/>
  <c r="AO126" i="164"/>
  <c r="BK122" i="164"/>
  <c r="BR113" i="164"/>
  <c r="BX113" i="164"/>
  <c r="BZ113" i="164"/>
  <c r="BT113" i="164"/>
  <c r="BV113" i="164"/>
  <c r="CB113" i="164"/>
  <c r="BH110" i="164"/>
  <c r="BJ109" i="164" s="1"/>
  <c r="CK109" i="164" s="1"/>
  <c r="BK110" i="164"/>
  <c r="AO107" i="164"/>
  <c r="BK107" i="164"/>
  <c r="CR107" i="164"/>
  <c r="CO107" i="164" s="1"/>
  <c r="AO139" i="164"/>
  <c r="BI137" i="164"/>
  <c r="BJ132" i="164"/>
  <c r="CK132" i="164" s="1"/>
  <c r="Y132" i="164"/>
  <c r="BK125" i="164"/>
  <c r="Y120" i="164"/>
  <c r="BL122" i="164"/>
  <c r="AO120" i="164"/>
  <c r="CR120" i="164"/>
  <c r="BJ105" i="164"/>
  <c r="CK105" i="164" s="1"/>
  <c r="CU105" i="164"/>
  <c r="BK112" i="164"/>
  <c r="BH112" i="164"/>
  <c r="BH109" i="164"/>
  <c r="BK109" i="164"/>
  <c r="BH102" i="164"/>
  <c r="BK102" i="164"/>
  <c r="Z99" i="164"/>
  <c r="CR93" i="164"/>
  <c r="CP123" i="164"/>
  <c r="BH123" i="164"/>
  <c r="BJ122" i="164" s="1"/>
  <c r="CK122" i="164" s="1"/>
  <c r="BL120" i="164"/>
  <c r="BP100" i="164"/>
  <c r="CX99" i="164"/>
  <c r="G100" i="164"/>
  <c r="H100" i="164" s="1"/>
  <c r="AZ100" i="164" s="1"/>
  <c r="Y99" i="164"/>
  <c r="CX95" i="164"/>
  <c r="AZ95" i="164"/>
  <c r="Z95" i="164"/>
  <c r="AZ93" i="164"/>
  <c r="CX93" i="164"/>
  <c r="Z93" i="164"/>
  <c r="CR85" i="164"/>
  <c r="CO85" i="164" s="1"/>
  <c r="BL79" i="164"/>
  <c r="BJ78" i="164"/>
  <c r="CK78" i="164" s="1"/>
  <c r="AK77" i="164"/>
  <c r="AL77" i="164" s="1"/>
  <c r="CU113" i="164"/>
  <c r="G106" i="164"/>
  <c r="H106" i="164" s="1"/>
  <c r="Y93" i="164"/>
  <c r="BH66" i="164"/>
  <c r="BK66" i="164"/>
  <c r="BK117" i="164"/>
  <c r="BK113" i="164"/>
  <c r="G103" i="164"/>
  <c r="H103" i="164" s="1"/>
  <c r="Y102" i="164"/>
  <c r="Y105" i="164"/>
  <c r="AO82" i="164"/>
  <c r="BL82" i="164"/>
  <c r="BL132" i="164"/>
  <c r="BK120" i="164"/>
  <c r="BL117" i="164"/>
  <c r="CR99" i="164"/>
  <c r="CO99" i="164" s="1"/>
  <c r="BL93" i="164"/>
  <c r="BH91" i="164"/>
  <c r="BK91" i="164"/>
  <c r="Z102" i="164"/>
  <c r="CX102" i="164"/>
  <c r="BH87" i="164"/>
  <c r="BK87" i="164"/>
  <c r="CU81" i="164"/>
  <c r="CU48" i="164"/>
  <c r="Y28" i="164"/>
  <c r="G29" i="164"/>
  <c r="H29" i="164" s="1"/>
  <c r="CX29" i="164" s="1"/>
  <c r="CX28" i="164"/>
  <c r="AO106" i="164"/>
  <c r="BJ99" i="164"/>
  <c r="CK99" i="164" s="1"/>
  <c r="CU97" i="164"/>
  <c r="AO95" i="164"/>
  <c r="L87" i="164"/>
  <c r="AO97" i="164"/>
  <c r="Y87" i="164"/>
  <c r="K103" i="164"/>
  <c r="L103" i="164" s="1"/>
  <c r="CU100" i="164"/>
  <c r="Y91" i="164"/>
  <c r="Y89" i="164"/>
  <c r="CX89" i="164"/>
  <c r="CR79" i="164"/>
  <c r="CO79" i="164" s="1"/>
  <c r="AO79" i="164"/>
  <c r="BK79" i="164"/>
  <c r="BX58" i="164"/>
  <c r="BV58" i="164"/>
  <c r="BZ58" i="164"/>
  <c r="CB58" i="164"/>
  <c r="BT58" i="164"/>
  <c r="BR58" i="164"/>
  <c r="BK106" i="164"/>
  <c r="BJ102" i="164"/>
  <c r="CK102" i="164" s="1"/>
  <c r="BI50" i="164"/>
  <c r="CU50" i="164" s="1"/>
  <c r="BK50" i="164"/>
  <c r="BL95" i="164"/>
  <c r="AK75" i="164"/>
  <c r="AL75" i="164" s="1"/>
  <c r="CP75" i="164"/>
  <c r="BJ64" i="164"/>
  <c r="CK64" i="164" s="1"/>
  <c r="BK100" i="164"/>
  <c r="CR95" i="164"/>
  <c r="BK95" i="164"/>
  <c r="CP81" i="164"/>
  <c r="AZ74" i="164"/>
  <c r="Z74" i="164"/>
  <c r="CX74" i="164"/>
  <c r="CP60" i="164"/>
  <c r="AK60" i="164"/>
  <c r="AL60" i="164" s="1"/>
  <c r="CR51" i="164"/>
  <c r="CO51" i="164" s="1"/>
  <c r="AO51" i="164"/>
  <c r="AO66" i="164"/>
  <c r="BL78" i="164"/>
  <c r="AK72" i="164"/>
  <c r="AL72" i="164" s="1"/>
  <c r="AZ71" i="164"/>
  <c r="K72" i="164"/>
  <c r="L72" i="164" s="1"/>
  <c r="AZ68" i="164"/>
  <c r="Z68" i="164"/>
  <c r="CX68" i="164"/>
  <c r="AZ66" i="164"/>
  <c r="BP66" i="164"/>
  <c r="BJ63" i="164"/>
  <c r="CK63" i="164" s="1"/>
  <c r="CU63" i="164"/>
  <c r="CR60" i="164"/>
  <c r="BT22" i="164"/>
  <c r="CF22" i="164"/>
  <c r="CJ22" i="164" s="1"/>
  <c r="BV22" i="164"/>
  <c r="CB22" i="164"/>
  <c r="BR22" i="164"/>
  <c r="BX22" i="164"/>
  <c r="BZ22" i="164"/>
  <c r="K11" i="164"/>
  <c r="P10" i="164" s="1"/>
  <c r="P12" i="164" s="1"/>
  <c r="BP99" i="164"/>
  <c r="AZ99" i="164"/>
  <c r="BK82" i="164"/>
  <c r="BH80" i="164"/>
  <c r="BK80" i="164"/>
  <c r="Y74" i="164"/>
  <c r="G75" i="164"/>
  <c r="H75" i="164" s="1"/>
  <c r="Y68" i="164"/>
  <c r="Y66" i="164"/>
  <c r="AO60" i="164"/>
  <c r="Z58" i="164"/>
  <c r="AZ58" i="164"/>
  <c r="CX58" i="164"/>
  <c r="CR80" i="164"/>
  <c r="CO80" i="164" s="1"/>
  <c r="Y71" i="164"/>
  <c r="K69" i="164"/>
  <c r="L69" i="164" s="1"/>
  <c r="BL63" i="164"/>
  <c r="BK78" i="164"/>
  <c r="AK35" i="164"/>
  <c r="AL35" i="164" s="1"/>
  <c r="CP35" i="164"/>
  <c r="AN35" i="164" s="1"/>
  <c r="AP35" i="164" s="1"/>
  <c r="Y97" i="164"/>
  <c r="AK89" i="164"/>
  <c r="AL89" i="164" s="1"/>
  <c r="CP89" i="164"/>
  <c r="AN89" i="164" s="1"/>
  <c r="AP89" i="164" s="1"/>
  <c r="Z89" i="164"/>
  <c r="AZ89" i="164"/>
  <c r="BH85" i="164"/>
  <c r="BK85" i="164"/>
  <c r="CU82" i="164"/>
  <c r="BI49" i="164"/>
  <c r="BK49" i="164"/>
  <c r="BL75" i="164"/>
  <c r="CU75" i="164"/>
  <c r="CX71" i="164"/>
  <c r="CR68" i="164"/>
  <c r="CO68" i="164" s="1"/>
  <c r="BJ62" i="164"/>
  <c r="CK62" i="164" s="1"/>
  <c r="BL62" i="164"/>
  <c r="BK93" i="164"/>
  <c r="AO80" i="164"/>
  <c r="Z71" i="164"/>
  <c r="BL68" i="164"/>
  <c r="BL64" i="164"/>
  <c r="AO38" i="164"/>
  <c r="CR38" i="164"/>
  <c r="CO38" i="164" s="1"/>
  <c r="BK83" i="164"/>
  <c r="BH83" i="164"/>
  <c r="CU78" i="164"/>
  <c r="AN77" i="164"/>
  <c r="AP77" i="164" s="1"/>
  <c r="CX66" i="164"/>
  <c r="Z66" i="164"/>
  <c r="Y63" i="164"/>
  <c r="G64" i="164"/>
  <c r="H64" i="164" s="1"/>
  <c r="L85" i="164"/>
  <c r="AO69" i="164"/>
  <c r="Y58" i="164"/>
  <c r="BL54" i="164"/>
  <c r="AO47" i="164"/>
  <c r="BI39" i="164"/>
  <c r="BK39" i="164"/>
  <c r="BL37" i="164"/>
  <c r="CR28" i="164"/>
  <c r="CO28" i="164" s="1"/>
  <c r="AO28" i="164"/>
  <c r="BK58" i="164"/>
  <c r="BL56" i="164"/>
  <c r="CU56" i="164"/>
  <c r="BI40" i="164"/>
  <c r="BJ40" i="164" s="1"/>
  <c r="CK40" i="164" s="1"/>
  <c r="BK40" i="164"/>
  <c r="CR37" i="164"/>
  <c r="AO37" i="164"/>
  <c r="Y24" i="164"/>
  <c r="AZ24" i="164"/>
  <c r="K63" i="164"/>
  <c r="L63" i="164" s="1"/>
  <c r="BK41" i="164"/>
  <c r="K30" i="164"/>
  <c r="L30" i="164" s="1"/>
  <c r="Z29" i="164"/>
  <c r="BH22" i="164"/>
  <c r="BK22" i="164"/>
  <c r="Y44" i="164"/>
  <c r="AO40" i="164"/>
  <c r="CR40" i="164"/>
  <c r="CO40" i="164" s="1"/>
  <c r="H37" i="165"/>
  <c r="CR64" i="164"/>
  <c r="CU64" i="164" s="1"/>
  <c r="BJ55" i="164"/>
  <c r="CK55" i="164" s="1"/>
  <c r="CR58" i="164"/>
  <c r="BI52" i="164"/>
  <c r="BL52" i="164" s="1"/>
  <c r="BK52" i="164"/>
  <c r="Y46" i="164"/>
  <c r="G47" i="164"/>
  <c r="H47" i="164" s="1"/>
  <c r="BL42" i="164"/>
  <c r="Y33" i="164"/>
  <c r="BK64" i="164"/>
  <c r="AK64" i="164" s="1"/>
  <c r="AL64" i="164" s="1"/>
  <c r="CP62" i="164"/>
  <c r="AN62" i="164" s="1"/>
  <c r="CR46" i="164"/>
  <c r="CO46" i="164" s="1"/>
  <c r="AK48" i="164"/>
  <c r="AL48" i="164" s="1"/>
  <c r="CP48" i="164"/>
  <c r="BJ42" i="164"/>
  <c r="CK42" i="164" s="1"/>
  <c r="CU42" i="164"/>
  <c r="BL41" i="164"/>
  <c r="BJ35" i="164"/>
  <c r="CK35" i="164" s="1"/>
  <c r="CU55" i="164"/>
  <c r="BH38" i="164"/>
  <c r="BK38" i="164"/>
  <c r="BH53" i="164"/>
  <c r="BK53" i="164"/>
  <c r="BJ51" i="164"/>
  <c r="CK51" i="164" s="1"/>
  <c r="AO50" i="164"/>
  <c r="AO44" i="164"/>
  <c r="BK37" i="164"/>
  <c r="BV24" i="164"/>
  <c r="BX24" i="164"/>
  <c r="BZ24" i="164"/>
  <c r="BT24" i="164"/>
  <c r="CF24" i="164"/>
  <c r="CJ24" i="164" s="1"/>
  <c r="AZ60" i="164"/>
  <c r="BP60" i="164"/>
  <c r="K47" i="164"/>
  <c r="L47" i="164" s="1"/>
  <c r="CX46" i="164"/>
  <c r="AZ46" i="164"/>
  <c r="CX60" i="164"/>
  <c r="Z44" i="164"/>
  <c r="CX44" i="164"/>
  <c r="AZ44" i="164"/>
  <c r="AZ37" i="164"/>
  <c r="K38" i="164"/>
  <c r="L38" i="164" s="1"/>
  <c r="CX37" i="164"/>
  <c r="Y35" i="164"/>
  <c r="BK51" i="164"/>
  <c r="BH51" i="164"/>
  <c r="BH47" i="164"/>
  <c r="BJ46" i="164" s="1"/>
  <c r="CK46" i="164" s="1"/>
  <c r="BK47" i="164"/>
  <c r="BK28" i="164"/>
  <c r="BH28" i="164"/>
  <c r="G38" i="164"/>
  <c r="H38" i="164" s="1"/>
  <c r="Y37" i="164"/>
  <c r="BH33" i="164"/>
  <c r="BK33" i="164"/>
  <c r="BK42" i="164"/>
  <c r="BK30" i="164"/>
  <c r="BL29" i="164"/>
  <c r="CR24" i="164"/>
  <c r="CO24" i="164" s="1"/>
  <c r="BK24" i="164"/>
  <c r="CR41" i="164"/>
  <c r="CO41" i="164" s="1"/>
  <c r="AO24" i="164"/>
  <c r="CX35" i="164"/>
  <c r="Z35" i="164"/>
  <c r="AZ35" i="164"/>
  <c r="BI26" i="164"/>
  <c r="BJ26" i="164" s="1"/>
  <c r="CK26" i="164" s="1"/>
  <c r="BK26" i="164"/>
  <c r="BK44" i="164"/>
  <c r="BK46" i="164"/>
  <c r="CR32" i="164"/>
  <c r="AZ28" i="164"/>
  <c r="AR22" i="164"/>
  <c r="AS22" i="164" s="1"/>
  <c r="AT22" i="164" s="1"/>
  <c r="CR22" i="164"/>
  <c r="CO22" i="164" s="1"/>
  <c r="BK32" i="164"/>
  <c r="BL26" i="164"/>
  <c r="Z32" i="164"/>
  <c r="AZ32" i="164"/>
  <c r="AO26" i="164"/>
  <c r="CX26" i="164"/>
  <c r="BD26" i="164" s="1"/>
  <c r="CW26" i="164" s="1"/>
  <c r="DJ327" i="168"/>
  <c r="T328" i="168"/>
  <c r="CE328" i="168"/>
  <c r="EC328" i="168"/>
  <c r="EH328" i="168" s="1"/>
  <c r="H328" i="168"/>
  <c r="I328" i="168"/>
  <c r="AH328" i="168"/>
  <c r="AV328" i="168"/>
  <c r="L328" i="168"/>
  <c r="BK328" i="168"/>
  <c r="DI328" i="168"/>
  <c r="J328" i="168"/>
  <c r="AE328" i="168"/>
  <c r="R328" i="168"/>
  <c r="U328" i="168" s="1"/>
  <c r="BL328" i="168"/>
  <c r="S328" i="168"/>
  <c r="V328" i="168" s="1"/>
  <c r="BO328" i="168" s="1"/>
  <c r="BM328" i="168"/>
  <c r="BJ328" i="168" s="1"/>
  <c r="AB328" i="168"/>
  <c r="E328" i="168"/>
  <c r="E330" i="168"/>
  <c r="S330" i="168"/>
  <c r="V330" i="168" s="1"/>
  <c r="BO330" i="168" s="1"/>
  <c r="AE330" i="168"/>
  <c r="T330" i="168"/>
  <c r="EC330" i="168"/>
  <c r="EH330" i="168" s="1"/>
  <c r="H330" i="168"/>
  <c r="U330" i="168"/>
  <c r="I330" i="168"/>
  <c r="AH330" i="168"/>
  <c r="J330" i="168"/>
  <c r="K330" i="168"/>
  <c r="AV330" i="168"/>
  <c r="L330" i="168"/>
  <c r="BK330" i="168"/>
  <c r="DI330" i="168"/>
  <c r="BL330" i="168"/>
  <c r="R330" i="168"/>
  <c r="BM330" i="168"/>
  <c r="E12" i="166"/>
  <c r="E18" i="166"/>
  <c r="E3" i="166"/>
  <c r="E7" i="166"/>
  <c r="E4" i="166"/>
  <c r="E8" i="166"/>
  <c r="E14" i="166"/>
  <c r="E20" i="166"/>
  <c r="E26" i="166"/>
  <c r="E32" i="166"/>
  <c r="E38" i="166"/>
  <c r="E44" i="166"/>
  <c r="E50" i="166"/>
  <c r="E56" i="166"/>
  <c r="E62" i="166"/>
  <c r="E116" i="166"/>
  <c r="E9" i="166"/>
  <c r="E15" i="166"/>
  <c r="E21" i="166"/>
  <c r="E27" i="166"/>
  <c r="E33" i="166"/>
  <c r="E39" i="166"/>
  <c r="E45" i="166"/>
  <c r="E51" i="166"/>
  <c r="E57" i="166"/>
  <c r="E63" i="166"/>
  <c r="E69" i="166"/>
  <c r="E75" i="166"/>
  <c r="E81" i="166"/>
  <c r="E87" i="166"/>
  <c r="E93" i="166"/>
  <c r="BJ329" i="168"/>
  <c r="CE329" i="168"/>
  <c r="E29" i="166"/>
  <c r="E22" i="166"/>
  <c r="E6" i="166"/>
  <c r="E13" i="166"/>
  <c r="E19" i="166"/>
  <c r="E11" i="166"/>
  <c r="L329" i="168"/>
  <c r="BK329" i="168"/>
  <c r="DI329" i="168"/>
  <c r="BL329" i="168"/>
  <c r="E329" i="168"/>
  <c r="R329" i="168"/>
  <c r="U329" i="168" s="1"/>
  <c r="BJ305" i="168"/>
  <c r="E305" i="168"/>
  <c r="DJ305" i="168" s="1"/>
  <c r="L237" i="168"/>
  <c r="AB163" i="168"/>
  <c r="BN163" i="168"/>
  <c r="BJ163" i="168" s="1"/>
  <c r="E163" i="168"/>
  <c r="R163" i="168"/>
  <c r="U163" i="168" s="1"/>
  <c r="S163" i="168"/>
  <c r="V163" i="168" s="1"/>
  <c r="BO163" i="168" s="1"/>
  <c r="AE163" i="168"/>
  <c r="T163" i="168"/>
  <c r="EC163" i="168"/>
  <c r="EH163" i="168" s="1"/>
  <c r="H163" i="168"/>
  <c r="J163" i="168"/>
  <c r="L163" i="168"/>
  <c r="BK163" i="168"/>
  <c r="DI163" i="168"/>
  <c r="I237" i="168"/>
  <c r="AV306" i="168"/>
  <c r="K306" i="168"/>
  <c r="BL237" i="168"/>
  <c r="AH237" i="168"/>
  <c r="I162" i="168"/>
  <c r="V162" i="168"/>
  <c r="BO162" i="168" s="1"/>
  <c r="AH162" i="168"/>
  <c r="K162" i="168"/>
  <c r="AV162" i="168"/>
  <c r="H162" i="168"/>
  <c r="J162" i="168"/>
  <c r="L162" i="168"/>
  <c r="DI162" i="168"/>
  <c r="AB162" i="168"/>
  <c r="R162" i="168"/>
  <c r="U162" i="168" s="1"/>
  <c r="BL162" i="168"/>
  <c r="E162" i="168"/>
  <c r="T162" i="168"/>
  <c r="BN162" i="168"/>
  <c r="EC162" i="168"/>
  <c r="EH162" i="168" s="1"/>
  <c r="BO136" i="168"/>
  <c r="BN313" i="168"/>
  <c r="AB313" i="168"/>
  <c r="J306" i="168"/>
  <c r="S305" i="168"/>
  <c r="V305" i="168" s="1"/>
  <c r="BO305" i="168" s="1"/>
  <c r="BK237" i="168"/>
  <c r="AH306" i="168"/>
  <c r="V306" i="168"/>
  <c r="I306" i="168"/>
  <c r="BM237" i="168"/>
  <c r="AB237" i="168"/>
  <c r="E237" i="168"/>
  <c r="R237" i="168"/>
  <c r="U237" i="168" s="1"/>
  <c r="S237" i="168"/>
  <c r="V237" i="168" s="1"/>
  <c r="AE237" i="168"/>
  <c r="EC237" i="168"/>
  <c r="EH237" i="168" s="1"/>
  <c r="H237" i="168"/>
  <c r="J237" i="168"/>
  <c r="BL313" i="168"/>
  <c r="U306" i="168"/>
  <c r="H306" i="168"/>
  <c r="DI237" i="168"/>
  <c r="AE228" i="168"/>
  <c r="AB161" i="168"/>
  <c r="E161" i="168"/>
  <c r="R161" i="168"/>
  <c r="U161" i="168" s="1"/>
  <c r="S161" i="168"/>
  <c r="V161" i="168" s="1"/>
  <c r="AE161" i="168"/>
  <c r="CE161" i="168"/>
  <c r="L161" i="168"/>
  <c r="BL161" i="168"/>
  <c r="H161" i="168"/>
  <c r="AV161" i="168"/>
  <c r="I161" i="168"/>
  <c r="DI161" i="168"/>
  <c r="EC161" i="168"/>
  <c r="EH161" i="168" s="1"/>
  <c r="K161" i="168"/>
  <c r="AH161" i="168"/>
  <c r="BK161" i="168"/>
  <c r="DI313" i="168"/>
  <c r="BK313" i="168"/>
  <c r="L313" i="168"/>
  <c r="EC306" i="168"/>
  <c r="EH306" i="168" s="1"/>
  <c r="T306" i="168"/>
  <c r="L305" i="168"/>
  <c r="BL305" i="168"/>
  <c r="AV163" i="168"/>
  <c r="K163" i="168"/>
  <c r="BH161" i="168"/>
  <c r="AV313" i="168"/>
  <c r="AE306" i="168"/>
  <c r="S306" i="168"/>
  <c r="E306" i="168"/>
  <c r="DJ306" i="168" s="1"/>
  <c r="I163" i="168"/>
  <c r="H155" i="168"/>
  <c r="G55" i="169"/>
  <c r="G74" i="169" s="1"/>
  <c r="E69" i="169"/>
  <c r="G69" i="169" s="1"/>
  <c r="AB148" i="168"/>
  <c r="BN148" i="168"/>
  <c r="CE148" i="168" s="1"/>
  <c r="E148" i="168"/>
  <c r="R148" i="168"/>
  <c r="U148" i="168" s="1"/>
  <c r="S148" i="168"/>
  <c r="V148" i="168" s="1"/>
  <c r="AE148" i="168"/>
  <c r="T148" i="168"/>
  <c r="EC148" i="168"/>
  <c r="EH148" i="168" s="1"/>
  <c r="H148" i="168"/>
  <c r="I148" i="168"/>
  <c r="AH148" i="168"/>
  <c r="J148" i="168"/>
  <c r="L148" i="168"/>
  <c r="BK148" i="168"/>
  <c r="DI148" i="168"/>
  <c r="E140" i="168"/>
  <c r="DJ140" i="168" s="1"/>
  <c r="R140" i="168"/>
  <c r="U140" i="168" s="1"/>
  <c r="S140" i="168"/>
  <c r="V140" i="168" s="1"/>
  <c r="AE140" i="168"/>
  <c r="T140" i="168"/>
  <c r="EC140" i="168"/>
  <c r="EH140" i="168" s="1"/>
  <c r="H140" i="168"/>
  <c r="I140" i="168"/>
  <c r="AH140" i="168"/>
  <c r="J140" i="168"/>
  <c r="K140" i="168"/>
  <c r="AV140" i="168"/>
  <c r="BL140" i="168"/>
  <c r="G125" i="169"/>
  <c r="DI238" i="168"/>
  <c r="BK238" i="168"/>
  <c r="L238" i="168"/>
  <c r="BJ238" i="168"/>
  <c r="AV238" i="168"/>
  <c r="K238" i="168"/>
  <c r="I147" i="168"/>
  <c r="E134" i="168"/>
  <c r="R134" i="168"/>
  <c r="S134" i="168"/>
  <c r="V134" i="168" s="1"/>
  <c r="AE134" i="168"/>
  <c r="EC134" i="168"/>
  <c r="EH134" i="168" s="1"/>
  <c r="G134" i="168"/>
  <c r="T134" i="168"/>
  <c r="H134" i="168"/>
  <c r="U134" i="168"/>
  <c r="BH134" i="168"/>
  <c r="I134" i="168"/>
  <c r="AH134" i="168"/>
  <c r="J134" i="168"/>
  <c r="K134" i="168"/>
  <c r="AV134" i="168"/>
  <c r="BK134" i="168"/>
  <c r="DI134" i="168"/>
  <c r="BM134" i="168"/>
  <c r="G72" i="169"/>
  <c r="E73" i="169"/>
  <c r="G73" i="169" s="1"/>
  <c r="AB140" i="168"/>
  <c r="AH238" i="168"/>
  <c r="I238" i="168"/>
  <c r="AE136" i="168"/>
  <c r="EC238" i="168"/>
  <c r="EH238" i="168" s="1"/>
  <c r="CE238" i="168"/>
  <c r="T238" i="168"/>
  <c r="BK228" i="168"/>
  <c r="BM148" i="168"/>
  <c r="BN140" i="168"/>
  <c r="AB134" i="168"/>
  <c r="R155" i="168"/>
  <c r="U155" i="168" s="1"/>
  <c r="E155" i="168"/>
  <c r="AE147" i="168"/>
  <c r="S147" i="168"/>
  <c r="V147" i="168" s="1"/>
  <c r="L136" i="168"/>
  <c r="BJ155" i="168"/>
  <c r="AV155" i="168"/>
  <c r="K155" i="168"/>
  <c r="BL147" i="168"/>
  <c r="L147" i="168"/>
  <c r="DI147" i="168"/>
  <c r="BK147" i="168"/>
  <c r="AV147" i="168"/>
  <c r="AH155" i="168"/>
  <c r="V155" i="168"/>
  <c r="I155" i="168"/>
  <c r="J147" i="168"/>
  <c r="AH147" i="168"/>
  <c r="C6" i="129"/>
  <c r="CX75" i="164" l="1"/>
  <c r="K467" i="164"/>
  <c r="L467" i="164" s="1"/>
  <c r="CO353" i="164"/>
  <c r="CU353" i="164"/>
  <c r="T52" i="162"/>
  <c r="AK367" i="164"/>
  <c r="AL367" i="164" s="1"/>
  <c r="BE158" i="164"/>
  <c r="AN410" i="164"/>
  <c r="AP410" i="164" s="1"/>
  <c r="BL469" i="164"/>
  <c r="U52" i="162"/>
  <c r="CU158" i="164"/>
  <c r="R67" i="162"/>
  <c r="AZ33" i="164"/>
  <c r="BM33" i="164" s="1"/>
  <c r="CP299" i="164"/>
  <c r="Q52" i="162"/>
  <c r="L52" i="162"/>
  <c r="CP103" i="164"/>
  <c r="BM419" i="164"/>
  <c r="AZ154" i="164"/>
  <c r="BM154" i="164" s="1"/>
  <c r="BL171" i="164"/>
  <c r="Y298" i="164"/>
  <c r="CP433" i="164"/>
  <c r="CU474" i="164"/>
  <c r="I54" i="162"/>
  <c r="DJ228" i="168"/>
  <c r="CU89" i="164"/>
  <c r="CU122" i="164"/>
  <c r="CU221" i="164"/>
  <c r="E92" i="166"/>
  <c r="CU62" i="164"/>
  <c r="CU77" i="164"/>
  <c r="BL340" i="164"/>
  <c r="CP371" i="164"/>
  <c r="AN371" i="164" s="1"/>
  <c r="AP371" i="164" s="1"/>
  <c r="S56" i="162"/>
  <c r="AK470" i="164"/>
  <c r="AL470" i="164" s="1"/>
  <c r="H58" i="162"/>
  <c r="S52" i="162"/>
  <c r="J54" i="162"/>
  <c r="CU35" i="164"/>
  <c r="CU124" i="164"/>
  <c r="CX24" i="164"/>
  <c r="CU476" i="164"/>
  <c r="CU371" i="164"/>
  <c r="AO344" i="164"/>
  <c r="Y381" i="164"/>
  <c r="T54" i="162"/>
  <c r="CU108" i="164"/>
  <c r="S54" i="162"/>
  <c r="CU331" i="164"/>
  <c r="E36" i="166"/>
  <c r="E110" i="166"/>
  <c r="E43" i="166"/>
  <c r="CU74" i="164"/>
  <c r="E98" i="166"/>
  <c r="BL77" i="164"/>
  <c r="BD455" i="164"/>
  <c r="CW455" i="164" s="1"/>
  <c r="E5" i="166"/>
  <c r="E86" i="166"/>
  <c r="BL50" i="164"/>
  <c r="E111" i="166"/>
  <c r="CP55" i="164"/>
  <c r="CU54" i="164"/>
  <c r="BL137" i="164"/>
  <c r="AK191" i="164"/>
  <c r="AL191" i="164" s="1"/>
  <c r="CU299" i="164"/>
  <c r="AK359" i="164"/>
  <c r="AL359" i="164" s="1"/>
  <c r="CP400" i="164"/>
  <c r="AN400" i="164" s="1"/>
  <c r="AP400" i="164" s="1"/>
  <c r="AN401" i="164" s="1"/>
  <c r="AP401" i="164" s="1"/>
  <c r="CU380" i="164"/>
  <c r="CP424" i="164"/>
  <c r="CP449" i="164"/>
  <c r="AP441" i="164"/>
  <c r="M61" i="162"/>
  <c r="CP463" i="164"/>
  <c r="G79" i="164"/>
  <c r="H79" i="164" s="1"/>
  <c r="G80" i="164" s="1"/>
  <c r="H80" i="164" s="1"/>
  <c r="E80" i="166"/>
  <c r="E105" i="166"/>
  <c r="E74" i="166"/>
  <c r="CP168" i="164"/>
  <c r="AK247" i="164"/>
  <c r="AL247" i="164" s="1"/>
  <c r="H61" i="162"/>
  <c r="O52" i="162"/>
  <c r="P57" i="162"/>
  <c r="CP361" i="164"/>
  <c r="E104" i="166"/>
  <c r="E99" i="166"/>
  <c r="AK54" i="164"/>
  <c r="AL54" i="164" s="1"/>
  <c r="CP71" i="164"/>
  <c r="AN71" i="164" s="1"/>
  <c r="AP71" i="164" s="1"/>
  <c r="AM71" i="164" s="1"/>
  <c r="CU450" i="164"/>
  <c r="CP452" i="164"/>
  <c r="CU505" i="164"/>
  <c r="CU459" i="164"/>
  <c r="AK130" i="164"/>
  <c r="AL130" i="164" s="1"/>
  <c r="CU302" i="164"/>
  <c r="BK338" i="164"/>
  <c r="AK338" i="164" s="1"/>
  <c r="AL338" i="164" s="1"/>
  <c r="CU486" i="164"/>
  <c r="M52" i="162"/>
  <c r="CU472" i="164"/>
  <c r="U61" i="162"/>
  <c r="CU435" i="164"/>
  <c r="BJ306" i="168"/>
  <c r="Z33" i="164"/>
  <c r="CX33" i="164"/>
  <c r="BX244" i="164"/>
  <c r="AZ91" i="164"/>
  <c r="BD91" i="164" s="1"/>
  <c r="CW91" i="164" s="1"/>
  <c r="CE306" i="168"/>
  <c r="BE441" i="164"/>
  <c r="Z91" i="164"/>
  <c r="K149" i="164"/>
  <c r="L149" i="164" s="1"/>
  <c r="Z149" i="164" s="1"/>
  <c r="BZ244" i="164"/>
  <c r="BM444" i="164"/>
  <c r="BN444" i="164" s="1"/>
  <c r="CF244" i="164"/>
  <c r="CJ244" i="164" s="1"/>
  <c r="CX77" i="164"/>
  <c r="BE77" i="164" s="1"/>
  <c r="BR244" i="164"/>
  <c r="Z77" i="164"/>
  <c r="BE476" i="164"/>
  <c r="BD204" i="164"/>
  <c r="CW204" i="164" s="1"/>
  <c r="BJ147" i="168"/>
  <c r="BJ134" i="168"/>
  <c r="K461" i="164"/>
  <c r="L461" i="164" s="1"/>
  <c r="J238" i="168"/>
  <c r="CU99" i="164"/>
  <c r="CU149" i="164"/>
  <c r="CU24" i="164"/>
  <c r="CU41" i="164"/>
  <c r="AK68" i="164"/>
  <c r="AL68" i="164" s="1"/>
  <c r="CU127" i="164"/>
  <c r="CU216" i="164"/>
  <c r="CP204" i="164"/>
  <c r="AN204" i="164" s="1"/>
  <c r="AP204" i="164" s="1"/>
  <c r="AN205" i="164" s="1"/>
  <c r="AP205" i="164" s="1"/>
  <c r="CU284" i="164"/>
  <c r="CU328" i="164"/>
  <c r="CP413" i="164"/>
  <c r="AN413" i="164" s="1"/>
  <c r="AP413" i="164" s="1"/>
  <c r="P61" i="162"/>
  <c r="BE419" i="164"/>
  <c r="T61" i="162"/>
  <c r="AK498" i="164"/>
  <c r="AL498" i="164" s="1"/>
  <c r="T62" i="162"/>
  <c r="CU482" i="164"/>
  <c r="L64" i="162"/>
  <c r="CU359" i="164"/>
  <c r="AK277" i="164"/>
  <c r="AL277" i="164" s="1"/>
  <c r="CP277" i="164"/>
  <c r="K67" i="162"/>
  <c r="DU134" i="168"/>
  <c r="M162" i="168"/>
  <c r="AN162" i="168" s="1"/>
  <c r="CU213" i="164"/>
  <c r="BL336" i="164"/>
  <c r="BD419" i="164"/>
  <c r="CW419" i="164" s="1"/>
  <c r="J52" i="162"/>
  <c r="P62" i="162"/>
  <c r="BL353" i="164"/>
  <c r="M237" i="168"/>
  <c r="AO237" i="168" s="1"/>
  <c r="Z22" i="164"/>
  <c r="AK97" i="164"/>
  <c r="AL97" i="164" s="1"/>
  <c r="CU141" i="164"/>
  <c r="AP244" i="164"/>
  <c r="AN316" i="164"/>
  <c r="AP316" i="164" s="1"/>
  <c r="AM316" i="164" s="1"/>
  <c r="AV316" i="164" s="1"/>
  <c r="AO348" i="164"/>
  <c r="AM398" i="164"/>
  <c r="O64" i="162"/>
  <c r="T64" i="162"/>
  <c r="K61" i="162"/>
  <c r="CU422" i="164"/>
  <c r="AA330" i="168"/>
  <c r="DL330" i="168" s="1"/>
  <c r="BI328" i="168"/>
  <c r="AZ22" i="164"/>
  <c r="CX22" i="164"/>
  <c r="AN148" i="164"/>
  <c r="AP148" i="164" s="1"/>
  <c r="CU169" i="164"/>
  <c r="CU193" i="164"/>
  <c r="BL441" i="164"/>
  <c r="BM441" i="164" s="1"/>
  <c r="CP442" i="164"/>
  <c r="CP414" i="164"/>
  <c r="CU481" i="164"/>
  <c r="AK505" i="164"/>
  <c r="AL505" i="164" s="1"/>
  <c r="CU483" i="164"/>
  <c r="L57" i="162"/>
  <c r="R61" i="162"/>
  <c r="BE444" i="164"/>
  <c r="CX211" i="164"/>
  <c r="CU439" i="164"/>
  <c r="CU498" i="164"/>
  <c r="Q64" i="162"/>
  <c r="U64" i="162"/>
  <c r="CU495" i="164"/>
  <c r="AP62" i="164"/>
  <c r="CU107" i="164"/>
  <c r="CU247" i="164"/>
  <c r="BL328" i="164"/>
  <c r="F327" i="168" s="1"/>
  <c r="AM327" i="168" s="1"/>
  <c r="Q61" i="162"/>
  <c r="U62" i="162"/>
  <c r="M64" i="162"/>
  <c r="AZ123" i="164"/>
  <c r="AA327" i="168"/>
  <c r="BP327" i="168" s="1"/>
  <c r="CP368" i="164"/>
  <c r="AZ199" i="164"/>
  <c r="CU424" i="164"/>
  <c r="Q62" i="162"/>
  <c r="AK492" i="164"/>
  <c r="AL492" i="164" s="1"/>
  <c r="J64" i="162"/>
  <c r="CX442" i="164"/>
  <c r="CU502" i="164"/>
  <c r="CU503" i="164"/>
  <c r="P64" i="162"/>
  <c r="L62" i="162"/>
  <c r="I64" i="162"/>
  <c r="CU40" i="164"/>
  <c r="CU163" i="164"/>
  <c r="BL232" i="164"/>
  <c r="CX199" i="164"/>
  <c r="BK329" i="164"/>
  <c r="AK329" i="164" s="1"/>
  <c r="AL329" i="164" s="1"/>
  <c r="BJ237" i="168"/>
  <c r="BJ327" i="168"/>
  <c r="BJ136" i="168"/>
  <c r="K124" i="164"/>
  <c r="L124" i="164" s="1"/>
  <c r="K125" i="164" s="1"/>
  <c r="L125" i="164" s="1"/>
  <c r="Z123" i="164"/>
  <c r="CX159" i="164"/>
  <c r="BP159" i="164"/>
  <c r="BT159" i="164" s="1"/>
  <c r="AR159" i="164" s="1"/>
  <c r="AS159" i="164" s="1"/>
  <c r="AT159" i="164" s="1"/>
  <c r="CX123" i="164"/>
  <c r="K212" i="164"/>
  <c r="L212" i="164" s="1"/>
  <c r="Z212" i="164" s="1"/>
  <c r="Z211" i="164"/>
  <c r="CX429" i="164"/>
  <c r="AZ429" i="164"/>
  <c r="BM429" i="164" s="1"/>
  <c r="AZ245" i="164"/>
  <c r="BM245" i="164" s="1"/>
  <c r="K246" i="164"/>
  <c r="L246" i="164" s="1"/>
  <c r="Z246" i="164" s="1"/>
  <c r="K436" i="164"/>
  <c r="L436" i="164" s="1"/>
  <c r="K437" i="164" s="1"/>
  <c r="L437" i="164" s="1"/>
  <c r="AZ442" i="164"/>
  <c r="Z442" i="164"/>
  <c r="AO162" i="168"/>
  <c r="CP99" i="164"/>
  <c r="AN99" i="164" s="1"/>
  <c r="AP99" i="164" s="1"/>
  <c r="AK99" i="164"/>
  <c r="AL99" i="164" s="1"/>
  <c r="CR338" i="164"/>
  <c r="AO338" i="164"/>
  <c r="AK74" i="164"/>
  <c r="AL74" i="164" s="1"/>
  <c r="CP74" i="164"/>
  <c r="AN74" i="164" s="1"/>
  <c r="AP74" i="164" s="1"/>
  <c r="AN75" i="164" s="1"/>
  <c r="AP75" i="164" s="1"/>
  <c r="Y230" i="164"/>
  <c r="G231" i="164"/>
  <c r="H231" i="164" s="1"/>
  <c r="Y231" i="164" s="1"/>
  <c r="CU46" i="164"/>
  <c r="CU133" i="164"/>
  <c r="AV292" i="164"/>
  <c r="AK56" i="164"/>
  <c r="AL56" i="164" s="1"/>
  <c r="CP56" i="164"/>
  <c r="CP132" i="164"/>
  <c r="AN132" i="164" s="1"/>
  <c r="AP132" i="164" s="1"/>
  <c r="AM132" i="164" s="1"/>
  <c r="AV132" i="164" s="1"/>
  <c r="AK132" i="164"/>
  <c r="AL132" i="164" s="1"/>
  <c r="CU71" i="164"/>
  <c r="BL71" i="164"/>
  <c r="BM71" i="164" s="1"/>
  <c r="AK197" i="164"/>
  <c r="AL197" i="164" s="1"/>
  <c r="CP197" i="164"/>
  <c r="CU452" i="164"/>
  <c r="CU449" i="164"/>
  <c r="AZ75" i="164"/>
  <c r="BE75" i="164" s="1"/>
  <c r="Z159" i="164"/>
  <c r="CU393" i="164"/>
  <c r="AK29" i="164"/>
  <c r="AL29" i="164" s="1"/>
  <c r="CP29" i="164"/>
  <c r="CR356" i="164"/>
  <c r="CO356" i="164" s="1"/>
  <c r="AO356" i="164"/>
  <c r="AK415" i="164"/>
  <c r="AL415" i="164" s="1"/>
  <c r="CP415" i="164"/>
  <c r="CU170" i="164"/>
  <c r="BD476" i="164"/>
  <c r="CW476" i="164" s="1"/>
  <c r="CR357" i="164"/>
  <c r="CO357" i="164" s="1"/>
  <c r="AO357" i="164"/>
  <c r="CU470" i="164"/>
  <c r="BL470" i="164"/>
  <c r="CU415" i="164"/>
  <c r="CU372" i="164"/>
  <c r="CU437" i="164"/>
  <c r="CU500" i="164"/>
  <c r="AN476" i="164"/>
  <c r="AP476" i="164" s="1"/>
  <c r="AM476" i="164" s="1"/>
  <c r="AV476" i="164" s="1"/>
  <c r="J57" i="162"/>
  <c r="BJ228" i="168"/>
  <c r="CP118" i="164"/>
  <c r="AK118" i="164"/>
  <c r="AL118" i="164" s="1"/>
  <c r="BL338" i="164"/>
  <c r="BT158" i="164"/>
  <c r="BZ158" i="164"/>
  <c r="CF158" i="164"/>
  <c r="CJ158" i="164" s="1"/>
  <c r="BR158" i="164"/>
  <c r="CU487" i="164"/>
  <c r="CO333" i="164"/>
  <c r="CU333" i="164"/>
  <c r="H52" i="162"/>
  <c r="L56" i="162"/>
  <c r="CF134" i="168"/>
  <c r="Q57" i="162"/>
  <c r="O57" i="162"/>
  <c r="H57" i="162"/>
  <c r="BJ118" i="164"/>
  <c r="CK118" i="164" s="1"/>
  <c r="BL118" i="164"/>
  <c r="AK176" i="164"/>
  <c r="AL176" i="164" s="1"/>
  <c r="CP176" i="164"/>
  <c r="AN176" i="164" s="1"/>
  <c r="AP176" i="164" s="1"/>
  <c r="AK279" i="164"/>
  <c r="AL279" i="164" s="1"/>
  <c r="CP279" i="164"/>
  <c r="AN279" i="164" s="1"/>
  <c r="AP279" i="164" s="1"/>
  <c r="AM279" i="164" s="1"/>
  <c r="AK333" i="164"/>
  <c r="AL333" i="164" s="1"/>
  <c r="CP333" i="164"/>
  <c r="Z100" i="164"/>
  <c r="DU147" i="168"/>
  <c r="U57" i="162"/>
  <c r="T57" i="162"/>
  <c r="AK474" i="164"/>
  <c r="AL474" i="164" s="1"/>
  <c r="CP474" i="164"/>
  <c r="CP495" i="164"/>
  <c r="AK495" i="164"/>
  <c r="AL495" i="164" s="1"/>
  <c r="I52" i="162"/>
  <c r="CC158" i="164"/>
  <c r="CD158" i="164" s="1"/>
  <c r="CU390" i="164"/>
  <c r="BL390" i="164"/>
  <c r="CP502" i="164"/>
  <c r="AK502" i="164"/>
  <c r="AL502" i="164" s="1"/>
  <c r="J61" i="162"/>
  <c r="J56" i="162"/>
  <c r="AZ29" i="164"/>
  <c r="BE29" i="164" s="1"/>
  <c r="CU174" i="164"/>
  <c r="CU187" i="164"/>
  <c r="CU154" i="164"/>
  <c r="Z245" i="164"/>
  <c r="M161" i="168"/>
  <c r="M328" i="168"/>
  <c r="AN328" i="168" s="1"/>
  <c r="BL48" i="164"/>
  <c r="AP216" i="164"/>
  <c r="AM216" i="164" s="1"/>
  <c r="CU300" i="164"/>
  <c r="AU293" i="164"/>
  <c r="BK356" i="164"/>
  <c r="CU413" i="164"/>
  <c r="CU431" i="164"/>
  <c r="L53" i="162"/>
  <c r="S53" i="162"/>
  <c r="S64" i="162"/>
  <c r="P60" i="162"/>
  <c r="E25" i="166"/>
  <c r="E41" i="166"/>
  <c r="E120" i="166"/>
  <c r="E126" i="166"/>
  <c r="E132" i="166"/>
  <c r="E138" i="166"/>
  <c r="E144" i="166"/>
  <c r="E150" i="166"/>
  <c r="E156" i="166"/>
  <c r="E162" i="166"/>
  <c r="E168" i="166"/>
  <c r="E174" i="166"/>
  <c r="E180" i="166"/>
  <c r="E17" i="166"/>
  <c r="E34" i="166"/>
  <c r="E49" i="166"/>
  <c r="E64" i="166"/>
  <c r="E71" i="166"/>
  <c r="E78" i="166"/>
  <c r="E85" i="166"/>
  <c r="E100" i="166"/>
  <c r="E107" i="166"/>
  <c r="E114" i="166"/>
  <c r="E187" i="166"/>
  <c r="E193" i="166"/>
  <c r="E199" i="166"/>
  <c r="E205" i="166"/>
  <c r="E211" i="166"/>
  <c r="E217" i="166"/>
  <c r="E223" i="166"/>
  <c r="E229" i="166"/>
  <c r="E235" i="166"/>
  <c r="E241" i="166"/>
  <c r="E247" i="166"/>
  <c r="E253" i="166"/>
  <c r="E259" i="166"/>
  <c r="E265" i="166"/>
  <c r="E2" i="166"/>
  <c r="E42" i="166"/>
  <c r="E121" i="166"/>
  <c r="E127" i="166"/>
  <c r="E133" i="166"/>
  <c r="E139" i="166"/>
  <c r="E145" i="166"/>
  <c r="E151" i="166"/>
  <c r="E157" i="166"/>
  <c r="E163" i="166"/>
  <c r="E169" i="166"/>
  <c r="E175" i="166"/>
  <c r="E181" i="166"/>
  <c r="E35" i="166"/>
  <c r="E58" i="166"/>
  <c r="E65" i="166"/>
  <c r="E72" i="166"/>
  <c r="E79" i="166"/>
  <c r="E94" i="166"/>
  <c r="E101" i="166"/>
  <c r="E108" i="166"/>
  <c r="E115" i="166"/>
  <c r="E182" i="166"/>
  <c r="E188" i="166"/>
  <c r="E194" i="166"/>
  <c r="E200" i="166"/>
  <c r="E206" i="166"/>
  <c r="E212" i="166"/>
  <c r="E218" i="166"/>
  <c r="E224" i="166"/>
  <c r="E230" i="166"/>
  <c r="E236" i="166"/>
  <c r="E242" i="166"/>
  <c r="E248" i="166"/>
  <c r="E254" i="166"/>
  <c r="E260" i="166"/>
  <c r="E266" i="166"/>
  <c r="E10" i="166"/>
  <c r="E28" i="166"/>
  <c r="E122" i="166"/>
  <c r="E128" i="166"/>
  <c r="E134" i="166"/>
  <c r="E140" i="166"/>
  <c r="E146" i="166"/>
  <c r="E152" i="166"/>
  <c r="E158" i="166"/>
  <c r="E164" i="166"/>
  <c r="E170" i="166"/>
  <c r="E176" i="166"/>
  <c r="E52" i="166"/>
  <c r="E59" i="166"/>
  <c r="E66" i="166"/>
  <c r="E73" i="166"/>
  <c r="E88" i="166"/>
  <c r="E95" i="166"/>
  <c r="E102" i="166"/>
  <c r="E109" i="166"/>
  <c r="E183" i="166"/>
  <c r="E189" i="166"/>
  <c r="E195" i="166"/>
  <c r="E201" i="166"/>
  <c r="E207" i="166"/>
  <c r="E213" i="166"/>
  <c r="E219" i="166"/>
  <c r="E225" i="166"/>
  <c r="E231" i="166"/>
  <c r="E237" i="166"/>
  <c r="E243" i="166"/>
  <c r="E249" i="166"/>
  <c r="E255" i="166"/>
  <c r="E261" i="166"/>
  <c r="E37" i="166"/>
  <c r="E117" i="166"/>
  <c r="E123" i="166"/>
  <c r="E129" i="166"/>
  <c r="E135" i="166"/>
  <c r="E141" i="166"/>
  <c r="E147" i="166"/>
  <c r="E153" i="166"/>
  <c r="E159" i="166"/>
  <c r="E165" i="166"/>
  <c r="E171" i="166"/>
  <c r="E177" i="166"/>
  <c r="E30" i="166"/>
  <c r="E46" i="166"/>
  <c r="E53" i="166"/>
  <c r="E60" i="166"/>
  <c r="E67" i="166"/>
  <c r="E82" i="166"/>
  <c r="E89" i="166"/>
  <c r="E96" i="166"/>
  <c r="E103" i="166"/>
  <c r="E184" i="166"/>
  <c r="E190" i="166"/>
  <c r="E196" i="166"/>
  <c r="E202" i="166"/>
  <c r="E208" i="166"/>
  <c r="E214" i="166"/>
  <c r="E220" i="166"/>
  <c r="E226" i="166"/>
  <c r="E232" i="166"/>
  <c r="E238" i="166"/>
  <c r="E244" i="166"/>
  <c r="E250" i="166"/>
  <c r="E256" i="166"/>
  <c r="E262" i="166"/>
  <c r="E23" i="166"/>
  <c r="E118" i="166"/>
  <c r="E124" i="166"/>
  <c r="E130" i="166"/>
  <c r="E136" i="166"/>
  <c r="E142" i="166"/>
  <c r="E148" i="166"/>
  <c r="E154" i="166"/>
  <c r="E160" i="166"/>
  <c r="E166" i="166"/>
  <c r="E172" i="166"/>
  <c r="E178" i="166"/>
  <c r="E31" i="166"/>
  <c r="E47" i="166"/>
  <c r="E54" i="166"/>
  <c r="E61" i="166"/>
  <c r="E76" i="166"/>
  <c r="E83" i="166"/>
  <c r="E90" i="166"/>
  <c r="E97" i="166"/>
  <c r="E112" i="166"/>
  <c r="E185" i="166"/>
  <c r="E191" i="166"/>
  <c r="E197" i="166"/>
  <c r="E203" i="166"/>
  <c r="E209" i="166"/>
  <c r="E215" i="166"/>
  <c r="E221" i="166"/>
  <c r="E227" i="166"/>
  <c r="E233" i="166"/>
  <c r="E239" i="166"/>
  <c r="E245" i="166"/>
  <c r="E251" i="166"/>
  <c r="E257" i="166"/>
  <c r="E263" i="166"/>
  <c r="E24" i="166"/>
  <c r="E40" i="166"/>
  <c r="E84" i="166"/>
  <c r="E106" i="166"/>
  <c r="E137" i="166"/>
  <c r="E210" i="166"/>
  <c r="E179" i="166"/>
  <c r="E252" i="166"/>
  <c r="E149" i="166"/>
  <c r="E222" i="166"/>
  <c r="E119" i="166"/>
  <c r="E192" i="166"/>
  <c r="E264" i="166"/>
  <c r="E55" i="166"/>
  <c r="E77" i="166"/>
  <c r="E161" i="166"/>
  <c r="E234" i="166"/>
  <c r="E131" i="166"/>
  <c r="E204" i="166"/>
  <c r="E173" i="166"/>
  <c r="E246" i="166"/>
  <c r="E143" i="166"/>
  <c r="E216" i="166"/>
  <c r="E48" i="166"/>
  <c r="E70" i="166"/>
  <c r="E91" i="166"/>
  <c r="E113" i="166"/>
  <c r="E186" i="166"/>
  <c r="E258" i="166"/>
  <c r="E155" i="166"/>
  <c r="E228" i="166"/>
  <c r="E125" i="166"/>
  <c r="E198" i="166"/>
  <c r="E16" i="166"/>
  <c r="E167" i="166"/>
  <c r="E240" i="166"/>
  <c r="CU72" i="164"/>
  <c r="BL72" i="164"/>
  <c r="AK398" i="164"/>
  <c r="AL398" i="164" s="1"/>
  <c r="AU398" i="164" s="1"/>
  <c r="CP398" i="164"/>
  <c r="AK167" i="164"/>
  <c r="AL167" i="164" s="1"/>
  <c r="CP167" i="164"/>
  <c r="AK504" i="164"/>
  <c r="AL504" i="164" s="1"/>
  <c r="CP504" i="164"/>
  <c r="CU204" i="164"/>
  <c r="L61" i="162"/>
  <c r="AP97" i="164"/>
  <c r="AN98" i="164" s="1"/>
  <c r="CU419" i="164"/>
  <c r="T53" i="162"/>
  <c r="AK108" i="164"/>
  <c r="AL108" i="164" s="1"/>
  <c r="CP108" i="164"/>
  <c r="AK105" i="164"/>
  <c r="AL105" i="164" s="1"/>
  <c r="CP105" i="164"/>
  <c r="AN105" i="164" s="1"/>
  <c r="AP105" i="164" s="1"/>
  <c r="CU222" i="164"/>
  <c r="E89" i="169"/>
  <c r="AK189" i="164"/>
  <c r="AL189" i="164" s="1"/>
  <c r="CP189" i="164"/>
  <c r="BL69" i="164"/>
  <c r="CU69" i="164"/>
  <c r="AP241" i="164"/>
  <c r="AN242" i="164" s="1"/>
  <c r="AP242" i="164" s="1"/>
  <c r="BK353" i="164"/>
  <c r="AK69" i="164"/>
  <c r="AL69" i="164" s="1"/>
  <c r="CP69" i="164"/>
  <c r="CU132" i="164"/>
  <c r="I61" i="162"/>
  <c r="DV147" i="168"/>
  <c r="EB134" i="168"/>
  <c r="DZ134" i="168"/>
  <c r="DW147" i="168"/>
  <c r="EA134" i="168"/>
  <c r="AA140" i="168"/>
  <c r="DS140" i="168" s="1"/>
  <c r="BI306" i="168"/>
  <c r="DV134" i="168"/>
  <c r="M147" i="168"/>
  <c r="AN147" i="168" s="1"/>
  <c r="AK141" i="164"/>
  <c r="AL141" i="164" s="1"/>
  <c r="CP141" i="164"/>
  <c r="AN141" i="164" s="1"/>
  <c r="AP141" i="164" s="1"/>
  <c r="AM141" i="164" s="1"/>
  <c r="AV141" i="164" s="1"/>
  <c r="M148" i="168"/>
  <c r="AO148" i="168" s="1"/>
  <c r="BE148" i="164"/>
  <c r="CE163" i="168"/>
  <c r="BO134" i="168"/>
  <c r="V503" i="168"/>
  <c r="BO148" i="168"/>
  <c r="BQ161" i="168"/>
  <c r="BO140" i="168"/>
  <c r="AN237" i="168"/>
  <c r="BJ140" i="168"/>
  <c r="BJ32" i="164"/>
  <c r="CK32" i="164" s="1"/>
  <c r="CU33" i="164"/>
  <c r="BL33" i="164"/>
  <c r="AN36" i="164"/>
  <c r="AM35" i="164"/>
  <c r="AU35" i="164" s="1"/>
  <c r="BJ111" i="164"/>
  <c r="CK111" i="164" s="1"/>
  <c r="BL111" i="164"/>
  <c r="CU111" i="164"/>
  <c r="BJ330" i="168"/>
  <c r="BE44" i="164"/>
  <c r="BM44" i="164"/>
  <c r="BD44" i="164"/>
  <c r="CW44" i="164" s="1"/>
  <c r="CP154" i="164"/>
  <c r="AN154" i="164" s="1"/>
  <c r="AP154" i="164" s="1"/>
  <c r="AK154" i="164"/>
  <c r="AL154" i="164" s="1"/>
  <c r="CP210" i="164"/>
  <c r="AN210" i="164" s="1"/>
  <c r="AP210" i="164" s="1"/>
  <c r="AK210" i="164"/>
  <c r="AL210" i="164" s="1"/>
  <c r="AA237" i="168"/>
  <c r="DL237" i="168" s="1"/>
  <c r="CO37" i="164"/>
  <c r="CU37" i="164"/>
  <c r="E503" i="168"/>
  <c r="M134" i="168"/>
  <c r="DP161" i="168"/>
  <c r="DJ161" i="168"/>
  <c r="DL161" i="168"/>
  <c r="DQ161" i="168"/>
  <c r="DS161" i="168"/>
  <c r="DM161" i="168"/>
  <c r="DN161" i="168" s="1"/>
  <c r="DR161" i="168"/>
  <c r="DT161" i="168"/>
  <c r="G107" i="164"/>
  <c r="H107" i="164" s="1"/>
  <c r="Y106" i="164"/>
  <c r="G228" i="168"/>
  <c r="CF228" i="168" s="1"/>
  <c r="BE229" i="164"/>
  <c r="BD229" i="164"/>
  <c r="AK255" i="164"/>
  <c r="AL255" i="164" s="1"/>
  <c r="CP255" i="164"/>
  <c r="BL250" i="164"/>
  <c r="CU250" i="164"/>
  <c r="BK341" i="164"/>
  <c r="BH341" i="164"/>
  <c r="AM400" i="164"/>
  <c r="BE432" i="164"/>
  <c r="BD432" i="164"/>
  <c r="CW432" i="164" s="1"/>
  <c r="BH237" i="164"/>
  <c r="BK237" i="164"/>
  <c r="AK237" i="164" s="1"/>
  <c r="AL237" i="164" s="1"/>
  <c r="R63" i="162"/>
  <c r="K63" i="162"/>
  <c r="Y197" i="164"/>
  <c r="G194" i="164"/>
  <c r="H194" i="164" s="1"/>
  <c r="AZ194" i="164" s="1"/>
  <c r="CP264" i="164"/>
  <c r="AN264" i="164" s="1"/>
  <c r="AP264" i="164" s="1"/>
  <c r="AM264" i="164" s="1"/>
  <c r="AK264" i="164"/>
  <c r="AL264" i="164" s="1"/>
  <c r="CP252" i="164"/>
  <c r="AN252" i="164" s="1"/>
  <c r="AP252" i="164" s="1"/>
  <c r="AK252" i="164"/>
  <c r="AL252" i="164" s="1"/>
  <c r="CP257" i="164"/>
  <c r="AN257" i="164" s="1"/>
  <c r="AP257" i="164" s="1"/>
  <c r="AK257" i="164"/>
  <c r="AL257" i="164" s="1"/>
  <c r="Y299" i="164"/>
  <c r="G300" i="164"/>
  <c r="H300" i="164" s="1"/>
  <c r="CP317" i="164"/>
  <c r="AK317" i="164"/>
  <c r="AL317" i="164" s="1"/>
  <c r="AZ420" i="164"/>
  <c r="K421" i="164"/>
  <c r="L421" i="164" s="1"/>
  <c r="CX420" i="164"/>
  <c r="Z420" i="164"/>
  <c r="BD448" i="164"/>
  <c r="CW448" i="164" s="1"/>
  <c r="BE448" i="164"/>
  <c r="AE503" i="168"/>
  <c r="AA148" i="168"/>
  <c r="DT148" i="168" s="1"/>
  <c r="AJ161" i="168"/>
  <c r="BO161" i="168"/>
  <c r="AM62" i="164"/>
  <c r="AN63" i="164"/>
  <c r="AP63" i="164" s="1"/>
  <c r="BE24" i="164"/>
  <c r="BM24" i="164"/>
  <c r="BD24" i="164"/>
  <c r="CW24" i="164" s="1"/>
  <c r="AK120" i="164"/>
  <c r="AL120" i="164" s="1"/>
  <c r="CP120" i="164"/>
  <c r="AM74" i="164"/>
  <c r="CO93" i="164"/>
  <c r="CU93" i="164"/>
  <c r="CP129" i="164"/>
  <c r="AK129" i="164"/>
  <c r="AL129" i="164" s="1"/>
  <c r="K228" i="168"/>
  <c r="M228" i="168" s="1"/>
  <c r="CU229" i="164"/>
  <c r="BL229" i="164"/>
  <c r="BM229" i="164" s="1"/>
  <c r="BL252" i="164"/>
  <c r="BM252" i="164" s="1"/>
  <c r="CU252" i="164"/>
  <c r="AP239" i="164"/>
  <c r="AM239" i="164" s="1"/>
  <c r="AN317" i="164"/>
  <c r="AP317" i="164" s="1"/>
  <c r="BM333" i="164"/>
  <c r="BE333" i="164"/>
  <c r="BD333" i="164"/>
  <c r="CW333" i="164" s="1"/>
  <c r="Z307" i="164"/>
  <c r="CP331" i="164"/>
  <c r="AK331" i="164"/>
  <c r="AL331" i="164" s="1"/>
  <c r="AK356" i="164"/>
  <c r="AL356" i="164" s="1"/>
  <c r="CP356" i="164"/>
  <c r="O59" i="162"/>
  <c r="M59" i="162"/>
  <c r="T59" i="162"/>
  <c r="H59" i="162"/>
  <c r="P59" i="162"/>
  <c r="L59" i="162"/>
  <c r="I59" i="162"/>
  <c r="S59" i="162"/>
  <c r="Q59" i="162"/>
  <c r="CR282" i="164"/>
  <c r="CU282" i="164" s="1"/>
  <c r="AO282" i="164"/>
  <c r="BK282" i="164"/>
  <c r="AK282" i="164" s="1"/>
  <c r="AL282" i="164" s="1"/>
  <c r="BL282" i="164"/>
  <c r="CP295" i="164"/>
  <c r="AN295" i="164" s="1"/>
  <c r="AP295" i="164" s="1"/>
  <c r="AK295" i="164"/>
  <c r="AL295" i="164" s="1"/>
  <c r="CP369" i="164"/>
  <c r="AK369" i="164"/>
  <c r="AL369" i="164" s="1"/>
  <c r="AM410" i="164"/>
  <c r="AV410" i="164" s="1"/>
  <c r="AN411" i="164"/>
  <c r="AP411" i="164" s="1"/>
  <c r="AZ481" i="164"/>
  <c r="Z481" i="164"/>
  <c r="CX481" i="164"/>
  <c r="K482" i="164"/>
  <c r="L482" i="164" s="1"/>
  <c r="N67" i="162"/>
  <c r="U67" i="162"/>
  <c r="DJ155" i="168"/>
  <c r="AA134" i="168"/>
  <c r="DS134" i="168" s="1"/>
  <c r="BI140" i="168"/>
  <c r="BD32" i="164"/>
  <c r="CW32" i="164" s="1"/>
  <c r="BE32" i="164"/>
  <c r="BM32" i="164"/>
  <c r="BE37" i="164"/>
  <c r="BD37" i="164"/>
  <c r="CW37" i="164" s="1"/>
  <c r="BM37" i="164"/>
  <c r="CP93" i="164"/>
  <c r="AK93" i="164"/>
  <c r="AL93" i="164" s="1"/>
  <c r="AK85" i="164"/>
  <c r="AL85" i="164" s="1"/>
  <c r="CP85" i="164"/>
  <c r="AN85" i="164" s="1"/>
  <c r="AP85" i="164" s="1"/>
  <c r="CP100" i="164"/>
  <c r="AK100" i="164"/>
  <c r="AL100" i="164" s="1"/>
  <c r="BE129" i="164"/>
  <c r="BM129" i="164"/>
  <c r="BD129" i="164"/>
  <c r="CW129" i="164" s="1"/>
  <c r="CR151" i="164"/>
  <c r="CO151" i="164" s="1"/>
  <c r="AO151" i="164"/>
  <c r="AN137" i="164"/>
  <c r="AP137" i="164" s="1"/>
  <c r="AM137" i="164" s="1"/>
  <c r="AN149" i="164"/>
  <c r="AP149" i="164" s="1"/>
  <c r="AM149" i="164" s="1"/>
  <c r="AM148" i="164"/>
  <c r="AV148" i="164" s="1"/>
  <c r="AM241" i="164"/>
  <c r="AU241" i="164" s="1"/>
  <c r="BD241" i="164"/>
  <c r="CW241" i="164" s="1"/>
  <c r="BE241" i="164"/>
  <c r="BM241" i="164"/>
  <c r="BE334" i="164"/>
  <c r="BD334" i="164"/>
  <c r="CW334" i="164" s="1"/>
  <c r="CO365" i="164"/>
  <c r="CU365" i="164"/>
  <c r="BE380" i="164"/>
  <c r="BM380" i="164"/>
  <c r="BD380" i="164"/>
  <c r="CW380" i="164" s="1"/>
  <c r="BE389" i="164"/>
  <c r="BD389" i="164"/>
  <c r="CW389" i="164" s="1"/>
  <c r="BM389" i="164"/>
  <c r="CR345" i="164"/>
  <c r="AO345" i="164"/>
  <c r="BK345" i="164"/>
  <c r="BL345" i="164"/>
  <c r="CX372" i="164"/>
  <c r="Z372" i="164"/>
  <c r="K373" i="164"/>
  <c r="L373" i="164" s="1"/>
  <c r="AZ372" i="164"/>
  <c r="CP455" i="164"/>
  <c r="AN455" i="164" s="1"/>
  <c r="AP455" i="164" s="1"/>
  <c r="AK455" i="164"/>
  <c r="AL455" i="164" s="1"/>
  <c r="AK500" i="164"/>
  <c r="AL500" i="164" s="1"/>
  <c r="CP500" i="164"/>
  <c r="CU423" i="164"/>
  <c r="BL423" i="164"/>
  <c r="CO188" i="164"/>
  <c r="CU188" i="164"/>
  <c r="CO180" i="164"/>
  <c r="CU180" i="164"/>
  <c r="AK229" i="164"/>
  <c r="AL229" i="164" s="1"/>
  <c r="CP229" i="164"/>
  <c r="AN229" i="164" s="1"/>
  <c r="AP229" i="164" s="1"/>
  <c r="CE313" i="168"/>
  <c r="BJ313" i="168"/>
  <c r="Z335" i="164"/>
  <c r="K336" i="164"/>
  <c r="L336" i="164" s="1"/>
  <c r="CE140" i="168"/>
  <c r="BL83" i="164"/>
  <c r="CU83" i="164"/>
  <c r="BJ82" i="164"/>
  <c r="CK82" i="164" s="1"/>
  <c r="Z194" i="164"/>
  <c r="CP271" i="164"/>
  <c r="AN271" i="164" s="1"/>
  <c r="AP271" i="164" s="1"/>
  <c r="AK271" i="164"/>
  <c r="AL271" i="164" s="1"/>
  <c r="J331" i="168"/>
  <c r="CU332" i="164"/>
  <c r="BL332" i="164"/>
  <c r="CR351" i="164"/>
  <c r="CO351" i="164" s="1"/>
  <c r="AO351" i="164"/>
  <c r="AK503" i="164"/>
  <c r="AL503" i="164" s="1"/>
  <c r="CP503" i="164"/>
  <c r="CP497" i="164"/>
  <c r="AK497" i="164"/>
  <c r="AL497" i="164" s="1"/>
  <c r="CU384" i="164"/>
  <c r="BL384" i="164"/>
  <c r="L51" i="162"/>
  <c r="O51" i="162"/>
  <c r="Q51" i="162"/>
  <c r="M51" i="162"/>
  <c r="P51" i="162"/>
  <c r="T51" i="162"/>
  <c r="J51" i="162"/>
  <c r="S51" i="162"/>
  <c r="H51" i="162"/>
  <c r="AM435" i="164"/>
  <c r="AV435" i="164" s="1"/>
  <c r="AN436" i="164"/>
  <c r="AP436" i="164" s="1"/>
  <c r="BJ49" i="164"/>
  <c r="CK49" i="164" s="1"/>
  <c r="BL49" i="164"/>
  <c r="CU49" i="164"/>
  <c r="BM26" i="164"/>
  <c r="CU148" i="164"/>
  <c r="BL148" i="164"/>
  <c r="AA238" i="168"/>
  <c r="DR238" i="168" s="1"/>
  <c r="AM163" i="168"/>
  <c r="BI163" i="168"/>
  <c r="AO328" i="168"/>
  <c r="AK47" i="164"/>
  <c r="AL47" i="164" s="1"/>
  <c r="CP47" i="164"/>
  <c r="CX85" i="164"/>
  <c r="Z85" i="164"/>
  <c r="AZ85" i="164"/>
  <c r="K78" i="164"/>
  <c r="L78" i="164" s="1"/>
  <c r="CU80" i="164"/>
  <c r="BL80" i="164"/>
  <c r="BJ79" i="164"/>
  <c r="CK79" i="164" s="1"/>
  <c r="AN72" i="164"/>
  <c r="AP72" i="164" s="1"/>
  <c r="CP66" i="164"/>
  <c r="AN66" i="164" s="1"/>
  <c r="AP66" i="164" s="1"/>
  <c r="AK66" i="164"/>
  <c r="AL66" i="164" s="1"/>
  <c r="BM100" i="164"/>
  <c r="AN129" i="164"/>
  <c r="AP129" i="164" s="1"/>
  <c r="AK115" i="164"/>
  <c r="AL115" i="164" s="1"/>
  <c r="CP115" i="164"/>
  <c r="BL155" i="164"/>
  <c r="CU155" i="164"/>
  <c r="AK272" i="164"/>
  <c r="AL272" i="164" s="1"/>
  <c r="CP272" i="164"/>
  <c r="CU289" i="164"/>
  <c r="BL289" i="164"/>
  <c r="F330" i="168"/>
  <c r="AK328" i="164"/>
  <c r="AL328" i="164" s="1"/>
  <c r="CP328" i="164"/>
  <c r="AN328" i="164" s="1"/>
  <c r="AP328" i="164" s="1"/>
  <c r="BL357" i="164"/>
  <c r="AA328" i="168"/>
  <c r="DL328" i="168" s="1"/>
  <c r="CU85" i="164"/>
  <c r="BL85" i="164"/>
  <c r="CX145" i="164"/>
  <c r="Z145" i="164"/>
  <c r="AZ145" i="164"/>
  <c r="K146" i="164"/>
  <c r="L146" i="164" s="1"/>
  <c r="AO354" i="164"/>
  <c r="CR354" i="164"/>
  <c r="CO354" i="164" s="1"/>
  <c r="BE410" i="164"/>
  <c r="BM410" i="164"/>
  <c r="BD410" i="164"/>
  <c r="CW410" i="164" s="1"/>
  <c r="CP490" i="164"/>
  <c r="AK490" i="164"/>
  <c r="AL490" i="164" s="1"/>
  <c r="AM444" i="164"/>
  <c r="AV444" i="164" s="1"/>
  <c r="AN445" i="164"/>
  <c r="CU145" i="164"/>
  <c r="BL145" i="164"/>
  <c r="DJ238" i="168"/>
  <c r="BL139" i="164"/>
  <c r="BM139" i="164" s="1"/>
  <c r="CU139" i="164"/>
  <c r="DJ136" i="168"/>
  <c r="CP53" i="164"/>
  <c r="AK53" i="164"/>
  <c r="AL53" i="164" s="1"/>
  <c r="AK107" i="164"/>
  <c r="AL107" i="164" s="1"/>
  <c r="CP107" i="164"/>
  <c r="CP208" i="164"/>
  <c r="AN208" i="164" s="1"/>
  <c r="AP208" i="164" s="1"/>
  <c r="AK208" i="164"/>
  <c r="AL208" i="164" s="1"/>
  <c r="BO147" i="168"/>
  <c r="BI134" i="168"/>
  <c r="F136" i="168"/>
  <c r="BJ148" i="164"/>
  <c r="CK148" i="164" s="1"/>
  <c r="BL172" i="164"/>
  <c r="CU172" i="164"/>
  <c r="CP287" i="164"/>
  <c r="AK287" i="164"/>
  <c r="AL287" i="164" s="1"/>
  <c r="BJ148" i="168"/>
  <c r="AM89" i="164"/>
  <c r="AV89" i="164" s="1"/>
  <c r="AN90" i="164"/>
  <c r="AK137" i="164"/>
  <c r="AL137" i="164" s="1"/>
  <c r="CP137" i="164"/>
  <c r="BD143" i="164"/>
  <c r="CW143" i="164" s="1"/>
  <c r="BE143" i="164"/>
  <c r="AZ167" i="164"/>
  <c r="K168" i="164"/>
  <c r="L168" i="164" s="1"/>
  <c r="Z167" i="164"/>
  <c r="CX167" i="164"/>
  <c r="BM193" i="164"/>
  <c r="BD193" i="164"/>
  <c r="CW193" i="164" s="1"/>
  <c r="BE193" i="164"/>
  <c r="AK178" i="164"/>
  <c r="AL178" i="164" s="1"/>
  <c r="CP178" i="164"/>
  <c r="AN178" i="164" s="1"/>
  <c r="AP178" i="164" s="1"/>
  <c r="AK218" i="164"/>
  <c r="AL218" i="164" s="1"/>
  <c r="CP218" i="164"/>
  <c r="AN218" i="164" s="1"/>
  <c r="AP218" i="164" s="1"/>
  <c r="BD312" i="164"/>
  <c r="CW312" i="164" s="1"/>
  <c r="BE312" i="164"/>
  <c r="BM312" i="164"/>
  <c r="BL363" i="164"/>
  <c r="CU363" i="164"/>
  <c r="Y391" i="164"/>
  <c r="BE465" i="164"/>
  <c r="BD465" i="164"/>
  <c r="CW465" i="164" s="1"/>
  <c r="L66" i="162"/>
  <c r="T66" i="162"/>
  <c r="H66" i="162"/>
  <c r="O66" i="162"/>
  <c r="J66" i="162"/>
  <c r="S66" i="162"/>
  <c r="P66" i="162"/>
  <c r="I66" i="162"/>
  <c r="M66" i="162"/>
  <c r="DJ328" i="168"/>
  <c r="BL156" i="164"/>
  <c r="CU156" i="164"/>
  <c r="J155" i="168"/>
  <c r="AZ72" i="164"/>
  <c r="Z72" i="164"/>
  <c r="CX72" i="164"/>
  <c r="K318" i="164"/>
  <c r="L318" i="164" s="1"/>
  <c r="CP149" i="164"/>
  <c r="AK149" i="164"/>
  <c r="AL149" i="164" s="1"/>
  <c r="AA162" i="168"/>
  <c r="DT162" i="168" s="1"/>
  <c r="CO60" i="164"/>
  <c r="AN60" i="164" s="1"/>
  <c r="AP60" i="164" s="1"/>
  <c r="CU60" i="164"/>
  <c r="DJ134" i="168"/>
  <c r="DW134" i="168"/>
  <c r="DY134" i="168"/>
  <c r="DX134" i="168"/>
  <c r="M140" i="168"/>
  <c r="BO155" i="168"/>
  <c r="AH503" i="168"/>
  <c r="BO306" i="168"/>
  <c r="CP26" i="164"/>
  <c r="AN26" i="164" s="1"/>
  <c r="AP26" i="164" s="1"/>
  <c r="AK26" i="164"/>
  <c r="AL26" i="164" s="1"/>
  <c r="CP51" i="164"/>
  <c r="AK51" i="164"/>
  <c r="AL51" i="164" s="1"/>
  <c r="BJ52" i="164"/>
  <c r="CK52" i="164" s="1"/>
  <c r="CU52" i="164"/>
  <c r="CP41" i="164"/>
  <c r="AK41" i="164"/>
  <c r="AL41" i="164" s="1"/>
  <c r="AZ69" i="164"/>
  <c r="CX69" i="164"/>
  <c r="Z69" i="164"/>
  <c r="BD99" i="164"/>
  <c r="CW99" i="164" s="1"/>
  <c r="BM99" i="164"/>
  <c r="BE99" i="164"/>
  <c r="CU110" i="164"/>
  <c r="BL110" i="164"/>
  <c r="CP162" i="164"/>
  <c r="AN162" i="164" s="1"/>
  <c r="AP162" i="164" s="1"/>
  <c r="AK162" i="164"/>
  <c r="AL162" i="164" s="1"/>
  <c r="CO152" i="164"/>
  <c r="CU152" i="164"/>
  <c r="BM174" i="164"/>
  <c r="BD174" i="164"/>
  <c r="CW174" i="164" s="1"/>
  <c r="BE174" i="164"/>
  <c r="CU202" i="164"/>
  <c r="BL202" i="164"/>
  <c r="AK182" i="164"/>
  <c r="AL182" i="164" s="1"/>
  <c r="CP182" i="164"/>
  <c r="AN260" i="164"/>
  <c r="AP260" i="164" s="1"/>
  <c r="AM259" i="164"/>
  <c r="AK363" i="164"/>
  <c r="AL363" i="164" s="1"/>
  <c r="CP363" i="164"/>
  <c r="AK420" i="164"/>
  <c r="AL420" i="164" s="1"/>
  <c r="CP420" i="164"/>
  <c r="AK465" i="164"/>
  <c r="AL465" i="164" s="1"/>
  <c r="CP465" i="164"/>
  <c r="AN465" i="164" s="1"/>
  <c r="AP465" i="164" s="1"/>
  <c r="U66" i="162"/>
  <c r="N66" i="162"/>
  <c r="DJ330" i="168"/>
  <c r="BD141" i="164"/>
  <c r="BE141" i="164"/>
  <c r="BM141" i="164"/>
  <c r="G140" i="168"/>
  <c r="CF140" i="168" s="1"/>
  <c r="CU451" i="164"/>
  <c r="BL451" i="164"/>
  <c r="CF147" i="168"/>
  <c r="AA147" i="168"/>
  <c r="DL147" i="168" s="1"/>
  <c r="BI148" i="168"/>
  <c r="BL39" i="164"/>
  <c r="BJ39" i="164"/>
  <c r="CK39" i="164" s="1"/>
  <c r="CU39" i="164"/>
  <c r="CU102" i="164"/>
  <c r="BL102" i="164"/>
  <c r="BM102" i="164" s="1"/>
  <c r="BD309" i="164"/>
  <c r="CW309" i="164" s="1"/>
  <c r="BM309" i="164"/>
  <c r="BE309" i="164"/>
  <c r="G48" i="164"/>
  <c r="H48" i="164" s="1"/>
  <c r="Y47" i="164"/>
  <c r="AK82" i="164"/>
  <c r="AL82" i="164" s="1"/>
  <c r="CP82" i="164"/>
  <c r="BO237" i="168"/>
  <c r="CE162" i="168"/>
  <c r="BJ162" i="168"/>
  <c r="M330" i="168"/>
  <c r="Y103" i="164"/>
  <c r="CP193" i="164"/>
  <c r="AN193" i="164" s="1"/>
  <c r="AP193" i="164" s="1"/>
  <c r="AK193" i="164"/>
  <c r="AL193" i="164" s="1"/>
  <c r="AV259" i="164"/>
  <c r="AU259" i="164"/>
  <c r="CP250" i="164"/>
  <c r="AK250" i="164"/>
  <c r="AL250" i="164" s="1"/>
  <c r="Z328" i="164"/>
  <c r="CX328" i="164"/>
  <c r="K329" i="164"/>
  <c r="L329" i="164" s="1"/>
  <c r="AZ328" i="164"/>
  <c r="CP336" i="164"/>
  <c r="AK336" i="164"/>
  <c r="AL336" i="164" s="1"/>
  <c r="CU364" i="164"/>
  <c r="BL364" i="164"/>
  <c r="BL465" i="164"/>
  <c r="BM465" i="164" s="1"/>
  <c r="CU465" i="164"/>
  <c r="AK468" i="164"/>
  <c r="AL468" i="164" s="1"/>
  <c r="CP468" i="164"/>
  <c r="CO499" i="164"/>
  <c r="CU499" i="164"/>
  <c r="CP32" i="164"/>
  <c r="AK32" i="164"/>
  <c r="AL32" i="164" s="1"/>
  <c r="AK24" i="164"/>
  <c r="AL24" i="164" s="1"/>
  <c r="CP24" i="164"/>
  <c r="AN24" i="164" s="1"/>
  <c r="AP24" i="164" s="1"/>
  <c r="CP22" i="164"/>
  <c r="AN22" i="164" s="1"/>
  <c r="AP22" i="164" s="1"/>
  <c r="AK22" i="164"/>
  <c r="AL22" i="164" s="1"/>
  <c r="U503" i="168"/>
  <c r="CP46" i="164"/>
  <c r="AN46" i="164" s="1"/>
  <c r="AP46" i="164" s="1"/>
  <c r="AK46" i="164"/>
  <c r="AL46" i="164" s="1"/>
  <c r="AK42" i="164"/>
  <c r="AL42" i="164" s="1"/>
  <c r="CP42" i="164"/>
  <c r="CP28" i="164"/>
  <c r="AN28" i="164" s="1"/>
  <c r="AP28" i="164" s="1"/>
  <c r="AK28" i="164"/>
  <c r="AL28" i="164" s="1"/>
  <c r="BM60" i="164"/>
  <c r="BD60" i="164"/>
  <c r="CW60" i="164" s="1"/>
  <c r="BE60" i="164"/>
  <c r="Z30" i="164"/>
  <c r="CP58" i="164"/>
  <c r="AK58" i="164"/>
  <c r="AL58" i="164" s="1"/>
  <c r="AK80" i="164"/>
  <c r="AL80" i="164" s="1"/>
  <c r="CP80" i="164"/>
  <c r="CH58" i="164"/>
  <c r="CC58" i="164"/>
  <c r="CD58" i="164" s="1"/>
  <c r="Y100" i="164"/>
  <c r="CX100" i="164"/>
  <c r="BD100" i="164" s="1"/>
  <c r="CW100" i="164" s="1"/>
  <c r="CP112" i="164"/>
  <c r="AK112" i="164"/>
  <c r="AL112" i="164" s="1"/>
  <c r="K136" i="168"/>
  <c r="M136" i="168" s="1"/>
  <c r="BJ137" i="164"/>
  <c r="CK137" i="164" s="1"/>
  <c r="CP110" i="164"/>
  <c r="AK110" i="164"/>
  <c r="AL110" i="164" s="1"/>
  <c r="BH151" i="164"/>
  <c r="BK151" i="164"/>
  <c r="AK111" i="164"/>
  <c r="AL111" i="164" s="1"/>
  <c r="CP111" i="164"/>
  <c r="CU129" i="164"/>
  <c r="CP172" i="164"/>
  <c r="AK172" i="164"/>
  <c r="AL172" i="164" s="1"/>
  <c r="BM180" i="164"/>
  <c r="BD180" i="164"/>
  <c r="CW180" i="164" s="1"/>
  <c r="BE180" i="164"/>
  <c r="AK202" i="164"/>
  <c r="AL202" i="164" s="1"/>
  <c r="CP202" i="164"/>
  <c r="CU178" i="164"/>
  <c r="BL178" i="164"/>
  <c r="BE204" i="164"/>
  <c r="CU231" i="164"/>
  <c r="BL231" i="164"/>
  <c r="BL227" i="164"/>
  <c r="CU227" i="164"/>
  <c r="Y242" i="164"/>
  <c r="BL218" i="164"/>
  <c r="BM218" i="164" s="1"/>
  <c r="CU218" i="164"/>
  <c r="CP288" i="164"/>
  <c r="AK288" i="164"/>
  <c r="AL288" i="164" s="1"/>
  <c r="CP239" i="164"/>
  <c r="AK239" i="164"/>
  <c r="AL239" i="164" s="1"/>
  <c r="CO245" i="164"/>
  <c r="CU245" i="164"/>
  <c r="AK269" i="164"/>
  <c r="AL269" i="164" s="1"/>
  <c r="CP269" i="164"/>
  <c r="BD262" i="164"/>
  <c r="CW262" i="164" s="1"/>
  <c r="BE262" i="164"/>
  <c r="BL290" i="164"/>
  <c r="CU290" i="164"/>
  <c r="Y277" i="164"/>
  <c r="AK309" i="164"/>
  <c r="AL309" i="164" s="1"/>
  <c r="CP309" i="164"/>
  <c r="AN309" i="164" s="1"/>
  <c r="AP309" i="164" s="1"/>
  <c r="Y317" i="164"/>
  <c r="G318" i="164"/>
  <c r="H318" i="164" s="1"/>
  <c r="CU320" i="164"/>
  <c r="BL320" i="164"/>
  <c r="BL323" i="164"/>
  <c r="CU323" i="164"/>
  <c r="BL355" i="164"/>
  <c r="CU355" i="164"/>
  <c r="BK354" i="164"/>
  <c r="BH354" i="164"/>
  <c r="AK365" i="164"/>
  <c r="AL365" i="164" s="1"/>
  <c r="CP365" i="164"/>
  <c r="CP366" i="164"/>
  <c r="AK366" i="164"/>
  <c r="AL366" i="164" s="1"/>
  <c r="BM371" i="164"/>
  <c r="BE371" i="164"/>
  <c r="BD371" i="164"/>
  <c r="CW371" i="164" s="1"/>
  <c r="BE396" i="164"/>
  <c r="BD396" i="164"/>
  <c r="CW396" i="164" s="1"/>
  <c r="CP385" i="164"/>
  <c r="AK385" i="164"/>
  <c r="AL385" i="164" s="1"/>
  <c r="AK417" i="164"/>
  <c r="AL417" i="164" s="1"/>
  <c r="CP417" i="164"/>
  <c r="CP394" i="164"/>
  <c r="AK394" i="164"/>
  <c r="AL394" i="164" s="1"/>
  <c r="CP466" i="164"/>
  <c r="AK466" i="164"/>
  <c r="AL466" i="164" s="1"/>
  <c r="CP451" i="164"/>
  <c r="AK451" i="164"/>
  <c r="AL451" i="164" s="1"/>
  <c r="K450" i="164"/>
  <c r="L450" i="164" s="1"/>
  <c r="Z449" i="164"/>
  <c r="AZ449" i="164"/>
  <c r="CX449" i="164"/>
  <c r="AK423" i="164"/>
  <c r="AL423" i="164" s="1"/>
  <c r="CP423" i="164"/>
  <c r="BD62" i="164"/>
  <c r="CW62" i="164" s="1"/>
  <c r="BE62" i="164"/>
  <c r="BM62" i="164"/>
  <c r="Z408" i="164"/>
  <c r="AK482" i="164"/>
  <c r="AL482" i="164" s="1"/>
  <c r="CP482" i="164"/>
  <c r="CP384" i="164"/>
  <c r="AK384" i="164"/>
  <c r="AL384" i="164" s="1"/>
  <c r="BI236" i="164"/>
  <c r="BK236" i="164"/>
  <c r="R51" i="162"/>
  <c r="K51" i="162"/>
  <c r="G383" i="164"/>
  <c r="H383" i="164" s="1"/>
  <c r="Y382" i="164"/>
  <c r="Y460" i="164"/>
  <c r="G461" i="164"/>
  <c r="H461" i="164" s="1"/>
  <c r="AZ460" i="164"/>
  <c r="U60" i="162"/>
  <c r="N60" i="162"/>
  <c r="CU501" i="164"/>
  <c r="BE28" i="164"/>
  <c r="BD28" i="164"/>
  <c r="CW28" i="164" s="1"/>
  <c r="AK44" i="164"/>
  <c r="AL44" i="164" s="1"/>
  <c r="CP44" i="164"/>
  <c r="AN44" i="164" s="1"/>
  <c r="AP44" i="164" s="1"/>
  <c r="CU47" i="164"/>
  <c r="BL47" i="164"/>
  <c r="BM77" i="164"/>
  <c r="BM68" i="164"/>
  <c r="BE68" i="164"/>
  <c r="BD68" i="164"/>
  <c r="CW68" i="164" s="1"/>
  <c r="AK95" i="164"/>
  <c r="AL95" i="164" s="1"/>
  <c r="CP95" i="164"/>
  <c r="BD93" i="164"/>
  <c r="CW93" i="164" s="1"/>
  <c r="BE93" i="164"/>
  <c r="BM93" i="164"/>
  <c r="BD122" i="164"/>
  <c r="CW122" i="164" s="1"/>
  <c r="BM122" i="164"/>
  <c r="BE122" i="164"/>
  <c r="AP115" i="164"/>
  <c r="BL143" i="164"/>
  <c r="CU143" i="164"/>
  <c r="BL146" i="164"/>
  <c r="CU146" i="164"/>
  <c r="DF147" i="168"/>
  <c r="DG147" i="168"/>
  <c r="CV147" i="168"/>
  <c r="CW147" i="168"/>
  <c r="CY147" i="168"/>
  <c r="O147" i="168"/>
  <c r="BB147" i="168"/>
  <c r="CZ147" i="168"/>
  <c r="P147" i="168"/>
  <c r="CB147" i="168" s="1"/>
  <c r="DA147" i="168"/>
  <c r="DC147" i="168"/>
  <c r="DE147" i="168"/>
  <c r="DB147" i="168"/>
  <c r="DD147" i="168"/>
  <c r="BD97" i="164"/>
  <c r="CW97" i="164" s="1"/>
  <c r="BE97" i="164"/>
  <c r="BM97" i="164"/>
  <c r="AK169" i="164"/>
  <c r="AL169" i="164" s="1"/>
  <c r="CP169" i="164"/>
  <c r="BD120" i="164"/>
  <c r="CW120" i="164" s="1"/>
  <c r="BE120" i="164"/>
  <c r="BM120" i="164"/>
  <c r="BD178" i="164"/>
  <c r="CW178" i="164" s="1"/>
  <c r="BE178" i="164"/>
  <c r="F162" i="168"/>
  <c r="K106" i="164"/>
  <c r="L106" i="164" s="1"/>
  <c r="AZ105" i="164"/>
  <c r="Z105" i="164"/>
  <c r="CX105" i="164"/>
  <c r="CO194" i="164"/>
  <c r="CU194" i="164"/>
  <c r="Y205" i="164"/>
  <c r="CU196" i="164"/>
  <c r="CU182" i="164"/>
  <c r="BL182" i="164"/>
  <c r="BM182" i="164" s="1"/>
  <c r="CP190" i="164"/>
  <c r="AK190" i="164"/>
  <c r="AL190" i="164" s="1"/>
  <c r="K222" i="164"/>
  <c r="L222" i="164" s="1"/>
  <c r="Z221" i="164"/>
  <c r="AZ221" i="164"/>
  <c r="CX221" i="164"/>
  <c r="Z230" i="164"/>
  <c r="AZ230" i="164"/>
  <c r="K231" i="164"/>
  <c r="L231" i="164" s="1"/>
  <c r="CX230" i="164"/>
  <c r="BE254" i="164"/>
  <c r="BD254" i="164"/>
  <c r="CW254" i="164" s="1"/>
  <c r="BL255" i="164"/>
  <c r="CU255" i="164"/>
  <c r="AK286" i="164"/>
  <c r="AL286" i="164" s="1"/>
  <c r="CP286" i="164"/>
  <c r="Y237" i="164"/>
  <c r="G238" i="164"/>
  <c r="H238" i="164" s="1"/>
  <c r="BL262" i="164"/>
  <c r="BM262" i="164" s="1"/>
  <c r="CO239" i="164"/>
  <c r="CU239" i="164"/>
  <c r="BL272" i="164"/>
  <c r="CU272" i="164"/>
  <c r="K183" i="164"/>
  <c r="L183" i="164" s="1"/>
  <c r="CX260" i="164"/>
  <c r="AZ260" i="164"/>
  <c r="Z260" i="164"/>
  <c r="AK289" i="164"/>
  <c r="AL289" i="164" s="1"/>
  <c r="CP289" i="164"/>
  <c r="BD257" i="164"/>
  <c r="CW257" i="164" s="1"/>
  <c r="BE257" i="164"/>
  <c r="BM257" i="164"/>
  <c r="G200" i="164"/>
  <c r="H200" i="164" s="1"/>
  <c r="Y310" i="164"/>
  <c r="BL304" i="164"/>
  <c r="BM304" i="164" s="1"/>
  <c r="CU304" i="164"/>
  <c r="CU297" i="164"/>
  <c r="BL297" i="164"/>
  <c r="BM297" i="164" s="1"/>
  <c r="BK337" i="164"/>
  <c r="BH337" i="164"/>
  <c r="AK321" i="164"/>
  <c r="AL321" i="164" s="1"/>
  <c r="CP321" i="164"/>
  <c r="BL356" i="164"/>
  <c r="CP330" i="164"/>
  <c r="AK330" i="164"/>
  <c r="AL330" i="164" s="1"/>
  <c r="CP374" i="164"/>
  <c r="AK374" i="164"/>
  <c r="AL374" i="164" s="1"/>
  <c r="Y334" i="164"/>
  <c r="G335" i="164"/>
  <c r="H335" i="164" s="1"/>
  <c r="AZ335" i="164" s="1"/>
  <c r="Z282" i="164"/>
  <c r="AZ282" i="164"/>
  <c r="CX282" i="164"/>
  <c r="K283" i="164"/>
  <c r="L283" i="164" s="1"/>
  <c r="AN372" i="164"/>
  <c r="AP372" i="164" s="1"/>
  <c r="AM371" i="164"/>
  <c r="AU371" i="164" s="1"/>
  <c r="AK422" i="164"/>
  <c r="AL422" i="164" s="1"/>
  <c r="CP422" i="164"/>
  <c r="BD431" i="164"/>
  <c r="CW431" i="164" s="1"/>
  <c r="BM431" i="164"/>
  <c r="BE431" i="164"/>
  <c r="AK426" i="164"/>
  <c r="AL426" i="164" s="1"/>
  <c r="CP426" i="164"/>
  <c r="BD439" i="164"/>
  <c r="CW439" i="164" s="1"/>
  <c r="BE439" i="164"/>
  <c r="CP488" i="164"/>
  <c r="AK488" i="164"/>
  <c r="AL488" i="164" s="1"/>
  <c r="BK357" i="164"/>
  <c r="BL468" i="164"/>
  <c r="CU468" i="164"/>
  <c r="Y473" i="164"/>
  <c r="G474" i="164"/>
  <c r="H474" i="164" s="1"/>
  <c r="AK501" i="164"/>
  <c r="AL501" i="164" s="1"/>
  <c r="CP501" i="164"/>
  <c r="G467" i="164"/>
  <c r="H467" i="164" s="1"/>
  <c r="CX467" i="164" s="1"/>
  <c r="Y466" i="164"/>
  <c r="CP487" i="164"/>
  <c r="AK487" i="164"/>
  <c r="AL487" i="164" s="1"/>
  <c r="L60" i="162"/>
  <c r="BL439" i="164"/>
  <c r="BM439" i="164" s="1"/>
  <c r="AK432" i="164"/>
  <c r="AL432" i="164" s="1"/>
  <c r="CP432" i="164"/>
  <c r="K64" i="162"/>
  <c r="R64" i="162"/>
  <c r="CU51" i="164"/>
  <c r="BL51" i="164"/>
  <c r="AZ38" i="164"/>
  <c r="Z38" i="164"/>
  <c r="CX38" i="164"/>
  <c r="K39" i="164"/>
  <c r="L39" i="164" s="1"/>
  <c r="BM46" i="164"/>
  <c r="BD46" i="164"/>
  <c r="CW46" i="164" s="1"/>
  <c r="BE46" i="164"/>
  <c r="CC24" i="164"/>
  <c r="CD24" i="164" s="1"/>
  <c r="CH24" i="164"/>
  <c r="AM77" i="164"/>
  <c r="AV77" i="164" s="1"/>
  <c r="AN78" i="164"/>
  <c r="AP78" i="164" s="1"/>
  <c r="AK49" i="164"/>
  <c r="AL49" i="164" s="1"/>
  <c r="CP49" i="164"/>
  <c r="BD89" i="164"/>
  <c r="CW89" i="164" s="1"/>
  <c r="BE89" i="164"/>
  <c r="BM89" i="164"/>
  <c r="CH22" i="164"/>
  <c r="CO95" i="164"/>
  <c r="CU95" i="164"/>
  <c r="CP106" i="164"/>
  <c r="AK106" i="164"/>
  <c r="AL106" i="164" s="1"/>
  <c r="AM97" i="164"/>
  <c r="CP113" i="164"/>
  <c r="AK113" i="164"/>
  <c r="AL113" i="164" s="1"/>
  <c r="AK117" i="164"/>
  <c r="AL117" i="164" s="1"/>
  <c r="CP117" i="164"/>
  <c r="AN117" i="164" s="1"/>
  <c r="AP117" i="164" s="1"/>
  <c r="BV100" i="164"/>
  <c r="BZ100" i="164"/>
  <c r="CB100" i="164"/>
  <c r="CF100" i="164"/>
  <c r="CJ100" i="164" s="1"/>
  <c r="BR100" i="164"/>
  <c r="BT100" i="164"/>
  <c r="BX100" i="164"/>
  <c r="CP102" i="164"/>
  <c r="AN102" i="164" s="1"/>
  <c r="AP102" i="164" s="1"/>
  <c r="AK102" i="164"/>
  <c r="AL102" i="164" s="1"/>
  <c r="CO120" i="164"/>
  <c r="CU120" i="164"/>
  <c r="AK143" i="164"/>
  <c r="AL143" i="164" s="1"/>
  <c r="CP143" i="164"/>
  <c r="AN143" i="164" s="1"/>
  <c r="AP143" i="164" s="1"/>
  <c r="AK146" i="164"/>
  <c r="AL146" i="164" s="1"/>
  <c r="CP146" i="164"/>
  <c r="AK139" i="164"/>
  <c r="AL139" i="164" s="1"/>
  <c r="CP139" i="164"/>
  <c r="AN139" i="164" s="1"/>
  <c r="AP139" i="164" s="1"/>
  <c r="AM139" i="164" s="1"/>
  <c r="G136" i="168"/>
  <c r="CF136" i="168" s="1"/>
  <c r="BM137" i="164"/>
  <c r="BE137" i="164"/>
  <c r="BD137" i="164"/>
  <c r="Y159" i="164"/>
  <c r="AZ159" i="164"/>
  <c r="G160" i="164"/>
  <c r="H160" i="164" s="1"/>
  <c r="AZ160" i="164" s="1"/>
  <c r="Y183" i="164"/>
  <c r="CO186" i="164"/>
  <c r="CU186" i="164"/>
  <c r="CP196" i="164"/>
  <c r="AN196" i="164" s="1"/>
  <c r="AP196" i="164" s="1"/>
  <c r="AK196" i="164"/>
  <c r="AL196" i="164" s="1"/>
  <c r="BL184" i="164"/>
  <c r="CU184" i="164"/>
  <c r="CP211" i="164"/>
  <c r="AK211" i="164"/>
  <c r="AL211" i="164" s="1"/>
  <c r="CU190" i="164"/>
  <c r="BL190" i="164"/>
  <c r="CP223" i="164"/>
  <c r="AK223" i="164"/>
  <c r="AL223" i="164" s="1"/>
  <c r="BE210" i="164"/>
  <c r="BM210" i="164"/>
  <c r="BD210" i="164"/>
  <c r="CW210" i="164" s="1"/>
  <c r="CU257" i="164"/>
  <c r="M238" i="168"/>
  <c r="CX267" i="164"/>
  <c r="K242" i="164"/>
  <c r="L242" i="164" s="1"/>
  <c r="K268" i="164"/>
  <c r="L268" i="164" s="1"/>
  <c r="Z267" i="164"/>
  <c r="AZ267" i="164"/>
  <c r="Z326" i="164"/>
  <c r="CP304" i="164"/>
  <c r="AN304" i="164" s="1"/>
  <c r="AP304" i="164" s="1"/>
  <c r="AM304" i="164" s="1"/>
  <c r="AK304" i="164"/>
  <c r="AL304" i="164" s="1"/>
  <c r="CP297" i="164"/>
  <c r="AN297" i="164" s="1"/>
  <c r="AP297" i="164" s="1"/>
  <c r="AK297" i="164"/>
  <c r="AL297" i="164" s="1"/>
  <c r="AK332" i="164"/>
  <c r="AL332" i="164" s="1"/>
  <c r="CP332" i="164"/>
  <c r="CH325" i="164"/>
  <c r="AR325" i="164"/>
  <c r="AS325" i="164" s="1"/>
  <c r="AT325" i="164" s="1"/>
  <c r="G305" i="168"/>
  <c r="BD306" i="164"/>
  <c r="BE306" i="164"/>
  <c r="BM295" i="164"/>
  <c r="BD295" i="164"/>
  <c r="CW295" i="164" s="1"/>
  <c r="BE295" i="164"/>
  <c r="BL334" i="164"/>
  <c r="CU334" i="164"/>
  <c r="CR352" i="164"/>
  <c r="AO352" i="164"/>
  <c r="BH350" i="164"/>
  <c r="BK350" i="164"/>
  <c r="AK340" i="164"/>
  <c r="AL340" i="164" s="1"/>
  <c r="CP340" i="164"/>
  <c r="BI351" i="164"/>
  <c r="BK351" i="164"/>
  <c r="BK342" i="164"/>
  <c r="BH342" i="164"/>
  <c r="AK387" i="164"/>
  <c r="AL387" i="164" s="1"/>
  <c r="CP387" i="164"/>
  <c r="CP408" i="164"/>
  <c r="AK408" i="164"/>
  <c r="AL408" i="164" s="1"/>
  <c r="CP421" i="164"/>
  <c r="AK421" i="164"/>
  <c r="AL421" i="164" s="1"/>
  <c r="BE413" i="164"/>
  <c r="BM413" i="164"/>
  <c r="BD413" i="164"/>
  <c r="CW413" i="164" s="1"/>
  <c r="Z390" i="164"/>
  <c r="AZ390" i="164"/>
  <c r="CX390" i="164"/>
  <c r="K391" i="164"/>
  <c r="L391" i="164" s="1"/>
  <c r="AK396" i="164"/>
  <c r="AL396" i="164" s="1"/>
  <c r="CP396" i="164"/>
  <c r="AN396" i="164" s="1"/>
  <c r="AP396" i="164" s="1"/>
  <c r="CU426" i="164"/>
  <c r="BL426" i="164"/>
  <c r="BM400" i="164"/>
  <c r="BD400" i="164"/>
  <c r="CW400" i="164" s="1"/>
  <c r="BE400" i="164"/>
  <c r="AZ433" i="164"/>
  <c r="CX433" i="164"/>
  <c r="Z433" i="164"/>
  <c r="CU398" i="164"/>
  <c r="Y442" i="164"/>
  <c r="CU406" i="164"/>
  <c r="U55" i="162"/>
  <c r="N55" i="162"/>
  <c r="BD480" i="164"/>
  <c r="CW480" i="164" s="1"/>
  <c r="BE480" i="164"/>
  <c r="BM480" i="164"/>
  <c r="CU506" i="164"/>
  <c r="BL506" i="164"/>
  <c r="CP483" i="164"/>
  <c r="AK483" i="164"/>
  <c r="AL483" i="164" s="1"/>
  <c r="J60" i="162"/>
  <c r="CC441" i="164"/>
  <c r="CD441" i="164" s="1"/>
  <c r="CH441" i="164"/>
  <c r="AR441" i="164"/>
  <c r="AS441" i="164" s="1"/>
  <c r="AT441" i="164" s="1"/>
  <c r="M60" i="162"/>
  <c r="CX460" i="164"/>
  <c r="AK493" i="164"/>
  <c r="AL493" i="164" s="1"/>
  <c r="CP493" i="164"/>
  <c r="CP406" i="164"/>
  <c r="AN406" i="164" s="1"/>
  <c r="AP406" i="164" s="1"/>
  <c r="AK406" i="164"/>
  <c r="AL406" i="164" s="1"/>
  <c r="BL432" i="164"/>
  <c r="CU432" i="164"/>
  <c r="AK506" i="164"/>
  <c r="AL506" i="164" s="1"/>
  <c r="CP506" i="164"/>
  <c r="M62" i="162"/>
  <c r="K59" i="162"/>
  <c r="R59" i="162"/>
  <c r="Y272" i="164"/>
  <c r="G223" i="164"/>
  <c r="H223" i="164" s="1"/>
  <c r="AU292" i="164"/>
  <c r="AO346" i="164"/>
  <c r="BK346" i="164"/>
  <c r="CR346" i="164"/>
  <c r="BL346" i="164"/>
  <c r="AZ310" i="164"/>
  <c r="CX310" i="164"/>
  <c r="Z310" i="164"/>
  <c r="M327" i="168"/>
  <c r="AK334" i="164"/>
  <c r="AL334" i="164" s="1"/>
  <c r="CP334" i="164"/>
  <c r="CO347" i="164"/>
  <c r="CU347" i="164"/>
  <c r="CR350" i="164"/>
  <c r="CO350" i="164" s="1"/>
  <c r="AO350" i="164"/>
  <c r="AK382" i="164"/>
  <c r="AL382" i="164" s="1"/>
  <c r="CP382" i="164"/>
  <c r="BL387" i="164"/>
  <c r="CU387" i="164"/>
  <c r="K415" i="164"/>
  <c r="L415" i="164" s="1"/>
  <c r="Z414" i="164"/>
  <c r="CX414" i="164"/>
  <c r="AZ414" i="164"/>
  <c r="AK425" i="164"/>
  <c r="AL425" i="164" s="1"/>
  <c r="CP425" i="164"/>
  <c r="BL396" i="164"/>
  <c r="BM396" i="164" s="1"/>
  <c r="CU396" i="164"/>
  <c r="CU442" i="164"/>
  <c r="BL442" i="164"/>
  <c r="Y401" i="164"/>
  <c r="G402" i="164"/>
  <c r="H402" i="164" s="1"/>
  <c r="CP431" i="164"/>
  <c r="AN431" i="164" s="1"/>
  <c r="AP431" i="164" s="1"/>
  <c r="AK431" i="164"/>
  <c r="AL431" i="164" s="1"/>
  <c r="BN419" i="164"/>
  <c r="G422" i="164"/>
  <c r="H422" i="164" s="1"/>
  <c r="Y421" i="164"/>
  <c r="CP467" i="164"/>
  <c r="AK467" i="164"/>
  <c r="AL467" i="164" s="1"/>
  <c r="U63" i="162"/>
  <c r="N63" i="162"/>
  <c r="CU493" i="164"/>
  <c r="BL493" i="164"/>
  <c r="Y482" i="164"/>
  <c r="G483" i="164"/>
  <c r="H483" i="164" s="1"/>
  <c r="BD478" i="164"/>
  <c r="CW478" i="164" s="1"/>
  <c r="BE478" i="164"/>
  <c r="BM478" i="164"/>
  <c r="R66" i="162"/>
  <c r="K66" i="162"/>
  <c r="BL183" i="164"/>
  <c r="CU183" i="164"/>
  <c r="Z200" i="164"/>
  <c r="AM244" i="164"/>
  <c r="AV244" i="164" s="1"/>
  <c r="AN245" i="164"/>
  <c r="AP245" i="164" s="1"/>
  <c r="AK238" i="164"/>
  <c r="AL238" i="164" s="1"/>
  <c r="CP238" i="164"/>
  <c r="CU223" i="164"/>
  <c r="BL223" i="164"/>
  <c r="AS244" i="164"/>
  <c r="AT244" i="164" s="1"/>
  <c r="CP225" i="164"/>
  <c r="AK225" i="164"/>
  <c r="AL225" i="164" s="1"/>
  <c r="BD266" i="164"/>
  <c r="CW266" i="164" s="1"/>
  <c r="BE266" i="164"/>
  <c r="BM266" i="164"/>
  <c r="BD236" i="164"/>
  <c r="CW236" i="164" s="1"/>
  <c r="BE236" i="164"/>
  <c r="CP230" i="164"/>
  <c r="AK230" i="164"/>
  <c r="AL230" i="164" s="1"/>
  <c r="CX272" i="164"/>
  <c r="Z272" i="164"/>
  <c r="AZ272" i="164"/>
  <c r="BR297" i="164"/>
  <c r="CF297" i="164"/>
  <c r="CJ297" i="164" s="1"/>
  <c r="BT297" i="164"/>
  <c r="BV297" i="164"/>
  <c r="BX297" i="164"/>
  <c r="BZ297" i="164"/>
  <c r="CB297" i="164"/>
  <c r="CP249" i="164"/>
  <c r="AK249" i="164"/>
  <c r="AL249" i="164" s="1"/>
  <c r="AK314" i="164"/>
  <c r="AL314" i="164" s="1"/>
  <c r="CP314" i="164"/>
  <c r="AN314" i="164" s="1"/>
  <c r="AP314" i="164" s="1"/>
  <c r="CU26" i="164"/>
  <c r="AK33" i="164"/>
  <c r="AL33" i="164" s="1"/>
  <c r="CP33" i="164"/>
  <c r="AZ47" i="164"/>
  <c r="Z47" i="164"/>
  <c r="CX47" i="164"/>
  <c r="K48" i="164"/>
  <c r="L48" i="164" s="1"/>
  <c r="CU53" i="164"/>
  <c r="BL53" i="164"/>
  <c r="CP52" i="164"/>
  <c r="AK52" i="164"/>
  <c r="AL52" i="164" s="1"/>
  <c r="AK39" i="164"/>
  <c r="AL39" i="164" s="1"/>
  <c r="CP39" i="164"/>
  <c r="CU68" i="164"/>
  <c r="AK78" i="164"/>
  <c r="AL78" i="164" s="1"/>
  <c r="CP78" i="164"/>
  <c r="BD71" i="164"/>
  <c r="CW71" i="164" s="1"/>
  <c r="BE71" i="164"/>
  <c r="BL66" i="164"/>
  <c r="BM66" i="164" s="1"/>
  <c r="CU66" i="164"/>
  <c r="BD95" i="164"/>
  <c r="CW95" i="164" s="1"/>
  <c r="BE95" i="164"/>
  <c r="BM95" i="164"/>
  <c r="AR113" i="164"/>
  <c r="AS113" i="164" s="1"/>
  <c r="AT113" i="164" s="1"/>
  <c r="CH113" i="164"/>
  <c r="CP124" i="164"/>
  <c r="AK124" i="164"/>
  <c r="AL124" i="164" s="1"/>
  <c r="L117" i="164"/>
  <c r="BJ145" i="164"/>
  <c r="CK145" i="164" s="1"/>
  <c r="CU115" i="164"/>
  <c r="BL115" i="164"/>
  <c r="CU137" i="164"/>
  <c r="AZ162" i="164"/>
  <c r="CX162" i="164"/>
  <c r="Z162" i="164"/>
  <c r="CP145" i="164"/>
  <c r="AN145" i="164" s="1"/>
  <c r="AP145" i="164" s="1"/>
  <c r="AK145" i="164"/>
  <c r="AL145" i="164" s="1"/>
  <c r="A154" i="164"/>
  <c r="BJ152" i="164"/>
  <c r="CK152" i="164" s="1"/>
  <c r="BL191" i="164"/>
  <c r="CU191" i="164"/>
  <c r="CP188" i="164"/>
  <c r="AK188" i="164"/>
  <c r="AL188" i="164" s="1"/>
  <c r="BE218" i="164"/>
  <c r="BD218" i="164"/>
  <c r="CW218" i="164" s="1"/>
  <c r="AK245" i="164"/>
  <c r="AL245" i="164" s="1"/>
  <c r="CP245" i="164"/>
  <c r="G212" i="164"/>
  <c r="H212" i="164" s="1"/>
  <c r="AZ211" i="164"/>
  <c r="Y211" i="164"/>
  <c r="AK234" i="164"/>
  <c r="AL234" i="164" s="1"/>
  <c r="CP234" i="164"/>
  <c r="BE252" i="164"/>
  <c r="BD252" i="164"/>
  <c r="CW252" i="164" s="1"/>
  <c r="BT245" i="164"/>
  <c r="CF245" i="164"/>
  <c r="CJ245" i="164" s="1"/>
  <c r="BR245" i="164"/>
  <c r="BV245" i="164"/>
  <c r="BX245" i="164"/>
  <c r="BZ245" i="164"/>
  <c r="CB245" i="164"/>
  <c r="CO230" i="164"/>
  <c r="CU230" i="164"/>
  <c r="BL249" i="164"/>
  <c r="CU249" i="164"/>
  <c r="AV293" i="164"/>
  <c r="Z293" i="164"/>
  <c r="AZ293" i="164"/>
  <c r="CX293" i="164"/>
  <c r="CP246" i="164"/>
  <c r="AK246" i="164"/>
  <c r="AL246" i="164" s="1"/>
  <c r="CP322" i="164"/>
  <c r="AK322" i="164"/>
  <c r="AL322" i="164" s="1"/>
  <c r="Y293" i="164"/>
  <c r="J329" i="168"/>
  <c r="CU330" i="164"/>
  <c r="BL330" i="164"/>
  <c r="J313" i="168"/>
  <c r="M313" i="168" s="1"/>
  <c r="CU314" i="164"/>
  <c r="BL314" i="164"/>
  <c r="AU312" i="164"/>
  <c r="BK348" i="164"/>
  <c r="CO321" i="164"/>
  <c r="CU321" i="164"/>
  <c r="BK343" i="164"/>
  <c r="BL368" i="164"/>
  <c r="CU368" i="164"/>
  <c r="AK358" i="164"/>
  <c r="AL358" i="164" s="1"/>
  <c r="CP358" i="164"/>
  <c r="CX381" i="164"/>
  <c r="Z381" i="164"/>
  <c r="AZ381" i="164"/>
  <c r="K382" i="164"/>
  <c r="L382" i="164" s="1"/>
  <c r="CP381" i="164"/>
  <c r="AK381" i="164"/>
  <c r="AL381" i="164" s="1"/>
  <c r="AK436" i="164"/>
  <c r="AL436" i="164" s="1"/>
  <c r="CP436" i="164"/>
  <c r="BE446" i="164"/>
  <c r="BM446" i="164"/>
  <c r="BD446" i="164"/>
  <c r="CW446" i="164" s="1"/>
  <c r="CP402" i="164"/>
  <c r="AK402" i="164"/>
  <c r="AL402" i="164" s="1"/>
  <c r="AK450" i="164"/>
  <c r="AL450" i="164" s="1"/>
  <c r="CP450" i="164"/>
  <c r="CP485" i="164"/>
  <c r="AK485" i="164"/>
  <c r="AL485" i="164" s="1"/>
  <c r="AP480" i="164"/>
  <c r="AK419" i="164"/>
  <c r="AL419" i="164" s="1"/>
  <c r="CP419" i="164"/>
  <c r="AN419" i="164" s="1"/>
  <c r="AP419" i="164" s="1"/>
  <c r="CX466" i="164"/>
  <c r="M57" i="162"/>
  <c r="I62" i="162"/>
  <c r="S62" i="162"/>
  <c r="Y156" i="164"/>
  <c r="BM259" i="164"/>
  <c r="BD259" i="164"/>
  <c r="CW259" i="164" s="1"/>
  <c r="BE259" i="164"/>
  <c r="CP214" i="164"/>
  <c r="AK214" i="164"/>
  <c r="AL214" i="164" s="1"/>
  <c r="CP254" i="164"/>
  <c r="AN254" i="164" s="1"/>
  <c r="AP254" i="164" s="1"/>
  <c r="AK254" i="164"/>
  <c r="AL254" i="164" s="1"/>
  <c r="AK262" i="164"/>
  <c r="AL262" i="164" s="1"/>
  <c r="CP262" i="164"/>
  <c r="AN262" i="164" s="1"/>
  <c r="AP262" i="164" s="1"/>
  <c r="CC244" i="164"/>
  <c r="CD244" i="164" s="1"/>
  <c r="CH244" i="164"/>
  <c r="BM279" i="164"/>
  <c r="BD279" i="164"/>
  <c r="CW279" i="164" s="1"/>
  <c r="BE279" i="164"/>
  <c r="BL246" i="164"/>
  <c r="CU246" i="164"/>
  <c r="BM317" i="164"/>
  <c r="AA313" i="168"/>
  <c r="DS313" i="168" s="1"/>
  <c r="BL349" i="164"/>
  <c r="CU349" i="164"/>
  <c r="BL348" i="164"/>
  <c r="CU348" i="164"/>
  <c r="CR341" i="164"/>
  <c r="CO341" i="164" s="1"/>
  <c r="AO341" i="164"/>
  <c r="BL343" i="164"/>
  <c r="CU343" i="164"/>
  <c r="AO342" i="164"/>
  <c r="CR342" i="164"/>
  <c r="CO342" i="164" s="1"/>
  <c r="CP386" i="164"/>
  <c r="AK386" i="164"/>
  <c r="AL386" i="164" s="1"/>
  <c r="CU381" i="164"/>
  <c r="BL381" i="164"/>
  <c r="AK411" i="164"/>
  <c r="AL411" i="164" s="1"/>
  <c r="CP411" i="164"/>
  <c r="AK416" i="164"/>
  <c r="AL416" i="164" s="1"/>
  <c r="CP416" i="164"/>
  <c r="AK391" i="164"/>
  <c r="AL391" i="164" s="1"/>
  <c r="CP391" i="164"/>
  <c r="CU369" i="164"/>
  <c r="CP401" i="164"/>
  <c r="AK401" i="164"/>
  <c r="AL401" i="164" s="1"/>
  <c r="Y433" i="164"/>
  <c r="Z401" i="164"/>
  <c r="K402" i="164"/>
  <c r="L402" i="164" s="1"/>
  <c r="AZ401" i="164"/>
  <c r="CX401" i="164"/>
  <c r="Y394" i="164"/>
  <c r="BE271" i="164"/>
  <c r="BM271" i="164"/>
  <c r="BD271" i="164"/>
  <c r="CW271" i="164" s="1"/>
  <c r="BL402" i="164"/>
  <c r="CU402" i="164"/>
  <c r="BE26" i="164"/>
  <c r="BL494" i="164"/>
  <c r="CU494" i="164"/>
  <c r="BN455" i="164"/>
  <c r="AZ466" i="164"/>
  <c r="BL473" i="164"/>
  <c r="CU473" i="164"/>
  <c r="S60" i="162"/>
  <c r="AK448" i="164"/>
  <c r="AL448" i="164" s="1"/>
  <c r="CP448" i="164"/>
  <c r="AN448" i="164" s="1"/>
  <c r="AP448" i="164" s="1"/>
  <c r="AK457" i="164"/>
  <c r="AL457" i="164" s="1"/>
  <c r="CP457" i="164"/>
  <c r="AN457" i="164" s="1"/>
  <c r="AP457" i="164" s="1"/>
  <c r="BE457" i="164"/>
  <c r="BD457" i="164"/>
  <c r="CW457" i="164" s="1"/>
  <c r="DJ313" i="168"/>
  <c r="DJ237" i="168"/>
  <c r="AK91" i="164"/>
  <c r="AL91" i="164" s="1"/>
  <c r="CP91" i="164"/>
  <c r="AN91" i="164" s="1"/>
  <c r="AP91" i="164" s="1"/>
  <c r="CP125" i="164"/>
  <c r="AK125" i="164"/>
  <c r="AL125" i="164" s="1"/>
  <c r="Y146" i="164"/>
  <c r="BD139" i="164"/>
  <c r="CW139" i="164" s="1"/>
  <c r="BE139" i="164"/>
  <c r="AZ205" i="164"/>
  <c r="Z205" i="164"/>
  <c r="CX205" i="164"/>
  <c r="BM196" i="164"/>
  <c r="BD196" i="164"/>
  <c r="CW196" i="164" s="1"/>
  <c r="BE196" i="164"/>
  <c r="AK199" i="164"/>
  <c r="AL199" i="164" s="1"/>
  <c r="CP199" i="164"/>
  <c r="AN199" i="164" s="1"/>
  <c r="AP199" i="164" s="1"/>
  <c r="CU225" i="164"/>
  <c r="BD176" i="164"/>
  <c r="CW176" i="164" s="1"/>
  <c r="BE176" i="164"/>
  <c r="BM176" i="164"/>
  <c r="BL254" i="164"/>
  <c r="BM254" i="164" s="1"/>
  <c r="CU254" i="164"/>
  <c r="AK276" i="164"/>
  <c r="AL276" i="164" s="1"/>
  <c r="CP276" i="164"/>
  <c r="AN276" i="164" s="1"/>
  <c r="AP276" i="164" s="1"/>
  <c r="BD264" i="164"/>
  <c r="CW264" i="164" s="1"/>
  <c r="BE264" i="164"/>
  <c r="BM264" i="164"/>
  <c r="CP220" i="164"/>
  <c r="AN220" i="164" s="1"/>
  <c r="AP220" i="164" s="1"/>
  <c r="AK220" i="164"/>
  <c r="AL220" i="164" s="1"/>
  <c r="BM276" i="164"/>
  <c r="BE276" i="164"/>
  <c r="BD276" i="164"/>
  <c r="CW276" i="164" s="1"/>
  <c r="CP248" i="164"/>
  <c r="AK248" i="164"/>
  <c r="AL248" i="164" s="1"/>
  <c r="Z237" i="164"/>
  <c r="CX237" i="164"/>
  <c r="K238" i="164"/>
  <c r="L238" i="164" s="1"/>
  <c r="AZ237" i="164"/>
  <c r="CP242" i="164"/>
  <c r="AK242" i="164"/>
  <c r="AL242" i="164" s="1"/>
  <c r="BD274" i="164"/>
  <c r="CW274" i="164" s="1"/>
  <c r="BE274" i="164"/>
  <c r="BM274" i="164"/>
  <c r="AZ298" i="164"/>
  <c r="Z298" i="164"/>
  <c r="K299" i="164"/>
  <c r="L299" i="164" s="1"/>
  <c r="CX298" i="164"/>
  <c r="BD297" i="164"/>
  <c r="CW297" i="164" s="1"/>
  <c r="BE297" i="164"/>
  <c r="AK300" i="164"/>
  <c r="AL300" i="164" s="1"/>
  <c r="CP300" i="164"/>
  <c r="AZ277" i="164"/>
  <c r="Z277" i="164"/>
  <c r="CX277" i="164"/>
  <c r="BM292" i="164"/>
  <c r="BD292" i="164"/>
  <c r="CW292" i="164" s="1"/>
  <c r="BE292" i="164"/>
  <c r="BH326" i="164"/>
  <c r="BK326" i="164"/>
  <c r="CU310" i="164"/>
  <c r="BL310" i="164"/>
  <c r="CP335" i="164"/>
  <c r="AK335" i="164"/>
  <c r="AL335" i="164" s="1"/>
  <c r="BH339" i="164"/>
  <c r="BK339" i="164"/>
  <c r="CP360" i="164"/>
  <c r="AK360" i="164"/>
  <c r="AL360" i="164" s="1"/>
  <c r="BE393" i="164"/>
  <c r="BM393" i="164"/>
  <c r="BD393" i="164"/>
  <c r="CW393" i="164" s="1"/>
  <c r="BL378" i="164"/>
  <c r="CU378" i="164"/>
  <c r="BD406" i="164"/>
  <c r="CW406" i="164" s="1"/>
  <c r="BE406" i="164"/>
  <c r="BM406" i="164"/>
  <c r="BM428" i="164"/>
  <c r="BD428" i="164"/>
  <c r="CW428" i="164" s="1"/>
  <c r="BE428" i="164"/>
  <c r="BL391" i="164"/>
  <c r="CU391" i="164"/>
  <c r="G450" i="164"/>
  <c r="H450" i="164" s="1"/>
  <c r="Y449" i="164"/>
  <c r="AK407" i="164"/>
  <c r="AL407" i="164" s="1"/>
  <c r="CP407" i="164"/>
  <c r="BM132" i="164"/>
  <c r="BE132" i="164"/>
  <c r="BD132" i="164"/>
  <c r="CW132" i="164" s="1"/>
  <c r="AK478" i="164"/>
  <c r="AL478" i="164" s="1"/>
  <c r="CP478" i="164"/>
  <c r="AN478" i="164" s="1"/>
  <c r="AP478" i="164" s="1"/>
  <c r="BM158" i="164"/>
  <c r="CP494" i="164"/>
  <c r="AK494" i="164"/>
  <c r="AL494" i="164" s="1"/>
  <c r="R58" i="162"/>
  <c r="K58" i="162"/>
  <c r="R55" i="162"/>
  <c r="K55" i="162"/>
  <c r="BE455" i="164"/>
  <c r="I60" i="162"/>
  <c r="CO467" i="164"/>
  <c r="CU467" i="164"/>
  <c r="AK473" i="164"/>
  <c r="AL473" i="164" s="1"/>
  <c r="CP473" i="164"/>
  <c r="CU448" i="164"/>
  <c r="BL448" i="164"/>
  <c r="BL457" i="164"/>
  <c r="BM457" i="164" s="1"/>
  <c r="CU457" i="164"/>
  <c r="G436" i="164"/>
  <c r="H436" i="164" s="1"/>
  <c r="K62" i="162"/>
  <c r="R62" i="162"/>
  <c r="CU485" i="164"/>
  <c r="DA134" i="168"/>
  <c r="DB134" i="168"/>
  <c r="DC134" i="168"/>
  <c r="DD134" i="168"/>
  <c r="DE134" i="168"/>
  <c r="DF134" i="168"/>
  <c r="DG134" i="168"/>
  <c r="CV134" i="168"/>
  <c r="CW134" i="168"/>
  <c r="CY134" i="168"/>
  <c r="O134" i="168"/>
  <c r="BB134" i="168"/>
  <c r="CZ134" i="168"/>
  <c r="CP40" i="164"/>
  <c r="AK40" i="164"/>
  <c r="AL40" i="164" s="1"/>
  <c r="BR99" i="164"/>
  <c r="BZ99" i="164"/>
  <c r="BX99" i="164"/>
  <c r="CB99" i="164"/>
  <c r="CF99" i="164"/>
  <c r="CJ99" i="164" s="1"/>
  <c r="BT99" i="164"/>
  <c r="BV99" i="164"/>
  <c r="K130" i="164"/>
  <c r="L130" i="164" s="1"/>
  <c r="Z133" i="164"/>
  <c r="AZ133" i="164"/>
  <c r="CX133" i="164"/>
  <c r="Y117" i="164"/>
  <c r="G118" i="164"/>
  <c r="H118" i="164" s="1"/>
  <c r="AN159" i="164"/>
  <c r="AP159" i="164" s="1"/>
  <c r="AM158" i="164"/>
  <c r="AU158" i="164" s="1"/>
  <c r="K156" i="164"/>
  <c r="L156" i="164" s="1"/>
  <c r="AZ155" i="164"/>
  <c r="CX155" i="164"/>
  <c r="Z155" i="164"/>
  <c r="CP174" i="164"/>
  <c r="AN174" i="164" s="1"/>
  <c r="AP174" i="164" s="1"/>
  <c r="AK174" i="164"/>
  <c r="AL174" i="164" s="1"/>
  <c r="CP186" i="164"/>
  <c r="AK186" i="164"/>
  <c r="AL186" i="164" s="1"/>
  <c r="DJ147" i="168"/>
  <c r="DX147" i="168"/>
  <c r="DY147" i="168"/>
  <c r="DZ147" i="168"/>
  <c r="EA147" i="168"/>
  <c r="EB147" i="168"/>
  <c r="EH503" i="168"/>
  <c r="E44" i="169" s="1"/>
  <c r="G44" i="169" s="1"/>
  <c r="P134" i="168"/>
  <c r="CB134" i="168" s="1"/>
  <c r="AA155" i="168"/>
  <c r="BI237" i="168"/>
  <c r="AM237" i="168"/>
  <c r="DJ162" i="168"/>
  <c r="AA163" i="168"/>
  <c r="DR163" i="168" s="1"/>
  <c r="DJ329" i="168"/>
  <c r="CO32" i="164"/>
  <c r="CU32" i="164"/>
  <c r="AR24" i="164"/>
  <c r="AS24" i="164" s="1"/>
  <c r="AT24" i="164" s="1"/>
  <c r="G39" i="164"/>
  <c r="H39" i="164" s="1"/>
  <c r="Y38" i="164"/>
  <c r="AK38" i="164"/>
  <c r="AL38" i="164" s="1"/>
  <c r="CP38" i="164"/>
  <c r="AR58" i="164"/>
  <c r="AS58" i="164" s="1"/>
  <c r="AT58" i="164" s="1"/>
  <c r="CU22" i="164"/>
  <c r="BL22" i="164"/>
  <c r="BL40" i="164"/>
  <c r="AN68" i="164"/>
  <c r="AP68" i="164" s="1"/>
  <c r="M26" i="164"/>
  <c r="M22" i="164"/>
  <c r="M24" i="164"/>
  <c r="M28" i="164"/>
  <c r="M32" i="164"/>
  <c r="M33" i="164"/>
  <c r="M30" i="164"/>
  <c r="M29" i="164"/>
  <c r="M35" i="164"/>
  <c r="M42" i="164"/>
  <c r="M50" i="164"/>
  <c r="M39" i="164"/>
  <c r="M40" i="164"/>
  <c r="M41" i="164"/>
  <c r="M46" i="164"/>
  <c r="M58" i="164"/>
  <c r="M62" i="164"/>
  <c r="M38" i="164"/>
  <c r="M47" i="164"/>
  <c r="M49" i="164"/>
  <c r="M51" i="164"/>
  <c r="M37" i="164"/>
  <c r="M44" i="164"/>
  <c r="M64" i="164"/>
  <c r="M82" i="164"/>
  <c r="M66" i="164"/>
  <c r="M87" i="164"/>
  <c r="M97" i="164"/>
  <c r="M48" i="164"/>
  <c r="M55" i="164"/>
  <c r="M79" i="164"/>
  <c r="M99" i="164"/>
  <c r="M60" i="164"/>
  <c r="M52" i="164"/>
  <c r="M53" i="164"/>
  <c r="M63" i="164"/>
  <c r="M71" i="164"/>
  <c r="M83" i="164"/>
  <c r="M54" i="164"/>
  <c r="M72" i="164"/>
  <c r="M93" i="164"/>
  <c r="M100" i="164"/>
  <c r="M75" i="164"/>
  <c r="M95" i="164"/>
  <c r="M105" i="164"/>
  <c r="M89" i="164"/>
  <c r="M56" i="164"/>
  <c r="M69" i="164"/>
  <c r="M78" i="164"/>
  <c r="M81" i="164"/>
  <c r="M91" i="164"/>
  <c r="M102" i="164"/>
  <c r="M106" i="164"/>
  <c r="M113" i="164"/>
  <c r="M77" i="164"/>
  <c r="M122" i="164"/>
  <c r="M74" i="164"/>
  <c r="M117" i="164"/>
  <c r="M120" i="164"/>
  <c r="M124" i="164"/>
  <c r="M109" i="164"/>
  <c r="M103" i="164"/>
  <c r="M80" i="164"/>
  <c r="M110" i="164"/>
  <c r="M118" i="164"/>
  <c r="M68" i="164"/>
  <c r="M85" i="164"/>
  <c r="M107" i="164"/>
  <c r="M127" i="164"/>
  <c r="M112" i="164"/>
  <c r="M123" i="164"/>
  <c r="M132" i="164"/>
  <c r="M152" i="164"/>
  <c r="M130" i="164"/>
  <c r="M145" i="164"/>
  <c r="M126" i="164"/>
  <c r="M108" i="164"/>
  <c r="M137" i="164"/>
  <c r="M139" i="164"/>
  <c r="M154" i="164"/>
  <c r="M111" i="164"/>
  <c r="M125" i="164"/>
  <c r="M149" i="164"/>
  <c r="M135" i="164"/>
  <c r="M156" i="164"/>
  <c r="M146" i="164"/>
  <c r="M148" i="164"/>
  <c r="M178" i="164"/>
  <c r="M143" i="164"/>
  <c r="M115" i="164"/>
  <c r="M151" i="164"/>
  <c r="M141" i="164"/>
  <c r="M166" i="164"/>
  <c r="M174" i="164"/>
  <c r="M176" i="164"/>
  <c r="M133" i="164"/>
  <c r="M172" i="164"/>
  <c r="M162" i="164"/>
  <c r="M129" i="164"/>
  <c r="M164" i="164"/>
  <c r="M182" i="164"/>
  <c r="M160" i="164"/>
  <c r="M169" i="164"/>
  <c r="M163" i="164"/>
  <c r="M170" i="164"/>
  <c r="M183" i="164"/>
  <c r="M185" i="164"/>
  <c r="M180" i="164"/>
  <c r="M186" i="164"/>
  <c r="M190" i="164"/>
  <c r="M155" i="164"/>
  <c r="M158" i="164"/>
  <c r="M171" i="164"/>
  <c r="M184" i="164"/>
  <c r="M187" i="164"/>
  <c r="M196" i="164"/>
  <c r="M191" i="164"/>
  <c r="M193" i="164"/>
  <c r="M159" i="164"/>
  <c r="M200" i="164"/>
  <c r="M167" i="164"/>
  <c r="M214" i="164"/>
  <c r="M168" i="164"/>
  <c r="M188" i="164"/>
  <c r="M206" i="164"/>
  <c r="M210" i="164"/>
  <c r="M201" i="164"/>
  <c r="M205" i="164"/>
  <c r="M208" i="164"/>
  <c r="M233" i="164"/>
  <c r="M204" i="164"/>
  <c r="M211" i="164"/>
  <c r="M197" i="164"/>
  <c r="M202" i="164"/>
  <c r="M222" i="164"/>
  <c r="M225" i="164"/>
  <c r="M189" i="164"/>
  <c r="M194" i="164"/>
  <c r="M212" i="164"/>
  <c r="M199" i="164"/>
  <c r="M213" i="164"/>
  <c r="M248" i="164"/>
  <c r="M269" i="164"/>
  <c r="M224" i="164"/>
  <c r="M230" i="164"/>
  <c r="M231" i="164"/>
  <c r="M246" i="164"/>
  <c r="M249" i="164"/>
  <c r="M264" i="164"/>
  <c r="M218" i="164"/>
  <c r="M220" i="164"/>
  <c r="M234" i="164"/>
  <c r="M252" i="164"/>
  <c r="M257" i="164"/>
  <c r="M266" i="164"/>
  <c r="M274" i="164"/>
  <c r="M285" i="164"/>
  <c r="M237" i="164"/>
  <c r="M250" i="164"/>
  <c r="M260" i="164"/>
  <c r="M277" i="164"/>
  <c r="M221" i="164"/>
  <c r="M232" i="164"/>
  <c r="M239" i="164"/>
  <c r="M242" i="164"/>
  <c r="M287" i="164"/>
  <c r="M297" i="164"/>
  <c r="M300" i="164"/>
  <c r="M268" i="164"/>
  <c r="M216" i="164"/>
  <c r="M226" i="164"/>
  <c r="M229" i="164"/>
  <c r="M241" i="164"/>
  <c r="M245" i="164"/>
  <c r="M223" i="164"/>
  <c r="M238" i="164"/>
  <c r="M247" i="164"/>
  <c r="M286" i="164"/>
  <c r="M290" i="164"/>
  <c r="M301" i="164"/>
  <c r="M312" i="164"/>
  <c r="M279" i="164"/>
  <c r="M281" i="164"/>
  <c r="M282" i="164"/>
  <c r="M244" i="164"/>
  <c r="M276" i="164"/>
  <c r="M292" i="164"/>
  <c r="M227" i="164"/>
  <c r="M236" i="164"/>
  <c r="M262" i="164"/>
  <c r="M283" i="164"/>
  <c r="M271" i="164"/>
  <c r="M272" i="164"/>
  <c r="M259" i="164"/>
  <c r="M307" i="164"/>
  <c r="M331" i="164"/>
  <c r="M254" i="164"/>
  <c r="M298" i="164"/>
  <c r="M320" i="164"/>
  <c r="M284" i="164"/>
  <c r="M288" i="164"/>
  <c r="M310" i="164"/>
  <c r="M299" i="164"/>
  <c r="M302" i="164"/>
  <c r="M293" i="164"/>
  <c r="M295" i="164"/>
  <c r="M267" i="164"/>
  <c r="M289" i="164"/>
  <c r="M306" i="164"/>
  <c r="M316" i="164"/>
  <c r="M324" i="164"/>
  <c r="M337" i="164"/>
  <c r="M304" i="164"/>
  <c r="M322" i="164"/>
  <c r="M317" i="164"/>
  <c r="M255" i="164"/>
  <c r="M309" i="164"/>
  <c r="M318" i="164"/>
  <c r="M319" i="164"/>
  <c r="M323" i="164"/>
  <c r="M328" i="164"/>
  <c r="M329" i="164"/>
  <c r="M333" i="164"/>
  <c r="M314" i="164"/>
  <c r="M332" i="164"/>
  <c r="M339" i="164"/>
  <c r="M341" i="164"/>
  <c r="M350" i="164"/>
  <c r="M330" i="164"/>
  <c r="M334" i="164"/>
  <c r="M326" i="164"/>
  <c r="M347" i="164"/>
  <c r="M343" i="164"/>
  <c r="M321" i="164"/>
  <c r="M338" i="164"/>
  <c r="M353" i="164"/>
  <c r="M358" i="164"/>
  <c r="M342" i="164"/>
  <c r="M351" i="164"/>
  <c r="M354" i="164"/>
  <c r="M340" i="164"/>
  <c r="M355" i="164"/>
  <c r="M336" i="164"/>
  <c r="M325" i="164"/>
  <c r="M344" i="164"/>
  <c r="M349" i="164"/>
  <c r="M362" i="164"/>
  <c r="M369" i="164"/>
  <c r="M361" i="164"/>
  <c r="M366" i="164"/>
  <c r="M345" i="164"/>
  <c r="M374" i="164"/>
  <c r="M377" i="164"/>
  <c r="M381" i="164"/>
  <c r="M414" i="164"/>
  <c r="M417" i="164"/>
  <c r="M363" i="164"/>
  <c r="M357" i="164"/>
  <c r="M372" i="164"/>
  <c r="M352" i="164"/>
  <c r="M335" i="164"/>
  <c r="M348" i="164"/>
  <c r="M360" i="164"/>
  <c r="M367" i="164"/>
  <c r="M371" i="164"/>
  <c r="M398" i="164"/>
  <c r="M415" i="164"/>
  <c r="M364" i="164"/>
  <c r="M368" i="164"/>
  <c r="M375" i="164"/>
  <c r="M359" i="164"/>
  <c r="M356" i="164"/>
  <c r="M384" i="164"/>
  <c r="M385" i="164"/>
  <c r="M373" i="164"/>
  <c r="M365" i="164"/>
  <c r="M378" i="164"/>
  <c r="M386" i="164"/>
  <c r="M346" i="164"/>
  <c r="M387" i="164"/>
  <c r="M408" i="164"/>
  <c r="M420" i="164"/>
  <c r="M376" i="164"/>
  <c r="M389" i="164"/>
  <c r="M383" i="164"/>
  <c r="M423" i="164"/>
  <c r="M426" i="164"/>
  <c r="M448" i="164"/>
  <c r="M451" i="164"/>
  <c r="M380" i="164"/>
  <c r="M400" i="164"/>
  <c r="M441" i="164"/>
  <c r="M455" i="164"/>
  <c r="M404" i="164"/>
  <c r="M413" i="164"/>
  <c r="M419" i="164"/>
  <c r="M431" i="164"/>
  <c r="M476" i="164"/>
  <c r="M393" i="164"/>
  <c r="M394" i="164"/>
  <c r="M422" i="164"/>
  <c r="M425" i="164"/>
  <c r="M439" i="164"/>
  <c r="M450" i="164"/>
  <c r="M453" i="164"/>
  <c r="M391" i="164"/>
  <c r="M401" i="164"/>
  <c r="M429" i="164"/>
  <c r="M474" i="164"/>
  <c r="M390" i="164"/>
  <c r="M396" i="164"/>
  <c r="M406" i="164"/>
  <c r="M433" i="164"/>
  <c r="M444" i="164"/>
  <c r="M403" i="164"/>
  <c r="M410" i="164"/>
  <c r="M437" i="164"/>
  <c r="M424" i="164"/>
  <c r="M382" i="164"/>
  <c r="M411" i="164"/>
  <c r="M428" i="164"/>
  <c r="M442" i="164"/>
  <c r="M402" i="164"/>
  <c r="M407" i="164"/>
  <c r="M436" i="164"/>
  <c r="M461" i="164"/>
  <c r="M449" i="164"/>
  <c r="M483" i="164"/>
  <c r="M490" i="164"/>
  <c r="M497" i="164"/>
  <c r="M469" i="164"/>
  <c r="M466" i="164"/>
  <c r="M416" i="164"/>
  <c r="M473" i="164"/>
  <c r="M446" i="164"/>
  <c r="M459" i="164"/>
  <c r="M478" i="164"/>
  <c r="M485" i="164"/>
  <c r="M452" i="164"/>
  <c r="M486" i="164"/>
  <c r="M493" i="164"/>
  <c r="M500" i="164"/>
  <c r="M432" i="164"/>
  <c r="M462" i="164"/>
  <c r="M465" i="164"/>
  <c r="M501" i="164"/>
  <c r="M421" i="164"/>
  <c r="M472" i="164"/>
  <c r="M480" i="164"/>
  <c r="M487" i="164"/>
  <c r="M494" i="164"/>
  <c r="M435" i="164"/>
  <c r="M463" i="164"/>
  <c r="M482" i="164"/>
  <c r="M504" i="164"/>
  <c r="M503" i="164"/>
  <c r="M489" i="164"/>
  <c r="M496" i="164"/>
  <c r="M499" i="164"/>
  <c r="M505" i="164"/>
  <c r="M491" i="164"/>
  <c r="M467" i="164"/>
  <c r="M468" i="164"/>
  <c r="M492" i="164"/>
  <c r="M502" i="164"/>
  <c r="M484" i="164"/>
  <c r="M498" i="164"/>
  <c r="M457" i="164"/>
  <c r="M470" i="164"/>
  <c r="M460" i="164"/>
  <c r="M495" i="164"/>
  <c r="M481" i="164"/>
  <c r="M488" i="164"/>
  <c r="M506" i="164"/>
  <c r="CF66" i="164"/>
  <c r="CJ66" i="164" s="1"/>
  <c r="BT66" i="164"/>
  <c r="BV66" i="164"/>
  <c r="BX66" i="164"/>
  <c r="BZ66" i="164"/>
  <c r="BR66" i="164"/>
  <c r="CB66" i="164"/>
  <c r="BJ50" i="164"/>
  <c r="CK50" i="164" s="1"/>
  <c r="CP79" i="164"/>
  <c r="AK79" i="164"/>
  <c r="AL79" i="164" s="1"/>
  <c r="AK87" i="164"/>
  <c r="AL87" i="164" s="1"/>
  <c r="CP87" i="164"/>
  <c r="AN87" i="164" s="1"/>
  <c r="AP87" i="164" s="1"/>
  <c r="BL91" i="164"/>
  <c r="BM91" i="164" s="1"/>
  <c r="CU91" i="164"/>
  <c r="CU79" i="164"/>
  <c r="CP109" i="164"/>
  <c r="AK109" i="164"/>
  <c r="AL109" i="164" s="1"/>
  <c r="CP126" i="164"/>
  <c r="AK126" i="164"/>
  <c r="AL126" i="164" s="1"/>
  <c r="Y149" i="164"/>
  <c r="Y123" i="164"/>
  <c r="G124" i="164"/>
  <c r="H124" i="164" s="1"/>
  <c r="AK160" i="164"/>
  <c r="AL160" i="164" s="1"/>
  <c r="CP160" i="164"/>
  <c r="CP152" i="164"/>
  <c r="AK152" i="164"/>
  <c r="AL152" i="164" s="1"/>
  <c r="CU147" i="168"/>
  <c r="CJ147" i="168"/>
  <c r="CW148" i="164"/>
  <c r="AK159" i="164"/>
  <c r="AL159" i="164" s="1"/>
  <c r="CP159" i="164"/>
  <c r="BE135" i="164"/>
  <c r="BM135" i="164"/>
  <c r="BD135" i="164"/>
  <c r="CO168" i="164"/>
  <c r="CU168" i="164"/>
  <c r="AN182" i="164"/>
  <c r="AP182" i="164" s="1"/>
  <c r="AZ197" i="164"/>
  <c r="Z197" i="164"/>
  <c r="CX197" i="164"/>
  <c r="BL199" i="164"/>
  <c r="CU199" i="164"/>
  <c r="CP226" i="164"/>
  <c r="AK226" i="164"/>
  <c r="AL226" i="164" s="1"/>
  <c r="BE220" i="164"/>
  <c r="BD220" i="164"/>
  <c r="CW220" i="164" s="1"/>
  <c r="AK224" i="164"/>
  <c r="AL224" i="164" s="1"/>
  <c r="CP224" i="164"/>
  <c r="BD208" i="164"/>
  <c r="CW208" i="164" s="1"/>
  <c r="BE208" i="164"/>
  <c r="BM208" i="164"/>
  <c r="CU269" i="164"/>
  <c r="BL269" i="164"/>
  <c r="Y245" i="164"/>
  <c r="G246" i="164"/>
  <c r="H246" i="164" s="1"/>
  <c r="Y267" i="164"/>
  <c r="G268" i="164"/>
  <c r="H268" i="164" s="1"/>
  <c r="BL220" i="164"/>
  <c r="BM220" i="164" s="1"/>
  <c r="CU220" i="164"/>
  <c r="BL248" i="164"/>
  <c r="CU248" i="164"/>
  <c r="CX245" i="164"/>
  <c r="BL242" i="164"/>
  <c r="CU242" i="164"/>
  <c r="CU266" i="164"/>
  <c r="AK298" i="164"/>
  <c r="AL298" i="164" s="1"/>
  <c r="CP298" i="164"/>
  <c r="J305" i="168"/>
  <c r="AA305" i="168" s="1"/>
  <c r="BL306" i="164"/>
  <c r="BM306" i="164" s="1"/>
  <c r="CU306" i="164"/>
  <c r="AK318" i="164"/>
  <c r="AL318" i="164" s="1"/>
  <c r="CP318" i="164"/>
  <c r="CX317" i="164"/>
  <c r="BE317" i="164" s="1"/>
  <c r="Y307" i="164"/>
  <c r="CP324" i="164"/>
  <c r="AK324" i="164"/>
  <c r="AL324" i="164" s="1"/>
  <c r="CO329" i="164"/>
  <c r="CU329" i="164"/>
  <c r="CU316" i="164"/>
  <c r="G313" i="168"/>
  <c r="EA313" i="168" s="1"/>
  <c r="BE314" i="164"/>
  <c r="BM314" i="164"/>
  <c r="BD314" i="164"/>
  <c r="Y372" i="164"/>
  <c r="G373" i="164"/>
  <c r="H373" i="164" s="1"/>
  <c r="BL361" i="164"/>
  <c r="CU361" i="164"/>
  <c r="BK352" i="164"/>
  <c r="AK375" i="164"/>
  <c r="AL375" i="164" s="1"/>
  <c r="CP375" i="164"/>
  <c r="BE435" i="164"/>
  <c r="BD435" i="164"/>
  <c r="CW435" i="164" s="1"/>
  <c r="BM435" i="164"/>
  <c r="AK378" i="164"/>
  <c r="AL378" i="164" s="1"/>
  <c r="CP378" i="164"/>
  <c r="AM380" i="164"/>
  <c r="AU380" i="164" s="1"/>
  <c r="AN381" i="164"/>
  <c r="AP381" i="164" s="1"/>
  <c r="AP393" i="164"/>
  <c r="CP437" i="164"/>
  <c r="AK437" i="164"/>
  <c r="AL437" i="164" s="1"/>
  <c r="BL407" i="164"/>
  <c r="BM407" i="164" s="1"/>
  <c r="CU407" i="164"/>
  <c r="BD166" i="164"/>
  <c r="CW166" i="164" s="1"/>
  <c r="BE166" i="164"/>
  <c r="BM166" i="164"/>
  <c r="CU455" i="164"/>
  <c r="R53" i="162"/>
  <c r="H53" i="162"/>
  <c r="I53" i="162"/>
  <c r="J53" i="162"/>
  <c r="M53" i="162"/>
  <c r="O53" i="162"/>
  <c r="Q53" i="162"/>
  <c r="P53" i="162"/>
  <c r="AZ473" i="164"/>
  <c r="CX473" i="164"/>
  <c r="K474" i="164"/>
  <c r="L474" i="164" s="1"/>
  <c r="Z473" i="164"/>
  <c r="Z467" i="164"/>
  <c r="K468" i="164"/>
  <c r="L468" i="164" s="1"/>
  <c r="I57" i="162"/>
  <c r="J62" i="162"/>
  <c r="AK37" i="164"/>
  <c r="AL37" i="164" s="1"/>
  <c r="CP37" i="164"/>
  <c r="AK83" i="164"/>
  <c r="AL83" i="164" s="1"/>
  <c r="CP83" i="164"/>
  <c r="M306" i="168"/>
  <c r="AA306" i="168"/>
  <c r="M163" i="168"/>
  <c r="BD35" i="164"/>
  <c r="CW35" i="164" s="1"/>
  <c r="BE35" i="164"/>
  <c r="BM35" i="164"/>
  <c r="CU38" i="164"/>
  <c r="BJ37" i="164"/>
  <c r="CK37" i="164" s="1"/>
  <c r="BL38" i="164"/>
  <c r="CO58" i="164"/>
  <c r="CU58" i="164"/>
  <c r="Z63" i="164"/>
  <c r="AZ63" i="164"/>
  <c r="CX63" i="164"/>
  <c r="K64" i="164"/>
  <c r="L64" i="164" s="1"/>
  <c r="Y64" i="164"/>
  <c r="BD58" i="164"/>
  <c r="CW58" i="164" s="1"/>
  <c r="BE58" i="164"/>
  <c r="BM58" i="164"/>
  <c r="BD66" i="164"/>
  <c r="CW66" i="164" s="1"/>
  <c r="BE66" i="164"/>
  <c r="Z103" i="164"/>
  <c r="AZ103" i="164"/>
  <c r="CX103" i="164"/>
  <c r="CU87" i="164"/>
  <c r="BL87" i="164"/>
  <c r="BL109" i="164"/>
  <c r="BJ108" i="164"/>
  <c r="CK108" i="164" s="1"/>
  <c r="CU109" i="164"/>
  <c r="CP122" i="164"/>
  <c r="AN122" i="164" s="1"/>
  <c r="AP122" i="164" s="1"/>
  <c r="AK122" i="164"/>
  <c r="AL122" i="164" s="1"/>
  <c r="CP127" i="164"/>
  <c r="AK127" i="164"/>
  <c r="AL127" i="164" s="1"/>
  <c r="Y130" i="164"/>
  <c r="CU162" i="164"/>
  <c r="BL162" i="164"/>
  <c r="CP135" i="164"/>
  <c r="AN135" i="164" s="1"/>
  <c r="AP135" i="164" s="1"/>
  <c r="AM135" i="164" s="1"/>
  <c r="AK135" i="164"/>
  <c r="AL135" i="164" s="1"/>
  <c r="Y167" i="164"/>
  <c r="G168" i="164"/>
  <c r="H168" i="164" s="1"/>
  <c r="BL159" i="164"/>
  <c r="CU159" i="164"/>
  <c r="CP180" i="164"/>
  <c r="AK180" i="164"/>
  <c r="AL180" i="164" s="1"/>
  <c r="BX196" i="164"/>
  <c r="BZ196" i="164"/>
  <c r="CB196" i="164"/>
  <c r="BR196" i="164"/>
  <c r="CF196" i="164"/>
  <c r="CJ196" i="164" s="1"/>
  <c r="BT196" i="164"/>
  <c r="BV196" i="164"/>
  <c r="BL226" i="164"/>
  <c r="CU226" i="164"/>
  <c r="CP222" i="164"/>
  <c r="AK222" i="164"/>
  <c r="AL222" i="164" s="1"/>
  <c r="AK266" i="164"/>
  <c r="AL266" i="164" s="1"/>
  <c r="CP266" i="164"/>
  <c r="AN266" i="164" s="1"/>
  <c r="AP266" i="164" s="1"/>
  <c r="Y282" i="164"/>
  <c r="G283" i="164"/>
  <c r="H283" i="164" s="1"/>
  <c r="BM244" i="164"/>
  <c r="BD244" i="164"/>
  <c r="CW244" i="164" s="1"/>
  <c r="BE244" i="164"/>
  <c r="AK281" i="164"/>
  <c r="AL281" i="164" s="1"/>
  <c r="CP281" i="164"/>
  <c r="AN281" i="164" s="1"/>
  <c r="AP281" i="164" s="1"/>
  <c r="BM216" i="164"/>
  <c r="BD216" i="164"/>
  <c r="CW216" i="164" s="1"/>
  <c r="BE216" i="164"/>
  <c r="CP301" i="164"/>
  <c r="AK301" i="164"/>
  <c r="AL301" i="164" s="1"/>
  <c r="AP274" i="164"/>
  <c r="CP307" i="164"/>
  <c r="AK307" i="164"/>
  <c r="AL307" i="164" s="1"/>
  <c r="AK306" i="164"/>
  <c r="AL306" i="164" s="1"/>
  <c r="CP306" i="164"/>
  <c r="AN306" i="164" s="1"/>
  <c r="AP306" i="164" s="1"/>
  <c r="CP302" i="164"/>
  <c r="AK302" i="164"/>
  <c r="AL302" i="164" s="1"/>
  <c r="AK319" i="164"/>
  <c r="AL319" i="164" s="1"/>
  <c r="CP319" i="164"/>
  <c r="CU324" i="164"/>
  <c r="BL324" i="164"/>
  <c r="BL375" i="164"/>
  <c r="CU375" i="164"/>
  <c r="Y414" i="164"/>
  <c r="G415" i="164"/>
  <c r="H415" i="164" s="1"/>
  <c r="CP389" i="164"/>
  <c r="AN389" i="164" s="1"/>
  <c r="AP389" i="164" s="1"/>
  <c r="AK389" i="164"/>
  <c r="AL389" i="164" s="1"/>
  <c r="AK428" i="164"/>
  <c r="AL428" i="164" s="1"/>
  <c r="CP428" i="164"/>
  <c r="AN428" i="164" s="1"/>
  <c r="AP428" i="164" s="1"/>
  <c r="Z394" i="164"/>
  <c r="AZ394" i="164"/>
  <c r="CX394" i="164"/>
  <c r="AK377" i="164"/>
  <c r="AL377" i="164" s="1"/>
  <c r="CP377" i="164"/>
  <c r="BE411" i="164"/>
  <c r="BD411" i="164"/>
  <c r="CW411" i="164" s="1"/>
  <c r="BM411" i="164"/>
  <c r="AN447" i="164"/>
  <c r="AM446" i="164"/>
  <c r="AU446" i="164" s="1"/>
  <c r="AM441" i="164"/>
  <c r="AU441" i="164" s="1"/>
  <c r="AN442" i="164"/>
  <c r="AP442" i="164" s="1"/>
  <c r="BD102" i="164"/>
  <c r="CW102" i="164" s="1"/>
  <c r="BE102" i="164"/>
  <c r="AN414" i="164"/>
  <c r="AP414" i="164" s="1"/>
  <c r="AM413" i="164"/>
  <c r="AU413" i="164" s="1"/>
  <c r="Y407" i="164"/>
  <c r="G408" i="164"/>
  <c r="H408" i="164" s="1"/>
  <c r="CX408" i="164" s="1"/>
  <c r="AK486" i="164"/>
  <c r="AL486" i="164" s="1"/>
  <c r="CP486" i="164"/>
  <c r="BE472" i="164"/>
  <c r="BD472" i="164"/>
  <c r="CW472" i="164" s="1"/>
  <c r="BM472" i="164"/>
  <c r="BH185" i="164"/>
  <c r="BK185" i="164"/>
  <c r="CP491" i="164"/>
  <c r="AK491" i="164"/>
  <c r="AL491" i="164" s="1"/>
  <c r="BM459" i="164"/>
  <c r="BD459" i="164"/>
  <c r="CW459" i="164" s="1"/>
  <c r="BE459" i="164"/>
  <c r="K52" i="162"/>
  <c r="R52" i="162"/>
  <c r="O60" i="162"/>
  <c r="CP484" i="164"/>
  <c r="AK484" i="164"/>
  <c r="AL484" i="164" s="1"/>
  <c r="H62" i="162"/>
  <c r="Y75" i="164"/>
  <c r="CP50" i="164"/>
  <c r="AK50" i="164"/>
  <c r="AL50" i="164" s="1"/>
  <c r="DJ148" i="168"/>
  <c r="DJ163" i="168"/>
  <c r="CP30" i="164"/>
  <c r="AK30" i="164"/>
  <c r="AL30" i="164" s="1"/>
  <c r="CU28" i="164"/>
  <c r="BL28" i="164"/>
  <c r="BX60" i="164"/>
  <c r="BZ60" i="164"/>
  <c r="CB60" i="164"/>
  <c r="CF60" i="164"/>
  <c r="CJ60" i="164" s="1"/>
  <c r="BR60" i="164"/>
  <c r="BT60" i="164"/>
  <c r="BV60" i="164"/>
  <c r="BE74" i="164"/>
  <c r="BD74" i="164"/>
  <c r="CW74" i="164" s="1"/>
  <c r="BM74" i="164"/>
  <c r="CX87" i="164"/>
  <c r="Z87" i="164"/>
  <c r="AZ87" i="164"/>
  <c r="Y29" i="164"/>
  <c r="G30" i="164"/>
  <c r="H30" i="164" s="1"/>
  <c r="CX30" i="164" s="1"/>
  <c r="CU123" i="164"/>
  <c r="BL123" i="164"/>
  <c r="CU112" i="164"/>
  <c r="BL112" i="164"/>
  <c r="BD151" i="164"/>
  <c r="CW151" i="164" s="1"/>
  <c r="BE151" i="164"/>
  <c r="CX160" i="164"/>
  <c r="K163" i="164"/>
  <c r="L163" i="164" s="1"/>
  <c r="Z160" i="164"/>
  <c r="CP166" i="164"/>
  <c r="AN166" i="164" s="1"/>
  <c r="AP166" i="164" s="1"/>
  <c r="AK166" i="164"/>
  <c r="AL166" i="164" s="1"/>
  <c r="BE182" i="164"/>
  <c r="BD182" i="164"/>
  <c r="CW182" i="164" s="1"/>
  <c r="CP201" i="164"/>
  <c r="AK201" i="164"/>
  <c r="AL201" i="164" s="1"/>
  <c r="BN204" i="164"/>
  <c r="F238" i="168"/>
  <c r="BE281" i="164"/>
  <c r="BM281" i="164"/>
  <c r="BD281" i="164"/>
  <c r="CW281" i="164" s="1"/>
  <c r="BD304" i="164"/>
  <c r="CW304" i="164" s="1"/>
  <c r="BE304" i="164"/>
  <c r="BL325" i="164"/>
  <c r="CU325" i="164"/>
  <c r="G331" i="164"/>
  <c r="H331" i="164" s="1"/>
  <c r="G332" i="164" s="1"/>
  <c r="H332" i="164" s="1"/>
  <c r="Y330" i="164"/>
  <c r="BD316" i="164"/>
  <c r="CW316" i="164" s="1"/>
  <c r="BE316" i="164"/>
  <c r="BM316" i="164"/>
  <c r="AK320" i="164"/>
  <c r="AL320" i="164" s="1"/>
  <c r="CP320" i="164"/>
  <c r="AK323" i="164"/>
  <c r="AL323" i="164" s="1"/>
  <c r="CP323" i="164"/>
  <c r="CP349" i="164"/>
  <c r="AK349" i="164"/>
  <c r="AL349" i="164" s="1"/>
  <c r="BH344" i="164"/>
  <c r="BK344" i="164"/>
  <c r="BK355" i="164"/>
  <c r="AK362" i="164"/>
  <c r="AL362" i="164" s="1"/>
  <c r="CP362" i="164"/>
  <c r="BL385" i="164"/>
  <c r="CU385" i="164"/>
  <c r="CO386" i="164"/>
  <c r="CU386" i="164"/>
  <c r="CU377" i="164"/>
  <c r="BL377" i="164"/>
  <c r="CP462" i="164"/>
  <c r="AK462" i="164"/>
  <c r="AL462" i="164" s="1"/>
  <c r="BE91" i="164"/>
  <c r="AK439" i="164"/>
  <c r="AL439" i="164" s="1"/>
  <c r="CP439" i="164"/>
  <c r="AN439" i="164" s="1"/>
  <c r="AP439" i="164" s="1"/>
  <c r="CX407" i="164"/>
  <c r="BD407" i="164" s="1"/>
  <c r="CW407" i="164" s="1"/>
  <c r="AK429" i="164"/>
  <c r="AL429" i="164" s="1"/>
  <c r="CP429" i="164"/>
  <c r="AK472" i="164"/>
  <c r="AL472" i="164" s="1"/>
  <c r="CP472" i="164"/>
  <c r="AN472" i="164" s="1"/>
  <c r="AP472" i="164" s="1"/>
  <c r="CP459" i="164"/>
  <c r="AN459" i="164" s="1"/>
  <c r="AP459" i="164" s="1"/>
  <c r="AK459" i="164"/>
  <c r="AL459" i="164" s="1"/>
  <c r="H60" i="162"/>
  <c r="BL492" i="164"/>
  <c r="CU492" i="164"/>
  <c r="R60" i="162"/>
  <c r="K60" i="162"/>
  <c r="AK453" i="164"/>
  <c r="AL453" i="164" s="1"/>
  <c r="CP453" i="164"/>
  <c r="BL484" i="164"/>
  <c r="CU484" i="164"/>
  <c r="K57" i="162"/>
  <c r="R57" i="162"/>
  <c r="BM476" i="164"/>
  <c r="Q60" i="162"/>
  <c r="X126" i="56"/>
  <c r="AU71" i="164" l="1"/>
  <c r="AV71" i="164"/>
  <c r="AV74" i="164"/>
  <c r="CX461" i="164"/>
  <c r="Y79" i="164"/>
  <c r="AN120" i="164"/>
  <c r="AP120" i="164" s="1"/>
  <c r="BD154" i="164"/>
  <c r="CW154" i="164" s="1"/>
  <c r="AZ467" i="164"/>
  <c r="BM467" i="164" s="1"/>
  <c r="BD77" i="164"/>
  <c r="CW77" i="164" s="1"/>
  <c r="CU357" i="164"/>
  <c r="CP338" i="164"/>
  <c r="BD33" i="164"/>
  <c r="CW33" i="164" s="1"/>
  <c r="AV35" i="164"/>
  <c r="AN32" i="164"/>
  <c r="AP32" i="164" s="1"/>
  <c r="AN33" i="164" s="1"/>
  <c r="AP33" i="164" s="1"/>
  <c r="CU356" i="164"/>
  <c r="BE154" i="164"/>
  <c r="BE199" i="164"/>
  <c r="DR327" i="168"/>
  <c r="BE33" i="164"/>
  <c r="BD199" i="164"/>
  <c r="CW199" i="164" s="1"/>
  <c r="BM199" i="164"/>
  <c r="BN199" i="164" s="1"/>
  <c r="BD22" i="164"/>
  <c r="CW22" i="164" s="1"/>
  <c r="DL327" i="168"/>
  <c r="AJ327" i="168"/>
  <c r="AK327" i="168" s="1"/>
  <c r="DM327" i="168"/>
  <c r="DO327" i="168" s="1"/>
  <c r="DT327" i="168"/>
  <c r="DS327" i="168"/>
  <c r="DP147" i="168"/>
  <c r="DQ147" i="168"/>
  <c r="DT147" i="168"/>
  <c r="DR330" i="168"/>
  <c r="DS147" i="168"/>
  <c r="DR147" i="168"/>
  <c r="DM147" i="168"/>
  <c r="DN147" i="168" s="1"/>
  <c r="AJ330" i="168"/>
  <c r="AK330" i="168" s="1"/>
  <c r="BP330" i="168"/>
  <c r="BQ330" i="168" s="1"/>
  <c r="Z461" i="164"/>
  <c r="K462" i="164"/>
  <c r="L462" i="164" s="1"/>
  <c r="Z462" i="164" s="1"/>
  <c r="AZ461" i="164"/>
  <c r="BM461" i="164" s="1"/>
  <c r="BD123" i="164"/>
  <c r="CW123" i="164" s="1"/>
  <c r="AV216" i="164"/>
  <c r="AU216" i="164"/>
  <c r="CC22" i="164"/>
  <c r="CD22" i="164" s="1"/>
  <c r="BE22" i="164"/>
  <c r="DT330" i="168"/>
  <c r="DS330" i="168"/>
  <c r="BD442" i="164"/>
  <c r="CW442" i="164" s="1"/>
  <c r="AU148" i="164"/>
  <c r="AU74" i="164"/>
  <c r="BM22" i="164"/>
  <c r="BN22" i="164" s="1"/>
  <c r="AN217" i="164"/>
  <c r="AM204" i="164"/>
  <c r="AV204" i="164" s="1"/>
  <c r="AN58" i="164"/>
  <c r="AP58" i="164" s="1"/>
  <c r="AN477" i="164"/>
  <c r="BI327" i="168"/>
  <c r="AU97" i="164"/>
  <c r="AA136" i="168"/>
  <c r="DL136" i="168" s="1"/>
  <c r="CP329" i="164"/>
  <c r="DM330" i="168"/>
  <c r="DN330" i="168" s="1"/>
  <c r="DP330" i="168" s="1"/>
  <c r="DR237" i="168"/>
  <c r="AN95" i="164"/>
  <c r="AP95" i="164" s="1"/>
  <c r="AN148" i="168"/>
  <c r="CH159" i="164"/>
  <c r="DR140" i="168"/>
  <c r="DM140" i="168"/>
  <c r="DO140" i="168" s="1"/>
  <c r="DT140" i="168"/>
  <c r="Z124" i="164"/>
  <c r="CX124" i="164"/>
  <c r="BE123" i="164"/>
  <c r="K213" i="164"/>
  <c r="L213" i="164" s="1"/>
  <c r="K206" i="164" s="1"/>
  <c r="L206" i="164" s="1"/>
  <c r="Z206" i="164" s="1"/>
  <c r="BX159" i="164"/>
  <c r="CC159" i="164" s="1"/>
  <c r="CD159" i="164" s="1"/>
  <c r="CF159" i="164"/>
  <c r="CJ159" i="164" s="1"/>
  <c r="CB159" i="164"/>
  <c r="BR159" i="164"/>
  <c r="BZ159" i="164"/>
  <c r="BV159" i="164"/>
  <c r="AZ212" i="164"/>
  <c r="BM212" i="164" s="1"/>
  <c r="AZ246" i="164"/>
  <c r="BM246" i="164" s="1"/>
  <c r="BE429" i="164"/>
  <c r="BD429" i="164"/>
  <c r="CW429" i="164" s="1"/>
  <c r="BD245" i="164"/>
  <c r="CW245" i="164" s="1"/>
  <c r="CX246" i="164"/>
  <c r="AZ436" i="164"/>
  <c r="BM436" i="164" s="1"/>
  <c r="K247" i="164"/>
  <c r="L247" i="164" s="1"/>
  <c r="BM75" i="164"/>
  <c r="BN75" i="164" s="1"/>
  <c r="BD29" i="164"/>
  <c r="CW29" i="164" s="1"/>
  <c r="BD75" i="164"/>
  <c r="CW75" i="164" s="1"/>
  <c r="BE442" i="164"/>
  <c r="BM29" i="164"/>
  <c r="BN29" i="164" s="1"/>
  <c r="BM442" i="164"/>
  <c r="BN442" i="164" s="1"/>
  <c r="Z436" i="164"/>
  <c r="AM99" i="164"/>
  <c r="AN100" i="164"/>
  <c r="AP100" i="164" s="1"/>
  <c r="AU176" i="164"/>
  <c r="AN133" i="164"/>
  <c r="AP133" i="164" s="1"/>
  <c r="AM133" i="164" s="1"/>
  <c r="CX436" i="164"/>
  <c r="AJ140" i="168"/>
  <c r="AK140" i="168" s="1"/>
  <c r="AU316" i="164"/>
  <c r="AU149" i="164"/>
  <c r="AM105" i="164"/>
  <c r="AV105" i="164" s="1"/>
  <c r="AN106" i="164"/>
  <c r="AP106" i="164" s="1"/>
  <c r="AN93" i="164"/>
  <c r="AP93" i="164" s="1"/>
  <c r="AV241" i="164"/>
  <c r="AN333" i="164"/>
  <c r="AP333" i="164" s="1"/>
  <c r="AZ408" i="164"/>
  <c r="BM408" i="164" s="1"/>
  <c r="AZ30" i="164"/>
  <c r="BD30" i="164" s="1"/>
  <c r="CW30" i="164" s="1"/>
  <c r="CP353" i="164"/>
  <c r="AK353" i="164"/>
  <c r="AL353" i="164" s="1"/>
  <c r="AN161" i="168"/>
  <c r="AO161" i="168"/>
  <c r="AV446" i="164"/>
  <c r="AN180" i="164"/>
  <c r="AP180" i="164" s="1"/>
  <c r="AM180" i="164" s="1"/>
  <c r="AV279" i="164"/>
  <c r="AU279" i="164"/>
  <c r="AM176" i="164"/>
  <c r="AV176" i="164" s="1"/>
  <c r="AN177" i="164"/>
  <c r="CO338" i="164"/>
  <c r="CU338" i="164"/>
  <c r="AV441" i="164"/>
  <c r="AV97" i="164"/>
  <c r="CX335" i="164"/>
  <c r="BD335" i="164" s="1"/>
  <c r="CW335" i="164" s="1"/>
  <c r="BP140" i="168"/>
  <c r="BQ140" i="168" s="1"/>
  <c r="E92" i="169"/>
  <c r="G92" i="169" s="1"/>
  <c r="G89" i="169"/>
  <c r="CH158" i="164"/>
  <c r="AR158" i="164"/>
  <c r="AS158" i="164" s="1"/>
  <c r="AT158" i="164" s="1"/>
  <c r="DT328" i="168"/>
  <c r="DR328" i="168"/>
  <c r="DL140" i="168"/>
  <c r="AU239" i="164"/>
  <c r="AO147" i="168"/>
  <c r="AU141" i="164"/>
  <c r="M305" i="168"/>
  <c r="DT237" i="168"/>
  <c r="DM237" i="168"/>
  <c r="DN237" i="168" s="1"/>
  <c r="DS237" i="168"/>
  <c r="DQ237" i="168"/>
  <c r="DP237" i="168"/>
  <c r="DR148" i="168"/>
  <c r="DS162" i="168"/>
  <c r="DS148" i="168"/>
  <c r="DP162" i="168"/>
  <c r="DM148" i="168"/>
  <c r="DQ162" i="168"/>
  <c r="DR162" i="168"/>
  <c r="DM162" i="168"/>
  <c r="DM313" i="168"/>
  <c r="DT134" i="168"/>
  <c r="DL163" i="168"/>
  <c r="DL162" i="168"/>
  <c r="DL313" i="168"/>
  <c r="DL148" i="168"/>
  <c r="DM163" i="168"/>
  <c r="DS163" i="168"/>
  <c r="BE100" i="164"/>
  <c r="BD317" i="164"/>
  <c r="CW317" i="164" s="1"/>
  <c r="BN220" i="164"/>
  <c r="BM194" i="164"/>
  <c r="BN182" i="164"/>
  <c r="BM335" i="164"/>
  <c r="BN139" i="164"/>
  <c r="AM46" i="164"/>
  <c r="AU46" i="164" s="1"/>
  <c r="AN47" i="164"/>
  <c r="AP47" i="164" s="1"/>
  <c r="BN102" i="164"/>
  <c r="BN306" i="164"/>
  <c r="AN29" i="164"/>
  <c r="AP29" i="164" s="1"/>
  <c r="AM28" i="164"/>
  <c r="AM406" i="164"/>
  <c r="AN407" i="164"/>
  <c r="AP407" i="164" s="1"/>
  <c r="BN407" i="164"/>
  <c r="Y332" i="164"/>
  <c r="AN449" i="164"/>
  <c r="AP449" i="164" s="1"/>
  <c r="AM448" i="164"/>
  <c r="AV448" i="164" s="1"/>
  <c r="AN307" i="164"/>
  <c r="AP307" i="164" s="1"/>
  <c r="AM307" i="164" s="1"/>
  <c r="AU307" i="164" s="1"/>
  <c r="AM306" i="164"/>
  <c r="AV306" i="164" s="1"/>
  <c r="BN229" i="164"/>
  <c r="DL305" i="168"/>
  <c r="DR305" i="168"/>
  <c r="AJ305" i="168"/>
  <c r="BP305" i="168"/>
  <c r="DS305" i="168"/>
  <c r="DT305" i="168"/>
  <c r="DM305" i="168"/>
  <c r="AN146" i="164"/>
  <c r="AP146" i="164" s="1"/>
  <c r="AM146" i="164" s="1"/>
  <c r="AV146" i="164" s="1"/>
  <c r="AM145" i="164"/>
  <c r="AU145" i="164" s="1"/>
  <c r="BN254" i="164"/>
  <c r="AN197" i="164"/>
  <c r="AP197" i="164" s="1"/>
  <c r="AM196" i="164"/>
  <c r="AU196" i="164" s="1"/>
  <c r="N286" i="164"/>
  <c r="O286" i="164"/>
  <c r="AZ64" i="164"/>
  <c r="CX64" i="164"/>
  <c r="Z64" i="164"/>
  <c r="P236" i="164"/>
  <c r="O236" i="164"/>
  <c r="N236" i="164"/>
  <c r="O35" i="164"/>
  <c r="N35" i="164"/>
  <c r="P35" i="164"/>
  <c r="BN292" i="164"/>
  <c r="AA329" i="168"/>
  <c r="M329" i="168"/>
  <c r="Y474" i="164"/>
  <c r="N369" i="164"/>
  <c r="O369" i="164"/>
  <c r="N196" i="164"/>
  <c r="O196" i="164"/>
  <c r="P196" i="164"/>
  <c r="N49" i="164"/>
  <c r="O49" i="164"/>
  <c r="AM91" i="164"/>
  <c r="AU91" i="164" s="1"/>
  <c r="AN92" i="164"/>
  <c r="Z156" i="164"/>
  <c r="AZ156" i="164"/>
  <c r="CX156" i="164"/>
  <c r="K164" i="164"/>
  <c r="L164" i="164" s="1"/>
  <c r="CA147" i="168"/>
  <c r="W147" i="168" s="1"/>
  <c r="BG147" i="168"/>
  <c r="BE147" i="168"/>
  <c r="BF147" i="168"/>
  <c r="Z437" i="164"/>
  <c r="BD85" i="164"/>
  <c r="CW85" i="164" s="1"/>
  <c r="BE85" i="164"/>
  <c r="BM85" i="164"/>
  <c r="BP238" i="168"/>
  <c r="AJ238" i="168"/>
  <c r="AA331" i="168"/>
  <c r="BN389" i="164"/>
  <c r="AN206" i="164"/>
  <c r="AP206" i="164" s="1"/>
  <c r="AM206" i="164" s="1"/>
  <c r="AU206" i="164" s="1"/>
  <c r="AM205" i="164"/>
  <c r="AN94" i="164"/>
  <c r="AM93" i="164"/>
  <c r="AU93" i="164" s="1"/>
  <c r="AU62" i="164"/>
  <c r="AV62" i="164"/>
  <c r="CP341" i="164"/>
  <c r="AK341" i="164"/>
  <c r="AL341" i="164" s="1"/>
  <c r="P442" i="164"/>
  <c r="O442" i="164"/>
  <c r="N442" i="164"/>
  <c r="N125" i="164"/>
  <c r="O125" i="164"/>
  <c r="O431" i="164"/>
  <c r="P431" i="164"/>
  <c r="N431" i="164"/>
  <c r="N304" i="164"/>
  <c r="P304" i="164"/>
  <c r="O304" i="164"/>
  <c r="O208" i="164"/>
  <c r="N208" i="164"/>
  <c r="P208" i="164"/>
  <c r="O127" i="164"/>
  <c r="N127" i="164"/>
  <c r="N51" i="164"/>
  <c r="O51" i="164"/>
  <c r="AK343" i="164"/>
  <c r="AL343" i="164" s="1"/>
  <c r="CP343" i="164"/>
  <c r="G336" i="164"/>
  <c r="H336" i="164" s="1"/>
  <c r="P336" i="164" s="1"/>
  <c r="Y335" i="164"/>
  <c r="AM136" i="168"/>
  <c r="BI136" i="168"/>
  <c r="AP134" i="168"/>
  <c r="AO134" i="168"/>
  <c r="AN134" i="168"/>
  <c r="N462" i="164"/>
  <c r="O462" i="164"/>
  <c r="N227" i="164"/>
  <c r="O227" i="164"/>
  <c r="O122" i="164"/>
  <c r="P122" i="164"/>
  <c r="N122" i="164"/>
  <c r="N362" i="164"/>
  <c r="O362" i="164"/>
  <c r="N75" i="164"/>
  <c r="P75" i="164"/>
  <c r="O75" i="164"/>
  <c r="G201" i="164"/>
  <c r="H201" i="164" s="1"/>
  <c r="P201" i="164" s="1"/>
  <c r="Y200" i="164"/>
  <c r="G301" i="164"/>
  <c r="H301" i="164" s="1"/>
  <c r="P301" i="164" s="1"/>
  <c r="BN99" i="164"/>
  <c r="DY313" i="168"/>
  <c r="AM295" i="164"/>
  <c r="AV295" i="164" s="1"/>
  <c r="AN296" i="164"/>
  <c r="BM167" i="164"/>
  <c r="BE167" i="164"/>
  <c r="BD167" i="164"/>
  <c r="CW167" i="164" s="1"/>
  <c r="Z146" i="164"/>
  <c r="AZ146" i="164"/>
  <c r="CX146" i="164"/>
  <c r="AU476" i="164"/>
  <c r="CF305" i="168"/>
  <c r="AN429" i="164"/>
  <c r="AP429" i="164" s="1"/>
  <c r="AM428" i="164"/>
  <c r="AN275" i="164"/>
  <c r="AM274" i="164"/>
  <c r="BN244" i="164"/>
  <c r="AU180" i="164"/>
  <c r="AV180" i="164"/>
  <c r="AN163" i="168"/>
  <c r="AO163" i="168"/>
  <c r="AM381" i="164"/>
  <c r="AV381" i="164" s="1"/>
  <c r="AN382" i="164"/>
  <c r="AP382" i="164" s="1"/>
  <c r="AK352" i="164"/>
  <c r="AL352" i="164" s="1"/>
  <c r="CP352" i="164"/>
  <c r="Y268" i="164"/>
  <c r="G269" i="164"/>
  <c r="H269" i="164" s="1"/>
  <c r="BM197" i="164"/>
  <c r="BD197" i="164"/>
  <c r="CW197" i="164" s="1"/>
  <c r="BE197" i="164"/>
  <c r="N484" i="164"/>
  <c r="O484" i="164"/>
  <c r="N482" i="164"/>
  <c r="O482" i="164"/>
  <c r="P482" i="164"/>
  <c r="N500" i="164"/>
  <c r="O500" i="164"/>
  <c r="N497" i="164"/>
  <c r="O497" i="164"/>
  <c r="N424" i="164"/>
  <c r="O424" i="164"/>
  <c r="N391" i="164"/>
  <c r="O391" i="164"/>
  <c r="P391" i="164"/>
  <c r="O404" i="164"/>
  <c r="N404" i="164"/>
  <c r="N420" i="164"/>
  <c r="O420" i="164"/>
  <c r="P420" i="164"/>
  <c r="O375" i="164"/>
  <c r="N375" i="164"/>
  <c r="N357" i="164"/>
  <c r="O357" i="164"/>
  <c r="O349" i="164"/>
  <c r="N349" i="164"/>
  <c r="O321" i="164"/>
  <c r="N321" i="164"/>
  <c r="N329" i="164"/>
  <c r="O329" i="164"/>
  <c r="P329" i="164"/>
  <c r="O316" i="164"/>
  <c r="N316" i="164"/>
  <c r="P316" i="164"/>
  <c r="N298" i="164"/>
  <c r="P298" i="164"/>
  <c r="O298" i="164"/>
  <c r="O276" i="164"/>
  <c r="P276" i="164"/>
  <c r="N276" i="164"/>
  <c r="O245" i="164"/>
  <c r="P245" i="164"/>
  <c r="N245" i="164"/>
  <c r="P221" i="164"/>
  <c r="N221" i="164"/>
  <c r="O221" i="164"/>
  <c r="P218" i="164"/>
  <c r="N218" i="164"/>
  <c r="O218" i="164"/>
  <c r="O194" i="164"/>
  <c r="N194" i="164"/>
  <c r="P194" i="164"/>
  <c r="N210" i="164"/>
  <c r="O210" i="164"/>
  <c r="P210" i="164"/>
  <c r="N184" i="164"/>
  <c r="O184" i="164"/>
  <c r="O160" i="164"/>
  <c r="P160" i="164"/>
  <c r="N160" i="164"/>
  <c r="O115" i="164"/>
  <c r="N115" i="164"/>
  <c r="N137" i="164"/>
  <c r="O137" i="164"/>
  <c r="P137" i="164"/>
  <c r="O68" i="164"/>
  <c r="P68" i="164"/>
  <c r="N68" i="164"/>
  <c r="O113" i="164"/>
  <c r="N113" i="164"/>
  <c r="P100" i="164"/>
  <c r="N100" i="164"/>
  <c r="O100" i="164"/>
  <c r="N55" i="164"/>
  <c r="O55" i="164"/>
  <c r="O38" i="164"/>
  <c r="P38" i="164"/>
  <c r="N38" i="164"/>
  <c r="O33" i="164"/>
  <c r="P33" i="164"/>
  <c r="N33" i="164"/>
  <c r="BD277" i="164"/>
  <c r="CW277" i="164" s="1"/>
  <c r="BE277" i="164"/>
  <c r="BM277" i="164"/>
  <c r="BN196" i="164"/>
  <c r="EB313" i="168"/>
  <c r="DW313" i="168"/>
  <c r="BD381" i="164"/>
  <c r="CW381" i="164" s="1"/>
  <c r="BE381" i="164"/>
  <c r="BM381" i="164"/>
  <c r="CX117" i="164"/>
  <c r="K118" i="164"/>
  <c r="L118" i="164" s="1"/>
  <c r="Z117" i="164"/>
  <c r="AZ117" i="164"/>
  <c r="BM272" i="164"/>
  <c r="BD272" i="164"/>
  <c r="CW272" i="164" s="1"/>
  <c r="BE272" i="164"/>
  <c r="BE310" i="164"/>
  <c r="BM310" i="164"/>
  <c r="BD310" i="164"/>
  <c r="CW310" i="164" s="1"/>
  <c r="BN137" i="164"/>
  <c r="AM102" i="164"/>
  <c r="AU102" i="164" s="1"/>
  <c r="AN103" i="164"/>
  <c r="AP103" i="164" s="1"/>
  <c r="AM372" i="164"/>
  <c r="AN373" i="164"/>
  <c r="AP373" i="164" s="1"/>
  <c r="CP337" i="164"/>
  <c r="AK337" i="164"/>
  <c r="AL337" i="164" s="1"/>
  <c r="AU204" i="164"/>
  <c r="BN97" i="164"/>
  <c r="AM115" i="164"/>
  <c r="AN116" i="164"/>
  <c r="CU236" i="164"/>
  <c r="BL236" i="164"/>
  <c r="BN62" i="164"/>
  <c r="AN140" i="168"/>
  <c r="AO140" i="168"/>
  <c r="AZ318" i="164"/>
  <c r="Z318" i="164"/>
  <c r="CX318" i="164"/>
  <c r="K319" i="164"/>
  <c r="L319" i="164" s="1"/>
  <c r="BN465" i="164"/>
  <c r="BN312" i="164"/>
  <c r="AM178" i="164"/>
  <c r="AU178" i="164" s="1"/>
  <c r="AN179" i="164"/>
  <c r="BD145" i="164"/>
  <c r="CW145" i="164" s="1"/>
  <c r="BE145" i="164"/>
  <c r="BM145" i="164"/>
  <c r="AU435" i="164"/>
  <c r="BN100" i="164"/>
  <c r="F147" i="168"/>
  <c r="BM148" i="164"/>
  <c r="K374" i="164"/>
  <c r="L374" i="164" s="1"/>
  <c r="AZ373" i="164"/>
  <c r="Z373" i="164"/>
  <c r="CX373" i="164"/>
  <c r="BN33" i="164"/>
  <c r="AM317" i="164"/>
  <c r="AU317" i="164" s="1"/>
  <c r="AN318" i="164"/>
  <c r="AP318" i="164" s="1"/>
  <c r="AM75" i="164"/>
  <c r="AN76" i="164"/>
  <c r="Y300" i="164"/>
  <c r="G108" i="164"/>
  <c r="H108" i="164" s="1"/>
  <c r="P108" i="164" s="1"/>
  <c r="Y107" i="164"/>
  <c r="BO503" i="168"/>
  <c r="BN411" i="164"/>
  <c r="N390" i="164"/>
  <c r="O390" i="164"/>
  <c r="P390" i="164"/>
  <c r="N339" i="164"/>
  <c r="O339" i="164"/>
  <c r="N257" i="164"/>
  <c r="O257" i="164"/>
  <c r="P257" i="164"/>
  <c r="N112" i="164"/>
  <c r="O112" i="164"/>
  <c r="N37" i="164"/>
  <c r="O37" i="164"/>
  <c r="P37" i="164"/>
  <c r="AN420" i="164"/>
  <c r="AP420" i="164" s="1"/>
  <c r="AM419" i="164"/>
  <c r="AV419" i="164" s="1"/>
  <c r="AN246" i="164"/>
  <c r="AP246" i="164" s="1"/>
  <c r="AM245" i="164"/>
  <c r="AU245" i="164" s="1"/>
  <c r="BN400" i="164"/>
  <c r="AN118" i="164"/>
  <c r="AP118" i="164" s="1"/>
  <c r="AM117" i="164"/>
  <c r="AU117" i="164" s="1"/>
  <c r="AM106" i="164"/>
  <c r="AU106" i="164" s="1"/>
  <c r="AN107" i="164"/>
  <c r="AP107" i="164" s="1"/>
  <c r="BN141" i="164"/>
  <c r="F155" i="168"/>
  <c r="BN35" i="164"/>
  <c r="N465" i="164"/>
  <c r="O465" i="164"/>
  <c r="P465" i="164"/>
  <c r="P428" i="164"/>
  <c r="O428" i="164"/>
  <c r="N428" i="164"/>
  <c r="N383" i="164"/>
  <c r="O383" i="164"/>
  <c r="P383" i="164"/>
  <c r="P335" i="164"/>
  <c r="N335" i="164"/>
  <c r="O335" i="164"/>
  <c r="P332" i="164"/>
  <c r="N332" i="164"/>
  <c r="O332" i="164"/>
  <c r="O242" i="164"/>
  <c r="P242" i="164"/>
  <c r="N242" i="164"/>
  <c r="O213" i="164"/>
  <c r="N213" i="164"/>
  <c r="P166" i="164"/>
  <c r="N166" i="164"/>
  <c r="O166" i="164"/>
  <c r="O105" i="164"/>
  <c r="N105" i="164"/>
  <c r="P105" i="164"/>
  <c r="K383" i="164"/>
  <c r="L383" i="164" s="1"/>
  <c r="Z382" i="164"/>
  <c r="AZ382" i="164"/>
  <c r="CX382" i="164"/>
  <c r="AK351" i="164"/>
  <c r="AL351" i="164" s="1"/>
  <c r="CP351" i="164"/>
  <c r="BN210" i="164"/>
  <c r="BE372" i="164"/>
  <c r="BD372" i="164"/>
  <c r="CW372" i="164" s="1"/>
  <c r="BM372" i="164"/>
  <c r="AJ134" i="168"/>
  <c r="BP134" i="168"/>
  <c r="AN228" i="168"/>
  <c r="AO228" i="168"/>
  <c r="N411" i="164"/>
  <c r="P411" i="164"/>
  <c r="O411" i="164"/>
  <c r="N284" i="164"/>
  <c r="O284" i="164"/>
  <c r="P154" i="164"/>
  <c r="N154" i="164"/>
  <c r="O154" i="164"/>
  <c r="AM480" i="164"/>
  <c r="AN481" i="164"/>
  <c r="AP481" i="164" s="1"/>
  <c r="BD211" i="164"/>
  <c r="CW211" i="164" s="1"/>
  <c r="BE211" i="164"/>
  <c r="BM211" i="164"/>
  <c r="BN266" i="164"/>
  <c r="BN295" i="164"/>
  <c r="CU136" i="168"/>
  <c r="CJ136" i="168"/>
  <c r="CW137" i="164"/>
  <c r="Z168" i="164"/>
  <c r="CX168" i="164"/>
  <c r="K169" i="164"/>
  <c r="L169" i="164" s="1"/>
  <c r="AZ168" i="164"/>
  <c r="N504" i="164"/>
  <c r="O504" i="164"/>
  <c r="N359" i="164"/>
  <c r="O359" i="164"/>
  <c r="N320" i="164"/>
  <c r="O320" i="164"/>
  <c r="N187" i="164"/>
  <c r="O187" i="164"/>
  <c r="O30" i="164"/>
  <c r="P30" i="164"/>
  <c r="N30" i="164"/>
  <c r="Y212" i="164"/>
  <c r="G213" i="164"/>
  <c r="H213" i="164" s="1"/>
  <c r="P213" i="164" s="1"/>
  <c r="BN95" i="164"/>
  <c r="BN304" i="164"/>
  <c r="BN166" i="164"/>
  <c r="AZ130" i="164"/>
  <c r="Z130" i="164"/>
  <c r="CX130" i="164"/>
  <c r="AV371" i="164"/>
  <c r="BN317" i="164"/>
  <c r="A155" i="164"/>
  <c r="BJ154" i="164"/>
  <c r="CK154" i="164" s="1"/>
  <c r="BN480" i="164"/>
  <c r="BM433" i="164"/>
  <c r="BD433" i="164"/>
  <c r="CW433" i="164" s="1"/>
  <c r="BE433" i="164"/>
  <c r="CU305" i="168"/>
  <c r="CJ305" i="168"/>
  <c r="CW306" i="164"/>
  <c r="BN89" i="164"/>
  <c r="BN257" i="164"/>
  <c r="BE460" i="164"/>
  <c r="BM460" i="164"/>
  <c r="BD460" i="164"/>
  <c r="CW460" i="164" s="1"/>
  <c r="BN396" i="164"/>
  <c r="BL354" i="164"/>
  <c r="CU354" i="164"/>
  <c r="BN262" i="164"/>
  <c r="AN136" i="168"/>
  <c r="AO136" i="168"/>
  <c r="DM238" i="168"/>
  <c r="BN241" i="164"/>
  <c r="BN32" i="164"/>
  <c r="AN37" i="164"/>
  <c r="AP37" i="164" s="1"/>
  <c r="AM210" i="164"/>
  <c r="AV210" i="164" s="1"/>
  <c r="AN211" i="164"/>
  <c r="AP211" i="164" s="1"/>
  <c r="AP147" i="168"/>
  <c r="BN316" i="164"/>
  <c r="AN167" i="164"/>
  <c r="AP167" i="164" s="1"/>
  <c r="AM166" i="164"/>
  <c r="AU166" i="164" s="1"/>
  <c r="AV149" i="164"/>
  <c r="BN74" i="164"/>
  <c r="BN441" i="164"/>
  <c r="G284" i="164"/>
  <c r="H284" i="164" s="1"/>
  <c r="P284" i="164" s="1"/>
  <c r="Y283" i="164"/>
  <c r="BN58" i="164"/>
  <c r="G125" i="164"/>
  <c r="H125" i="164" s="1"/>
  <c r="P125" i="164" s="1"/>
  <c r="Y124" i="164"/>
  <c r="CH66" i="164"/>
  <c r="CC66" i="164"/>
  <c r="CD66" i="164" s="1"/>
  <c r="AR66" i="164"/>
  <c r="AS66" i="164" s="1"/>
  <c r="AT66" i="164" s="1"/>
  <c r="N492" i="164"/>
  <c r="O492" i="164"/>
  <c r="N435" i="164"/>
  <c r="O435" i="164"/>
  <c r="P435" i="164"/>
  <c r="N486" i="164"/>
  <c r="O486" i="164"/>
  <c r="N483" i="164"/>
  <c r="O483" i="164"/>
  <c r="P483" i="164"/>
  <c r="N410" i="164"/>
  <c r="P410" i="164"/>
  <c r="O410" i="164"/>
  <c r="N450" i="164"/>
  <c r="O450" i="164"/>
  <c r="P450" i="164"/>
  <c r="N441" i="164"/>
  <c r="P441" i="164"/>
  <c r="O441" i="164"/>
  <c r="N387" i="164"/>
  <c r="O387" i="164"/>
  <c r="N364" i="164"/>
  <c r="O364" i="164"/>
  <c r="N417" i="164"/>
  <c r="O417" i="164"/>
  <c r="N325" i="164"/>
  <c r="O325" i="164"/>
  <c r="N347" i="164"/>
  <c r="O347" i="164"/>
  <c r="N323" i="164"/>
  <c r="O323" i="164"/>
  <c r="O289" i="164"/>
  <c r="N289" i="164"/>
  <c r="N331" i="164"/>
  <c r="O331" i="164"/>
  <c r="P331" i="164"/>
  <c r="N282" i="164"/>
  <c r="P282" i="164"/>
  <c r="O282" i="164"/>
  <c r="P229" i="164"/>
  <c r="N229" i="164"/>
  <c r="O229" i="164"/>
  <c r="N260" i="164"/>
  <c r="O260" i="164"/>
  <c r="P260" i="164"/>
  <c r="N249" i="164"/>
  <c r="O249" i="164"/>
  <c r="N225" i="164"/>
  <c r="O225" i="164"/>
  <c r="N188" i="164"/>
  <c r="O188" i="164"/>
  <c r="N158" i="164"/>
  <c r="P158" i="164"/>
  <c r="O158" i="164"/>
  <c r="N164" i="164"/>
  <c r="O164" i="164"/>
  <c r="O178" i="164"/>
  <c r="N178" i="164"/>
  <c r="P178" i="164"/>
  <c r="O126" i="164"/>
  <c r="N126" i="164"/>
  <c r="O110" i="164"/>
  <c r="N110" i="164"/>
  <c r="P102" i="164"/>
  <c r="N102" i="164"/>
  <c r="O102" i="164"/>
  <c r="P72" i="164"/>
  <c r="N72" i="164"/>
  <c r="O72" i="164"/>
  <c r="N97" i="164"/>
  <c r="O97" i="164"/>
  <c r="P97" i="164"/>
  <c r="O58" i="164"/>
  <c r="N58" i="164"/>
  <c r="P58" i="164"/>
  <c r="N28" i="164"/>
  <c r="P28" i="164"/>
  <c r="O28" i="164"/>
  <c r="BN428" i="164"/>
  <c r="AU220" i="164"/>
  <c r="DT313" i="168"/>
  <c r="BN429" i="164"/>
  <c r="AZ124" i="164"/>
  <c r="AU77" i="164"/>
  <c r="Y483" i="164"/>
  <c r="CO346" i="164"/>
  <c r="CU346" i="164"/>
  <c r="CU350" i="164"/>
  <c r="BL350" i="164"/>
  <c r="CW305" i="168"/>
  <c r="DF305" i="168"/>
  <c r="O305" i="168"/>
  <c r="DG305" i="168"/>
  <c r="P305" i="168"/>
  <c r="CB305" i="168" s="1"/>
  <c r="DX305" i="168"/>
  <c r="CV305" i="168"/>
  <c r="DY305" i="168"/>
  <c r="CY305" i="168"/>
  <c r="DA305" i="168"/>
  <c r="DC305" i="168"/>
  <c r="EB305" i="168"/>
  <c r="CZ305" i="168"/>
  <c r="DB305" i="168"/>
  <c r="DD305" i="168"/>
  <c r="DE305" i="168"/>
  <c r="BB305" i="168"/>
  <c r="DW305" i="168"/>
  <c r="DU305" i="168"/>
  <c r="EA305" i="168"/>
  <c r="DV305" i="168"/>
  <c r="DZ305" i="168"/>
  <c r="BE267" i="164"/>
  <c r="BM267" i="164"/>
  <c r="BD267" i="164"/>
  <c r="CW267" i="164" s="1"/>
  <c r="CC100" i="164"/>
  <c r="CD100" i="164" s="1"/>
  <c r="CH100" i="164"/>
  <c r="AR100" i="164"/>
  <c r="AS100" i="164" s="1"/>
  <c r="AT100" i="164" s="1"/>
  <c r="BI162" i="168"/>
  <c r="AM162" i="168"/>
  <c r="AK354" i="164"/>
  <c r="AL354" i="164" s="1"/>
  <c r="CP354" i="164"/>
  <c r="BN60" i="164"/>
  <c r="AM26" i="164"/>
  <c r="AU26" i="164" s="1"/>
  <c r="AN27" i="164"/>
  <c r="AM208" i="164"/>
  <c r="AU208" i="164" s="1"/>
  <c r="AN209" i="164"/>
  <c r="DL238" i="168"/>
  <c r="AN67" i="164"/>
  <c r="AM66" i="164"/>
  <c r="AU66" i="164" s="1"/>
  <c r="BN26" i="164"/>
  <c r="AM271" i="164"/>
  <c r="AU271" i="164" s="1"/>
  <c r="AN272" i="164"/>
  <c r="AP272" i="164" s="1"/>
  <c r="BE481" i="164"/>
  <c r="BM481" i="164"/>
  <c r="BD481" i="164"/>
  <c r="CW481" i="164" s="1"/>
  <c r="AU295" i="164"/>
  <c r="AJ237" i="168"/>
  <c r="BP237" i="168"/>
  <c r="AU154" i="164"/>
  <c r="AM24" i="164"/>
  <c r="AV24" i="164" s="1"/>
  <c r="AN25" i="164"/>
  <c r="N423" i="164"/>
  <c r="O423" i="164"/>
  <c r="N310" i="164"/>
  <c r="P310" i="164"/>
  <c r="O310" i="164"/>
  <c r="N183" i="164"/>
  <c r="O183" i="164"/>
  <c r="P183" i="164"/>
  <c r="CC297" i="164"/>
  <c r="CD297" i="164" s="1"/>
  <c r="CH297" i="164"/>
  <c r="AR297" i="164"/>
  <c r="AS297" i="164" s="1"/>
  <c r="AT297" i="164" s="1"/>
  <c r="Y383" i="164"/>
  <c r="G384" i="164"/>
  <c r="H384" i="164" s="1"/>
  <c r="N247" i="164"/>
  <c r="O247" i="164"/>
  <c r="CX48" i="164"/>
  <c r="AZ48" i="164"/>
  <c r="K49" i="164"/>
  <c r="L49" i="164" s="1"/>
  <c r="Z48" i="164"/>
  <c r="BM230" i="164"/>
  <c r="BE230" i="164"/>
  <c r="BD230" i="164"/>
  <c r="CW230" i="164" s="1"/>
  <c r="DN327" i="168"/>
  <c r="AN437" i="164"/>
  <c r="AP437" i="164" s="1"/>
  <c r="AM436" i="164"/>
  <c r="AV436" i="164" s="1"/>
  <c r="AU132" i="164"/>
  <c r="BE394" i="164"/>
  <c r="BM394" i="164"/>
  <c r="BD394" i="164"/>
  <c r="CW394" i="164" s="1"/>
  <c r="N503" i="164"/>
  <c r="O503" i="164"/>
  <c r="O356" i="164"/>
  <c r="N356" i="164"/>
  <c r="O337" i="164"/>
  <c r="N337" i="164"/>
  <c r="O199" i="164"/>
  <c r="P199" i="164"/>
  <c r="N199" i="164"/>
  <c r="O107" i="164"/>
  <c r="N107" i="164"/>
  <c r="P107" i="164"/>
  <c r="AN238" i="168"/>
  <c r="AO238" i="168"/>
  <c r="Y318" i="164"/>
  <c r="G319" i="164"/>
  <c r="H319" i="164" s="1"/>
  <c r="P319" i="164" s="1"/>
  <c r="BN333" i="164"/>
  <c r="AM63" i="164"/>
  <c r="AN64" i="164"/>
  <c r="AP64" i="164" s="1"/>
  <c r="AM64" i="164" s="1"/>
  <c r="AU64" i="164" s="1"/>
  <c r="BN91" i="164"/>
  <c r="AM414" i="164"/>
  <c r="AN415" i="164"/>
  <c r="AP415" i="164" s="1"/>
  <c r="N223" i="164"/>
  <c r="O223" i="164"/>
  <c r="P223" i="164"/>
  <c r="CX402" i="164"/>
  <c r="K403" i="164"/>
  <c r="L403" i="164" s="1"/>
  <c r="Z402" i="164"/>
  <c r="AZ402" i="164"/>
  <c r="BN279" i="164"/>
  <c r="AM314" i="164"/>
  <c r="AU314" i="164" s="1"/>
  <c r="AN315" i="164"/>
  <c r="CU337" i="164"/>
  <c r="BL337" i="164"/>
  <c r="Z468" i="164"/>
  <c r="K469" i="164"/>
  <c r="L469" i="164" s="1"/>
  <c r="N502" i="164"/>
  <c r="O502" i="164"/>
  <c r="O437" i="164"/>
  <c r="N437" i="164"/>
  <c r="N368" i="164"/>
  <c r="O368" i="164"/>
  <c r="N306" i="164"/>
  <c r="O306" i="164"/>
  <c r="P306" i="164"/>
  <c r="N277" i="164"/>
  <c r="O277" i="164"/>
  <c r="P277" i="164"/>
  <c r="N206" i="164"/>
  <c r="O206" i="164"/>
  <c r="N108" i="164"/>
  <c r="O108" i="164"/>
  <c r="N106" i="164"/>
  <c r="P106" i="164"/>
  <c r="O106" i="164"/>
  <c r="O32" i="164"/>
  <c r="N32" i="164"/>
  <c r="P32" i="164"/>
  <c r="CA134" i="168"/>
  <c r="W134" i="168" s="1"/>
  <c r="BE134" i="168"/>
  <c r="BG134" i="168"/>
  <c r="BF134" i="168"/>
  <c r="BN132" i="164"/>
  <c r="BN176" i="164"/>
  <c r="AV245" i="164"/>
  <c r="CX391" i="164"/>
  <c r="Z391" i="164"/>
  <c r="AZ391" i="164"/>
  <c r="AK350" i="164"/>
  <c r="AL350" i="164" s="1"/>
  <c r="CP350" i="164"/>
  <c r="AU304" i="164"/>
  <c r="AV304" i="164"/>
  <c r="DD136" i="168"/>
  <c r="DE136" i="168"/>
  <c r="DF136" i="168"/>
  <c r="DG136" i="168"/>
  <c r="CV136" i="168"/>
  <c r="DV136" i="168"/>
  <c r="CW136" i="168"/>
  <c r="O136" i="168"/>
  <c r="BB136" i="168"/>
  <c r="CY136" i="168"/>
  <c r="DY136" i="168"/>
  <c r="DA136" i="168"/>
  <c r="CZ136" i="168"/>
  <c r="DB136" i="168"/>
  <c r="DC136" i="168"/>
  <c r="DZ136" i="168"/>
  <c r="P136" i="168"/>
  <c r="CB136" i="168" s="1"/>
  <c r="EB136" i="168"/>
  <c r="DU136" i="168"/>
  <c r="EA136" i="168"/>
  <c r="DX136" i="168"/>
  <c r="DW136" i="168"/>
  <c r="BN46" i="164"/>
  <c r="BM221" i="164"/>
  <c r="BE221" i="164"/>
  <c r="BD221" i="164"/>
  <c r="CW221" i="164" s="1"/>
  <c r="BN174" i="164"/>
  <c r="AN443" i="164"/>
  <c r="AM442" i="164"/>
  <c r="AM389" i="164"/>
  <c r="AU389" i="164" s="1"/>
  <c r="AN390" i="164"/>
  <c r="AP390" i="164" s="1"/>
  <c r="AM58" i="164"/>
  <c r="AV58" i="164" s="1"/>
  <c r="AN59" i="164"/>
  <c r="BP306" i="168"/>
  <c r="DL306" i="168"/>
  <c r="DS306" i="168"/>
  <c r="DT306" i="168"/>
  <c r="DR306" i="168"/>
  <c r="DM306" i="168"/>
  <c r="AJ306" i="168"/>
  <c r="Y246" i="164"/>
  <c r="G247" i="164"/>
  <c r="H247" i="164" s="1"/>
  <c r="AM182" i="164"/>
  <c r="AU182" i="164" s="1"/>
  <c r="AN183" i="164"/>
  <c r="AP183" i="164" s="1"/>
  <c r="CM147" i="168"/>
  <c r="CP147" i="168" s="1"/>
  <c r="CN147" i="168"/>
  <c r="CS147" i="168"/>
  <c r="CK147" i="168"/>
  <c r="CQ147" i="168" s="1"/>
  <c r="O468" i="164"/>
  <c r="N468" i="164"/>
  <c r="N494" i="164"/>
  <c r="O494" i="164"/>
  <c r="N452" i="164"/>
  <c r="O452" i="164"/>
  <c r="P449" i="164"/>
  <c r="N449" i="164"/>
  <c r="O449" i="164"/>
  <c r="N403" i="164"/>
  <c r="O403" i="164"/>
  <c r="N439" i="164"/>
  <c r="O439" i="164"/>
  <c r="P439" i="164"/>
  <c r="P400" i="164"/>
  <c r="O400" i="164"/>
  <c r="N400" i="164"/>
  <c r="N346" i="164"/>
  <c r="O346" i="164"/>
  <c r="O415" i="164"/>
  <c r="N415" i="164"/>
  <c r="P415" i="164"/>
  <c r="N414" i="164"/>
  <c r="O414" i="164"/>
  <c r="P414" i="164"/>
  <c r="N336" i="164"/>
  <c r="O336" i="164"/>
  <c r="N326" i="164"/>
  <c r="O326" i="164"/>
  <c r="N319" i="164"/>
  <c r="O319" i="164"/>
  <c r="N267" i="164"/>
  <c r="P267" i="164"/>
  <c r="O267" i="164"/>
  <c r="O307" i="164"/>
  <c r="N307" i="164"/>
  <c r="P307" i="164"/>
  <c r="N281" i="164"/>
  <c r="O281" i="164"/>
  <c r="P281" i="164"/>
  <c r="N226" i="164"/>
  <c r="O226" i="164"/>
  <c r="N250" i="164"/>
  <c r="O250" i="164"/>
  <c r="N246" i="164"/>
  <c r="O246" i="164"/>
  <c r="P246" i="164"/>
  <c r="N222" i="164"/>
  <c r="O222" i="164"/>
  <c r="P222" i="164"/>
  <c r="N168" i="164"/>
  <c r="O168" i="164"/>
  <c r="P168" i="164"/>
  <c r="N155" i="164"/>
  <c r="O155" i="164"/>
  <c r="P155" i="164"/>
  <c r="O129" i="164"/>
  <c r="N129" i="164"/>
  <c r="P129" i="164"/>
  <c r="P148" i="164"/>
  <c r="N148" i="164"/>
  <c r="O148" i="164"/>
  <c r="N145" i="164"/>
  <c r="O145" i="164"/>
  <c r="P145" i="164"/>
  <c r="O80" i="164"/>
  <c r="P80" i="164"/>
  <c r="N80" i="164"/>
  <c r="O91" i="164"/>
  <c r="N91" i="164"/>
  <c r="P91" i="164"/>
  <c r="N54" i="164"/>
  <c r="O54" i="164"/>
  <c r="N87" i="164"/>
  <c r="O87" i="164"/>
  <c r="P87" i="164"/>
  <c r="N46" i="164"/>
  <c r="P46" i="164"/>
  <c r="O46" i="164"/>
  <c r="N24" i="164"/>
  <c r="P24" i="164"/>
  <c r="O24" i="164"/>
  <c r="AJ163" i="168"/>
  <c r="BP163" i="168"/>
  <c r="AN160" i="164"/>
  <c r="AP160" i="164" s="1"/>
  <c r="AM160" i="164" s="1"/>
  <c r="AV160" i="164" s="1"/>
  <c r="AM159" i="164"/>
  <c r="AU159" i="164" s="1"/>
  <c r="CC99" i="164"/>
  <c r="CD99" i="164" s="1"/>
  <c r="CH99" i="164"/>
  <c r="AR99" i="164"/>
  <c r="AS99" i="164" s="1"/>
  <c r="AT99" i="164" s="1"/>
  <c r="BN406" i="164"/>
  <c r="BD298" i="164"/>
  <c r="CW298" i="164" s="1"/>
  <c r="BE298" i="164"/>
  <c r="BM298" i="164"/>
  <c r="BE237" i="164"/>
  <c r="BD237" i="164"/>
  <c r="CW237" i="164" s="1"/>
  <c r="AM220" i="164"/>
  <c r="AV220" i="164" s="1"/>
  <c r="AN221" i="164"/>
  <c r="AP221" i="164" s="1"/>
  <c r="BD466" i="164"/>
  <c r="CW466" i="164" s="1"/>
  <c r="BE466" i="164"/>
  <c r="BM466" i="164"/>
  <c r="BN271" i="164"/>
  <c r="F313" i="168"/>
  <c r="BN252" i="164"/>
  <c r="Y422" i="164"/>
  <c r="G423" i="164"/>
  <c r="H423" i="164" s="1"/>
  <c r="P423" i="164" s="1"/>
  <c r="K416" i="164"/>
  <c r="L416" i="164" s="1"/>
  <c r="Z415" i="164"/>
  <c r="AZ415" i="164"/>
  <c r="CX415" i="164"/>
  <c r="G81" i="164"/>
  <c r="H81" i="164" s="1"/>
  <c r="P81" i="164" s="1"/>
  <c r="Y80" i="164"/>
  <c r="Z39" i="164"/>
  <c r="CX39" i="164"/>
  <c r="K40" i="164"/>
  <c r="L40" i="164" s="1"/>
  <c r="AZ39" i="164"/>
  <c r="Z222" i="164"/>
  <c r="AZ222" i="164"/>
  <c r="CX222" i="164"/>
  <c r="K223" i="164"/>
  <c r="L223" i="164" s="1"/>
  <c r="BN122" i="164"/>
  <c r="BN68" i="164"/>
  <c r="AM44" i="164"/>
  <c r="AU44" i="164" s="1"/>
  <c r="AN45" i="164"/>
  <c r="G462" i="164"/>
  <c r="H462" i="164" s="1"/>
  <c r="Y461" i="164"/>
  <c r="AN310" i="164"/>
  <c r="AP310" i="164" s="1"/>
  <c r="AM310" i="164" s="1"/>
  <c r="AM309" i="164"/>
  <c r="AU309" i="164" s="1"/>
  <c r="AU58" i="164"/>
  <c r="AU28" i="164"/>
  <c r="AV28" i="164"/>
  <c r="BP147" i="168"/>
  <c r="AJ147" i="168"/>
  <c r="DM134" i="168"/>
  <c r="DS328" i="168"/>
  <c r="AU444" i="164"/>
  <c r="AN258" i="164"/>
  <c r="AM257" i="164"/>
  <c r="AV257" i="164" s="1"/>
  <c r="BM143" i="164"/>
  <c r="AU89" i="164"/>
  <c r="DT238" i="168"/>
  <c r="BN410" i="164"/>
  <c r="AM328" i="164"/>
  <c r="AV328" i="164" s="1"/>
  <c r="AN329" i="164"/>
  <c r="AP329" i="164" s="1"/>
  <c r="AN73" i="164"/>
  <c r="AM72" i="164"/>
  <c r="BN380" i="164"/>
  <c r="AN86" i="164"/>
  <c r="AM85" i="164"/>
  <c r="AV85" i="164" s="1"/>
  <c r="BM123" i="164"/>
  <c r="CU237" i="164"/>
  <c r="BL237" i="164"/>
  <c r="BM237" i="164" s="1"/>
  <c r="AM154" i="164"/>
  <c r="AV154" i="164" s="1"/>
  <c r="AN155" i="164"/>
  <c r="AP155" i="164" s="1"/>
  <c r="BN208" i="164"/>
  <c r="N473" i="164"/>
  <c r="O473" i="164"/>
  <c r="P473" i="164"/>
  <c r="O342" i="164"/>
  <c r="N342" i="164"/>
  <c r="N233" i="164"/>
  <c r="O233" i="164"/>
  <c r="N89" i="164"/>
  <c r="O89" i="164"/>
  <c r="P89" i="164"/>
  <c r="BL339" i="164"/>
  <c r="CU339" i="164"/>
  <c r="BN180" i="164"/>
  <c r="N389" i="164"/>
  <c r="P389" i="164"/>
  <c r="O389" i="164"/>
  <c r="O314" i="164"/>
  <c r="P314" i="164"/>
  <c r="N314" i="164"/>
  <c r="N234" i="164"/>
  <c r="O234" i="164"/>
  <c r="N163" i="164"/>
  <c r="O163" i="164"/>
  <c r="O95" i="164"/>
  <c r="P95" i="164"/>
  <c r="N95" i="164"/>
  <c r="N29" i="164"/>
  <c r="P29" i="164"/>
  <c r="O29" i="164"/>
  <c r="BN393" i="164"/>
  <c r="DX313" i="168"/>
  <c r="CF313" i="168"/>
  <c r="CU140" i="168"/>
  <c r="CJ140" i="168"/>
  <c r="CW141" i="164"/>
  <c r="O324" i="164"/>
  <c r="N324" i="164"/>
  <c r="Z299" i="164"/>
  <c r="AZ299" i="164"/>
  <c r="CX299" i="164"/>
  <c r="K300" i="164"/>
  <c r="L300" i="164" s="1"/>
  <c r="AN263" i="164"/>
  <c r="AM262" i="164"/>
  <c r="AU262" i="164" s="1"/>
  <c r="CX200" i="164"/>
  <c r="AM297" i="164"/>
  <c r="AN298" i="164"/>
  <c r="AP298" i="164" s="1"/>
  <c r="AU428" i="164"/>
  <c r="AV428" i="164"/>
  <c r="CC196" i="164"/>
  <c r="CD196" i="164" s="1"/>
  <c r="CH196" i="164"/>
  <c r="AR196" i="164"/>
  <c r="AS196" i="164" s="1"/>
  <c r="AT196" i="164" s="1"/>
  <c r="BN66" i="164"/>
  <c r="N493" i="164"/>
  <c r="O493" i="164"/>
  <c r="N408" i="164"/>
  <c r="P408" i="164"/>
  <c r="O408" i="164"/>
  <c r="N343" i="164"/>
  <c r="O343" i="164"/>
  <c r="N241" i="164"/>
  <c r="O241" i="164"/>
  <c r="P241" i="164"/>
  <c r="O182" i="164"/>
  <c r="P182" i="164"/>
  <c r="N182" i="164"/>
  <c r="O48" i="164"/>
  <c r="P48" i="164"/>
  <c r="N48" i="164"/>
  <c r="Y402" i="164"/>
  <c r="G403" i="164"/>
  <c r="H403" i="164" s="1"/>
  <c r="CX147" i="168"/>
  <c r="BN154" i="164"/>
  <c r="G416" i="164"/>
  <c r="H416" i="164" s="1"/>
  <c r="P416" i="164" s="1"/>
  <c r="Y415" i="164"/>
  <c r="AN267" i="164"/>
  <c r="AP267" i="164" s="1"/>
  <c r="AM266" i="164"/>
  <c r="AU266" i="164" s="1"/>
  <c r="AN306" i="168"/>
  <c r="AO306" i="168"/>
  <c r="Y373" i="164"/>
  <c r="G374" i="164"/>
  <c r="H374" i="164" s="1"/>
  <c r="P374" i="164" s="1"/>
  <c r="AM87" i="164"/>
  <c r="AV87" i="164" s="1"/>
  <c r="AN88" i="164"/>
  <c r="N467" i="164"/>
  <c r="O467" i="164"/>
  <c r="P467" i="164"/>
  <c r="N487" i="164"/>
  <c r="O487" i="164"/>
  <c r="O461" i="164"/>
  <c r="P461" i="164"/>
  <c r="N461" i="164"/>
  <c r="N444" i="164"/>
  <c r="P444" i="164"/>
  <c r="O444" i="164"/>
  <c r="N380" i="164"/>
  <c r="O380" i="164"/>
  <c r="P380" i="164"/>
  <c r="N386" i="164"/>
  <c r="O386" i="164"/>
  <c r="N381" i="164"/>
  <c r="O381" i="164"/>
  <c r="P381" i="164"/>
  <c r="O355" i="164"/>
  <c r="N355" i="164"/>
  <c r="N334" i="164"/>
  <c r="P334" i="164"/>
  <c r="O334" i="164"/>
  <c r="N295" i="164"/>
  <c r="P295" i="164"/>
  <c r="O295" i="164"/>
  <c r="O259" i="164"/>
  <c r="P259" i="164"/>
  <c r="N259" i="164"/>
  <c r="P216" i="164"/>
  <c r="N216" i="164"/>
  <c r="O216" i="164"/>
  <c r="N237" i="164"/>
  <c r="O237" i="164"/>
  <c r="P237" i="164"/>
  <c r="N231" i="164"/>
  <c r="O231" i="164"/>
  <c r="P231" i="164"/>
  <c r="N214" i="164"/>
  <c r="O214" i="164"/>
  <c r="N190" i="164"/>
  <c r="O190" i="164"/>
  <c r="N162" i="164"/>
  <c r="O162" i="164"/>
  <c r="P162" i="164"/>
  <c r="O130" i="164"/>
  <c r="N130" i="164"/>
  <c r="P130" i="164"/>
  <c r="N103" i="164"/>
  <c r="P103" i="164"/>
  <c r="O103" i="164"/>
  <c r="O81" i="164"/>
  <c r="N81" i="164"/>
  <c r="O83" i="164"/>
  <c r="N83" i="164"/>
  <c r="O41" i="164"/>
  <c r="N41" i="164"/>
  <c r="O22" i="164"/>
  <c r="P22" i="164"/>
  <c r="N22" i="164"/>
  <c r="CX134" i="168"/>
  <c r="M331" i="168"/>
  <c r="BN274" i="164"/>
  <c r="BN457" i="164"/>
  <c r="BE162" i="164"/>
  <c r="BD162" i="164"/>
  <c r="BM162" i="164"/>
  <c r="G161" i="168"/>
  <c r="AK346" i="164"/>
  <c r="AL346" i="164" s="1"/>
  <c r="CP346" i="164"/>
  <c r="CO352" i="164"/>
  <c r="CU352" i="164"/>
  <c r="AU244" i="164"/>
  <c r="AU139" i="164"/>
  <c r="AV139" i="164"/>
  <c r="Y467" i="164"/>
  <c r="G468" i="164"/>
  <c r="H468" i="164" s="1"/>
  <c r="AZ468" i="164" s="1"/>
  <c r="Z283" i="164"/>
  <c r="CX283" i="164"/>
  <c r="K284" i="164"/>
  <c r="L284" i="164" s="1"/>
  <c r="AZ283" i="164"/>
  <c r="BN77" i="164"/>
  <c r="Y48" i="164"/>
  <c r="G49" i="164"/>
  <c r="H49" i="164" s="1"/>
  <c r="AM260" i="164"/>
  <c r="AN261" i="164"/>
  <c r="BD69" i="164"/>
  <c r="CW69" i="164" s="1"/>
  <c r="BE69" i="164"/>
  <c r="BM69" i="164"/>
  <c r="BM72" i="164"/>
  <c r="BE72" i="164"/>
  <c r="BD72" i="164"/>
  <c r="CW72" i="164" s="1"/>
  <c r="AN219" i="164"/>
  <c r="AM218" i="164"/>
  <c r="AV218" i="164" s="1"/>
  <c r="BN193" i="164"/>
  <c r="DS238" i="168"/>
  <c r="AU328" i="164"/>
  <c r="AK345" i="164"/>
  <c r="AL345" i="164" s="1"/>
  <c r="CP345" i="164"/>
  <c r="CJ228" i="168"/>
  <c r="CU228" i="168"/>
  <c r="CW229" i="164"/>
  <c r="Y450" i="164"/>
  <c r="G451" i="164"/>
  <c r="H451" i="164" s="1"/>
  <c r="P451" i="164" s="1"/>
  <c r="BN446" i="164"/>
  <c r="AK342" i="164"/>
  <c r="AL342" i="164" s="1"/>
  <c r="CP342" i="164"/>
  <c r="BN371" i="164"/>
  <c r="AU99" i="164"/>
  <c r="AV99" i="164"/>
  <c r="AM411" i="164"/>
  <c r="AU411" i="164" s="1"/>
  <c r="AN412" i="164"/>
  <c r="BD160" i="164"/>
  <c r="CW160" i="164" s="1"/>
  <c r="BE160" i="164"/>
  <c r="BM160" i="164"/>
  <c r="BL185" i="164"/>
  <c r="CU185" i="164"/>
  <c r="DG313" i="168"/>
  <c r="CV313" i="168"/>
  <c r="CW313" i="168"/>
  <c r="CY313" i="168"/>
  <c r="CZ313" i="168"/>
  <c r="DC313" i="168"/>
  <c r="DD313" i="168"/>
  <c r="DE313" i="168"/>
  <c r="DF313" i="168"/>
  <c r="DA313" i="168"/>
  <c r="DB313" i="168"/>
  <c r="P313" i="168"/>
  <c r="CB313" i="168" s="1"/>
  <c r="O313" i="168"/>
  <c r="BB313" i="168"/>
  <c r="DZ313" i="168"/>
  <c r="CU134" i="168"/>
  <c r="CJ134" i="168"/>
  <c r="CW135" i="164"/>
  <c r="N470" i="164"/>
  <c r="O470" i="164"/>
  <c r="N416" i="164"/>
  <c r="O416" i="164"/>
  <c r="N474" i="164"/>
  <c r="O474" i="164"/>
  <c r="P474" i="164"/>
  <c r="N384" i="164"/>
  <c r="O384" i="164"/>
  <c r="O361" i="164"/>
  <c r="N361" i="164"/>
  <c r="N358" i="164"/>
  <c r="O358" i="164"/>
  <c r="O288" i="164"/>
  <c r="N288" i="164"/>
  <c r="N252" i="164"/>
  <c r="O252" i="164"/>
  <c r="P252" i="164"/>
  <c r="N191" i="164"/>
  <c r="O191" i="164"/>
  <c r="N111" i="164"/>
  <c r="O111" i="164"/>
  <c r="N74" i="164"/>
  <c r="P74" i="164"/>
  <c r="O74" i="164"/>
  <c r="N60" i="164"/>
  <c r="P60" i="164"/>
  <c r="O60" i="164"/>
  <c r="AU419" i="164"/>
  <c r="G224" i="164"/>
  <c r="H224" i="164" s="1"/>
  <c r="P224" i="164" s="1"/>
  <c r="Y223" i="164"/>
  <c r="Z450" i="164"/>
  <c r="AZ450" i="164"/>
  <c r="CX450" i="164"/>
  <c r="K451" i="164"/>
  <c r="L451" i="164" s="1"/>
  <c r="AN330" i="168"/>
  <c r="AO330" i="168"/>
  <c r="K79" i="164"/>
  <c r="L79" i="164" s="1"/>
  <c r="Z78" i="164"/>
  <c r="CX78" i="164"/>
  <c r="AZ78" i="164"/>
  <c r="F331" i="168"/>
  <c r="AM254" i="164"/>
  <c r="AV254" i="164" s="1"/>
  <c r="AN255" i="164"/>
  <c r="AP255" i="164" s="1"/>
  <c r="AM238" i="168"/>
  <c r="BI238" i="168"/>
  <c r="BN135" i="164"/>
  <c r="N429" i="164"/>
  <c r="O429" i="164"/>
  <c r="P429" i="164"/>
  <c r="N239" i="164"/>
  <c r="O239" i="164"/>
  <c r="BD414" i="164"/>
  <c r="CW414" i="164" s="1"/>
  <c r="BE414" i="164"/>
  <c r="BM414" i="164"/>
  <c r="CU351" i="164"/>
  <c r="BL351" i="164"/>
  <c r="BD105" i="164"/>
  <c r="CW105" i="164" s="1"/>
  <c r="BE105" i="164"/>
  <c r="BM105" i="164"/>
  <c r="BQ327" i="168"/>
  <c r="AN460" i="164"/>
  <c r="AP460" i="164" s="1"/>
  <c r="AM459" i="164"/>
  <c r="AV459" i="164" s="1"/>
  <c r="CC60" i="164"/>
  <c r="CD60" i="164" s="1"/>
  <c r="CH60" i="164"/>
  <c r="AR60" i="164"/>
  <c r="AS60" i="164" s="1"/>
  <c r="AT60" i="164" s="1"/>
  <c r="BN472" i="164"/>
  <c r="BM63" i="164"/>
  <c r="BD63" i="164"/>
  <c r="CW63" i="164" s="1"/>
  <c r="BE63" i="164"/>
  <c r="O413" i="164"/>
  <c r="P413" i="164"/>
  <c r="N413" i="164"/>
  <c r="O333" i="164"/>
  <c r="N333" i="164"/>
  <c r="P333" i="164"/>
  <c r="O212" i="164"/>
  <c r="N212" i="164"/>
  <c r="P212" i="164"/>
  <c r="N139" i="164"/>
  <c r="O139" i="164"/>
  <c r="P139" i="164"/>
  <c r="N79" i="164"/>
  <c r="O79" i="164"/>
  <c r="P79" i="164"/>
  <c r="BP313" i="168"/>
  <c r="AJ313" i="168"/>
  <c r="AN397" i="164"/>
  <c r="AM396" i="164"/>
  <c r="AV396" i="164" s="1"/>
  <c r="AK236" i="164"/>
  <c r="AL236" i="164" s="1"/>
  <c r="CP236" i="164"/>
  <c r="AN236" i="164" s="1"/>
  <c r="AP236" i="164" s="1"/>
  <c r="DU313" i="168"/>
  <c r="O463" i="164"/>
  <c r="N463" i="164"/>
  <c r="N453" i="164"/>
  <c r="O453" i="164"/>
  <c r="O344" i="164"/>
  <c r="N344" i="164"/>
  <c r="N254" i="164"/>
  <c r="O254" i="164"/>
  <c r="P254" i="164"/>
  <c r="N264" i="164"/>
  <c r="O264" i="164"/>
  <c r="P264" i="164"/>
  <c r="O143" i="164"/>
  <c r="P143" i="164"/>
  <c r="N143" i="164"/>
  <c r="N93" i="164"/>
  <c r="P93" i="164"/>
  <c r="O93" i="164"/>
  <c r="BN276" i="164"/>
  <c r="CP348" i="164"/>
  <c r="AK348" i="164"/>
  <c r="AL348" i="164" s="1"/>
  <c r="CH245" i="164"/>
  <c r="CC245" i="164"/>
  <c r="CD245" i="164" s="1"/>
  <c r="AR245" i="164"/>
  <c r="AS245" i="164" s="1"/>
  <c r="AT245" i="164" s="1"/>
  <c r="BM47" i="164"/>
  <c r="BD47" i="164"/>
  <c r="CW47" i="164" s="1"/>
  <c r="BE47" i="164"/>
  <c r="AZ200" i="164"/>
  <c r="AV380" i="164"/>
  <c r="N506" i="164"/>
  <c r="O506" i="164"/>
  <c r="N485" i="164"/>
  <c r="O485" i="164"/>
  <c r="N425" i="164"/>
  <c r="O425" i="164"/>
  <c r="N398" i="164"/>
  <c r="O398" i="164"/>
  <c r="O318" i="164"/>
  <c r="N318" i="164"/>
  <c r="P318" i="164"/>
  <c r="N279" i="164"/>
  <c r="O279" i="164"/>
  <c r="P279" i="164"/>
  <c r="O202" i="164"/>
  <c r="N202" i="164"/>
  <c r="P146" i="164"/>
  <c r="O146" i="164"/>
  <c r="N146" i="164"/>
  <c r="N66" i="164"/>
  <c r="O66" i="164"/>
  <c r="P66" i="164"/>
  <c r="Y436" i="164"/>
  <c r="G437" i="164"/>
  <c r="H437" i="164" s="1"/>
  <c r="P437" i="164" s="1"/>
  <c r="K239" i="164"/>
  <c r="L239" i="164" s="1"/>
  <c r="K232" i="164" s="1"/>
  <c r="L232" i="164" s="1"/>
  <c r="Z238" i="164"/>
  <c r="BN264" i="164"/>
  <c r="DR313" i="168"/>
  <c r="K126" i="164"/>
  <c r="L126" i="164" s="1"/>
  <c r="Z125" i="164"/>
  <c r="CP344" i="164"/>
  <c r="AK344" i="164"/>
  <c r="AL344" i="164" s="1"/>
  <c r="DT163" i="168"/>
  <c r="BN459" i="164"/>
  <c r="G169" i="164"/>
  <c r="H169" i="164" s="1"/>
  <c r="P169" i="164" s="1"/>
  <c r="Y168" i="164"/>
  <c r="BN435" i="164"/>
  <c r="AU87" i="164"/>
  <c r="O488" i="164"/>
  <c r="N488" i="164"/>
  <c r="O491" i="164"/>
  <c r="N491" i="164"/>
  <c r="N480" i="164"/>
  <c r="O480" i="164"/>
  <c r="P480" i="164"/>
  <c r="N478" i="164"/>
  <c r="O478" i="164"/>
  <c r="P478" i="164"/>
  <c r="N436" i="164"/>
  <c r="O436" i="164"/>
  <c r="P436" i="164"/>
  <c r="N433" i="164"/>
  <c r="P433" i="164"/>
  <c r="O433" i="164"/>
  <c r="N422" i="164"/>
  <c r="O422" i="164"/>
  <c r="P422" i="164"/>
  <c r="N451" i="164"/>
  <c r="O451" i="164"/>
  <c r="N378" i="164"/>
  <c r="O378" i="164"/>
  <c r="N371" i="164"/>
  <c r="P371" i="164"/>
  <c r="O371" i="164"/>
  <c r="N377" i="164"/>
  <c r="O377" i="164"/>
  <c r="O340" i="164"/>
  <c r="N340" i="164"/>
  <c r="N330" i="164"/>
  <c r="O330" i="164"/>
  <c r="P330" i="164"/>
  <c r="O309" i="164"/>
  <c r="N309" i="164"/>
  <c r="P309" i="164"/>
  <c r="N293" i="164"/>
  <c r="P293" i="164"/>
  <c r="O293" i="164"/>
  <c r="O272" i="164"/>
  <c r="N272" i="164"/>
  <c r="P272" i="164"/>
  <c r="N312" i="164"/>
  <c r="P312" i="164"/>
  <c r="O312" i="164"/>
  <c r="P268" i="164"/>
  <c r="O268" i="164"/>
  <c r="N268" i="164"/>
  <c r="N285" i="164"/>
  <c r="O285" i="164"/>
  <c r="N230" i="164"/>
  <c r="O230" i="164"/>
  <c r="P230" i="164"/>
  <c r="P197" i="164"/>
  <c r="N197" i="164"/>
  <c r="O197" i="164"/>
  <c r="O167" i="164"/>
  <c r="P167" i="164"/>
  <c r="N167" i="164"/>
  <c r="N186" i="164"/>
  <c r="O186" i="164"/>
  <c r="N172" i="164"/>
  <c r="O172" i="164"/>
  <c r="P156" i="164"/>
  <c r="N156" i="164"/>
  <c r="O156" i="164"/>
  <c r="N152" i="164"/>
  <c r="O152" i="164"/>
  <c r="N109" i="164"/>
  <c r="O109" i="164"/>
  <c r="N78" i="164"/>
  <c r="O78" i="164"/>
  <c r="P78" i="164"/>
  <c r="O71" i="164"/>
  <c r="N71" i="164"/>
  <c r="P71" i="164"/>
  <c r="N82" i="164"/>
  <c r="O82" i="164"/>
  <c r="N40" i="164"/>
  <c r="O40" i="164"/>
  <c r="O26" i="164"/>
  <c r="P26" i="164"/>
  <c r="N26" i="164"/>
  <c r="Y39" i="164"/>
  <c r="G40" i="164"/>
  <c r="H40" i="164" s="1"/>
  <c r="Y118" i="164"/>
  <c r="BN158" i="164"/>
  <c r="AK326" i="164"/>
  <c r="AL326" i="164" s="1"/>
  <c r="CP326" i="164"/>
  <c r="BN297" i="164"/>
  <c r="DQ313" i="168"/>
  <c r="AM457" i="164"/>
  <c r="AU457" i="164" s="1"/>
  <c r="AN458" i="164"/>
  <c r="AU436" i="164"/>
  <c r="AO313" i="168"/>
  <c r="AN313" i="168"/>
  <c r="BN218" i="164"/>
  <c r="BE390" i="164"/>
  <c r="BM390" i="164"/>
  <c r="BD390" i="164"/>
  <c r="CW390" i="164" s="1"/>
  <c r="AN194" i="164"/>
  <c r="AP194" i="164" s="1"/>
  <c r="AM193" i="164"/>
  <c r="CP357" i="164"/>
  <c r="AK357" i="164"/>
  <c r="AL357" i="164" s="1"/>
  <c r="BM178" i="164"/>
  <c r="AK151" i="164"/>
  <c r="AL151" i="164" s="1"/>
  <c r="CP151" i="164"/>
  <c r="AN151" i="164" s="1"/>
  <c r="AP151" i="164" s="1"/>
  <c r="G327" i="168"/>
  <c r="BD328" i="164"/>
  <c r="BE328" i="164"/>
  <c r="BM328" i="164"/>
  <c r="AN163" i="164"/>
  <c r="AP163" i="164" s="1"/>
  <c r="AM162" i="164"/>
  <c r="AV162" i="164" s="1"/>
  <c r="BN245" i="164"/>
  <c r="BI330" i="168"/>
  <c r="AM330" i="168"/>
  <c r="AN230" i="164"/>
  <c r="AP230" i="164" s="1"/>
  <c r="AM229" i="164"/>
  <c r="AU229" i="164" s="1"/>
  <c r="BE407" i="164"/>
  <c r="N161" i="168"/>
  <c r="AL161" i="168"/>
  <c r="AK161" i="168"/>
  <c r="Z421" i="164"/>
  <c r="K422" i="164"/>
  <c r="L422" i="164" s="1"/>
  <c r="AZ421" i="164"/>
  <c r="CX421" i="164"/>
  <c r="BN44" i="164"/>
  <c r="BR161" i="168"/>
  <c r="BX161" i="168" s="1"/>
  <c r="BW161" i="168"/>
  <c r="CH161" i="168" s="1"/>
  <c r="O348" i="164"/>
  <c r="N348" i="164"/>
  <c r="O248" i="164"/>
  <c r="N248" i="164"/>
  <c r="N52" i="164"/>
  <c r="O52" i="164"/>
  <c r="BN259" i="164"/>
  <c r="BN413" i="164"/>
  <c r="AN23" i="164"/>
  <c r="AM22" i="164"/>
  <c r="AU22" i="164" s="1"/>
  <c r="BD133" i="164"/>
  <c r="CW133" i="164" s="1"/>
  <c r="BE133" i="164"/>
  <c r="BM133" i="164"/>
  <c r="E11" i="169"/>
  <c r="G11" i="169" s="1"/>
  <c r="G45" i="169" s="1"/>
  <c r="F529" i="168"/>
  <c r="N469" i="164"/>
  <c r="O469" i="164"/>
  <c r="N169" i="164"/>
  <c r="O169" i="164"/>
  <c r="CX183" i="164"/>
  <c r="AZ183" i="164"/>
  <c r="Z183" i="164"/>
  <c r="AM472" i="164"/>
  <c r="AU472" i="164" s="1"/>
  <c r="AN473" i="164"/>
  <c r="AP473" i="164" s="1"/>
  <c r="Y30" i="164"/>
  <c r="Y408" i="164"/>
  <c r="G484" i="164"/>
  <c r="H484" i="164" s="1"/>
  <c r="BN216" i="164"/>
  <c r="BD103" i="164"/>
  <c r="CW103" i="164" s="1"/>
  <c r="BE103" i="164"/>
  <c r="BM103" i="164"/>
  <c r="CU313" i="168"/>
  <c r="CJ313" i="168"/>
  <c r="CW314" i="164"/>
  <c r="N481" i="164"/>
  <c r="P481" i="164"/>
  <c r="O481" i="164"/>
  <c r="N505" i="164"/>
  <c r="O505" i="164"/>
  <c r="N472" i="164"/>
  <c r="O472" i="164"/>
  <c r="P472" i="164"/>
  <c r="N459" i="164"/>
  <c r="O459" i="164"/>
  <c r="P459" i="164"/>
  <c r="O407" i="164"/>
  <c r="N407" i="164"/>
  <c r="P407" i="164"/>
  <c r="O406" i="164"/>
  <c r="N406" i="164"/>
  <c r="P406" i="164"/>
  <c r="N394" i="164"/>
  <c r="O394" i="164"/>
  <c r="P394" i="164"/>
  <c r="N448" i="164"/>
  <c r="O448" i="164"/>
  <c r="P448" i="164"/>
  <c r="N365" i="164"/>
  <c r="O365" i="164"/>
  <c r="N367" i="164"/>
  <c r="O367" i="164"/>
  <c r="N374" i="164"/>
  <c r="O374" i="164"/>
  <c r="N354" i="164"/>
  <c r="O354" i="164"/>
  <c r="N350" i="164"/>
  <c r="O350" i="164"/>
  <c r="O255" i="164"/>
  <c r="N255" i="164"/>
  <c r="N302" i="164"/>
  <c r="O302" i="164"/>
  <c r="N271" i="164"/>
  <c r="O271" i="164"/>
  <c r="P271" i="164"/>
  <c r="N301" i="164"/>
  <c r="O301" i="164"/>
  <c r="O300" i="164"/>
  <c r="P300" i="164"/>
  <c r="N300" i="164"/>
  <c r="N274" i="164"/>
  <c r="O274" i="164"/>
  <c r="P274" i="164"/>
  <c r="N224" i="164"/>
  <c r="O224" i="164"/>
  <c r="O211" i="164"/>
  <c r="N211" i="164"/>
  <c r="P211" i="164"/>
  <c r="N200" i="164"/>
  <c r="O200" i="164"/>
  <c r="P200" i="164"/>
  <c r="O180" i="164"/>
  <c r="P180" i="164"/>
  <c r="N180" i="164"/>
  <c r="N133" i="164"/>
  <c r="O133" i="164"/>
  <c r="P133" i="164"/>
  <c r="O135" i="164"/>
  <c r="N135" i="164"/>
  <c r="P135" i="164"/>
  <c r="N132" i="164"/>
  <c r="P132" i="164"/>
  <c r="O132" i="164"/>
  <c r="O124" i="164"/>
  <c r="N124" i="164"/>
  <c r="P124" i="164"/>
  <c r="N69" i="164"/>
  <c r="O69" i="164"/>
  <c r="P69" i="164"/>
  <c r="N63" i="164"/>
  <c r="P63" i="164"/>
  <c r="O63" i="164"/>
  <c r="O64" i="164"/>
  <c r="N64" i="164"/>
  <c r="P64" i="164"/>
  <c r="O39" i="164"/>
  <c r="N39" i="164"/>
  <c r="P39" i="164"/>
  <c r="AN69" i="164"/>
  <c r="AP69" i="164" s="1"/>
  <c r="AM68" i="164"/>
  <c r="DV313" i="168"/>
  <c r="BL326" i="164"/>
  <c r="CU326" i="164"/>
  <c r="BM205" i="164"/>
  <c r="BD205" i="164"/>
  <c r="CW205" i="164" s="1"/>
  <c r="BE205" i="164"/>
  <c r="DP313" i="168"/>
  <c r="BM293" i="164"/>
  <c r="BD293" i="164"/>
  <c r="CW293" i="164" s="1"/>
  <c r="BE293" i="164"/>
  <c r="Z268" i="164"/>
  <c r="AZ268" i="164"/>
  <c r="CX268" i="164"/>
  <c r="K269" i="164"/>
  <c r="L269" i="164" s="1"/>
  <c r="AN79" i="164"/>
  <c r="AP79" i="164" s="1"/>
  <c r="AM78" i="164"/>
  <c r="AU78" i="164" s="1"/>
  <c r="BN431" i="164"/>
  <c r="G239" i="164"/>
  <c r="H239" i="164" s="1"/>
  <c r="P239" i="164" s="1"/>
  <c r="Y238" i="164"/>
  <c r="BN93" i="164"/>
  <c r="BM28" i="164"/>
  <c r="BL151" i="164"/>
  <c r="CU151" i="164"/>
  <c r="AV413" i="164"/>
  <c r="AU193" i="164"/>
  <c r="AV193" i="164"/>
  <c r="BN309" i="164"/>
  <c r="DJ503" i="168"/>
  <c r="AM60" i="164"/>
  <c r="AN61" i="164"/>
  <c r="AU137" i="164"/>
  <c r="AV137" i="164"/>
  <c r="BE245" i="164"/>
  <c r="BP328" i="168"/>
  <c r="AJ328" i="168"/>
  <c r="AA228" i="168"/>
  <c r="BN129" i="164"/>
  <c r="AM455" i="164"/>
  <c r="AU455" i="164" s="1"/>
  <c r="AN456" i="164"/>
  <c r="BM307" i="164"/>
  <c r="BD307" i="164"/>
  <c r="BE307" i="164"/>
  <c r="G306" i="168"/>
  <c r="AV158" i="164"/>
  <c r="BP148" i="168"/>
  <c r="AJ148" i="168"/>
  <c r="BM420" i="164"/>
  <c r="BE420" i="164"/>
  <c r="BD420" i="164"/>
  <c r="CW420" i="164" s="1"/>
  <c r="AN253" i="164"/>
  <c r="AM252" i="164"/>
  <c r="AU252" i="164" s="1"/>
  <c r="BM432" i="164"/>
  <c r="DO161" i="168"/>
  <c r="AK185" i="164"/>
  <c r="AL185" i="164" s="1"/>
  <c r="CP185" i="164"/>
  <c r="AU135" i="164"/>
  <c r="AV135" i="164"/>
  <c r="O460" i="164"/>
  <c r="P460" i="164"/>
  <c r="N460" i="164"/>
  <c r="N496" i="164"/>
  <c r="O496" i="164"/>
  <c r="N501" i="164"/>
  <c r="O501" i="164"/>
  <c r="P476" i="164"/>
  <c r="N476" i="164"/>
  <c r="O476" i="164"/>
  <c r="N385" i="164"/>
  <c r="O385" i="164"/>
  <c r="N366" i="164"/>
  <c r="O366" i="164"/>
  <c r="O322" i="164"/>
  <c r="N322" i="164"/>
  <c r="P262" i="164"/>
  <c r="N262" i="164"/>
  <c r="O262" i="164"/>
  <c r="N287" i="164"/>
  <c r="O287" i="164"/>
  <c r="N193" i="164"/>
  <c r="O193" i="164"/>
  <c r="P193" i="164"/>
  <c r="N174" i="164"/>
  <c r="O174" i="164"/>
  <c r="P174" i="164"/>
  <c r="N117" i="164"/>
  <c r="O117" i="164"/>
  <c r="P117" i="164"/>
  <c r="N42" i="164"/>
  <c r="O42" i="164"/>
  <c r="BM448" i="164"/>
  <c r="AM199" i="164"/>
  <c r="AV199" i="164" s="1"/>
  <c r="AN200" i="164"/>
  <c r="AP200" i="164" s="1"/>
  <c r="AO305" i="168"/>
  <c r="AN305" i="168"/>
  <c r="BD159" i="164"/>
  <c r="CW159" i="164" s="1"/>
  <c r="BE159" i="164"/>
  <c r="BM159" i="164"/>
  <c r="AN282" i="164"/>
  <c r="AP282" i="164" s="1"/>
  <c r="AM281" i="164"/>
  <c r="AU281" i="164" s="1"/>
  <c r="AN130" i="164"/>
  <c r="AP130" i="164" s="1"/>
  <c r="AM129" i="164"/>
  <c r="AU129" i="164" s="1"/>
  <c r="AN123" i="164"/>
  <c r="AP123" i="164" s="1"/>
  <c r="AM122" i="164"/>
  <c r="AU122" i="164" s="1"/>
  <c r="AN402" i="164"/>
  <c r="AP402" i="164" s="1"/>
  <c r="AM401" i="164"/>
  <c r="AV401" i="164" s="1"/>
  <c r="AM174" i="164"/>
  <c r="AV174" i="164" s="1"/>
  <c r="AN175" i="164"/>
  <c r="BD87" i="164"/>
  <c r="CW87" i="164" s="1"/>
  <c r="BE87" i="164"/>
  <c r="BM87" i="164"/>
  <c r="BM473" i="164"/>
  <c r="BE473" i="164"/>
  <c r="BD473" i="164"/>
  <c r="CW473" i="164" s="1"/>
  <c r="F305" i="168"/>
  <c r="O489" i="164"/>
  <c r="N489" i="164"/>
  <c r="N170" i="164"/>
  <c r="O170" i="164"/>
  <c r="BN71" i="164"/>
  <c r="AM95" i="164"/>
  <c r="AV95" i="164" s="1"/>
  <c r="AN96" i="164"/>
  <c r="BN439" i="164"/>
  <c r="Y194" i="164"/>
  <c r="P457" i="164"/>
  <c r="N457" i="164"/>
  <c r="O457" i="164"/>
  <c r="P466" i="164"/>
  <c r="N466" i="164"/>
  <c r="O466" i="164"/>
  <c r="P419" i="164"/>
  <c r="O419" i="164"/>
  <c r="N419" i="164"/>
  <c r="O352" i="164"/>
  <c r="N352" i="164"/>
  <c r="O353" i="164"/>
  <c r="N353" i="164"/>
  <c r="N238" i="164"/>
  <c r="O238" i="164"/>
  <c r="P238" i="164"/>
  <c r="N205" i="164"/>
  <c r="O205" i="164"/>
  <c r="P205" i="164"/>
  <c r="P141" i="164"/>
  <c r="O141" i="164"/>
  <c r="N141" i="164"/>
  <c r="N99" i="164"/>
  <c r="P99" i="164"/>
  <c r="O99" i="164"/>
  <c r="BE155" i="164"/>
  <c r="BM155" i="164"/>
  <c r="BD155" i="164"/>
  <c r="CW155" i="164" s="1"/>
  <c r="BM401" i="164"/>
  <c r="BD401" i="164"/>
  <c r="CW401" i="164" s="1"/>
  <c r="BE401" i="164"/>
  <c r="BN478" i="164"/>
  <c r="AU297" i="164"/>
  <c r="AV297" i="164"/>
  <c r="AM120" i="164"/>
  <c r="AV120" i="164" s="1"/>
  <c r="AN121" i="164"/>
  <c r="DR134" i="168"/>
  <c r="AZ482" i="164"/>
  <c r="Z482" i="164"/>
  <c r="CX482" i="164"/>
  <c r="K483" i="164"/>
  <c r="L483" i="164" s="1"/>
  <c r="BL341" i="164"/>
  <c r="CU341" i="164"/>
  <c r="F161" i="168"/>
  <c r="AM393" i="164"/>
  <c r="AN394" i="164"/>
  <c r="AP394" i="164" s="1"/>
  <c r="N498" i="164"/>
  <c r="O498" i="164"/>
  <c r="O432" i="164"/>
  <c r="P432" i="164"/>
  <c r="N432" i="164"/>
  <c r="N382" i="164"/>
  <c r="P382" i="164"/>
  <c r="O382" i="164"/>
  <c r="N401" i="164"/>
  <c r="O401" i="164"/>
  <c r="P401" i="164"/>
  <c r="N376" i="164"/>
  <c r="O376" i="164"/>
  <c r="N372" i="164"/>
  <c r="P372" i="164"/>
  <c r="O372" i="164"/>
  <c r="N338" i="164"/>
  <c r="O338" i="164"/>
  <c r="P292" i="164"/>
  <c r="O292" i="164"/>
  <c r="N292" i="164"/>
  <c r="N232" i="164"/>
  <c r="O232" i="164"/>
  <c r="N220" i="164"/>
  <c r="O220" i="164"/>
  <c r="P220" i="164"/>
  <c r="N201" i="164"/>
  <c r="O201" i="164"/>
  <c r="O151" i="164"/>
  <c r="N151" i="164"/>
  <c r="P151" i="164"/>
  <c r="O85" i="164"/>
  <c r="P85" i="164"/>
  <c r="N85" i="164"/>
  <c r="P77" i="164"/>
  <c r="N77" i="164"/>
  <c r="O77" i="164"/>
  <c r="N47" i="164"/>
  <c r="O47" i="164"/>
  <c r="P47" i="164"/>
  <c r="AV91" i="164"/>
  <c r="Z106" i="164"/>
  <c r="CX106" i="164"/>
  <c r="K107" i="164"/>
  <c r="L107" i="164" s="1"/>
  <c r="AZ106" i="164"/>
  <c r="AM431" i="164"/>
  <c r="AU431" i="164" s="1"/>
  <c r="AN432" i="164"/>
  <c r="AP432" i="164" s="1"/>
  <c r="N490" i="164"/>
  <c r="O490" i="164"/>
  <c r="N455" i="164"/>
  <c r="P455" i="164"/>
  <c r="O455" i="164"/>
  <c r="O363" i="164"/>
  <c r="N363" i="164"/>
  <c r="N328" i="164"/>
  <c r="P328" i="164"/>
  <c r="O328" i="164"/>
  <c r="P244" i="164"/>
  <c r="O244" i="164"/>
  <c r="N244" i="164"/>
  <c r="O189" i="164"/>
  <c r="N189" i="164"/>
  <c r="O171" i="164"/>
  <c r="N171" i="164"/>
  <c r="P118" i="164"/>
  <c r="O118" i="164"/>
  <c r="N118" i="164"/>
  <c r="O62" i="164"/>
  <c r="N62" i="164"/>
  <c r="P62" i="164"/>
  <c r="AK355" i="164"/>
  <c r="AL355" i="164" s="1"/>
  <c r="CP355" i="164"/>
  <c r="BD149" i="164"/>
  <c r="BE149" i="164"/>
  <c r="BM149" i="164"/>
  <c r="G148" i="168"/>
  <c r="BN476" i="164"/>
  <c r="CU344" i="164"/>
  <c r="BL344" i="164"/>
  <c r="BN281" i="164"/>
  <c r="AN440" i="164"/>
  <c r="AM439" i="164"/>
  <c r="AU439" i="164" s="1"/>
  <c r="Y331" i="164"/>
  <c r="Z163" i="164"/>
  <c r="AU306" i="164"/>
  <c r="Z474" i="164"/>
  <c r="AZ474" i="164"/>
  <c r="CX474" i="164"/>
  <c r="BN314" i="164"/>
  <c r="O495" i="164"/>
  <c r="N495" i="164"/>
  <c r="N499" i="164"/>
  <c r="O499" i="164"/>
  <c r="N421" i="164"/>
  <c r="O421" i="164"/>
  <c r="P421" i="164"/>
  <c r="N446" i="164"/>
  <c r="O446" i="164"/>
  <c r="P446" i="164"/>
  <c r="P402" i="164"/>
  <c r="N402" i="164"/>
  <c r="O402" i="164"/>
  <c r="N396" i="164"/>
  <c r="O396" i="164"/>
  <c r="P396" i="164"/>
  <c r="N393" i="164"/>
  <c r="O393" i="164"/>
  <c r="P393" i="164"/>
  <c r="N426" i="164"/>
  <c r="O426" i="164"/>
  <c r="N373" i="164"/>
  <c r="P373" i="164"/>
  <c r="O373" i="164"/>
  <c r="O360" i="164"/>
  <c r="N360" i="164"/>
  <c r="N345" i="164"/>
  <c r="O345" i="164"/>
  <c r="N351" i="164"/>
  <c r="O351" i="164"/>
  <c r="N341" i="164"/>
  <c r="O341" i="164"/>
  <c r="P317" i="164"/>
  <c r="N317" i="164"/>
  <c r="O317" i="164"/>
  <c r="P299" i="164"/>
  <c r="N299" i="164"/>
  <c r="O299" i="164"/>
  <c r="N283" i="164"/>
  <c r="O283" i="164"/>
  <c r="P283" i="164"/>
  <c r="N290" i="164"/>
  <c r="O290" i="164"/>
  <c r="P297" i="164"/>
  <c r="O297" i="164"/>
  <c r="N297" i="164"/>
  <c r="N266" i="164"/>
  <c r="O266" i="164"/>
  <c r="P266" i="164"/>
  <c r="P269" i="164"/>
  <c r="N269" i="164"/>
  <c r="O269" i="164"/>
  <c r="N204" i="164"/>
  <c r="O204" i="164"/>
  <c r="P204" i="164"/>
  <c r="O159" i="164"/>
  <c r="P159" i="164"/>
  <c r="N159" i="164"/>
  <c r="N185" i="164"/>
  <c r="O185" i="164"/>
  <c r="N176" i="164"/>
  <c r="O176" i="164"/>
  <c r="P176" i="164"/>
  <c r="O149" i="164"/>
  <c r="N149" i="164"/>
  <c r="P149" i="164"/>
  <c r="O123" i="164"/>
  <c r="N123" i="164"/>
  <c r="P123" i="164"/>
  <c r="N120" i="164"/>
  <c r="P120" i="164"/>
  <c r="O120" i="164"/>
  <c r="O56" i="164"/>
  <c r="N56" i="164"/>
  <c r="N53" i="164"/>
  <c r="O53" i="164"/>
  <c r="N44" i="164"/>
  <c r="P44" i="164"/>
  <c r="O44" i="164"/>
  <c r="N50" i="164"/>
  <c r="O50" i="164"/>
  <c r="DT155" i="168"/>
  <c r="AJ155" i="168"/>
  <c r="DM155" i="168"/>
  <c r="DQ155" i="168"/>
  <c r="DR155" i="168"/>
  <c r="DL155" i="168"/>
  <c r="DP155" i="168"/>
  <c r="DS155" i="168"/>
  <c r="BP155" i="168"/>
  <c r="AM478" i="164"/>
  <c r="AV478" i="164" s="1"/>
  <c r="AN479" i="164"/>
  <c r="CP339" i="164"/>
  <c r="AK339" i="164"/>
  <c r="AL339" i="164" s="1"/>
  <c r="AN277" i="164"/>
  <c r="AP277" i="164" s="1"/>
  <c r="AM276" i="164"/>
  <c r="AU276" i="164" s="1"/>
  <c r="AU381" i="164"/>
  <c r="F329" i="168"/>
  <c r="AN327" i="168"/>
  <c r="AO327" i="168"/>
  <c r="AU406" i="164"/>
  <c r="AV406" i="164"/>
  <c r="BL342" i="164"/>
  <c r="CU342" i="164"/>
  <c r="CX242" i="164"/>
  <c r="Z242" i="164"/>
  <c r="AZ242" i="164"/>
  <c r="Y160" i="164"/>
  <c r="G163" i="164"/>
  <c r="H163" i="164" s="1"/>
  <c r="AZ163" i="164" s="1"/>
  <c r="AN144" i="164"/>
  <c r="AM143" i="164"/>
  <c r="AU143" i="164" s="1"/>
  <c r="BE38" i="164"/>
  <c r="BM38" i="164"/>
  <c r="BD38" i="164"/>
  <c r="CW38" i="164" s="1"/>
  <c r="BM282" i="164"/>
  <c r="BE282" i="164"/>
  <c r="BD282" i="164"/>
  <c r="CW282" i="164" s="1"/>
  <c r="BD260" i="164"/>
  <c r="CW260" i="164" s="1"/>
  <c r="BE260" i="164"/>
  <c r="BM260" i="164"/>
  <c r="CX231" i="164"/>
  <c r="Z231" i="164"/>
  <c r="AZ231" i="164"/>
  <c r="BN120" i="164"/>
  <c r="BD449" i="164"/>
  <c r="CW449" i="164" s="1"/>
  <c r="BE449" i="164"/>
  <c r="BM449" i="164"/>
  <c r="Z329" i="164"/>
  <c r="K330" i="164"/>
  <c r="L330" i="164" s="1"/>
  <c r="CX329" i="164"/>
  <c r="AZ329" i="164"/>
  <c r="CZ140" i="168"/>
  <c r="DA140" i="168"/>
  <c r="DB140" i="168"/>
  <c r="DC140" i="168"/>
  <c r="DD140" i="168"/>
  <c r="DE140" i="168"/>
  <c r="DF140" i="168"/>
  <c r="DG140" i="168"/>
  <c r="CW140" i="168"/>
  <c r="CV140" i="168"/>
  <c r="BB140" i="168"/>
  <c r="CY140" i="168"/>
  <c r="DW140" i="168"/>
  <c r="DY140" i="168"/>
  <c r="DV140" i="168"/>
  <c r="EB140" i="168"/>
  <c r="DU140" i="168"/>
  <c r="P140" i="168"/>
  <c r="CB140" i="168" s="1"/>
  <c r="DZ140" i="168"/>
  <c r="DX140" i="168"/>
  <c r="EA140" i="168"/>
  <c r="O140" i="168"/>
  <c r="AN466" i="164"/>
  <c r="AP466" i="164" s="1"/>
  <c r="AM465" i="164"/>
  <c r="AU465" i="164" s="1"/>
  <c r="DL134" i="168"/>
  <c r="AJ162" i="168"/>
  <c r="BP162" i="168"/>
  <c r="DM328" i="168"/>
  <c r="CX212" i="164"/>
  <c r="AN101" i="164"/>
  <c r="AM100" i="164"/>
  <c r="AV100" i="164" s="1"/>
  <c r="AU115" i="164"/>
  <c r="CX194" i="164"/>
  <c r="BD194" i="164" s="1"/>
  <c r="CW194" i="164" s="1"/>
  <c r="Z336" i="164"/>
  <c r="K337" i="164"/>
  <c r="L337" i="164" s="1"/>
  <c r="CO345" i="164"/>
  <c r="CU345" i="164"/>
  <c r="BM334" i="164"/>
  <c r="AM242" i="164"/>
  <c r="AU242" i="164" s="1"/>
  <c r="AN243" i="164"/>
  <c r="BN37" i="164"/>
  <c r="M155" i="168"/>
  <c r="AU410" i="164"/>
  <c r="F228" i="168"/>
  <c r="BN24" i="164"/>
  <c r="AU264" i="164"/>
  <c r="AV264" i="164"/>
  <c r="AU400" i="164"/>
  <c r="AV400" i="164"/>
  <c r="CV228" i="168"/>
  <c r="DV228" i="168"/>
  <c r="DX228" i="168"/>
  <c r="O228" i="168"/>
  <c r="BB228" i="168"/>
  <c r="CY228" i="168"/>
  <c r="DY228" i="168"/>
  <c r="P228" i="168"/>
  <c r="CB228" i="168" s="1"/>
  <c r="CZ228" i="168"/>
  <c r="DZ228" i="168"/>
  <c r="DA228" i="168"/>
  <c r="EA228" i="168"/>
  <c r="DC228" i="168"/>
  <c r="DE228" i="168"/>
  <c r="DG228" i="168"/>
  <c r="DW228" i="168"/>
  <c r="DB228" i="168"/>
  <c r="CW228" i="168"/>
  <c r="DD228" i="168"/>
  <c r="DF228" i="168"/>
  <c r="DU228" i="168"/>
  <c r="EB228" i="168"/>
  <c r="D128" i="56"/>
  <c r="C128" i="56"/>
  <c r="B128" i="56"/>
  <c r="Q128" i="56" s="1"/>
  <c r="D126" i="56"/>
  <c r="C126" i="56"/>
  <c r="B126" i="56"/>
  <c r="Q126" i="56" s="1"/>
  <c r="E124" i="56"/>
  <c r="E126" i="56"/>
  <c r="E128" i="56"/>
  <c r="D124" i="56"/>
  <c r="C124" i="56"/>
  <c r="B124" i="56"/>
  <c r="Q124" i="56" s="1"/>
  <c r="G1056" i="57"/>
  <c r="D1054" i="57"/>
  <c r="D1053" i="57"/>
  <c r="E1052" i="57"/>
  <c r="F1052" i="57" s="1"/>
  <c r="D1052" i="57"/>
  <c r="G1038" i="57"/>
  <c r="D1036" i="57"/>
  <c r="C1036" i="57"/>
  <c r="D1035" i="57"/>
  <c r="C1035" i="57"/>
  <c r="E1034" i="57"/>
  <c r="F1034" i="57" s="1"/>
  <c r="D1034" i="57"/>
  <c r="G1020" i="57"/>
  <c r="D1018" i="57"/>
  <c r="C1018" i="57"/>
  <c r="D1017" i="57"/>
  <c r="C1017" i="57"/>
  <c r="E1016" i="57"/>
  <c r="F1016" i="57" s="1"/>
  <c r="F1020" i="57" s="1"/>
  <c r="Z124" i="56" s="1"/>
  <c r="D1016" i="57"/>
  <c r="D82" i="56"/>
  <c r="C82" i="56"/>
  <c r="B82" i="56"/>
  <c r="Q82" i="56" s="1"/>
  <c r="H636" i="57"/>
  <c r="F636" i="57"/>
  <c r="D635" i="57"/>
  <c r="D634" i="57"/>
  <c r="D80" i="56"/>
  <c r="C80" i="56"/>
  <c r="B80" i="56"/>
  <c r="Q80" i="56" s="1"/>
  <c r="H622" i="57"/>
  <c r="F622" i="57"/>
  <c r="D621" i="57"/>
  <c r="D620" i="57"/>
  <c r="D78" i="56"/>
  <c r="C78" i="56"/>
  <c r="B78" i="56"/>
  <c r="Q78" i="56" s="1"/>
  <c r="H608" i="57"/>
  <c r="F608" i="57"/>
  <c r="D607" i="57"/>
  <c r="D606" i="57"/>
  <c r="BD467" i="164" l="1"/>
  <c r="CW467" i="164" s="1"/>
  <c r="BE467" i="164"/>
  <c r="AM32" i="164"/>
  <c r="AU32" i="164" s="1"/>
  <c r="AU24" i="164"/>
  <c r="AV182" i="164"/>
  <c r="M503" i="168"/>
  <c r="AV46" i="164"/>
  <c r="DM136" i="168"/>
  <c r="N327" i="168"/>
  <c r="Y327" i="168" s="1"/>
  <c r="DN140" i="168"/>
  <c r="DP140" i="168" s="1"/>
  <c r="AL327" i="168"/>
  <c r="DO147" i="168"/>
  <c r="N330" i="168"/>
  <c r="BS330" i="168" s="1"/>
  <c r="AL330" i="168"/>
  <c r="N140" i="168"/>
  <c r="BW140" i="168" s="1"/>
  <c r="CH140" i="168" s="1"/>
  <c r="AL140" i="168"/>
  <c r="DR136" i="168"/>
  <c r="DS136" i="168"/>
  <c r="BP136" i="168"/>
  <c r="BQ136" i="168" s="1"/>
  <c r="AJ136" i="168"/>
  <c r="AL136" i="168" s="1"/>
  <c r="DQ330" i="168"/>
  <c r="DO330" i="168"/>
  <c r="DT136" i="168"/>
  <c r="AZ462" i="164"/>
  <c r="BM462" i="164" s="1"/>
  <c r="BE461" i="164"/>
  <c r="BD461" i="164"/>
  <c r="CW461" i="164" s="1"/>
  <c r="CX228" i="168"/>
  <c r="AV178" i="164"/>
  <c r="AU174" i="164"/>
  <c r="AZ247" i="164"/>
  <c r="BM247" i="164" s="1"/>
  <c r="AP305" i="168"/>
  <c r="AU199" i="164"/>
  <c r="AU85" i="164"/>
  <c r="AV411" i="164"/>
  <c r="AV242" i="164"/>
  <c r="CX213" i="164"/>
  <c r="AZ213" i="164"/>
  <c r="BM213" i="164" s="1"/>
  <c r="Z213" i="164"/>
  <c r="K214" i="164"/>
  <c r="L214" i="164" s="1"/>
  <c r="Z214" i="164" s="1"/>
  <c r="BE246" i="164"/>
  <c r="BD212" i="164"/>
  <c r="CW212" i="164" s="1"/>
  <c r="CX247" i="164"/>
  <c r="K248" i="164"/>
  <c r="L248" i="164" s="1"/>
  <c r="K249" i="164" s="1"/>
  <c r="L249" i="164" s="1"/>
  <c r="Z247" i="164"/>
  <c r="BD246" i="164"/>
  <c r="CW246" i="164" s="1"/>
  <c r="BE436" i="164"/>
  <c r="BD436" i="164"/>
  <c r="CW436" i="164" s="1"/>
  <c r="BE30" i="164"/>
  <c r="BE408" i="164"/>
  <c r="BD408" i="164"/>
  <c r="CW408" i="164" s="1"/>
  <c r="BM30" i="164"/>
  <c r="BN30" i="164" s="1"/>
  <c r="BE335" i="164"/>
  <c r="AV206" i="164"/>
  <c r="AV143" i="164"/>
  <c r="AU448" i="164"/>
  <c r="AU105" i="164"/>
  <c r="AZ336" i="164"/>
  <c r="BM336" i="164" s="1"/>
  <c r="AV122" i="164"/>
  <c r="AV229" i="164"/>
  <c r="AV44" i="164"/>
  <c r="AU254" i="164"/>
  <c r="AU478" i="164"/>
  <c r="AU120" i="164"/>
  <c r="AV266" i="164"/>
  <c r="AU100" i="164"/>
  <c r="AU95" i="164"/>
  <c r="AU396" i="164"/>
  <c r="CX336" i="164"/>
  <c r="AV26" i="164"/>
  <c r="AU210" i="164"/>
  <c r="CX125" i="164"/>
  <c r="P462" i="164"/>
  <c r="AA462" i="164" s="1"/>
  <c r="AZ125" i="164"/>
  <c r="BM125" i="164" s="1"/>
  <c r="AU133" i="164"/>
  <c r="AV133" i="164"/>
  <c r="AV78" i="164"/>
  <c r="AV314" i="164"/>
  <c r="AN334" i="164"/>
  <c r="AP334" i="164" s="1"/>
  <c r="AM333" i="164"/>
  <c r="AV271" i="164"/>
  <c r="DO237" i="168"/>
  <c r="CX305" i="168"/>
  <c r="E37" i="56"/>
  <c r="E7" i="56"/>
  <c r="DO313" i="168"/>
  <c r="DN313" i="168"/>
  <c r="DO162" i="168"/>
  <c r="DN162" i="168"/>
  <c r="DN148" i="168"/>
  <c r="DO148" i="168"/>
  <c r="DN163" i="168"/>
  <c r="DO163" i="168"/>
  <c r="R169" i="164"/>
  <c r="AA169" i="164"/>
  <c r="AA81" i="164"/>
  <c r="R81" i="164"/>
  <c r="AA213" i="164"/>
  <c r="R213" i="164"/>
  <c r="AA319" i="164"/>
  <c r="R319" i="164"/>
  <c r="AA437" i="164"/>
  <c r="R437" i="164"/>
  <c r="G162" i="168"/>
  <c r="BM163" i="164"/>
  <c r="AM151" i="164"/>
  <c r="AN152" i="164"/>
  <c r="AP152" i="164" s="1"/>
  <c r="AM152" i="164" s="1"/>
  <c r="AU152" i="164" s="1"/>
  <c r="AA125" i="164"/>
  <c r="R125" i="164"/>
  <c r="AA284" i="164"/>
  <c r="R284" i="164"/>
  <c r="BM468" i="164"/>
  <c r="AF317" i="164"/>
  <c r="AC317" i="164"/>
  <c r="AF366" i="164"/>
  <c r="AC366" i="164"/>
  <c r="R301" i="164"/>
  <c r="AA301" i="164"/>
  <c r="AA167" i="164"/>
  <c r="R167" i="164"/>
  <c r="AA297" i="164"/>
  <c r="R297" i="164"/>
  <c r="AF381" i="164"/>
  <c r="AC381" i="164"/>
  <c r="AC234" i="164"/>
  <c r="AF234" i="164"/>
  <c r="AU257" i="164"/>
  <c r="AF91" i="164"/>
  <c r="AC91" i="164"/>
  <c r="AF129" i="164"/>
  <c r="AC129" i="164"/>
  <c r="AG129" i="164" s="1"/>
  <c r="AH129" i="164" s="1"/>
  <c r="AF452" i="164"/>
  <c r="AC452" i="164"/>
  <c r="AU442" i="164"/>
  <c r="AV442" i="164"/>
  <c r="BG136" i="168"/>
  <c r="CA136" i="168"/>
  <c r="W136" i="168" s="1"/>
  <c r="BD136" i="168"/>
  <c r="BE136" i="168"/>
  <c r="BF136" i="168"/>
  <c r="AC108" i="164"/>
  <c r="AF108" i="164"/>
  <c r="AF368" i="164"/>
  <c r="AC368" i="164"/>
  <c r="BD402" i="164"/>
  <c r="CW402" i="164" s="1"/>
  <c r="BE402" i="164"/>
  <c r="BM402" i="164"/>
  <c r="DP327" i="168"/>
  <c r="DQ327" i="168"/>
  <c r="G385" i="164"/>
  <c r="H385" i="164" s="1"/>
  <c r="Y384" i="164"/>
  <c r="AA310" i="164"/>
  <c r="R310" i="164"/>
  <c r="AC158" i="164"/>
  <c r="AF158" i="164"/>
  <c r="AF260" i="164"/>
  <c r="AC260" i="164"/>
  <c r="AF417" i="164"/>
  <c r="AC417" i="164"/>
  <c r="AF450" i="164"/>
  <c r="AC450" i="164"/>
  <c r="AF435" i="164"/>
  <c r="AC435" i="164"/>
  <c r="AM211" i="164"/>
  <c r="AN212" i="164"/>
  <c r="AP212" i="164" s="1"/>
  <c r="AA154" i="164"/>
  <c r="R154" i="164"/>
  <c r="AB154" i="164" s="1"/>
  <c r="AI154" i="164" s="1"/>
  <c r="AA105" i="164"/>
  <c r="R105" i="164"/>
  <c r="AA465" i="164"/>
  <c r="R465" i="164"/>
  <c r="AN421" i="164"/>
  <c r="AP421" i="164" s="1"/>
  <c r="AM420" i="164"/>
  <c r="AM147" i="168"/>
  <c r="BI147" i="168"/>
  <c r="AV262" i="164"/>
  <c r="R33" i="164"/>
  <c r="AA33" i="164"/>
  <c r="AF113" i="164"/>
  <c r="AC113" i="164"/>
  <c r="AA160" i="164"/>
  <c r="R160" i="164"/>
  <c r="AF218" i="164"/>
  <c r="AC218" i="164"/>
  <c r="R298" i="164"/>
  <c r="AA298" i="164"/>
  <c r="BN167" i="164"/>
  <c r="R75" i="164"/>
  <c r="AA75" i="164"/>
  <c r="AF51" i="164"/>
  <c r="AC51" i="164"/>
  <c r="AJ331" i="168"/>
  <c r="DM331" i="168"/>
  <c r="BP331" i="168"/>
  <c r="DS331" i="168"/>
  <c r="DT331" i="168"/>
  <c r="DL331" i="168"/>
  <c r="AF35" i="164"/>
  <c r="AC35" i="164"/>
  <c r="AM47" i="164"/>
  <c r="AN48" i="164"/>
  <c r="AP48" i="164" s="1"/>
  <c r="AV145" i="164"/>
  <c r="CA228" i="168"/>
  <c r="W228" i="168" s="1"/>
  <c r="BD228" i="168"/>
  <c r="BH228" i="168" s="1"/>
  <c r="BF228" i="168"/>
  <c r="BE228" i="168"/>
  <c r="BG228" i="168"/>
  <c r="AM228" i="168"/>
  <c r="BI228" i="168"/>
  <c r="DN328" i="168"/>
  <c r="DO328" i="168"/>
  <c r="Z330" i="164"/>
  <c r="AZ330" i="164"/>
  <c r="CX330" i="164"/>
  <c r="K331" i="164"/>
  <c r="L331" i="164" s="1"/>
  <c r="AA149" i="164"/>
  <c r="R149" i="164"/>
  <c r="AA204" i="164"/>
  <c r="R204" i="164"/>
  <c r="AF495" i="164"/>
  <c r="AC495" i="164"/>
  <c r="AA328" i="164"/>
  <c r="R328" i="164"/>
  <c r="AN433" i="164"/>
  <c r="AP433" i="164" s="1"/>
  <c r="AM432" i="164"/>
  <c r="AA47" i="164"/>
  <c r="R47" i="164"/>
  <c r="AB47" i="164" s="1"/>
  <c r="AI47" i="164" s="1"/>
  <c r="AA201" i="164"/>
  <c r="R201" i="164"/>
  <c r="AM161" i="168"/>
  <c r="BI161" i="168"/>
  <c r="BE482" i="164"/>
  <c r="BM482" i="164"/>
  <c r="BD482" i="164"/>
  <c r="CW482" i="164" s="1"/>
  <c r="R238" i="164"/>
  <c r="AA238" i="164"/>
  <c r="BN436" i="164"/>
  <c r="AN403" i="164"/>
  <c r="AP403" i="164" s="1"/>
  <c r="AM402" i="164"/>
  <c r="AA460" i="164"/>
  <c r="R460" i="164"/>
  <c r="BN307" i="164"/>
  <c r="Y239" i="164"/>
  <c r="G232" i="164"/>
  <c r="H232" i="164" s="1"/>
  <c r="AV457" i="164"/>
  <c r="AF63" i="164"/>
  <c r="AC63" i="164"/>
  <c r="AC301" i="164"/>
  <c r="AF301" i="164"/>
  <c r="AC365" i="164"/>
  <c r="AF365" i="164"/>
  <c r="AF481" i="164"/>
  <c r="AC481" i="164"/>
  <c r="AF169" i="164"/>
  <c r="AC169" i="164"/>
  <c r="BN133" i="164"/>
  <c r="Z422" i="164"/>
  <c r="AZ422" i="164"/>
  <c r="CX422" i="164"/>
  <c r="K423" i="164"/>
  <c r="L423" i="164" s="1"/>
  <c r="AA71" i="164"/>
  <c r="R71" i="164"/>
  <c r="AA330" i="164"/>
  <c r="R330" i="164"/>
  <c r="AA436" i="164"/>
  <c r="R436" i="164"/>
  <c r="AF488" i="164"/>
  <c r="AC488" i="164"/>
  <c r="AF146" i="164"/>
  <c r="AC146" i="164"/>
  <c r="AF143" i="164"/>
  <c r="AC143" i="164"/>
  <c r="AV102" i="164"/>
  <c r="AA79" i="164"/>
  <c r="R79" i="164"/>
  <c r="AB79" i="164" s="1"/>
  <c r="AC413" i="164"/>
  <c r="AF413" i="164"/>
  <c r="AM460" i="164"/>
  <c r="AN461" i="164"/>
  <c r="AP461" i="164" s="1"/>
  <c r="CX451" i="164"/>
  <c r="K452" i="164"/>
  <c r="L452" i="164" s="1"/>
  <c r="AZ451" i="164"/>
  <c r="Z451" i="164"/>
  <c r="AF361" i="164"/>
  <c r="AC361" i="164"/>
  <c r="CM228" i="168"/>
  <c r="CP228" i="168" s="1"/>
  <c r="CN228" i="168"/>
  <c r="CS228" i="168"/>
  <c r="CK228" i="168"/>
  <c r="AU162" i="164"/>
  <c r="CZ161" i="168"/>
  <c r="DA161" i="168"/>
  <c r="DB161" i="168"/>
  <c r="DC161" i="168"/>
  <c r="DE161" i="168"/>
  <c r="DF161" i="168"/>
  <c r="DG161" i="168"/>
  <c r="CV161" i="168"/>
  <c r="DD161" i="168"/>
  <c r="CW161" i="168"/>
  <c r="CY161" i="168"/>
  <c r="P161" i="168"/>
  <c r="CB161" i="168" s="1"/>
  <c r="O161" i="168"/>
  <c r="BB161" i="168"/>
  <c r="EA161" i="168"/>
  <c r="DW161" i="168"/>
  <c r="DU161" i="168"/>
  <c r="CF161" i="168"/>
  <c r="DX161" i="168"/>
  <c r="EB161" i="168"/>
  <c r="DY161" i="168"/>
  <c r="DV161" i="168"/>
  <c r="DZ161" i="168"/>
  <c r="AC41" i="164"/>
  <c r="AF41" i="164"/>
  <c r="R130" i="164"/>
  <c r="AA130" i="164"/>
  <c r="AA231" i="164"/>
  <c r="R231" i="164"/>
  <c r="AF241" i="164"/>
  <c r="AC241" i="164"/>
  <c r="AF314" i="164"/>
  <c r="AC314" i="164"/>
  <c r="AC473" i="164"/>
  <c r="AF473" i="164"/>
  <c r="AF24" i="164"/>
  <c r="AC24" i="164"/>
  <c r="AC246" i="164"/>
  <c r="AF246" i="164"/>
  <c r="AF336" i="164"/>
  <c r="AC336" i="164"/>
  <c r="R400" i="164"/>
  <c r="AA400" i="164"/>
  <c r="CL147" i="168"/>
  <c r="CO147" i="168" s="1"/>
  <c r="CX136" i="168"/>
  <c r="CX468" i="164"/>
  <c r="BD468" i="164" s="1"/>
  <c r="CW468" i="164" s="1"/>
  <c r="AA107" i="164"/>
  <c r="R107" i="164"/>
  <c r="K50" i="164"/>
  <c r="L50" i="164" s="1"/>
  <c r="AZ49" i="164"/>
  <c r="CX49" i="164"/>
  <c r="Z49" i="164"/>
  <c r="AF310" i="164"/>
  <c r="AC310" i="164"/>
  <c r="AA97" i="164"/>
  <c r="R97" i="164"/>
  <c r="A156" i="164"/>
  <c r="BJ155" i="164"/>
  <c r="CK155" i="164" s="1"/>
  <c r="AV166" i="164"/>
  <c r="AF359" i="164"/>
  <c r="AC359" i="164"/>
  <c r="BN372" i="164"/>
  <c r="AF105" i="164"/>
  <c r="AC105" i="164"/>
  <c r="AF332" i="164"/>
  <c r="AC332" i="164"/>
  <c r="AF257" i="164"/>
  <c r="AC257" i="164"/>
  <c r="AA218" i="164"/>
  <c r="R218" i="164"/>
  <c r="AF298" i="164"/>
  <c r="AC298" i="164"/>
  <c r="AF500" i="164"/>
  <c r="AC500" i="164"/>
  <c r="Y269" i="164"/>
  <c r="G184" i="164"/>
  <c r="H184" i="164" s="1"/>
  <c r="AF75" i="164"/>
  <c r="AC75" i="164"/>
  <c r="AF127" i="164"/>
  <c r="AC127" i="164"/>
  <c r="BZ327" i="168"/>
  <c r="CC327" i="168"/>
  <c r="AS327" i="168"/>
  <c r="X327" i="168"/>
  <c r="BS327" i="168"/>
  <c r="CD327" i="168"/>
  <c r="N238" i="168"/>
  <c r="AL238" i="168"/>
  <c r="AK238" i="168"/>
  <c r="AC369" i="164"/>
  <c r="AF369" i="164"/>
  <c r="AF286" i="164"/>
  <c r="AC286" i="164"/>
  <c r="DO305" i="168"/>
  <c r="DN305" i="168"/>
  <c r="AF496" i="164"/>
  <c r="AC496" i="164"/>
  <c r="AA135" i="164"/>
  <c r="R135" i="164"/>
  <c r="AA407" i="164"/>
  <c r="R407" i="164"/>
  <c r="BN47" i="164"/>
  <c r="AF333" i="164"/>
  <c r="AC333" i="164"/>
  <c r="R22" i="164"/>
  <c r="AA22" i="164"/>
  <c r="AA91" i="164"/>
  <c r="R91" i="164"/>
  <c r="BN148" i="164"/>
  <c r="AF396" i="164"/>
  <c r="AC396" i="164"/>
  <c r="AV393" i="164"/>
  <c r="AU393" i="164"/>
  <c r="R419" i="164"/>
  <c r="AA419" i="164"/>
  <c r="AF489" i="164"/>
  <c r="AC489" i="164"/>
  <c r="AN222" i="164"/>
  <c r="AP222" i="164" s="1"/>
  <c r="AM221" i="164"/>
  <c r="BQ162" i="168"/>
  <c r="AF466" i="164"/>
  <c r="AC466" i="164"/>
  <c r="Y403" i="164"/>
  <c r="G404" i="164"/>
  <c r="H404" i="164" s="1"/>
  <c r="R29" i="164"/>
  <c r="AA29" i="164"/>
  <c r="BN211" i="164"/>
  <c r="BN282" i="164"/>
  <c r="DO155" i="168"/>
  <c r="DN155" i="168"/>
  <c r="AC204" i="164"/>
  <c r="AF204" i="164"/>
  <c r="AC341" i="164"/>
  <c r="AF341" i="164"/>
  <c r="AF373" i="164"/>
  <c r="AC373" i="164"/>
  <c r="AA402" i="164"/>
  <c r="R402" i="164"/>
  <c r="AB402" i="164" s="1"/>
  <c r="AI402" i="164" s="1"/>
  <c r="BN149" i="164"/>
  <c r="AF171" i="164"/>
  <c r="AC171" i="164"/>
  <c r="AF363" i="164"/>
  <c r="AC363" i="164"/>
  <c r="BD106" i="164"/>
  <c r="CW106" i="164" s="1"/>
  <c r="BM106" i="164"/>
  <c r="BE106" i="164"/>
  <c r="AF47" i="164"/>
  <c r="AC47" i="164"/>
  <c r="AF201" i="164"/>
  <c r="AC201" i="164"/>
  <c r="AF338" i="164"/>
  <c r="AC338" i="164"/>
  <c r="AC382" i="164"/>
  <c r="AF382" i="164"/>
  <c r="AF238" i="164"/>
  <c r="AC238" i="164"/>
  <c r="AA466" i="164"/>
  <c r="R466" i="164"/>
  <c r="BI305" i="168"/>
  <c r="AM305" i="168"/>
  <c r="AM123" i="164"/>
  <c r="AN124" i="164"/>
  <c r="AP124" i="164" s="1"/>
  <c r="R117" i="164"/>
  <c r="AA117" i="164"/>
  <c r="N328" i="168"/>
  <c r="AK328" i="168"/>
  <c r="AL328" i="168"/>
  <c r="AV68" i="164"/>
  <c r="AU68" i="164"/>
  <c r="AF224" i="164"/>
  <c r="AC224" i="164"/>
  <c r="G485" i="164"/>
  <c r="H485" i="164" s="1"/>
  <c r="Y484" i="164"/>
  <c r="AV276" i="164"/>
  <c r="AD161" i="168"/>
  <c r="AG161" i="168"/>
  <c r="O327" i="168"/>
  <c r="BB327" i="168"/>
  <c r="CY327" i="168"/>
  <c r="P327" i="168"/>
  <c r="CB327" i="168" s="1"/>
  <c r="CZ327" i="168"/>
  <c r="DB327" i="168"/>
  <c r="DC327" i="168"/>
  <c r="CV327" i="168"/>
  <c r="CW327" i="168"/>
  <c r="DA327" i="168"/>
  <c r="DD327" i="168"/>
  <c r="DE327" i="168"/>
  <c r="DF327" i="168"/>
  <c r="DG327" i="168"/>
  <c r="DU327" i="168"/>
  <c r="DX327" i="168"/>
  <c r="DW327" i="168"/>
  <c r="EB327" i="168"/>
  <c r="DY327" i="168"/>
  <c r="EA327" i="168"/>
  <c r="DV327" i="168"/>
  <c r="DZ327" i="168"/>
  <c r="CF327" i="168"/>
  <c r="AA156" i="164"/>
  <c r="R156" i="164"/>
  <c r="AA197" i="164"/>
  <c r="R197" i="164"/>
  <c r="AF312" i="164"/>
  <c r="AC312" i="164"/>
  <c r="AC330" i="164"/>
  <c r="AF330" i="164"/>
  <c r="AF378" i="164"/>
  <c r="AC378" i="164"/>
  <c r="AF436" i="164"/>
  <c r="AC436" i="164"/>
  <c r="AA146" i="164"/>
  <c r="R146" i="164"/>
  <c r="AF398" i="164"/>
  <c r="AC398" i="164"/>
  <c r="BN467" i="164"/>
  <c r="AF453" i="164"/>
  <c r="AC453" i="164"/>
  <c r="AF79" i="164"/>
  <c r="AC79" i="164"/>
  <c r="BR327" i="168"/>
  <c r="BX327" i="168" s="1"/>
  <c r="BW327" i="168"/>
  <c r="CH327" i="168" s="1"/>
  <c r="AM331" i="168"/>
  <c r="BI331" i="168"/>
  <c r="AF191" i="164"/>
  <c r="AC191" i="164"/>
  <c r="AF470" i="164"/>
  <c r="AC470" i="164"/>
  <c r="AV260" i="164"/>
  <c r="AU260" i="164"/>
  <c r="CU161" i="168"/>
  <c r="CJ161" i="168"/>
  <c r="CW162" i="164"/>
  <c r="AF231" i="164"/>
  <c r="AC231" i="164"/>
  <c r="AC295" i="164"/>
  <c r="AF295" i="164"/>
  <c r="AF386" i="164"/>
  <c r="AC386" i="164"/>
  <c r="AF487" i="164"/>
  <c r="AC487" i="164"/>
  <c r="AF29" i="164"/>
  <c r="AC29" i="164"/>
  <c r="BN123" i="164"/>
  <c r="DN134" i="168"/>
  <c r="DO134" i="168"/>
  <c r="BN237" i="164"/>
  <c r="AA46" i="164"/>
  <c r="R46" i="164"/>
  <c r="AA80" i="164"/>
  <c r="R80" i="164"/>
  <c r="AA267" i="164"/>
  <c r="R267" i="164"/>
  <c r="AB267" i="164" s="1"/>
  <c r="AI267" i="164" s="1"/>
  <c r="BQ306" i="168"/>
  <c r="BE391" i="164"/>
  <c r="BM391" i="164"/>
  <c r="BD391" i="164"/>
  <c r="CW391" i="164" s="1"/>
  <c r="AF206" i="164"/>
  <c r="AC206" i="164"/>
  <c r="Z403" i="164"/>
  <c r="K404" i="164"/>
  <c r="L404" i="164" s="1"/>
  <c r="AZ403" i="164"/>
  <c r="CX403" i="164"/>
  <c r="AF503" i="164"/>
  <c r="AC503" i="164"/>
  <c r="AF97" i="164"/>
  <c r="AC97" i="164"/>
  <c r="AC188" i="164"/>
  <c r="AF188" i="164"/>
  <c r="AA229" i="164"/>
  <c r="R229" i="164"/>
  <c r="AF323" i="164"/>
  <c r="AC323" i="164"/>
  <c r="AG323" i="164" s="1"/>
  <c r="AF364" i="164"/>
  <c r="AC364" i="164"/>
  <c r="AF410" i="164"/>
  <c r="AC410" i="164"/>
  <c r="AF492" i="164"/>
  <c r="AC492" i="164"/>
  <c r="AN168" i="164"/>
  <c r="AP168" i="164" s="1"/>
  <c r="AM167" i="164"/>
  <c r="AV66" i="164"/>
  <c r="AA30" i="164"/>
  <c r="R30" i="164"/>
  <c r="AC284" i="164"/>
  <c r="AF284" i="164"/>
  <c r="BN461" i="164"/>
  <c r="AA38" i="164"/>
  <c r="R38" i="164"/>
  <c r="AA68" i="164"/>
  <c r="R68" i="164"/>
  <c r="AF221" i="164"/>
  <c r="AC221" i="164"/>
  <c r="AF316" i="164"/>
  <c r="AC316" i="164"/>
  <c r="Y336" i="164"/>
  <c r="G337" i="164"/>
  <c r="H337" i="164" s="1"/>
  <c r="AZ337" i="164" s="1"/>
  <c r="DN136" i="168"/>
  <c r="DO136" i="168"/>
  <c r="AV307" i="164"/>
  <c r="BE329" i="164"/>
  <c r="BD329" i="164"/>
  <c r="BM329" i="164"/>
  <c r="G328" i="168"/>
  <c r="AA44" i="164"/>
  <c r="R44" i="164"/>
  <c r="AA244" i="164"/>
  <c r="R244" i="164"/>
  <c r="AF151" i="164"/>
  <c r="AC151" i="164"/>
  <c r="BN432" i="164"/>
  <c r="AA211" i="164"/>
  <c r="R211" i="164"/>
  <c r="AN231" i="164"/>
  <c r="AP231" i="164" s="1"/>
  <c r="AM230" i="164"/>
  <c r="AF309" i="164"/>
  <c r="AC309" i="164"/>
  <c r="AN237" i="164"/>
  <c r="AP237" i="164" s="1"/>
  <c r="AM236" i="164"/>
  <c r="AU236" i="164" s="1"/>
  <c r="AF358" i="164"/>
  <c r="AC358" i="164"/>
  <c r="AA103" i="164"/>
  <c r="R103" i="164"/>
  <c r="AA246" i="164"/>
  <c r="R246" i="164"/>
  <c r="AB246" i="164" s="1"/>
  <c r="AI246" i="164" s="1"/>
  <c r="R336" i="164"/>
  <c r="AA336" i="164"/>
  <c r="AF400" i="164"/>
  <c r="AC400" i="164"/>
  <c r="AA108" i="164"/>
  <c r="R108" i="164"/>
  <c r="AF160" i="164"/>
  <c r="AC160" i="164"/>
  <c r="AA431" i="164"/>
  <c r="R431" i="164"/>
  <c r="K338" i="164"/>
  <c r="L338" i="164" s="1"/>
  <c r="Z337" i="164"/>
  <c r="AF499" i="164"/>
  <c r="AC499" i="164"/>
  <c r="AA292" i="164"/>
  <c r="R292" i="164"/>
  <c r="CU306" i="168"/>
  <c r="CJ306" i="168"/>
  <c r="CW307" i="164"/>
  <c r="AF82" i="164"/>
  <c r="AC82" i="164"/>
  <c r="AF371" i="164"/>
  <c r="AC371" i="164"/>
  <c r="AN256" i="164"/>
  <c r="AM255" i="164"/>
  <c r="AU255" i="164" s="1"/>
  <c r="AF307" i="164"/>
  <c r="AC307" i="164"/>
  <c r="AC149" i="164"/>
  <c r="AF149" i="164"/>
  <c r="AA373" i="164"/>
  <c r="R373" i="164"/>
  <c r="AA118" i="164"/>
  <c r="R118" i="164"/>
  <c r="BN155" i="164"/>
  <c r="AF42" i="164"/>
  <c r="AC42" i="164"/>
  <c r="AA69" i="164"/>
  <c r="R69" i="164"/>
  <c r="AA459" i="164"/>
  <c r="R459" i="164"/>
  <c r="AC197" i="164"/>
  <c r="AF197" i="164"/>
  <c r="AA239" i="164"/>
  <c r="R239" i="164"/>
  <c r="BN160" i="164"/>
  <c r="BD415" i="164"/>
  <c r="CW415" i="164" s="1"/>
  <c r="BE415" i="164"/>
  <c r="BM415" i="164"/>
  <c r="AF80" i="164"/>
  <c r="AC80" i="164"/>
  <c r="AN184" i="164"/>
  <c r="AP184" i="164" s="1"/>
  <c r="AM183" i="164"/>
  <c r="BM48" i="164"/>
  <c r="BE48" i="164"/>
  <c r="BD48" i="164"/>
  <c r="CW48" i="164" s="1"/>
  <c r="AF126" i="164"/>
  <c r="AC126" i="164"/>
  <c r="AA410" i="164"/>
  <c r="R410" i="164"/>
  <c r="CS305" i="168"/>
  <c r="CN305" i="168"/>
  <c r="CM305" i="168"/>
  <c r="CP305" i="168" s="1"/>
  <c r="CK305" i="168"/>
  <c r="CQ305" i="168" s="1"/>
  <c r="AC30" i="164"/>
  <c r="AF30" i="164"/>
  <c r="AF236" i="164"/>
  <c r="AC236" i="164"/>
  <c r="AG236" i="164" s="1"/>
  <c r="AH236" i="164" s="1"/>
  <c r="CX107" i="164"/>
  <c r="AZ107" i="164"/>
  <c r="K108" i="164"/>
  <c r="L108" i="164" s="1"/>
  <c r="Z107" i="164"/>
  <c r="AF432" i="164"/>
  <c r="AC432" i="164"/>
  <c r="AF353" i="164"/>
  <c r="AC353" i="164"/>
  <c r="AF476" i="164"/>
  <c r="AC476" i="164"/>
  <c r="AC459" i="164"/>
  <c r="AF459" i="164"/>
  <c r="G50" i="164"/>
  <c r="H50" i="164" s="1"/>
  <c r="Y49" i="164"/>
  <c r="AF83" i="164"/>
  <c r="AC83" i="164"/>
  <c r="AA237" i="164"/>
  <c r="R237" i="164"/>
  <c r="AA380" i="164"/>
  <c r="R380" i="164"/>
  <c r="AA467" i="164"/>
  <c r="R467" i="164"/>
  <c r="AF89" i="164"/>
  <c r="AC89" i="164"/>
  <c r="Y247" i="164"/>
  <c r="G248" i="164"/>
  <c r="H248" i="164" s="1"/>
  <c r="R32" i="164"/>
  <c r="AA32" i="164"/>
  <c r="AF199" i="164"/>
  <c r="AC199" i="164"/>
  <c r="BN481" i="164"/>
  <c r="AF166" i="164"/>
  <c r="AC166" i="164"/>
  <c r="AU459" i="164"/>
  <c r="AA236" i="164"/>
  <c r="R236" i="164"/>
  <c r="BN194" i="164"/>
  <c r="AC269" i="164"/>
  <c r="AF269" i="164"/>
  <c r="AF351" i="164"/>
  <c r="AC351" i="164"/>
  <c r="CJ148" i="168"/>
  <c r="CU148" i="168"/>
  <c r="CW149" i="164"/>
  <c r="AF77" i="164"/>
  <c r="AC77" i="164"/>
  <c r="AA372" i="164"/>
  <c r="R372" i="164"/>
  <c r="AB372" i="164" s="1"/>
  <c r="AI372" i="164" s="1"/>
  <c r="AA432" i="164"/>
  <c r="R432" i="164"/>
  <c r="AA99" i="164"/>
  <c r="R99" i="164"/>
  <c r="AF457" i="164"/>
  <c r="AC457" i="164"/>
  <c r="AM130" i="164"/>
  <c r="AN131" i="164"/>
  <c r="AC117" i="164"/>
  <c r="AF117" i="164"/>
  <c r="AA262" i="164"/>
  <c r="R262" i="164"/>
  <c r="AA476" i="164"/>
  <c r="R476" i="164"/>
  <c r="BQ328" i="168"/>
  <c r="BM151" i="164"/>
  <c r="AA39" i="164"/>
  <c r="R39" i="164"/>
  <c r="AA124" i="164"/>
  <c r="R124" i="164"/>
  <c r="AF180" i="164"/>
  <c r="AC180" i="164"/>
  <c r="R274" i="164"/>
  <c r="AA274" i="164"/>
  <c r="AA374" i="164"/>
  <c r="R374" i="164"/>
  <c r="AA394" i="164"/>
  <c r="R394" i="164"/>
  <c r="AA472" i="164"/>
  <c r="R472" i="164"/>
  <c r="CK313" i="168"/>
  <c r="CQ313" i="168" s="1"/>
  <c r="CL313" i="168"/>
  <c r="CO313" i="168" s="1"/>
  <c r="CS313" i="168"/>
  <c r="CM313" i="168"/>
  <c r="CP313" i="168" s="1"/>
  <c r="CN313" i="168"/>
  <c r="AC469" i="164"/>
  <c r="AF469" i="164"/>
  <c r="BZ161" i="168"/>
  <c r="AS161" i="168"/>
  <c r="CD161" i="168"/>
  <c r="CC161" i="168"/>
  <c r="BS161" i="168"/>
  <c r="X161" i="168"/>
  <c r="Y161" i="168"/>
  <c r="R26" i="164"/>
  <c r="AA26" i="164"/>
  <c r="AF172" i="164"/>
  <c r="AC172" i="164"/>
  <c r="AG172" i="164" s="1"/>
  <c r="AH172" i="164" s="1"/>
  <c r="AC272" i="164"/>
  <c r="AG272" i="164" s="1"/>
  <c r="AH272" i="164" s="1"/>
  <c r="AF272" i="164"/>
  <c r="AC340" i="164"/>
  <c r="AF340" i="164"/>
  <c r="Z239" i="164"/>
  <c r="AV239" i="164"/>
  <c r="R429" i="164"/>
  <c r="AB429" i="164" s="1"/>
  <c r="AI429" i="164" s="1"/>
  <c r="AA429" i="164"/>
  <c r="BM78" i="164"/>
  <c r="BE78" i="164"/>
  <c r="BD78" i="164"/>
  <c r="CW78" i="164" s="1"/>
  <c r="BD450" i="164"/>
  <c r="CW450" i="164" s="1"/>
  <c r="BE450" i="164"/>
  <c r="BM450" i="164"/>
  <c r="AA60" i="164"/>
  <c r="R60" i="164"/>
  <c r="CS134" i="168"/>
  <c r="CN134" i="168"/>
  <c r="CM134" i="168"/>
  <c r="CK134" i="168"/>
  <c r="CL134" i="168" s="1"/>
  <c r="AA334" i="164"/>
  <c r="R334" i="164"/>
  <c r="AN268" i="164"/>
  <c r="AP268" i="164" s="1"/>
  <c r="AM267" i="164"/>
  <c r="AF48" i="164"/>
  <c r="AC48" i="164"/>
  <c r="AG48" i="164" s="1"/>
  <c r="AH48" i="164" s="1"/>
  <c r="CM140" i="168"/>
  <c r="CP140" i="168" s="1"/>
  <c r="CS140" i="168"/>
  <c r="CK140" i="168"/>
  <c r="CQ140" i="168" s="1"/>
  <c r="CL140" i="168"/>
  <c r="CO140" i="168" s="1"/>
  <c r="CN140" i="168"/>
  <c r="AA95" i="164"/>
  <c r="R95" i="164"/>
  <c r="AB95" i="164" s="1"/>
  <c r="AI95" i="164" s="1"/>
  <c r="AA389" i="164"/>
  <c r="R389" i="164"/>
  <c r="BR140" i="168"/>
  <c r="BX140" i="168" s="1"/>
  <c r="AU310" i="164"/>
  <c r="AV310" i="164"/>
  <c r="CX223" i="164"/>
  <c r="Z223" i="164"/>
  <c r="AZ223" i="164"/>
  <c r="K224" i="164"/>
  <c r="L224" i="164" s="1"/>
  <c r="K41" i="164"/>
  <c r="L41" i="164" s="1"/>
  <c r="Z40" i="164"/>
  <c r="CX40" i="164"/>
  <c r="AZ40" i="164"/>
  <c r="BN298" i="164"/>
  <c r="R87" i="164"/>
  <c r="AA87" i="164"/>
  <c r="R145" i="164"/>
  <c r="AA145" i="164"/>
  <c r="AA168" i="164"/>
  <c r="R168" i="164"/>
  <c r="R415" i="164"/>
  <c r="AA415" i="164"/>
  <c r="AC468" i="164"/>
  <c r="AF468" i="164"/>
  <c r="AF32" i="164"/>
  <c r="AC32" i="164"/>
  <c r="AA199" i="164"/>
  <c r="R199" i="164"/>
  <c r="BN394" i="164"/>
  <c r="BN230" i="164"/>
  <c r="AF72" i="164"/>
  <c r="AC72" i="164"/>
  <c r="AF178" i="164"/>
  <c r="AC178" i="164"/>
  <c r="AA282" i="164"/>
  <c r="R282" i="164"/>
  <c r="AV389" i="164"/>
  <c r="DO238" i="168"/>
  <c r="DN238" i="168"/>
  <c r="AM481" i="164"/>
  <c r="AN482" i="164"/>
  <c r="AP482" i="164" s="1"/>
  <c r="AA411" i="164"/>
  <c r="R411" i="164"/>
  <c r="AA166" i="164"/>
  <c r="R166" i="164"/>
  <c r="AA335" i="164"/>
  <c r="R335" i="164"/>
  <c r="AB335" i="164" s="1"/>
  <c r="AI335" i="164" s="1"/>
  <c r="AM118" i="164"/>
  <c r="AU118" i="164" s="1"/>
  <c r="AN119" i="164"/>
  <c r="R37" i="164"/>
  <c r="AA37" i="164"/>
  <c r="AA390" i="164"/>
  <c r="R390" i="164"/>
  <c r="Y108" i="164"/>
  <c r="BN145" i="164"/>
  <c r="AV117" i="164"/>
  <c r="AA137" i="164"/>
  <c r="R137" i="164"/>
  <c r="AA210" i="164"/>
  <c r="R210" i="164"/>
  <c r="AF245" i="164"/>
  <c r="AC245" i="164"/>
  <c r="AA329" i="164"/>
  <c r="R329" i="164"/>
  <c r="AC208" i="164"/>
  <c r="AF208" i="164"/>
  <c r="BN408" i="164"/>
  <c r="P49" i="164"/>
  <c r="AN198" i="164"/>
  <c r="AM197" i="164"/>
  <c r="BE194" i="164"/>
  <c r="BG140" i="168"/>
  <c r="BD140" i="168"/>
  <c r="BH140" i="168" s="1"/>
  <c r="CA140" i="168"/>
  <c r="W140" i="168" s="1"/>
  <c r="BE140" i="168"/>
  <c r="BF140" i="168"/>
  <c r="AF123" i="164"/>
  <c r="AC123" i="164"/>
  <c r="AG123" i="164" s="1"/>
  <c r="AH123" i="164" s="1"/>
  <c r="AM394" i="164"/>
  <c r="AN395" i="164"/>
  <c r="AM282" i="164"/>
  <c r="AN283" i="164"/>
  <c r="AP283" i="164" s="1"/>
  <c r="AF348" i="164"/>
  <c r="AC348" i="164"/>
  <c r="AA433" i="164"/>
  <c r="R433" i="164"/>
  <c r="AF344" i="164"/>
  <c r="AC344" i="164"/>
  <c r="BN414" i="164"/>
  <c r="AA307" i="164"/>
  <c r="R307" i="164"/>
  <c r="AF154" i="164"/>
  <c r="AC154" i="164"/>
  <c r="R442" i="164"/>
  <c r="AA442" i="164"/>
  <c r="BD242" i="164"/>
  <c r="CW242" i="164" s="1"/>
  <c r="BE242" i="164"/>
  <c r="BM242" i="164"/>
  <c r="AF118" i="164"/>
  <c r="AC118" i="164"/>
  <c r="BN401" i="164"/>
  <c r="AF211" i="164"/>
  <c r="AC211" i="164"/>
  <c r="AF103" i="164"/>
  <c r="AC103" i="164"/>
  <c r="AF402" i="164"/>
  <c r="AC402" i="164"/>
  <c r="AA382" i="164"/>
  <c r="R382" i="164"/>
  <c r="G41" i="164"/>
  <c r="Y40" i="164"/>
  <c r="AA414" i="164"/>
  <c r="R414" i="164"/>
  <c r="AF465" i="164"/>
  <c r="AC465" i="164"/>
  <c r="AF68" i="164"/>
  <c r="AC68" i="164"/>
  <c r="R316" i="164"/>
  <c r="AA316" i="164"/>
  <c r="AA482" i="164"/>
  <c r="R482" i="164"/>
  <c r="AM407" i="164"/>
  <c r="AN408" i="164"/>
  <c r="AP408" i="164" s="1"/>
  <c r="N155" i="168"/>
  <c r="AK155" i="168"/>
  <c r="AL155" i="168"/>
  <c r="AF133" i="164"/>
  <c r="AC133" i="164"/>
  <c r="AA451" i="164"/>
  <c r="R451" i="164"/>
  <c r="AF202" i="164"/>
  <c r="AC202" i="164"/>
  <c r="AA162" i="164"/>
  <c r="R162" i="164"/>
  <c r="AB162" i="164" s="1"/>
  <c r="AI162" i="164" s="1"/>
  <c r="AC343" i="164"/>
  <c r="AF343" i="164"/>
  <c r="CX416" i="164"/>
  <c r="AZ416" i="164"/>
  <c r="K417" i="164"/>
  <c r="L417" i="164" s="1"/>
  <c r="Z416" i="164"/>
  <c r="AF46" i="164"/>
  <c r="AC46" i="164"/>
  <c r="AF155" i="164"/>
  <c r="AC155" i="164"/>
  <c r="AC267" i="164"/>
  <c r="AF267" i="164"/>
  <c r="AF494" i="164"/>
  <c r="AC494" i="164"/>
  <c r="Y284" i="164"/>
  <c r="G285" i="164"/>
  <c r="H285" i="164" s="1"/>
  <c r="BN460" i="164"/>
  <c r="AF504" i="164"/>
  <c r="AC504" i="164"/>
  <c r="AF335" i="164"/>
  <c r="AC335" i="164"/>
  <c r="AC339" i="164"/>
  <c r="AF339" i="164"/>
  <c r="AZ319" i="164"/>
  <c r="CX319" i="164"/>
  <c r="Z319" i="164"/>
  <c r="K320" i="164"/>
  <c r="L320" i="164" s="1"/>
  <c r="AA221" i="164"/>
  <c r="R221" i="164"/>
  <c r="BN38" i="164"/>
  <c r="Z232" i="164"/>
  <c r="K233" i="164"/>
  <c r="L233" i="164" s="1"/>
  <c r="AF176" i="164"/>
  <c r="AC176" i="164"/>
  <c r="R269" i="164"/>
  <c r="AA269" i="164"/>
  <c r="AF283" i="164"/>
  <c r="AC283" i="164"/>
  <c r="AF426" i="164"/>
  <c r="AC426" i="164"/>
  <c r="AF446" i="164"/>
  <c r="AC446" i="164"/>
  <c r="AC189" i="164"/>
  <c r="AF189" i="164"/>
  <c r="AV106" i="164"/>
  <c r="AA77" i="164"/>
  <c r="R77" i="164"/>
  <c r="AF220" i="164"/>
  <c r="AC220" i="164"/>
  <c r="AF372" i="164"/>
  <c r="AC372" i="164"/>
  <c r="AG372" i="164" s="1"/>
  <c r="AH372" i="164" s="1"/>
  <c r="AV317" i="164"/>
  <c r="AF99" i="164"/>
  <c r="AC99" i="164"/>
  <c r="R457" i="164"/>
  <c r="AA457" i="164"/>
  <c r="BN473" i="164"/>
  <c r="AA174" i="164"/>
  <c r="R174" i="164"/>
  <c r="AF322" i="164"/>
  <c r="AC322" i="164"/>
  <c r="N148" i="168"/>
  <c r="AL148" i="168"/>
  <c r="AK148" i="168"/>
  <c r="AV60" i="164"/>
  <c r="AU60" i="164"/>
  <c r="AF39" i="164"/>
  <c r="AC39" i="164"/>
  <c r="AF124" i="164"/>
  <c r="AC124" i="164"/>
  <c r="AA180" i="164"/>
  <c r="R180" i="164"/>
  <c r="AB180" i="164" s="1"/>
  <c r="AI180" i="164" s="1"/>
  <c r="AF302" i="164"/>
  <c r="AC302" i="164"/>
  <c r="AU151" i="164"/>
  <c r="AV151" i="164"/>
  <c r="AM194" i="164"/>
  <c r="AN195" i="164"/>
  <c r="AC78" i="164"/>
  <c r="AF78" i="164"/>
  <c r="AF230" i="164"/>
  <c r="AC230" i="164"/>
  <c r="AC451" i="164"/>
  <c r="AF451" i="164"/>
  <c r="AF478" i="164"/>
  <c r="AC478" i="164"/>
  <c r="AF425" i="164"/>
  <c r="AC425" i="164"/>
  <c r="AC264" i="164"/>
  <c r="AF264" i="164"/>
  <c r="AC139" i="164"/>
  <c r="AF139" i="164"/>
  <c r="BN63" i="164"/>
  <c r="BN105" i="164"/>
  <c r="AF60" i="164"/>
  <c r="AC60" i="164"/>
  <c r="AF252" i="164"/>
  <c r="AC252" i="164"/>
  <c r="AF384" i="164"/>
  <c r="AC384" i="164"/>
  <c r="BE283" i="164"/>
  <c r="BD283" i="164"/>
  <c r="CW283" i="164" s="1"/>
  <c r="BM283" i="164"/>
  <c r="AN331" i="168"/>
  <c r="AO331" i="168"/>
  <c r="AF162" i="164"/>
  <c r="AC162" i="164"/>
  <c r="AF237" i="164"/>
  <c r="AC237" i="164"/>
  <c r="AC334" i="164"/>
  <c r="AF334" i="164"/>
  <c r="AF380" i="164"/>
  <c r="AC380" i="164"/>
  <c r="AC467" i="164"/>
  <c r="AF467" i="164"/>
  <c r="AA48" i="164"/>
  <c r="R48" i="164"/>
  <c r="AB48" i="164" s="1"/>
  <c r="AI48" i="164" s="1"/>
  <c r="AA408" i="164"/>
  <c r="R408" i="164"/>
  <c r="AM298" i="164"/>
  <c r="AN299" i="164"/>
  <c r="AP299" i="164" s="1"/>
  <c r="BM299" i="164"/>
  <c r="BE299" i="164"/>
  <c r="BD299" i="164"/>
  <c r="CW299" i="164" s="1"/>
  <c r="AF389" i="164"/>
  <c r="AC389" i="164"/>
  <c r="AM155" i="164"/>
  <c r="AN156" i="164"/>
  <c r="AP156" i="164" s="1"/>
  <c r="AM156" i="164" s="1"/>
  <c r="BQ147" i="168"/>
  <c r="AC319" i="164"/>
  <c r="AF319" i="164"/>
  <c r="AF415" i="164"/>
  <c r="AC415" i="164"/>
  <c r="AF403" i="164"/>
  <c r="AC403" i="164"/>
  <c r="P468" i="164"/>
  <c r="AF277" i="164"/>
  <c r="AC277" i="164"/>
  <c r="AC502" i="164"/>
  <c r="AF502" i="164"/>
  <c r="R223" i="164"/>
  <c r="AA223" i="164"/>
  <c r="CX462" i="164"/>
  <c r="BE305" i="168"/>
  <c r="BF305" i="168"/>
  <c r="BG305" i="168"/>
  <c r="CA305" i="168"/>
  <c r="W305" i="168" s="1"/>
  <c r="AA72" i="164"/>
  <c r="R72" i="164"/>
  <c r="AF225" i="164"/>
  <c r="AC225" i="164"/>
  <c r="AF282" i="164"/>
  <c r="AC282" i="164"/>
  <c r="AF347" i="164"/>
  <c r="AC347" i="164"/>
  <c r="AF387" i="164"/>
  <c r="AC387" i="164"/>
  <c r="AF483" i="164"/>
  <c r="AC483" i="164"/>
  <c r="CS136" i="168"/>
  <c r="CK136" i="168"/>
  <c r="CQ136" i="168" s="1"/>
  <c r="CM136" i="168"/>
  <c r="CP136" i="168" s="1"/>
  <c r="CN136" i="168"/>
  <c r="AU480" i="164"/>
  <c r="AV480" i="164"/>
  <c r="AC411" i="164"/>
  <c r="AG411" i="164" s="1"/>
  <c r="AH411" i="164" s="1"/>
  <c r="AF411" i="164"/>
  <c r="BM382" i="164"/>
  <c r="BE382" i="164"/>
  <c r="BD382" i="164"/>
  <c r="CW382" i="164" s="1"/>
  <c r="AF213" i="164"/>
  <c r="AC213" i="164"/>
  <c r="AA383" i="164"/>
  <c r="R383" i="164"/>
  <c r="BN310" i="164"/>
  <c r="BN277" i="164"/>
  <c r="AA245" i="164"/>
  <c r="R245" i="164"/>
  <c r="AC375" i="164"/>
  <c r="AF375" i="164"/>
  <c r="P484" i="164"/>
  <c r="AN383" i="164"/>
  <c r="AP383" i="164" s="1"/>
  <c r="AM382" i="164"/>
  <c r="AF122" i="164"/>
  <c r="AC122" i="164"/>
  <c r="BQ305" i="168"/>
  <c r="AA159" i="164"/>
  <c r="R159" i="164"/>
  <c r="AF490" i="164"/>
  <c r="AC490" i="164"/>
  <c r="AC193" i="164"/>
  <c r="AF193" i="164"/>
  <c r="BN390" i="164"/>
  <c r="AA129" i="164"/>
  <c r="R129" i="164"/>
  <c r="R428" i="164"/>
  <c r="AA428" i="164"/>
  <c r="R257" i="164"/>
  <c r="AA257" i="164"/>
  <c r="AF404" i="164"/>
  <c r="AC404" i="164"/>
  <c r="AG404" i="164" s="1"/>
  <c r="AH404" i="164" s="1"/>
  <c r="AN278" i="164"/>
  <c r="AM277" i="164"/>
  <c r="AA317" i="164"/>
  <c r="R317" i="164"/>
  <c r="BN159" i="164"/>
  <c r="AA63" i="164"/>
  <c r="R63" i="164"/>
  <c r="R481" i="164"/>
  <c r="AA481" i="164"/>
  <c r="BN328" i="164"/>
  <c r="AF506" i="164"/>
  <c r="AC506" i="164"/>
  <c r="AF290" i="164"/>
  <c r="AC290" i="164"/>
  <c r="CY148" i="168"/>
  <c r="CZ148" i="168"/>
  <c r="DA148" i="168"/>
  <c r="DB148" i="168"/>
  <c r="DC148" i="168"/>
  <c r="DD148" i="168"/>
  <c r="DE148" i="168"/>
  <c r="CV148" i="168"/>
  <c r="DF148" i="168"/>
  <c r="DG148" i="168"/>
  <c r="CW148" i="168"/>
  <c r="P148" i="168"/>
  <c r="CB148" i="168" s="1"/>
  <c r="BB148" i="168"/>
  <c r="CF148" i="168"/>
  <c r="DZ148" i="168"/>
  <c r="O148" i="168"/>
  <c r="DV148" i="168"/>
  <c r="DU148" i="168"/>
  <c r="EA148" i="168"/>
  <c r="DW148" i="168"/>
  <c r="DX148" i="168"/>
  <c r="EB148" i="168"/>
  <c r="DY148" i="168"/>
  <c r="AC328" i="164"/>
  <c r="AF328" i="164"/>
  <c r="AF71" i="164"/>
  <c r="AC71" i="164"/>
  <c r="BN246" i="164"/>
  <c r="BN162" i="164"/>
  <c r="AA295" i="164"/>
  <c r="R295" i="164"/>
  <c r="AV72" i="164"/>
  <c r="AU72" i="164"/>
  <c r="AF107" i="164"/>
  <c r="AC107" i="164"/>
  <c r="AA423" i="164"/>
  <c r="R423" i="164"/>
  <c r="AM37" i="164"/>
  <c r="AN38" i="164"/>
  <c r="AP38" i="164" s="1"/>
  <c r="R332" i="164"/>
  <c r="AA332" i="164"/>
  <c r="AF38" i="164"/>
  <c r="AC38" i="164"/>
  <c r="AA391" i="164"/>
  <c r="R391" i="164"/>
  <c r="AF354" i="164"/>
  <c r="AC354" i="164"/>
  <c r="AF463" i="164"/>
  <c r="AC463" i="164"/>
  <c r="CX300" i="164"/>
  <c r="AZ300" i="164"/>
  <c r="Z300" i="164"/>
  <c r="K201" i="164"/>
  <c r="L201" i="164" s="1"/>
  <c r="K301" i="164"/>
  <c r="L301" i="164" s="1"/>
  <c r="AF95" i="164"/>
  <c r="AC95" i="164"/>
  <c r="AN330" i="164"/>
  <c r="AP330" i="164" s="1"/>
  <c r="AM329" i="164"/>
  <c r="AL147" i="168"/>
  <c r="N147" i="168"/>
  <c r="AK147" i="168"/>
  <c r="AM313" i="168"/>
  <c r="BI313" i="168"/>
  <c r="AF250" i="164"/>
  <c r="AC250" i="164"/>
  <c r="AF414" i="164"/>
  <c r="AC414" i="164"/>
  <c r="AA277" i="164"/>
  <c r="R277" i="164"/>
  <c r="AF423" i="164"/>
  <c r="AC423" i="164"/>
  <c r="AA178" i="164"/>
  <c r="R178" i="164"/>
  <c r="R483" i="164"/>
  <c r="AA483" i="164"/>
  <c r="Z118" i="164"/>
  <c r="CX118" i="164"/>
  <c r="AZ118" i="164"/>
  <c r="AC184" i="164"/>
  <c r="AF184" i="164"/>
  <c r="AF357" i="164"/>
  <c r="AC357" i="164"/>
  <c r="AF391" i="164"/>
  <c r="AC391" i="164"/>
  <c r="AF482" i="164"/>
  <c r="AC482" i="164"/>
  <c r="AG482" i="164" s="1"/>
  <c r="AH482" i="164" s="1"/>
  <c r="AU274" i="164"/>
  <c r="AV274" i="164"/>
  <c r="AC362" i="164"/>
  <c r="AF362" i="164"/>
  <c r="AA208" i="164"/>
  <c r="R208" i="164"/>
  <c r="BN85" i="164"/>
  <c r="AM329" i="168"/>
  <c r="BI329" i="168"/>
  <c r="AA266" i="164"/>
  <c r="R266" i="164"/>
  <c r="AB266" i="164" s="1"/>
  <c r="AI266" i="164" s="1"/>
  <c r="AA393" i="164"/>
  <c r="R393" i="164"/>
  <c r="AA421" i="164"/>
  <c r="R421" i="164"/>
  <c r="R455" i="164"/>
  <c r="AB455" i="164" s="1"/>
  <c r="AI455" i="164" s="1"/>
  <c r="AA455" i="164"/>
  <c r="AF85" i="164"/>
  <c r="AC85" i="164"/>
  <c r="AC141" i="164"/>
  <c r="AF141" i="164"/>
  <c r="BN87" i="164"/>
  <c r="AV32" i="164"/>
  <c r="BQ148" i="168"/>
  <c r="DL228" i="168"/>
  <c r="DM228" i="168"/>
  <c r="BP228" i="168"/>
  <c r="DQ228" i="168"/>
  <c r="DS228" i="168"/>
  <c r="DP228" i="168"/>
  <c r="DR228" i="168"/>
  <c r="AJ228" i="168"/>
  <c r="DT228" i="168"/>
  <c r="AM79" i="164"/>
  <c r="AU79" i="164" s="1"/>
  <c r="AN80" i="164"/>
  <c r="AP80" i="164" s="1"/>
  <c r="BN205" i="164"/>
  <c r="AF274" i="164"/>
  <c r="AC274" i="164"/>
  <c r="AF374" i="164"/>
  <c r="AC374" i="164"/>
  <c r="AF394" i="164"/>
  <c r="AC394" i="164"/>
  <c r="AC472" i="164"/>
  <c r="AF472" i="164"/>
  <c r="BD183" i="164"/>
  <c r="CW183" i="164" s="1"/>
  <c r="BE183" i="164"/>
  <c r="BM183" i="164"/>
  <c r="G134" i="169"/>
  <c r="AF52" i="164"/>
  <c r="AC52" i="164"/>
  <c r="AV252" i="164"/>
  <c r="AV93" i="164"/>
  <c r="AU218" i="164"/>
  <c r="AA422" i="164"/>
  <c r="R422" i="164"/>
  <c r="R480" i="164"/>
  <c r="AA480" i="164"/>
  <c r="Y437" i="164"/>
  <c r="AA279" i="164"/>
  <c r="R279" i="164"/>
  <c r="R254" i="164"/>
  <c r="AA254" i="164"/>
  <c r="AV159" i="164"/>
  <c r="AA212" i="164"/>
  <c r="R212" i="164"/>
  <c r="AF429" i="164"/>
  <c r="AC429" i="164"/>
  <c r="AF288" i="164"/>
  <c r="AC288" i="164"/>
  <c r="AA474" i="164"/>
  <c r="R474" i="164"/>
  <c r="AF408" i="164"/>
  <c r="AC408" i="164"/>
  <c r="P163" i="164"/>
  <c r="AV129" i="164"/>
  <c r="AF233" i="164"/>
  <c r="AC233" i="164"/>
  <c r="BQ163" i="168"/>
  <c r="AF87" i="164"/>
  <c r="AC87" i="164"/>
  <c r="AC145" i="164"/>
  <c r="AF145" i="164"/>
  <c r="AF168" i="164"/>
  <c r="AC168" i="164"/>
  <c r="AG168" i="164" s="1"/>
  <c r="AH168" i="164" s="1"/>
  <c r="AF226" i="164"/>
  <c r="AC226" i="164"/>
  <c r="P403" i="164"/>
  <c r="AL306" i="168"/>
  <c r="AK306" i="168"/>
  <c r="N306" i="168"/>
  <c r="BN221" i="164"/>
  <c r="AA306" i="164"/>
  <c r="R306" i="164"/>
  <c r="AN273" i="164"/>
  <c r="AM272" i="164"/>
  <c r="BD124" i="164"/>
  <c r="CW124" i="164" s="1"/>
  <c r="BE124" i="164"/>
  <c r="BM124" i="164"/>
  <c r="AA331" i="164"/>
  <c r="R331" i="164"/>
  <c r="AV472" i="164"/>
  <c r="AP136" i="168"/>
  <c r="BN433" i="164"/>
  <c r="AC187" i="164"/>
  <c r="AF187" i="164"/>
  <c r="BD168" i="164"/>
  <c r="CW168" i="164" s="1"/>
  <c r="BE168" i="164"/>
  <c r="BM168" i="164"/>
  <c r="AP228" i="168"/>
  <c r="AC37" i="164"/>
  <c r="AF37" i="164"/>
  <c r="AF390" i="164"/>
  <c r="AC390" i="164"/>
  <c r="AF55" i="164"/>
  <c r="AC55" i="164"/>
  <c r="AG55" i="164" s="1"/>
  <c r="AC137" i="164"/>
  <c r="AF137" i="164"/>
  <c r="AC210" i="164"/>
  <c r="AF210" i="164"/>
  <c r="AC329" i="164"/>
  <c r="AF329" i="164"/>
  <c r="AC424" i="164"/>
  <c r="AF424" i="164"/>
  <c r="AC484" i="164"/>
  <c r="AF484" i="164"/>
  <c r="AN430" i="164"/>
  <c r="AM429" i="164"/>
  <c r="BM146" i="164"/>
  <c r="BD146" i="164"/>
  <c r="CW146" i="164" s="1"/>
  <c r="BE146" i="164"/>
  <c r="Y301" i="164"/>
  <c r="G302" i="164"/>
  <c r="H302" i="164" s="1"/>
  <c r="AA122" i="164"/>
  <c r="R122" i="164"/>
  <c r="AF125" i="164"/>
  <c r="AC125" i="164"/>
  <c r="AU205" i="164"/>
  <c r="AV205" i="164"/>
  <c r="CX437" i="164"/>
  <c r="AF49" i="164"/>
  <c r="AC49" i="164"/>
  <c r="AN329" i="168"/>
  <c r="AO329" i="168"/>
  <c r="N305" i="168"/>
  <c r="AL305" i="168"/>
  <c r="AK305" i="168"/>
  <c r="AM449" i="164"/>
  <c r="AN450" i="164"/>
  <c r="AP450" i="164" s="1"/>
  <c r="AN30" i="164"/>
  <c r="AP30" i="164" s="1"/>
  <c r="AM29" i="164"/>
  <c r="Y169" i="164"/>
  <c r="G170" i="164"/>
  <c r="H170" i="164" s="1"/>
  <c r="AA93" i="164"/>
  <c r="R93" i="164"/>
  <c r="AA461" i="164"/>
  <c r="R461" i="164"/>
  <c r="AB461" i="164" s="1"/>
  <c r="AI461" i="164" s="1"/>
  <c r="N237" i="168"/>
  <c r="AL237" i="168"/>
  <c r="AK237" i="168"/>
  <c r="AA158" i="164"/>
  <c r="R158" i="164"/>
  <c r="N134" i="168"/>
  <c r="BV134" i="168" s="1"/>
  <c r="AK134" i="168"/>
  <c r="AL134" i="168"/>
  <c r="BN197" i="164"/>
  <c r="G155" i="168"/>
  <c r="BM156" i="164"/>
  <c r="BD156" i="164"/>
  <c r="BE156" i="164"/>
  <c r="BD268" i="164"/>
  <c r="CW268" i="164" s="1"/>
  <c r="BM268" i="164"/>
  <c r="BE268" i="164"/>
  <c r="AC350" i="164"/>
  <c r="AF350" i="164"/>
  <c r="AA268" i="164"/>
  <c r="R268" i="164"/>
  <c r="AF66" i="164"/>
  <c r="AC66" i="164"/>
  <c r="AF111" i="164"/>
  <c r="AC111" i="164"/>
  <c r="AG111" i="164" s="1"/>
  <c r="AH111" i="164" s="1"/>
  <c r="AC416" i="164"/>
  <c r="AF416" i="164"/>
  <c r="R24" i="164"/>
  <c r="AA24" i="164"/>
  <c r="AF287" i="164"/>
  <c r="AC287" i="164"/>
  <c r="AG287" i="164" s="1"/>
  <c r="AH287" i="164" s="1"/>
  <c r="AA133" i="164"/>
  <c r="R133" i="164"/>
  <c r="AA271" i="164"/>
  <c r="R271" i="164"/>
  <c r="AA448" i="164"/>
  <c r="R448" i="164"/>
  <c r="CU327" i="168"/>
  <c r="CJ327" i="168"/>
  <c r="CW328" i="164"/>
  <c r="AF156" i="164"/>
  <c r="AC156" i="164"/>
  <c r="AA312" i="164"/>
  <c r="R312" i="164"/>
  <c r="R143" i="164"/>
  <c r="AA143" i="164"/>
  <c r="AA413" i="164"/>
  <c r="R413" i="164"/>
  <c r="AB413" i="164" s="1"/>
  <c r="AI413" i="164" s="1"/>
  <c r="AA89" i="164"/>
  <c r="R89" i="164"/>
  <c r="AU63" i="164"/>
  <c r="AV63" i="164"/>
  <c r="BE231" i="164"/>
  <c r="BD231" i="164"/>
  <c r="CW231" i="164" s="1"/>
  <c r="BM231" i="164"/>
  <c r="AF56" i="164"/>
  <c r="AC56" i="164"/>
  <c r="AF262" i="164"/>
  <c r="AC262" i="164"/>
  <c r="AA224" i="164"/>
  <c r="R224" i="164"/>
  <c r="AA78" i="164"/>
  <c r="R78" i="164"/>
  <c r="AA272" i="164"/>
  <c r="R272" i="164"/>
  <c r="AA264" i="164"/>
  <c r="R264" i="164"/>
  <c r="AB264" i="164" s="1"/>
  <c r="AI264" i="164" s="1"/>
  <c r="AC239" i="164"/>
  <c r="AF239" i="164"/>
  <c r="AA252" i="164"/>
  <c r="R252" i="164"/>
  <c r="P384" i="164"/>
  <c r="BN260" i="164"/>
  <c r="AA120" i="164"/>
  <c r="R120" i="164"/>
  <c r="AF299" i="164"/>
  <c r="AC299" i="164"/>
  <c r="AC455" i="164"/>
  <c r="AF455" i="164"/>
  <c r="AA85" i="164"/>
  <c r="R85" i="164"/>
  <c r="AF498" i="164"/>
  <c r="AC498" i="164"/>
  <c r="Z483" i="164"/>
  <c r="AZ483" i="164"/>
  <c r="CX483" i="164"/>
  <c r="K484" i="164"/>
  <c r="L484" i="164" s="1"/>
  <c r="AF352" i="164"/>
  <c r="AC352" i="164"/>
  <c r="AN201" i="164"/>
  <c r="AP201" i="164" s="1"/>
  <c r="AM200" i="164"/>
  <c r="AF174" i="164"/>
  <c r="AC174" i="164"/>
  <c r="AF501" i="164"/>
  <c r="AC501" i="164"/>
  <c r="AV439" i="164"/>
  <c r="BN28" i="164"/>
  <c r="AU146" i="164"/>
  <c r="AA64" i="164"/>
  <c r="R64" i="164"/>
  <c r="R200" i="164"/>
  <c r="AA200" i="164"/>
  <c r="AF300" i="164"/>
  <c r="AC300" i="164"/>
  <c r="AC255" i="164"/>
  <c r="AF255" i="164"/>
  <c r="AA406" i="164"/>
  <c r="R406" i="164"/>
  <c r="BN103" i="164"/>
  <c r="BN212" i="164"/>
  <c r="AF248" i="164"/>
  <c r="AC248" i="164"/>
  <c r="AP313" i="168"/>
  <c r="P40" i="164"/>
  <c r="AA293" i="164"/>
  <c r="R293" i="164"/>
  <c r="K127" i="164"/>
  <c r="L127" i="164" s="1"/>
  <c r="Z126" i="164"/>
  <c r="BM200" i="164"/>
  <c r="BD200" i="164"/>
  <c r="CW200" i="164" s="1"/>
  <c r="BE200" i="164"/>
  <c r="N313" i="168"/>
  <c r="AL313" i="168"/>
  <c r="AK313" i="168"/>
  <c r="AF212" i="164"/>
  <c r="AC212" i="164"/>
  <c r="AA74" i="164"/>
  <c r="R74" i="164"/>
  <c r="CX313" i="168"/>
  <c r="G452" i="164"/>
  <c r="Y451" i="164"/>
  <c r="BN72" i="164"/>
  <c r="AV309" i="164"/>
  <c r="AF81" i="164"/>
  <c r="AC81" i="164"/>
  <c r="AC216" i="164"/>
  <c r="AF216" i="164"/>
  <c r="AF355" i="164"/>
  <c r="AC355" i="164"/>
  <c r="AA444" i="164"/>
  <c r="R444" i="164"/>
  <c r="AB444" i="164" s="1"/>
  <c r="AI444" i="164" s="1"/>
  <c r="Y416" i="164"/>
  <c r="G417" i="164"/>
  <c r="H417" i="164" s="1"/>
  <c r="AC182" i="164"/>
  <c r="AF182" i="164"/>
  <c r="AV431" i="164"/>
  <c r="AF342" i="164"/>
  <c r="AC342" i="164"/>
  <c r="G424" i="164"/>
  <c r="H424" i="164" s="1"/>
  <c r="Y423" i="164"/>
  <c r="AA222" i="164"/>
  <c r="R222" i="164"/>
  <c r="AB222" i="164" s="1"/>
  <c r="AI222" i="164" s="1"/>
  <c r="AA281" i="164"/>
  <c r="R281" i="164"/>
  <c r="AA106" i="164"/>
  <c r="R106" i="164"/>
  <c r="AF223" i="164"/>
  <c r="AC223" i="164"/>
  <c r="Y319" i="164"/>
  <c r="G320" i="164"/>
  <c r="H320" i="164" s="1"/>
  <c r="AC337" i="164"/>
  <c r="AF337" i="164"/>
  <c r="P247" i="164"/>
  <c r="AA183" i="164"/>
  <c r="R183" i="164"/>
  <c r="AB183" i="164" s="1"/>
  <c r="AI183" i="164" s="1"/>
  <c r="BN267" i="164"/>
  <c r="AA28" i="164"/>
  <c r="R28" i="164"/>
  <c r="AC102" i="164"/>
  <c r="AF102" i="164"/>
  <c r="R441" i="164"/>
  <c r="AA441" i="164"/>
  <c r="BM130" i="164"/>
  <c r="BD130" i="164"/>
  <c r="CW130" i="164" s="1"/>
  <c r="BE130" i="164"/>
  <c r="AV196" i="164"/>
  <c r="Z383" i="164"/>
  <c r="AZ383" i="164"/>
  <c r="K384" i="164"/>
  <c r="L384" i="164" s="1"/>
  <c r="CX383" i="164"/>
  <c r="AF383" i="164"/>
  <c r="AC383" i="164"/>
  <c r="AM155" i="168"/>
  <c r="BI155" i="168"/>
  <c r="AV281" i="164"/>
  <c r="BE373" i="164"/>
  <c r="BM373" i="164"/>
  <c r="BD373" i="164"/>
  <c r="CW373" i="164" s="1"/>
  <c r="BE318" i="164"/>
  <c r="BM318" i="164"/>
  <c r="BD318" i="164"/>
  <c r="CW318" i="164" s="1"/>
  <c r="BM236" i="164"/>
  <c r="AM373" i="164"/>
  <c r="AN374" i="164"/>
  <c r="AP374" i="164" s="1"/>
  <c r="BN381" i="164"/>
  <c r="AF115" i="164"/>
  <c r="AC115" i="164"/>
  <c r="AA194" i="164"/>
  <c r="R194" i="164"/>
  <c r="AC276" i="164"/>
  <c r="AF276" i="164"/>
  <c r="AF321" i="164"/>
  <c r="AC321" i="164"/>
  <c r="AA420" i="164"/>
  <c r="R420" i="164"/>
  <c r="AU160" i="164"/>
  <c r="R304" i="164"/>
  <c r="AA304" i="164"/>
  <c r="Z164" i="164"/>
  <c r="AA196" i="164"/>
  <c r="R196" i="164"/>
  <c r="AJ329" i="168"/>
  <c r="BP329" i="168"/>
  <c r="DM329" i="168"/>
  <c r="DS329" i="168"/>
  <c r="DL329" i="168"/>
  <c r="DT329" i="168"/>
  <c r="DR329" i="168"/>
  <c r="BN335" i="164"/>
  <c r="AA35" i="164"/>
  <c r="R35" i="164"/>
  <c r="AF53" i="164"/>
  <c r="AC53" i="164"/>
  <c r="G237" i="168"/>
  <c r="BD238" i="164"/>
  <c r="BE238" i="164"/>
  <c r="BM238" i="164"/>
  <c r="R220" i="164"/>
  <c r="AA220" i="164"/>
  <c r="AF439" i="164"/>
  <c r="AC439" i="164"/>
  <c r="BN334" i="164"/>
  <c r="BN449" i="164"/>
  <c r="AC185" i="164"/>
  <c r="AF185" i="164"/>
  <c r="AF345" i="164"/>
  <c r="AC345" i="164"/>
  <c r="AC421" i="164"/>
  <c r="AF421" i="164"/>
  <c r="AA62" i="164"/>
  <c r="R62" i="164"/>
  <c r="AF244" i="164"/>
  <c r="AC244" i="164"/>
  <c r="AF232" i="164"/>
  <c r="AC232" i="164"/>
  <c r="AF376" i="164"/>
  <c r="AC376" i="164"/>
  <c r="AA141" i="164"/>
  <c r="R141" i="164"/>
  <c r="AB141" i="164" s="1"/>
  <c r="AI141" i="164" s="1"/>
  <c r="R193" i="164"/>
  <c r="AA193" i="164"/>
  <c r="AV455" i="164"/>
  <c r="Z269" i="164"/>
  <c r="AZ269" i="164"/>
  <c r="CX269" i="164"/>
  <c r="AF64" i="164"/>
  <c r="AC64" i="164"/>
  <c r="AA132" i="164"/>
  <c r="R132" i="164"/>
  <c r="AA300" i="164"/>
  <c r="R300" i="164"/>
  <c r="AF406" i="164"/>
  <c r="AC406" i="164"/>
  <c r="BE212" i="164"/>
  <c r="BN178" i="164"/>
  <c r="AF40" i="164"/>
  <c r="AC40" i="164"/>
  <c r="AF109" i="164"/>
  <c r="AC109" i="164"/>
  <c r="AC186" i="164"/>
  <c r="AF186" i="164"/>
  <c r="AF285" i="164"/>
  <c r="AC285" i="164"/>
  <c r="AG285" i="164" s="1"/>
  <c r="AH285" i="164" s="1"/>
  <c r="AF293" i="164"/>
  <c r="AC293" i="164"/>
  <c r="AF377" i="164"/>
  <c r="AC377" i="164"/>
  <c r="AF422" i="164"/>
  <c r="AC422" i="164"/>
  <c r="AF480" i="164"/>
  <c r="AC480" i="164"/>
  <c r="AU401" i="164"/>
  <c r="AF279" i="164"/>
  <c r="AC279" i="164"/>
  <c r="AF485" i="164"/>
  <c r="AC485" i="164"/>
  <c r="AF254" i="164"/>
  <c r="AC254" i="164"/>
  <c r="Z79" i="164"/>
  <c r="AZ79" i="164"/>
  <c r="AV79" i="164"/>
  <c r="CX79" i="164"/>
  <c r="K80" i="164"/>
  <c r="L80" i="164" s="1"/>
  <c r="Y224" i="164"/>
  <c r="AF74" i="164"/>
  <c r="AC74" i="164"/>
  <c r="AF474" i="164"/>
  <c r="AC474" i="164"/>
  <c r="AV465" i="164"/>
  <c r="Z284" i="164"/>
  <c r="AZ284" i="164"/>
  <c r="CX284" i="164"/>
  <c r="K285" i="164"/>
  <c r="L285" i="164" s="1"/>
  <c r="AC190" i="164"/>
  <c r="AF190" i="164"/>
  <c r="AA216" i="164"/>
  <c r="R216" i="164"/>
  <c r="AF444" i="164"/>
  <c r="AC444" i="164"/>
  <c r="AA182" i="164"/>
  <c r="R182" i="164"/>
  <c r="AF163" i="164"/>
  <c r="AC163" i="164"/>
  <c r="AV22" i="164"/>
  <c r="Y462" i="164"/>
  <c r="BM222" i="164"/>
  <c r="BD222" i="164"/>
  <c r="CW222" i="164" s="1"/>
  <c r="BE222" i="164"/>
  <c r="BN466" i="164"/>
  <c r="N163" i="168"/>
  <c r="AL163" i="168"/>
  <c r="AK163" i="168"/>
  <c r="AF148" i="164"/>
  <c r="AC148" i="164"/>
  <c r="AG148" i="164" s="1"/>
  <c r="AH148" i="164" s="1"/>
  <c r="AC326" i="164"/>
  <c r="AF326" i="164"/>
  <c r="AF346" i="164"/>
  <c r="AC346" i="164"/>
  <c r="AF449" i="164"/>
  <c r="AC449" i="164"/>
  <c r="DN306" i="168"/>
  <c r="DO306" i="168"/>
  <c r="AF106" i="164"/>
  <c r="AC106" i="164"/>
  <c r="AC306" i="164"/>
  <c r="AF306" i="164"/>
  <c r="AM415" i="164"/>
  <c r="AN416" i="164"/>
  <c r="AP416" i="164" s="1"/>
  <c r="AF247" i="164"/>
  <c r="AC247" i="164"/>
  <c r="BQ237" i="168"/>
  <c r="AF28" i="164"/>
  <c r="AC28" i="164"/>
  <c r="AA102" i="164"/>
  <c r="R102" i="164"/>
  <c r="AC164" i="164"/>
  <c r="AF164" i="164"/>
  <c r="AC249" i="164"/>
  <c r="AF249" i="164"/>
  <c r="AF331" i="164"/>
  <c r="AC331" i="164"/>
  <c r="AF325" i="164"/>
  <c r="AC325" i="164"/>
  <c r="AG325" i="164" s="1"/>
  <c r="AH325" i="164" s="1"/>
  <c r="AC441" i="164"/>
  <c r="AF441" i="164"/>
  <c r="AF486" i="164"/>
  <c r="AC486" i="164"/>
  <c r="G126" i="164"/>
  <c r="H126" i="164" s="1"/>
  <c r="CX126" i="164" s="1"/>
  <c r="Y125" i="164"/>
  <c r="AV208" i="164"/>
  <c r="AF320" i="164"/>
  <c r="AC320" i="164"/>
  <c r="AF242" i="164"/>
  <c r="AC242" i="164"/>
  <c r="AF428" i="164"/>
  <c r="AC428" i="164"/>
  <c r="AN247" i="164"/>
  <c r="AP247" i="164" s="1"/>
  <c r="AM246" i="164"/>
  <c r="AV75" i="164"/>
  <c r="AU75" i="164"/>
  <c r="CX374" i="164"/>
  <c r="Z374" i="164"/>
  <c r="AZ374" i="164"/>
  <c r="K375" i="164"/>
  <c r="L375" i="164" s="1"/>
  <c r="AV372" i="164"/>
  <c r="AU372" i="164"/>
  <c r="AC100" i="164"/>
  <c r="AF100" i="164"/>
  <c r="AC194" i="164"/>
  <c r="AF194" i="164"/>
  <c r="AA276" i="164"/>
  <c r="R276" i="164"/>
  <c r="G202" i="164"/>
  <c r="H202" i="164" s="1"/>
  <c r="Y201" i="164"/>
  <c r="AC304" i="164"/>
  <c r="AF304" i="164"/>
  <c r="AF442" i="164"/>
  <c r="AC442" i="164"/>
  <c r="AZ437" i="164"/>
  <c r="BM64" i="164"/>
  <c r="BD64" i="164"/>
  <c r="CW64" i="164" s="1"/>
  <c r="BE64" i="164"/>
  <c r="BN293" i="164"/>
  <c r="BE421" i="164"/>
  <c r="BM421" i="164"/>
  <c r="BD421" i="164"/>
  <c r="CW421" i="164" s="1"/>
  <c r="R371" i="164"/>
  <c r="AA371" i="164"/>
  <c r="AF318" i="164"/>
  <c r="AC318" i="164"/>
  <c r="AA259" i="164"/>
  <c r="R259" i="164"/>
  <c r="AA241" i="164"/>
  <c r="R241" i="164"/>
  <c r="AA473" i="164"/>
  <c r="R473" i="164"/>
  <c r="AC356" i="164"/>
  <c r="AF356" i="164"/>
  <c r="AF58" i="164"/>
  <c r="AC58" i="164"/>
  <c r="AG58" i="164" s="1"/>
  <c r="AH58" i="164" s="1"/>
  <c r="AM107" i="164"/>
  <c r="AU107" i="164" s="1"/>
  <c r="AN108" i="164"/>
  <c r="AP108" i="164" s="1"/>
  <c r="AF33" i="164"/>
  <c r="AC33" i="164"/>
  <c r="AF349" i="164"/>
  <c r="AC349" i="164"/>
  <c r="AC44" i="164"/>
  <c r="AG44" i="164" s="1"/>
  <c r="AH44" i="164" s="1"/>
  <c r="AF44" i="164"/>
  <c r="AF401" i="164"/>
  <c r="AC401" i="164"/>
  <c r="AG401" i="164" s="1"/>
  <c r="AH401" i="164" s="1"/>
  <c r="AC205" i="164"/>
  <c r="AF205" i="164"/>
  <c r="AF460" i="164"/>
  <c r="AC460" i="164"/>
  <c r="AF135" i="164"/>
  <c r="AC135" i="164"/>
  <c r="AF407" i="164"/>
  <c r="AC407" i="164"/>
  <c r="AF152" i="164"/>
  <c r="AC152" i="164"/>
  <c r="AF433" i="164"/>
  <c r="AC433" i="164"/>
  <c r="AF93" i="164"/>
  <c r="AC93" i="164"/>
  <c r="AG93" i="164" s="1"/>
  <c r="AH93" i="164" s="1"/>
  <c r="AF214" i="164"/>
  <c r="AC214" i="164"/>
  <c r="BD474" i="164"/>
  <c r="CW474" i="164" s="1"/>
  <c r="BM474" i="164"/>
  <c r="BE474" i="164"/>
  <c r="AF385" i="164"/>
  <c r="AC385" i="164"/>
  <c r="Y468" i="164"/>
  <c r="G469" i="164"/>
  <c r="H469" i="164" s="1"/>
  <c r="AF130" i="164"/>
  <c r="AC130" i="164"/>
  <c r="AA314" i="164"/>
  <c r="R314" i="164"/>
  <c r="BD39" i="164"/>
  <c r="CW39" i="164" s="1"/>
  <c r="BM39" i="164"/>
  <c r="BE39" i="164"/>
  <c r="AA155" i="164"/>
  <c r="R155" i="164"/>
  <c r="AA439" i="164"/>
  <c r="R439" i="164"/>
  <c r="AF437" i="164"/>
  <c r="AC437" i="164"/>
  <c r="AG437" i="164" s="1"/>
  <c r="AH437" i="164" s="1"/>
  <c r="AF229" i="164"/>
  <c r="AC229" i="164"/>
  <c r="BD117" i="164"/>
  <c r="CW117" i="164" s="1"/>
  <c r="BE117" i="164"/>
  <c r="BM117" i="164"/>
  <c r="AC462" i="164"/>
  <c r="AF462" i="164"/>
  <c r="BQ238" i="168"/>
  <c r="AN155" i="168"/>
  <c r="AO155" i="168"/>
  <c r="N162" i="168"/>
  <c r="AL162" i="168"/>
  <c r="AK162" i="168"/>
  <c r="AA176" i="164"/>
  <c r="R176" i="164"/>
  <c r="R283" i="164"/>
  <c r="AA283" i="164"/>
  <c r="AA446" i="164"/>
  <c r="R446" i="164"/>
  <c r="BN420" i="164"/>
  <c r="AN70" i="164"/>
  <c r="AM69" i="164"/>
  <c r="AF69" i="164"/>
  <c r="AC69" i="164"/>
  <c r="AG69" i="164" s="1"/>
  <c r="AH69" i="164" s="1"/>
  <c r="AF271" i="164"/>
  <c r="AC271" i="164"/>
  <c r="AG271" i="164" s="1"/>
  <c r="AH271" i="164" s="1"/>
  <c r="AC448" i="164"/>
  <c r="AF448" i="164"/>
  <c r="AN474" i="164"/>
  <c r="AP474" i="164" s="1"/>
  <c r="AM473" i="164"/>
  <c r="AF26" i="164"/>
  <c r="AC26" i="164"/>
  <c r="AA230" i="164"/>
  <c r="R230" i="164"/>
  <c r="AA478" i="164"/>
  <c r="R478" i="164"/>
  <c r="AB478" i="164" s="1"/>
  <c r="AI478" i="164" s="1"/>
  <c r="R139" i="164"/>
  <c r="AA139" i="164"/>
  <c r="CX140" i="168"/>
  <c r="BQ155" i="168"/>
  <c r="AF50" i="164"/>
  <c r="AC50" i="164"/>
  <c r="AC120" i="164"/>
  <c r="AF120" i="164"/>
  <c r="AF266" i="164"/>
  <c r="AC266" i="164"/>
  <c r="AA299" i="164"/>
  <c r="R299" i="164"/>
  <c r="AF393" i="164"/>
  <c r="AC393" i="164"/>
  <c r="AN467" i="164"/>
  <c r="AP467" i="164" s="1"/>
  <c r="AM466" i="164"/>
  <c r="Y163" i="164"/>
  <c r="G164" i="164"/>
  <c r="H164" i="164" s="1"/>
  <c r="AZ164" i="164" s="1"/>
  <c r="AA123" i="164"/>
  <c r="R123" i="164"/>
  <c r="AC159" i="164"/>
  <c r="AF159" i="164"/>
  <c r="AF297" i="164"/>
  <c r="AC297" i="164"/>
  <c r="AG297" i="164" s="1"/>
  <c r="AH297" i="164" s="1"/>
  <c r="AC360" i="164"/>
  <c r="AF360" i="164"/>
  <c r="AA396" i="164"/>
  <c r="R396" i="164"/>
  <c r="CX163" i="164"/>
  <c r="BD163" i="164" s="1"/>
  <c r="AF62" i="164"/>
  <c r="AC62" i="164"/>
  <c r="AA151" i="164"/>
  <c r="R151" i="164"/>
  <c r="AF292" i="164"/>
  <c r="AC292" i="164"/>
  <c r="AA401" i="164"/>
  <c r="R401" i="164"/>
  <c r="R205" i="164"/>
  <c r="AA205" i="164"/>
  <c r="AF419" i="164"/>
  <c r="AC419" i="164"/>
  <c r="AF170" i="164"/>
  <c r="AC170" i="164"/>
  <c r="BN448" i="164"/>
  <c r="DB306" i="168"/>
  <c r="DC306" i="168"/>
  <c r="DD306" i="168"/>
  <c r="DE306" i="168"/>
  <c r="DF306" i="168"/>
  <c r="DG306" i="168"/>
  <c r="CW306" i="168"/>
  <c r="O306" i="168"/>
  <c r="BB306" i="168"/>
  <c r="CY306" i="168"/>
  <c r="EA306" i="168"/>
  <c r="CV306" i="168"/>
  <c r="CZ306" i="168"/>
  <c r="DA306" i="168"/>
  <c r="DV306" i="168"/>
  <c r="DX306" i="168"/>
  <c r="DZ306" i="168"/>
  <c r="P306" i="168"/>
  <c r="CB306" i="168" s="1"/>
  <c r="DW306" i="168"/>
  <c r="DY306" i="168"/>
  <c r="DU306" i="168"/>
  <c r="EB306" i="168"/>
  <c r="CF306" i="168"/>
  <c r="AC132" i="164"/>
  <c r="AF132" i="164"/>
  <c r="AF200" i="164"/>
  <c r="AC200" i="164"/>
  <c r="AF367" i="164"/>
  <c r="AC367" i="164"/>
  <c r="AC505" i="164"/>
  <c r="AF505" i="164"/>
  <c r="K184" i="164"/>
  <c r="L184" i="164" s="1"/>
  <c r="AM163" i="164"/>
  <c r="AN164" i="164"/>
  <c r="AP164" i="164" s="1"/>
  <c r="AM164" i="164" s="1"/>
  <c r="AU164" i="164" s="1"/>
  <c r="AC167" i="164"/>
  <c r="AF167" i="164"/>
  <c r="AF268" i="164"/>
  <c r="AC268" i="164"/>
  <c r="AG268" i="164" s="1"/>
  <c r="AH268" i="164" s="1"/>
  <c r="AA309" i="164"/>
  <c r="R309" i="164"/>
  <c r="AF491" i="164"/>
  <c r="AC491" i="164"/>
  <c r="R66" i="164"/>
  <c r="AB66" i="164" s="1"/>
  <c r="AI66" i="164" s="1"/>
  <c r="AA66" i="164"/>
  <c r="AA318" i="164"/>
  <c r="R318" i="164"/>
  <c r="BQ313" i="168"/>
  <c r="AA333" i="164"/>
  <c r="R333" i="164"/>
  <c r="AB333" i="164" s="1"/>
  <c r="AI333" i="164" s="1"/>
  <c r="AA416" i="164"/>
  <c r="R416" i="164"/>
  <c r="BG313" i="168"/>
  <c r="BF313" i="168"/>
  <c r="BD313" i="168"/>
  <c r="BH313" i="168" s="1"/>
  <c r="BE313" i="168"/>
  <c r="CA313" i="168"/>
  <c r="W313" i="168" s="1"/>
  <c r="BN69" i="164"/>
  <c r="AC22" i="164"/>
  <c r="AF22" i="164"/>
  <c r="AC259" i="164"/>
  <c r="AF259" i="164"/>
  <c r="AA381" i="164"/>
  <c r="R381" i="164"/>
  <c r="AF461" i="164"/>
  <c r="AC461" i="164"/>
  <c r="Y374" i="164"/>
  <c r="G375" i="164"/>
  <c r="H375" i="164" s="1"/>
  <c r="AF493" i="164"/>
  <c r="AC493" i="164"/>
  <c r="AF324" i="164"/>
  <c r="AC324" i="164"/>
  <c r="BN143" i="164"/>
  <c r="Y81" i="164"/>
  <c r="G82" i="164"/>
  <c r="H82" i="164" s="1"/>
  <c r="AF54" i="164"/>
  <c r="AC54" i="164"/>
  <c r="R148" i="164"/>
  <c r="AA148" i="164"/>
  <c r="AF222" i="164"/>
  <c r="AC222" i="164"/>
  <c r="AC281" i="164"/>
  <c r="AF281" i="164"/>
  <c r="AA449" i="164"/>
  <c r="R449" i="164"/>
  <c r="AM390" i="164"/>
  <c r="AN391" i="164"/>
  <c r="AP391" i="164" s="1"/>
  <c r="K470" i="164"/>
  <c r="L470" i="164" s="1"/>
  <c r="Z469" i="164"/>
  <c r="AZ469" i="164"/>
  <c r="CX469" i="164"/>
  <c r="AU414" i="164"/>
  <c r="AV414" i="164"/>
  <c r="AN438" i="164"/>
  <c r="AM437" i="164"/>
  <c r="AC183" i="164"/>
  <c r="AF183" i="164"/>
  <c r="AA58" i="164"/>
  <c r="R58" i="164"/>
  <c r="AC110" i="164"/>
  <c r="AF110" i="164"/>
  <c r="AA260" i="164"/>
  <c r="R260" i="164"/>
  <c r="AB260" i="164" s="1"/>
  <c r="AI260" i="164" s="1"/>
  <c r="AF289" i="164"/>
  <c r="AC289" i="164"/>
  <c r="AA450" i="164"/>
  <c r="R450" i="164"/>
  <c r="AA435" i="164"/>
  <c r="R435" i="164"/>
  <c r="BR330" i="168"/>
  <c r="BX330" i="168" s="1"/>
  <c r="BW330" i="168"/>
  <c r="CH330" i="168" s="1"/>
  <c r="Y213" i="164"/>
  <c r="G206" i="164"/>
  <c r="H206" i="164" s="1"/>
  <c r="G214" i="164"/>
  <c r="H214" i="164" s="1"/>
  <c r="AZ169" i="164"/>
  <c r="Z169" i="164"/>
  <c r="CX169" i="164"/>
  <c r="K170" i="164"/>
  <c r="L170" i="164" s="1"/>
  <c r="BQ134" i="168"/>
  <c r="AN34" i="164"/>
  <c r="AM33" i="164"/>
  <c r="AA242" i="164"/>
  <c r="R242" i="164"/>
  <c r="AF112" i="164"/>
  <c r="AC112" i="164"/>
  <c r="AG112" i="164" s="1"/>
  <c r="AH112" i="164" s="1"/>
  <c r="AN319" i="164"/>
  <c r="AP319" i="164" s="1"/>
  <c r="AM318" i="164"/>
  <c r="AP140" i="168"/>
  <c r="AM103" i="164"/>
  <c r="AN104" i="164"/>
  <c r="BN272" i="164"/>
  <c r="AA100" i="164"/>
  <c r="R100" i="164"/>
  <c r="AF420" i="164"/>
  <c r="AC420" i="164"/>
  <c r="AF497" i="164"/>
  <c r="AC497" i="164"/>
  <c r="AF227" i="164"/>
  <c r="AC227" i="164"/>
  <c r="AC431" i="164"/>
  <c r="AG431" i="164" s="1"/>
  <c r="AH431" i="164" s="1"/>
  <c r="AF431" i="164"/>
  <c r="AF196" i="164"/>
  <c r="AC196" i="164"/>
  <c r="AG196" i="164" s="1"/>
  <c r="AH196" i="164" s="1"/>
  <c r="AV64" i="164"/>
  <c r="F1056" i="57"/>
  <c r="Z128" i="56"/>
  <c r="F1038" i="57"/>
  <c r="Z126" i="56"/>
  <c r="E167" i="57"/>
  <c r="E163" i="57"/>
  <c r="Y140" i="168" l="1"/>
  <c r="BZ140" i="168"/>
  <c r="AB85" i="164"/>
  <c r="AI85" i="164" s="1"/>
  <c r="AB133" i="164"/>
  <c r="AI133" i="164" s="1"/>
  <c r="AB37" i="164"/>
  <c r="AI37" i="164" s="1"/>
  <c r="AB436" i="164"/>
  <c r="AI436" i="164" s="1"/>
  <c r="AW436" i="164" s="1"/>
  <c r="BP436" i="164" s="1"/>
  <c r="AG468" i="164"/>
  <c r="AH468" i="164" s="1"/>
  <c r="AG284" i="164"/>
  <c r="AH284" i="164" s="1"/>
  <c r="AG374" i="164"/>
  <c r="AH374" i="164" s="1"/>
  <c r="AB295" i="164"/>
  <c r="AI295" i="164" s="1"/>
  <c r="BO295" i="164" s="1"/>
  <c r="AG46" i="164"/>
  <c r="AH46" i="164" s="1"/>
  <c r="AV118" i="164"/>
  <c r="AG37" i="164"/>
  <c r="AH37" i="164" s="1"/>
  <c r="AB411" i="164"/>
  <c r="AI411" i="164" s="1"/>
  <c r="AW411" i="164" s="1"/>
  <c r="BP411" i="164" s="1"/>
  <c r="AG307" i="164"/>
  <c r="AH307" i="164" s="1"/>
  <c r="AG80" i="164"/>
  <c r="AH80" i="164" s="1"/>
  <c r="AG317" i="164"/>
  <c r="AH317" i="164" s="1"/>
  <c r="AB151" i="164"/>
  <c r="AI151" i="164" s="1"/>
  <c r="AB300" i="164"/>
  <c r="AI300" i="164" s="1"/>
  <c r="AG345" i="164"/>
  <c r="AH345" i="164" s="1"/>
  <c r="AG359" i="164"/>
  <c r="AG24" i="164"/>
  <c r="AH24" i="164" s="1"/>
  <c r="AG194" i="164"/>
  <c r="AH194" i="164" s="1"/>
  <c r="AG352" i="164"/>
  <c r="AH352" i="164" s="1"/>
  <c r="AB272" i="164"/>
  <c r="AI272" i="164" s="1"/>
  <c r="BO272" i="164" s="1"/>
  <c r="AB331" i="164"/>
  <c r="AG414" i="164"/>
  <c r="AH414" i="164" s="1"/>
  <c r="AG39" i="164"/>
  <c r="AH39" i="164" s="1"/>
  <c r="AB137" i="164"/>
  <c r="AI137" i="164" s="1"/>
  <c r="BS140" i="168"/>
  <c r="AG424" i="164"/>
  <c r="AH424" i="164" s="1"/>
  <c r="AS140" i="168"/>
  <c r="AT140" i="168" s="1"/>
  <c r="DQ140" i="168"/>
  <c r="AG380" i="164"/>
  <c r="AH380" i="164" s="1"/>
  <c r="AG47" i="164"/>
  <c r="AH47" i="164" s="1"/>
  <c r="BZ330" i="168"/>
  <c r="AB474" i="164"/>
  <c r="AI474" i="164" s="1"/>
  <c r="AB242" i="164"/>
  <c r="AI242" i="164" s="1"/>
  <c r="AW242" i="164" s="1"/>
  <c r="AB199" i="164"/>
  <c r="AI199" i="164" s="1"/>
  <c r="BO199" i="164" s="1"/>
  <c r="AB211" i="164"/>
  <c r="AI211" i="164" s="1"/>
  <c r="BO211" i="164" s="1"/>
  <c r="AB38" i="164"/>
  <c r="AI38" i="164" s="1"/>
  <c r="BO38" i="164" s="1"/>
  <c r="X330" i="168"/>
  <c r="CD330" i="168"/>
  <c r="BU140" i="168"/>
  <c r="AK136" i="168"/>
  <c r="N136" i="168"/>
  <c r="BV136" i="168" s="1"/>
  <c r="CG136" i="168" s="1"/>
  <c r="AC136" i="168" s="1"/>
  <c r="AF136" i="168" s="1"/>
  <c r="CQ228" i="168"/>
  <c r="CL228" i="168"/>
  <c r="CO228" i="168" s="1"/>
  <c r="CC330" i="168"/>
  <c r="Y330" i="168"/>
  <c r="BV313" i="168"/>
  <c r="CG313" i="168" s="1"/>
  <c r="CC140" i="168"/>
  <c r="CD140" i="168"/>
  <c r="X140" i="168"/>
  <c r="BD247" i="164"/>
  <c r="CW247" i="164" s="1"/>
  <c r="BE462" i="164"/>
  <c r="AB396" i="164"/>
  <c r="AI396" i="164" s="1"/>
  <c r="AG214" i="164"/>
  <c r="AH214" i="164" s="1"/>
  <c r="AG442" i="164"/>
  <c r="AH442" i="164" s="1"/>
  <c r="AG242" i="164"/>
  <c r="AH242" i="164" s="1"/>
  <c r="AG247" i="164"/>
  <c r="AH247" i="164" s="1"/>
  <c r="AG346" i="164"/>
  <c r="AH346" i="164" s="1"/>
  <c r="AV164" i="164"/>
  <c r="AG506" i="164"/>
  <c r="AH506" i="164" s="1"/>
  <c r="AB176" i="164"/>
  <c r="AI176" i="164" s="1"/>
  <c r="AW176" i="164" s="1"/>
  <c r="BP176" i="164" s="1"/>
  <c r="AG390" i="164"/>
  <c r="AH390" i="164" s="1"/>
  <c r="AG184" i="164"/>
  <c r="AH184" i="164" s="1"/>
  <c r="AB159" i="164"/>
  <c r="AI159" i="164" s="1"/>
  <c r="AW159" i="164" s="1"/>
  <c r="AG319" i="164"/>
  <c r="AH319" i="164" s="1"/>
  <c r="AG176" i="164"/>
  <c r="AH176" i="164" s="1"/>
  <c r="AG155" i="164"/>
  <c r="AH155" i="164" s="1"/>
  <c r="AG202" i="164"/>
  <c r="AH202" i="164" s="1"/>
  <c r="AG348" i="164"/>
  <c r="AH348" i="164" s="1"/>
  <c r="AB210" i="164"/>
  <c r="AI210" i="164" s="1"/>
  <c r="AW210" i="164" s="1"/>
  <c r="BP210" i="164" s="1"/>
  <c r="AG351" i="164"/>
  <c r="AH351" i="164" s="1"/>
  <c r="AB105" i="164"/>
  <c r="AI105" i="164" s="1"/>
  <c r="BO105" i="164" s="1"/>
  <c r="AG260" i="164"/>
  <c r="AH260" i="164" s="1"/>
  <c r="AB125" i="164"/>
  <c r="AI125" i="164" s="1"/>
  <c r="AG367" i="164"/>
  <c r="AH367" i="164" s="1"/>
  <c r="AB401" i="164"/>
  <c r="AI401" i="164" s="1"/>
  <c r="AW401" i="164" s="1"/>
  <c r="BP401" i="164" s="1"/>
  <c r="AG130" i="164"/>
  <c r="AH130" i="164" s="1"/>
  <c r="AG163" i="164"/>
  <c r="AH163" i="164" s="1"/>
  <c r="AG377" i="164"/>
  <c r="AH377" i="164" s="1"/>
  <c r="AG248" i="164"/>
  <c r="AH248" i="164" s="1"/>
  <c r="AB64" i="164"/>
  <c r="AI64" i="164" s="1"/>
  <c r="AW64" i="164" s="1"/>
  <c r="AB421" i="164"/>
  <c r="AI421" i="164" s="1"/>
  <c r="AG340" i="164"/>
  <c r="AH340" i="164" s="1"/>
  <c r="AG122" i="164"/>
  <c r="AH122" i="164" s="1"/>
  <c r="AB415" i="164"/>
  <c r="AI415" i="164" s="1"/>
  <c r="AG269" i="164"/>
  <c r="AH269" i="164" s="1"/>
  <c r="AB431" i="164"/>
  <c r="AI431" i="164" s="1"/>
  <c r="BO431" i="164" s="1"/>
  <c r="AB103" i="164"/>
  <c r="AI103" i="164" s="1"/>
  <c r="BO103" i="164" s="1"/>
  <c r="AG364" i="164"/>
  <c r="AH364" i="164" s="1"/>
  <c r="AB80" i="164"/>
  <c r="AG386" i="164"/>
  <c r="AH386" i="164" s="1"/>
  <c r="AG398" i="164"/>
  <c r="AH398" i="164" s="1"/>
  <c r="AB197" i="164"/>
  <c r="AI197" i="164" s="1"/>
  <c r="BO197" i="164" s="1"/>
  <c r="AG363" i="164"/>
  <c r="AH363" i="164" s="1"/>
  <c r="AB400" i="164"/>
  <c r="AI400" i="164" s="1"/>
  <c r="BO400" i="164" s="1"/>
  <c r="AG361" i="164"/>
  <c r="AH361" i="164" s="1"/>
  <c r="R462" i="164"/>
  <c r="AG200" i="164"/>
  <c r="AH200" i="164" s="1"/>
  <c r="AG292" i="164"/>
  <c r="AH292" i="164" s="1"/>
  <c r="AB182" i="164"/>
  <c r="AI182" i="164" s="1"/>
  <c r="AG293" i="164"/>
  <c r="AH293" i="164" s="1"/>
  <c r="AB420" i="164"/>
  <c r="AI420" i="164" s="1"/>
  <c r="BO420" i="164" s="1"/>
  <c r="AG408" i="164"/>
  <c r="AH408" i="164" s="1"/>
  <c r="AB393" i="164"/>
  <c r="AI393" i="164" s="1"/>
  <c r="AW393" i="164" s="1"/>
  <c r="BP393" i="164" s="1"/>
  <c r="AB33" i="164"/>
  <c r="AI33" i="164" s="1"/>
  <c r="BO33" i="164" s="1"/>
  <c r="AG108" i="164"/>
  <c r="AH108" i="164" s="1"/>
  <c r="AO503" i="168"/>
  <c r="AB46" i="164"/>
  <c r="AI46" i="164" s="1"/>
  <c r="BO46" i="164" s="1"/>
  <c r="AB146" i="164"/>
  <c r="AI146" i="164" s="1"/>
  <c r="AW146" i="164" s="1"/>
  <c r="AB156" i="164"/>
  <c r="AI156" i="164" s="1"/>
  <c r="AG382" i="164"/>
  <c r="AH382" i="164" s="1"/>
  <c r="AG171" i="164"/>
  <c r="AH171" i="164" s="1"/>
  <c r="AG489" i="164"/>
  <c r="AH489" i="164" s="1"/>
  <c r="AG286" i="164"/>
  <c r="AH286" i="164" s="1"/>
  <c r="AB328" i="164"/>
  <c r="AI328" i="164" s="1"/>
  <c r="AW328" i="164" s="1"/>
  <c r="BP328" i="164" s="1"/>
  <c r="AG35" i="164"/>
  <c r="AH35" i="164" s="1"/>
  <c r="AB100" i="164"/>
  <c r="AI100" i="164" s="1"/>
  <c r="AW100" i="164" s="1"/>
  <c r="AG210" i="164"/>
  <c r="AH210" i="164" s="1"/>
  <c r="AG391" i="164"/>
  <c r="AH391" i="164" s="1"/>
  <c r="AB178" i="164"/>
  <c r="AI178" i="164" s="1"/>
  <c r="BO178" i="164" s="1"/>
  <c r="AG463" i="164"/>
  <c r="AH463" i="164" s="1"/>
  <c r="AB423" i="164"/>
  <c r="AB317" i="164"/>
  <c r="AI317" i="164" s="1"/>
  <c r="BO317" i="164" s="1"/>
  <c r="AB414" i="164"/>
  <c r="AI414" i="164" s="1"/>
  <c r="BO414" i="164" s="1"/>
  <c r="AG77" i="164"/>
  <c r="AH77" i="164" s="1"/>
  <c r="AB467" i="164"/>
  <c r="AI467" i="164" s="1"/>
  <c r="BO467" i="164" s="1"/>
  <c r="AG476" i="164"/>
  <c r="AH476" i="164" s="1"/>
  <c r="AG197" i="164"/>
  <c r="AH197" i="164" s="1"/>
  <c r="AB117" i="164"/>
  <c r="AI117" i="164" s="1"/>
  <c r="AB130" i="164"/>
  <c r="AI130" i="164" s="1"/>
  <c r="AG334" i="164"/>
  <c r="AH334" i="164" s="1"/>
  <c r="AG369" i="164"/>
  <c r="AH369" i="164" s="1"/>
  <c r="AG186" i="164"/>
  <c r="AH186" i="164" s="1"/>
  <c r="AG185" i="164"/>
  <c r="AH185" i="164" s="1"/>
  <c r="AZ126" i="164"/>
  <c r="BE126" i="164" s="1"/>
  <c r="AG187" i="164"/>
  <c r="AH187" i="164" s="1"/>
  <c r="AB480" i="164"/>
  <c r="AI480" i="164" s="1"/>
  <c r="BO480" i="164" s="1"/>
  <c r="AG423" i="164"/>
  <c r="AH423" i="164" s="1"/>
  <c r="AG354" i="164"/>
  <c r="AH354" i="164" s="1"/>
  <c r="AG107" i="164"/>
  <c r="AH107" i="164" s="1"/>
  <c r="AG328" i="164"/>
  <c r="AH328" i="164" s="1"/>
  <c r="AG375" i="164"/>
  <c r="AH375" i="164" s="1"/>
  <c r="AG387" i="164"/>
  <c r="AH387" i="164" s="1"/>
  <c r="AG415" i="164"/>
  <c r="AH415" i="164" s="1"/>
  <c r="AG237" i="164"/>
  <c r="AH237" i="164" s="1"/>
  <c r="AG220" i="164"/>
  <c r="AH220" i="164" s="1"/>
  <c r="AG343" i="164"/>
  <c r="AH343" i="164" s="1"/>
  <c r="AG381" i="164"/>
  <c r="AH381" i="164" s="1"/>
  <c r="AG100" i="164"/>
  <c r="AH100" i="164" s="1"/>
  <c r="AG480" i="164"/>
  <c r="AH480" i="164" s="1"/>
  <c r="AG109" i="164"/>
  <c r="AH109" i="164" s="1"/>
  <c r="BE213" i="164"/>
  <c r="BD213" i="164"/>
  <c r="CW213" i="164" s="1"/>
  <c r="BE247" i="164"/>
  <c r="Z248" i="164"/>
  <c r="BD336" i="164"/>
  <c r="CW336" i="164" s="1"/>
  <c r="BE336" i="164"/>
  <c r="BE125" i="164"/>
  <c r="BD125" i="164"/>
  <c r="CW125" i="164" s="1"/>
  <c r="AB304" i="164"/>
  <c r="AI304" i="164" s="1"/>
  <c r="AW304" i="164" s="1"/>
  <c r="BP304" i="164" s="1"/>
  <c r="AN503" i="168"/>
  <c r="AG304" i="164"/>
  <c r="AH304" i="164" s="1"/>
  <c r="AG216" i="164"/>
  <c r="AH216" i="164" s="1"/>
  <c r="AG259" i="164"/>
  <c r="AH259" i="164" s="1"/>
  <c r="AB441" i="164"/>
  <c r="AI441" i="164" s="1"/>
  <c r="AW441" i="164" s="1"/>
  <c r="AG281" i="164"/>
  <c r="AH281" i="164" s="1"/>
  <c r="AB123" i="164"/>
  <c r="AI123" i="164" s="1"/>
  <c r="BO123" i="164" s="1"/>
  <c r="AG279" i="164"/>
  <c r="AH279" i="164" s="1"/>
  <c r="AB28" i="164"/>
  <c r="AI28" i="164" s="1"/>
  <c r="AW28" i="164" s="1"/>
  <c r="BP28" i="164" s="1"/>
  <c r="AB106" i="164"/>
  <c r="AI106" i="164" s="1"/>
  <c r="AW106" i="164" s="1"/>
  <c r="AB224" i="164"/>
  <c r="AB24" i="164"/>
  <c r="AI24" i="164" s="1"/>
  <c r="AW24" i="164" s="1"/>
  <c r="AG472" i="164"/>
  <c r="AH472" i="164" s="1"/>
  <c r="AG85" i="164"/>
  <c r="AH85" i="164" s="1"/>
  <c r="AG384" i="164"/>
  <c r="AH384" i="164" s="1"/>
  <c r="AB457" i="164"/>
  <c r="AI457" i="164" s="1"/>
  <c r="AG189" i="164"/>
  <c r="AH189" i="164" s="1"/>
  <c r="AG68" i="164"/>
  <c r="AH68" i="164" s="1"/>
  <c r="AB60" i="164"/>
  <c r="AI60" i="164" s="1"/>
  <c r="AW60" i="164" s="1"/>
  <c r="AB394" i="164"/>
  <c r="AI394" i="164" s="1"/>
  <c r="BO394" i="164" s="1"/>
  <c r="AB99" i="164"/>
  <c r="AI99" i="164" s="1"/>
  <c r="AW99" i="164" s="1"/>
  <c r="AB410" i="164"/>
  <c r="AI410" i="164" s="1"/>
  <c r="AW410" i="164" s="1"/>
  <c r="BP410" i="164" s="1"/>
  <c r="AG499" i="164"/>
  <c r="AH499" i="164" s="1"/>
  <c r="AG492" i="164"/>
  <c r="AH492" i="164" s="1"/>
  <c r="AG97" i="164"/>
  <c r="AH97" i="164" s="1"/>
  <c r="AB201" i="164"/>
  <c r="AB149" i="164"/>
  <c r="AI149" i="164" s="1"/>
  <c r="AW149" i="164" s="1"/>
  <c r="BP149" i="164" s="1"/>
  <c r="AB465" i="164"/>
  <c r="AI465" i="164" s="1"/>
  <c r="BO465" i="164" s="1"/>
  <c r="AG417" i="164"/>
  <c r="AH417" i="164" s="1"/>
  <c r="AB284" i="164"/>
  <c r="AI284" i="164" s="1"/>
  <c r="CX164" i="164"/>
  <c r="BE164" i="164" s="1"/>
  <c r="AG222" i="164"/>
  <c r="AH222" i="164" s="1"/>
  <c r="AG170" i="164"/>
  <c r="AH170" i="164" s="1"/>
  <c r="AG62" i="164"/>
  <c r="AH62" i="164" s="1"/>
  <c r="AB446" i="164"/>
  <c r="AI446" i="164" s="1"/>
  <c r="AG28" i="164"/>
  <c r="AH28" i="164" s="1"/>
  <c r="AB132" i="164"/>
  <c r="AI132" i="164" s="1"/>
  <c r="AW132" i="164" s="1"/>
  <c r="BP132" i="164" s="1"/>
  <c r="AG321" i="164"/>
  <c r="AH321" i="164" s="1"/>
  <c r="AB391" i="164"/>
  <c r="AI391" i="164" s="1"/>
  <c r="AG290" i="164"/>
  <c r="AH290" i="164" s="1"/>
  <c r="AG483" i="164"/>
  <c r="AH483" i="164" s="1"/>
  <c r="AG403" i="164"/>
  <c r="AH403" i="164" s="1"/>
  <c r="AB166" i="164"/>
  <c r="AI166" i="164" s="1"/>
  <c r="AW166" i="164" s="1"/>
  <c r="BP166" i="164" s="1"/>
  <c r="AB466" i="164"/>
  <c r="AI466" i="164" s="1"/>
  <c r="BO466" i="164" s="1"/>
  <c r="AB297" i="164"/>
  <c r="AI297" i="164" s="1"/>
  <c r="AW297" i="164" s="1"/>
  <c r="AB213" i="164"/>
  <c r="AI213" i="164" s="1"/>
  <c r="AG50" i="164"/>
  <c r="AH50" i="164" s="1"/>
  <c r="AG428" i="164"/>
  <c r="AH428" i="164" s="1"/>
  <c r="AG449" i="164"/>
  <c r="AH449" i="164" s="1"/>
  <c r="AB281" i="164"/>
  <c r="AI281" i="164" s="1"/>
  <c r="BO281" i="164" s="1"/>
  <c r="AB252" i="164"/>
  <c r="AI252" i="164" s="1"/>
  <c r="AW252" i="164" s="1"/>
  <c r="BP252" i="164" s="1"/>
  <c r="AG262" i="164"/>
  <c r="AH262" i="164" s="1"/>
  <c r="AB89" i="164"/>
  <c r="AI89" i="164" s="1"/>
  <c r="AW89" i="164" s="1"/>
  <c r="BP89" i="164" s="1"/>
  <c r="AG490" i="164"/>
  <c r="AH490" i="164" s="1"/>
  <c r="AG465" i="164"/>
  <c r="AH465" i="164" s="1"/>
  <c r="AB374" i="164"/>
  <c r="AB432" i="164"/>
  <c r="AI432" i="164" s="1"/>
  <c r="BO432" i="164" s="1"/>
  <c r="AG126" i="164"/>
  <c r="AH126" i="164" s="1"/>
  <c r="AG42" i="164"/>
  <c r="AH42" i="164" s="1"/>
  <c r="AG470" i="164"/>
  <c r="AH470" i="164" s="1"/>
  <c r="AG241" i="164"/>
  <c r="AH241" i="164" s="1"/>
  <c r="AG365" i="164"/>
  <c r="AH365" i="164" s="1"/>
  <c r="AB167" i="164"/>
  <c r="AI167" i="164" s="1"/>
  <c r="BO167" i="164" s="1"/>
  <c r="AB81" i="164"/>
  <c r="AG276" i="164"/>
  <c r="AH276" i="164" s="1"/>
  <c r="AG329" i="164"/>
  <c r="AH329" i="164" s="1"/>
  <c r="AG362" i="164"/>
  <c r="AH362" i="164" s="1"/>
  <c r="AG208" i="164"/>
  <c r="AH208" i="164" s="1"/>
  <c r="AB314" i="164"/>
  <c r="AI314" i="164" s="1"/>
  <c r="AG422" i="164"/>
  <c r="AH422" i="164" s="1"/>
  <c r="AG40" i="164"/>
  <c r="AH40" i="164" s="1"/>
  <c r="AG355" i="164"/>
  <c r="AH355" i="164" s="1"/>
  <c r="AG239" i="164"/>
  <c r="AH239" i="164" s="1"/>
  <c r="AB271" i="164"/>
  <c r="AI271" i="164" s="1"/>
  <c r="AB93" i="164"/>
  <c r="AI93" i="164" s="1"/>
  <c r="AG274" i="164"/>
  <c r="AH274" i="164" s="1"/>
  <c r="AB408" i="164"/>
  <c r="AI408" i="164" s="1"/>
  <c r="BO408" i="164" s="1"/>
  <c r="AG162" i="164"/>
  <c r="AH162" i="164" s="1"/>
  <c r="AG478" i="164"/>
  <c r="AH478" i="164" s="1"/>
  <c r="AG302" i="164"/>
  <c r="AH302" i="164" s="1"/>
  <c r="AG118" i="164"/>
  <c r="AH118" i="164" s="1"/>
  <c r="AG344" i="164"/>
  <c r="AH344" i="164" s="1"/>
  <c r="AB390" i="164"/>
  <c r="AI390" i="164" s="1"/>
  <c r="BO390" i="164" s="1"/>
  <c r="AB274" i="164"/>
  <c r="AI274" i="164" s="1"/>
  <c r="AG459" i="164"/>
  <c r="AH459" i="164" s="1"/>
  <c r="AB118" i="164"/>
  <c r="AI118" i="164" s="1"/>
  <c r="AG151" i="164"/>
  <c r="AH151" i="164" s="1"/>
  <c r="AG191" i="164"/>
  <c r="AH191" i="164" s="1"/>
  <c r="AG336" i="164"/>
  <c r="AH336" i="164" s="1"/>
  <c r="AG301" i="164"/>
  <c r="AH301" i="164" s="1"/>
  <c r="AB143" i="164"/>
  <c r="AI143" i="164" s="1"/>
  <c r="AW143" i="164" s="1"/>
  <c r="BP143" i="164" s="1"/>
  <c r="AB433" i="164"/>
  <c r="AI433" i="164" s="1"/>
  <c r="BO433" i="164" s="1"/>
  <c r="AG117" i="164"/>
  <c r="AH117" i="164" s="1"/>
  <c r="AG166" i="164"/>
  <c r="AH166" i="164" s="1"/>
  <c r="AB373" i="164"/>
  <c r="AI373" i="164" s="1"/>
  <c r="AG333" i="164"/>
  <c r="AH333" i="164" s="1"/>
  <c r="AB75" i="164"/>
  <c r="AI75" i="164" s="1"/>
  <c r="BO75" i="164" s="1"/>
  <c r="AG366" i="164"/>
  <c r="AH366" i="164" s="1"/>
  <c r="AG190" i="164"/>
  <c r="AH190" i="164" s="1"/>
  <c r="AG255" i="164"/>
  <c r="AH255" i="164" s="1"/>
  <c r="AG137" i="164"/>
  <c r="AH137" i="164" s="1"/>
  <c r="AB483" i="164"/>
  <c r="AI483" i="164" s="1"/>
  <c r="AB63" i="164"/>
  <c r="AI63" i="164" s="1"/>
  <c r="AW63" i="164" s="1"/>
  <c r="BP63" i="164" s="1"/>
  <c r="CL136" i="168"/>
  <c r="CO136" i="168" s="1"/>
  <c r="AB174" i="164"/>
  <c r="AI174" i="164" s="1"/>
  <c r="AW174" i="164" s="1"/>
  <c r="BP174" i="164" s="1"/>
  <c r="AG267" i="164"/>
  <c r="AH267" i="164" s="1"/>
  <c r="AB382" i="164"/>
  <c r="AI382" i="164" s="1"/>
  <c r="AB380" i="164"/>
  <c r="AI380" i="164" s="1"/>
  <c r="AW380" i="164" s="1"/>
  <c r="BP380" i="164" s="1"/>
  <c r="AG353" i="164"/>
  <c r="AH353" i="164" s="1"/>
  <c r="AB108" i="164"/>
  <c r="AB229" i="164"/>
  <c r="AI229" i="164" s="1"/>
  <c r="AG206" i="164"/>
  <c r="AH206" i="164" s="1"/>
  <c r="AG436" i="164"/>
  <c r="AH436" i="164" s="1"/>
  <c r="AG127" i="164"/>
  <c r="AH127" i="164" s="1"/>
  <c r="AG500" i="164"/>
  <c r="AH500" i="164" s="1"/>
  <c r="AG495" i="164"/>
  <c r="AH495" i="164" s="1"/>
  <c r="AB437" i="164"/>
  <c r="AI437" i="164" s="1"/>
  <c r="AV333" i="164"/>
  <c r="AU333" i="164"/>
  <c r="AG249" i="164"/>
  <c r="AH249" i="164" s="1"/>
  <c r="AM334" i="164"/>
  <c r="AN335" i="164"/>
  <c r="AP335" i="164" s="1"/>
  <c r="AG505" i="164"/>
  <c r="AH505" i="164" s="1"/>
  <c r="AG183" i="164"/>
  <c r="AH183" i="164" s="1"/>
  <c r="AG324" i="164"/>
  <c r="AH324" i="164" s="1"/>
  <c r="AB230" i="164"/>
  <c r="AI230" i="164" s="1"/>
  <c r="BO230" i="164" s="1"/>
  <c r="AB439" i="164"/>
  <c r="AI439" i="164" s="1"/>
  <c r="AG152" i="164"/>
  <c r="AH152" i="164" s="1"/>
  <c r="AG164" i="164"/>
  <c r="AH164" i="164" s="1"/>
  <c r="AG106" i="164"/>
  <c r="AH106" i="164" s="1"/>
  <c r="AG223" i="164"/>
  <c r="AH223" i="164" s="1"/>
  <c r="AB78" i="164"/>
  <c r="AI78" i="164" s="1"/>
  <c r="AW78" i="164" s="1"/>
  <c r="AG350" i="164"/>
  <c r="AH350" i="164" s="1"/>
  <c r="AB306" i="164"/>
  <c r="AI306" i="164" s="1"/>
  <c r="BO306" i="164" s="1"/>
  <c r="AG277" i="164"/>
  <c r="AH277" i="164" s="1"/>
  <c r="AG335" i="164"/>
  <c r="AH335" i="164" s="1"/>
  <c r="AB334" i="164"/>
  <c r="AI334" i="164" s="1"/>
  <c r="BO334" i="164" s="1"/>
  <c r="AG457" i="164"/>
  <c r="AH457" i="164" s="1"/>
  <c r="AG199" i="164"/>
  <c r="AH199" i="164" s="1"/>
  <c r="AG432" i="164"/>
  <c r="AH432" i="164" s="1"/>
  <c r="AG400" i="164"/>
  <c r="AH400" i="164" s="1"/>
  <c r="AG309" i="164"/>
  <c r="AH309" i="164" s="1"/>
  <c r="AG378" i="164"/>
  <c r="AH378" i="164" s="1"/>
  <c r="AB29" i="164"/>
  <c r="AI29" i="164" s="1"/>
  <c r="BO29" i="164" s="1"/>
  <c r="AG75" i="164"/>
  <c r="AH75" i="164" s="1"/>
  <c r="AG298" i="164"/>
  <c r="AH298" i="164" s="1"/>
  <c r="AG41" i="164"/>
  <c r="AB204" i="164"/>
  <c r="AI204" i="164" s="1"/>
  <c r="AG450" i="164"/>
  <c r="AH450" i="164" s="1"/>
  <c r="AU140" i="168"/>
  <c r="CR147" i="168"/>
  <c r="CT147" i="168" s="1"/>
  <c r="Z313" i="168"/>
  <c r="DP148" i="168"/>
  <c r="DQ148" i="168"/>
  <c r="DM503" i="168"/>
  <c r="DL503" i="168"/>
  <c r="AM503" i="168"/>
  <c r="DQ163" i="168"/>
  <c r="DP163" i="168"/>
  <c r="CX306" i="168"/>
  <c r="BD462" i="164"/>
  <c r="CW462" i="164" s="1"/>
  <c r="AI374" i="164"/>
  <c r="AI79" i="164"/>
  <c r="AW79" i="164" s="1"/>
  <c r="CU162" i="168"/>
  <c r="CJ162" i="168"/>
  <c r="CW163" i="164"/>
  <c r="BM337" i="164"/>
  <c r="Y320" i="164"/>
  <c r="G321" i="164"/>
  <c r="H321" i="164" s="1"/>
  <c r="P320" i="164"/>
  <c r="BN299" i="164"/>
  <c r="CR140" i="168"/>
  <c r="CT140" i="168" s="1"/>
  <c r="BO429" i="164"/>
  <c r="DP136" i="168"/>
  <c r="DQ136" i="168"/>
  <c r="G425" i="164"/>
  <c r="H425" i="164" s="1"/>
  <c r="Y424" i="164"/>
  <c r="P424" i="164"/>
  <c r="BN231" i="164"/>
  <c r="BO461" i="164"/>
  <c r="BE223" i="164"/>
  <c r="BD223" i="164"/>
  <c r="CW223" i="164" s="1"/>
  <c r="BM223" i="164"/>
  <c r="BN106" i="164"/>
  <c r="Y404" i="164"/>
  <c r="P404" i="164"/>
  <c r="Y232" i="164"/>
  <c r="G233" i="164"/>
  <c r="H233" i="164" s="1"/>
  <c r="AZ233" i="164" s="1"/>
  <c r="P232" i="164"/>
  <c r="AB238" i="164"/>
  <c r="AI238" i="164" s="1"/>
  <c r="BO328" i="164"/>
  <c r="G329" i="168"/>
  <c r="BE330" i="164"/>
  <c r="BM330" i="164"/>
  <c r="BD330" i="164"/>
  <c r="AM48" i="164"/>
  <c r="AN49" i="164"/>
  <c r="AP49" i="164" s="1"/>
  <c r="AB298" i="164"/>
  <c r="AI298" i="164" s="1"/>
  <c r="AU420" i="164"/>
  <c r="AV420" i="164"/>
  <c r="BE163" i="164"/>
  <c r="BR134" i="168"/>
  <c r="BW134" i="168"/>
  <c r="AD330" i="168"/>
  <c r="AG330" i="168" s="1"/>
  <c r="AB58" i="164"/>
  <c r="AI58" i="164" s="1"/>
  <c r="Z470" i="164"/>
  <c r="K463" i="164"/>
  <c r="L463" i="164" s="1"/>
  <c r="AG54" i="164"/>
  <c r="AH54" i="164" s="1"/>
  <c r="AB318" i="164"/>
  <c r="AI318" i="164" s="1"/>
  <c r="AB205" i="164"/>
  <c r="AI205" i="164" s="1"/>
  <c r="AU466" i="164"/>
  <c r="AV466" i="164"/>
  <c r="AN475" i="164"/>
  <c r="AM474" i="164"/>
  <c r="BW238" i="168"/>
  <c r="CH238" i="168" s="1"/>
  <c r="BR238" i="168"/>
  <c r="BX238" i="168" s="1"/>
  <c r="AB155" i="164"/>
  <c r="AI155" i="164" s="1"/>
  <c r="AG385" i="164"/>
  <c r="AH385" i="164" s="1"/>
  <c r="AB473" i="164"/>
  <c r="AI473" i="164" s="1"/>
  <c r="BD374" i="164"/>
  <c r="CW374" i="164" s="1"/>
  <c r="BE374" i="164"/>
  <c r="BM374" i="164"/>
  <c r="AG320" i="164"/>
  <c r="AH320" i="164" s="1"/>
  <c r="AG331" i="164"/>
  <c r="AH331" i="164" s="1"/>
  <c r="AG444" i="164"/>
  <c r="AH444" i="164" s="1"/>
  <c r="AG64" i="164"/>
  <c r="AH64" i="164" s="1"/>
  <c r="AG376" i="164"/>
  <c r="AH376" i="164" s="1"/>
  <c r="CU237" i="168"/>
  <c r="CJ237" i="168"/>
  <c r="CW238" i="164"/>
  <c r="AG102" i="164"/>
  <c r="AH102" i="164" s="1"/>
  <c r="AG342" i="164"/>
  <c r="AH342" i="164" s="1"/>
  <c r="AB74" i="164"/>
  <c r="AI74" i="164" s="1"/>
  <c r="Z484" i="164"/>
  <c r="CX484" i="164"/>
  <c r="K485" i="164"/>
  <c r="L485" i="164" s="1"/>
  <c r="AZ484" i="164"/>
  <c r="AG299" i="164"/>
  <c r="AH299" i="164" s="1"/>
  <c r="AG66" i="164"/>
  <c r="AH66" i="164" s="1"/>
  <c r="DD155" i="168"/>
  <c r="DE155" i="168"/>
  <c r="DF155" i="168"/>
  <c r="DG155" i="168"/>
  <c r="DA155" i="168"/>
  <c r="BB155" i="168"/>
  <c r="CV155" i="168"/>
  <c r="CW155" i="168"/>
  <c r="O155" i="168"/>
  <c r="CZ155" i="168"/>
  <c r="DC155" i="168"/>
  <c r="P155" i="168"/>
  <c r="CB155" i="168" s="1"/>
  <c r="DB155" i="168"/>
  <c r="CY155" i="168"/>
  <c r="DV155" i="168"/>
  <c r="DW155" i="168"/>
  <c r="DX155" i="168"/>
  <c r="DU155" i="168"/>
  <c r="DZ155" i="168"/>
  <c r="EB155" i="168"/>
  <c r="EA155" i="168"/>
  <c r="DY155" i="168"/>
  <c r="CF155" i="168"/>
  <c r="BS305" i="168"/>
  <c r="BU305" i="168"/>
  <c r="BZ305" i="168"/>
  <c r="AU305" i="168"/>
  <c r="CD305" i="168"/>
  <c r="CC305" i="168"/>
  <c r="X305" i="168"/>
  <c r="Y305" i="168"/>
  <c r="AS305" i="168"/>
  <c r="AT305" i="168" s="1"/>
  <c r="BY305" i="168"/>
  <c r="AB122" i="164"/>
  <c r="AI122" i="164" s="1"/>
  <c r="AG87" i="164"/>
  <c r="AH87" i="164" s="1"/>
  <c r="AG288" i="164"/>
  <c r="AH288" i="164" s="1"/>
  <c r="DN228" i="168"/>
  <c r="DO228" i="168"/>
  <c r="AG357" i="164"/>
  <c r="AH357" i="164" s="1"/>
  <c r="AB332" i="164"/>
  <c r="AB383" i="164"/>
  <c r="AI383" i="164" s="1"/>
  <c r="AG347" i="164"/>
  <c r="AH347" i="164" s="1"/>
  <c r="AV298" i="164"/>
  <c r="AU298" i="164"/>
  <c r="AG252" i="164"/>
  <c r="AH252" i="164" s="1"/>
  <c r="AG425" i="164"/>
  <c r="AH425" i="164" s="1"/>
  <c r="AG78" i="164"/>
  <c r="AH78" i="164" s="1"/>
  <c r="AZ232" i="164"/>
  <c r="AB451" i="164"/>
  <c r="AI451" i="164" s="1"/>
  <c r="AB316" i="164"/>
  <c r="AI316" i="164" s="1"/>
  <c r="AG402" i="164"/>
  <c r="AH402" i="164" s="1"/>
  <c r="BN242" i="164"/>
  <c r="AB282" i="164"/>
  <c r="AI282" i="164" s="1"/>
  <c r="AG32" i="164"/>
  <c r="AH32" i="164" s="1"/>
  <c r="BD239" i="164"/>
  <c r="BE239" i="164"/>
  <c r="BM239" i="164"/>
  <c r="G238" i="168"/>
  <c r="AS238" i="168" s="1"/>
  <c r="AG469" i="164"/>
  <c r="AH469" i="164" s="1"/>
  <c r="AB476" i="164"/>
  <c r="AI476" i="164" s="1"/>
  <c r="AB237" i="164"/>
  <c r="AI237" i="164" s="1"/>
  <c r="AB239" i="164"/>
  <c r="AI239" i="164" s="1"/>
  <c r="AM237" i="164"/>
  <c r="AN238" i="164"/>
  <c r="AP238" i="164" s="1"/>
  <c r="AM238" i="164" s="1"/>
  <c r="AB244" i="164"/>
  <c r="AI244" i="164" s="1"/>
  <c r="DP134" i="168"/>
  <c r="DQ134" i="168"/>
  <c r="AG231" i="164"/>
  <c r="AH231" i="164" s="1"/>
  <c r="AG238" i="164"/>
  <c r="AH238" i="164" s="1"/>
  <c r="AG341" i="164"/>
  <c r="AH341" i="164" s="1"/>
  <c r="AB218" i="164"/>
  <c r="AI218" i="164" s="1"/>
  <c r="Z50" i="164"/>
  <c r="CX50" i="164"/>
  <c r="AZ50" i="164"/>
  <c r="K51" i="164"/>
  <c r="L51" i="164" s="1"/>
  <c r="AB231" i="164"/>
  <c r="AI231" i="164" s="1"/>
  <c r="AG413" i="164"/>
  <c r="AH413" i="164" s="1"/>
  <c r="AB330" i="164"/>
  <c r="AI330" i="164" s="1"/>
  <c r="AG169" i="164"/>
  <c r="AH169" i="164" s="1"/>
  <c r="AV47" i="164"/>
  <c r="AW47" i="164" s="1"/>
  <c r="BP47" i="164" s="1"/>
  <c r="AU47" i="164"/>
  <c r="AK331" i="168"/>
  <c r="AL331" i="168"/>
  <c r="N331" i="168"/>
  <c r="AG218" i="164"/>
  <c r="AH218" i="164" s="1"/>
  <c r="AM421" i="164"/>
  <c r="AN422" i="164"/>
  <c r="AP422" i="164" s="1"/>
  <c r="Y385" i="164"/>
  <c r="P385" i="164"/>
  <c r="AG91" i="164"/>
  <c r="AH91" i="164" s="1"/>
  <c r="DF162" i="168"/>
  <c r="DG162" i="168"/>
  <c r="CV162" i="168"/>
  <c r="CW162" i="168"/>
  <c r="CY162" i="168"/>
  <c r="DA162" i="168"/>
  <c r="DC162" i="168"/>
  <c r="DD162" i="168"/>
  <c r="DE162" i="168"/>
  <c r="BB162" i="168"/>
  <c r="DB162" i="168"/>
  <c r="P162" i="168"/>
  <c r="CB162" i="168" s="1"/>
  <c r="CZ162" i="168"/>
  <c r="DV162" i="168"/>
  <c r="DX162" i="168"/>
  <c r="O162" i="168"/>
  <c r="DU162" i="168"/>
  <c r="DY162" i="168"/>
  <c r="EA162" i="168"/>
  <c r="DW162" i="168"/>
  <c r="CF162" i="168"/>
  <c r="EB162" i="168"/>
  <c r="DZ162" i="168"/>
  <c r="AW413" i="164"/>
  <c r="BP413" i="164" s="1"/>
  <c r="BO413" i="164"/>
  <c r="AG110" i="164"/>
  <c r="AH110" i="164" s="1"/>
  <c r="AG455" i="164"/>
  <c r="AH455" i="164" s="1"/>
  <c r="AG484" i="164"/>
  <c r="AH484" i="164" s="1"/>
  <c r="BQ228" i="168"/>
  <c r="AG264" i="164"/>
  <c r="AH264" i="164" s="1"/>
  <c r="AB87" i="164"/>
  <c r="AI87" i="164" s="1"/>
  <c r="AU163" i="164"/>
  <c r="AV163" i="164"/>
  <c r="AV382" i="164"/>
  <c r="AU382" i="164"/>
  <c r="CR313" i="168"/>
  <c r="CT313" i="168" s="1"/>
  <c r="BM403" i="164"/>
  <c r="BD403" i="164"/>
  <c r="CW403" i="164" s="1"/>
  <c r="BE403" i="164"/>
  <c r="CA327" i="168"/>
  <c r="W327" i="168" s="1"/>
  <c r="BD327" i="168"/>
  <c r="BH327" i="168" s="1"/>
  <c r="BE327" i="168"/>
  <c r="BF327" i="168"/>
  <c r="BG327" i="168"/>
  <c r="AP327" i="168"/>
  <c r="AT327" i="168" s="1"/>
  <c r="BN482" i="164"/>
  <c r="AG227" i="164"/>
  <c r="AH227" i="164" s="1"/>
  <c r="AB435" i="164"/>
  <c r="AI435" i="164" s="1"/>
  <c r="AN392" i="164"/>
  <c r="AM391" i="164"/>
  <c r="AG461" i="164"/>
  <c r="AH461" i="164" s="1"/>
  <c r="K185" i="164"/>
  <c r="L185" i="164" s="1"/>
  <c r="AZ184" i="164"/>
  <c r="Z184" i="164"/>
  <c r="CX184" i="164"/>
  <c r="AG360" i="164"/>
  <c r="AH360" i="164" s="1"/>
  <c r="AG393" i="164"/>
  <c r="AH393" i="164" s="1"/>
  <c r="AG448" i="164"/>
  <c r="AH448" i="164" s="1"/>
  <c r="AB283" i="164"/>
  <c r="AI283" i="164" s="1"/>
  <c r="AG462" i="164"/>
  <c r="AH462" i="164" s="1"/>
  <c r="AG407" i="164"/>
  <c r="AH407" i="164" s="1"/>
  <c r="AG349" i="164"/>
  <c r="AH349" i="164" s="1"/>
  <c r="AB241" i="164"/>
  <c r="AI241" i="164" s="1"/>
  <c r="AB276" i="164"/>
  <c r="AI276" i="164" s="1"/>
  <c r="BN222" i="164"/>
  <c r="BO222" i="164" s="1"/>
  <c r="AB216" i="164"/>
  <c r="AI216" i="164" s="1"/>
  <c r="AG474" i="164"/>
  <c r="AH474" i="164" s="1"/>
  <c r="AG232" i="164"/>
  <c r="AH232" i="164" s="1"/>
  <c r="AG53" i="164"/>
  <c r="AH53" i="164" s="1"/>
  <c r="DN329" i="168"/>
  <c r="DO329" i="168"/>
  <c r="BR136" i="168"/>
  <c r="BX136" i="168" s="1"/>
  <c r="AB194" i="164"/>
  <c r="AI194" i="164" s="1"/>
  <c r="AG81" i="164"/>
  <c r="AH81" i="164" s="1"/>
  <c r="AG212" i="164"/>
  <c r="AH212" i="164" s="1"/>
  <c r="AB406" i="164"/>
  <c r="AI406" i="164" s="1"/>
  <c r="AB120" i="164"/>
  <c r="AI120" i="164" s="1"/>
  <c r="AB312" i="164"/>
  <c r="AI312" i="164" s="1"/>
  <c r="AB268" i="164"/>
  <c r="AI268" i="164" s="1"/>
  <c r="BZ306" i="168"/>
  <c r="CC306" i="168"/>
  <c r="BS306" i="168"/>
  <c r="CD306" i="168"/>
  <c r="X306" i="168"/>
  <c r="AS306" i="168"/>
  <c r="Y306" i="168"/>
  <c r="BW163" i="168"/>
  <c r="CH163" i="168" s="1"/>
  <c r="BR163" i="168"/>
  <c r="BX163" i="168" s="1"/>
  <c r="AG429" i="164"/>
  <c r="AH429" i="164" s="1"/>
  <c r="AM80" i="164"/>
  <c r="AU80" i="164" s="1"/>
  <c r="AN81" i="164"/>
  <c r="AP81" i="164" s="1"/>
  <c r="BR148" i="168"/>
  <c r="BX148" i="168" s="1"/>
  <c r="BW148" i="168"/>
  <c r="CH148" i="168" s="1"/>
  <c r="AB208" i="164"/>
  <c r="AI208" i="164" s="1"/>
  <c r="BZ147" i="168"/>
  <c r="CC147" i="168"/>
  <c r="BS147" i="168"/>
  <c r="BU147" i="168"/>
  <c r="CD147" i="168"/>
  <c r="AS147" i="168"/>
  <c r="AT147" i="168" s="1"/>
  <c r="AU147" i="168"/>
  <c r="X147" i="168"/>
  <c r="Y147" i="168"/>
  <c r="BY147" i="168"/>
  <c r="AV37" i="164"/>
  <c r="AW37" i="164" s="1"/>
  <c r="BP37" i="164" s="1"/>
  <c r="AU37" i="164"/>
  <c r="CX148" i="168"/>
  <c r="AG193" i="164"/>
  <c r="AH193" i="164" s="1"/>
  <c r="AM383" i="164"/>
  <c r="AN384" i="164"/>
  <c r="AP384" i="164" s="1"/>
  <c r="AG213" i="164"/>
  <c r="AH213" i="164" s="1"/>
  <c r="AG282" i="164"/>
  <c r="AH282" i="164" s="1"/>
  <c r="AB223" i="164"/>
  <c r="AI223" i="164" s="1"/>
  <c r="BV147" i="168"/>
  <c r="CG147" i="168" s="1"/>
  <c r="AG60" i="164"/>
  <c r="AH60" i="164" s="1"/>
  <c r="AV194" i="164"/>
  <c r="AU194" i="164"/>
  <c r="AG99" i="164"/>
  <c r="AH99" i="164" s="1"/>
  <c r="AG446" i="164"/>
  <c r="AH446" i="164" s="1"/>
  <c r="Y285" i="164"/>
  <c r="G286" i="164"/>
  <c r="H286" i="164" s="1"/>
  <c r="P285" i="164"/>
  <c r="BM416" i="164"/>
  <c r="BE416" i="164"/>
  <c r="BD416" i="164"/>
  <c r="CW416" i="164" s="1"/>
  <c r="AG133" i="164"/>
  <c r="AH133" i="164" s="1"/>
  <c r="AG103" i="164"/>
  <c r="AH103" i="164" s="1"/>
  <c r="AG178" i="164"/>
  <c r="AH178" i="164" s="1"/>
  <c r="BE40" i="164"/>
  <c r="BD40" i="164"/>
  <c r="CW40" i="164" s="1"/>
  <c r="BM40" i="164"/>
  <c r="AG180" i="164"/>
  <c r="AH180" i="164" s="1"/>
  <c r="AB262" i="164"/>
  <c r="AI262" i="164" s="1"/>
  <c r="AB32" i="164"/>
  <c r="AI32" i="164" s="1"/>
  <c r="AG83" i="164"/>
  <c r="AH83" i="164" s="1"/>
  <c r="AG30" i="164"/>
  <c r="AH30" i="164" s="1"/>
  <c r="BN48" i="164"/>
  <c r="BO48" i="164" s="1"/>
  <c r="AG371" i="164"/>
  <c r="AH371" i="164" s="1"/>
  <c r="CX337" i="164"/>
  <c r="BD337" i="164" s="1"/>
  <c r="CW337" i="164" s="1"/>
  <c r="AB44" i="164"/>
  <c r="AI44" i="164" s="1"/>
  <c r="AG316" i="164"/>
  <c r="AH316" i="164" s="1"/>
  <c r="AB30" i="164"/>
  <c r="AI30" i="164" s="1"/>
  <c r="AD327" i="168"/>
  <c r="AG327" i="168" s="1"/>
  <c r="CX327" i="168"/>
  <c r="AG204" i="164"/>
  <c r="AH204" i="164" s="1"/>
  <c r="AG466" i="164"/>
  <c r="AH466" i="164" s="1"/>
  <c r="AG396" i="164"/>
  <c r="AH396" i="164" s="1"/>
  <c r="AB407" i="164"/>
  <c r="AI407" i="164" s="1"/>
  <c r="AG257" i="164"/>
  <c r="AH257" i="164" s="1"/>
  <c r="AB107" i="164"/>
  <c r="AI107" i="164" s="1"/>
  <c r="AG246" i="164"/>
  <c r="AH246" i="164" s="1"/>
  <c r="AB71" i="164"/>
  <c r="AI71" i="164" s="1"/>
  <c r="AG481" i="164"/>
  <c r="AH481" i="164" s="1"/>
  <c r="DQ328" i="168"/>
  <c r="DP328" i="168"/>
  <c r="AG51" i="164"/>
  <c r="AH51" i="164" s="1"/>
  <c r="AB160" i="164"/>
  <c r="AI160" i="164" s="1"/>
  <c r="BH136" i="168"/>
  <c r="AB301" i="164"/>
  <c r="BN462" i="164"/>
  <c r="BM469" i="164"/>
  <c r="BE469" i="164"/>
  <c r="BD469" i="164"/>
  <c r="CW469" i="164" s="1"/>
  <c r="H452" i="164"/>
  <c r="AE452" i="164"/>
  <c r="BO37" i="164"/>
  <c r="CO134" i="168"/>
  <c r="DN331" i="168"/>
  <c r="DO331" i="168"/>
  <c r="DR331" i="168" s="1"/>
  <c r="DR503" i="168" s="1"/>
  <c r="E16" i="56" s="1"/>
  <c r="AB148" i="164"/>
  <c r="AI148" i="164" s="1"/>
  <c r="Z127" i="164"/>
  <c r="AW264" i="164"/>
  <c r="BP264" i="164" s="1"/>
  <c r="BO264" i="164"/>
  <c r="AG145" i="164"/>
  <c r="AH145" i="164" s="1"/>
  <c r="AN300" i="164"/>
  <c r="AP300" i="164" s="1"/>
  <c r="AM299" i="164"/>
  <c r="AV103" i="164"/>
  <c r="AU103" i="164"/>
  <c r="Y202" i="164"/>
  <c r="P202" i="164"/>
  <c r="CX237" i="168"/>
  <c r="CZ237" i="168"/>
  <c r="DA237" i="168"/>
  <c r="DB237" i="168"/>
  <c r="DC237" i="168"/>
  <c r="DE237" i="168"/>
  <c r="DF237" i="168"/>
  <c r="DG237" i="168"/>
  <c r="CW237" i="168"/>
  <c r="DD237" i="168"/>
  <c r="CV237" i="168"/>
  <c r="O237" i="168"/>
  <c r="BB237" i="168"/>
  <c r="DZ237" i="168"/>
  <c r="EA237" i="168"/>
  <c r="P237" i="168"/>
  <c r="CB237" i="168" s="1"/>
  <c r="DW237" i="168"/>
  <c r="DU237" i="168"/>
  <c r="CF237" i="168"/>
  <c r="DV237" i="168"/>
  <c r="DX237" i="168"/>
  <c r="EB237" i="168"/>
  <c r="DY237" i="168"/>
  <c r="BN318" i="164"/>
  <c r="BO455" i="164"/>
  <c r="AW455" i="164"/>
  <c r="BP455" i="164" s="1"/>
  <c r="AM38" i="164"/>
  <c r="AN39" i="164"/>
  <c r="AP39" i="164" s="1"/>
  <c r="AW457" i="164"/>
  <c r="BP457" i="164" s="1"/>
  <c r="BO457" i="164"/>
  <c r="G83" i="164"/>
  <c r="H83" i="164" s="1"/>
  <c r="Y82" i="164"/>
  <c r="P82" i="164"/>
  <c r="CX232" i="164"/>
  <c r="BN450" i="164"/>
  <c r="Y248" i="164"/>
  <c r="G249" i="164"/>
  <c r="H249" i="164" s="1"/>
  <c r="P248" i="164"/>
  <c r="AU183" i="164"/>
  <c r="AV183" i="164"/>
  <c r="AW183" i="164" s="1"/>
  <c r="Z338" i="164"/>
  <c r="AV230" i="164"/>
  <c r="AU230" i="164"/>
  <c r="AW229" i="164"/>
  <c r="BP229" i="164" s="1"/>
  <c r="BO229" i="164"/>
  <c r="CX404" i="164"/>
  <c r="AZ404" i="164"/>
  <c r="Z404" i="164"/>
  <c r="BO267" i="164"/>
  <c r="CS161" i="168"/>
  <c r="CK161" i="168"/>
  <c r="CQ161" i="168" s="1"/>
  <c r="CM161" i="168"/>
  <c r="CP161" i="168" s="1"/>
  <c r="CN161" i="168"/>
  <c r="BZ328" i="168"/>
  <c r="CC328" i="168"/>
  <c r="BS328" i="168"/>
  <c r="AS328" i="168"/>
  <c r="CD328" i="168"/>
  <c r="Y328" i="168"/>
  <c r="X328" i="168"/>
  <c r="A158" i="164"/>
  <c r="BJ156" i="164"/>
  <c r="CK156" i="164" s="1"/>
  <c r="BO204" i="164"/>
  <c r="AW204" i="164"/>
  <c r="BP204" i="164" s="1"/>
  <c r="BN402" i="164"/>
  <c r="BO402" i="164" s="1"/>
  <c r="AG497" i="164"/>
  <c r="AH497" i="164" s="1"/>
  <c r="AN320" i="164"/>
  <c r="AP320" i="164" s="1"/>
  <c r="AM319" i="164"/>
  <c r="AB450" i="164"/>
  <c r="AI450" i="164" s="1"/>
  <c r="AU437" i="164"/>
  <c r="AV437" i="164"/>
  <c r="AB449" i="164"/>
  <c r="AI449" i="164" s="1"/>
  <c r="AB381" i="164"/>
  <c r="AI381" i="164" s="1"/>
  <c r="AG491" i="164"/>
  <c r="AH491" i="164" s="1"/>
  <c r="AG132" i="164"/>
  <c r="AH132" i="164" s="1"/>
  <c r="AB299" i="164"/>
  <c r="AI299" i="164" s="1"/>
  <c r="AB139" i="164"/>
  <c r="AI139" i="164" s="1"/>
  <c r="AG135" i="164"/>
  <c r="AH135" i="164" s="1"/>
  <c r="AG33" i="164"/>
  <c r="AH33" i="164" s="1"/>
  <c r="AB259" i="164"/>
  <c r="AI259" i="164" s="1"/>
  <c r="AU415" i="164"/>
  <c r="AV415" i="164"/>
  <c r="AG326" i="164"/>
  <c r="AH326" i="164" s="1"/>
  <c r="AG74" i="164"/>
  <c r="AH74" i="164" s="1"/>
  <c r="AG254" i="164"/>
  <c r="AH254" i="164" s="1"/>
  <c r="AG244" i="164"/>
  <c r="AH244" i="164" s="1"/>
  <c r="AB35" i="164"/>
  <c r="AI35" i="164" s="1"/>
  <c r="AG115" i="164"/>
  <c r="AH115" i="164" s="1"/>
  <c r="BN373" i="164"/>
  <c r="AG182" i="164"/>
  <c r="AH182" i="164" s="1"/>
  <c r="AB293" i="164"/>
  <c r="AI293" i="164" s="1"/>
  <c r="AG501" i="164"/>
  <c r="AH501" i="164" s="1"/>
  <c r="BM483" i="164"/>
  <c r="BD483" i="164"/>
  <c r="CW483" i="164" s="1"/>
  <c r="BE483" i="164"/>
  <c r="BN336" i="164"/>
  <c r="AG156" i="164"/>
  <c r="AH156" i="164" s="1"/>
  <c r="G171" i="164"/>
  <c r="H171" i="164" s="1"/>
  <c r="Y170" i="164"/>
  <c r="P170" i="164"/>
  <c r="AG49" i="164"/>
  <c r="AH49" i="164" s="1"/>
  <c r="AG233" i="164"/>
  <c r="AH233" i="164" s="1"/>
  <c r="AB212" i="164"/>
  <c r="AI212" i="164" s="1"/>
  <c r="AB422" i="164"/>
  <c r="AI422" i="164" s="1"/>
  <c r="BM118" i="164"/>
  <c r="BD118" i="164"/>
  <c r="CW118" i="164" s="1"/>
  <c r="BE118" i="164"/>
  <c r="AB277" i="164"/>
  <c r="AI277" i="164" s="1"/>
  <c r="AU329" i="164"/>
  <c r="AV329" i="164"/>
  <c r="AG71" i="164"/>
  <c r="AH71" i="164" s="1"/>
  <c r="AG225" i="164"/>
  <c r="AH225" i="164" s="1"/>
  <c r="AG502" i="164"/>
  <c r="AH502" i="164" s="1"/>
  <c r="AU156" i="164"/>
  <c r="AV156" i="164"/>
  <c r="BN125" i="164"/>
  <c r="AG426" i="164"/>
  <c r="AH426" i="164" s="1"/>
  <c r="BD319" i="164"/>
  <c r="CW319" i="164" s="1"/>
  <c r="BM319" i="164"/>
  <c r="BE319" i="164"/>
  <c r="AG494" i="164"/>
  <c r="AH494" i="164" s="1"/>
  <c r="AV236" i="164"/>
  <c r="AB442" i="164"/>
  <c r="AI442" i="164" s="1"/>
  <c r="AB329" i="164"/>
  <c r="AI329" i="164" s="1"/>
  <c r="AG72" i="164"/>
  <c r="AH72" i="164" s="1"/>
  <c r="AB124" i="164"/>
  <c r="AI124" i="164" s="1"/>
  <c r="AB236" i="164"/>
  <c r="AI236" i="164" s="1"/>
  <c r="AN185" i="164"/>
  <c r="AP185" i="164" s="1"/>
  <c r="AM184" i="164"/>
  <c r="AU184" i="164" s="1"/>
  <c r="AB459" i="164"/>
  <c r="AI459" i="164" s="1"/>
  <c r="AG82" i="164"/>
  <c r="AH82" i="164" s="1"/>
  <c r="AB336" i="164"/>
  <c r="AI336" i="164" s="1"/>
  <c r="AM231" i="164"/>
  <c r="AN232" i="164"/>
  <c r="AP232" i="164" s="1"/>
  <c r="DC328" i="168"/>
  <c r="DD328" i="168"/>
  <c r="DG328" i="168"/>
  <c r="CV328" i="168"/>
  <c r="DF328" i="168"/>
  <c r="CW328" i="168"/>
  <c r="CY328" i="168"/>
  <c r="CZ328" i="168"/>
  <c r="DA328" i="168"/>
  <c r="DB328" i="168"/>
  <c r="DE328" i="168"/>
  <c r="P328" i="168"/>
  <c r="CB328" i="168" s="1"/>
  <c r="BB328" i="168"/>
  <c r="O328" i="168"/>
  <c r="DZ328" i="168"/>
  <c r="CF328" i="168"/>
  <c r="EB328" i="168"/>
  <c r="DX328" i="168"/>
  <c r="EA328" i="168"/>
  <c r="DV328" i="168"/>
  <c r="DW328" i="168"/>
  <c r="DU328" i="168"/>
  <c r="DY328" i="168"/>
  <c r="AG221" i="164"/>
  <c r="AH221" i="164" s="1"/>
  <c r="AG29" i="164"/>
  <c r="AH29" i="164" s="1"/>
  <c r="AG79" i="164"/>
  <c r="AH79" i="164" s="1"/>
  <c r="AG338" i="164"/>
  <c r="AH338" i="164" s="1"/>
  <c r="AB135" i="164"/>
  <c r="AI135" i="164" s="1"/>
  <c r="BS238" i="168"/>
  <c r="BZ238" i="168"/>
  <c r="CC238" i="168"/>
  <c r="CD238" i="168"/>
  <c r="Y238" i="168"/>
  <c r="X238" i="168"/>
  <c r="AG332" i="164"/>
  <c r="AH332" i="164" s="1"/>
  <c r="AB97" i="164"/>
  <c r="AI97" i="164" s="1"/>
  <c r="CA161" i="168"/>
  <c r="W161" i="168" s="1"/>
  <c r="BE161" i="168"/>
  <c r="BF161" i="168"/>
  <c r="BG161" i="168"/>
  <c r="AP161" i="168"/>
  <c r="AG143" i="164"/>
  <c r="AH143" i="164" s="1"/>
  <c r="AB460" i="164"/>
  <c r="AI460" i="164" s="1"/>
  <c r="AB462" i="164"/>
  <c r="AI462" i="164" s="1"/>
  <c r="AG113" i="164"/>
  <c r="AH113" i="164" s="1"/>
  <c r="AG234" i="164"/>
  <c r="AH234" i="164" s="1"/>
  <c r="CX375" i="164"/>
  <c r="K376" i="164"/>
  <c r="L376" i="164" s="1"/>
  <c r="Z375" i="164"/>
  <c r="AZ375" i="164"/>
  <c r="BN183" i="164"/>
  <c r="BO183" i="164" s="1"/>
  <c r="K234" i="164"/>
  <c r="L234" i="164" s="1"/>
  <c r="K225" i="164" s="1"/>
  <c r="L225" i="164" s="1"/>
  <c r="Z233" i="164"/>
  <c r="CX233" i="164"/>
  <c r="K255" i="164"/>
  <c r="L255" i="164" s="1"/>
  <c r="BO335" i="164"/>
  <c r="AV390" i="164"/>
  <c r="AU390" i="164"/>
  <c r="Y302" i="164"/>
  <c r="P302" i="164"/>
  <c r="G127" i="164"/>
  <c r="H127" i="164" s="1"/>
  <c r="AZ127" i="164" s="1"/>
  <c r="Y126" i="164"/>
  <c r="P126" i="164"/>
  <c r="N329" i="168"/>
  <c r="AK329" i="168"/>
  <c r="AL329" i="168"/>
  <c r="AS134" i="168"/>
  <c r="BU134" i="168"/>
  <c r="AU134" i="168"/>
  <c r="CC134" i="168"/>
  <c r="BZ134" i="168"/>
  <c r="BS134" i="168"/>
  <c r="CD134" i="168"/>
  <c r="X134" i="168"/>
  <c r="Y134" i="168"/>
  <c r="BY134" i="168"/>
  <c r="BN124" i="164"/>
  <c r="AU155" i="164"/>
  <c r="AV155" i="164"/>
  <c r="AS148" i="168"/>
  <c r="BS148" i="168"/>
  <c r="BZ148" i="168"/>
  <c r="Y148" i="168"/>
  <c r="CC148" i="168"/>
  <c r="CD148" i="168"/>
  <c r="X148" i="168"/>
  <c r="AV267" i="164"/>
  <c r="AW267" i="164" s="1"/>
  <c r="BP267" i="164" s="1"/>
  <c r="AU267" i="164"/>
  <c r="Y50" i="164"/>
  <c r="G51" i="164"/>
  <c r="H51" i="164" s="1"/>
  <c r="P50" i="164"/>
  <c r="BO246" i="164"/>
  <c r="BN329" i="164"/>
  <c r="AU167" i="164"/>
  <c r="AV167" i="164"/>
  <c r="AW117" i="164"/>
  <c r="BW162" i="168"/>
  <c r="CH162" i="168" s="1"/>
  <c r="BR162" i="168"/>
  <c r="BX162" i="168" s="1"/>
  <c r="G185" i="164"/>
  <c r="H185" i="164" s="1"/>
  <c r="Y184" i="164"/>
  <c r="P184" i="164"/>
  <c r="BD451" i="164"/>
  <c r="CW451" i="164" s="1"/>
  <c r="BE451" i="164"/>
  <c r="BM451" i="164"/>
  <c r="CX423" i="164"/>
  <c r="K424" i="164"/>
  <c r="L424" i="164" s="1"/>
  <c r="Z423" i="164"/>
  <c r="AZ423" i="164"/>
  <c r="BO154" i="164"/>
  <c r="AW154" i="164"/>
  <c r="BP154" i="164" s="1"/>
  <c r="AW306" i="164"/>
  <c r="BP306" i="164" s="1"/>
  <c r="AV394" i="164"/>
  <c r="AU394" i="164"/>
  <c r="BW328" i="168"/>
  <c r="CH328" i="168" s="1"/>
  <c r="BR328" i="168"/>
  <c r="BX328" i="168" s="1"/>
  <c r="AM433" i="164"/>
  <c r="AN434" i="164"/>
  <c r="BR313" i="168"/>
  <c r="BX313" i="168" s="1"/>
  <c r="BW313" i="168"/>
  <c r="CH313" i="168" s="1"/>
  <c r="BM284" i="164"/>
  <c r="BD284" i="164"/>
  <c r="CW284" i="164" s="1"/>
  <c r="BE284" i="164"/>
  <c r="BN156" i="164"/>
  <c r="G338" i="164"/>
  <c r="H338" i="164" s="1"/>
  <c r="Y337" i="164"/>
  <c r="P337" i="164"/>
  <c r="AM467" i="164"/>
  <c r="AN468" i="164"/>
  <c r="AP468" i="164" s="1"/>
  <c r="BD79" i="164"/>
  <c r="CW79" i="164" s="1"/>
  <c r="BE79" i="164"/>
  <c r="BM79" i="164"/>
  <c r="BO93" i="164"/>
  <c r="AW93" i="164"/>
  <c r="BP93" i="164" s="1"/>
  <c r="AZ417" i="164"/>
  <c r="Z417" i="164"/>
  <c r="CX417" i="164"/>
  <c r="BO274" i="164"/>
  <c r="AW274" i="164"/>
  <c r="BP274" i="164" s="1"/>
  <c r="Z170" i="164"/>
  <c r="CX170" i="164"/>
  <c r="AZ170" i="164"/>
  <c r="K171" i="164"/>
  <c r="L171" i="164" s="1"/>
  <c r="BO176" i="164"/>
  <c r="BN474" i="164"/>
  <c r="BD269" i="164"/>
  <c r="CW269" i="164" s="1"/>
  <c r="BM269" i="164"/>
  <c r="BE269" i="164"/>
  <c r="Z140" i="168"/>
  <c r="BV140" i="168"/>
  <c r="CG140" i="168" s="1"/>
  <c r="BO166" i="164"/>
  <c r="AW314" i="164"/>
  <c r="BP314" i="164" s="1"/>
  <c r="BO314" i="164"/>
  <c r="BN64" i="164"/>
  <c r="BO304" i="164"/>
  <c r="AA403" i="164"/>
  <c r="R403" i="164"/>
  <c r="AB403" i="164" s="1"/>
  <c r="AI403" i="164" s="1"/>
  <c r="DT503" i="168"/>
  <c r="AN331" i="164"/>
  <c r="AP331" i="164" s="1"/>
  <c r="AM330" i="164"/>
  <c r="AD140" i="168"/>
  <c r="AG140" i="168" s="1"/>
  <c r="AV107" i="164"/>
  <c r="AG420" i="164"/>
  <c r="AH420" i="164" s="1"/>
  <c r="AG289" i="164"/>
  <c r="AH289" i="164" s="1"/>
  <c r="AB416" i="164"/>
  <c r="AI416" i="164" s="1"/>
  <c r="AB309" i="164"/>
  <c r="AI309" i="164" s="1"/>
  <c r="AG159" i="164"/>
  <c r="AH159" i="164" s="1"/>
  <c r="AG266" i="164"/>
  <c r="AH266" i="164" s="1"/>
  <c r="AG229" i="164"/>
  <c r="AH229" i="164" s="1"/>
  <c r="AG460" i="164"/>
  <c r="AH460" i="164" s="1"/>
  <c r="AM108" i="164"/>
  <c r="AU108" i="164" s="1"/>
  <c r="AN109" i="164"/>
  <c r="AP109" i="164" s="1"/>
  <c r="AG318" i="164"/>
  <c r="AH318" i="164" s="1"/>
  <c r="BM437" i="164"/>
  <c r="BD437" i="164"/>
  <c r="CW437" i="164" s="1"/>
  <c r="BE437" i="164"/>
  <c r="AV246" i="164"/>
  <c r="AW246" i="164" s="1"/>
  <c r="BP246" i="164" s="1"/>
  <c r="AU246" i="164"/>
  <c r="AG486" i="164"/>
  <c r="AH486" i="164" s="1"/>
  <c r="AB102" i="164"/>
  <c r="AI102" i="164" s="1"/>
  <c r="AG306" i="164"/>
  <c r="AH306" i="164" s="1"/>
  <c r="AG485" i="164"/>
  <c r="AH485" i="164" s="1"/>
  <c r="AG406" i="164"/>
  <c r="AH406" i="164" s="1"/>
  <c r="AB62" i="164"/>
  <c r="AI62" i="164" s="1"/>
  <c r="AG439" i="164"/>
  <c r="AH439" i="164" s="1"/>
  <c r="AB196" i="164"/>
  <c r="AI196" i="164" s="1"/>
  <c r="Y417" i="164"/>
  <c r="P417" i="164"/>
  <c r="BZ313" i="168"/>
  <c r="AS313" i="168"/>
  <c r="AT313" i="168" s="1"/>
  <c r="BS313" i="168"/>
  <c r="BU313" i="168"/>
  <c r="AU313" i="168"/>
  <c r="X313" i="168"/>
  <c r="Y313" i="168"/>
  <c r="CC313" i="168"/>
  <c r="CD313" i="168"/>
  <c r="BY313" i="168"/>
  <c r="R40" i="164"/>
  <c r="AA40" i="164"/>
  <c r="AG300" i="164"/>
  <c r="AH300" i="164" s="1"/>
  <c r="AG174" i="164"/>
  <c r="AH174" i="164" s="1"/>
  <c r="AG498" i="164"/>
  <c r="AH498" i="164" s="1"/>
  <c r="AA384" i="164"/>
  <c r="R384" i="164"/>
  <c r="AB158" i="164"/>
  <c r="AI158" i="164" s="1"/>
  <c r="AV29" i="164"/>
  <c r="AU29" i="164"/>
  <c r="BN168" i="164"/>
  <c r="AG226" i="164"/>
  <c r="AH226" i="164" s="1"/>
  <c r="AG394" i="164"/>
  <c r="AH394" i="164" s="1"/>
  <c r="AL228" i="168"/>
  <c r="N228" i="168"/>
  <c r="Z228" i="168" s="1"/>
  <c r="AK228" i="168"/>
  <c r="AG95" i="164"/>
  <c r="AH95" i="164" s="1"/>
  <c r="BD148" i="168"/>
  <c r="BH148" i="168" s="1"/>
  <c r="BG148" i="168"/>
  <c r="BF148" i="168"/>
  <c r="CA148" i="168"/>
  <c r="W148" i="168" s="1"/>
  <c r="BY148" i="168" s="1"/>
  <c r="BE148" i="168"/>
  <c r="AP148" i="168"/>
  <c r="BU148" i="168" s="1"/>
  <c r="AB481" i="164"/>
  <c r="AI481" i="164" s="1"/>
  <c r="AB257" i="164"/>
  <c r="AI257" i="164" s="1"/>
  <c r="AB245" i="164"/>
  <c r="AI245" i="164" s="1"/>
  <c r="BN382" i="164"/>
  <c r="AB72" i="164"/>
  <c r="AI72" i="164" s="1"/>
  <c r="AG389" i="164"/>
  <c r="AH389" i="164" s="1"/>
  <c r="AG467" i="164"/>
  <c r="AH467" i="164" s="1"/>
  <c r="BN283" i="164"/>
  <c r="AG322" i="164"/>
  <c r="AH322" i="164" s="1"/>
  <c r="AG283" i="164"/>
  <c r="AH283" i="164" s="1"/>
  <c r="AG339" i="164"/>
  <c r="AH339" i="164" s="1"/>
  <c r="BZ155" i="168"/>
  <c r="CD155" i="168"/>
  <c r="CC155" i="168"/>
  <c r="X155" i="168"/>
  <c r="BS155" i="168"/>
  <c r="AS155" i="168"/>
  <c r="Y155" i="168"/>
  <c r="AG211" i="164"/>
  <c r="AH211" i="164" s="1"/>
  <c r="AG154" i="164"/>
  <c r="AH154" i="164" s="1"/>
  <c r="AG245" i="164"/>
  <c r="AH245" i="164" s="1"/>
  <c r="AB168" i="164"/>
  <c r="AI168" i="164" s="1"/>
  <c r="AB389" i="164"/>
  <c r="AI389" i="164" s="1"/>
  <c r="AM268" i="164"/>
  <c r="AN269" i="164"/>
  <c r="AP269" i="164" s="1"/>
  <c r="AM269" i="164" s="1"/>
  <c r="AB472" i="164"/>
  <c r="AI472" i="164" s="1"/>
  <c r="AB39" i="164"/>
  <c r="AI39" i="164" s="1"/>
  <c r="AG89" i="164"/>
  <c r="AH89" i="164" s="1"/>
  <c r="CL305" i="168"/>
  <c r="CO305" i="168" s="1"/>
  <c r="AB69" i="164"/>
  <c r="AI69" i="164" s="1"/>
  <c r="CU328" i="168"/>
  <c r="CJ328" i="168"/>
  <c r="CW329" i="164"/>
  <c r="AB68" i="164"/>
  <c r="AI68" i="164" s="1"/>
  <c r="AM168" i="164"/>
  <c r="AN169" i="164"/>
  <c r="AP169" i="164" s="1"/>
  <c r="AG188" i="164"/>
  <c r="AH188" i="164" s="1"/>
  <c r="AG487" i="164"/>
  <c r="AH487" i="164" s="1"/>
  <c r="AG453" i="164"/>
  <c r="AH453" i="164" s="1"/>
  <c r="AM124" i="164"/>
  <c r="AN125" i="164"/>
  <c r="AP125" i="164" s="1"/>
  <c r="AG201" i="164"/>
  <c r="AH201" i="164" s="1"/>
  <c r="AU221" i="164"/>
  <c r="AV221" i="164"/>
  <c r="AB91" i="164"/>
  <c r="AI91" i="164" s="1"/>
  <c r="AG496" i="164"/>
  <c r="AH496" i="164" s="1"/>
  <c r="AG105" i="164"/>
  <c r="AH105" i="164" s="1"/>
  <c r="AG310" i="164"/>
  <c r="AH310" i="164" s="1"/>
  <c r="AG473" i="164"/>
  <c r="AH473" i="164" s="1"/>
  <c r="K453" i="164"/>
  <c r="L453" i="164" s="1"/>
  <c r="Z452" i="164"/>
  <c r="AZ452" i="164"/>
  <c r="CX452" i="164"/>
  <c r="AG146" i="164"/>
  <c r="AH146" i="164" s="1"/>
  <c r="AV402" i="164"/>
  <c r="AW402" i="164" s="1"/>
  <c r="AU402" i="164"/>
  <c r="AG158" i="164"/>
  <c r="AH158" i="164" s="1"/>
  <c r="AG368" i="164"/>
  <c r="AH368" i="164" s="1"/>
  <c r="BM164" i="164"/>
  <c r="G163" i="168"/>
  <c r="AS163" i="168" s="1"/>
  <c r="CU155" i="168"/>
  <c r="CJ155" i="168"/>
  <c r="CW156" i="164"/>
  <c r="BN213" i="164"/>
  <c r="AV473" i="164"/>
  <c r="AU473" i="164"/>
  <c r="BN421" i="164"/>
  <c r="BO478" i="164"/>
  <c r="AW478" i="164"/>
  <c r="BP478" i="164" s="1"/>
  <c r="BE169" i="164"/>
  <c r="BM169" i="164"/>
  <c r="BD169" i="164"/>
  <c r="CW169" i="164" s="1"/>
  <c r="AU69" i="164"/>
  <c r="AV69" i="164"/>
  <c r="BZ162" i="168"/>
  <c r="AS162" i="168"/>
  <c r="BS162" i="168"/>
  <c r="CD162" i="168"/>
  <c r="CC162" i="168"/>
  <c r="X162" i="168"/>
  <c r="Y162" i="168"/>
  <c r="AM247" i="164"/>
  <c r="AN248" i="164"/>
  <c r="AP248" i="164" s="1"/>
  <c r="AA247" i="164"/>
  <c r="R247" i="164"/>
  <c r="BO252" i="164"/>
  <c r="CM327" i="168"/>
  <c r="CP327" i="168" s="1"/>
  <c r="CN327" i="168"/>
  <c r="CK327" i="168"/>
  <c r="CQ327" i="168" s="1"/>
  <c r="CS327" i="168"/>
  <c r="BN268" i="164"/>
  <c r="AM30" i="164"/>
  <c r="AN31" i="164"/>
  <c r="BN146" i="164"/>
  <c r="AA163" i="164"/>
  <c r="R163" i="164"/>
  <c r="BO266" i="164"/>
  <c r="AW266" i="164"/>
  <c r="BP266" i="164" s="1"/>
  <c r="BR305" i="168"/>
  <c r="BX305" i="168" s="1"/>
  <c r="BW305" i="168"/>
  <c r="CH305" i="168" s="1"/>
  <c r="AA468" i="164"/>
  <c r="R468" i="164"/>
  <c r="AW180" i="164"/>
  <c r="BP180" i="164" s="1"/>
  <c r="BO180" i="164"/>
  <c r="AM408" i="164"/>
  <c r="AN409" i="164"/>
  <c r="AM283" i="164"/>
  <c r="AN284" i="164"/>
  <c r="AP284" i="164" s="1"/>
  <c r="AU197" i="164"/>
  <c r="AV197" i="164"/>
  <c r="AM482" i="164"/>
  <c r="AN483" i="164"/>
  <c r="AP483" i="164" s="1"/>
  <c r="Z41" i="164"/>
  <c r="K42" i="164"/>
  <c r="L42" i="164" s="1"/>
  <c r="CQ134" i="168"/>
  <c r="AU130" i="164"/>
  <c r="AV130" i="164"/>
  <c r="K109" i="164"/>
  <c r="L109" i="164" s="1"/>
  <c r="AZ108" i="164"/>
  <c r="Z108" i="164"/>
  <c r="CX108" i="164"/>
  <c r="BN415" i="164"/>
  <c r="CK306" i="168"/>
  <c r="CQ306" i="168" s="1"/>
  <c r="CM306" i="168"/>
  <c r="CP306" i="168" s="1"/>
  <c r="CN306" i="168"/>
  <c r="CS306" i="168"/>
  <c r="Z134" i="168"/>
  <c r="AW46" i="164"/>
  <c r="BP46" i="164" s="1"/>
  <c r="AU123" i="164"/>
  <c r="AV123" i="164"/>
  <c r="AN223" i="164"/>
  <c r="AP223" i="164" s="1"/>
  <c r="AM222" i="164"/>
  <c r="AN404" i="164"/>
  <c r="AP404" i="164" s="1"/>
  <c r="AM403" i="164"/>
  <c r="BO47" i="164"/>
  <c r="AZ331" i="164"/>
  <c r="Z331" i="164"/>
  <c r="CX331" i="164"/>
  <c r="K332" i="164"/>
  <c r="L332" i="164" s="1"/>
  <c r="AM212" i="164"/>
  <c r="AN213" i="164"/>
  <c r="AP213" i="164" s="1"/>
  <c r="BN468" i="164"/>
  <c r="AC313" i="168"/>
  <c r="AW182" i="164"/>
  <c r="BP182" i="164" s="1"/>
  <c r="BO182" i="164"/>
  <c r="BO141" i="164"/>
  <c r="AW141" i="164"/>
  <c r="BP141" i="164" s="1"/>
  <c r="BN238" i="164"/>
  <c r="BN236" i="164"/>
  <c r="AS237" i="168"/>
  <c r="CC237" i="168"/>
  <c r="BS237" i="168"/>
  <c r="BZ237" i="168"/>
  <c r="CD237" i="168"/>
  <c r="X237" i="168"/>
  <c r="Y237" i="168"/>
  <c r="BO380" i="164"/>
  <c r="AV460" i="164"/>
  <c r="AU460" i="164"/>
  <c r="G376" i="164"/>
  <c r="H376" i="164" s="1"/>
  <c r="Y375" i="164"/>
  <c r="P375" i="164"/>
  <c r="AG356" i="164"/>
  <c r="AH356" i="164" s="1"/>
  <c r="AB26" i="164"/>
  <c r="AI26" i="164" s="1"/>
  <c r="BM49" i="164"/>
  <c r="BE49" i="164"/>
  <c r="BD49" i="164"/>
  <c r="CW49" i="164" s="1"/>
  <c r="BR155" i="168"/>
  <c r="BX155" i="168" s="1"/>
  <c r="BW155" i="168"/>
  <c r="CH155" i="168" s="1"/>
  <c r="Z320" i="164"/>
  <c r="CX320" i="164"/>
  <c r="AZ320" i="164"/>
  <c r="K321" i="164"/>
  <c r="L321" i="164" s="1"/>
  <c r="AU318" i="164"/>
  <c r="AV318" i="164"/>
  <c r="AW66" i="164"/>
  <c r="BO66" i="164"/>
  <c r="BN117" i="164"/>
  <c r="AM416" i="164"/>
  <c r="AN417" i="164"/>
  <c r="AP417" i="164" s="1"/>
  <c r="BQ329" i="168"/>
  <c r="BO372" i="164"/>
  <c r="AW372" i="164"/>
  <c r="BP372" i="164" s="1"/>
  <c r="Y214" i="164"/>
  <c r="P214" i="164"/>
  <c r="CX214" i="164"/>
  <c r="AZ214" i="164"/>
  <c r="AW333" i="164"/>
  <c r="BP333" i="164" s="1"/>
  <c r="BO333" i="164"/>
  <c r="CX248" i="164"/>
  <c r="CX285" i="164"/>
  <c r="AZ285" i="164"/>
  <c r="Z285" i="164"/>
  <c r="K286" i="164"/>
  <c r="L286" i="164" s="1"/>
  <c r="AM374" i="164"/>
  <c r="AN375" i="164"/>
  <c r="AP375" i="164" s="1"/>
  <c r="BN130" i="164"/>
  <c r="AW444" i="164"/>
  <c r="BP444" i="164" s="1"/>
  <c r="BO444" i="164"/>
  <c r="AU200" i="164"/>
  <c r="AV200" i="164"/>
  <c r="BO85" i="164"/>
  <c r="AW85" i="164"/>
  <c r="BP85" i="164" s="1"/>
  <c r="AM450" i="164"/>
  <c r="AN451" i="164"/>
  <c r="AP451" i="164" s="1"/>
  <c r="AV429" i="164"/>
  <c r="AW429" i="164" s="1"/>
  <c r="BP429" i="164" s="1"/>
  <c r="AU429" i="164"/>
  <c r="AU272" i="164"/>
  <c r="AV272" i="164"/>
  <c r="AB254" i="164"/>
  <c r="AI254" i="164" s="1"/>
  <c r="K302" i="164"/>
  <c r="L302" i="164" s="1"/>
  <c r="Z301" i="164"/>
  <c r="AZ301" i="164"/>
  <c r="CX301" i="164"/>
  <c r="BN247" i="164"/>
  <c r="AB428" i="164"/>
  <c r="AI428" i="164" s="1"/>
  <c r="BV305" i="168"/>
  <c r="CG305" i="168" s="1"/>
  <c r="Z305" i="168"/>
  <c r="AG451" i="164"/>
  <c r="AH451" i="164" s="1"/>
  <c r="AW162" i="164"/>
  <c r="BP162" i="164" s="1"/>
  <c r="BO162" i="164"/>
  <c r="AU407" i="164"/>
  <c r="AV407" i="164"/>
  <c r="AE41" i="164"/>
  <c r="AH41" i="164" s="1"/>
  <c r="H41" i="164"/>
  <c r="AZ41" i="164" s="1"/>
  <c r="AV282" i="164"/>
  <c r="AU282" i="164"/>
  <c r="AU481" i="164"/>
  <c r="AV481" i="164"/>
  <c r="Z224" i="164"/>
  <c r="AI224" i="164" s="1"/>
  <c r="AZ224" i="164"/>
  <c r="CX224" i="164"/>
  <c r="BO95" i="164"/>
  <c r="AW95" i="164"/>
  <c r="BP95" i="164" s="1"/>
  <c r="CP134" i="168"/>
  <c r="BN78" i="164"/>
  <c r="BN151" i="164"/>
  <c r="BO151" i="164" s="1"/>
  <c r="AG149" i="164"/>
  <c r="AH149" i="164" s="1"/>
  <c r="AG330" i="164"/>
  <c r="AH330" i="164" s="1"/>
  <c r="Y485" i="164"/>
  <c r="G486" i="164"/>
  <c r="H486" i="164" s="1"/>
  <c r="P485" i="164"/>
  <c r="DP305" i="168"/>
  <c r="DQ305" i="168"/>
  <c r="AG314" i="164"/>
  <c r="AH314" i="164" s="1"/>
  <c r="AG488" i="164"/>
  <c r="AH488" i="164" s="1"/>
  <c r="BD422" i="164"/>
  <c r="CW422" i="164" s="1"/>
  <c r="BE422" i="164"/>
  <c r="BM422" i="164"/>
  <c r="AG63" i="164"/>
  <c r="AH63" i="164" s="1"/>
  <c r="AU211" i="164"/>
  <c r="AV211" i="164"/>
  <c r="AB310" i="164"/>
  <c r="AI310" i="164" s="1"/>
  <c r="AG452" i="164"/>
  <c r="BE468" i="164"/>
  <c r="AB319" i="164"/>
  <c r="AI319" i="164" s="1"/>
  <c r="AB169" i="164"/>
  <c r="AI169" i="164" s="1"/>
  <c r="BO439" i="164"/>
  <c r="AW439" i="164"/>
  <c r="BP439" i="164" s="1"/>
  <c r="DQ306" i="168"/>
  <c r="DP306" i="168"/>
  <c r="AW137" i="164"/>
  <c r="BP137" i="164" s="1"/>
  <c r="BO137" i="164"/>
  <c r="BN391" i="164"/>
  <c r="BN163" i="164"/>
  <c r="CG134" i="168"/>
  <c r="AG167" i="164"/>
  <c r="AH167" i="164" s="1"/>
  <c r="BO396" i="164"/>
  <c r="AW396" i="164"/>
  <c r="BP396" i="164" s="1"/>
  <c r="BO446" i="164"/>
  <c r="AW446" i="164"/>
  <c r="BP446" i="164" s="1"/>
  <c r="BW237" i="168"/>
  <c r="CH237" i="168" s="1"/>
  <c r="BR237" i="168"/>
  <c r="BX237" i="168" s="1"/>
  <c r="BO271" i="164"/>
  <c r="AW271" i="164"/>
  <c r="BP271" i="164" s="1"/>
  <c r="G136" i="169"/>
  <c r="G135" i="169"/>
  <c r="BD300" i="164"/>
  <c r="CW300" i="164" s="1"/>
  <c r="BE300" i="164"/>
  <c r="BM300" i="164"/>
  <c r="AG295" i="164"/>
  <c r="AH295" i="164" s="1"/>
  <c r="AB419" i="164"/>
  <c r="AI419" i="164" s="1"/>
  <c r="BP503" i="168"/>
  <c r="CX384" i="164"/>
  <c r="Z384" i="164"/>
  <c r="AZ384" i="164"/>
  <c r="K385" i="164"/>
  <c r="L385" i="164" s="1"/>
  <c r="AW133" i="164"/>
  <c r="BP133" i="164" s="1"/>
  <c r="BO133" i="164"/>
  <c r="AU277" i="164"/>
  <c r="AV277" i="164"/>
  <c r="BR306" i="168"/>
  <c r="BX306" i="168" s="1"/>
  <c r="BW306" i="168"/>
  <c r="CH306" i="168" s="1"/>
  <c r="BN39" i="164"/>
  <c r="BE383" i="164"/>
  <c r="BM383" i="164"/>
  <c r="BD383" i="164"/>
  <c r="CW383" i="164" s="1"/>
  <c r="AA484" i="164"/>
  <c r="R484" i="164"/>
  <c r="BR147" i="168"/>
  <c r="BX147" i="168" s="1"/>
  <c r="BW147" i="168"/>
  <c r="CH147" i="168" s="1"/>
  <c r="AZ248" i="164"/>
  <c r="AW151" i="164"/>
  <c r="K250" i="164"/>
  <c r="L250" i="164" s="1"/>
  <c r="Z249" i="164"/>
  <c r="AW260" i="164"/>
  <c r="BP260" i="164" s="1"/>
  <c r="BO260" i="164"/>
  <c r="X136" i="168"/>
  <c r="AU136" i="168"/>
  <c r="AV33" i="164"/>
  <c r="AU33" i="164"/>
  <c r="Y206" i="164"/>
  <c r="AZ206" i="164"/>
  <c r="CX206" i="164"/>
  <c r="P206" i="164"/>
  <c r="AG493" i="164"/>
  <c r="AH493" i="164" s="1"/>
  <c r="AG22" i="164"/>
  <c r="AH22" i="164" s="1"/>
  <c r="CA306" i="168"/>
  <c r="W306" i="168" s="1"/>
  <c r="Z306" i="168" s="1"/>
  <c r="BD306" i="168"/>
  <c r="BH306" i="168" s="1"/>
  <c r="BF306" i="168"/>
  <c r="BE306" i="168"/>
  <c r="BG306" i="168"/>
  <c r="AP306" i="168"/>
  <c r="BU306" i="168" s="1"/>
  <c r="AG419" i="164"/>
  <c r="AH419" i="164" s="1"/>
  <c r="Y164" i="164"/>
  <c r="P164" i="164"/>
  <c r="AG120" i="164"/>
  <c r="AH120" i="164" s="1"/>
  <c r="AG26" i="164"/>
  <c r="AH26" i="164" s="1"/>
  <c r="G470" i="164"/>
  <c r="H470" i="164" s="1"/>
  <c r="Y469" i="164"/>
  <c r="P469" i="164"/>
  <c r="AG433" i="164"/>
  <c r="AH433" i="164" s="1"/>
  <c r="AG205" i="164"/>
  <c r="AH205" i="164" s="1"/>
  <c r="AB371" i="164"/>
  <c r="AI371" i="164" s="1"/>
  <c r="AG441" i="164"/>
  <c r="AH441" i="164" s="1"/>
  <c r="BZ163" i="168"/>
  <c r="CD163" i="168"/>
  <c r="CC163" i="168"/>
  <c r="BS163" i="168"/>
  <c r="Y163" i="168"/>
  <c r="X163" i="168"/>
  <c r="CX80" i="164"/>
  <c r="K81" i="164"/>
  <c r="L81" i="164" s="1"/>
  <c r="Z80" i="164"/>
  <c r="AI80" i="164" s="1"/>
  <c r="AZ80" i="164"/>
  <c r="AB193" i="164"/>
  <c r="AI193" i="164" s="1"/>
  <c r="AG421" i="164"/>
  <c r="AH421" i="164" s="1"/>
  <c r="AB220" i="164"/>
  <c r="AI220" i="164" s="1"/>
  <c r="AU373" i="164"/>
  <c r="AV373" i="164"/>
  <c r="AG383" i="164"/>
  <c r="AH383" i="164" s="1"/>
  <c r="AG337" i="164"/>
  <c r="AH337" i="164" s="1"/>
  <c r="BN200" i="164"/>
  <c r="AB200" i="164"/>
  <c r="AI200" i="164" s="1"/>
  <c r="AM201" i="164"/>
  <c r="AU201" i="164" s="1"/>
  <c r="AN202" i="164"/>
  <c r="AP202" i="164" s="1"/>
  <c r="AM202" i="164" s="1"/>
  <c r="AU202" i="164" s="1"/>
  <c r="AG56" i="164"/>
  <c r="AH56" i="164" s="1"/>
  <c r="AB448" i="164"/>
  <c r="AI448" i="164" s="1"/>
  <c r="AG416" i="164"/>
  <c r="AH416" i="164" s="1"/>
  <c r="AU449" i="164"/>
  <c r="AV449" i="164"/>
  <c r="AG125" i="164"/>
  <c r="AH125" i="164" s="1"/>
  <c r="AB279" i="164"/>
  <c r="AI279" i="164" s="1"/>
  <c r="AG52" i="164"/>
  <c r="AH52" i="164" s="1"/>
  <c r="DS503" i="168"/>
  <c r="AG141" i="164"/>
  <c r="AH141" i="164" s="1"/>
  <c r="AG250" i="164"/>
  <c r="AH250" i="164" s="1"/>
  <c r="AZ201" i="164"/>
  <c r="CX201" i="164"/>
  <c r="K202" i="164"/>
  <c r="L202" i="164" s="1"/>
  <c r="Z201" i="164"/>
  <c r="AI201" i="164" s="1"/>
  <c r="AG38" i="164"/>
  <c r="AH38" i="164" s="1"/>
  <c r="AB129" i="164"/>
  <c r="AI129" i="164" s="1"/>
  <c r="Z147" i="168"/>
  <c r="AG139" i="164"/>
  <c r="AH139" i="164" s="1"/>
  <c r="AG230" i="164"/>
  <c r="AH230" i="164" s="1"/>
  <c r="AG124" i="164"/>
  <c r="AH124" i="164" s="1"/>
  <c r="AB77" i="164"/>
  <c r="AI77" i="164" s="1"/>
  <c r="AB269" i="164"/>
  <c r="AI269" i="164" s="1"/>
  <c r="AB221" i="164"/>
  <c r="AI221" i="164" s="1"/>
  <c r="AG504" i="164"/>
  <c r="AH504" i="164" s="1"/>
  <c r="AB482" i="164"/>
  <c r="AI482" i="164" s="1"/>
  <c r="AB307" i="164"/>
  <c r="AI307" i="164" s="1"/>
  <c r="AA49" i="164"/>
  <c r="R49" i="164"/>
  <c r="AB49" i="164" s="1"/>
  <c r="AI49" i="164" s="1"/>
  <c r="DP238" i="168"/>
  <c r="DQ238" i="168"/>
  <c r="AB145" i="164"/>
  <c r="AI145" i="164" s="1"/>
  <c r="BY140" i="168"/>
  <c r="CK148" i="168"/>
  <c r="CQ148" i="168" s="1"/>
  <c r="CM148" i="168"/>
  <c r="CP148" i="168" s="1"/>
  <c r="CS148" i="168"/>
  <c r="CN148" i="168"/>
  <c r="BE107" i="164"/>
  <c r="BD107" i="164"/>
  <c r="CW107" i="164" s="1"/>
  <c r="BM107" i="164"/>
  <c r="AB292" i="164"/>
  <c r="AI292" i="164" s="1"/>
  <c r="AG160" i="164"/>
  <c r="AH160" i="164" s="1"/>
  <c r="AG358" i="164"/>
  <c r="AH358" i="164" s="1"/>
  <c r="AG410" i="164"/>
  <c r="AH410" i="164" s="1"/>
  <c r="AG503" i="164"/>
  <c r="AH503" i="164" s="1"/>
  <c r="AG312" i="164"/>
  <c r="AH312" i="164" s="1"/>
  <c r="AG224" i="164"/>
  <c r="AH224" i="164" s="1"/>
  <c r="AG373" i="164"/>
  <c r="AH373" i="164" s="1"/>
  <c r="AB22" i="164"/>
  <c r="AI22" i="164" s="1"/>
  <c r="CX161" i="168"/>
  <c r="CR228" i="168"/>
  <c r="CT228" i="168" s="1"/>
  <c r="AN462" i="164"/>
  <c r="AP462" i="164" s="1"/>
  <c r="AM461" i="164"/>
  <c r="AU432" i="164"/>
  <c r="AV432" i="164"/>
  <c r="BQ331" i="168"/>
  <c r="BI503" i="168"/>
  <c r="AG435" i="164"/>
  <c r="AH435" i="164" s="1"/>
  <c r="J40" i="14"/>
  <c r="Y136" i="168" l="1"/>
  <c r="CD136" i="168"/>
  <c r="BS136" i="168"/>
  <c r="AS136" i="168"/>
  <c r="AT136" i="168" s="1"/>
  <c r="BW136" i="168"/>
  <c r="CH136" i="168" s="1"/>
  <c r="BZ136" i="168"/>
  <c r="BU136" i="168"/>
  <c r="BY136" i="168"/>
  <c r="CC136" i="168"/>
  <c r="AW272" i="164"/>
  <c r="BP272" i="164" s="1"/>
  <c r="BO436" i="164"/>
  <c r="BU436" i="164" s="1"/>
  <c r="BW436" i="164" s="1"/>
  <c r="BY436" i="164" s="1"/>
  <c r="CA436" i="164" s="1"/>
  <c r="CE436" i="164" s="1"/>
  <c r="CI436" i="164" s="1"/>
  <c r="BO474" i="164"/>
  <c r="BU474" i="164" s="1"/>
  <c r="BW474" i="164" s="1"/>
  <c r="BY474" i="164" s="1"/>
  <c r="CA474" i="164" s="1"/>
  <c r="CE474" i="164" s="1"/>
  <c r="CI474" i="164" s="1"/>
  <c r="BO242" i="164"/>
  <c r="BQ242" i="164" s="1"/>
  <c r="BS242" i="164" s="1"/>
  <c r="CG242" i="164" s="1"/>
  <c r="BO411" i="164"/>
  <c r="BU411" i="164" s="1"/>
  <c r="BW411" i="164" s="1"/>
  <c r="BY411" i="164" s="1"/>
  <c r="CA411" i="164" s="1"/>
  <c r="CE411" i="164" s="1"/>
  <c r="CI411" i="164" s="1"/>
  <c r="AW118" i="164"/>
  <c r="AW199" i="164"/>
  <c r="BP199" i="164" s="1"/>
  <c r="AI108" i="164"/>
  <c r="AW211" i="164"/>
  <c r="BP211" i="164" s="1"/>
  <c r="BR211" i="164" s="1"/>
  <c r="BT211" i="164" s="1"/>
  <c r="BO89" i="164"/>
  <c r="AI331" i="164"/>
  <c r="BO24" i="164"/>
  <c r="AW295" i="164"/>
  <c r="BP295" i="164" s="1"/>
  <c r="BO210" i="164"/>
  <c r="BO60" i="164"/>
  <c r="BO143" i="164"/>
  <c r="Z136" i="168"/>
  <c r="AW130" i="164"/>
  <c r="BP130" i="164" s="1"/>
  <c r="BV130" i="164" s="1"/>
  <c r="BX130" i="164" s="1"/>
  <c r="BZ130" i="164" s="1"/>
  <c r="CB130" i="164" s="1"/>
  <c r="CF130" i="164" s="1"/>
  <c r="CJ130" i="164" s="1"/>
  <c r="BO410" i="164"/>
  <c r="BO393" i="164"/>
  <c r="AW480" i="164"/>
  <c r="BP480" i="164" s="1"/>
  <c r="BO441" i="164"/>
  <c r="AW400" i="164"/>
  <c r="BP400" i="164" s="1"/>
  <c r="AW178" i="164"/>
  <c r="BP178" i="164" s="1"/>
  <c r="AW431" i="164"/>
  <c r="BP431" i="164" s="1"/>
  <c r="BO132" i="164"/>
  <c r="BO174" i="164"/>
  <c r="BU174" i="164" s="1"/>
  <c r="BW174" i="164" s="1"/>
  <c r="BY174" i="164" s="1"/>
  <c r="CA174" i="164" s="1"/>
  <c r="CE174" i="164" s="1"/>
  <c r="CI174" i="164" s="1"/>
  <c r="BO117" i="164"/>
  <c r="BU117" i="164" s="1"/>
  <c r="BW117" i="164" s="1"/>
  <c r="BY117" i="164" s="1"/>
  <c r="CA117" i="164" s="1"/>
  <c r="CE117" i="164" s="1"/>
  <c r="CI117" i="164" s="1"/>
  <c r="AW281" i="164"/>
  <c r="BP281" i="164" s="1"/>
  <c r="BV281" i="164" s="1"/>
  <c r="BX281" i="164" s="1"/>
  <c r="BZ281" i="164" s="1"/>
  <c r="CB281" i="164" s="1"/>
  <c r="CF281" i="164" s="1"/>
  <c r="CJ281" i="164" s="1"/>
  <c r="AW105" i="164"/>
  <c r="BP105" i="164" s="1"/>
  <c r="BM126" i="164"/>
  <c r="BN126" i="164" s="1"/>
  <c r="BD126" i="164"/>
  <c r="CW126" i="164" s="1"/>
  <c r="AW317" i="164"/>
  <c r="BP317" i="164" s="1"/>
  <c r="BV317" i="164" s="1"/>
  <c r="BX317" i="164" s="1"/>
  <c r="BZ317" i="164" s="1"/>
  <c r="CB317" i="164" s="1"/>
  <c r="CF317" i="164" s="1"/>
  <c r="CJ317" i="164" s="1"/>
  <c r="BO100" i="164"/>
  <c r="BU100" i="164" s="1"/>
  <c r="BW100" i="164" s="1"/>
  <c r="BY100" i="164" s="1"/>
  <c r="CA100" i="164" s="1"/>
  <c r="CE100" i="164" s="1"/>
  <c r="CI100" i="164" s="1"/>
  <c r="BO421" i="164"/>
  <c r="BQ421" i="164" s="1"/>
  <c r="BS421" i="164" s="1"/>
  <c r="CG421" i="164" s="1"/>
  <c r="AW197" i="164"/>
  <c r="BP197" i="164" s="1"/>
  <c r="BR197" i="164" s="1"/>
  <c r="BO64" i="164"/>
  <c r="BU64" i="164" s="1"/>
  <c r="BW64" i="164" s="1"/>
  <c r="BY64" i="164" s="1"/>
  <c r="CA64" i="164" s="1"/>
  <c r="CE64" i="164" s="1"/>
  <c r="CI64" i="164" s="1"/>
  <c r="AW33" i="164"/>
  <c r="BP33" i="164" s="1"/>
  <c r="BR33" i="164" s="1"/>
  <c r="BT33" i="164" s="1"/>
  <c r="BO415" i="164"/>
  <c r="BU415" i="164" s="1"/>
  <c r="BW415" i="164" s="1"/>
  <c r="BY415" i="164" s="1"/>
  <c r="CA415" i="164" s="1"/>
  <c r="CE415" i="164" s="1"/>
  <c r="CI415" i="164" s="1"/>
  <c r="BO146" i="164"/>
  <c r="BU146" i="164" s="1"/>
  <c r="BW146" i="164" s="1"/>
  <c r="BY146" i="164" s="1"/>
  <c r="CA146" i="164" s="1"/>
  <c r="CE146" i="164" s="1"/>
  <c r="CI146" i="164" s="1"/>
  <c r="AW415" i="164"/>
  <c r="BP415" i="164" s="1"/>
  <c r="BV415" i="164" s="1"/>
  <c r="BX415" i="164" s="1"/>
  <c r="BZ415" i="164" s="1"/>
  <c r="CB415" i="164" s="1"/>
  <c r="CF415" i="164" s="1"/>
  <c r="CJ415" i="164" s="1"/>
  <c r="BO401" i="164"/>
  <c r="BU401" i="164" s="1"/>
  <c r="BW401" i="164" s="1"/>
  <c r="BY401" i="164" s="1"/>
  <c r="CA401" i="164" s="1"/>
  <c r="CE401" i="164" s="1"/>
  <c r="CI401" i="164" s="1"/>
  <c r="BO159" i="164"/>
  <c r="BU159" i="164" s="1"/>
  <c r="BW159" i="164" s="1"/>
  <c r="BY159" i="164" s="1"/>
  <c r="CA159" i="164" s="1"/>
  <c r="CE159" i="164" s="1"/>
  <c r="CI159" i="164" s="1"/>
  <c r="AW414" i="164"/>
  <c r="BP414" i="164" s="1"/>
  <c r="BR414" i="164" s="1"/>
  <c r="BT414" i="164" s="1"/>
  <c r="AW103" i="164"/>
  <c r="BP103" i="164" s="1"/>
  <c r="CB103" i="164" s="1"/>
  <c r="AW420" i="164"/>
  <c r="BP420" i="164" s="1"/>
  <c r="BV420" i="164" s="1"/>
  <c r="AW156" i="164"/>
  <c r="BP156" i="164" s="1"/>
  <c r="BR156" i="164" s="1"/>
  <c r="BT156" i="164" s="1"/>
  <c r="BO130" i="164"/>
  <c r="BU130" i="164" s="1"/>
  <c r="BW130" i="164" s="1"/>
  <c r="BY130" i="164" s="1"/>
  <c r="CA130" i="164" s="1"/>
  <c r="CE130" i="164" s="1"/>
  <c r="CI130" i="164" s="1"/>
  <c r="AB484" i="164"/>
  <c r="AI423" i="164"/>
  <c r="AB247" i="164"/>
  <c r="AI247" i="164" s="1"/>
  <c r="BO247" i="164" s="1"/>
  <c r="BO156" i="164"/>
  <c r="BQ156" i="164" s="1"/>
  <c r="BS156" i="164" s="1"/>
  <c r="CG156" i="164" s="1"/>
  <c r="BO99" i="164"/>
  <c r="BO28" i="164"/>
  <c r="AB384" i="164"/>
  <c r="AI384" i="164" s="1"/>
  <c r="BO297" i="164"/>
  <c r="BU297" i="164" s="1"/>
  <c r="BW297" i="164" s="1"/>
  <c r="BY297" i="164" s="1"/>
  <c r="CA297" i="164" s="1"/>
  <c r="CE297" i="164" s="1"/>
  <c r="CI297" i="164" s="1"/>
  <c r="CR136" i="168"/>
  <c r="CT136" i="168" s="1"/>
  <c r="AW432" i="164"/>
  <c r="BP432" i="164" s="1"/>
  <c r="BV432" i="164" s="1"/>
  <c r="BX432" i="164" s="1"/>
  <c r="BZ432" i="164" s="1"/>
  <c r="CB432" i="164" s="1"/>
  <c r="CF432" i="164" s="1"/>
  <c r="CJ432" i="164" s="1"/>
  <c r="BO382" i="164"/>
  <c r="BU382" i="164" s="1"/>
  <c r="BW382" i="164" s="1"/>
  <c r="BY382" i="164" s="1"/>
  <c r="CA382" i="164" s="1"/>
  <c r="CE382" i="164" s="1"/>
  <c r="CI382" i="164" s="1"/>
  <c r="AW437" i="164"/>
  <c r="AW390" i="164"/>
  <c r="BP390" i="164" s="1"/>
  <c r="BV390" i="164" s="1"/>
  <c r="BX390" i="164" s="1"/>
  <c r="BZ390" i="164" s="1"/>
  <c r="CB390" i="164" s="1"/>
  <c r="CF390" i="164" s="1"/>
  <c r="CJ390" i="164" s="1"/>
  <c r="AW75" i="164"/>
  <c r="BP75" i="164" s="1"/>
  <c r="BR75" i="164" s="1"/>
  <c r="BT75" i="164" s="1"/>
  <c r="BO125" i="164"/>
  <c r="BU125" i="164" s="1"/>
  <c r="BW125" i="164" s="1"/>
  <c r="BY125" i="164" s="1"/>
  <c r="CA125" i="164" s="1"/>
  <c r="CE125" i="164" s="1"/>
  <c r="CI125" i="164" s="1"/>
  <c r="AW373" i="164"/>
  <c r="BP373" i="164" s="1"/>
  <c r="BV373" i="164" s="1"/>
  <c r="BX373" i="164" s="1"/>
  <c r="BZ373" i="164" s="1"/>
  <c r="CB373" i="164" s="1"/>
  <c r="CF373" i="164" s="1"/>
  <c r="CJ373" i="164" s="1"/>
  <c r="BO373" i="164"/>
  <c r="BU373" i="164" s="1"/>
  <c r="BW373" i="164" s="1"/>
  <c r="BY373" i="164" s="1"/>
  <c r="CA373" i="164" s="1"/>
  <c r="CE373" i="164" s="1"/>
  <c r="CI373" i="164" s="1"/>
  <c r="BO78" i="164"/>
  <c r="BQ78" i="164" s="1"/>
  <c r="BS78" i="164" s="1"/>
  <c r="CG78" i="164" s="1"/>
  <c r="AW29" i="164"/>
  <c r="BP29" i="164" s="1"/>
  <c r="BR29" i="164" s="1"/>
  <c r="BT29" i="164" s="1"/>
  <c r="BO391" i="164"/>
  <c r="BQ391" i="164" s="1"/>
  <c r="BS391" i="164" s="1"/>
  <c r="CG391" i="164" s="1"/>
  <c r="BO149" i="164"/>
  <c r="BQ149" i="164" s="1"/>
  <c r="BS149" i="164" s="1"/>
  <c r="AW230" i="164"/>
  <c r="BP230" i="164" s="1"/>
  <c r="BR230" i="164" s="1"/>
  <c r="BT230" i="164" s="1"/>
  <c r="AW167" i="164"/>
  <c r="BP167" i="164" s="1"/>
  <c r="BV167" i="164" s="1"/>
  <c r="BX167" i="164" s="1"/>
  <c r="BZ167" i="164" s="1"/>
  <c r="CB167" i="164" s="1"/>
  <c r="CF167" i="164" s="1"/>
  <c r="CJ167" i="164" s="1"/>
  <c r="AW123" i="164"/>
  <c r="BP123" i="164" s="1"/>
  <c r="BR123" i="164" s="1"/>
  <c r="BT123" i="164" s="1"/>
  <c r="BD164" i="164"/>
  <c r="CJ163" i="168" s="1"/>
  <c r="BO63" i="164"/>
  <c r="BU63" i="164" s="1"/>
  <c r="BW63" i="164" s="1"/>
  <c r="BY63" i="164" s="1"/>
  <c r="CA63" i="164" s="1"/>
  <c r="CE63" i="164" s="1"/>
  <c r="CI63" i="164" s="1"/>
  <c r="AW394" i="164"/>
  <c r="BP394" i="164" s="1"/>
  <c r="BR394" i="164" s="1"/>
  <c r="BT394" i="164" s="1"/>
  <c r="AW466" i="164"/>
  <c r="BP466" i="164" s="1"/>
  <c r="BV466" i="164" s="1"/>
  <c r="BX466" i="164" s="1"/>
  <c r="BZ466" i="164" s="1"/>
  <c r="CB466" i="164" s="1"/>
  <c r="CF466" i="164" s="1"/>
  <c r="CJ466" i="164" s="1"/>
  <c r="AH452" i="164"/>
  <c r="AW465" i="164"/>
  <c r="BP465" i="164" s="1"/>
  <c r="BR465" i="164" s="1"/>
  <c r="BT465" i="164" s="1"/>
  <c r="AB468" i="164"/>
  <c r="AI468" i="164" s="1"/>
  <c r="BO468" i="164" s="1"/>
  <c r="AV108" i="164"/>
  <c r="BO213" i="164"/>
  <c r="BQ213" i="164" s="1"/>
  <c r="BS213" i="164" s="1"/>
  <c r="CG213" i="164" s="1"/>
  <c r="CX127" i="164"/>
  <c r="BD127" i="164" s="1"/>
  <c r="CW127" i="164" s="1"/>
  <c r="AW382" i="164"/>
  <c r="BP382" i="164" s="1"/>
  <c r="BZ382" i="164" s="1"/>
  <c r="AM335" i="164"/>
  <c r="AN336" i="164"/>
  <c r="AP336" i="164" s="1"/>
  <c r="CL161" i="168"/>
  <c r="CO161" i="168" s="1"/>
  <c r="AU334" i="164"/>
  <c r="AV334" i="164"/>
  <c r="AW334" i="164" s="1"/>
  <c r="BP334" i="164" s="1"/>
  <c r="BR334" i="164" s="1"/>
  <c r="BT334" i="164" s="1"/>
  <c r="BO106" i="164"/>
  <c r="BU106" i="164" s="1"/>
  <c r="BW106" i="164" s="1"/>
  <c r="BY106" i="164" s="1"/>
  <c r="CA106" i="164" s="1"/>
  <c r="CE106" i="164" s="1"/>
  <c r="CI106" i="164" s="1"/>
  <c r="CL327" i="168"/>
  <c r="CO327" i="168" s="1"/>
  <c r="AL503" i="168"/>
  <c r="E35" i="56" s="1"/>
  <c r="AK503" i="168"/>
  <c r="E30" i="169" s="1"/>
  <c r="G30" i="169" s="1"/>
  <c r="BQ503" i="168"/>
  <c r="CX155" i="168"/>
  <c r="CX328" i="168"/>
  <c r="BP106" i="164"/>
  <c r="BV106" i="164" s="1"/>
  <c r="BX106" i="164" s="1"/>
  <c r="BZ106" i="164" s="1"/>
  <c r="CB106" i="164" s="1"/>
  <c r="CF106" i="164" s="1"/>
  <c r="CJ106" i="164" s="1"/>
  <c r="BP183" i="164"/>
  <c r="BV183" i="164" s="1"/>
  <c r="BX183" i="164" s="1"/>
  <c r="BZ183" i="164" s="1"/>
  <c r="CB183" i="164" s="1"/>
  <c r="CF183" i="164" s="1"/>
  <c r="CJ183" i="164" s="1"/>
  <c r="BP64" i="164"/>
  <c r="BR64" i="164" s="1"/>
  <c r="BT64" i="164" s="1"/>
  <c r="BP402" i="164"/>
  <c r="BV402" i="164" s="1"/>
  <c r="BX402" i="164" s="1"/>
  <c r="BZ402" i="164" s="1"/>
  <c r="CB402" i="164" s="1"/>
  <c r="CF402" i="164" s="1"/>
  <c r="CJ402" i="164" s="1"/>
  <c r="CY237" i="168"/>
  <c r="BE337" i="164"/>
  <c r="CL306" i="168"/>
  <c r="CO306" i="168" s="1"/>
  <c r="AU306" i="168"/>
  <c r="AI301" i="164"/>
  <c r="CX162" i="168"/>
  <c r="BV272" i="164"/>
  <c r="BX272" i="164" s="1"/>
  <c r="BZ272" i="164" s="1"/>
  <c r="CB272" i="164" s="1"/>
  <c r="CF272" i="164" s="1"/>
  <c r="CJ272" i="164" s="1"/>
  <c r="BR272" i="164"/>
  <c r="BT272" i="164" s="1"/>
  <c r="BX246" i="164"/>
  <c r="BV246" i="164"/>
  <c r="BZ246" i="164"/>
  <c r="CB246" i="164"/>
  <c r="BT246" i="164"/>
  <c r="BR246" i="164"/>
  <c r="CF246" i="164"/>
  <c r="CJ246" i="164" s="1"/>
  <c r="BR37" i="164"/>
  <c r="BT37" i="164" s="1"/>
  <c r="BV37" i="164"/>
  <c r="BX37" i="164" s="1"/>
  <c r="BZ37" i="164" s="1"/>
  <c r="CB37" i="164" s="1"/>
  <c r="CF37" i="164" s="1"/>
  <c r="CJ37" i="164" s="1"/>
  <c r="BR429" i="164"/>
  <c r="BT429" i="164" s="1"/>
  <c r="BV429" i="164"/>
  <c r="BX429" i="164" s="1"/>
  <c r="BZ429" i="164" s="1"/>
  <c r="CB429" i="164" s="1"/>
  <c r="CF429" i="164" s="1"/>
  <c r="CJ429" i="164" s="1"/>
  <c r="BM127" i="164"/>
  <c r="BV267" i="164"/>
  <c r="BX267" i="164" s="1"/>
  <c r="BZ267" i="164" s="1"/>
  <c r="CB267" i="164" s="1"/>
  <c r="CF267" i="164" s="1"/>
  <c r="CJ267" i="164" s="1"/>
  <c r="BR267" i="164"/>
  <c r="BT267" i="164" s="1"/>
  <c r="BQ48" i="164"/>
  <c r="BS48" i="164" s="1"/>
  <c r="CG48" i="164" s="1"/>
  <c r="BU48" i="164"/>
  <c r="BW48" i="164" s="1"/>
  <c r="BY48" i="164" s="1"/>
  <c r="CA48" i="164" s="1"/>
  <c r="CE48" i="164" s="1"/>
  <c r="CI48" i="164" s="1"/>
  <c r="AZ332" i="164"/>
  <c r="Z332" i="164"/>
  <c r="AI332" i="164" s="1"/>
  <c r="CX332" i="164"/>
  <c r="K339" i="164"/>
  <c r="L339" i="164" s="1"/>
  <c r="BO292" i="164"/>
  <c r="AW292" i="164"/>
  <c r="BP292" i="164" s="1"/>
  <c r="AM417" i="164"/>
  <c r="AN418" i="164"/>
  <c r="AB40" i="164"/>
  <c r="AI40" i="164" s="1"/>
  <c r="AV467" i="164"/>
  <c r="AW467" i="164" s="1"/>
  <c r="BP467" i="164" s="1"/>
  <c r="AU467" i="164"/>
  <c r="AM81" i="164"/>
  <c r="AU81" i="164" s="1"/>
  <c r="AN82" i="164"/>
  <c r="AP82" i="164" s="1"/>
  <c r="AA337" i="164"/>
  <c r="R337" i="164"/>
  <c r="AU319" i="164"/>
  <c r="AV319" i="164"/>
  <c r="AW319" i="164" s="1"/>
  <c r="BV457" i="164"/>
  <c r="BZ457" i="164"/>
  <c r="CB457" i="164"/>
  <c r="CF457" i="164"/>
  <c r="CJ457" i="164" s="1"/>
  <c r="BR457" i="164"/>
  <c r="BX457" i="164"/>
  <c r="BT457" i="164"/>
  <c r="DP329" i="168"/>
  <c r="DQ329" i="168"/>
  <c r="BN374" i="164"/>
  <c r="BO374" i="164" s="1"/>
  <c r="CH134" i="168"/>
  <c r="AV80" i="164"/>
  <c r="AW80" i="164" s="1"/>
  <c r="BV93" i="164"/>
  <c r="BX93" i="164"/>
  <c r="BR93" i="164"/>
  <c r="BT93" i="164"/>
  <c r="BZ93" i="164"/>
  <c r="CB93" i="164"/>
  <c r="CF93" i="164"/>
  <c r="CJ93" i="164" s="1"/>
  <c r="BR149" i="164"/>
  <c r="BT149" i="164" s="1"/>
  <c r="BV149" i="164"/>
  <c r="BX149" i="164" s="1"/>
  <c r="BZ149" i="164" s="1"/>
  <c r="CB149" i="164" s="1"/>
  <c r="CF149" i="164" s="1"/>
  <c r="CJ149" i="164" s="1"/>
  <c r="AI134" i="168"/>
  <c r="BN319" i="164"/>
  <c r="BO319" i="164" s="1"/>
  <c r="AW277" i="164"/>
  <c r="BP277" i="164" s="1"/>
  <c r="BO277" i="164"/>
  <c r="AN321" i="164"/>
  <c r="AP321" i="164" s="1"/>
  <c r="AM320" i="164"/>
  <c r="BJ158" i="164"/>
  <c r="CK158" i="164" s="1"/>
  <c r="A159" i="164"/>
  <c r="BU229" i="164"/>
  <c r="BW229" i="164" s="1"/>
  <c r="BY229" i="164" s="1"/>
  <c r="CA229" i="164" s="1"/>
  <c r="CE229" i="164" s="1"/>
  <c r="CI229" i="164" s="1"/>
  <c r="BQ229" i="164"/>
  <c r="BS229" i="164" s="1"/>
  <c r="CG229" i="164" s="1"/>
  <c r="BQ37" i="164"/>
  <c r="BS37" i="164" s="1"/>
  <c r="CG37" i="164" s="1"/>
  <c r="BU37" i="164"/>
  <c r="BW37" i="164" s="1"/>
  <c r="BY37" i="164" s="1"/>
  <c r="CA37" i="164" s="1"/>
  <c r="CE37" i="164" s="1"/>
  <c r="CI37" i="164" s="1"/>
  <c r="AW160" i="164"/>
  <c r="BP160" i="164" s="1"/>
  <c r="BO160" i="164"/>
  <c r="BO435" i="164"/>
  <c r="AW435" i="164"/>
  <c r="BP435" i="164" s="1"/>
  <c r="BR199" i="164"/>
  <c r="BT199" i="164" s="1"/>
  <c r="BV199" i="164"/>
  <c r="BX199" i="164"/>
  <c r="BZ199" i="164" s="1"/>
  <c r="CB199" i="164" s="1"/>
  <c r="CF199" i="164" s="1"/>
  <c r="CJ199" i="164" s="1"/>
  <c r="AW239" i="164"/>
  <c r="AW74" i="164"/>
  <c r="BP74" i="164" s="1"/>
  <c r="BO74" i="164"/>
  <c r="BO318" i="164"/>
  <c r="AW318" i="164"/>
  <c r="BP318" i="164" s="1"/>
  <c r="BX134" i="168"/>
  <c r="AW200" i="164"/>
  <c r="BP200" i="164" s="1"/>
  <c r="BO200" i="164"/>
  <c r="BM80" i="164"/>
  <c r="BE80" i="164"/>
  <c r="BD80" i="164"/>
  <c r="CW80" i="164" s="1"/>
  <c r="AA164" i="164"/>
  <c r="R164" i="164"/>
  <c r="BU271" i="164"/>
  <c r="BW271" i="164" s="1"/>
  <c r="BY271" i="164" s="1"/>
  <c r="CA271" i="164" s="1"/>
  <c r="CE271" i="164" s="1"/>
  <c r="CI271" i="164" s="1"/>
  <c r="BQ271" i="164"/>
  <c r="BS271" i="164" s="1"/>
  <c r="CG271" i="164" s="1"/>
  <c r="BR439" i="164"/>
  <c r="BT439" i="164" s="1"/>
  <c r="BV439" i="164"/>
  <c r="BX439" i="164" s="1"/>
  <c r="BZ439" i="164" s="1"/>
  <c r="CB439" i="164" s="1"/>
  <c r="CF439" i="164" s="1"/>
  <c r="CJ439" i="164" s="1"/>
  <c r="BU38" i="164"/>
  <c r="BW38" i="164" s="1"/>
  <c r="BY38" i="164" s="1"/>
  <c r="CA38" i="164" s="1"/>
  <c r="CE38" i="164" s="1"/>
  <c r="CI38" i="164" s="1"/>
  <c r="BQ38" i="164"/>
  <c r="BS38" i="164" s="1"/>
  <c r="CG38" i="164" s="1"/>
  <c r="BU210" i="164"/>
  <c r="BW210" i="164" s="1"/>
  <c r="BY210" i="164" s="1"/>
  <c r="CA210" i="164" s="1"/>
  <c r="CE210" i="164" s="1"/>
  <c r="CI210" i="164" s="1"/>
  <c r="BQ210" i="164"/>
  <c r="BS210" i="164" s="1"/>
  <c r="CG210" i="164" s="1"/>
  <c r="BO254" i="164"/>
  <c r="AW254" i="164"/>
  <c r="BP254" i="164" s="1"/>
  <c r="R375" i="164"/>
  <c r="AA375" i="164"/>
  <c r="BQ46" i="164"/>
  <c r="BS46" i="164" s="1"/>
  <c r="CG46" i="164" s="1"/>
  <c r="BU46" i="164"/>
  <c r="BW46" i="164" s="1"/>
  <c r="BY46" i="164" s="1"/>
  <c r="CA46" i="164" s="1"/>
  <c r="CE46" i="164" s="1"/>
  <c r="CI46" i="164" s="1"/>
  <c r="BM452" i="164"/>
  <c r="BE452" i="164"/>
  <c r="BD452" i="164"/>
  <c r="CW452" i="164" s="1"/>
  <c r="AM125" i="164"/>
  <c r="AN126" i="164"/>
  <c r="AP126" i="164" s="1"/>
  <c r="Z148" i="168"/>
  <c r="BV148" i="168"/>
  <c r="AW196" i="164"/>
  <c r="BO196" i="164"/>
  <c r="BN437" i="164"/>
  <c r="BO437" i="164" s="1"/>
  <c r="BQ281" i="164"/>
  <c r="BS281" i="164" s="1"/>
  <c r="CG281" i="164" s="1"/>
  <c r="BU281" i="164"/>
  <c r="BW281" i="164" s="1"/>
  <c r="BY281" i="164" s="1"/>
  <c r="CA281" i="164" s="1"/>
  <c r="CE281" i="164" s="1"/>
  <c r="CI281" i="164" s="1"/>
  <c r="BU93" i="164"/>
  <c r="BW93" i="164" s="1"/>
  <c r="BY93" i="164" s="1"/>
  <c r="CA93" i="164" s="1"/>
  <c r="CE93" i="164" s="1"/>
  <c r="CI93" i="164" s="1"/>
  <c r="BQ93" i="164"/>
  <c r="BS93" i="164" s="1"/>
  <c r="CG93" i="164" s="1"/>
  <c r="BV400" i="164"/>
  <c r="BX400" i="164" s="1"/>
  <c r="BZ400" i="164" s="1"/>
  <c r="CB400" i="164" s="1"/>
  <c r="CF400" i="164" s="1"/>
  <c r="CJ400" i="164" s="1"/>
  <c r="BR400" i="164"/>
  <c r="BT400" i="164" s="1"/>
  <c r="G186" i="164"/>
  <c r="H186" i="164" s="1"/>
  <c r="Y185" i="164"/>
  <c r="P185" i="164"/>
  <c r="BQ211" i="164"/>
  <c r="BS211" i="164" s="1"/>
  <c r="CG211" i="164" s="1"/>
  <c r="BU211" i="164"/>
  <c r="BW211" i="164" s="1"/>
  <c r="BY211" i="164" s="1"/>
  <c r="CA211" i="164" s="1"/>
  <c r="CE211" i="164" s="1"/>
  <c r="CI211" i="164" s="1"/>
  <c r="BM375" i="164"/>
  <c r="BE375" i="164"/>
  <c r="BD375" i="164"/>
  <c r="CW375" i="164" s="1"/>
  <c r="AW459" i="164"/>
  <c r="BP459" i="164" s="1"/>
  <c r="BO459" i="164"/>
  <c r="Y171" i="164"/>
  <c r="G172" i="164"/>
  <c r="H172" i="164" s="1"/>
  <c r="P171" i="164"/>
  <c r="BV229" i="164"/>
  <c r="BX229" i="164" s="1"/>
  <c r="BZ229" i="164" s="1"/>
  <c r="CB229" i="164" s="1"/>
  <c r="CF229" i="164" s="1"/>
  <c r="CJ229" i="164" s="1"/>
  <c r="BR229" i="164"/>
  <c r="BT229" i="164" s="1"/>
  <c r="AA248" i="164"/>
  <c r="R248" i="164"/>
  <c r="BN416" i="164"/>
  <c r="BO416" i="164" s="1"/>
  <c r="BO268" i="164"/>
  <c r="Z327" i="168"/>
  <c r="BV327" i="168"/>
  <c r="CG327" i="168" s="1"/>
  <c r="BY327" i="168"/>
  <c r="BU143" i="164"/>
  <c r="BW143" i="164" s="1"/>
  <c r="BY143" i="164" s="1"/>
  <c r="CA143" i="164" s="1"/>
  <c r="CE143" i="164" s="1"/>
  <c r="CI143" i="164" s="1"/>
  <c r="BQ143" i="164"/>
  <c r="BS143" i="164" s="1"/>
  <c r="CG143" i="164" s="1"/>
  <c r="BU199" i="164"/>
  <c r="BW199" i="164" s="1"/>
  <c r="BY199" i="164" s="1"/>
  <c r="CA199" i="164" s="1"/>
  <c r="CE199" i="164" s="1"/>
  <c r="CI199" i="164" s="1"/>
  <c r="BQ199" i="164"/>
  <c r="BS199" i="164" s="1"/>
  <c r="CG199" i="164" s="1"/>
  <c r="BO237" i="164"/>
  <c r="AW316" i="164"/>
  <c r="BP316" i="164" s="1"/>
  <c r="BO316" i="164"/>
  <c r="CV329" i="168"/>
  <c r="CW329" i="168"/>
  <c r="CZ329" i="168"/>
  <c r="DA329" i="168"/>
  <c r="DD329" i="168"/>
  <c r="O329" i="168"/>
  <c r="BB329" i="168"/>
  <c r="DE329" i="168"/>
  <c r="DF329" i="168"/>
  <c r="DG329" i="168"/>
  <c r="CY329" i="168"/>
  <c r="DB329" i="168"/>
  <c r="DC329" i="168"/>
  <c r="P329" i="168"/>
  <c r="CB329" i="168" s="1"/>
  <c r="DV329" i="168"/>
  <c r="DZ329" i="168"/>
  <c r="EA329" i="168"/>
  <c r="DX329" i="168"/>
  <c r="EB329" i="168"/>
  <c r="DW329" i="168"/>
  <c r="DU329" i="168"/>
  <c r="DY329" i="168"/>
  <c r="CF329" i="168"/>
  <c r="Y425" i="164"/>
  <c r="G426" i="164"/>
  <c r="H426" i="164" s="1"/>
  <c r="P425" i="164"/>
  <c r="AD306" i="168"/>
  <c r="AG306" i="168" s="1"/>
  <c r="BD320" i="164"/>
  <c r="CW320" i="164" s="1"/>
  <c r="BE320" i="164"/>
  <c r="BM320" i="164"/>
  <c r="G52" i="164"/>
  <c r="H52" i="164" s="1"/>
  <c r="Y51" i="164"/>
  <c r="P51" i="164"/>
  <c r="AA404" i="164"/>
  <c r="R404" i="164"/>
  <c r="Z385" i="164"/>
  <c r="AZ385" i="164"/>
  <c r="CX385" i="164"/>
  <c r="BV162" i="164"/>
  <c r="BX162" i="164" s="1"/>
  <c r="BZ162" i="164" s="1"/>
  <c r="CB162" i="164" s="1"/>
  <c r="CF162" i="164" s="1"/>
  <c r="CJ162" i="164" s="1"/>
  <c r="BR162" i="164"/>
  <c r="BT162" i="164" s="1"/>
  <c r="AC140" i="168"/>
  <c r="BE384" i="164"/>
  <c r="BM384" i="164"/>
  <c r="BD384" i="164"/>
  <c r="CW384" i="164" s="1"/>
  <c r="BU85" i="164"/>
  <c r="BW85" i="164" s="1"/>
  <c r="BY85" i="164" s="1"/>
  <c r="CA85" i="164" s="1"/>
  <c r="CE85" i="164" s="1"/>
  <c r="CI85" i="164" s="1"/>
  <c r="BQ85" i="164"/>
  <c r="BS85" i="164" s="1"/>
  <c r="CG85" i="164" s="1"/>
  <c r="BR295" i="164"/>
  <c r="BT295" i="164" s="1"/>
  <c r="BV295" i="164"/>
  <c r="BX295" i="164" s="1"/>
  <c r="BZ295" i="164" s="1"/>
  <c r="CB295" i="164" s="1"/>
  <c r="CF295" i="164" s="1"/>
  <c r="CJ295" i="164" s="1"/>
  <c r="BD417" i="164"/>
  <c r="CW417" i="164" s="1"/>
  <c r="BE417" i="164"/>
  <c r="BM417" i="164"/>
  <c r="AU161" i="168"/>
  <c r="BU161" i="168"/>
  <c r="AA170" i="164"/>
  <c r="R170" i="164"/>
  <c r="BV174" i="164"/>
  <c r="BX174" i="164" s="1"/>
  <c r="BZ174" i="164" s="1"/>
  <c r="CB174" i="164" s="1"/>
  <c r="CF174" i="164" s="1"/>
  <c r="CJ174" i="164" s="1"/>
  <c r="BR174" i="164"/>
  <c r="BT174" i="164" s="1"/>
  <c r="BQ222" i="164"/>
  <c r="BS222" i="164" s="1"/>
  <c r="CG222" i="164" s="1"/>
  <c r="BU222" i="164"/>
  <c r="BW222" i="164" s="1"/>
  <c r="BY222" i="164" s="1"/>
  <c r="CA222" i="164" s="1"/>
  <c r="CE222" i="164" s="1"/>
  <c r="CI222" i="164" s="1"/>
  <c r="BD285" i="164"/>
  <c r="CW285" i="164" s="1"/>
  <c r="BE285" i="164"/>
  <c r="BM285" i="164"/>
  <c r="Y338" i="164"/>
  <c r="G339" i="164"/>
  <c r="H339" i="164" s="1"/>
  <c r="P338" i="164"/>
  <c r="BU29" i="164"/>
  <c r="BW29" i="164" s="1"/>
  <c r="BY29" i="164" s="1"/>
  <c r="CA29" i="164" s="1"/>
  <c r="CE29" i="164" s="1"/>
  <c r="CI29" i="164" s="1"/>
  <c r="BQ29" i="164"/>
  <c r="BS29" i="164" s="1"/>
  <c r="CG29" i="164" s="1"/>
  <c r="BU335" i="164"/>
  <c r="BW335" i="164" s="1"/>
  <c r="BY335" i="164" s="1"/>
  <c r="CA335" i="164" s="1"/>
  <c r="CE335" i="164" s="1"/>
  <c r="CI335" i="164" s="1"/>
  <c r="BQ335" i="164"/>
  <c r="BS335" i="164" s="1"/>
  <c r="CG335" i="164" s="1"/>
  <c r="AD163" i="168"/>
  <c r="AG163" i="168" s="1"/>
  <c r="AC305" i="168"/>
  <c r="AM213" i="164"/>
  <c r="AN214" i="164"/>
  <c r="AP214" i="164" s="1"/>
  <c r="BV47" i="164"/>
  <c r="BX47" i="164" s="1"/>
  <c r="BZ47" i="164" s="1"/>
  <c r="CB47" i="164" s="1"/>
  <c r="CF47" i="164" s="1"/>
  <c r="CJ47" i="164" s="1"/>
  <c r="BR47" i="164"/>
  <c r="BT47" i="164" s="1"/>
  <c r="Z42" i="164"/>
  <c r="AM284" i="164"/>
  <c r="AN285" i="164"/>
  <c r="AP285" i="164" s="1"/>
  <c r="BU24" i="164"/>
  <c r="BW24" i="164" s="1"/>
  <c r="BY24" i="164" s="1"/>
  <c r="CA24" i="164" s="1"/>
  <c r="CE24" i="164" s="1"/>
  <c r="CI24" i="164" s="1"/>
  <c r="BQ24" i="164"/>
  <c r="BS24" i="164" s="1"/>
  <c r="CG24" i="164" s="1"/>
  <c r="BN164" i="164"/>
  <c r="Z453" i="164"/>
  <c r="BO39" i="164"/>
  <c r="AW158" i="164"/>
  <c r="BO158" i="164"/>
  <c r="BO62" i="164"/>
  <c r="AW62" i="164"/>
  <c r="BP62" i="164" s="1"/>
  <c r="AM109" i="164"/>
  <c r="AU109" i="164" s="1"/>
  <c r="AN110" i="164"/>
  <c r="AP110" i="164" s="1"/>
  <c r="BV304" i="164"/>
  <c r="BX304" i="164"/>
  <c r="BZ304" i="164"/>
  <c r="CB304" i="164"/>
  <c r="BT304" i="164"/>
  <c r="CF304" i="164"/>
  <c r="CJ304" i="164" s="1"/>
  <c r="BR304" i="164"/>
  <c r="BP146" i="164"/>
  <c r="BD423" i="164"/>
  <c r="CW423" i="164" s="1"/>
  <c r="BE423" i="164"/>
  <c r="BM423" i="164"/>
  <c r="AU148" i="168"/>
  <c r="AA126" i="164"/>
  <c r="R126" i="164"/>
  <c r="AV255" i="164"/>
  <c r="Z255" i="164"/>
  <c r="K377" i="164"/>
  <c r="L377" i="164" s="1"/>
  <c r="Z376" i="164"/>
  <c r="AZ376" i="164"/>
  <c r="CX376" i="164"/>
  <c r="Z161" i="168"/>
  <c r="BY161" i="168"/>
  <c r="BV161" i="168"/>
  <c r="CG161" i="168" s="1"/>
  <c r="AM185" i="164"/>
  <c r="AU185" i="164" s="1"/>
  <c r="AN186" i="164"/>
  <c r="AP186" i="164" s="1"/>
  <c r="BN118" i="164"/>
  <c r="BO118" i="164" s="1"/>
  <c r="BO299" i="164"/>
  <c r="AU38" i="164"/>
  <c r="AV38" i="164"/>
  <c r="AW38" i="164" s="1"/>
  <c r="BP38" i="164" s="1"/>
  <c r="BQ197" i="164"/>
  <c r="BS197" i="164" s="1"/>
  <c r="CG197" i="164" s="1"/>
  <c r="BU197" i="164"/>
  <c r="BW197" i="164" s="1"/>
  <c r="BY197" i="164" s="1"/>
  <c r="CA197" i="164" s="1"/>
  <c r="CE197" i="164" s="1"/>
  <c r="CI197" i="164" s="1"/>
  <c r="G453" i="164"/>
  <c r="H453" i="164" s="1"/>
  <c r="Y452" i="164"/>
  <c r="P452" i="164"/>
  <c r="AW262" i="164"/>
  <c r="BP262" i="164" s="1"/>
  <c r="BO262" i="164"/>
  <c r="G287" i="164"/>
  <c r="H287" i="164" s="1"/>
  <c r="Y286" i="164"/>
  <c r="P286" i="164"/>
  <c r="AM384" i="164"/>
  <c r="AN385" i="164"/>
  <c r="AP385" i="164" s="1"/>
  <c r="BY306" i="168"/>
  <c r="AW120" i="164"/>
  <c r="BP120" i="164" s="1"/>
  <c r="BO120" i="164"/>
  <c r="BO216" i="164"/>
  <c r="AW216" i="164"/>
  <c r="BP216" i="164" s="1"/>
  <c r="BQ465" i="164"/>
  <c r="BS465" i="164" s="1"/>
  <c r="CG465" i="164" s="1"/>
  <c r="BU465" i="164"/>
  <c r="BW465" i="164" s="1"/>
  <c r="BY465" i="164" s="1"/>
  <c r="CA465" i="164" s="1"/>
  <c r="CE465" i="164" s="1"/>
  <c r="CI465" i="164" s="1"/>
  <c r="BV413" i="164"/>
  <c r="BX413" i="164" s="1"/>
  <c r="BZ413" i="164" s="1"/>
  <c r="CB413" i="164" s="1"/>
  <c r="CF413" i="164" s="1"/>
  <c r="CJ413" i="164" s="1"/>
  <c r="BR413" i="164"/>
  <c r="BT413" i="164" s="1"/>
  <c r="BM232" i="164"/>
  <c r="BE232" i="164"/>
  <c r="BD232" i="164"/>
  <c r="CW232" i="164" s="1"/>
  <c r="BQ167" i="164"/>
  <c r="BS167" i="164" s="1"/>
  <c r="CG167" i="164" s="1"/>
  <c r="BU167" i="164"/>
  <c r="BW167" i="164" s="1"/>
  <c r="BY167" i="164" s="1"/>
  <c r="CA167" i="164" s="1"/>
  <c r="CE167" i="164" s="1"/>
  <c r="CI167" i="164" s="1"/>
  <c r="BV328" i="164"/>
  <c r="BX328" i="164" s="1"/>
  <c r="BZ328" i="164" s="1"/>
  <c r="CB328" i="164" s="1"/>
  <c r="CF328" i="164" s="1"/>
  <c r="CJ328" i="164" s="1"/>
  <c r="BR328" i="164"/>
  <c r="BT328" i="164" s="1"/>
  <c r="BN223" i="164"/>
  <c r="BO223" i="164" s="1"/>
  <c r="BR436" i="164"/>
  <c r="BT436" i="164" s="1"/>
  <c r="BV436" i="164"/>
  <c r="BX436" i="164" s="1"/>
  <c r="BZ436" i="164" s="1"/>
  <c r="CB436" i="164" s="1"/>
  <c r="CF436" i="164" s="1"/>
  <c r="CJ436" i="164" s="1"/>
  <c r="Y470" i="164"/>
  <c r="P470" i="164"/>
  <c r="G463" i="164"/>
  <c r="H463" i="164" s="1"/>
  <c r="AW91" i="164"/>
  <c r="BP91" i="164" s="1"/>
  <c r="BO91" i="164"/>
  <c r="BM170" i="164"/>
  <c r="BD170" i="164"/>
  <c r="CW170" i="164" s="1"/>
  <c r="BE170" i="164"/>
  <c r="AN463" i="164"/>
  <c r="AP463" i="164" s="1"/>
  <c r="AM462" i="164"/>
  <c r="AW77" i="164"/>
  <c r="BP77" i="164" s="1"/>
  <c r="BO77" i="164"/>
  <c r="BR132" i="164"/>
  <c r="BT132" i="164" s="1"/>
  <c r="BV132" i="164"/>
  <c r="BX132" i="164" s="1"/>
  <c r="BZ132" i="164" s="1"/>
  <c r="CB132" i="164" s="1"/>
  <c r="CF132" i="164" s="1"/>
  <c r="CJ132" i="164" s="1"/>
  <c r="BV85" i="164"/>
  <c r="BX85" i="164" s="1"/>
  <c r="BZ85" i="164" s="1"/>
  <c r="CB85" i="164" s="1"/>
  <c r="CF85" i="164" s="1"/>
  <c r="CJ85" i="164" s="1"/>
  <c r="BR85" i="164"/>
  <c r="BT85" i="164" s="1"/>
  <c r="R214" i="164"/>
  <c r="AA214" i="164"/>
  <c r="BQ380" i="164"/>
  <c r="BS380" i="164" s="1"/>
  <c r="CG380" i="164" s="1"/>
  <c r="BU380" i="164"/>
  <c r="BW380" i="164" s="1"/>
  <c r="BY380" i="164" s="1"/>
  <c r="CA380" i="164" s="1"/>
  <c r="CE380" i="164" s="1"/>
  <c r="CI380" i="164" s="1"/>
  <c r="BR252" i="164"/>
  <c r="BT252" i="164" s="1"/>
  <c r="BV252" i="164"/>
  <c r="BX252" i="164" s="1"/>
  <c r="BZ252" i="164" s="1"/>
  <c r="CB252" i="164" s="1"/>
  <c r="CF252" i="164" s="1"/>
  <c r="CJ252" i="164" s="1"/>
  <c r="CK328" i="168"/>
  <c r="CQ328" i="168" s="1"/>
  <c r="CN328" i="168"/>
  <c r="CM328" i="168"/>
  <c r="CP328" i="168" s="1"/>
  <c r="CS328" i="168"/>
  <c r="BM404" i="164"/>
  <c r="BD404" i="164"/>
  <c r="CW404" i="164" s="1"/>
  <c r="BE404" i="164"/>
  <c r="BQ408" i="164"/>
  <c r="BS408" i="164" s="1"/>
  <c r="CG408" i="164" s="1"/>
  <c r="BU408" i="164"/>
  <c r="BW408" i="164" s="1"/>
  <c r="BY408" i="164" s="1"/>
  <c r="CA408" i="164" s="1"/>
  <c r="CE408" i="164" s="1"/>
  <c r="CI408" i="164" s="1"/>
  <c r="AW140" i="168"/>
  <c r="AI140" i="168"/>
  <c r="AZ140" i="168"/>
  <c r="BC140" i="168" s="1"/>
  <c r="BQ123" i="164"/>
  <c r="BS123" i="164" s="1"/>
  <c r="CG123" i="164" s="1"/>
  <c r="BU123" i="164"/>
  <c r="BW123" i="164" s="1"/>
  <c r="BY123" i="164" s="1"/>
  <c r="CA123" i="164" s="1"/>
  <c r="CE123" i="164" s="1"/>
  <c r="CI123" i="164" s="1"/>
  <c r="BN422" i="164"/>
  <c r="BO422" i="164" s="1"/>
  <c r="BR478" i="164"/>
  <c r="BT478" i="164" s="1"/>
  <c r="BV478" i="164"/>
  <c r="BX478" i="164" s="1"/>
  <c r="BZ478" i="164" s="1"/>
  <c r="CB478" i="164" s="1"/>
  <c r="CF478" i="164" s="1"/>
  <c r="CJ478" i="164" s="1"/>
  <c r="BN337" i="164"/>
  <c r="AA206" i="164"/>
  <c r="R206" i="164"/>
  <c r="BQ444" i="164"/>
  <c r="BS444" i="164" s="1"/>
  <c r="CG444" i="164" s="1"/>
  <c r="BU444" i="164"/>
  <c r="BW444" i="164" s="1"/>
  <c r="BY444" i="164" s="1"/>
  <c r="CA444" i="164" s="1"/>
  <c r="CE444" i="164" s="1"/>
  <c r="CI444" i="164" s="1"/>
  <c r="BU66" i="164"/>
  <c r="BW66" i="164" s="1"/>
  <c r="BY66" i="164" s="1"/>
  <c r="CA66" i="164" s="1"/>
  <c r="CE66" i="164" s="1"/>
  <c r="CI66" i="164" s="1"/>
  <c r="BQ66" i="164"/>
  <c r="BS66" i="164" s="1"/>
  <c r="CG66" i="164" s="1"/>
  <c r="BQ272" i="164"/>
  <c r="BS272" i="164" s="1"/>
  <c r="CG272" i="164" s="1"/>
  <c r="BU272" i="164"/>
  <c r="BW272" i="164" s="1"/>
  <c r="BY272" i="164" s="1"/>
  <c r="CA272" i="164" s="1"/>
  <c r="CE272" i="164" s="1"/>
  <c r="CI272" i="164" s="1"/>
  <c r="BS329" i="168"/>
  <c r="BZ329" i="168"/>
  <c r="AS329" i="168"/>
  <c r="CD329" i="168"/>
  <c r="CC329" i="168"/>
  <c r="Y329" i="168"/>
  <c r="X329" i="168"/>
  <c r="BO139" i="164"/>
  <c r="AW139" i="164"/>
  <c r="BP139" i="164" s="1"/>
  <c r="AM39" i="164"/>
  <c r="AN40" i="164"/>
  <c r="AP40" i="164" s="1"/>
  <c r="R285" i="164"/>
  <c r="AA285" i="164"/>
  <c r="BO476" i="164"/>
  <c r="AW476" i="164"/>
  <c r="BP476" i="164" s="1"/>
  <c r="AA320" i="164"/>
  <c r="R320" i="164"/>
  <c r="Z81" i="164"/>
  <c r="AI81" i="164" s="1"/>
  <c r="AZ81" i="164"/>
  <c r="CX81" i="164"/>
  <c r="K82" i="164"/>
  <c r="L82" i="164" s="1"/>
  <c r="AG237" i="168"/>
  <c r="AD237" i="168"/>
  <c r="AW279" i="164"/>
  <c r="BP279" i="164" s="1"/>
  <c r="BO279" i="164"/>
  <c r="BU95" i="164"/>
  <c r="BW95" i="164" s="1"/>
  <c r="BY95" i="164" s="1"/>
  <c r="CA95" i="164" s="1"/>
  <c r="CE95" i="164" s="1"/>
  <c r="CI95" i="164" s="1"/>
  <c r="BQ95" i="164"/>
  <c r="BS95" i="164" s="1"/>
  <c r="CG95" i="164" s="1"/>
  <c r="AW428" i="164"/>
  <c r="BP428" i="164" s="1"/>
  <c r="BO428" i="164"/>
  <c r="BQ372" i="164"/>
  <c r="BS372" i="164" s="1"/>
  <c r="CG372" i="164" s="1"/>
  <c r="BU372" i="164"/>
  <c r="BW372" i="164" s="1"/>
  <c r="BY372" i="164" s="1"/>
  <c r="CA372" i="164" s="1"/>
  <c r="CE372" i="164" s="1"/>
  <c r="CI372" i="164" s="1"/>
  <c r="Y376" i="164"/>
  <c r="G377" i="164"/>
  <c r="H377" i="164" s="1"/>
  <c r="P376" i="164"/>
  <c r="AU212" i="164"/>
  <c r="AV212" i="164"/>
  <c r="AW212" i="164" s="1"/>
  <c r="BP212" i="164" s="1"/>
  <c r="BU47" i="164"/>
  <c r="BW47" i="164" s="1"/>
  <c r="BY47" i="164" s="1"/>
  <c r="CA47" i="164" s="1"/>
  <c r="CE47" i="164" s="1"/>
  <c r="CI47" i="164" s="1"/>
  <c r="BQ47" i="164"/>
  <c r="BS47" i="164" s="1"/>
  <c r="CG47" i="164" s="1"/>
  <c r="AU283" i="164"/>
  <c r="AV283" i="164"/>
  <c r="AW283" i="164" s="1"/>
  <c r="BP283" i="164" s="1"/>
  <c r="AN249" i="164"/>
  <c r="AP249" i="164" s="1"/>
  <c r="AM248" i="164"/>
  <c r="AW472" i="164"/>
  <c r="BP472" i="164" s="1"/>
  <c r="BO472" i="164"/>
  <c r="BR274" i="164"/>
  <c r="BT274" i="164" s="1"/>
  <c r="BV274" i="164"/>
  <c r="BX274" i="164" s="1"/>
  <c r="BZ274" i="164" s="1"/>
  <c r="CB274" i="164" s="1"/>
  <c r="CF274" i="164" s="1"/>
  <c r="CJ274" i="164" s="1"/>
  <c r="BQ28" i="164"/>
  <c r="BS28" i="164" s="1"/>
  <c r="CG28" i="164" s="1"/>
  <c r="BU28" i="164"/>
  <c r="BW28" i="164" s="1"/>
  <c r="BY28" i="164" s="1"/>
  <c r="CA28" i="164" s="1"/>
  <c r="CE28" i="164" s="1"/>
  <c r="CI28" i="164" s="1"/>
  <c r="AD162" i="168"/>
  <c r="AG162" i="168" s="1"/>
  <c r="AW97" i="164"/>
  <c r="BP97" i="164" s="1"/>
  <c r="BO97" i="164"/>
  <c r="AW135" i="164"/>
  <c r="BP135" i="164" s="1"/>
  <c r="BO135" i="164"/>
  <c r="AW236" i="164"/>
  <c r="BP236" i="164" s="1"/>
  <c r="BO236" i="164"/>
  <c r="AW35" i="164"/>
  <c r="BP35" i="164" s="1"/>
  <c r="BO35" i="164"/>
  <c r="BQ267" i="164"/>
  <c r="BS267" i="164" s="1"/>
  <c r="CG267" i="164" s="1"/>
  <c r="BU267" i="164"/>
  <c r="BW267" i="164" s="1"/>
  <c r="BY267" i="164" s="1"/>
  <c r="CA267" i="164" s="1"/>
  <c r="CE267" i="164" s="1"/>
  <c r="CI267" i="164" s="1"/>
  <c r="BR455" i="164"/>
  <c r="BT455" i="164" s="1"/>
  <c r="BV455" i="164"/>
  <c r="BX455" i="164" s="1"/>
  <c r="BZ455" i="164" s="1"/>
  <c r="CB455" i="164" s="1"/>
  <c r="CF455" i="164" s="1"/>
  <c r="CJ455" i="164" s="1"/>
  <c r="BV306" i="168"/>
  <c r="CG306" i="168" s="1"/>
  <c r="AU383" i="164"/>
  <c r="AV383" i="164"/>
  <c r="AW383" i="164" s="1"/>
  <c r="AW406" i="164"/>
  <c r="BP406" i="164" s="1"/>
  <c r="BO406" i="164"/>
  <c r="DC238" i="168"/>
  <c r="DE238" i="168"/>
  <c r="DF238" i="168"/>
  <c r="DG238" i="168"/>
  <c r="CV238" i="168"/>
  <c r="BB238" i="168"/>
  <c r="CW238" i="168"/>
  <c r="CX238" i="168"/>
  <c r="O238" i="168"/>
  <c r="CZ238" i="168"/>
  <c r="DB238" i="168"/>
  <c r="CY238" i="168"/>
  <c r="DD238" i="168"/>
  <c r="P238" i="168"/>
  <c r="CB238" i="168" s="1"/>
  <c r="DZ238" i="168"/>
  <c r="DX238" i="168"/>
  <c r="EB238" i="168"/>
  <c r="EA238" i="168"/>
  <c r="DY238" i="168"/>
  <c r="CF238" i="168"/>
  <c r="DW238" i="168"/>
  <c r="DU238" i="168"/>
  <c r="DV238" i="168"/>
  <c r="CL237" i="168"/>
  <c r="CO237" i="168" s="1"/>
  <c r="CM237" i="168"/>
  <c r="CP237" i="168" s="1"/>
  <c r="CK237" i="168"/>
  <c r="CQ237" i="168" s="1"/>
  <c r="CS237" i="168"/>
  <c r="CN237" i="168"/>
  <c r="AW155" i="164"/>
  <c r="BP155" i="164" s="1"/>
  <c r="BO155" i="164"/>
  <c r="BO238" i="164"/>
  <c r="Y321" i="164"/>
  <c r="P321" i="164"/>
  <c r="AV461" i="164"/>
  <c r="AW461" i="164" s="1"/>
  <c r="BP461" i="164" s="1"/>
  <c r="AU461" i="164"/>
  <c r="AC134" i="168"/>
  <c r="AF134" i="168" s="1"/>
  <c r="AM468" i="164"/>
  <c r="AN469" i="164"/>
  <c r="AP469" i="164" s="1"/>
  <c r="BQ393" i="164"/>
  <c r="BS393" i="164" s="1"/>
  <c r="CG393" i="164" s="1"/>
  <c r="BU393" i="164"/>
  <c r="BW393" i="164" s="1"/>
  <c r="BY393" i="164" s="1"/>
  <c r="CA393" i="164" s="1"/>
  <c r="CE393" i="164" s="1"/>
  <c r="CI393" i="164" s="1"/>
  <c r="AZ147" i="168"/>
  <c r="BC147" i="168" s="1"/>
  <c r="AI147" i="168"/>
  <c r="AW147" i="168"/>
  <c r="AV421" i="164"/>
  <c r="AW421" i="164" s="1"/>
  <c r="BP421" i="164" s="1"/>
  <c r="AU421" i="164"/>
  <c r="AW282" i="164"/>
  <c r="BP282" i="164" s="1"/>
  <c r="BO282" i="164"/>
  <c r="AU48" i="164"/>
  <c r="AV48" i="164"/>
  <c r="AW48" i="164" s="1"/>
  <c r="BP48" i="164" s="1"/>
  <c r="AD147" i="168"/>
  <c r="AG147" i="168" s="1"/>
  <c r="BU457" i="164"/>
  <c r="BW457" i="164" s="1"/>
  <c r="BY457" i="164" s="1"/>
  <c r="CA457" i="164" s="1"/>
  <c r="CE457" i="164" s="1"/>
  <c r="CI457" i="164" s="1"/>
  <c r="BQ457" i="164"/>
  <c r="BS457" i="164" s="1"/>
  <c r="CG457" i="164" s="1"/>
  <c r="AU391" i="164"/>
  <c r="AV391" i="164"/>
  <c r="AW391" i="164" s="1"/>
  <c r="BP391" i="164" s="1"/>
  <c r="AV238" i="164"/>
  <c r="AW238" i="164" s="1"/>
  <c r="BP238" i="164" s="1"/>
  <c r="AU238" i="164"/>
  <c r="BN107" i="164"/>
  <c r="BO107" i="164" s="1"/>
  <c r="BU252" i="164"/>
  <c r="BW252" i="164" s="1"/>
  <c r="BY252" i="164" s="1"/>
  <c r="CA252" i="164" s="1"/>
  <c r="CE252" i="164" s="1"/>
  <c r="CI252" i="164" s="1"/>
  <c r="BQ252" i="164"/>
  <c r="BS252" i="164" s="1"/>
  <c r="CG252" i="164" s="1"/>
  <c r="AI313" i="168"/>
  <c r="AZ313" i="168"/>
  <c r="AW313" i="168"/>
  <c r="AU433" i="164"/>
  <c r="AV433" i="164"/>
  <c r="AW433" i="164" s="1"/>
  <c r="BP433" i="164" s="1"/>
  <c r="R184" i="164"/>
  <c r="AA184" i="164"/>
  <c r="BO336" i="164"/>
  <c r="BG162" i="168"/>
  <c r="CA162" i="168"/>
  <c r="W162" i="168" s="1"/>
  <c r="BD162" i="168"/>
  <c r="BH162" i="168" s="1"/>
  <c r="BE162" i="168"/>
  <c r="BF162" i="168"/>
  <c r="AP162" i="168"/>
  <c r="AT162" i="168" s="1"/>
  <c r="BN330" i="164"/>
  <c r="BO330" i="164" s="1"/>
  <c r="Z302" i="164"/>
  <c r="AZ302" i="164"/>
  <c r="CX302" i="164"/>
  <c r="BQ295" i="164"/>
  <c r="BS295" i="164" s="1"/>
  <c r="CG295" i="164" s="1"/>
  <c r="BU295" i="164"/>
  <c r="BW295" i="164" s="1"/>
  <c r="BY295" i="164" s="1"/>
  <c r="CA295" i="164" s="1"/>
  <c r="CE295" i="164" s="1"/>
  <c r="CI295" i="164" s="1"/>
  <c r="BQ390" i="164"/>
  <c r="BS390" i="164" s="1"/>
  <c r="CG390" i="164" s="1"/>
  <c r="BU390" i="164"/>
  <c r="BW390" i="164" s="1"/>
  <c r="BY390" i="164" s="1"/>
  <c r="CA390" i="164" s="1"/>
  <c r="CE390" i="164" s="1"/>
  <c r="CI390" i="164" s="1"/>
  <c r="BP242" i="164"/>
  <c r="BR46" i="164"/>
  <c r="BT46" i="164" s="1"/>
  <c r="BV46" i="164"/>
  <c r="BX46" i="164" s="1"/>
  <c r="BZ46" i="164" s="1"/>
  <c r="CB46" i="164" s="1"/>
  <c r="CF46" i="164" s="1"/>
  <c r="CJ46" i="164" s="1"/>
  <c r="BQ334" i="164"/>
  <c r="BS334" i="164" s="1"/>
  <c r="CG334" i="164" s="1"/>
  <c r="BU334" i="164"/>
  <c r="BW334" i="164" s="1"/>
  <c r="BY334" i="164" s="1"/>
  <c r="CA334" i="164" s="1"/>
  <c r="CE334" i="164" s="1"/>
  <c r="CI334" i="164" s="1"/>
  <c r="CY163" i="168"/>
  <c r="CZ163" i="168"/>
  <c r="DA163" i="168"/>
  <c r="DC163" i="168"/>
  <c r="DD163" i="168"/>
  <c r="DF163" i="168"/>
  <c r="CV163" i="168"/>
  <c r="CX163" i="168"/>
  <c r="DG163" i="168"/>
  <c r="CW163" i="168"/>
  <c r="DE163" i="168"/>
  <c r="BB163" i="168"/>
  <c r="DV163" i="168"/>
  <c r="O163" i="168"/>
  <c r="EA163" i="168"/>
  <c r="P163" i="168"/>
  <c r="CB163" i="168" s="1"/>
  <c r="DU163" i="168"/>
  <c r="DY163" i="168"/>
  <c r="DZ163" i="168"/>
  <c r="DW163" i="168"/>
  <c r="CF163" i="168"/>
  <c r="DX163" i="168"/>
  <c r="EB163" i="168"/>
  <c r="AU124" i="164"/>
  <c r="AV124" i="164"/>
  <c r="AW124" i="164" s="1"/>
  <c r="BP124" i="164" s="1"/>
  <c r="BN269" i="164"/>
  <c r="BO269" i="164" s="1"/>
  <c r="G250" i="164"/>
  <c r="H250" i="164" s="1"/>
  <c r="CX250" i="164" s="1"/>
  <c r="Y249" i="164"/>
  <c r="P249" i="164"/>
  <c r="BO129" i="164"/>
  <c r="AW129" i="164"/>
  <c r="BP129" i="164" s="1"/>
  <c r="BP78" i="164"/>
  <c r="BQ133" i="164"/>
  <c r="BS133" i="164" s="1"/>
  <c r="CG133" i="164" s="1"/>
  <c r="BU133" i="164"/>
  <c r="BW133" i="164" s="1"/>
  <c r="BY133" i="164" s="1"/>
  <c r="CA133" i="164" s="1"/>
  <c r="CE133" i="164" s="1"/>
  <c r="CI133" i="164" s="1"/>
  <c r="BR410" i="164"/>
  <c r="BT410" i="164" s="1"/>
  <c r="BV410" i="164"/>
  <c r="BX410" i="164" s="1"/>
  <c r="BZ410" i="164" s="1"/>
  <c r="CB410" i="164" s="1"/>
  <c r="CF410" i="164" s="1"/>
  <c r="CJ410" i="164" s="1"/>
  <c r="BR444" i="164"/>
  <c r="BT444" i="164" s="1"/>
  <c r="BV444" i="164"/>
  <c r="BX444" i="164" s="1"/>
  <c r="BZ444" i="164" s="1"/>
  <c r="CB444" i="164" s="1"/>
  <c r="CF444" i="164" s="1"/>
  <c r="CJ444" i="164" s="1"/>
  <c r="BR372" i="164"/>
  <c r="BT372" i="164" s="1"/>
  <c r="BV372" i="164"/>
  <c r="BX372" i="164" s="1"/>
  <c r="BZ372" i="164" s="1"/>
  <c r="CB372" i="164" s="1"/>
  <c r="CF372" i="164" s="1"/>
  <c r="CJ372" i="164" s="1"/>
  <c r="BO371" i="164"/>
  <c r="AW371" i="164"/>
  <c r="BP371" i="164" s="1"/>
  <c r="BV133" i="164"/>
  <c r="BX133" i="164" s="1"/>
  <c r="BZ133" i="164" s="1"/>
  <c r="CB133" i="164" s="1"/>
  <c r="CF133" i="164" s="1"/>
  <c r="CJ133" i="164" s="1"/>
  <c r="BR133" i="164"/>
  <c r="BT133" i="164" s="1"/>
  <c r="BV446" i="164"/>
  <c r="BX446" i="164" s="1"/>
  <c r="BZ446" i="164" s="1"/>
  <c r="CB446" i="164" s="1"/>
  <c r="CF446" i="164" s="1"/>
  <c r="CJ446" i="164" s="1"/>
  <c r="BR446" i="164"/>
  <c r="BT446" i="164" s="1"/>
  <c r="BQ410" i="164"/>
  <c r="BS410" i="164" s="1"/>
  <c r="CG410" i="164" s="1"/>
  <c r="BU410" i="164"/>
  <c r="BW410" i="164" s="1"/>
  <c r="BY410" i="164" s="1"/>
  <c r="CA410" i="164" s="1"/>
  <c r="CE410" i="164" s="1"/>
  <c r="CI410" i="164" s="1"/>
  <c r="BW331" i="168"/>
  <c r="CH331" i="168" s="1"/>
  <c r="BR331" i="168"/>
  <c r="BX331" i="168" s="1"/>
  <c r="CL148" i="168"/>
  <c r="BO307" i="164"/>
  <c r="AW307" i="164"/>
  <c r="BP307" i="164" s="1"/>
  <c r="Z250" i="164"/>
  <c r="BN383" i="164"/>
  <c r="BO383" i="164" s="1"/>
  <c r="BQ446" i="164"/>
  <c r="BS446" i="164" s="1"/>
  <c r="CG446" i="164" s="1"/>
  <c r="BU446" i="164"/>
  <c r="BW446" i="164" s="1"/>
  <c r="BY446" i="164" s="1"/>
  <c r="CA446" i="164" s="1"/>
  <c r="CE446" i="164" s="1"/>
  <c r="CI446" i="164" s="1"/>
  <c r="Y41" i="164"/>
  <c r="G42" i="164"/>
  <c r="H42" i="164" s="1"/>
  <c r="P41" i="164"/>
  <c r="BR480" i="164"/>
  <c r="BT480" i="164"/>
  <c r="BV480" i="164"/>
  <c r="BX480" i="164" s="1"/>
  <c r="BZ480" i="164" s="1"/>
  <c r="CB480" i="164" s="1"/>
  <c r="CF480" i="164" s="1"/>
  <c r="CJ480" i="164" s="1"/>
  <c r="BV401" i="164"/>
  <c r="BX401" i="164" s="1"/>
  <c r="BZ401" i="164" s="1"/>
  <c r="CB401" i="164" s="1"/>
  <c r="CF401" i="164" s="1"/>
  <c r="CJ401" i="164" s="1"/>
  <c r="BR401" i="164"/>
  <c r="BT401" i="164" s="1"/>
  <c r="BV141" i="164"/>
  <c r="BX141" i="164" s="1"/>
  <c r="BZ141" i="164" s="1"/>
  <c r="CB141" i="164" s="1"/>
  <c r="CF141" i="164" s="1"/>
  <c r="CJ141" i="164" s="1"/>
  <c r="BR141" i="164"/>
  <c r="BT141" i="164" s="1"/>
  <c r="AU403" i="164"/>
  <c r="AV403" i="164"/>
  <c r="AW403" i="164" s="1"/>
  <c r="BU103" i="164"/>
  <c r="BW103" i="164" s="1"/>
  <c r="BY103" i="164" s="1"/>
  <c r="CA103" i="164" s="1"/>
  <c r="CE103" i="164" s="1"/>
  <c r="CI103" i="164" s="1"/>
  <c r="BQ103" i="164"/>
  <c r="BS103" i="164" s="1"/>
  <c r="CG103" i="164" s="1"/>
  <c r="CX41" i="164"/>
  <c r="BE41" i="164" s="1"/>
  <c r="BR266" i="164"/>
  <c r="BT266" i="164" s="1"/>
  <c r="BV266" i="164"/>
  <c r="BX266" i="164" s="1"/>
  <c r="BZ266" i="164" s="1"/>
  <c r="CB266" i="164" s="1"/>
  <c r="CF266" i="164" s="1"/>
  <c r="CJ266" i="164" s="1"/>
  <c r="AU247" i="164"/>
  <c r="AV247" i="164"/>
  <c r="AU269" i="164"/>
  <c r="AV269" i="164"/>
  <c r="AW269" i="164" s="1"/>
  <c r="AW72" i="164"/>
  <c r="BP72" i="164" s="1"/>
  <c r="BO72" i="164"/>
  <c r="BQ274" i="164"/>
  <c r="BS274" i="164" s="1"/>
  <c r="CG274" i="164" s="1"/>
  <c r="BU274" i="164"/>
  <c r="BW274" i="164" s="1"/>
  <c r="BY274" i="164" s="1"/>
  <c r="CA274" i="164" s="1"/>
  <c r="CE274" i="164" s="1"/>
  <c r="CI274" i="164" s="1"/>
  <c r="BT28" i="164"/>
  <c r="BV28" i="164"/>
  <c r="BZ28" i="164"/>
  <c r="BR28" i="164"/>
  <c r="CB28" i="164"/>
  <c r="CF28" i="164"/>
  <c r="CJ28" i="164" s="1"/>
  <c r="BX28" i="164"/>
  <c r="AD328" i="168"/>
  <c r="AG328" i="168" s="1"/>
  <c r="K425" i="164"/>
  <c r="L425" i="164" s="1"/>
  <c r="Z424" i="164"/>
  <c r="AZ424" i="164"/>
  <c r="CX424" i="164"/>
  <c r="BR411" i="164"/>
  <c r="BT411" i="164" s="1"/>
  <c r="BV411" i="164"/>
  <c r="BX411" i="164" s="1"/>
  <c r="BZ411" i="164" s="1"/>
  <c r="CB411" i="164" s="1"/>
  <c r="CF411" i="164" s="1"/>
  <c r="CJ411" i="164" s="1"/>
  <c r="AT148" i="168"/>
  <c r="BO124" i="164"/>
  <c r="BO212" i="164"/>
  <c r="BR105" i="164"/>
  <c r="BT105" i="164" s="1"/>
  <c r="BV105" i="164"/>
  <c r="BX105" i="164" s="1"/>
  <c r="BZ105" i="164" s="1"/>
  <c r="CB105" i="164" s="1"/>
  <c r="CF105" i="164" s="1"/>
  <c r="CJ105" i="164" s="1"/>
  <c r="CX338" i="164"/>
  <c r="BU455" i="164"/>
  <c r="BW455" i="164" s="1"/>
  <c r="BY455" i="164" s="1"/>
  <c r="CA455" i="164" s="1"/>
  <c r="CE455" i="164" s="1"/>
  <c r="CI455" i="164" s="1"/>
  <c r="BQ455" i="164"/>
  <c r="BS455" i="164" s="1"/>
  <c r="CG455" i="164" s="1"/>
  <c r="AU299" i="164"/>
  <c r="AV299" i="164"/>
  <c r="AW299" i="164" s="1"/>
  <c r="BP299" i="164" s="1"/>
  <c r="AW148" i="164"/>
  <c r="BP148" i="164" s="1"/>
  <c r="BO148" i="164"/>
  <c r="AW71" i="164"/>
  <c r="BP71" i="164" s="1"/>
  <c r="BO71" i="164"/>
  <c r="BO30" i="164"/>
  <c r="BN40" i="164"/>
  <c r="AT306" i="168"/>
  <c r="BO87" i="164"/>
  <c r="AW87" i="164"/>
  <c r="BP87" i="164" s="1"/>
  <c r="AA385" i="164"/>
  <c r="R385" i="164"/>
  <c r="BN239" i="164"/>
  <c r="BO239" i="164" s="1"/>
  <c r="BO122" i="164"/>
  <c r="AW122" i="164"/>
  <c r="BP122" i="164" s="1"/>
  <c r="AZ470" i="164"/>
  <c r="AA232" i="164"/>
  <c r="R232" i="164"/>
  <c r="Z225" i="164"/>
  <c r="K226" i="164"/>
  <c r="L226" i="164" s="1"/>
  <c r="BQ89" i="164"/>
  <c r="BS89" i="164" s="1"/>
  <c r="CG89" i="164" s="1"/>
  <c r="BU89" i="164"/>
  <c r="BW89" i="164" s="1"/>
  <c r="BY89" i="164" s="1"/>
  <c r="CA89" i="164" s="1"/>
  <c r="CE89" i="164" s="1"/>
  <c r="CI89" i="164" s="1"/>
  <c r="BO26" i="164"/>
  <c r="AW26" i="164"/>
  <c r="BP26" i="164" s="1"/>
  <c r="AN484" i="164"/>
  <c r="AP484" i="164" s="1"/>
  <c r="AM483" i="164"/>
  <c r="BO257" i="164"/>
  <c r="AW257" i="164"/>
  <c r="BP257" i="164" s="1"/>
  <c r="AA417" i="164"/>
  <c r="R417" i="164"/>
  <c r="BV166" i="164"/>
  <c r="BX166" i="164" s="1"/>
  <c r="BZ166" i="164" s="1"/>
  <c r="CB166" i="164" s="1"/>
  <c r="CF166" i="164" s="1"/>
  <c r="CJ166" i="164" s="1"/>
  <c r="BR166" i="164"/>
  <c r="BT166" i="164" s="1"/>
  <c r="BV306" i="164"/>
  <c r="BX306" i="164" s="1"/>
  <c r="BZ306" i="164" s="1"/>
  <c r="CB306" i="164" s="1"/>
  <c r="CF306" i="164" s="1"/>
  <c r="CJ306" i="164" s="1"/>
  <c r="BR306" i="164"/>
  <c r="BT306" i="164" s="1"/>
  <c r="AT134" i="168"/>
  <c r="AZ134" i="168" s="1"/>
  <c r="AW460" i="164"/>
  <c r="BP460" i="164" s="1"/>
  <c r="BO460" i="164"/>
  <c r="BN483" i="164"/>
  <c r="BO483" i="164" s="1"/>
  <c r="AW407" i="164"/>
  <c r="BP407" i="164" s="1"/>
  <c r="BO407" i="164"/>
  <c r="AD136" i="168"/>
  <c r="AG136" i="168" s="1"/>
  <c r="AW244" i="164"/>
  <c r="BO244" i="164"/>
  <c r="BE201" i="164"/>
  <c r="BD201" i="164"/>
  <c r="CW201" i="164" s="1"/>
  <c r="BM201" i="164"/>
  <c r="AV482" i="164"/>
  <c r="AW482" i="164" s="1"/>
  <c r="BP482" i="164" s="1"/>
  <c r="AU482" i="164"/>
  <c r="AW481" i="164"/>
  <c r="BP481" i="164" s="1"/>
  <c r="BO481" i="164"/>
  <c r="BR154" i="164"/>
  <c r="BT154" i="164" s="1"/>
  <c r="BV154" i="164"/>
  <c r="BX154" i="164" s="1"/>
  <c r="BZ154" i="164" s="1"/>
  <c r="CB154" i="164" s="1"/>
  <c r="CF154" i="164" s="1"/>
  <c r="CJ154" i="164" s="1"/>
  <c r="AU231" i="164"/>
  <c r="AV231" i="164"/>
  <c r="AW231" i="164" s="1"/>
  <c r="BP231" i="164" s="1"/>
  <c r="CJ329" i="168"/>
  <c r="CU329" i="168"/>
  <c r="CW330" i="164"/>
  <c r="K287" i="164"/>
  <c r="L287" i="164" s="1"/>
  <c r="Z286" i="164"/>
  <c r="AZ286" i="164"/>
  <c r="CX286" i="164"/>
  <c r="BQ154" i="164"/>
  <c r="BS154" i="164" s="1"/>
  <c r="CG154" i="164" s="1"/>
  <c r="BU154" i="164"/>
  <c r="BW154" i="164" s="1"/>
  <c r="BY154" i="164" s="1"/>
  <c r="CA154" i="164" s="1"/>
  <c r="CE154" i="164" s="1"/>
  <c r="CI154" i="164" s="1"/>
  <c r="AW259" i="164"/>
  <c r="BP259" i="164" s="1"/>
  <c r="BO259" i="164"/>
  <c r="AC147" i="168"/>
  <c r="BZ331" i="168"/>
  <c r="CC331" i="168"/>
  <c r="CD331" i="168"/>
  <c r="BS331" i="168"/>
  <c r="X331" i="168"/>
  <c r="Y331" i="168"/>
  <c r="AW205" i="164"/>
  <c r="BP205" i="164" s="1"/>
  <c r="BO205" i="164"/>
  <c r="BV271" i="164"/>
  <c r="BX271" i="164" s="1"/>
  <c r="BZ271" i="164" s="1"/>
  <c r="CB271" i="164" s="1"/>
  <c r="CF271" i="164" s="1"/>
  <c r="CJ271" i="164" s="1"/>
  <c r="BR271" i="164"/>
  <c r="BT271" i="164" s="1"/>
  <c r="BO69" i="164"/>
  <c r="AW69" i="164"/>
  <c r="BP69" i="164" s="1"/>
  <c r="BU439" i="164"/>
  <c r="BW439" i="164" s="1"/>
  <c r="BY439" i="164" s="1"/>
  <c r="CA439" i="164" s="1"/>
  <c r="CE439" i="164" s="1"/>
  <c r="CI439" i="164" s="1"/>
  <c r="BQ439" i="164"/>
  <c r="BS439" i="164" s="1"/>
  <c r="CG439" i="164" s="1"/>
  <c r="AD155" i="168"/>
  <c r="AG155" i="168" s="1"/>
  <c r="BD331" i="164"/>
  <c r="BM331" i="164"/>
  <c r="BE331" i="164"/>
  <c r="G330" i="168"/>
  <c r="BR63" i="164"/>
  <c r="BT63" i="164" s="1"/>
  <c r="BV63" i="164"/>
  <c r="BX63" i="164" s="1"/>
  <c r="BZ63" i="164" s="1"/>
  <c r="CB63" i="164" s="1"/>
  <c r="CF63" i="164" s="1"/>
  <c r="CJ63" i="164" s="1"/>
  <c r="BO32" i="164"/>
  <c r="AW32" i="164"/>
  <c r="BP32" i="164" s="1"/>
  <c r="BO312" i="164"/>
  <c r="AW312" i="164"/>
  <c r="BP312" i="164" s="1"/>
  <c r="BV143" i="164"/>
  <c r="BX143" i="164" s="1"/>
  <c r="BZ143" i="164" s="1"/>
  <c r="CB143" i="164" s="1"/>
  <c r="CF143" i="164" s="1"/>
  <c r="CJ143" i="164" s="1"/>
  <c r="BR143" i="164"/>
  <c r="BT143" i="164" s="1"/>
  <c r="BU413" i="164"/>
  <c r="BW413" i="164" s="1"/>
  <c r="BY413" i="164" s="1"/>
  <c r="CA413" i="164" s="1"/>
  <c r="CE413" i="164" s="1"/>
  <c r="CI413" i="164" s="1"/>
  <c r="BQ413" i="164"/>
  <c r="BS413" i="164" s="1"/>
  <c r="CG413" i="164" s="1"/>
  <c r="AW218" i="164"/>
  <c r="BP218" i="164" s="1"/>
  <c r="BO218" i="164"/>
  <c r="AW473" i="164"/>
  <c r="BP473" i="164" s="1"/>
  <c r="BO473" i="164"/>
  <c r="CX463" i="164"/>
  <c r="Z463" i="164"/>
  <c r="AZ463" i="164"/>
  <c r="BQ328" i="164"/>
  <c r="BS328" i="164" s="1"/>
  <c r="CG328" i="164" s="1"/>
  <c r="BU328" i="164"/>
  <c r="BW328" i="164" s="1"/>
  <c r="BY328" i="164" s="1"/>
  <c r="CA328" i="164" s="1"/>
  <c r="CE328" i="164" s="1"/>
  <c r="CI328" i="164" s="1"/>
  <c r="AZ249" i="164"/>
  <c r="AW419" i="164"/>
  <c r="BP419" i="164" s="1"/>
  <c r="BO419" i="164"/>
  <c r="BU137" i="164"/>
  <c r="BW137" i="164" s="1"/>
  <c r="BY137" i="164" s="1"/>
  <c r="CA137" i="164" s="1"/>
  <c r="CE137" i="164" s="1"/>
  <c r="CI137" i="164" s="1"/>
  <c r="BQ137" i="164"/>
  <c r="BS137" i="164" s="1"/>
  <c r="CG137" i="164" s="1"/>
  <c r="BT95" i="164"/>
  <c r="CF95" i="164"/>
  <c r="CJ95" i="164" s="1"/>
  <c r="BV95" i="164"/>
  <c r="BR95" i="164"/>
  <c r="BX95" i="164"/>
  <c r="BZ95" i="164"/>
  <c r="CB95" i="164"/>
  <c r="BE206" i="164"/>
  <c r="BM206" i="164"/>
  <c r="BD206" i="164"/>
  <c r="CW206" i="164" s="1"/>
  <c r="CX249" i="164"/>
  <c r="BV137" i="164"/>
  <c r="BX137" i="164" s="1"/>
  <c r="BZ137" i="164" s="1"/>
  <c r="CB137" i="164" s="1"/>
  <c r="CF137" i="164" s="1"/>
  <c r="CJ137" i="164" s="1"/>
  <c r="BR137" i="164"/>
  <c r="BT137" i="164" s="1"/>
  <c r="BO482" i="164"/>
  <c r="AV201" i="164"/>
  <c r="AW201" i="164" s="1"/>
  <c r="BQ317" i="164"/>
  <c r="BS317" i="164" s="1"/>
  <c r="CG317" i="164" s="1"/>
  <c r="BU317" i="164"/>
  <c r="BW317" i="164" s="1"/>
  <c r="BY317" i="164" s="1"/>
  <c r="CA317" i="164" s="1"/>
  <c r="CE317" i="164" s="1"/>
  <c r="CI317" i="164" s="1"/>
  <c r="BR396" i="164"/>
  <c r="BT396" i="164" s="1"/>
  <c r="BV396" i="164"/>
  <c r="BX396" i="164" s="1"/>
  <c r="BZ396" i="164" s="1"/>
  <c r="CB396" i="164" s="1"/>
  <c r="CF396" i="164" s="1"/>
  <c r="CJ396" i="164" s="1"/>
  <c r="AA485" i="164"/>
  <c r="R485" i="164"/>
  <c r="BQ467" i="164"/>
  <c r="BS467" i="164" s="1"/>
  <c r="CG467" i="164" s="1"/>
  <c r="BU467" i="164"/>
  <c r="BW467" i="164" s="1"/>
  <c r="BY467" i="164" s="1"/>
  <c r="CA467" i="164" s="1"/>
  <c r="CE467" i="164" s="1"/>
  <c r="CI467" i="164" s="1"/>
  <c r="AN452" i="164"/>
  <c r="AP452" i="164" s="1"/>
  <c r="AM451" i="164"/>
  <c r="AN376" i="164"/>
  <c r="AP376" i="164" s="1"/>
  <c r="AM375" i="164"/>
  <c r="BU333" i="164"/>
  <c r="BW333" i="164" s="1"/>
  <c r="BY333" i="164" s="1"/>
  <c r="CA333" i="164" s="1"/>
  <c r="CE333" i="164" s="1"/>
  <c r="CI333" i="164" s="1"/>
  <c r="BQ333" i="164"/>
  <c r="BS333" i="164" s="1"/>
  <c r="CG333" i="164" s="1"/>
  <c r="BU480" i="164"/>
  <c r="BW480" i="164" s="1"/>
  <c r="BY480" i="164" s="1"/>
  <c r="CA480" i="164" s="1"/>
  <c r="CE480" i="164" s="1"/>
  <c r="CI480" i="164" s="1"/>
  <c r="BQ480" i="164"/>
  <c r="BS480" i="164" s="1"/>
  <c r="CG480" i="164" s="1"/>
  <c r="BQ60" i="164"/>
  <c r="BS60" i="164" s="1"/>
  <c r="CG60" i="164" s="1"/>
  <c r="BU60" i="164"/>
  <c r="BW60" i="164" s="1"/>
  <c r="BY60" i="164" s="1"/>
  <c r="CA60" i="164" s="1"/>
  <c r="CE60" i="164" s="1"/>
  <c r="CI60" i="164" s="1"/>
  <c r="BQ141" i="164"/>
  <c r="BS141" i="164" s="1"/>
  <c r="BU141" i="164"/>
  <c r="BW141" i="164" s="1"/>
  <c r="BY141" i="164" s="1"/>
  <c r="CA141" i="164" s="1"/>
  <c r="CE141" i="164" s="1"/>
  <c r="CI141" i="164" s="1"/>
  <c r="BQ33" i="164"/>
  <c r="BS33" i="164" s="1"/>
  <c r="CG33" i="164" s="1"/>
  <c r="BU33" i="164"/>
  <c r="BW33" i="164" s="1"/>
  <c r="BY33" i="164" s="1"/>
  <c r="CA33" i="164" s="1"/>
  <c r="CE33" i="164" s="1"/>
  <c r="CI33" i="164" s="1"/>
  <c r="AN405" i="164"/>
  <c r="AM404" i="164"/>
  <c r="BQ431" i="164"/>
  <c r="BS431" i="164" s="1"/>
  <c r="CG431" i="164" s="1"/>
  <c r="BU431" i="164"/>
  <c r="BW431" i="164" s="1"/>
  <c r="BY431" i="164" s="1"/>
  <c r="CA431" i="164" s="1"/>
  <c r="CE431" i="164" s="1"/>
  <c r="CI431" i="164" s="1"/>
  <c r="AV408" i="164"/>
  <c r="AW408" i="164" s="1"/>
  <c r="BP408" i="164" s="1"/>
  <c r="AU408" i="164"/>
  <c r="BU266" i="164"/>
  <c r="BW266" i="164" s="1"/>
  <c r="BY266" i="164" s="1"/>
  <c r="CA266" i="164" s="1"/>
  <c r="CE266" i="164" s="1"/>
  <c r="CI266" i="164" s="1"/>
  <c r="BQ266" i="164"/>
  <c r="BS266" i="164" s="1"/>
  <c r="CG266" i="164" s="1"/>
  <c r="BQ230" i="164"/>
  <c r="BS230" i="164" s="1"/>
  <c r="CG230" i="164" s="1"/>
  <c r="BU230" i="164"/>
  <c r="BW230" i="164" s="1"/>
  <c r="BY230" i="164" s="1"/>
  <c r="CA230" i="164" s="1"/>
  <c r="CE230" i="164" s="1"/>
  <c r="CI230" i="164" s="1"/>
  <c r="AM169" i="164"/>
  <c r="AN170" i="164"/>
  <c r="AP170" i="164" s="1"/>
  <c r="AU268" i="164"/>
  <c r="AV268" i="164"/>
  <c r="AW268" i="164" s="1"/>
  <c r="BP268" i="164" s="1"/>
  <c r="BU314" i="164"/>
  <c r="BW314" i="164" s="1"/>
  <c r="BY314" i="164" s="1"/>
  <c r="CA314" i="164" s="1"/>
  <c r="CE314" i="164" s="1"/>
  <c r="CI314" i="164" s="1"/>
  <c r="BQ314" i="164"/>
  <c r="BS314" i="164" s="1"/>
  <c r="CG314" i="164" s="1"/>
  <c r="BQ176" i="164"/>
  <c r="BS176" i="164" s="1"/>
  <c r="CG176" i="164" s="1"/>
  <c r="BU176" i="164"/>
  <c r="BW176" i="164" s="1"/>
  <c r="BY176" i="164" s="1"/>
  <c r="CA176" i="164" s="1"/>
  <c r="CE176" i="164" s="1"/>
  <c r="CI176" i="164" s="1"/>
  <c r="BN79" i="164"/>
  <c r="BO79" i="164" s="1"/>
  <c r="BP117" i="164"/>
  <c r="CR305" i="168"/>
  <c r="CT305" i="168" s="1"/>
  <c r="Y127" i="164"/>
  <c r="P127" i="164"/>
  <c r="G109" i="164"/>
  <c r="H109" i="164" s="1"/>
  <c r="CX109" i="164" s="1"/>
  <c r="BD233" i="164"/>
  <c r="CW233" i="164" s="1"/>
  <c r="BE233" i="164"/>
  <c r="BM233" i="164"/>
  <c r="BF328" i="168"/>
  <c r="CA328" i="168"/>
  <c r="W328" i="168" s="1"/>
  <c r="BE328" i="168"/>
  <c r="AP328" i="168"/>
  <c r="AT328" i="168" s="1"/>
  <c r="BD328" i="168"/>
  <c r="BH328" i="168" s="1"/>
  <c r="BG328" i="168"/>
  <c r="BO381" i="164"/>
  <c r="AW381" i="164"/>
  <c r="BP381" i="164" s="1"/>
  <c r="BU105" i="164"/>
  <c r="BW105" i="164" s="1"/>
  <c r="BY105" i="164" s="1"/>
  <c r="CA105" i="164" s="1"/>
  <c r="CE105" i="164" s="1"/>
  <c r="CI105" i="164" s="1"/>
  <c r="BQ105" i="164"/>
  <c r="BS105" i="164" s="1"/>
  <c r="CG105" i="164" s="1"/>
  <c r="AA82" i="164"/>
  <c r="R82" i="164"/>
  <c r="AM300" i="164"/>
  <c r="AN301" i="164"/>
  <c r="AP301" i="164" s="1"/>
  <c r="BN469" i="164"/>
  <c r="AW276" i="164"/>
  <c r="BP276" i="164" s="1"/>
  <c r="BO276" i="164"/>
  <c r="BM184" i="164"/>
  <c r="BD184" i="164"/>
  <c r="CW184" i="164" s="1"/>
  <c r="BE184" i="164"/>
  <c r="BN403" i="164"/>
  <c r="BO403" i="164" s="1"/>
  <c r="AI305" i="168"/>
  <c r="AZ305" i="168"/>
  <c r="AW305" i="168"/>
  <c r="BE484" i="164"/>
  <c r="BD484" i="164"/>
  <c r="CW484" i="164" s="1"/>
  <c r="BM484" i="164"/>
  <c r="AD238" i="168"/>
  <c r="AG238" i="168" s="1"/>
  <c r="CX470" i="164"/>
  <c r="G234" i="164"/>
  <c r="H234" i="164" s="1"/>
  <c r="CX234" i="164" s="1"/>
  <c r="G255" i="164"/>
  <c r="H255" i="164" s="1"/>
  <c r="AZ255" i="164" s="1"/>
  <c r="Y233" i="164"/>
  <c r="P233" i="164"/>
  <c r="BU461" i="164"/>
  <c r="BW461" i="164" s="1"/>
  <c r="BY461" i="164" s="1"/>
  <c r="CA461" i="164" s="1"/>
  <c r="CE461" i="164" s="1"/>
  <c r="CI461" i="164" s="1"/>
  <c r="BQ461" i="164"/>
  <c r="BS461" i="164" s="1"/>
  <c r="CG461" i="164" s="1"/>
  <c r="BQ429" i="164"/>
  <c r="BS429" i="164" s="1"/>
  <c r="CG429" i="164" s="1"/>
  <c r="BU429" i="164"/>
  <c r="BW429" i="164" s="1"/>
  <c r="BY429" i="164" s="1"/>
  <c r="CA429" i="164" s="1"/>
  <c r="CE429" i="164" s="1"/>
  <c r="CI429" i="164" s="1"/>
  <c r="AW136" i="168"/>
  <c r="AZ136" i="168"/>
  <c r="BC136" i="168" s="1"/>
  <c r="AI136" i="168"/>
  <c r="BZ380" i="164"/>
  <c r="CB380" i="164"/>
  <c r="CF380" i="164"/>
  <c r="CJ380" i="164" s="1"/>
  <c r="BT380" i="164"/>
  <c r="BV380" i="164"/>
  <c r="BR380" i="164"/>
  <c r="BX380" i="164"/>
  <c r="BU402" i="164"/>
  <c r="BW402" i="164" s="1"/>
  <c r="BY402" i="164" s="1"/>
  <c r="CA402" i="164" s="1"/>
  <c r="CE402" i="164" s="1"/>
  <c r="CI402" i="164" s="1"/>
  <c r="BQ402" i="164"/>
  <c r="BS402" i="164" s="1"/>
  <c r="CG402" i="164" s="1"/>
  <c r="BN169" i="164"/>
  <c r="BO169" i="164" s="1"/>
  <c r="BO309" i="164"/>
  <c r="AW309" i="164"/>
  <c r="BP309" i="164" s="1"/>
  <c r="AN233" i="164"/>
  <c r="AP233" i="164" s="1"/>
  <c r="AM232" i="164"/>
  <c r="G137" i="169"/>
  <c r="G138" i="169"/>
  <c r="BU183" i="164"/>
  <c r="BW183" i="164" s="1"/>
  <c r="BY183" i="164" s="1"/>
  <c r="CA183" i="164" s="1"/>
  <c r="CE183" i="164" s="1"/>
  <c r="CI183" i="164" s="1"/>
  <c r="BQ183" i="164"/>
  <c r="BS183" i="164" s="1"/>
  <c r="CG183" i="164" s="1"/>
  <c r="AW293" i="164"/>
  <c r="BP293" i="164" s="1"/>
  <c r="BO293" i="164"/>
  <c r="BR264" i="164"/>
  <c r="BT264" i="164" s="1"/>
  <c r="BV264" i="164"/>
  <c r="BX264" i="164" s="1"/>
  <c r="BZ264" i="164" s="1"/>
  <c r="CB264" i="164" s="1"/>
  <c r="CF264" i="164" s="1"/>
  <c r="CJ264" i="164" s="1"/>
  <c r="BO283" i="164"/>
  <c r="BO145" i="164"/>
  <c r="AW145" i="164"/>
  <c r="BP145" i="164" s="1"/>
  <c r="AI484" i="164"/>
  <c r="CN155" i="168"/>
  <c r="CK155" i="168"/>
  <c r="CM155" i="168"/>
  <c r="CS155" i="168"/>
  <c r="CB210" i="164"/>
  <c r="BT210" i="164"/>
  <c r="BV210" i="164"/>
  <c r="BX210" i="164"/>
  <c r="BZ210" i="164"/>
  <c r="BR210" i="164"/>
  <c r="CF210" i="164"/>
  <c r="CJ210" i="164" s="1"/>
  <c r="BQ304" i="164"/>
  <c r="BS304" i="164" s="1"/>
  <c r="CG304" i="164" s="1"/>
  <c r="BU304" i="164"/>
  <c r="BW304" i="164" s="1"/>
  <c r="BY304" i="164" s="1"/>
  <c r="CA304" i="164" s="1"/>
  <c r="CE304" i="164" s="1"/>
  <c r="CI304" i="164" s="1"/>
  <c r="BU246" i="164"/>
  <c r="BW246" i="164" s="1"/>
  <c r="BY246" i="164" s="1"/>
  <c r="CA246" i="164" s="1"/>
  <c r="CE246" i="164" s="1"/>
  <c r="CI246" i="164" s="1"/>
  <c r="BQ246" i="164"/>
  <c r="BS246" i="164" s="1"/>
  <c r="CG246" i="164" s="1"/>
  <c r="AT161" i="168"/>
  <c r="AA469" i="164"/>
  <c r="R469" i="164"/>
  <c r="BQ260" i="164"/>
  <c r="BS260" i="164" s="1"/>
  <c r="CG260" i="164" s="1"/>
  <c r="BU260" i="164"/>
  <c r="BW260" i="164" s="1"/>
  <c r="BY260" i="164" s="1"/>
  <c r="CA260" i="164" s="1"/>
  <c r="CE260" i="164" s="1"/>
  <c r="CI260" i="164" s="1"/>
  <c r="BP151" i="164"/>
  <c r="BN300" i="164"/>
  <c r="BO300" i="164" s="1"/>
  <c r="BU396" i="164"/>
  <c r="BW396" i="164" s="1"/>
  <c r="BY396" i="164" s="1"/>
  <c r="CA396" i="164" s="1"/>
  <c r="CE396" i="164" s="1"/>
  <c r="CI396" i="164" s="1"/>
  <c r="BQ396" i="164"/>
  <c r="BS396" i="164" s="1"/>
  <c r="CG396" i="164" s="1"/>
  <c r="AW310" i="164"/>
  <c r="BP310" i="164" s="1"/>
  <c r="BO310" i="164"/>
  <c r="Y486" i="164"/>
  <c r="G487" i="164"/>
  <c r="H487" i="164" s="1"/>
  <c r="P486" i="164"/>
  <c r="BM224" i="164"/>
  <c r="BE224" i="164"/>
  <c r="BD224" i="164"/>
  <c r="CW224" i="164" s="1"/>
  <c r="AV450" i="164"/>
  <c r="AW450" i="164" s="1"/>
  <c r="BP450" i="164" s="1"/>
  <c r="AU450" i="164"/>
  <c r="AU374" i="164"/>
  <c r="AV374" i="164"/>
  <c r="AW374" i="164" s="1"/>
  <c r="BV333" i="164"/>
  <c r="BX333" i="164"/>
  <c r="BZ333" i="164" s="1"/>
  <c r="CB333" i="164" s="1"/>
  <c r="CF333" i="164" s="1"/>
  <c r="CJ333" i="164" s="1"/>
  <c r="BR333" i="164"/>
  <c r="BT333" i="164" s="1"/>
  <c r="BU182" i="164"/>
  <c r="BW182" i="164" s="1"/>
  <c r="BY182" i="164" s="1"/>
  <c r="CA182" i="164" s="1"/>
  <c r="CE182" i="164" s="1"/>
  <c r="CI182" i="164" s="1"/>
  <c r="BQ182" i="164"/>
  <c r="BS182" i="164" s="1"/>
  <c r="CG182" i="164" s="1"/>
  <c r="AV222" i="164"/>
  <c r="AW222" i="164" s="1"/>
  <c r="BP222" i="164" s="1"/>
  <c r="AU222" i="164"/>
  <c r="BR431" i="164"/>
  <c r="BT431" i="164" s="1"/>
  <c r="BV431" i="164"/>
  <c r="BX431" i="164" s="1"/>
  <c r="BZ431" i="164" s="1"/>
  <c r="CB431" i="164" s="1"/>
  <c r="CF431" i="164" s="1"/>
  <c r="CJ431" i="164" s="1"/>
  <c r="BD108" i="164"/>
  <c r="CW108" i="164" s="1"/>
  <c r="BE108" i="164"/>
  <c r="BM108" i="164"/>
  <c r="BM41" i="164"/>
  <c r="BQ180" i="164"/>
  <c r="BS180" i="164" s="1"/>
  <c r="CG180" i="164" s="1"/>
  <c r="BU180" i="164"/>
  <c r="BW180" i="164" s="1"/>
  <c r="BY180" i="164" s="1"/>
  <c r="CA180" i="164" s="1"/>
  <c r="CE180" i="164" s="1"/>
  <c r="CI180" i="164" s="1"/>
  <c r="AB163" i="164"/>
  <c r="AI163" i="164" s="1"/>
  <c r="CR327" i="168"/>
  <c r="CT327" i="168" s="1"/>
  <c r="AU168" i="164"/>
  <c r="AV168" i="164"/>
  <c r="AW168" i="164" s="1"/>
  <c r="BP168" i="164" s="1"/>
  <c r="BO389" i="164"/>
  <c r="AW389" i="164"/>
  <c r="BP389" i="164" s="1"/>
  <c r="BZ228" i="168"/>
  <c r="BU228" i="168"/>
  <c r="AS228" i="168"/>
  <c r="AT228" i="168" s="1"/>
  <c r="CD228" i="168"/>
  <c r="AU228" i="168"/>
  <c r="BS228" i="168"/>
  <c r="CC228" i="168"/>
  <c r="Y228" i="168"/>
  <c r="X228" i="168"/>
  <c r="BY228" i="168"/>
  <c r="BO102" i="164"/>
  <c r="AW102" i="164"/>
  <c r="BP102" i="164" s="1"/>
  <c r="AU330" i="164"/>
  <c r="AV330" i="164"/>
  <c r="AW330" i="164" s="1"/>
  <c r="BR314" i="164"/>
  <c r="BT314" i="164" s="1"/>
  <c r="BV314" i="164"/>
  <c r="BX314" i="164" s="1"/>
  <c r="BZ314" i="164" s="1"/>
  <c r="CB314" i="164" s="1"/>
  <c r="CF314" i="164" s="1"/>
  <c r="CJ314" i="164" s="1"/>
  <c r="BV176" i="164"/>
  <c r="BX176" i="164" s="1"/>
  <c r="BZ176" i="164" s="1"/>
  <c r="CB176" i="164" s="1"/>
  <c r="CF176" i="164" s="1"/>
  <c r="CJ176" i="164" s="1"/>
  <c r="BR176" i="164"/>
  <c r="BT176" i="164" s="1"/>
  <c r="BN284" i="164"/>
  <c r="BO284" i="164" s="1"/>
  <c r="BU414" i="164"/>
  <c r="BW414" i="164" s="1"/>
  <c r="BY414" i="164" s="1"/>
  <c r="CA414" i="164" s="1"/>
  <c r="CE414" i="164" s="1"/>
  <c r="CI414" i="164" s="1"/>
  <c r="BQ414" i="164"/>
  <c r="BS414" i="164" s="1"/>
  <c r="CG414" i="164" s="1"/>
  <c r="AA302" i="164"/>
  <c r="R302" i="164"/>
  <c r="AW329" i="164"/>
  <c r="BP329" i="164" s="1"/>
  <c r="BO329" i="164"/>
  <c r="BO449" i="164"/>
  <c r="AW449" i="164"/>
  <c r="BP449" i="164" s="1"/>
  <c r="BV204" i="164"/>
  <c r="BX204" i="164" s="1"/>
  <c r="BZ204" i="164" s="1"/>
  <c r="CB204" i="164" s="1"/>
  <c r="CF204" i="164" s="1"/>
  <c r="CJ204" i="164" s="1"/>
  <c r="BR204" i="164"/>
  <c r="BT204" i="164" s="1"/>
  <c r="BQ433" i="164"/>
  <c r="BS433" i="164" s="1"/>
  <c r="CG433" i="164" s="1"/>
  <c r="BU433" i="164"/>
  <c r="BW433" i="164" s="1"/>
  <c r="BY433" i="164" s="1"/>
  <c r="CA433" i="164" s="1"/>
  <c r="CE433" i="164" s="1"/>
  <c r="CI433" i="164" s="1"/>
  <c r="CA237" i="168"/>
  <c r="W237" i="168" s="1"/>
  <c r="BF237" i="168"/>
  <c r="BG237" i="168"/>
  <c r="AP237" i="168"/>
  <c r="BR178" i="164"/>
  <c r="DP331" i="168"/>
  <c r="DQ331" i="168"/>
  <c r="AW107" i="164"/>
  <c r="BO44" i="164"/>
  <c r="AW44" i="164"/>
  <c r="BP44" i="164" s="1"/>
  <c r="AW208" i="164"/>
  <c r="BP208" i="164" s="1"/>
  <c r="BO208" i="164"/>
  <c r="BO194" i="164"/>
  <c r="AW194" i="164"/>
  <c r="BP194" i="164" s="1"/>
  <c r="BO241" i="164"/>
  <c r="AW241" i="164"/>
  <c r="BP241" i="164" s="1"/>
  <c r="AV184" i="164"/>
  <c r="BV228" i="168"/>
  <c r="CG228" i="168" s="1"/>
  <c r="BO231" i="164"/>
  <c r="CU238" i="168"/>
  <c r="CJ238" i="168"/>
  <c r="CW239" i="164"/>
  <c r="BE155" i="168"/>
  <c r="CA155" i="168"/>
  <c r="W155" i="168" s="1"/>
  <c r="BF155" i="168"/>
  <c r="BG155" i="168"/>
  <c r="BD155" i="168"/>
  <c r="AP155" i="168"/>
  <c r="Z485" i="164"/>
  <c r="CX485" i="164"/>
  <c r="AZ485" i="164"/>
  <c r="K486" i="164"/>
  <c r="L486" i="164" s="1"/>
  <c r="AU474" i="164"/>
  <c r="AV474" i="164"/>
  <c r="AW474" i="164" s="1"/>
  <c r="BP474" i="164" s="1"/>
  <c r="AW298" i="164"/>
  <c r="BP298" i="164" s="1"/>
  <c r="BO298" i="164"/>
  <c r="CS162" i="168"/>
  <c r="CN162" i="168"/>
  <c r="CK162" i="168"/>
  <c r="CQ162" i="168" s="1"/>
  <c r="CM162" i="168"/>
  <c r="CP162" i="168" s="1"/>
  <c r="AW448" i="164"/>
  <c r="BP448" i="164" s="1"/>
  <c r="BO448" i="164"/>
  <c r="BM248" i="164"/>
  <c r="BD248" i="164"/>
  <c r="CW248" i="164" s="1"/>
  <c r="BE248" i="164"/>
  <c r="BU132" i="164"/>
  <c r="BW132" i="164" s="1"/>
  <c r="BY132" i="164" s="1"/>
  <c r="CA132" i="164" s="1"/>
  <c r="CE132" i="164" s="1"/>
  <c r="CI132" i="164" s="1"/>
  <c r="BQ132" i="164"/>
  <c r="BS132" i="164" s="1"/>
  <c r="CG132" i="164" s="1"/>
  <c r="BU162" i="164"/>
  <c r="BW162" i="164" s="1"/>
  <c r="BY162" i="164" s="1"/>
  <c r="CA162" i="164" s="1"/>
  <c r="CE162" i="164" s="1"/>
  <c r="CI162" i="164" s="1"/>
  <c r="BQ162" i="164"/>
  <c r="BS162" i="164" s="1"/>
  <c r="CG162" i="164" s="1"/>
  <c r="Y83" i="164"/>
  <c r="G322" i="164"/>
  <c r="H322" i="164" s="1"/>
  <c r="P83" i="164"/>
  <c r="BD50" i="164"/>
  <c r="CW50" i="164" s="1"/>
  <c r="BM50" i="164"/>
  <c r="BE50" i="164"/>
  <c r="AW193" i="164"/>
  <c r="BP193" i="164" s="1"/>
  <c r="BO193" i="164"/>
  <c r="BQ394" i="164"/>
  <c r="BS394" i="164" s="1"/>
  <c r="CG394" i="164" s="1"/>
  <c r="BU394" i="164"/>
  <c r="BW394" i="164" s="1"/>
  <c r="BY394" i="164" s="1"/>
  <c r="CA394" i="164" s="1"/>
  <c r="CE394" i="164" s="1"/>
  <c r="CI394" i="164" s="1"/>
  <c r="AF313" i="168"/>
  <c r="BO450" i="164"/>
  <c r="BU264" i="164"/>
  <c r="BW264" i="164" s="1"/>
  <c r="BY264" i="164" s="1"/>
  <c r="CA264" i="164" s="1"/>
  <c r="CE264" i="164" s="1"/>
  <c r="CI264" i="164" s="1"/>
  <c r="BQ264" i="164"/>
  <c r="BS264" i="164" s="1"/>
  <c r="CG264" i="164" s="1"/>
  <c r="R424" i="164"/>
  <c r="AA424" i="164"/>
  <c r="BU432" i="164"/>
  <c r="BW432" i="164" s="1"/>
  <c r="BY432" i="164" s="1"/>
  <c r="CA432" i="164" s="1"/>
  <c r="CE432" i="164" s="1"/>
  <c r="CI432" i="164" s="1"/>
  <c r="BQ432" i="164"/>
  <c r="BS432" i="164" s="1"/>
  <c r="CG432" i="164" s="1"/>
  <c r="AU416" i="164"/>
  <c r="AV416" i="164"/>
  <c r="AW416" i="164" s="1"/>
  <c r="AD305" i="168"/>
  <c r="AG305" i="168" s="1"/>
  <c r="CR161" i="168"/>
  <c r="CT161" i="168" s="1"/>
  <c r="AV237" i="164"/>
  <c r="AW237" i="164" s="1"/>
  <c r="BP237" i="164" s="1"/>
  <c r="AU237" i="164"/>
  <c r="AV30" i="164"/>
  <c r="AW30" i="164" s="1"/>
  <c r="BP30" i="164" s="1"/>
  <c r="AU30" i="164"/>
  <c r="BQ478" i="164"/>
  <c r="BS478" i="164" s="1"/>
  <c r="CG478" i="164" s="1"/>
  <c r="BU478" i="164"/>
  <c r="BW478" i="164" s="1"/>
  <c r="BY478" i="164" s="1"/>
  <c r="CA478" i="164" s="1"/>
  <c r="CE478" i="164" s="1"/>
  <c r="CI478" i="164" s="1"/>
  <c r="BU400" i="164"/>
  <c r="BW400" i="164" s="1"/>
  <c r="BY400" i="164" s="1"/>
  <c r="CA400" i="164" s="1"/>
  <c r="CE400" i="164" s="1"/>
  <c r="CI400" i="164" s="1"/>
  <c r="BQ400" i="164"/>
  <c r="BS400" i="164" s="1"/>
  <c r="CG400" i="164" s="1"/>
  <c r="AW22" i="164"/>
  <c r="BO22" i="164"/>
  <c r="CR134" i="168"/>
  <c r="AW221" i="164"/>
  <c r="BP221" i="164" s="1"/>
  <c r="BO221" i="164"/>
  <c r="CX202" i="164"/>
  <c r="Z202" i="164"/>
  <c r="AZ202" i="164"/>
  <c r="AV202" i="164"/>
  <c r="BO220" i="164"/>
  <c r="AW220" i="164"/>
  <c r="BP220" i="164" s="1"/>
  <c r="BZ260" i="164"/>
  <c r="CB260" i="164"/>
  <c r="BR260" i="164"/>
  <c r="BT260" i="164"/>
  <c r="CF260" i="164"/>
  <c r="CJ260" i="164" s="1"/>
  <c r="BV260" i="164"/>
  <c r="BX260" i="164"/>
  <c r="BQ151" i="164"/>
  <c r="BS151" i="164" s="1"/>
  <c r="CG151" i="164" s="1"/>
  <c r="BU151" i="164"/>
  <c r="BW151" i="164" s="1"/>
  <c r="BY151" i="164" s="1"/>
  <c r="CA151" i="164" s="1"/>
  <c r="CE151" i="164" s="1"/>
  <c r="CI151" i="164" s="1"/>
  <c r="BQ441" i="164"/>
  <c r="BS441" i="164" s="1"/>
  <c r="CG441" i="164" s="1"/>
  <c r="BU441" i="164"/>
  <c r="BW441" i="164" s="1"/>
  <c r="BY441" i="164" s="1"/>
  <c r="CA441" i="164" s="1"/>
  <c r="CE441" i="164" s="1"/>
  <c r="CI441" i="164" s="1"/>
  <c r="BD301" i="164"/>
  <c r="CW301" i="164" s="1"/>
  <c r="BE301" i="164"/>
  <c r="BM301" i="164"/>
  <c r="BR89" i="164"/>
  <c r="BT89" i="164"/>
  <c r="BV89" i="164"/>
  <c r="BX89" i="164" s="1"/>
  <c r="BZ89" i="164" s="1"/>
  <c r="CB89" i="164" s="1"/>
  <c r="CF89" i="164" s="1"/>
  <c r="CJ89" i="164" s="1"/>
  <c r="BQ420" i="164"/>
  <c r="BS420" i="164" s="1"/>
  <c r="CG420" i="164" s="1"/>
  <c r="BU420" i="164"/>
  <c r="BW420" i="164" s="1"/>
  <c r="BY420" i="164" s="1"/>
  <c r="CA420" i="164" s="1"/>
  <c r="CE420" i="164" s="1"/>
  <c r="CI420" i="164" s="1"/>
  <c r="BE214" i="164"/>
  <c r="BM214" i="164"/>
  <c r="BD214" i="164"/>
  <c r="CW214" i="164" s="1"/>
  <c r="BW329" i="168"/>
  <c r="CH329" i="168" s="1"/>
  <c r="BR329" i="168"/>
  <c r="BX329" i="168" s="1"/>
  <c r="AZ321" i="164"/>
  <c r="Z321" i="164"/>
  <c r="CX321" i="164"/>
  <c r="BN49" i="164"/>
  <c r="BO49" i="164" s="1"/>
  <c r="BU466" i="164"/>
  <c r="BW466" i="164" s="1"/>
  <c r="BY466" i="164" s="1"/>
  <c r="CA466" i="164" s="1"/>
  <c r="CE466" i="164" s="1"/>
  <c r="CI466" i="164" s="1"/>
  <c r="BQ466" i="164"/>
  <c r="BS466" i="164" s="1"/>
  <c r="CG466" i="164" s="1"/>
  <c r="BV182" i="164"/>
  <c r="BX182" i="164" s="1"/>
  <c r="BZ182" i="164" s="1"/>
  <c r="CB182" i="164" s="1"/>
  <c r="CF182" i="164" s="1"/>
  <c r="CJ182" i="164" s="1"/>
  <c r="BR182" i="164"/>
  <c r="BT182" i="164" s="1"/>
  <c r="BQ75" i="164"/>
  <c r="BS75" i="164" s="1"/>
  <c r="CG75" i="164" s="1"/>
  <c r="BU75" i="164"/>
  <c r="BW75" i="164" s="1"/>
  <c r="BY75" i="164" s="1"/>
  <c r="CA75" i="164" s="1"/>
  <c r="CE75" i="164" s="1"/>
  <c r="CI75" i="164" s="1"/>
  <c r="AN224" i="164"/>
  <c r="AP224" i="164" s="1"/>
  <c r="AM223" i="164"/>
  <c r="Z109" i="164"/>
  <c r="K115" i="164"/>
  <c r="L115" i="164" s="1"/>
  <c r="K110" i="164"/>
  <c r="L110" i="164" s="1"/>
  <c r="AZ109" i="164"/>
  <c r="BX180" i="164"/>
  <c r="CF180" i="164"/>
  <c r="CJ180" i="164" s="1"/>
  <c r="BT180" i="164"/>
  <c r="BZ180" i="164"/>
  <c r="CB180" i="164"/>
  <c r="BR180" i="164"/>
  <c r="BV180" i="164"/>
  <c r="AW68" i="164"/>
  <c r="BP68" i="164" s="1"/>
  <c r="BO68" i="164"/>
  <c r="BO168" i="164"/>
  <c r="BO245" i="164"/>
  <c r="AW245" i="164"/>
  <c r="AN332" i="164"/>
  <c r="AP332" i="164" s="1"/>
  <c r="AM332" i="164" s="1"/>
  <c r="AU332" i="164" s="1"/>
  <c r="AM331" i="164"/>
  <c r="BU166" i="164"/>
  <c r="BW166" i="164" s="1"/>
  <c r="BY166" i="164" s="1"/>
  <c r="CA166" i="164" s="1"/>
  <c r="CE166" i="164" s="1"/>
  <c r="CI166" i="164" s="1"/>
  <c r="BQ166" i="164"/>
  <c r="BS166" i="164" s="1"/>
  <c r="CG166" i="164" s="1"/>
  <c r="AZ171" i="164"/>
  <c r="Z171" i="164"/>
  <c r="CX171" i="164"/>
  <c r="K172" i="164"/>
  <c r="L172" i="164" s="1"/>
  <c r="AG313" i="168"/>
  <c r="AD313" i="168"/>
  <c r="BQ306" i="164"/>
  <c r="BS306" i="164" s="1"/>
  <c r="BU306" i="164"/>
  <c r="BW306" i="164" s="1"/>
  <c r="BY306" i="164" s="1"/>
  <c r="CA306" i="164" s="1"/>
  <c r="CE306" i="164" s="1"/>
  <c r="CI306" i="164" s="1"/>
  <c r="BN451" i="164"/>
  <c r="BO451" i="164" s="1"/>
  <c r="AA50" i="164"/>
  <c r="R50" i="164"/>
  <c r="AI148" i="168"/>
  <c r="BR393" i="164"/>
  <c r="BT393" i="164" s="1"/>
  <c r="BV393" i="164"/>
  <c r="BX393" i="164" s="1"/>
  <c r="BZ393" i="164" s="1"/>
  <c r="CB393" i="164" s="1"/>
  <c r="CF393" i="164" s="1"/>
  <c r="CJ393" i="164" s="1"/>
  <c r="Z234" i="164"/>
  <c r="BO462" i="164"/>
  <c r="AW442" i="164"/>
  <c r="BP442" i="164" s="1"/>
  <c r="BO442" i="164"/>
  <c r="BQ204" i="164"/>
  <c r="BS204" i="164" s="1"/>
  <c r="CG204" i="164" s="1"/>
  <c r="BU204" i="164"/>
  <c r="BW204" i="164" s="1"/>
  <c r="BY204" i="164" s="1"/>
  <c r="CA204" i="164" s="1"/>
  <c r="CE204" i="164" s="1"/>
  <c r="CI204" i="164" s="1"/>
  <c r="AZ338" i="164"/>
  <c r="AA202" i="164"/>
  <c r="R202" i="164"/>
  <c r="BQ178" i="164"/>
  <c r="BS178" i="164" s="1"/>
  <c r="CG178" i="164" s="1"/>
  <c r="BU178" i="164"/>
  <c r="BW178" i="164" s="1"/>
  <c r="BY178" i="164" s="1"/>
  <c r="CA178" i="164" s="1"/>
  <c r="CE178" i="164" s="1"/>
  <c r="CI178" i="164" s="1"/>
  <c r="BQ99" i="164"/>
  <c r="BS99" i="164" s="1"/>
  <c r="CG99" i="164" s="1"/>
  <c r="BU99" i="164"/>
  <c r="BW99" i="164" s="1"/>
  <c r="BY99" i="164" s="1"/>
  <c r="CA99" i="164" s="1"/>
  <c r="CE99" i="164" s="1"/>
  <c r="CI99" i="164" s="1"/>
  <c r="AD148" i="168"/>
  <c r="AG148" i="168" s="1"/>
  <c r="CX185" i="164"/>
  <c r="K186" i="164"/>
  <c r="L186" i="164" s="1"/>
  <c r="Z185" i="164"/>
  <c r="AV185" i="164"/>
  <c r="AZ185" i="164"/>
  <c r="AU327" i="168"/>
  <c r="BU327" i="168"/>
  <c r="BR228" i="168"/>
  <c r="BX228" i="168" s="1"/>
  <c r="BW228" i="168"/>
  <c r="CH228" i="168" s="1"/>
  <c r="AM422" i="164"/>
  <c r="AN423" i="164"/>
  <c r="AP423" i="164" s="1"/>
  <c r="CX51" i="164"/>
  <c r="Z51" i="164"/>
  <c r="AZ51" i="164"/>
  <c r="K52" i="164"/>
  <c r="L52" i="164" s="1"/>
  <c r="BO58" i="164"/>
  <c r="AW58" i="164"/>
  <c r="AN50" i="164"/>
  <c r="AP50" i="164" s="1"/>
  <c r="AM49" i="164"/>
  <c r="BQ436" i="164" l="1"/>
  <c r="BS436" i="164" s="1"/>
  <c r="CG436" i="164" s="1"/>
  <c r="BQ474" i="164"/>
  <c r="BS474" i="164" s="1"/>
  <c r="CG474" i="164" s="1"/>
  <c r="BU242" i="164"/>
  <c r="BW242" i="164" s="1"/>
  <c r="BY242" i="164" s="1"/>
  <c r="CA242" i="164" s="1"/>
  <c r="CE242" i="164" s="1"/>
  <c r="CI242" i="164" s="1"/>
  <c r="BV211" i="164"/>
  <c r="BX211" i="164" s="1"/>
  <c r="BZ211" i="164" s="1"/>
  <c r="CB211" i="164" s="1"/>
  <c r="CF211" i="164" s="1"/>
  <c r="CJ211" i="164" s="1"/>
  <c r="AW108" i="164"/>
  <c r="BQ411" i="164"/>
  <c r="BS411" i="164" s="1"/>
  <c r="CG411" i="164" s="1"/>
  <c r="AB248" i="164"/>
  <c r="AI248" i="164" s="1"/>
  <c r="AB404" i="164"/>
  <c r="AI404" i="164" s="1"/>
  <c r="BT178" i="164"/>
  <c r="BV465" i="164"/>
  <c r="BX465" i="164" s="1"/>
  <c r="BZ465" i="164" s="1"/>
  <c r="CB465" i="164" s="1"/>
  <c r="CF465" i="164" s="1"/>
  <c r="CJ465" i="164" s="1"/>
  <c r="BQ117" i="164"/>
  <c r="BS117" i="164" s="1"/>
  <c r="CG117" i="164" s="1"/>
  <c r="BQ297" i="164"/>
  <c r="BS297" i="164" s="1"/>
  <c r="CG297" i="164" s="1"/>
  <c r="BR281" i="164"/>
  <c r="BT281" i="164" s="1"/>
  <c r="BQ174" i="164"/>
  <c r="BS174" i="164" s="1"/>
  <c r="CG174" i="164" s="1"/>
  <c r="BV178" i="164"/>
  <c r="BX178" i="164" s="1"/>
  <c r="BZ178" i="164" s="1"/>
  <c r="CB178" i="164" s="1"/>
  <c r="CF178" i="164" s="1"/>
  <c r="CJ178" i="164" s="1"/>
  <c r="BQ401" i="164"/>
  <c r="BS401" i="164" s="1"/>
  <c r="CG401" i="164" s="1"/>
  <c r="BR317" i="164"/>
  <c r="BT317" i="164" s="1"/>
  <c r="CC317" i="164" s="1"/>
  <c r="CD317" i="164" s="1"/>
  <c r="BT420" i="164"/>
  <c r="CH420" i="164" s="1"/>
  <c r="BQ100" i="164"/>
  <c r="BS100" i="164" s="1"/>
  <c r="CG100" i="164" s="1"/>
  <c r="BR432" i="164"/>
  <c r="BT432" i="164" s="1"/>
  <c r="CC432" i="164" s="1"/>
  <c r="CD432" i="164" s="1"/>
  <c r="BU156" i="164"/>
  <c r="BW156" i="164" s="1"/>
  <c r="BY156" i="164" s="1"/>
  <c r="CA156" i="164" s="1"/>
  <c r="CE156" i="164" s="1"/>
  <c r="CI156" i="164" s="1"/>
  <c r="BQ159" i="164"/>
  <c r="BS159" i="164" s="1"/>
  <c r="CG159" i="164" s="1"/>
  <c r="BQ64" i="164"/>
  <c r="BS64" i="164" s="1"/>
  <c r="CG64" i="164" s="1"/>
  <c r="CF420" i="164"/>
  <c r="CJ420" i="164" s="1"/>
  <c r="BR420" i="164"/>
  <c r="BV33" i="164"/>
  <c r="BX33" i="164" s="1"/>
  <c r="BZ33" i="164" s="1"/>
  <c r="CB33" i="164" s="1"/>
  <c r="CF33" i="164" s="1"/>
  <c r="CJ33" i="164" s="1"/>
  <c r="BU421" i="164"/>
  <c r="BW421" i="164" s="1"/>
  <c r="BY421" i="164" s="1"/>
  <c r="CA421" i="164" s="1"/>
  <c r="CE421" i="164" s="1"/>
  <c r="CI421" i="164" s="1"/>
  <c r="CB420" i="164"/>
  <c r="BZ197" i="164"/>
  <c r="BQ382" i="164"/>
  <c r="BS382" i="164" s="1"/>
  <c r="CG382" i="164" s="1"/>
  <c r="CB197" i="164"/>
  <c r="BX197" i="164"/>
  <c r="BV197" i="164"/>
  <c r="BT197" i="164"/>
  <c r="AR197" i="164" s="1"/>
  <c r="AS197" i="164" s="1"/>
  <c r="AT197" i="164" s="1"/>
  <c r="CF197" i="164"/>
  <c r="CJ197" i="164" s="1"/>
  <c r="BQ146" i="164"/>
  <c r="BS146" i="164" s="1"/>
  <c r="CG146" i="164" s="1"/>
  <c r="BQ415" i="164"/>
  <c r="BS415" i="164" s="1"/>
  <c r="CG415" i="164" s="1"/>
  <c r="BV414" i="164"/>
  <c r="BX414" i="164" s="1"/>
  <c r="BZ414" i="164" s="1"/>
  <c r="CB414" i="164" s="1"/>
  <c r="CF414" i="164" s="1"/>
  <c r="CJ414" i="164" s="1"/>
  <c r="BZ103" i="164"/>
  <c r="BX103" i="164"/>
  <c r="BZ420" i="164"/>
  <c r="BQ130" i="164"/>
  <c r="BS130" i="164" s="1"/>
  <c r="CG130" i="164" s="1"/>
  <c r="BX420" i="164"/>
  <c r="CF103" i="164"/>
  <c r="CJ103" i="164" s="1"/>
  <c r="BV103" i="164"/>
  <c r="BR103" i="164"/>
  <c r="BT103" i="164"/>
  <c r="CH103" i="164" s="1"/>
  <c r="AW247" i="164"/>
  <c r="BP247" i="164" s="1"/>
  <c r="BZ247" i="164" s="1"/>
  <c r="AB50" i="164"/>
  <c r="AI50" i="164" s="1"/>
  <c r="AB337" i="164"/>
  <c r="AI337" i="164" s="1"/>
  <c r="BO337" i="164" s="1"/>
  <c r="AB170" i="164"/>
  <c r="AI170" i="164" s="1"/>
  <c r="AB232" i="164"/>
  <c r="AI232" i="164" s="1"/>
  <c r="AB202" i="164"/>
  <c r="BV75" i="164"/>
  <c r="BX75" i="164" s="1"/>
  <c r="BZ75" i="164" s="1"/>
  <c r="CB75" i="164" s="1"/>
  <c r="CF75" i="164" s="1"/>
  <c r="CJ75" i="164" s="1"/>
  <c r="BV394" i="164"/>
  <c r="BX394" i="164" s="1"/>
  <c r="BZ394" i="164" s="1"/>
  <c r="CB394" i="164" s="1"/>
  <c r="CF394" i="164" s="1"/>
  <c r="CJ394" i="164" s="1"/>
  <c r="BQ373" i="164"/>
  <c r="BS373" i="164" s="1"/>
  <c r="CG373" i="164" s="1"/>
  <c r="BQ125" i="164"/>
  <c r="BS125" i="164" s="1"/>
  <c r="CG125" i="164" s="1"/>
  <c r="BR390" i="164"/>
  <c r="BT390" i="164" s="1"/>
  <c r="CH390" i="164" s="1"/>
  <c r="BR167" i="164"/>
  <c r="BT167" i="164" s="1"/>
  <c r="CH167" i="164" s="1"/>
  <c r="BU78" i="164"/>
  <c r="BW78" i="164" s="1"/>
  <c r="BY78" i="164" s="1"/>
  <c r="CA78" i="164" s="1"/>
  <c r="CE78" i="164" s="1"/>
  <c r="CI78" i="164" s="1"/>
  <c r="BU149" i="164"/>
  <c r="BW149" i="164" s="1"/>
  <c r="BY149" i="164" s="1"/>
  <c r="CA149" i="164" s="1"/>
  <c r="CE149" i="164" s="1"/>
  <c r="CI149" i="164" s="1"/>
  <c r="BV29" i="164"/>
  <c r="BX29" i="164" s="1"/>
  <c r="BZ29" i="164" s="1"/>
  <c r="CB29" i="164" s="1"/>
  <c r="CF29" i="164" s="1"/>
  <c r="CJ29" i="164" s="1"/>
  <c r="BV123" i="164"/>
  <c r="BX123" i="164" s="1"/>
  <c r="BZ123" i="164" s="1"/>
  <c r="CB123" i="164" s="1"/>
  <c r="CF123" i="164" s="1"/>
  <c r="CJ123" i="164" s="1"/>
  <c r="BV334" i="164"/>
  <c r="BX334" i="164" s="1"/>
  <c r="BZ334" i="164" s="1"/>
  <c r="CB334" i="164" s="1"/>
  <c r="CF334" i="164" s="1"/>
  <c r="CJ334" i="164" s="1"/>
  <c r="BU391" i="164"/>
  <c r="BW391" i="164" s="1"/>
  <c r="BY391" i="164" s="1"/>
  <c r="CA391" i="164" s="1"/>
  <c r="CE391" i="164" s="1"/>
  <c r="CI391" i="164" s="1"/>
  <c r="BV230" i="164"/>
  <c r="BX230" i="164" s="1"/>
  <c r="BZ230" i="164" s="1"/>
  <c r="CB230" i="164" s="1"/>
  <c r="CF230" i="164" s="1"/>
  <c r="CJ230" i="164" s="1"/>
  <c r="CU163" i="168"/>
  <c r="CN163" i="168" s="1"/>
  <c r="BQ63" i="164"/>
  <c r="BS63" i="164" s="1"/>
  <c r="CG63" i="164" s="1"/>
  <c r="CW164" i="164"/>
  <c r="BR466" i="164"/>
  <c r="BT466" i="164" s="1"/>
  <c r="AR466" i="164" s="1"/>
  <c r="AS466" i="164" s="1"/>
  <c r="AT466" i="164" s="1"/>
  <c r="BE127" i="164"/>
  <c r="BQ106" i="164"/>
  <c r="BS106" i="164" s="1"/>
  <c r="CG106" i="164" s="1"/>
  <c r="BU213" i="164"/>
  <c r="BW213" i="164" s="1"/>
  <c r="BY213" i="164" s="1"/>
  <c r="CA213" i="164" s="1"/>
  <c r="CE213" i="164" s="1"/>
  <c r="CI213" i="164" s="1"/>
  <c r="AZ250" i="164"/>
  <c r="BD250" i="164" s="1"/>
  <c r="CW250" i="164" s="1"/>
  <c r="AN337" i="164"/>
  <c r="AP337" i="164" s="1"/>
  <c r="AM337" i="164" s="1"/>
  <c r="AN338" i="164"/>
  <c r="AP338" i="164" s="1"/>
  <c r="AM336" i="164"/>
  <c r="AB469" i="164"/>
  <c r="AI469" i="164" s="1"/>
  <c r="BO469" i="164" s="1"/>
  <c r="AV335" i="164"/>
  <c r="AW335" i="164" s="1"/>
  <c r="BP335" i="164" s="1"/>
  <c r="AU335" i="164"/>
  <c r="AB302" i="164"/>
  <c r="AI302" i="164" s="1"/>
  <c r="AZ234" i="164"/>
  <c r="BM234" i="164" s="1"/>
  <c r="AB424" i="164"/>
  <c r="AI424" i="164" s="1"/>
  <c r="AB184" i="164"/>
  <c r="AI184" i="164" s="1"/>
  <c r="AW184" i="164" s="1"/>
  <c r="AB385" i="164"/>
  <c r="AB126" i="164"/>
  <c r="AI126" i="164" s="1"/>
  <c r="BO126" i="164" s="1"/>
  <c r="AB164" i="164"/>
  <c r="AI164" i="164" s="1"/>
  <c r="AW164" i="164" s="1"/>
  <c r="BP164" i="164" s="1"/>
  <c r="DQ503" i="168"/>
  <c r="E61" i="169" s="1"/>
  <c r="G61" i="169" s="1"/>
  <c r="BA305" i="168"/>
  <c r="AR305" i="168" s="1"/>
  <c r="E31" i="169"/>
  <c r="G31" i="169" s="1"/>
  <c r="E34" i="56"/>
  <c r="DP503" i="168"/>
  <c r="E60" i="169" s="1"/>
  <c r="G60" i="169" s="1"/>
  <c r="BR106" i="164"/>
  <c r="BT106" i="164" s="1"/>
  <c r="AR106" i="164" s="1"/>
  <c r="AS106" i="164" s="1"/>
  <c r="AT106" i="164" s="1"/>
  <c r="Y503" i="168"/>
  <c r="BA313" i="168"/>
  <c r="AR313" i="168" s="1"/>
  <c r="AQ313" i="168"/>
  <c r="BC313" i="168"/>
  <c r="BR183" i="164"/>
  <c r="BT183" i="164" s="1"/>
  <c r="CH183" i="164" s="1"/>
  <c r="CB382" i="164"/>
  <c r="BR373" i="164"/>
  <c r="BT373" i="164" s="1"/>
  <c r="CC373" i="164" s="1"/>
  <c r="CD373" i="164" s="1"/>
  <c r="BT382" i="164"/>
  <c r="CH382" i="164" s="1"/>
  <c r="BV64" i="164"/>
  <c r="BX64" i="164" s="1"/>
  <c r="BZ64" i="164" s="1"/>
  <c r="CB64" i="164" s="1"/>
  <c r="CF64" i="164" s="1"/>
  <c r="CJ64" i="164" s="1"/>
  <c r="AQ136" i="168"/>
  <c r="BA147" i="168"/>
  <c r="AR147" i="168" s="1"/>
  <c r="X503" i="168"/>
  <c r="BA140" i="168"/>
  <c r="AR140" i="168" s="1"/>
  <c r="BR382" i="164"/>
  <c r="BR402" i="164"/>
  <c r="BT402" i="164" s="1"/>
  <c r="CH402" i="164" s="1"/>
  <c r="BX382" i="164"/>
  <c r="BV382" i="164"/>
  <c r="CF382" i="164"/>
  <c r="CJ382" i="164" s="1"/>
  <c r="BD41" i="164"/>
  <c r="CW41" i="164" s="1"/>
  <c r="BV156" i="164"/>
  <c r="BX156" i="164" s="1"/>
  <c r="BZ156" i="164" s="1"/>
  <c r="CB156" i="164" s="1"/>
  <c r="CF156" i="164" s="1"/>
  <c r="CJ156" i="164" s="1"/>
  <c r="BP416" i="164"/>
  <c r="BV416" i="164" s="1"/>
  <c r="BX416" i="164" s="1"/>
  <c r="BZ416" i="164" s="1"/>
  <c r="CB416" i="164" s="1"/>
  <c r="CF416" i="164" s="1"/>
  <c r="CJ416" i="164" s="1"/>
  <c r="AZ148" i="168"/>
  <c r="BC148" i="168" s="1"/>
  <c r="BP330" i="164"/>
  <c r="BV330" i="164" s="1"/>
  <c r="BX330" i="164" s="1"/>
  <c r="BZ330" i="164" s="1"/>
  <c r="CB330" i="164" s="1"/>
  <c r="CF330" i="164" s="1"/>
  <c r="CJ330" i="164" s="1"/>
  <c r="BP374" i="164"/>
  <c r="BV374" i="164" s="1"/>
  <c r="BX374" i="164" s="1"/>
  <c r="BZ374" i="164" s="1"/>
  <c r="CB374" i="164" s="1"/>
  <c r="CF374" i="164" s="1"/>
  <c r="CJ374" i="164" s="1"/>
  <c r="CR306" i="168"/>
  <c r="CT306" i="168" s="1"/>
  <c r="BP107" i="164"/>
  <c r="BV107" i="164" s="1"/>
  <c r="BX107" i="164" s="1"/>
  <c r="BZ107" i="164" s="1"/>
  <c r="CB107" i="164" s="1"/>
  <c r="CF107" i="164" s="1"/>
  <c r="CJ107" i="164" s="1"/>
  <c r="AI202" i="164"/>
  <c r="AW202" i="164" s="1"/>
  <c r="BP269" i="164"/>
  <c r="BR269" i="164" s="1"/>
  <c r="BT269" i="164" s="1"/>
  <c r="BR415" i="164"/>
  <c r="BT415" i="164" s="1"/>
  <c r="CH415" i="164" s="1"/>
  <c r="AW148" i="168"/>
  <c r="BR130" i="164"/>
  <c r="BT130" i="164" s="1"/>
  <c r="CC130" i="164" s="1"/>
  <c r="CD130" i="164" s="1"/>
  <c r="AI385" i="164"/>
  <c r="BP403" i="164"/>
  <c r="BR403" i="164" s="1"/>
  <c r="BT403" i="164" s="1"/>
  <c r="BP437" i="164"/>
  <c r="BR437" i="164" s="1"/>
  <c r="BT437" i="164" s="1"/>
  <c r="BP383" i="164"/>
  <c r="CF383" i="164" s="1"/>
  <c r="CJ383" i="164" s="1"/>
  <c r="BQ300" i="164"/>
  <c r="BS300" i="164" s="1"/>
  <c r="CG300" i="164" s="1"/>
  <c r="BU300" i="164"/>
  <c r="BW300" i="164" s="1"/>
  <c r="BY300" i="164" s="1"/>
  <c r="CA300" i="164" s="1"/>
  <c r="CE300" i="164" s="1"/>
  <c r="CI300" i="164" s="1"/>
  <c r="CH64" i="164"/>
  <c r="AR64" i="164"/>
  <c r="AS64" i="164" s="1"/>
  <c r="AT64" i="164" s="1"/>
  <c r="CH132" i="164"/>
  <c r="CC132" i="164"/>
  <c r="CD132" i="164" s="1"/>
  <c r="AR132" i="164"/>
  <c r="AS132" i="164" s="1"/>
  <c r="AT132" i="164" s="1"/>
  <c r="BV299" i="164"/>
  <c r="BX299" i="164" s="1"/>
  <c r="BZ299" i="164" s="1"/>
  <c r="CB299" i="164" s="1"/>
  <c r="CF299" i="164" s="1"/>
  <c r="CJ299" i="164" s="1"/>
  <c r="BR299" i="164"/>
  <c r="BT299" i="164" s="1"/>
  <c r="AR156" i="164"/>
  <c r="AS156" i="164" s="1"/>
  <c r="AT156" i="164" s="1"/>
  <c r="CH156" i="164"/>
  <c r="CH411" i="164"/>
  <c r="CC411" i="164"/>
  <c r="CD411" i="164" s="1"/>
  <c r="AR411" i="164"/>
  <c r="AS411" i="164" s="1"/>
  <c r="AT411" i="164" s="1"/>
  <c r="CH281" i="164"/>
  <c r="CC281" i="164"/>
  <c r="CD281" i="164" s="1"/>
  <c r="AR281" i="164"/>
  <c r="AS281" i="164" s="1"/>
  <c r="AT281" i="164" s="1"/>
  <c r="CH29" i="164"/>
  <c r="AR29" i="164"/>
  <c r="AS29" i="164" s="1"/>
  <c r="AT29" i="164" s="1"/>
  <c r="CC295" i="164"/>
  <c r="CD295" i="164" s="1"/>
  <c r="AR295" i="164"/>
  <c r="AS295" i="164" s="1"/>
  <c r="AT295" i="164" s="1"/>
  <c r="CH295" i="164"/>
  <c r="CH141" i="164"/>
  <c r="AR141" i="164"/>
  <c r="AS141" i="164" s="1"/>
  <c r="AT141" i="164" s="1"/>
  <c r="CH46" i="164"/>
  <c r="CC46" i="164"/>
  <c r="CD46" i="164" s="1"/>
  <c r="AR46" i="164"/>
  <c r="AS46" i="164" s="1"/>
  <c r="AT46" i="164" s="1"/>
  <c r="BQ239" i="164"/>
  <c r="BS239" i="164" s="1"/>
  <c r="BU239" i="164"/>
  <c r="BW239" i="164" s="1"/>
  <c r="BY239" i="164" s="1"/>
  <c r="CA239" i="164" s="1"/>
  <c r="CE239" i="164" s="1"/>
  <c r="CI239" i="164" s="1"/>
  <c r="CC47" i="164"/>
  <c r="CD47" i="164" s="1"/>
  <c r="CH47" i="164"/>
  <c r="AR47" i="164"/>
  <c r="AS47" i="164" s="1"/>
  <c r="AT47" i="164" s="1"/>
  <c r="CC272" i="164"/>
  <c r="CD272" i="164" s="1"/>
  <c r="CH272" i="164"/>
  <c r="AR272" i="164"/>
  <c r="AS272" i="164" s="1"/>
  <c r="AT272" i="164" s="1"/>
  <c r="CC182" i="164"/>
  <c r="CD182" i="164" s="1"/>
  <c r="CH182" i="164"/>
  <c r="AR182" i="164"/>
  <c r="AS182" i="164" s="1"/>
  <c r="AT182" i="164" s="1"/>
  <c r="BU403" i="164"/>
  <c r="BW403" i="164" s="1"/>
  <c r="BY403" i="164" s="1"/>
  <c r="CA403" i="164" s="1"/>
  <c r="CE403" i="164" s="1"/>
  <c r="CI403" i="164" s="1"/>
  <c r="BQ403" i="164"/>
  <c r="BS403" i="164" s="1"/>
  <c r="CG403" i="164" s="1"/>
  <c r="CH396" i="164"/>
  <c r="CC396" i="164"/>
  <c r="CD396" i="164" s="1"/>
  <c r="AR396" i="164"/>
  <c r="AS396" i="164" s="1"/>
  <c r="AT396" i="164" s="1"/>
  <c r="CH166" i="164"/>
  <c r="AR166" i="164"/>
  <c r="AS166" i="164" s="1"/>
  <c r="AT166" i="164" s="1"/>
  <c r="CC166" i="164"/>
  <c r="CD166" i="164" s="1"/>
  <c r="CC446" i="164"/>
  <c r="CD446" i="164" s="1"/>
  <c r="CH446" i="164"/>
  <c r="AR446" i="164"/>
  <c r="AS446" i="164" s="1"/>
  <c r="AT446" i="164" s="1"/>
  <c r="CH306" i="164"/>
  <c r="AR306" i="164"/>
  <c r="AS306" i="164" s="1"/>
  <c r="AT306" i="164" s="1"/>
  <c r="AR333" i="164"/>
  <c r="AS333" i="164" s="1"/>
  <c r="AT333" i="164" s="1"/>
  <c r="CH333" i="164"/>
  <c r="CC333" i="164"/>
  <c r="CD333" i="164" s="1"/>
  <c r="CH394" i="164"/>
  <c r="AR394" i="164"/>
  <c r="AS394" i="164" s="1"/>
  <c r="AT394" i="164" s="1"/>
  <c r="CH123" i="164"/>
  <c r="AR123" i="164"/>
  <c r="AS123" i="164" s="1"/>
  <c r="AT123" i="164" s="1"/>
  <c r="CH105" i="164"/>
  <c r="CC105" i="164"/>
  <c r="CD105" i="164" s="1"/>
  <c r="AR105" i="164"/>
  <c r="AS105" i="164" s="1"/>
  <c r="AT105" i="164" s="1"/>
  <c r="CH230" i="164"/>
  <c r="AR230" i="164"/>
  <c r="AS230" i="164" s="1"/>
  <c r="AT230" i="164" s="1"/>
  <c r="CH149" i="164"/>
  <c r="AR149" i="164"/>
  <c r="AS149" i="164" s="1"/>
  <c r="AT149" i="164" s="1"/>
  <c r="CH33" i="164"/>
  <c r="AR33" i="164"/>
  <c r="AS33" i="164" s="1"/>
  <c r="AT33" i="164" s="1"/>
  <c r="BV30" i="164"/>
  <c r="BX30" i="164" s="1"/>
  <c r="BZ30" i="164" s="1"/>
  <c r="CB30" i="164" s="1"/>
  <c r="CF30" i="164" s="1"/>
  <c r="CJ30" i="164" s="1"/>
  <c r="BR30" i="164"/>
  <c r="BT30" i="164" s="1"/>
  <c r="CH264" i="164"/>
  <c r="CC264" i="164"/>
  <c r="CD264" i="164" s="1"/>
  <c r="AR264" i="164"/>
  <c r="AS264" i="164" s="1"/>
  <c r="AT264" i="164" s="1"/>
  <c r="BU169" i="164"/>
  <c r="BW169" i="164" s="1"/>
  <c r="BY169" i="164" s="1"/>
  <c r="CA169" i="164" s="1"/>
  <c r="CE169" i="164" s="1"/>
  <c r="CI169" i="164" s="1"/>
  <c r="BQ169" i="164"/>
  <c r="BS169" i="164" s="1"/>
  <c r="CG169" i="164" s="1"/>
  <c r="CC410" i="164"/>
  <c r="CD410" i="164" s="1"/>
  <c r="CH410" i="164"/>
  <c r="AR410" i="164"/>
  <c r="AS410" i="164" s="1"/>
  <c r="AT410" i="164" s="1"/>
  <c r="BU269" i="164"/>
  <c r="BW269" i="164" s="1"/>
  <c r="BY269" i="164" s="1"/>
  <c r="CA269" i="164" s="1"/>
  <c r="CE269" i="164" s="1"/>
  <c r="CI269" i="164" s="1"/>
  <c r="BQ269" i="164"/>
  <c r="BS269" i="164" s="1"/>
  <c r="CG269" i="164" s="1"/>
  <c r="CC229" i="164"/>
  <c r="CD229" i="164" s="1"/>
  <c r="CH229" i="164"/>
  <c r="AR229" i="164"/>
  <c r="AS229" i="164" s="1"/>
  <c r="AT229" i="164" s="1"/>
  <c r="CH271" i="164"/>
  <c r="CC271" i="164"/>
  <c r="CD271" i="164" s="1"/>
  <c r="AR271" i="164"/>
  <c r="AS271" i="164" s="1"/>
  <c r="AT271" i="164" s="1"/>
  <c r="BV231" i="164"/>
  <c r="BX231" i="164" s="1"/>
  <c r="BZ231" i="164" s="1"/>
  <c r="CB231" i="164" s="1"/>
  <c r="CF231" i="164" s="1"/>
  <c r="CJ231" i="164" s="1"/>
  <c r="BR231" i="164"/>
  <c r="BT231" i="164" s="1"/>
  <c r="CC274" i="164"/>
  <c r="CD274" i="164" s="1"/>
  <c r="CH274" i="164"/>
  <c r="AR274" i="164"/>
  <c r="AS274" i="164" s="1"/>
  <c r="AT274" i="164" s="1"/>
  <c r="BU49" i="164"/>
  <c r="BW49" i="164" s="1"/>
  <c r="BY49" i="164" s="1"/>
  <c r="CA49" i="164" s="1"/>
  <c r="CE49" i="164" s="1"/>
  <c r="CI49" i="164" s="1"/>
  <c r="BQ49" i="164"/>
  <c r="BS49" i="164" s="1"/>
  <c r="CG49" i="164" s="1"/>
  <c r="BV237" i="164"/>
  <c r="BX237" i="164" s="1"/>
  <c r="BZ237" i="164" s="1"/>
  <c r="CB237" i="164" s="1"/>
  <c r="CF237" i="164" s="1"/>
  <c r="CJ237" i="164" s="1"/>
  <c r="BR237" i="164"/>
  <c r="BT237" i="164" s="1"/>
  <c r="CC314" i="164"/>
  <c r="CD314" i="164" s="1"/>
  <c r="CH314" i="164"/>
  <c r="AR314" i="164"/>
  <c r="AS314" i="164" s="1"/>
  <c r="AT314" i="164" s="1"/>
  <c r="CH63" i="164"/>
  <c r="AR63" i="164"/>
  <c r="AS63" i="164" s="1"/>
  <c r="AT63" i="164" s="1"/>
  <c r="CC63" i="164"/>
  <c r="CD63" i="164" s="1"/>
  <c r="BR212" i="164"/>
  <c r="BT212" i="164" s="1"/>
  <c r="BV212" i="164"/>
  <c r="BX212" i="164" s="1"/>
  <c r="BZ212" i="164" s="1"/>
  <c r="CB212" i="164" s="1"/>
  <c r="CF212" i="164" s="1"/>
  <c r="CJ212" i="164" s="1"/>
  <c r="CH85" i="164"/>
  <c r="CC85" i="164"/>
  <c r="CD85" i="164" s="1"/>
  <c r="AR85" i="164"/>
  <c r="AS85" i="164" s="1"/>
  <c r="AT85" i="164" s="1"/>
  <c r="CH174" i="164"/>
  <c r="CC174" i="164"/>
  <c r="CD174" i="164" s="1"/>
  <c r="AR174" i="164"/>
  <c r="AS174" i="164" s="1"/>
  <c r="AT174" i="164" s="1"/>
  <c r="BC134" i="168"/>
  <c r="BU330" i="164"/>
  <c r="BW330" i="164" s="1"/>
  <c r="BY330" i="164" s="1"/>
  <c r="CA330" i="164" s="1"/>
  <c r="CE330" i="164" s="1"/>
  <c r="CI330" i="164" s="1"/>
  <c r="BQ330" i="164"/>
  <c r="BS330" i="164" s="1"/>
  <c r="CG330" i="164" s="1"/>
  <c r="CH162" i="164"/>
  <c r="CC162" i="164"/>
  <c r="CD162" i="164" s="1"/>
  <c r="AR162" i="164"/>
  <c r="AS162" i="164" s="1"/>
  <c r="AT162" i="164" s="1"/>
  <c r="CH199" i="164"/>
  <c r="CC199" i="164"/>
  <c r="CD199" i="164" s="1"/>
  <c r="AR199" i="164"/>
  <c r="AS199" i="164" s="1"/>
  <c r="AT199" i="164" s="1"/>
  <c r="CC37" i="164"/>
  <c r="CD37" i="164" s="1"/>
  <c r="CH37" i="164"/>
  <c r="AR37" i="164"/>
  <c r="AS37" i="164" s="1"/>
  <c r="AT37" i="164" s="1"/>
  <c r="AR393" i="164"/>
  <c r="AS393" i="164" s="1"/>
  <c r="AT393" i="164" s="1"/>
  <c r="CC393" i="164"/>
  <c r="CD393" i="164" s="1"/>
  <c r="CH393" i="164"/>
  <c r="AN225" i="164"/>
  <c r="AP225" i="164" s="1"/>
  <c r="AM224" i="164"/>
  <c r="BU468" i="164"/>
  <c r="BW468" i="164" s="1"/>
  <c r="BY468" i="164" s="1"/>
  <c r="CA468" i="164" s="1"/>
  <c r="CE468" i="164" s="1"/>
  <c r="CI468" i="164" s="1"/>
  <c r="BQ468" i="164"/>
  <c r="BS468" i="164" s="1"/>
  <c r="CG468" i="164" s="1"/>
  <c r="BU237" i="168"/>
  <c r="AU237" i="168"/>
  <c r="CP155" i="168"/>
  <c r="BN484" i="164"/>
  <c r="BO484" i="164" s="1"/>
  <c r="BV148" i="164"/>
  <c r="BX148" i="164" s="1"/>
  <c r="BZ148" i="164" s="1"/>
  <c r="CB148" i="164" s="1"/>
  <c r="CF148" i="164" s="1"/>
  <c r="CJ148" i="164" s="1"/>
  <c r="BR148" i="164"/>
  <c r="BT148" i="164" s="1"/>
  <c r="AC306" i="168"/>
  <c r="AF306" i="168" s="1"/>
  <c r="BN423" i="164"/>
  <c r="BO423" i="164" s="1"/>
  <c r="BN417" i="164"/>
  <c r="AI327" i="168"/>
  <c r="AW327" i="168"/>
  <c r="AZ327" i="168"/>
  <c r="BC327" i="168" s="1"/>
  <c r="R185" i="164"/>
  <c r="AA185" i="164"/>
  <c r="AV125" i="164"/>
  <c r="AW125" i="164" s="1"/>
  <c r="BP125" i="164" s="1"/>
  <c r="AU125" i="164"/>
  <c r="AR334" i="164"/>
  <c r="AS334" i="164" s="1"/>
  <c r="AT334" i="164" s="1"/>
  <c r="CH334" i="164"/>
  <c r="BR74" i="164"/>
  <c r="BT74" i="164" s="1"/>
  <c r="BV74" i="164"/>
  <c r="BX74" i="164" s="1"/>
  <c r="BZ74" i="164" s="1"/>
  <c r="CB74" i="164" s="1"/>
  <c r="CF74" i="164" s="1"/>
  <c r="CJ74" i="164" s="1"/>
  <c r="BQ277" i="164"/>
  <c r="BS277" i="164" s="1"/>
  <c r="CG277" i="164" s="1"/>
  <c r="BU277" i="164"/>
  <c r="BW277" i="164" s="1"/>
  <c r="BY277" i="164" s="1"/>
  <c r="CA277" i="164" s="1"/>
  <c r="CE277" i="164" s="1"/>
  <c r="CI277" i="164" s="1"/>
  <c r="BV442" i="164"/>
  <c r="BX442" i="164" s="1"/>
  <c r="BZ442" i="164" s="1"/>
  <c r="CB442" i="164" s="1"/>
  <c r="CF442" i="164" s="1"/>
  <c r="CJ442" i="164" s="1"/>
  <c r="BR442" i="164"/>
  <c r="BT442" i="164" s="1"/>
  <c r="AU331" i="164"/>
  <c r="AV331" i="164"/>
  <c r="AW331" i="164" s="1"/>
  <c r="CC180" i="164"/>
  <c r="CD180" i="164" s="1"/>
  <c r="CH180" i="164"/>
  <c r="AR180" i="164"/>
  <c r="AS180" i="164" s="1"/>
  <c r="AT180" i="164" s="1"/>
  <c r="BU450" i="164"/>
  <c r="BW450" i="164" s="1"/>
  <c r="BY450" i="164" s="1"/>
  <c r="CA450" i="164" s="1"/>
  <c r="CE450" i="164" s="1"/>
  <c r="CI450" i="164" s="1"/>
  <c r="BQ450" i="164"/>
  <c r="BS450" i="164" s="1"/>
  <c r="CG450" i="164" s="1"/>
  <c r="CL162" i="168"/>
  <c r="CO162" i="168" s="1"/>
  <c r="CR162" i="168" s="1"/>
  <c r="BQ107" i="164"/>
  <c r="BS107" i="164" s="1"/>
  <c r="CG107" i="164" s="1"/>
  <c r="BU107" i="164"/>
  <c r="BW107" i="164" s="1"/>
  <c r="BY107" i="164" s="1"/>
  <c r="CA107" i="164" s="1"/>
  <c r="CE107" i="164" s="1"/>
  <c r="CI107" i="164" s="1"/>
  <c r="AR204" i="164"/>
  <c r="AS204" i="164" s="1"/>
  <c r="AT204" i="164" s="1"/>
  <c r="CH204" i="164"/>
  <c r="CC204" i="164"/>
  <c r="CD204" i="164" s="1"/>
  <c r="CQ155" i="168"/>
  <c r="BQ309" i="164"/>
  <c r="BS309" i="164" s="1"/>
  <c r="CG309" i="164" s="1"/>
  <c r="BU309" i="164"/>
  <c r="BW309" i="164" s="1"/>
  <c r="BY309" i="164" s="1"/>
  <c r="CA309" i="164" s="1"/>
  <c r="CE309" i="164" s="1"/>
  <c r="CI309" i="164" s="1"/>
  <c r="BQ276" i="164"/>
  <c r="BS276" i="164" s="1"/>
  <c r="CG276" i="164" s="1"/>
  <c r="BU276" i="164"/>
  <c r="BW276" i="164" s="1"/>
  <c r="BY276" i="164" s="1"/>
  <c r="CA276" i="164" s="1"/>
  <c r="CE276" i="164" s="1"/>
  <c r="CI276" i="164" s="1"/>
  <c r="BN206" i="164"/>
  <c r="BU419" i="164"/>
  <c r="BW419" i="164" s="1"/>
  <c r="BY419" i="164" s="1"/>
  <c r="CA419" i="164" s="1"/>
  <c r="CE419" i="164" s="1"/>
  <c r="CI419" i="164" s="1"/>
  <c r="BQ419" i="164"/>
  <c r="BS419" i="164" s="1"/>
  <c r="CG419" i="164" s="1"/>
  <c r="BD463" i="164"/>
  <c r="CW463" i="164" s="1"/>
  <c r="BE463" i="164"/>
  <c r="BM463" i="164"/>
  <c r="BV69" i="164"/>
  <c r="BX69" i="164" s="1"/>
  <c r="BZ69" i="164" s="1"/>
  <c r="CB69" i="164" s="1"/>
  <c r="CF69" i="164" s="1"/>
  <c r="CJ69" i="164" s="1"/>
  <c r="BR69" i="164"/>
  <c r="BT69" i="164" s="1"/>
  <c r="BQ259" i="164"/>
  <c r="BS259" i="164" s="1"/>
  <c r="CG259" i="164" s="1"/>
  <c r="BU259" i="164"/>
  <c r="BW259" i="164" s="1"/>
  <c r="BY259" i="164" s="1"/>
  <c r="CA259" i="164" s="1"/>
  <c r="CE259" i="164" s="1"/>
  <c r="CI259" i="164" s="1"/>
  <c r="CL329" i="168"/>
  <c r="CO329" i="168" s="1"/>
  <c r="CS329" i="168"/>
  <c r="CN329" i="168"/>
  <c r="CK329" i="168"/>
  <c r="CQ329" i="168" s="1"/>
  <c r="BR257" i="164"/>
  <c r="BT257" i="164" s="1"/>
  <c r="BV257" i="164"/>
  <c r="BX257" i="164" s="1"/>
  <c r="BZ257" i="164" s="1"/>
  <c r="CB257" i="164" s="1"/>
  <c r="CF257" i="164" s="1"/>
  <c r="CJ257" i="164" s="1"/>
  <c r="AA41" i="164"/>
  <c r="R41" i="164"/>
  <c r="BR48" i="164"/>
  <c r="BT48" i="164" s="1"/>
  <c r="BV48" i="164"/>
  <c r="BX48" i="164" s="1"/>
  <c r="BZ48" i="164" s="1"/>
  <c r="CB48" i="164" s="1"/>
  <c r="CF48" i="164" s="1"/>
  <c r="CJ48" i="164" s="1"/>
  <c r="AN470" i="164"/>
  <c r="AP470" i="164" s="1"/>
  <c r="AM469" i="164"/>
  <c r="BU155" i="164"/>
  <c r="BW155" i="164" s="1"/>
  <c r="BY155" i="164" s="1"/>
  <c r="CA155" i="164" s="1"/>
  <c r="CE155" i="164" s="1"/>
  <c r="CI155" i="164" s="1"/>
  <c r="BQ155" i="164"/>
  <c r="BS155" i="164" s="1"/>
  <c r="CG155" i="164" s="1"/>
  <c r="BQ472" i="164"/>
  <c r="BS472" i="164" s="1"/>
  <c r="CG472" i="164" s="1"/>
  <c r="BU472" i="164"/>
  <c r="BW472" i="164" s="1"/>
  <c r="BY472" i="164" s="1"/>
  <c r="CA472" i="164" s="1"/>
  <c r="CE472" i="164" s="1"/>
  <c r="CI472" i="164" s="1"/>
  <c r="BX91" i="164"/>
  <c r="BZ91" i="164"/>
  <c r="BT91" i="164"/>
  <c r="CF91" i="164"/>
  <c r="CJ91" i="164" s="1"/>
  <c r="CB91" i="164"/>
  <c r="BR91" i="164"/>
  <c r="BV91" i="164"/>
  <c r="AR436" i="164"/>
  <c r="AS436" i="164" s="1"/>
  <c r="AT436" i="164" s="1"/>
  <c r="CC436" i="164"/>
  <c r="CD436" i="164" s="1"/>
  <c r="CH436" i="164"/>
  <c r="BU262" i="164"/>
  <c r="BW262" i="164" s="1"/>
  <c r="BY262" i="164" s="1"/>
  <c r="CA262" i="164" s="1"/>
  <c r="CE262" i="164" s="1"/>
  <c r="CI262" i="164" s="1"/>
  <c r="BQ262" i="164"/>
  <c r="BS262" i="164" s="1"/>
  <c r="CG262" i="164" s="1"/>
  <c r="BU299" i="164"/>
  <c r="BW299" i="164" s="1"/>
  <c r="BY299" i="164" s="1"/>
  <c r="CA299" i="164" s="1"/>
  <c r="CE299" i="164" s="1"/>
  <c r="CI299" i="164" s="1"/>
  <c r="BQ299" i="164"/>
  <c r="BS299" i="164" s="1"/>
  <c r="CG299" i="164" s="1"/>
  <c r="BR62" i="164"/>
  <c r="BT62" i="164" s="1"/>
  <c r="BV62" i="164"/>
  <c r="BX62" i="164" s="1"/>
  <c r="BZ62" i="164" s="1"/>
  <c r="CB62" i="164" s="1"/>
  <c r="CF62" i="164" s="1"/>
  <c r="CJ62" i="164" s="1"/>
  <c r="Y426" i="164"/>
  <c r="P426" i="164"/>
  <c r="AC327" i="168"/>
  <c r="AF327" i="168" s="1"/>
  <c r="BN375" i="164"/>
  <c r="BP239" i="164"/>
  <c r="BQ223" i="164"/>
  <c r="BS223" i="164" s="1"/>
  <c r="CG223" i="164" s="1"/>
  <c r="BU223" i="164"/>
  <c r="BW223" i="164" s="1"/>
  <c r="BY223" i="164" s="1"/>
  <c r="CA223" i="164" s="1"/>
  <c r="CE223" i="164" s="1"/>
  <c r="CI223" i="164" s="1"/>
  <c r="BR277" i="164"/>
  <c r="BT277" i="164" s="1"/>
  <c r="BV277" i="164"/>
  <c r="BX277" i="164" s="1"/>
  <c r="BZ277" i="164" s="1"/>
  <c r="CB277" i="164" s="1"/>
  <c r="CF277" i="164" s="1"/>
  <c r="CJ277" i="164" s="1"/>
  <c r="G331" i="168"/>
  <c r="E44" i="56" s="1"/>
  <c r="BE332" i="164"/>
  <c r="BM332" i="164"/>
  <c r="BD332" i="164"/>
  <c r="BR450" i="164"/>
  <c r="BT450" i="164" s="1"/>
  <c r="BV450" i="164"/>
  <c r="BX450" i="164" s="1"/>
  <c r="BZ450" i="164" s="1"/>
  <c r="CB450" i="164" s="1"/>
  <c r="CF450" i="164" s="1"/>
  <c r="CJ450" i="164" s="1"/>
  <c r="BQ32" i="164"/>
  <c r="BS32" i="164" s="1"/>
  <c r="CG32" i="164" s="1"/>
  <c r="BU32" i="164"/>
  <c r="BW32" i="164" s="1"/>
  <c r="BY32" i="164" s="1"/>
  <c r="CA32" i="164" s="1"/>
  <c r="CE32" i="164" s="1"/>
  <c r="CI32" i="164" s="1"/>
  <c r="BR407" i="164"/>
  <c r="BT407" i="164" s="1"/>
  <c r="BV407" i="164"/>
  <c r="BX407" i="164" s="1"/>
  <c r="BZ407" i="164" s="1"/>
  <c r="CB407" i="164" s="1"/>
  <c r="CF407" i="164" s="1"/>
  <c r="CJ407" i="164" s="1"/>
  <c r="CC133" i="164"/>
  <c r="CD133" i="164" s="1"/>
  <c r="CH133" i="164"/>
  <c r="AR133" i="164"/>
  <c r="AS133" i="164" s="1"/>
  <c r="AT133" i="164" s="1"/>
  <c r="BR35" i="164"/>
  <c r="BT35" i="164" s="1"/>
  <c r="BV35" i="164"/>
  <c r="BX35" i="164" s="1"/>
  <c r="BZ35" i="164" s="1"/>
  <c r="CB35" i="164" s="1"/>
  <c r="CF35" i="164" s="1"/>
  <c r="CJ35" i="164" s="1"/>
  <c r="BM81" i="164"/>
  <c r="BD81" i="164"/>
  <c r="CW81" i="164" s="1"/>
  <c r="BE81" i="164"/>
  <c r="BQ91" i="164"/>
  <c r="BS91" i="164" s="1"/>
  <c r="CG91" i="164" s="1"/>
  <c r="BU91" i="164"/>
  <c r="BW91" i="164" s="1"/>
  <c r="BY91" i="164" s="1"/>
  <c r="CA91" i="164" s="1"/>
  <c r="CE91" i="164" s="1"/>
  <c r="CI91" i="164" s="1"/>
  <c r="BE376" i="164"/>
  <c r="BD376" i="164"/>
  <c r="CW376" i="164" s="1"/>
  <c r="BM376" i="164"/>
  <c r="BU58" i="164"/>
  <c r="BW58" i="164" s="1"/>
  <c r="BY58" i="164" s="1"/>
  <c r="CA58" i="164" s="1"/>
  <c r="CE58" i="164" s="1"/>
  <c r="CI58" i="164" s="1"/>
  <c r="BQ58" i="164"/>
  <c r="BS58" i="164" s="1"/>
  <c r="CG58" i="164" s="1"/>
  <c r="BQ462" i="164"/>
  <c r="BS462" i="164" s="1"/>
  <c r="CG462" i="164" s="1"/>
  <c r="BU462" i="164"/>
  <c r="BW462" i="164" s="1"/>
  <c r="BY462" i="164" s="1"/>
  <c r="CA462" i="164" s="1"/>
  <c r="CE462" i="164" s="1"/>
  <c r="CI462" i="164" s="1"/>
  <c r="CG306" i="164"/>
  <c r="CC306" i="164"/>
  <c r="CD306" i="164" s="1"/>
  <c r="BQ416" i="164"/>
  <c r="BS416" i="164" s="1"/>
  <c r="CG416" i="164" s="1"/>
  <c r="BU416" i="164"/>
  <c r="BW416" i="164" s="1"/>
  <c r="BY416" i="164" s="1"/>
  <c r="CA416" i="164" s="1"/>
  <c r="CE416" i="164" s="1"/>
  <c r="CI416" i="164" s="1"/>
  <c r="BN50" i="164"/>
  <c r="BU155" i="168"/>
  <c r="AU155" i="168"/>
  <c r="BU231" i="164"/>
  <c r="BW231" i="164" s="1"/>
  <c r="BY231" i="164" s="1"/>
  <c r="CA231" i="164" s="1"/>
  <c r="CE231" i="164" s="1"/>
  <c r="CI231" i="164" s="1"/>
  <c r="BQ231" i="164"/>
  <c r="BS231" i="164" s="1"/>
  <c r="CG231" i="164" s="1"/>
  <c r="BV449" i="164"/>
  <c r="BX449" i="164" s="1"/>
  <c r="BZ449" i="164" s="1"/>
  <c r="CB449" i="164" s="1"/>
  <c r="CF449" i="164" s="1"/>
  <c r="CJ449" i="164" s="1"/>
  <c r="BR449" i="164"/>
  <c r="BT449" i="164" s="1"/>
  <c r="BU284" i="164"/>
  <c r="BW284" i="164" s="1"/>
  <c r="BY284" i="164" s="1"/>
  <c r="CA284" i="164" s="1"/>
  <c r="CE284" i="164" s="1"/>
  <c r="CI284" i="164" s="1"/>
  <c r="BQ284" i="164"/>
  <c r="BS284" i="164" s="1"/>
  <c r="CG284" i="164" s="1"/>
  <c r="BN41" i="164"/>
  <c r="BR222" i="164"/>
  <c r="BT222" i="164" s="1"/>
  <c r="BV222" i="164"/>
  <c r="BX222" i="164" s="1"/>
  <c r="BZ222" i="164" s="1"/>
  <c r="CB222" i="164" s="1"/>
  <c r="CF222" i="164" s="1"/>
  <c r="CJ222" i="164" s="1"/>
  <c r="BR151" i="164"/>
  <c r="BT151" i="164" s="1"/>
  <c r="BV151" i="164"/>
  <c r="BX151" i="164" s="1"/>
  <c r="BZ151" i="164" s="1"/>
  <c r="CB151" i="164" s="1"/>
  <c r="CF151" i="164" s="1"/>
  <c r="CJ151" i="164" s="1"/>
  <c r="BV276" i="164"/>
  <c r="BX276" i="164" s="1"/>
  <c r="BZ276" i="164" s="1"/>
  <c r="CB276" i="164" s="1"/>
  <c r="CF276" i="164" s="1"/>
  <c r="CJ276" i="164" s="1"/>
  <c r="BR276" i="164"/>
  <c r="BT276" i="164" s="1"/>
  <c r="BR408" i="164"/>
  <c r="BT408" i="164" s="1"/>
  <c r="BV408" i="164"/>
  <c r="BX408" i="164" s="1"/>
  <c r="BZ408" i="164" s="1"/>
  <c r="CB408" i="164" s="1"/>
  <c r="CF408" i="164" s="1"/>
  <c r="CJ408" i="164" s="1"/>
  <c r="BR482" i="164"/>
  <c r="BT482" i="164" s="1"/>
  <c r="BV482" i="164"/>
  <c r="BX482" i="164" s="1"/>
  <c r="BZ482" i="164" s="1"/>
  <c r="CB482" i="164" s="1"/>
  <c r="CF482" i="164" s="1"/>
  <c r="CJ482" i="164" s="1"/>
  <c r="BX419" i="164"/>
  <c r="CB419" i="164"/>
  <c r="BR419" i="164"/>
  <c r="CF419" i="164"/>
  <c r="CJ419" i="164" s="1"/>
  <c r="BT419" i="164"/>
  <c r="BV419" i="164"/>
  <c r="BZ419" i="164"/>
  <c r="BQ69" i="164"/>
  <c r="BS69" i="164" s="1"/>
  <c r="CG69" i="164" s="1"/>
  <c r="BU69" i="164"/>
  <c r="BW69" i="164" s="1"/>
  <c r="BY69" i="164" s="1"/>
  <c r="CA69" i="164" s="1"/>
  <c r="CE69" i="164" s="1"/>
  <c r="CI69" i="164" s="1"/>
  <c r="BV259" i="164"/>
  <c r="BX259" i="164"/>
  <c r="BZ259" i="164"/>
  <c r="CB259" i="164"/>
  <c r="BR259" i="164"/>
  <c r="BT259" i="164"/>
  <c r="CF259" i="164"/>
  <c r="CJ259" i="164" s="1"/>
  <c r="BQ257" i="164"/>
  <c r="BS257" i="164" s="1"/>
  <c r="CG257" i="164" s="1"/>
  <c r="BU257" i="164"/>
  <c r="BW257" i="164" s="1"/>
  <c r="BY257" i="164" s="1"/>
  <c r="CA257" i="164" s="1"/>
  <c r="CE257" i="164" s="1"/>
  <c r="CI257" i="164" s="1"/>
  <c r="BR87" i="164"/>
  <c r="BT87" i="164" s="1"/>
  <c r="BV87" i="164"/>
  <c r="BX87" i="164" s="1"/>
  <c r="BZ87" i="164" s="1"/>
  <c r="CB87" i="164" s="1"/>
  <c r="CF87" i="164" s="1"/>
  <c r="CJ87" i="164" s="1"/>
  <c r="Y42" i="164"/>
  <c r="P42" i="164"/>
  <c r="Y250" i="164"/>
  <c r="P250" i="164"/>
  <c r="BD302" i="164"/>
  <c r="CW302" i="164" s="1"/>
  <c r="BM302" i="164"/>
  <c r="BE302" i="164"/>
  <c r="AV468" i="164"/>
  <c r="AW468" i="164" s="1"/>
  <c r="BP468" i="164" s="1"/>
  <c r="AU468" i="164"/>
  <c r="BV155" i="164"/>
  <c r="BX155" i="164" s="1"/>
  <c r="BZ155" i="164" s="1"/>
  <c r="CB155" i="164" s="1"/>
  <c r="CF155" i="164" s="1"/>
  <c r="CJ155" i="164" s="1"/>
  <c r="BR155" i="164"/>
  <c r="BT155" i="164" s="1"/>
  <c r="BU422" i="164"/>
  <c r="BW422" i="164" s="1"/>
  <c r="BY422" i="164" s="1"/>
  <c r="CA422" i="164" s="1"/>
  <c r="CE422" i="164" s="1"/>
  <c r="CI422" i="164" s="1"/>
  <c r="BQ422" i="164"/>
  <c r="BS422" i="164" s="1"/>
  <c r="CG422" i="164" s="1"/>
  <c r="BV472" i="164"/>
  <c r="BX472" i="164" s="1"/>
  <c r="BZ472" i="164" s="1"/>
  <c r="CB472" i="164" s="1"/>
  <c r="CF472" i="164" s="1"/>
  <c r="CJ472" i="164" s="1"/>
  <c r="BR472" i="164"/>
  <c r="BT472" i="164" s="1"/>
  <c r="AA376" i="164"/>
  <c r="R376" i="164"/>
  <c r="BP319" i="164"/>
  <c r="AB320" i="164"/>
  <c r="AI320" i="164" s="1"/>
  <c r="AB285" i="164"/>
  <c r="AI285" i="164" s="1"/>
  <c r="AB206" i="164"/>
  <c r="AI206" i="164" s="1"/>
  <c r="AB214" i="164"/>
  <c r="AI214" i="164" s="1"/>
  <c r="Y463" i="164"/>
  <c r="P463" i="164"/>
  <c r="BZ216" i="164"/>
  <c r="CB216" i="164"/>
  <c r="BR216" i="164"/>
  <c r="CF216" i="164"/>
  <c r="CJ216" i="164" s="1"/>
  <c r="BT216" i="164"/>
  <c r="BV216" i="164"/>
  <c r="BX216" i="164"/>
  <c r="BX262" i="164"/>
  <c r="BZ262" i="164"/>
  <c r="CB262" i="164"/>
  <c r="BV262" i="164"/>
  <c r="CF262" i="164"/>
  <c r="CJ262" i="164" s="1"/>
  <c r="BR262" i="164"/>
  <c r="BT262" i="164"/>
  <c r="CX377" i="164"/>
  <c r="Z377" i="164"/>
  <c r="AZ377" i="164"/>
  <c r="K378" i="164"/>
  <c r="L378" i="164" s="1"/>
  <c r="BQ62" i="164"/>
  <c r="BS62" i="164" s="1"/>
  <c r="CG62" i="164" s="1"/>
  <c r="BU62" i="164"/>
  <c r="BW62" i="164" s="1"/>
  <c r="BY62" i="164" s="1"/>
  <c r="CA62" i="164" s="1"/>
  <c r="CE62" i="164" s="1"/>
  <c r="CI62" i="164" s="1"/>
  <c r="AA51" i="164"/>
  <c r="R51" i="164"/>
  <c r="G187" i="164"/>
  <c r="H187" i="164" s="1"/>
  <c r="Y186" i="164"/>
  <c r="P186" i="164"/>
  <c r="BQ160" i="164"/>
  <c r="BS160" i="164" s="1"/>
  <c r="CG160" i="164" s="1"/>
  <c r="BU160" i="164"/>
  <c r="BW160" i="164" s="1"/>
  <c r="BY160" i="164" s="1"/>
  <c r="CA160" i="164" s="1"/>
  <c r="CE160" i="164" s="1"/>
  <c r="CI160" i="164" s="1"/>
  <c r="AM50" i="164"/>
  <c r="AN51" i="164"/>
  <c r="AP51" i="164" s="1"/>
  <c r="BU442" i="164"/>
  <c r="BW442" i="164" s="1"/>
  <c r="BY442" i="164" s="1"/>
  <c r="CA442" i="164" s="1"/>
  <c r="CE442" i="164" s="1"/>
  <c r="CI442" i="164" s="1"/>
  <c r="BQ442" i="164"/>
  <c r="BS442" i="164" s="1"/>
  <c r="CG442" i="164" s="1"/>
  <c r="BV309" i="164"/>
  <c r="BX309" i="164" s="1"/>
  <c r="BZ309" i="164" s="1"/>
  <c r="CB309" i="164" s="1"/>
  <c r="CF309" i="164" s="1"/>
  <c r="CJ309" i="164" s="1"/>
  <c r="BR309" i="164"/>
  <c r="BT309" i="164" s="1"/>
  <c r="BU381" i="164"/>
  <c r="BW381" i="164" s="1"/>
  <c r="BY381" i="164" s="1"/>
  <c r="CA381" i="164" s="1"/>
  <c r="CE381" i="164" s="1"/>
  <c r="CI381" i="164" s="1"/>
  <c r="BQ381" i="164"/>
  <c r="BS381" i="164" s="1"/>
  <c r="CG381" i="164" s="1"/>
  <c r="BN108" i="164"/>
  <c r="BO108" i="164" s="1"/>
  <c r="BD249" i="164"/>
  <c r="CW249" i="164" s="1"/>
  <c r="BM249" i="164"/>
  <c r="BE249" i="164"/>
  <c r="Y377" i="164"/>
  <c r="G378" i="164"/>
  <c r="H378" i="164" s="1"/>
  <c r="P377" i="164"/>
  <c r="CX52" i="164"/>
  <c r="Z52" i="164"/>
  <c r="K53" i="164"/>
  <c r="L53" i="164" s="1"/>
  <c r="AZ52" i="164"/>
  <c r="BX433" i="164"/>
  <c r="BZ433" i="164"/>
  <c r="CB433" i="164"/>
  <c r="BR433" i="164"/>
  <c r="CF433" i="164"/>
  <c r="CJ433" i="164" s="1"/>
  <c r="BT433" i="164"/>
  <c r="BV433" i="164"/>
  <c r="AU39" i="164"/>
  <c r="AV39" i="164"/>
  <c r="AW39" i="164" s="1"/>
  <c r="BP39" i="164" s="1"/>
  <c r="BN232" i="164"/>
  <c r="BQ316" i="164"/>
  <c r="BS316" i="164" s="1"/>
  <c r="CG316" i="164" s="1"/>
  <c r="BU316" i="164"/>
  <c r="BW316" i="164" s="1"/>
  <c r="BY316" i="164" s="1"/>
  <c r="CA316" i="164" s="1"/>
  <c r="CE316" i="164" s="1"/>
  <c r="CI316" i="164" s="1"/>
  <c r="CH211" i="164"/>
  <c r="CC211" i="164"/>
  <c r="CD211" i="164" s="1"/>
  <c r="AR211" i="164"/>
  <c r="AS211" i="164" s="1"/>
  <c r="AT211" i="164" s="1"/>
  <c r="G488" i="164"/>
  <c r="H488" i="164" s="1"/>
  <c r="Y487" i="164"/>
  <c r="P487" i="164"/>
  <c r="AR414" i="164"/>
  <c r="AS414" i="164" s="1"/>
  <c r="AT414" i="164" s="1"/>
  <c r="CH414" i="164"/>
  <c r="BR124" i="164"/>
  <c r="BT124" i="164" s="1"/>
  <c r="BV124" i="164"/>
  <c r="BX124" i="164" s="1"/>
  <c r="BZ124" i="164" s="1"/>
  <c r="CB124" i="164" s="1"/>
  <c r="CF124" i="164" s="1"/>
  <c r="CJ124" i="164" s="1"/>
  <c r="BU476" i="164"/>
  <c r="BW476" i="164" s="1"/>
  <c r="BY476" i="164" s="1"/>
  <c r="CA476" i="164" s="1"/>
  <c r="CE476" i="164" s="1"/>
  <c r="CI476" i="164" s="1"/>
  <c r="BQ476" i="164"/>
  <c r="BS476" i="164" s="1"/>
  <c r="CG476" i="164" s="1"/>
  <c r="BV120" i="164"/>
  <c r="BX120" i="164" s="1"/>
  <c r="BZ120" i="164" s="1"/>
  <c r="CB120" i="164" s="1"/>
  <c r="CF120" i="164" s="1"/>
  <c r="CJ120" i="164" s="1"/>
  <c r="BR120" i="164"/>
  <c r="BT120" i="164" s="1"/>
  <c r="AM285" i="164"/>
  <c r="AN286" i="164"/>
  <c r="AP286" i="164" s="1"/>
  <c r="AA171" i="164"/>
  <c r="R171" i="164"/>
  <c r="CG149" i="164"/>
  <c r="AU417" i="164"/>
  <c r="AV417" i="164"/>
  <c r="BE338" i="164"/>
  <c r="BM338" i="164"/>
  <c r="BD338" i="164"/>
  <c r="CW338" i="164" s="1"/>
  <c r="BR168" i="164"/>
  <c r="BT168" i="164" s="1"/>
  <c r="BV168" i="164"/>
  <c r="BX168" i="164" s="1"/>
  <c r="BZ168" i="164" s="1"/>
  <c r="CB168" i="164" s="1"/>
  <c r="CF168" i="164" s="1"/>
  <c r="CJ168" i="164" s="1"/>
  <c r="Z110" i="164"/>
  <c r="K111" i="164"/>
  <c r="L111" i="164" s="1"/>
  <c r="CC89" i="164"/>
  <c r="CD89" i="164" s="1"/>
  <c r="CH89" i="164"/>
  <c r="AR89" i="164"/>
  <c r="AS89" i="164" s="1"/>
  <c r="AT89" i="164" s="1"/>
  <c r="AA83" i="164"/>
  <c r="R83" i="164"/>
  <c r="BR474" i="164"/>
  <c r="BT474" i="164" s="1"/>
  <c r="BV474" i="164"/>
  <c r="BX474" i="164" s="1"/>
  <c r="BZ474" i="164" s="1"/>
  <c r="CB474" i="164" s="1"/>
  <c r="CF474" i="164" s="1"/>
  <c r="CJ474" i="164" s="1"/>
  <c r="Z155" i="168"/>
  <c r="BV155" i="168"/>
  <c r="CG155" i="168" s="1"/>
  <c r="BY155" i="168"/>
  <c r="BQ241" i="164"/>
  <c r="BS241" i="164" s="1"/>
  <c r="CG241" i="164" s="1"/>
  <c r="BU241" i="164"/>
  <c r="BW241" i="164" s="1"/>
  <c r="BY241" i="164" s="1"/>
  <c r="CA241" i="164" s="1"/>
  <c r="CE241" i="164" s="1"/>
  <c r="CI241" i="164" s="1"/>
  <c r="CC178" i="164"/>
  <c r="CD178" i="164" s="1"/>
  <c r="CH178" i="164"/>
  <c r="AR178" i="164"/>
  <c r="AS178" i="164" s="1"/>
  <c r="AT178" i="164" s="1"/>
  <c r="BU329" i="164"/>
  <c r="BW329" i="164" s="1"/>
  <c r="BY329" i="164" s="1"/>
  <c r="CA329" i="164" s="1"/>
  <c r="CE329" i="164" s="1"/>
  <c r="CI329" i="164" s="1"/>
  <c r="BQ329" i="164"/>
  <c r="BS329" i="164" s="1"/>
  <c r="CG329" i="164" s="1"/>
  <c r="BU145" i="164"/>
  <c r="BW145" i="164" s="1"/>
  <c r="BY145" i="164" s="1"/>
  <c r="CA145" i="164" s="1"/>
  <c r="CE145" i="164" s="1"/>
  <c r="CI145" i="164" s="1"/>
  <c r="BQ145" i="164"/>
  <c r="BS145" i="164" s="1"/>
  <c r="CG145" i="164" s="1"/>
  <c r="Y255" i="164"/>
  <c r="P255" i="164"/>
  <c r="AU300" i="164"/>
  <c r="AV300" i="164"/>
  <c r="AW300" i="164" s="1"/>
  <c r="BP300" i="164" s="1"/>
  <c r="AM376" i="164"/>
  <c r="AN377" i="164"/>
  <c r="AP377" i="164" s="1"/>
  <c r="BQ473" i="164"/>
  <c r="BS473" i="164" s="1"/>
  <c r="CG473" i="164" s="1"/>
  <c r="BU473" i="164"/>
  <c r="BW473" i="164" s="1"/>
  <c r="BY473" i="164" s="1"/>
  <c r="CA473" i="164" s="1"/>
  <c r="CE473" i="164" s="1"/>
  <c r="CI473" i="164" s="1"/>
  <c r="BM286" i="164"/>
  <c r="BD286" i="164"/>
  <c r="CW286" i="164" s="1"/>
  <c r="BE286" i="164"/>
  <c r="BR460" i="164"/>
  <c r="BT460" i="164" s="1"/>
  <c r="BV460" i="164"/>
  <c r="BX460" i="164" s="1"/>
  <c r="BZ460" i="164" s="1"/>
  <c r="CB460" i="164" s="1"/>
  <c r="CF460" i="164" s="1"/>
  <c r="CJ460" i="164" s="1"/>
  <c r="BQ26" i="164"/>
  <c r="BS26" i="164" s="1"/>
  <c r="CG26" i="164" s="1"/>
  <c r="BU26" i="164"/>
  <c r="BW26" i="164" s="1"/>
  <c r="BY26" i="164" s="1"/>
  <c r="CA26" i="164" s="1"/>
  <c r="CE26" i="164" s="1"/>
  <c r="CI26" i="164" s="1"/>
  <c r="BR122" i="164"/>
  <c r="BT122" i="164" s="1"/>
  <c r="BV122" i="164"/>
  <c r="BX122" i="164" s="1"/>
  <c r="BZ122" i="164" s="1"/>
  <c r="CB122" i="164" s="1"/>
  <c r="CF122" i="164" s="1"/>
  <c r="CJ122" i="164" s="1"/>
  <c r="BU124" i="164"/>
  <c r="BW124" i="164" s="1"/>
  <c r="BY124" i="164" s="1"/>
  <c r="CA124" i="164" s="1"/>
  <c r="CE124" i="164" s="1"/>
  <c r="CI124" i="164" s="1"/>
  <c r="BQ124" i="164"/>
  <c r="BS124" i="164" s="1"/>
  <c r="CG124" i="164" s="1"/>
  <c r="BU162" i="168"/>
  <c r="AU162" i="168"/>
  <c r="BR391" i="164"/>
  <c r="BT391" i="164" s="1"/>
  <c r="BV391" i="164"/>
  <c r="BX391" i="164" s="1"/>
  <c r="BZ391" i="164" s="1"/>
  <c r="CB391" i="164" s="1"/>
  <c r="CF391" i="164" s="1"/>
  <c r="CJ391" i="164" s="1"/>
  <c r="BT421" i="164"/>
  <c r="BV421" i="164"/>
  <c r="BX421" i="164"/>
  <c r="BZ421" i="164"/>
  <c r="CB421" i="164"/>
  <c r="CF421" i="164"/>
  <c r="CJ421" i="164" s="1"/>
  <c r="BR421" i="164"/>
  <c r="BR135" i="164"/>
  <c r="BT135" i="164" s="1"/>
  <c r="BV135" i="164"/>
  <c r="BX135" i="164" s="1"/>
  <c r="BZ135" i="164" s="1"/>
  <c r="CB135" i="164" s="1"/>
  <c r="CF135" i="164" s="1"/>
  <c r="CJ135" i="164" s="1"/>
  <c r="AU248" i="164"/>
  <c r="AV248" i="164"/>
  <c r="BU139" i="164"/>
  <c r="BW139" i="164" s="1"/>
  <c r="BY139" i="164" s="1"/>
  <c r="CA139" i="164" s="1"/>
  <c r="CE139" i="164" s="1"/>
  <c r="CI139" i="164" s="1"/>
  <c r="BQ139" i="164"/>
  <c r="BS139" i="164" s="1"/>
  <c r="CG139" i="164" s="1"/>
  <c r="BR77" i="164"/>
  <c r="BT77" i="164" s="1"/>
  <c r="BV77" i="164"/>
  <c r="BX77" i="164" s="1"/>
  <c r="BZ77" i="164" s="1"/>
  <c r="CB77" i="164" s="1"/>
  <c r="CF77" i="164" s="1"/>
  <c r="CJ77" i="164" s="1"/>
  <c r="CH413" i="164"/>
  <c r="AR413" i="164"/>
  <c r="AS413" i="164" s="1"/>
  <c r="AT413" i="164" s="1"/>
  <c r="CC413" i="164"/>
  <c r="CD413" i="164" s="1"/>
  <c r="AZ306" i="168"/>
  <c r="BC306" i="168" s="1"/>
  <c r="AW306" i="168"/>
  <c r="AI306" i="168"/>
  <c r="Y453" i="164"/>
  <c r="P453" i="164"/>
  <c r="CH304" i="164"/>
  <c r="CC304" i="164"/>
  <c r="CD304" i="164" s="1"/>
  <c r="AR304" i="164"/>
  <c r="AS304" i="164" s="1"/>
  <c r="AT304" i="164" s="1"/>
  <c r="BQ39" i="164"/>
  <c r="BS39" i="164" s="1"/>
  <c r="CG39" i="164" s="1"/>
  <c r="BU39" i="164"/>
  <c r="BW39" i="164" s="1"/>
  <c r="BY39" i="164" s="1"/>
  <c r="CA39" i="164" s="1"/>
  <c r="CE39" i="164" s="1"/>
  <c r="CI39" i="164" s="1"/>
  <c r="AU284" i="164"/>
  <c r="AV284" i="164"/>
  <c r="AW284" i="164" s="1"/>
  <c r="BP284" i="164" s="1"/>
  <c r="BN320" i="164"/>
  <c r="BQ237" i="164"/>
  <c r="BS237" i="164" s="1"/>
  <c r="CG237" i="164" s="1"/>
  <c r="BU237" i="164"/>
  <c r="BW237" i="164" s="1"/>
  <c r="BY237" i="164" s="1"/>
  <c r="CA237" i="164" s="1"/>
  <c r="CE237" i="164" s="1"/>
  <c r="CI237" i="164" s="1"/>
  <c r="BQ437" i="164"/>
  <c r="BS437" i="164" s="1"/>
  <c r="CG437" i="164" s="1"/>
  <c r="BU437" i="164"/>
  <c r="BW437" i="164" s="1"/>
  <c r="BY437" i="164" s="1"/>
  <c r="CA437" i="164" s="1"/>
  <c r="CE437" i="164" s="1"/>
  <c r="CI437" i="164" s="1"/>
  <c r="CH439" i="164"/>
  <c r="CC439" i="164"/>
  <c r="CD439" i="164" s="1"/>
  <c r="AR439" i="164"/>
  <c r="AS439" i="164" s="1"/>
  <c r="AT439" i="164" s="1"/>
  <c r="BR200" i="164"/>
  <c r="BT200" i="164" s="1"/>
  <c r="BV200" i="164"/>
  <c r="BX200" i="164" s="1"/>
  <c r="BZ200" i="164" s="1"/>
  <c r="CB200" i="164" s="1"/>
  <c r="CF200" i="164" s="1"/>
  <c r="CJ200" i="164" s="1"/>
  <c r="BR292" i="164"/>
  <c r="BT292" i="164" s="1"/>
  <c r="BV292" i="164"/>
  <c r="BX292" i="164" s="1"/>
  <c r="BZ292" i="164" s="1"/>
  <c r="CB292" i="164" s="1"/>
  <c r="CF292" i="164" s="1"/>
  <c r="CJ292" i="164" s="1"/>
  <c r="CH457" i="164"/>
  <c r="CC457" i="164"/>
  <c r="CD457" i="164" s="1"/>
  <c r="AR457" i="164"/>
  <c r="AS457" i="164" s="1"/>
  <c r="AT457" i="164" s="1"/>
  <c r="CC137" i="164"/>
  <c r="CD137" i="164" s="1"/>
  <c r="CH137" i="164"/>
  <c r="AR137" i="164"/>
  <c r="AS137" i="164" s="1"/>
  <c r="AT137" i="164" s="1"/>
  <c r="CH143" i="164"/>
  <c r="CC143" i="164"/>
  <c r="CD143" i="164" s="1"/>
  <c r="AR143" i="164"/>
  <c r="AS143" i="164" s="1"/>
  <c r="AT143" i="164" s="1"/>
  <c r="BQ483" i="164"/>
  <c r="BS483" i="164" s="1"/>
  <c r="CG483" i="164" s="1"/>
  <c r="BU483" i="164"/>
  <c r="BW483" i="164" s="1"/>
  <c r="BY483" i="164" s="1"/>
  <c r="CA483" i="164" s="1"/>
  <c r="CE483" i="164" s="1"/>
  <c r="CI483" i="164" s="1"/>
  <c r="AN485" i="164"/>
  <c r="AP485" i="164" s="1"/>
  <c r="AM484" i="164"/>
  <c r="DB163" i="168"/>
  <c r="BV282" i="164"/>
  <c r="BX282" i="164" s="1"/>
  <c r="BZ282" i="164" s="1"/>
  <c r="CB282" i="164" s="1"/>
  <c r="CF282" i="164" s="1"/>
  <c r="CJ282" i="164" s="1"/>
  <c r="BR282" i="164"/>
  <c r="BT282" i="164" s="1"/>
  <c r="CH455" i="164"/>
  <c r="CC455" i="164"/>
  <c r="CD455" i="164" s="1"/>
  <c r="AR455" i="164"/>
  <c r="AS455" i="164" s="1"/>
  <c r="AT455" i="164" s="1"/>
  <c r="BQ268" i="164"/>
  <c r="BS268" i="164" s="1"/>
  <c r="CG268" i="164" s="1"/>
  <c r="BU268" i="164"/>
  <c r="BW268" i="164" s="1"/>
  <c r="BY268" i="164" s="1"/>
  <c r="CA268" i="164" s="1"/>
  <c r="CE268" i="164" s="1"/>
  <c r="CI268" i="164" s="1"/>
  <c r="BM51" i="164"/>
  <c r="BD51" i="164"/>
  <c r="CW51" i="164" s="1"/>
  <c r="BE51" i="164"/>
  <c r="BZ293" i="164"/>
  <c r="CF293" i="164"/>
  <c r="CJ293" i="164" s="1"/>
  <c r="CB293" i="164"/>
  <c r="BR293" i="164"/>
  <c r="BV293" i="164"/>
  <c r="BX293" i="164"/>
  <c r="BT293" i="164"/>
  <c r="AU404" i="164"/>
  <c r="AV404" i="164"/>
  <c r="AW404" i="164" s="1"/>
  <c r="DB330" i="168"/>
  <c r="DC330" i="168"/>
  <c r="DD330" i="168"/>
  <c r="DE330" i="168"/>
  <c r="DF330" i="168"/>
  <c r="DG330" i="168"/>
  <c r="CV330" i="168"/>
  <c r="CW330" i="168"/>
  <c r="CY330" i="168"/>
  <c r="CZ330" i="168"/>
  <c r="DA330" i="168"/>
  <c r="P330" i="168"/>
  <c r="CB330" i="168" s="1"/>
  <c r="O330" i="168"/>
  <c r="BB330" i="168"/>
  <c r="DZ330" i="168"/>
  <c r="DY330" i="168"/>
  <c r="DW330" i="168"/>
  <c r="CF330" i="168"/>
  <c r="DV330" i="168"/>
  <c r="EB330" i="168"/>
  <c r="DX330" i="168"/>
  <c r="EA330" i="168"/>
  <c r="DU330" i="168"/>
  <c r="AS330" i="168"/>
  <c r="BD424" i="164"/>
  <c r="CW424" i="164" s="1"/>
  <c r="BE424" i="164"/>
  <c r="BM424" i="164"/>
  <c r="BE163" i="168"/>
  <c r="CA163" i="168"/>
  <c r="W163" i="168" s="1"/>
  <c r="BD163" i="168"/>
  <c r="BH163" i="168" s="1"/>
  <c r="BG163" i="168"/>
  <c r="BF163" i="168"/>
  <c r="AP163" i="168"/>
  <c r="BV316" i="164"/>
  <c r="BX316" i="164" s="1"/>
  <c r="BZ316" i="164" s="1"/>
  <c r="CB316" i="164" s="1"/>
  <c r="CF316" i="164" s="1"/>
  <c r="CJ316" i="164" s="1"/>
  <c r="BR316" i="164"/>
  <c r="BT316" i="164" s="1"/>
  <c r="BU200" i="164"/>
  <c r="BW200" i="164" s="1"/>
  <c r="BY200" i="164" s="1"/>
  <c r="CA200" i="164" s="1"/>
  <c r="CE200" i="164" s="1"/>
  <c r="CI200" i="164" s="1"/>
  <c r="BQ200" i="164"/>
  <c r="BS200" i="164" s="1"/>
  <c r="CG200" i="164" s="1"/>
  <c r="BQ68" i="164"/>
  <c r="BS68" i="164" s="1"/>
  <c r="CG68" i="164" s="1"/>
  <c r="BU68" i="164"/>
  <c r="BW68" i="164" s="1"/>
  <c r="BY68" i="164" s="1"/>
  <c r="CA68" i="164" s="1"/>
  <c r="CE68" i="164" s="1"/>
  <c r="CI68" i="164" s="1"/>
  <c r="Z115" i="164"/>
  <c r="AV115" i="164"/>
  <c r="CC260" i="164"/>
  <c r="CD260" i="164" s="1"/>
  <c r="CH260" i="164"/>
  <c r="AR260" i="164"/>
  <c r="AS260" i="164" s="1"/>
  <c r="AT260" i="164" s="1"/>
  <c r="G323" i="164"/>
  <c r="Y322" i="164"/>
  <c r="P322" i="164"/>
  <c r="CB194" i="164"/>
  <c r="BR194" i="164"/>
  <c r="CF194" i="164"/>
  <c r="CJ194" i="164" s="1"/>
  <c r="BT194" i="164"/>
  <c r="BX194" i="164"/>
  <c r="BZ194" i="164"/>
  <c r="BV194" i="164"/>
  <c r="BR329" i="164"/>
  <c r="BT329" i="164" s="1"/>
  <c r="BV329" i="164"/>
  <c r="BX329" i="164" s="1"/>
  <c r="BZ329" i="164" s="1"/>
  <c r="CB329" i="164" s="1"/>
  <c r="CF329" i="164" s="1"/>
  <c r="CJ329" i="164" s="1"/>
  <c r="BV102" i="164"/>
  <c r="BR102" i="164"/>
  <c r="CF102" i="164"/>
  <c r="CJ102" i="164" s="1"/>
  <c r="BX102" i="164"/>
  <c r="BZ102" i="164"/>
  <c r="CB102" i="164"/>
  <c r="BT102" i="164"/>
  <c r="CH210" i="164"/>
  <c r="CC210" i="164"/>
  <c r="CD210" i="164" s="1"/>
  <c r="AR210" i="164"/>
  <c r="AS210" i="164" s="1"/>
  <c r="AT210" i="164" s="1"/>
  <c r="BU283" i="164"/>
  <c r="BW283" i="164" s="1"/>
  <c r="BY283" i="164" s="1"/>
  <c r="CA283" i="164" s="1"/>
  <c r="CE283" i="164" s="1"/>
  <c r="CI283" i="164" s="1"/>
  <c r="BQ283" i="164"/>
  <c r="BS283" i="164" s="1"/>
  <c r="CG283" i="164" s="1"/>
  <c r="AB82" i="164"/>
  <c r="BN233" i="164"/>
  <c r="AN171" i="164"/>
  <c r="AP171" i="164" s="1"/>
  <c r="AM170" i="164"/>
  <c r="AU451" i="164"/>
  <c r="AV451" i="164"/>
  <c r="AW451" i="164" s="1"/>
  <c r="BP451" i="164" s="1"/>
  <c r="BV473" i="164"/>
  <c r="BX473" i="164" s="1"/>
  <c r="BZ473" i="164" s="1"/>
  <c r="CB473" i="164" s="1"/>
  <c r="CF473" i="164" s="1"/>
  <c r="CJ473" i="164" s="1"/>
  <c r="BR473" i="164"/>
  <c r="BT473" i="164" s="1"/>
  <c r="BN331" i="164"/>
  <c r="BO331" i="164" s="1"/>
  <c r="BQ244" i="164"/>
  <c r="BS244" i="164" s="1"/>
  <c r="CG244" i="164" s="1"/>
  <c r="BU244" i="164"/>
  <c r="BW244" i="164" s="1"/>
  <c r="BY244" i="164" s="1"/>
  <c r="CA244" i="164" s="1"/>
  <c r="CE244" i="164" s="1"/>
  <c r="CI244" i="164" s="1"/>
  <c r="BU122" i="164"/>
  <c r="BW122" i="164" s="1"/>
  <c r="BY122" i="164" s="1"/>
  <c r="CA122" i="164" s="1"/>
  <c r="CE122" i="164" s="1"/>
  <c r="CI122" i="164" s="1"/>
  <c r="BQ122" i="164"/>
  <c r="BS122" i="164" s="1"/>
  <c r="CG122" i="164" s="1"/>
  <c r="Z425" i="164"/>
  <c r="AZ425" i="164"/>
  <c r="CX425" i="164"/>
  <c r="K426" i="164"/>
  <c r="L426" i="164" s="1"/>
  <c r="BV307" i="164"/>
  <c r="BX307" i="164" s="1"/>
  <c r="BZ307" i="164" s="1"/>
  <c r="CB307" i="164" s="1"/>
  <c r="CF307" i="164" s="1"/>
  <c r="CJ307" i="164" s="1"/>
  <c r="BR307" i="164"/>
  <c r="BT307" i="164" s="1"/>
  <c r="BV78" i="164"/>
  <c r="BX78" i="164"/>
  <c r="BR78" i="164"/>
  <c r="BT78" i="164"/>
  <c r="BZ78" i="164"/>
  <c r="CB78" i="164"/>
  <c r="CF78" i="164"/>
  <c r="CJ78" i="164" s="1"/>
  <c r="BR461" i="164"/>
  <c r="BT461" i="164" s="1"/>
  <c r="BV461" i="164"/>
  <c r="BX461" i="164" s="1"/>
  <c r="BZ461" i="164" s="1"/>
  <c r="CB461" i="164" s="1"/>
  <c r="CF461" i="164" s="1"/>
  <c r="CJ461" i="164" s="1"/>
  <c r="DA238" i="168"/>
  <c r="BU97" i="164"/>
  <c r="BW97" i="164" s="1"/>
  <c r="BY97" i="164" s="1"/>
  <c r="CA97" i="164" s="1"/>
  <c r="CE97" i="164" s="1"/>
  <c r="CI97" i="164" s="1"/>
  <c r="BQ97" i="164"/>
  <c r="BS97" i="164" s="1"/>
  <c r="CG97" i="164" s="1"/>
  <c r="AN250" i="164"/>
  <c r="AP250" i="164" s="1"/>
  <c r="AM249" i="164"/>
  <c r="AU462" i="164"/>
  <c r="AV462" i="164"/>
  <c r="AW462" i="164" s="1"/>
  <c r="BP462" i="164" s="1"/>
  <c r="CH328" i="164"/>
  <c r="CC328" i="164"/>
  <c r="CD328" i="164" s="1"/>
  <c r="AR328" i="164"/>
  <c r="AS328" i="164" s="1"/>
  <c r="AT328" i="164" s="1"/>
  <c r="AN386" i="164"/>
  <c r="AP386" i="164" s="1"/>
  <c r="AM385" i="164"/>
  <c r="AC161" i="168"/>
  <c r="AF161" i="168" s="1"/>
  <c r="R338" i="164"/>
  <c r="AA338" i="164"/>
  <c r="Y172" i="164"/>
  <c r="P172" i="164"/>
  <c r="BQ196" i="164"/>
  <c r="BS196" i="164" s="1"/>
  <c r="CG196" i="164" s="1"/>
  <c r="BU196" i="164"/>
  <c r="BW196" i="164" s="1"/>
  <c r="BY196" i="164" s="1"/>
  <c r="CA196" i="164" s="1"/>
  <c r="CE196" i="164" s="1"/>
  <c r="CI196" i="164" s="1"/>
  <c r="AB375" i="164"/>
  <c r="AI375" i="164" s="1"/>
  <c r="BX503" i="168"/>
  <c r="BV467" i="164"/>
  <c r="BX467" i="164" s="1"/>
  <c r="BZ467" i="164" s="1"/>
  <c r="CB467" i="164" s="1"/>
  <c r="CF467" i="164" s="1"/>
  <c r="CJ467" i="164" s="1"/>
  <c r="BR467" i="164"/>
  <c r="BT467" i="164" s="1"/>
  <c r="BU292" i="164"/>
  <c r="BW292" i="164" s="1"/>
  <c r="BY292" i="164" s="1"/>
  <c r="CA292" i="164" s="1"/>
  <c r="CE292" i="164" s="1"/>
  <c r="CI292" i="164" s="1"/>
  <c r="BQ292" i="164"/>
  <c r="BS292" i="164" s="1"/>
  <c r="CG292" i="164" s="1"/>
  <c r="BN184" i="164"/>
  <c r="BQ79" i="164"/>
  <c r="BS79" i="164" s="1"/>
  <c r="CG79" i="164" s="1"/>
  <c r="BU79" i="164"/>
  <c r="BW79" i="164" s="1"/>
  <c r="BY79" i="164" s="1"/>
  <c r="CA79" i="164" s="1"/>
  <c r="CE79" i="164" s="1"/>
  <c r="CI79" i="164" s="1"/>
  <c r="AA249" i="164"/>
  <c r="R249" i="164"/>
  <c r="BQ336" i="164"/>
  <c r="BS336" i="164" s="1"/>
  <c r="CG336" i="164" s="1"/>
  <c r="BU336" i="164"/>
  <c r="BW336" i="164" s="1"/>
  <c r="BY336" i="164" s="1"/>
  <c r="CA336" i="164" s="1"/>
  <c r="CE336" i="164" s="1"/>
  <c r="CI336" i="164" s="1"/>
  <c r="AR176" i="164"/>
  <c r="AS176" i="164" s="1"/>
  <c r="AT176" i="164" s="1"/>
  <c r="CC176" i="164"/>
  <c r="CD176" i="164" s="1"/>
  <c r="CH176" i="164"/>
  <c r="BN224" i="164"/>
  <c r="BO224" i="164" s="1"/>
  <c r="BU328" i="168"/>
  <c r="AU328" i="168"/>
  <c r="BQ87" i="164"/>
  <c r="BS87" i="164" s="1"/>
  <c r="CG87" i="164" s="1"/>
  <c r="BU87" i="164"/>
  <c r="BW87" i="164" s="1"/>
  <c r="BY87" i="164" s="1"/>
  <c r="CA87" i="164" s="1"/>
  <c r="CE87" i="164" s="1"/>
  <c r="CI87" i="164" s="1"/>
  <c r="CR237" i="168"/>
  <c r="CT237" i="168" s="1"/>
  <c r="AM40" i="164"/>
  <c r="AN41" i="164"/>
  <c r="AP41" i="164" s="1"/>
  <c r="AA470" i="164"/>
  <c r="R470" i="164"/>
  <c r="BQ216" i="164"/>
  <c r="BS216" i="164" s="1"/>
  <c r="CG216" i="164" s="1"/>
  <c r="BU216" i="164"/>
  <c r="BW216" i="164" s="1"/>
  <c r="BY216" i="164" s="1"/>
  <c r="CA216" i="164" s="1"/>
  <c r="CE216" i="164" s="1"/>
  <c r="CI216" i="164" s="1"/>
  <c r="BR268" i="164"/>
  <c r="BT268" i="164" s="1"/>
  <c r="BV268" i="164"/>
  <c r="BX268" i="164" s="1"/>
  <c r="BZ268" i="164" s="1"/>
  <c r="CB268" i="164" s="1"/>
  <c r="CF268" i="164" s="1"/>
  <c r="CJ268" i="164" s="1"/>
  <c r="BN452" i="164"/>
  <c r="BR160" i="164"/>
  <c r="BT160" i="164" s="1"/>
  <c r="BV160" i="164"/>
  <c r="BX160" i="164" s="1"/>
  <c r="BZ160" i="164" s="1"/>
  <c r="CB160" i="164" s="1"/>
  <c r="CF160" i="164" s="1"/>
  <c r="CJ160" i="164" s="1"/>
  <c r="CH93" i="164"/>
  <c r="CC93" i="164"/>
  <c r="CD93" i="164" s="1"/>
  <c r="AR93" i="164"/>
  <c r="AS93" i="164" s="1"/>
  <c r="AT93" i="164" s="1"/>
  <c r="BD185" i="164"/>
  <c r="CW185" i="164" s="1"/>
  <c r="BE185" i="164"/>
  <c r="BM185" i="164"/>
  <c r="BU245" i="164"/>
  <c r="BW245" i="164" s="1"/>
  <c r="BY245" i="164" s="1"/>
  <c r="CA245" i="164" s="1"/>
  <c r="CE245" i="164" s="1"/>
  <c r="CI245" i="164" s="1"/>
  <c r="BQ245" i="164"/>
  <c r="BS245" i="164" s="1"/>
  <c r="CG245" i="164" s="1"/>
  <c r="Z237" i="168"/>
  <c r="BV237" i="168"/>
  <c r="CG237" i="168" s="1"/>
  <c r="BY237" i="168"/>
  <c r="AR75" i="164"/>
  <c r="AS75" i="164" s="1"/>
  <c r="AT75" i="164" s="1"/>
  <c r="CH75" i="164"/>
  <c r="R486" i="164"/>
  <c r="AA486" i="164"/>
  <c r="BU293" i="164"/>
  <c r="BW293" i="164" s="1"/>
  <c r="BY293" i="164" s="1"/>
  <c r="CA293" i="164" s="1"/>
  <c r="CE293" i="164" s="1"/>
  <c r="CI293" i="164" s="1"/>
  <c r="BQ293" i="164"/>
  <c r="BS293" i="164" s="1"/>
  <c r="CG293" i="164" s="1"/>
  <c r="CC401" i="164"/>
  <c r="CD401" i="164" s="1"/>
  <c r="CH401" i="164"/>
  <c r="AR401" i="164"/>
  <c r="AS401" i="164" s="1"/>
  <c r="AT401" i="164" s="1"/>
  <c r="BQ279" i="164"/>
  <c r="BS279" i="164" s="1"/>
  <c r="CG279" i="164" s="1"/>
  <c r="BU279" i="164"/>
  <c r="BW279" i="164" s="1"/>
  <c r="BY279" i="164" s="1"/>
  <c r="CA279" i="164" s="1"/>
  <c r="CE279" i="164" s="1"/>
  <c r="CI279" i="164" s="1"/>
  <c r="BQ118" i="164"/>
  <c r="BS118" i="164" s="1"/>
  <c r="CG118" i="164" s="1"/>
  <c r="BU118" i="164"/>
  <c r="BW118" i="164" s="1"/>
  <c r="BY118" i="164" s="1"/>
  <c r="CA118" i="164" s="1"/>
  <c r="CE118" i="164" s="1"/>
  <c r="CI118" i="164" s="1"/>
  <c r="AZ172" i="164"/>
  <c r="Z172" i="164"/>
  <c r="CX172" i="164"/>
  <c r="Z328" i="168"/>
  <c r="BV328" i="168"/>
  <c r="CG328" i="168" s="1"/>
  <c r="BY328" i="168"/>
  <c r="BE470" i="164"/>
  <c r="BD470" i="164"/>
  <c r="CW470" i="164" s="1"/>
  <c r="BM470" i="164"/>
  <c r="BQ77" i="164"/>
  <c r="BS77" i="164" s="1"/>
  <c r="CG77" i="164" s="1"/>
  <c r="BU77" i="164"/>
  <c r="BW77" i="164" s="1"/>
  <c r="BY77" i="164" s="1"/>
  <c r="CA77" i="164" s="1"/>
  <c r="CE77" i="164" s="1"/>
  <c r="CI77" i="164" s="1"/>
  <c r="Z486" i="164"/>
  <c r="AZ486" i="164"/>
  <c r="CX486" i="164"/>
  <c r="K487" i="164"/>
  <c r="L487" i="164" s="1"/>
  <c r="BU102" i="164"/>
  <c r="BW102" i="164" s="1"/>
  <c r="BY102" i="164" s="1"/>
  <c r="CA102" i="164" s="1"/>
  <c r="CE102" i="164" s="1"/>
  <c r="CI102" i="164" s="1"/>
  <c r="BQ102" i="164"/>
  <c r="BS102" i="164" s="1"/>
  <c r="CG102" i="164" s="1"/>
  <c r="BQ307" i="164"/>
  <c r="BS307" i="164" s="1"/>
  <c r="BU307" i="164"/>
  <c r="BW307" i="164" s="1"/>
  <c r="BY307" i="164" s="1"/>
  <c r="CA307" i="164" s="1"/>
  <c r="CE307" i="164" s="1"/>
  <c r="CI307" i="164" s="1"/>
  <c r="BV129" i="164"/>
  <c r="BX129" i="164" s="1"/>
  <c r="BZ129" i="164" s="1"/>
  <c r="CB129" i="164" s="1"/>
  <c r="CF129" i="164" s="1"/>
  <c r="CJ129" i="164" s="1"/>
  <c r="BR129" i="164"/>
  <c r="BT129" i="164" s="1"/>
  <c r="R321" i="164"/>
  <c r="AA321" i="164"/>
  <c r="BQ406" i="164"/>
  <c r="BS406" i="164" s="1"/>
  <c r="CG406" i="164" s="1"/>
  <c r="BU406" i="164"/>
  <c r="BW406" i="164" s="1"/>
  <c r="BY406" i="164" s="1"/>
  <c r="CA406" i="164" s="1"/>
  <c r="CE406" i="164" s="1"/>
  <c r="CI406" i="164" s="1"/>
  <c r="BR97" i="164"/>
  <c r="BT97" i="164"/>
  <c r="CF97" i="164"/>
  <c r="CJ97" i="164" s="1"/>
  <c r="BX97" i="164"/>
  <c r="CB97" i="164"/>
  <c r="BV97" i="164"/>
  <c r="BZ97" i="164"/>
  <c r="AV81" i="164"/>
  <c r="AW81" i="164" s="1"/>
  <c r="BQ247" i="164"/>
  <c r="BS247" i="164" s="1"/>
  <c r="CG247" i="164" s="1"/>
  <c r="BU247" i="164"/>
  <c r="BW247" i="164" s="1"/>
  <c r="BY247" i="164" s="1"/>
  <c r="CA247" i="164" s="1"/>
  <c r="CE247" i="164" s="1"/>
  <c r="CI247" i="164" s="1"/>
  <c r="CH252" i="164"/>
  <c r="CC252" i="164"/>
  <c r="CD252" i="164" s="1"/>
  <c r="AR252" i="164"/>
  <c r="AS252" i="164" s="1"/>
  <c r="AT252" i="164" s="1"/>
  <c r="AM463" i="164"/>
  <c r="AN464" i="164"/>
  <c r="AU384" i="164"/>
  <c r="AV384" i="164"/>
  <c r="AW384" i="164" s="1"/>
  <c r="AZ161" i="168"/>
  <c r="AI161" i="168"/>
  <c r="AW161" i="168"/>
  <c r="CX255" i="164"/>
  <c r="BD255" i="164" s="1"/>
  <c r="CW255" i="164" s="1"/>
  <c r="AZ42" i="164"/>
  <c r="Y339" i="164"/>
  <c r="P339" i="164"/>
  <c r="G340" i="164"/>
  <c r="H340" i="164" s="1"/>
  <c r="BN384" i="164"/>
  <c r="BO384" i="164" s="1"/>
  <c r="CH400" i="164"/>
  <c r="CC400" i="164"/>
  <c r="CD400" i="164" s="1"/>
  <c r="AR400" i="164"/>
  <c r="AS400" i="164" s="1"/>
  <c r="AT400" i="164" s="1"/>
  <c r="BV254" i="164"/>
  <c r="BX254" i="164" s="1"/>
  <c r="BZ254" i="164" s="1"/>
  <c r="CB254" i="164" s="1"/>
  <c r="CF254" i="164" s="1"/>
  <c r="CJ254" i="164" s="1"/>
  <c r="BR254" i="164"/>
  <c r="BT254" i="164" s="1"/>
  <c r="BR503" i="168"/>
  <c r="BJ159" i="164"/>
  <c r="CK159" i="164" s="1"/>
  <c r="A160" i="164"/>
  <c r="CH503" i="168"/>
  <c r="AD134" i="168"/>
  <c r="AG134" i="168" s="1"/>
  <c r="BO40" i="164"/>
  <c r="CX339" i="164"/>
  <c r="Z339" i="164"/>
  <c r="AZ339" i="164"/>
  <c r="K340" i="164"/>
  <c r="L340" i="164" s="1"/>
  <c r="BQ44" i="164"/>
  <c r="BS44" i="164" s="1"/>
  <c r="CG44" i="164" s="1"/>
  <c r="BU44" i="164"/>
  <c r="BW44" i="164" s="1"/>
  <c r="BY44" i="164" s="1"/>
  <c r="CA44" i="164" s="1"/>
  <c r="CE44" i="164" s="1"/>
  <c r="CI44" i="164" s="1"/>
  <c r="CC465" i="164"/>
  <c r="CD465" i="164" s="1"/>
  <c r="CH465" i="164"/>
  <c r="AR465" i="164"/>
  <c r="AS465" i="164" s="1"/>
  <c r="AT465" i="164" s="1"/>
  <c r="AT237" i="168"/>
  <c r="BQ236" i="164"/>
  <c r="BS236" i="164" s="1"/>
  <c r="CG236" i="164" s="1"/>
  <c r="BU236" i="164"/>
  <c r="BW236" i="164" s="1"/>
  <c r="BY236" i="164" s="1"/>
  <c r="CA236" i="164" s="1"/>
  <c r="CE236" i="164" s="1"/>
  <c r="CI236" i="164" s="1"/>
  <c r="BR236" i="164"/>
  <c r="BT236" i="164" s="1"/>
  <c r="BV236" i="164"/>
  <c r="BX236" i="164" s="1"/>
  <c r="BZ236" i="164" s="1"/>
  <c r="CB236" i="164" s="1"/>
  <c r="CF236" i="164" s="1"/>
  <c r="CJ236" i="164" s="1"/>
  <c r="BR476" i="164"/>
  <c r="BT476" i="164" s="1"/>
  <c r="BV476" i="164"/>
  <c r="BX476" i="164" s="1"/>
  <c r="BZ476" i="164" s="1"/>
  <c r="CB476" i="164" s="1"/>
  <c r="CF476" i="164" s="1"/>
  <c r="CJ476" i="164" s="1"/>
  <c r="BD202" i="164"/>
  <c r="CW202" i="164" s="1"/>
  <c r="BE202" i="164"/>
  <c r="BM202" i="164"/>
  <c r="BV298" i="164"/>
  <c r="BX298" i="164" s="1"/>
  <c r="BZ298" i="164" s="1"/>
  <c r="CB298" i="164" s="1"/>
  <c r="CF298" i="164" s="1"/>
  <c r="CJ298" i="164" s="1"/>
  <c r="BR298" i="164"/>
  <c r="BT298" i="164" s="1"/>
  <c r="BR145" i="164"/>
  <c r="BT145" i="164" s="1"/>
  <c r="BV145" i="164"/>
  <c r="BX145" i="164" s="1"/>
  <c r="BZ145" i="164" s="1"/>
  <c r="CB145" i="164" s="1"/>
  <c r="CF145" i="164" s="1"/>
  <c r="CJ145" i="164" s="1"/>
  <c r="BQ460" i="164"/>
  <c r="BS460" i="164" s="1"/>
  <c r="CG460" i="164" s="1"/>
  <c r="BU460" i="164"/>
  <c r="BW460" i="164" s="1"/>
  <c r="BY460" i="164" s="1"/>
  <c r="CA460" i="164" s="1"/>
  <c r="CE460" i="164" s="1"/>
  <c r="CI460" i="164" s="1"/>
  <c r="BT242" i="164"/>
  <c r="CF242" i="164"/>
  <c r="CJ242" i="164" s="1"/>
  <c r="BV242" i="164"/>
  <c r="BX242" i="164"/>
  <c r="BZ242" i="164"/>
  <c r="CB242" i="164"/>
  <c r="BR242" i="164"/>
  <c r="AD329" i="168"/>
  <c r="AG329" i="168" s="1"/>
  <c r="BU221" i="164"/>
  <c r="BW221" i="164" s="1"/>
  <c r="BY221" i="164" s="1"/>
  <c r="CA221" i="164" s="1"/>
  <c r="CE221" i="164" s="1"/>
  <c r="CI221" i="164" s="1"/>
  <c r="BQ221" i="164"/>
  <c r="BS221" i="164" s="1"/>
  <c r="CG221" i="164" s="1"/>
  <c r="BQ310" i="164"/>
  <c r="BS310" i="164" s="1"/>
  <c r="CG310" i="164" s="1"/>
  <c r="BU310" i="164"/>
  <c r="BW310" i="164" s="1"/>
  <c r="BY310" i="164" s="1"/>
  <c r="CA310" i="164" s="1"/>
  <c r="CE310" i="164" s="1"/>
  <c r="CI310" i="164" s="1"/>
  <c r="BV283" i="164"/>
  <c r="BX283" i="164" s="1"/>
  <c r="BZ283" i="164" s="1"/>
  <c r="CB283" i="164" s="1"/>
  <c r="CF283" i="164" s="1"/>
  <c r="CJ283" i="164" s="1"/>
  <c r="BR283" i="164"/>
  <c r="BT283" i="164" s="1"/>
  <c r="BU389" i="164"/>
  <c r="BW389" i="164" s="1"/>
  <c r="BY389" i="164" s="1"/>
  <c r="CA389" i="164" s="1"/>
  <c r="CE389" i="164" s="1"/>
  <c r="CI389" i="164" s="1"/>
  <c r="BQ389" i="164"/>
  <c r="BS389" i="164" s="1"/>
  <c r="CG389" i="164" s="1"/>
  <c r="AW163" i="164"/>
  <c r="BP163" i="164" s="1"/>
  <c r="BO163" i="164"/>
  <c r="BR310" i="164"/>
  <c r="BT310" i="164" s="1"/>
  <c r="BV310" i="164"/>
  <c r="BX310" i="164" s="1"/>
  <c r="BZ310" i="164" s="1"/>
  <c r="CB310" i="164" s="1"/>
  <c r="CF310" i="164" s="1"/>
  <c r="CJ310" i="164" s="1"/>
  <c r="CC380" i="164"/>
  <c r="CD380" i="164" s="1"/>
  <c r="CH380" i="164"/>
  <c r="AR380" i="164"/>
  <c r="AS380" i="164" s="1"/>
  <c r="AT380" i="164" s="1"/>
  <c r="BP79" i="164"/>
  <c r="BR312" i="164"/>
  <c r="BT312" i="164" s="1"/>
  <c r="BV312" i="164"/>
  <c r="BX312" i="164" s="1"/>
  <c r="BZ312" i="164" s="1"/>
  <c r="CB312" i="164" s="1"/>
  <c r="CF312" i="164" s="1"/>
  <c r="CJ312" i="164" s="1"/>
  <c r="AT155" i="168"/>
  <c r="BQ71" i="164"/>
  <c r="BS71" i="164" s="1"/>
  <c r="CG71" i="164" s="1"/>
  <c r="BU71" i="164"/>
  <c r="BW71" i="164" s="1"/>
  <c r="BY71" i="164" s="1"/>
  <c r="CA71" i="164" s="1"/>
  <c r="CE71" i="164" s="1"/>
  <c r="CI71" i="164" s="1"/>
  <c r="CH266" i="164"/>
  <c r="CC266" i="164"/>
  <c r="CD266" i="164" s="1"/>
  <c r="AR266" i="164"/>
  <c r="AS266" i="164" s="1"/>
  <c r="AT266" i="164" s="1"/>
  <c r="CC480" i="164"/>
  <c r="CD480" i="164" s="1"/>
  <c r="CH480" i="164"/>
  <c r="AR480" i="164"/>
  <c r="AS480" i="164" s="1"/>
  <c r="AT480" i="164" s="1"/>
  <c r="CO148" i="168"/>
  <c r="CH372" i="164"/>
  <c r="AR372" i="164"/>
  <c r="AS372" i="164" s="1"/>
  <c r="AT372" i="164" s="1"/>
  <c r="CC372" i="164"/>
  <c r="CD372" i="164" s="1"/>
  <c r="BQ129" i="164"/>
  <c r="BS129" i="164" s="1"/>
  <c r="CG129" i="164" s="1"/>
  <c r="BU129" i="164"/>
  <c r="BW129" i="164" s="1"/>
  <c r="BY129" i="164" s="1"/>
  <c r="CA129" i="164" s="1"/>
  <c r="CE129" i="164" s="1"/>
  <c r="CI129" i="164" s="1"/>
  <c r="BV406" i="164"/>
  <c r="BR406" i="164"/>
  <c r="BT406" i="164" s="1"/>
  <c r="BX406" i="164"/>
  <c r="BZ406" i="164" s="1"/>
  <c r="CB406" i="164" s="1"/>
  <c r="CF406" i="164" s="1"/>
  <c r="CJ406" i="164" s="1"/>
  <c r="CX82" i="164"/>
  <c r="Z82" i="164"/>
  <c r="AZ82" i="164"/>
  <c r="K83" i="164"/>
  <c r="L83" i="164" s="1"/>
  <c r="AA286" i="164"/>
  <c r="R286" i="164"/>
  <c r="BR38" i="164"/>
  <c r="BT38" i="164" s="1"/>
  <c r="BV38" i="164"/>
  <c r="BX38" i="164" s="1"/>
  <c r="BZ38" i="164" s="1"/>
  <c r="CB38" i="164" s="1"/>
  <c r="CF38" i="164" s="1"/>
  <c r="CJ38" i="164" s="1"/>
  <c r="CX453" i="164"/>
  <c r="AN215" i="164"/>
  <c r="AM214" i="164"/>
  <c r="BM385" i="164"/>
  <c r="BE385" i="164"/>
  <c r="BD385" i="164"/>
  <c r="CW385" i="164" s="1"/>
  <c r="BE329" i="168"/>
  <c r="BF329" i="168"/>
  <c r="BG329" i="168"/>
  <c r="CA329" i="168"/>
  <c r="W329" i="168" s="1"/>
  <c r="BD329" i="168"/>
  <c r="BH329" i="168" s="1"/>
  <c r="AP329" i="168"/>
  <c r="BQ459" i="164"/>
  <c r="BS459" i="164" s="1"/>
  <c r="CG459" i="164" s="1"/>
  <c r="BU459" i="164"/>
  <c r="BW459" i="164" s="1"/>
  <c r="BY459" i="164" s="1"/>
  <c r="CA459" i="164" s="1"/>
  <c r="CE459" i="164" s="1"/>
  <c r="CI459" i="164" s="1"/>
  <c r="CG148" i="168"/>
  <c r="BQ254" i="164"/>
  <c r="BS254" i="164" s="1"/>
  <c r="CG254" i="164" s="1"/>
  <c r="BU254" i="164"/>
  <c r="BW254" i="164" s="1"/>
  <c r="BY254" i="164" s="1"/>
  <c r="CA254" i="164" s="1"/>
  <c r="CE254" i="164" s="1"/>
  <c r="CI254" i="164" s="1"/>
  <c r="BR318" i="164"/>
  <c r="BT318" i="164" s="1"/>
  <c r="BV318" i="164"/>
  <c r="BX318" i="164" s="1"/>
  <c r="BZ318" i="164" s="1"/>
  <c r="CB318" i="164" s="1"/>
  <c r="CF318" i="164" s="1"/>
  <c r="CJ318" i="164" s="1"/>
  <c r="AW134" i="168"/>
  <c r="BW503" i="168"/>
  <c r="BN127" i="164"/>
  <c r="BR238" i="164"/>
  <c r="BT238" i="164" s="1"/>
  <c r="BV238" i="164"/>
  <c r="BX238" i="164" s="1"/>
  <c r="BZ238" i="164" s="1"/>
  <c r="CB238" i="164" s="1"/>
  <c r="CF238" i="164" s="1"/>
  <c r="CJ238" i="164" s="1"/>
  <c r="AC228" i="168"/>
  <c r="AF228" i="168" s="1"/>
  <c r="BQ449" i="164"/>
  <c r="BS449" i="164" s="1"/>
  <c r="CG449" i="164" s="1"/>
  <c r="BU449" i="164"/>
  <c r="BW449" i="164" s="1"/>
  <c r="BY449" i="164" s="1"/>
  <c r="CA449" i="164" s="1"/>
  <c r="CE449" i="164" s="1"/>
  <c r="CI449" i="164" s="1"/>
  <c r="AU483" i="164"/>
  <c r="AV483" i="164"/>
  <c r="AW483" i="164" s="1"/>
  <c r="BP483" i="164" s="1"/>
  <c r="CC444" i="164"/>
  <c r="CD444" i="164" s="1"/>
  <c r="AR444" i="164"/>
  <c r="AS444" i="164" s="1"/>
  <c r="AT444" i="164" s="1"/>
  <c r="CH444" i="164"/>
  <c r="BQ282" i="164"/>
  <c r="BS282" i="164" s="1"/>
  <c r="CG282" i="164" s="1"/>
  <c r="BU282" i="164"/>
  <c r="BW282" i="164" s="1"/>
  <c r="BY282" i="164" s="1"/>
  <c r="CA282" i="164" s="1"/>
  <c r="CE282" i="164" s="1"/>
  <c r="CI282" i="164" s="1"/>
  <c r="BQ319" i="164"/>
  <c r="BS319" i="164" s="1"/>
  <c r="CG319" i="164" s="1"/>
  <c r="BU319" i="164"/>
  <c r="BW319" i="164" s="1"/>
  <c r="BY319" i="164" s="1"/>
  <c r="CA319" i="164" s="1"/>
  <c r="CE319" i="164" s="1"/>
  <c r="CI319" i="164" s="1"/>
  <c r="AA452" i="164"/>
  <c r="R452" i="164"/>
  <c r="BV146" i="164"/>
  <c r="BX146" i="164" s="1"/>
  <c r="BZ146" i="164" s="1"/>
  <c r="CB146" i="164" s="1"/>
  <c r="CF146" i="164" s="1"/>
  <c r="CJ146" i="164" s="1"/>
  <c r="BR146" i="164"/>
  <c r="BT146" i="164" s="1"/>
  <c r="BQ158" i="164"/>
  <c r="BS158" i="164" s="1"/>
  <c r="CG158" i="164" s="1"/>
  <c r="BU158" i="164"/>
  <c r="BW158" i="164" s="1"/>
  <c r="BY158" i="164" s="1"/>
  <c r="CA158" i="164" s="1"/>
  <c r="CE158" i="164" s="1"/>
  <c r="CI158" i="164" s="1"/>
  <c r="AN83" i="164"/>
  <c r="AP83" i="164" s="1"/>
  <c r="AM82" i="164"/>
  <c r="AU82" i="164" s="1"/>
  <c r="CH267" i="164"/>
  <c r="AR267" i="164"/>
  <c r="AS267" i="164" s="1"/>
  <c r="AT267" i="164" s="1"/>
  <c r="CC267" i="164"/>
  <c r="CD267" i="164" s="1"/>
  <c r="CC246" i="164"/>
  <c r="CD246" i="164" s="1"/>
  <c r="CH246" i="164"/>
  <c r="AR246" i="164"/>
  <c r="AS246" i="164" s="1"/>
  <c r="AT246" i="164" s="1"/>
  <c r="BQ298" i="164"/>
  <c r="BS298" i="164" s="1"/>
  <c r="CG298" i="164" s="1"/>
  <c r="BU298" i="164"/>
  <c r="BW298" i="164" s="1"/>
  <c r="BY298" i="164" s="1"/>
  <c r="CA298" i="164" s="1"/>
  <c r="CE298" i="164" s="1"/>
  <c r="CI298" i="164" s="1"/>
  <c r="AA233" i="164"/>
  <c r="R233" i="164"/>
  <c r="BN201" i="164"/>
  <c r="BO201" i="164" s="1"/>
  <c r="BU120" i="164"/>
  <c r="BW120" i="164" s="1"/>
  <c r="BY120" i="164" s="1"/>
  <c r="CA120" i="164" s="1"/>
  <c r="CE120" i="164" s="1"/>
  <c r="CI120" i="164" s="1"/>
  <c r="BQ120" i="164"/>
  <c r="BS120" i="164" s="1"/>
  <c r="CG120" i="164" s="1"/>
  <c r="CX329" i="168"/>
  <c r="BN80" i="164"/>
  <c r="BO80" i="164" s="1"/>
  <c r="BD321" i="164"/>
  <c r="CW321" i="164" s="1"/>
  <c r="BM321" i="164"/>
  <c r="BE321" i="164"/>
  <c r="CB241" i="164"/>
  <c r="BR241" i="164"/>
  <c r="CF241" i="164"/>
  <c r="CJ241" i="164" s="1"/>
  <c r="BT241" i="164"/>
  <c r="BV241" i="164"/>
  <c r="BX241" i="164"/>
  <c r="BZ241" i="164"/>
  <c r="BC305" i="168"/>
  <c r="BU135" i="164"/>
  <c r="BW135" i="164" s="1"/>
  <c r="BY135" i="164" s="1"/>
  <c r="CA135" i="164" s="1"/>
  <c r="CE135" i="164" s="1"/>
  <c r="CI135" i="164" s="1"/>
  <c r="BQ135" i="164"/>
  <c r="BS135" i="164" s="1"/>
  <c r="BM255" i="164"/>
  <c r="BR68" i="164"/>
  <c r="BT68" i="164" s="1"/>
  <c r="BV68" i="164"/>
  <c r="BX68" i="164" s="1"/>
  <c r="BZ68" i="164" s="1"/>
  <c r="CB68" i="164" s="1"/>
  <c r="CF68" i="164" s="1"/>
  <c r="CJ68" i="164" s="1"/>
  <c r="Y234" i="164"/>
  <c r="P234" i="164"/>
  <c r="G225" i="164"/>
  <c r="H225" i="164" s="1"/>
  <c r="BQ30" i="164"/>
  <c r="BS30" i="164" s="1"/>
  <c r="CG30" i="164" s="1"/>
  <c r="BU30" i="164"/>
  <c r="BW30" i="164" s="1"/>
  <c r="BY30" i="164" s="1"/>
  <c r="CA30" i="164" s="1"/>
  <c r="CE30" i="164" s="1"/>
  <c r="CI30" i="164" s="1"/>
  <c r="BD171" i="164"/>
  <c r="CW171" i="164" s="1"/>
  <c r="BM171" i="164"/>
  <c r="BE171" i="164"/>
  <c r="BQ193" i="164"/>
  <c r="BS193" i="164" s="1"/>
  <c r="CG193" i="164" s="1"/>
  <c r="BU193" i="164"/>
  <c r="BW193" i="164" s="1"/>
  <c r="BY193" i="164" s="1"/>
  <c r="CA193" i="164" s="1"/>
  <c r="CE193" i="164" s="1"/>
  <c r="CI193" i="164" s="1"/>
  <c r="BQ448" i="164"/>
  <c r="BS448" i="164" s="1"/>
  <c r="CG448" i="164" s="1"/>
  <c r="BU448" i="164"/>
  <c r="BW448" i="164" s="1"/>
  <c r="BY448" i="164" s="1"/>
  <c r="CA448" i="164" s="1"/>
  <c r="CE448" i="164" s="1"/>
  <c r="CI448" i="164" s="1"/>
  <c r="BU208" i="164"/>
  <c r="BW208" i="164" s="1"/>
  <c r="BY208" i="164" s="1"/>
  <c r="CA208" i="164" s="1"/>
  <c r="CE208" i="164" s="1"/>
  <c r="CI208" i="164" s="1"/>
  <c r="BQ208" i="164"/>
  <c r="BS208" i="164" s="1"/>
  <c r="CG208" i="164" s="1"/>
  <c r="AN424" i="164"/>
  <c r="AP424" i="164" s="1"/>
  <c r="AM423" i="164"/>
  <c r="AV109" i="164"/>
  <c r="BN214" i="164"/>
  <c r="CT134" i="168"/>
  <c r="BX193" i="164"/>
  <c r="BZ193" i="164"/>
  <c r="CB193" i="164"/>
  <c r="BR193" i="164"/>
  <c r="CF193" i="164"/>
  <c r="CJ193" i="164" s="1"/>
  <c r="BT193" i="164"/>
  <c r="BV193" i="164"/>
  <c r="BR448" i="164"/>
  <c r="BT448" i="164" s="1"/>
  <c r="BV448" i="164"/>
  <c r="BX448" i="164" s="1"/>
  <c r="BZ448" i="164" s="1"/>
  <c r="CB448" i="164" s="1"/>
  <c r="CF448" i="164" s="1"/>
  <c r="CJ448" i="164" s="1"/>
  <c r="CN238" i="168"/>
  <c r="CK238" i="168"/>
  <c r="CQ238" i="168" s="1"/>
  <c r="CM238" i="168"/>
  <c r="CP238" i="168" s="1"/>
  <c r="CS238" i="168"/>
  <c r="BT208" i="164"/>
  <c r="CF208" i="164"/>
  <c r="CJ208" i="164" s="1"/>
  <c r="BR208" i="164"/>
  <c r="BV208" i="164"/>
  <c r="BX208" i="164"/>
  <c r="BZ208" i="164"/>
  <c r="CB208" i="164"/>
  <c r="AZ228" i="168"/>
  <c r="AI228" i="168"/>
  <c r="AW228" i="168"/>
  <c r="CC431" i="164"/>
  <c r="CD431" i="164" s="1"/>
  <c r="CH431" i="164"/>
  <c r="AR431" i="164"/>
  <c r="AS431" i="164" s="1"/>
  <c r="AT431" i="164" s="1"/>
  <c r="AU232" i="164"/>
  <c r="AV232" i="164"/>
  <c r="G110" i="164"/>
  <c r="H110" i="164" s="1"/>
  <c r="Y109" i="164"/>
  <c r="G115" i="164"/>
  <c r="H115" i="164" s="1"/>
  <c r="CX115" i="164" s="1"/>
  <c r="P109" i="164"/>
  <c r="BV117" i="164"/>
  <c r="BX117" i="164" s="1"/>
  <c r="BZ117" i="164" s="1"/>
  <c r="CB117" i="164" s="1"/>
  <c r="CF117" i="164" s="1"/>
  <c r="CJ117" i="164" s="1"/>
  <c r="BR117" i="164"/>
  <c r="BT117" i="164" s="1"/>
  <c r="CC141" i="164"/>
  <c r="CD141" i="164" s="1"/>
  <c r="CG141" i="164"/>
  <c r="CH95" i="164"/>
  <c r="CC95" i="164"/>
  <c r="CD95" i="164" s="1"/>
  <c r="AR95" i="164"/>
  <c r="AS95" i="164" s="1"/>
  <c r="AT95" i="164" s="1"/>
  <c r="BU218" i="164"/>
  <c r="BW218" i="164" s="1"/>
  <c r="BY218" i="164" s="1"/>
  <c r="CA218" i="164" s="1"/>
  <c r="CE218" i="164" s="1"/>
  <c r="CI218" i="164" s="1"/>
  <c r="BQ218" i="164"/>
  <c r="BS218" i="164" s="1"/>
  <c r="CG218" i="164" s="1"/>
  <c r="BU312" i="164"/>
  <c r="BW312" i="164" s="1"/>
  <c r="BY312" i="164" s="1"/>
  <c r="CA312" i="164" s="1"/>
  <c r="CE312" i="164" s="1"/>
  <c r="CI312" i="164" s="1"/>
  <c r="BQ312" i="164"/>
  <c r="BS312" i="164" s="1"/>
  <c r="CG312" i="164" s="1"/>
  <c r="BQ205" i="164"/>
  <c r="BS205" i="164" s="1"/>
  <c r="CG205" i="164" s="1"/>
  <c r="BU205" i="164"/>
  <c r="BW205" i="164" s="1"/>
  <c r="BY205" i="164" s="1"/>
  <c r="CA205" i="164" s="1"/>
  <c r="CE205" i="164" s="1"/>
  <c r="CI205" i="164" s="1"/>
  <c r="AZ287" i="164"/>
  <c r="CX287" i="164"/>
  <c r="K288" i="164"/>
  <c r="L288" i="164" s="1"/>
  <c r="Z287" i="164"/>
  <c r="BQ481" i="164"/>
  <c r="BS481" i="164" s="1"/>
  <c r="CG481" i="164" s="1"/>
  <c r="BU481" i="164"/>
  <c r="BW481" i="164" s="1"/>
  <c r="BY481" i="164" s="1"/>
  <c r="CA481" i="164" s="1"/>
  <c r="CE481" i="164" s="1"/>
  <c r="CI481" i="164" s="1"/>
  <c r="Z226" i="164"/>
  <c r="K227" i="164"/>
  <c r="L227" i="164" s="1"/>
  <c r="BR71" i="164"/>
  <c r="BT71" i="164" s="1"/>
  <c r="BV71" i="164"/>
  <c r="BX71" i="164" s="1"/>
  <c r="BZ71" i="164" s="1"/>
  <c r="CB71" i="164" s="1"/>
  <c r="CF71" i="164" s="1"/>
  <c r="CJ71" i="164" s="1"/>
  <c r="BU72" i="164"/>
  <c r="BW72" i="164" s="1"/>
  <c r="BY72" i="164" s="1"/>
  <c r="CA72" i="164" s="1"/>
  <c r="CE72" i="164" s="1"/>
  <c r="CI72" i="164" s="1"/>
  <c r="BQ72" i="164"/>
  <c r="BS72" i="164" s="1"/>
  <c r="CG72" i="164" s="1"/>
  <c r="Z162" i="168"/>
  <c r="BV162" i="168"/>
  <c r="CG162" i="168" s="1"/>
  <c r="BY162" i="168"/>
  <c r="BP118" i="164"/>
  <c r="BU428" i="164"/>
  <c r="BW428" i="164" s="1"/>
  <c r="BY428" i="164" s="1"/>
  <c r="CA428" i="164" s="1"/>
  <c r="CE428" i="164" s="1"/>
  <c r="CI428" i="164" s="1"/>
  <c r="BQ428" i="164"/>
  <c r="BS428" i="164" s="1"/>
  <c r="CG428" i="164" s="1"/>
  <c r="BN404" i="164"/>
  <c r="AU213" i="164"/>
  <c r="AV213" i="164"/>
  <c r="AW213" i="164" s="1"/>
  <c r="BP213" i="164" s="1"/>
  <c r="BV459" i="164"/>
  <c r="BX459" i="164" s="1"/>
  <c r="BZ459" i="164" s="1"/>
  <c r="CB459" i="164" s="1"/>
  <c r="CF459" i="164" s="1"/>
  <c r="CJ459" i="164" s="1"/>
  <c r="BR459" i="164"/>
  <c r="BT459" i="164"/>
  <c r="BU318" i="164"/>
  <c r="BW318" i="164" s="1"/>
  <c r="BY318" i="164" s="1"/>
  <c r="CA318" i="164" s="1"/>
  <c r="CE318" i="164" s="1"/>
  <c r="CI318" i="164" s="1"/>
  <c r="BQ318" i="164"/>
  <c r="BS318" i="164" s="1"/>
  <c r="CG318" i="164" s="1"/>
  <c r="BV435" i="164"/>
  <c r="BX435" i="164" s="1"/>
  <c r="BZ435" i="164" s="1"/>
  <c r="CB435" i="164" s="1"/>
  <c r="CF435" i="164" s="1"/>
  <c r="CJ435" i="164" s="1"/>
  <c r="BR435" i="164"/>
  <c r="BT435" i="164" s="1"/>
  <c r="AU320" i="164"/>
  <c r="AV320" i="164"/>
  <c r="BU374" i="164"/>
  <c r="BW374" i="164" s="1"/>
  <c r="BY374" i="164" s="1"/>
  <c r="CA374" i="164" s="1"/>
  <c r="CE374" i="164" s="1"/>
  <c r="CI374" i="164" s="1"/>
  <c r="BQ374" i="164"/>
  <c r="BS374" i="164" s="1"/>
  <c r="CG374" i="164" s="1"/>
  <c r="AV332" i="164"/>
  <c r="AW332" i="164" s="1"/>
  <c r="AD228" i="168"/>
  <c r="AG228" i="168" s="1"/>
  <c r="BQ220" i="164"/>
  <c r="BS220" i="164" s="1"/>
  <c r="CG220" i="164" s="1"/>
  <c r="BU220" i="164"/>
  <c r="BW220" i="164" s="1"/>
  <c r="BY220" i="164" s="1"/>
  <c r="CA220" i="164" s="1"/>
  <c r="CE220" i="164" s="1"/>
  <c r="CI220" i="164" s="1"/>
  <c r="BH155" i="168"/>
  <c r="BQ482" i="164"/>
  <c r="BS482" i="164" s="1"/>
  <c r="CG482" i="164" s="1"/>
  <c r="BU482" i="164"/>
  <c r="BW482" i="164" s="1"/>
  <c r="BY482" i="164" s="1"/>
  <c r="CA482" i="164" s="1"/>
  <c r="CE482" i="164" s="1"/>
  <c r="CI482" i="164" s="1"/>
  <c r="BQ383" i="164"/>
  <c r="BS383" i="164" s="1"/>
  <c r="CG383" i="164" s="1"/>
  <c r="BU383" i="164"/>
  <c r="BW383" i="164" s="1"/>
  <c r="BY383" i="164" s="1"/>
  <c r="CA383" i="164" s="1"/>
  <c r="CE383" i="164" s="1"/>
  <c r="CI383" i="164" s="1"/>
  <c r="BE109" i="164"/>
  <c r="BD109" i="164"/>
  <c r="CW109" i="164" s="1"/>
  <c r="BM109" i="164"/>
  <c r="CC154" i="164"/>
  <c r="CD154" i="164" s="1"/>
  <c r="AR154" i="164"/>
  <c r="AS154" i="164" s="1"/>
  <c r="AT154" i="164" s="1"/>
  <c r="CH154" i="164"/>
  <c r="BQ212" i="164"/>
  <c r="BS212" i="164" s="1"/>
  <c r="CG212" i="164" s="1"/>
  <c r="BU212" i="164"/>
  <c r="BW212" i="164" s="1"/>
  <c r="BY212" i="164" s="1"/>
  <c r="CA212" i="164" s="1"/>
  <c r="CE212" i="164" s="1"/>
  <c r="CI212" i="164" s="1"/>
  <c r="BR371" i="164"/>
  <c r="BT371" i="164" s="1"/>
  <c r="BV371" i="164"/>
  <c r="BX371" i="164" s="1"/>
  <c r="BZ371" i="164" s="1"/>
  <c r="CB371" i="164" s="1"/>
  <c r="CF371" i="164" s="1"/>
  <c r="CJ371" i="164" s="1"/>
  <c r="Y52" i="164"/>
  <c r="G53" i="164"/>
  <c r="H53" i="164" s="1"/>
  <c r="P52" i="164"/>
  <c r="CC429" i="164"/>
  <c r="CD429" i="164" s="1"/>
  <c r="CH429" i="164"/>
  <c r="AR429" i="164"/>
  <c r="AS429" i="164" s="1"/>
  <c r="AT429" i="164" s="1"/>
  <c r="BQ168" i="164"/>
  <c r="BS168" i="164" s="1"/>
  <c r="CG168" i="164" s="1"/>
  <c r="BU168" i="164"/>
  <c r="BW168" i="164" s="1"/>
  <c r="BY168" i="164" s="1"/>
  <c r="CA168" i="164" s="1"/>
  <c r="CE168" i="164" s="1"/>
  <c r="CI168" i="164" s="1"/>
  <c r="AM301" i="164"/>
  <c r="AN302" i="164"/>
  <c r="AP302" i="164" s="1"/>
  <c r="AU375" i="164"/>
  <c r="AV375" i="164"/>
  <c r="BR26" i="164"/>
  <c r="BT26" i="164" s="1"/>
  <c r="BV26" i="164"/>
  <c r="BX26" i="164" s="1"/>
  <c r="BZ26" i="164" s="1"/>
  <c r="CB26" i="164" s="1"/>
  <c r="CF26" i="164" s="1"/>
  <c r="CJ26" i="164" s="1"/>
  <c r="CC28" i="164"/>
  <c r="CD28" i="164" s="1"/>
  <c r="CH28" i="164"/>
  <c r="AR28" i="164"/>
  <c r="AS28" i="164" s="1"/>
  <c r="AT28" i="164" s="1"/>
  <c r="BU371" i="164"/>
  <c r="BW371" i="164" s="1"/>
  <c r="BY371" i="164" s="1"/>
  <c r="CA371" i="164" s="1"/>
  <c r="CE371" i="164" s="1"/>
  <c r="CI371" i="164" s="1"/>
  <c r="BQ371" i="164"/>
  <c r="BS371" i="164" s="1"/>
  <c r="CG371" i="164" s="1"/>
  <c r="BR279" i="164"/>
  <c r="BT279" i="164"/>
  <c r="BV279" i="164"/>
  <c r="BX279" i="164" s="1"/>
  <c r="BZ279" i="164" s="1"/>
  <c r="CB279" i="164" s="1"/>
  <c r="CF279" i="164" s="1"/>
  <c r="CJ279" i="164" s="1"/>
  <c r="BV139" i="164"/>
  <c r="BX139" i="164" s="1"/>
  <c r="BZ139" i="164" s="1"/>
  <c r="CB139" i="164" s="1"/>
  <c r="CF139" i="164" s="1"/>
  <c r="CJ139" i="164" s="1"/>
  <c r="BR139" i="164"/>
  <c r="BT139" i="164" s="1"/>
  <c r="CH478" i="164"/>
  <c r="CC478" i="164"/>
  <c r="CD478" i="164" s="1"/>
  <c r="AR478" i="164"/>
  <c r="AS478" i="164" s="1"/>
  <c r="AT478" i="164" s="1"/>
  <c r="AM186" i="164"/>
  <c r="AU186" i="164" s="1"/>
  <c r="AN187" i="164"/>
  <c r="AP187" i="164" s="1"/>
  <c r="CX186" i="164"/>
  <c r="K187" i="164"/>
  <c r="L187" i="164" s="1"/>
  <c r="AZ186" i="164"/>
  <c r="Z186" i="164"/>
  <c r="BN248" i="164"/>
  <c r="BQ194" i="164"/>
  <c r="BS194" i="164" s="1"/>
  <c r="CG194" i="164" s="1"/>
  <c r="BU194" i="164"/>
  <c r="BW194" i="164" s="1"/>
  <c r="BY194" i="164" s="1"/>
  <c r="CA194" i="164" s="1"/>
  <c r="CE194" i="164" s="1"/>
  <c r="CI194" i="164" s="1"/>
  <c r="BR389" i="164"/>
  <c r="BT389" i="164" s="1"/>
  <c r="BV389" i="164"/>
  <c r="BX389" i="164" s="1"/>
  <c r="BZ389" i="164" s="1"/>
  <c r="CB389" i="164" s="1"/>
  <c r="CF389" i="164" s="1"/>
  <c r="CJ389" i="164" s="1"/>
  <c r="AU169" i="164"/>
  <c r="AV169" i="164"/>
  <c r="AW169" i="164" s="1"/>
  <c r="BP169" i="164" s="1"/>
  <c r="AM452" i="164"/>
  <c r="AN453" i="164"/>
  <c r="AP453" i="164" s="1"/>
  <c r="BQ451" i="164"/>
  <c r="BS451" i="164" s="1"/>
  <c r="CG451" i="164" s="1"/>
  <c r="BU451" i="164"/>
  <c r="BW451" i="164" s="1"/>
  <c r="BY451" i="164" s="1"/>
  <c r="CA451" i="164" s="1"/>
  <c r="CE451" i="164" s="1"/>
  <c r="CI451" i="164" s="1"/>
  <c r="CU330" i="168"/>
  <c r="CJ330" i="168"/>
  <c r="CW331" i="164"/>
  <c r="BN301" i="164"/>
  <c r="BO301" i="164" s="1"/>
  <c r="BX221" i="164"/>
  <c r="BZ221" i="164"/>
  <c r="CF221" i="164"/>
  <c r="CJ221" i="164" s="1"/>
  <c r="BR221" i="164"/>
  <c r="BT221" i="164"/>
  <c r="BV221" i="164"/>
  <c r="CB221" i="164"/>
  <c r="BD485" i="164"/>
  <c r="CW485" i="164" s="1"/>
  <c r="BM485" i="164"/>
  <c r="BE485" i="164"/>
  <c r="AU49" i="164"/>
  <c r="AV49" i="164"/>
  <c r="AW49" i="164" s="1"/>
  <c r="BP49" i="164" s="1"/>
  <c r="AU422" i="164"/>
  <c r="AV422" i="164"/>
  <c r="AW422" i="164" s="1"/>
  <c r="BP422" i="164" s="1"/>
  <c r="AU223" i="164"/>
  <c r="AV223" i="164"/>
  <c r="AW223" i="164" s="1"/>
  <c r="BP223" i="164" s="1"/>
  <c r="BV220" i="164"/>
  <c r="BR220" i="164"/>
  <c r="BT220" i="164" s="1"/>
  <c r="BX220" i="164"/>
  <c r="BZ220" i="164" s="1"/>
  <c r="CB220" i="164" s="1"/>
  <c r="CF220" i="164" s="1"/>
  <c r="CJ220" i="164" s="1"/>
  <c r="BU22" i="164"/>
  <c r="BW22" i="164" s="1"/>
  <c r="BY22" i="164" s="1"/>
  <c r="CA22" i="164" s="1"/>
  <c r="CE22" i="164" s="1"/>
  <c r="CI22" i="164" s="1"/>
  <c r="BQ22" i="164"/>
  <c r="BS22" i="164" s="1"/>
  <c r="CG22" i="164" s="1"/>
  <c r="BV44" i="164"/>
  <c r="BX44" i="164" s="1"/>
  <c r="BZ44" i="164" s="1"/>
  <c r="CB44" i="164" s="1"/>
  <c r="CF44" i="164" s="1"/>
  <c r="CJ44" i="164" s="1"/>
  <c r="BR44" i="164"/>
  <c r="BT44" i="164" s="1"/>
  <c r="CL155" i="168"/>
  <c r="CO155" i="168" s="1"/>
  <c r="AN234" i="164"/>
  <c r="AP234" i="164" s="1"/>
  <c r="AM234" i="164" s="1"/>
  <c r="AM233" i="164"/>
  <c r="BA136" i="168"/>
  <c r="AR136" i="168" s="1"/>
  <c r="BR381" i="164"/>
  <c r="BT381" i="164"/>
  <c r="CF381" i="164"/>
  <c r="CJ381" i="164" s="1"/>
  <c r="BV381" i="164"/>
  <c r="BX381" i="164"/>
  <c r="BZ381" i="164"/>
  <c r="CB381" i="164"/>
  <c r="R127" i="164"/>
  <c r="AA127" i="164"/>
  <c r="AB485" i="164"/>
  <c r="AI485" i="164" s="1"/>
  <c r="BR218" i="164"/>
  <c r="BT218" i="164" s="1"/>
  <c r="BV218" i="164"/>
  <c r="BX218" i="164" s="1"/>
  <c r="BZ218" i="164" s="1"/>
  <c r="CB218" i="164" s="1"/>
  <c r="CF218" i="164" s="1"/>
  <c r="CJ218" i="164" s="1"/>
  <c r="BR32" i="164"/>
  <c r="BT32" i="164" s="1"/>
  <c r="BV32" i="164"/>
  <c r="BX32" i="164" s="1"/>
  <c r="BZ32" i="164" s="1"/>
  <c r="CB32" i="164" s="1"/>
  <c r="CF32" i="164" s="1"/>
  <c r="CJ32" i="164" s="1"/>
  <c r="BV205" i="164"/>
  <c r="BX205" i="164" s="1"/>
  <c r="BZ205" i="164" s="1"/>
  <c r="CB205" i="164" s="1"/>
  <c r="CF205" i="164" s="1"/>
  <c r="CJ205" i="164" s="1"/>
  <c r="BR205" i="164"/>
  <c r="BT205" i="164" s="1"/>
  <c r="AF147" i="168"/>
  <c r="AQ147" i="168" s="1"/>
  <c r="BR481" i="164"/>
  <c r="BT481" i="164" s="1"/>
  <c r="BV481" i="164"/>
  <c r="BX481" i="164" s="1"/>
  <c r="BZ481" i="164" s="1"/>
  <c r="CB481" i="164" s="1"/>
  <c r="CF481" i="164" s="1"/>
  <c r="CJ481" i="164" s="1"/>
  <c r="BU407" i="164"/>
  <c r="BW407" i="164" s="1"/>
  <c r="BY407" i="164" s="1"/>
  <c r="CA407" i="164" s="1"/>
  <c r="CE407" i="164" s="1"/>
  <c r="CI407" i="164" s="1"/>
  <c r="BQ407" i="164"/>
  <c r="BS407" i="164" s="1"/>
  <c r="CG407" i="164" s="1"/>
  <c r="AB417" i="164"/>
  <c r="AI417" i="164" s="1"/>
  <c r="BQ148" i="164"/>
  <c r="BS148" i="164" s="1"/>
  <c r="BU148" i="164"/>
  <c r="BW148" i="164" s="1"/>
  <c r="BY148" i="164" s="1"/>
  <c r="CA148" i="164" s="1"/>
  <c r="CE148" i="164" s="1"/>
  <c r="CI148" i="164" s="1"/>
  <c r="BV72" i="164"/>
  <c r="BX72" i="164" s="1"/>
  <c r="BZ72" i="164" s="1"/>
  <c r="CB72" i="164" s="1"/>
  <c r="CF72" i="164" s="1"/>
  <c r="CJ72" i="164" s="1"/>
  <c r="BR72" i="164"/>
  <c r="BT72" i="164" s="1"/>
  <c r="AD331" i="168"/>
  <c r="AG331" i="168" s="1"/>
  <c r="BQ238" i="164"/>
  <c r="BS238" i="164" s="1"/>
  <c r="BU238" i="164"/>
  <c r="BW238" i="164" s="1"/>
  <c r="BY238" i="164" s="1"/>
  <c r="CA238" i="164" s="1"/>
  <c r="CE238" i="164" s="1"/>
  <c r="CI238" i="164" s="1"/>
  <c r="BD238" i="168"/>
  <c r="BH238" i="168" s="1"/>
  <c r="CA238" i="168"/>
  <c r="W238" i="168" s="1"/>
  <c r="BE238" i="168"/>
  <c r="BG238" i="168"/>
  <c r="BF238" i="168"/>
  <c r="AP238" i="168"/>
  <c r="BQ35" i="164"/>
  <c r="BS35" i="164" s="1"/>
  <c r="CG35" i="164" s="1"/>
  <c r="BU35" i="164"/>
  <c r="BW35" i="164" s="1"/>
  <c r="BY35" i="164" s="1"/>
  <c r="CA35" i="164" s="1"/>
  <c r="CE35" i="164" s="1"/>
  <c r="CI35" i="164" s="1"/>
  <c r="BV428" i="164"/>
  <c r="BX428" i="164" s="1"/>
  <c r="BZ428" i="164" s="1"/>
  <c r="CB428" i="164" s="1"/>
  <c r="CF428" i="164" s="1"/>
  <c r="CJ428" i="164" s="1"/>
  <c r="BR428" i="164"/>
  <c r="BT428" i="164" s="1"/>
  <c r="CL328" i="168"/>
  <c r="CO328" i="168" s="1"/>
  <c r="CR328" i="168" s="1"/>
  <c r="BN170" i="164"/>
  <c r="G288" i="164"/>
  <c r="H288" i="164" s="1"/>
  <c r="Y287" i="164"/>
  <c r="P287" i="164"/>
  <c r="AM110" i="164"/>
  <c r="AU110" i="164" s="1"/>
  <c r="AN111" i="164"/>
  <c r="AP111" i="164" s="1"/>
  <c r="AZ453" i="164"/>
  <c r="CX42" i="164"/>
  <c r="AF305" i="168"/>
  <c r="AQ305" i="168" s="1"/>
  <c r="BN285" i="164"/>
  <c r="AF140" i="168"/>
  <c r="AA425" i="164"/>
  <c r="R425" i="164"/>
  <c r="AM126" i="164"/>
  <c r="AN127" i="164"/>
  <c r="AP127" i="164" s="1"/>
  <c r="BQ74" i="164"/>
  <c r="BS74" i="164" s="1"/>
  <c r="CG74" i="164" s="1"/>
  <c r="BU74" i="164"/>
  <c r="BW74" i="164" s="1"/>
  <c r="BY74" i="164" s="1"/>
  <c r="CA74" i="164" s="1"/>
  <c r="CE74" i="164" s="1"/>
  <c r="CI74" i="164" s="1"/>
  <c r="BQ435" i="164"/>
  <c r="BS435" i="164" s="1"/>
  <c r="CG435" i="164" s="1"/>
  <c r="BU435" i="164"/>
  <c r="BW435" i="164" s="1"/>
  <c r="BY435" i="164" s="1"/>
  <c r="CA435" i="164" s="1"/>
  <c r="CE435" i="164" s="1"/>
  <c r="CI435" i="164" s="1"/>
  <c r="AN322" i="164"/>
  <c r="AP322" i="164" s="1"/>
  <c r="AM321" i="164"/>
  <c r="H37" i="127"/>
  <c r="G28" i="14"/>
  <c r="G27" i="14"/>
  <c r="G26" i="14"/>
  <c r="G29" i="14"/>
  <c r="G30" i="14"/>
  <c r="G31" i="14"/>
  <c r="BO404" i="164" l="1"/>
  <c r="AW248" i="164"/>
  <c r="BO248" i="164"/>
  <c r="BU248" i="164" s="1"/>
  <c r="BW248" i="164" s="1"/>
  <c r="BY248" i="164" s="1"/>
  <c r="CA248" i="164" s="1"/>
  <c r="CE248" i="164" s="1"/>
  <c r="CI248" i="164" s="1"/>
  <c r="AB286" i="164"/>
  <c r="AI286" i="164" s="1"/>
  <c r="AB171" i="164"/>
  <c r="AI171" i="164" s="1"/>
  <c r="AV186" i="164"/>
  <c r="AR420" i="164"/>
  <c r="AS420" i="164" s="1"/>
  <c r="AT420" i="164" s="1"/>
  <c r="CH317" i="164"/>
  <c r="AR317" i="164"/>
  <c r="AS317" i="164" s="1"/>
  <c r="AT317" i="164" s="1"/>
  <c r="AW232" i="164"/>
  <c r="BP232" i="164" s="1"/>
  <c r="BR232" i="164" s="1"/>
  <c r="BT232" i="164" s="1"/>
  <c r="CC420" i="164"/>
  <c r="CD420" i="164" s="1"/>
  <c r="BO170" i="164"/>
  <c r="BQ170" i="164" s="1"/>
  <c r="BS170" i="164" s="1"/>
  <c r="CG170" i="164" s="1"/>
  <c r="CH432" i="164"/>
  <c r="AR432" i="164"/>
  <c r="AS432" i="164" s="1"/>
  <c r="AT432" i="164" s="1"/>
  <c r="CH197" i="164"/>
  <c r="CC414" i="164"/>
  <c r="CD414" i="164" s="1"/>
  <c r="CC197" i="164"/>
  <c r="CD197" i="164" s="1"/>
  <c r="CC33" i="164"/>
  <c r="CD33" i="164" s="1"/>
  <c r="BO50" i="164"/>
  <c r="BQ50" i="164" s="1"/>
  <c r="BS50" i="164" s="1"/>
  <c r="CG50" i="164" s="1"/>
  <c r="BX247" i="164"/>
  <c r="BV247" i="164"/>
  <c r="BR247" i="164"/>
  <c r="CB247" i="164"/>
  <c r="BT247" i="164"/>
  <c r="AR247" i="164" s="1"/>
  <c r="AS247" i="164" s="1"/>
  <c r="AT247" i="164" s="1"/>
  <c r="AR103" i="164"/>
  <c r="AS103" i="164" s="1"/>
  <c r="AT103" i="164" s="1"/>
  <c r="CC103" i="164"/>
  <c r="CD103" i="164" s="1"/>
  <c r="BO232" i="164"/>
  <c r="BU232" i="164" s="1"/>
  <c r="BW232" i="164" s="1"/>
  <c r="BY232" i="164" s="1"/>
  <c r="CA232" i="164" s="1"/>
  <c r="CE232" i="164" s="1"/>
  <c r="CI232" i="164" s="1"/>
  <c r="CF247" i="164"/>
  <c r="CJ247" i="164" s="1"/>
  <c r="E58" i="169"/>
  <c r="CC75" i="164"/>
  <c r="CD75" i="164" s="1"/>
  <c r="CC394" i="164"/>
  <c r="CD394" i="164" s="1"/>
  <c r="CC167" i="164"/>
  <c r="CD167" i="164" s="1"/>
  <c r="CC123" i="164"/>
  <c r="CD123" i="164" s="1"/>
  <c r="AR167" i="164"/>
  <c r="AS167" i="164" s="1"/>
  <c r="AT167" i="164" s="1"/>
  <c r="E59" i="169"/>
  <c r="G59" i="169" s="1"/>
  <c r="CC29" i="164"/>
  <c r="CD29" i="164" s="1"/>
  <c r="CC390" i="164"/>
  <c r="CD390" i="164" s="1"/>
  <c r="CC149" i="164"/>
  <c r="CD149" i="164" s="1"/>
  <c r="CC334" i="164"/>
  <c r="CD334" i="164" s="1"/>
  <c r="AR390" i="164"/>
  <c r="AS390" i="164" s="1"/>
  <c r="AT390" i="164" s="1"/>
  <c r="CK163" i="168"/>
  <c r="CQ163" i="168" s="1"/>
  <c r="CC466" i="164"/>
  <c r="CD466" i="164" s="1"/>
  <c r="CC230" i="164"/>
  <c r="CD230" i="164" s="1"/>
  <c r="CM163" i="168"/>
  <c r="CP163" i="168" s="1"/>
  <c r="CS163" i="168"/>
  <c r="CH466" i="164"/>
  <c r="BO184" i="164"/>
  <c r="BQ184" i="164" s="1"/>
  <c r="BS184" i="164" s="1"/>
  <c r="CG184" i="164" s="1"/>
  <c r="BM250" i="164"/>
  <c r="BN250" i="164" s="1"/>
  <c r="BE250" i="164"/>
  <c r="BO164" i="164"/>
  <c r="BQ164" i="164" s="1"/>
  <c r="BS164" i="164" s="1"/>
  <c r="CG164" i="164" s="1"/>
  <c r="BE234" i="164"/>
  <c r="BD234" i="164"/>
  <c r="CW234" i="164" s="1"/>
  <c r="AB486" i="164"/>
  <c r="AB233" i="164"/>
  <c r="AI233" i="164" s="1"/>
  <c r="BO233" i="164" s="1"/>
  <c r="AB425" i="164"/>
  <c r="AB321" i="164"/>
  <c r="AI321" i="164" s="1"/>
  <c r="AB51" i="164"/>
  <c r="AI51" i="164" s="1"/>
  <c r="AB338" i="164"/>
  <c r="AI338" i="164" s="1"/>
  <c r="AB41" i="164"/>
  <c r="AI41" i="164" s="1"/>
  <c r="BO41" i="164" s="1"/>
  <c r="BR335" i="164"/>
  <c r="BT335" i="164" s="1"/>
  <c r="BV335" i="164"/>
  <c r="BX335" i="164" s="1"/>
  <c r="BZ335" i="164" s="1"/>
  <c r="CB335" i="164" s="1"/>
  <c r="CF335" i="164" s="1"/>
  <c r="CJ335" i="164" s="1"/>
  <c r="AU336" i="164"/>
  <c r="AV336" i="164"/>
  <c r="AW336" i="164" s="1"/>
  <c r="BP336" i="164" s="1"/>
  <c r="AN339" i="164"/>
  <c r="AP339" i="164" s="1"/>
  <c r="AN342" i="164"/>
  <c r="AP342" i="164" s="1"/>
  <c r="AM338" i="164"/>
  <c r="AV337" i="164"/>
  <c r="AW337" i="164" s="1"/>
  <c r="BP337" i="164" s="1"/>
  <c r="BR337" i="164" s="1"/>
  <c r="BT337" i="164" s="1"/>
  <c r="AU337" i="164"/>
  <c r="CC106" i="164"/>
  <c r="CD106" i="164" s="1"/>
  <c r="CH106" i="164"/>
  <c r="AR183" i="164"/>
  <c r="AS183" i="164" s="1"/>
  <c r="AT183" i="164" s="1"/>
  <c r="AR382" i="164"/>
  <c r="AS382" i="164" s="1"/>
  <c r="AT382" i="164" s="1"/>
  <c r="CC183" i="164"/>
  <c r="CD183" i="164" s="1"/>
  <c r="CH373" i="164"/>
  <c r="CC64" i="164"/>
  <c r="CD64" i="164" s="1"/>
  <c r="AR373" i="164"/>
  <c r="AS373" i="164" s="1"/>
  <c r="AT373" i="164" s="1"/>
  <c r="CC382" i="164"/>
  <c r="CD382" i="164" s="1"/>
  <c r="CC402" i="164"/>
  <c r="CD402" i="164" s="1"/>
  <c r="AR402" i="164"/>
  <c r="AS402" i="164" s="1"/>
  <c r="AT402" i="164" s="1"/>
  <c r="BA161" i="168"/>
  <c r="AR161" i="168" s="1"/>
  <c r="BC161" i="168"/>
  <c r="AG503" i="168"/>
  <c r="E17" i="169" s="1"/>
  <c r="G17" i="169" s="1"/>
  <c r="BR416" i="164"/>
  <c r="BT416" i="164" s="1"/>
  <c r="CH416" i="164" s="1"/>
  <c r="E42" i="56"/>
  <c r="E43" i="56"/>
  <c r="E40" i="56"/>
  <c r="E41" i="56"/>
  <c r="BR374" i="164"/>
  <c r="BT374" i="164" s="1"/>
  <c r="CC374" i="164" s="1"/>
  <c r="CD374" i="164" s="1"/>
  <c r="CC156" i="164"/>
  <c r="CD156" i="164" s="1"/>
  <c r="CH130" i="164"/>
  <c r="AR130" i="164"/>
  <c r="AS130" i="164" s="1"/>
  <c r="AT130" i="164" s="1"/>
  <c r="BR107" i="164"/>
  <c r="BT107" i="164" s="1"/>
  <c r="CH107" i="164" s="1"/>
  <c r="BA148" i="168"/>
  <c r="AR148" i="168" s="1"/>
  <c r="BV403" i="164"/>
  <c r="BX403" i="164" s="1"/>
  <c r="BZ403" i="164" s="1"/>
  <c r="CB403" i="164" s="1"/>
  <c r="CF403" i="164" s="1"/>
  <c r="CJ403" i="164" s="1"/>
  <c r="BR330" i="164"/>
  <c r="BT330" i="164" s="1"/>
  <c r="CC330" i="164" s="1"/>
  <c r="CD330" i="164" s="1"/>
  <c r="BE255" i="164"/>
  <c r="BZ383" i="164"/>
  <c r="CC415" i="164"/>
  <c r="CD415" i="164" s="1"/>
  <c r="BX383" i="164"/>
  <c r="CB383" i="164"/>
  <c r="BV383" i="164"/>
  <c r="BR383" i="164"/>
  <c r="BT383" i="164"/>
  <c r="AR415" i="164"/>
  <c r="AS415" i="164" s="1"/>
  <c r="AT415" i="164" s="1"/>
  <c r="BV269" i="164"/>
  <c r="BX269" i="164" s="1"/>
  <c r="BZ269" i="164" s="1"/>
  <c r="CB269" i="164" s="1"/>
  <c r="CF269" i="164" s="1"/>
  <c r="CJ269" i="164" s="1"/>
  <c r="BA306" i="168"/>
  <c r="AR306" i="168" s="1"/>
  <c r="AI425" i="164"/>
  <c r="BV437" i="164"/>
  <c r="BX437" i="164" s="1"/>
  <c r="BZ437" i="164" s="1"/>
  <c r="CB437" i="164" s="1"/>
  <c r="CF437" i="164" s="1"/>
  <c r="CJ437" i="164" s="1"/>
  <c r="CL238" i="168"/>
  <c r="CO238" i="168" s="1"/>
  <c r="CR238" i="168" s="1"/>
  <c r="CT238" i="168" s="1"/>
  <c r="BP384" i="164"/>
  <c r="BZ384" i="164" s="1"/>
  <c r="BP404" i="164"/>
  <c r="BR404" i="164" s="1"/>
  <c r="BT404" i="164" s="1"/>
  <c r="CT162" i="168"/>
  <c r="CH48" i="164"/>
  <c r="CC48" i="164"/>
  <c r="CD48" i="164" s="1"/>
  <c r="AR48" i="164"/>
  <c r="AS48" i="164" s="1"/>
  <c r="AT48" i="164" s="1"/>
  <c r="AR62" i="164"/>
  <c r="AS62" i="164" s="1"/>
  <c r="AT62" i="164" s="1"/>
  <c r="CC62" i="164"/>
  <c r="CD62" i="164" s="1"/>
  <c r="CH62" i="164"/>
  <c r="CH298" i="164"/>
  <c r="CC298" i="164"/>
  <c r="CD298" i="164" s="1"/>
  <c r="AR298" i="164"/>
  <c r="AS298" i="164" s="1"/>
  <c r="AT298" i="164" s="1"/>
  <c r="CC129" i="164"/>
  <c r="CD129" i="164" s="1"/>
  <c r="CH129" i="164"/>
  <c r="AR129" i="164"/>
  <c r="AS129" i="164" s="1"/>
  <c r="AT129" i="164" s="1"/>
  <c r="CH437" i="164"/>
  <c r="AR437" i="164"/>
  <c r="AS437" i="164" s="1"/>
  <c r="AT437" i="164" s="1"/>
  <c r="CH307" i="164"/>
  <c r="AR307" i="164"/>
  <c r="AS307" i="164" s="1"/>
  <c r="AT307" i="164" s="1"/>
  <c r="CC200" i="164"/>
  <c r="CD200" i="164" s="1"/>
  <c r="CH200" i="164"/>
  <c r="AR200" i="164"/>
  <c r="AS200" i="164" s="1"/>
  <c r="AT200" i="164" s="1"/>
  <c r="AR403" i="164"/>
  <c r="AS403" i="164" s="1"/>
  <c r="AT403" i="164" s="1"/>
  <c r="CH403" i="164"/>
  <c r="CC32" i="164"/>
  <c r="CD32" i="164" s="1"/>
  <c r="CH32" i="164"/>
  <c r="AR32" i="164"/>
  <c r="AS32" i="164" s="1"/>
  <c r="AT32" i="164" s="1"/>
  <c r="CH238" i="164"/>
  <c r="AR238" i="164"/>
  <c r="AS238" i="164" s="1"/>
  <c r="AT238" i="164" s="1"/>
  <c r="CC69" i="164"/>
  <c r="CD69" i="164" s="1"/>
  <c r="CH69" i="164"/>
  <c r="AR69" i="164"/>
  <c r="AS69" i="164" s="1"/>
  <c r="AT69" i="164" s="1"/>
  <c r="BQ404" i="164"/>
  <c r="BS404" i="164" s="1"/>
  <c r="CG404" i="164" s="1"/>
  <c r="BU404" i="164"/>
  <c r="BW404" i="164" s="1"/>
  <c r="BY404" i="164" s="1"/>
  <c r="CA404" i="164" s="1"/>
  <c r="CE404" i="164" s="1"/>
  <c r="CI404" i="164" s="1"/>
  <c r="CC461" i="164"/>
  <c r="CD461" i="164" s="1"/>
  <c r="CH461" i="164"/>
  <c r="AR461" i="164"/>
  <c r="AS461" i="164" s="1"/>
  <c r="AT461" i="164" s="1"/>
  <c r="CC77" i="164"/>
  <c r="CD77" i="164" s="1"/>
  <c r="AR77" i="164"/>
  <c r="AS77" i="164" s="1"/>
  <c r="AT77" i="164" s="1"/>
  <c r="CH77" i="164"/>
  <c r="CC482" i="164"/>
  <c r="CD482" i="164" s="1"/>
  <c r="CH482" i="164"/>
  <c r="AR482" i="164"/>
  <c r="AS482" i="164" s="1"/>
  <c r="AT482" i="164" s="1"/>
  <c r="CH442" i="164"/>
  <c r="AR442" i="164"/>
  <c r="AS442" i="164" s="1"/>
  <c r="AT442" i="164" s="1"/>
  <c r="CC442" i="164"/>
  <c r="CD442" i="164" s="1"/>
  <c r="CH269" i="164"/>
  <c r="AR269" i="164"/>
  <c r="AS269" i="164" s="1"/>
  <c r="AT269" i="164" s="1"/>
  <c r="CH428" i="164"/>
  <c r="CC428" i="164"/>
  <c r="CD428" i="164" s="1"/>
  <c r="AR428" i="164"/>
  <c r="AS428" i="164" s="1"/>
  <c r="AT428" i="164" s="1"/>
  <c r="CH236" i="164"/>
  <c r="CC236" i="164"/>
  <c r="CD236" i="164" s="1"/>
  <c r="AR236" i="164"/>
  <c r="AS236" i="164" s="1"/>
  <c r="AT236" i="164" s="1"/>
  <c r="CH371" i="164"/>
  <c r="AR371" i="164"/>
  <c r="AS371" i="164" s="1"/>
  <c r="AT371" i="164" s="1"/>
  <c r="CC371" i="164"/>
  <c r="CD371" i="164" s="1"/>
  <c r="CH146" i="164"/>
  <c r="CC146" i="164"/>
  <c r="CD146" i="164" s="1"/>
  <c r="AR146" i="164"/>
  <c r="AS146" i="164" s="1"/>
  <c r="AT146" i="164" s="1"/>
  <c r="CH139" i="164"/>
  <c r="CC139" i="164"/>
  <c r="CD139" i="164" s="1"/>
  <c r="AR139" i="164"/>
  <c r="AS139" i="164" s="1"/>
  <c r="AT139" i="164" s="1"/>
  <c r="BU384" i="164"/>
  <c r="BW384" i="164" s="1"/>
  <c r="BY384" i="164" s="1"/>
  <c r="CA384" i="164" s="1"/>
  <c r="CE384" i="164" s="1"/>
  <c r="CI384" i="164" s="1"/>
  <c r="BQ384" i="164"/>
  <c r="BS384" i="164" s="1"/>
  <c r="CG384" i="164" s="1"/>
  <c r="CC292" i="164"/>
  <c r="CD292" i="164" s="1"/>
  <c r="CH292" i="164"/>
  <c r="AR292" i="164"/>
  <c r="AS292" i="164" s="1"/>
  <c r="AT292" i="164" s="1"/>
  <c r="CH135" i="164"/>
  <c r="AR135" i="164"/>
  <c r="AS135" i="164" s="1"/>
  <c r="AT135" i="164" s="1"/>
  <c r="AR218" i="164"/>
  <c r="AS218" i="164" s="1"/>
  <c r="AT218" i="164" s="1"/>
  <c r="CH218" i="164"/>
  <c r="CC218" i="164"/>
  <c r="CD218" i="164" s="1"/>
  <c r="CH44" i="164"/>
  <c r="AR44" i="164"/>
  <c r="AS44" i="164" s="1"/>
  <c r="AT44" i="164" s="1"/>
  <c r="CC44" i="164"/>
  <c r="CD44" i="164" s="1"/>
  <c r="CC406" i="164"/>
  <c r="CD406" i="164" s="1"/>
  <c r="CH406" i="164"/>
  <c r="AR406" i="164"/>
  <c r="AS406" i="164" s="1"/>
  <c r="AT406" i="164" s="1"/>
  <c r="CC122" i="164"/>
  <c r="CD122" i="164" s="1"/>
  <c r="CH122" i="164"/>
  <c r="AR122" i="164"/>
  <c r="AS122" i="164" s="1"/>
  <c r="AT122" i="164" s="1"/>
  <c r="CC72" i="164"/>
  <c r="CD72" i="164" s="1"/>
  <c r="CH72" i="164"/>
  <c r="AR72" i="164"/>
  <c r="AS72" i="164" s="1"/>
  <c r="AT72" i="164" s="1"/>
  <c r="CH205" i="164"/>
  <c r="AR205" i="164"/>
  <c r="AS205" i="164" s="1"/>
  <c r="AT205" i="164" s="1"/>
  <c r="CC205" i="164"/>
  <c r="CD205" i="164" s="1"/>
  <c r="BQ248" i="164"/>
  <c r="BS248" i="164" s="1"/>
  <c r="CG248" i="164" s="1"/>
  <c r="CH476" i="164"/>
  <c r="CC476" i="164"/>
  <c r="CD476" i="164" s="1"/>
  <c r="AR476" i="164"/>
  <c r="AS476" i="164" s="1"/>
  <c r="AT476" i="164" s="1"/>
  <c r="CH124" i="164"/>
  <c r="CC124" i="164"/>
  <c r="CD124" i="164" s="1"/>
  <c r="AR124" i="164"/>
  <c r="AS124" i="164" s="1"/>
  <c r="AT124" i="164" s="1"/>
  <c r="CC408" i="164"/>
  <c r="CD408" i="164" s="1"/>
  <c r="CH408" i="164"/>
  <c r="AR408" i="164"/>
  <c r="AS408" i="164" s="1"/>
  <c r="AT408" i="164" s="1"/>
  <c r="CH449" i="164"/>
  <c r="CC449" i="164"/>
  <c r="CD449" i="164" s="1"/>
  <c r="AR449" i="164"/>
  <c r="AS449" i="164" s="1"/>
  <c r="AT449" i="164" s="1"/>
  <c r="CC231" i="164"/>
  <c r="CD231" i="164" s="1"/>
  <c r="CH231" i="164"/>
  <c r="AR231" i="164"/>
  <c r="AS231" i="164" s="1"/>
  <c r="AT231" i="164" s="1"/>
  <c r="CC268" i="164"/>
  <c r="CD268" i="164" s="1"/>
  <c r="CH268" i="164"/>
  <c r="AR268" i="164"/>
  <c r="AS268" i="164" s="1"/>
  <c r="AT268" i="164" s="1"/>
  <c r="CC316" i="164"/>
  <c r="CD316" i="164" s="1"/>
  <c r="CH316" i="164"/>
  <c r="AR316" i="164"/>
  <c r="AS316" i="164" s="1"/>
  <c r="AT316" i="164" s="1"/>
  <c r="AR473" i="164"/>
  <c r="AS473" i="164" s="1"/>
  <c r="AT473" i="164" s="1"/>
  <c r="CC473" i="164"/>
  <c r="CD473" i="164" s="1"/>
  <c r="CH473" i="164"/>
  <c r="CC318" i="164"/>
  <c r="CD318" i="164" s="1"/>
  <c r="AR318" i="164"/>
  <c r="AS318" i="164" s="1"/>
  <c r="AT318" i="164" s="1"/>
  <c r="CH318" i="164"/>
  <c r="CH276" i="164"/>
  <c r="CC276" i="164"/>
  <c r="CD276" i="164" s="1"/>
  <c r="AR276" i="164"/>
  <c r="AS276" i="164" s="1"/>
  <c r="AT276" i="164" s="1"/>
  <c r="AU126" i="164"/>
  <c r="AV126" i="164"/>
  <c r="AW126" i="164" s="1"/>
  <c r="BP126" i="164" s="1"/>
  <c r="AW417" i="164"/>
  <c r="BP417" i="164" s="1"/>
  <c r="BO417" i="164"/>
  <c r="BA228" i="168"/>
  <c r="AR228" i="168" s="1"/>
  <c r="CC193" i="164"/>
  <c r="CD193" i="164" s="1"/>
  <c r="CH193" i="164"/>
  <c r="AR193" i="164"/>
  <c r="AS193" i="164" s="1"/>
  <c r="AT193" i="164" s="1"/>
  <c r="BN202" i="164"/>
  <c r="BO202" i="164" s="1"/>
  <c r="CH78" i="164"/>
  <c r="CC78" i="164"/>
  <c r="CD78" i="164" s="1"/>
  <c r="AR78" i="164"/>
  <c r="AS78" i="164" s="1"/>
  <c r="AT78" i="164" s="1"/>
  <c r="AM171" i="164"/>
  <c r="AN172" i="164"/>
  <c r="AP172" i="164" s="1"/>
  <c r="CH293" i="164"/>
  <c r="CC293" i="164"/>
  <c r="CD293" i="164" s="1"/>
  <c r="AR293" i="164"/>
  <c r="AS293" i="164" s="1"/>
  <c r="AT293" i="164" s="1"/>
  <c r="R255" i="164"/>
  <c r="AA255" i="164"/>
  <c r="AA487" i="164"/>
  <c r="R487" i="164"/>
  <c r="Y288" i="164"/>
  <c r="G289" i="164"/>
  <c r="H289" i="164" s="1"/>
  <c r="P288" i="164"/>
  <c r="CC220" i="164"/>
  <c r="CD220" i="164" s="1"/>
  <c r="CH220" i="164"/>
  <c r="AR220" i="164"/>
  <c r="AS220" i="164" s="1"/>
  <c r="AT220" i="164" s="1"/>
  <c r="CH221" i="164"/>
  <c r="CC221" i="164"/>
  <c r="CD221" i="164" s="1"/>
  <c r="AR221" i="164"/>
  <c r="AS221" i="164" s="1"/>
  <c r="AT221" i="164" s="1"/>
  <c r="AR279" i="164"/>
  <c r="AS279" i="164" s="1"/>
  <c r="AT279" i="164" s="1"/>
  <c r="CC279" i="164"/>
  <c r="CD279" i="164" s="1"/>
  <c r="CH279" i="164"/>
  <c r="CC459" i="164"/>
  <c r="CD459" i="164" s="1"/>
  <c r="CH459" i="164"/>
  <c r="AR459" i="164"/>
  <c r="AS459" i="164" s="1"/>
  <c r="AT459" i="164" s="1"/>
  <c r="CC71" i="164"/>
  <c r="CD71" i="164" s="1"/>
  <c r="AR71" i="164"/>
  <c r="AS71" i="164" s="1"/>
  <c r="AT71" i="164" s="1"/>
  <c r="CH71" i="164"/>
  <c r="R109" i="164"/>
  <c r="AA109" i="164"/>
  <c r="AU423" i="164"/>
  <c r="AV423" i="164"/>
  <c r="AW423" i="164" s="1"/>
  <c r="BP423" i="164" s="1"/>
  <c r="BQ201" i="164"/>
  <c r="BS201" i="164" s="1"/>
  <c r="CG201" i="164" s="1"/>
  <c r="BU201" i="164"/>
  <c r="BW201" i="164" s="1"/>
  <c r="BY201" i="164" s="1"/>
  <c r="CA201" i="164" s="1"/>
  <c r="CE201" i="164" s="1"/>
  <c r="CI201" i="164" s="1"/>
  <c r="BU126" i="164"/>
  <c r="BW126" i="164" s="1"/>
  <c r="BY126" i="164" s="1"/>
  <c r="CA126" i="164" s="1"/>
  <c r="CE126" i="164" s="1"/>
  <c r="CI126" i="164" s="1"/>
  <c r="BQ126" i="164"/>
  <c r="BS126" i="164" s="1"/>
  <c r="CG126" i="164" s="1"/>
  <c r="CX83" i="164"/>
  <c r="Z83" i="164"/>
  <c r="AZ83" i="164"/>
  <c r="K322" i="164"/>
  <c r="L322" i="164" s="1"/>
  <c r="BQ40" i="164"/>
  <c r="BS40" i="164" s="1"/>
  <c r="CG40" i="164" s="1"/>
  <c r="BU40" i="164"/>
  <c r="BW40" i="164" s="1"/>
  <c r="BY40" i="164" s="1"/>
  <c r="CA40" i="164" s="1"/>
  <c r="CE40" i="164" s="1"/>
  <c r="CI40" i="164" s="1"/>
  <c r="Y340" i="164"/>
  <c r="G341" i="164"/>
  <c r="H341" i="164" s="1"/>
  <c r="P340" i="164"/>
  <c r="AI328" i="168"/>
  <c r="AZ328" i="168"/>
  <c r="BC328" i="168" s="1"/>
  <c r="AW328" i="168"/>
  <c r="AW237" i="168"/>
  <c r="AZ237" i="168"/>
  <c r="BC237" i="168" s="1"/>
  <c r="AI237" i="168"/>
  <c r="AQ161" i="168"/>
  <c r="BQ331" i="164"/>
  <c r="BS331" i="164" s="1"/>
  <c r="CG331" i="164" s="1"/>
  <c r="BU331" i="164"/>
  <c r="BW331" i="164" s="1"/>
  <c r="BY331" i="164" s="1"/>
  <c r="CA331" i="164" s="1"/>
  <c r="CE331" i="164" s="1"/>
  <c r="CI331" i="164" s="1"/>
  <c r="CX330" i="168"/>
  <c r="CC460" i="164"/>
  <c r="CD460" i="164" s="1"/>
  <c r="CH460" i="164"/>
  <c r="AR460" i="164"/>
  <c r="AS460" i="164" s="1"/>
  <c r="AT460" i="164" s="1"/>
  <c r="AN52" i="164"/>
  <c r="AP52" i="164" s="1"/>
  <c r="AM51" i="164"/>
  <c r="K386" i="164"/>
  <c r="L386" i="164" s="1"/>
  <c r="Z378" i="164"/>
  <c r="AZ378" i="164"/>
  <c r="CX378" i="164"/>
  <c r="BO214" i="164"/>
  <c r="CH472" i="164"/>
  <c r="CC472" i="164"/>
  <c r="CD472" i="164" s="1"/>
  <c r="AR472" i="164"/>
  <c r="AS472" i="164" s="1"/>
  <c r="AT472" i="164" s="1"/>
  <c r="CH155" i="164"/>
  <c r="CC155" i="164"/>
  <c r="CD155" i="164" s="1"/>
  <c r="AR155" i="164"/>
  <c r="AS155" i="164" s="1"/>
  <c r="AT155" i="164" s="1"/>
  <c r="BN376" i="164"/>
  <c r="BN332" i="164"/>
  <c r="BO332" i="164" s="1"/>
  <c r="BV239" i="164"/>
  <c r="BX239" i="164" s="1"/>
  <c r="BZ239" i="164" s="1"/>
  <c r="CB239" i="164" s="1"/>
  <c r="CF239" i="164" s="1"/>
  <c r="CJ239" i="164" s="1"/>
  <c r="BR239" i="164"/>
  <c r="BT239" i="164" s="1"/>
  <c r="CC257" i="164"/>
  <c r="CD257" i="164" s="1"/>
  <c r="CH257" i="164"/>
  <c r="AR257" i="164"/>
  <c r="AS257" i="164" s="1"/>
  <c r="AT257" i="164" s="1"/>
  <c r="AN226" i="164"/>
  <c r="AP226" i="164" s="1"/>
  <c r="AM225" i="164"/>
  <c r="CC68" i="164"/>
  <c r="CD68" i="164" s="1"/>
  <c r="CH68" i="164"/>
  <c r="AR68" i="164"/>
  <c r="AS68" i="164" s="1"/>
  <c r="AT68" i="164" s="1"/>
  <c r="AQ134" i="168"/>
  <c r="AN188" i="164"/>
  <c r="AP188" i="164" s="1"/>
  <c r="AM187" i="164"/>
  <c r="AU187" i="164" s="1"/>
  <c r="BN321" i="164"/>
  <c r="BU329" i="168"/>
  <c r="AU329" i="168"/>
  <c r="AV82" i="164"/>
  <c r="BR79" i="164"/>
  <c r="BT79" i="164" s="1"/>
  <c r="BV79" i="164"/>
  <c r="BX79" i="164" s="1"/>
  <c r="BZ79" i="164" s="1"/>
  <c r="CB79" i="164" s="1"/>
  <c r="CF79" i="164" s="1"/>
  <c r="CJ79" i="164" s="1"/>
  <c r="AU163" i="168"/>
  <c r="BU163" i="168"/>
  <c r="AT163" i="168"/>
  <c r="AA453" i="164"/>
  <c r="R453" i="164"/>
  <c r="AZ155" i="168"/>
  <c r="BC155" i="168" s="1"/>
  <c r="AW155" i="168"/>
  <c r="AI155" i="168"/>
  <c r="BN302" i="164"/>
  <c r="BO302" i="164" s="1"/>
  <c r="BU337" i="164"/>
  <c r="BW337" i="164" s="1"/>
  <c r="BY337" i="164" s="1"/>
  <c r="CA337" i="164" s="1"/>
  <c r="CE337" i="164" s="1"/>
  <c r="CI337" i="164" s="1"/>
  <c r="BQ337" i="164"/>
  <c r="BS337" i="164" s="1"/>
  <c r="CG337" i="164" s="1"/>
  <c r="CH407" i="164"/>
  <c r="CC407" i="164"/>
  <c r="CD407" i="164" s="1"/>
  <c r="AR407" i="164"/>
  <c r="AS407" i="164" s="1"/>
  <c r="AT407" i="164" s="1"/>
  <c r="CU331" i="168"/>
  <c r="CU503" i="168" s="1"/>
  <c r="E14" i="169" s="1"/>
  <c r="G14" i="169" s="1"/>
  <c r="CJ331" i="168"/>
  <c r="CJ503" i="168" s="1"/>
  <c r="CW332" i="164"/>
  <c r="AU224" i="164"/>
  <c r="AV224" i="164"/>
  <c r="AW224" i="164" s="1"/>
  <c r="BP224" i="164" s="1"/>
  <c r="BV223" i="164"/>
  <c r="BX223" i="164" s="1"/>
  <c r="BZ223" i="164" s="1"/>
  <c r="CB223" i="164" s="1"/>
  <c r="CF223" i="164" s="1"/>
  <c r="CJ223" i="164" s="1"/>
  <c r="BR223" i="164"/>
  <c r="BT223" i="164" s="1"/>
  <c r="K289" i="164"/>
  <c r="L289" i="164" s="1"/>
  <c r="AZ288" i="164"/>
  <c r="CX288" i="164"/>
  <c r="Z288" i="164"/>
  <c r="Y115" i="164"/>
  <c r="P115" i="164"/>
  <c r="BC228" i="168"/>
  <c r="AM424" i="164"/>
  <c r="AN425" i="164"/>
  <c r="AP425" i="164" s="1"/>
  <c r="BQ469" i="164"/>
  <c r="BS469" i="164" s="1"/>
  <c r="CG469" i="164" s="1"/>
  <c r="BU469" i="164"/>
  <c r="BW469" i="164" s="1"/>
  <c r="BY469" i="164" s="1"/>
  <c r="CA469" i="164" s="1"/>
  <c r="CE469" i="164" s="1"/>
  <c r="CI469" i="164" s="1"/>
  <c r="AB452" i="164"/>
  <c r="AI452" i="164" s="1"/>
  <c r="Z329" i="168"/>
  <c r="BV329" i="168"/>
  <c r="CG329" i="168" s="1"/>
  <c r="BY329" i="168"/>
  <c r="BD82" i="164"/>
  <c r="CW82" i="164" s="1"/>
  <c r="BE82" i="164"/>
  <c r="BM82" i="164"/>
  <c r="AA339" i="164"/>
  <c r="R339" i="164"/>
  <c r="AU463" i="164"/>
  <c r="AV463" i="164"/>
  <c r="CC97" i="164"/>
  <c r="CD97" i="164" s="1"/>
  <c r="CH97" i="164"/>
  <c r="AR97" i="164"/>
  <c r="AS97" i="164" s="1"/>
  <c r="AT97" i="164" s="1"/>
  <c r="AC328" i="168"/>
  <c r="AF328" i="168" s="1"/>
  <c r="AC237" i="168"/>
  <c r="AF237" i="168" s="1"/>
  <c r="AU385" i="164"/>
  <c r="AV385" i="164"/>
  <c r="AW385" i="164" s="1"/>
  <c r="AC155" i="168"/>
  <c r="AF155" i="168" s="1"/>
  <c r="CC168" i="164"/>
  <c r="CD168" i="164" s="1"/>
  <c r="CH168" i="164"/>
  <c r="AR168" i="164"/>
  <c r="AS168" i="164" s="1"/>
  <c r="AT168" i="164" s="1"/>
  <c r="Y488" i="164"/>
  <c r="G489" i="164"/>
  <c r="H489" i="164" s="1"/>
  <c r="P488" i="164"/>
  <c r="CC433" i="164"/>
  <c r="CD433" i="164" s="1"/>
  <c r="CH433" i="164"/>
  <c r="AR433" i="164"/>
  <c r="AS433" i="164" s="1"/>
  <c r="AT433" i="164" s="1"/>
  <c r="AA377" i="164"/>
  <c r="R377" i="164"/>
  <c r="AB377" i="164" s="1"/>
  <c r="AI377" i="164" s="1"/>
  <c r="AU50" i="164"/>
  <c r="AV50" i="164"/>
  <c r="AW50" i="164" s="1"/>
  <c r="BP50" i="164" s="1"/>
  <c r="CT328" i="168"/>
  <c r="AA250" i="164"/>
  <c r="R250" i="164"/>
  <c r="AU469" i="164"/>
  <c r="AV469" i="164"/>
  <c r="AW469" i="164" s="1"/>
  <c r="BP469" i="164" s="1"/>
  <c r="BV125" i="164"/>
  <c r="BX125" i="164" s="1"/>
  <c r="BZ125" i="164" s="1"/>
  <c r="CB125" i="164" s="1"/>
  <c r="CF125" i="164" s="1"/>
  <c r="CJ125" i="164" s="1"/>
  <c r="BR125" i="164"/>
  <c r="BT125" i="164" s="1"/>
  <c r="BQ423" i="164"/>
  <c r="BS423" i="164" s="1"/>
  <c r="CG423" i="164" s="1"/>
  <c r="BU423" i="164"/>
  <c r="BW423" i="164" s="1"/>
  <c r="BY423" i="164" s="1"/>
  <c r="CA423" i="164" s="1"/>
  <c r="CE423" i="164" s="1"/>
  <c r="CI423" i="164" s="1"/>
  <c r="CC212" i="164"/>
  <c r="CD212" i="164" s="1"/>
  <c r="CH212" i="164"/>
  <c r="AR212" i="164"/>
  <c r="AS212" i="164" s="1"/>
  <c r="AT212" i="164" s="1"/>
  <c r="Y378" i="164"/>
  <c r="G386" i="164"/>
  <c r="H386" i="164" s="1"/>
  <c r="P378" i="164"/>
  <c r="BV468" i="164"/>
  <c r="BX468" i="164" s="1"/>
  <c r="BZ468" i="164" s="1"/>
  <c r="CB468" i="164" s="1"/>
  <c r="CF468" i="164" s="1"/>
  <c r="CJ468" i="164" s="1"/>
  <c r="BR468" i="164"/>
  <c r="BT468" i="164" s="1"/>
  <c r="CC87" i="164"/>
  <c r="CD87" i="164" s="1"/>
  <c r="CH87" i="164"/>
  <c r="AR87" i="164"/>
  <c r="AS87" i="164" s="1"/>
  <c r="AT87" i="164" s="1"/>
  <c r="CC151" i="164"/>
  <c r="CD151" i="164" s="1"/>
  <c r="CH151" i="164"/>
  <c r="AR151" i="164"/>
  <c r="AS151" i="164" s="1"/>
  <c r="AT151" i="164" s="1"/>
  <c r="AM470" i="164"/>
  <c r="AN471" i="164"/>
  <c r="CH299" i="164"/>
  <c r="CC299" i="164"/>
  <c r="CD299" i="164" s="1"/>
  <c r="AR299" i="164"/>
  <c r="AS299" i="164" s="1"/>
  <c r="AT299" i="164" s="1"/>
  <c r="CC254" i="164"/>
  <c r="CD254" i="164" s="1"/>
  <c r="CH254" i="164"/>
  <c r="AR254" i="164"/>
  <c r="AS254" i="164" s="1"/>
  <c r="AT254" i="164" s="1"/>
  <c r="CH160" i="164"/>
  <c r="CC160" i="164"/>
  <c r="CD160" i="164" s="1"/>
  <c r="AR160" i="164"/>
  <c r="AS160" i="164" s="1"/>
  <c r="AT160" i="164" s="1"/>
  <c r="AM386" i="164"/>
  <c r="AU386" i="164" s="1"/>
  <c r="AN387" i="164"/>
  <c r="AP387" i="164" s="1"/>
  <c r="BD425" i="164"/>
  <c r="CW425" i="164" s="1"/>
  <c r="BE425" i="164"/>
  <c r="BM425" i="164"/>
  <c r="AN287" i="164"/>
  <c r="AP287" i="164" s="1"/>
  <c r="AM286" i="164"/>
  <c r="CH35" i="164"/>
  <c r="CC35" i="164"/>
  <c r="CD35" i="164" s="1"/>
  <c r="AR35" i="164"/>
  <c r="AS35" i="164" s="1"/>
  <c r="AT35" i="164" s="1"/>
  <c r="DG331" i="168"/>
  <c r="DG503" i="168" s="1"/>
  <c r="DU331" i="168"/>
  <c r="DU503" i="168" s="1"/>
  <c r="CV331" i="168"/>
  <c r="CV503" i="168" s="1"/>
  <c r="E49" i="169" s="1"/>
  <c r="G49" i="169" s="1"/>
  <c r="G51" i="169" s="1"/>
  <c r="G76" i="169" s="1"/>
  <c r="DV331" i="168"/>
  <c r="DV503" i="168" s="1"/>
  <c r="CW331" i="168"/>
  <c r="CW503" i="168" s="1"/>
  <c r="CX331" i="168"/>
  <c r="O331" i="168"/>
  <c r="BB331" i="168"/>
  <c r="BB503" i="168" s="1"/>
  <c r="CY331" i="168"/>
  <c r="CY503" i="168" s="1"/>
  <c r="DY331" i="168"/>
  <c r="DY503" i="168" s="1"/>
  <c r="E48" i="56" s="1"/>
  <c r="P331" i="168"/>
  <c r="CB331" i="168" s="1"/>
  <c r="DZ331" i="168"/>
  <c r="DZ503" i="168" s="1"/>
  <c r="E49" i="56" s="1"/>
  <c r="DA331" i="168"/>
  <c r="DA503" i="168" s="1"/>
  <c r="EA331" i="168"/>
  <c r="EA503" i="168" s="1"/>
  <c r="E50" i="56" s="1"/>
  <c r="DB331" i="168"/>
  <c r="DB503" i="168" s="1"/>
  <c r="EB331" i="168"/>
  <c r="EB503" i="168" s="1"/>
  <c r="DC331" i="168"/>
  <c r="DC503" i="168" s="1"/>
  <c r="DD331" i="168"/>
  <c r="DD503" i="168" s="1"/>
  <c r="DE331" i="168"/>
  <c r="DE503" i="168" s="1"/>
  <c r="DF331" i="168"/>
  <c r="DF503" i="168" s="1"/>
  <c r="DW331" i="168"/>
  <c r="DW503" i="168" s="1"/>
  <c r="E46" i="56" s="1"/>
  <c r="DX331" i="168"/>
  <c r="DX503" i="168" s="1"/>
  <c r="E47" i="56" s="1"/>
  <c r="CF331" i="168"/>
  <c r="AS331" i="168"/>
  <c r="CC381" i="164"/>
  <c r="CD381" i="164" s="1"/>
  <c r="CH381" i="164"/>
  <c r="AR381" i="164"/>
  <c r="AS381" i="164" s="1"/>
  <c r="AT381" i="164" s="1"/>
  <c r="BZ422" i="164"/>
  <c r="CB422" i="164"/>
  <c r="BR422" i="164"/>
  <c r="BT422" i="164"/>
  <c r="CF422" i="164"/>
  <c r="CJ422" i="164" s="1"/>
  <c r="BV422" i="164"/>
  <c r="BX422" i="164"/>
  <c r="AU452" i="164"/>
  <c r="AV452" i="164"/>
  <c r="BR118" i="164"/>
  <c r="BT118" i="164" s="1"/>
  <c r="BV118" i="164"/>
  <c r="BX118" i="164" s="1"/>
  <c r="BZ118" i="164" s="1"/>
  <c r="CB118" i="164" s="1"/>
  <c r="CF118" i="164" s="1"/>
  <c r="CJ118" i="164" s="1"/>
  <c r="Y110" i="164"/>
  <c r="G111" i="164"/>
  <c r="H111" i="164" s="1"/>
  <c r="AZ111" i="164" s="1"/>
  <c r="P110" i="164"/>
  <c r="BN234" i="164"/>
  <c r="AN84" i="164"/>
  <c r="AM83" i="164"/>
  <c r="AU83" i="164" s="1"/>
  <c r="AD503" i="168"/>
  <c r="CC307" i="164"/>
  <c r="CD307" i="164" s="1"/>
  <c r="CG307" i="164"/>
  <c r="Z163" i="168"/>
  <c r="BV163" i="168"/>
  <c r="CG163" i="168" s="1"/>
  <c r="BY163" i="168"/>
  <c r="AV110" i="164"/>
  <c r="AU285" i="164"/>
  <c r="AV285" i="164"/>
  <c r="AW285" i="164" s="1"/>
  <c r="BP285" i="164" s="1"/>
  <c r="BD377" i="164"/>
  <c r="CW377" i="164" s="1"/>
  <c r="BE377" i="164"/>
  <c r="BM377" i="164"/>
  <c r="CC216" i="164"/>
  <c r="CD216" i="164" s="1"/>
  <c r="CH216" i="164"/>
  <c r="AR216" i="164"/>
  <c r="AS216" i="164" s="1"/>
  <c r="AT216" i="164" s="1"/>
  <c r="AW206" i="164"/>
  <c r="BP206" i="164" s="1"/>
  <c r="BO206" i="164"/>
  <c r="AR91" i="164"/>
  <c r="AS91" i="164" s="1"/>
  <c r="AT91" i="164" s="1"/>
  <c r="CH91" i="164"/>
  <c r="CC91" i="164"/>
  <c r="CD91" i="164" s="1"/>
  <c r="AB185" i="164"/>
  <c r="AI185" i="164" s="1"/>
  <c r="AI82" i="164"/>
  <c r="AU321" i="164"/>
  <c r="AV321" i="164"/>
  <c r="BD287" i="164"/>
  <c r="CW287" i="164" s="1"/>
  <c r="BM287" i="164"/>
  <c r="BE287" i="164"/>
  <c r="AU484" i="164"/>
  <c r="AV484" i="164"/>
  <c r="AW484" i="164" s="1"/>
  <c r="BP484" i="164" s="1"/>
  <c r="BN286" i="164"/>
  <c r="BO286" i="164" s="1"/>
  <c r="AA186" i="164"/>
  <c r="R186" i="164"/>
  <c r="AB186" i="164" s="1"/>
  <c r="AI186" i="164" s="1"/>
  <c r="BO285" i="164"/>
  <c r="BN463" i="164"/>
  <c r="BR49" i="164"/>
  <c r="BT49" i="164" s="1"/>
  <c r="BV49" i="164"/>
  <c r="BX49" i="164" s="1"/>
  <c r="BZ49" i="164" s="1"/>
  <c r="CB49" i="164" s="1"/>
  <c r="CF49" i="164" s="1"/>
  <c r="CJ49" i="164" s="1"/>
  <c r="BU301" i="164"/>
  <c r="BW301" i="164" s="1"/>
  <c r="BY301" i="164" s="1"/>
  <c r="CA301" i="164" s="1"/>
  <c r="CE301" i="164" s="1"/>
  <c r="CI301" i="164" s="1"/>
  <c r="BQ301" i="164"/>
  <c r="BS301" i="164" s="1"/>
  <c r="CG301" i="164" s="1"/>
  <c r="AA52" i="164"/>
  <c r="R52" i="164"/>
  <c r="AB52" i="164" s="1"/>
  <c r="AI52" i="164" s="1"/>
  <c r="AQ140" i="168"/>
  <c r="AC162" i="168"/>
  <c r="Z227" i="164"/>
  <c r="G226" i="164"/>
  <c r="H226" i="164" s="1"/>
  <c r="Y225" i="164"/>
  <c r="P225" i="164"/>
  <c r="CX225" i="164"/>
  <c r="AZ225" i="164"/>
  <c r="CC310" i="164"/>
  <c r="CD310" i="164" s="1"/>
  <c r="CH310" i="164"/>
  <c r="AR310" i="164"/>
  <c r="AS310" i="164" s="1"/>
  <c r="AT310" i="164" s="1"/>
  <c r="BJ160" i="164"/>
  <c r="CK160" i="164" s="1"/>
  <c r="A162" i="164"/>
  <c r="BN185" i="164"/>
  <c r="AB470" i="164"/>
  <c r="AI470" i="164" s="1"/>
  <c r="AA172" i="164"/>
  <c r="R172" i="164"/>
  <c r="AZ115" i="164"/>
  <c r="BN424" i="164"/>
  <c r="BO424" i="164" s="1"/>
  <c r="CH282" i="164"/>
  <c r="CC282" i="164"/>
  <c r="CD282" i="164" s="1"/>
  <c r="AR282" i="164"/>
  <c r="AS282" i="164" s="1"/>
  <c r="AT282" i="164" s="1"/>
  <c r="AM485" i="164"/>
  <c r="AN486" i="164"/>
  <c r="AP486" i="164" s="1"/>
  <c r="CC391" i="164"/>
  <c r="CD391" i="164" s="1"/>
  <c r="CH391" i="164"/>
  <c r="AR391" i="164"/>
  <c r="AS391" i="164" s="1"/>
  <c r="AT391" i="164" s="1"/>
  <c r="CX110" i="164"/>
  <c r="CH309" i="164"/>
  <c r="CC309" i="164"/>
  <c r="CD309" i="164" s="1"/>
  <c r="AR309" i="164"/>
  <c r="AS309" i="164" s="1"/>
  <c r="AT309" i="164" s="1"/>
  <c r="BO320" i="164"/>
  <c r="AW320" i="164"/>
  <c r="BP320" i="164" s="1"/>
  <c r="AA42" i="164"/>
  <c r="R42" i="164"/>
  <c r="CC419" i="164"/>
  <c r="CD419" i="164" s="1"/>
  <c r="CH419" i="164"/>
  <c r="AR419" i="164"/>
  <c r="AS419" i="164" s="1"/>
  <c r="AT419" i="164" s="1"/>
  <c r="CC222" i="164"/>
  <c r="CD222" i="164" s="1"/>
  <c r="CH222" i="164"/>
  <c r="AR222" i="164"/>
  <c r="AS222" i="164" s="1"/>
  <c r="AT222" i="164" s="1"/>
  <c r="AA426" i="164"/>
  <c r="R426" i="164"/>
  <c r="AB426" i="164" s="1"/>
  <c r="CM329" i="168"/>
  <c r="CP329" i="168" s="1"/>
  <c r="CR329" i="168" s="1"/>
  <c r="BP331" i="164"/>
  <c r="BA327" i="168"/>
  <c r="AR327" i="168" s="1"/>
  <c r="CC237" i="164"/>
  <c r="CD237" i="164" s="1"/>
  <c r="CH237" i="164"/>
  <c r="AR237" i="164"/>
  <c r="AS237" i="164" s="1"/>
  <c r="AT237" i="164" s="1"/>
  <c r="CC481" i="164"/>
  <c r="CD481" i="164" s="1"/>
  <c r="CH481" i="164"/>
  <c r="AR481" i="164"/>
  <c r="AS481" i="164" s="1"/>
  <c r="AT481" i="164" s="1"/>
  <c r="Z238" i="168"/>
  <c r="BV238" i="168"/>
  <c r="CG238" i="168" s="1"/>
  <c r="BY238" i="168"/>
  <c r="AU233" i="164"/>
  <c r="AV233" i="164"/>
  <c r="BM186" i="164"/>
  <c r="BE186" i="164"/>
  <c r="BD186" i="164"/>
  <c r="CW186" i="164" s="1"/>
  <c r="CC435" i="164"/>
  <c r="CD435" i="164" s="1"/>
  <c r="CH435" i="164"/>
  <c r="AR435" i="164"/>
  <c r="AS435" i="164" s="1"/>
  <c r="AT435" i="164" s="1"/>
  <c r="BR213" i="164"/>
  <c r="BT213" i="164" s="1"/>
  <c r="BV213" i="164"/>
  <c r="BX213" i="164" s="1"/>
  <c r="BZ213" i="164" s="1"/>
  <c r="CB213" i="164" s="1"/>
  <c r="CF213" i="164" s="1"/>
  <c r="CJ213" i="164" s="1"/>
  <c r="AR117" i="164"/>
  <c r="AS117" i="164" s="1"/>
  <c r="AT117" i="164" s="1"/>
  <c r="CH117" i="164"/>
  <c r="CC117" i="164"/>
  <c r="CD117" i="164" s="1"/>
  <c r="R234" i="164"/>
  <c r="AA234" i="164"/>
  <c r="CC241" i="164"/>
  <c r="CD241" i="164" s="1"/>
  <c r="CH241" i="164"/>
  <c r="AR241" i="164"/>
  <c r="AS241" i="164" s="1"/>
  <c r="AT241" i="164" s="1"/>
  <c r="AQ228" i="168"/>
  <c r="CC38" i="164"/>
  <c r="CD38" i="164" s="1"/>
  <c r="CH38" i="164"/>
  <c r="AR38" i="164"/>
  <c r="AS38" i="164" s="1"/>
  <c r="AT38" i="164" s="1"/>
  <c r="CR148" i="168"/>
  <c r="CT148" i="168" s="1"/>
  <c r="BQ163" i="164"/>
  <c r="BS163" i="164" s="1"/>
  <c r="CG163" i="164" s="1"/>
  <c r="BU163" i="164"/>
  <c r="BW163" i="164" s="1"/>
  <c r="BY163" i="164" s="1"/>
  <c r="CA163" i="164" s="1"/>
  <c r="CE163" i="164" s="1"/>
  <c r="CI163" i="164" s="1"/>
  <c r="CC242" i="164"/>
  <c r="CD242" i="164" s="1"/>
  <c r="CH242" i="164"/>
  <c r="AR242" i="164"/>
  <c r="AS242" i="164" s="1"/>
  <c r="AT242" i="164" s="1"/>
  <c r="CX340" i="164"/>
  <c r="AZ340" i="164"/>
  <c r="Z340" i="164"/>
  <c r="K341" i="164"/>
  <c r="L341" i="164" s="1"/>
  <c r="CC467" i="164"/>
  <c r="CD467" i="164" s="1"/>
  <c r="CH467" i="164"/>
  <c r="AR467" i="164"/>
  <c r="AS467" i="164" s="1"/>
  <c r="AT467" i="164" s="1"/>
  <c r="BV462" i="164"/>
  <c r="BX462" i="164" s="1"/>
  <c r="BZ462" i="164" s="1"/>
  <c r="CB462" i="164" s="1"/>
  <c r="CF462" i="164" s="1"/>
  <c r="CJ462" i="164" s="1"/>
  <c r="BR462" i="164"/>
  <c r="BT462" i="164" s="1"/>
  <c r="AA322" i="164"/>
  <c r="R322" i="164"/>
  <c r="AB322" i="164" s="1"/>
  <c r="CC474" i="164"/>
  <c r="CD474" i="164" s="1"/>
  <c r="CH474" i="164"/>
  <c r="AR474" i="164"/>
  <c r="AS474" i="164" s="1"/>
  <c r="AT474" i="164" s="1"/>
  <c r="BN338" i="164"/>
  <c r="BN249" i="164"/>
  <c r="CC262" i="164"/>
  <c r="CD262" i="164" s="1"/>
  <c r="CH262" i="164"/>
  <c r="AR262" i="164"/>
  <c r="AS262" i="164" s="1"/>
  <c r="AT262" i="164" s="1"/>
  <c r="BR319" i="164"/>
  <c r="BT319" i="164" s="1"/>
  <c r="BV319" i="164"/>
  <c r="BX319" i="164" s="1"/>
  <c r="BZ319" i="164" s="1"/>
  <c r="CB319" i="164" s="1"/>
  <c r="CF319" i="164" s="1"/>
  <c r="CJ319" i="164" s="1"/>
  <c r="CC450" i="164"/>
  <c r="CD450" i="164" s="1"/>
  <c r="CH450" i="164"/>
  <c r="AR450" i="164"/>
  <c r="AS450" i="164" s="1"/>
  <c r="AT450" i="164" s="1"/>
  <c r="CC277" i="164"/>
  <c r="CD277" i="164" s="1"/>
  <c r="CH277" i="164"/>
  <c r="AR277" i="164"/>
  <c r="AS277" i="164" s="1"/>
  <c r="AT277" i="164" s="1"/>
  <c r="AT329" i="168"/>
  <c r="AQ306" i="168"/>
  <c r="CC30" i="164"/>
  <c r="CD30" i="164" s="1"/>
  <c r="CH30" i="164"/>
  <c r="AR30" i="164"/>
  <c r="AS30" i="164" s="1"/>
  <c r="AT30" i="164" s="1"/>
  <c r="AU238" i="168"/>
  <c r="BU238" i="168"/>
  <c r="AT238" i="168"/>
  <c r="CH26" i="164"/>
  <c r="CC26" i="164"/>
  <c r="CD26" i="164" s="1"/>
  <c r="AR26" i="164"/>
  <c r="AS26" i="164" s="1"/>
  <c r="AT26" i="164" s="1"/>
  <c r="CC283" i="164"/>
  <c r="CD283" i="164" s="1"/>
  <c r="CH283" i="164"/>
  <c r="AR283" i="164"/>
  <c r="AS283" i="164" s="1"/>
  <c r="AT283" i="164" s="1"/>
  <c r="BU484" i="164"/>
  <c r="BW484" i="164" s="1"/>
  <c r="BY484" i="164" s="1"/>
  <c r="CA484" i="164" s="1"/>
  <c r="CE484" i="164" s="1"/>
  <c r="CI484" i="164" s="1"/>
  <c r="BQ484" i="164"/>
  <c r="BS484" i="164" s="1"/>
  <c r="CG484" i="164" s="1"/>
  <c r="BU224" i="164"/>
  <c r="BW224" i="164" s="1"/>
  <c r="BY224" i="164" s="1"/>
  <c r="CA224" i="164" s="1"/>
  <c r="CE224" i="164" s="1"/>
  <c r="CI224" i="164" s="1"/>
  <c r="BQ224" i="164"/>
  <c r="BS224" i="164" s="1"/>
  <c r="CG224" i="164" s="1"/>
  <c r="Z111" i="164"/>
  <c r="CH120" i="164"/>
  <c r="CC120" i="164"/>
  <c r="CD120" i="164" s="1"/>
  <c r="AR120" i="164"/>
  <c r="AS120" i="164" s="1"/>
  <c r="AT120" i="164" s="1"/>
  <c r="AQ327" i="168"/>
  <c r="CC74" i="164"/>
  <c r="CD74" i="164" s="1"/>
  <c r="CH74" i="164"/>
  <c r="AR74" i="164"/>
  <c r="AS74" i="164" s="1"/>
  <c r="AT74" i="164" s="1"/>
  <c r="AN323" i="164"/>
  <c r="AP323" i="164" s="1"/>
  <c r="AM322" i="164"/>
  <c r="AU322" i="164" s="1"/>
  <c r="BD453" i="164"/>
  <c r="CW453" i="164" s="1"/>
  <c r="BE453" i="164"/>
  <c r="BM453" i="164"/>
  <c r="AU234" i="164"/>
  <c r="AV234" i="164"/>
  <c r="G54" i="164"/>
  <c r="H54" i="164" s="1"/>
  <c r="Y53" i="164"/>
  <c r="P53" i="164"/>
  <c r="BP108" i="164"/>
  <c r="BN385" i="164"/>
  <c r="BO385" i="164" s="1"/>
  <c r="BR163" i="164"/>
  <c r="BT163" i="164" s="1"/>
  <c r="BV163" i="164"/>
  <c r="BX163" i="164" s="1"/>
  <c r="BZ163" i="164" s="1"/>
  <c r="CB163" i="164" s="1"/>
  <c r="CF163" i="164" s="1"/>
  <c r="CJ163" i="164" s="1"/>
  <c r="BD339" i="164"/>
  <c r="CW339" i="164" s="1"/>
  <c r="BE339" i="164"/>
  <c r="BM339" i="164"/>
  <c r="BP248" i="164"/>
  <c r="BM172" i="164"/>
  <c r="BD172" i="164"/>
  <c r="CW172" i="164" s="1"/>
  <c r="BE172" i="164"/>
  <c r="AN42" i="164"/>
  <c r="AP42" i="164" s="1"/>
  <c r="AM41" i="164"/>
  <c r="CA330" i="168"/>
  <c r="W330" i="168" s="1"/>
  <c r="BF330" i="168"/>
  <c r="BD330" i="168"/>
  <c r="BH330" i="168" s="1"/>
  <c r="BG330" i="168"/>
  <c r="BE330" i="168"/>
  <c r="AP330" i="168"/>
  <c r="AT330" i="168" s="1"/>
  <c r="AM377" i="164"/>
  <c r="AN378" i="164"/>
  <c r="AP378" i="164" s="1"/>
  <c r="AZ110" i="164"/>
  <c r="BE52" i="164"/>
  <c r="BM52" i="164"/>
  <c r="BD52" i="164"/>
  <c r="CW52" i="164" s="1"/>
  <c r="Y187" i="164"/>
  <c r="G188" i="164"/>
  <c r="H188" i="164" s="1"/>
  <c r="P187" i="164"/>
  <c r="AB376" i="164"/>
  <c r="AI376" i="164" s="1"/>
  <c r="CH259" i="164"/>
  <c r="CC259" i="164"/>
  <c r="CD259" i="164" s="1"/>
  <c r="AR259" i="164"/>
  <c r="AS259" i="164" s="1"/>
  <c r="AT259" i="164" s="1"/>
  <c r="BN81" i="164"/>
  <c r="BO81" i="164" s="1"/>
  <c r="BV164" i="164"/>
  <c r="BX164" i="164" s="1"/>
  <c r="BZ164" i="164" s="1"/>
  <c r="CB164" i="164" s="1"/>
  <c r="CF164" i="164" s="1"/>
  <c r="CJ164" i="164" s="1"/>
  <c r="BR164" i="164"/>
  <c r="BT164" i="164" s="1"/>
  <c r="CC239" i="164"/>
  <c r="CD239" i="164" s="1"/>
  <c r="CG239" i="164"/>
  <c r="AN454" i="164"/>
  <c r="AM453" i="164"/>
  <c r="AW375" i="164"/>
  <c r="BP375" i="164" s="1"/>
  <c r="BO375" i="164"/>
  <c r="AW162" i="168"/>
  <c r="AI162" i="168"/>
  <c r="AZ162" i="168"/>
  <c r="BC162" i="168" s="1"/>
  <c r="BE42" i="164"/>
  <c r="BM42" i="164"/>
  <c r="BD42" i="164"/>
  <c r="CW42" i="164" s="1"/>
  <c r="BV284" i="164"/>
  <c r="BX284" i="164" s="1"/>
  <c r="BZ284" i="164" s="1"/>
  <c r="CB284" i="164" s="1"/>
  <c r="CF284" i="164" s="1"/>
  <c r="CJ284" i="164" s="1"/>
  <c r="BR284" i="164"/>
  <c r="BT284" i="164" s="1"/>
  <c r="AN112" i="164"/>
  <c r="AP112" i="164" s="1"/>
  <c r="AM111" i="164"/>
  <c r="AU111" i="164" s="1"/>
  <c r="BN485" i="164"/>
  <c r="BO485" i="164" s="1"/>
  <c r="CH448" i="164"/>
  <c r="CC448" i="164"/>
  <c r="CD448" i="164" s="1"/>
  <c r="AR448" i="164"/>
  <c r="AS448" i="164" s="1"/>
  <c r="AT448" i="164" s="1"/>
  <c r="CH329" i="164"/>
  <c r="CC329" i="164"/>
  <c r="CD329" i="164" s="1"/>
  <c r="AR329" i="164"/>
  <c r="AS329" i="164" s="1"/>
  <c r="AT329" i="164" s="1"/>
  <c r="BQ108" i="164"/>
  <c r="BS108" i="164" s="1"/>
  <c r="CG108" i="164" s="1"/>
  <c r="BU108" i="164"/>
  <c r="BW108" i="164" s="1"/>
  <c r="BY108" i="164" s="1"/>
  <c r="CA108" i="164" s="1"/>
  <c r="CE108" i="164" s="1"/>
  <c r="CI108" i="164" s="1"/>
  <c r="AA463" i="164"/>
  <c r="R463" i="164"/>
  <c r="CR155" i="168"/>
  <c r="CT155" i="168" s="1"/>
  <c r="CH148" i="164"/>
  <c r="AR148" i="164"/>
  <c r="AS148" i="164" s="1"/>
  <c r="AT148" i="164" s="1"/>
  <c r="CH145" i="164"/>
  <c r="CC145" i="164"/>
  <c r="CD145" i="164" s="1"/>
  <c r="AR145" i="164"/>
  <c r="AS145" i="164" s="1"/>
  <c r="AT145" i="164" s="1"/>
  <c r="BN255" i="164"/>
  <c r="BU80" i="164"/>
  <c r="BW80" i="164" s="1"/>
  <c r="BY80" i="164" s="1"/>
  <c r="CA80" i="164" s="1"/>
  <c r="CE80" i="164" s="1"/>
  <c r="CI80" i="164" s="1"/>
  <c r="BQ80" i="164"/>
  <c r="BS80" i="164" s="1"/>
  <c r="CG80" i="164" s="1"/>
  <c r="AC148" i="168"/>
  <c r="AF148" i="168" s="1"/>
  <c r="AV214" i="164"/>
  <c r="AW214" i="164" s="1"/>
  <c r="BP214" i="164" s="1"/>
  <c r="AU214" i="164"/>
  <c r="CH312" i="164"/>
  <c r="AR312" i="164"/>
  <c r="AS312" i="164" s="1"/>
  <c r="AT312" i="164" s="1"/>
  <c r="CC312" i="164"/>
  <c r="CD312" i="164" s="1"/>
  <c r="BR451" i="164"/>
  <c r="BT451" i="164" s="1"/>
  <c r="BV451" i="164"/>
  <c r="BX451" i="164" s="1"/>
  <c r="BZ451" i="164" s="1"/>
  <c r="CB451" i="164" s="1"/>
  <c r="CF451" i="164" s="1"/>
  <c r="CJ451" i="164" s="1"/>
  <c r="BN51" i="164"/>
  <c r="CC238" i="164"/>
  <c r="CD238" i="164" s="1"/>
  <c r="CG238" i="164"/>
  <c r="AB127" i="164"/>
  <c r="AI127" i="164" s="1"/>
  <c r="CX187" i="164"/>
  <c r="AZ187" i="164"/>
  <c r="K188" i="164"/>
  <c r="L188" i="164" s="1"/>
  <c r="Z187" i="164"/>
  <c r="AU301" i="164"/>
  <c r="AV301" i="164"/>
  <c r="AW301" i="164" s="1"/>
  <c r="BP301" i="164" s="1"/>
  <c r="CH208" i="164"/>
  <c r="CC208" i="164"/>
  <c r="CD208" i="164" s="1"/>
  <c r="AR208" i="164"/>
  <c r="AS208" i="164" s="1"/>
  <c r="AT208" i="164" s="1"/>
  <c r="BN171" i="164"/>
  <c r="BO171" i="164" s="1"/>
  <c r="CG135" i="164"/>
  <c r="CC135" i="164"/>
  <c r="CD135" i="164" s="1"/>
  <c r="BA134" i="168"/>
  <c r="BP184" i="164"/>
  <c r="BN470" i="164"/>
  <c r="AM250" i="164"/>
  <c r="AN251" i="164"/>
  <c r="CH102" i="164"/>
  <c r="AR102" i="164"/>
  <c r="AS102" i="164" s="1"/>
  <c r="AT102" i="164" s="1"/>
  <c r="CC102" i="164"/>
  <c r="CD102" i="164" s="1"/>
  <c r="BR300" i="164"/>
  <c r="BX300" i="164"/>
  <c r="BZ300" i="164"/>
  <c r="CB300" i="164"/>
  <c r="CF300" i="164"/>
  <c r="CJ300" i="164" s="1"/>
  <c r="BV300" i="164"/>
  <c r="BT300" i="164"/>
  <c r="Z53" i="164"/>
  <c r="AZ53" i="164"/>
  <c r="CX53" i="164"/>
  <c r="K54" i="164"/>
  <c r="L54" i="164" s="1"/>
  <c r="BP201" i="164"/>
  <c r="CC194" i="164"/>
  <c r="CD194" i="164" s="1"/>
  <c r="CH194" i="164"/>
  <c r="AR194" i="164"/>
  <c r="AS194" i="164" s="1"/>
  <c r="AT194" i="164" s="1"/>
  <c r="BR169" i="164"/>
  <c r="BT169" i="164" s="1"/>
  <c r="BV169" i="164"/>
  <c r="BX169" i="164" s="1"/>
  <c r="BZ169" i="164" s="1"/>
  <c r="CB169" i="164" s="1"/>
  <c r="CF169" i="164" s="1"/>
  <c r="CJ169" i="164" s="1"/>
  <c r="AM302" i="164"/>
  <c r="AN303" i="164"/>
  <c r="K488" i="164"/>
  <c r="L488" i="164" s="1"/>
  <c r="Z487" i="164"/>
  <c r="AZ487" i="164"/>
  <c r="CX487" i="164"/>
  <c r="AI486" i="164"/>
  <c r="AU40" i="164"/>
  <c r="AV40" i="164"/>
  <c r="AW40" i="164" s="1"/>
  <c r="BP40" i="164" s="1"/>
  <c r="AU249" i="164"/>
  <c r="AV249" i="164"/>
  <c r="AE323" i="164"/>
  <c r="AH323" i="164" s="1"/>
  <c r="H323" i="164"/>
  <c r="AU376" i="164"/>
  <c r="AV376" i="164"/>
  <c r="AM127" i="164"/>
  <c r="AN128" i="164"/>
  <c r="AA287" i="164"/>
  <c r="R287" i="164"/>
  <c r="CC148" i="164"/>
  <c r="CD148" i="164" s="1"/>
  <c r="CG148" i="164"/>
  <c r="CN330" i="168"/>
  <c r="CK330" i="168"/>
  <c r="CQ330" i="168" s="1"/>
  <c r="CS330" i="168"/>
  <c r="CM330" i="168"/>
  <c r="CP330" i="168" s="1"/>
  <c r="CH389" i="164"/>
  <c r="AR389" i="164"/>
  <c r="AS389" i="164" s="1"/>
  <c r="AT389" i="164" s="1"/>
  <c r="CC389" i="164"/>
  <c r="CD389" i="164" s="1"/>
  <c r="BN109" i="164"/>
  <c r="BV483" i="164"/>
  <c r="BX483" i="164" s="1"/>
  <c r="BZ483" i="164" s="1"/>
  <c r="CB483" i="164" s="1"/>
  <c r="CF483" i="164" s="1"/>
  <c r="CJ483" i="164" s="1"/>
  <c r="BR483" i="164"/>
  <c r="BT483" i="164" s="1"/>
  <c r="BD486" i="164"/>
  <c r="CW486" i="164" s="1"/>
  <c r="BE486" i="164"/>
  <c r="BM486" i="164"/>
  <c r="AB249" i="164"/>
  <c r="AI249" i="164" s="1"/>
  <c r="CX426" i="164"/>
  <c r="Z426" i="164"/>
  <c r="AZ426" i="164"/>
  <c r="AU170" i="164"/>
  <c r="AV170" i="164"/>
  <c r="AW170" i="164" s="1"/>
  <c r="BP170" i="164" s="1"/>
  <c r="CC421" i="164"/>
  <c r="CD421" i="164" s="1"/>
  <c r="AR421" i="164"/>
  <c r="AS421" i="164" s="1"/>
  <c r="AT421" i="164" s="1"/>
  <c r="CH421" i="164"/>
  <c r="AB83" i="164"/>
  <c r="BR39" i="164"/>
  <c r="BT39" i="164" s="1"/>
  <c r="BV39" i="164"/>
  <c r="BX39" i="164" s="1"/>
  <c r="BZ39" i="164" s="1"/>
  <c r="CB39" i="164" s="1"/>
  <c r="CF39" i="164" s="1"/>
  <c r="CJ39" i="164" s="1"/>
  <c r="BP80" i="164"/>
  <c r="E64" i="169" l="1"/>
  <c r="G64" i="169" s="1"/>
  <c r="G58" i="169"/>
  <c r="BQ232" i="164"/>
  <c r="BS232" i="164" s="1"/>
  <c r="CG232" i="164" s="1"/>
  <c r="CH247" i="164"/>
  <c r="BU170" i="164"/>
  <c r="BW170" i="164" s="1"/>
  <c r="BY170" i="164" s="1"/>
  <c r="CA170" i="164" s="1"/>
  <c r="CE170" i="164" s="1"/>
  <c r="CI170" i="164" s="1"/>
  <c r="CC247" i="164"/>
  <c r="CD247" i="164" s="1"/>
  <c r="BU50" i="164"/>
  <c r="BW50" i="164" s="1"/>
  <c r="BY50" i="164" s="1"/>
  <c r="CA50" i="164" s="1"/>
  <c r="CE50" i="164" s="1"/>
  <c r="CI50" i="164" s="1"/>
  <c r="AB339" i="164"/>
  <c r="AI339" i="164" s="1"/>
  <c r="AB453" i="164"/>
  <c r="AI453" i="164" s="1"/>
  <c r="AB250" i="164"/>
  <c r="AI250" i="164" s="1"/>
  <c r="BO250" i="164" s="1"/>
  <c r="CL163" i="168"/>
  <c r="CO163" i="168" s="1"/>
  <c r="CR163" i="168" s="1"/>
  <c r="CT163" i="168" s="1"/>
  <c r="BO51" i="164"/>
  <c r="BQ51" i="164" s="1"/>
  <c r="BS51" i="164" s="1"/>
  <c r="CG51" i="164" s="1"/>
  <c r="BU184" i="164"/>
  <c r="BW184" i="164" s="1"/>
  <c r="BY184" i="164" s="1"/>
  <c r="CA184" i="164" s="1"/>
  <c r="CE184" i="164" s="1"/>
  <c r="CI184" i="164" s="1"/>
  <c r="BU164" i="164"/>
  <c r="BW164" i="164" s="1"/>
  <c r="BY164" i="164" s="1"/>
  <c r="CA164" i="164" s="1"/>
  <c r="CE164" i="164" s="1"/>
  <c r="CI164" i="164" s="1"/>
  <c r="BV337" i="164"/>
  <c r="BX337" i="164" s="1"/>
  <c r="BZ337" i="164" s="1"/>
  <c r="CB337" i="164" s="1"/>
  <c r="CF337" i="164" s="1"/>
  <c r="CJ337" i="164" s="1"/>
  <c r="AW233" i="164"/>
  <c r="BP233" i="164" s="1"/>
  <c r="BV233" i="164" s="1"/>
  <c r="BX233" i="164" s="1"/>
  <c r="BZ233" i="164" s="1"/>
  <c r="CB233" i="164" s="1"/>
  <c r="CF233" i="164" s="1"/>
  <c r="CJ233" i="164" s="1"/>
  <c r="AW321" i="164"/>
  <c r="BP321" i="164" s="1"/>
  <c r="BR321" i="164" s="1"/>
  <c r="BT321" i="164" s="1"/>
  <c r="BO338" i="164"/>
  <c r="BU338" i="164" s="1"/>
  <c r="BW338" i="164" s="1"/>
  <c r="BY338" i="164" s="1"/>
  <c r="CA338" i="164" s="1"/>
  <c r="CE338" i="164" s="1"/>
  <c r="CI338" i="164" s="1"/>
  <c r="AM339" i="164"/>
  <c r="AN343" i="164"/>
  <c r="AP343" i="164" s="1"/>
  <c r="AN340" i="164"/>
  <c r="AP340" i="164" s="1"/>
  <c r="AV187" i="164"/>
  <c r="BO321" i="164"/>
  <c r="BQ321" i="164" s="1"/>
  <c r="BS321" i="164" s="1"/>
  <c r="CG321" i="164" s="1"/>
  <c r="AB255" i="164"/>
  <c r="AI255" i="164" s="1"/>
  <c r="BO255" i="164" s="1"/>
  <c r="BV336" i="164"/>
  <c r="BX336" i="164" s="1"/>
  <c r="BZ336" i="164" s="1"/>
  <c r="CB336" i="164" s="1"/>
  <c r="CF336" i="164" s="1"/>
  <c r="CJ336" i="164" s="1"/>
  <c r="BR336" i="164"/>
  <c r="BT336" i="164" s="1"/>
  <c r="CC335" i="164"/>
  <c r="CD335" i="164" s="1"/>
  <c r="CH335" i="164"/>
  <c r="AR335" i="164"/>
  <c r="AS335" i="164" s="1"/>
  <c r="AT335" i="164" s="1"/>
  <c r="AU338" i="164"/>
  <c r="AV338" i="164"/>
  <c r="AW338" i="164" s="1"/>
  <c r="BP338" i="164" s="1"/>
  <c r="BR338" i="164" s="1"/>
  <c r="BT338" i="164" s="1"/>
  <c r="AB172" i="164"/>
  <c r="AI172" i="164" s="1"/>
  <c r="AN346" i="164"/>
  <c r="AP346" i="164" s="1"/>
  <c r="AM342" i="164"/>
  <c r="AU342" i="164" s="1"/>
  <c r="E21" i="169"/>
  <c r="G21" i="169" s="1"/>
  <c r="E15" i="56"/>
  <c r="CC416" i="164"/>
  <c r="CD416" i="164" s="1"/>
  <c r="AR416" i="164"/>
  <c r="AS416" i="164" s="1"/>
  <c r="AT416" i="164" s="1"/>
  <c r="AR107" i="164"/>
  <c r="AS107" i="164" s="1"/>
  <c r="AT107" i="164" s="1"/>
  <c r="CC107" i="164"/>
  <c r="CD107" i="164" s="1"/>
  <c r="AR374" i="164"/>
  <c r="AS374" i="164" s="1"/>
  <c r="AT374" i="164" s="1"/>
  <c r="CH374" i="164"/>
  <c r="CH330" i="164"/>
  <c r="CC403" i="164"/>
  <c r="CD403" i="164" s="1"/>
  <c r="AR330" i="164"/>
  <c r="AS330" i="164" s="1"/>
  <c r="AT330" i="164" s="1"/>
  <c r="BV232" i="164"/>
  <c r="BX232" i="164" s="1"/>
  <c r="BZ232" i="164" s="1"/>
  <c r="CB232" i="164" s="1"/>
  <c r="CF232" i="164" s="1"/>
  <c r="CJ232" i="164" s="1"/>
  <c r="CC383" i="164"/>
  <c r="CD383" i="164" s="1"/>
  <c r="CF384" i="164"/>
  <c r="CJ384" i="164" s="1"/>
  <c r="CC269" i="164"/>
  <c r="CD269" i="164" s="1"/>
  <c r="AR383" i="164"/>
  <c r="AS383" i="164" s="1"/>
  <c r="AT383" i="164" s="1"/>
  <c r="CH383" i="164"/>
  <c r="AI83" i="164"/>
  <c r="CC437" i="164"/>
  <c r="CD437" i="164" s="1"/>
  <c r="BT384" i="164"/>
  <c r="CH384" i="164" s="1"/>
  <c r="CX503" i="168"/>
  <c r="BV404" i="164"/>
  <c r="BX404" i="164" s="1"/>
  <c r="BX384" i="164"/>
  <c r="CB384" i="164"/>
  <c r="BV384" i="164"/>
  <c r="BR384" i="164"/>
  <c r="CZ331" i="168"/>
  <c r="CZ503" i="168" s="1"/>
  <c r="BA155" i="168"/>
  <c r="AR155" i="168" s="1"/>
  <c r="BP202" i="164"/>
  <c r="BV202" i="164" s="1"/>
  <c r="AI426" i="164"/>
  <c r="CL330" i="168"/>
  <c r="CO330" i="168" s="1"/>
  <c r="CR330" i="168" s="1"/>
  <c r="CT330" i="168" s="1"/>
  <c r="BQ485" i="164"/>
  <c r="BS485" i="164" s="1"/>
  <c r="CG485" i="164" s="1"/>
  <c r="BU485" i="164"/>
  <c r="BW485" i="164" s="1"/>
  <c r="BY485" i="164" s="1"/>
  <c r="CA485" i="164" s="1"/>
  <c r="CE485" i="164" s="1"/>
  <c r="CI485" i="164" s="1"/>
  <c r="AR404" i="164"/>
  <c r="AS404" i="164" s="1"/>
  <c r="AT404" i="164" s="1"/>
  <c r="CH404" i="164"/>
  <c r="BR285" i="164"/>
  <c r="BT285" i="164" s="1"/>
  <c r="BV285" i="164"/>
  <c r="BX285" i="164" s="1"/>
  <c r="BZ285" i="164" s="1"/>
  <c r="CB285" i="164" s="1"/>
  <c r="CF285" i="164" s="1"/>
  <c r="CJ285" i="164" s="1"/>
  <c r="CC163" i="164"/>
  <c r="CD163" i="164" s="1"/>
  <c r="CH163" i="164"/>
  <c r="AR163" i="164"/>
  <c r="AS163" i="164" s="1"/>
  <c r="AT163" i="164" s="1"/>
  <c r="CH239" i="164"/>
  <c r="AR239" i="164"/>
  <c r="AS239" i="164" s="1"/>
  <c r="AT239" i="164" s="1"/>
  <c r="AR483" i="164"/>
  <c r="AS483" i="164" s="1"/>
  <c r="AT483" i="164" s="1"/>
  <c r="CC483" i="164"/>
  <c r="CD483" i="164" s="1"/>
  <c r="CH483" i="164"/>
  <c r="CC79" i="164"/>
  <c r="CD79" i="164" s="1"/>
  <c r="CH79" i="164"/>
  <c r="AR79" i="164"/>
  <c r="AS79" i="164" s="1"/>
  <c r="AT79" i="164" s="1"/>
  <c r="AR284" i="164"/>
  <c r="AS284" i="164" s="1"/>
  <c r="AT284" i="164" s="1"/>
  <c r="CC284" i="164"/>
  <c r="CD284" i="164" s="1"/>
  <c r="CH284" i="164"/>
  <c r="BV214" i="164"/>
  <c r="BX214" i="164" s="1"/>
  <c r="BZ214" i="164" s="1"/>
  <c r="CB214" i="164" s="1"/>
  <c r="CF214" i="164" s="1"/>
  <c r="CJ214" i="164" s="1"/>
  <c r="BR214" i="164"/>
  <c r="BT214" i="164" s="1"/>
  <c r="CH164" i="164"/>
  <c r="CC164" i="164"/>
  <c r="CD164" i="164" s="1"/>
  <c r="AR164" i="164"/>
  <c r="AS164" i="164" s="1"/>
  <c r="AT164" i="164" s="1"/>
  <c r="CC125" i="164"/>
  <c r="CD125" i="164" s="1"/>
  <c r="CH125" i="164"/>
  <c r="AR125" i="164"/>
  <c r="AS125" i="164" s="1"/>
  <c r="AT125" i="164" s="1"/>
  <c r="CC118" i="164"/>
  <c r="CD118" i="164" s="1"/>
  <c r="CH118" i="164"/>
  <c r="AR118" i="164"/>
  <c r="AS118" i="164" s="1"/>
  <c r="AT118" i="164" s="1"/>
  <c r="AA225" i="164"/>
  <c r="R225" i="164"/>
  <c r="BN287" i="164"/>
  <c r="AZ163" i="168"/>
  <c r="BC163" i="168" s="1"/>
  <c r="AI163" i="168"/>
  <c r="AW163" i="168"/>
  <c r="CH468" i="164"/>
  <c r="CC468" i="164"/>
  <c r="CD468" i="164" s="1"/>
  <c r="AR468" i="164"/>
  <c r="AS468" i="164" s="1"/>
  <c r="AT468" i="164" s="1"/>
  <c r="BR50" i="164"/>
  <c r="BT50" i="164" s="1"/>
  <c r="BV50" i="164"/>
  <c r="BX50" i="164" s="1"/>
  <c r="BZ50" i="164" s="1"/>
  <c r="CB50" i="164" s="1"/>
  <c r="CF50" i="164" s="1"/>
  <c r="CJ50" i="164" s="1"/>
  <c r="AR232" i="164"/>
  <c r="AS232" i="164" s="1"/>
  <c r="AT232" i="164" s="1"/>
  <c r="CH232" i="164"/>
  <c r="AM52" i="164"/>
  <c r="AN53" i="164"/>
  <c r="AP53" i="164" s="1"/>
  <c r="BP81" i="164"/>
  <c r="BU385" i="164"/>
  <c r="BW385" i="164" s="1"/>
  <c r="BY385" i="164" s="1"/>
  <c r="CA385" i="164" s="1"/>
  <c r="CE385" i="164" s="1"/>
  <c r="CI385" i="164" s="1"/>
  <c r="BQ385" i="164"/>
  <c r="BS385" i="164" s="1"/>
  <c r="CG385" i="164" s="1"/>
  <c r="BU41" i="164"/>
  <c r="BW41" i="164" s="1"/>
  <c r="BY41" i="164" s="1"/>
  <c r="CA41" i="164" s="1"/>
  <c r="CE41" i="164" s="1"/>
  <c r="CI41" i="164" s="1"/>
  <c r="BQ41" i="164"/>
  <c r="BS41" i="164" s="1"/>
  <c r="CG41" i="164" s="1"/>
  <c r="AB42" i="164"/>
  <c r="AI42" i="164" s="1"/>
  <c r="BO470" i="164"/>
  <c r="BQ206" i="164"/>
  <c r="BS206" i="164" s="1"/>
  <c r="CG206" i="164" s="1"/>
  <c r="BU206" i="164"/>
  <c r="BW206" i="164" s="1"/>
  <c r="BY206" i="164" s="1"/>
  <c r="CA206" i="164" s="1"/>
  <c r="CE206" i="164" s="1"/>
  <c r="CI206" i="164" s="1"/>
  <c r="AC163" i="168"/>
  <c r="Y111" i="164"/>
  <c r="G112" i="164"/>
  <c r="H112" i="164" s="1"/>
  <c r="P111" i="164"/>
  <c r="AS503" i="168"/>
  <c r="AA378" i="164"/>
  <c r="R378" i="164"/>
  <c r="BO452" i="164"/>
  <c r="AW452" i="164"/>
  <c r="BP452" i="164" s="1"/>
  <c r="BM288" i="164"/>
  <c r="BE288" i="164"/>
  <c r="BD288" i="164"/>
  <c r="CW288" i="164" s="1"/>
  <c r="BR224" i="164"/>
  <c r="BT224" i="164" s="1"/>
  <c r="BV224" i="164"/>
  <c r="BX224" i="164" s="1"/>
  <c r="BZ224" i="164" s="1"/>
  <c r="CB224" i="164" s="1"/>
  <c r="CF224" i="164" s="1"/>
  <c r="CJ224" i="164" s="1"/>
  <c r="BA237" i="168"/>
  <c r="AR237" i="168" s="1"/>
  <c r="AB487" i="164"/>
  <c r="AI487" i="164" s="1"/>
  <c r="BU202" i="164"/>
  <c r="BW202" i="164" s="1"/>
  <c r="BY202" i="164" s="1"/>
  <c r="CA202" i="164" s="1"/>
  <c r="CE202" i="164" s="1"/>
  <c r="CI202" i="164" s="1"/>
  <c r="BQ202" i="164"/>
  <c r="BS202" i="164" s="1"/>
  <c r="CG202" i="164" s="1"/>
  <c r="CC319" i="164"/>
  <c r="CD319" i="164" s="1"/>
  <c r="CH319" i="164"/>
  <c r="AR319" i="164"/>
  <c r="AS319" i="164" s="1"/>
  <c r="AT319" i="164" s="1"/>
  <c r="AR134" i="168"/>
  <c r="CX322" i="164"/>
  <c r="AV322" i="164"/>
  <c r="Z322" i="164"/>
  <c r="AI322" i="164" s="1"/>
  <c r="AZ322" i="164"/>
  <c r="K323" i="164"/>
  <c r="L323" i="164" s="1"/>
  <c r="BR423" i="164"/>
  <c r="BT423" i="164"/>
  <c r="CF423" i="164"/>
  <c r="CJ423" i="164" s="1"/>
  <c r="BV423" i="164"/>
  <c r="BX423" i="164"/>
  <c r="BZ423" i="164"/>
  <c r="CB423" i="164"/>
  <c r="Y188" i="164"/>
  <c r="G189" i="164"/>
  <c r="H189" i="164" s="1"/>
  <c r="P188" i="164"/>
  <c r="BQ171" i="164"/>
  <c r="BS171" i="164" s="1"/>
  <c r="CG171" i="164" s="1"/>
  <c r="BU171" i="164"/>
  <c r="BW171" i="164" s="1"/>
  <c r="BY171" i="164" s="1"/>
  <c r="CA171" i="164" s="1"/>
  <c r="CE171" i="164" s="1"/>
  <c r="CI171" i="164" s="1"/>
  <c r="E63" i="169"/>
  <c r="AW249" i="164"/>
  <c r="BP249" i="164" s="1"/>
  <c r="BO249" i="164"/>
  <c r="K55" i="164"/>
  <c r="L55" i="164" s="1"/>
  <c r="CX54" i="164"/>
  <c r="Z54" i="164"/>
  <c r="AZ54" i="164"/>
  <c r="BD187" i="164"/>
  <c r="CW187" i="164" s="1"/>
  <c r="BE187" i="164"/>
  <c r="BM187" i="164"/>
  <c r="AQ148" i="168"/>
  <c r="BQ375" i="164"/>
  <c r="BS375" i="164" s="1"/>
  <c r="CG375" i="164" s="1"/>
  <c r="BU375" i="164"/>
  <c r="BW375" i="164" s="1"/>
  <c r="BY375" i="164" s="1"/>
  <c r="CA375" i="164" s="1"/>
  <c r="CE375" i="164" s="1"/>
  <c r="CI375" i="164" s="1"/>
  <c r="Z330" i="168"/>
  <c r="BV330" i="168"/>
  <c r="CG330" i="168" s="1"/>
  <c r="BY330" i="168"/>
  <c r="BQ302" i="164"/>
  <c r="BS302" i="164" s="1"/>
  <c r="CG302" i="164" s="1"/>
  <c r="BU302" i="164"/>
  <c r="BW302" i="164" s="1"/>
  <c r="BY302" i="164" s="1"/>
  <c r="CA302" i="164" s="1"/>
  <c r="CE302" i="164" s="1"/>
  <c r="CI302" i="164" s="1"/>
  <c r="AA53" i="164"/>
  <c r="R53" i="164"/>
  <c r="AM323" i="164"/>
  <c r="AU323" i="164" s="1"/>
  <c r="AN324" i="164"/>
  <c r="AP324" i="164" s="1"/>
  <c r="CX111" i="164"/>
  <c r="BD111" i="164" s="1"/>
  <c r="CW111" i="164" s="1"/>
  <c r="AB234" i="164"/>
  <c r="AI234" i="164" s="1"/>
  <c r="AM486" i="164"/>
  <c r="AN487" i="164"/>
  <c r="AP487" i="164" s="1"/>
  <c r="BQ285" i="164"/>
  <c r="BS285" i="164" s="1"/>
  <c r="CG285" i="164" s="1"/>
  <c r="BU285" i="164"/>
  <c r="BW285" i="164" s="1"/>
  <c r="BY285" i="164" s="1"/>
  <c r="CA285" i="164" s="1"/>
  <c r="CE285" i="164" s="1"/>
  <c r="CI285" i="164" s="1"/>
  <c r="AR422" i="164"/>
  <c r="AS422" i="164" s="1"/>
  <c r="AT422" i="164" s="1"/>
  <c r="CH422" i="164"/>
  <c r="CC422" i="164"/>
  <c r="CD422" i="164" s="1"/>
  <c r="AQ155" i="168"/>
  <c r="AZ289" i="164"/>
  <c r="CX289" i="164"/>
  <c r="Z289" i="164"/>
  <c r="K290" i="164"/>
  <c r="L290" i="164" s="1"/>
  <c r="BU214" i="164"/>
  <c r="BW214" i="164" s="1"/>
  <c r="BY214" i="164" s="1"/>
  <c r="CA214" i="164" s="1"/>
  <c r="CE214" i="164" s="1"/>
  <c r="CI214" i="164" s="1"/>
  <c r="BQ214" i="164"/>
  <c r="BS214" i="164" s="1"/>
  <c r="CG214" i="164" s="1"/>
  <c r="BA328" i="168"/>
  <c r="AR328" i="168" s="1"/>
  <c r="BM83" i="164"/>
  <c r="BD83" i="164"/>
  <c r="CW83" i="164" s="1"/>
  <c r="BE83" i="164"/>
  <c r="BO376" i="164"/>
  <c r="AW376" i="164"/>
  <c r="BP376" i="164" s="1"/>
  <c r="BR126" i="164"/>
  <c r="BT126" i="164" s="1"/>
  <c r="BV126" i="164"/>
  <c r="BX126" i="164" s="1"/>
  <c r="BZ126" i="164" s="1"/>
  <c r="CB126" i="164" s="1"/>
  <c r="CF126" i="164" s="1"/>
  <c r="CJ126" i="164" s="1"/>
  <c r="Y386" i="164"/>
  <c r="G387" i="164"/>
  <c r="H387" i="164" s="1"/>
  <c r="P386" i="164"/>
  <c r="BN486" i="164"/>
  <c r="BO486" i="164" s="1"/>
  <c r="AB287" i="164"/>
  <c r="AI287" i="164" s="1"/>
  <c r="BQ286" i="164"/>
  <c r="BS286" i="164" s="1"/>
  <c r="CG286" i="164" s="1"/>
  <c r="BU286" i="164"/>
  <c r="BW286" i="164" s="1"/>
  <c r="BY286" i="164" s="1"/>
  <c r="CA286" i="164" s="1"/>
  <c r="CE286" i="164" s="1"/>
  <c r="CI286" i="164" s="1"/>
  <c r="BT375" i="164"/>
  <c r="CF375" i="164"/>
  <c r="CJ375" i="164" s="1"/>
  <c r="BV375" i="164"/>
  <c r="BX375" i="164"/>
  <c r="BR375" i="164"/>
  <c r="BZ375" i="164"/>
  <c r="CB375" i="164"/>
  <c r="AZ341" i="164"/>
  <c r="CX341" i="164"/>
  <c r="Z341" i="164"/>
  <c r="K342" i="164"/>
  <c r="L342" i="164" s="1"/>
  <c r="AU485" i="164"/>
  <c r="AV485" i="164"/>
  <c r="AW485" i="164" s="1"/>
  <c r="BP485" i="164" s="1"/>
  <c r="BJ162" i="164"/>
  <c r="CK162" i="164" s="1"/>
  <c r="A163" i="164"/>
  <c r="AW82" i="164"/>
  <c r="AM425" i="164"/>
  <c r="AN426" i="164"/>
  <c r="AP426" i="164" s="1"/>
  <c r="CK331" i="168"/>
  <c r="CQ331" i="168" s="1"/>
  <c r="CQ503" i="168" s="1"/>
  <c r="CL331" i="168"/>
  <c r="CO331" i="168" s="1"/>
  <c r="CN331" i="168"/>
  <c r="CN503" i="168" s="1"/>
  <c r="CS331" i="168"/>
  <c r="CS503" i="168" s="1"/>
  <c r="CH337" i="164"/>
  <c r="AR337" i="164"/>
  <c r="AS337" i="164" s="1"/>
  <c r="AT337" i="164" s="1"/>
  <c r="BV184" i="164"/>
  <c r="BX184" i="164" s="1"/>
  <c r="BZ184" i="164" s="1"/>
  <c r="CB184" i="164" s="1"/>
  <c r="CF184" i="164" s="1"/>
  <c r="CJ184" i="164" s="1"/>
  <c r="BR184" i="164"/>
  <c r="BT184" i="164" s="1"/>
  <c r="BN453" i="164"/>
  <c r="AR49" i="164"/>
  <c r="AS49" i="164" s="1"/>
  <c r="AT49" i="164" s="1"/>
  <c r="CC49" i="164"/>
  <c r="CD49" i="164" s="1"/>
  <c r="CH49" i="164"/>
  <c r="AA110" i="164"/>
  <c r="R110" i="164"/>
  <c r="AU470" i="164"/>
  <c r="AV470" i="164"/>
  <c r="AW470" i="164" s="1"/>
  <c r="BP470" i="164" s="1"/>
  <c r="AU302" i="164"/>
  <c r="AV302" i="164"/>
  <c r="AW302" i="164" s="1"/>
  <c r="BP302" i="164" s="1"/>
  <c r="AA187" i="164"/>
  <c r="R187" i="164"/>
  <c r="BR170" i="164"/>
  <c r="BT170" i="164" s="1"/>
  <c r="BV170" i="164"/>
  <c r="BX170" i="164" s="1"/>
  <c r="BZ170" i="164" s="1"/>
  <c r="CB170" i="164" s="1"/>
  <c r="CF170" i="164" s="1"/>
  <c r="CJ170" i="164" s="1"/>
  <c r="BN52" i="164"/>
  <c r="BO52" i="164" s="1"/>
  <c r="AU41" i="164"/>
  <c r="AV41" i="164"/>
  <c r="AW41" i="164" s="1"/>
  <c r="BP41" i="164" s="1"/>
  <c r="CC462" i="164"/>
  <c r="CD462" i="164" s="1"/>
  <c r="CH462" i="164"/>
  <c r="AR462" i="164"/>
  <c r="AS462" i="164" s="1"/>
  <c r="AT462" i="164" s="1"/>
  <c r="AW186" i="164"/>
  <c r="AU286" i="164"/>
  <c r="AV286" i="164"/>
  <c r="AW286" i="164" s="1"/>
  <c r="BP286" i="164" s="1"/>
  <c r="AU424" i="164"/>
  <c r="AV424" i="164"/>
  <c r="AW424" i="164" s="1"/>
  <c r="BP424" i="164" s="1"/>
  <c r="AU225" i="164"/>
  <c r="AV225" i="164"/>
  <c r="AB109" i="164"/>
  <c r="AI109" i="164" s="1"/>
  <c r="BP332" i="164"/>
  <c r="BN339" i="164"/>
  <c r="AU51" i="164"/>
  <c r="AV51" i="164"/>
  <c r="AW51" i="164" s="1"/>
  <c r="BP51" i="164" s="1"/>
  <c r="AM42" i="164"/>
  <c r="AN43" i="164"/>
  <c r="Y54" i="164"/>
  <c r="G55" i="164"/>
  <c r="P54" i="164"/>
  <c r="BM111" i="164"/>
  <c r="BR320" i="164"/>
  <c r="BT320" i="164" s="1"/>
  <c r="BV320" i="164"/>
  <c r="BX320" i="164" s="1"/>
  <c r="BZ320" i="164" s="1"/>
  <c r="CB320" i="164" s="1"/>
  <c r="CF320" i="164" s="1"/>
  <c r="CJ320" i="164" s="1"/>
  <c r="BO185" i="164"/>
  <c r="AW185" i="164"/>
  <c r="BP185" i="164" s="1"/>
  <c r="BN377" i="164"/>
  <c r="BO377" i="164" s="1"/>
  <c r="AM287" i="164"/>
  <c r="AN288" i="164"/>
  <c r="AP288" i="164" s="1"/>
  <c r="BP385" i="164"/>
  <c r="AM226" i="164"/>
  <c r="AN227" i="164"/>
  <c r="AP227" i="164" s="1"/>
  <c r="AM227" i="164" s="1"/>
  <c r="BQ332" i="164"/>
  <c r="BS332" i="164" s="1"/>
  <c r="CG332" i="164" s="1"/>
  <c r="BU332" i="164"/>
  <c r="BW332" i="164" s="1"/>
  <c r="BY332" i="164" s="1"/>
  <c r="CA332" i="164" s="1"/>
  <c r="CE332" i="164" s="1"/>
  <c r="CI332" i="164" s="1"/>
  <c r="AN388" i="164"/>
  <c r="AM387" i="164"/>
  <c r="AU387" i="164" s="1"/>
  <c r="AC238" i="168"/>
  <c r="AF238" i="168" s="1"/>
  <c r="BV40" i="164"/>
  <c r="BX40" i="164" s="1"/>
  <c r="BZ40" i="164" s="1"/>
  <c r="CB40" i="164" s="1"/>
  <c r="CF40" i="164" s="1"/>
  <c r="CJ40" i="164" s="1"/>
  <c r="BR40" i="164"/>
  <c r="BT40" i="164" s="1"/>
  <c r="G227" i="164"/>
  <c r="H227" i="164" s="1"/>
  <c r="Y226" i="164"/>
  <c r="P226" i="164"/>
  <c r="CX226" i="164"/>
  <c r="AZ226" i="164"/>
  <c r="BD53" i="164"/>
  <c r="CW53" i="164" s="1"/>
  <c r="BE53" i="164"/>
  <c r="BM53" i="164"/>
  <c r="CC169" i="164"/>
  <c r="CD169" i="164" s="1"/>
  <c r="CH169" i="164"/>
  <c r="AR169" i="164"/>
  <c r="AS169" i="164" s="1"/>
  <c r="AT169" i="164" s="1"/>
  <c r="CH451" i="164"/>
  <c r="CC451" i="164"/>
  <c r="CD451" i="164" s="1"/>
  <c r="AR451" i="164"/>
  <c r="AS451" i="164" s="1"/>
  <c r="AT451" i="164" s="1"/>
  <c r="BV80" i="164"/>
  <c r="BX80" i="164" s="1"/>
  <c r="BZ80" i="164" s="1"/>
  <c r="CB80" i="164" s="1"/>
  <c r="CF80" i="164" s="1"/>
  <c r="CJ80" i="164" s="1"/>
  <c r="BR80" i="164"/>
  <c r="BT80" i="164" s="1"/>
  <c r="AU127" i="164"/>
  <c r="AV127" i="164"/>
  <c r="AW127" i="164" s="1"/>
  <c r="BP127" i="164" s="1"/>
  <c r="BE487" i="164"/>
  <c r="BD487" i="164"/>
  <c r="CW487" i="164" s="1"/>
  <c r="BM487" i="164"/>
  <c r="AB463" i="164"/>
  <c r="AI463" i="164" s="1"/>
  <c r="AU453" i="164"/>
  <c r="AV453" i="164"/>
  <c r="BQ81" i="164"/>
  <c r="BS81" i="164" s="1"/>
  <c r="CG81" i="164" s="1"/>
  <c r="BU81" i="164"/>
  <c r="BW81" i="164" s="1"/>
  <c r="BY81" i="164" s="1"/>
  <c r="CA81" i="164" s="1"/>
  <c r="CE81" i="164" s="1"/>
  <c r="CI81" i="164" s="1"/>
  <c r="BD110" i="164"/>
  <c r="CW110" i="164" s="1"/>
  <c r="BE110" i="164"/>
  <c r="BM110" i="164"/>
  <c r="AV111" i="164"/>
  <c r="BU320" i="164"/>
  <c r="BW320" i="164" s="1"/>
  <c r="BY320" i="164" s="1"/>
  <c r="CA320" i="164" s="1"/>
  <c r="CE320" i="164" s="1"/>
  <c r="CI320" i="164" s="1"/>
  <c r="BQ320" i="164"/>
  <c r="BS320" i="164" s="1"/>
  <c r="CG320" i="164" s="1"/>
  <c r="CA331" i="168"/>
  <c r="W331" i="168" s="1"/>
  <c r="BD331" i="168"/>
  <c r="BH331" i="168" s="1"/>
  <c r="BH503" i="168" s="1"/>
  <c r="BE331" i="168"/>
  <c r="BE503" i="168" s="1"/>
  <c r="BF331" i="168"/>
  <c r="BF503" i="168" s="1"/>
  <c r="BG331" i="168"/>
  <c r="BG503" i="168" s="1"/>
  <c r="AP331" i="168"/>
  <c r="BR469" i="164"/>
  <c r="BT469" i="164" s="1"/>
  <c r="BV469" i="164"/>
  <c r="BX469" i="164" s="1"/>
  <c r="BZ469" i="164" s="1"/>
  <c r="CB469" i="164" s="1"/>
  <c r="CF469" i="164" s="1"/>
  <c r="CJ469" i="164" s="1"/>
  <c r="AA488" i="164"/>
  <c r="R488" i="164"/>
  <c r="BN82" i="164"/>
  <c r="BO82" i="164" s="1"/>
  <c r="AA115" i="164"/>
  <c r="R115" i="164"/>
  <c r="BM378" i="164"/>
  <c r="BE378" i="164"/>
  <c r="BD378" i="164"/>
  <c r="CW378" i="164" s="1"/>
  <c r="AA340" i="164"/>
  <c r="R340" i="164"/>
  <c r="AB340" i="164" s="1"/>
  <c r="AI340" i="164" s="1"/>
  <c r="AV83" i="164"/>
  <c r="CX188" i="164"/>
  <c r="Z188" i="164"/>
  <c r="K189" i="164"/>
  <c r="L189" i="164" s="1"/>
  <c r="AZ188" i="164"/>
  <c r="AU250" i="164"/>
  <c r="AV250" i="164"/>
  <c r="AN379" i="164"/>
  <c r="AM378" i="164"/>
  <c r="BD340" i="164"/>
  <c r="CW340" i="164" s="1"/>
  <c r="BE340" i="164"/>
  <c r="BM340" i="164"/>
  <c r="BN186" i="164"/>
  <c r="BO186" i="164" s="1"/>
  <c r="CT329" i="168"/>
  <c r="BN425" i="164"/>
  <c r="BO425" i="164" s="1"/>
  <c r="Y341" i="164"/>
  <c r="G342" i="164"/>
  <c r="H342" i="164" s="1"/>
  <c r="P341" i="164"/>
  <c r="AN173" i="164"/>
  <c r="AM172" i="164"/>
  <c r="BQ233" i="164"/>
  <c r="BS233" i="164" s="1"/>
  <c r="CG233" i="164" s="1"/>
  <c r="BU233" i="164"/>
  <c r="BW233" i="164" s="1"/>
  <c r="BY233" i="164" s="1"/>
  <c r="CA233" i="164" s="1"/>
  <c r="CE233" i="164" s="1"/>
  <c r="CI233" i="164" s="1"/>
  <c r="AC329" i="168"/>
  <c r="BA162" i="168"/>
  <c r="AR162" i="168" s="1"/>
  <c r="BO127" i="164"/>
  <c r="CH39" i="164"/>
  <c r="CC39" i="164"/>
  <c r="CD39" i="164" s="1"/>
  <c r="AR39" i="164"/>
  <c r="AS39" i="164" s="1"/>
  <c r="AT39" i="164" s="1"/>
  <c r="CH300" i="164"/>
  <c r="AR300" i="164"/>
  <c r="AS300" i="164" s="1"/>
  <c r="AT300" i="164" s="1"/>
  <c r="CC300" i="164"/>
  <c r="CD300" i="164" s="1"/>
  <c r="BV301" i="164"/>
  <c r="BX301" i="164"/>
  <c r="BZ301" i="164"/>
  <c r="CB301" i="164"/>
  <c r="BR301" i="164"/>
  <c r="BT301" i="164"/>
  <c r="CF301" i="164"/>
  <c r="CJ301" i="164" s="1"/>
  <c r="BN42" i="164"/>
  <c r="AU377" i="164"/>
  <c r="AV377" i="164"/>
  <c r="AW377" i="164" s="1"/>
  <c r="BN172" i="164"/>
  <c r="CC213" i="164"/>
  <c r="CD213" i="164" s="1"/>
  <c r="AR213" i="164"/>
  <c r="AS213" i="164" s="1"/>
  <c r="AT213" i="164" s="1"/>
  <c r="CH213" i="164"/>
  <c r="BQ424" i="164"/>
  <c r="BS424" i="164" s="1"/>
  <c r="CG424" i="164" s="1"/>
  <c r="BU424" i="164"/>
  <c r="BW424" i="164" s="1"/>
  <c r="BY424" i="164" s="1"/>
  <c r="CA424" i="164" s="1"/>
  <c r="CE424" i="164" s="1"/>
  <c r="CI424" i="164" s="1"/>
  <c r="BR484" i="164"/>
  <c r="BT484" i="164" s="1"/>
  <c r="BV484" i="164"/>
  <c r="BX484" i="164" s="1"/>
  <c r="BZ484" i="164" s="1"/>
  <c r="CB484" i="164" s="1"/>
  <c r="CF484" i="164" s="1"/>
  <c r="CJ484" i="164" s="1"/>
  <c r="Y489" i="164"/>
  <c r="P489" i="164"/>
  <c r="G490" i="164"/>
  <c r="H490" i="164" s="1"/>
  <c r="AQ237" i="168"/>
  <c r="AN189" i="164"/>
  <c r="AP189" i="164" s="1"/>
  <c r="AM188" i="164"/>
  <c r="AU188" i="164" s="1"/>
  <c r="Z386" i="164"/>
  <c r="AZ386" i="164"/>
  <c r="CX386" i="164"/>
  <c r="K387" i="164"/>
  <c r="L387" i="164" s="1"/>
  <c r="AV386" i="164"/>
  <c r="AA288" i="164"/>
  <c r="R288" i="164"/>
  <c r="AU171" i="164"/>
  <c r="AV171" i="164"/>
  <c r="AW171" i="164" s="1"/>
  <c r="BP171" i="164" s="1"/>
  <c r="BU417" i="164"/>
  <c r="BW417" i="164" s="1"/>
  <c r="BY417" i="164" s="1"/>
  <c r="CA417" i="164" s="1"/>
  <c r="CE417" i="164" s="1"/>
  <c r="CI417" i="164" s="1"/>
  <c r="BQ417" i="164"/>
  <c r="BS417" i="164" s="1"/>
  <c r="CG417" i="164" s="1"/>
  <c r="AZ238" i="168"/>
  <c r="BC238" i="168" s="1"/>
  <c r="AI238" i="168"/>
  <c r="AW238" i="168"/>
  <c r="AM112" i="164"/>
  <c r="AN113" i="164"/>
  <c r="AP113" i="164" s="1"/>
  <c r="CB201" i="164"/>
  <c r="BV201" i="164"/>
  <c r="BT201" i="164"/>
  <c r="BX201" i="164"/>
  <c r="BZ201" i="164"/>
  <c r="CF201" i="164"/>
  <c r="CJ201" i="164" s="1"/>
  <c r="BR201" i="164"/>
  <c r="BR108" i="164"/>
  <c r="BT108" i="164" s="1"/>
  <c r="BV108" i="164"/>
  <c r="BX108" i="164" s="1"/>
  <c r="BZ108" i="164" s="1"/>
  <c r="CB108" i="164" s="1"/>
  <c r="CF108" i="164" s="1"/>
  <c r="CJ108" i="164" s="1"/>
  <c r="BR206" i="164"/>
  <c r="BT206" i="164" s="1"/>
  <c r="BV206" i="164"/>
  <c r="BX206" i="164" s="1"/>
  <c r="BZ206" i="164" s="1"/>
  <c r="CB206" i="164" s="1"/>
  <c r="CF206" i="164" s="1"/>
  <c r="CJ206" i="164" s="1"/>
  <c r="BD426" i="164"/>
  <c r="CW426" i="164" s="1"/>
  <c r="BE426" i="164"/>
  <c r="BM426" i="164"/>
  <c r="G324" i="164"/>
  <c r="H324" i="164" s="1"/>
  <c r="Y323" i="164"/>
  <c r="P323" i="164"/>
  <c r="Z488" i="164"/>
  <c r="CX488" i="164"/>
  <c r="K489" i="164"/>
  <c r="L489" i="164" s="1"/>
  <c r="AZ488" i="164"/>
  <c r="BU330" i="168"/>
  <c r="AU330" i="168"/>
  <c r="BT248" i="164"/>
  <c r="CF248" i="164"/>
  <c r="CJ248" i="164" s="1"/>
  <c r="BV248" i="164"/>
  <c r="BX248" i="164"/>
  <c r="BZ248" i="164"/>
  <c r="CB248" i="164"/>
  <c r="BR248" i="164"/>
  <c r="BR331" i="164"/>
  <c r="BT331" i="164" s="1"/>
  <c r="BV331" i="164"/>
  <c r="BX331" i="164" s="1"/>
  <c r="BZ331" i="164" s="1"/>
  <c r="CB331" i="164" s="1"/>
  <c r="CF331" i="164" s="1"/>
  <c r="CJ331" i="164" s="1"/>
  <c r="BD115" i="164"/>
  <c r="CW115" i="164" s="1"/>
  <c r="BE115" i="164"/>
  <c r="BM115" i="164"/>
  <c r="BM225" i="164"/>
  <c r="BD225" i="164"/>
  <c r="CW225" i="164" s="1"/>
  <c r="BE225" i="164"/>
  <c r="AF162" i="168"/>
  <c r="AQ162" i="168" s="1"/>
  <c r="AQ328" i="168"/>
  <c r="AI329" i="168"/>
  <c r="AW329" i="168"/>
  <c r="AZ329" i="168"/>
  <c r="BC329" i="168" s="1"/>
  <c r="CC223" i="164"/>
  <c r="CD223" i="164" s="1"/>
  <c r="CH223" i="164"/>
  <c r="AR223" i="164"/>
  <c r="AS223" i="164" s="1"/>
  <c r="AT223" i="164" s="1"/>
  <c r="Y289" i="164"/>
  <c r="G290" i="164"/>
  <c r="H290" i="164" s="1"/>
  <c r="P289" i="164"/>
  <c r="BR417" i="164"/>
  <c r="BT417" i="164" s="1"/>
  <c r="BV417" i="164"/>
  <c r="BX417" i="164" s="1"/>
  <c r="BZ417" i="164" s="1"/>
  <c r="CB417" i="164" s="1"/>
  <c r="CF417" i="164" s="1"/>
  <c r="CJ417" i="164" s="1"/>
  <c r="AB288" i="164" l="1"/>
  <c r="AI288" i="164" s="1"/>
  <c r="AB378" i="164"/>
  <c r="AI378" i="164" s="1"/>
  <c r="AB110" i="164"/>
  <c r="AI110" i="164" s="1"/>
  <c r="AB115" i="164"/>
  <c r="AI115" i="164" s="1"/>
  <c r="AW453" i="164"/>
  <c r="BP453" i="164" s="1"/>
  <c r="BV453" i="164" s="1"/>
  <c r="BX453" i="164" s="1"/>
  <c r="BZ453" i="164" s="1"/>
  <c r="CB453" i="164" s="1"/>
  <c r="CF453" i="164" s="1"/>
  <c r="CJ453" i="164" s="1"/>
  <c r="BO339" i="164"/>
  <c r="BQ339" i="164" s="1"/>
  <c r="BS339" i="164" s="1"/>
  <c r="CG339" i="164" s="1"/>
  <c r="AW250" i="164"/>
  <c r="BP250" i="164" s="1"/>
  <c r="BR250" i="164" s="1"/>
  <c r="BO453" i="164"/>
  <c r="BU453" i="164" s="1"/>
  <c r="BW453" i="164" s="1"/>
  <c r="BY453" i="164" s="1"/>
  <c r="CA453" i="164" s="1"/>
  <c r="CE453" i="164" s="1"/>
  <c r="CI453" i="164" s="1"/>
  <c r="BU51" i="164"/>
  <c r="BW51" i="164" s="1"/>
  <c r="BY51" i="164" s="1"/>
  <c r="CA51" i="164" s="1"/>
  <c r="CE51" i="164" s="1"/>
  <c r="CI51" i="164" s="1"/>
  <c r="CC337" i="164"/>
  <c r="CD337" i="164" s="1"/>
  <c r="BQ338" i="164"/>
  <c r="BS338" i="164" s="1"/>
  <c r="CG338" i="164" s="1"/>
  <c r="BR233" i="164"/>
  <c r="BT233" i="164" s="1"/>
  <c r="CH233" i="164" s="1"/>
  <c r="BU321" i="164"/>
  <c r="BW321" i="164" s="1"/>
  <c r="BY321" i="164" s="1"/>
  <c r="CA321" i="164" s="1"/>
  <c r="CE321" i="164" s="1"/>
  <c r="CI321" i="164" s="1"/>
  <c r="BO172" i="164"/>
  <c r="BQ172" i="164" s="1"/>
  <c r="BS172" i="164" s="1"/>
  <c r="CG172" i="164" s="1"/>
  <c r="AW255" i="164"/>
  <c r="BP255" i="164" s="1"/>
  <c r="BV255" i="164" s="1"/>
  <c r="BX255" i="164" s="1"/>
  <c r="BZ255" i="164" s="1"/>
  <c r="CB255" i="164" s="1"/>
  <c r="CF255" i="164" s="1"/>
  <c r="CJ255" i="164" s="1"/>
  <c r="CC336" i="164"/>
  <c r="CD336" i="164" s="1"/>
  <c r="CH336" i="164"/>
  <c r="AR336" i="164"/>
  <c r="AS336" i="164" s="1"/>
  <c r="AT336" i="164" s="1"/>
  <c r="AM346" i="164"/>
  <c r="AU346" i="164" s="1"/>
  <c r="AN350" i="164"/>
  <c r="AP350" i="164" s="1"/>
  <c r="AM350" i="164" s="1"/>
  <c r="AU350" i="164" s="1"/>
  <c r="AN341" i="164"/>
  <c r="AP341" i="164" s="1"/>
  <c r="AN344" i="164"/>
  <c r="AP344" i="164" s="1"/>
  <c r="AM340" i="164"/>
  <c r="AN347" i="164"/>
  <c r="AP347" i="164" s="1"/>
  <c r="AM343" i="164"/>
  <c r="AU343" i="164" s="1"/>
  <c r="AU339" i="164"/>
  <c r="AV339" i="164"/>
  <c r="AW339" i="164" s="1"/>
  <c r="BP339" i="164" s="1"/>
  <c r="E81" i="56"/>
  <c r="E83" i="56"/>
  <c r="E79" i="56"/>
  <c r="BH527" i="168"/>
  <c r="CC232" i="164"/>
  <c r="CD232" i="164" s="1"/>
  <c r="AW83" i="164"/>
  <c r="BV321" i="164"/>
  <c r="BX321" i="164" s="1"/>
  <c r="BZ321" i="164" s="1"/>
  <c r="CB321" i="164" s="1"/>
  <c r="CF321" i="164" s="1"/>
  <c r="CJ321" i="164" s="1"/>
  <c r="CF202" i="164"/>
  <c r="CJ202" i="164" s="1"/>
  <c r="BT202" i="164"/>
  <c r="CH202" i="164" s="1"/>
  <c r="CC384" i="164"/>
  <c r="CD384" i="164" s="1"/>
  <c r="AR384" i="164"/>
  <c r="AS384" i="164" s="1"/>
  <c r="AT384" i="164" s="1"/>
  <c r="BZ404" i="164"/>
  <c r="CB404" i="164" s="1"/>
  <c r="CF404" i="164" s="1"/>
  <c r="CJ404" i="164" s="1"/>
  <c r="CC404" i="164"/>
  <c r="CD404" i="164" s="1"/>
  <c r="BV338" i="164"/>
  <c r="BX338" i="164" s="1"/>
  <c r="BZ338" i="164" s="1"/>
  <c r="CB338" i="164" s="1"/>
  <c r="CF338" i="164" s="1"/>
  <c r="CJ338" i="164" s="1"/>
  <c r="BR202" i="164"/>
  <c r="BP377" i="164"/>
  <c r="BR377" i="164" s="1"/>
  <c r="BZ202" i="164"/>
  <c r="CB202" i="164"/>
  <c r="BX202" i="164"/>
  <c r="CO503" i="168"/>
  <c r="E23" i="169" s="1"/>
  <c r="G23" i="169" s="1"/>
  <c r="BP186" i="164"/>
  <c r="BR186" i="164" s="1"/>
  <c r="BT186" i="164" s="1"/>
  <c r="BE111" i="164"/>
  <c r="CL503" i="168"/>
  <c r="BP82" i="164"/>
  <c r="BV82" i="164" s="1"/>
  <c r="BX82" i="164" s="1"/>
  <c r="BZ82" i="164" s="1"/>
  <c r="CB82" i="164" s="1"/>
  <c r="CF82" i="164" s="1"/>
  <c r="CJ82" i="164" s="1"/>
  <c r="CK503" i="168"/>
  <c r="CM331" i="168"/>
  <c r="CC214" i="164"/>
  <c r="CD214" i="164" s="1"/>
  <c r="CH214" i="164"/>
  <c r="AR214" i="164"/>
  <c r="AS214" i="164" s="1"/>
  <c r="AT214" i="164" s="1"/>
  <c r="AR338" i="164"/>
  <c r="AS338" i="164" s="1"/>
  <c r="AT338" i="164" s="1"/>
  <c r="CH338" i="164"/>
  <c r="AR469" i="164"/>
  <c r="AS469" i="164" s="1"/>
  <c r="AT469" i="164" s="1"/>
  <c r="CC469" i="164"/>
  <c r="CD469" i="164" s="1"/>
  <c r="CH469" i="164"/>
  <c r="CH285" i="164"/>
  <c r="CC285" i="164"/>
  <c r="CD285" i="164" s="1"/>
  <c r="AR285" i="164"/>
  <c r="AS285" i="164" s="1"/>
  <c r="AT285" i="164" s="1"/>
  <c r="CC184" i="164"/>
  <c r="CD184" i="164" s="1"/>
  <c r="CH184" i="164"/>
  <c r="AR184" i="164"/>
  <c r="AS184" i="164" s="1"/>
  <c r="AT184" i="164" s="1"/>
  <c r="BQ486" i="164"/>
  <c r="BS486" i="164" s="1"/>
  <c r="CG486" i="164" s="1"/>
  <c r="BU486" i="164"/>
  <c r="BW486" i="164" s="1"/>
  <c r="BY486" i="164" s="1"/>
  <c r="CA486" i="164" s="1"/>
  <c r="CE486" i="164" s="1"/>
  <c r="CI486" i="164" s="1"/>
  <c r="CH170" i="164"/>
  <c r="AR170" i="164"/>
  <c r="AS170" i="164" s="1"/>
  <c r="AT170" i="164" s="1"/>
  <c r="CC170" i="164"/>
  <c r="CD170" i="164" s="1"/>
  <c r="CC206" i="164"/>
  <c r="CD206" i="164" s="1"/>
  <c r="CH206" i="164"/>
  <c r="AR206" i="164"/>
  <c r="AS206" i="164" s="1"/>
  <c r="AT206" i="164" s="1"/>
  <c r="AW322" i="164"/>
  <c r="BR470" i="164"/>
  <c r="BT470" i="164" s="1"/>
  <c r="BV470" i="164"/>
  <c r="BX470" i="164" s="1"/>
  <c r="BZ470" i="164" s="1"/>
  <c r="CB470" i="164" s="1"/>
  <c r="CF470" i="164" s="1"/>
  <c r="CJ470" i="164" s="1"/>
  <c r="BU377" i="164"/>
  <c r="BW377" i="164" s="1"/>
  <c r="BY377" i="164" s="1"/>
  <c r="CA377" i="164" s="1"/>
  <c r="CE377" i="164" s="1"/>
  <c r="CI377" i="164" s="1"/>
  <c r="BQ377" i="164"/>
  <c r="BS377" i="164" s="1"/>
  <c r="CG377" i="164" s="1"/>
  <c r="BU186" i="164"/>
  <c r="BW186" i="164" s="1"/>
  <c r="BY186" i="164" s="1"/>
  <c r="CA186" i="164" s="1"/>
  <c r="CE186" i="164" s="1"/>
  <c r="CI186" i="164" s="1"/>
  <c r="BQ186" i="164"/>
  <c r="BS186" i="164" s="1"/>
  <c r="CG186" i="164" s="1"/>
  <c r="CC108" i="164"/>
  <c r="CD108" i="164" s="1"/>
  <c r="CH108" i="164"/>
  <c r="AR108" i="164"/>
  <c r="AS108" i="164" s="1"/>
  <c r="AT108" i="164" s="1"/>
  <c r="CH50" i="164"/>
  <c r="CC50" i="164"/>
  <c r="CD50" i="164" s="1"/>
  <c r="AR50" i="164"/>
  <c r="AS50" i="164" s="1"/>
  <c r="AT50" i="164" s="1"/>
  <c r="AW463" i="164"/>
  <c r="BP463" i="164" s="1"/>
  <c r="BO463" i="164"/>
  <c r="AC330" i="168"/>
  <c r="AF330" i="168" s="1"/>
  <c r="BU82" i="164"/>
  <c r="BW82" i="164" s="1"/>
  <c r="BY82" i="164" s="1"/>
  <c r="CA82" i="164" s="1"/>
  <c r="CE82" i="164" s="1"/>
  <c r="CI82" i="164" s="1"/>
  <c r="BQ82" i="164"/>
  <c r="BS82" i="164" s="1"/>
  <c r="CG82" i="164" s="1"/>
  <c r="AU486" i="164"/>
  <c r="AV486" i="164"/>
  <c r="AW486" i="164" s="1"/>
  <c r="BP486" i="164" s="1"/>
  <c r="CH321" i="164"/>
  <c r="AR321" i="164"/>
  <c r="AS321" i="164" s="1"/>
  <c r="AT321" i="164" s="1"/>
  <c r="CH80" i="164"/>
  <c r="CC80" i="164"/>
  <c r="CD80" i="164" s="1"/>
  <c r="AR80" i="164"/>
  <c r="AS80" i="164" s="1"/>
  <c r="AT80" i="164" s="1"/>
  <c r="R226" i="164"/>
  <c r="AA226" i="164"/>
  <c r="BO234" i="164"/>
  <c r="AW234" i="164"/>
  <c r="BP234" i="164" s="1"/>
  <c r="BN115" i="164"/>
  <c r="BO115" i="164" s="1"/>
  <c r="CC201" i="164"/>
  <c r="CD201" i="164" s="1"/>
  <c r="CH201" i="164"/>
  <c r="AR201" i="164"/>
  <c r="AS201" i="164" s="1"/>
  <c r="AT201" i="164" s="1"/>
  <c r="AF329" i="168"/>
  <c r="AQ329" i="168" s="1"/>
  <c r="BU425" i="164"/>
  <c r="BW425" i="164" s="1"/>
  <c r="BY425" i="164" s="1"/>
  <c r="CA425" i="164" s="1"/>
  <c r="CE425" i="164" s="1"/>
  <c r="CI425" i="164" s="1"/>
  <c r="BQ425" i="164"/>
  <c r="BS425" i="164" s="1"/>
  <c r="CG425" i="164" s="1"/>
  <c r="BN487" i="164"/>
  <c r="BO487" i="164" s="1"/>
  <c r="BN111" i="164"/>
  <c r="BV332" i="164"/>
  <c r="BX332" i="164" s="1"/>
  <c r="BZ332" i="164" s="1"/>
  <c r="CB332" i="164" s="1"/>
  <c r="CF332" i="164" s="1"/>
  <c r="CJ332" i="164" s="1"/>
  <c r="BR332" i="164"/>
  <c r="BT332" i="164" s="1"/>
  <c r="BU255" i="164"/>
  <c r="BW255" i="164" s="1"/>
  <c r="BY255" i="164" s="1"/>
  <c r="CA255" i="164" s="1"/>
  <c r="CE255" i="164" s="1"/>
  <c r="CI255" i="164" s="1"/>
  <c r="BQ255" i="164"/>
  <c r="BS255" i="164" s="1"/>
  <c r="CG255" i="164" s="1"/>
  <c r="BJ163" i="164"/>
  <c r="CK163" i="164" s="1"/>
  <c r="A164" i="164"/>
  <c r="AA386" i="164"/>
  <c r="R386" i="164"/>
  <c r="BD289" i="164"/>
  <c r="CW289" i="164" s="1"/>
  <c r="BE289" i="164"/>
  <c r="BM289" i="164"/>
  <c r="BN225" i="164"/>
  <c r="CC248" i="164"/>
  <c r="CD248" i="164" s="1"/>
  <c r="CH248" i="164"/>
  <c r="AR248" i="164"/>
  <c r="AS248" i="164" s="1"/>
  <c r="AT248" i="164" s="1"/>
  <c r="Z331" i="168"/>
  <c r="Z503" i="168" s="1"/>
  <c r="E13" i="169" s="1"/>
  <c r="BV331" i="168"/>
  <c r="BY331" i="168"/>
  <c r="W503" i="168"/>
  <c r="AQ238" i="168"/>
  <c r="CH126" i="164"/>
  <c r="CC126" i="164"/>
  <c r="CD126" i="164" s="1"/>
  <c r="AR126" i="164"/>
  <c r="AS126" i="164" s="1"/>
  <c r="AT126" i="164" s="1"/>
  <c r="Y324" i="164"/>
  <c r="G325" i="164"/>
  <c r="H325" i="164" s="1"/>
  <c r="P324" i="164"/>
  <c r="AN190" i="164"/>
  <c r="AP190" i="164" s="1"/>
  <c r="AM189" i="164"/>
  <c r="AU189" i="164" s="1"/>
  <c r="BN426" i="164"/>
  <c r="BO426" i="164" s="1"/>
  <c r="BR171" i="164"/>
  <c r="BT171" i="164" s="1"/>
  <c r="BV171" i="164"/>
  <c r="BX171" i="164" s="1"/>
  <c r="BZ171" i="164" s="1"/>
  <c r="CB171" i="164" s="1"/>
  <c r="CF171" i="164" s="1"/>
  <c r="CJ171" i="164" s="1"/>
  <c r="BR185" i="164"/>
  <c r="BT185" i="164" s="1"/>
  <c r="BV185" i="164"/>
  <c r="BX185" i="164" s="1"/>
  <c r="BZ185" i="164" s="1"/>
  <c r="CB185" i="164" s="1"/>
  <c r="CF185" i="164" s="1"/>
  <c r="CJ185" i="164" s="1"/>
  <c r="BO109" i="164"/>
  <c r="AW109" i="164"/>
  <c r="BP109" i="164" s="1"/>
  <c r="AB187" i="164"/>
  <c r="AI187" i="164" s="1"/>
  <c r="Y387" i="164"/>
  <c r="P387" i="164"/>
  <c r="BX376" i="164"/>
  <c r="BZ376" i="164"/>
  <c r="CB376" i="164"/>
  <c r="BV376" i="164"/>
  <c r="BR376" i="164"/>
  <c r="BT376" i="164"/>
  <c r="CF376" i="164"/>
  <c r="CJ376" i="164" s="1"/>
  <c r="Z55" i="164"/>
  <c r="K56" i="164"/>
  <c r="L56" i="164" s="1"/>
  <c r="BN288" i="164"/>
  <c r="BO288" i="164" s="1"/>
  <c r="AF163" i="168"/>
  <c r="AQ163" i="168" s="1"/>
  <c r="BV81" i="164"/>
  <c r="BX81" i="164" s="1"/>
  <c r="BZ81" i="164" s="1"/>
  <c r="CB81" i="164" s="1"/>
  <c r="CF81" i="164" s="1"/>
  <c r="CJ81" i="164" s="1"/>
  <c r="BR81" i="164"/>
  <c r="BT81" i="164" s="1"/>
  <c r="AB225" i="164"/>
  <c r="AI225" i="164" s="1"/>
  <c r="BN378" i="164"/>
  <c r="BO378" i="164" s="1"/>
  <c r="AZ189" i="164"/>
  <c r="CX189" i="164"/>
  <c r="Z189" i="164"/>
  <c r="K190" i="164"/>
  <c r="L190" i="164" s="1"/>
  <c r="AR320" i="164"/>
  <c r="AS320" i="164" s="1"/>
  <c r="AT320" i="164" s="1"/>
  <c r="CC320" i="164"/>
  <c r="CD320" i="164" s="1"/>
  <c r="CH320" i="164"/>
  <c r="CB302" i="164"/>
  <c r="BR302" i="164"/>
  <c r="CF302" i="164"/>
  <c r="CJ302" i="164" s="1"/>
  <c r="BT302" i="164"/>
  <c r="BV302" i="164"/>
  <c r="BZ302" i="164"/>
  <c r="BX302" i="164"/>
  <c r="BX249" i="164"/>
  <c r="CF249" i="164"/>
  <c r="CJ249" i="164" s="1"/>
  <c r="BV249" i="164"/>
  <c r="BZ249" i="164"/>
  <c r="BR249" i="164"/>
  <c r="BT249" i="164"/>
  <c r="CB249" i="164"/>
  <c r="BQ452" i="164"/>
  <c r="BS452" i="164" s="1"/>
  <c r="CG452" i="164" s="1"/>
  <c r="BU452" i="164"/>
  <c r="BW452" i="164" s="1"/>
  <c r="BY452" i="164" s="1"/>
  <c r="CA452" i="164" s="1"/>
  <c r="CE452" i="164" s="1"/>
  <c r="CI452" i="164" s="1"/>
  <c r="CH484" i="164"/>
  <c r="CC484" i="164"/>
  <c r="CD484" i="164" s="1"/>
  <c r="AR484" i="164"/>
  <c r="AS484" i="164" s="1"/>
  <c r="AT484" i="164" s="1"/>
  <c r="CH417" i="164"/>
  <c r="AR417" i="164"/>
  <c r="AS417" i="164" s="1"/>
  <c r="AT417" i="164" s="1"/>
  <c r="CC417" i="164"/>
  <c r="CD417" i="164" s="1"/>
  <c r="BA329" i="168"/>
  <c r="AR329" i="168" s="1"/>
  <c r="BM488" i="164"/>
  <c r="BD488" i="164"/>
  <c r="CW488" i="164" s="1"/>
  <c r="BE488" i="164"/>
  <c r="CH301" i="164"/>
  <c r="CC301" i="164"/>
  <c r="CD301" i="164" s="1"/>
  <c r="AR301" i="164"/>
  <c r="AS301" i="164" s="1"/>
  <c r="AT301" i="164" s="1"/>
  <c r="BU127" i="164"/>
  <c r="BW127" i="164" s="1"/>
  <c r="BY127" i="164" s="1"/>
  <c r="CA127" i="164" s="1"/>
  <c r="CE127" i="164" s="1"/>
  <c r="CI127" i="164" s="1"/>
  <c r="BQ127" i="164"/>
  <c r="BS127" i="164" s="1"/>
  <c r="CG127" i="164" s="1"/>
  <c r="AU172" i="164"/>
  <c r="AV172" i="164"/>
  <c r="AW172" i="164" s="1"/>
  <c r="BP172" i="164" s="1"/>
  <c r="AV188" i="164"/>
  <c r="BN110" i="164"/>
  <c r="BO110" i="164" s="1"/>
  <c r="CC40" i="164"/>
  <c r="CD40" i="164" s="1"/>
  <c r="CH40" i="164"/>
  <c r="AR40" i="164"/>
  <c r="AS40" i="164" s="1"/>
  <c r="AT40" i="164" s="1"/>
  <c r="AU227" i="164"/>
  <c r="AV227" i="164"/>
  <c r="H55" i="164"/>
  <c r="AZ55" i="164" s="1"/>
  <c r="AE55" i="164"/>
  <c r="AH55" i="164" s="1"/>
  <c r="Z342" i="164"/>
  <c r="AV342" i="164"/>
  <c r="K343" i="164"/>
  <c r="L343" i="164" s="1"/>
  <c r="CH375" i="164"/>
  <c r="CC375" i="164"/>
  <c r="CD375" i="164" s="1"/>
  <c r="AR375" i="164"/>
  <c r="AS375" i="164" s="1"/>
  <c r="AT375" i="164" s="1"/>
  <c r="AN325" i="164"/>
  <c r="AP325" i="164" s="1"/>
  <c r="AM324" i="164"/>
  <c r="AU324" i="164" s="1"/>
  <c r="G63" i="169"/>
  <c r="E66" i="169"/>
  <c r="G66" i="169" s="1"/>
  <c r="Y189" i="164"/>
  <c r="G190" i="164"/>
  <c r="H190" i="164" s="1"/>
  <c r="P189" i="164"/>
  <c r="BD503" i="168"/>
  <c r="E77" i="56" s="1"/>
  <c r="AN54" i="164"/>
  <c r="AP54" i="164" s="1"/>
  <c r="AM53" i="164"/>
  <c r="BN83" i="164"/>
  <c r="BO83" i="164" s="1"/>
  <c r="BN187" i="164"/>
  <c r="BQ470" i="164"/>
  <c r="BS470" i="164" s="1"/>
  <c r="CG470" i="164" s="1"/>
  <c r="BU470" i="164"/>
  <c r="BW470" i="164" s="1"/>
  <c r="BY470" i="164" s="1"/>
  <c r="CA470" i="164" s="1"/>
  <c r="CE470" i="164" s="1"/>
  <c r="CI470" i="164" s="1"/>
  <c r="AU52" i="164"/>
  <c r="AV52" i="164"/>
  <c r="AW52" i="164" s="1"/>
  <c r="BP52" i="164" s="1"/>
  <c r="BM322" i="164"/>
  <c r="BE322" i="164"/>
  <c r="BD322" i="164"/>
  <c r="CW322" i="164" s="1"/>
  <c r="BD188" i="164"/>
  <c r="CW188" i="164" s="1"/>
  <c r="BE188" i="164"/>
  <c r="BM188" i="164"/>
  <c r="BQ376" i="164"/>
  <c r="BS376" i="164" s="1"/>
  <c r="CG376" i="164" s="1"/>
  <c r="BU376" i="164"/>
  <c r="BW376" i="164" s="1"/>
  <c r="BY376" i="164" s="1"/>
  <c r="CA376" i="164" s="1"/>
  <c r="CE376" i="164" s="1"/>
  <c r="CI376" i="164" s="1"/>
  <c r="BU249" i="164"/>
  <c r="BW249" i="164" s="1"/>
  <c r="BY249" i="164" s="1"/>
  <c r="CA249" i="164" s="1"/>
  <c r="CE249" i="164" s="1"/>
  <c r="CI249" i="164" s="1"/>
  <c r="BQ249" i="164"/>
  <c r="BS249" i="164" s="1"/>
  <c r="CG249" i="164" s="1"/>
  <c r="R188" i="164"/>
  <c r="AA188" i="164"/>
  <c r="BV452" i="164"/>
  <c r="BX452" i="164" s="1"/>
  <c r="BZ452" i="164" s="1"/>
  <c r="CB452" i="164" s="1"/>
  <c r="CF452" i="164" s="1"/>
  <c r="CJ452" i="164" s="1"/>
  <c r="BR452" i="164"/>
  <c r="BT452" i="164" s="1"/>
  <c r="CC331" i="164"/>
  <c r="CD331" i="164" s="1"/>
  <c r="CH331" i="164"/>
  <c r="AR331" i="164"/>
  <c r="AS331" i="164" s="1"/>
  <c r="AT331" i="164" s="1"/>
  <c r="AA489" i="164"/>
  <c r="R489" i="164"/>
  <c r="AW115" i="164"/>
  <c r="AU226" i="164"/>
  <c r="AV226" i="164"/>
  <c r="BV424" i="164"/>
  <c r="BX424" i="164"/>
  <c r="BZ424" i="164"/>
  <c r="CB424" i="164"/>
  <c r="BR424" i="164"/>
  <c r="BT424" i="164"/>
  <c r="CF424" i="164"/>
  <c r="CJ424" i="164" s="1"/>
  <c r="AV112" i="164"/>
  <c r="AU112" i="164"/>
  <c r="CX387" i="164"/>
  <c r="Z387" i="164"/>
  <c r="AZ387" i="164"/>
  <c r="AV387" i="164"/>
  <c r="AA341" i="164"/>
  <c r="R341" i="164"/>
  <c r="AP503" i="168"/>
  <c r="AU331" i="168"/>
  <c r="AU503" i="168" s="1"/>
  <c r="BU331" i="168"/>
  <c r="BU503" i="168" s="1"/>
  <c r="BN53" i="164"/>
  <c r="BR41" i="164"/>
  <c r="BT41" i="164" s="1"/>
  <c r="BV41" i="164"/>
  <c r="BX41" i="164" s="1"/>
  <c r="BZ41" i="164" s="1"/>
  <c r="CB41" i="164" s="1"/>
  <c r="CF41" i="164" s="1"/>
  <c r="CJ41" i="164" s="1"/>
  <c r="AB53" i="164"/>
  <c r="AI53" i="164" s="1"/>
  <c r="CH423" i="164"/>
  <c r="CC423" i="164"/>
  <c r="CD423" i="164" s="1"/>
  <c r="AR423" i="164"/>
  <c r="AS423" i="164" s="1"/>
  <c r="AT423" i="164" s="1"/>
  <c r="Y490" i="164"/>
  <c r="G491" i="164"/>
  <c r="H491" i="164" s="1"/>
  <c r="P490" i="164"/>
  <c r="Z489" i="164"/>
  <c r="AZ489" i="164"/>
  <c r="CX489" i="164"/>
  <c r="K490" i="164"/>
  <c r="L490" i="164" s="1"/>
  <c r="AN114" i="164"/>
  <c r="AM113" i="164"/>
  <c r="BA238" i="168"/>
  <c r="AR238" i="168" s="1"/>
  <c r="BQ250" i="164"/>
  <c r="BS250" i="164" s="1"/>
  <c r="CG250" i="164" s="1"/>
  <c r="BU250" i="164"/>
  <c r="BW250" i="164" s="1"/>
  <c r="BY250" i="164" s="1"/>
  <c r="CA250" i="164" s="1"/>
  <c r="CE250" i="164" s="1"/>
  <c r="CI250" i="164" s="1"/>
  <c r="Y342" i="164"/>
  <c r="G343" i="164"/>
  <c r="H343" i="164" s="1"/>
  <c r="P342" i="164"/>
  <c r="AU42" i="164"/>
  <c r="AV42" i="164"/>
  <c r="AW42" i="164" s="1"/>
  <c r="BP42" i="164" s="1"/>
  <c r="AW110" i="164"/>
  <c r="AR224" i="164"/>
  <c r="AS224" i="164" s="1"/>
  <c r="AT224" i="164" s="1"/>
  <c r="CC224" i="164"/>
  <c r="CD224" i="164" s="1"/>
  <c r="CH224" i="164"/>
  <c r="AT331" i="168"/>
  <c r="BO42" i="164"/>
  <c r="AU287" i="164"/>
  <c r="AV287" i="164"/>
  <c r="AW287" i="164" s="1"/>
  <c r="BP287" i="164" s="1"/>
  <c r="AW330" i="168"/>
  <c r="AI330" i="168"/>
  <c r="AZ330" i="168"/>
  <c r="BC330" i="168" s="1"/>
  <c r="Y227" i="164"/>
  <c r="P227" i="164"/>
  <c r="AZ227" i="164"/>
  <c r="CX227" i="164"/>
  <c r="BU185" i="164"/>
  <c r="BW185" i="164" s="1"/>
  <c r="BY185" i="164" s="1"/>
  <c r="CA185" i="164" s="1"/>
  <c r="CE185" i="164" s="1"/>
  <c r="CI185" i="164" s="1"/>
  <c r="BQ185" i="164"/>
  <c r="BS185" i="164" s="1"/>
  <c r="CG185" i="164" s="1"/>
  <c r="AA54" i="164"/>
  <c r="R54" i="164"/>
  <c r="AB54" i="164" s="1"/>
  <c r="AI54" i="164" s="1"/>
  <c r="BV485" i="164"/>
  <c r="BX485" i="164" s="1"/>
  <c r="BZ485" i="164" s="1"/>
  <c r="CB485" i="164" s="1"/>
  <c r="CF485" i="164" s="1"/>
  <c r="CJ485" i="164" s="1"/>
  <c r="BR485" i="164"/>
  <c r="BT485" i="164" s="1"/>
  <c r="BR127" i="164"/>
  <c r="BT127" i="164" s="1"/>
  <c r="BV127" i="164"/>
  <c r="BX127" i="164" s="1"/>
  <c r="BZ127" i="164" s="1"/>
  <c r="CB127" i="164" s="1"/>
  <c r="CF127" i="164" s="1"/>
  <c r="CJ127" i="164" s="1"/>
  <c r="BN340" i="164"/>
  <c r="BO340" i="164" s="1"/>
  <c r="AA289" i="164"/>
  <c r="R289" i="164"/>
  <c r="BQ52" i="164"/>
  <c r="BS52" i="164" s="1"/>
  <c r="CG52" i="164" s="1"/>
  <c r="BU52" i="164"/>
  <c r="BW52" i="164" s="1"/>
  <c r="BY52" i="164" s="1"/>
  <c r="CA52" i="164" s="1"/>
  <c r="CE52" i="164" s="1"/>
  <c r="CI52" i="164" s="1"/>
  <c r="AU378" i="164"/>
  <c r="AV378" i="164"/>
  <c r="AW378" i="164" s="1"/>
  <c r="BX385" i="164"/>
  <c r="BR385" i="164"/>
  <c r="BZ385" i="164"/>
  <c r="BV385" i="164"/>
  <c r="CB385" i="164"/>
  <c r="CF385" i="164"/>
  <c r="CJ385" i="164" s="1"/>
  <c r="BT385" i="164"/>
  <c r="BV51" i="164"/>
  <c r="BX51" i="164" s="1"/>
  <c r="BZ51" i="164" s="1"/>
  <c r="CB51" i="164" s="1"/>
  <c r="CF51" i="164" s="1"/>
  <c r="CJ51" i="164" s="1"/>
  <c r="BR51" i="164"/>
  <c r="BT51" i="164" s="1"/>
  <c r="AN427" i="164"/>
  <c r="AM426" i="164"/>
  <c r="BD341" i="164"/>
  <c r="CW341" i="164" s="1"/>
  <c r="BM341" i="164"/>
  <c r="BE341" i="164"/>
  <c r="BE54" i="164"/>
  <c r="BD54" i="164"/>
  <c r="CW54" i="164" s="1"/>
  <c r="BM54" i="164"/>
  <c r="K324" i="164"/>
  <c r="L324" i="164" s="1"/>
  <c r="Z323" i="164"/>
  <c r="AV323" i="164"/>
  <c r="AZ323" i="164"/>
  <c r="CX323" i="164"/>
  <c r="AA111" i="164"/>
  <c r="R111" i="164"/>
  <c r="AB111" i="164" s="1"/>
  <c r="AI111" i="164" s="1"/>
  <c r="BA163" i="168"/>
  <c r="AR163" i="168" s="1"/>
  <c r="Y290" i="164"/>
  <c r="P290" i="164"/>
  <c r="AA323" i="164"/>
  <c r="R323" i="164"/>
  <c r="BE386" i="164"/>
  <c r="BD386" i="164"/>
  <c r="CW386" i="164" s="1"/>
  <c r="BM386" i="164"/>
  <c r="AB488" i="164"/>
  <c r="AI488" i="164" s="1"/>
  <c r="BE226" i="164"/>
  <c r="BD226" i="164"/>
  <c r="CW226" i="164" s="1"/>
  <c r="BM226" i="164"/>
  <c r="AM288" i="164"/>
  <c r="AN289" i="164"/>
  <c r="AP289" i="164" s="1"/>
  <c r="BR286" i="164"/>
  <c r="BT286" i="164" s="1"/>
  <c r="BV286" i="164"/>
  <c r="BX286" i="164" s="1"/>
  <c r="BZ286" i="164" s="1"/>
  <c r="CB286" i="164" s="1"/>
  <c r="CF286" i="164" s="1"/>
  <c r="CJ286" i="164" s="1"/>
  <c r="AU425" i="164"/>
  <c r="AV425" i="164"/>
  <c r="AW425" i="164" s="1"/>
  <c r="BP425" i="164" s="1"/>
  <c r="BO287" i="164"/>
  <c r="AZ290" i="164"/>
  <c r="CX290" i="164"/>
  <c r="Z290" i="164"/>
  <c r="AM487" i="164"/>
  <c r="AN488" i="164"/>
  <c r="AP488" i="164" s="1"/>
  <c r="Y112" i="164"/>
  <c r="AZ112" i="164"/>
  <c r="CX112" i="164"/>
  <c r="G113" i="164"/>
  <c r="H113" i="164" s="1"/>
  <c r="Z112" i="164"/>
  <c r="P112" i="164"/>
  <c r="J41" i="14"/>
  <c r="G29" i="130"/>
  <c r="H29" i="130"/>
  <c r="AB386" i="164" l="1"/>
  <c r="AI386" i="164" s="1"/>
  <c r="CF250" i="164"/>
  <c r="CJ250" i="164" s="1"/>
  <c r="BV250" i="164"/>
  <c r="BU339" i="164"/>
  <c r="BW339" i="164" s="1"/>
  <c r="BY339" i="164" s="1"/>
  <c r="CA339" i="164" s="1"/>
  <c r="CE339" i="164" s="1"/>
  <c r="CI339" i="164" s="1"/>
  <c r="BT250" i="164"/>
  <c r="CH250" i="164" s="1"/>
  <c r="CB250" i="164"/>
  <c r="BQ453" i="164"/>
  <c r="BS453" i="164" s="1"/>
  <c r="CG453" i="164" s="1"/>
  <c r="BX250" i="164"/>
  <c r="BZ250" i="164"/>
  <c r="AB341" i="164"/>
  <c r="AI341" i="164" s="1"/>
  <c r="AR233" i="164"/>
  <c r="AS233" i="164" s="1"/>
  <c r="AT233" i="164" s="1"/>
  <c r="BU172" i="164"/>
  <c r="BW172" i="164" s="1"/>
  <c r="BY172" i="164" s="1"/>
  <c r="CA172" i="164" s="1"/>
  <c r="CE172" i="164" s="1"/>
  <c r="CI172" i="164" s="1"/>
  <c r="BR255" i="164"/>
  <c r="BT255" i="164" s="1"/>
  <c r="AR255" i="164" s="1"/>
  <c r="AS255" i="164" s="1"/>
  <c r="AT255" i="164" s="1"/>
  <c r="CC233" i="164"/>
  <c r="CD233" i="164" s="1"/>
  <c r="AB489" i="164"/>
  <c r="AN348" i="164"/>
  <c r="AP348" i="164" s="1"/>
  <c r="AM348" i="164" s="1"/>
  <c r="AU348" i="164" s="1"/>
  <c r="AM344" i="164"/>
  <c r="AU344" i="164" s="1"/>
  <c r="AN351" i="164"/>
  <c r="AP351" i="164" s="1"/>
  <c r="AM347" i="164"/>
  <c r="AU347" i="164" s="1"/>
  <c r="AU340" i="164"/>
  <c r="AV340" i="164"/>
  <c r="AW340" i="164" s="1"/>
  <c r="BP340" i="164" s="1"/>
  <c r="BR340" i="164" s="1"/>
  <c r="BT340" i="164" s="1"/>
  <c r="AM341" i="164"/>
  <c r="AN345" i="164"/>
  <c r="AP345" i="164" s="1"/>
  <c r="AB188" i="164"/>
  <c r="AI188" i="164" s="1"/>
  <c r="AW188" i="164" s="1"/>
  <c r="E11" i="56"/>
  <c r="E129" i="56"/>
  <c r="CC321" i="164"/>
  <c r="CD321" i="164" s="1"/>
  <c r="BD528" i="168"/>
  <c r="AR202" i="164"/>
  <c r="AS202" i="164" s="1"/>
  <c r="AT202" i="164" s="1"/>
  <c r="CC202" i="164"/>
  <c r="CD202" i="164" s="1"/>
  <c r="BV377" i="164"/>
  <c r="BX377" i="164"/>
  <c r="CF377" i="164"/>
  <c r="CJ377" i="164" s="1"/>
  <c r="BZ377" i="164"/>
  <c r="BR453" i="164"/>
  <c r="BT453" i="164" s="1"/>
  <c r="CC453" i="164" s="1"/>
  <c r="CD453" i="164" s="1"/>
  <c r="BR82" i="164"/>
  <c r="BT82" i="164" s="1"/>
  <c r="CC82" i="164" s="1"/>
  <c r="CD82" i="164" s="1"/>
  <c r="CB377" i="164"/>
  <c r="BV186" i="164"/>
  <c r="BX186" i="164" s="1"/>
  <c r="BZ186" i="164" s="1"/>
  <c r="CB186" i="164" s="1"/>
  <c r="CF186" i="164" s="1"/>
  <c r="CJ186" i="164" s="1"/>
  <c r="BT377" i="164"/>
  <c r="CH377" i="164" s="1"/>
  <c r="CC338" i="164"/>
  <c r="CD338" i="164" s="1"/>
  <c r="BP378" i="164"/>
  <c r="BT378" i="164" s="1"/>
  <c r="E19" i="169"/>
  <c r="G19" i="169" s="1"/>
  <c r="BP83" i="164"/>
  <c r="BV83" i="164" s="1"/>
  <c r="BX83" i="164" s="1"/>
  <c r="BZ83" i="164" s="1"/>
  <c r="CB83" i="164" s="1"/>
  <c r="CF83" i="164" s="1"/>
  <c r="CJ83" i="164" s="1"/>
  <c r="BP110" i="164"/>
  <c r="BR110" i="164" s="1"/>
  <c r="BT110" i="164" s="1"/>
  <c r="BA330" i="168"/>
  <c r="AR330" i="168" s="1"/>
  <c r="AI489" i="164"/>
  <c r="CP331" i="168"/>
  <c r="CM503" i="168"/>
  <c r="CH332" i="164"/>
  <c r="CC332" i="164"/>
  <c r="CD332" i="164" s="1"/>
  <c r="AR332" i="164"/>
  <c r="AS332" i="164" s="1"/>
  <c r="AT332" i="164" s="1"/>
  <c r="CH185" i="164"/>
  <c r="CC185" i="164"/>
  <c r="CD185" i="164" s="1"/>
  <c r="AR185" i="164"/>
  <c r="AS185" i="164" s="1"/>
  <c r="AT185" i="164" s="1"/>
  <c r="CH186" i="164"/>
  <c r="AR186" i="164"/>
  <c r="AS186" i="164" s="1"/>
  <c r="AT186" i="164" s="1"/>
  <c r="CC171" i="164"/>
  <c r="CD171" i="164" s="1"/>
  <c r="AR171" i="164"/>
  <c r="AS171" i="164" s="1"/>
  <c r="AT171" i="164" s="1"/>
  <c r="CH171" i="164"/>
  <c r="CH286" i="164"/>
  <c r="AR286" i="164"/>
  <c r="AS286" i="164" s="1"/>
  <c r="AT286" i="164" s="1"/>
  <c r="CC286" i="164"/>
  <c r="CD286" i="164" s="1"/>
  <c r="CC127" i="164"/>
  <c r="CD127" i="164" s="1"/>
  <c r="CH127" i="164"/>
  <c r="AR127" i="164"/>
  <c r="AS127" i="164" s="1"/>
  <c r="AT127" i="164" s="1"/>
  <c r="BV42" i="164"/>
  <c r="BX42" i="164" s="1"/>
  <c r="BZ42" i="164" s="1"/>
  <c r="CB42" i="164" s="1"/>
  <c r="CF42" i="164" s="1"/>
  <c r="CJ42" i="164" s="1"/>
  <c r="BR42" i="164"/>
  <c r="BT42" i="164" s="1"/>
  <c r="CH51" i="164"/>
  <c r="CC51" i="164"/>
  <c r="CD51" i="164" s="1"/>
  <c r="AR51" i="164"/>
  <c r="AS51" i="164" s="1"/>
  <c r="AT51" i="164" s="1"/>
  <c r="CC485" i="164"/>
  <c r="CD485" i="164" s="1"/>
  <c r="CH485" i="164"/>
  <c r="AR485" i="164"/>
  <c r="AS485" i="164" s="1"/>
  <c r="AT485" i="164" s="1"/>
  <c r="BQ115" i="164"/>
  <c r="BS115" i="164" s="1"/>
  <c r="CG115" i="164" s="1"/>
  <c r="BU115" i="164"/>
  <c r="BW115" i="164" s="1"/>
  <c r="BY115" i="164" s="1"/>
  <c r="CA115" i="164" s="1"/>
  <c r="CE115" i="164" s="1"/>
  <c r="CI115" i="164" s="1"/>
  <c r="BN322" i="164"/>
  <c r="BO322" i="164" s="1"/>
  <c r="CC470" i="164"/>
  <c r="CD470" i="164" s="1"/>
  <c r="CH470" i="164"/>
  <c r="AR470" i="164"/>
  <c r="AS470" i="164" s="1"/>
  <c r="AT470" i="164" s="1"/>
  <c r="AN55" i="164"/>
  <c r="AP55" i="164" s="1"/>
  <c r="AM54" i="164"/>
  <c r="BM55" i="164"/>
  <c r="K325" i="164"/>
  <c r="CX324" i="164"/>
  <c r="AV324" i="164"/>
  <c r="AZ324" i="164"/>
  <c r="Z324" i="164"/>
  <c r="BO53" i="164"/>
  <c r="CH424" i="164"/>
  <c r="CC424" i="164"/>
  <c r="CD424" i="164" s="1"/>
  <c r="AR424" i="164"/>
  <c r="AS424" i="164" s="1"/>
  <c r="AT424" i="164" s="1"/>
  <c r="BQ288" i="164"/>
  <c r="BS288" i="164" s="1"/>
  <c r="CG288" i="164" s="1"/>
  <c r="BU288" i="164"/>
  <c r="BW288" i="164" s="1"/>
  <c r="BY288" i="164" s="1"/>
  <c r="CA288" i="164" s="1"/>
  <c r="CE288" i="164" s="1"/>
  <c r="CI288" i="164" s="1"/>
  <c r="BV52" i="164"/>
  <c r="BX52" i="164" s="1"/>
  <c r="BZ52" i="164" s="1"/>
  <c r="CB52" i="164" s="1"/>
  <c r="CF52" i="164" s="1"/>
  <c r="CJ52" i="164" s="1"/>
  <c r="BR52" i="164"/>
  <c r="BT52" i="164" s="1"/>
  <c r="BU378" i="164"/>
  <c r="BW378" i="164" s="1"/>
  <c r="BY378" i="164" s="1"/>
  <c r="CA378" i="164" s="1"/>
  <c r="CE378" i="164" s="1"/>
  <c r="CI378" i="164" s="1"/>
  <c r="BQ378" i="164"/>
  <c r="BS378" i="164" s="1"/>
  <c r="CG378" i="164" s="1"/>
  <c r="Y55" i="164"/>
  <c r="P55" i="164"/>
  <c r="G56" i="164"/>
  <c r="H56" i="164" s="1"/>
  <c r="CX56" i="164" s="1"/>
  <c r="AV189" i="164"/>
  <c r="AR81" i="164"/>
  <c r="AS81" i="164" s="1"/>
  <c r="AT81" i="164" s="1"/>
  <c r="CH81" i="164"/>
  <c r="CC81" i="164"/>
  <c r="CD81" i="164" s="1"/>
  <c r="CX55" i="164"/>
  <c r="BE55" i="164" s="1"/>
  <c r="BQ426" i="164"/>
  <c r="BS426" i="164" s="1"/>
  <c r="CG426" i="164" s="1"/>
  <c r="BU426" i="164"/>
  <c r="BW426" i="164" s="1"/>
  <c r="BY426" i="164" s="1"/>
  <c r="CA426" i="164" s="1"/>
  <c r="CE426" i="164" s="1"/>
  <c r="CI426" i="164" s="1"/>
  <c r="BN289" i="164"/>
  <c r="Z190" i="164"/>
  <c r="CX190" i="164"/>
  <c r="K191" i="164"/>
  <c r="L191" i="164" s="1"/>
  <c r="AZ190" i="164"/>
  <c r="BQ340" i="164"/>
  <c r="BS340" i="164" s="1"/>
  <c r="CG340" i="164" s="1"/>
  <c r="BU340" i="164"/>
  <c r="BW340" i="164" s="1"/>
  <c r="BY340" i="164" s="1"/>
  <c r="CA340" i="164" s="1"/>
  <c r="CE340" i="164" s="1"/>
  <c r="CI340" i="164" s="1"/>
  <c r="K491" i="164"/>
  <c r="L491" i="164" s="1"/>
  <c r="AZ490" i="164"/>
  <c r="CX490" i="164"/>
  <c r="Z490" i="164"/>
  <c r="AA112" i="164"/>
  <c r="R112" i="164"/>
  <c r="BD290" i="164"/>
  <c r="CW290" i="164" s="1"/>
  <c r="BM290" i="164"/>
  <c r="BE290" i="164"/>
  <c r="AU288" i="164"/>
  <c r="AV288" i="164"/>
  <c r="AW288" i="164" s="1"/>
  <c r="BP288" i="164" s="1"/>
  <c r="BZ425" i="164"/>
  <c r="CB425" i="164"/>
  <c r="BR425" i="164"/>
  <c r="BT425" i="164"/>
  <c r="CF425" i="164"/>
  <c r="CJ425" i="164" s="1"/>
  <c r="BV425" i="164"/>
  <c r="BX425" i="164"/>
  <c r="BD489" i="164"/>
  <c r="CW489" i="164" s="1"/>
  <c r="BE489" i="164"/>
  <c r="BM489" i="164"/>
  <c r="BM189" i="164"/>
  <c r="BD189" i="164"/>
  <c r="CW189" i="164" s="1"/>
  <c r="BE189" i="164"/>
  <c r="CC376" i="164"/>
  <c r="CD376" i="164" s="1"/>
  <c r="CH376" i="164"/>
  <c r="AR376" i="164"/>
  <c r="AS376" i="164" s="1"/>
  <c r="AT376" i="164" s="1"/>
  <c r="CG331" i="168"/>
  <c r="BV503" i="168"/>
  <c r="AB289" i="164"/>
  <c r="AI289" i="164" s="1"/>
  <c r="AA227" i="164"/>
  <c r="R227" i="164"/>
  <c r="AB227" i="164" s="1"/>
  <c r="AI227" i="164" s="1"/>
  <c r="AT503" i="168"/>
  <c r="CC41" i="164"/>
  <c r="CD41" i="164" s="1"/>
  <c r="CH41" i="164"/>
  <c r="AR41" i="164"/>
  <c r="AS41" i="164" s="1"/>
  <c r="AT41" i="164" s="1"/>
  <c r="Y190" i="164"/>
  <c r="G191" i="164"/>
  <c r="H191" i="164" s="1"/>
  <c r="P190" i="164"/>
  <c r="CH302" i="164"/>
  <c r="CC302" i="164"/>
  <c r="CD302" i="164" s="1"/>
  <c r="AR302" i="164"/>
  <c r="AS302" i="164" s="1"/>
  <c r="AT302" i="164" s="1"/>
  <c r="AM190" i="164"/>
  <c r="AU190" i="164" s="1"/>
  <c r="AN191" i="164"/>
  <c r="AP191" i="164" s="1"/>
  <c r="AM191" i="164" s="1"/>
  <c r="AU191" i="164" s="1"/>
  <c r="G13" i="169"/>
  <c r="E35" i="169"/>
  <c r="G35" i="169" s="1"/>
  <c r="BV234" i="164"/>
  <c r="BX234" i="164" s="1"/>
  <c r="BZ234" i="164" s="1"/>
  <c r="CB234" i="164" s="1"/>
  <c r="CF234" i="164" s="1"/>
  <c r="CJ234" i="164" s="1"/>
  <c r="BR234" i="164"/>
  <c r="BT234" i="164" s="1"/>
  <c r="AQ330" i="168"/>
  <c r="AA290" i="164"/>
  <c r="R290" i="164"/>
  <c r="Y113" i="164"/>
  <c r="AZ113" i="164"/>
  <c r="Z113" i="164"/>
  <c r="CX113" i="164"/>
  <c r="P113" i="164"/>
  <c r="BU42" i="164"/>
  <c r="BW42" i="164" s="1"/>
  <c r="BY42" i="164" s="1"/>
  <c r="CA42" i="164" s="1"/>
  <c r="CE42" i="164" s="1"/>
  <c r="CI42" i="164" s="1"/>
  <c r="BQ42" i="164"/>
  <c r="BS42" i="164" s="1"/>
  <c r="CG42" i="164" s="1"/>
  <c r="AW331" i="168"/>
  <c r="AW503" i="168" s="1"/>
  <c r="AZ331" i="168"/>
  <c r="AZ503" i="168" s="1"/>
  <c r="AI331" i="168"/>
  <c r="AI503" i="168" s="1"/>
  <c r="AW386" i="164"/>
  <c r="BO111" i="164"/>
  <c r="AW111" i="164"/>
  <c r="BP111" i="164" s="1"/>
  <c r="BN341" i="164"/>
  <c r="CC385" i="164"/>
  <c r="CD385" i="164" s="1"/>
  <c r="CH385" i="164"/>
  <c r="AR385" i="164"/>
  <c r="AS385" i="164" s="1"/>
  <c r="AT385" i="164" s="1"/>
  <c r="AA490" i="164"/>
  <c r="R490" i="164"/>
  <c r="BE387" i="164"/>
  <c r="BD387" i="164"/>
  <c r="CW387" i="164" s="1"/>
  <c r="BM387" i="164"/>
  <c r="BE342" i="164"/>
  <c r="BD342" i="164"/>
  <c r="CW342" i="164" s="1"/>
  <c r="BM342" i="164"/>
  <c r="AA324" i="164"/>
  <c r="R324" i="164"/>
  <c r="BJ164" i="164"/>
  <c r="CK164" i="164" s="1"/>
  <c r="A166" i="164"/>
  <c r="BQ234" i="164"/>
  <c r="BS234" i="164" s="1"/>
  <c r="CG234" i="164" s="1"/>
  <c r="BU234" i="164"/>
  <c r="BW234" i="164" s="1"/>
  <c r="BY234" i="164" s="1"/>
  <c r="CA234" i="164" s="1"/>
  <c r="CE234" i="164" s="1"/>
  <c r="CI234" i="164" s="1"/>
  <c r="BQ463" i="164"/>
  <c r="BS463" i="164" s="1"/>
  <c r="CG463" i="164" s="1"/>
  <c r="BU463" i="164"/>
  <c r="BW463" i="164" s="1"/>
  <c r="BY463" i="164" s="1"/>
  <c r="CA463" i="164" s="1"/>
  <c r="CE463" i="164" s="1"/>
  <c r="CI463" i="164" s="1"/>
  <c r="AN326" i="164"/>
  <c r="AP326" i="164" s="1"/>
  <c r="AM326" i="164" s="1"/>
  <c r="AM325" i="164"/>
  <c r="BN54" i="164"/>
  <c r="BO54" i="164" s="1"/>
  <c r="BR287" i="164"/>
  <c r="BT287" i="164" s="1"/>
  <c r="BV287" i="164"/>
  <c r="BX287" i="164" s="1"/>
  <c r="BZ287" i="164" s="1"/>
  <c r="CB287" i="164" s="1"/>
  <c r="CF287" i="164" s="1"/>
  <c r="CJ287" i="164" s="1"/>
  <c r="AV343" i="164"/>
  <c r="Z343" i="164"/>
  <c r="K344" i="164"/>
  <c r="L344" i="164" s="1"/>
  <c r="AB226" i="164"/>
  <c r="AI226" i="164" s="1"/>
  <c r="Y343" i="164"/>
  <c r="G344" i="164"/>
  <c r="H344" i="164" s="1"/>
  <c r="P343" i="164"/>
  <c r="AM488" i="164"/>
  <c r="AN489" i="164"/>
  <c r="AP489" i="164" s="1"/>
  <c r="AU487" i="164"/>
  <c r="AV487" i="164"/>
  <c r="AW487" i="164" s="1"/>
  <c r="BP487" i="164" s="1"/>
  <c r="BN386" i="164"/>
  <c r="BO386" i="164" s="1"/>
  <c r="G398" i="164"/>
  <c r="H398" i="164" s="1"/>
  <c r="G492" i="164"/>
  <c r="H492" i="164" s="1"/>
  <c r="Y491" i="164"/>
  <c r="P491" i="164"/>
  <c r="CH452" i="164"/>
  <c r="CC452" i="164"/>
  <c r="CD452" i="164" s="1"/>
  <c r="AR452" i="164"/>
  <c r="AS452" i="164" s="1"/>
  <c r="AT452" i="164" s="1"/>
  <c r="BN188" i="164"/>
  <c r="BN488" i="164"/>
  <c r="BO488" i="164" s="1"/>
  <c r="CH249" i="164"/>
  <c r="CC249" i="164"/>
  <c r="CD249" i="164" s="1"/>
  <c r="AR249" i="164"/>
  <c r="AS249" i="164" s="1"/>
  <c r="AT249" i="164" s="1"/>
  <c r="BU487" i="164"/>
  <c r="BW487" i="164" s="1"/>
  <c r="BY487" i="164" s="1"/>
  <c r="CA487" i="164" s="1"/>
  <c r="CE487" i="164" s="1"/>
  <c r="CI487" i="164" s="1"/>
  <c r="BQ487" i="164"/>
  <c r="BS487" i="164" s="1"/>
  <c r="CG487" i="164" s="1"/>
  <c r="CX325" i="164"/>
  <c r="Y325" i="164"/>
  <c r="Z325" i="164"/>
  <c r="G326" i="164"/>
  <c r="H326" i="164" s="1"/>
  <c r="AZ325" i="164"/>
  <c r="P325" i="164"/>
  <c r="BV463" i="164"/>
  <c r="BX463" i="164" s="1"/>
  <c r="BZ463" i="164" s="1"/>
  <c r="CB463" i="164" s="1"/>
  <c r="CF463" i="164" s="1"/>
  <c r="CJ463" i="164" s="1"/>
  <c r="BR463" i="164"/>
  <c r="BT463" i="164" s="1"/>
  <c r="BY503" i="168"/>
  <c r="BM112" i="164"/>
  <c r="BD112" i="164"/>
  <c r="CW112" i="164" s="1"/>
  <c r="BE112" i="164"/>
  <c r="CC112" i="164"/>
  <c r="CD112" i="164" s="1"/>
  <c r="BN226" i="164"/>
  <c r="AA342" i="164"/>
  <c r="R342" i="164"/>
  <c r="BM227" i="164"/>
  <c r="BE227" i="164"/>
  <c r="BD227" i="164"/>
  <c r="CW227" i="164" s="1"/>
  <c r="R189" i="164"/>
  <c r="AA189" i="164"/>
  <c r="AU426" i="164"/>
  <c r="AV426" i="164"/>
  <c r="AW426" i="164" s="1"/>
  <c r="BP426" i="164" s="1"/>
  <c r="AW225" i="164"/>
  <c r="BP225" i="164" s="1"/>
  <c r="BO225" i="164"/>
  <c r="BO187" i="164"/>
  <c r="AW187" i="164"/>
  <c r="BP187" i="164" s="1"/>
  <c r="BP115" i="164"/>
  <c r="BQ83" i="164"/>
  <c r="BS83" i="164" s="1"/>
  <c r="CG83" i="164" s="1"/>
  <c r="BU83" i="164"/>
  <c r="BW83" i="164" s="1"/>
  <c r="BY83" i="164" s="1"/>
  <c r="CA83" i="164" s="1"/>
  <c r="CE83" i="164" s="1"/>
  <c r="CI83" i="164" s="1"/>
  <c r="Z56" i="164"/>
  <c r="BX109" i="164"/>
  <c r="BR109" i="164"/>
  <c r="BT109" i="164"/>
  <c r="BV109" i="164"/>
  <c r="CB109" i="164"/>
  <c r="CF109" i="164"/>
  <c r="CJ109" i="164" s="1"/>
  <c r="BZ109" i="164"/>
  <c r="AM289" i="164"/>
  <c r="AN290" i="164"/>
  <c r="AP290" i="164" s="1"/>
  <c r="AM290" i="164" s="1"/>
  <c r="BQ287" i="164"/>
  <c r="BS287" i="164" s="1"/>
  <c r="CG287" i="164" s="1"/>
  <c r="BU287" i="164"/>
  <c r="BW287" i="164" s="1"/>
  <c r="BY287" i="164" s="1"/>
  <c r="CA287" i="164" s="1"/>
  <c r="CE287" i="164" s="1"/>
  <c r="CI287" i="164" s="1"/>
  <c r="AB323" i="164"/>
  <c r="AI323" i="164" s="1"/>
  <c r="BD323" i="164"/>
  <c r="CW323" i="164" s="1"/>
  <c r="BE323" i="164"/>
  <c r="BM323" i="164"/>
  <c r="BV339" i="164"/>
  <c r="BX339" i="164" s="1"/>
  <c r="BZ339" i="164" s="1"/>
  <c r="CB339" i="164" s="1"/>
  <c r="CF339" i="164" s="1"/>
  <c r="CJ339" i="164" s="1"/>
  <c r="BR339" i="164"/>
  <c r="BT339" i="164" s="1"/>
  <c r="BQ110" i="164"/>
  <c r="BS110" i="164" s="1"/>
  <c r="CG110" i="164" s="1"/>
  <c r="BU110" i="164"/>
  <c r="BW110" i="164" s="1"/>
  <c r="BY110" i="164" s="1"/>
  <c r="CA110" i="164" s="1"/>
  <c r="CE110" i="164" s="1"/>
  <c r="CI110" i="164" s="1"/>
  <c r="AU113" i="164"/>
  <c r="AV113" i="164"/>
  <c r="AU53" i="164"/>
  <c r="AV53" i="164"/>
  <c r="AW53" i="164" s="1"/>
  <c r="BP53" i="164" s="1"/>
  <c r="BV172" i="164"/>
  <c r="BX172" i="164" s="1"/>
  <c r="BZ172" i="164" s="1"/>
  <c r="CB172" i="164" s="1"/>
  <c r="CF172" i="164" s="1"/>
  <c r="CJ172" i="164" s="1"/>
  <c r="BR172" i="164"/>
  <c r="BT172" i="164" s="1"/>
  <c r="AA387" i="164"/>
  <c r="R387" i="164"/>
  <c r="BU109" i="164"/>
  <c r="BW109" i="164" s="1"/>
  <c r="BY109" i="164" s="1"/>
  <c r="CA109" i="164" s="1"/>
  <c r="CE109" i="164" s="1"/>
  <c r="CI109" i="164" s="1"/>
  <c r="BQ109" i="164"/>
  <c r="BS109" i="164" s="1"/>
  <c r="CG109" i="164" s="1"/>
  <c r="BR486" i="164"/>
  <c r="BT486" i="164" s="1"/>
  <c r="BV486" i="164"/>
  <c r="BX486" i="164" s="1"/>
  <c r="BZ486" i="164" s="1"/>
  <c r="CB486" i="164" s="1"/>
  <c r="CF486" i="164" s="1"/>
  <c r="CJ486" i="164" s="1"/>
  <c r="I16" i="149"/>
  <c r="H16" i="149"/>
  <c r="B2" i="149"/>
  <c r="B9" i="127"/>
  <c r="BO341" i="164" l="1"/>
  <c r="BQ341" i="164" s="1"/>
  <c r="BS341" i="164" s="1"/>
  <c r="CG341" i="164" s="1"/>
  <c r="AR250" i="164"/>
  <c r="AS250" i="164" s="1"/>
  <c r="AT250" i="164" s="1"/>
  <c r="CC250" i="164"/>
  <c r="CD250" i="164" s="1"/>
  <c r="AB324" i="164"/>
  <c r="CH255" i="164"/>
  <c r="CC255" i="164"/>
  <c r="CD255" i="164" s="1"/>
  <c r="BO188" i="164"/>
  <c r="BU188" i="164" s="1"/>
  <c r="BW188" i="164" s="1"/>
  <c r="BY188" i="164" s="1"/>
  <c r="CA188" i="164" s="1"/>
  <c r="CE188" i="164" s="1"/>
  <c r="CI188" i="164" s="1"/>
  <c r="AV190" i="164"/>
  <c r="AB189" i="164"/>
  <c r="AI189" i="164" s="1"/>
  <c r="AW189" i="164" s="1"/>
  <c r="AZ56" i="164"/>
  <c r="BE56" i="164" s="1"/>
  <c r="AB387" i="164"/>
  <c r="AI387" i="164" s="1"/>
  <c r="AW387" i="164" s="1"/>
  <c r="AB342" i="164"/>
  <c r="AI342" i="164" s="1"/>
  <c r="AW342" i="164" s="1"/>
  <c r="AN349" i="164"/>
  <c r="AP349" i="164" s="1"/>
  <c r="AM349" i="164" s="1"/>
  <c r="AU349" i="164" s="1"/>
  <c r="AM345" i="164"/>
  <c r="AU345" i="164" s="1"/>
  <c r="AU341" i="164"/>
  <c r="AV341" i="164"/>
  <c r="AW341" i="164" s="1"/>
  <c r="BP341" i="164" s="1"/>
  <c r="AN352" i="164"/>
  <c r="AP352" i="164" s="1"/>
  <c r="AM351" i="164"/>
  <c r="AU351" i="164" s="1"/>
  <c r="BV340" i="164"/>
  <c r="BX340" i="164" s="1"/>
  <c r="BZ340" i="164" s="1"/>
  <c r="CB340" i="164" s="1"/>
  <c r="CF340" i="164" s="1"/>
  <c r="CJ340" i="164" s="1"/>
  <c r="CH82" i="164"/>
  <c r="AR82" i="164"/>
  <c r="AS82" i="164" s="1"/>
  <c r="AT82" i="164" s="1"/>
  <c r="E28" i="169"/>
  <c r="G28" i="169" s="1"/>
  <c r="E20" i="56"/>
  <c r="E24" i="169"/>
  <c r="G24" i="169" s="1"/>
  <c r="AR377" i="164"/>
  <c r="AS377" i="164" s="1"/>
  <c r="AT377" i="164" s="1"/>
  <c r="AR453" i="164"/>
  <c r="AS453" i="164" s="1"/>
  <c r="AT453" i="164" s="1"/>
  <c r="CH453" i="164"/>
  <c r="BV378" i="164"/>
  <c r="CC186" i="164"/>
  <c r="CD186" i="164" s="1"/>
  <c r="CC377" i="164"/>
  <c r="CD377" i="164" s="1"/>
  <c r="BR83" i="164"/>
  <c r="BT83" i="164" s="1"/>
  <c r="AR83" i="164" s="1"/>
  <c r="AS83" i="164" s="1"/>
  <c r="AT83" i="164" s="1"/>
  <c r="BR378" i="164"/>
  <c r="BX378" i="164"/>
  <c r="CC378" i="164" s="1"/>
  <c r="CD378" i="164" s="1"/>
  <c r="CB378" i="164"/>
  <c r="CF378" i="164"/>
  <c r="CJ378" i="164" s="1"/>
  <c r="BZ378" i="164"/>
  <c r="BV110" i="164"/>
  <c r="BX110" i="164" s="1"/>
  <c r="BZ110" i="164" s="1"/>
  <c r="CB110" i="164" s="1"/>
  <c r="CF110" i="164" s="1"/>
  <c r="CJ110" i="164" s="1"/>
  <c r="AI324" i="164"/>
  <c r="AW324" i="164" s="1"/>
  <c r="BP322" i="164"/>
  <c r="BV322" i="164" s="1"/>
  <c r="BX322" i="164" s="1"/>
  <c r="BZ322" i="164" s="1"/>
  <c r="CB322" i="164" s="1"/>
  <c r="CF322" i="164" s="1"/>
  <c r="CJ322" i="164" s="1"/>
  <c r="BP188" i="164"/>
  <c r="BV188" i="164" s="1"/>
  <c r="BX188" i="164" s="1"/>
  <c r="BZ188" i="164" s="1"/>
  <c r="CB188" i="164" s="1"/>
  <c r="CF188" i="164" s="1"/>
  <c r="CJ188" i="164" s="1"/>
  <c r="CP503" i="168"/>
  <c r="CR331" i="168"/>
  <c r="CC42" i="164"/>
  <c r="CD42" i="164" s="1"/>
  <c r="CH42" i="164"/>
  <c r="AR42" i="164"/>
  <c r="AS42" i="164" s="1"/>
  <c r="AT42" i="164" s="1"/>
  <c r="CC52" i="164"/>
  <c r="CD52" i="164" s="1"/>
  <c r="CH52" i="164"/>
  <c r="AR52" i="164"/>
  <c r="AS52" i="164" s="1"/>
  <c r="AT52" i="164" s="1"/>
  <c r="CH339" i="164"/>
  <c r="CC339" i="164"/>
  <c r="CD339" i="164" s="1"/>
  <c r="AR339" i="164"/>
  <c r="AS339" i="164" s="1"/>
  <c r="AT339" i="164" s="1"/>
  <c r="BQ488" i="164"/>
  <c r="BS488" i="164" s="1"/>
  <c r="CG488" i="164" s="1"/>
  <c r="BU488" i="164"/>
  <c r="BW488" i="164" s="1"/>
  <c r="BY488" i="164" s="1"/>
  <c r="CA488" i="164" s="1"/>
  <c r="CE488" i="164" s="1"/>
  <c r="CI488" i="164" s="1"/>
  <c r="CH110" i="164"/>
  <c r="AR110" i="164"/>
  <c r="AS110" i="164" s="1"/>
  <c r="AT110" i="164" s="1"/>
  <c r="BQ386" i="164"/>
  <c r="BS386" i="164" s="1"/>
  <c r="CG386" i="164" s="1"/>
  <c r="BU386" i="164"/>
  <c r="BW386" i="164" s="1"/>
  <c r="BY386" i="164" s="1"/>
  <c r="CA386" i="164" s="1"/>
  <c r="CE386" i="164" s="1"/>
  <c r="CI386" i="164" s="1"/>
  <c r="CC172" i="164"/>
  <c r="CD172" i="164" s="1"/>
  <c r="CH172" i="164"/>
  <c r="AR172" i="164"/>
  <c r="AS172" i="164" s="1"/>
  <c r="AT172" i="164" s="1"/>
  <c r="BU54" i="164"/>
  <c r="BW54" i="164" s="1"/>
  <c r="BY54" i="164" s="1"/>
  <c r="CA54" i="164" s="1"/>
  <c r="CE54" i="164" s="1"/>
  <c r="CI54" i="164" s="1"/>
  <c r="BQ54" i="164"/>
  <c r="BS54" i="164" s="1"/>
  <c r="CG54" i="164" s="1"/>
  <c r="AW227" i="164"/>
  <c r="BN489" i="164"/>
  <c r="BO489" i="164" s="1"/>
  <c r="K398" i="164"/>
  <c r="L398" i="164" s="1"/>
  <c r="Z491" i="164"/>
  <c r="CX491" i="164"/>
  <c r="AZ491" i="164"/>
  <c r="K492" i="164"/>
  <c r="L492" i="164" s="1"/>
  <c r="BU53" i="164"/>
  <c r="BW53" i="164" s="1"/>
  <c r="BY53" i="164" s="1"/>
  <c r="CA53" i="164" s="1"/>
  <c r="CE53" i="164" s="1"/>
  <c r="CI53" i="164" s="1"/>
  <c r="BQ53" i="164"/>
  <c r="BS53" i="164" s="1"/>
  <c r="CG53" i="164" s="1"/>
  <c r="AM55" i="164"/>
  <c r="AN56" i="164"/>
  <c r="AP56" i="164" s="1"/>
  <c r="Y326" i="164"/>
  <c r="P326" i="164"/>
  <c r="BR487" i="164"/>
  <c r="BT487" i="164" s="1"/>
  <c r="BV487" i="164"/>
  <c r="BX487" i="164" s="1"/>
  <c r="BZ487" i="164" s="1"/>
  <c r="CB487" i="164" s="1"/>
  <c r="CF487" i="164" s="1"/>
  <c r="CJ487" i="164" s="1"/>
  <c r="Y344" i="164"/>
  <c r="G345" i="164"/>
  <c r="H345" i="164" s="1"/>
  <c r="P344" i="164"/>
  <c r="AV325" i="164"/>
  <c r="AU325" i="164"/>
  <c r="BQ111" i="164"/>
  <c r="BS111" i="164" s="1"/>
  <c r="CG111" i="164" s="1"/>
  <c r="BU111" i="164"/>
  <c r="BW111" i="164" s="1"/>
  <c r="BY111" i="164" s="1"/>
  <c r="CA111" i="164" s="1"/>
  <c r="CE111" i="164" s="1"/>
  <c r="CI111" i="164" s="1"/>
  <c r="AA190" i="164"/>
  <c r="R190" i="164"/>
  <c r="BO289" i="164"/>
  <c r="BM325" i="164"/>
  <c r="BD325" i="164"/>
  <c r="CW325" i="164" s="1"/>
  <c r="BE325" i="164"/>
  <c r="CC325" i="164"/>
  <c r="CD325" i="164" s="1"/>
  <c r="R343" i="164"/>
  <c r="AA343" i="164"/>
  <c r="BN227" i="164"/>
  <c r="BO227" i="164" s="1"/>
  <c r="AU326" i="164"/>
  <c r="AV326" i="164"/>
  <c r="BN387" i="164"/>
  <c r="BC331" i="168"/>
  <c r="BC503" i="168" s="1"/>
  <c r="R113" i="164"/>
  <c r="AA113" i="164"/>
  <c r="BD190" i="164"/>
  <c r="CW190" i="164" s="1"/>
  <c r="BE190" i="164"/>
  <c r="BM190" i="164"/>
  <c r="BM324" i="164"/>
  <c r="BE324" i="164"/>
  <c r="BD324" i="164"/>
  <c r="CW324" i="164" s="1"/>
  <c r="BM343" i="164"/>
  <c r="BD343" i="164"/>
  <c r="CW343" i="164" s="1"/>
  <c r="BE343" i="164"/>
  <c r="CH340" i="164"/>
  <c r="AR340" i="164"/>
  <c r="AS340" i="164" s="1"/>
  <c r="AT340" i="164" s="1"/>
  <c r="AM489" i="164"/>
  <c r="AN490" i="164"/>
  <c r="AP490" i="164" s="1"/>
  <c r="CC287" i="164"/>
  <c r="CD287" i="164" s="1"/>
  <c r="CH287" i="164"/>
  <c r="AR287" i="164"/>
  <c r="AS287" i="164" s="1"/>
  <c r="AT287" i="164" s="1"/>
  <c r="E27" i="169"/>
  <c r="G27" i="169" s="1"/>
  <c r="Y191" i="164"/>
  <c r="P191" i="164"/>
  <c r="AV191" i="164"/>
  <c r="CX191" i="164"/>
  <c r="AZ191" i="164"/>
  <c r="Z191" i="164"/>
  <c r="CB115" i="164"/>
  <c r="BR115" i="164"/>
  <c r="CF115" i="164"/>
  <c r="CJ115" i="164" s="1"/>
  <c r="BV115" i="164"/>
  <c r="BX115" i="164"/>
  <c r="BZ115" i="164"/>
  <c r="BT115" i="164"/>
  <c r="BR187" i="164"/>
  <c r="BT187" i="164" s="1"/>
  <c r="BV187" i="164"/>
  <c r="BX187" i="164" s="1"/>
  <c r="BZ187" i="164" s="1"/>
  <c r="CB187" i="164" s="1"/>
  <c r="CF187" i="164" s="1"/>
  <c r="CJ187" i="164" s="1"/>
  <c r="AU488" i="164"/>
  <c r="AV488" i="164"/>
  <c r="AW488" i="164" s="1"/>
  <c r="BP488" i="164" s="1"/>
  <c r="BO226" i="164"/>
  <c r="AW226" i="164"/>
  <c r="BP226" i="164" s="1"/>
  <c r="BP386" i="164"/>
  <c r="BA331" i="168"/>
  <c r="BA503" i="168" s="1"/>
  <c r="AC331" i="168"/>
  <c r="CG503" i="168"/>
  <c r="AB112" i="164"/>
  <c r="AI112" i="164" s="1"/>
  <c r="BU322" i="164"/>
  <c r="BW322" i="164" s="1"/>
  <c r="BY322" i="164" s="1"/>
  <c r="CA322" i="164" s="1"/>
  <c r="CE322" i="164" s="1"/>
  <c r="CI322" i="164" s="1"/>
  <c r="BQ322" i="164"/>
  <c r="BS322" i="164" s="1"/>
  <c r="CG322" i="164" s="1"/>
  <c r="CH234" i="164"/>
  <c r="AR234" i="164"/>
  <c r="AS234" i="164" s="1"/>
  <c r="AT234" i="164" s="1"/>
  <c r="CC234" i="164"/>
  <c r="CD234" i="164" s="1"/>
  <c r="BN290" i="164"/>
  <c r="CH109" i="164"/>
  <c r="CC109" i="164"/>
  <c r="CD109" i="164" s="1"/>
  <c r="AR109" i="164"/>
  <c r="AS109" i="164" s="1"/>
  <c r="AT109" i="164" s="1"/>
  <c r="BQ187" i="164"/>
  <c r="BS187" i="164" s="1"/>
  <c r="CG187" i="164" s="1"/>
  <c r="BU187" i="164"/>
  <c r="BW187" i="164" s="1"/>
  <c r="BY187" i="164" s="1"/>
  <c r="CA187" i="164" s="1"/>
  <c r="CE187" i="164" s="1"/>
  <c r="CI187" i="164" s="1"/>
  <c r="AB490" i="164"/>
  <c r="AI490" i="164" s="1"/>
  <c r="BD113" i="164"/>
  <c r="CW113" i="164" s="1"/>
  <c r="BM113" i="164"/>
  <c r="BE113" i="164"/>
  <c r="CC113" i="164"/>
  <c r="CD113" i="164" s="1"/>
  <c r="CH425" i="164"/>
  <c r="CC425" i="164"/>
  <c r="CD425" i="164" s="1"/>
  <c r="AR425" i="164"/>
  <c r="AS425" i="164" s="1"/>
  <c r="AT425" i="164" s="1"/>
  <c r="Y56" i="164"/>
  <c r="P56" i="164"/>
  <c r="BN323" i="164"/>
  <c r="BO323" i="164" s="1"/>
  <c r="CH486" i="164"/>
  <c r="AR486" i="164"/>
  <c r="AS486" i="164" s="1"/>
  <c r="AT486" i="164" s="1"/>
  <c r="CC486" i="164"/>
  <c r="CD486" i="164" s="1"/>
  <c r="AA491" i="164"/>
  <c r="R491" i="164"/>
  <c r="AA55" i="164"/>
  <c r="R55" i="164"/>
  <c r="AA325" i="164"/>
  <c r="R325" i="164"/>
  <c r="CH378" i="164"/>
  <c r="AR378" i="164"/>
  <c r="AS378" i="164" s="1"/>
  <c r="AT378" i="164" s="1"/>
  <c r="BV111" i="164"/>
  <c r="BX111" i="164" s="1"/>
  <c r="BZ111" i="164" s="1"/>
  <c r="CB111" i="164" s="1"/>
  <c r="CF111" i="164" s="1"/>
  <c r="CJ111" i="164" s="1"/>
  <c r="BR111" i="164"/>
  <c r="BT111" i="164" s="1"/>
  <c r="BQ225" i="164"/>
  <c r="BS225" i="164" s="1"/>
  <c r="CG225" i="164" s="1"/>
  <c r="BU225" i="164"/>
  <c r="BW225" i="164" s="1"/>
  <c r="BY225" i="164" s="1"/>
  <c r="CA225" i="164" s="1"/>
  <c r="CE225" i="164" s="1"/>
  <c r="CI225" i="164" s="1"/>
  <c r="AV344" i="164"/>
  <c r="Z344" i="164"/>
  <c r="K345" i="164"/>
  <c r="L345" i="164" s="1"/>
  <c r="A167" i="164"/>
  <c r="BJ166" i="164"/>
  <c r="CK166" i="164" s="1"/>
  <c r="BN55" i="164"/>
  <c r="AW323" i="164"/>
  <c r="BR225" i="164"/>
  <c r="BT225" i="164" s="1"/>
  <c r="BV225" i="164"/>
  <c r="BX225" i="164" s="1"/>
  <c r="BZ225" i="164" s="1"/>
  <c r="CB225" i="164" s="1"/>
  <c r="CF225" i="164" s="1"/>
  <c r="CJ225" i="164" s="1"/>
  <c r="AU290" i="164"/>
  <c r="AV290" i="164"/>
  <c r="BR426" i="164"/>
  <c r="BT426" i="164"/>
  <c r="CF426" i="164"/>
  <c r="CJ426" i="164" s="1"/>
  <c r="BV426" i="164"/>
  <c r="BX426" i="164"/>
  <c r="BZ426" i="164"/>
  <c r="CB426" i="164"/>
  <c r="AB290" i="164"/>
  <c r="AI290" i="164" s="1"/>
  <c r="BD55" i="164"/>
  <c r="CW55" i="164" s="1"/>
  <c r="BV53" i="164"/>
  <c r="BX53" i="164" s="1"/>
  <c r="BZ53" i="164" s="1"/>
  <c r="CB53" i="164" s="1"/>
  <c r="CF53" i="164" s="1"/>
  <c r="CJ53" i="164" s="1"/>
  <c r="BR53" i="164"/>
  <c r="BT53" i="164" s="1"/>
  <c r="AU289" i="164"/>
  <c r="AV289" i="164"/>
  <c r="AW289" i="164" s="1"/>
  <c r="BP289" i="164" s="1"/>
  <c r="CC463" i="164"/>
  <c r="CD463" i="164" s="1"/>
  <c r="CH463" i="164"/>
  <c r="AR463" i="164"/>
  <c r="AS463" i="164" s="1"/>
  <c r="AT463" i="164" s="1"/>
  <c r="Y492" i="164"/>
  <c r="P492" i="164"/>
  <c r="G493" i="164"/>
  <c r="H493" i="164" s="1"/>
  <c r="BR288" i="164"/>
  <c r="BT288" i="164" s="1"/>
  <c r="BV288" i="164"/>
  <c r="BX288" i="164" s="1"/>
  <c r="BZ288" i="164" s="1"/>
  <c r="CB288" i="164" s="1"/>
  <c r="CF288" i="164" s="1"/>
  <c r="CJ288" i="164" s="1"/>
  <c r="BE490" i="164"/>
  <c r="BM490" i="164"/>
  <c r="BD490" i="164"/>
  <c r="CW490" i="164" s="1"/>
  <c r="BN342" i="164"/>
  <c r="BN112" i="164"/>
  <c r="Y398" i="164"/>
  <c r="P398" i="164"/>
  <c r="BN189" i="164"/>
  <c r="AU54" i="164"/>
  <c r="AV54" i="164"/>
  <c r="AW54" i="164" s="1"/>
  <c r="BP54" i="164" s="1"/>
  <c r="D122" i="56"/>
  <c r="D121" i="56"/>
  <c r="D120" i="56"/>
  <c r="D119" i="56"/>
  <c r="C122" i="56"/>
  <c r="C121" i="56"/>
  <c r="C120" i="56"/>
  <c r="C119" i="56"/>
  <c r="B122" i="56"/>
  <c r="Q122" i="56" s="1"/>
  <c r="B121" i="56"/>
  <c r="Q121" i="56" s="1"/>
  <c r="B120" i="56"/>
  <c r="Q120" i="56" s="1"/>
  <c r="B119" i="56"/>
  <c r="Q119" i="56" s="1"/>
  <c r="D118" i="56"/>
  <c r="D117" i="56"/>
  <c r="D116" i="56"/>
  <c r="D115" i="56"/>
  <c r="D114" i="56"/>
  <c r="C118" i="56"/>
  <c r="C116" i="56"/>
  <c r="C115" i="56"/>
  <c r="C114" i="56"/>
  <c r="B118" i="56"/>
  <c r="Q118" i="56" s="1"/>
  <c r="B117" i="56"/>
  <c r="Q117" i="56" s="1"/>
  <c r="B116" i="56"/>
  <c r="Q116" i="56" s="1"/>
  <c r="B115" i="56"/>
  <c r="Q115" i="56" s="1"/>
  <c r="B114" i="56"/>
  <c r="Q114" i="56" s="1"/>
  <c r="D113" i="56"/>
  <c r="D112" i="56"/>
  <c r="D111" i="56"/>
  <c r="D110" i="56"/>
  <c r="D109" i="56"/>
  <c r="D108" i="56"/>
  <c r="C113" i="56"/>
  <c r="C112" i="56"/>
  <c r="C111" i="56"/>
  <c r="C110" i="56"/>
  <c r="C109" i="56"/>
  <c r="C108" i="56"/>
  <c r="B113" i="56"/>
  <c r="Q113" i="56" s="1"/>
  <c r="B112" i="56"/>
  <c r="Q112" i="56" s="1"/>
  <c r="B111" i="56"/>
  <c r="Q111" i="56" s="1"/>
  <c r="B110" i="56"/>
  <c r="Q110" i="56" s="1"/>
  <c r="B109" i="56"/>
  <c r="Q109" i="56" s="1"/>
  <c r="B108" i="56"/>
  <c r="Q108" i="56" s="1"/>
  <c r="D107" i="56"/>
  <c r="D106" i="56"/>
  <c r="D105" i="56"/>
  <c r="D104" i="56"/>
  <c r="D103" i="56"/>
  <c r="D102" i="56"/>
  <c r="C107" i="56"/>
  <c r="C106" i="56"/>
  <c r="C105" i="56"/>
  <c r="C104" i="56"/>
  <c r="C103" i="56"/>
  <c r="C102" i="56"/>
  <c r="B107" i="56"/>
  <c r="Q107" i="56" s="1"/>
  <c r="B106" i="56"/>
  <c r="Q106" i="56" s="1"/>
  <c r="B105" i="56"/>
  <c r="Q105" i="56" s="1"/>
  <c r="B104" i="56"/>
  <c r="Q104" i="56" s="1"/>
  <c r="B103" i="56"/>
  <c r="Q103" i="56" s="1"/>
  <c r="B102" i="56"/>
  <c r="Q102" i="56" s="1"/>
  <c r="D101" i="56"/>
  <c r="D100" i="56"/>
  <c r="D99" i="56"/>
  <c r="D98" i="56"/>
  <c r="D97" i="56"/>
  <c r="C101" i="56"/>
  <c r="C100" i="56"/>
  <c r="C99" i="56"/>
  <c r="C98" i="56"/>
  <c r="C97" i="56"/>
  <c r="B101" i="56"/>
  <c r="Q101" i="56" s="1"/>
  <c r="B100" i="56"/>
  <c r="Q100" i="56" s="1"/>
  <c r="B99" i="56"/>
  <c r="Q99" i="56" s="1"/>
  <c r="B98" i="56"/>
  <c r="Q98" i="56" s="1"/>
  <c r="B97" i="56"/>
  <c r="Q97" i="56" s="1"/>
  <c r="C1000" i="57"/>
  <c r="C999" i="57"/>
  <c r="C936" i="57"/>
  <c r="C935" i="57"/>
  <c r="G938" i="57"/>
  <c r="F938" i="57"/>
  <c r="D936" i="57"/>
  <c r="D935" i="57"/>
  <c r="C855" i="57"/>
  <c r="C854" i="57"/>
  <c r="C871" i="57"/>
  <c r="C870" i="57"/>
  <c r="G873" i="57"/>
  <c r="F873" i="57"/>
  <c r="D871" i="57"/>
  <c r="D870" i="57"/>
  <c r="C847" i="57"/>
  <c r="C846" i="57"/>
  <c r="C839" i="57"/>
  <c r="C838" i="57"/>
  <c r="C831" i="57"/>
  <c r="C830" i="57"/>
  <c r="G857" i="57"/>
  <c r="F857" i="57"/>
  <c r="D855" i="57"/>
  <c r="D854" i="57"/>
  <c r="G849" i="57"/>
  <c r="F849" i="57"/>
  <c r="D847" i="57"/>
  <c r="D846" i="57"/>
  <c r="G841" i="57"/>
  <c r="F841" i="57"/>
  <c r="D839" i="57"/>
  <c r="D838" i="57"/>
  <c r="G833" i="57"/>
  <c r="F833" i="57"/>
  <c r="D831" i="57"/>
  <c r="D830" i="57"/>
  <c r="BU341" i="164" l="1"/>
  <c r="BW341" i="164" s="1"/>
  <c r="BY341" i="164" s="1"/>
  <c r="CA341" i="164" s="1"/>
  <c r="CE341" i="164" s="1"/>
  <c r="CI341" i="164" s="1"/>
  <c r="BQ188" i="164"/>
  <c r="BS188" i="164" s="1"/>
  <c r="CG188" i="164" s="1"/>
  <c r="AB113" i="164"/>
  <c r="AI113" i="164" s="1"/>
  <c r="AW113" i="164" s="1"/>
  <c r="BD56" i="164"/>
  <c r="CW56" i="164" s="1"/>
  <c r="BM56" i="164"/>
  <c r="BN56" i="164" s="1"/>
  <c r="BO189" i="164"/>
  <c r="BU189" i="164" s="1"/>
  <c r="BW189" i="164" s="1"/>
  <c r="BY189" i="164" s="1"/>
  <c r="CA189" i="164" s="1"/>
  <c r="CE189" i="164" s="1"/>
  <c r="CI189" i="164" s="1"/>
  <c r="BO342" i="164"/>
  <c r="BU342" i="164" s="1"/>
  <c r="BW342" i="164" s="1"/>
  <c r="BY342" i="164" s="1"/>
  <c r="CA342" i="164" s="1"/>
  <c r="CE342" i="164" s="1"/>
  <c r="CI342" i="164" s="1"/>
  <c r="BO387" i="164"/>
  <c r="BU387" i="164" s="1"/>
  <c r="BW387" i="164" s="1"/>
  <c r="BY387" i="164" s="1"/>
  <c r="CA387" i="164" s="1"/>
  <c r="CE387" i="164" s="1"/>
  <c r="CI387" i="164" s="1"/>
  <c r="AM352" i="164"/>
  <c r="AU352" i="164" s="1"/>
  <c r="AN353" i="164"/>
  <c r="AP353" i="164" s="1"/>
  <c r="CC340" i="164"/>
  <c r="CD340" i="164" s="1"/>
  <c r="CH83" i="164"/>
  <c r="CC83" i="164"/>
  <c r="CD83" i="164" s="1"/>
  <c r="BP323" i="164"/>
  <c r="BV323" i="164" s="1"/>
  <c r="BX323" i="164" s="1"/>
  <c r="BZ323" i="164" s="1"/>
  <c r="CB323" i="164" s="1"/>
  <c r="CF323" i="164" s="1"/>
  <c r="CJ323" i="164" s="1"/>
  <c r="BR322" i="164"/>
  <c r="BT322" i="164" s="1"/>
  <c r="CH322" i="164" s="1"/>
  <c r="BR188" i="164"/>
  <c r="BT188" i="164" s="1"/>
  <c r="CC188" i="164" s="1"/>
  <c r="CD188" i="164" s="1"/>
  <c r="CC110" i="164"/>
  <c r="CD110" i="164" s="1"/>
  <c r="CT331" i="168"/>
  <c r="CR503" i="168"/>
  <c r="CH53" i="164"/>
  <c r="CC53" i="164"/>
  <c r="CD53" i="164" s="1"/>
  <c r="AR53" i="164"/>
  <c r="AS53" i="164" s="1"/>
  <c r="AT53" i="164" s="1"/>
  <c r="CH487" i="164"/>
  <c r="CC487" i="164"/>
  <c r="CD487" i="164" s="1"/>
  <c r="AR487" i="164"/>
  <c r="AS487" i="164" s="1"/>
  <c r="AT487" i="164" s="1"/>
  <c r="CC225" i="164"/>
  <c r="CD225" i="164" s="1"/>
  <c r="CH225" i="164"/>
  <c r="AR225" i="164"/>
  <c r="AS225" i="164" s="1"/>
  <c r="AT225" i="164" s="1"/>
  <c r="BU227" i="164"/>
  <c r="BW227" i="164" s="1"/>
  <c r="BY227" i="164" s="1"/>
  <c r="CA227" i="164" s="1"/>
  <c r="CE227" i="164" s="1"/>
  <c r="CI227" i="164" s="1"/>
  <c r="BQ227" i="164"/>
  <c r="BS227" i="164" s="1"/>
  <c r="CG227" i="164" s="1"/>
  <c r="CH187" i="164"/>
  <c r="CC187" i="164"/>
  <c r="CD187" i="164" s="1"/>
  <c r="AR187" i="164"/>
  <c r="AS187" i="164" s="1"/>
  <c r="AT187" i="164" s="1"/>
  <c r="BV289" i="164"/>
  <c r="BX289" i="164" s="1"/>
  <c r="BZ289" i="164" s="1"/>
  <c r="CB289" i="164" s="1"/>
  <c r="CF289" i="164" s="1"/>
  <c r="CJ289" i="164" s="1"/>
  <c r="BR289" i="164"/>
  <c r="BT289" i="164" s="1"/>
  <c r="CC288" i="164"/>
  <c r="CD288" i="164" s="1"/>
  <c r="AR288" i="164"/>
  <c r="AS288" i="164" s="1"/>
  <c r="AT288" i="164" s="1"/>
  <c r="CH288" i="164"/>
  <c r="AB491" i="164"/>
  <c r="AI491" i="164" s="1"/>
  <c r="BN113" i="164"/>
  <c r="AC503" i="168"/>
  <c r="BN324" i="164"/>
  <c r="BO324" i="164" s="1"/>
  <c r="AA344" i="164"/>
  <c r="R344" i="164"/>
  <c r="BD326" i="164"/>
  <c r="CW326" i="164" s="1"/>
  <c r="BE326" i="164"/>
  <c r="BM326" i="164"/>
  <c r="BN190" i="164"/>
  <c r="AR331" i="168"/>
  <c r="AR503" i="168" s="1"/>
  <c r="CC115" i="164"/>
  <c r="CD115" i="164" s="1"/>
  <c r="CH115" i="164"/>
  <c r="AR115" i="164"/>
  <c r="AS115" i="164" s="1"/>
  <c r="AT115" i="164" s="1"/>
  <c r="AN491" i="164"/>
  <c r="AP491" i="164" s="1"/>
  <c r="AM490" i="164"/>
  <c r="Z398" i="164"/>
  <c r="AV398" i="164"/>
  <c r="AZ398" i="164"/>
  <c r="CX398" i="164"/>
  <c r="CB386" i="164"/>
  <c r="BT386" i="164"/>
  <c r="BV386" i="164"/>
  <c r="CF386" i="164"/>
  <c r="CJ386" i="164" s="1"/>
  <c r="BR386" i="164"/>
  <c r="BX386" i="164"/>
  <c r="BZ386" i="164"/>
  <c r="R398" i="164"/>
  <c r="AA398" i="164"/>
  <c r="AW290" i="164"/>
  <c r="BP290" i="164" s="1"/>
  <c r="BO290" i="164"/>
  <c r="BV226" i="164"/>
  <c r="BX226" i="164" s="1"/>
  <c r="BZ226" i="164" s="1"/>
  <c r="CB226" i="164" s="1"/>
  <c r="CF226" i="164" s="1"/>
  <c r="CJ226" i="164" s="1"/>
  <c r="BR226" i="164"/>
  <c r="BT226" i="164" s="1"/>
  <c r="AU489" i="164"/>
  <c r="AV489" i="164"/>
  <c r="AW489" i="164" s="1"/>
  <c r="BP489" i="164" s="1"/>
  <c r="BN325" i="164"/>
  <c r="BQ489" i="164"/>
  <c r="BS489" i="164" s="1"/>
  <c r="CG489" i="164" s="1"/>
  <c r="BU489" i="164"/>
  <c r="BW489" i="164" s="1"/>
  <c r="BY489" i="164" s="1"/>
  <c r="CA489" i="164" s="1"/>
  <c r="CE489" i="164" s="1"/>
  <c r="CI489" i="164" s="1"/>
  <c r="CC111" i="164"/>
  <c r="CD111" i="164" s="1"/>
  <c r="CH111" i="164"/>
  <c r="AR111" i="164"/>
  <c r="AS111" i="164" s="1"/>
  <c r="AT111" i="164" s="1"/>
  <c r="BM344" i="164"/>
  <c r="BD344" i="164"/>
  <c r="CW344" i="164" s="1"/>
  <c r="BE344" i="164"/>
  <c r="R56" i="164"/>
  <c r="AA56" i="164"/>
  <c r="BQ226" i="164"/>
  <c r="BS226" i="164" s="1"/>
  <c r="CG226" i="164" s="1"/>
  <c r="BU226" i="164"/>
  <c r="BW226" i="164" s="1"/>
  <c r="BY226" i="164" s="1"/>
  <c r="CA226" i="164" s="1"/>
  <c r="CE226" i="164" s="1"/>
  <c r="CI226" i="164" s="1"/>
  <c r="AM56" i="164"/>
  <c r="AN57" i="164"/>
  <c r="Y345" i="164"/>
  <c r="P345" i="164"/>
  <c r="G346" i="164"/>
  <c r="H346" i="164" s="1"/>
  <c r="BP342" i="164"/>
  <c r="BR488" i="164"/>
  <c r="BT488" i="164" s="1"/>
  <c r="BV488" i="164"/>
  <c r="BX488" i="164" s="1"/>
  <c r="BZ488" i="164" s="1"/>
  <c r="CB488" i="164" s="1"/>
  <c r="CF488" i="164" s="1"/>
  <c r="CJ488" i="164" s="1"/>
  <c r="R191" i="164"/>
  <c r="AA191" i="164"/>
  <c r="BQ289" i="164"/>
  <c r="BS289" i="164" s="1"/>
  <c r="CG289" i="164" s="1"/>
  <c r="BU289" i="164"/>
  <c r="BW289" i="164" s="1"/>
  <c r="BY289" i="164" s="1"/>
  <c r="CA289" i="164" s="1"/>
  <c r="CE289" i="164" s="1"/>
  <c r="CI289" i="164" s="1"/>
  <c r="AU55" i="164"/>
  <c r="AV55" i="164"/>
  <c r="Z345" i="164"/>
  <c r="AV345" i="164"/>
  <c r="K346" i="164"/>
  <c r="L346" i="164" s="1"/>
  <c r="AB190" i="164"/>
  <c r="AI190" i="164" s="1"/>
  <c r="BP227" i="164"/>
  <c r="E26" i="169"/>
  <c r="G26" i="169" s="1"/>
  <c r="AU526" i="168"/>
  <c r="E33" i="169"/>
  <c r="G33" i="169" s="1"/>
  <c r="BC528" i="168"/>
  <c r="BQ323" i="164"/>
  <c r="BS323" i="164" s="1"/>
  <c r="CG323" i="164" s="1"/>
  <c r="BU323" i="164"/>
  <c r="BW323" i="164" s="1"/>
  <c r="BY323" i="164" s="1"/>
  <c r="CA323" i="164" s="1"/>
  <c r="CE323" i="164" s="1"/>
  <c r="CI323" i="164" s="1"/>
  <c r="AB325" i="164"/>
  <c r="AI325" i="164" s="1"/>
  <c r="BP387" i="164"/>
  <c r="BP189" i="164"/>
  <c r="AW112" i="164"/>
  <c r="BO112" i="164"/>
  <c r="AH529" i="168"/>
  <c r="BN343" i="164"/>
  <c r="Z492" i="164"/>
  <c r="AZ492" i="164"/>
  <c r="CX492" i="164"/>
  <c r="K493" i="164"/>
  <c r="L493" i="164" s="1"/>
  <c r="Y493" i="164"/>
  <c r="G494" i="164"/>
  <c r="H494" i="164" s="1"/>
  <c r="P493" i="164"/>
  <c r="AB55" i="164"/>
  <c r="AI55" i="164" s="1"/>
  <c r="BV341" i="164"/>
  <c r="BX341" i="164" s="1"/>
  <c r="BZ341" i="164" s="1"/>
  <c r="CB341" i="164" s="1"/>
  <c r="CF341" i="164" s="1"/>
  <c r="CJ341" i="164" s="1"/>
  <c r="BR341" i="164"/>
  <c r="BT341" i="164" s="1"/>
  <c r="BE491" i="164"/>
  <c r="BM491" i="164"/>
  <c r="BD491" i="164"/>
  <c r="CW491" i="164" s="1"/>
  <c r="BJ167" i="164"/>
  <c r="CK167" i="164" s="1"/>
  <c r="A168" i="164"/>
  <c r="BM191" i="164"/>
  <c r="BD191" i="164"/>
  <c r="CW191" i="164" s="1"/>
  <c r="BE191" i="164"/>
  <c r="CH426" i="164"/>
  <c r="CC426" i="164"/>
  <c r="CD426" i="164" s="1"/>
  <c r="AR426" i="164"/>
  <c r="AS426" i="164" s="1"/>
  <c r="AT426" i="164" s="1"/>
  <c r="BR54" i="164"/>
  <c r="BT54" i="164" s="1"/>
  <c r="BV54" i="164"/>
  <c r="BX54" i="164" s="1"/>
  <c r="BZ54" i="164" s="1"/>
  <c r="CB54" i="164" s="1"/>
  <c r="CF54" i="164" s="1"/>
  <c r="CJ54" i="164" s="1"/>
  <c r="BN490" i="164"/>
  <c r="BO490" i="164" s="1"/>
  <c r="AA492" i="164"/>
  <c r="R492" i="164"/>
  <c r="AF331" i="168"/>
  <c r="AF503" i="168" s="1"/>
  <c r="AB343" i="164"/>
  <c r="AI343" i="164" s="1"/>
  <c r="R326" i="164"/>
  <c r="AA326" i="164"/>
  <c r="BO113" i="164" l="1"/>
  <c r="BU113" i="164" s="1"/>
  <c r="BW113" i="164" s="1"/>
  <c r="BY113" i="164" s="1"/>
  <c r="CA113" i="164" s="1"/>
  <c r="CE113" i="164" s="1"/>
  <c r="CI113" i="164" s="1"/>
  <c r="AB492" i="164"/>
  <c r="BQ189" i="164"/>
  <c r="BS189" i="164" s="1"/>
  <c r="CG189" i="164" s="1"/>
  <c r="BQ342" i="164"/>
  <c r="BS342" i="164" s="1"/>
  <c r="CG342" i="164" s="1"/>
  <c r="BQ387" i="164"/>
  <c r="BS387" i="164" s="1"/>
  <c r="CG387" i="164" s="1"/>
  <c r="AB344" i="164"/>
  <c r="AI344" i="164" s="1"/>
  <c r="AW344" i="164" s="1"/>
  <c r="AB56" i="164"/>
  <c r="AI56" i="164" s="1"/>
  <c r="BO56" i="164" s="1"/>
  <c r="AN354" i="164"/>
  <c r="AP354" i="164" s="1"/>
  <c r="AM353" i="164"/>
  <c r="AU353" i="164" s="1"/>
  <c r="BR323" i="164"/>
  <c r="BT323" i="164" s="1"/>
  <c r="CH323" i="164" s="1"/>
  <c r="CH188" i="164"/>
  <c r="AR188" i="164"/>
  <c r="AS188" i="164" s="1"/>
  <c r="AT188" i="164" s="1"/>
  <c r="AR322" i="164"/>
  <c r="AS322" i="164" s="1"/>
  <c r="AT322" i="164" s="1"/>
  <c r="CC322" i="164"/>
  <c r="CD322" i="164" s="1"/>
  <c r="BP324" i="164"/>
  <c r="BV324" i="164" s="1"/>
  <c r="BX324" i="164" s="1"/>
  <c r="BZ324" i="164" s="1"/>
  <c r="CB324" i="164" s="1"/>
  <c r="CF324" i="164" s="1"/>
  <c r="CJ324" i="164" s="1"/>
  <c r="CC488" i="164"/>
  <c r="CD488" i="164" s="1"/>
  <c r="CH488" i="164"/>
  <c r="AR488" i="164"/>
  <c r="AS488" i="164" s="1"/>
  <c r="AT488" i="164" s="1"/>
  <c r="CC289" i="164"/>
  <c r="CD289" i="164" s="1"/>
  <c r="AR289" i="164"/>
  <c r="AS289" i="164" s="1"/>
  <c r="AT289" i="164" s="1"/>
  <c r="CH289" i="164"/>
  <c r="CC54" i="164"/>
  <c r="CD54" i="164" s="1"/>
  <c r="CH54" i="164"/>
  <c r="AR54" i="164"/>
  <c r="AS54" i="164" s="1"/>
  <c r="AT54" i="164" s="1"/>
  <c r="BU490" i="164"/>
  <c r="BW490" i="164" s="1"/>
  <c r="BY490" i="164" s="1"/>
  <c r="CA490" i="164" s="1"/>
  <c r="CE490" i="164" s="1"/>
  <c r="CI490" i="164" s="1"/>
  <c r="BQ490" i="164"/>
  <c r="BS490" i="164" s="1"/>
  <c r="CG490" i="164" s="1"/>
  <c r="BM492" i="164"/>
  <c r="BD492" i="164"/>
  <c r="CW492" i="164" s="1"/>
  <c r="BE492" i="164"/>
  <c r="BR290" i="164"/>
  <c r="BT290" i="164" s="1"/>
  <c r="BV290" i="164"/>
  <c r="BX290" i="164" s="1"/>
  <c r="BZ290" i="164" s="1"/>
  <c r="CB290" i="164" s="1"/>
  <c r="CF290" i="164" s="1"/>
  <c r="CJ290" i="164" s="1"/>
  <c r="BN191" i="164"/>
  <c r="BR342" i="164"/>
  <c r="BT342" i="164" s="1"/>
  <c r="BV342" i="164"/>
  <c r="BX342" i="164" s="1"/>
  <c r="BZ342" i="164" s="1"/>
  <c r="CB342" i="164" s="1"/>
  <c r="CF342" i="164" s="1"/>
  <c r="CJ342" i="164" s="1"/>
  <c r="BR489" i="164"/>
  <c r="BT489" i="164" s="1"/>
  <c r="BV489" i="164"/>
  <c r="BX489" i="164" s="1"/>
  <c r="BZ489" i="164" s="1"/>
  <c r="CB489" i="164" s="1"/>
  <c r="CF489" i="164" s="1"/>
  <c r="CJ489" i="164" s="1"/>
  <c r="AB398" i="164"/>
  <c r="AI398" i="164" s="1"/>
  <c r="Y346" i="164"/>
  <c r="G347" i="164"/>
  <c r="H347" i="164" s="1"/>
  <c r="P346" i="164"/>
  <c r="AU490" i="164"/>
  <c r="AV490" i="164"/>
  <c r="AW490" i="164" s="1"/>
  <c r="BP490" i="164" s="1"/>
  <c r="A169" i="164"/>
  <c r="BJ168" i="164"/>
  <c r="CK168" i="164" s="1"/>
  <c r="BO55" i="164"/>
  <c r="AW55" i="164"/>
  <c r="BP55" i="164" s="1"/>
  <c r="BR189" i="164"/>
  <c r="BT189" i="164" s="1"/>
  <c r="BV189" i="164"/>
  <c r="BX189" i="164" s="1"/>
  <c r="BZ189" i="164" s="1"/>
  <c r="CB189" i="164" s="1"/>
  <c r="CF189" i="164" s="1"/>
  <c r="CJ189" i="164" s="1"/>
  <c r="BV227" i="164"/>
  <c r="BX227" i="164" s="1"/>
  <c r="BZ227" i="164" s="1"/>
  <c r="CB227" i="164" s="1"/>
  <c r="CF227" i="164" s="1"/>
  <c r="CJ227" i="164" s="1"/>
  <c r="BR227" i="164"/>
  <c r="BT227" i="164" s="1"/>
  <c r="AA493" i="164"/>
  <c r="R493" i="164"/>
  <c r="BT387" i="164"/>
  <c r="CF387" i="164"/>
  <c r="CJ387" i="164" s="1"/>
  <c r="BV387" i="164"/>
  <c r="BZ387" i="164"/>
  <c r="CB387" i="164"/>
  <c r="BX387" i="164"/>
  <c r="BR387" i="164"/>
  <c r="BO190" i="164"/>
  <c r="AW190" i="164"/>
  <c r="BP190" i="164" s="1"/>
  <c r="AB191" i="164"/>
  <c r="AI191" i="164" s="1"/>
  <c r="AA345" i="164"/>
  <c r="R345" i="164"/>
  <c r="AN492" i="164"/>
  <c r="AP492" i="164" s="1"/>
  <c r="AM491" i="164"/>
  <c r="AV346" i="164"/>
  <c r="Z346" i="164"/>
  <c r="K347" i="164"/>
  <c r="L347" i="164" s="1"/>
  <c r="Y494" i="164"/>
  <c r="P494" i="164"/>
  <c r="G495" i="164"/>
  <c r="H495" i="164" s="1"/>
  <c r="BN344" i="164"/>
  <c r="AW325" i="164"/>
  <c r="BO325" i="164"/>
  <c r="AB326" i="164"/>
  <c r="AI326" i="164" s="1"/>
  <c r="AZ493" i="164"/>
  <c r="K494" i="164"/>
  <c r="L494" i="164" s="1"/>
  <c r="Z493" i="164"/>
  <c r="CX493" i="164"/>
  <c r="AU56" i="164"/>
  <c r="AV56" i="164"/>
  <c r="CC386" i="164"/>
  <c r="CD386" i="164" s="1"/>
  <c r="CH386" i="164"/>
  <c r="AR386" i="164"/>
  <c r="AS386" i="164" s="1"/>
  <c r="AT386" i="164" s="1"/>
  <c r="AW343" i="164"/>
  <c r="BP343" i="164" s="1"/>
  <c r="BO343" i="164"/>
  <c r="E20" i="169"/>
  <c r="G20" i="169" s="1"/>
  <c r="E16" i="169"/>
  <c r="G16" i="169" s="1"/>
  <c r="BQ324" i="164"/>
  <c r="BS324" i="164" s="1"/>
  <c r="CG324" i="164" s="1"/>
  <c r="BU324" i="164"/>
  <c r="BW324" i="164" s="1"/>
  <c r="BY324" i="164" s="1"/>
  <c r="CA324" i="164" s="1"/>
  <c r="CE324" i="164" s="1"/>
  <c r="CI324" i="164" s="1"/>
  <c r="BN326" i="164"/>
  <c r="CC341" i="164"/>
  <c r="CD341" i="164" s="1"/>
  <c r="CH341" i="164"/>
  <c r="AR341" i="164"/>
  <c r="AS341" i="164" s="1"/>
  <c r="AT341" i="164" s="1"/>
  <c r="CC226" i="164"/>
  <c r="CD226" i="164" s="1"/>
  <c r="CH226" i="164"/>
  <c r="AR226" i="164"/>
  <c r="AS226" i="164" s="1"/>
  <c r="AT226" i="164" s="1"/>
  <c r="E18" i="169"/>
  <c r="G18" i="169" s="1"/>
  <c r="E22" i="169"/>
  <c r="G22" i="169" s="1"/>
  <c r="AH527" i="168"/>
  <c r="BU112" i="164"/>
  <c r="BW112" i="164" s="1"/>
  <c r="BY112" i="164" s="1"/>
  <c r="CA112" i="164" s="1"/>
  <c r="CE112" i="164" s="1"/>
  <c r="CI112" i="164" s="1"/>
  <c r="BQ112" i="164"/>
  <c r="BS112" i="164" s="1"/>
  <c r="CG112" i="164" s="1"/>
  <c r="BN491" i="164"/>
  <c r="BO491" i="164" s="1"/>
  <c r="AI492" i="164"/>
  <c r="BE345" i="164"/>
  <c r="BD345" i="164"/>
  <c r="CW345" i="164" s="1"/>
  <c r="BM345" i="164"/>
  <c r="BU290" i="164"/>
  <c r="BW290" i="164" s="1"/>
  <c r="BY290" i="164" s="1"/>
  <c r="CA290" i="164" s="1"/>
  <c r="CE290" i="164" s="1"/>
  <c r="CI290" i="164" s="1"/>
  <c r="BQ290" i="164"/>
  <c r="BS290" i="164" s="1"/>
  <c r="CG290" i="164" s="1"/>
  <c r="BD398" i="164"/>
  <c r="CW398" i="164" s="1"/>
  <c r="BE398" i="164"/>
  <c r="BM398" i="164"/>
  <c r="AQ331" i="168"/>
  <c r="AQ503" i="168" s="1"/>
  <c r="E56" i="56"/>
  <c r="E57" i="56"/>
  <c r="E58" i="56"/>
  <c r="E59" i="56"/>
  <c r="E60" i="56"/>
  <c r="E61" i="56"/>
  <c r="E62" i="56"/>
  <c r="E63" i="56"/>
  <c r="E64" i="56"/>
  <c r="E65" i="56"/>
  <c r="E66" i="56"/>
  <c r="E67" i="56"/>
  <c r="E68" i="56"/>
  <c r="E69" i="56"/>
  <c r="E70" i="56"/>
  <c r="E71" i="56"/>
  <c r="E72" i="56"/>
  <c r="E73" i="56"/>
  <c r="E74" i="56"/>
  <c r="E75" i="56"/>
  <c r="E76" i="56"/>
  <c r="E55" i="56"/>
  <c r="D83" i="56"/>
  <c r="D81" i="56"/>
  <c r="D79" i="56"/>
  <c r="C83" i="56"/>
  <c r="C81" i="56"/>
  <c r="C79" i="56"/>
  <c r="B83" i="56"/>
  <c r="Q83" i="56" s="1"/>
  <c r="B81" i="56"/>
  <c r="Q81" i="56" s="1"/>
  <c r="B79" i="56"/>
  <c r="Q79" i="56" s="1"/>
  <c r="D77" i="56"/>
  <c r="D76" i="56"/>
  <c r="D75" i="56"/>
  <c r="D74" i="56"/>
  <c r="D73" i="56"/>
  <c r="D72" i="56"/>
  <c r="D71" i="56"/>
  <c r="C77" i="56"/>
  <c r="C76" i="56"/>
  <c r="C75" i="56"/>
  <c r="C74" i="56"/>
  <c r="C73" i="56"/>
  <c r="C72" i="56"/>
  <c r="C71" i="56"/>
  <c r="B77" i="56"/>
  <c r="Q77" i="56" s="1"/>
  <c r="B76" i="56"/>
  <c r="Q76" i="56" s="1"/>
  <c r="B75" i="56"/>
  <c r="Q75" i="56" s="1"/>
  <c r="B74" i="56"/>
  <c r="Q74" i="56" s="1"/>
  <c r="B73" i="56"/>
  <c r="Q73" i="56" s="1"/>
  <c r="B72" i="56"/>
  <c r="Q72" i="56" s="1"/>
  <c r="B71" i="56"/>
  <c r="Q71" i="56" s="1"/>
  <c r="D70" i="56"/>
  <c r="D69" i="56"/>
  <c r="D68" i="56"/>
  <c r="D67" i="56"/>
  <c r="D66" i="56"/>
  <c r="D65" i="56"/>
  <c r="D64" i="56"/>
  <c r="C70" i="56"/>
  <c r="C69" i="56"/>
  <c r="C68" i="56"/>
  <c r="C67" i="56"/>
  <c r="C66" i="56"/>
  <c r="C65" i="56"/>
  <c r="C64" i="56"/>
  <c r="B70" i="56"/>
  <c r="Q70" i="56" s="1"/>
  <c r="B69" i="56"/>
  <c r="Q69" i="56" s="1"/>
  <c r="B68" i="56"/>
  <c r="Q68" i="56" s="1"/>
  <c r="B67" i="56"/>
  <c r="Q67" i="56" s="1"/>
  <c r="B66" i="56"/>
  <c r="Q66" i="56" s="1"/>
  <c r="B65" i="56"/>
  <c r="Q65" i="56" s="1"/>
  <c r="B64" i="56"/>
  <c r="Q64" i="56" s="1"/>
  <c r="D63" i="56"/>
  <c r="D61" i="56"/>
  <c r="D62" i="56"/>
  <c r="D60" i="56"/>
  <c r="D59" i="56"/>
  <c r="D58" i="56"/>
  <c r="C63" i="56"/>
  <c r="C62" i="56"/>
  <c r="C61" i="56"/>
  <c r="C60" i="56"/>
  <c r="C59" i="56"/>
  <c r="C58" i="56"/>
  <c r="B63" i="56"/>
  <c r="Q63" i="56" s="1"/>
  <c r="B62" i="56"/>
  <c r="Q62" i="56" s="1"/>
  <c r="B61" i="56"/>
  <c r="Q61" i="56" s="1"/>
  <c r="B60" i="56"/>
  <c r="Q60" i="56" s="1"/>
  <c r="B59" i="56"/>
  <c r="Q59" i="56" s="1"/>
  <c r="B58" i="56"/>
  <c r="Q58" i="56" s="1"/>
  <c r="D57" i="56"/>
  <c r="D56" i="56"/>
  <c r="D55" i="56"/>
  <c r="D54" i="56"/>
  <c r="D53" i="56"/>
  <c r="D52" i="56"/>
  <c r="D51" i="56"/>
  <c r="C57" i="56"/>
  <c r="C56" i="56"/>
  <c r="C55" i="56"/>
  <c r="C54" i="56"/>
  <c r="C53" i="56"/>
  <c r="C52" i="56"/>
  <c r="C51" i="56"/>
  <c r="B57" i="56"/>
  <c r="Q57" i="56" s="1"/>
  <c r="B56" i="56"/>
  <c r="Q56" i="56" s="1"/>
  <c r="B55" i="56"/>
  <c r="Q55" i="56" s="1"/>
  <c r="B54" i="56"/>
  <c r="Q54" i="56" s="1"/>
  <c r="B53" i="56"/>
  <c r="Q53" i="56" s="1"/>
  <c r="B52" i="56"/>
  <c r="Q52" i="56" s="1"/>
  <c r="B51" i="56"/>
  <c r="Q51" i="56" s="1"/>
  <c r="C593" i="57"/>
  <c r="C558" i="57"/>
  <c r="BQ113" i="164" l="1"/>
  <c r="BS113" i="164" s="1"/>
  <c r="CG113" i="164" s="1"/>
  <c r="AW56" i="164"/>
  <c r="BP56" i="164" s="1"/>
  <c r="BR56" i="164" s="1"/>
  <c r="BT56" i="164" s="1"/>
  <c r="CC342" i="164"/>
  <c r="CD342" i="164" s="1"/>
  <c r="BO344" i="164"/>
  <c r="BU344" i="164" s="1"/>
  <c r="BW344" i="164" s="1"/>
  <c r="BY344" i="164" s="1"/>
  <c r="CA344" i="164" s="1"/>
  <c r="CE344" i="164" s="1"/>
  <c r="CI344" i="164" s="1"/>
  <c r="AM354" i="164"/>
  <c r="AU354" i="164" s="1"/>
  <c r="AN355" i="164"/>
  <c r="AP355" i="164" s="1"/>
  <c r="CC323" i="164"/>
  <c r="CD323" i="164" s="1"/>
  <c r="AR323" i="164"/>
  <c r="AS323" i="164" s="1"/>
  <c r="AT323" i="164" s="1"/>
  <c r="BR324" i="164"/>
  <c r="BT324" i="164" s="1"/>
  <c r="CH324" i="164" s="1"/>
  <c r="CC489" i="164"/>
  <c r="CD489" i="164" s="1"/>
  <c r="CH489" i="164"/>
  <c r="AR489" i="164"/>
  <c r="AS489" i="164" s="1"/>
  <c r="AT489" i="164" s="1"/>
  <c r="CH189" i="164"/>
  <c r="AR189" i="164"/>
  <c r="AS189" i="164" s="1"/>
  <c r="AT189" i="164" s="1"/>
  <c r="CC189" i="164"/>
  <c r="CD189" i="164" s="1"/>
  <c r="BU491" i="164"/>
  <c r="BW491" i="164" s="1"/>
  <c r="BY491" i="164" s="1"/>
  <c r="CA491" i="164" s="1"/>
  <c r="CE491" i="164" s="1"/>
  <c r="CI491" i="164" s="1"/>
  <c r="BQ491" i="164"/>
  <c r="BS491" i="164" s="1"/>
  <c r="CG491" i="164" s="1"/>
  <c r="CH342" i="164"/>
  <c r="AR342" i="164"/>
  <c r="AS342" i="164" s="1"/>
  <c r="AT342" i="164" s="1"/>
  <c r="AR227" i="164"/>
  <c r="AS227" i="164" s="1"/>
  <c r="AT227" i="164" s="1"/>
  <c r="CC227" i="164"/>
  <c r="CD227" i="164" s="1"/>
  <c r="CH227" i="164"/>
  <c r="BN398" i="164"/>
  <c r="BO398" i="164" s="1"/>
  <c r="AU491" i="164"/>
  <c r="AV491" i="164"/>
  <c r="AW491" i="164" s="1"/>
  <c r="BP491" i="164" s="1"/>
  <c r="BQ56" i="164"/>
  <c r="BS56" i="164" s="1"/>
  <c r="CG56" i="164" s="1"/>
  <c r="BU56" i="164"/>
  <c r="BW56" i="164" s="1"/>
  <c r="BY56" i="164" s="1"/>
  <c r="CA56" i="164" s="1"/>
  <c r="CE56" i="164" s="1"/>
  <c r="CI56" i="164" s="1"/>
  <c r="AB345" i="164"/>
  <c r="AI345" i="164" s="1"/>
  <c r="AB493" i="164"/>
  <c r="AI493" i="164" s="1"/>
  <c r="R346" i="164"/>
  <c r="AA346" i="164"/>
  <c r="Z494" i="164"/>
  <c r="AZ494" i="164"/>
  <c r="CX494" i="164"/>
  <c r="K495" i="164"/>
  <c r="L495" i="164" s="1"/>
  <c r="Y347" i="164"/>
  <c r="P347" i="164"/>
  <c r="G152" i="164"/>
  <c r="H152" i="164" s="1"/>
  <c r="G348" i="164"/>
  <c r="H348" i="164" s="1"/>
  <c r="AM492" i="164"/>
  <c r="AN493" i="164"/>
  <c r="AP493" i="164" s="1"/>
  <c r="CC290" i="164"/>
  <c r="CD290" i="164" s="1"/>
  <c r="CH290" i="164"/>
  <c r="AR290" i="164"/>
  <c r="AS290" i="164" s="1"/>
  <c r="AT290" i="164" s="1"/>
  <c r="AV347" i="164"/>
  <c r="Z347" i="164"/>
  <c r="K348" i="164"/>
  <c r="L348" i="164" s="1"/>
  <c r="K152" i="164"/>
  <c r="L152" i="164" s="1"/>
  <c r="BR190" i="164"/>
  <c r="BT190" i="164" s="1"/>
  <c r="BV190" i="164"/>
  <c r="BX190" i="164" s="1"/>
  <c r="BZ190" i="164" s="1"/>
  <c r="CB190" i="164" s="1"/>
  <c r="CF190" i="164" s="1"/>
  <c r="CJ190" i="164" s="1"/>
  <c r="BO326" i="164"/>
  <c r="AW326" i="164"/>
  <c r="BP326" i="164" s="1"/>
  <c r="BQ325" i="164"/>
  <c r="BS325" i="164" s="1"/>
  <c r="CG325" i="164" s="1"/>
  <c r="BU325" i="164"/>
  <c r="BW325" i="164" s="1"/>
  <c r="BY325" i="164" s="1"/>
  <c r="CA325" i="164" s="1"/>
  <c r="CE325" i="164" s="1"/>
  <c r="CI325" i="164" s="1"/>
  <c r="BU190" i="164"/>
  <c r="BW190" i="164" s="1"/>
  <c r="BY190" i="164" s="1"/>
  <c r="CA190" i="164" s="1"/>
  <c r="CE190" i="164" s="1"/>
  <c r="CI190" i="164" s="1"/>
  <c r="BQ190" i="164"/>
  <c r="BS190" i="164" s="1"/>
  <c r="CG190" i="164" s="1"/>
  <c r="BV55" i="164"/>
  <c r="BX55" i="164" s="1"/>
  <c r="BZ55" i="164" s="1"/>
  <c r="CB55" i="164" s="1"/>
  <c r="CF55" i="164" s="1"/>
  <c r="CJ55" i="164" s="1"/>
  <c r="BR55" i="164"/>
  <c r="BT55" i="164" s="1"/>
  <c r="BQ343" i="164"/>
  <c r="BS343" i="164" s="1"/>
  <c r="BU343" i="164"/>
  <c r="BW343" i="164" s="1"/>
  <c r="BY343" i="164" s="1"/>
  <c r="CA343" i="164" s="1"/>
  <c r="CE343" i="164" s="1"/>
  <c r="CI343" i="164" s="1"/>
  <c r="AW191" i="164"/>
  <c r="BP191" i="164" s="1"/>
  <c r="BO191" i="164"/>
  <c r="BQ55" i="164"/>
  <c r="BS55" i="164" s="1"/>
  <c r="CG55" i="164" s="1"/>
  <c r="BU55" i="164"/>
  <c r="BW55" i="164" s="1"/>
  <c r="BY55" i="164" s="1"/>
  <c r="CA55" i="164" s="1"/>
  <c r="CE55" i="164" s="1"/>
  <c r="CI55" i="164" s="1"/>
  <c r="BM346" i="164"/>
  <c r="BE346" i="164"/>
  <c r="BD346" i="164"/>
  <c r="CW346" i="164" s="1"/>
  <c r="BN345" i="164"/>
  <c r="AW398" i="164"/>
  <c r="A170" i="164"/>
  <c r="BJ169" i="164"/>
  <c r="CK169" i="164" s="1"/>
  <c r="AH531" i="168"/>
  <c r="AJ530" i="168" s="1"/>
  <c r="AJ528" i="168"/>
  <c r="CC387" i="164"/>
  <c r="CD387" i="164" s="1"/>
  <c r="CH387" i="164"/>
  <c r="AR387" i="164"/>
  <c r="AS387" i="164" s="1"/>
  <c r="AT387" i="164" s="1"/>
  <c r="Y495" i="164"/>
  <c r="G496" i="164"/>
  <c r="H496" i="164" s="1"/>
  <c r="P495" i="164"/>
  <c r="BP344" i="164"/>
  <c r="BV490" i="164"/>
  <c r="BX490" i="164" s="1"/>
  <c r="BZ490" i="164" s="1"/>
  <c r="CB490" i="164" s="1"/>
  <c r="CF490" i="164" s="1"/>
  <c r="CJ490" i="164" s="1"/>
  <c r="BR490" i="164"/>
  <c r="BT490" i="164" s="1"/>
  <c r="BN492" i="164"/>
  <c r="BO492" i="164" s="1"/>
  <c r="BE493" i="164"/>
  <c r="BM493" i="164"/>
  <c r="BD493" i="164"/>
  <c r="CW493" i="164" s="1"/>
  <c r="BV343" i="164"/>
  <c r="BX343" i="164" s="1"/>
  <c r="BZ343" i="164" s="1"/>
  <c r="CB343" i="164" s="1"/>
  <c r="CF343" i="164" s="1"/>
  <c r="CJ343" i="164" s="1"/>
  <c r="BR343" i="164"/>
  <c r="BT343" i="164" s="1"/>
  <c r="AA494" i="164"/>
  <c r="R494" i="164"/>
  <c r="E25" i="56"/>
  <c r="E119" i="56"/>
  <c r="E107" i="56"/>
  <c r="E118" i="56"/>
  <c r="E106" i="56"/>
  <c r="E117" i="56"/>
  <c r="E105" i="56"/>
  <c r="E109" i="56"/>
  <c r="E116" i="56"/>
  <c r="E104" i="56"/>
  <c r="E108" i="56"/>
  <c r="E115" i="56"/>
  <c r="E103" i="56"/>
  <c r="E114" i="56"/>
  <c r="E102" i="56"/>
  <c r="E113" i="56"/>
  <c r="E112" i="56"/>
  <c r="E101" i="56"/>
  <c r="E111" i="56"/>
  <c r="E121" i="56"/>
  <c r="E120" i="56"/>
  <c r="E122" i="56"/>
  <c r="E110" i="56"/>
  <c r="AB494" i="164" l="1"/>
  <c r="BV56" i="164"/>
  <c r="BX56" i="164" s="1"/>
  <c r="BZ56" i="164" s="1"/>
  <c r="CB56" i="164" s="1"/>
  <c r="CF56" i="164" s="1"/>
  <c r="CJ56" i="164" s="1"/>
  <c r="BQ344" i="164"/>
  <c r="BS344" i="164" s="1"/>
  <c r="CC344" i="164" s="1"/>
  <c r="CD344" i="164" s="1"/>
  <c r="AN356" i="164"/>
  <c r="AP356" i="164" s="1"/>
  <c r="AM355" i="164"/>
  <c r="AU355" i="164" s="1"/>
  <c r="CC324" i="164"/>
  <c r="CD324" i="164" s="1"/>
  <c r="AR324" i="164"/>
  <c r="AS324" i="164" s="1"/>
  <c r="AT324" i="164" s="1"/>
  <c r="BP398" i="164"/>
  <c r="BV398" i="164" s="1"/>
  <c r="BX398" i="164" s="1"/>
  <c r="BZ398" i="164" s="1"/>
  <c r="CB398" i="164" s="1"/>
  <c r="CF398" i="164" s="1"/>
  <c r="CJ398" i="164" s="1"/>
  <c r="AI494" i="164"/>
  <c r="CH56" i="164"/>
  <c r="AR56" i="164"/>
  <c r="AS56" i="164" s="1"/>
  <c r="AT56" i="164" s="1"/>
  <c r="AR490" i="164"/>
  <c r="AS490" i="164" s="1"/>
  <c r="AT490" i="164" s="1"/>
  <c r="CC490" i="164"/>
  <c r="CD490" i="164" s="1"/>
  <c r="CH490" i="164"/>
  <c r="A171" i="164"/>
  <c r="BJ170" i="164"/>
  <c r="CK170" i="164" s="1"/>
  <c r="BQ191" i="164"/>
  <c r="BS191" i="164" s="1"/>
  <c r="CG191" i="164" s="1"/>
  <c r="BU191" i="164"/>
  <c r="BW191" i="164" s="1"/>
  <c r="BY191" i="164" s="1"/>
  <c r="CA191" i="164" s="1"/>
  <c r="CE191" i="164" s="1"/>
  <c r="CI191" i="164" s="1"/>
  <c r="AA347" i="164"/>
  <c r="R347" i="164"/>
  <c r="BO345" i="164"/>
  <c r="AW345" i="164"/>
  <c r="BP345" i="164" s="1"/>
  <c r="Z495" i="164"/>
  <c r="AZ495" i="164"/>
  <c r="CX495" i="164"/>
  <c r="K496" i="164"/>
  <c r="L496" i="164" s="1"/>
  <c r="BM347" i="164"/>
  <c r="BD347" i="164"/>
  <c r="CW347" i="164" s="1"/>
  <c r="BE347" i="164"/>
  <c r="BR191" i="164"/>
  <c r="BT191" i="164" s="1"/>
  <c r="BV191" i="164"/>
  <c r="BX191" i="164" s="1"/>
  <c r="BZ191" i="164" s="1"/>
  <c r="CB191" i="164" s="1"/>
  <c r="CF191" i="164" s="1"/>
  <c r="CJ191" i="164" s="1"/>
  <c r="BV326" i="164"/>
  <c r="BX326" i="164" s="1"/>
  <c r="BZ326" i="164" s="1"/>
  <c r="CB326" i="164" s="1"/>
  <c r="CF326" i="164" s="1"/>
  <c r="CJ326" i="164" s="1"/>
  <c r="BR326" i="164"/>
  <c r="BT326" i="164" s="1"/>
  <c r="BQ326" i="164"/>
  <c r="BS326" i="164" s="1"/>
  <c r="BU326" i="164"/>
  <c r="BW326" i="164" s="1"/>
  <c r="BY326" i="164" s="1"/>
  <c r="CA326" i="164" s="1"/>
  <c r="CE326" i="164" s="1"/>
  <c r="CI326" i="164" s="1"/>
  <c r="CH190" i="164"/>
  <c r="CC190" i="164"/>
  <c r="CD190" i="164" s="1"/>
  <c r="AR190" i="164"/>
  <c r="AS190" i="164" s="1"/>
  <c r="AT190" i="164" s="1"/>
  <c r="BT491" i="164"/>
  <c r="BZ491" i="164"/>
  <c r="CB491" i="164"/>
  <c r="CF491" i="164"/>
  <c r="CJ491" i="164" s="1"/>
  <c r="BX491" i="164"/>
  <c r="BV491" i="164"/>
  <c r="BR491" i="164"/>
  <c r="CH343" i="164"/>
  <c r="AR343" i="164"/>
  <c r="AS343" i="164" s="1"/>
  <c r="AT343" i="164" s="1"/>
  <c r="BT344" i="164"/>
  <c r="CF344" i="164"/>
  <c r="CJ344" i="164" s="1"/>
  <c r="BZ344" i="164"/>
  <c r="BR344" i="164"/>
  <c r="BX344" i="164"/>
  <c r="CB344" i="164"/>
  <c r="BV344" i="164"/>
  <c r="AA495" i="164"/>
  <c r="R495" i="164"/>
  <c r="BU398" i="164"/>
  <c r="BW398" i="164" s="1"/>
  <c r="BY398" i="164" s="1"/>
  <c r="CA398" i="164" s="1"/>
  <c r="CE398" i="164" s="1"/>
  <c r="CI398" i="164" s="1"/>
  <c r="BQ398" i="164"/>
  <c r="BS398" i="164" s="1"/>
  <c r="CG398" i="164" s="1"/>
  <c r="BN493" i="164"/>
  <c r="BO493" i="164" s="1"/>
  <c r="BQ492" i="164"/>
  <c r="BS492" i="164" s="1"/>
  <c r="CG492" i="164" s="1"/>
  <c r="BU492" i="164"/>
  <c r="BW492" i="164" s="1"/>
  <c r="BY492" i="164" s="1"/>
  <c r="CA492" i="164" s="1"/>
  <c r="CE492" i="164" s="1"/>
  <c r="CI492" i="164" s="1"/>
  <c r="BD494" i="164"/>
  <c r="CW494" i="164" s="1"/>
  <c r="BE494" i="164"/>
  <c r="BM494" i="164"/>
  <c r="Y496" i="164"/>
  <c r="G497" i="164"/>
  <c r="H497" i="164" s="1"/>
  <c r="P496" i="164"/>
  <c r="AN494" i="164"/>
  <c r="AP494" i="164" s="1"/>
  <c r="AM493" i="164"/>
  <c r="CC343" i="164"/>
  <c r="CD343" i="164" s="1"/>
  <c r="CG343" i="164"/>
  <c r="BN346" i="164"/>
  <c r="AU492" i="164"/>
  <c r="AV492" i="164"/>
  <c r="AW492" i="164" s="1"/>
  <c r="BP492" i="164" s="1"/>
  <c r="AR55" i="164"/>
  <c r="AS55" i="164" s="1"/>
  <c r="AT55" i="164" s="1"/>
  <c r="CC55" i="164"/>
  <c r="CD55" i="164" s="1"/>
  <c r="CH55" i="164"/>
  <c r="CX152" i="164"/>
  <c r="AV152" i="164"/>
  <c r="Z152" i="164"/>
  <c r="AZ152" i="164"/>
  <c r="K349" i="164"/>
  <c r="L349" i="164" s="1"/>
  <c r="Y348" i="164"/>
  <c r="P348" i="164"/>
  <c r="AB346" i="164"/>
  <c r="AI346" i="164" s="1"/>
  <c r="Z348" i="164"/>
  <c r="AV348" i="164"/>
  <c r="Y152" i="164"/>
  <c r="G349" i="164"/>
  <c r="H349" i="164" s="1"/>
  <c r="P152" i="164"/>
  <c r="H545" i="57"/>
  <c r="F545" i="57"/>
  <c r="E544" i="57"/>
  <c r="D544" i="57"/>
  <c r="C544" i="57"/>
  <c r="D543" i="57"/>
  <c r="H487" i="57"/>
  <c r="F487" i="57"/>
  <c r="E486" i="57"/>
  <c r="D486" i="57"/>
  <c r="C486" i="57"/>
  <c r="D485" i="57"/>
  <c r="H473" i="57"/>
  <c r="F473" i="57"/>
  <c r="E472" i="57"/>
  <c r="D472" i="57"/>
  <c r="C472" i="57"/>
  <c r="D471" i="57"/>
  <c r="H466" i="57"/>
  <c r="F466" i="57"/>
  <c r="E465" i="57"/>
  <c r="D465" i="57"/>
  <c r="C465" i="57"/>
  <c r="D464" i="57"/>
  <c r="H459" i="57"/>
  <c r="F459" i="57"/>
  <c r="E458" i="57"/>
  <c r="D458" i="57"/>
  <c r="C458" i="57"/>
  <c r="D457" i="57"/>
  <c r="H452" i="57"/>
  <c r="F452" i="57"/>
  <c r="E451" i="57"/>
  <c r="D451" i="57"/>
  <c r="C451" i="57"/>
  <c r="D450" i="57"/>
  <c r="D33" i="141"/>
  <c r="CC56" i="164" l="1"/>
  <c r="CD56" i="164" s="1"/>
  <c r="CG344" i="164"/>
  <c r="AM356" i="164"/>
  <c r="AU356" i="164" s="1"/>
  <c r="AN357" i="164"/>
  <c r="AP357" i="164" s="1"/>
  <c r="BR398" i="164"/>
  <c r="BT398" i="164" s="1"/>
  <c r="CH398" i="164" s="1"/>
  <c r="CC191" i="164"/>
  <c r="CD191" i="164" s="1"/>
  <c r="CH191" i="164"/>
  <c r="AR191" i="164"/>
  <c r="AS191" i="164" s="1"/>
  <c r="AT191" i="164" s="1"/>
  <c r="AB347" i="164"/>
  <c r="AI347" i="164" s="1"/>
  <c r="BU493" i="164"/>
  <c r="BW493" i="164" s="1"/>
  <c r="BY493" i="164" s="1"/>
  <c r="CA493" i="164" s="1"/>
  <c r="CE493" i="164" s="1"/>
  <c r="CI493" i="164" s="1"/>
  <c r="BQ493" i="164"/>
  <c r="BS493" i="164" s="1"/>
  <c r="CG493" i="164" s="1"/>
  <c r="AR491" i="164"/>
  <c r="AS491" i="164" s="1"/>
  <c r="AT491" i="164" s="1"/>
  <c r="CC491" i="164"/>
  <c r="CD491" i="164" s="1"/>
  <c r="CH491" i="164"/>
  <c r="BN347" i="164"/>
  <c r="AA152" i="164"/>
  <c r="R152" i="164"/>
  <c r="BR492" i="164"/>
  <c r="BT492" i="164" s="1"/>
  <c r="BV492" i="164"/>
  <c r="BX492" i="164" s="1"/>
  <c r="BZ492" i="164" s="1"/>
  <c r="CB492" i="164" s="1"/>
  <c r="CF492" i="164" s="1"/>
  <c r="CJ492" i="164" s="1"/>
  <c r="CH326" i="164"/>
  <c r="AR326" i="164"/>
  <c r="AS326" i="164" s="1"/>
  <c r="AT326" i="164" s="1"/>
  <c r="AU493" i="164"/>
  <c r="AV493" i="164"/>
  <c r="AW493" i="164" s="1"/>
  <c r="BP493" i="164" s="1"/>
  <c r="AZ496" i="164"/>
  <c r="Z496" i="164"/>
  <c r="CX496" i="164"/>
  <c r="K497" i="164"/>
  <c r="L497" i="164" s="1"/>
  <c r="BJ171" i="164"/>
  <c r="CK171" i="164" s="1"/>
  <c r="A172" i="164"/>
  <c r="AV349" i="164"/>
  <c r="K350" i="164"/>
  <c r="L350" i="164" s="1"/>
  <c r="Z349" i="164"/>
  <c r="AN495" i="164"/>
  <c r="AP495" i="164" s="1"/>
  <c r="AM494" i="164"/>
  <c r="CH344" i="164"/>
  <c r="AR344" i="164"/>
  <c r="AS344" i="164" s="1"/>
  <c r="AT344" i="164" s="1"/>
  <c r="BD152" i="164"/>
  <c r="CW152" i="164" s="1"/>
  <c r="BE152" i="164"/>
  <c r="BM152" i="164"/>
  <c r="Y497" i="164"/>
  <c r="G498" i="164"/>
  <c r="H498" i="164" s="1"/>
  <c r="P497" i="164"/>
  <c r="CC326" i="164"/>
  <c r="CD326" i="164" s="1"/>
  <c r="CG326" i="164"/>
  <c r="BM495" i="164"/>
  <c r="BD495" i="164"/>
  <c r="CW495" i="164" s="1"/>
  <c r="BE495" i="164"/>
  <c r="Y349" i="164"/>
  <c r="G350" i="164"/>
  <c r="H350" i="164" s="1"/>
  <c r="P349" i="164"/>
  <c r="BD348" i="164"/>
  <c r="CW348" i="164" s="1"/>
  <c r="BM348" i="164"/>
  <c r="BE348" i="164"/>
  <c r="AA348" i="164"/>
  <c r="R348" i="164"/>
  <c r="AA496" i="164"/>
  <c r="R496" i="164"/>
  <c r="AB495" i="164"/>
  <c r="AI495" i="164" s="1"/>
  <c r="BR345" i="164"/>
  <c r="BT345" i="164" s="1"/>
  <c r="BV345" i="164"/>
  <c r="BX345" i="164" s="1"/>
  <c r="BZ345" i="164" s="1"/>
  <c r="CB345" i="164" s="1"/>
  <c r="CF345" i="164" s="1"/>
  <c r="CJ345" i="164" s="1"/>
  <c r="BO346" i="164"/>
  <c r="AW346" i="164"/>
  <c r="BP346" i="164" s="1"/>
  <c r="BN494" i="164"/>
  <c r="BO494" i="164" s="1"/>
  <c r="BU345" i="164"/>
  <c r="BW345" i="164" s="1"/>
  <c r="BY345" i="164" s="1"/>
  <c r="CA345" i="164" s="1"/>
  <c r="CE345" i="164" s="1"/>
  <c r="CI345" i="164" s="1"/>
  <c r="BQ345" i="164"/>
  <c r="BS345" i="164" s="1"/>
  <c r="I544" i="57"/>
  <c r="I545" i="57" s="1"/>
  <c r="X69" i="56" s="1"/>
  <c r="I451" i="57"/>
  <c r="I452" i="57" s="1"/>
  <c r="X56" i="56" s="1"/>
  <c r="I486" i="57"/>
  <c r="I487" i="57" s="1"/>
  <c r="X61" i="56" s="1"/>
  <c r="I465" i="57"/>
  <c r="I466" i="57" s="1"/>
  <c r="X58" i="56" s="1"/>
  <c r="I458" i="57"/>
  <c r="I459" i="57" s="1"/>
  <c r="X57" i="56" s="1"/>
  <c r="I472" i="57"/>
  <c r="I473" i="57" s="1"/>
  <c r="X59" i="56" s="1"/>
  <c r="AB496" i="164" l="1"/>
  <c r="AB152" i="164"/>
  <c r="AI152" i="164" s="1"/>
  <c r="AW152" i="164" s="1"/>
  <c r="AN358" i="164"/>
  <c r="AP358" i="164" s="1"/>
  <c r="AM357" i="164"/>
  <c r="AU357" i="164" s="1"/>
  <c r="CC398" i="164"/>
  <c r="CD398" i="164" s="1"/>
  <c r="AR398" i="164"/>
  <c r="AS398" i="164" s="1"/>
  <c r="AT398" i="164" s="1"/>
  <c r="AI496" i="164"/>
  <c r="BN348" i="164"/>
  <c r="CC345" i="164"/>
  <c r="CD345" i="164" s="1"/>
  <c r="CG345" i="164"/>
  <c r="AA349" i="164"/>
  <c r="R349" i="164"/>
  <c r="BN152" i="164"/>
  <c r="CH492" i="164"/>
  <c r="CC492" i="164"/>
  <c r="CD492" i="164" s="1"/>
  <c r="AR492" i="164"/>
  <c r="AS492" i="164" s="1"/>
  <c r="AT492" i="164" s="1"/>
  <c r="AZ497" i="164"/>
  <c r="K498" i="164"/>
  <c r="L498" i="164" s="1"/>
  <c r="CX497" i="164"/>
  <c r="Z497" i="164"/>
  <c r="BJ172" i="164"/>
  <c r="CK172" i="164" s="1"/>
  <c r="A174" i="164"/>
  <c r="BN495" i="164"/>
  <c r="BO495" i="164" s="1"/>
  <c r="AU494" i="164"/>
  <c r="AV494" i="164"/>
  <c r="AW494" i="164" s="1"/>
  <c r="BP494" i="164" s="1"/>
  <c r="BU346" i="164"/>
  <c r="BW346" i="164" s="1"/>
  <c r="BY346" i="164" s="1"/>
  <c r="CA346" i="164" s="1"/>
  <c r="CE346" i="164" s="1"/>
  <c r="CI346" i="164" s="1"/>
  <c r="BQ346" i="164"/>
  <c r="BS346" i="164" s="1"/>
  <c r="AB348" i="164"/>
  <c r="AI348" i="164" s="1"/>
  <c r="AM495" i="164"/>
  <c r="AN496" i="164"/>
  <c r="AP496" i="164" s="1"/>
  <c r="AW347" i="164"/>
  <c r="BP347" i="164" s="1"/>
  <c r="BO347" i="164"/>
  <c r="Y350" i="164"/>
  <c r="G351" i="164"/>
  <c r="H351" i="164" s="1"/>
  <c r="P350" i="164"/>
  <c r="BU494" i="164"/>
  <c r="BW494" i="164" s="1"/>
  <c r="BY494" i="164" s="1"/>
  <c r="CA494" i="164" s="1"/>
  <c r="CE494" i="164" s="1"/>
  <c r="CI494" i="164" s="1"/>
  <c r="BQ494" i="164"/>
  <c r="BS494" i="164" s="1"/>
  <c r="CG494" i="164" s="1"/>
  <c r="BZ346" i="164"/>
  <c r="BR346" i="164"/>
  <c r="BV346" i="164"/>
  <c r="CB346" i="164"/>
  <c r="CF346" i="164"/>
  <c r="CJ346" i="164" s="1"/>
  <c r="BT346" i="164"/>
  <c r="BX346" i="164"/>
  <c r="AA497" i="164"/>
  <c r="R497" i="164"/>
  <c r="AB497" i="164" s="1"/>
  <c r="BE496" i="164"/>
  <c r="BD496" i="164"/>
  <c r="CW496" i="164" s="1"/>
  <c r="BM496" i="164"/>
  <c r="G499" i="164"/>
  <c r="H499" i="164" s="1"/>
  <c r="Y498" i="164"/>
  <c r="P498" i="164"/>
  <c r="BE349" i="164"/>
  <c r="BM349" i="164"/>
  <c r="BD349" i="164"/>
  <c r="CW349" i="164" s="1"/>
  <c r="BV493" i="164"/>
  <c r="BX493" i="164" s="1"/>
  <c r="BZ493" i="164" s="1"/>
  <c r="CB493" i="164" s="1"/>
  <c r="CF493" i="164" s="1"/>
  <c r="CJ493" i="164" s="1"/>
  <c r="BR493" i="164"/>
  <c r="BT493" i="164" s="1"/>
  <c r="CH345" i="164"/>
  <c r="AR345" i="164"/>
  <c r="AS345" i="164" s="1"/>
  <c r="AT345" i="164" s="1"/>
  <c r="Z350" i="164"/>
  <c r="AV350" i="164"/>
  <c r="K351" i="164"/>
  <c r="L351" i="164" s="1"/>
  <c r="C952" i="57"/>
  <c r="C951" i="57"/>
  <c r="C879" i="57"/>
  <c r="C878" i="57"/>
  <c r="G881" i="57"/>
  <c r="F881" i="57"/>
  <c r="D879" i="57"/>
  <c r="D878" i="57"/>
  <c r="H494" i="57"/>
  <c r="F494" i="57"/>
  <c r="E493" i="57"/>
  <c r="D493" i="57"/>
  <c r="C493" i="57"/>
  <c r="E492" i="57"/>
  <c r="G492" i="57" s="1"/>
  <c r="G494" i="57" s="1"/>
  <c r="R62" i="56" s="1"/>
  <c r="D492" i="57"/>
  <c r="E543" i="57"/>
  <c r="G543" i="57" s="1"/>
  <c r="G545" i="57" s="1"/>
  <c r="C863" i="57"/>
  <c r="C862" i="57"/>
  <c r="E485" i="57"/>
  <c r="G485" i="57" s="1"/>
  <c r="G487" i="57" s="1"/>
  <c r="AB349" i="164" l="1"/>
  <c r="AI349" i="164" s="1"/>
  <c r="AW349" i="164" s="1"/>
  <c r="AM358" i="164"/>
  <c r="AU358" i="164" s="1"/>
  <c r="AN359" i="164"/>
  <c r="AP359" i="164" s="1"/>
  <c r="BO152" i="164"/>
  <c r="BQ152" i="164" s="1"/>
  <c r="BS152" i="164" s="1"/>
  <c r="CG152" i="164" s="1"/>
  <c r="BP152" i="164"/>
  <c r="BR152" i="164" s="1"/>
  <c r="BT152" i="164" s="1"/>
  <c r="AI497" i="164"/>
  <c r="CC493" i="164"/>
  <c r="CD493" i="164" s="1"/>
  <c r="CH493" i="164"/>
  <c r="AR493" i="164"/>
  <c r="AS493" i="164" s="1"/>
  <c r="AT493" i="164" s="1"/>
  <c r="AA498" i="164"/>
  <c r="R498" i="164"/>
  <c r="CH346" i="164"/>
  <c r="AR346" i="164"/>
  <c r="AS346" i="164" s="1"/>
  <c r="AT346" i="164" s="1"/>
  <c r="BQ347" i="164"/>
  <c r="BS347" i="164" s="1"/>
  <c r="BU347" i="164"/>
  <c r="BW347" i="164" s="1"/>
  <c r="BY347" i="164" s="1"/>
  <c r="CA347" i="164" s="1"/>
  <c r="CE347" i="164" s="1"/>
  <c r="CI347" i="164" s="1"/>
  <c r="BU495" i="164"/>
  <c r="BW495" i="164" s="1"/>
  <c r="BY495" i="164" s="1"/>
  <c r="CA495" i="164" s="1"/>
  <c r="CE495" i="164" s="1"/>
  <c r="CI495" i="164" s="1"/>
  <c r="BQ495" i="164"/>
  <c r="BS495" i="164" s="1"/>
  <c r="CG495" i="164" s="1"/>
  <c r="BR347" i="164"/>
  <c r="BT347" i="164" s="1"/>
  <c r="BV347" i="164"/>
  <c r="BX347" i="164" s="1"/>
  <c r="BZ347" i="164" s="1"/>
  <c r="CB347" i="164" s="1"/>
  <c r="CF347" i="164" s="1"/>
  <c r="CJ347" i="164" s="1"/>
  <c r="AU495" i="164"/>
  <c r="AV495" i="164"/>
  <c r="AW495" i="164" s="1"/>
  <c r="BP495" i="164" s="1"/>
  <c r="AW348" i="164"/>
  <c r="BP348" i="164" s="1"/>
  <c r="BO348" i="164"/>
  <c r="CG346" i="164"/>
  <c r="CC346" i="164"/>
  <c r="CD346" i="164" s="1"/>
  <c r="AM496" i="164"/>
  <c r="AN497" i="164"/>
  <c r="AP497" i="164" s="1"/>
  <c r="BN496" i="164"/>
  <c r="BO496" i="164" s="1"/>
  <c r="G500" i="164"/>
  <c r="H500" i="164" s="1"/>
  <c r="Y499" i="164"/>
  <c r="P499" i="164"/>
  <c r="CB494" i="164"/>
  <c r="CF494" i="164"/>
  <c r="CJ494" i="164" s="1"/>
  <c r="BT494" i="164"/>
  <c r="BV494" i="164"/>
  <c r="BZ494" i="164"/>
  <c r="BX494" i="164"/>
  <c r="BR494" i="164"/>
  <c r="Z498" i="164"/>
  <c r="AZ498" i="164"/>
  <c r="K499" i="164"/>
  <c r="L499" i="164" s="1"/>
  <c r="CX498" i="164"/>
  <c r="Z351" i="164"/>
  <c r="K352" i="164"/>
  <c r="L352" i="164" s="1"/>
  <c r="AV351" i="164"/>
  <c r="BJ174" i="164"/>
  <c r="CK174" i="164" s="1"/>
  <c r="A176" i="164"/>
  <c r="AA350" i="164"/>
  <c r="R350" i="164"/>
  <c r="BN349" i="164"/>
  <c r="BE497" i="164"/>
  <c r="BM497" i="164"/>
  <c r="BD497" i="164"/>
  <c r="CW497" i="164" s="1"/>
  <c r="G352" i="164"/>
  <c r="H352" i="164" s="1"/>
  <c r="Y351" i="164"/>
  <c r="P351" i="164"/>
  <c r="BD350" i="164"/>
  <c r="CW350" i="164" s="1"/>
  <c r="BM350" i="164"/>
  <c r="BE350" i="164"/>
  <c r="B488" i="57"/>
  <c r="F61" i="56" s="1"/>
  <c r="R61" i="56"/>
  <c r="B546" i="57"/>
  <c r="F69" i="56" s="1"/>
  <c r="R69" i="56"/>
  <c r="E464" i="57"/>
  <c r="G464" i="57" s="1"/>
  <c r="G466" i="57" s="1"/>
  <c r="E450" i="57"/>
  <c r="G450" i="57" s="1"/>
  <c r="G452" i="57" s="1"/>
  <c r="E457" i="57"/>
  <c r="G457" i="57" s="1"/>
  <c r="G459" i="57" s="1"/>
  <c r="E471" i="57"/>
  <c r="G471" i="57" s="1"/>
  <c r="G473" i="57" s="1"/>
  <c r="I493" i="57"/>
  <c r="I494" i="57" s="1"/>
  <c r="BU152" i="164" l="1"/>
  <c r="BW152" i="164" s="1"/>
  <c r="BY152" i="164" s="1"/>
  <c r="CA152" i="164" s="1"/>
  <c r="CE152" i="164" s="1"/>
  <c r="CI152" i="164" s="1"/>
  <c r="BO349" i="164"/>
  <c r="BU349" i="164" s="1"/>
  <c r="BW349" i="164" s="1"/>
  <c r="BY349" i="164" s="1"/>
  <c r="CA349" i="164" s="1"/>
  <c r="CE349" i="164" s="1"/>
  <c r="CI349" i="164" s="1"/>
  <c r="AM359" i="164"/>
  <c r="AU359" i="164" s="1"/>
  <c r="AN360" i="164"/>
  <c r="AP360" i="164" s="1"/>
  <c r="BV152" i="164"/>
  <c r="BX152" i="164" s="1"/>
  <c r="BZ152" i="164" s="1"/>
  <c r="CB152" i="164" s="1"/>
  <c r="CF152" i="164" s="1"/>
  <c r="CJ152" i="164" s="1"/>
  <c r="CH152" i="164"/>
  <c r="AR152" i="164"/>
  <c r="AS152" i="164" s="1"/>
  <c r="AT152" i="164" s="1"/>
  <c r="BD351" i="164"/>
  <c r="CW351" i="164" s="1"/>
  <c r="BE351" i="164"/>
  <c r="BM351" i="164"/>
  <c r="CH494" i="164"/>
  <c r="CC494" i="164"/>
  <c r="CD494" i="164" s="1"/>
  <c r="AR494" i="164"/>
  <c r="AS494" i="164" s="1"/>
  <c r="AT494" i="164" s="1"/>
  <c r="AU496" i="164"/>
  <c r="AV496" i="164"/>
  <c r="AW496" i="164" s="1"/>
  <c r="BP496" i="164" s="1"/>
  <c r="AB498" i="164"/>
  <c r="AI498" i="164" s="1"/>
  <c r="CH347" i="164"/>
  <c r="AR347" i="164"/>
  <c r="AS347" i="164" s="1"/>
  <c r="AT347" i="164" s="1"/>
  <c r="AA499" i="164"/>
  <c r="R499" i="164"/>
  <c r="Y500" i="164"/>
  <c r="P500" i="164"/>
  <c r="G501" i="164"/>
  <c r="H501" i="164" s="1"/>
  <c r="BQ348" i="164"/>
  <c r="BS348" i="164" s="1"/>
  <c r="BU348" i="164"/>
  <c r="BW348" i="164" s="1"/>
  <c r="BY348" i="164" s="1"/>
  <c r="CA348" i="164" s="1"/>
  <c r="CE348" i="164" s="1"/>
  <c r="CI348" i="164" s="1"/>
  <c r="BJ176" i="164"/>
  <c r="CK176" i="164" s="1"/>
  <c r="A178" i="164"/>
  <c r="BM498" i="164"/>
  <c r="BE498" i="164"/>
  <c r="BD498" i="164"/>
  <c r="CW498" i="164" s="1"/>
  <c r="BV348" i="164"/>
  <c r="BX348" i="164" s="1"/>
  <c r="BZ348" i="164" s="1"/>
  <c r="CB348" i="164" s="1"/>
  <c r="CF348" i="164" s="1"/>
  <c r="CJ348" i="164" s="1"/>
  <c r="BR348" i="164"/>
  <c r="BT348" i="164" s="1"/>
  <c r="BN350" i="164"/>
  <c r="AB350" i="164"/>
  <c r="AI350" i="164" s="1"/>
  <c r="Y352" i="164"/>
  <c r="G353" i="164"/>
  <c r="H353" i="164" s="1"/>
  <c r="P352" i="164"/>
  <c r="BP349" i="164"/>
  <c r="BR495" i="164"/>
  <c r="BT495" i="164" s="1"/>
  <c r="BV495" i="164"/>
  <c r="BX495" i="164" s="1"/>
  <c r="BZ495" i="164" s="1"/>
  <c r="CB495" i="164" s="1"/>
  <c r="CF495" i="164" s="1"/>
  <c r="CJ495" i="164" s="1"/>
  <c r="CC347" i="164"/>
  <c r="CD347" i="164" s="1"/>
  <c r="CG347" i="164"/>
  <c r="Z499" i="164"/>
  <c r="CX499" i="164"/>
  <c r="AZ499" i="164"/>
  <c r="K500" i="164"/>
  <c r="L500" i="164" s="1"/>
  <c r="AA351" i="164"/>
  <c r="R351" i="164"/>
  <c r="AB351" i="164" s="1"/>
  <c r="AI351" i="164" s="1"/>
  <c r="BN497" i="164"/>
  <c r="BO497" i="164" s="1"/>
  <c r="CX352" i="164"/>
  <c r="AV352" i="164"/>
  <c r="K353" i="164"/>
  <c r="L353" i="164" s="1"/>
  <c r="Z352" i="164"/>
  <c r="AZ352" i="164"/>
  <c r="BQ496" i="164"/>
  <c r="BS496" i="164" s="1"/>
  <c r="CG496" i="164" s="1"/>
  <c r="BU496" i="164"/>
  <c r="BW496" i="164" s="1"/>
  <c r="BY496" i="164" s="1"/>
  <c r="CA496" i="164" s="1"/>
  <c r="CE496" i="164" s="1"/>
  <c r="CI496" i="164" s="1"/>
  <c r="AM497" i="164"/>
  <c r="AN498" i="164"/>
  <c r="AP498" i="164" s="1"/>
  <c r="B460" i="57"/>
  <c r="F57" i="56" s="1"/>
  <c r="R57" i="56"/>
  <c r="B474" i="57"/>
  <c r="F59" i="56" s="1"/>
  <c r="R59" i="56"/>
  <c r="B467" i="57"/>
  <c r="F58" i="56" s="1"/>
  <c r="R58" i="56"/>
  <c r="G69" i="56"/>
  <c r="AB69" i="56"/>
  <c r="B453" i="57"/>
  <c r="F56" i="56" s="1"/>
  <c r="R56" i="56"/>
  <c r="B495" i="57"/>
  <c r="F62" i="56" s="1"/>
  <c r="X62" i="56"/>
  <c r="G61" i="56"/>
  <c r="AB61" i="56"/>
  <c r="AD61" i="56" s="1"/>
  <c r="AB499" i="164" l="1"/>
  <c r="BQ349" i="164"/>
  <c r="BS349" i="164" s="1"/>
  <c r="CC349" i="164" s="1"/>
  <c r="CD349" i="164" s="1"/>
  <c r="AM360" i="164"/>
  <c r="AU360" i="164" s="1"/>
  <c r="AN361" i="164"/>
  <c r="AP361" i="164" s="1"/>
  <c r="CC152" i="164"/>
  <c r="CD152" i="164" s="1"/>
  <c r="S61" i="56"/>
  <c r="I61" i="56" s="1"/>
  <c r="CH348" i="164"/>
  <c r="AR348" i="164"/>
  <c r="AS348" i="164" s="1"/>
  <c r="AT348" i="164" s="1"/>
  <c r="CH495" i="164"/>
  <c r="CC495" i="164"/>
  <c r="CD495" i="164" s="1"/>
  <c r="AR495" i="164"/>
  <c r="AS495" i="164" s="1"/>
  <c r="AT495" i="164" s="1"/>
  <c r="AA352" i="164"/>
  <c r="R352" i="164"/>
  <c r="AA500" i="164"/>
  <c r="R500" i="164"/>
  <c r="Y501" i="164"/>
  <c r="P501" i="164"/>
  <c r="G502" i="164"/>
  <c r="H502" i="164" s="1"/>
  <c r="BN351" i="164"/>
  <c r="BO351" i="164" s="1"/>
  <c r="Y353" i="164"/>
  <c r="P353" i="164"/>
  <c r="G354" i="164"/>
  <c r="H354" i="164" s="1"/>
  <c r="AI499" i="164"/>
  <c r="AV353" i="164"/>
  <c r="AZ353" i="164"/>
  <c r="CX353" i="164"/>
  <c r="Z353" i="164"/>
  <c r="K354" i="164"/>
  <c r="L354" i="164" s="1"/>
  <c r="BE499" i="164"/>
  <c r="BM499" i="164"/>
  <c r="BD499" i="164"/>
  <c r="CW499" i="164" s="1"/>
  <c r="BQ497" i="164"/>
  <c r="BS497" i="164" s="1"/>
  <c r="CG497" i="164" s="1"/>
  <c r="BU497" i="164"/>
  <c r="BW497" i="164" s="1"/>
  <c r="BY497" i="164" s="1"/>
  <c r="CA497" i="164" s="1"/>
  <c r="CE497" i="164" s="1"/>
  <c r="CI497" i="164" s="1"/>
  <c r="AW351" i="164"/>
  <c r="BO350" i="164"/>
  <c r="AW350" i="164"/>
  <c r="BP350" i="164" s="1"/>
  <c r="BN498" i="164"/>
  <c r="BO498" i="164" s="1"/>
  <c r="BM352" i="164"/>
  <c r="BE352" i="164"/>
  <c r="BD352" i="164"/>
  <c r="CW352" i="164" s="1"/>
  <c r="CG348" i="164"/>
  <c r="CC348" i="164"/>
  <c r="CD348" i="164" s="1"/>
  <c r="BV349" i="164"/>
  <c r="BX349" i="164" s="1"/>
  <c r="BZ349" i="164" s="1"/>
  <c r="CB349" i="164" s="1"/>
  <c r="CF349" i="164" s="1"/>
  <c r="CJ349" i="164" s="1"/>
  <c r="BR349" i="164"/>
  <c r="BT349" i="164" s="1"/>
  <c r="AN499" i="164"/>
  <c r="AP499" i="164" s="1"/>
  <c r="AM498" i="164"/>
  <c r="AU497" i="164"/>
  <c r="AV497" i="164"/>
  <c r="AW497" i="164" s="1"/>
  <c r="BP497" i="164" s="1"/>
  <c r="A180" i="164"/>
  <c r="BJ178" i="164"/>
  <c r="CK178" i="164" s="1"/>
  <c r="AZ500" i="164"/>
  <c r="Z500" i="164"/>
  <c r="CX500" i="164"/>
  <c r="K501" i="164"/>
  <c r="L501" i="164" s="1"/>
  <c r="BR496" i="164"/>
  <c r="BT496" i="164" s="1"/>
  <c r="BV496" i="164"/>
  <c r="BX496" i="164" s="1"/>
  <c r="BZ496" i="164" s="1"/>
  <c r="CB496" i="164" s="1"/>
  <c r="CF496" i="164" s="1"/>
  <c r="CJ496" i="164" s="1"/>
  <c r="U69" i="56"/>
  <c r="J69" i="56" s="1"/>
  <c r="W69" i="56"/>
  <c r="K69" i="56" s="1"/>
  <c r="AA69" i="56"/>
  <c r="M69" i="56" s="1"/>
  <c r="Y69" i="56"/>
  <c r="L69" i="56" s="1"/>
  <c r="AD69" i="56"/>
  <c r="G58" i="56"/>
  <c r="AB58" i="56"/>
  <c r="AD58" i="56" s="1"/>
  <c r="G56" i="56"/>
  <c r="AB56" i="56"/>
  <c r="U61" i="56"/>
  <c r="J61" i="56" s="1"/>
  <c r="W61" i="56"/>
  <c r="K61" i="56" s="1"/>
  <c r="AA61" i="56"/>
  <c r="M61" i="56" s="1"/>
  <c r="Y61" i="56"/>
  <c r="L61" i="56" s="1"/>
  <c r="S69" i="56"/>
  <c r="I69" i="56" s="1"/>
  <c r="G59" i="56"/>
  <c r="AB59" i="56"/>
  <c r="S59" i="56" s="1"/>
  <c r="I59" i="56" s="1"/>
  <c r="G62" i="56"/>
  <c r="AB62" i="56"/>
  <c r="Y62" i="56" s="1"/>
  <c r="L62" i="56" s="1"/>
  <c r="G57" i="56"/>
  <c r="AB57" i="56"/>
  <c r="E31" i="56"/>
  <c r="CG349" i="164" l="1"/>
  <c r="AM361" i="164"/>
  <c r="AU361" i="164" s="1"/>
  <c r="AN362" i="164"/>
  <c r="AP362" i="164" s="1"/>
  <c r="AB500" i="164"/>
  <c r="BP351" i="164"/>
  <c r="BV351" i="164" s="1"/>
  <c r="BX351" i="164" s="1"/>
  <c r="BZ351" i="164" s="1"/>
  <c r="CB351" i="164" s="1"/>
  <c r="CF351" i="164" s="1"/>
  <c r="CJ351" i="164" s="1"/>
  <c r="N69" i="56"/>
  <c r="AI500" i="164"/>
  <c r="N61" i="56"/>
  <c r="CC496" i="164"/>
  <c r="CD496" i="164" s="1"/>
  <c r="CH496" i="164"/>
  <c r="AR496" i="164"/>
  <c r="AS496" i="164" s="1"/>
  <c r="AT496" i="164" s="1"/>
  <c r="AA501" i="164"/>
  <c r="R501" i="164"/>
  <c r="BQ351" i="164"/>
  <c r="BS351" i="164" s="1"/>
  <c r="BU351" i="164"/>
  <c r="BW351" i="164" s="1"/>
  <c r="BY351" i="164" s="1"/>
  <c r="CA351" i="164" s="1"/>
  <c r="CE351" i="164" s="1"/>
  <c r="CI351" i="164" s="1"/>
  <c r="BM353" i="164"/>
  <c r="BE353" i="164"/>
  <c r="BD353" i="164"/>
  <c r="CW353" i="164" s="1"/>
  <c r="Y354" i="164"/>
  <c r="G355" i="164"/>
  <c r="H355" i="164" s="1"/>
  <c r="P354" i="164"/>
  <c r="AB352" i="164"/>
  <c r="AI352" i="164" s="1"/>
  <c r="BV497" i="164"/>
  <c r="CB497" i="164"/>
  <c r="BR497" i="164"/>
  <c r="BT497" i="164"/>
  <c r="BX497" i="164"/>
  <c r="CF497" i="164"/>
  <c r="CJ497" i="164" s="1"/>
  <c r="BZ497" i="164"/>
  <c r="AA353" i="164"/>
  <c r="R353" i="164"/>
  <c r="CH349" i="164"/>
  <c r="AR349" i="164"/>
  <c r="AS349" i="164" s="1"/>
  <c r="AT349" i="164" s="1"/>
  <c r="BU498" i="164"/>
  <c r="BW498" i="164" s="1"/>
  <c r="BY498" i="164" s="1"/>
  <c r="CA498" i="164" s="1"/>
  <c r="CE498" i="164" s="1"/>
  <c r="CI498" i="164" s="1"/>
  <c r="BQ498" i="164"/>
  <c r="BS498" i="164" s="1"/>
  <c r="CG498" i="164" s="1"/>
  <c r="A182" i="164"/>
  <c r="BJ180" i="164"/>
  <c r="CK180" i="164" s="1"/>
  <c r="AU498" i="164"/>
  <c r="AV498" i="164"/>
  <c r="AW498" i="164" s="1"/>
  <c r="BP498" i="164" s="1"/>
  <c r="Z501" i="164"/>
  <c r="AZ501" i="164"/>
  <c r="CX501" i="164"/>
  <c r="K502" i="164"/>
  <c r="L502" i="164" s="1"/>
  <c r="BN352" i="164"/>
  <c r="BN499" i="164"/>
  <c r="BO499" i="164" s="1"/>
  <c r="AM499" i="164"/>
  <c r="AN500" i="164"/>
  <c r="AP500" i="164" s="1"/>
  <c r="BD500" i="164"/>
  <c r="CW500" i="164" s="1"/>
  <c r="BM500" i="164"/>
  <c r="BE500" i="164"/>
  <c r="AV354" i="164"/>
  <c r="CX354" i="164"/>
  <c r="Z354" i="164"/>
  <c r="AZ354" i="164"/>
  <c r="K355" i="164"/>
  <c r="L355" i="164" s="1"/>
  <c r="BQ350" i="164"/>
  <c r="BS350" i="164" s="1"/>
  <c r="BU350" i="164"/>
  <c r="BW350" i="164" s="1"/>
  <c r="BY350" i="164" s="1"/>
  <c r="CA350" i="164" s="1"/>
  <c r="CE350" i="164" s="1"/>
  <c r="CI350" i="164" s="1"/>
  <c r="BV350" i="164"/>
  <c r="BX350" i="164" s="1"/>
  <c r="BZ350" i="164" s="1"/>
  <c r="CB350" i="164" s="1"/>
  <c r="CF350" i="164" s="1"/>
  <c r="CJ350" i="164" s="1"/>
  <c r="BR350" i="164"/>
  <c r="BT350" i="164" s="1"/>
  <c r="G503" i="164"/>
  <c r="H503" i="164" s="1"/>
  <c r="Y502" i="164"/>
  <c r="P502" i="164"/>
  <c r="S58" i="56"/>
  <c r="I58" i="56" s="1"/>
  <c r="AD62" i="56"/>
  <c r="W56" i="56"/>
  <c r="K56" i="56" s="1"/>
  <c r="AA56" i="56"/>
  <c r="M56" i="56" s="1"/>
  <c r="U56" i="56"/>
  <c r="J56" i="56" s="1"/>
  <c r="Y56" i="56"/>
  <c r="L56" i="56" s="1"/>
  <c r="U62" i="56"/>
  <c r="J62" i="56" s="1"/>
  <c r="W62" i="56"/>
  <c r="K62" i="56" s="1"/>
  <c r="AA62" i="56"/>
  <c r="M62" i="56" s="1"/>
  <c r="S62" i="56"/>
  <c r="I62" i="56" s="1"/>
  <c r="U57" i="56"/>
  <c r="J57" i="56" s="1"/>
  <c r="W57" i="56"/>
  <c r="K57" i="56" s="1"/>
  <c r="AA57" i="56"/>
  <c r="M57" i="56" s="1"/>
  <c r="Y57" i="56"/>
  <c r="L57" i="56" s="1"/>
  <c r="S57" i="56"/>
  <c r="I57" i="56" s="1"/>
  <c r="AD57" i="56"/>
  <c r="AA58" i="56"/>
  <c r="M58" i="56" s="1"/>
  <c r="U58" i="56"/>
  <c r="J58" i="56" s="1"/>
  <c r="W58" i="56"/>
  <c r="K58" i="56" s="1"/>
  <c r="Y58" i="56"/>
  <c r="L58" i="56" s="1"/>
  <c r="AD56" i="56"/>
  <c r="S56" i="56"/>
  <c r="I56" i="56" s="1"/>
  <c r="U59" i="56"/>
  <c r="J59" i="56" s="1"/>
  <c r="W59" i="56"/>
  <c r="K59" i="56" s="1"/>
  <c r="AA59" i="56"/>
  <c r="M59" i="56" s="1"/>
  <c r="Y59" i="56"/>
  <c r="L59" i="56" s="1"/>
  <c r="AD59" i="56"/>
  <c r="E26" i="56"/>
  <c r="AB5" i="145"/>
  <c r="AC5" i="145"/>
  <c r="AD5" i="145"/>
  <c r="AE5" i="145"/>
  <c r="AF5" i="145"/>
  <c r="AG5" i="145"/>
  <c r="E7" i="145"/>
  <c r="I7" i="145"/>
  <c r="J7" i="145"/>
  <c r="K7" i="145"/>
  <c r="L7" i="145"/>
  <c r="O7" i="145"/>
  <c r="S7" i="145" s="1"/>
  <c r="P7" i="145"/>
  <c r="T7" i="145" s="1"/>
  <c r="Q7" i="145"/>
  <c r="R7" i="145"/>
  <c r="AX7" i="145" s="1"/>
  <c r="V7" i="145"/>
  <c r="AA7" i="145"/>
  <c r="AL7" i="145"/>
  <c r="AN7" i="145"/>
  <c r="AO7" i="145" s="1"/>
  <c r="AV7" i="145"/>
  <c r="BA7" i="145"/>
  <c r="BC7" i="145"/>
  <c r="BS7" i="145"/>
  <c r="CA7" i="145"/>
  <c r="CB7" i="145"/>
  <c r="CC7" i="145"/>
  <c r="CD7" i="145"/>
  <c r="CE7" i="145"/>
  <c r="CF7" i="145"/>
  <c r="CG7" i="145"/>
  <c r="CH7" i="145"/>
  <c r="CI7" i="145"/>
  <c r="CJ7" i="145"/>
  <c r="CK7" i="145"/>
  <c r="CL7" i="145"/>
  <c r="E8" i="145"/>
  <c r="AL8" i="145" s="1"/>
  <c r="I8" i="145"/>
  <c r="J8" i="145"/>
  <c r="K8" i="145"/>
  <c r="L8" i="145"/>
  <c r="O8" i="145"/>
  <c r="S8" i="145" s="1"/>
  <c r="P8" i="145"/>
  <c r="T8" i="145" s="1"/>
  <c r="Q8" i="145"/>
  <c r="R8" i="145"/>
  <c r="BH8" i="145" s="1"/>
  <c r="AA8" i="145"/>
  <c r="AN8" i="145"/>
  <c r="BT8" i="145" s="1"/>
  <c r="AV8" i="145"/>
  <c r="AX8" i="145"/>
  <c r="BC8" i="145"/>
  <c r="BS8" i="145"/>
  <c r="CA8" i="145"/>
  <c r="CB8" i="145"/>
  <c r="CC8" i="145"/>
  <c r="CD8" i="145"/>
  <c r="CE8" i="145"/>
  <c r="CF8" i="145"/>
  <c r="CG8" i="145"/>
  <c r="CH8" i="145"/>
  <c r="CI8" i="145"/>
  <c r="CJ8" i="145"/>
  <c r="CK8" i="145"/>
  <c r="CL8" i="145"/>
  <c r="E9" i="145"/>
  <c r="AL9" i="145" s="1"/>
  <c r="I9" i="145"/>
  <c r="J9" i="145"/>
  <c r="K9" i="145"/>
  <c r="L9" i="145"/>
  <c r="O9" i="145"/>
  <c r="S9" i="145" s="1"/>
  <c r="P9" i="145"/>
  <c r="T9" i="145" s="1"/>
  <c r="Q9" i="145"/>
  <c r="R9" i="145"/>
  <c r="V9" i="145" s="1"/>
  <c r="AA9" i="145"/>
  <c r="AN9" i="145"/>
  <c r="AO9" i="145" s="1"/>
  <c r="AV9" i="145"/>
  <c r="BC9" i="145"/>
  <c r="BS9" i="145"/>
  <c r="CA9" i="145"/>
  <c r="CB9" i="145"/>
  <c r="CC9" i="145"/>
  <c r="CD9" i="145"/>
  <c r="CE9" i="145"/>
  <c r="CF9" i="145"/>
  <c r="CG9" i="145"/>
  <c r="CH9" i="145"/>
  <c r="CI9" i="145"/>
  <c r="CJ9" i="145"/>
  <c r="CK9" i="145"/>
  <c r="CL9" i="145"/>
  <c r="E10" i="145"/>
  <c r="AL10" i="145" s="1"/>
  <c r="I10" i="145"/>
  <c r="J10" i="145"/>
  <c r="K10" i="145"/>
  <c r="L10" i="145"/>
  <c r="AP10" i="145" s="1"/>
  <c r="O10" i="145"/>
  <c r="S10" i="145" s="1"/>
  <c r="P10" i="145"/>
  <c r="T10" i="145" s="1"/>
  <c r="Q10" i="145"/>
  <c r="R10" i="145"/>
  <c r="BH10" i="145" s="1"/>
  <c r="AA10" i="145"/>
  <c r="AN10" i="145"/>
  <c r="AO10" i="145" s="1"/>
  <c r="AV10" i="145"/>
  <c r="BC10" i="145"/>
  <c r="BS10" i="145"/>
  <c r="CA10" i="145"/>
  <c r="CB10" i="145"/>
  <c r="CC10" i="145"/>
  <c r="CD10" i="145"/>
  <c r="CE10" i="145"/>
  <c r="CF10" i="145"/>
  <c r="CG10" i="145"/>
  <c r="CH10" i="145"/>
  <c r="CI10" i="145"/>
  <c r="CJ10" i="145"/>
  <c r="CK10" i="145"/>
  <c r="CL10" i="145"/>
  <c r="E11" i="145"/>
  <c r="AL11" i="145" s="1"/>
  <c r="I11" i="145"/>
  <c r="J11" i="145"/>
  <c r="K11" i="145"/>
  <c r="L11" i="145"/>
  <c r="BA11" i="145" s="1"/>
  <c r="O11" i="145"/>
  <c r="S11" i="145" s="1"/>
  <c r="P11" i="145"/>
  <c r="Q11" i="145"/>
  <c r="U11" i="145" s="1"/>
  <c r="R11" i="145"/>
  <c r="T11" i="145"/>
  <c r="AA11" i="145"/>
  <c r="AN11" i="145"/>
  <c r="AV11" i="145"/>
  <c r="BC11" i="145"/>
  <c r="BS11" i="145"/>
  <c r="CA11" i="145"/>
  <c r="CB11" i="145"/>
  <c r="CC11" i="145"/>
  <c r="CD11" i="145"/>
  <c r="CE11" i="145"/>
  <c r="CF11" i="145"/>
  <c r="CG11" i="145"/>
  <c r="CH11" i="145"/>
  <c r="CI11" i="145"/>
  <c r="CJ11" i="145"/>
  <c r="CK11" i="145"/>
  <c r="CL11" i="145"/>
  <c r="E12" i="145"/>
  <c r="AL12" i="145" s="1"/>
  <c r="I12" i="145"/>
  <c r="J12" i="145"/>
  <c r="K12" i="145"/>
  <c r="L12" i="145"/>
  <c r="AP12" i="145" s="1"/>
  <c r="O12" i="145"/>
  <c r="S12" i="145" s="1"/>
  <c r="P12" i="145"/>
  <c r="T12" i="145" s="1"/>
  <c r="Q12" i="145"/>
  <c r="R12" i="145"/>
  <c r="AX12" i="145" s="1"/>
  <c r="AA12" i="145"/>
  <c r="AN12" i="145"/>
  <c r="BT12" i="145" s="1"/>
  <c r="AV12" i="145"/>
  <c r="BC12" i="145"/>
  <c r="BS12" i="145"/>
  <c r="CA12" i="145"/>
  <c r="CB12" i="145"/>
  <c r="CC12" i="145"/>
  <c r="CD12" i="145"/>
  <c r="CE12" i="145"/>
  <c r="CF12" i="145"/>
  <c r="CG12" i="145"/>
  <c r="CH12" i="145"/>
  <c r="CI12" i="145"/>
  <c r="CJ12" i="145"/>
  <c r="CK12" i="145"/>
  <c r="CL12" i="145"/>
  <c r="E13" i="145"/>
  <c r="AL13" i="145" s="1"/>
  <c r="I13" i="145"/>
  <c r="J13" i="145"/>
  <c r="K13" i="145"/>
  <c r="L13" i="145"/>
  <c r="BA13" i="145" s="1"/>
  <c r="O13" i="145"/>
  <c r="S13" i="145" s="1"/>
  <c r="P13" i="145"/>
  <c r="T13" i="145" s="1"/>
  <c r="Q13" i="145"/>
  <c r="R13" i="145"/>
  <c r="BH13" i="145" s="1"/>
  <c r="AA13" i="145"/>
  <c r="AN13" i="145"/>
  <c r="AO13" i="145" s="1"/>
  <c r="AV13" i="145"/>
  <c r="BC13" i="145"/>
  <c r="BS13" i="145"/>
  <c r="BT13" i="145"/>
  <c r="CA13" i="145"/>
  <c r="CB13" i="145"/>
  <c r="CC13" i="145"/>
  <c r="CD13" i="145"/>
  <c r="CE13" i="145"/>
  <c r="CF13" i="145"/>
  <c r="CG13" i="145"/>
  <c r="CH13" i="145"/>
  <c r="CI13" i="145"/>
  <c r="CJ13" i="145"/>
  <c r="CK13" i="145"/>
  <c r="CL13" i="145"/>
  <c r="E14" i="145"/>
  <c r="AL14" i="145" s="1"/>
  <c r="I14" i="145"/>
  <c r="Z14" i="145" s="1"/>
  <c r="AI14" i="145" s="1"/>
  <c r="AJ14" i="145" s="1"/>
  <c r="J14" i="145"/>
  <c r="K14" i="145"/>
  <c r="L14" i="145"/>
  <c r="BA14" i="145" s="1"/>
  <c r="O14" i="145"/>
  <c r="S14" i="145" s="1"/>
  <c r="P14" i="145"/>
  <c r="Q14" i="145"/>
  <c r="U14" i="145" s="1"/>
  <c r="R14" i="145"/>
  <c r="T14" i="145"/>
  <c r="AA14" i="145"/>
  <c r="AN14" i="145"/>
  <c r="AP14" i="145"/>
  <c r="AV14" i="145"/>
  <c r="BC14" i="145"/>
  <c r="BS14" i="145"/>
  <c r="CA14" i="145"/>
  <c r="CB14" i="145"/>
  <c r="CC14" i="145"/>
  <c r="CD14" i="145"/>
  <c r="CE14" i="145"/>
  <c r="CF14" i="145"/>
  <c r="CG14" i="145"/>
  <c r="CH14" i="145"/>
  <c r="CI14" i="145"/>
  <c r="CJ14" i="145"/>
  <c r="CK14" i="145"/>
  <c r="CL14" i="145"/>
  <c r="E15" i="145"/>
  <c r="AL15" i="145" s="1"/>
  <c r="I15" i="145"/>
  <c r="J15" i="145"/>
  <c r="K15" i="145"/>
  <c r="L15" i="145"/>
  <c r="AP15" i="145" s="1"/>
  <c r="O15" i="145"/>
  <c r="S15" i="145" s="1"/>
  <c r="P15" i="145"/>
  <c r="T15" i="145" s="1"/>
  <c r="Q15" i="145"/>
  <c r="R15" i="145"/>
  <c r="V15" i="145" s="1"/>
  <c r="AA15" i="145"/>
  <c r="AN15" i="145"/>
  <c r="AO15" i="145" s="1"/>
  <c r="AV15" i="145"/>
  <c r="BC15" i="145"/>
  <c r="BS15" i="145"/>
  <c r="CA15" i="145"/>
  <c r="CB15" i="145"/>
  <c r="CC15" i="145"/>
  <c r="CD15" i="145"/>
  <c r="CE15" i="145"/>
  <c r="CF15" i="145"/>
  <c r="CG15" i="145"/>
  <c r="CH15" i="145"/>
  <c r="CI15" i="145"/>
  <c r="CJ15" i="145"/>
  <c r="CK15" i="145"/>
  <c r="CL15" i="145"/>
  <c r="E16" i="145"/>
  <c r="AL16" i="145" s="1"/>
  <c r="I16" i="145"/>
  <c r="J16" i="145"/>
  <c r="K16" i="145"/>
  <c r="L16" i="145"/>
  <c r="BA16" i="145" s="1"/>
  <c r="O16" i="145"/>
  <c r="S16" i="145" s="1"/>
  <c r="P16" i="145"/>
  <c r="T16" i="145" s="1"/>
  <c r="Q16" i="145"/>
  <c r="R16" i="145"/>
  <c r="AX16" i="145" s="1"/>
  <c r="AA16" i="145"/>
  <c r="AN16" i="145"/>
  <c r="BT16" i="145" s="1"/>
  <c r="AV16" i="145"/>
  <c r="BC16" i="145"/>
  <c r="BS16" i="145"/>
  <c r="CA16" i="145"/>
  <c r="CB16" i="145"/>
  <c r="CC16" i="145"/>
  <c r="CD16" i="145"/>
  <c r="CE16" i="145"/>
  <c r="CF16" i="145"/>
  <c r="CG16" i="145"/>
  <c r="CH16" i="145"/>
  <c r="CI16" i="145"/>
  <c r="CJ16" i="145"/>
  <c r="CK16" i="145"/>
  <c r="CL16" i="145"/>
  <c r="E17" i="145"/>
  <c r="AL17" i="145" s="1"/>
  <c r="I17" i="145"/>
  <c r="J17" i="145"/>
  <c r="K17" i="145"/>
  <c r="L17" i="145"/>
  <c r="O17" i="145"/>
  <c r="S17" i="145" s="1"/>
  <c r="P17" i="145"/>
  <c r="T17" i="145" s="1"/>
  <c r="Q17" i="145"/>
  <c r="R17" i="145"/>
  <c r="V17" i="145" s="1"/>
  <c r="Z17" i="145"/>
  <c r="AA17" i="145"/>
  <c r="AN17" i="145"/>
  <c r="AO17" i="145" s="1"/>
  <c r="AV17" i="145"/>
  <c r="BC17" i="145"/>
  <c r="BS17" i="145"/>
  <c r="CA17" i="145"/>
  <c r="CB17" i="145"/>
  <c r="CC17" i="145"/>
  <c r="CD17" i="145"/>
  <c r="CE17" i="145"/>
  <c r="CF17" i="145"/>
  <c r="CG17" i="145"/>
  <c r="CH17" i="145"/>
  <c r="CI17" i="145"/>
  <c r="CJ17" i="145"/>
  <c r="CK17" i="145"/>
  <c r="CL17" i="145"/>
  <c r="E18" i="145"/>
  <c r="AL18" i="145" s="1"/>
  <c r="I18" i="145"/>
  <c r="J18" i="145"/>
  <c r="K18" i="145"/>
  <c r="L18" i="145"/>
  <c r="O18" i="145"/>
  <c r="S18" i="145" s="1"/>
  <c r="P18" i="145"/>
  <c r="T18" i="145" s="1"/>
  <c r="Q18" i="145"/>
  <c r="R18" i="145"/>
  <c r="AX18" i="145" s="1"/>
  <c r="AA18" i="145"/>
  <c r="AN18" i="145"/>
  <c r="BT18" i="145" s="1"/>
  <c r="AV18" i="145"/>
  <c r="BC18" i="145"/>
  <c r="BS18" i="145"/>
  <c r="CA18" i="145"/>
  <c r="CB18" i="145"/>
  <c r="CC18" i="145"/>
  <c r="CD18" i="145"/>
  <c r="CE18" i="145"/>
  <c r="CF18" i="145"/>
  <c r="CG18" i="145"/>
  <c r="CH18" i="145"/>
  <c r="CI18" i="145"/>
  <c r="CJ18" i="145"/>
  <c r="CK18" i="145"/>
  <c r="CL18" i="145"/>
  <c r="E19" i="145"/>
  <c r="AL19" i="145" s="1"/>
  <c r="I19" i="145"/>
  <c r="J19" i="145"/>
  <c r="K19" i="145"/>
  <c r="L19" i="145"/>
  <c r="BA19" i="145" s="1"/>
  <c r="O19" i="145"/>
  <c r="S19" i="145" s="1"/>
  <c r="P19" i="145"/>
  <c r="Q19" i="145"/>
  <c r="R19" i="145"/>
  <c r="AX19" i="145" s="1"/>
  <c r="T19" i="145"/>
  <c r="Z19" i="145"/>
  <c r="AI19" i="145" s="1"/>
  <c r="AA19" i="145"/>
  <c r="AN19" i="145"/>
  <c r="AV19" i="145"/>
  <c r="BC19" i="145"/>
  <c r="BS19" i="145"/>
  <c r="CA19" i="145"/>
  <c r="CB19" i="145"/>
  <c r="CC19" i="145"/>
  <c r="CD19" i="145"/>
  <c r="CE19" i="145"/>
  <c r="CF19" i="145"/>
  <c r="CG19" i="145"/>
  <c r="CH19" i="145"/>
  <c r="CI19" i="145"/>
  <c r="CJ19" i="145"/>
  <c r="CK19" i="145"/>
  <c r="CL19" i="145"/>
  <c r="E20" i="145"/>
  <c r="AL20" i="145" s="1"/>
  <c r="I20" i="145"/>
  <c r="J20" i="145"/>
  <c r="K20" i="145"/>
  <c r="L20" i="145"/>
  <c r="O20" i="145"/>
  <c r="S20" i="145" s="1"/>
  <c r="P20" i="145"/>
  <c r="T20" i="145" s="1"/>
  <c r="Q20" i="145"/>
  <c r="R20" i="145"/>
  <c r="AA20" i="145"/>
  <c r="AN20" i="145"/>
  <c r="BT20" i="145" s="1"/>
  <c r="AV20" i="145"/>
  <c r="BC20" i="145"/>
  <c r="BS20" i="145"/>
  <c r="E21" i="145"/>
  <c r="AL21" i="145" s="1"/>
  <c r="I21" i="145"/>
  <c r="J21" i="145"/>
  <c r="K21" i="145"/>
  <c r="L21" i="145"/>
  <c r="O21" i="145"/>
  <c r="S21" i="145" s="1"/>
  <c r="W21" i="145" s="1"/>
  <c r="P21" i="145"/>
  <c r="T21" i="145" s="1"/>
  <c r="X21" i="145" s="1"/>
  <c r="Q21" i="145"/>
  <c r="R21" i="145"/>
  <c r="AA21" i="145"/>
  <c r="AN21" i="145"/>
  <c r="AO21" i="145" s="1"/>
  <c r="AP21" i="145"/>
  <c r="AV21" i="145"/>
  <c r="BC21" i="145"/>
  <c r="BQ21" i="145"/>
  <c r="BR21" i="145"/>
  <c r="BS21" i="145"/>
  <c r="E22" i="145"/>
  <c r="AL22" i="145" s="1"/>
  <c r="I22" i="145"/>
  <c r="J22" i="145"/>
  <c r="Z22" i="145" s="1"/>
  <c r="K22" i="145"/>
  <c r="L22" i="145"/>
  <c r="O22" i="145"/>
  <c r="S22" i="145" s="1"/>
  <c r="P22" i="145"/>
  <c r="T22" i="145" s="1"/>
  <c r="Q22" i="145"/>
  <c r="R22" i="145"/>
  <c r="AX22" i="145" s="1"/>
  <c r="AA22" i="145"/>
  <c r="AN22" i="145"/>
  <c r="BT22" i="145" s="1"/>
  <c r="AV22" i="145"/>
  <c r="BC22" i="145"/>
  <c r="BS22" i="145"/>
  <c r="E23" i="145"/>
  <c r="AL23" i="145" s="1"/>
  <c r="I23" i="145"/>
  <c r="J23" i="145"/>
  <c r="K23" i="145"/>
  <c r="L23" i="145"/>
  <c r="AP23" i="145" s="1"/>
  <c r="O23" i="145"/>
  <c r="S23" i="145" s="1"/>
  <c r="P23" i="145"/>
  <c r="T23" i="145" s="1"/>
  <c r="Q23" i="145"/>
  <c r="R23" i="145"/>
  <c r="AA23" i="145"/>
  <c r="AN23" i="145"/>
  <c r="AO23" i="145" s="1"/>
  <c r="AV23" i="145"/>
  <c r="BC23" i="145"/>
  <c r="BS23" i="145"/>
  <c r="E24" i="145"/>
  <c r="I24" i="145"/>
  <c r="J24" i="145"/>
  <c r="K24" i="145"/>
  <c r="L24" i="145"/>
  <c r="AP24" i="145" s="1"/>
  <c r="O24" i="145"/>
  <c r="S24" i="145" s="1"/>
  <c r="P24" i="145"/>
  <c r="T24" i="145" s="1"/>
  <c r="Q24" i="145"/>
  <c r="R24" i="145"/>
  <c r="AX24" i="145" s="1"/>
  <c r="V24" i="145"/>
  <c r="Z24" i="145"/>
  <c r="AA24" i="145"/>
  <c r="AL24" i="145"/>
  <c r="AN24" i="145"/>
  <c r="AO24" i="145" s="1"/>
  <c r="AV24" i="145"/>
  <c r="BC24" i="145"/>
  <c r="BS24" i="145"/>
  <c r="E25" i="145"/>
  <c r="AL25" i="145" s="1"/>
  <c r="I25" i="145"/>
  <c r="J25" i="145"/>
  <c r="K25" i="145"/>
  <c r="L25" i="145"/>
  <c r="BA25" i="145" s="1"/>
  <c r="O25" i="145"/>
  <c r="S25" i="145" s="1"/>
  <c r="P25" i="145"/>
  <c r="T25" i="145" s="1"/>
  <c r="Q25" i="145"/>
  <c r="R25" i="145"/>
  <c r="AX25" i="145" s="1"/>
  <c r="AA25" i="145"/>
  <c r="AN25" i="145"/>
  <c r="BT25" i="145" s="1"/>
  <c r="AV25" i="145"/>
  <c r="BC25" i="145"/>
  <c r="BS25" i="145"/>
  <c r="E26" i="145"/>
  <c r="AL26" i="145" s="1"/>
  <c r="I26" i="145"/>
  <c r="J26" i="145"/>
  <c r="K26" i="145"/>
  <c r="L26" i="145"/>
  <c r="BA26" i="145" s="1"/>
  <c r="O26" i="145"/>
  <c r="S26" i="145" s="1"/>
  <c r="P26" i="145"/>
  <c r="T26" i="145" s="1"/>
  <c r="Q26" i="145"/>
  <c r="R26" i="145"/>
  <c r="V26" i="145" s="1"/>
  <c r="AA26" i="145"/>
  <c r="AN26" i="145"/>
  <c r="BT26" i="145" s="1"/>
  <c r="AV26" i="145"/>
  <c r="BC26" i="145"/>
  <c r="BS26" i="145"/>
  <c r="E27" i="145"/>
  <c r="AL27" i="145" s="1"/>
  <c r="I27" i="145"/>
  <c r="J27" i="145"/>
  <c r="K27" i="145"/>
  <c r="L27" i="145"/>
  <c r="AP27" i="145" s="1"/>
  <c r="O27" i="145"/>
  <c r="S27" i="145" s="1"/>
  <c r="P27" i="145"/>
  <c r="T27" i="145" s="1"/>
  <c r="Q27" i="145"/>
  <c r="R27" i="145"/>
  <c r="AX27" i="145" s="1"/>
  <c r="AA27" i="145"/>
  <c r="AN27" i="145"/>
  <c r="BT27" i="145" s="1"/>
  <c r="AV27" i="145"/>
  <c r="BC27" i="145"/>
  <c r="BS27" i="145"/>
  <c r="E28" i="145"/>
  <c r="AL28" i="145" s="1"/>
  <c r="I28" i="145"/>
  <c r="J28" i="145"/>
  <c r="K28" i="145"/>
  <c r="L28" i="145"/>
  <c r="O28" i="145"/>
  <c r="S28" i="145" s="1"/>
  <c r="W28" i="145" s="1"/>
  <c r="P28" i="145"/>
  <c r="T28" i="145" s="1"/>
  <c r="X28" i="145" s="1"/>
  <c r="Q28" i="145"/>
  <c r="R28" i="145"/>
  <c r="V28" i="145" s="1"/>
  <c r="AA28" i="145"/>
  <c r="AN28" i="145"/>
  <c r="AO28" i="145" s="1"/>
  <c r="AV28" i="145"/>
  <c r="AX28" i="145"/>
  <c r="BC28" i="145"/>
  <c r="BH28" i="145"/>
  <c r="BR28" i="145"/>
  <c r="BS28" i="145"/>
  <c r="E29" i="145"/>
  <c r="AL29" i="145" s="1"/>
  <c r="I29" i="145"/>
  <c r="J29" i="145"/>
  <c r="K29" i="145"/>
  <c r="L29" i="145"/>
  <c r="BA29" i="145" s="1"/>
  <c r="O29" i="145"/>
  <c r="S29" i="145" s="1"/>
  <c r="P29" i="145"/>
  <c r="T29" i="145" s="1"/>
  <c r="Q29" i="145"/>
  <c r="U29" i="145" s="1"/>
  <c r="R29" i="145"/>
  <c r="AX29" i="145" s="1"/>
  <c r="AA29" i="145"/>
  <c r="AN29" i="145"/>
  <c r="BT29" i="145" s="1"/>
  <c r="AO29" i="145"/>
  <c r="AV29" i="145"/>
  <c r="BC29" i="145"/>
  <c r="BS29" i="145"/>
  <c r="E30" i="145"/>
  <c r="AL30" i="145" s="1"/>
  <c r="I30" i="145"/>
  <c r="J30" i="145"/>
  <c r="K30" i="145"/>
  <c r="L30" i="145"/>
  <c r="BA30" i="145" s="1"/>
  <c r="O30" i="145"/>
  <c r="S30" i="145" s="1"/>
  <c r="P30" i="145"/>
  <c r="T30" i="145" s="1"/>
  <c r="Q30" i="145"/>
  <c r="R30" i="145"/>
  <c r="BH30" i="145" s="1"/>
  <c r="U30" i="145"/>
  <c r="AA30" i="145"/>
  <c r="AN30" i="145"/>
  <c r="BT30" i="145" s="1"/>
  <c r="AP30" i="145"/>
  <c r="AV30" i="145"/>
  <c r="BC30" i="145"/>
  <c r="BS30" i="145"/>
  <c r="E31" i="145"/>
  <c r="AL31" i="145" s="1"/>
  <c r="I31" i="145"/>
  <c r="J31" i="145"/>
  <c r="K31" i="145"/>
  <c r="L31" i="145"/>
  <c r="AP31" i="145" s="1"/>
  <c r="O31" i="145"/>
  <c r="S31" i="145" s="1"/>
  <c r="P31" i="145"/>
  <c r="T31" i="145" s="1"/>
  <c r="Q31" i="145"/>
  <c r="R31" i="145"/>
  <c r="V31" i="145" s="1"/>
  <c r="AA31" i="145"/>
  <c r="AN31" i="145"/>
  <c r="AV31" i="145"/>
  <c r="BC31" i="145"/>
  <c r="BS31" i="145"/>
  <c r="E32" i="145"/>
  <c r="AL32" i="145" s="1"/>
  <c r="I32" i="145"/>
  <c r="J32" i="145"/>
  <c r="K32" i="145"/>
  <c r="L32" i="145"/>
  <c r="BA32" i="145" s="1"/>
  <c r="O32" i="145"/>
  <c r="S32" i="145" s="1"/>
  <c r="P32" i="145"/>
  <c r="T32" i="145" s="1"/>
  <c r="Q32" i="145"/>
  <c r="R32" i="145"/>
  <c r="V32" i="145" s="1"/>
  <c r="AA32" i="145"/>
  <c r="AN32" i="145"/>
  <c r="BT32" i="145" s="1"/>
  <c r="AV32" i="145"/>
  <c r="BC32" i="145"/>
  <c r="BS32" i="145"/>
  <c r="E33" i="145"/>
  <c r="AL33" i="145" s="1"/>
  <c r="I33" i="145"/>
  <c r="J33" i="145"/>
  <c r="K33" i="145"/>
  <c r="L33" i="145"/>
  <c r="O33" i="145"/>
  <c r="P33" i="145"/>
  <c r="Q33" i="145"/>
  <c r="R33" i="145"/>
  <c r="AX33" i="145" s="1"/>
  <c r="S33" i="145"/>
  <c r="T33" i="145"/>
  <c r="AA33" i="145"/>
  <c r="AN33" i="145"/>
  <c r="AO33" i="145" s="1"/>
  <c r="AV33" i="145"/>
  <c r="BA33" i="145"/>
  <c r="BC33" i="145"/>
  <c r="BS33" i="145"/>
  <c r="E34" i="145"/>
  <c r="AL34" i="145" s="1"/>
  <c r="I34" i="145"/>
  <c r="Z34" i="145" s="1"/>
  <c r="J34" i="145"/>
  <c r="K34" i="145"/>
  <c r="L34" i="145"/>
  <c r="O34" i="145"/>
  <c r="S34" i="145" s="1"/>
  <c r="P34" i="145"/>
  <c r="T34" i="145" s="1"/>
  <c r="Q34" i="145"/>
  <c r="R34" i="145"/>
  <c r="AX34" i="145" s="1"/>
  <c r="AA34" i="145"/>
  <c r="AN34" i="145"/>
  <c r="BT34" i="145" s="1"/>
  <c r="AO34" i="145"/>
  <c r="AV34" i="145"/>
  <c r="BC34" i="145"/>
  <c r="BS34" i="145"/>
  <c r="E35" i="145"/>
  <c r="AL35" i="145" s="1"/>
  <c r="I35" i="145"/>
  <c r="J35" i="145"/>
  <c r="K35" i="145"/>
  <c r="L35" i="145"/>
  <c r="BA35" i="145" s="1"/>
  <c r="O35" i="145"/>
  <c r="S35" i="145" s="1"/>
  <c r="P35" i="145"/>
  <c r="T35" i="145" s="1"/>
  <c r="Q35" i="145"/>
  <c r="R35" i="145"/>
  <c r="V35" i="145" s="1"/>
  <c r="AA35" i="145"/>
  <c r="AN35" i="145"/>
  <c r="BT35" i="145" s="1"/>
  <c r="AV35" i="145"/>
  <c r="BC35" i="145"/>
  <c r="BS35" i="145"/>
  <c r="E36" i="145"/>
  <c r="AL36" i="145" s="1"/>
  <c r="I36" i="145"/>
  <c r="J36" i="145"/>
  <c r="K36" i="145"/>
  <c r="L36" i="145"/>
  <c r="AP36" i="145" s="1"/>
  <c r="O36" i="145"/>
  <c r="S36" i="145" s="1"/>
  <c r="P36" i="145"/>
  <c r="T36" i="145" s="1"/>
  <c r="Q36" i="145"/>
  <c r="R36" i="145"/>
  <c r="BH36" i="145" s="1"/>
  <c r="AA36" i="145"/>
  <c r="AN36" i="145"/>
  <c r="AO36" i="145" s="1"/>
  <c r="AV36" i="145"/>
  <c r="AX36" i="145"/>
  <c r="BC36" i="145"/>
  <c r="BS36" i="145"/>
  <c r="E37" i="145"/>
  <c r="AL37" i="145" s="1"/>
  <c r="I37" i="145"/>
  <c r="J37" i="145"/>
  <c r="K37" i="145"/>
  <c r="L37" i="145"/>
  <c r="AP37" i="145" s="1"/>
  <c r="O37" i="145"/>
  <c r="S37" i="145" s="1"/>
  <c r="P37" i="145"/>
  <c r="T37" i="145" s="1"/>
  <c r="Q37" i="145"/>
  <c r="R37" i="145"/>
  <c r="V37" i="145" s="1"/>
  <c r="AA37" i="145"/>
  <c r="AN37" i="145"/>
  <c r="BT37" i="145" s="1"/>
  <c r="AV37" i="145"/>
  <c r="BC37" i="145"/>
  <c r="BS37" i="145"/>
  <c r="E38" i="145"/>
  <c r="AL38" i="145" s="1"/>
  <c r="I38" i="145"/>
  <c r="J38" i="145"/>
  <c r="K38" i="145"/>
  <c r="L38" i="145"/>
  <c r="AP38" i="145" s="1"/>
  <c r="O38" i="145"/>
  <c r="S38" i="145" s="1"/>
  <c r="P38" i="145"/>
  <c r="T38" i="145" s="1"/>
  <c r="Q38" i="145"/>
  <c r="R38" i="145"/>
  <c r="BH38" i="145" s="1"/>
  <c r="AA38" i="145"/>
  <c r="AN38" i="145"/>
  <c r="AO38" i="145" s="1"/>
  <c r="AV38" i="145"/>
  <c r="BC38" i="145"/>
  <c r="BS38" i="145"/>
  <c r="E39" i="145"/>
  <c r="AL39" i="145" s="1"/>
  <c r="I39" i="145"/>
  <c r="J39" i="145"/>
  <c r="K39" i="145"/>
  <c r="L39" i="145"/>
  <c r="O39" i="145"/>
  <c r="S39" i="145" s="1"/>
  <c r="P39" i="145"/>
  <c r="Q39" i="145"/>
  <c r="R39" i="145"/>
  <c r="T39" i="145"/>
  <c r="U39" i="145"/>
  <c r="AA39" i="145"/>
  <c r="AN39" i="145"/>
  <c r="AO39" i="145" s="1"/>
  <c r="AV39" i="145"/>
  <c r="BC39" i="145"/>
  <c r="BS39" i="145"/>
  <c r="E40" i="145"/>
  <c r="AL40" i="145" s="1"/>
  <c r="I40" i="145"/>
  <c r="J40" i="145"/>
  <c r="Z40" i="145" s="1"/>
  <c r="AI40" i="145" s="1"/>
  <c r="AK40" i="145" s="1"/>
  <c r="K40" i="145"/>
  <c r="L40" i="145"/>
  <c r="AP40" i="145" s="1"/>
  <c r="O40" i="145"/>
  <c r="S40" i="145" s="1"/>
  <c r="P40" i="145"/>
  <c r="T40" i="145" s="1"/>
  <c r="Q40" i="145"/>
  <c r="R40" i="145"/>
  <c r="V40" i="145" s="1"/>
  <c r="AA40" i="145"/>
  <c r="AN40" i="145"/>
  <c r="BT40" i="145" s="1"/>
  <c r="AV40" i="145"/>
  <c r="BC40" i="145"/>
  <c r="BS40" i="145"/>
  <c r="E41" i="145"/>
  <c r="AL41" i="145" s="1"/>
  <c r="I41" i="145"/>
  <c r="J41" i="145"/>
  <c r="K41" i="145"/>
  <c r="L41" i="145"/>
  <c r="AP41" i="145" s="1"/>
  <c r="O41" i="145"/>
  <c r="S41" i="145" s="1"/>
  <c r="P41" i="145"/>
  <c r="T41" i="145" s="1"/>
  <c r="Q41" i="145"/>
  <c r="R41" i="145"/>
  <c r="V41" i="145" s="1"/>
  <c r="AA41" i="145"/>
  <c r="AN41" i="145"/>
  <c r="AV41" i="145"/>
  <c r="AX41" i="145"/>
  <c r="BC41" i="145"/>
  <c r="BS41" i="145"/>
  <c r="E42" i="145"/>
  <c r="AL42" i="145" s="1"/>
  <c r="I42" i="145"/>
  <c r="J42" i="145"/>
  <c r="K42" i="145"/>
  <c r="L42" i="145"/>
  <c r="O42" i="145"/>
  <c r="S42" i="145" s="1"/>
  <c r="P42" i="145"/>
  <c r="Q42" i="145"/>
  <c r="R42" i="145"/>
  <c r="T42" i="145"/>
  <c r="AA42" i="145"/>
  <c r="AN42" i="145"/>
  <c r="AO42" i="145" s="1"/>
  <c r="AV42" i="145"/>
  <c r="BC42" i="145"/>
  <c r="BS42" i="145"/>
  <c r="E43" i="145"/>
  <c r="AL43" i="145" s="1"/>
  <c r="I43" i="145"/>
  <c r="Z43" i="145" s="1"/>
  <c r="J43" i="145"/>
  <c r="K43" i="145"/>
  <c r="L43" i="145"/>
  <c r="AP43" i="145" s="1"/>
  <c r="O43" i="145"/>
  <c r="S43" i="145" s="1"/>
  <c r="P43" i="145"/>
  <c r="T43" i="145" s="1"/>
  <c r="Q43" i="145"/>
  <c r="U43" i="145" s="1"/>
  <c r="R43" i="145"/>
  <c r="BH43" i="145" s="1"/>
  <c r="AA43" i="145"/>
  <c r="AN43" i="145"/>
  <c r="AV43" i="145"/>
  <c r="BC43" i="145"/>
  <c r="BS43" i="145"/>
  <c r="CN46" i="145"/>
  <c r="D47" i="145"/>
  <c r="AB7" i="144"/>
  <c r="AC7" i="144"/>
  <c r="AD7" i="144"/>
  <c r="AE7" i="144"/>
  <c r="AF7" i="144"/>
  <c r="AG7" i="144"/>
  <c r="D9" i="144"/>
  <c r="K9" i="144"/>
  <c r="L9" i="144"/>
  <c r="BA9" i="144" s="1"/>
  <c r="O9" i="144"/>
  <c r="S9" i="144" s="1"/>
  <c r="P9" i="144"/>
  <c r="T9" i="144" s="1"/>
  <c r="Q9" i="144"/>
  <c r="R9" i="144"/>
  <c r="AX9" i="144" s="1"/>
  <c r="AA9" i="144"/>
  <c r="AL9" i="144"/>
  <c r="AN9" i="144"/>
  <c r="BT9" i="144" s="1"/>
  <c r="AV9" i="144"/>
  <c r="Z9" i="144"/>
  <c r="CA9" i="144"/>
  <c r="CB9" i="144"/>
  <c r="CC9" i="144"/>
  <c r="CD9" i="144"/>
  <c r="CE9" i="144"/>
  <c r="CF9" i="144"/>
  <c r="CG9" i="144"/>
  <c r="CH9" i="144"/>
  <c r="CI9" i="144"/>
  <c r="CJ9" i="144"/>
  <c r="CK9" i="144"/>
  <c r="CL9" i="144"/>
  <c r="D10" i="144"/>
  <c r="L10" i="144" s="1"/>
  <c r="K10" i="144"/>
  <c r="O10" i="144"/>
  <c r="S10" i="144" s="1"/>
  <c r="P10" i="144"/>
  <c r="T10" i="144" s="1"/>
  <c r="Q10" i="144"/>
  <c r="R10" i="144"/>
  <c r="BH10" i="144" s="1"/>
  <c r="AA10" i="144"/>
  <c r="AL10" i="144"/>
  <c r="AN10" i="144"/>
  <c r="BT10" i="144" s="1"/>
  <c r="AV10" i="144"/>
  <c r="Z10" i="144"/>
  <c r="CA10" i="144"/>
  <c r="CB10" i="144"/>
  <c r="CC10" i="144"/>
  <c r="CD10" i="144"/>
  <c r="CE10" i="144"/>
  <c r="CF10" i="144"/>
  <c r="CG10" i="144"/>
  <c r="CH10" i="144"/>
  <c r="CI10" i="144"/>
  <c r="CJ10" i="144"/>
  <c r="CK10" i="144"/>
  <c r="CL10" i="144"/>
  <c r="D11" i="144"/>
  <c r="L11" i="144" s="1"/>
  <c r="K11" i="144"/>
  <c r="O11" i="144"/>
  <c r="S11" i="144" s="1"/>
  <c r="P11" i="144"/>
  <c r="T11" i="144" s="1"/>
  <c r="Q11" i="144"/>
  <c r="R11" i="144"/>
  <c r="AA11" i="144"/>
  <c r="AL11" i="144"/>
  <c r="AN11" i="144"/>
  <c r="BT11" i="144" s="1"/>
  <c r="AV11" i="144"/>
  <c r="Z11" i="144"/>
  <c r="AI11" i="144" s="1"/>
  <c r="AJ11" i="144" s="1"/>
  <c r="BS11" i="144"/>
  <c r="CA11" i="144"/>
  <c r="CB11" i="144"/>
  <c r="CC11" i="144"/>
  <c r="CD11" i="144"/>
  <c r="CE11" i="144"/>
  <c r="CF11" i="144"/>
  <c r="CG11" i="144"/>
  <c r="CH11" i="144"/>
  <c r="CI11" i="144"/>
  <c r="CJ11" i="144"/>
  <c r="CK11" i="144"/>
  <c r="CL11" i="144"/>
  <c r="D12" i="144"/>
  <c r="L12" i="144" s="1"/>
  <c r="K12" i="144"/>
  <c r="O12" i="144"/>
  <c r="S12" i="144" s="1"/>
  <c r="P12" i="144"/>
  <c r="T12" i="144" s="1"/>
  <c r="Q12" i="144"/>
  <c r="R12" i="144"/>
  <c r="AX12" i="144" s="1"/>
  <c r="AA12" i="144"/>
  <c r="AL12" i="144"/>
  <c r="AN12" i="144"/>
  <c r="AV12" i="144"/>
  <c r="Z12" i="144"/>
  <c r="BH12" i="144"/>
  <c r="BT12" i="144"/>
  <c r="CA12" i="144"/>
  <c r="CB12" i="144"/>
  <c r="CC12" i="144"/>
  <c r="CD12" i="144"/>
  <c r="CE12" i="144"/>
  <c r="CF12" i="144"/>
  <c r="CG12" i="144"/>
  <c r="CH12" i="144"/>
  <c r="CI12" i="144"/>
  <c r="CJ12" i="144"/>
  <c r="CK12" i="144"/>
  <c r="CL12" i="144"/>
  <c r="D13" i="144"/>
  <c r="L13" i="144" s="1"/>
  <c r="BA13" i="144" s="1"/>
  <c r="K13" i="144"/>
  <c r="O13" i="144"/>
  <c r="S13" i="144" s="1"/>
  <c r="P13" i="144"/>
  <c r="T13" i="144" s="1"/>
  <c r="Q13" i="144"/>
  <c r="R13" i="144"/>
  <c r="AX13" i="144" s="1"/>
  <c r="AA13" i="144"/>
  <c r="AL13" i="144"/>
  <c r="AN13" i="144"/>
  <c r="BT13" i="144" s="1"/>
  <c r="AV13" i="144"/>
  <c r="Z13" i="144"/>
  <c r="BS13" i="144"/>
  <c r="BH13" i="144"/>
  <c r="CA13" i="144"/>
  <c r="CB13" i="144"/>
  <c r="CC13" i="144"/>
  <c r="CD13" i="144"/>
  <c r="CE13" i="144"/>
  <c r="CF13" i="144"/>
  <c r="CG13" i="144"/>
  <c r="CH13" i="144"/>
  <c r="CI13" i="144"/>
  <c r="CJ13" i="144"/>
  <c r="CK13" i="144"/>
  <c r="CL13" i="144"/>
  <c r="D14" i="144"/>
  <c r="K14" i="144"/>
  <c r="L14" i="144"/>
  <c r="AP14" i="144" s="1"/>
  <c r="O14" i="144"/>
  <c r="S14" i="144" s="1"/>
  <c r="P14" i="144"/>
  <c r="T14" i="144" s="1"/>
  <c r="Q14" i="144"/>
  <c r="U14" i="144" s="1"/>
  <c r="R14" i="144"/>
  <c r="AA14" i="144"/>
  <c r="AL14" i="144"/>
  <c r="AN14" i="144"/>
  <c r="BT14" i="144" s="1"/>
  <c r="AV14" i="144"/>
  <c r="Z14" i="144"/>
  <c r="AI14" i="144" s="1"/>
  <c r="BS14" i="144"/>
  <c r="CA14" i="144"/>
  <c r="CB14" i="144"/>
  <c r="CC14" i="144"/>
  <c r="CD14" i="144"/>
  <c r="CE14" i="144"/>
  <c r="CF14" i="144"/>
  <c r="CG14" i="144"/>
  <c r="CH14" i="144"/>
  <c r="CI14" i="144"/>
  <c r="CJ14" i="144"/>
  <c r="CK14" i="144"/>
  <c r="CL14" i="144"/>
  <c r="D15" i="144"/>
  <c r="L15" i="144" s="1"/>
  <c r="K15" i="144"/>
  <c r="O15" i="144"/>
  <c r="S15" i="144" s="1"/>
  <c r="P15" i="144"/>
  <c r="T15" i="144" s="1"/>
  <c r="Q15" i="144"/>
  <c r="R15" i="144"/>
  <c r="BH15" i="144" s="1"/>
  <c r="AA15" i="144"/>
  <c r="AL15" i="144"/>
  <c r="AN15" i="144"/>
  <c r="BT15" i="144" s="1"/>
  <c r="AV15" i="144"/>
  <c r="Z15" i="144"/>
  <c r="BS15" i="144"/>
  <c r="CA15" i="144"/>
  <c r="CB15" i="144"/>
  <c r="CC15" i="144"/>
  <c r="CD15" i="144"/>
  <c r="CE15" i="144"/>
  <c r="CF15" i="144"/>
  <c r="CG15" i="144"/>
  <c r="CH15" i="144"/>
  <c r="CI15" i="144"/>
  <c r="CJ15" i="144"/>
  <c r="CK15" i="144"/>
  <c r="CL15" i="144"/>
  <c r="D16" i="144"/>
  <c r="L16" i="144" s="1"/>
  <c r="K16" i="144"/>
  <c r="O16" i="144"/>
  <c r="P16" i="144"/>
  <c r="Q16" i="144"/>
  <c r="R16" i="144"/>
  <c r="AX16" i="144" s="1"/>
  <c r="S16" i="144"/>
  <c r="T16" i="144"/>
  <c r="AA16" i="144"/>
  <c r="AL16" i="144"/>
  <c r="AN16" i="144"/>
  <c r="BT16" i="144" s="1"/>
  <c r="AV16" i="144"/>
  <c r="Z16" i="144"/>
  <c r="CA16" i="144"/>
  <c r="CB16" i="144"/>
  <c r="CC16" i="144"/>
  <c r="CD16" i="144"/>
  <c r="CE16" i="144"/>
  <c r="CF16" i="144"/>
  <c r="CG16" i="144"/>
  <c r="CH16" i="144"/>
  <c r="CI16" i="144"/>
  <c r="CJ16" i="144"/>
  <c r="CK16" i="144"/>
  <c r="CL16" i="144"/>
  <c r="D17" i="144"/>
  <c r="K17" i="144"/>
  <c r="L17" i="144"/>
  <c r="BA17" i="144" s="1"/>
  <c r="O17" i="144"/>
  <c r="S17" i="144" s="1"/>
  <c r="P17" i="144"/>
  <c r="T17" i="144" s="1"/>
  <c r="Q17" i="144"/>
  <c r="R17" i="144"/>
  <c r="AA17" i="144"/>
  <c r="AL17" i="144"/>
  <c r="AN17" i="144"/>
  <c r="BT17" i="144" s="1"/>
  <c r="AV17" i="144"/>
  <c r="Z17" i="144"/>
  <c r="AI17" i="144" s="1"/>
  <c r="CA17" i="144"/>
  <c r="CB17" i="144"/>
  <c r="CC17" i="144"/>
  <c r="CD17" i="144"/>
  <c r="CE17" i="144"/>
  <c r="CF17" i="144"/>
  <c r="CG17" i="144"/>
  <c r="CH17" i="144"/>
  <c r="CI17" i="144"/>
  <c r="CJ17" i="144"/>
  <c r="CK17" i="144"/>
  <c r="CL17" i="144"/>
  <c r="D18" i="144"/>
  <c r="L18" i="144" s="1"/>
  <c r="K18" i="144"/>
  <c r="O18" i="144"/>
  <c r="S18" i="144" s="1"/>
  <c r="P18" i="144"/>
  <c r="T18" i="144" s="1"/>
  <c r="Q18" i="144"/>
  <c r="R18" i="144"/>
  <c r="V18" i="144" s="1"/>
  <c r="AA18" i="144"/>
  <c r="AL18" i="144"/>
  <c r="AN18" i="144"/>
  <c r="BT18" i="144" s="1"/>
  <c r="AV18" i="144"/>
  <c r="Z18" i="144"/>
  <c r="BS18" i="144"/>
  <c r="CA18" i="144"/>
  <c r="CB18" i="144"/>
  <c r="CC18" i="144"/>
  <c r="CD18" i="144"/>
  <c r="CE18" i="144"/>
  <c r="CF18" i="144"/>
  <c r="CG18" i="144"/>
  <c r="CH18" i="144"/>
  <c r="CI18" i="144"/>
  <c r="CJ18" i="144"/>
  <c r="CK18" i="144"/>
  <c r="CL18" i="144"/>
  <c r="D19" i="144"/>
  <c r="L19" i="144" s="1"/>
  <c r="K19" i="144"/>
  <c r="O19" i="144"/>
  <c r="S19" i="144" s="1"/>
  <c r="P19" i="144"/>
  <c r="T19" i="144" s="1"/>
  <c r="Q19" i="144"/>
  <c r="R19" i="144"/>
  <c r="AX19" i="144" s="1"/>
  <c r="V19" i="144"/>
  <c r="AA19" i="144"/>
  <c r="AL19" i="144"/>
  <c r="AN19" i="144"/>
  <c r="BT19" i="144" s="1"/>
  <c r="AV19" i="144"/>
  <c r="Z19" i="144"/>
  <c r="CA19" i="144"/>
  <c r="CB19" i="144"/>
  <c r="CC19" i="144"/>
  <c r="CD19" i="144"/>
  <c r="CE19" i="144"/>
  <c r="CF19" i="144"/>
  <c r="CG19" i="144"/>
  <c r="CH19" i="144"/>
  <c r="CI19" i="144"/>
  <c r="CJ19" i="144"/>
  <c r="CK19" i="144"/>
  <c r="CL19" i="144"/>
  <c r="D20" i="144"/>
  <c r="L20" i="144" s="1"/>
  <c r="K20" i="144"/>
  <c r="O20" i="144"/>
  <c r="S20" i="144" s="1"/>
  <c r="P20" i="144"/>
  <c r="T20" i="144" s="1"/>
  <c r="Q20" i="144"/>
  <c r="R20" i="144"/>
  <c r="AX20" i="144" s="1"/>
  <c r="AA20" i="144"/>
  <c r="AL20" i="144"/>
  <c r="AN20" i="144"/>
  <c r="BT20" i="144" s="1"/>
  <c r="AV20" i="144"/>
  <c r="Z20" i="144"/>
  <c r="CA20" i="144"/>
  <c r="CB20" i="144"/>
  <c r="CC20" i="144"/>
  <c r="CD20" i="144"/>
  <c r="CE20" i="144"/>
  <c r="CF20" i="144"/>
  <c r="CG20" i="144"/>
  <c r="CH20" i="144"/>
  <c r="CI20" i="144"/>
  <c r="CJ20" i="144"/>
  <c r="CK20" i="144"/>
  <c r="CL20" i="144"/>
  <c r="D21" i="144"/>
  <c r="L21" i="144" s="1"/>
  <c r="K21" i="144"/>
  <c r="O21" i="144"/>
  <c r="S21" i="144" s="1"/>
  <c r="P21" i="144"/>
  <c r="Q21" i="144"/>
  <c r="R21" i="144"/>
  <c r="V21" i="144" s="1"/>
  <c r="T21" i="144"/>
  <c r="AA21" i="144"/>
  <c r="AL21" i="144"/>
  <c r="AN21" i="144"/>
  <c r="BT21" i="144" s="1"/>
  <c r="AV21" i="144"/>
  <c r="Z21" i="144"/>
  <c r="CA21" i="144"/>
  <c r="CB21" i="144"/>
  <c r="CC21" i="144"/>
  <c r="CD21" i="144"/>
  <c r="CE21" i="144"/>
  <c r="CF21" i="144"/>
  <c r="CG21" i="144"/>
  <c r="CH21" i="144"/>
  <c r="CI21" i="144"/>
  <c r="CJ21" i="144"/>
  <c r="CK21" i="144"/>
  <c r="CL21" i="144"/>
  <c r="D22" i="144"/>
  <c r="L22" i="144" s="1"/>
  <c r="K22" i="144"/>
  <c r="O22" i="144"/>
  <c r="S22" i="144" s="1"/>
  <c r="P22" i="144"/>
  <c r="T22" i="144" s="1"/>
  <c r="Q22" i="144"/>
  <c r="R22" i="144"/>
  <c r="V22" i="144" s="1"/>
  <c r="AA22" i="144"/>
  <c r="AL22" i="144"/>
  <c r="AN22" i="144"/>
  <c r="BT22" i="144" s="1"/>
  <c r="AV22" i="144"/>
  <c r="Z22" i="144"/>
  <c r="BS22" i="144"/>
  <c r="D23" i="144"/>
  <c r="L23" i="144" s="1"/>
  <c r="K23" i="144"/>
  <c r="O23" i="144"/>
  <c r="S23" i="144" s="1"/>
  <c r="P23" i="144"/>
  <c r="Q23" i="144"/>
  <c r="R23" i="144"/>
  <c r="BH23" i="144" s="1"/>
  <c r="T23" i="144"/>
  <c r="V23" i="144"/>
  <c r="AA23" i="144"/>
  <c r="AL23" i="144"/>
  <c r="AN23" i="144"/>
  <c r="BT23" i="144" s="1"/>
  <c r="AV23" i="144"/>
  <c r="Z23" i="144"/>
  <c r="D24" i="144"/>
  <c r="K24" i="144"/>
  <c r="L24" i="144"/>
  <c r="BA24" i="144" s="1"/>
  <c r="O24" i="144"/>
  <c r="S24" i="144" s="1"/>
  <c r="P24" i="144"/>
  <c r="T24" i="144" s="1"/>
  <c r="Q24" i="144"/>
  <c r="R24" i="144"/>
  <c r="BH24" i="144" s="1"/>
  <c r="AA24" i="144"/>
  <c r="AL24" i="144"/>
  <c r="AN24" i="144"/>
  <c r="BT24" i="144" s="1"/>
  <c r="AV24" i="144"/>
  <c r="BS24" i="144"/>
  <c r="D25" i="144"/>
  <c r="L25" i="144" s="1"/>
  <c r="K25" i="144"/>
  <c r="O25" i="144"/>
  <c r="S25" i="144" s="1"/>
  <c r="P25" i="144"/>
  <c r="T25" i="144" s="1"/>
  <c r="Q25" i="144"/>
  <c r="U25" i="144" s="1"/>
  <c r="R25" i="144"/>
  <c r="V25" i="144" s="1"/>
  <c r="AA25" i="144"/>
  <c r="AL25" i="144"/>
  <c r="AN25" i="144"/>
  <c r="BT25" i="144" s="1"/>
  <c r="AV25" i="144"/>
  <c r="Z25" i="144"/>
  <c r="BS25" i="144"/>
  <c r="D26" i="144"/>
  <c r="L26" i="144" s="1"/>
  <c r="K26" i="144"/>
  <c r="O26" i="144"/>
  <c r="S26" i="144" s="1"/>
  <c r="P26" i="144"/>
  <c r="T26" i="144" s="1"/>
  <c r="Q26" i="144"/>
  <c r="R26" i="144"/>
  <c r="AX26" i="144" s="1"/>
  <c r="AA26" i="144"/>
  <c r="AL26" i="144"/>
  <c r="AN26" i="144"/>
  <c r="BT26" i="144" s="1"/>
  <c r="AV26" i="144"/>
  <c r="Z26" i="144"/>
  <c r="BI26" i="144" s="1"/>
  <c r="BJ26" i="144" s="1"/>
  <c r="BK26" i="144" s="1"/>
  <c r="BS26" i="144"/>
  <c r="D27" i="144"/>
  <c r="L27" i="144" s="1"/>
  <c r="BA27" i="144" s="1"/>
  <c r="K27" i="144"/>
  <c r="O27" i="144"/>
  <c r="S27" i="144" s="1"/>
  <c r="P27" i="144"/>
  <c r="T27" i="144" s="1"/>
  <c r="Q27" i="144"/>
  <c r="R27" i="144"/>
  <c r="BH27" i="144" s="1"/>
  <c r="AA27" i="144"/>
  <c r="AL27" i="144"/>
  <c r="AN27" i="144"/>
  <c r="AV27" i="144"/>
  <c r="Z27" i="144"/>
  <c r="BI27" i="144" s="1"/>
  <c r="BT27" i="144"/>
  <c r="D28" i="144"/>
  <c r="L28" i="144" s="1"/>
  <c r="AP28" i="144" s="1"/>
  <c r="K28" i="144"/>
  <c r="O28" i="144"/>
  <c r="S28" i="144" s="1"/>
  <c r="P28" i="144"/>
  <c r="T28" i="144" s="1"/>
  <c r="Q28" i="144"/>
  <c r="R28" i="144"/>
  <c r="V28" i="144" s="1"/>
  <c r="AA28" i="144"/>
  <c r="AL28" i="144"/>
  <c r="AN28" i="144"/>
  <c r="BT28" i="144" s="1"/>
  <c r="AV28" i="144"/>
  <c r="Z28" i="144"/>
  <c r="D29" i="144"/>
  <c r="L29" i="144" s="1"/>
  <c r="BA29" i="144" s="1"/>
  <c r="K29" i="144"/>
  <c r="O29" i="144"/>
  <c r="S29" i="144" s="1"/>
  <c r="P29" i="144"/>
  <c r="T29" i="144" s="1"/>
  <c r="Q29" i="144"/>
  <c r="R29" i="144"/>
  <c r="BH29" i="144" s="1"/>
  <c r="AA29" i="144"/>
  <c r="AL29" i="144"/>
  <c r="AN29" i="144"/>
  <c r="BT29" i="144" s="1"/>
  <c r="AV29" i="144"/>
  <c r="Z29" i="144"/>
  <c r="BS29" i="144"/>
  <c r="D30" i="144"/>
  <c r="L30" i="144" s="1"/>
  <c r="BA30" i="144" s="1"/>
  <c r="K30" i="144"/>
  <c r="O30" i="144"/>
  <c r="S30" i="144" s="1"/>
  <c r="P30" i="144"/>
  <c r="T30" i="144" s="1"/>
  <c r="Q30" i="144"/>
  <c r="R30" i="144"/>
  <c r="AX30" i="144" s="1"/>
  <c r="AA30" i="144"/>
  <c r="AL30" i="144"/>
  <c r="AN30" i="144"/>
  <c r="AV30" i="144"/>
  <c r="BS30" i="144"/>
  <c r="BT30" i="144"/>
  <c r="D31" i="144"/>
  <c r="L31" i="144" s="1"/>
  <c r="K31" i="144"/>
  <c r="O31" i="144"/>
  <c r="S31" i="144" s="1"/>
  <c r="P31" i="144"/>
  <c r="T31" i="144" s="1"/>
  <c r="Q31" i="144"/>
  <c r="R31" i="144"/>
  <c r="BH31" i="144" s="1"/>
  <c r="AA31" i="144"/>
  <c r="AL31" i="144"/>
  <c r="AN31" i="144"/>
  <c r="BT31" i="144" s="1"/>
  <c r="AV31" i="144"/>
  <c r="Z31" i="144"/>
  <c r="BS31" i="144"/>
  <c r="D32" i="144"/>
  <c r="L32" i="144" s="1"/>
  <c r="K32" i="144"/>
  <c r="O32" i="144"/>
  <c r="S32" i="144" s="1"/>
  <c r="P32" i="144"/>
  <c r="T32" i="144" s="1"/>
  <c r="Q32" i="144"/>
  <c r="R32" i="144"/>
  <c r="V32" i="144" s="1"/>
  <c r="AA32" i="144"/>
  <c r="AL32" i="144"/>
  <c r="AN32" i="144"/>
  <c r="BT32" i="144" s="1"/>
  <c r="AV32" i="144"/>
  <c r="Z32" i="144"/>
  <c r="AI32" i="144" s="1"/>
  <c r="D33" i="144"/>
  <c r="L33" i="144" s="1"/>
  <c r="AP33" i="144" s="1"/>
  <c r="K33" i="144"/>
  <c r="O33" i="144"/>
  <c r="S33" i="144" s="1"/>
  <c r="P33" i="144"/>
  <c r="T33" i="144" s="1"/>
  <c r="Q33" i="144"/>
  <c r="R33" i="144"/>
  <c r="V33" i="144" s="1"/>
  <c r="AA33" i="144"/>
  <c r="AL33" i="144"/>
  <c r="AN33" i="144"/>
  <c r="BT33" i="144" s="1"/>
  <c r="AV33" i="144"/>
  <c r="Z33" i="144"/>
  <c r="AI33" i="144" s="1"/>
  <c r="D34" i="144"/>
  <c r="L34" i="144" s="1"/>
  <c r="K34" i="144"/>
  <c r="O34" i="144"/>
  <c r="S34" i="144" s="1"/>
  <c r="P34" i="144"/>
  <c r="T34" i="144" s="1"/>
  <c r="Q34" i="144"/>
  <c r="R34" i="144"/>
  <c r="BH34" i="144" s="1"/>
  <c r="AA34" i="144"/>
  <c r="AL34" i="144"/>
  <c r="AN34" i="144"/>
  <c r="BT34" i="144" s="1"/>
  <c r="AV34" i="144"/>
  <c r="Z34" i="144"/>
  <c r="BS34" i="144"/>
  <c r="D35" i="144"/>
  <c r="L35" i="144" s="1"/>
  <c r="K35" i="144"/>
  <c r="O35" i="144"/>
  <c r="S35" i="144" s="1"/>
  <c r="P35" i="144"/>
  <c r="Q35" i="144"/>
  <c r="R35" i="144"/>
  <c r="BH35" i="144" s="1"/>
  <c r="T35" i="144"/>
  <c r="AA35" i="144"/>
  <c r="AL35" i="144"/>
  <c r="AN35" i="144"/>
  <c r="BT35" i="144" s="1"/>
  <c r="AV35" i="144"/>
  <c r="Z35" i="144"/>
  <c r="D36" i="144"/>
  <c r="L36" i="144" s="1"/>
  <c r="K36" i="144"/>
  <c r="O36" i="144"/>
  <c r="S36" i="144" s="1"/>
  <c r="P36" i="144"/>
  <c r="T36" i="144" s="1"/>
  <c r="Q36" i="144"/>
  <c r="R36" i="144"/>
  <c r="BH36" i="144" s="1"/>
  <c r="AA36" i="144"/>
  <c r="AL36" i="144"/>
  <c r="AN36" i="144"/>
  <c r="BT36" i="144" s="1"/>
  <c r="AV36" i="144"/>
  <c r="BS36" i="144"/>
  <c r="D37" i="144"/>
  <c r="K37" i="144"/>
  <c r="L37" i="144"/>
  <c r="BA37" i="144" s="1"/>
  <c r="O37" i="144"/>
  <c r="S37" i="144" s="1"/>
  <c r="P37" i="144"/>
  <c r="T37" i="144" s="1"/>
  <c r="Q37" i="144"/>
  <c r="U37" i="144" s="1"/>
  <c r="R37" i="144"/>
  <c r="V37" i="144" s="1"/>
  <c r="AA37" i="144"/>
  <c r="AL37" i="144"/>
  <c r="AN37" i="144"/>
  <c r="BT37" i="144" s="1"/>
  <c r="AV37" i="144"/>
  <c r="Z37" i="144"/>
  <c r="BI37" i="144" s="1"/>
  <c r="D38" i="144"/>
  <c r="L38" i="144" s="1"/>
  <c r="K38" i="144"/>
  <c r="O38" i="144"/>
  <c r="S38" i="144" s="1"/>
  <c r="P38" i="144"/>
  <c r="T38" i="144" s="1"/>
  <c r="Q38" i="144"/>
  <c r="R38" i="144"/>
  <c r="AX38" i="144" s="1"/>
  <c r="AA38" i="144"/>
  <c r="AL38" i="144"/>
  <c r="AN38" i="144"/>
  <c r="BT38" i="144" s="1"/>
  <c r="AV38" i="144"/>
  <c r="Z38" i="144"/>
  <c r="BI38" i="144" s="1"/>
  <c r="BJ38" i="144" s="1"/>
  <c r="BK38" i="144" s="1"/>
  <c r="BS38" i="144"/>
  <c r="D39" i="144"/>
  <c r="L39" i="144" s="1"/>
  <c r="BA39" i="144" s="1"/>
  <c r="K39" i="144"/>
  <c r="O39" i="144"/>
  <c r="S39" i="144" s="1"/>
  <c r="P39" i="144"/>
  <c r="T39" i="144" s="1"/>
  <c r="Q39" i="144"/>
  <c r="U39" i="144" s="1"/>
  <c r="R39" i="144"/>
  <c r="AX39" i="144" s="1"/>
  <c r="AA39" i="144"/>
  <c r="AL39" i="144"/>
  <c r="AN39" i="144"/>
  <c r="BT39" i="144" s="1"/>
  <c r="AV39" i="144"/>
  <c r="Z39" i="144"/>
  <c r="D40" i="144"/>
  <c r="L40" i="144" s="1"/>
  <c r="AP40" i="144" s="1"/>
  <c r="K40" i="144"/>
  <c r="O40" i="144"/>
  <c r="S40" i="144" s="1"/>
  <c r="P40" i="144"/>
  <c r="T40" i="144" s="1"/>
  <c r="Q40" i="144"/>
  <c r="R40" i="144"/>
  <c r="BH40" i="144" s="1"/>
  <c r="AA40" i="144"/>
  <c r="AL40" i="144"/>
  <c r="AN40" i="144"/>
  <c r="BT40" i="144" s="1"/>
  <c r="AV40" i="144"/>
  <c r="Z40" i="144"/>
  <c r="BI40" i="144" s="1"/>
  <c r="BJ40" i="144" s="1"/>
  <c r="BK40" i="144" s="1"/>
  <c r="BS40" i="144"/>
  <c r="K41" i="144"/>
  <c r="L41" i="144"/>
  <c r="AP41" i="144" s="1"/>
  <c r="O41" i="144"/>
  <c r="S41" i="144" s="1"/>
  <c r="P41" i="144"/>
  <c r="T41" i="144" s="1"/>
  <c r="Q41" i="144"/>
  <c r="R41" i="144"/>
  <c r="V41" i="144" s="1"/>
  <c r="AA41" i="144"/>
  <c r="AL41" i="144"/>
  <c r="AN41" i="144"/>
  <c r="BT41" i="144" s="1"/>
  <c r="AV41" i="144"/>
  <c r="Z41" i="144"/>
  <c r="BS41" i="144"/>
  <c r="AO47" i="144"/>
  <c r="A48" i="144"/>
  <c r="J4" i="143"/>
  <c r="J5" i="143"/>
  <c r="J6" i="143"/>
  <c r="J7" i="143"/>
  <c r="D41" i="143"/>
  <c r="D43" i="143" s="1"/>
  <c r="P2" i="142"/>
  <c r="P3" i="142"/>
  <c r="P4" i="142"/>
  <c r="P5" i="142"/>
  <c r="P10" i="142"/>
  <c r="P11" i="142"/>
  <c r="P12" i="142"/>
  <c r="P17" i="142"/>
  <c r="P18" i="142"/>
  <c r="P22" i="142"/>
  <c r="K57" i="142"/>
  <c r="M57" i="142"/>
  <c r="O57" i="142"/>
  <c r="D2" i="141"/>
  <c r="D3" i="141"/>
  <c r="D4" i="141"/>
  <c r="C5" i="141"/>
  <c r="D6" i="141"/>
  <c r="V19" i="145" l="1"/>
  <c r="AO30" i="145"/>
  <c r="AO27" i="145"/>
  <c r="U10" i="145"/>
  <c r="CK47" i="144"/>
  <c r="CF46" i="145"/>
  <c r="Z21" i="145"/>
  <c r="AI21" i="145" s="1"/>
  <c r="Z27" i="145"/>
  <c r="BI27" i="145" s="1"/>
  <c r="CD46" i="145"/>
  <c r="Z41" i="145"/>
  <c r="Z37" i="145"/>
  <c r="AI37" i="145" s="1"/>
  <c r="BH28" i="144"/>
  <c r="AX32" i="144"/>
  <c r="Z36" i="145"/>
  <c r="AI36" i="145" s="1"/>
  <c r="AK36" i="145" s="1"/>
  <c r="BH26" i="145"/>
  <c r="CG46" i="145"/>
  <c r="AX34" i="144"/>
  <c r="AX28" i="144"/>
  <c r="BH32" i="145"/>
  <c r="V38" i="144"/>
  <c r="BH20" i="144"/>
  <c r="BH19" i="144"/>
  <c r="U34" i="145"/>
  <c r="BZ34" i="145" s="1"/>
  <c r="AX26" i="145"/>
  <c r="AP11" i="145"/>
  <c r="AP32" i="145"/>
  <c r="AP26" i="145"/>
  <c r="U12" i="145"/>
  <c r="AI34" i="145"/>
  <c r="AK34" i="145" s="1"/>
  <c r="BI34" i="145"/>
  <c r="BJ34" i="145" s="1"/>
  <c r="BK34" i="145" s="1"/>
  <c r="BH29" i="145"/>
  <c r="Z18" i="145"/>
  <c r="BI18" i="145" s="1"/>
  <c r="U28" i="144"/>
  <c r="V29" i="145"/>
  <c r="E52" i="56"/>
  <c r="E98" i="56" s="1"/>
  <c r="V27" i="145"/>
  <c r="U15" i="145"/>
  <c r="AX9" i="145"/>
  <c r="U41" i="144"/>
  <c r="V16" i="144"/>
  <c r="V9" i="144"/>
  <c r="Z39" i="145"/>
  <c r="BA36" i="145"/>
  <c r="U35" i="145"/>
  <c r="BA34" i="145"/>
  <c r="U25" i="145"/>
  <c r="CC46" i="145"/>
  <c r="CA47" i="144"/>
  <c r="Z20" i="145"/>
  <c r="AI20" i="145" s="1"/>
  <c r="BA15" i="145"/>
  <c r="CK46" i="145"/>
  <c r="BH27" i="145"/>
  <c r="BH12" i="145"/>
  <c r="BA40" i="144"/>
  <c r="BH38" i="144"/>
  <c r="V13" i="144"/>
  <c r="BH40" i="145"/>
  <c r="V36" i="145"/>
  <c r="BT33" i="145"/>
  <c r="Z31" i="145"/>
  <c r="BI31" i="145" s="1"/>
  <c r="BJ31" i="145" s="1"/>
  <c r="BK31" i="145" s="1"/>
  <c r="Z25" i="145"/>
  <c r="BI25" i="145" s="1"/>
  <c r="BT17" i="145"/>
  <c r="V8" i="145"/>
  <c r="BH7" i="145"/>
  <c r="AP34" i="145"/>
  <c r="AU34" i="145" s="1"/>
  <c r="Z28" i="145"/>
  <c r="Z26" i="145"/>
  <c r="AI26" i="145" s="1"/>
  <c r="Z13" i="145"/>
  <c r="AI13" i="145" s="1"/>
  <c r="BA43" i="145"/>
  <c r="U33" i="145"/>
  <c r="AP29" i="145"/>
  <c r="BA12" i="145"/>
  <c r="Z10" i="145"/>
  <c r="BI10" i="145" s="1"/>
  <c r="AP39" i="144"/>
  <c r="U30" i="144"/>
  <c r="V29" i="144"/>
  <c r="AX18" i="144"/>
  <c r="AX10" i="144"/>
  <c r="AX43" i="145"/>
  <c r="AO37" i="145"/>
  <c r="U26" i="145"/>
  <c r="U23" i="145"/>
  <c r="U21" i="145"/>
  <c r="Y21" i="145" s="1"/>
  <c r="BH19" i="145"/>
  <c r="CA46" i="145"/>
  <c r="BH26" i="144"/>
  <c r="BH18" i="144"/>
  <c r="P6" i="142"/>
  <c r="P58" i="142"/>
  <c r="U34" i="144"/>
  <c r="AX23" i="144"/>
  <c r="V12" i="144"/>
  <c r="CI47" i="144"/>
  <c r="U41" i="145"/>
  <c r="BT36" i="145"/>
  <c r="U32" i="145"/>
  <c r="CE46" i="145"/>
  <c r="V10" i="145"/>
  <c r="AX40" i="144"/>
  <c r="CH47" i="144"/>
  <c r="Z42" i="145"/>
  <c r="U36" i="145"/>
  <c r="Z33" i="145"/>
  <c r="AI33" i="145" s="1"/>
  <c r="V22" i="145"/>
  <c r="AO12" i="145"/>
  <c r="AP35" i="144"/>
  <c r="BA35" i="144"/>
  <c r="AP20" i="144"/>
  <c r="BA20" i="144"/>
  <c r="BI28" i="145"/>
  <c r="BJ28" i="145" s="1"/>
  <c r="BK28" i="145" s="1"/>
  <c r="AI28" i="145"/>
  <c r="U19" i="144"/>
  <c r="AP19" i="144"/>
  <c r="BA19" i="144"/>
  <c r="AJ21" i="145"/>
  <c r="AK21" i="145"/>
  <c r="BA11" i="144"/>
  <c r="U11" i="144"/>
  <c r="AP26" i="144"/>
  <c r="BA26" i="144"/>
  <c r="BA36" i="144"/>
  <c r="AP36" i="144"/>
  <c r="U35" i="144"/>
  <c r="AP16" i="144"/>
  <c r="BA16" i="144"/>
  <c r="U36" i="144"/>
  <c r="AP23" i="144"/>
  <c r="BA23" i="144"/>
  <c r="U23" i="144"/>
  <c r="P13" i="142"/>
  <c r="BH37" i="145"/>
  <c r="BA23" i="145"/>
  <c r="BA31" i="145"/>
  <c r="BA41" i="144"/>
  <c r="V40" i="144"/>
  <c r="V26" i="144"/>
  <c r="AX25" i="144"/>
  <c r="BH22" i="144"/>
  <c r="CD47" i="144"/>
  <c r="AX15" i="144"/>
  <c r="CC47" i="144"/>
  <c r="U9" i="144"/>
  <c r="BH41" i="145"/>
  <c r="U38" i="145"/>
  <c r="BH33" i="145"/>
  <c r="V25" i="145"/>
  <c r="BT24" i="145"/>
  <c r="BI21" i="145"/>
  <c r="BJ21" i="145" s="1"/>
  <c r="BK21" i="145" s="1"/>
  <c r="AO20" i="145"/>
  <c r="CL46" i="145"/>
  <c r="AP16" i="145"/>
  <c r="Z16" i="145"/>
  <c r="BI16" i="145" s="1"/>
  <c r="BJ16" i="145" s="1"/>
  <c r="Z11" i="145"/>
  <c r="BH9" i="145"/>
  <c r="AO8" i="145"/>
  <c r="Z8" i="145"/>
  <c r="AI8" i="145" s="1"/>
  <c r="BH37" i="144"/>
  <c r="AX41" i="144"/>
  <c r="AX35" i="144"/>
  <c r="CL47" i="144"/>
  <c r="AO40" i="145"/>
  <c r="BT38" i="145"/>
  <c r="BA37" i="145"/>
  <c r="BH35" i="145"/>
  <c r="AX32" i="145"/>
  <c r="V30" i="145"/>
  <c r="AO26" i="145"/>
  <c r="V18" i="145"/>
  <c r="BI14" i="145"/>
  <c r="BJ14" i="145" s="1"/>
  <c r="BM14" i="145" s="1"/>
  <c r="BV14" i="145" s="1"/>
  <c r="CI46" i="145"/>
  <c r="J8" i="143"/>
  <c r="AX37" i="144"/>
  <c r="V34" i="144"/>
  <c r="AP17" i="144"/>
  <c r="BH16" i="144"/>
  <c r="U16" i="144"/>
  <c r="AX37" i="145"/>
  <c r="BH24" i="145"/>
  <c r="BH17" i="145"/>
  <c r="BT15" i="145"/>
  <c r="CH46" i="145"/>
  <c r="AP37" i="144"/>
  <c r="U26" i="144"/>
  <c r="AX24" i="144"/>
  <c r="AX22" i="144"/>
  <c r="BH9" i="144"/>
  <c r="AX35" i="145"/>
  <c r="V20" i="144"/>
  <c r="BA14" i="144"/>
  <c r="V43" i="145"/>
  <c r="BT42" i="145"/>
  <c r="BA38" i="145"/>
  <c r="AP33" i="145"/>
  <c r="Z32" i="145"/>
  <c r="BI32" i="145" s="1"/>
  <c r="BA24" i="145"/>
  <c r="BH22" i="145"/>
  <c r="BH18" i="145"/>
  <c r="AX17" i="145"/>
  <c r="V16" i="145"/>
  <c r="CJ46" i="145"/>
  <c r="Z12" i="145"/>
  <c r="BI12" i="145" s="1"/>
  <c r="BA10" i="145"/>
  <c r="E53" i="56"/>
  <c r="E99" i="56" s="1"/>
  <c r="L47" i="145"/>
  <c r="L50" i="145" s="1"/>
  <c r="BT28" i="145"/>
  <c r="F44" i="144"/>
  <c r="U32" i="144"/>
  <c r="BH21" i="144"/>
  <c r="V15" i="144"/>
  <c r="CF47" i="144"/>
  <c r="BT39" i="145"/>
  <c r="AX38" i="145"/>
  <c r="AO35" i="145"/>
  <c r="BA28" i="145"/>
  <c r="V12" i="145"/>
  <c r="AX10" i="145"/>
  <c r="BH41" i="144"/>
  <c r="K44" i="144"/>
  <c r="AX36" i="144"/>
  <c r="V35" i="144"/>
  <c r="U20" i="144"/>
  <c r="CG47" i="144"/>
  <c r="V10" i="144"/>
  <c r="BH25" i="145"/>
  <c r="U16" i="145"/>
  <c r="AX15" i="145"/>
  <c r="CE47" i="144"/>
  <c r="AP13" i="144"/>
  <c r="D48" i="144"/>
  <c r="U17" i="144"/>
  <c r="U13" i="144"/>
  <c r="AN46" i="145"/>
  <c r="V33" i="145"/>
  <c r="U31" i="145"/>
  <c r="AX30" i="145"/>
  <c r="E51" i="56"/>
  <c r="E97" i="56" s="1"/>
  <c r="AX29" i="144"/>
  <c r="BI40" i="145"/>
  <c r="E54" i="56"/>
  <c r="E100" i="56" s="1"/>
  <c r="AP28" i="145"/>
  <c r="U28" i="145"/>
  <c r="BT23" i="145"/>
  <c r="BT21" i="145"/>
  <c r="AO18" i="145"/>
  <c r="Z15" i="145"/>
  <c r="AI15" i="145" s="1"/>
  <c r="AN363" i="164"/>
  <c r="AP363" i="164" s="1"/>
  <c r="AM362" i="164"/>
  <c r="AU362" i="164" s="1"/>
  <c r="BH25" i="144"/>
  <c r="CJ47" i="144"/>
  <c r="V38" i="145"/>
  <c r="AO25" i="145"/>
  <c r="BR351" i="164"/>
  <c r="BT351" i="164" s="1"/>
  <c r="CH351" i="164" s="1"/>
  <c r="N56" i="56"/>
  <c r="CH350" i="164"/>
  <c r="AR350" i="164"/>
  <c r="AS350" i="164" s="1"/>
  <c r="AT350" i="164" s="1"/>
  <c r="BN500" i="164"/>
  <c r="BO500" i="164" s="1"/>
  <c r="BE501" i="164"/>
  <c r="BD501" i="164"/>
  <c r="CW501" i="164" s="1"/>
  <c r="BM501" i="164"/>
  <c r="BQ499" i="164"/>
  <c r="BS499" i="164" s="1"/>
  <c r="CG499" i="164" s="1"/>
  <c r="BU499" i="164"/>
  <c r="BW499" i="164" s="1"/>
  <c r="BY499" i="164" s="1"/>
  <c r="CA499" i="164" s="1"/>
  <c r="CE499" i="164" s="1"/>
  <c r="CI499" i="164" s="1"/>
  <c r="AN501" i="164"/>
  <c r="AP501" i="164" s="1"/>
  <c r="AM500" i="164"/>
  <c r="BV498" i="164"/>
  <c r="BX498" i="164" s="1"/>
  <c r="BZ498" i="164" s="1"/>
  <c r="CB498" i="164" s="1"/>
  <c r="CF498" i="164" s="1"/>
  <c r="CJ498" i="164" s="1"/>
  <c r="BR498" i="164"/>
  <c r="BT498" i="164" s="1"/>
  <c r="AU499" i="164"/>
  <c r="AV499" i="164"/>
  <c r="AW499" i="164" s="1"/>
  <c r="BP499" i="164" s="1"/>
  <c r="CC497" i="164"/>
  <c r="CD497" i="164" s="1"/>
  <c r="CH497" i="164"/>
  <c r="AR497" i="164"/>
  <c r="AS497" i="164" s="1"/>
  <c r="AT497" i="164" s="1"/>
  <c r="AA502" i="164"/>
  <c r="R502" i="164"/>
  <c r="CC350" i="164"/>
  <c r="CD350" i="164" s="1"/>
  <c r="CG350" i="164"/>
  <c r="AZ355" i="164"/>
  <c r="CX355" i="164"/>
  <c r="AV355" i="164"/>
  <c r="Z355" i="164"/>
  <c r="K356" i="164"/>
  <c r="L356" i="164" s="1"/>
  <c r="BJ182" i="164"/>
  <c r="CK182" i="164" s="1"/>
  <c r="A183" i="164"/>
  <c r="BE354" i="164"/>
  <c r="BD354" i="164"/>
  <c r="CW354" i="164" s="1"/>
  <c r="BM354" i="164"/>
  <c r="AB501" i="164"/>
  <c r="AI501" i="164" s="1"/>
  <c r="Y503" i="164"/>
  <c r="G504" i="164"/>
  <c r="H504" i="164" s="1"/>
  <c r="P503" i="164"/>
  <c r="BO352" i="164"/>
  <c r="AW352" i="164"/>
  <c r="BP352" i="164" s="1"/>
  <c r="Z502" i="164"/>
  <c r="CX502" i="164"/>
  <c r="K503" i="164"/>
  <c r="L503" i="164" s="1"/>
  <c r="AZ502" i="164"/>
  <c r="AA354" i="164"/>
  <c r="R354" i="164"/>
  <c r="BN353" i="164"/>
  <c r="G356" i="164"/>
  <c r="H356" i="164" s="1"/>
  <c r="Y355" i="164"/>
  <c r="P355" i="164"/>
  <c r="AB353" i="164"/>
  <c r="AI353" i="164" s="1"/>
  <c r="CC351" i="164"/>
  <c r="CD351" i="164" s="1"/>
  <c r="CG351" i="164"/>
  <c r="N59" i="56"/>
  <c r="N58" i="56"/>
  <c r="N62" i="56"/>
  <c r="N57" i="56"/>
  <c r="BC24" i="144"/>
  <c r="BC20" i="144"/>
  <c r="BC33" i="144"/>
  <c r="BC37" i="144"/>
  <c r="BC27" i="144"/>
  <c r="BS20" i="144"/>
  <c r="BC17" i="144"/>
  <c r="D5" i="141"/>
  <c r="BI35" i="144"/>
  <c r="BJ35" i="144" s="1"/>
  <c r="BK35" i="144" s="1"/>
  <c r="AI35" i="144"/>
  <c r="AJ35" i="144" s="1"/>
  <c r="BS17" i="144"/>
  <c r="BC11" i="144"/>
  <c r="BC36" i="144"/>
  <c r="BI23" i="144"/>
  <c r="BJ23" i="144" s="1"/>
  <c r="BK23" i="144" s="1"/>
  <c r="AI23" i="144"/>
  <c r="AI25" i="144"/>
  <c r="BI25" i="144"/>
  <c r="BJ25" i="144" s="1"/>
  <c r="BK25" i="144" s="1"/>
  <c r="AK17" i="144"/>
  <c r="AK14" i="144"/>
  <c r="AI20" i="144"/>
  <c r="AJ20" i="144" s="1"/>
  <c r="BI20" i="144"/>
  <c r="BJ20" i="144" s="1"/>
  <c r="BI41" i="144"/>
  <c r="BJ41" i="144" s="1"/>
  <c r="BK41" i="144" s="1"/>
  <c r="AI41" i="144"/>
  <c r="AI12" i="144"/>
  <c r="M12" i="144" s="1"/>
  <c r="BI12" i="144"/>
  <c r="BJ12" i="144" s="1"/>
  <c r="BI18" i="144"/>
  <c r="BJ18" i="144" s="1"/>
  <c r="BM18" i="144" s="1"/>
  <c r="BV18" i="144" s="1"/>
  <c r="AF18" i="144" s="1"/>
  <c r="AI18" i="144"/>
  <c r="AJ18" i="144" s="1"/>
  <c r="BC25" i="144"/>
  <c r="BI11" i="144"/>
  <c r="BJ11" i="144" s="1"/>
  <c r="BC38" i="144"/>
  <c r="BC14" i="144"/>
  <c r="BC13" i="144"/>
  <c r="Z36" i="144"/>
  <c r="BI36" i="144" s="1"/>
  <c r="BC31" i="144"/>
  <c r="BC26" i="144"/>
  <c r="BS37" i="144"/>
  <c r="BI32" i="144"/>
  <c r="BJ32" i="144" s="1"/>
  <c r="BK32" i="144" s="1"/>
  <c r="BC21" i="144"/>
  <c r="AI40" i="144"/>
  <c r="AJ40" i="144" s="1"/>
  <c r="AK11" i="144"/>
  <c r="BI33" i="144"/>
  <c r="BJ33" i="144" s="1"/>
  <c r="BK33" i="144" s="1"/>
  <c r="BC28" i="144"/>
  <c r="BI22" i="144"/>
  <c r="AI22" i="144"/>
  <c r="BA31" i="144"/>
  <c r="AP31" i="144"/>
  <c r="AP38" i="144"/>
  <c r="BA38" i="144"/>
  <c r="U38" i="144"/>
  <c r="AI39" i="144"/>
  <c r="BI39" i="144"/>
  <c r="BJ37" i="144"/>
  <c r="BK37" i="144" s="1"/>
  <c r="AJ32" i="144"/>
  <c r="AK32" i="144"/>
  <c r="M32" i="144"/>
  <c r="W32" i="144" s="1"/>
  <c r="AI27" i="144"/>
  <c r="Z24" i="144"/>
  <c r="U22" i="144"/>
  <c r="BA22" i="144"/>
  <c r="AP22" i="144"/>
  <c r="BS16" i="144"/>
  <c r="BC16" i="144"/>
  <c r="CB47" i="144"/>
  <c r="BS19" i="144"/>
  <c r="BC19" i="144"/>
  <c r="AI16" i="144"/>
  <c r="BI16" i="144"/>
  <c r="AI15" i="144"/>
  <c r="BI15" i="144"/>
  <c r="BC12" i="144"/>
  <c r="BS12" i="144"/>
  <c r="D42" i="144"/>
  <c r="F43" i="144" s="1"/>
  <c r="BI43" i="145"/>
  <c r="AI43" i="145"/>
  <c r="T46" i="145"/>
  <c r="U31" i="144"/>
  <c r="M33" i="144"/>
  <c r="BR33" i="144" s="1"/>
  <c r="AJ33" i="144"/>
  <c r="BC39" i="144"/>
  <c r="BA25" i="144"/>
  <c r="AP25" i="144"/>
  <c r="Z35" i="145"/>
  <c r="S46" i="145"/>
  <c r="V17" i="144"/>
  <c r="BH17" i="144"/>
  <c r="AX17" i="144"/>
  <c r="V14" i="145"/>
  <c r="AX14" i="145"/>
  <c r="BH14" i="145"/>
  <c r="U24" i="144"/>
  <c r="U40" i="144"/>
  <c r="AI38" i="144"/>
  <c r="BC34" i="144"/>
  <c r="BA34" i="144"/>
  <c r="AP34" i="144"/>
  <c r="BA33" i="144"/>
  <c r="BA32" i="144"/>
  <c r="AP32" i="144"/>
  <c r="BI28" i="144"/>
  <c r="AI28" i="144"/>
  <c r="AX27" i="144"/>
  <c r="V27" i="144"/>
  <c r="BC30" i="144"/>
  <c r="Z30" i="144"/>
  <c r="BI31" i="144"/>
  <c r="AI31" i="144"/>
  <c r="BC22" i="144"/>
  <c r="BC40" i="144"/>
  <c r="BC35" i="144"/>
  <c r="BS35" i="144"/>
  <c r="U33" i="144"/>
  <c r="BH32" i="144"/>
  <c r="U27" i="144"/>
  <c r="AI26" i="144"/>
  <c r="BC10" i="144"/>
  <c r="BS10" i="144"/>
  <c r="BH39" i="144"/>
  <c r="BJ27" i="144"/>
  <c r="BK27" i="144" s="1"/>
  <c r="AN47" i="144"/>
  <c r="BI29" i="144"/>
  <c r="AI29" i="144"/>
  <c r="BI21" i="144"/>
  <c r="AI21" i="144"/>
  <c r="V21" i="145"/>
  <c r="AX21" i="145"/>
  <c r="BH21" i="145"/>
  <c r="S47" i="144"/>
  <c r="BS39" i="144"/>
  <c r="BC41" i="144"/>
  <c r="AI37" i="144"/>
  <c r="BH33" i="144"/>
  <c r="AX33" i="144"/>
  <c r="BC32" i="144"/>
  <c r="BS32" i="144"/>
  <c r="U29" i="144"/>
  <c r="AP29" i="144"/>
  <c r="BI10" i="144"/>
  <c r="AI10" i="144"/>
  <c r="BA21" i="144"/>
  <c r="AP21" i="144"/>
  <c r="U21" i="144"/>
  <c r="T47" i="144"/>
  <c r="AK33" i="144"/>
  <c r="BA15" i="144"/>
  <c r="AP15" i="144"/>
  <c r="U15" i="144"/>
  <c r="BA10" i="144"/>
  <c r="AP10" i="144"/>
  <c r="L48" i="144"/>
  <c r="BI34" i="144"/>
  <c r="AI34" i="144"/>
  <c r="V30" i="144"/>
  <c r="BH30" i="144"/>
  <c r="BC29" i="144"/>
  <c r="AP24" i="144"/>
  <c r="BC23" i="144"/>
  <c r="BS23" i="144"/>
  <c r="BZ36" i="145"/>
  <c r="BP36" i="145"/>
  <c r="BQ36" i="145"/>
  <c r="AU36" i="145"/>
  <c r="BR36" i="145"/>
  <c r="AS36" i="145"/>
  <c r="AT36" i="145" s="1"/>
  <c r="BI33" i="145"/>
  <c r="BH31" i="145"/>
  <c r="AX31" i="145"/>
  <c r="AP20" i="145"/>
  <c r="U20" i="145"/>
  <c r="BA20" i="145"/>
  <c r="BS27" i="144"/>
  <c r="V39" i="144"/>
  <c r="BA28" i="144"/>
  <c r="AP27" i="144"/>
  <c r="M18" i="144"/>
  <c r="X18" i="144" s="1"/>
  <c r="BA18" i="144"/>
  <c r="AP18" i="144"/>
  <c r="U18" i="144"/>
  <c r="V11" i="144"/>
  <c r="BH11" i="144"/>
  <c r="AX11" i="144"/>
  <c r="AP42" i="145"/>
  <c r="U42" i="145"/>
  <c r="BA42" i="145"/>
  <c r="AJ40" i="145"/>
  <c r="V31" i="144"/>
  <c r="AX21" i="144"/>
  <c r="AI19" i="144"/>
  <c r="BI19" i="144"/>
  <c r="V36" i="144"/>
  <c r="V24" i="144"/>
  <c r="AJ14" i="144"/>
  <c r="M14" i="144"/>
  <c r="W14" i="144" s="1"/>
  <c r="BA12" i="144"/>
  <c r="AP12" i="144"/>
  <c r="U12" i="144"/>
  <c r="AO41" i="145"/>
  <c r="BT41" i="145"/>
  <c r="Y36" i="145"/>
  <c r="AP8" i="145"/>
  <c r="BA8" i="145"/>
  <c r="U8" i="145"/>
  <c r="M11" i="144"/>
  <c r="BI39" i="145"/>
  <c r="AI39" i="145"/>
  <c r="X36" i="145"/>
  <c r="AX31" i="144"/>
  <c r="BC15" i="144"/>
  <c r="V14" i="144"/>
  <c r="BH14" i="144"/>
  <c r="AX14" i="144"/>
  <c r="W36" i="145"/>
  <c r="AS34" i="145"/>
  <c r="BP34" i="145"/>
  <c r="BQ34" i="145"/>
  <c r="BR34" i="145"/>
  <c r="AP30" i="144"/>
  <c r="BS28" i="144"/>
  <c r="AI13" i="144"/>
  <c r="BI13" i="144"/>
  <c r="W19" i="145"/>
  <c r="BH11" i="145"/>
  <c r="V11" i="145"/>
  <c r="AX11" i="145"/>
  <c r="BS33" i="144"/>
  <c r="AJ17" i="144"/>
  <c r="M17" i="144"/>
  <c r="U10" i="144"/>
  <c r="BC9" i="144"/>
  <c r="BS9" i="144"/>
  <c r="BT43" i="145"/>
  <c r="AO43" i="145"/>
  <c r="BS21" i="144"/>
  <c r="BC18" i="144"/>
  <c r="AI9" i="144"/>
  <c r="BI9" i="144"/>
  <c r="V39" i="145"/>
  <c r="AX39" i="145"/>
  <c r="BH39" i="145"/>
  <c r="AI42" i="145"/>
  <c r="BJ40" i="145"/>
  <c r="BK40" i="145" s="1"/>
  <c r="Z38" i="145"/>
  <c r="AO32" i="145"/>
  <c r="Z29" i="145"/>
  <c r="AO22" i="145"/>
  <c r="BA21" i="145"/>
  <c r="BL21" i="145"/>
  <c r="BU21" i="145" s="1"/>
  <c r="Z7" i="145"/>
  <c r="AI24" i="145"/>
  <c r="BI24" i="145"/>
  <c r="BA41" i="145"/>
  <c r="AI27" i="145"/>
  <c r="AO19" i="145"/>
  <c r="BT19" i="145"/>
  <c r="CB46" i="145"/>
  <c r="BI17" i="144"/>
  <c r="BI14" i="144"/>
  <c r="AP9" i="144"/>
  <c r="AI41" i="145"/>
  <c r="BI41" i="145"/>
  <c r="BJ27" i="145"/>
  <c r="BK27" i="145" s="1"/>
  <c r="AI22" i="145"/>
  <c r="BI22" i="145"/>
  <c r="BH16" i="145"/>
  <c r="U40" i="145"/>
  <c r="Y40" i="145" s="1"/>
  <c r="BA40" i="145"/>
  <c r="X34" i="145"/>
  <c r="BJ32" i="145"/>
  <c r="BK32" i="145" s="1"/>
  <c r="AI32" i="145"/>
  <c r="AO31" i="145"/>
  <c r="BT31" i="145"/>
  <c r="X26" i="145"/>
  <c r="AJ19" i="145"/>
  <c r="AK19" i="145"/>
  <c r="BT14" i="145"/>
  <c r="AO14" i="145"/>
  <c r="AP11" i="144"/>
  <c r="AX42" i="145"/>
  <c r="V42" i="145"/>
  <c r="AX40" i="145"/>
  <c r="W34" i="145"/>
  <c r="AS28" i="145"/>
  <c r="AT28" i="145" s="1"/>
  <c r="AU28" i="145"/>
  <c r="BP28" i="145"/>
  <c r="BQ28" i="145"/>
  <c r="BI42" i="145"/>
  <c r="BA39" i="145"/>
  <c r="AP39" i="145"/>
  <c r="BL34" i="145"/>
  <c r="BU34" i="145" s="1"/>
  <c r="V34" i="145"/>
  <c r="BH34" i="145"/>
  <c r="BH23" i="145"/>
  <c r="V23" i="145"/>
  <c r="BO21" i="145"/>
  <c r="BH42" i="145"/>
  <c r="U37" i="145"/>
  <c r="AI31" i="145"/>
  <c r="AX23" i="145"/>
  <c r="AX20" i="145"/>
  <c r="V20" i="145"/>
  <c r="BH20" i="145"/>
  <c r="AP17" i="145"/>
  <c r="BA17" i="145"/>
  <c r="AP35" i="145"/>
  <c r="Z30" i="145"/>
  <c r="AP25" i="145"/>
  <c r="U24" i="145"/>
  <c r="U22" i="145"/>
  <c r="BA22" i="145"/>
  <c r="AP22" i="145"/>
  <c r="AS21" i="145"/>
  <c r="AT21" i="145" s="1"/>
  <c r="AU21" i="145"/>
  <c r="BP21" i="145"/>
  <c r="AP18" i="145"/>
  <c r="U18" i="145"/>
  <c r="AO16" i="145"/>
  <c r="U27" i="145"/>
  <c r="BA27" i="145"/>
  <c r="Y26" i="145"/>
  <c r="AP19" i="145"/>
  <c r="U19" i="145"/>
  <c r="Y19" i="145" s="1"/>
  <c r="BI17" i="145"/>
  <c r="AI17" i="145"/>
  <c r="BK14" i="145"/>
  <c r="BN14" i="145" s="1"/>
  <c r="BW14" i="145" s="1"/>
  <c r="W26" i="145"/>
  <c r="Z23" i="145"/>
  <c r="BZ21" i="145"/>
  <c r="BI19" i="145"/>
  <c r="BA18" i="145"/>
  <c r="BL14" i="145"/>
  <c r="BU14" i="145" s="1"/>
  <c r="X11" i="145"/>
  <c r="U17" i="145"/>
  <c r="AI16" i="145"/>
  <c r="W11" i="145"/>
  <c r="AO11" i="145"/>
  <c r="BT11" i="145"/>
  <c r="AP7" i="145"/>
  <c r="U7" i="145"/>
  <c r="AP13" i="145"/>
  <c r="BA9" i="145"/>
  <c r="AP9" i="145"/>
  <c r="U13" i="145"/>
  <c r="Y13" i="145" s="1"/>
  <c r="X13" i="145"/>
  <c r="W13" i="145"/>
  <c r="Z9" i="145"/>
  <c r="BH15" i="145"/>
  <c r="V13" i="145"/>
  <c r="AX13" i="145"/>
  <c r="AK14" i="145"/>
  <c r="X14" i="145"/>
  <c r="U9" i="145"/>
  <c r="Y11" i="145"/>
  <c r="BT10" i="145"/>
  <c r="BT9" i="145"/>
  <c r="BT7" i="145"/>
  <c r="C904" i="57"/>
  <c r="C903" i="57"/>
  <c r="C911" i="57"/>
  <c r="C912" i="57"/>
  <c r="C815" i="57"/>
  <c r="C814" i="57"/>
  <c r="C805" i="57"/>
  <c r="C804" i="57"/>
  <c r="C666" i="57"/>
  <c r="C665" i="57"/>
  <c r="C654" i="57"/>
  <c r="C565" i="57"/>
  <c r="C572" i="57"/>
  <c r="C579" i="57"/>
  <c r="C586" i="57"/>
  <c r="C502" i="57"/>
  <c r="AJ37" i="145" l="1"/>
  <c r="AK37" i="145"/>
  <c r="Y17" i="144"/>
  <c r="BI13" i="145"/>
  <c r="BJ13" i="145" s="1"/>
  <c r="BI26" i="145"/>
  <c r="BJ26" i="145" s="1"/>
  <c r="BK26" i="145" s="1"/>
  <c r="P26" i="142"/>
  <c r="BI36" i="145"/>
  <c r="BL36" i="145" s="1"/>
  <c r="BU36" i="145" s="1"/>
  <c r="AB36" i="145" s="1"/>
  <c r="AE36" i="145" s="1"/>
  <c r="AI12" i="145"/>
  <c r="BI37" i="145"/>
  <c r="BJ37" i="145" s="1"/>
  <c r="BK37" i="145" s="1"/>
  <c r="BI8" i="145"/>
  <c r="Y34" i="145"/>
  <c r="AT34" i="145"/>
  <c r="AJ34" i="145"/>
  <c r="AI18" i="145"/>
  <c r="AJ18" i="145" s="1"/>
  <c r="AJ36" i="145"/>
  <c r="AJ13" i="145"/>
  <c r="AK13" i="145"/>
  <c r="AJ26" i="145"/>
  <c r="AK26" i="145"/>
  <c r="BL28" i="145"/>
  <c r="BU28" i="145" s="1"/>
  <c r="AB28" i="145" s="1"/>
  <c r="AE28" i="145" s="1"/>
  <c r="AI10" i="145"/>
  <c r="AJ10" i="145" s="1"/>
  <c r="AI25" i="145"/>
  <c r="AJ25" i="145" s="1"/>
  <c r="BI15" i="145"/>
  <c r="BJ15" i="145" s="1"/>
  <c r="BO11" i="145"/>
  <c r="AH11" i="145" s="1"/>
  <c r="Y11" i="144"/>
  <c r="BI20" i="145"/>
  <c r="BO36" i="145"/>
  <c r="AB502" i="164"/>
  <c r="BO12" i="144"/>
  <c r="AH12" i="144" s="1"/>
  <c r="BI11" i="145"/>
  <c r="AI11" i="145"/>
  <c r="AN364" i="164"/>
  <c r="AP364" i="164" s="1"/>
  <c r="AM363" i="164"/>
  <c r="AU363" i="164" s="1"/>
  <c r="AK28" i="145"/>
  <c r="AJ28" i="145"/>
  <c r="BL40" i="145"/>
  <c r="BU40" i="145" s="1"/>
  <c r="AB40" i="145" s="1"/>
  <c r="AE40" i="145" s="1"/>
  <c r="BO34" i="145"/>
  <c r="AW34" i="145" s="1"/>
  <c r="CM47" i="144"/>
  <c r="Y28" i="145"/>
  <c r="BO28" i="145" s="1"/>
  <c r="AY28" i="145" s="1"/>
  <c r="BB28" i="145" s="1"/>
  <c r="BZ28" i="145"/>
  <c r="AR351" i="164"/>
  <c r="AS351" i="164" s="1"/>
  <c r="AT351" i="164" s="1"/>
  <c r="AX46" i="145"/>
  <c r="BO13" i="145"/>
  <c r="AH13" i="145" s="1"/>
  <c r="AI502" i="164"/>
  <c r="CH498" i="164"/>
  <c r="CC498" i="164"/>
  <c r="CD498" i="164" s="1"/>
  <c r="AR498" i="164"/>
  <c r="AS498" i="164" s="1"/>
  <c r="AT498" i="164" s="1"/>
  <c r="Y356" i="164"/>
  <c r="G357" i="164"/>
  <c r="H357" i="164" s="1"/>
  <c r="P356" i="164"/>
  <c r="BQ352" i="164"/>
  <c r="BS352" i="164" s="1"/>
  <c r="CG352" i="164" s="1"/>
  <c r="BU352" i="164"/>
  <c r="BW352" i="164" s="1"/>
  <c r="BY352" i="164" s="1"/>
  <c r="CA352" i="164" s="1"/>
  <c r="CE352" i="164" s="1"/>
  <c r="CI352" i="164" s="1"/>
  <c r="BR499" i="164"/>
  <c r="BT499" i="164" s="1"/>
  <c r="BV499" i="164"/>
  <c r="BX499" i="164" s="1"/>
  <c r="BZ499" i="164" s="1"/>
  <c r="CB499" i="164" s="1"/>
  <c r="CF499" i="164" s="1"/>
  <c r="CJ499" i="164" s="1"/>
  <c r="AN502" i="164"/>
  <c r="AP502" i="164" s="1"/>
  <c r="AM501" i="164"/>
  <c r="AA503" i="164"/>
  <c r="R503" i="164"/>
  <c r="Y504" i="164"/>
  <c r="G505" i="164"/>
  <c r="H505" i="164" s="1"/>
  <c r="P504" i="164"/>
  <c r="AB354" i="164"/>
  <c r="AI354" i="164" s="1"/>
  <c r="BN501" i="164"/>
  <c r="BO501" i="164" s="1"/>
  <c r="BE355" i="164"/>
  <c r="BD355" i="164"/>
  <c r="CW355" i="164" s="1"/>
  <c r="BM355" i="164"/>
  <c r="BE502" i="164"/>
  <c r="BD502" i="164"/>
  <c r="CW502" i="164" s="1"/>
  <c r="BM502" i="164"/>
  <c r="BN354" i="164"/>
  <c r="AZ503" i="164"/>
  <c r="Z503" i="164"/>
  <c r="CX503" i="164"/>
  <c r="K504" i="164"/>
  <c r="L504" i="164" s="1"/>
  <c r="BQ500" i="164"/>
  <c r="BS500" i="164" s="1"/>
  <c r="CG500" i="164" s="1"/>
  <c r="BU500" i="164"/>
  <c r="BW500" i="164" s="1"/>
  <c r="BY500" i="164" s="1"/>
  <c r="CA500" i="164" s="1"/>
  <c r="CE500" i="164" s="1"/>
  <c r="CI500" i="164" s="1"/>
  <c r="BO353" i="164"/>
  <c r="AW353" i="164"/>
  <c r="BP353" i="164" s="1"/>
  <c r="AA355" i="164"/>
  <c r="R355" i="164"/>
  <c r="BJ183" i="164"/>
  <c r="CK183" i="164" s="1"/>
  <c r="A184" i="164"/>
  <c r="BV352" i="164"/>
  <c r="BX352" i="164" s="1"/>
  <c r="BZ352" i="164" s="1"/>
  <c r="CB352" i="164" s="1"/>
  <c r="CF352" i="164" s="1"/>
  <c r="CJ352" i="164" s="1"/>
  <c r="BR352" i="164"/>
  <c r="BT352" i="164" s="1"/>
  <c r="CX356" i="164"/>
  <c r="AZ356" i="164"/>
  <c r="AV356" i="164"/>
  <c r="Z356" i="164"/>
  <c r="K357" i="164"/>
  <c r="L357" i="164" s="1"/>
  <c r="AU500" i="164"/>
  <c r="AV500" i="164"/>
  <c r="AW500" i="164" s="1"/>
  <c r="BP500" i="164" s="1"/>
  <c r="AK18" i="144"/>
  <c r="AK35" i="144"/>
  <c r="AC18" i="144"/>
  <c r="X32" i="144"/>
  <c r="M35" i="144"/>
  <c r="W35" i="144" s="1"/>
  <c r="AI36" i="144"/>
  <c r="AK36" i="144" s="1"/>
  <c r="BR18" i="144"/>
  <c r="BQ18" i="144"/>
  <c r="AK25" i="144"/>
  <c r="BK18" i="144"/>
  <c r="BN18" i="144" s="1"/>
  <c r="BW18" i="144" s="1"/>
  <c r="AD18" i="144" s="1"/>
  <c r="M23" i="144"/>
  <c r="X23" i="144" s="1"/>
  <c r="BO32" i="144"/>
  <c r="AH32" i="144" s="1"/>
  <c r="BQ32" i="144"/>
  <c r="BL32" i="144"/>
  <c r="BU32" i="144" s="1"/>
  <c r="AB32" i="144" s="1"/>
  <c r="AE32" i="144" s="1"/>
  <c r="X17" i="144"/>
  <c r="M40" i="144"/>
  <c r="X40" i="144" s="1"/>
  <c r="AK40" i="144"/>
  <c r="BK20" i="144"/>
  <c r="BN20" i="144" s="1"/>
  <c r="BW20" i="144" s="1"/>
  <c r="BM20" i="144"/>
  <c r="BV20" i="144" s="1"/>
  <c r="AK20" i="144"/>
  <c r="M20" i="144"/>
  <c r="BQ11" i="144"/>
  <c r="BQ17" i="144"/>
  <c r="BM11" i="144"/>
  <c r="BV11" i="144" s="1"/>
  <c r="BK11" i="144"/>
  <c r="BN11" i="144" s="1"/>
  <c r="BW11" i="144" s="1"/>
  <c r="BR11" i="144"/>
  <c r="AJ41" i="144"/>
  <c r="AK41" i="144"/>
  <c r="AJ25" i="144"/>
  <c r="M25" i="144"/>
  <c r="M41" i="144"/>
  <c r="Y41" i="144" s="1"/>
  <c r="AJ23" i="144"/>
  <c r="AK23" i="144"/>
  <c r="Y18" i="144"/>
  <c r="AJ12" i="144"/>
  <c r="AK12" i="144"/>
  <c r="AH36" i="145"/>
  <c r="AW36" i="145"/>
  <c r="AY36" i="145"/>
  <c r="BB36" i="145" s="1"/>
  <c r="AB14" i="145"/>
  <c r="AE14" i="145" s="1"/>
  <c r="BL25" i="145"/>
  <c r="BU25" i="145" s="1"/>
  <c r="AX47" i="144"/>
  <c r="BA47" i="144"/>
  <c r="BJ25" i="145"/>
  <c r="BK25" i="145" s="1"/>
  <c r="BP12" i="144"/>
  <c r="AS12" i="144"/>
  <c r="AT12" i="144" s="1"/>
  <c r="AU12" i="144"/>
  <c r="X12" i="144"/>
  <c r="BZ12" i="144"/>
  <c r="AS33" i="144"/>
  <c r="AT33" i="144" s="1"/>
  <c r="AU33" i="144"/>
  <c r="BZ33" i="144"/>
  <c r="BP33" i="144"/>
  <c r="BQ33" i="144"/>
  <c r="X33" i="144"/>
  <c r="AJ42" i="145"/>
  <c r="AK42" i="145"/>
  <c r="M38" i="144"/>
  <c r="Y38" i="144" s="1"/>
  <c r="AJ38" i="144"/>
  <c r="AK38" i="144"/>
  <c r="BJ16" i="144"/>
  <c r="BJ17" i="145"/>
  <c r="U47" i="144"/>
  <c r="AJ34" i="144"/>
  <c r="AK34" i="144"/>
  <c r="M34" i="144"/>
  <c r="BL34" i="144" s="1"/>
  <c r="BU34" i="144" s="1"/>
  <c r="BJ36" i="144"/>
  <c r="BK36" i="144" s="1"/>
  <c r="BJ43" i="145"/>
  <c r="BK43" i="145" s="1"/>
  <c r="BA46" i="145"/>
  <c r="AP46" i="145"/>
  <c r="BJ18" i="145"/>
  <c r="BL18" i="145"/>
  <c r="BU18" i="145" s="1"/>
  <c r="AJ15" i="145"/>
  <c r="AK15" i="145"/>
  <c r="BK16" i="145"/>
  <c r="BN16" i="145" s="1"/>
  <c r="BW16" i="145" s="1"/>
  <c r="BM16" i="145"/>
  <c r="BV16" i="145" s="1"/>
  <c r="AI29" i="145"/>
  <c r="BI29" i="145"/>
  <c r="BJ13" i="144"/>
  <c r="V47" i="144"/>
  <c r="BZ35" i="144"/>
  <c r="BJ21" i="144"/>
  <c r="W33" i="144"/>
  <c r="AW21" i="145"/>
  <c r="AY21" i="145"/>
  <c r="BB21" i="145" s="1"/>
  <c r="AH21" i="145"/>
  <c r="Y22" i="145"/>
  <c r="BJ10" i="145"/>
  <c r="BL10" i="145"/>
  <c r="BU10" i="145" s="1"/>
  <c r="BL22" i="145"/>
  <c r="BU22" i="145" s="1"/>
  <c r="BJ22" i="145"/>
  <c r="BK22" i="145" s="1"/>
  <c r="BJ24" i="145"/>
  <c r="BK24" i="145" s="1"/>
  <c r="BL18" i="144"/>
  <c r="BU18" i="144" s="1"/>
  <c r="AJ16" i="144"/>
  <c r="AK16" i="144"/>
  <c r="M16" i="144"/>
  <c r="BL16" i="144" s="1"/>
  <c r="BU16" i="144" s="1"/>
  <c r="U46" i="145"/>
  <c r="AK22" i="145"/>
  <c r="AJ22" i="145"/>
  <c r="AS14" i="144"/>
  <c r="AT14" i="144" s="1"/>
  <c r="BR14" i="144"/>
  <c r="AU14" i="144"/>
  <c r="BZ14" i="144"/>
  <c r="BO14" i="144"/>
  <c r="BP14" i="144"/>
  <c r="BJ33" i="145"/>
  <c r="BK33" i="145" s="1"/>
  <c r="BL33" i="145"/>
  <c r="BU33" i="145" s="1"/>
  <c r="BJ34" i="144"/>
  <c r="BK34" i="144" s="1"/>
  <c r="M21" i="144"/>
  <c r="BL21" i="144" s="1"/>
  <c r="BU21" i="144" s="1"/>
  <c r="AJ21" i="144"/>
  <c r="AK21" i="144"/>
  <c r="BL19" i="145"/>
  <c r="BU19" i="145" s="1"/>
  <c r="BJ19" i="145"/>
  <c r="BP11" i="145"/>
  <c r="BQ11" i="145"/>
  <c r="AS11" i="145"/>
  <c r="AT11" i="145" s="1"/>
  <c r="AU11" i="145"/>
  <c r="BR11" i="145"/>
  <c r="BZ11" i="145"/>
  <c r="BQ14" i="144"/>
  <c r="AJ13" i="144"/>
  <c r="AK13" i="144"/>
  <c r="M13" i="144"/>
  <c r="BL13" i="144" s="1"/>
  <c r="BU13" i="144" s="1"/>
  <c r="BO18" i="144"/>
  <c r="BJ19" i="144"/>
  <c r="Y33" i="144"/>
  <c r="BR12" i="144"/>
  <c r="BP32" i="144"/>
  <c r="AS32" i="144"/>
  <c r="AT32" i="144" s="1"/>
  <c r="BZ32" i="144"/>
  <c r="Y32" i="144"/>
  <c r="BR32" i="144"/>
  <c r="AU32" i="144"/>
  <c r="Y18" i="145"/>
  <c r="AJ12" i="145"/>
  <c r="AK12" i="145"/>
  <c r="BI9" i="145"/>
  <c r="AI9" i="145"/>
  <c r="AK37" i="144"/>
  <c r="M37" i="144"/>
  <c r="AJ37" i="144"/>
  <c r="AJ24" i="145"/>
  <c r="AK24" i="145"/>
  <c r="AO46" i="145"/>
  <c r="BI30" i="145"/>
  <c r="AI30" i="145"/>
  <c r="AK32" i="145"/>
  <c r="AJ32" i="145"/>
  <c r="AS17" i="144"/>
  <c r="AT17" i="144" s="1"/>
  <c r="BR17" i="144"/>
  <c r="AU17" i="144"/>
  <c r="BZ17" i="144"/>
  <c r="BO17" i="144"/>
  <c r="BP17" i="144"/>
  <c r="X14" i="144"/>
  <c r="AJ39" i="145"/>
  <c r="AK39" i="145"/>
  <c r="AJ19" i="144"/>
  <c r="AK19" i="144"/>
  <c r="M19" i="144"/>
  <c r="AJ29" i="144"/>
  <c r="AK29" i="144"/>
  <c r="M29" i="144"/>
  <c r="Y29" i="144" s="1"/>
  <c r="BQ12" i="144"/>
  <c r="AJ17" i="145"/>
  <c r="BL17" i="145"/>
  <c r="BU17" i="145" s="1"/>
  <c r="AK17" i="145"/>
  <c r="AK33" i="145"/>
  <c r="AJ33" i="145"/>
  <c r="BI23" i="145"/>
  <c r="AI23" i="145"/>
  <c r="M10" i="144"/>
  <c r="AJ10" i="144"/>
  <c r="AK10" i="144"/>
  <c r="AJ16" i="145"/>
  <c r="AK16" i="145"/>
  <c r="BQ13" i="145"/>
  <c r="BR13" i="145"/>
  <c r="BZ13" i="145"/>
  <c r="BP13" i="145"/>
  <c r="AS13" i="145"/>
  <c r="AT13" i="145" s="1"/>
  <c r="AU13" i="145"/>
  <c r="BJ41" i="145"/>
  <c r="BK41" i="145" s="1"/>
  <c r="AI38" i="145"/>
  <c r="BI38" i="145"/>
  <c r="AJ8" i="145"/>
  <c r="AK8" i="145"/>
  <c r="BM12" i="144"/>
  <c r="BV12" i="144" s="1"/>
  <c r="BK12" i="144"/>
  <c r="BN12" i="144" s="1"/>
  <c r="BW12" i="144" s="1"/>
  <c r="BQ35" i="144"/>
  <c r="BI30" i="144"/>
  <c r="AI30" i="144"/>
  <c r="M15" i="144"/>
  <c r="BL15" i="144" s="1"/>
  <c r="BU15" i="144" s="1"/>
  <c r="AJ15" i="144"/>
  <c r="AK15" i="144"/>
  <c r="BJ17" i="144"/>
  <c r="BL17" i="144"/>
  <c r="BU17" i="144" s="1"/>
  <c r="BZ14" i="145"/>
  <c r="BP14" i="145"/>
  <c r="BQ14" i="145"/>
  <c r="AS14" i="145"/>
  <c r="AT14" i="145" s="1"/>
  <c r="BR14" i="145"/>
  <c r="AU14" i="145"/>
  <c r="Y14" i="145"/>
  <c r="AG14" i="145"/>
  <c r="AD14" i="145"/>
  <c r="Y27" i="145"/>
  <c r="Y37" i="145"/>
  <c r="BJ42" i="145"/>
  <c r="BK42" i="145" s="1"/>
  <c r="BL42" i="145"/>
  <c r="BU42" i="145" s="1"/>
  <c r="AJ41" i="145"/>
  <c r="AK41" i="145"/>
  <c r="AB21" i="145"/>
  <c r="AE21" i="145" s="1"/>
  <c r="BJ9" i="144"/>
  <c r="BJ8" i="145"/>
  <c r="BL8" i="145"/>
  <c r="BU8" i="145" s="1"/>
  <c r="BP11" i="144"/>
  <c r="AS11" i="144"/>
  <c r="AT11" i="144" s="1"/>
  <c r="AU11" i="144"/>
  <c r="BZ11" i="144"/>
  <c r="BL11" i="144"/>
  <c r="BU11" i="144" s="1"/>
  <c r="BO11" i="144"/>
  <c r="AU40" i="145"/>
  <c r="BZ40" i="145"/>
  <c r="AS40" i="145"/>
  <c r="AT40" i="145" s="1"/>
  <c r="X40" i="145"/>
  <c r="BQ40" i="145"/>
  <c r="BP40" i="145"/>
  <c r="BR40" i="145"/>
  <c r="BP18" i="144"/>
  <c r="AS18" i="144"/>
  <c r="AT18" i="144" s="1"/>
  <c r="W18" i="144"/>
  <c r="AU18" i="144"/>
  <c r="BZ18" i="144"/>
  <c r="W11" i="144"/>
  <c r="W40" i="145"/>
  <c r="BI24" i="144"/>
  <c r="AI24" i="144"/>
  <c r="AJ22" i="144"/>
  <c r="AK22" i="144"/>
  <c r="M22" i="144"/>
  <c r="BL22" i="144" s="1"/>
  <c r="BU22" i="144" s="1"/>
  <c r="AJ20" i="145"/>
  <c r="Y20" i="145"/>
  <c r="AK20" i="145"/>
  <c r="AB34" i="145"/>
  <c r="AE34" i="145" s="1"/>
  <c r="AK27" i="145"/>
  <c r="AJ27" i="145"/>
  <c r="BI7" i="145"/>
  <c r="BL7" i="145" s="1"/>
  <c r="BU7" i="145" s="1"/>
  <c r="AB7" i="145" s="1"/>
  <c r="AI7" i="145"/>
  <c r="BJ39" i="145"/>
  <c r="BK39" i="145" s="1"/>
  <c r="AP47" i="144"/>
  <c r="AJ9" i="144"/>
  <c r="AK9" i="144"/>
  <c r="M9" i="144"/>
  <c r="BL9" i="144" s="1"/>
  <c r="BU9" i="144" s="1"/>
  <c r="V46" i="145"/>
  <c r="BJ12" i="145"/>
  <c r="BL12" i="145"/>
  <c r="BU12" i="145" s="1"/>
  <c r="W17" i="144"/>
  <c r="M28" i="144"/>
  <c r="BL28" i="144" s="1"/>
  <c r="BU28" i="144" s="1"/>
  <c r="AJ28" i="144"/>
  <c r="AK28" i="144"/>
  <c r="W14" i="145"/>
  <c r="BJ39" i="144"/>
  <c r="BK39" i="144" s="1"/>
  <c r="BJ22" i="144"/>
  <c r="BK22" i="144" s="1"/>
  <c r="AJ31" i="145"/>
  <c r="AK31" i="145"/>
  <c r="N48" i="144"/>
  <c r="CM48" i="144"/>
  <c r="Y49" i="144"/>
  <c r="BJ29" i="144"/>
  <c r="BK29" i="144" s="1"/>
  <c r="AK31" i="144"/>
  <c r="M31" i="144"/>
  <c r="Y31" i="144" s="1"/>
  <c r="AJ31" i="144"/>
  <c r="BL13" i="145"/>
  <c r="BU13" i="145" s="1"/>
  <c r="BQ37" i="145"/>
  <c r="BP37" i="145"/>
  <c r="BZ37" i="145"/>
  <c r="AS37" i="145"/>
  <c r="AT37" i="145" s="1"/>
  <c r="W37" i="145"/>
  <c r="BR37" i="145"/>
  <c r="X37" i="145"/>
  <c r="AU37" i="145"/>
  <c r="BJ10" i="144"/>
  <c r="BL12" i="144"/>
  <c r="BU12" i="144" s="1"/>
  <c r="BJ31" i="144"/>
  <c r="BK31" i="144" s="1"/>
  <c r="BJ15" i="144"/>
  <c r="BR26" i="145"/>
  <c r="AS26" i="145"/>
  <c r="AT26" i="145" s="1"/>
  <c r="BO26" i="145"/>
  <c r="AU26" i="145"/>
  <c r="BQ26" i="145"/>
  <c r="BZ26" i="145"/>
  <c r="BP26" i="145"/>
  <c r="AC14" i="145"/>
  <c r="AF14" i="145"/>
  <c r="AS19" i="145"/>
  <c r="AT19" i="145" s="1"/>
  <c r="AU19" i="145"/>
  <c r="BZ19" i="145"/>
  <c r="X19" i="145"/>
  <c r="BO19" i="145" s="1"/>
  <c r="BP19" i="145"/>
  <c r="BQ19" i="145"/>
  <c r="BR19" i="145"/>
  <c r="BJ20" i="145"/>
  <c r="BK20" i="145" s="1"/>
  <c r="BJ14" i="144"/>
  <c r="BL14" i="144"/>
  <c r="BU14" i="144" s="1"/>
  <c r="W12" i="144"/>
  <c r="Y12" i="144"/>
  <c r="Y42" i="145"/>
  <c r="BL33" i="144"/>
  <c r="BU33" i="144" s="1"/>
  <c r="BR23" i="144"/>
  <c r="BO33" i="144"/>
  <c r="M26" i="144"/>
  <c r="AJ26" i="144"/>
  <c r="AK26" i="144"/>
  <c r="X11" i="144"/>
  <c r="BJ28" i="144"/>
  <c r="BK28" i="144" s="1"/>
  <c r="BI35" i="145"/>
  <c r="AI35" i="145"/>
  <c r="Y14" i="144"/>
  <c r="AJ43" i="145"/>
  <c r="AK43" i="145"/>
  <c r="AJ27" i="144"/>
  <c r="AK27" i="144"/>
  <c r="M27" i="144"/>
  <c r="Y27" i="144" s="1"/>
  <c r="AJ39" i="144"/>
  <c r="AK39" i="144"/>
  <c r="M39" i="144"/>
  <c r="BL39" i="144" s="1"/>
  <c r="BU39" i="144" s="1"/>
  <c r="B84" i="56"/>
  <c r="AK10" i="145" l="1"/>
  <c r="BL37" i="145"/>
  <c r="BU37" i="145" s="1"/>
  <c r="AH28" i="145"/>
  <c r="BJ36" i="145"/>
  <c r="BK36" i="145" s="1"/>
  <c r="AW28" i="145"/>
  <c r="BK13" i="145"/>
  <c r="BN13" i="145" s="1"/>
  <c r="BW13" i="145" s="1"/>
  <c r="BM13" i="145"/>
  <c r="BV13" i="145" s="1"/>
  <c r="AK18" i="145"/>
  <c r="AY34" i="145"/>
  <c r="BB34" i="145" s="1"/>
  <c r="BL26" i="145"/>
  <c r="BU26" i="145" s="1"/>
  <c r="AB26" i="145" s="1"/>
  <c r="AE26" i="145" s="1"/>
  <c r="AH34" i="145"/>
  <c r="AU35" i="144"/>
  <c r="AK25" i="145"/>
  <c r="X35" i="144"/>
  <c r="AS35" i="144"/>
  <c r="AT35" i="144" s="1"/>
  <c r="AB503" i="164"/>
  <c r="AI503" i="164" s="1"/>
  <c r="AM364" i="164"/>
  <c r="AU364" i="164" s="1"/>
  <c r="AN365" i="164"/>
  <c r="AP365" i="164" s="1"/>
  <c r="AK11" i="145"/>
  <c r="AJ11" i="145"/>
  <c r="BO14" i="145"/>
  <c r="AW14" i="145" s="1"/>
  <c r="BL11" i="145"/>
  <c r="BU11" i="145" s="1"/>
  <c r="AB11" i="145" s="1"/>
  <c r="AE11" i="145" s="1"/>
  <c r="BJ11" i="145"/>
  <c r="AZ21" i="145"/>
  <c r="BO37" i="145"/>
  <c r="BZ41" i="144"/>
  <c r="W41" i="144"/>
  <c r="AG18" i="144"/>
  <c r="BP35" i="144"/>
  <c r="Y35" i="144"/>
  <c r="X41" i="144"/>
  <c r="AS23" i="144"/>
  <c r="AT23" i="144" s="1"/>
  <c r="BP23" i="144"/>
  <c r="BL35" i="144"/>
  <c r="BU35" i="144" s="1"/>
  <c r="AB35" i="144" s="1"/>
  <c r="AE35" i="144" s="1"/>
  <c r="BO40" i="145"/>
  <c r="AW40" i="145" s="1"/>
  <c r="AY11" i="145"/>
  <c r="BB11" i="145" s="1"/>
  <c r="AW13" i="145"/>
  <c r="AS41" i="144"/>
  <c r="AT41" i="144" s="1"/>
  <c r="BQ41" i="144"/>
  <c r="BZ23" i="144"/>
  <c r="BR35" i="144"/>
  <c r="AU23" i="144"/>
  <c r="BO35" i="144"/>
  <c r="AW35" i="144" s="1"/>
  <c r="CH499" i="164"/>
  <c r="CC499" i="164"/>
  <c r="CD499" i="164" s="1"/>
  <c r="AR499" i="164"/>
  <c r="AS499" i="164" s="1"/>
  <c r="AT499" i="164" s="1"/>
  <c r="BV500" i="164"/>
  <c r="BX500" i="164" s="1"/>
  <c r="BZ500" i="164" s="1"/>
  <c r="CB500" i="164" s="1"/>
  <c r="CF500" i="164" s="1"/>
  <c r="CJ500" i="164" s="1"/>
  <c r="BR500" i="164"/>
  <c r="BT500" i="164" s="1"/>
  <c r="Z504" i="164"/>
  <c r="AZ504" i="164"/>
  <c r="CX504" i="164"/>
  <c r="K505" i="164"/>
  <c r="L505" i="164" s="1"/>
  <c r="BU501" i="164"/>
  <c r="BW501" i="164" s="1"/>
  <c r="BY501" i="164" s="1"/>
  <c r="CA501" i="164" s="1"/>
  <c r="CE501" i="164" s="1"/>
  <c r="CI501" i="164" s="1"/>
  <c r="BQ501" i="164"/>
  <c r="BS501" i="164" s="1"/>
  <c r="CG501" i="164" s="1"/>
  <c r="CC352" i="164"/>
  <c r="CD352" i="164" s="1"/>
  <c r="CH352" i="164"/>
  <c r="AR352" i="164"/>
  <c r="AS352" i="164" s="1"/>
  <c r="AT352" i="164" s="1"/>
  <c r="BN355" i="164"/>
  <c r="Z357" i="164"/>
  <c r="AV357" i="164"/>
  <c r="AZ357" i="164"/>
  <c r="CX357" i="164"/>
  <c r="K358" i="164"/>
  <c r="L358" i="164" s="1"/>
  <c r="BJ184" i="164"/>
  <c r="CK184" i="164" s="1"/>
  <c r="A185" i="164"/>
  <c r="AA356" i="164"/>
  <c r="R356" i="164"/>
  <c r="Y357" i="164"/>
  <c r="G358" i="164"/>
  <c r="H358" i="164" s="1"/>
  <c r="P357" i="164"/>
  <c r="AU501" i="164"/>
  <c r="AV501" i="164"/>
  <c r="AW501" i="164" s="1"/>
  <c r="BP501" i="164" s="1"/>
  <c r="AB355" i="164"/>
  <c r="AI355" i="164" s="1"/>
  <c r="AM502" i="164"/>
  <c r="AN503" i="164"/>
  <c r="AP503" i="164" s="1"/>
  <c r="BM356" i="164"/>
  <c r="BE356" i="164"/>
  <c r="BD356" i="164"/>
  <c r="CW356" i="164" s="1"/>
  <c r="BD503" i="164"/>
  <c r="CW503" i="164" s="1"/>
  <c r="BE503" i="164"/>
  <c r="BM503" i="164"/>
  <c r="BV353" i="164"/>
  <c r="BX353" i="164" s="1"/>
  <c r="BZ353" i="164" s="1"/>
  <c r="CB353" i="164" s="1"/>
  <c r="CF353" i="164" s="1"/>
  <c r="CJ353" i="164" s="1"/>
  <c r="BR353" i="164"/>
  <c r="BT353" i="164" s="1"/>
  <c r="BO354" i="164"/>
  <c r="AW354" i="164"/>
  <c r="BP354" i="164" s="1"/>
  <c r="BQ353" i="164"/>
  <c r="BS353" i="164" s="1"/>
  <c r="CG353" i="164" s="1"/>
  <c r="BU353" i="164"/>
  <c r="BW353" i="164" s="1"/>
  <c r="BY353" i="164" s="1"/>
  <c r="CA353" i="164" s="1"/>
  <c r="CE353" i="164" s="1"/>
  <c r="CI353" i="164" s="1"/>
  <c r="AA504" i="164"/>
  <c r="R504" i="164"/>
  <c r="BN502" i="164"/>
  <c r="BO502" i="164" s="1"/>
  <c r="G506" i="164"/>
  <c r="H506" i="164" s="1"/>
  <c r="Y505" i="164"/>
  <c r="P505" i="164"/>
  <c r="Y21" i="144"/>
  <c r="AJ36" i="144"/>
  <c r="M36" i="144"/>
  <c r="BL36" i="144" s="1"/>
  <c r="BU36" i="144" s="1"/>
  <c r="AB36" i="144" s="1"/>
  <c r="AE36" i="144" s="1"/>
  <c r="BQ40" i="144"/>
  <c r="AU40" i="144"/>
  <c r="BP40" i="144"/>
  <c r="W40" i="144"/>
  <c r="BO40" i="144"/>
  <c r="AH40" i="144" s="1"/>
  <c r="BR40" i="144"/>
  <c r="AS40" i="144"/>
  <c r="AT40" i="144" s="1"/>
  <c r="BZ40" i="144"/>
  <c r="AY12" i="144"/>
  <c r="BB12" i="144" s="1"/>
  <c r="BO41" i="144"/>
  <c r="BL41" i="144"/>
  <c r="BU41" i="144" s="1"/>
  <c r="AB41" i="144" s="1"/>
  <c r="AE41" i="144" s="1"/>
  <c r="BP41" i="144"/>
  <c r="BR41" i="144"/>
  <c r="BL40" i="144"/>
  <c r="BU40" i="144" s="1"/>
  <c r="AB40" i="144" s="1"/>
  <c r="AE40" i="144" s="1"/>
  <c r="AU41" i="144"/>
  <c r="AY41" i="144" s="1"/>
  <c r="BB41" i="144" s="1"/>
  <c r="AW12" i="144"/>
  <c r="BL23" i="144"/>
  <c r="BU23" i="144" s="1"/>
  <c r="AB23" i="144" s="1"/>
  <c r="AE23" i="144" s="1"/>
  <c r="Y23" i="144"/>
  <c r="AW32" i="144"/>
  <c r="W23" i="144"/>
  <c r="BQ23" i="144"/>
  <c r="BO23" i="144"/>
  <c r="AY23" i="144" s="1"/>
  <c r="BB23" i="144" s="1"/>
  <c r="Y15" i="144"/>
  <c r="BL31" i="144"/>
  <c r="BU31" i="144" s="1"/>
  <c r="AB31" i="144" s="1"/>
  <c r="Y40" i="144"/>
  <c r="BL29" i="144"/>
  <c r="BU29" i="144" s="1"/>
  <c r="AB29" i="144" s="1"/>
  <c r="AE29" i="144" s="1"/>
  <c r="AG11" i="144"/>
  <c r="AD11" i="144"/>
  <c r="AC11" i="144"/>
  <c r="AF11" i="144"/>
  <c r="AS25" i="144"/>
  <c r="AT25" i="144" s="1"/>
  <c r="AU25" i="144"/>
  <c r="BZ25" i="144"/>
  <c r="W25" i="144"/>
  <c r="BQ25" i="144"/>
  <c r="Y25" i="144"/>
  <c r="BR25" i="144"/>
  <c r="BO25" i="144"/>
  <c r="BL25" i="144"/>
  <c r="BU25" i="144" s="1"/>
  <c r="X25" i="144"/>
  <c r="BP25" i="144"/>
  <c r="AY32" i="144"/>
  <c r="BB32" i="144" s="1"/>
  <c r="W20" i="144"/>
  <c r="BP20" i="144"/>
  <c r="BR20" i="144"/>
  <c r="BZ20" i="144"/>
  <c r="BQ20" i="144"/>
  <c r="BO20" i="144"/>
  <c r="Y20" i="144"/>
  <c r="BL20" i="144"/>
  <c r="BU20" i="144" s="1"/>
  <c r="AB20" i="144" s="1"/>
  <c r="AE20" i="144" s="1"/>
  <c r="AU20" i="144"/>
  <c r="X20" i="144"/>
  <c r="AS20" i="144"/>
  <c r="AT20" i="144" s="1"/>
  <c r="AF20" i="144"/>
  <c r="AC20" i="144"/>
  <c r="AG20" i="144"/>
  <c r="AD20" i="144"/>
  <c r="AB25" i="145"/>
  <c r="AE25" i="145" s="1"/>
  <c r="AB13" i="144"/>
  <c r="AE13" i="144" s="1"/>
  <c r="AH40" i="145"/>
  <c r="AB17" i="145"/>
  <c r="AE17" i="145" s="1"/>
  <c r="AY37" i="145"/>
  <c r="BB37" i="145" s="1"/>
  <c r="AW37" i="145"/>
  <c r="AH37" i="145"/>
  <c r="AB21" i="144"/>
  <c r="AE21" i="144" s="1"/>
  <c r="AY19" i="145"/>
  <c r="BB19" i="145" s="1"/>
  <c r="AH19" i="145"/>
  <c r="AW19" i="145"/>
  <c r="AB34" i="144"/>
  <c r="AE34" i="144" s="1"/>
  <c r="AB42" i="145"/>
  <c r="AE42" i="145" s="1"/>
  <c r="AH17" i="144"/>
  <c r="AW17" i="144"/>
  <c r="AY17" i="144"/>
  <c r="BB17" i="144" s="1"/>
  <c r="AZ36" i="145"/>
  <c r="AS39" i="145"/>
  <c r="AT39" i="145" s="1"/>
  <c r="BP39" i="145"/>
  <c r="BQ39" i="145"/>
  <c r="BR39" i="145"/>
  <c r="W39" i="145"/>
  <c r="BZ39" i="145"/>
  <c r="AU39" i="145"/>
  <c r="Y39" i="145"/>
  <c r="X39" i="145"/>
  <c r="AG16" i="145"/>
  <c r="AD16" i="145"/>
  <c r="AW18" i="144"/>
  <c r="AY18" i="144"/>
  <c r="BB18" i="144" s="1"/>
  <c r="AH18" i="144"/>
  <c r="AU15" i="145"/>
  <c r="BZ15" i="145"/>
  <c r="BP15" i="145"/>
  <c r="BQ15" i="145"/>
  <c r="AS15" i="145"/>
  <c r="AT15" i="145" s="1"/>
  <c r="W15" i="145"/>
  <c r="BR15" i="145"/>
  <c r="Y15" i="145"/>
  <c r="X15" i="145"/>
  <c r="BJ24" i="144"/>
  <c r="BK24" i="144" s="1"/>
  <c r="AJ23" i="145"/>
  <c r="AK23" i="145"/>
  <c r="M30" i="144"/>
  <c r="BL30" i="144" s="1"/>
  <c r="BU30" i="144" s="1"/>
  <c r="AK30" i="144"/>
  <c r="AJ30" i="144"/>
  <c r="BJ30" i="145"/>
  <c r="BK30" i="145" s="1"/>
  <c r="BZ16" i="144"/>
  <c r="BP16" i="144"/>
  <c r="AS16" i="144"/>
  <c r="AT16" i="144" s="1"/>
  <c r="AU16" i="144"/>
  <c r="BO16" i="144"/>
  <c r="X16" i="144"/>
  <c r="W16" i="144"/>
  <c r="Y16" i="144"/>
  <c r="BQ16" i="144"/>
  <c r="BR16" i="144"/>
  <c r="AB18" i="145"/>
  <c r="AE18" i="145" s="1"/>
  <c r="BZ34" i="144"/>
  <c r="AU34" i="144"/>
  <c r="BP34" i="144"/>
  <c r="AS34" i="144"/>
  <c r="AT34" i="144" s="1"/>
  <c r="BQ34" i="144"/>
  <c r="Y34" i="144"/>
  <c r="BR34" i="144"/>
  <c r="X34" i="144"/>
  <c r="BO34" i="144"/>
  <c r="W34" i="144"/>
  <c r="BZ43" i="145"/>
  <c r="AS43" i="145"/>
  <c r="AT43" i="145" s="1"/>
  <c r="BP43" i="145"/>
  <c r="BR43" i="145"/>
  <c r="AU43" i="145"/>
  <c r="BQ43" i="145"/>
  <c r="W43" i="145"/>
  <c r="X43" i="145"/>
  <c r="Y43" i="145"/>
  <c r="AS26" i="144"/>
  <c r="AT26" i="144" s="1"/>
  <c r="AU26" i="144"/>
  <c r="BZ26" i="144"/>
  <c r="W26" i="144"/>
  <c r="BQ26" i="144"/>
  <c r="BP26" i="144"/>
  <c r="BR26" i="144"/>
  <c r="BO26" i="144"/>
  <c r="X26" i="144"/>
  <c r="Y26" i="144"/>
  <c r="BL26" i="144"/>
  <c r="BU26" i="144" s="1"/>
  <c r="BM15" i="144"/>
  <c r="BV15" i="144" s="1"/>
  <c r="BK15" i="144"/>
  <c r="BN15" i="144" s="1"/>
  <c r="BW15" i="144" s="1"/>
  <c r="BL39" i="145"/>
  <c r="BU39" i="145" s="1"/>
  <c r="AB8" i="145"/>
  <c r="AE8" i="145" s="1"/>
  <c r="BZ29" i="144"/>
  <c r="BP29" i="144"/>
  <c r="AS29" i="144"/>
  <c r="AT29" i="144" s="1"/>
  <c r="AU29" i="144"/>
  <c r="X29" i="144"/>
  <c r="BR29" i="144"/>
  <c r="BO29" i="144"/>
  <c r="BQ29" i="144"/>
  <c r="W29" i="144"/>
  <c r="BP24" i="145"/>
  <c r="BQ24" i="145"/>
  <c r="BR24" i="145"/>
  <c r="AU24" i="145"/>
  <c r="BZ24" i="145"/>
  <c r="AS24" i="145"/>
  <c r="AT24" i="145" s="1"/>
  <c r="X24" i="145"/>
  <c r="W24" i="145"/>
  <c r="AK9" i="145"/>
  <c r="AJ9" i="145"/>
  <c r="BP22" i="145"/>
  <c r="BR22" i="145"/>
  <c r="BQ22" i="145"/>
  <c r="AU22" i="145"/>
  <c r="W22" i="145"/>
  <c r="BZ22" i="145"/>
  <c r="AS22" i="145"/>
  <c r="AT22" i="145" s="1"/>
  <c r="X22" i="145"/>
  <c r="BM18" i="145"/>
  <c r="BV18" i="145" s="1"/>
  <c r="BK18" i="145"/>
  <c r="BN18" i="145" s="1"/>
  <c r="BW18" i="145" s="1"/>
  <c r="AS38" i="144"/>
  <c r="AT38" i="144" s="1"/>
  <c r="AU38" i="144"/>
  <c r="BP38" i="144"/>
  <c r="BQ38" i="144"/>
  <c r="W38" i="144"/>
  <c r="BR38" i="144"/>
  <c r="BZ38" i="144"/>
  <c r="BO38" i="144"/>
  <c r="X38" i="144"/>
  <c r="BL38" i="144"/>
  <c r="BU38" i="144" s="1"/>
  <c r="BP37" i="144"/>
  <c r="AU37" i="144"/>
  <c r="BZ37" i="144"/>
  <c r="X37" i="144"/>
  <c r="BQ37" i="144"/>
  <c r="AS37" i="144"/>
  <c r="AT37" i="144" s="1"/>
  <c r="W37" i="144"/>
  <c r="BR37" i="144"/>
  <c r="BO37" i="144"/>
  <c r="BL37" i="144"/>
  <c r="BU37" i="144" s="1"/>
  <c r="Y37" i="144"/>
  <c r="AJ24" i="144"/>
  <c r="AK24" i="144"/>
  <c r="M24" i="144"/>
  <c r="BK19" i="144"/>
  <c r="BN19" i="144" s="1"/>
  <c r="BW19" i="144" s="1"/>
  <c r="BM19" i="144"/>
  <c r="BV19" i="144" s="1"/>
  <c r="BJ30" i="144"/>
  <c r="BK30" i="144" s="1"/>
  <c r="BQ31" i="145"/>
  <c r="X31" i="145"/>
  <c r="AS31" i="145"/>
  <c r="AT31" i="145" s="1"/>
  <c r="AU31" i="145"/>
  <c r="BP31" i="145"/>
  <c r="BR31" i="145"/>
  <c r="BZ31" i="145"/>
  <c r="BL31" i="145"/>
  <c r="BU31" i="145" s="1"/>
  <c r="Y31" i="145"/>
  <c r="W31" i="145"/>
  <c r="AB17" i="144"/>
  <c r="AE17" i="144" s="1"/>
  <c r="BK13" i="144"/>
  <c r="BN13" i="144" s="1"/>
  <c r="BW13" i="144" s="1"/>
  <c r="BM13" i="144"/>
  <c r="BV13" i="144" s="1"/>
  <c r="AB13" i="145"/>
  <c r="AE13" i="145" s="1"/>
  <c r="AB9" i="144"/>
  <c r="AE9" i="144" s="1"/>
  <c r="BM17" i="144"/>
  <c r="BV17" i="144" s="1"/>
  <c r="BK17" i="144"/>
  <c r="BN17" i="144" s="1"/>
  <c r="BW17" i="144" s="1"/>
  <c r="AD12" i="144"/>
  <c r="AG12" i="144"/>
  <c r="BR8" i="145"/>
  <c r="AS8" i="145"/>
  <c r="AT8" i="145" s="1"/>
  <c r="AU8" i="145"/>
  <c r="BZ8" i="145"/>
  <c r="BQ8" i="145"/>
  <c r="W8" i="145"/>
  <c r="BP8" i="145"/>
  <c r="X8" i="145"/>
  <c r="AU16" i="145"/>
  <c r="BZ16" i="145"/>
  <c r="BP16" i="145"/>
  <c r="BQ16" i="145"/>
  <c r="BR16" i="145"/>
  <c r="AS16" i="145"/>
  <c r="AT16" i="145" s="1"/>
  <c r="Y16" i="145"/>
  <c r="X16" i="145"/>
  <c r="W16" i="145"/>
  <c r="BL16" i="145"/>
  <c r="BU16" i="145" s="1"/>
  <c r="AU33" i="145"/>
  <c r="AS33" i="145"/>
  <c r="AT33" i="145" s="1"/>
  <c r="BQ33" i="145"/>
  <c r="BR33" i="145"/>
  <c r="BZ33" i="145"/>
  <c r="BP33" i="145"/>
  <c r="Y33" i="145"/>
  <c r="W33" i="145"/>
  <c r="X33" i="145"/>
  <c r="BZ19" i="144"/>
  <c r="BP19" i="144"/>
  <c r="AU19" i="144"/>
  <c r="AS19" i="144"/>
  <c r="AT19" i="144" s="1"/>
  <c r="BO19" i="144"/>
  <c r="BQ19" i="144"/>
  <c r="BR19" i="144"/>
  <c r="X19" i="144"/>
  <c r="W19" i="144"/>
  <c r="Y19" i="144"/>
  <c r="BJ9" i="145"/>
  <c r="BL9" i="145"/>
  <c r="BU9" i="145" s="1"/>
  <c r="AB19" i="145"/>
  <c r="AE19" i="145" s="1"/>
  <c r="AB18" i="144"/>
  <c r="AE18" i="144" s="1"/>
  <c r="AB37" i="145"/>
  <c r="AE37" i="145" s="1"/>
  <c r="BP42" i="145"/>
  <c r="AS42" i="145"/>
  <c r="AT42" i="145" s="1"/>
  <c r="BQ42" i="145"/>
  <c r="AU42" i="145"/>
  <c r="BR42" i="145"/>
  <c r="BZ42" i="145"/>
  <c r="W42" i="145"/>
  <c r="X42" i="145"/>
  <c r="BZ10" i="144"/>
  <c r="AS10" i="144"/>
  <c r="AT10" i="144" s="1"/>
  <c r="AU10" i="144"/>
  <c r="X10" i="144"/>
  <c r="BP10" i="144"/>
  <c r="BQ10" i="144"/>
  <c r="BO10" i="144"/>
  <c r="W10" i="144"/>
  <c r="BR10" i="144"/>
  <c r="AW26" i="145"/>
  <c r="AY26" i="145"/>
  <c r="BB26" i="145" s="1"/>
  <c r="AH26" i="145"/>
  <c r="AB10" i="145"/>
  <c r="AE10" i="145" s="1"/>
  <c r="BK16" i="144"/>
  <c r="BN16" i="144" s="1"/>
  <c r="BW16" i="144" s="1"/>
  <c r="BM16" i="144"/>
  <c r="BV16" i="144" s="1"/>
  <c r="AB33" i="145"/>
  <c r="AE33" i="145" s="1"/>
  <c r="AB14" i="144"/>
  <c r="AE14" i="144" s="1"/>
  <c r="AU20" i="145"/>
  <c r="BP20" i="145"/>
  <c r="BQ20" i="145"/>
  <c r="X20" i="145"/>
  <c r="BZ20" i="145"/>
  <c r="AS20" i="145"/>
  <c r="AT20" i="145" s="1"/>
  <c r="W20" i="145"/>
  <c r="BO20" i="145" s="1"/>
  <c r="BR20" i="145"/>
  <c r="BK8" i="145"/>
  <c r="BN8" i="145" s="1"/>
  <c r="BW8" i="145" s="1"/>
  <c r="BM8" i="145"/>
  <c r="BV8" i="145" s="1"/>
  <c r="AH14" i="144"/>
  <c r="AW14" i="144"/>
  <c r="AY14" i="144"/>
  <c r="BB14" i="144" s="1"/>
  <c r="BK14" i="144"/>
  <c r="BN14" i="144" s="1"/>
  <c r="BW14" i="144" s="1"/>
  <c r="BM14" i="144"/>
  <c r="BV14" i="144" s="1"/>
  <c r="BJ35" i="145"/>
  <c r="BK35" i="145" s="1"/>
  <c r="AB33" i="144"/>
  <c r="AE33" i="144" s="1"/>
  <c r="BL20" i="145"/>
  <c r="BU20" i="145" s="1"/>
  <c r="AB12" i="144"/>
  <c r="AE12" i="144" s="1"/>
  <c r="AS28" i="144"/>
  <c r="AT28" i="144" s="1"/>
  <c r="AU28" i="144"/>
  <c r="BP28" i="144"/>
  <c r="BZ28" i="144"/>
  <c r="BO28" i="144"/>
  <c r="BR28" i="144"/>
  <c r="W28" i="144"/>
  <c r="Y28" i="144"/>
  <c r="X28" i="144"/>
  <c r="BQ28" i="144"/>
  <c r="AB12" i="145"/>
  <c r="AE12" i="145" s="1"/>
  <c r="BP22" i="144"/>
  <c r="BZ22" i="144"/>
  <c r="AU22" i="144"/>
  <c r="AS22" i="144"/>
  <c r="AT22" i="144" s="1"/>
  <c r="X22" i="144"/>
  <c r="BO22" i="144"/>
  <c r="W22" i="144"/>
  <c r="BR22" i="144"/>
  <c r="BQ22" i="144"/>
  <c r="BK9" i="144"/>
  <c r="BN9" i="144" s="1"/>
  <c r="BW9" i="144" s="1"/>
  <c r="BM9" i="144"/>
  <c r="BV9" i="144" s="1"/>
  <c r="Y17" i="145"/>
  <c r="Y22" i="144"/>
  <c r="AC12" i="144"/>
  <c r="AF12" i="144"/>
  <c r="BP12" i="145"/>
  <c r="BR12" i="145"/>
  <c r="AU12" i="145"/>
  <c r="BZ12" i="145"/>
  <c r="AS12" i="145"/>
  <c r="AT12" i="145" s="1"/>
  <c r="BQ12" i="145"/>
  <c r="W12" i="145"/>
  <c r="X12" i="145"/>
  <c r="Y12" i="145"/>
  <c r="BK15" i="145"/>
  <c r="BN15" i="145" s="1"/>
  <c r="BW15" i="145" s="1"/>
  <c r="BM15" i="145"/>
  <c r="BV15" i="145" s="1"/>
  <c r="Y8" i="145"/>
  <c r="BJ29" i="145"/>
  <c r="BK29" i="145" s="1"/>
  <c r="BL29" i="145"/>
  <c r="BU29" i="145" s="1"/>
  <c r="BL43" i="145"/>
  <c r="BU43" i="145" s="1"/>
  <c r="AB11" i="144"/>
  <c r="AE11" i="144" s="1"/>
  <c r="AH23" i="144"/>
  <c r="AB16" i="144"/>
  <c r="AE16" i="144" s="1"/>
  <c r="AZ28" i="145"/>
  <c r="BZ13" i="144"/>
  <c r="BP13" i="144"/>
  <c r="AS13" i="144"/>
  <c r="AT13" i="144" s="1"/>
  <c r="BR13" i="144"/>
  <c r="AU13" i="144"/>
  <c r="X13" i="144"/>
  <c r="BO13" i="144"/>
  <c r="Y13" i="144"/>
  <c r="BQ13" i="144"/>
  <c r="W13" i="144"/>
  <c r="AY33" i="144"/>
  <c r="BB33" i="144" s="1"/>
  <c r="AH33" i="144"/>
  <c r="AW33" i="144"/>
  <c r="AU39" i="144"/>
  <c r="BP39" i="144"/>
  <c r="AS39" i="144"/>
  <c r="AT39" i="144" s="1"/>
  <c r="BZ39" i="144"/>
  <c r="W39" i="144"/>
  <c r="BQ39" i="144"/>
  <c r="BO39" i="144"/>
  <c r="X39" i="144"/>
  <c r="Y39" i="144"/>
  <c r="BR39" i="144"/>
  <c r="BM10" i="144"/>
  <c r="BV10" i="144" s="1"/>
  <c r="BK10" i="144"/>
  <c r="BN10" i="144" s="1"/>
  <c r="BW10" i="144" s="1"/>
  <c r="AU31" i="144"/>
  <c r="BZ31" i="144"/>
  <c r="AS31" i="144"/>
  <c r="AT31" i="144" s="1"/>
  <c r="BR31" i="144"/>
  <c r="W31" i="144"/>
  <c r="BP31" i="144"/>
  <c r="BQ31" i="144"/>
  <c r="X31" i="144"/>
  <c r="BO31" i="144"/>
  <c r="BM12" i="145"/>
  <c r="BV12" i="145" s="1"/>
  <c r="BK12" i="145"/>
  <c r="BN12" i="145" s="1"/>
  <c r="BW12" i="145" s="1"/>
  <c r="BJ7" i="145"/>
  <c r="AH41" i="144"/>
  <c r="BJ38" i="145"/>
  <c r="BK38" i="145" s="1"/>
  <c r="BP10" i="145"/>
  <c r="BQ10" i="145"/>
  <c r="BR10" i="145"/>
  <c r="AS10" i="145"/>
  <c r="AT10" i="145" s="1"/>
  <c r="BZ10" i="145"/>
  <c r="X10" i="145"/>
  <c r="AU10" i="145"/>
  <c r="W10" i="145"/>
  <c r="Y10" i="145"/>
  <c r="BR32" i="145"/>
  <c r="AS32" i="145"/>
  <c r="AT32" i="145" s="1"/>
  <c r="AU32" i="145"/>
  <c r="BP32" i="145"/>
  <c r="BQ32" i="145"/>
  <c r="BZ32" i="145"/>
  <c r="X32" i="145"/>
  <c r="BL32" i="145"/>
  <c r="BU32" i="145" s="1"/>
  <c r="Y32" i="145"/>
  <c r="W32" i="145"/>
  <c r="BL15" i="145"/>
  <c r="BU15" i="145" s="1"/>
  <c r="BL24" i="145"/>
  <c r="BU24" i="145" s="1"/>
  <c r="AK29" i="145"/>
  <c r="AJ29" i="145"/>
  <c r="Y10" i="144"/>
  <c r="AY13" i="145"/>
  <c r="BB13" i="145" s="1"/>
  <c r="AB39" i="144"/>
  <c r="AE39" i="144" s="1"/>
  <c r="AB22" i="145"/>
  <c r="AE22" i="145" s="1"/>
  <c r="BK19" i="145"/>
  <c r="BN19" i="145" s="1"/>
  <c r="BW19" i="145" s="1"/>
  <c r="BM19" i="145"/>
  <c r="BV19" i="145" s="1"/>
  <c r="AB28" i="144"/>
  <c r="AE28" i="144" s="1"/>
  <c r="BL10" i="144"/>
  <c r="BU10" i="144" s="1"/>
  <c r="AB22" i="144"/>
  <c r="AE22" i="144" s="1"/>
  <c r="BL38" i="145"/>
  <c r="BU38" i="145" s="1"/>
  <c r="AJ38" i="145"/>
  <c r="AK38" i="145"/>
  <c r="AU36" i="144"/>
  <c r="BZ36" i="144"/>
  <c r="BR36" i="144"/>
  <c r="Y36" i="144"/>
  <c r="X36" i="144"/>
  <c r="BQ36" i="144"/>
  <c r="W36" i="144"/>
  <c r="BO36" i="144"/>
  <c r="AS18" i="145"/>
  <c r="AT18" i="145" s="1"/>
  <c r="BZ18" i="145"/>
  <c r="BP18" i="145"/>
  <c r="AU18" i="145"/>
  <c r="BQ18" i="145"/>
  <c r="W18" i="145"/>
  <c r="BR18" i="145"/>
  <c r="X18" i="145"/>
  <c r="BO18" i="145" s="1"/>
  <c r="AZ34" i="145"/>
  <c r="AS21" i="144"/>
  <c r="AT21" i="144" s="1"/>
  <c r="AU21" i="144"/>
  <c r="BZ21" i="144"/>
  <c r="BP21" i="144"/>
  <c r="BQ21" i="144"/>
  <c r="X21" i="144"/>
  <c r="BR21" i="144"/>
  <c r="W21" i="144"/>
  <c r="BO21" i="144"/>
  <c r="Y24" i="145"/>
  <c r="BM21" i="144"/>
  <c r="BV21" i="144" s="1"/>
  <c r="BK21" i="144"/>
  <c r="BN21" i="144" s="1"/>
  <c r="BW21" i="144" s="1"/>
  <c r="AW11" i="145"/>
  <c r="AS17" i="145"/>
  <c r="AT17" i="145" s="1"/>
  <c r="AU17" i="145"/>
  <c r="BP17" i="145"/>
  <c r="BQ17" i="145"/>
  <c r="BR17" i="145"/>
  <c r="BZ17" i="145"/>
  <c r="X17" i="145"/>
  <c r="W17" i="145"/>
  <c r="AJ30" i="145"/>
  <c r="AK30" i="145"/>
  <c r="BK10" i="145"/>
  <c r="BN10" i="145" s="1"/>
  <c r="BW10" i="145" s="1"/>
  <c r="BM10" i="145"/>
  <c r="BV10" i="145" s="1"/>
  <c r="BL23" i="145"/>
  <c r="BU23" i="145" s="1"/>
  <c r="BJ23" i="145"/>
  <c r="BK23" i="145" s="1"/>
  <c r="AS25" i="145"/>
  <c r="AT25" i="145" s="1"/>
  <c r="AU25" i="145"/>
  <c r="BP25" i="145"/>
  <c r="BQ25" i="145"/>
  <c r="BR25" i="145"/>
  <c r="BZ25" i="145"/>
  <c r="W25" i="145"/>
  <c r="Y25" i="145"/>
  <c r="X25" i="145"/>
  <c r="AB15" i="144"/>
  <c r="AE15" i="144" s="1"/>
  <c r="AJ35" i="145"/>
  <c r="AK35" i="145"/>
  <c r="AJ7" i="145"/>
  <c r="AK7" i="145"/>
  <c r="BP27" i="144"/>
  <c r="AS27" i="144"/>
  <c r="AT27" i="144" s="1"/>
  <c r="AU27" i="144"/>
  <c r="BZ27" i="144"/>
  <c r="X27" i="144"/>
  <c r="BO27" i="144"/>
  <c r="BL27" i="144"/>
  <c r="BU27" i="144" s="1"/>
  <c r="BQ27" i="144"/>
  <c r="W27" i="144"/>
  <c r="BR27" i="144"/>
  <c r="BP9" i="144"/>
  <c r="AS9" i="144"/>
  <c r="AT9" i="144" s="1"/>
  <c r="AU9" i="144"/>
  <c r="BZ9" i="144"/>
  <c r="Y9" i="144"/>
  <c r="X9" i="144"/>
  <c r="BR9" i="144"/>
  <c r="W9" i="144"/>
  <c r="BO9" i="144"/>
  <c r="BQ9" i="144"/>
  <c r="AU27" i="145"/>
  <c r="BR27" i="145"/>
  <c r="BP27" i="145"/>
  <c r="BQ27" i="145"/>
  <c r="BZ27" i="145"/>
  <c r="AS27" i="145"/>
  <c r="AT27" i="145" s="1"/>
  <c r="BL27" i="145"/>
  <c r="BU27" i="145" s="1"/>
  <c r="W27" i="145"/>
  <c r="X27" i="145"/>
  <c r="AH11" i="144"/>
  <c r="AW11" i="144"/>
  <c r="AY11" i="144"/>
  <c r="BB11" i="144" s="1"/>
  <c r="BQ41" i="145"/>
  <c r="BR41" i="145"/>
  <c r="AS41" i="145"/>
  <c r="AT41" i="145" s="1"/>
  <c r="AU41" i="145"/>
  <c r="BP41" i="145"/>
  <c r="BZ41" i="145"/>
  <c r="Y41" i="145"/>
  <c r="W41" i="145"/>
  <c r="X41" i="145"/>
  <c r="BP15" i="144"/>
  <c r="AS15" i="144"/>
  <c r="AT15" i="144" s="1"/>
  <c r="BZ15" i="144"/>
  <c r="AU15" i="144"/>
  <c r="X15" i="144"/>
  <c r="W15" i="144"/>
  <c r="BO15" i="144"/>
  <c r="BQ15" i="144"/>
  <c r="BR15" i="144"/>
  <c r="BL41" i="145"/>
  <c r="BU41" i="145" s="1"/>
  <c r="BL19" i="144"/>
  <c r="BU19" i="144" s="1"/>
  <c r="AF16" i="145"/>
  <c r="AC16" i="145"/>
  <c r="BK17" i="145"/>
  <c r="BN17" i="145" s="1"/>
  <c r="BW17" i="145" s="1"/>
  <c r="BM17" i="145"/>
  <c r="BV17" i="145" s="1"/>
  <c r="C643" i="57"/>
  <c r="C537" i="57"/>
  <c r="C551" i="57"/>
  <c r="C444" i="57"/>
  <c r="C479" i="57"/>
  <c r="C437" i="57"/>
  <c r="C509" i="57"/>
  <c r="C516" i="57"/>
  <c r="C523" i="57"/>
  <c r="C530" i="57"/>
  <c r="C430" i="57"/>
  <c r="C423" i="57"/>
  <c r="C416" i="57"/>
  <c r="C407" i="57"/>
  <c r="C398" i="57"/>
  <c r="C389" i="57"/>
  <c r="C380" i="57"/>
  <c r="C373" i="57"/>
  <c r="C366" i="57"/>
  <c r="C359" i="57"/>
  <c r="C352" i="57"/>
  <c r="C345" i="57"/>
  <c r="C338" i="57"/>
  <c r="C331" i="57"/>
  <c r="C324" i="57"/>
  <c r="C1027" i="57"/>
  <c r="C1026" i="57"/>
  <c r="C1009" i="57"/>
  <c r="C1008" i="57"/>
  <c r="C962" i="57"/>
  <c r="C961" i="57"/>
  <c r="C960" i="57"/>
  <c r="C959" i="57"/>
  <c r="F964" i="57"/>
  <c r="D962" i="57"/>
  <c r="D961" i="57"/>
  <c r="D960" i="57"/>
  <c r="D959" i="57"/>
  <c r="C972" i="57"/>
  <c r="C971" i="57"/>
  <c r="C970" i="57"/>
  <c r="C969" i="57"/>
  <c r="C982" i="57"/>
  <c r="C981" i="57"/>
  <c r="C980" i="57"/>
  <c r="C979" i="57"/>
  <c r="C992" i="57"/>
  <c r="C991" i="57"/>
  <c r="C990" i="57"/>
  <c r="C989" i="57"/>
  <c r="C823" i="57"/>
  <c r="C822" i="57"/>
  <c r="C928" i="57"/>
  <c r="C927" i="57"/>
  <c r="C944" i="57"/>
  <c r="C943" i="57"/>
  <c r="G930" i="57"/>
  <c r="F930" i="57"/>
  <c r="D928" i="57"/>
  <c r="D927" i="57"/>
  <c r="G898" i="57"/>
  <c r="F898" i="57"/>
  <c r="D896" i="57"/>
  <c r="C896" i="57"/>
  <c r="D895" i="57"/>
  <c r="C895" i="57"/>
  <c r="C920" i="57"/>
  <c r="C919" i="57"/>
  <c r="C813" i="57"/>
  <c r="C803" i="57"/>
  <c r="C795" i="57"/>
  <c r="C794" i="57"/>
  <c r="C793" i="57"/>
  <c r="C785" i="57"/>
  <c r="C784" i="57"/>
  <c r="C775" i="57"/>
  <c r="C774" i="57"/>
  <c r="C773" i="57"/>
  <c r="C772" i="57"/>
  <c r="C764" i="57"/>
  <c r="C763" i="57"/>
  <c r="C762" i="57"/>
  <c r="C761" i="57"/>
  <c r="C753" i="57"/>
  <c r="C752" i="57"/>
  <c r="C751" i="57"/>
  <c r="C750" i="57"/>
  <c r="C742" i="57"/>
  <c r="C741" i="57"/>
  <c r="C740" i="57"/>
  <c r="C739" i="57"/>
  <c r="C731" i="57"/>
  <c r="C730" i="57"/>
  <c r="C729" i="57"/>
  <c r="C728" i="57"/>
  <c r="C720" i="57"/>
  <c r="C719" i="57"/>
  <c r="C718" i="57"/>
  <c r="C710" i="57"/>
  <c r="C709" i="57"/>
  <c r="C707" i="57"/>
  <c r="C699" i="57"/>
  <c r="C698" i="57"/>
  <c r="C696" i="57"/>
  <c r="C688" i="57"/>
  <c r="C687" i="57"/>
  <c r="C685" i="57"/>
  <c r="C677" i="57"/>
  <c r="C676" i="57"/>
  <c r="C674" i="57"/>
  <c r="C663" i="57"/>
  <c r="C655" i="57"/>
  <c r="C652" i="57"/>
  <c r="AW23" i="144" l="1"/>
  <c r="AC13" i="145"/>
  <c r="AF13" i="145"/>
  <c r="AG13" i="145"/>
  <c r="AD13" i="145"/>
  <c r="AY35" i="144"/>
  <c r="BB35" i="144" s="1"/>
  <c r="AH35" i="144"/>
  <c r="AH14" i="145"/>
  <c r="BO42" i="145"/>
  <c r="AY40" i="145"/>
  <c r="BB40" i="145" s="1"/>
  <c r="AY14" i="145"/>
  <c r="BB14" i="145" s="1"/>
  <c r="AZ19" i="145"/>
  <c r="BO16" i="145"/>
  <c r="BO22" i="145"/>
  <c r="AH22" i="145" s="1"/>
  <c r="BO39" i="145"/>
  <c r="AH39" i="145" s="1"/>
  <c r="BM11" i="145"/>
  <c r="BV11" i="145" s="1"/>
  <c r="BK11" i="145"/>
  <c r="BN11" i="145" s="1"/>
  <c r="BW11" i="145" s="1"/>
  <c r="AB356" i="164"/>
  <c r="AI356" i="164" s="1"/>
  <c r="AW356" i="164" s="1"/>
  <c r="AZ26" i="145"/>
  <c r="BO25" i="145"/>
  <c r="AH25" i="145" s="1"/>
  <c r="AZ11" i="145"/>
  <c r="BO15" i="145"/>
  <c r="AY15" i="145" s="1"/>
  <c r="BB15" i="145" s="1"/>
  <c r="BO24" i="145"/>
  <c r="AY24" i="145" s="1"/>
  <c r="AM365" i="164"/>
  <c r="AU365" i="164" s="1"/>
  <c r="AN366" i="164"/>
  <c r="AP366" i="164" s="1"/>
  <c r="BO41" i="145"/>
  <c r="AY41" i="145" s="1"/>
  <c r="BB41" i="145" s="1"/>
  <c r="BO27" i="145"/>
  <c r="AW27" i="145" s="1"/>
  <c r="AZ12" i="144"/>
  <c r="BP36" i="144"/>
  <c r="BO8" i="145"/>
  <c r="AW8" i="145" s="1"/>
  <c r="BO33" i="145"/>
  <c r="BO32" i="145"/>
  <c r="AW32" i="145" s="1"/>
  <c r="BO12" i="145"/>
  <c r="BO31" i="145"/>
  <c r="AH31" i="145" s="1"/>
  <c r="BO10" i="145"/>
  <c r="AY10" i="145" s="1"/>
  <c r="BB10" i="145" s="1"/>
  <c r="BO17" i="145"/>
  <c r="AH17" i="145" s="1"/>
  <c r="BO43" i="145"/>
  <c r="AW43" i="145" s="1"/>
  <c r="AZ37" i="145"/>
  <c r="AS36" i="144"/>
  <c r="AT36" i="144" s="1"/>
  <c r="AW36" i="144" s="1"/>
  <c r="CH500" i="164"/>
  <c r="CC500" i="164"/>
  <c r="CD500" i="164" s="1"/>
  <c r="AR500" i="164"/>
  <c r="AS500" i="164" s="1"/>
  <c r="AT500" i="164" s="1"/>
  <c r="BD504" i="164"/>
  <c r="CW504" i="164" s="1"/>
  <c r="BE504" i="164"/>
  <c r="BM504" i="164"/>
  <c r="BU354" i="164"/>
  <c r="BW354" i="164" s="1"/>
  <c r="BY354" i="164" s="1"/>
  <c r="CA354" i="164" s="1"/>
  <c r="CE354" i="164" s="1"/>
  <c r="CI354" i="164" s="1"/>
  <c r="BQ354" i="164"/>
  <c r="BS354" i="164" s="1"/>
  <c r="CG354" i="164" s="1"/>
  <c r="BV354" i="164"/>
  <c r="BX354" i="164" s="1"/>
  <c r="BZ354" i="164" s="1"/>
  <c r="CB354" i="164" s="1"/>
  <c r="CF354" i="164" s="1"/>
  <c r="CJ354" i="164" s="1"/>
  <c r="BR354" i="164"/>
  <c r="BT354" i="164" s="1"/>
  <c r="R505" i="164"/>
  <c r="AA505" i="164"/>
  <c r="BN356" i="164"/>
  <c r="BJ185" i="164"/>
  <c r="CK185" i="164" s="1"/>
  <c r="A186" i="164"/>
  <c r="AM503" i="164"/>
  <c r="AN504" i="164"/>
  <c r="AP504" i="164" s="1"/>
  <c r="AU502" i="164"/>
  <c r="AV502" i="164"/>
  <c r="AW502" i="164" s="1"/>
  <c r="BP502" i="164" s="1"/>
  <c r="Z358" i="164"/>
  <c r="AZ358" i="164"/>
  <c r="CX358" i="164"/>
  <c r="AV358" i="164"/>
  <c r="K359" i="164"/>
  <c r="L359" i="164" s="1"/>
  <c r="BO355" i="164"/>
  <c r="AW355" i="164"/>
  <c r="BP355" i="164" s="1"/>
  <c r="BQ502" i="164"/>
  <c r="BS502" i="164" s="1"/>
  <c r="CG502" i="164" s="1"/>
  <c r="BU502" i="164"/>
  <c r="BW502" i="164" s="1"/>
  <c r="BY502" i="164" s="1"/>
  <c r="CA502" i="164" s="1"/>
  <c r="CE502" i="164" s="1"/>
  <c r="CI502" i="164" s="1"/>
  <c r="BV501" i="164"/>
  <c r="BX501" i="164" s="1"/>
  <c r="BZ501" i="164" s="1"/>
  <c r="CB501" i="164" s="1"/>
  <c r="CF501" i="164" s="1"/>
  <c r="CJ501" i="164" s="1"/>
  <c r="BR501" i="164"/>
  <c r="BT501" i="164" s="1"/>
  <c r="BD357" i="164"/>
  <c r="CW357" i="164" s="1"/>
  <c r="BE357" i="164"/>
  <c r="BM357" i="164"/>
  <c r="Y506" i="164"/>
  <c r="P506" i="164"/>
  <c r="CH353" i="164"/>
  <c r="CC353" i="164"/>
  <c r="CD353" i="164" s="1"/>
  <c r="AR353" i="164"/>
  <c r="AS353" i="164" s="1"/>
  <c r="AT353" i="164" s="1"/>
  <c r="AB504" i="164"/>
  <c r="AI504" i="164" s="1"/>
  <c r="AA357" i="164"/>
  <c r="R357" i="164"/>
  <c r="BN503" i="164"/>
  <c r="BO503" i="164" s="1"/>
  <c r="Y358" i="164"/>
  <c r="P358" i="164"/>
  <c r="G359" i="164"/>
  <c r="AZ505" i="164"/>
  <c r="CX505" i="164"/>
  <c r="K506" i="164"/>
  <c r="L506" i="164" s="1"/>
  <c r="Z505" i="164"/>
  <c r="AY40" i="144"/>
  <c r="BB40" i="144" s="1"/>
  <c r="AW40" i="144"/>
  <c r="AW41" i="144"/>
  <c r="AE31" i="144"/>
  <c r="AZ18" i="144"/>
  <c r="AZ17" i="144"/>
  <c r="AZ35" i="144"/>
  <c r="AH20" i="144"/>
  <c r="AY20" i="144"/>
  <c r="BB20" i="144" s="1"/>
  <c r="AW20" i="144"/>
  <c r="AZ23" i="144"/>
  <c r="AB25" i="144"/>
  <c r="AE25" i="144" s="1"/>
  <c r="AW25" i="144"/>
  <c r="AY25" i="144"/>
  <c r="BB25" i="144" s="1"/>
  <c r="AH25" i="144"/>
  <c r="AZ32" i="144"/>
  <c r="AY12" i="145"/>
  <c r="BB12" i="145" s="1"/>
  <c r="AW12" i="145"/>
  <c r="AH12" i="145"/>
  <c r="AB38" i="145"/>
  <c r="AE38" i="145" s="1"/>
  <c r="AY8" i="145"/>
  <c r="BB8" i="145" s="1"/>
  <c r="AH8" i="145"/>
  <c r="AH18" i="145"/>
  <c r="AW18" i="145"/>
  <c r="AY18" i="145"/>
  <c r="BB18" i="145" s="1"/>
  <c r="AW42" i="145"/>
  <c r="AH42" i="145"/>
  <c r="AY42" i="145"/>
  <c r="BB42" i="145" s="1"/>
  <c r="AH43" i="145"/>
  <c r="AY43" i="145"/>
  <c r="BB43" i="145" s="1"/>
  <c r="AY31" i="145"/>
  <c r="BB31" i="145" s="1"/>
  <c r="AW31" i="145"/>
  <c r="AH33" i="145"/>
  <c r="AY33" i="145"/>
  <c r="BB33" i="145" s="1"/>
  <c r="AW33" i="145"/>
  <c r="AW41" i="145"/>
  <c r="AH41" i="145"/>
  <c r="AH27" i="145"/>
  <c r="AF13" i="144"/>
  <c r="AC13" i="144"/>
  <c r="AC19" i="144"/>
  <c r="AF19" i="144"/>
  <c r="AS35" i="145"/>
  <c r="AT35" i="145" s="1"/>
  <c r="BP35" i="145"/>
  <c r="BQ35" i="145"/>
  <c r="BR35" i="145"/>
  <c r="AU35" i="145"/>
  <c r="W35" i="145"/>
  <c r="BZ35" i="145"/>
  <c r="Y35" i="145"/>
  <c r="X35" i="145"/>
  <c r="BK7" i="145"/>
  <c r="BN7" i="145" s="1"/>
  <c r="BW7" i="145" s="1"/>
  <c r="BM7" i="145"/>
  <c r="BV7" i="145" s="1"/>
  <c r="AD10" i="144"/>
  <c r="AG10" i="144"/>
  <c r="AC16" i="144"/>
  <c r="AF16" i="144"/>
  <c r="AD13" i="144"/>
  <c r="AG13" i="144"/>
  <c r="AD19" i="144"/>
  <c r="AG19" i="144"/>
  <c r="BZ23" i="145"/>
  <c r="AS23" i="145"/>
  <c r="AT23" i="145" s="1"/>
  <c r="AU23" i="145"/>
  <c r="BP23" i="145"/>
  <c r="BQ23" i="145"/>
  <c r="BR23" i="145"/>
  <c r="W23" i="145"/>
  <c r="X23" i="145"/>
  <c r="Y23" i="145"/>
  <c r="AH36" i="144"/>
  <c r="AW16" i="144"/>
  <c r="AY16" i="144"/>
  <c r="BB16" i="144" s="1"/>
  <c r="AH16" i="144"/>
  <c r="AZ11" i="144"/>
  <c r="BZ30" i="145"/>
  <c r="AS30" i="145"/>
  <c r="AT30" i="145" s="1"/>
  <c r="AU30" i="145"/>
  <c r="BP30" i="145"/>
  <c r="BQ30" i="145"/>
  <c r="BR30" i="145"/>
  <c r="Y30" i="145"/>
  <c r="X30" i="145"/>
  <c r="W30" i="145"/>
  <c r="AD21" i="144"/>
  <c r="AG21" i="144"/>
  <c r="AD12" i="145"/>
  <c r="AG12" i="145"/>
  <c r="AF10" i="144"/>
  <c r="AC10" i="144"/>
  <c r="AZ33" i="144"/>
  <c r="AB43" i="145"/>
  <c r="AE43" i="145"/>
  <c r="BL35" i="145"/>
  <c r="BU35" i="145" s="1"/>
  <c r="AD16" i="144"/>
  <c r="AG16" i="144"/>
  <c r="AU24" i="144"/>
  <c r="BZ24" i="144"/>
  <c r="BP24" i="144"/>
  <c r="BQ24" i="144"/>
  <c r="AS24" i="144"/>
  <c r="AT24" i="144" s="1"/>
  <c r="BR24" i="144"/>
  <c r="X24" i="144"/>
  <c r="W24" i="144"/>
  <c r="BO24" i="144"/>
  <c r="Y24" i="144"/>
  <c r="BL24" i="144"/>
  <c r="BU24" i="144" s="1"/>
  <c r="BU47" i="144" s="1"/>
  <c r="AY20" i="145"/>
  <c r="BB20" i="145" s="1"/>
  <c r="AW20" i="145"/>
  <c r="AH20" i="145"/>
  <c r="AB19" i="144"/>
  <c r="AE19" i="144" s="1"/>
  <c r="AW9" i="144"/>
  <c r="AH9" i="144"/>
  <c r="AY9" i="144"/>
  <c r="BB9" i="144" s="1"/>
  <c r="AB27" i="144"/>
  <c r="AE27" i="144" s="1"/>
  <c r="AC21" i="144"/>
  <c r="AF21" i="144"/>
  <c r="AC12" i="145"/>
  <c r="AF12" i="145"/>
  <c r="AB29" i="145"/>
  <c r="AE29" i="145" s="1"/>
  <c r="AH22" i="144"/>
  <c r="AW22" i="144"/>
  <c r="AY22" i="144"/>
  <c r="BB22" i="144" s="1"/>
  <c r="AB32" i="145"/>
  <c r="AE32" i="145" s="1"/>
  <c r="AB41" i="145"/>
  <c r="AE41" i="145" s="1"/>
  <c r="AW19" i="144"/>
  <c r="AY19" i="144"/>
  <c r="BB19" i="144" s="1"/>
  <c r="AH19" i="144"/>
  <c r="AB30" i="144"/>
  <c r="AE30" i="144" s="1"/>
  <c r="AH21" i="144"/>
  <c r="AW21" i="144"/>
  <c r="AY21" i="144"/>
  <c r="BB21" i="144" s="1"/>
  <c r="AB10" i="144"/>
  <c r="AE10" i="144" s="1"/>
  <c r="BP29" i="145"/>
  <c r="AU29" i="145"/>
  <c r="BQ29" i="145"/>
  <c r="BR29" i="145"/>
  <c r="BZ29" i="145"/>
  <c r="AS29" i="145"/>
  <c r="AT29" i="145" s="1"/>
  <c r="W29" i="145"/>
  <c r="X29" i="145"/>
  <c r="Y29" i="145"/>
  <c r="AG14" i="144"/>
  <c r="AD14" i="144"/>
  <c r="AG17" i="144"/>
  <c r="AD17" i="144"/>
  <c r="AB39" i="145"/>
  <c r="AE39" i="145" s="1"/>
  <c r="BL30" i="145"/>
  <c r="BU30" i="145" s="1"/>
  <c r="AY27" i="144"/>
  <c r="BB27" i="144" s="1"/>
  <c r="AH27" i="144"/>
  <c r="AW27" i="144"/>
  <c r="AH28" i="144"/>
  <c r="AW28" i="144"/>
  <c r="AY28" i="144"/>
  <c r="BB28" i="144" s="1"/>
  <c r="AY39" i="144"/>
  <c r="BB39" i="144" s="1"/>
  <c r="AW39" i="144"/>
  <c r="AH39" i="144"/>
  <c r="AF15" i="145"/>
  <c r="AC15" i="145"/>
  <c r="AF17" i="144"/>
  <c r="AC17" i="144"/>
  <c r="AB31" i="145"/>
  <c r="AE31" i="145" s="1"/>
  <c r="AD15" i="144"/>
  <c r="AG15" i="144"/>
  <c r="AH34" i="144"/>
  <c r="AW34" i="144"/>
  <c r="AY34" i="144"/>
  <c r="BB34" i="144" s="1"/>
  <c r="AE7" i="145"/>
  <c r="AH15" i="144"/>
  <c r="AW15" i="144"/>
  <c r="AY15" i="144"/>
  <c r="BB15" i="144" s="1"/>
  <c r="AB27" i="145"/>
  <c r="AE27" i="145" s="1"/>
  <c r="AB23" i="145"/>
  <c r="AE23" i="145" s="1"/>
  <c r="AB24" i="145"/>
  <c r="AE24" i="145" s="1"/>
  <c r="AG15" i="145"/>
  <c r="AD15" i="145"/>
  <c r="AB16" i="145"/>
  <c r="AE16" i="145" s="1"/>
  <c r="AB37" i="144"/>
  <c r="AE37" i="144" s="1"/>
  <c r="AD18" i="145"/>
  <c r="AG18" i="145"/>
  <c r="AC15" i="144"/>
  <c r="AF15" i="144"/>
  <c r="AS38" i="145"/>
  <c r="AT38" i="145" s="1"/>
  <c r="AU38" i="145"/>
  <c r="BR38" i="145"/>
  <c r="BP38" i="145"/>
  <c r="BQ38" i="145"/>
  <c r="X38" i="145"/>
  <c r="W38" i="145"/>
  <c r="BZ38" i="145"/>
  <c r="Y38" i="145"/>
  <c r="AD17" i="145"/>
  <c r="AG17" i="145"/>
  <c r="AC19" i="145"/>
  <c r="AF19" i="145"/>
  <c r="AB15" i="145"/>
  <c r="AE15" i="145" s="1"/>
  <c r="AW13" i="144"/>
  <c r="AY13" i="144"/>
  <c r="BB13" i="144" s="1"/>
  <c r="AH13" i="144"/>
  <c r="AZ14" i="144"/>
  <c r="AH37" i="144"/>
  <c r="AW37" i="144"/>
  <c r="AY37" i="144"/>
  <c r="BB37" i="144" s="1"/>
  <c r="AC18" i="145"/>
  <c r="AF18" i="145"/>
  <c r="BQ9" i="145"/>
  <c r="BR9" i="145"/>
  <c r="AS9" i="145"/>
  <c r="AT9" i="145" s="1"/>
  <c r="AU9" i="145"/>
  <c r="W9" i="145"/>
  <c r="BP9" i="145"/>
  <c r="X9" i="145"/>
  <c r="BZ9" i="145"/>
  <c r="Y9" i="145"/>
  <c r="AH29" i="144"/>
  <c r="AW29" i="144"/>
  <c r="AY29" i="144"/>
  <c r="BB29" i="144" s="1"/>
  <c r="AB26" i="144"/>
  <c r="AE26" i="144" s="1"/>
  <c r="AH31" i="144"/>
  <c r="AW31" i="144"/>
  <c r="AY31" i="144"/>
  <c r="BB31" i="144" s="1"/>
  <c r="AF14" i="144"/>
  <c r="AC14" i="144"/>
  <c r="AD19" i="145"/>
  <c r="AG19" i="145"/>
  <c r="AB9" i="145"/>
  <c r="AE9" i="145" s="1"/>
  <c r="AY16" i="145"/>
  <c r="BB16" i="145" s="1"/>
  <c r="AW16" i="145"/>
  <c r="AH16" i="145"/>
  <c r="AZ40" i="144"/>
  <c r="AB38" i="144"/>
  <c r="AE38" i="144" s="1"/>
  <c r="BP30" i="144"/>
  <c r="BQ30" i="144"/>
  <c r="BR30" i="144"/>
  <c r="AS30" i="144"/>
  <c r="AT30" i="144" s="1"/>
  <c r="AU30" i="144"/>
  <c r="BZ30" i="144"/>
  <c r="W30" i="144"/>
  <c r="Y30" i="144"/>
  <c r="X30" i="144"/>
  <c r="BO30" i="144"/>
  <c r="AZ13" i="145"/>
  <c r="AF17" i="145"/>
  <c r="AC17" i="145"/>
  <c r="AS7" i="145"/>
  <c r="AT7" i="145" s="1"/>
  <c r="AU7" i="145"/>
  <c r="BZ7" i="145"/>
  <c r="BP7" i="145"/>
  <c r="BQ7" i="145"/>
  <c r="W7" i="145"/>
  <c r="BR7" i="145"/>
  <c r="X7" i="145"/>
  <c r="Y7" i="145"/>
  <c r="AC10" i="145"/>
  <c r="AF10" i="145"/>
  <c r="AZ41" i="144"/>
  <c r="AF9" i="144"/>
  <c r="AC9" i="144"/>
  <c r="AC8" i="145"/>
  <c r="AF8" i="145"/>
  <c r="BM9" i="145"/>
  <c r="BV9" i="145" s="1"/>
  <c r="BK9" i="145"/>
  <c r="BN9" i="145" s="1"/>
  <c r="BW9" i="145" s="1"/>
  <c r="AD10" i="145"/>
  <c r="AG10" i="145"/>
  <c r="AD9" i="144"/>
  <c r="AG9" i="144"/>
  <c r="AB20" i="145"/>
  <c r="AE20" i="145" s="1"/>
  <c r="AD8" i="145"/>
  <c r="AG8" i="145"/>
  <c r="AH10" i="144"/>
  <c r="AW10" i="144"/>
  <c r="AY10" i="144"/>
  <c r="BB10" i="144" s="1"/>
  <c r="AH38" i="144"/>
  <c r="AW38" i="144"/>
  <c r="AY38" i="144"/>
  <c r="BB38" i="144" s="1"/>
  <c r="AH26" i="144"/>
  <c r="AW26" i="144"/>
  <c r="AY26" i="144"/>
  <c r="BB26" i="144" s="1"/>
  <c r="F817" i="57"/>
  <c r="D815" i="57"/>
  <c r="D814" i="57"/>
  <c r="D813" i="57"/>
  <c r="E812" i="57"/>
  <c r="I812" i="57" s="1"/>
  <c r="X100" i="56" s="1"/>
  <c r="D812" i="57"/>
  <c r="H438" i="57"/>
  <c r="F438" i="57"/>
  <c r="E437" i="57"/>
  <c r="I437" i="57" s="1"/>
  <c r="I438" i="57" s="1"/>
  <c r="X54" i="56" s="1"/>
  <c r="D437" i="57"/>
  <c r="D436" i="57"/>
  <c r="E564" i="57"/>
  <c r="G564" i="57" s="1"/>
  <c r="G566" i="57" s="1"/>
  <c r="R72" i="56" s="1"/>
  <c r="H566" i="57"/>
  <c r="F566" i="57"/>
  <c r="E565" i="57"/>
  <c r="I565" i="57" s="1"/>
  <c r="I566" i="57" s="1"/>
  <c r="X72" i="56" s="1"/>
  <c r="D565" i="57"/>
  <c r="D564" i="57"/>
  <c r="H538" i="57"/>
  <c r="F538" i="57"/>
  <c r="E537" i="57"/>
  <c r="I537" i="57" s="1"/>
  <c r="I538" i="57" s="1"/>
  <c r="X68" i="56" s="1"/>
  <c r="D537" i="57"/>
  <c r="D536" i="57"/>
  <c r="H510" i="57"/>
  <c r="F510" i="57"/>
  <c r="E509" i="57"/>
  <c r="I509" i="57" s="1"/>
  <c r="I510" i="57" s="1"/>
  <c r="X64" i="56" s="1"/>
  <c r="D509" i="57"/>
  <c r="E508" i="57"/>
  <c r="G508" i="57" s="1"/>
  <c r="G510" i="57" s="1"/>
  <c r="R64" i="56" s="1"/>
  <c r="D508" i="57"/>
  <c r="AH15" i="145" l="1"/>
  <c r="AW39" i="145"/>
  <c r="AY25" i="145"/>
  <c r="BB25" i="145" s="1"/>
  <c r="AW15" i="145"/>
  <c r="AW25" i="145"/>
  <c r="AZ40" i="145"/>
  <c r="AH32" i="145"/>
  <c r="AY36" i="144"/>
  <c r="BB36" i="144" s="1"/>
  <c r="AY32" i="145"/>
  <c r="BB32" i="145" s="1"/>
  <c r="BO23" i="145"/>
  <c r="AH23" i="145" s="1"/>
  <c r="AW17" i="145"/>
  <c r="AY27" i="145"/>
  <c r="BB27" i="145" s="1"/>
  <c r="AY39" i="145"/>
  <c r="BB39" i="145" s="1"/>
  <c r="AY22" i="145"/>
  <c r="BB22" i="145" s="1"/>
  <c r="AW22" i="145"/>
  <c r="AZ22" i="145" s="1"/>
  <c r="AY17" i="145"/>
  <c r="BB17" i="145" s="1"/>
  <c r="AZ14" i="145"/>
  <c r="BO356" i="164"/>
  <c r="BU356" i="164" s="1"/>
  <c r="BW356" i="164" s="1"/>
  <c r="BY356" i="164" s="1"/>
  <c r="CA356" i="164" s="1"/>
  <c r="CE356" i="164" s="1"/>
  <c r="CI356" i="164" s="1"/>
  <c r="BO7" i="145"/>
  <c r="AZ15" i="145"/>
  <c r="AW24" i="145"/>
  <c r="AZ24" i="145" s="1"/>
  <c r="AH24" i="145"/>
  <c r="BO38" i="145"/>
  <c r="AH38" i="145" s="1"/>
  <c r="AZ20" i="145"/>
  <c r="BB24" i="145"/>
  <c r="BO35" i="145"/>
  <c r="AD11" i="145"/>
  <c r="AG11" i="145"/>
  <c r="AW10" i="145"/>
  <c r="AZ10" i="145" s="1"/>
  <c r="AC11" i="145"/>
  <c r="AF11" i="145"/>
  <c r="BO29" i="145"/>
  <c r="AW29" i="145" s="1"/>
  <c r="AH10" i="145"/>
  <c r="AZ43" i="145"/>
  <c r="AN367" i="164"/>
  <c r="AP367" i="164" s="1"/>
  <c r="AM366" i="164"/>
  <c r="AU366" i="164" s="1"/>
  <c r="BO30" i="145"/>
  <c r="AH30" i="145" s="1"/>
  <c r="BZ46" i="145"/>
  <c r="BO9" i="145"/>
  <c r="AY9" i="145" s="1"/>
  <c r="BB9" i="145" s="1"/>
  <c r="AZ27" i="145"/>
  <c r="AZ31" i="145"/>
  <c r="AZ16" i="145"/>
  <c r="AZ41" i="145"/>
  <c r="AZ12" i="145"/>
  <c r="BP356" i="164"/>
  <c r="BR356" i="164" s="1"/>
  <c r="BT356" i="164" s="1"/>
  <c r="Y47" i="144"/>
  <c r="CH501" i="164"/>
  <c r="CC501" i="164"/>
  <c r="CD501" i="164" s="1"/>
  <c r="AR501" i="164"/>
  <c r="AS501" i="164" s="1"/>
  <c r="AT501" i="164" s="1"/>
  <c r="BV355" i="164"/>
  <c r="BX355" i="164" s="1"/>
  <c r="BZ355" i="164" s="1"/>
  <c r="CB355" i="164" s="1"/>
  <c r="CF355" i="164" s="1"/>
  <c r="CJ355" i="164" s="1"/>
  <c r="BR355" i="164"/>
  <c r="BT355" i="164" s="1"/>
  <c r="AU503" i="164"/>
  <c r="AV503" i="164"/>
  <c r="AW503" i="164" s="1"/>
  <c r="BP503" i="164" s="1"/>
  <c r="AB357" i="164"/>
  <c r="AI357" i="164" s="1"/>
  <c r="BQ355" i="164"/>
  <c r="BS355" i="164" s="1"/>
  <c r="CG355" i="164" s="1"/>
  <c r="BU355" i="164"/>
  <c r="BW355" i="164" s="1"/>
  <c r="BY355" i="164" s="1"/>
  <c r="CA355" i="164" s="1"/>
  <c r="CE355" i="164" s="1"/>
  <c r="CI355" i="164" s="1"/>
  <c r="CC354" i="164"/>
  <c r="CD354" i="164" s="1"/>
  <c r="CH354" i="164"/>
  <c r="AR354" i="164"/>
  <c r="AS354" i="164" s="1"/>
  <c r="AT354" i="164" s="1"/>
  <c r="Z359" i="164"/>
  <c r="AV359" i="164"/>
  <c r="AZ359" i="164"/>
  <c r="K360" i="164"/>
  <c r="L360" i="164" s="1"/>
  <c r="A187" i="164"/>
  <c r="BJ186" i="164"/>
  <c r="CK186" i="164" s="1"/>
  <c r="Z506" i="164"/>
  <c r="CX506" i="164"/>
  <c r="AZ506" i="164"/>
  <c r="BE505" i="164"/>
  <c r="BM505" i="164"/>
  <c r="BD505" i="164"/>
  <c r="CW505" i="164" s="1"/>
  <c r="BN504" i="164"/>
  <c r="BO504" i="164" s="1"/>
  <c r="BD358" i="164"/>
  <c r="CW358" i="164" s="1"/>
  <c r="BE358" i="164"/>
  <c r="BM358" i="164"/>
  <c r="H359" i="164"/>
  <c r="AE359" i="164"/>
  <c r="AH359" i="164" s="1"/>
  <c r="AA506" i="164"/>
  <c r="R506" i="164"/>
  <c r="AB506" i="164" s="1"/>
  <c r="AB505" i="164"/>
  <c r="AI505" i="164" s="1"/>
  <c r="R358" i="164"/>
  <c r="AA358" i="164"/>
  <c r="BR502" i="164"/>
  <c r="BT502" i="164" s="1"/>
  <c r="BV502" i="164"/>
  <c r="BX502" i="164" s="1"/>
  <c r="BZ502" i="164" s="1"/>
  <c r="CB502" i="164" s="1"/>
  <c r="CF502" i="164" s="1"/>
  <c r="CJ502" i="164" s="1"/>
  <c r="BQ503" i="164"/>
  <c r="BS503" i="164" s="1"/>
  <c r="CG503" i="164" s="1"/>
  <c r="BU503" i="164"/>
  <c r="BW503" i="164" s="1"/>
  <c r="BY503" i="164" s="1"/>
  <c r="CA503" i="164" s="1"/>
  <c r="CE503" i="164" s="1"/>
  <c r="CI503" i="164" s="1"/>
  <c r="BN357" i="164"/>
  <c r="AM504" i="164"/>
  <c r="AN505" i="164"/>
  <c r="AP505" i="164" s="1"/>
  <c r="AZ20" i="144"/>
  <c r="BZ47" i="144"/>
  <c r="AU47" i="144"/>
  <c r="AT47" i="144"/>
  <c r="X47" i="144"/>
  <c r="AZ37" i="144"/>
  <c r="AZ25" i="144"/>
  <c r="AD47" i="144"/>
  <c r="AZ13" i="144"/>
  <c r="AZ19" i="144"/>
  <c r="W47" i="144"/>
  <c r="AZ32" i="145"/>
  <c r="AF47" i="144"/>
  <c r="AU46" i="145"/>
  <c r="AB30" i="145"/>
  <c r="AZ36" i="144"/>
  <c r="AZ26" i="144"/>
  <c r="AT46" i="145"/>
  <c r="AZ34" i="144"/>
  <c r="AZ39" i="144"/>
  <c r="AZ9" i="144"/>
  <c r="AY23" i="145"/>
  <c r="BB23" i="145" s="1"/>
  <c r="AG47" i="144"/>
  <c r="AZ29" i="144"/>
  <c r="AZ15" i="144"/>
  <c r="AZ25" i="145"/>
  <c r="AZ42" i="145"/>
  <c r="AH24" i="144"/>
  <c r="AW24" i="144"/>
  <c r="AY24" i="144"/>
  <c r="BB24" i="144" s="1"/>
  <c r="AZ38" i="144"/>
  <c r="Y46" i="145"/>
  <c r="AH35" i="145"/>
  <c r="AW35" i="145"/>
  <c r="AY35" i="145"/>
  <c r="BB35" i="145" s="1"/>
  <c r="AC47" i="144"/>
  <c r="AZ28" i="144"/>
  <c r="AZ18" i="145"/>
  <c r="AW30" i="144"/>
  <c r="AY30" i="144"/>
  <c r="BB30" i="144" s="1"/>
  <c r="AH30" i="144"/>
  <c r="AD9" i="145"/>
  <c r="AG9" i="145"/>
  <c r="BU46" i="145"/>
  <c r="AC9" i="145"/>
  <c r="AF9" i="145"/>
  <c r="AZ27" i="144"/>
  <c r="AB24" i="144"/>
  <c r="AB47" i="144" s="1"/>
  <c r="AC7" i="145"/>
  <c r="AF7" i="145"/>
  <c r="AZ8" i="145"/>
  <c r="AZ22" i="144"/>
  <c r="X46" i="145"/>
  <c r="W46" i="145"/>
  <c r="AZ10" i="144"/>
  <c r="AZ31" i="144"/>
  <c r="AZ21" i="144"/>
  <c r="BO47" i="144"/>
  <c r="AB35" i="145"/>
  <c r="AE35" i="145" s="1"/>
  <c r="AZ16" i="144"/>
  <c r="AD7" i="145"/>
  <c r="AG7" i="145"/>
  <c r="AZ33" i="145"/>
  <c r="B567" i="57"/>
  <c r="F72" i="56" s="1"/>
  <c r="B511" i="57"/>
  <c r="F64" i="56" s="1"/>
  <c r="AZ17" i="145" l="1"/>
  <c r="AY30" i="145"/>
  <c r="BB30" i="145" s="1"/>
  <c r="AH9" i="145"/>
  <c r="AW9" i="145"/>
  <c r="AZ9" i="145" s="1"/>
  <c r="AY29" i="145"/>
  <c r="BO46" i="145"/>
  <c r="AH29" i="145"/>
  <c r="AW30" i="145"/>
  <c r="AY7" i="145"/>
  <c r="AY46" i="145" s="1"/>
  <c r="AW7" i="145"/>
  <c r="AW46" i="145" s="1"/>
  <c r="BB29" i="145"/>
  <c r="AZ39" i="145"/>
  <c r="AW23" i="145"/>
  <c r="AH7" i="145"/>
  <c r="AH46" i="145" s="1"/>
  <c r="AY38" i="145"/>
  <c r="BB38" i="145" s="1"/>
  <c r="BQ356" i="164"/>
  <c r="BS356" i="164" s="1"/>
  <c r="CG356" i="164" s="1"/>
  <c r="AN368" i="164"/>
  <c r="AP368" i="164" s="1"/>
  <c r="AM367" i="164"/>
  <c r="AU367" i="164" s="1"/>
  <c r="AZ23" i="145"/>
  <c r="AW38" i="145"/>
  <c r="AZ38" i="145" s="1"/>
  <c r="BV356" i="164"/>
  <c r="BX356" i="164" s="1"/>
  <c r="BZ356" i="164" s="1"/>
  <c r="CB356" i="164" s="1"/>
  <c r="CF356" i="164" s="1"/>
  <c r="CJ356" i="164" s="1"/>
  <c r="AZ35" i="145"/>
  <c r="AZ30" i="145"/>
  <c r="AH47" i="144"/>
  <c r="AD46" i="145"/>
  <c r="AI506" i="164"/>
  <c r="CC355" i="164"/>
  <c r="CD355" i="164" s="1"/>
  <c r="CH355" i="164"/>
  <c r="AR355" i="164"/>
  <c r="AS355" i="164" s="1"/>
  <c r="AT355" i="164" s="1"/>
  <c r="CH502" i="164"/>
  <c r="CC502" i="164"/>
  <c r="CD502" i="164" s="1"/>
  <c r="AR502" i="164"/>
  <c r="AS502" i="164" s="1"/>
  <c r="AT502" i="164" s="1"/>
  <c r="BQ504" i="164"/>
  <c r="BS504" i="164" s="1"/>
  <c r="CG504" i="164" s="1"/>
  <c r="BU504" i="164"/>
  <c r="BW504" i="164" s="1"/>
  <c r="BY504" i="164" s="1"/>
  <c r="CA504" i="164" s="1"/>
  <c r="CE504" i="164" s="1"/>
  <c r="CI504" i="164" s="1"/>
  <c r="CH356" i="164"/>
  <c r="AR356" i="164"/>
  <c r="AS356" i="164" s="1"/>
  <c r="AT356" i="164" s="1"/>
  <c r="BJ187" i="164"/>
  <c r="CK187" i="164" s="1"/>
  <c r="A188" i="164"/>
  <c r="AV360" i="164"/>
  <c r="Z360" i="164"/>
  <c r="K361" i="164"/>
  <c r="L361" i="164" s="1"/>
  <c r="BN505" i="164"/>
  <c r="BO505" i="164" s="1"/>
  <c r="Y359" i="164"/>
  <c r="P359" i="164"/>
  <c r="G360" i="164"/>
  <c r="H360" i="164" s="1"/>
  <c r="CX360" i="164" s="1"/>
  <c r="CX359" i="164"/>
  <c r="BD359" i="164" s="1"/>
  <c r="CW359" i="164" s="1"/>
  <c r="AB358" i="164"/>
  <c r="AI358" i="164" s="1"/>
  <c r="BN358" i="164"/>
  <c r="AN506" i="164"/>
  <c r="AP506" i="164" s="1"/>
  <c r="AM506" i="164" s="1"/>
  <c r="AM505" i="164"/>
  <c r="AU504" i="164"/>
  <c r="AV504" i="164"/>
  <c r="AW504" i="164" s="1"/>
  <c r="BP504" i="164" s="1"/>
  <c r="BM506" i="164"/>
  <c r="BE506" i="164"/>
  <c r="BD506" i="164"/>
  <c r="CW506" i="164" s="1"/>
  <c r="AW357" i="164"/>
  <c r="BP357" i="164" s="1"/>
  <c r="BO357" i="164"/>
  <c r="BM359" i="164"/>
  <c r="BR503" i="164"/>
  <c r="BT503" i="164" s="1"/>
  <c r="BV503" i="164"/>
  <c r="BX503" i="164" s="1"/>
  <c r="BZ503" i="164" s="1"/>
  <c r="CB503" i="164" s="1"/>
  <c r="CF503" i="164" s="1"/>
  <c r="CJ503" i="164" s="1"/>
  <c r="G64" i="56"/>
  <c r="AB64" i="56"/>
  <c r="G72" i="56"/>
  <c r="AB72" i="56"/>
  <c r="AE24" i="144"/>
  <c r="AE47" i="144" s="1"/>
  <c r="AJ48" i="144" s="1"/>
  <c r="AG46" i="145"/>
  <c r="AB46" i="145"/>
  <c r="BB47" i="144"/>
  <c r="AZ30" i="144"/>
  <c r="AY47" i="144"/>
  <c r="AZ24" i="144"/>
  <c r="AE30" i="145"/>
  <c r="AE46" i="145" s="1"/>
  <c r="AC46" i="145"/>
  <c r="AW47" i="144"/>
  <c r="AZ29" i="145"/>
  <c r="AF46" i="145"/>
  <c r="BB7" i="145"/>
  <c r="E635" i="57"/>
  <c r="G635" i="57" s="1"/>
  <c r="G636" i="57" s="1"/>
  <c r="R82" i="56" s="1"/>
  <c r="E621" i="57"/>
  <c r="G621" i="57" s="1"/>
  <c r="G622" i="57" s="1"/>
  <c r="R80" i="56" s="1"/>
  <c r="E607" i="57"/>
  <c r="G608" i="57" s="1"/>
  <c r="R78" i="56" s="1"/>
  <c r="BB46" i="145" l="1"/>
  <c r="AZ7" i="145"/>
  <c r="E14" i="56"/>
  <c r="AZ46" i="145"/>
  <c r="AN369" i="164"/>
  <c r="AP369" i="164" s="1"/>
  <c r="AM368" i="164"/>
  <c r="AU368" i="164" s="1"/>
  <c r="CC356" i="164"/>
  <c r="CD356" i="164" s="1"/>
  <c r="E21" i="56"/>
  <c r="AX51" i="145"/>
  <c r="E18" i="56"/>
  <c r="E17" i="56"/>
  <c r="AD50" i="145"/>
  <c r="E13" i="56"/>
  <c r="BE359" i="164"/>
  <c r="CC503" i="164"/>
  <c r="CD503" i="164" s="1"/>
  <c r="CH503" i="164"/>
  <c r="AR503" i="164"/>
  <c r="AS503" i="164" s="1"/>
  <c r="AT503" i="164" s="1"/>
  <c r="AA359" i="164"/>
  <c r="R359" i="164"/>
  <c r="BR504" i="164"/>
  <c r="BT504" i="164" s="1"/>
  <c r="BV504" i="164"/>
  <c r="BX504" i="164" s="1"/>
  <c r="BZ504" i="164" s="1"/>
  <c r="CB504" i="164" s="1"/>
  <c r="CF504" i="164" s="1"/>
  <c r="CJ504" i="164" s="1"/>
  <c r="BN359" i="164"/>
  <c r="AU505" i="164"/>
  <c r="AV505" i="164"/>
  <c r="AW505" i="164" s="1"/>
  <c r="BP505" i="164" s="1"/>
  <c r="Z361" i="164"/>
  <c r="K362" i="164"/>
  <c r="L362" i="164" s="1"/>
  <c r="AV361" i="164"/>
  <c r="BQ357" i="164"/>
  <c r="BS357" i="164" s="1"/>
  <c r="CG357" i="164" s="1"/>
  <c r="BU357" i="164"/>
  <c r="BW357" i="164" s="1"/>
  <c r="BY357" i="164" s="1"/>
  <c r="CA357" i="164" s="1"/>
  <c r="CE357" i="164" s="1"/>
  <c r="CI357" i="164" s="1"/>
  <c r="AZ360" i="164"/>
  <c r="AU506" i="164"/>
  <c r="AV506" i="164"/>
  <c r="AW506" i="164" s="1"/>
  <c r="BR357" i="164"/>
  <c r="BT357" i="164" s="1"/>
  <c r="BV357" i="164"/>
  <c r="BX357" i="164" s="1"/>
  <c r="BZ357" i="164" s="1"/>
  <c r="CB357" i="164" s="1"/>
  <c r="CF357" i="164" s="1"/>
  <c r="CJ357" i="164" s="1"/>
  <c r="BO358" i="164"/>
  <c r="AW358" i="164"/>
  <c r="BP358" i="164" s="1"/>
  <c r="BN506" i="164"/>
  <c r="BO506" i="164" s="1"/>
  <c r="BU505" i="164"/>
  <c r="BW505" i="164" s="1"/>
  <c r="BY505" i="164" s="1"/>
  <c r="CA505" i="164" s="1"/>
  <c r="CE505" i="164" s="1"/>
  <c r="CI505" i="164" s="1"/>
  <c r="BQ505" i="164"/>
  <c r="BS505" i="164" s="1"/>
  <c r="CG505" i="164" s="1"/>
  <c r="Y360" i="164"/>
  <c r="P360" i="164"/>
  <c r="G361" i="164"/>
  <c r="H361" i="164" s="1"/>
  <c r="AZ361" i="164" s="1"/>
  <c r="A189" i="164"/>
  <c r="BJ188" i="164"/>
  <c r="CK188" i="164" s="1"/>
  <c r="AA50" i="144"/>
  <c r="AE53" i="144"/>
  <c r="AI53" i="144" s="1"/>
  <c r="AZ47" i="144"/>
  <c r="U64" i="56"/>
  <c r="J64" i="56" s="1"/>
  <c r="W64" i="56"/>
  <c r="K64" i="56" s="1"/>
  <c r="AA64" i="56"/>
  <c r="M64" i="56" s="1"/>
  <c r="S64" i="56"/>
  <c r="I64" i="56" s="1"/>
  <c r="AD64" i="56"/>
  <c r="Y64" i="56"/>
  <c r="L64" i="56" s="1"/>
  <c r="U72" i="56"/>
  <c r="J72" i="56" s="1"/>
  <c r="W72" i="56"/>
  <c r="K72" i="56" s="1"/>
  <c r="AA72" i="56"/>
  <c r="M72" i="56" s="1"/>
  <c r="Y72" i="56"/>
  <c r="L72" i="56" s="1"/>
  <c r="S72" i="56"/>
  <c r="I72" i="56" s="1"/>
  <c r="AD72" i="56"/>
  <c r="G73" i="67"/>
  <c r="AN370" i="164" l="1"/>
  <c r="AM369" i="164"/>
  <c r="AU369" i="164" s="1"/>
  <c r="N72" i="56"/>
  <c r="AX51" i="144"/>
  <c r="E19" i="56"/>
  <c r="BP506" i="164"/>
  <c r="BR506" i="164" s="1"/>
  <c r="CC357" i="164"/>
  <c r="CD357" i="164" s="1"/>
  <c r="CH357" i="164"/>
  <c r="AR357" i="164"/>
  <c r="AS357" i="164" s="1"/>
  <c r="AT357" i="164" s="1"/>
  <c r="BM361" i="164"/>
  <c r="A190" i="164"/>
  <c r="BJ189" i="164"/>
  <c r="CK189" i="164" s="1"/>
  <c r="AV362" i="164"/>
  <c r="Z362" i="164"/>
  <c r="K363" i="164"/>
  <c r="L363" i="164" s="1"/>
  <c r="BQ358" i="164"/>
  <c r="BS358" i="164" s="1"/>
  <c r="CG358" i="164" s="1"/>
  <c r="BU358" i="164"/>
  <c r="BW358" i="164" s="1"/>
  <c r="BY358" i="164" s="1"/>
  <c r="CA358" i="164" s="1"/>
  <c r="CE358" i="164" s="1"/>
  <c r="CI358" i="164" s="1"/>
  <c r="CX361" i="164"/>
  <c r="BD361" i="164" s="1"/>
  <c r="CW361" i="164" s="1"/>
  <c r="AA360" i="164"/>
  <c r="R360" i="164"/>
  <c r="AB359" i="164"/>
  <c r="AI359" i="164" s="1"/>
  <c r="BV505" i="164"/>
  <c r="BX505" i="164" s="1"/>
  <c r="BZ505" i="164" s="1"/>
  <c r="CB505" i="164" s="1"/>
  <c r="CF505" i="164" s="1"/>
  <c r="CJ505" i="164" s="1"/>
  <c r="BR505" i="164"/>
  <c r="BT505" i="164" s="1"/>
  <c r="BV358" i="164"/>
  <c r="BX358" i="164" s="1"/>
  <c r="BZ358" i="164" s="1"/>
  <c r="CB358" i="164" s="1"/>
  <c r="CF358" i="164" s="1"/>
  <c r="CJ358" i="164" s="1"/>
  <c r="BR358" i="164"/>
  <c r="BT358" i="164" s="1"/>
  <c r="G362" i="164"/>
  <c r="H362" i="164" s="1"/>
  <c r="CX362" i="164" s="1"/>
  <c r="Y361" i="164"/>
  <c r="P361" i="164"/>
  <c r="BQ506" i="164"/>
  <c r="BS506" i="164" s="1"/>
  <c r="CG506" i="164" s="1"/>
  <c r="BU506" i="164"/>
  <c r="BW506" i="164" s="1"/>
  <c r="BY506" i="164" s="1"/>
  <c r="CA506" i="164" s="1"/>
  <c r="CE506" i="164" s="1"/>
  <c r="CI506" i="164" s="1"/>
  <c r="CC504" i="164"/>
  <c r="CD504" i="164" s="1"/>
  <c r="CH504" i="164"/>
  <c r="AR504" i="164"/>
  <c r="AS504" i="164" s="1"/>
  <c r="AT504" i="164" s="1"/>
  <c r="BM360" i="164"/>
  <c r="BD360" i="164"/>
  <c r="CW360" i="164" s="1"/>
  <c r="BE360" i="164"/>
  <c r="N64" i="56"/>
  <c r="G1065" i="57"/>
  <c r="F1065" i="57"/>
  <c r="G1047" i="57"/>
  <c r="G1029" i="57"/>
  <c r="G1011" i="57"/>
  <c r="F1002" i="57"/>
  <c r="F974" i="57"/>
  <c r="F984" i="57"/>
  <c r="F994" i="57"/>
  <c r="G946" i="57"/>
  <c r="F946" i="57"/>
  <c r="G954" i="57"/>
  <c r="F954" i="57"/>
  <c r="G825" i="57"/>
  <c r="F825" i="57"/>
  <c r="G865" i="57"/>
  <c r="F865" i="57"/>
  <c r="G906" i="57"/>
  <c r="F906" i="57"/>
  <c r="G914" i="57"/>
  <c r="F914" i="57"/>
  <c r="G922" i="57"/>
  <c r="F922" i="57"/>
  <c r="F807" i="57"/>
  <c r="F797" i="57"/>
  <c r="F787" i="57"/>
  <c r="G890" i="57"/>
  <c r="F890" i="57"/>
  <c r="F777" i="57"/>
  <c r="F766" i="57"/>
  <c r="F755" i="57"/>
  <c r="F744" i="57"/>
  <c r="F733" i="57"/>
  <c r="F722" i="57"/>
  <c r="F712" i="57"/>
  <c r="F701" i="57"/>
  <c r="F690" i="57"/>
  <c r="F679" i="57"/>
  <c r="F668" i="57"/>
  <c r="F657" i="57"/>
  <c r="D1063" i="57"/>
  <c r="D1062" i="57"/>
  <c r="E1061" i="57"/>
  <c r="I1061" i="57" s="1"/>
  <c r="X129" i="56" s="1"/>
  <c r="D1061" i="57"/>
  <c r="D1045" i="57"/>
  <c r="D1044" i="57"/>
  <c r="E1043" i="57"/>
  <c r="F1043" i="57" s="1"/>
  <c r="D1043" i="57"/>
  <c r="D1027" i="57"/>
  <c r="D1026" i="57"/>
  <c r="E1025" i="57"/>
  <c r="F1025" i="57" s="1"/>
  <c r="F1029" i="57" s="1"/>
  <c r="Z125" i="56" s="1"/>
  <c r="D1025" i="57"/>
  <c r="D1009" i="57"/>
  <c r="D1008" i="57"/>
  <c r="E1007" i="57"/>
  <c r="F1007" i="57" s="1"/>
  <c r="D1007" i="57"/>
  <c r="D1000" i="57"/>
  <c r="D999" i="57"/>
  <c r="D972" i="57"/>
  <c r="D971" i="57"/>
  <c r="D970" i="57"/>
  <c r="D969" i="57"/>
  <c r="D982" i="57"/>
  <c r="D981" i="57"/>
  <c r="D980" i="57"/>
  <c r="D979" i="57"/>
  <c r="D992" i="57"/>
  <c r="D991" i="57"/>
  <c r="D990" i="57"/>
  <c r="D989" i="57"/>
  <c r="D944" i="57"/>
  <c r="D943" i="57"/>
  <c r="D952" i="57"/>
  <c r="D951" i="57"/>
  <c r="D823" i="57"/>
  <c r="D822" i="57"/>
  <c r="D863" i="57"/>
  <c r="D862" i="57"/>
  <c r="D904" i="57"/>
  <c r="D903" i="57"/>
  <c r="D912" i="57"/>
  <c r="D911" i="57"/>
  <c r="D920" i="57"/>
  <c r="D919" i="57"/>
  <c r="D805" i="57"/>
  <c r="D804" i="57"/>
  <c r="D803" i="57"/>
  <c r="E802" i="57"/>
  <c r="I802" i="57" s="1"/>
  <c r="X99" i="56" s="1"/>
  <c r="D802" i="57"/>
  <c r="D795" i="57"/>
  <c r="D794" i="57"/>
  <c r="D793" i="57"/>
  <c r="E792" i="57"/>
  <c r="I792" i="57" s="1"/>
  <c r="X98" i="56" s="1"/>
  <c r="D792" i="57"/>
  <c r="D785" i="57"/>
  <c r="D784" i="57"/>
  <c r="D783" i="57"/>
  <c r="E782" i="57"/>
  <c r="I782" i="57" s="1"/>
  <c r="X97" i="56" s="1"/>
  <c r="D782" i="57"/>
  <c r="D888" i="57"/>
  <c r="D887" i="57"/>
  <c r="E886" i="57"/>
  <c r="I886" i="57" s="1"/>
  <c r="X109" i="56" s="1"/>
  <c r="D886" i="57"/>
  <c r="D775" i="57"/>
  <c r="D774" i="57"/>
  <c r="D773" i="57"/>
  <c r="E772" i="57"/>
  <c r="G772" i="57" s="1"/>
  <c r="D772" i="57"/>
  <c r="E771" i="57"/>
  <c r="I771" i="57" s="1"/>
  <c r="X96" i="56" s="1"/>
  <c r="D771" i="57"/>
  <c r="D764" i="57"/>
  <c r="D763" i="57"/>
  <c r="D762" i="57"/>
  <c r="E761" i="57"/>
  <c r="G761" i="57" s="1"/>
  <c r="D761" i="57"/>
  <c r="E760" i="57"/>
  <c r="I760" i="57" s="1"/>
  <c r="X95" i="56" s="1"/>
  <c r="D760" i="57"/>
  <c r="D753" i="57"/>
  <c r="D752" i="57"/>
  <c r="D751" i="57"/>
  <c r="E750" i="57"/>
  <c r="G750" i="57" s="1"/>
  <c r="D750" i="57"/>
  <c r="E749" i="57"/>
  <c r="I749" i="57" s="1"/>
  <c r="X94" i="56" s="1"/>
  <c r="D749" i="57"/>
  <c r="D742" i="57"/>
  <c r="D741" i="57"/>
  <c r="D740" i="57"/>
  <c r="E739" i="57"/>
  <c r="G739" i="57" s="1"/>
  <c r="D739" i="57"/>
  <c r="E738" i="57"/>
  <c r="I738" i="57" s="1"/>
  <c r="X93" i="56" s="1"/>
  <c r="D738" i="57"/>
  <c r="D731" i="57"/>
  <c r="D730" i="57"/>
  <c r="D729" i="57"/>
  <c r="E728" i="57"/>
  <c r="G728" i="57" s="1"/>
  <c r="D728" i="57"/>
  <c r="E727" i="57"/>
  <c r="I727" i="57" s="1"/>
  <c r="X92" i="56" s="1"/>
  <c r="D727" i="57"/>
  <c r="D720" i="57"/>
  <c r="D719" i="57"/>
  <c r="D718" i="57"/>
  <c r="E717" i="57"/>
  <c r="I717" i="57" s="1"/>
  <c r="X91" i="56" s="1"/>
  <c r="D717" i="57"/>
  <c r="D710" i="57"/>
  <c r="D709" i="57"/>
  <c r="E708" i="57"/>
  <c r="I708" i="57" s="1"/>
  <c r="D708" i="57"/>
  <c r="D707" i="57"/>
  <c r="E706" i="57"/>
  <c r="I706" i="57" s="1"/>
  <c r="X90" i="56" s="1"/>
  <c r="D706" i="57"/>
  <c r="D699" i="57"/>
  <c r="D698" i="57"/>
  <c r="E697" i="57"/>
  <c r="I697" i="57" s="1"/>
  <c r="D697" i="57"/>
  <c r="D696" i="57"/>
  <c r="E695" i="57"/>
  <c r="I695" i="57" s="1"/>
  <c r="X89" i="56" s="1"/>
  <c r="D695" i="57"/>
  <c r="D688" i="57"/>
  <c r="D687" i="57"/>
  <c r="E686" i="57"/>
  <c r="I686" i="57" s="1"/>
  <c r="D686" i="57"/>
  <c r="D685" i="57"/>
  <c r="E684" i="57"/>
  <c r="I684" i="57" s="1"/>
  <c r="X88" i="56" s="1"/>
  <c r="D684" i="57"/>
  <c r="D677" i="57"/>
  <c r="D676" i="57"/>
  <c r="E675" i="57"/>
  <c r="I675" i="57" s="1"/>
  <c r="D675" i="57"/>
  <c r="D674" i="57"/>
  <c r="E673" i="57"/>
  <c r="I673" i="57" s="1"/>
  <c r="X87" i="56" s="1"/>
  <c r="D673" i="57"/>
  <c r="D666" i="57"/>
  <c r="D665" i="57"/>
  <c r="E664" i="57"/>
  <c r="I664" i="57" s="1"/>
  <c r="D664" i="57"/>
  <c r="D663" i="57"/>
  <c r="E662" i="57"/>
  <c r="I662" i="57" s="1"/>
  <c r="X86" i="56" s="1"/>
  <c r="D662" i="57"/>
  <c r="D655" i="57"/>
  <c r="D654" i="57"/>
  <c r="E653" i="57"/>
  <c r="I653" i="57" s="1"/>
  <c r="D653" i="57"/>
  <c r="D652" i="57"/>
  <c r="E651" i="57"/>
  <c r="I651" i="57" s="1"/>
  <c r="X85" i="56" s="1"/>
  <c r="D651" i="57"/>
  <c r="AB360" i="164" l="1"/>
  <c r="AI360" i="164" s="1"/>
  <c r="AW360" i="164" s="1"/>
  <c r="BZ506" i="164"/>
  <c r="BX506" i="164"/>
  <c r="BT506" i="164"/>
  <c r="AR506" i="164" s="1"/>
  <c r="AS506" i="164" s="1"/>
  <c r="AT506" i="164" s="1"/>
  <c r="CF506" i="164"/>
  <c r="CJ506" i="164" s="1"/>
  <c r="BV506" i="164"/>
  <c r="CB506" i="164"/>
  <c r="CC358" i="164"/>
  <c r="CD358" i="164" s="1"/>
  <c r="CH358" i="164"/>
  <c r="AR358" i="164"/>
  <c r="AS358" i="164" s="1"/>
  <c r="AT358" i="164" s="1"/>
  <c r="CH505" i="164"/>
  <c r="CC505" i="164"/>
  <c r="CD505" i="164" s="1"/>
  <c r="AR505" i="164"/>
  <c r="AS505" i="164" s="1"/>
  <c r="AT505" i="164" s="1"/>
  <c r="R361" i="164"/>
  <c r="AA361" i="164"/>
  <c r="BO359" i="164"/>
  <c r="AW359" i="164"/>
  <c r="BP359" i="164" s="1"/>
  <c r="Y362" i="164"/>
  <c r="P362" i="164"/>
  <c r="G363" i="164"/>
  <c r="H363" i="164" s="1"/>
  <c r="CX363" i="164" s="1"/>
  <c r="BJ190" i="164"/>
  <c r="CK190" i="164" s="1"/>
  <c r="A191" i="164"/>
  <c r="BN361" i="164"/>
  <c r="BE361" i="164"/>
  <c r="BN360" i="164"/>
  <c r="K364" i="164"/>
  <c r="L364" i="164" s="1"/>
  <c r="Z363" i="164"/>
  <c r="AV363" i="164"/>
  <c r="AZ362" i="164"/>
  <c r="F1047" i="57"/>
  <c r="Z127" i="56"/>
  <c r="F1011" i="57"/>
  <c r="Z123" i="56"/>
  <c r="H644" i="57"/>
  <c r="F644" i="57"/>
  <c r="H629" i="57"/>
  <c r="F629" i="57"/>
  <c r="H615" i="57"/>
  <c r="F615" i="57"/>
  <c r="H601" i="57"/>
  <c r="F601" i="57"/>
  <c r="H594" i="57"/>
  <c r="F594" i="57"/>
  <c r="H573" i="57"/>
  <c r="F573" i="57"/>
  <c r="H580" i="57"/>
  <c r="F580" i="57"/>
  <c r="H587" i="57"/>
  <c r="F587" i="57"/>
  <c r="H552" i="57"/>
  <c r="F552" i="57"/>
  <c r="H559" i="57"/>
  <c r="F559" i="57"/>
  <c r="H445" i="57"/>
  <c r="F445" i="57"/>
  <c r="H480" i="57"/>
  <c r="F480" i="57"/>
  <c r="H517" i="57"/>
  <c r="F517" i="57"/>
  <c r="H524" i="57"/>
  <c r="F524" i="57"/>
  <c r="H531" i="57"/>
  <c r="F531" i="57"/>
  <c r="H431" i="57"/>
  <c r="F431" i="57"/>
  <c r="H424" i="57"/>
  <c r="F424" i="57"/>
  <c r="H417" i="57"/>
  <c r="F417" i="57"/>
  <c r="H503" i="57"/>
  <c r="F503" i="57"/>
  <c r="H410" i="57"/>
  <c r="F410" i="57"/>
  <c r="H401" i="57"/>
  <c r="F401" i="57"/>
  <c r="H392" i="57"/>
  <c r="F392" i="57"/>
  <c r="H383" i="57"/>
  <c r="F383" i="57"/>
  <c r="H374" i="57"/>
  <c r="F374" i="57"/>
  <c r="H367" i="57"/>
  <c r="F367" i="57"/>
  <c r="H360" i="57"/>
  <c r="F360" i="57"/>
  <c r="H353" i="57"/>
  <c r="F353" i="57"/>
  <c r="H346" i="57"/>
  <c r="F346" i="57"/>
  <c r="H339" i="57"/>
  <c r="F339" i="57"/>
  <c r="H332" i="57"/>
  <c r="F332" i="57"/>
  <c r="H325" i="57"/>
  <c r="F325" i="57"/>
  <c r="G628" i="57"/>
  <c r="G629" i="57" s="1"/>
  <c r="R81" i="56" s="1"/>
  <c r="E614" i="57"/>
  <c r="G614" i="57" s="1"/>
  <c r="G615" i="57" s="1"/>
  <c r="R79" i="56" s="1"/>
  <c r="E600" i="57"/>
  <c r="G601" i="57" s="1"/>
  <c r="R77" i="56" s="1"/>
  <c r="E593" i="57"/>
  <c r="I593" i="57" s="1"/>
  <c r="I594" i="57" s="1"/>
  <c r="X76" i="56" s="1"/>
  <c r="E572" i="57"/>
  <c r="I572" i="57" s="1"/>
  <c r="I573" i="57" s="1"/>
  <c r="X73" i="56" s="1"/>
  <c r="E579" i="57"/>
  <c r="I579" i="57" s="1"/>
  <c r="I580" i="57" s="1"/>
  <c r="X74" i="56" s="1"/>
  <c r="E586" i="57"/>
  <c r="I586" i="57" s="1"/>
  <c r="I587" i="57" s="1"/>
  <c r="X75" i="56" s="1"/>
  <c r="E551" i="57"/>
  <c r="I551" i="57" s="1"/>
  <c r="I552" i="57" s="1"/>
  <c r="X70" i="56" s="1"/>
  <c r="E558" i="57"/>
  <c r="I558" i="57" s="1"/>
  <c r="I559" i="57" s="1"/>
  <c r="X71" i="56" s="1"/>
  <c r="E444" i="57"/>
  <c r="I444" i="57" s="1"/>
  <c r="I445" i="57" s="1"/>
  <c r="X55" i="56" s="1"/>
  <c r="E479" i="57"/>
  <c r="I479" i="57" s="1"/>
  <c r="I480" i="57" s="1"/>
  <c r="X60" i="56" s="1"/>
  <c r="E516" i="57"/>
  <c r="I516" i="57" s="1"/>
  <c r="I517" i="57" s="1"/>
  <c r="X65" i="56" s="1"/>
  <c r="E523" i="57"/>
  <c r="I523" i="57" s="1"/>
  <c r="I524" i="57" s="1"/>
  <c r="X66" i="56" s="1"/>
  <c r="E530" i="57"/>
  <c r="I530" i="57" s="1"/>
  <c r="I531" i="57" s="1"/>
  <c r="X67" i="56" s="1"/>
  <c r="E430" i="57"/>
  <c r="I430" i="57" s="1"/>
  <c r="I431" i="57" s="1"/>
  <c r="X53" i="56" s="1"/>
  <c r="E423" i="57"/>
  <c r="I423" i="57" s="1"/>
  <c r="I424" i="57" s="1"/>
  <c r="X52" i="56" s="1"/>
  <c r="E416" i="57"/>
  <c r="I416" i="57" s="1"/>
  <c r="I417" i="57" s="1"/>
  <c r="X51" i="56" s="1"/>
  <c r="E502" i="57"/>
  <c r="I502" i="57" s="1"/>
  <c r="E409" i="57"/>
  <c r="G409" i="57" s="1"/>
  <c r="E408" i="57"/>
  <c r="G408" i="57" s="1"/>
  <c r="E407" i="57"/>
  <c r="I407" i="57" s="1"/>
  <c r="I410" i="57" s="1"/>
  <c r="X50" i="56" s="1"/>
  <c r="E400" i="57"/>
  <c r="G400" i="57" s="1"/>
  <c r="E399" i="57"/>
  <c r="G399" i="57" s="1"/>
  <c r="E398" i="57"/>
  <c r="I398" i="57" s="1"/>
  <c r="I401" i="57" s="1"/>
  <c r="X49" i="56" s="1"/>
  <c r="E391" i="57"/>
  <c r="G391" i="57" s="1"/>
  <c r="E390" i="57"/>
  <c r="G390" i="57" s="1"/>
  <c r="E389" i="57"/>
  <c r="I389" i="57" s="1"/>
  <c r="I392" i="57" s="1"/>
  <c r="X48" i="56" s="1"/>
  <c r="E382" i="57"/>
  <c r="G382" i="57" s="1"/>
  <c r="E381" i="57"/>
  <c r="G381" i="57" s="1"/>
  <c r="E380" i="57"/>
  <c r="I380" i="57" s="1"/>
  <c r="I383" i="57" s="1"/>
  <c r="X47" i="56" s="1"/>
  <c r="E373" i="57"/>
  <c r="I373" i="57" s="1"/>
  <c r="I374" i="57" s="1"/>
  <c r="X46" i="56" s="1"/>
  <c r="E366" i="57"/>
  <c r="I366" i="57" s="1"/>
  <c r="I367" i="57" s="1"/>
  <c r="X45" i="56" s="1"/>
  <c r="E359" i="57"/>
  <c r="I359" i="57" s="1"/>
  <c r="I360" i="57" s="1"/>
  <c r="X44" i="56" s="1"/>
  <c r="E352" i="57"/>
  <c r="I352" i="57" s="1"/>
  <c r="I353" i="57" s="1"/>
  <c r="X43" i="56" s="1"/>
  <c r="E345" i="57"/>
  <c r="I345" i="57" s="1"/>
  <c r="I346" i="57" s="1"/>
  <c r="X42" i="56" s="1"/>
  <c r="E338" i="57"/>
  <c r="I338" i="57" s="1"/>
  <c r="I339" i="57" s="1"/>
  <c r="X41" i="56" s="1"/>
  <c r="E331" i="57"/>
  <c r="I331" i="57" s="1"/>
  <c r="I332" i="57" s="1"/>
  <c r="X40" i="56" s="1"/>
  <c r="E324" i="57"/>
  <c r="I324" i="57" s="1"/>
  <c r="I325" i="57" s="1"/>
  <c r="X39" i="56" s="1"/>
  <c r="E7" i="57"/>
  <c r="D643" i="57"/>
  <c r="D642" i="57"/>
  <c r="D641" i="57"/>
  <c r="D628" i="57"/>
  <c r="D627" i="57"/>
  <c r="D614" i="57"/>
  <c r="D613" i="57"/>
  <c r="D600" i="57"/>
  <c r="D599" i="57"/>
  <c r="D593" i="57"/>
  <c r="D592" i="57"/>
  <c r="D572" i="57"/>
  <c r="D571" i="57"/>
  <c r="D579" i="57"/>
  <c r="D578" i="57"/>
  <c r="D586" i="57"/>
  <c r="D585" i="57"/>
  <c r="D551" i="57"/>
  <c r="D550" i="57"/>
  <c r="D558" i="57"/>
  <c r="D557" i="57"/>
  <c r="D444" i="57"/>
  <c r="D443" i="57"/>
  <c r="D479" i="57"/>
  <c r="D478" i="57"/>
  <c r="D516" i="57"/>
  <c r="D515" i="57"/>
  <c r="D523" i="57"/>
  <c r="D522" i="57"/>
  <c r="D530" i="57"/>
  <c r="D529" i="57"/>
  <c r="D430" i="57"/>
  <c r="D429" i="57"/>
  <c r="D423" i="57"/>
  <c r="D422" i="57"/>
  <c r="D416" i="57"/>
  <c r="D415" i="57"/>
  <c r="D502" i="57"/>
  <c r="D501" i="57"/>
  <c r="D500" i="57"/>
  <c r="D499" i="57"/>
  <c r="D409" i="57"/>
  <c r="D408" i="57"/>
  <c r="D407" i="57"/>
  <c r="D406" i="57"/>
  <c r="D400" i="57"/>
  <c r="D399" i="57"/>
  <c r="D398" i="57"/>
  <c r="D397" i="57"/>
  <c r="D391" i="57"/>
  <c r="D390" i="57"/>
  <c r="D389" i="57"/>
  <c r="D388" i="57"/>
  <c r="D382" i="57"/>
  <c r="D381" i="57"/>
  <c r="D380" i="57"/>
  <c r="D379" i="57"/>
  <c r="D373" i="57"/>
  <c r="D372" i="57"/>
  <c r="D366" i="57"/>
  <c r="D365" i="57"/>
  <c r="D359" i="57"/>
  <c r="D358" i="57"/>
  <c r="D352" i="57"/>
  <c r="D351" i="57"/>
  <c r="D345" i="57"/>
  <c r="D344" i="57"/>
  <c r="D338" i="57"/>
  <c r="D337" i="57"/>
  <c r="D331" i="57"/>
  <c r="D330" i="57"/>
  <c r="D324" i="57"/>
  <c r="D323" i="57"/>
  <c r="D7" i="57"/>
  <c r="BO360" i="164" l="1"/>
  <c r="BU360" i="164" s="1"/>
  <c r="BW360" i="164" s="1"/>
  <c r="BY360" i="164" s="1"/>
  <c r="CA360" i="164" s="1"/>
  <c r="CE360" i="164" s="1"/>
  <c r="CI360" i="164" s="1"/>
  <c r="CC506" i="164"/>
  <c r="CD506" i="164" s="1"/>
  <c r="CH506" i="164"/>
  <c r="BP360" i="164"/>
  <c r="BR360" i="164" s="1"/>
  <c r="BT360" i="164" s="1"/>
  <c r="CB359" i="164"/>
  <c r="BR359" i="164"/>
  <c r="BX359" i="164"/>
  <c r="BZ359" i="164"/>
  <c r="BT359" i="164"/>
  <c r="BV359" i="164"/>
  <c r="CF359" i="164"/>
  <c r="CJ359" i="164" s="1"/>
  <c r="BQ359" i="164"/>
  <c r="BS359" i="164" s="1"/>
  <c r="CG359" i="164" s="1"/>
  <c r="BU359" i="164"/>
  <c r="BW359" i="164" s="1"/>
  <c r="BY359" i="164" s="1"/>
  <c r="CA359" i="164" s="1"/>
  <c r="CE359" i="164" s="1"/>
  <c r="CI359" i="164" s="1"/>
  <c r="AZ363" i="164"/>
  <c r="AB361" i="164"/>
  <c r="AI361" i="164" s="1"/>
  <c r="BJ191" i="164"/>
  <c r="CK191" i="164" s="1"/>
  <c r="A193" i="164"/>
  <c r="BE362" i="164"/>
  <c r="BM362" i="164"/>
  <c r="BD362" i="164"/>
  <c r="CW362" i="164" s="1"/>
  <c r="Z364" i="164"/>
  <c r="AV364" i="164"/>
  <c r="K365" i="164"/>
  <c r="L365" i="164" s="1"/>
  <c r="G364" i="164"/>
  <c r="H364" i="164" s="1"/>
  <c r="AZ364" i="164" s="1"/>
  <c r="Y363" i="164"/>
  <c r="P363" i="164"/>
  <c r="AA362" i="164"/>
  <c r="R362" i="164"/>
  <c r="I503" i="57"/>
  <c r="X63" i="56" s="1"/>
  <c r="E499" i="57"/>
  <c r="G499" i="57" s="1"/>
  <c r="E557" i="57"/>
  <c r="G557" i="57" s="1"/>
  <c r="G559" i="57" s="1"/>
  <c r="E443" i="57"/>
  <c r="G443" i="57" s="1"/>
  <c r="G445" i="57" s="1"/>
  <c r="E478" i="57"/>
  <c r="G478" i="57" s="1"/>
  <c r="G480" i="57" s="1"/>
  <c r="E515" i="57"/>
  <c r="G515" i="57" s="1"/>
  <c r="G517" i="57" s="1"/>
  <c r="E522" i="57"/>
  <c r="G522" i="57" s="1"/>
  <c r="G524" i="57" s="1"/>
  <c r="B4" i="60"/>
  <c r="BQ360" i="164" l="1"/>
  <c r="BS360" i="164" s="1"/>
  <c r="CG360" i="164" s="1"/>
  <c r="BV360" i="164"/>
  <c r="BX360" i="164" s="1"/>
  <c r="BZ360" i="164" s="1"/>
  <c r="CB360" i="164" s="1"/>
  <c r="CF360" i="164" s="1"/>
  <c r="CJ360" i="164" s="1"/>
  <c r="CH360" i="164"/>
  <c r="AR360" i="164"/>
  <c r="AS360" i="164" s="1"/>
  <c r="AT360" i="164" s="1"/>
  <c r="BM364" i="164"/>
  <c r="AA363" i="164"/>
  <c r="R363" i="164"/>
  <c r="Z365" i="164"/>
  <c r="K366" i="164"/>
  <c r="L366" i="164" s="1"/>
  <c r="AV365" i="164"/>
  <c r="CX364" i="164"/>
  <c r="BE364" i="164" s="1"/>
  <c r="AR359" i="164"/>
  <c r="AS359" i="164" s="1"/>
  <c r="AT359" i="164" s="1"/>
  <c r="CC359" i="164"/>
  <c r="CD359" i="164" s="1"/>
  <c r="CH359" i="164"/>
  <c r="BE363" i="164"/>
  <c r="BM363" i="164"/>
  <c r="BD363" i="164"/>
  <c r="CW363" i="164" s="1"/>
  <c r="BN362" i="164"/>
  <c r="BJ193" i="164"/>
  <c r="CK193" i="164" s="1"/>
  <c r="A194" i="164"/>
  <c r="Y364" i="164"/>
  <c r="G365" i="164"/>
  <c r="H365" i="164" s="1"/>
  <c r="AZ365" i="164" s="1"/>
  <c r="P364" i="164"/>
  <c r="AB362" i="164"/>
  <c r="AI362" i="164" s="1"/>
  <c r="BO361" i="164"/>
  <c r="AW361" i="164"/>
  <c r="BP361" i="164" s="1"/>
  <c r="B525" i="57"/>
  <c r="F66" i="56" s="1"/>
  <c r="R66" i="56"/>
  <c r="B518" i="57"/>
  <c r="F65" i="56" s="1"/>
  <c r="R65" i="56"/>
  <c r="B481" i="57"/>
  <c r="F60" i="56" s="1"/>
  <c r="R60" i="56"/>
  <c r="B446" i="57"/>
  <c r="F55" i="56" s="1"/>
  <c r="R55" i="56"/>
  <c r="B560" i="57"/>
  <c r="F71" i="56" s="1"/>
  <c r="R71" i="56"/>
  <c r="E550" i="57"/>
  <c r="G550" i="57" s="1"/>
  <c r="G552" i="57" s="1"/>
  <c r="E536" i="57"/>
  <c r="G536" i="57" s="1"/>
  <c r="G538" i="57" s="1"/>
  <c r="E500" i="57"/>
  <c r="E529" i="57"/>
  <c r="G529" i="57" s="1"/>
  <c r="G531" i="57" s="1"/>
  <c r="E501" i="57"/>
  <c r="B3" i="130"/>
  <c r="B2" i="129"/>
  <c r="AB363" i="164" l="1"/>
  <c r="AI363" i="164" s="1"/>
  <c r="AW363" i="164" s="1"/>
  <c r="CC360" i="164"/>
  <c r="CD360" i="164" s="1"/>
  <c r="BM365" i="164"/>
  <c r="BR361" i="164"/>
  <c r="BT361" i="164" s="1"/>
  <c r="BV361" i="164"/>
  <c r="BX361" i="164" s="1"/>
  <c r="BZ361" i="164" s="1"/>
  <c r="CB361" i="164" s="1"/>
  <c r="CF361" i="164" s="1"/>
  <c r="CJ361" i="164" s="1"/>
  <c r="BN364" i="164"/>
  <c r="BN363" i="164"/>
  <c r="BD364" i="164"/>
  <c r="CW364" i="164" s="1"/>
  <c r="Y365" i="164"/>
  <c r="G366" i="164"/>
  <c r="H366" i="164" s="1"/>
  <c r="CX366" i="164" s="1"/>
  <c r="P365" i="164"/>
  <c r="AV366" i="164"/>
  <c r="K367" i="164"/>
  <c r="L367" i="164" s="1"/>
  <c r="Z366" i="164"/>
  <c r="BU361" i="164"/>
  <c r="BW361" i="164" s="1"/>
  <c r="BY361" i="164" s="1"/>
  <c r="CA361" i="164" s="1"/>
  <c r="CE361" i="164" s="1"/>
  <c r="CI361" i="164" s="1"/>
  <c r="BQ361" i="164"/>
  <c r="BS361" i="164" s="1"/>
  <c r="CG361" i="164" s="1"/>
  <c r="BO362" i="164"/>
  <c r="AW362" i="164"/>
  <c r="BP362" i="164" s="1"/>
  <c r="AA364" i="164"/>
  <c r="R364" i="164"/>
  <c r="A196" i="164"/>
  <c r="BJ194" i="164"/>
  <c r="CK194" i="164" s="1"/>
  <c r="CX365" i="164"/>
  <c r="BE365" i="164" s="1"/>
  <c r="AB71" i="56"/>
  <c r="G71" i="56"/>
  <c r="B532" i="57"/>
  <c r="F67" i="56" s="1"/>
  <c r="R67" i="56"/>
  <c r="G65" i="56"/>
  <c r="AB65" i="56"/>
  <c r="S65" i="56" s="1"/>
  <c r="I65" i="56" s="1"/>
  <c r="G55" i="56"/>
  <c r="AB55" i="56"/>
  <c r="G60" i="56"/>
  <c r="AB60" i="56"/>
  <c r="S60" i="56" s="1"/>
  <c r="I60" i="56" s="1"/>
  <c r="B539" i="57"/>
  <c r="F68" i="56" s="1"/>
  <c r="R68" i="56"/>
  <c r="G66" i="56"/>
  <c r="AB66" i="56"/>
  <c r="S66" i="56" s="1"/>
  <c r="I66" i="56" s="1"/>
  <c r="B553" i="57"/>
  <c r="F70" i="56" s="1"/>
  <c r="R70" i="56"/>
  <c r="G500" i="57"/>
  <c r="G501" i="57"/>
  <c r="E13" i="129"/>
  <c r="D12" i="129"/>
  <c r="BO363" i="164" l="1"/>
  <c r="BQ363" i="164" s="1"/>
  <c r="BS363" i="164" s="1"/>
  <c r="CG363" i="164" s="1"/>
  <c r="AD66" i="56"/>
  <c r="BP363" i="164"/>
  <c r="CB363" i="164" s="1"/>
  <c r="CH361" i="164"/>
  <c r="CC361" i="164"/>
  <c r="CD361" i="164" s="1"/>
  <c r="AR361" i="164"/>
  <c r="AS361" i="164" s="1"/>
  <c r="AT361" i="164" s="1"/>
  <c r="AB364" i="164"/>
  <c r="AI364" i="164" s="1"/>
  <c r="Y366" i="164"/>
  <c r="G367" i="164"/>
  <c r="H367" i="164" s="1"/>
  <c r="P366" i="164"/>
  <c r="Z367" i="164"/>
  <c r="AV367" i="164"/>
  <c r="K368" i="164"/>
  <c r="L368" i="164" s="1"/>
  <c r="BV362" i="164"/>
  <c r="BX362" i="164" s="1"/>
  <c r="BZ362" i="164" s="1"/>
  <c r="CB362" i="164" s="1"/>
  <c r="CF362" i="164" s="1"/>
  <c r="CJ362" i="164" s="1"/>
  <c r="BR362" i="164"/>
  <c r="BT362" i="164" s="1"/>
  <c r="AZ366" i="164"/>
  <c r="R365" i="164"/>
  <c r="AA365" i="164"/>
  <c r="BQ362" i="164"/>
  <c r="BS362" i="164" s="1"/>
  <c r="CG362" i="164" s="1"/>
  <c r="BU362" i="164"/>
  <c r="BW362" i="164" s="1"/>
  <c r="BY362" i="164" s="1"/>
  <c r="CA362" i="164" s="1"/>
  <c r="CE362" i="164" s="1"/>
  <c r="CI362" i="164" s="1"/>
  <c r="BN365" i="164"/>
  <c r="BD365" i="164"/>
  <c r="CW365" i="164" s="1"/>
  <c r="BJ196" i="164"/>
  <c r="CK196" i="164" s="1"/>
  <c r="A197" i="164"/>
  <c r="AD60" i="56"/>
  <c r="G68" i="56"/>
  <c r="AB68" i="56"/>
  <c r="G67" i="56"/>
  <c r="AB67" i="56"/>
  <c r="S67" i="56" s="1"/>
  <c r="I67" i="56" s="1"/>
  <c r="AD65" i="56"/>
  <c r="G70" i="56"/>
  <c r="AB70" i="56"/>
  <c r="AD70" i="56" s="1"/>
  <c r="U71" i="56"/>
  <c r="J71" i="56" s="1"/>
  <c r="W71" i="56"/>
  <c r="K71" i="56" s="1"/>
  <c r="AA71" i="56"/>
  <c r="M71" i="56" s="1"/>
  <c r="Y71" i="56"/>
  <c r="L71" i="56" s="1"/>
  <c r="S71" i="56"/>
  <c r="I71" i="56" s="1"/>
  <c r="W65" i="56"/>
  <c r="K65" i="56" s="1"/>
  <c r="U65" i="56"/>
  <c r="J65" i="56" s="1"/>
  <c r="AA65" i="56"/>
  <c r="M65" i="56" s="1"/>
  <c r="Y65" i="56"/>
  <c r="L65" i="56" s="1"/>
  <c r="W60" i="56"/>
  <c r="K60" i="56" s="1"/>
  <c r="U60" i="56"/>
  <c r="J60" i="56" s="1"/>
  <c r="AA60" i="56"/>
  <c r="M60" i="56" s="1"/>
  <c r="Y60" i="56"/>
  <c r="L60" i="56" s="1"/>
  <c r="U55" i="56"/>
  <c r="J55" i="56" s="1"/>
  <c r="AA55" i="56"/>
  <c r="M55" i="56" s="1"/>
  <c r="W55" i="56"/>
  <c r="K55" i="56" s="1"/>
  <c r="Y55" i="56"/>
  <c r="L55" i="56" s="1"/>
  <c r="U66" i="56"/>
  <c r="J66" i="56" s="1"/>
  <c r="W66" i="56"/>
  <c r="K66" i="56" s="1"/>
  <c r="AA66" i="56"/>
  <c r="M66" i="56" s="1"/>
  <c r="Y66" i="56"/>
  <c r="L66" i="56" s="1"/>
  <c r="S55" i="56"/>
  <c r="I55" i="56" s="1"/>
  <c r="AD55" i="56"/>
  <c r="AD71" i="56"/>
  <c r="G503" i="57"/>
  <c r="E15" i="129"/>
  <c r="E12" i="129"/>
  <c r="G12" i="129" s="1"/>
  <c r="E14" i="129"/>
  <c r="E11" i="129"/>
  <c r="BU363" i="164" l="1"/>
  <c r="BW363" i="164" s="1"/>
  <c r="BY363" i="164" s="1"/>
  <c r="CA363" i="164" s="1"/>
  <c r="CE363" i="164" s="1"/>
  <c r="CI363" i="164" s="1"/>
  <c r="BR363" i="164"/>
  <c r="BT363" i="164"/>
  <c r="AR363" i="164" s="1"/>
  <c r="AS363" i="164" s="1"/>
  <c r="AT363" i="164" s="1"/>
  <c r="BX363" i="164"/>
  <c r="BZ363" i="164"/>
  <c r="CF363" i="164"/>
  <c r="CJ363" i="164" s="1"/>
  <c r="BV363" i="164"/>
  <c r="CC362" i="164"/>
  <c r="CD362" i="164" s="1"/>
  <c r="CH362" i="164"/>
  <c r="AR362" i="164"/>
  <c r="AS362" i="164" s="1"/>
  <c r="AT362" i="164" s="1"/>
  <c r="G368" i="164"/>
  <c r="H368" i="164" s="1"/>
  <c r="Y367" i="164"/>
  <c r="P367" i="164"/>
  <c r="AB365" i="164"/>
  <c r="AI365" i="164" s="1"/>
  <c r="AZ367" i="164"/>
  <c r="AA366" i="164"/>
  <c r="R366" i="164"/>
  <c r="BJ197" i="164"/>
  <c r="CK197" i="164" s="1"/>
  <c r="A199" i="164"/>
  <c r="BO364" i="164"/>
  <c r="AW364" i="164"/>
  <c r="BP364" i="164" s="1"/>
  <c r="BM366" i="164"/>
  <c r="BD366" i="164"/>
  <c r="CW366" i="164" s="1"/>
  <c r="BE366" i="164"/>
  <c r="K369" i="164"/>
  <c r="L369" i="164" s="1"/>
  <c r="Z368" i="164"/>
  <c r="AV368" i="164"/>
  <c r="CX367" i="164"/>
  <c r="N60" i="56"/>
  <c r="N66" i="56"/>
  <c r="N71" i="56"/>
  <c r="N65" i="56"/>
  <c r="S70" i="56"/>
  <c r="I70" i="56" s="1"/>
  <c r="U67" i="56"/>
  <c r="J67" i="56" s="1"/>
  <c r="W67" i="56"/>
  <c r="K67" i="56" s="1"/>
  <c r="AA67" i="56"/>
  <c r="M67" i="56" s="1"/>
  <c r="Y67" i="56"/>
  <c r="L67" i="56" s="1"/>
  <c r="AD67" i="56"/>
  <c r="AA68" i="56"/>
  <c r="M68" i="56" s="1"/>
  <c r="U68" i="56"/>
  <c r="J68" i="56" s="1"/>
  <c r="W68" i="56"/>
  <c r="K68" i="56" s="1"/>
  <c r="Y68" i="56"/>
  <c r="L68" i="56" s="1"/>
  <c r="W70" i="56"/>
  <c r="K70" i="56" s="1"/>
  <c r="U70" i="56"/>
  <c r="J70" i="56" s="1"/>
  <c r="AA70" i="56"/>
  <c r="M70" i="56" s="1"/>
  <c r="Y70" i="56"/>
  <c r="L70" i="56" s="1"/>
  <c r="N55" i="56"/>
  <c r="B504" i="57"/>
  <c r="F63" i="56" s="1"/>
  <c r="R63" i="56"/>
  <c r="AD68" i="56"/>
  <c r="S68" i="56"/>
  <c r="I68" i="56" s="1"/>
  <c r="E8" i="128"/>
  <c r="H55" i="127"/>
  <c r="H46" i="127"/>
  <c r="H45" i="127"/>
  <c r="H40" i="127"/>
  <c r="H24" i="127"/>
  <c r="H21" i="127"/>
  <c r="H20" i="127"/>
  <c r="H19" i="127"/>
  <c r="H18" i="127"/>
  <c r="CH363" i="164" l="1"/>
  <c r="CC363" i="164"/>
  <c r="CD363" i="164" s="1"/>
  <c r="AB366" i="164"/>
  <c r="AI366" i="164" s="1"/>
  <c r="BM367" i="164"/>
  <c r="BE367" i="164"/>
  <c r="BD367" i="164"/>
  <c r="CW367" i="164" s="1"/>
  <c r="G369" i="164"/>
  <c r="H369" i="164" s="1"/>
  <c r="Y368" i="164"/>
  <c r="P368" i="164"/>
  <c r="AW365" i="164"/>
  <c r="BP365" i="164" s="1"/>
  <c r="BO365" i="164"/>
  <c r="R367" i="164"/>
  <c r="AA367" i="164"/>
  <c r="BN366" i="164"/>
  <c r="AV369" i="164"/>
  <c r="Z369" i="164"/>
  <c r="BV364" i="164"/>
  <c r="BX364" i="164" s="1"/>
  <c r="BZ364" i="164" s="1"/>
  <c r="CB364" i="164" s="1"/>
  <c r="CF364" i="164" s="1"/>
  <c r="CJ364" i="164" s="1"/>
  <c r="BR364" i="164"/>
  <c r="BT364" i="164" s="1"/>
  <c r="CX368" i="164"/>
  <c r="BQ364" i="164"/>
  <c r="BS364" i="164" s="1"/>
  <c r="CG364" i="164" s="1"/>
  <c r="BU364" i="164"/>
  <c r="BW364" i="164" s="1"/>
  <c r="BY364" i="164" s="1"/>
  <c r="CA364" i="164" s="1"/>
  <c r="CE364" i="164" s="1"/>
  <c r="CI364" i="164" s="1"/>
  <c r="AZ368" i="164"/>
  <c r="A200" i="164"/>
  <c r="BJ199" i="164"/>
  <c r="CK199" i="164" s="1"/>
  <c r="N67" i="56"/>
  <c r="N68" i="56"/>
  <c r="AB63" i="56"/>
  <c r="AD63" i="56" s="1"/>
  <c r="G63" i="56"/>
  <c r="N70" i="56"/>
  <c r="H39" i="127"/>
  <c r="H57" i="127" s="1"/>
  <c r="S63" i="56" l="1"/>
  <c r="I63" i="56" s="1"/>
  <c r="BV365" i="164"/>
  <c r="BX365" i="164" s="1"/>
  <c r="BZ365" i="164" s="1"/>
  <c r="CB365" i="164" s="1"/>
  <c r="CF365" i="164" s="1"/>
  <c r="CJ365" i="164" s="1"/>
  <c r="BR365" i="164"/>
  <c r="BT365" i="164" s="1"/>
  <c r="AA368" i="164"/>
  <c r="R368" i="164"/>
  <c r="Y369" i="164"/>
  <c r="P369" i="164"/>
  <c r="CC364" i="164"/>
  <c r="CD364" i="164" s="1"/>
  <c r="CH364" i="164"/>
  <c r="AR364" i="164"/>
  <c r="AS364" i="164" s="1"/>
  <c r="AT364" i="164" s="1"/>
  <c r="AZ369" i="164"/>
  <c r="AB367" i="164"/>
  <c r="AI367" i="164" s="1"/>
  <c r="BQ365" i="164"/>
  <c r="BS365" i="164" s="1"/>
  <c r="CG365" i="164" s="1"/>
  <c r="BU365" i="164"/>
  <c r="BW365" i="164" s="1"/>
  <c r="BY365" i="164" s="1"/>
  <c r="CA365" i="164" s="1"/>
  <c r="CE365" i="164" s="1"/>
  <c r="CI365" i="164" s="1"/>
  <c r="BE368" i="164"/>
  <c r="BD368" i="164"/>
  <c r="CW368" i="164" s="1"/>
  <c r="BM368" i="164"/>
  <c r="CX369" i="164"/>
  <c r="BN367" i="164"/>
  <c r="A201" i="164"/>
  <c r="BJ200" i="164"/>
  <c r="CK200" i="164" s="1"/>
  <c r="BO366" i="164"/>
  <c r="AW366" i="164"/>
  <c r="BP366" i="164" s="1"/>
  <c r="AA63" i="56"/>
  <c r="M63" i="56" s="1"/>
  <c r="U63" i="56"/>
  <c r="J63" i="56" s="1"/>
  <c r="W63" i="56"/>
  <c r="K63" i="56" s="1"/>
  <c r="Y63" i="56"/>
  <c r="L63" i="56" s="1"/>
  <c r="H27" i="127"/>
  <c r="CC365" i="164" l="1"/>
  <c r="CD365" i="164" s="1"/>
  <c r="CH365" i="164"/>
  <c r="AR365" i="164"/>
  <c r="AS365" i="164" s="1"/>
  <c r="AT365" i="164" s="1"/>
  <c r="AB368" i="164"/>
  <c r="AI368" i="164" s="1"/>
  <c r="BE369" i="164"/>
  <c r="BM369" i="164"/>
  <c r="BD369" i="164"/>
  <c r="CW369" i="164" s="1"/>
  <c r="AA369" i="164"/>
  <c r="R369" i="164"/>
  <c r="BR366" i="164"/>
  <c r="BT366" i="164" s="1"/>
  <c r="BV366" i="164"/>
  <c r="BX366" i="164" s="1"/>
  <c r="BZ366" i="164" s="1"/>
  <c r="CB366" i="164" s="1"/>
  <c r="CF366" i="164" s="1"/>
  <c r="CJ366" i="164" s="1"/>
  <c r="BO367" i="164"/>
  <c r="AW367" i="164"/>
  <c r="BP367" i="164" s="1"/>
  <c r="BU366" i="164"/>
  <c r="BW366" i="164" s="1"/>
  <c r="BY366" i="164" s="1"/>
  <c r="CA366" i="164" s="1"/>
  <c r="CE366" i="164" s="1"/>
  <c r="CI366" i="164" s="1"/>
  <c r="BQ366" i="164"/>
  <c r="BS366" i="164" s="1"/>
  <c r="CG366" i="164" s="1"/>
  <c r="BJ201" i="164"/>
  <c r="CK201" i="164" s="1"/>
  <c r="A202" i="164"/>
  <c r="BN368" i="164"/>
  <c r="N63" i="56"/>
  <c r="H28" i="127"/>
  <c r="H30" i="127" s="1"/>
  <c r="AR366" i="164" l="1"/>
  <c r="AS366" i="164" s="1"/>
  <c r="AT366" i="164" s="1"/>
  <c r="CC366" i="164"/>
  <c r="CD366" i="164" s="1"/>
  <c r="CH366" i="164"/>
  <c r="A204" i="164"/>
  <c r="BJ202" i="164"/>
  <c r="CK202" i="164" s="1"/>
  <c r="AB369" i="164"/>
  <c r="AI369" i="164" s="1"/>
  <c r="BR367" i="164"/>
  <c r="BT367" i="164" s="1"/>
  <c r="BV367" i="164"/>
  <c r="BX367" i="164" s="1"/>
  <c r="BZ367" i="164" s="1"/>
  <c r="CB367" i="164" s="1"/>
  <c r="CF367" i="164" s="1"/>
  <c r="CJ367" i="164" s="1"/>
  <c r="BN369" i="164"/>
  <c r="BQ367" i="164"/>
  <c r="BS367" i="164" s="1"/>
  <c r="CG367" i="164" s="1"/>
  <c r="BU367" i="164"/>
  <c r="BW367" i="164" s="1"/>
  <c r="BY367" i="164" s="1"/>
  <c r="CA367" i="164" s="1"/>
  <c r="CE367" i="164" s="1"/>
  <c r="CI367" i="164" s="1"/>
  <c r="AW368" i="164"/>
  <c r="BP368" i="164" s="1"/>
  <c r="BO368" i="164"/>
  <c r="H11" i="128"/>
  <c r="E28" i="128" s="1"/>
  <c r="CC367" i="164" l="1"/>
  <c r="CD367" i="164" s="1"/>
  <c r="AR367" i="164"/>
  <c r="AS367" i="164" s="1"/>
  <c r="AT367" i="164" s="1"/>
  <c r="CH367" i="164"/>
  <c r="BV368" i="164"/>
  <c r="BX368" i="164" s="1"/>
  <c r="BZ368" i="164" s="1"/>
  <c r="CB368" i="164" s="1"/>
  <c r="CF368" i="164" s="1"/>
  <c r="CJ368" i="164" s="1"/>
  <c r="BR368" i="164"/>
  <c r="BT368" i="164" s="1"/>
  <c r="BQ368" i="164"/>
  <c r="BS368" i="164" s="1"/>
  <c r="CG368" i="164" s="1"/>
  <c r="BU368" i="164"/>
  <c r="BW368" i="164" s="1"/>
  <c r="BY368" i="164" s="1"/>
  <c r="CA368" i="164" s="1"/>
  <c r="CE368" i="164" s="1"/>
  <c r="CI368" i="164" s="1"/>
  <c r="BO369" i="164"/>
  <c r="AW369" i="164"/>
  <c r="BP369" i="164" s="1"/>
  <c r="BJ204" i="164"/>
  <c r="CK204" i="164" s="1"/>
  <c r="A205" i="164"/>
  <c r="E85" i="56" l="1"/>
  <c r="CH368" i="164"/>
  <c r="CC368" i="164"/>
  <c r="CD368" i="164" s="1"/>
  <c r="AR368" i="164"/>
  <c r="AS368" i="164" s="1"/>
  <c r="AT368" i="164" s="1"/>
  <c r="BJ205" i="164"/>
  <c r="CK205" i="164" s="1"/>
  <c r="A206" i="164"/>
  <c r="BV369" i="164"/>
  <c r="BX369" i="164" s="1"/>
  <c r="BZ369" i="164" s="1"/>
  <c r="CB369" i="164" s="1"/>
  <c r="CF369" i="164" s="1"/>
  <c r="CJ369" i="164" s="1"/>
  <c r="BR369" i="164"/>
  <c r="BT369" i="164" s="1"/>
  <c r="BU369" i="164"/>
  <c r="BW369" i="164" s="1"/>
  <c r="BY369" i="164" s="1"/>
  <c r="CA369" i="164" s="1"/>
  <c r="CE369" i="164" s="1"/>
  <c r="CI369" i="164" s="1"/>
  <c r="BQ369" i="164"/>
  <c r="BS369" i="164" s="1"/>
  <c r="CG369" i="164" s="1"/>
  <c r="E45" i="56"/>
  <c r="E6" i="56"/>
  <c r="CH369" i="164" l="1"/>
  <c r="CC369" i="164"/>
  <c r="CD369" i="164" s="1"/>
  <c r="AR369" i="164"/>
  <c r="AS369" i="164" s="1"/>
  <c r="AT369" i="164" s="1"/>
  <c r="BJ206" i="164"/>
  <c r="CK206" i="164" s="1"/>
  <c r="A208" i="164"/>
  <c r="E91" i="56"/>
  <c r="I73" i="67"/>
  <c r="J73" i="67"/>
  <c r="L73" i="67"/>
  <c r="M73" i="67" s="1"/>
  <c r="N73" i="67"/>
  <c r="O73" i="67" s="1"/>
  <c r="P73" i="67"/>
  <c r="G74" i="67"/>
  <c r="G27" i="67"/>
  <c r="I38" i="67"/>
  <c r="J38" i="67"/>
  <c r="L38" i="67"/>
  <c r="N38" i="67"/>
  <c r="P38" i="67"/>
  <c r="I39" i="67"/>
  <c r="J39" i="67"/>
  <c r="L39" i="67"/>
  <c r="N39" i="67"/>
  <c r="P39" i="67"/>
  <c r="I40" i="67"/>
  <c r="J40" i="67"/>
  <c r="L40" i="67"/>
  <c r="N40" i="67"/>
  <c r="P40" i="67"/>
  <c r="I41" i="67"/>
  <c r="J41" i="67"/>
  <c r="L41" i="67"/>
  <c r="N41" i="67"/>
  <c r="P41" i="67"/>
  <c r="I42" i="67"/>
  <c r="J42" i="67"/>
  <c r="L42" i="67"/>
  <c r="N42" i="67"/>
  <c r="P42" i="67"/>
  <c r="I43" i="67"/>
  <c r="J43" i="67"/>
  <c r="K43" i="67" s="1"/>
  <c r="L43" i="67"/>
  <c r="N43" i="67"/>
  <c r="P43" i="67"/>
  <c r="I44" i="67"/>
  <c r="J44" i="67"/>
  <c r="L44" i="67"/>
  <c r="N44" i="67"/>
  <c r="P44" i="67"/>
  <c r="I45" i="67"/>
  <c r="J45" i="67"/>
  <c r="L45" i="67"/>
  <c r="N45" i="67"/>
  <c r="P45" i="67"/>
  <c r="I46" i="67"/>
  <c r="J46" i="67"/>
  <c r="L46" i="67"/>
  <c r="N46" i="67"/>
  <c r="P46" i="67"/>
  <c r="I47" i="67"/>
  <c r="J47" i="67"/>
  <c r="L47" i="67"/>
  <c r="N47" i="67"/>
  <c r="P47" i="67"/>
  <c r="I48" i="67"/>
  <c r="J48" i="67"/>
  <c r="L48" i="67"/>
  <c r="N48" i="67"/>
  <c r="P48" i="67"/>
  <c r="I49" i="67"/>
  <c r="J49" i="67"/>
  <c r="L49" i="67"/>
  <c r="N49" i="67"/>
  <c r="P49" i="67"/>
  <c r="I50" i="67"/>
  <c r="J50" i="67"/>
  <c r="L50" i="67"/>
  <c r="N50" i="67"/>
  <c r="P50" i="67"/>
  <c r="I51" i="67"/>
  <c r="J51" i="67"/>
  <c r="L51" i="67"/>
  <c r="N51" i="67"/>
  <c r="P51" i="67"/>
  <c r="I52" i="67"/>
  <c r="J52" i="67"/>
  <c r="L52" i="67"/>
  <c r="N52" i="67"/>
  <c r="P52" i="67"/>
  <c r="I53" i="67"/>
  <c r="J53" i="67"/>
  <c r="L53" i="67"/>
  <c r="N53" i="67"/>
  <c r="P53" i="67"/>
  <c r="I54" i="67"/>
  <c r="J54" i="67"/>
  <c r="L54" i="67"/>
  <c r="N54" i="67"/>
  <c r="P54" i="67"/>
  <c r="I55" i="67"/>
  <c r="J55" i="67"/>
  <c r="L55" i="67"/>
  <c r="N55" i="67"/>
  <c r="P55" i="67"/>
  <c r="I56" i="67"/>
  <c r="J56" i="67"/>
  <c r="L56" i="67"/>
  <c r="N56" i="67"/>
  <c r="P56" i="67"/>
  <c r="I57" i="67"/>
  <c r="J57" i="67"/>
  <c r="L57" i="67"/>
  <c r="N57" i="67"/>
  <c r="P57" i="67"/>
  <c r="I58" i="67"/>
  <c r="J58" i="67"/>
  <c r="L58" i="67"/>
  <c r="M58" i="67" s="1"/>
  <c r="N58" i="67"/>
  <c r="P58" i="67"/>
  <c r="I59" i="67"/>
  <c r="J59" i="67"/>
  <c r="L59" i="67"/>
  <c r="N59" i="67"/>
  <c r="P59" i="67"/>
  <c r="I60" i="67"/>
  <c r="J60" i="67"/>
  <c r="L60" i="67"/>
  <c r="N60" i="67"/>
  <c r="P60" i="67"/>
  <c r="I61" i="67"/>
  <c r="J61" i="67"/>
  <c r="L61" i="67"/>
  <c r="N61" i="67"/>
  <c r="P61" i="67"/>
  <c r="I62" i="67"/>
  <c r="J62" i="67"/>
  <c r="L62" i="67"/>
  <c r="N62" i="67"/>
  <c r="P62" i="67"/>
  <c r="I63" i="67"/>
  <c r="J63" i="67"/>
  <c r="L63" i="67"/>
  <c r="N63" i="67"/>
  <c r="P63" i="67"/>
  <c r="I64" i="67"/>
  <c r="J64" i="67"/>
  <c r="L64" i="67"/>
  <c r="N64" i="67"/>
  <c r="P64" i="67"/>
  <c r="I65" i="67"/>
  <c r="J65" i="67"/>
  <c r="L65" i="67"/>
  <c r="N65" i="67"/>
  <c r="P65" i="67"/>
  <c r="I66" i="67"/>
  <c r="J66" i="67"/>
  <c r="L66" i="67"/>
  <c r="N66" i="67"/>
  <c r="P66" i="67"/>
  <c r="I67" i="67"/>
  <c r="J67" i="67"/>
  <c r="L67" i="67"/>
  <c r="N67" i="67"/>
  <c r="P67" i="67"/>
  <c r="I68" i="67"/>
  <c r="J68" i="67"/>
  <c r="K68" i="67" s="1"/>
  <c r="L68" i="67"/>
  <c r="N68" i="67"/>
  <c r="P68" i="67"/>
  <c r="I69" i="67"/>
  <c r="J69" i="67"/>
  <c r="L69" i="67"/>
  <c r="N69" i="67"/>
  <c r="P69" i="67"/>
  <c r="I70" i="67"/>
  <c r="J70" i="67"/>
  <c r="L70" i="67"/>
  <c r="N70" i="67"/>
  <c r="P70" i="67"/>
  <c r="I71" i="67"/>
  <c r="J71" i="67"/>
  <c r="L71" i="67"/>
  <c r="N71" i="67"/>
  <c r="P71" i="67"/>
  <c r="I72" i="67"/>
  <c r="J72" i="67"/>
  <c r="L72" i="67"/>
  <c r="N72" i="67"/>
  <c r="P72" i="67"/>
  <c r="P37" i="67"/>
  <c r="N37" i="67"/>
  <c r="L37" i="67"/>
  <c r="J37" i="67"/>
  <c r="J9" i="67"/>
  <c r="J10" i="67"/>
  <c r="J11" i="67"/>
  <c r="J12" i="67"/>
  <c r="J13" i="67"/>
  <c r="J14" i="67"/>
  <c r="J15" i="67"/>
  <c r="J16" i="67"/>
  <c r="J17" i="67"/>
  <c r="J18" i="67"/>
  <c r="J19" i="67"/>
  <c r="J20" i="67"/>
  <c r="J21" i="67"/>
  <c r="J22" i="67"/>
  <c r="J23" i="67"/>
  <c r="J24" i="67"/>
  <c r="J25" i="67"/>
  <c r="J26" i="67"/>
  <c r="J27" i="67"/>
  <c r="J8" i="67"/>
  <c r="P9" i="67"/>
  <c r="P10" i="67"/>
  <c r="P11" i="67"/>
  <c r="P12" i="67"/>
  <c r="P13" i="67"/>
  <c r="P14" i="67"/>
  <c r="P15" i="67"/>
  <c r="P16" i="67"/>
  <c r="P17" i="67"/>
  <c r="P18" i="67"/>
  <c r="P19" i="67"/>
  <c r="P20" i="67"/>
  <c r="P21" i="67"/>
  <c r="P22" i="67"/>
  <c r="P23" i="67"/>
  <c r="P24" i="67"/>
  <c r="P25" i="67"/>
  <c r="P26" i="67"/>
  <c r="P27" i="67"/>
  <c r="P8" i="67"/>
  <c r="N9" i="67"/>
  <c r="N10" i="67"/>
  <c r="N11" i="67"/>
  <c r="N12" i="67"/>
  <c r="N13" i="67"/>
  <c r="N14" i="67"/>
  <c r="N15" i="67"/>
  <c r="N16" i="67"/>
  <c r="N17" i="67"/>
  <c r="N18" i="67"/>
  <c r="N19" i="67"/>
  <c r="N20" i="67"/>
  <c r="N21" i="67"/>
  <c r="N22" i="67"/>
  <c r="N23" i="67"/>
  <c r="N24" i="67"/>
  <c r="N25" i="67"/>
  <c r="N26" i="67"/>
  <c r="N27" i="67"/>
  <c r="N8" i="67"/>
  <c r="L9" i="67"/>
  <c r="L10" i="67"/>
  <c r="L11" i="67"/>
  <c r="L12" i="67"/>
  <c r="L13" i="67"/>
  <c r="L14" i="67"/>
  <c r="L15" i="67"/>
  <c r="L16" i="67"/>
  <c r="L17" i="67"/>
  <c r="L18" i="67"/>
  <c r="L19" i="67"/>
  <c r="L20" i="67"/>
  <c r="L21" i="67"/>
  <c r="L22" i="67"/>
  <c r="L23" i="67"/>
  <c r="L24" i="67"/>
  <c r="L25" i="67"/>
  <c r="L26" i="67"/>
  <c r="L27" i="67"/>
  <c r="L8" i="67"/>
  <c r="I37" i="67"/>
  <c r="I36" i="67"/>
  <c r="Q36" i="67" s="1"/>
  <c r="I22" i="67"/>
  <c r="Q22" i="67" s="1"/>
  <c r="I21" i="67"/>
  <c r="I17" i="67"/>
  <c r="I16" i="67"/>
  <c r="I15" i="67"/>
  <c r="I11" i="67"/>
  <c r="I10" i="67"/>
  <c r="Q37" i="67" l="1"/>
  <c r="K47" i="67"/>
  <c r="M64" i="67"/>
  <c r="K39" i="67"/>
  <c r="O41" i="67"/>
  <c r="K71" i="67"/>
  <c r="M54" i="67"/>
  <c r="K64" i="67"/>
  <c r="K73" i="67"/>
  <c r="K40" i="67"/>
  <c r="Q73" i="67"/>
  <c r="BJ208" i="164"/>
  <c r="CK208" i="164" s="1"/>
  <c r="A210" i="164"/>
  <c r="I74" i="67"/>
  <c r="O52" i="67"/>
  <c r="O59" i="67"/>
  <c r="M68" i="67"/>
  <c r="K66" i="67"/>
  <c r="K56" i="67"/>
  <c r="K63" i="67"/>
  <c r="K44" i="67"/>
  <c r="K72" i="67"/>
  <c r="Q65" i="67"/>
  <c r="K42" i="67"/>
  <c r="K38" i="67"/>
  <c r="Q46" i="67"/>
  <c r="K48" i="67"/>
  <c r="K62" i="67"/>
  <c r="K67" i="67"/>
  <c r="K57" i="67"/>
  <c r="K50" i="67"/>
  <c r="K70" i="67"/>
  <c r="O71" i="67"/>
  <c r="Q38" i="67"/>
  <c r="O38" i="67"/>
  <c r="M56" i="67"/>
  <c r="O42" i="67"/>
  <c r="M40" i="67"/>
  <c r="M38" i="67"/>
  <c r="Q42" i="67"/>
  <c r="M70" i="67"/>
  <c r="O58" i="67"/>
  <c r="M42" i="67"/>
  <c r="M44" i="67"/>
  <c r="M60" i="67"/>
  <c r="O46" i="67"/>
  <c r="K60" i="67"/>
  <c r="M48" i="67"/>
  <c r="K61" i="67"/>
  <c r="K69" i="67"/>
  <c r="K54" i="67"/>
  <c r="K45" i="67"/>
  <c r="O43" i="67"/>
  <c r="K41" i="67"/>
  <c r="M39" i="67"/>
  <c r="O66" i="67"/>
  <c r="O62" i="67"/>
  <c r="K49" i="67"/>
  <c r="O47" i="67"/>
  <c r="M66" i="67"/>
  <c r="M62" i="67"/>
  <c r="O56" i="67"/>
  <c r="M63" i="67"/>
  <c r="K58" i="67"/>
  <c r="O51" i="67"/>
  <c r="O72" i="67"/>
  <c r="Q69" i="67"/>
  <c r="O68" i="67"/>
  <c r="O64" i="67"/>
  <c r="Q61" i="67"/>
  <c r="O60" i="67"/>
  <c r="K53" i="67"/>
  <c r="M46" i="67"/>
  <c r="K65" i="67"/>
  <c r="O44" i="67"/>
  <c r="O40" i="67"/>
  <c r="M67" i="67"/>
  <c r="O69" i="67"/>
  <c r="O65" i="67"/>
  <c r="O61" i="67"/>
  <c r="O55" i="67"/>
  <c r="O48" i="67"/>
  <c r="K46" i="67"/>
  <c r="Q50" i="67"/>
  <c r="Q54" i="67"/>
  <c r="O50" i="67"/>
  <c r="M52" i="67"/>
  <c r="M50" i="67"/>
  <c r="Q58" i="67"/>
  <c r="O54" i="67"/>
  <c r="K52" i="67"/>
  <c r="Q57" i="67"/>
  <c r="Q53" i="67"/>
  <c r="K37" i="67"/>
  <c r="O57" i="67"/>
  <c r="Q49" i="67"/>
  <c r="Q70" i="67"/>
  <c r="K59" i="67"/>
  <c r="O53" i="67"/>
  <c r="Q45" i="67"/>
  <c r="Q66" i="67"/>
  <c r="K55" i="67"/>
  <c r="O49" i="67"/>
  <c r="Q41" i="67"/>
  <c r="O36" i="67"/>
  <c r="M72" i="67"/>
  <c r="O70" i="67"/>
  <c r="Q62" i="67"/>
  <c r="K51" i="67"/>
  <c r="O45" i="67"/>
  <c r="M69" i="67"/>
  <c r="M65" i="67"/>
  <c r="M61" i="67"/>
  <c r="M57" i="67"/>
  <c r="M53" i="67"/>
  <c r="M49" i="67"/>
  <c r="M45" i="67"/>
  <c r="M41" i="67"/>
  <c r="Q71" i="67"/>
  <c r="Q67" i="67"/>
  <c r="Q63" i="67"/>
  <c r="Q59" i="67"/>
  <c r="Q55" i="67"/>
  <c r="Q51" i="67"/>
  <c r="Q47" i="67"/>
  <c r="Q43" i="67"/>
  <c r="Q39" i="67"/>
  <c r="Q72" i="67"/>
  <c r="Q68" i="67"/>
  <c r="Q64" i="67"/>
  <c r="Q60" i="67"/>
  <c r="Q56" i="67"/>
  <c r="Q52" i="67"/>
  <c r="Q48" i="67"/>
  <c r="Q44" i="67"/>
  <c r="Q40" i="67"/>
  <c r="O67" i="67"/>
  <c r="O63" i="67"/>
  <c r="O39" i="67"/>
  <c r="M71" i="67"/>
  <c r="M59" i="67"/>
  <c r="M55" i="67"/>
  <c r="M51" i="67"/>
  <c r="M47" i="67"/>
  <c r="M43" i="67"/>
  <c r="M36" i="67"/>
  <c r="M37" i="67"/>
  <c r="K36" i="67"/>
  <c r="O37" i="67"/>
  <c r="I23" i="67"/>
  <c r="M23" i="67" s="1"/>
  <c r="I9" i="67"/>
  <c r="M9" i="67" s="1"/>
  <c r="I25" i="67"/>
  <c r="K25" i="67" s="1"/>
  <c r="I12" i="67"/>
  <c r="Q12" i="67" s="1"/>
  <c r="I18" i="67"/>
  <c r="M18" i="67" s="1"/>
  <c r="I19" i="67"/>
  <c r="Q19" i="67" s="1"/>
  <c r="I27" i="67"/>
  <c r="I13" i="67"/>
  <c r="O13" i="67" s="1"/>
  <c r="I14" i="67"/>
  <c r="Q14" i="67" s="1"/>
  <c r="I26" i="67"/>
  <c r="Q26" i="67" s="1"/>
  <c r="I8" i="67"/>
  <c r="Q8" i="67" s="1"/>
  <c r="I24" i="67"/>
  <c r="K24" i="67" s="1"/>
  <c r="Q15" i="67"/>
  <c r="O15" i="67"/>
  <c r="M15" i="67"/>
  <c r="K15" i="67"/>
  <c r="Q10" i="67"/>
  <c r="O10" i="67"/>
  <c r="K10" i="67"/>
  <c r="M10" i="67"/>
  <c r="Q11" i="67"/>
  <c r="O11" i="67"/>
  <c r="M11" i="67"/>
  <c r="K11" i="67"/>
  <c r="Q17" i="67"/>
  <c r="O17" i="67"/>
  <c r="M17" i="67"/>
  <c r="K17" i="67"/>
  <c r="I20" i="67"/>
  <c r="M21" i="67"/>
  <c r="K21" i="67"/>
  <c r="K16" i="67"/>
  <c r="Q16" i="67"/>
  <c r="M16" i="67"/>
  <c r="O21" i="67"/>
  <c r="I7" i="67"/>
  <c r="O16" i="67"/>
  <c r="Q21" i="67"/>
  <c r="K22" i="67"/>
  <c r="M22" i="67"/>
  <c r="O22" i="67"/>
  <c r="Q74" i="67" l="1"/>
  <c r="M74" i="67"/>
  <c r="K74" i="67"/>
  <c r="O74" i="67"/>
  <c r="BJ210" i="164"/>
  <c r="CK210" i="164" s="1"/>
  <c r="A211" i="164"/>
  <c r="Q9" i="67"/>
  <c r="K23" i="67"/>
  <c r="O23" i="67"/>
  <c r="Q23" i="67"/>
  <c r="K9" i="67"/>
  <c r="M25" i="67"/>
  <c r="Q25" i="67"/>
  <c r="O19" i="67"/>
  <c r="M19" i="67"/>
  <c r="O9" i="67"/>
  <c r="K12" i="67"/>
  <c r="K19" i="67"/>
  <c r="K18" i="67"/>
  <c r="G28" i="67"/>
  <c r="O25" i="67"/>
  <c r="M12" i="67"/>
  <c r="O12" i="67"/>
  <c r="K13" i="67"/>
  <c r="Q13" i="67"/>
  <c r="M26" i="67"/>
  <c r="O26" i="67"/>
  <c r="K14" i="67"/>
  <c r="O18" i="67"/>
  <c r="O14" i="67"/>
  <c r="Q18" i="67"/>
  <c r="M13" i="67"/>
  <c r="Q27" i="67"/>
  <c r="O27" i="67"/>
  <c r="M27" i="67"/>
  <c r="K27" i="67"/>
  <c r="K8" i="67"/>
  <c r="M14" i="67"/>
  <c r="K26" i="67"/>
  <c r="M24" i="67"/>
  <c r="O24" i="67"/>
  <c r="Q24" i="67"/>
  <c r="M8" i="67"/>
  <c r="O8" i="67"/>
  <c r="Q20" i="67"/>
  <c r="O20" i="67"/>
  <c r="M20" i="67"/>
  <c r="K20" i="67"/>
  <c r="I28" i="67"/>
  <c r="E28" i="56" s="1"/>
  <c r="K7" i="67"/>
  <c r="Q7" i="67"/>
  <c r="O7" i="67"/>
  <c r="M7" i="67"/>
  <c r="A212" i="164" l="1"/>
  <c r="BJ211" i="164"/>
  <c r="CK211" i="164" s="1"/>
  <c r="M28" i="67"/>
  <c r="E29" i="56" s="1"/>
  <c r="O28" i="67"/>
  <c r="Q28" i="67"/>
  <c r="E9" i="56" s="1"/>
  <c r="K28" i="67"/>
  <c r="E27" i="56" s="1"/>
  <c r="A213" i="164" l="1"/>
  <c r="BJ212" i="164"/>
  <c r="CK212" i="164" s="1"/>
  <c r="BJ213" i="164" l="1"/>
  <c r="CK213" i="164" s="1"/>
  <c r="A214" i="164"/>
  <c r="BJ214" i="164" l="1"/>
  <c r="CK214" i="164" s="1"/>
  <c r="A216" i="164"/>
  <c r="E87" i="56"/>
  <c r="E88" i="56"/>
  <c r="E89" i="56"/>
  <c r="E90" i="56"/>
  <c r="E86" i="56"/>
  <c r="A218" i="164" l="1"/>
  <c r="BJ216" i="164"/>
  <c r="CK216" i="164" s="1"/>
  <c r="E95" i="56"/>
  <c r="E96" i="56"/>
  <c r="E93" i="56"/>
  <c r="E94" i="56"/>
  <c r="A220" i="164" l="1"/>
  <c r="BJ218" i="164"/>
  <c r="CK218" i="164" s="1"/>
  <c r="E123" i="56"/>
  <c r="E92" i="56"/>
  <c r="A221" i="164" l="1"/>
  <c r="BJ220" i="164"/>
  <c r="CK220" i="164" s="1"/>
  <c r="E125" i="56"/>
  <c r="E127" i="56"/>
  <c r="E30" i="56"/>
  <c r="A222" i="164" l="1"/>
  <c r="BJ221" i="164"/>
  <c r="CK221" i="164" s="1"/>
  <c r="E18" i="59"/>
  <c r="B3" i="59"/>
  <c r="G18" i="60"/>
  <c r="G17" i="60"/>
  <c r="G16" i="60"/>
  <c r="G15" i="60"/>
  <c r="G14" i="60"/>
  <c r="G13" i="60"/>
  <c r="G12" i="60"/>
  <c r="G10" i="60"/>
  <c r="G9" i="60"/>
  <c r="G21" i="59"/>
  <c r="G20" i="59"/>
  <c r="G19" i="59"/>
  <c r="F18" i="59"/>
  <c r="G17" i="59"/>
  <c r="G16" i="59"/>
  <c r="G15" i="59"/>
  <c r="G14" i="59"/>
  <c r="G13" i="59"/>
  <c r="G12" i="59"/>
  <c r="G11" i="59"/>
  <c r="G10" i="59"/>
  <c r="G8" i="59"/>
  <c r="BJ222" i="164" l="1"/>
  <c r="CK222" i="164" s="1"/>
  <c r="A223" i="164"/>
  <c r="G18" i="59"/>
  <c r="G25" i="59" s="1"/>
  <c r="G43" i="14" s="1"/>
  <c r="J43" i="14" l="1"/>
  <c r="A224" i="164"/>
  <c r="BJ223" i="164"/>
  <c r="CK223" i="164" s="1"/>
  <c r="A225" i="164" l="1"/>
  <c r="BJ224" i="164"/>
  <c r="CK224" i="164" s="1"/>
  <c r="BJ225" i="164" l="1"/>
  <c r="CK225" i="164" s="1"/>
  <c r="A226" i="164"/>
  <c r="A227" i="164" l="1"/>
  <c r="BJ226" i="164"/>
  <c r="CK226" i="164" s="1"/>
  <c r="C2" i="14"/>
  <c r="B2" i="58"/>
  <c r="C6" i="58"/>
  <c r="E15" i="58" s="1"/>
  <c r="D31" i="56"/>
  <c r="C31" i="56"/>
  <c r="B31" i="56"/>
  <c r="Q31" i="56" s="1"/>
  <c r="F263" i="57"/>
  <c r="E262" i="57"/>
  <c r="I262" i="57" s="1"/>
  <c r="X31" i="56" s="1"/>
  <c r="D262" i="57"/>
  <c r="D260" i="57"/>
  <c r="D259" i="57"/>
  <c r="E258" i="57"/>
  <c r="G258" i="57" s="1"/>
  <c r="D258" i="57"/>
  <c r="E257" i="57"/>
  <c r="G257" i="57" s="1"/>
  <c r="D257" i="57"/>
  <c r="E256" i="57"/>
  <c r="G256" i="57" s="1"/>
  <c r="D256" i="57"/>
  <c r="D255" i="57"/>
  <c r="D254" i="57"/>
  <c r="D253" i="57"/>
  <c r="D252" i="57"/>
  <c r="A229" i="164" l="1"/>
  <c r="BJ227" i="164"/>
  <c r="CK227" i="164" s="1"/>
  <c r="E12" i="58"/>
  <c r="E11" i="58"/>
  <c r="E13" i="58"/>
  <c r="E14" i="58"/>
  <c r="A230" i="164" l="1"/>
  <c r="BJ229" i="164"/>
  <c r="CK229" i="164" s="1"/>
  <c r="C129" i="56"/>
  <c r="C127" i="56"/>
  <c r="C125" i="56"/>
  <c r="C123" i="56"/>
  <c r="D129" i="56"/>
  <c r="D127" i="56"/>
  <c r="D125" i="56"/>
  <c r="D123" i="56"/>
  <c r="BJ230" i="164" l="1"/>
  <c r="CK230" i="164" s="1"/>
  <c r="A231" i="164"/>
  <c r="B129" i="56"/>
  <c r="Q129" i="56" s="1"/>
  <c r="B127" i="56"/>
  <c r="Q127" i="56" s="1"/>
  <c r="B125" i="56"/>
  <c r="Q125" i="56" s="1"/>
  <c r="B123" i="56"/>
  <c r="Q123" i="56" s="1"/>
  <c r="D96" i="56"/>
  <c r="D95" i="56"/>
  <c r="C96" i="56"/>
  <c r="C95" i="56"/>
  <c r="B96" i="56"/>
  <c r="Q96" i="56" s="1"/>
  <c r="B95" i="56"/>
  <c r="Q95" i="56" s="1"/>
  <c r="C94" i="56"/>
  <c r="C93" i="56"/>
  <c r="C92" i="56"/>
  <c r="C91" i="56"/>
  <c r="C90" i="56"/>
  <c r="D94" i="56"/>
  <c r="D93" i="56"/>
  <c r="D92" i="56"/>
  <c r="D91" i="56"/>
  <c r="D90" i="56"/>
  <c r="B94" i="56"/>
  <c r="Q94" i="56" s="1"/>
  <c r="B93" i="56"/>
  <c r="Q93" i="56" s="1"/>
  <c r="B92" i="56"/>
  <c r="Q92" i="56" s="1"/>
  <c r="B91" i="56"/>
  <c r="Q91" i="56" s="1"/>
  <c r="B90" i="56"/>
  <c r="Q90" i="56" s="1"/>
  <c r="C89" i="56"/>
  <c r="C88" i="56"/>
  <c r="C87" i="56"/>
  <c r="C86" i="56"/>
  <c r="C85" i="56"/>
  <c r="D89" i="56"/>
  <c r="D88" i="56"/>
  <c r="D87" i="56"/>
  <c r="D86" i="56"/>
  <c r="D85" i="56"/>
  <c r="B89" i="56"/>
  <c r="Q89" i="56" s="1"/>
  <c r="B88" i="56"/>
  <c r="Q88" i="56" s="1"/>
  <c r="B87" i="56"/>
  <c r="Q87" i="56" s="1"/>
  <c r="B86" i="56"/>
  <c r="Q86" i="56" s="1"/>
  <c r="B85" i="56"/>
  <c r="Q85" i="56" s="1"/>
  <c r="B21" i="130"/>
  <c r="C50" i="56"/>
  <c r="C49" i="56"/>
  <c r="C48" i="56"/>
  <c r="C47" i="56"/>
  <c r="C46" i="56"/>
  <c r="D50" i="56"/>
  <c r="D49" i="56"/>
  <c r="D48" i="56"/>
  <c r="D47" i="56"/>
  <c r="D46" i="56"/>
  <c r="B50" i="56"/>
  <c r="Q50" i="56" s="1"/>
  <c r="B49" i="56"/>
  <c r="Q49" i="56" s="1"/>
  <c r="B48" i="56"/>
  <c r="Q48" i="56" s="1"/>
  <c r="B47" i="56"/>
  <c r="Q47" i="56" s="1"/>
  <c r="B46" i="56"/>
  <c r="Q46" i="56" s="1"/>
  <c r="C45" i="56"/>
  <c r="C44" i="56"/>
  <c r="C43" i="56"/>
  <c r="C42" i="56"/>
  <c r="C41" i="56"/>
  <c r="C40" i="56"/>
  <c r="C39" i="56"/>
  <c r="D45" i="56"/>
  <c r="D44" i="56"/>
  <c r="D43" i="56"/>
  <c r="D42" i="56"/>
  <c r="D41" i="56"/>
  <c r="D40" i="56"/>
  <c r="D39" i="56"/>
  <c r="B45" i="56"/>
  <c r="Q45" i="56" s="1"/>
  <c r="B44" i="56"/>
  <c r="Q44" i="56" s="1"/>
  <c r="B43" i="56"/>
  <c r="Q43" i="56" s="1"/>
  <c r="B42" i="56"/>
  <c r="Q42" i="56" s="1"/>
  <c r="B41" i="56"/>
  <c r="Q41" i="56" s="1"/>
  <c r="B40" i="56"/>
  <c r="Q40" i="56" s="1"/>
  <c r="B39" i="56"/>
  <c r="Q39" i="56" s="1"/>
  <c r="B38" i="56"/>
  <c r="B19" i="130" s="1"/>
  <c r="C37" i="56"/>
  <c r="C36" i="56"/>
  <c r="C35" i="56"/>
  <c r="C34" i="56"/>
  <c r="D37" i="56"/>
  <c r="D36" i="56"/>
  <c r="D35" i="56"/>
  <c r="D34" i="56"/>
  <c r="B37" i="56"/>
  <c r="Q37" i="56" s="1"/>
  <c r="B36" i="56"/>
  <c r="Q36" i="56" s="1"/>
  <c r="B35" i="56"/>
  <c r="Q35" i="56" s="1"/>
  <c r="B34" i="56"/>
  <c r="Q34" i="56" s="1"/>
  <c r="B33" i="56"/>
  <c r="B17" i="130" s="1"/>
  <c r="C30" i="56"/>
  <c r="C29" i="56"/>
  <c r="C28" i="56"/>
  <c r="C27" i="56"/>
  <c r="C26" i="56"/>
  <c r="C25" i="56"/>
  <c r="C24" i="56"/>
  <c r="C23" i="56"/>
  <c r="D30" i="56"/>
  <c r="D29" i="56"/>
  <c r="D28" i="56"/>
  <c r="D27" i="56"/>
  <c r="D26" i="56"/>
  <c r="D25" i="56"/>
  <c r="D24" i="56"/>
  <c r="D23" i="56"/>
  <c r="B30" i="56"/>
  <c r="Q30" i="56" s="1"/>
  <c r="B29" i="56"/>
  <c r="Q29" i="56" s="1"/>
  <c r="B28" i="56"/>
  <c r="Q28" i="56" s="1"/>
  <c r="B27" i="56"/>
  <c r="Q27" i="56" s="1"/>
  <c r="B26" i="56"/>
  <c r="Q26" i="56" s="1"/>
  <c r="B25" i="56"/>
  <c r="Q25" i="56" s="1"/>
  <c r="B24" i="56"/>
  <c r="Q24" i="56" s="1"/>
  <c r="B23" i="56"/>
  <c r="Q23" i="56" s="1"/>
  <c r="B22" i="56"/>
  <c r="B15" i="130" s="1"/>
  <c r="C21" i="56"/>
  <c r="C20" i="56"/>
  <c r="C19" i="56"/>
  <c r="D21" i="56"/>
  <c r="D20" i="56"/>
  <c r="D19" i="56"/>
  <c r="B21" i="56"/>
  <c r="Q21" i="56" s="1"/>
  <c r="B20" i="56"/>
  <c r="Q20" i="56" s="1"/>
  <c r="B19" i="56"/>
  <c r="Q19" i="56" s="1"/>
  <c r="C18" i="56"/>
  <c r="C17" i="56"/>
  <c r="C16" i="56"/>
  <c r="C15" i="56"/>
  <c r="C14" i="56"/>
  <c r="C13" i="56"/>
  <c r="D18" i="56"/>
  <c r="D17" i="56"/>
  <c r="D16" i="56"/>
  <c r="D15" i="56"/>
  <c r="D14" i="56"/>
  <c r="D13" i="56"/>
  <c r="B18" i="56"/>
  <c r="Q18" i="56" s="1"/>
  <c r="B17" i="56"/>
  <c r="Q17" i="56" s="1"/>
  <c r="B16" i="56"/>
  <c r="Q16" i="56" s="1"/>
  <c r="B15" i="56"/>
  <c r="Q15" i="56" s="1"/>
  <c r="B14" i="56"/>
  <c r="Q14" i="56" s="1"/>
  <c r="B13" i="56"/>
  <c r="Q13" i="56" s="1"/>
  <c r="B12" i="56"/>
  <c r="B13" i="130" s="1"/>
  <c r="B8" i="56"/>
  <c r="B11" i="130" s="1"/>
  <c r="B5" i="56"/>
  <c r="B9" i="130" s="1"/>
  <c r="D11" i="56"/>
  <c r="D10" i="56"/>
  <c r="D9" i="56"/>
  <c r="C11" i="56"/>
  <c r="C10" i="56"/>
  <c r="C9" i="56"/>
  <c r="B11" i="56"/>
  <c r="Q11" i="56" s="1"/>
  <c r="B10" i="56"/>
  <c r="Q10" i="56" s="1"/>
  <c r="B9" i="56"/>
  <c r="Q9" i="56" s="1"/>
  <c r="C7" i="56"/>
  <c r="C6" i="56"/>
  <c r="D7" i="56"/>
  <c r="D6" i="56"/>
  <c r="B7" i="56"/>
  <c r="Q7" i="56" s="1"/>
  <c r="B6" i="56"/>
  <c r="Q6" i="56" s="1"/>
  <c r="I316" i="57"/>
  <c r="H316" i="57"/>
  <c r="G316" i="57"/>
  <c r="E315" i="57"/>
  <c r="F315" i="57" s="1"/>
  <c r="T37" i="56" s="1"/>
  <c r="D315" i="57"/>
  <c r="E314" i="57"/>
  <c r="F314" i="57" s="1"/>
  <c r="Z37" i="56" s="1"/>
  <c r="D314" i="57"/>
  <c r="G309" i="57"/>
  <c r="D308" i="57"/>
  <c r="D307" i="57"/>
  <c r="E306" i="57"/>
  <c r="I306" i="57" s="1"/>
  <c r="X36" i="56" s="1"/>
  <c r="D306" i="57"/>
  <c r="E304" i="57"/>
  <c r="F304" i="57" s="1"/>
  <c r="F309" i="57" s="1"/>
  <c r="Z36" i="56" s="1"/>
  <c r="D304" i="57"/>
  <c r="F299" i="57"/>
  <c r="D298" i="57"/>
  <c r="D297" i="57"/>
  <c r="E296" i="57"/>
  <c r="G296" i="57" s="1"/>
  <c r="D296" i="57"/>
  <c r="E295" i="57"/>
  <c r="G295" i="57" s="1"/>
  <c r="D295" i="57"/>
  <c r="G294" i="57"/>
  <c r="D294" i="57"/>
  <c r="F288" i="57"/>
  <c r="D287" i="57"/>
  <c r="D286" i="57"/>
  <c r="E285" i="57"/>
  <c r="D285" i="57"/>
  <c r="C285" i="57"/>
  <c r="E284" i="57"/>
  <c r="G284" i="57" s="1"/>
  <c r="D284" i="57"/>
  <c r="E283" i="57"/>
  <c r="D283" i="57"/>
  <c r="C283" i="57"/>
  <c r="F246" i="57"/>
  <c r="D244" i="57"/>
  <c r="C244" i="57"/>
  <c r="D243" i="57"/>
  <c r="C243" i="57"/>
  <c r="E242" i="57"/>
  <c r="G242" i="57" s="1"/>
  <c r="G246" i="57" s="1"/>
  <c r="D242" i="57"/>
  <c r="E236" i="57"/>
  <c r="D236" i="57"/>
  <c r="E235" i="57"/>
  <c r="F235" i="57" s="1"/>
  <c r="D235" i="57"/>
  <c r="E234" i="57"/>
  <c r="F234" i="57" s="1"/>
  <c r="D234" i="57"/>
  <c r="E232" i="57"/>
  <c r="G232" i="57" s="1"/>
  <c r="D232" i="57"/>
  <c r="D231" i="57"/>
  <c r="C231" i="57"/>
  <c r="D230" i="57"/>
  <c r="C230" i="57"/>
  <c r="G224" i="57"/>
  <c r="E223" i="57"/>
  <c r="F223" i="57" s="1"/>
  <c r="D223" i="57"/>
  <c r="E222" i="57"/>
  <c r="F222" i="57" s="1"/>
  <c r="D222" i="57"/>
  <c r="D221" i="57"/>
  <c r="D220" i="57"/>
  <c r="E213" i="57"/>
  <c r="D213" i="57"/>
  <c r="C213" i="57"/>
  <c r="E212" i="57"/>
  <c r="D212" i="57"/>
  <c r="E211" i="57"/>
  <c r="D211" i="57"/>
  <c r="E210" i="57"/>
  <c r="D210" i="57"/>
  <c r="C210" i="57"/>
  <c r="E209" i="57"/>
  <c r="G209" i="57" s="1"/>
  <c r="D209" i="57"/>
  <c r="E208" i="57"/>
  <c r="D208" i="57"/>
  <c r="D206" i="57"/>
  <c r="E205" i="57"/>
  <c r="D205" i="57"/>
  <c r="D204" i="57"/>
  <c r="D203" i="57"/>
  <c r="C203" i="57"/>
  <c r="C204" i="57" s="1"/>
  <c r="D196" i="57"/>
  <c r="C196" i="57"/>
  <c r="D195" i="57"/>
  <c r="C195" i="57"/>
  <c r="D194" i="57"/>
  <c r="C194" i="57"/>
  <c r="E193" i="57"/>
  <c r="G193" i="57" s="1"/>
  <c r="D193" i="57"/>
  <c r="E192" i="57"/>
  <c r="D192" i="57"/>
  <c r="C192" i="57"/>
  <c r="E191" i="57"/>
  <c r="G191" i="57" s="1"/>
  <c r="D191" i="57"/>
  <c r="D190" i="57"/>
  <c r="E189" i="57"/>
  <c r="D189" i="57"/>
  <c r="C189" i="57"/>
  <c r="F183" i="57"/>
  <c r="D181" i="57"/>
  <c r="D180" i="57"/>
  <c r="E179" i="57"/>
  <c r="G179" i="57" s="1"/>
  <c r="D179" i="57"/>
  <c r="D178" i="57"/>
  <c r="D177" i="57"/>
  <c r="E176" i="57"/>
  <c r="G176" i="57" s="1"/>
  <c r="D176" i="57"/>
  <c r="E175" i="57"/>
  <c r="D175" i="57"/>
  <c r="C175" i="57"/>
  <c r="D174" i="57"/>
  <c r="C174" i="57"/>
  <c r="E173" i="57"/>
  <c r="G173" i="57" s="1"/>
  <c r="D173" i="57"/>
  <c r="G167" i="57"/>
  <c r="D167" i="57"/>
  <c r="E166" i="57"/>
  <c r="D166" i="57"/>
  <c r="E165" i="57"/>
  <c r="D165" i="57"/>
  <c r="D164" i="57"/>
  <c r="D163" i="57"/>
  <c r="C163" i="57"/>
  <c r="E162" i="57"/>
  <c r="D162" i="57"/>
  <c r="C162" i="57"/>
  <c r="D161" i="57"/>
  <c r="C161" i="57"/>
  <c r="D160" i="57"/>
  <c r="C160" i="57"/>
  <c r="C166" i="57" s="1"/>
  <c r="F154" i="57"/>
  <c r="D153" i="57"/>
  <c r="C153" i="57"/>
  <c r="D152" i="57"/>
  <c r="C152" i="57"/>
  <c r="E150" i="57"/>
  <c r="D150" i="57"/>
  <c r="C150" i="57"/>
  <c r="E149" i="57"/>
  <c r="G149" i="57" s="1"/>
  <c r="D149" i="57"/>
  <c r="E148" i="57"/>
  <c r="D148" i="57"/>
  <c r="C148" i="57"/>
  <c r="D147" i="57"/>
  <c r="C147" i="57"/>
  <c r="D146" i="57"/>
  <c r="C146" i="57"/>
  <c r="D145" i="57"/>
  <c r="C145" i="57"/>
  <c r="E144" i="57"/>
  <c r="G144" i="57" s="1"/>
  <c r="D144" i="57"/>
  <c r="A232" i="164" l="1"/>
  <c r="BJ231" i="164"/>
  <c r="CK231" i="164" s="1"/>
  <c r="Z29" i="56"/>
  <c r="F316" i="57"/>
  <c r="G283" i="57"/>
  <c r="G299" i="57"/>
  <c r="G285" i="57"/>
  <c r="I236" i="57"/>
  <c r="X29" i="56" s="1"/>
  <c r="F205" i="57"/>
  <c r="G212" i="57"/>
  <c r="F189" i="57"/>
  <c r="Z26" i="56" s="1"/>
  <c r="F237" i="57"/>
  <c r="F224" i="57"/>
  <c r="Z28" i="56" s="1"/>
  <c r="I150" i="57"/>
  <c r="X23" i="56" s="1"/>
  <c r="I175" i="57"/>
  <c r="X25" i="56" s="1"/>
  <c r="F208" i="57"/>
  <c r="G162" i="57"/>
  <c r="G213" i="57"/>
  <c r="I163" i="57"/>
  <c r="X24" i="56" s="1"/>
  <c r="G148" i="57"/>
  <c r="F192" i="57"/>
  <c r="G210" i="57"/>
  <c r="C211" i="57"/>
  <c r="F211" i="57" s="1"/>
  <c r="F166" i="57"/>
  <c r="C165" i="57"/>
  <c r="F165" i="57" s="1"/>
  <c r="Z24" i="56" s="1"/>
  <c r="H137" i="57"/>
  <c r="G137" i="57"/>
  <c r="E136" i="57"/>
  <c r="D136" i="57"/>
  <c r="C136" i="57"/>
  <c r="E135" i="57"/>
  <c r="F135" i="57" s="1"/>
  <c r="D135" i="57"/>
  <c r="F130" i="57"/>
  <c r="D128" i="57"/>
  <c r="D127" i="57"/>
  <c r="D126" i="57"/>
  <c r="D125" i="57"/>
  <c r="E124" i="57"/>
  <c r="G124" i="57" s="1"/>
  <c r="G130" i="57" s="1"/>
  <c r="D124" i="57"/>
  <c r="T19" i="56"/>
  <c r="D117" i="57"/>
  <c r="E116" i="57"/>
  <c r="D116" i="57"/>
  <c r="E115" i="57"/>
  <c r="G115" i="57" s="1"/>
  <c r="G119" i="57" s="1"/>
  <c r="D115" i="57"/>
  <c r="D113" i="57"/>
  <c r="G108" i="57"/>
  <c r="T18" i="56"/>
  <c r="D106" i="57"/>
  <c r="D104" i="57"/>
  <c r="D97" i="57"/>
  <c r="C97" i="57"/>
  <c r="E96" i="57"/>
  <c r="F96" i="57" s="1"/>
  <c r="D96" i="57"/>
  <c r="E95" i="57"/>
  <c r="G95" i="57" s="1"/>
  <c r="G99" i="57" s="1"/>
  <c r="D95" i="57"/>
  <c r="G90" i="57"/>
  <c r="D89" i="57"/>
  <c r="C89" i="57"/>
  <c r="E87" i="57"/>
  <c r="F87" i="57" s="1"/>
  <c r="D87" i="57"/>
  <c r="G82" i="57"/>
  <c r="D81" i="57"/>
  <c r="C81" i="57"/>
  <c r="E79" i="57"/>
  <c r="F79" i="57" s="1"/>
  <c r="D79" i="57"/>
  <c r="G74" i="57"/>
  <c r="D73" i="57"/>
  <c r="C73" i="57"/>
  <c r="E71" i="57"/>
  <c r="F71" i="57" s="1"/>
  <c r="D71" i="57"/>
  <c r="G66" i="57"/>
  <c r="F66" i="57"/>
  <c r="D65" i="57"/>
  <c r="G57" i="57"/>
  <c r="D56" i="57"/>
  <c r="C56" i="57"/>
  <c r="D55" i="57"/>
  <c r="C55" i="57"/>
  <c r="E53" i="57"/>
  <c r="D53" i="57"/>
  <c r="C53" i="57"/>
  <c r="E52" i="57"/>
  <c r="F52" i="57" s="1"/>
  <c r="D52" i="57"/>
  <c r="G47" i="57"/>
  <c r="E46" i="57"/>
  <c r="D46" i="57"/>
  <c r="C46" i="57"/>
  <c r="D45" i="57"/>
  <c r="C45" i="57"/>
  <c r="D44" i="57"/>
  <c r="E42" i="57"/>
  <c r="F42" i="57" s="1"/>
  <c r="D42" i="57"/>
  <c r="G37" i="57"/>
  <c r="D36" i="57"/>
  <c r="E34" i="57"/>
  <c r="F34" i="57" s="1"/>
  <c r="X9" i="56" s="1"/>
  <c r="D34" i="57"/>
  <c r="E33" i="57"/>
  <c r="F33" i="57" s="1"/>
  <c r="D33" i="57"/>
  <c r="E32" i="57"/>
  <c r="F32" i="57" s="1"/>
  <c r="D32" i="57"/>
  <c r="F25" i="57"/>
  <c r="D24" i="57"/>
  <c r="C24" i="57"/>
  <c r="D23" i="57"/>
  <c r="D21" i="57"/>
  <c r="E20" i="57"/>
  <c r="G20" i="57" s="1"/>
  <c r="D20" i="57"/>
  <c r="E19" i="57"/>
  <c r="G19" i="57" s="1"/>
  <c r="D19" i="57"/>
  <c r="D18" i="57"/>
  <c r="H8" i="57"/>
  <c r="C7" i="57"/>
  <c r="H13" i="57" l="1"/>
  <c r="E6" i="57" s="1"/>
  <c r="I6" i="57" s="1"/>
  <c r="T6" i="56"/>
  <c r="I125" i="57"/>
  <c r="X20" i="56" s="1"/>
  <c r="A233" i="164"/>
  <c r="BJ232" i="164"/>
  <c r="CK232" i="164" s="1"/>
  <c r="F74" i="57"/>
  <c r="Z14" i="56"/>
  <c r="Z27" i="56"/>
  <c r="F82" i="57"/>
  <c r="Z15" i="56"/>
  <c r="F99" i="57"/>
  <c r="Z17" i="56"/>
  <c r="F47" i="57"/>
  <c r="Z10" i="56"/>
  <c r="Z9" i="56"/>
  <c r="F137" i="57"/>
  <c r="Z21" i="56"/>
  <c r="F90" i="57"/>
  <c r="Z16" i="56"/>
  <c r="F57" i="57"/>
  <c r="Z11" i="56"/>
  <c r="B317" i="57"/>
  <c r="F37" i="56" s="1"/>
  <c r="G288" i="57"/>
  <c r="F197" i="57"/>
  <c r="I46" i="57"/>
  <c r="X10" i="56" s="1"/>
  <c r="G7" i="57"/>
  <c r="G13" i="57" s="1"/>
  <c r="F168" i="57"/>
  <c r="I136" i="57"/>
  <c r="I53" i="57"/>
  <c r="X11" i="56" s="1"/>
  <c r="F214" i="57"/>
  <c r="I116" i="57"/>
  <c r="X19" i="56" s="1"/>
  <c r="F37" i="57"/>
  <c r="I13" i="57" l="1"/>
  <c r="B14" i="57" s="1"/>
  <c r="F6" i="56" s="1"/>
  <c r="R6" i="56"/>
  <c r="A234" i="164"/>
  <c r="BJ233" i="164"/>
  <c r="CK233" i="164" s="1"/>
  <c r="G37" i="56"/>
  <c r="AB37" i="56"/>
  <c r="I137" i="57"/>
  <c r="B138" i="57" s="1"/>
  <c r="F21" i="56" s="1"/>
  <c r="X21" i="56"/>
  <c r="G6" i="56" l="1"/>
  <c r="AB6" i="56"/>
  <c r="BJ234" i="164"/>
  <c r="CK234" i="164" s="1"/>
  <c r="A236" i="164"/>
  <c r="S37" i="56"/>
  <c r="I37" i="56" s="1"/>
  <c r="Y37" i="56"/>
  <c r="L37" i="56" s="1"/>
  <c r="W37" i="56"/>
  <c r="K37" i="56" s="1"/>
  <c r="AA37" i="56"/>
  <c r="M37" i="56" s="1"/>
  <c r="AD37" i="56"/>
  <c r="U37" i="56"/>
  <c r="J37" i="56" s="1"/>
  <c r="AB21" i="56"/>
  <c r="Y21" i="56" s="1"/>
  <c r="L21" i="56" s="1"/>
  <c r="G21" i="56"/>
  <c r="AD6" i="56" l="1"/>
  <c r="S6" i="56"/>
  <c r="U6" i="56"/>
  <c r="J6" i="56" s="1"/>
  <c r="I6" i="56"/>
  <c r="Y6" i="56"/>
  <c r="L6" i="56" s="1"/>
  <c r="W6" i="56"/>
  <c r="K6" i="56" s="1"/>
  <c r="AA6" i="56"/>
  <c r="A237" i="164"/>
  <c r="BJ236" i="164"/>
  <c r="CK236" i="164" s="1"/>
  <c r="AD21" i="56"/>
  <c r="N37" i="56"/>
  <c r="S21" i="56"/>
  <c r="I21" i="56" s="1"/>
  <c r="U21" i="56"/>
  <c r="J21" i="56" s="1"/>
  <c r="W21" i="56"/>
  <c r="K21" i="56" s="1"/>
  <c r="AA21" i="56"/>
  <c r="M21" i="56" s="1"/>
  <c r="N6" i="56" l="1"/>
  <c r="BJ237" i="164"/>
  <c r="CK237" i="164" s="1"/>
  <c r="A238" i="164"/>
  <c r="N21" i="56"/>
  <c r="E254" i="57"/>
  <c r="G254" i="57" s="1"/>
  <c r="E252" i="57"/>
  <c r="G252" i="57" s="1"/>
  <c r="E253" i="57"/>
  <c r="G253" i="57" s="1"/>
  <c r="E255" i="57"/>
  <c r="G255" i="57" s="1"/>
  <c r="G237" i="57"/>
  <c r="E18" i="57"/>
  <c r="E592" i="57"/>
  <c r="G592" i="57" s="1"/>
  <c r="G594" i="57" s="1"/>
  <c r="E571" i="57"/>
  <c r="G571" i="57" s="1"/>
  <c r="G573" i="57" s="1"/>
  <c r="E578" i="57"/>
  <c r="G578" i="57" s="1"/>
  <c r="G580" i="57" s="1"/>
  <c r="E585" i="57"/>
  <c r="G585" i="57" s="1"/>
  <c r="G587" i="57" s="1"/>
  <c r="E406" i="57"/>
  <c r="G406" i="57" s="1"/>
  <c r="G410" i="57" s="1"/>
  <c r="E397" i="57"/>
  <c r="G397" i="57" s="1"/>
  <c r="G401" i="57" s="1"/>
  <c r="E388" i="57"/>
  <c r="G388" i="57" s="1"/>
  <c r="G392" i="57" s="1"/>
  <c r="E379" i="57"/>
  <c r="G379" i="57" s="1"/>
  <c r="G383" i="57" s="1"/>
  <c r="E372" i="57"/>
  <c r="G372" i="57" s="1"/>
  <c r="G374" i="57" s="1"/>
  <c r="E358" i="57"/>
  <c r="G358" i="57" s="1"/>
  <c r="G360" i="57" s="1"/>
  <c r="E351" i="57"/>
  <c r="G351" i="57" s="1"/>
  <c r="G353" i="57" s="1"/>
  <c r="E344" i="57"/>
  <c r="G344" i="57" s="1"/>
  <c r="G346" i="57" s="1"/>
  <c r="E337" i="57"/>
  <c r="G337" i="57" s="1"/>
  <c r="G339" i="57" s="1"/>
  <c r="E330" i="57"/>
  <c r="G330" i="57" s="1"/>
  <c r="G332" i="57" s="1"/>
  <c r="E323" i="57"/>
  <c r="G323" i="57" s="1"/>
  <c r="G325" i="57" s="1"/>
  <c r="E960" i="57"/>
  <c r="G960" i="57" s="1"/>
  <c r="E147" i="57"/>
  <c r="G147" i="57" s="1"/>
  <c r="A239" i="164" l="1"/>
  <c r="BJ238" i="164"/>
  <c r="CK238" i="164" s="1"/>
  <c r="B361" i="57"/>
  <c r="F44" i="56" s="1"/>
  <c r="R44" i="56"/>
  <c r="B375" i="57"/>
  <c r="F46" i="56" s="1"/>
  <c r="R46" i="56"/>
  <c r="B384" i="57"/>
  <c r="F47" i="56" s="1"/>
  <c r="R47" i="56"/>
  <c r="B393" i="57"/>
  <c r="F48" i="56" s="1"/>
  <c r="R48" i="56"/>
  <c r="B402" i="57"/>
  <c r="F49" i="56" s="1"/>
  <c r="R49" i="56"/>
  <c r="B411" i="57"/>
  <c r="F50" i="56" s="1"/>
  <c r="R50" i="56"/>
  <c r="B354" i="57"/>
  <c r="F43" i="56" s="1"/>
  <c r="R43" i="56"/>
  <c r="B588" i="57"/>
  <c r="F75" i="56" s="1"/>
  <c r="R75" i="56"/>
  <c r="B326" i="57"/>
  <c r="F39" i="56" s="1"/>
  <c r="R39" i="56"/>
  <c r="B581" i="57"/>
  <c r="F74" i="56" s="1"/>
  <c r="R74" i="56"/>
  <c r="B333" i="57"/>
  <c r="F40" i="56" s="1"/>
  <c r="R40" i="56"/>
  <c r="B574" i="57"/>
  <c r="F73" i="56" s="1"/>
  <c r="R73" i="56"/>
  <c r="B340" i="57"/>
  <c r="F41" i="56" s="1"/>
  <c r="R41" i="56"/>
  <c r="B595" i="57"/>
  <c r="F76" i="56" s="1"/>
  <c r="R76" i="56"/>
  <c r="B347" i="57"/>
  <c r="F42" i="56" s="1"/>
  <c r="R42" i="56"/>
  <c r="E959" i="57"/>
  <c r="G959" i="57" s="1"/>
  <c r="G964" i="57" s="1"/>
  <c r="E813" i="57"/>
  <c r="G813" i="57" s="1"/>
  <c r="E190" i="57"/>
  <c r="G190" i="57" s="1"/>
  <c r="G18" i="57"/>
  <c r="E793" i="57"/>
  <c r="G793" i="57" s="1"/>
  <c r="E718" i="57"/>
  <c r="G718" i="57" s="1"/>
  <c r="E652" i="57"/>
  <c r="G652" i="57" s="1"/>
  <c r="G657" i="57" s="1"/>
  <c r="E969" i="57"/>
  <c r="G969" i="57" s="1"/>
  <c r="E663" i="57"/>
  <c r="G663" i="57" s="1"/>
  <c r="G668" i="57" s="1"/>
  <c r="E803" i="57"/>
  <c r="G803" i="57" s="1"/>
  <c r="E674" i="57"/>
  <c r="G674" i="57" s="1"/>
  <c r="E989" i="57"/>
  <c r="G989" i="57" s="1"/>
  <c r="E685" i="57"/>
  <c r="G685" i="57" s="1"/>
  <c r="G690" i="57" s="1"/>
  <c r="E979" i="57"/>
  <c r="G979" i="57" s="1"/>
  <c r="E783" i="57"/>
  <c r="G783" i="57" s="1"/>
  <c r="E696" i="57"/>
  <c r="G696" i="57" s="1"/>
  <c r="G701" i="57" s="1"/>
  <c r="E707" i="57"/>
  <c r="G707" i="57" s="1"/>
  <c r="E773" i="57"/>
  <c r="G773" i="57" s="1"/>
  <c r="E970" i="57"/>
  <c r="G970" i="57" s="1"/>
  <c r="E729" i="57"/>
  <c r="G729" i="57" s="1"/>
  <c r="G733" i="57" s="1"/>
  <c r="E990" i="57"/>
  <c r="G990" i="57" s="1"/>
  <c r="E740" i="57"/>
  <c r="G740" i="57" s="1"/>
  <c r="G744" i="57" s="1"/>
  <c r="E751" i="57"/>
  <c r="G751" i="57" s="1"/>
  <c r="E980" i="57"/>
  <c r="G980" i="57" s="1"/>
  <c r="E762" i="57"/>
  <c r="G762" i="57" s="1"/>
  <c r="E177" i="57"/>
  <c r="G177" i="57" s="1"/>
  <c r="E365" i="57"/>
  <c r="G365" i="57" s="1"/>
  <c r="G367" i="57" s="1"/>
  <c r="E251" i="57" l="1"/>
  <c r="G251" i="57" s="1"/>
  <c r="G263" i="57" s="1"/>
  <c r="A241" i="164"/>
  <c r="BJ239" i="164"/>
  <c r="CK239" i="164" s="1"/>
  <c r="G817" i="57"/>
  <c r="G73" i="56"/>
  <c r="AB73" i="56"/>
  <c r="AD73" i="56" s="1"/>
  <c r="AB50" i="56"/>
  <c r="S50" i="56" s="1"/>
  <c r="I50" i="56" s="1"/>
  <c r="G50" i="56"/>
  <c r="G766" i="57"/>
  <c r="AB40" i="56"/>
  <c r="G40" i="56"/>
  <c r="AB49" i="56"/>
  <c r="S49" i="56" s="1"/>
  <c r="I49" i="56" s="1"/>
  <c r="G49" i="56"/>
  <c r="G755" i="57"/>
  <c r="G679" i="57"/>
  <c r="G807" i="57"/>
  <c r="G74" i="56"/>
  <c r="AB74" i="56"/>
  <c r="S74" i="56" s="1"/>
  <c r="I74" i="56" s="1"/>
  <c r="AB48" i="56"/>
  <c r="G48" i="56"/>
  <c r="AB42" i="56"/>
  <c r="G42" i="56"/>
  <c r="G39" i="56"/>
  <c r="AB39" i="56"/>
  <c r="AD39" i="56" s="1"/>
  <c r="AB47" i="56"/>
  <c r="G47" i="56"/>
  <c r="G777" i="57"/>
  <c r="G722" i="57"/>
  <c r="G76" i="56"/>
  <c r="AB76" i="56"/>
  <c r="S76" i="56" s="1"/>
  <c r="I76" i="56" s="1"/>
  <c r="AB75" i="56"/>
  <c r="AD75" i="56" s="1"/>
  <c r="G75" i="56"/>
  <c r="AB46" i="56"/>
  <c r="S46" i="56" s="1"/>
  <c r="I46" i="56" s="1"/>
  <c r="G46" i="56"/>
  <c r="G712" i="57"/>
  <c r="G797" i="57"/>
  <c r="AB41" i="56"/>
  <c r="AD41" i="56" s="1"/>
  <c r="G41" i="56"/>
  <c r="AB43" i="56"/>
  <c r="G43" i="56"/>
  <c r="AB44" i="56"/>
  <c r="G44" i="56"/>
  <c r="B368" i="57"/>
  <c r="F45" i="56" s="1"/>
  <c r="R45" i="56"/>
  <c r="G787" i="57"/>
  <c r="E429" i="57"/>
  <c r="G429" i="57" s="1"/>
  <c r="G431" i="57" s="1"/>
  <c r="E436" i="57"/>
  <c r="G436" i="57" s="1"/>
  <c r="G438" i="57" s="1"/>
  <c r="G984" i="57"/>
  <c r="G994" i="57"/>
  <c r="G1002" i="57"/>
  <c r="G974" i="57"/>
  <c r="AD50" i="56" l="1"/>
  <c r="A242" i="164"/>
  <c r="BJ241" i="164"/>
  <c r="CK241" i="164" s="1"/>
  <c r="S73" i="56"/>
  <c r="I73" i="56" s="1"/>
  <c r="AD46" i="56"/>
  <c r="S41" i="56"/>
  <c r="I41" i="56" s="1"/>
  <c r="AD49" i="56"/>
  <c r="B432" i="57"/>
  <c r="F53" i="56" s="1"/>
  <c r="R53" i="56"/>
  <c r="AA43" i="56"/>
  <c r="M43" i="56" s="1"/>
  <c r="U43" i="56"/>
  <c r="J43" i="56" s="1"/>
  <c r="W43" i="56"/>
  <c r="K43" i="56" s="1"/>
  <c r="Y43" i="56"/>
  <c r="L43" i="56" s="1"/>
  <c r="U42" i="56"/>
  <c r="J42" i="56" s="1"/>
  <c r="W42" i="56"/>
  <c r="K42" i="56" s="1"/>
  <c r="AA42" i="56"/>
  <c r="M42" i="56" s="1"/>
  <c r="Y42" i="56"/>
  <c r="L42" i="56" s="1"/>
  <c r="W46" i="56"/>
  <c r="K46" i="56" s="1"/>
  <c r="AA46" i="56"/>
  <c r="M46" i="56" s="1"/>
  <c r="U46" i="56"/>
  <c r="J46" i="56" s="1"/>
  <c r="Y46" i="56"/>
  <c r="L46" i="56" s="1"/>
  <c r="S75" i="56"/>
  <c r="I75" i="56" s="1"/>
  <c r="U47" i="56"/>
  <c r="J47" i="56" s="1"/>
  <c r="W47" i="56"/>
  <c r="K47" i="56" s="1"/>
  <c r="AA47" i="56"/>
  <c r="M47" i="56" s="1"/>
  <c r="Y47" i="56"/>
  <c r="L47" i="56" s="1"/>
  <c r="AD47" i="56"/>
  <c r="U39" i="56"/>
  <c r="J39" i="56" s="1"/>
  <c r="W39" i="56"/>
  <c r="K39" i="56" s="1"/>
  <c r="AA39" i="56"/>
  <c r="M39" i="56" s="1"/>
  <c r="Y39" i="56"/>
  <c r="L39" i="56" s="1"/>
  <c r="S47" i="56"/>
  <c r="I47" i="56" s="1"/>
  <c r="AA48" i="56"/>
  <c r="M48" i="56" s="1"/>
  <c r="U48" i="56"/>
  <c r="J48" i="56" s="1"/>
  <c r="W48" i="56"/>
  <c r="K48" i="56" s="1"/>
  <c r="Y48" i="56"/>
  <c r="L48" i="56" s="1"/>
  <c r="W75" i="56"/>
  <c r="K75" i="56" s="1"/>
  <c r="AA75" i="56"/>
  <c r="M75" i="56" s="1"/>
  <c r="U75" i="56"/>
  <c r="J75" i="56" s="1"/>
  <c r="Y75" i="56"/>
  <c r="L75" i="56" s="1"/>
  <c r="U74" i="56"/>
  <c r="J74" i="56" s="1"/>
  <c r="W74" i="56"/>
  <c r="K74" i="56" s="1"/>
  <c r="AA74" i="56"/>
  <c r="M74" i="56" s="1"/>
  <c r="Y74" i="56"/>
  <c r="L74" i="56" s="1"/>
  <c r="U44" i="56"/>
  <c r="J44" i="56" s="1"/>
  <c r="W44" i="56"/>
  <c r="K44" i="56" s="1"/>
  <c r="AA44" i="56"/>
  <c r="M44" i="56" s="1"/>
  <c r="Y44" i="56"/>
  <c r="L44" i="56" s="1"/>
  <c r="U76" i="56"/>
  <c r="J76" i="56" s="1"/>
  <c r="W76" i="56"/>
  <c r="K76" i="56" s="1"/>
  <c r="AA76" i="56"/>
  <c r="M76" i="56" s="1"/>
  <c r="Y76" i="56"/>
  <c r="L76" i="56" s="1"/>
  <c r="AD76" i="56"/>
  <c r="S39" i="56"/>
  <c r="I39" i="56" s="1"/>
  <c r="S42" i="56"/>
  <c r="I42" i="56" s="1"/>
  <c r="W40" i="56"/>
  <c r="K40" i="56" s="1"/>
  <c r="U40" i="56"/>
  <c r="J40" i="56" s="1"/>
  <c r="AA40" i="56"/>
  <c r="M40" i="56" s="1"/>
  <c r="Y40" i="56"/>
  <c r="L40" i="56" s="1"/>
  <c r="U41" i="56"/>
  <c r="J41" i="56" s="1"/>
  <c r="W41" i="56"/>
  <c r="K41" i="56" s="1"/>
  <c r="AA41" i="56"/>
  <c r="M41" i="56" s="1"/>
  <c r="Y41" i="56"/>
  <c r="L41" i="56" s="1"/>
  <c r="AD42" i="56"/>
  <c r="U50" i="56"/>
  <c r="J50" i="56" s="1"/>
  <c r="AA50" i="56"/>
  <c r="M50" i="56" s="1"/>
  <c r="W50" i="56"/>
  <c r="K50" i="56" s="1"/>
  <c r="Y50" i="56"/>
  <c r="L50" i="56" s="1"/>
  <c r="AD44" i="56"/>
  <c r="AA73" i="56"/>
  <c r="M73" i="56" s="1"/>
  <c r="W73" i="56"/>
  <c r="K73" i="56" s="1"/>
  <c r="U73" i="56"/>
  <c r="J73" i="56" s="1"/>
  <c r="Y73" i="56"/>
  <c r="L73" i="56" s="1"/>
  <c r="S44" i="56"/>
  <c r="I44" i="56" s="1"/>
  <c r="S48" i="56"/>
  <c r="I48" i="56" s="1"/>
  <c r="AD40" i="56"/>
  <c r="AB45" i="56"/>
  <c r="G45" i="56"/>
  <c r="S43" i="56"/>
  <c r="I43" i="56" s="1"/>
  <c r="AD48" i="56"/>
  <c r="S40" i="56"/>
  <c r="I40" i="56" s="1"/>
  <c r="B439" i="57"/>
  <c r="F54" i="56" s="1"/>
  <c r="R54" i="56"/>
  <c r="AD43" i="56"/>
  <c r="AD74" i="56"/>
  <c r="U49" i="56"/>
  <c r="J49" i="56" s="1"/>
  <c r="W49" i="56"/>
  <c r="K49" i="56" s="1"/>
  <c r="AA49" i="56"/>
  <c r="M49" i="56" s="1"/>
  <c r="Y49" i="56"/>
  <c r="L49" i="56" s="1"/>
  <c r="BJ242" i="164" l="1"/>
  <c r="CK242" i="164" s="1"/>
  <c r="A244" i="164"/>
  <c r="N46" i="56"/>
  <c r="N50" i="56"/>
  <c r="N74" i="56"/>
  <c r="N49" i="56"/>
  <c r="N76" i="56"/>
  <c r="N73" i="56"/>
  <c r="N41" i="56"/>
  <c r="N40" i="56"/>
  <c r="N43" i="56"/>
  <c r="N39" i="56"/>
  <c r="U45" i="56"/>
  <c r="J45" i="56" s="1"/>
  <c r="AA45" i="56"/>
  <c r="M45" i="56" s="1"/>
  <c r="W45" i="56"/>
  <c r="K45" i="56" s="1"/>
  <c r="Y45" i="56"/>
  <c r="L45" i="56" s="1"/>
  <c r="N75" i="56"/>
  <c r="N42" i="56"/>
  <c r="N48" i="56"/>
  <c r="N47" i="56"/>
  <c r="N44" i="56"/>
  <c r="G53" i="56"/>
  <c r="AB53" i="56"/>
  <c r="S53" i="56" s="1"/>
  <c r="I53" i="56" s="1"/>
  <c r="G54" i="56"/>
  <c r="AB54" i="56"/>
  <c r="S54" i="56" s="1"/>
  <c r="I54" i="56" s="1"/>
  <c r="S45" i="56"/>
  <c r="I45" i="56" s="1"/>
  <c r="AD45" i="56"/>
  <c r="A245" i="164" l="1"/>
  <c r="BJ244" i="164"/>
  <c r="CK244" i="164" s="1"/>
  <c r="N45" i="56"/>
  <c r="AD53" i="56"/>
  <c r="AD54" i="56"/>
  <c r="U54" i="56"/>
  <c r="J54" i="56" s="1"/>
  <c r="W54" i="56"/>
  <c r="K54" i="56" s="1"/>
  <c r="AA54" i="56"/>
  <c r="M54" i="56" s="1"/>
  <c r="Y54" i="56"/>
  <c r="L54" i="56" s="1"/>
  <c r="AA53" i="56"/>
  <c r="M53" i="56" s="1"/>
  <c r="U53" i="56"/>
  <c r="J53" i="56" s="1"/>
  <c r="W53" i="56"/>
  <c r="K53" i="56" s="1"/>
  <c r="Y53" i="56"/>
  <c r="L53" i="56" s="1"/>
  <c r="A246" i="164" l="1"/>
  <c r="BJ245" i="164"/>
  <c r="CK245" i="164" s="1"/>
  <c r="N54" i="56"/>
  <c r="N53" i="56"/>
  <c r="BJ246" i="164" l="1"/>
  <c r="CK246" i="164" s="1"/>
  <c r="A247" i="164"/>
  <c r="A248" i="164" l="1"/>
  <c r="BJ247" i="164"/>
  <c r="CK247" i="164" s="1"/>
  <c r="A249" i="164" l="1"/>
  <c r="BJ248" i="164"/>
  <c r="CK248" i="164" s="1"/>
  <c r="A250" i="164" l="1"/>
  <c r="BJ249" i="164"/>
  <c r="CK249" i="164" s="1"/>
  <c r="D145" i="4"/>
  <c r="BJ250" i="164" l="1"/>
  <c r="CK250" i="164" s="1"/>
  <c r="A252" i="164"/>
  <c r="BJ252" i="164" l="1"/>
  <c r="CK252" i="164" s="1"/>
  <c r="A254" i="164"/>
  <c r="A255" i="164" l="1"/>
  <c r="BJ254" i="164"/>
  <c r="CK254" i="164" s="1"/>
  <c r="BJ255" i="164" l="1"/>
  <c r="CK255" i="164" s="1"/>
  <c r="A257" i="164"/>
  <c r="E422" i="57"/>
  <c r="G422" i="57" s="1"/>
  <c r="G424" i="57" s="1"/>
  <c r="A259" i="164" l="1"/>
  <c r="BJ257" i="164"/>
  <c r="CK257" i="164" s="1"/>
  <c r="B425" i="57"/>
  <c r="F52" i="56" s="1"/>
  <c r="R52" i="56"/>
  <c r="G641" i="57"/>
  <c r="BJ259" i="164" l="1"/>
  <c r="CK259" i="164" s="1"/>
  <c r="A260" i="164"/>
  <c r="G52" i="56"/>
  <c r="AB52" i="56"/>
  <c r="AD52" i="56" s="1"/>
  <c r="A262" i="164" l="1"/>
  <c r="BJ260" i="164"/>
  <c r="CK260" i="164" s="1"/>
  <c r="U52" i="56"/>
  <c r="J52" i="56" s="1"/>
  <c r="W52" i="56"/>
  <c r="K52" i="56" s="1"/>
  <c r="AA52" i="56"/>
  <c r="M52" i="56" s="1"/>
  <c r="Y52" i="56"/>
  <c r="L52" i="56" s="1"/>
  <c r="S52" i="56"/>
  <c r="I52" i="56" s="1"/>
  <c r="BJ262" i="164" l="1"/>
  <c r="CK262" i="164" s="1"/>
  <c r="A264" i="164"/>
  <c r="N52" i="56"/>
  <c r="BJ264" i="164" l="1"/>
  <c r="CK264" i="164" s="1"/>
  <c r="A266" i="164"/>
  <c r="A267" i="164" l="1"/>
  <c r="BJ266" i="164"/>
  <c r="CK266" i="164" s="1"/>
  <c r="BJ267" i="164" l="1"/>
  <c r="CK267" i="164" s="1"/>
  <c r="A268" i="164"/>
  <c r="BJ268" i="164" l="1"/>
  <c r="CK268" i="164" s="1"/>
  <c r="A269" i="164"/>
  <c r="BJ269" i="164" l="1"/>
  <c r="CK269" i="164" s="1"/>
  <c r="A271" i="164"/>
  <c r="A272" i="164" l="1"/>
  <c r="BJ271" i="164"/>
  <c r="CK271" i="164" s="1"/>
  <c r="BJ272" i="164" l="1"/>
  <c r="CK272" i="164" s="1"/>
  <c r="A274" i="164"/>
  <c r="A276" i="164" l="1"/>
  <c r="BJ274" i="164"/>
  <c r="CK274" i="164" s="1"/>
  <c r="BJ276" i="164" l="1"/>
  <c r="CK276" i="164" s="1"/>
  <c r="A277" i="164"/>
  <c r="A279" i="164" l="1"/>
  <c r="BJ277" i="164"/>
  <c r="CK277" i="164" s="1"/>
  <c r="BJ279" i="164" l="1"/>
  <c r="CK279" i="164" s="1"/>
  <c r="A281" i="164"/>
  <c r="BJ281" i="164" l="1"/>
  <c r="CK281" i="164" s="1"/>
  <c r="A282" i="164"/>
  <c r="BJ282" i="164" l="1"/>
  <c r="CK282" i="164" s="1"/>
  <c r="A283" i="164"/>
  <c r="A284" i="164" l="1"/>
  <c r="BJ283" i="164"/>
  <c r="CK283" i="164" s="1"/>
  <c r="BJ284" i="164" l="1"/>
  <c r="CK284" i="164" s="1"/>
  <c r="A285" i="164"/>
  <c r="A286" i="164" l="1"/>
  <c r="BJ285" i="164"/>
  <c r="CK285" i="164" s="1"/>
  <c r="A287" i="164" l="1"/>
  <c r="BJ286" i="164"/>
  <c r="CK286" i="164" s="1"/>
  <c r="A288" i="164" l="1"/>
  <c r="BJ287" i="164"/>
  <c r="CK287" i="164" s="1"/>
  <c r="A289" i="164" l="1"/>
  <c r="BJ288" i="164"/>
  <c r="CK288" i="164" s="1"/>
  <c r="BJ289" i="164" l="1"/>
  <c r="CK289" i="164" s="1"/>
  <c r="A290" i="164"/>
  <c r="BJ290" i="164" l="1"/>
  <c r="CK290" i="164" s="1"/>
  <c r="A292" i="164"/>
  <c r="A293" i="164" l="1"/>
  <c r="BJ292" i="164"/>
  <c r="CK292" i="164" s="1"/>
  <c r="A295" i="164" l="1"/>
  <c r="BJ293" i="164"/>
  <c r="CK293" i="164" s="1"/>
  <c r="BJ295" i="164" l="1"/>
  <c r="CK295" i="164" s="1"/>
  <c r="A297" i="164"/>
  <c r="A298" i="164" l="1"/>
  <c r="BJ297" i="164"/>
  <c r="CK297" i="164" s="1"/>
  <c r="BJ298" i="164" l="1"/>
  <c r="CK298" i="164" s="1"/>
  <c r="A299" i="164"/>
  <c r="A300" i="164" l="1"/>
  <c r="BJ299" i="164"/>
  <c r="CK299" i="164" s="1"/>
  <c r="BJ300" i="164" l="1"/>
  <c r="CK300" i="164" s="1"/>
  <c r="A301" i="164"/>
  <c r="BJ301" i="164" l="1"/>
  <c r="CK301" i="164" s="1"/>
  <c r="A302" i="164"/>
  <c r="A304" i="164" l="1"/>
  <c r="BJ302" i="164"/>
  <c r="CK302" i="164" s="1"/>
  <c r="BJ304" i="164" l="1"/>
  <c r="CK304" i="164" s="1"/>
  <c r="A306" i="164"/>
  <c r="BJ306" i="164" l="1"/>
  <c r="CK306" i="164" s="1"/>
  <c r="A307" i="164"/>
  <c r="A309" i="164" l="1"/>
  <c r="BJ307" i="164"/>
  <c r="CK307" i="164" s="1"/>
  <c r="A310" i="164" l="1"/>
  <c r="BJ309" i="164"/>
  <c r="CK309" i="164" s="1"/>
  <c r="A312" i="164" l="1"/>
  <c r="BJ310" i="164"/>
  <c r="CK310" i="164" s="1"/>
  <c r="A314" i="164" l="1"/>
  <c r="BJ312" i="164"/>
  <c r="CK312" i="164" s="1"/>
  <c r="BJ314" i="164" l="1"/>
  <c r="CK314" i="164" s="1"/>
  <c r="A316" i="164"/>
  <c r="BJ316" i="164" l="1"/>
  <c r="CK316" i="164" s="1"/>
  <c r="A317" i="164"/>
  <c r="A318" i="164" l="1"/>
  <c r="BJ317" i="164"/>
  <c r="CK317" i="164" s="1"/>
  <c r="A319" i="164" l="1"/>
  <c r="BJ318" i="164"/>
  <c r="CK318" i="164" s="1"/>
  <c r="BJ319" i="164" l="1"/>
  <c r="CK319" i="164" s="1"/>
  <c r="A320" i="164"/>
  <c r="A321" i="164" l="1"/>
  <c r="BJ320" i="164"/>
  <c r="CK320" i="164" s="1"/>
  <c r="A322" i="164" l="1"/>
  <c r="BJ321" i="164"/>
  <c r="CK321" i="164" s="1"/>
  <c r="A323" i="164" l="1"/>
  <c r="BJ322" i="164"/>
  <c r="CK322" i="164" s="1"/>
  <c r="BJ323" i="164" l="1"/>
  <c r="CK323" i="164" s="1"/>
  <c r="A324" i="164"/>
  <c r="BJ324" i="164" l="1"/>
  <c r="CK324" i="164" s="1"/>
  <c r="A325" i="164"/>
  <c r="A326" i="164" l="1"/>
  <c r="BJ325" i="164"/>
  <c r="CK325" i="164" s="1"/>
  <c r="E415" i="57"/>
  <c r="G415" i="57" s="1"/>
  <c r="G417" i="57" s="1"/>
  <c r="E643" i="57"/>
  <c r="I643" i="57" s="1"/>
  <c r="I644" i="57" s="1"/>
  <c r="X83" i="56" s="1"/>
  <c r="E634" i="57"/>
  <c r="I634" i="57" s="1"/>
  <c r="I636" i="57" s="1"/>
  <c r="E269" i="57"/>
  <c r="F269" i="57" s="1"/>
  <c r="F275" i="57" s="1"/>
  <c r="Z32" i="56" s="1"/>
  <c r="G642" i="57"/>
  <c r="G644" i="57" s="1"/>
  <c r="R83" i="56" s="1"/>
  <c r="BJ326" i="164" l="1"/>
  <c r="CK326" i="164" s="1"/>
  <c r="A328" i="164"/>
  <c r="B637" i="57"/>
  <c r="F82" i="56" s="1"/>
  <c r="X82" i="56"/>
  <c r="B418" i="57"/>
  <c r="F51" i="56" s="1"/>
  <c r="R51" i="56"/>
  <c r="E606" i="57"/>
  <c r="I606" i="57" s="1"/>
  <c r="I608" i="57" s="1"/>
  <c r="E620" i="57"/>
  <c r="I620" i="57" s="1"/>
  <c r="I622" i="57" s="1"/>
  <c r="B645" i="57"/>
  <c r="F83" i="56" s="1"/>
  <c r="E599" i="57"/>
  <c r="I599" i="57" s="1"/>
  <c r="I601" i="57" s="1"/>
  <c r="E627" i="57"/>
  <c r="I627" i="57" s="1"/>
  <c r="I629" i="57" s="1"/>
  <c r="E613" i="57"/>
  <c r="I613" i="57" s="1"/>
  <c r="I615" i="57" s="1"/>
  <c r="E113" i="57"/>
  <c r="F113" i="57" s="1"/>
  <c r="E104" i="57"/>
  <c r="F104" i="57" s="1"/>
  <c r="BJ328" i="164" l="1"/>
  <c r="CK328" i="164" s="1"/>
  <c r="A329" i="164"/>
  <c r="B609" i="57"/>
  <c r="F78" i="56" s="1"/>
  <c r="X78" i="56"/>
  <c r="G51" i="56"/>
  <c r="AB51" i="56"/>
  <c r="B623" i="57"/>
  <c r="F80" i="56" s="1"/>
  <c r="X80" i="56"/>
  <c r="AD51" i="56"/>
  <c r="S51" i="56"/>
  <c r="I51" i="56" s="1"/>
  <c r="G83" i="56"/>
  <c r="AB83" i="56"/>
  <c r="AD83" i="56" s="1"/>
  <c r="F108" i="57"/>
  <c r="Z18" i="56"/>
  <c r="F119" i="57"/>
  <c r="Z19" i="56"/>
  <c r="G82" i="56"/>
  <c r="AB82" i="56"/>
  <c r="B602" i="57"/>
  <c r="F77" i="56" s="1"/>
  <c r="X77" i="56"/>
  <c r="B616" i="57"/>
  <c r="F79" i="56" s="1"/>
  <c r="X79" i="56"/>
  <c r="B630" i="57"/>
  <c r="F81" i="56" s="1"/>
  <c r="X81" i="56"/>
  <c r="BJ329" i="164" l="1"/>
  <c r="CK329" i="164" s="1"/>
  <c r="A330" i="164"/>
  <c r="AB79" i="56"/>
  <c r="AD79" i="56" s="1"/>
  <c r="G79" i="56"/>
  <c r="AB81" i="56"/>
  <c r="G81" i="56"/>
  <c r="Y79" i="56"/>
  <c r="L79" i="56" s="1"/>
  <c r="W51" i="56"/>
  <c r="K51" i="56" s="1"/>
  <c r="AA51" i="56"/>
  <c r="M51" i="56" s="1"/>
  <c r="U51" i="56"/>
  <c r="J51" i="56" s="1"/>
  <c r="Y51" i="56"/>
  <c r="L51" i="56" s="1"/>
  <c r="AB77" i="56"/>
  <c r="Y77" i="56" s="1"/>
  <c r="L77" i="56" s="1"/>
  <c r="G77" i="56"/>
  <c r="U82" i="56"/>
  <c r="J82" i="56" s="1"/>
  <c r="W82" i="56"/>
  <c r="K82" i="56" s="1"/>
  <c r="AA82" i="56"/>
  <c r="M82" i="56" s="1"/>
  <c r="S82" i="56"/>
  <c r="I82" i="56" s="1"/>
  <c r="G80" i="56"/>
  <c r="AB80" i="56"/>
  <c r="AD80" i="56" s="1"/>
  <c r="AD82" i="56"/>
  <c r="AA83" i="56"/>
  <c r="M83" i="56" s="1"/>
  <c r="U83" i="56"/>
  <c r="J83" i="56" s="1"/>
  <c r="W83" i="56"/>
  <c r="K83" i="56" s="1"/>
  <c r="S83" i="56"/>
  <c r="I83" i="56" s="1"/>
  <c r="Y83" i="56"/>
  <c r="L83" i="56" s="1"/>
  <c r="Y82" i="56"/>
  <c r="L82" i="56" s="1"/>
  <c r="G78" i="56"/>
  <c r="AB78" i="56"/>
  <c r="Y78" i="56" s="1"/>
  <c r="L78" i="56" s="1"/>
  <c r="AD77" i="56" l="1"/>
  <c r="G38" i="56"/>
  <c r="BJ330" i="164"/>
  <c r="CK330" i="164" s="1"/>
  <c r="A331" i="164"/>
  <c r="N51" i="56"/>
  <c r="Y80" i="56"/>
  <c r="L80" i="56" s="1"/>
  <c r="AD78" i="56"/>
  <c r="N83" i="56"/>
  <c r="U81" i="56"/>
  <c r="J81" i="56" s="1"/>
  <c r="W81" i="56"/>
  <c r="K81" i="56" s="1"/>
  <c r="AA81" i="56"/>
  <c r="M81" i="56" s="1"/>
  <c r="S81" i="56"/>
  <c r="I81" i="56" s="1"/>
  <c r="U79" i="56"/>
  <c r="J79" i="56" s="1"/>
  <c r="W79" i="56"/>
  <c r="K79" i="56" s="1"/>
  <c r="AA79" i="56"/>
  <c r="M79" i="56" s="1"/>
  <c r="S79" i="56"/>
  <c r="I79" i="56" s="1"/>
  <c r="AA78" i="56"/>
  <c r="M78" i="56" s="1"/>
  <c r="U78" i="56"/>
  <c r="J78" i="56" s="1"/>
  <c r="W78" i="56"/>
  <c r="K78" i="56" s="1"/>
  <c r="S78" i="56"/>
  <c r="I78" i="56" s="1"/>
  <c r="W80" i="56"/>
  <c r="K80" i="56" s="1"/>
  <c r="U80" i="56"/>
  <c r="J80" i="56" s="1"/>
  <c r="AA80" i="56"/>
  <c r="M80" i="56" s="1"/>
  <c r="S80" i="56"/>
  <c r="I80" i="56" s="1"/>
  <c r="U77" i="56"/>
  <c r="J77" i="56" s="1"/>
  <c r="W77" i="56"/>
  <c r="K77" i="56" s="1"/>
  <c r="AA77" i="56"/>
  <c r="M77" i="56" s="1"/>
  <c r="S77" i="56"/>
  <c r="I77" i="56" s="1"/>
  <c r="N82" i="56"/>
  <c r="AD81" i="56"/>
  <c r="Y81" i="56"/>
  <c r="L81" i="56" s="1"/>
  <c r="L38" i="56" s="1"/>
  <c r="L135" i="56" s="1"/>
  <c r="G135" i="56" l="1"/>
  <c r="G24" i="149" s="1"/>
  <c r="I38" i="56"/>
  <c r="I135" i="56" s="1"/>
  <c r="D19" i="130"/>
  <c r="BJ331" i="164"/>
  <c r="CK331" i="164" s="1"/>
  <c r="A332" i="164"/>
  <c r="J38" i="56"/>
  <c r="J135" i="56" s="1"/>
  <c r="K38" i="56"/>
  <c r="K135" i="56" s="1"/>
  <c r="N81" i="56"/>
  <c r="N77" i="56"/>
  <c r="M38" i="56"/>
  <c r="M135" i="56" s="1"/>
  <c r="N80" i="56"/>
  <c r="N78" i="56"/>
  <c r="N79" i="56"/>
  <c r="BJ332" i="164" l="1"/>
  <c r="CK332" i="164" s="1"/>
  <c r="A333" i="164"/>
  <c r="N38" i="56"/>
  <c r="N135" i="56" l="1"/>
  <c r="BJ333" i="164"/>
  <c r="CK333" i="164" s="1"/>
  <c r="A334" i="164"/>
  <c r="A335" i="164" l="1"/>
  <c r="BJ334" i="164"/>
  <c r="CK334" i="164" s="1"/>
  <c r="A336" i="164" l="1"/>
  <c r="BJ335" i="164"/>
  <c r="CK335" i="164" s="1"/>
  <c r="BJ336" i="164" l="1"/>
  <c r="CK336" i="164" s="1"/>
  <c r="A337" i="164"/>
  <c r="BJ337" i="164" l="1"/>
  <c r="CK337" i="164" s="1"/>
  <c r="A338" i="164"/>
  <c r="A339" i="164" l="1"/>
  <c r="BJ338" i="164"/>
  <c r="CK338" i="164" s="1"/>
  <c r="BJ339" i="164" l="1"/>
  <c r="CK339" i="164" s="1"/>
  <c r="A340" i="164"/>
  <c r="A341" i="164" l="1"/>
  <c r="BJ340" i="164"/>
  <c r="CK340" i="164" s="1"/>
  <c r="A342" i="164" l="1"/>
  <c r="BJ341" i="164"/>
  <c r="CK341" i="164" s="1"/>
  <c r="A343" i="164" l="1"/>
  <c r="BJ342" i="164"/>
  <c r="CK342" i="164" s="1"/>
  <c r="A344" i="164" l="1"/>
  <c r="BJ343" i="164"/>
  <c r="CK343" i="164" s="1"/>
  <c r="A345" i="164" l="1"/>
  <c r="BJ344" i="164"/>
  <c r="CK344" i="164" s="1"/>
  <c r="BJ345" i="164" l="1"/>
  <c r="CK345" i="164" s="1"/>
  <c r="A346" i="164"/>
  <c r="BJ346" i="164" l="1"/>
  <c r="CK346" i="164" s="1"/>
  <c r="A347" i="164"/>
  <c r="BJ347" i="164" l="1"/>
  <c r="CK347" i="164" s="1"/>
  <c r="A348" i="164"/>
  <c r="BJ348" i="164" l="1"/>
  <c r="CK348" i="164" s="1"/>
  <c r="A349" i="164"/>
  <c r="A350" i="164" l="1"/>
  <c r="BJ349" i="164"/>
  <c r="CK349" i="164" s="1"/>
  <c r="A351" i="164" l="1"/>
  <c r="BJ350" i="164"/>
  <c r="CK350" i="164" s="1"/>
  <c r="A352" i="164" l="1"/>
  <c r="BJ351" i="164"/>
  <c r="CK351" i="164" s="1"/>
  <c r="A353" i="164" l="1"/>
  <c r="BJ352" i="164"/>
  <c r="CK352" i="164" s="1"/>
  <c r="BJ353" i="164" l="1"/>
  <c r="CK353" i="164" s="1"/>
  <c r="A354" i="164"/>
  <c r="BJ354" i="164" l="1"/>
  <c r="CK354" i="164" s="1"/>
  <c r="A355" i="164"/>
  <c r="A356" i="164" l="1"/>
  <c r="BJ355" i="164"/>
  <c r="CK355" i="164" s="1"/>
  <c r="A357" i="164" l="1"/>
  <c r="BJ356" i="164"/>
  <c r="CK356" i="164" s="1"/>
  <c r="BJ357" i="164" l="1"/>
  <c r="CK357" i="164" s="1"/>
  <c r="A358" i="164"/>
  <c r="A359" i="164" l="1"/>
  <c r="BJ358" i="164"/>
  <c r="CK358" i="164" s="1"/>
  <c r="BJ359" i="164" l="1"/>
  <c r="CK359" i="164" s="1"/>
  <c r="A360" i="164"/>
  <c r="J37" i="14"/>
  <c r="A361" i="164" l="1"/>
  <c r="BJ360" i="164"/>
  <c r="CK360" i="164" s="1"/>
  <c r="BJ361" i="164" l="1"/>
  <c r="CK361" i="164" s="1"/>
  <c r="A362" i="164"/>
  <c r="BJ362" i="164" l="1"/>
  <c r="CK362" i="164" s="1"/>
  <c r="A363" i="164"/>
  <c r="J39" i="14"/>
  <c r="BJ363" i="164" l="1"/>
  <c r="CK363" i="164" s="1"/>
  <c r="A364" i="164"/>
  <c r="A365" i="164" l="1"/>
  <c r="BJ364" i="164"/>
  <c r="CK364" i="164" s="1"/>
  <c r="BJ365" i="164" l="1"/>
  <c r="CK365" i="164" s="1"/>
  <c r="A366" i="164"/>
  <c r="E38" i="14"/>
  <c r="J38" i="14" s="1"/>
  <c r="J36" i="14"/>
  <c r="J35" i="14"/>
  <c r="E34" i="14"/>
  <c r="C80" i="4"/>
  <c r="C108" i="4"/>
  <c r="C122" i="4"/>
  <c r="C148" i="4"/>
  <c r="C161" i="4"/>
  <c r="C10" i="4"/>
  <c r="C94" i="4"/>
  <c r="BJ366" i="164" l="1"/>
  <c r="CK366" i="164" s="1"/>
  <c r="A367" i="164"/>
  <c r="J34" i="14"/>
  <c r="A368" i="164" l="1"/>
  <c r="BJ367" i="164"/>
  <c r="CK367" i="164" s="1"/>
  <c r="E120" i="4"/>
  <c r="A369" i="164" l="1"/>
  <c r="BJ368" i="164"/>
  <c r="CK368" i="164" s="1"/>
  <c r="E50" i="4"/>
  <c r="BJ369" i="164" l="1"/>
  <c r="CK369" i="164" s="1"/>
  <c r="A371" i="164"/>
  <c r="A372" i="164" l="1"/>
  <c r="BJ371" i="164"/>
  <c r="CK371" i="164" s="1"/>
  <c r="E159" i="4"/>
  <c r="G159" i="4" s="1"/>
  <c r="E161" i="4"/>
  <c r="G161" i="4" s="1"/>
  <c r="E163" i="4"/>
  <c r="G163" i="4" s="1"/>
  <c r="E158" i="4"/>
  <c r="F158" i="4" s="1"/>
  <c r="F166" i="4" s="1"/>
  <c r="D159" i="4"/>
  <c r="D161" i="4"/>
  <c r="D162" i="4"/>
  <c r="D163" i="4"/>
  <c r="D164" i="4"/>
  <c r="D165" i="4"/>
  <c r="D158" i="4"/>
  <c r="E146" i="4"/>
  <c r="G146" i="4" s="1"/>
  <c r="E148" i="4"/>
  <c r="G148" i="4" s="1"/>
  <c r="E150" i="4"/>
  <c r="G150" i="4" s="1"/>
  <c r="E145" i="4"/>
  <c r="F145" i="4" s="1"/>
  <c r="F153" i="4" s="1"/>
  <c r="D146" i="4"/>
  <c r="D148" i="4"/>
  <c r="D149" i="4"/>
  <c r="D150" i="4"/>
  <c r="D151" i="4"/>
  <c r="D152" i="4"/>
  <c r="E133" i="4"/>
  <c r="G133" i="4" s="1"/>
  <c r="E135" i="4"/>
  <c r="G135" i="4" s="1"/>
  <c r="E137" i="4"/>
  <c r="G137" i="4" s="1"/>
  <c r="E132" i="4"/>
  <c r="F132" i="4" s="1"/>
  <c r="F140" i="4" s="1"/>
  <c r="D133" i="4"/>
  <c r="D135" i="4"/>
  <c r="D136" i="4"/>
  <c r="D137" i="4"/>
  <c r="D138" i="4"/>
  <c r="D139" i="4"/>
  <c r="D132" i="4"/>
  <c r="G120" i="4"/>
  <c r="E121" i="4"/>
  <c r="G121" i="4" s="1"/>
  <c r="E122" i="4"/>
  <c r="G122" i="4" s="1"/>
  <c r="E124" i="4"/>
  <c r="G124" i="4" s="1"/>
  <c r="E118" i="4"/>
  <c r="F118" i="4" s="1"/>
  <c r="F127" i="4" s="1"/>
  <c r="D120" i="4"/>
  <c r="D121" i="4"/>
  <c r="D122" i="4"/>
  <c r="D123" i="4"/>
  <c r="D124" i="4"/>
  <c r="D125" i="4"/>
  <c r="D126" i="4"/>
  <c r="D118" i="4"/>
  <c r="E106" i="4"/>
  <c r="G106" i="4" s="1"/>
  <c r="E107" i="4"/>
  <c r="G107" i="4" s="1"/>
  <c r="E108" i="4"/>
  <c r="G108" i="4" s="1"/>
  <c r="E110" i="4"/>
  <c r="G110" i="4" s="1"/>
  <c r="E104" i="4"/>
  <c r="F104" i="4" s="1"/>
  <c r="F113" i="4" s="1"/>
  <c r="D106" i="4"/>
  <c r="D107" i="4"/>
  <c r="D108" i="4"/>
  <c r="D109" i="4"/>
  <c r="D110" i="4"/>
  <c r="D111" i="4"/>
  <c r="D112" i="4"/>
  <c r="D104" i="4"/>
  <c r="E92" i="4"/>
  <c r="G92" i="4" s="1"/>
  <c r="E93" i="4"/>
  <c r="G93" i="4" s="1"/>
  <c r="E94" i="4"/>
  <c r="G94" i="4" s="1"/>
  <c r="E96" i="4"/>
  <c r="G96" i="4" s="1"/>
  <c r="E90" i="4"/>
  <c r="F90" i="4" s="1"/>
  <c r="F99" i="4" s="1"/>
  <c r="D92" i="4"/>
  <c r="D93" i="4"/>
  <c r="D94" i="4"/>
  <c r="D95" i="4"/>
  <c r="D96" i="4"/>
  <c r="D97" i="4"/>
  <c r="D98" i="4"/>
  <c r="D90" i="4"/>
  <c r="E78" i="4"/>
  <c r="G78" i="4" s="1"/>
  <c r="E79" i="4"/>
  <c r="G79" i="4" s="1"/>
  <c r="E80" i="4"/>
  <c r="G80" i="4" s="1"/>
  <c r="E82" i="4"/>
  <c r="G82" i="4" s="1"/>
  <c r="E76" i="4"/>
  <c r="F76" i="4" s="1"/>
  <c r="F85" i="4" s="1"/>
  <c r="D78" i="4"/>
  <c r="D79" i="4"/>
  <c r="D80" i="4"/>
  <c r="D81" i="4"/>
  <c r="D82" i="4"/>
  <c r="D83" i="4"/>
  <c r="D84" i="4"/>
  <c r="D76" i="4"/>
  <c r="E64" i="4"/>
  <c r="G64" i="4" s="1"/>
  <c r="E65" i="4"/>
  <c r="G65" i="4" s="1"/>
  <c r="E66" i="4"/>
  <c r="G66" i="4" s="1"/>
  <c r="E68" i="4"/>
  <c r="G68" i="4" s="1"/>
  <c r="E62" i="4"/>
  <c r="F62" i="4" s="1"/>
  <c r="F71" i="4" s="1"/>
  <c r="D64" i="4"/>
  <c r="D65" i="4"/>
  <c r="D66" i="4"/>
  <c r="D67" i="4"/>
  <c r="D68" i="4"/>
  <c r="D69" i="4"/>
  <c r="D70" i="4"/>
  <c r="D62" i="4"/>
  <c r="G50" i="4"/>
  <c r="E51" i="4"/>
  <c r="G51" i="4" s="1"/>
  <c r="E52" i="4"/>
  <c r="G52" i="4" s="1"/>
  <c r="E54" i="4"/>
  <c r="G54" i="4" s="1"/>
  <c r="E48" i="4"/>
  <c r="F48" i="4" s="1"/>
  <c r="F57" i="4" s="1"/>
  <c r="D50" i="4"/>
  <c r="D51" i="4"/>
  <c r="D52" i="4"/>
  <c r="D53" i="4"/>
  <c r="D54" i="4"/>
  <c r="D55" i="4"/>
  <c r="D56" i="4"/>
  <c r="D48" i="4"/>
  <c r="E36" i="4"/>
  <c r="G36" i="4" s="1"/>
  <c r="E37" i="4"/>
  <c r="G37" i="4" s="1"/>
  <c r="E38" i="4"/>
  <c r="G38" i="4" s="1"/>
  <c r="E40" i="4"/>
  <c r="G40" i="4" s="1"/>
  <c r="E34" i="4"/>
  <c r="F34" i="4" s="1"/>
  <c r="F43" i="4" s="1"/>
  <c r="D36" i="4"/>
  <c r="D37" i="4"/>
  <c r="D38" i="4"/>
  <c r="D39" i="4"/>
  <c r="D40" i="4"/>
  <c r="D41" i="4"/>
  <c r="D42" i="4"/>
  <c r="D34" i="4"/>
  <c r="E22" i="4"/>
  <c r="G22" i="4" s="1"/>
  <c r="E23" i="4"/>
  <c r="G23" i="4" s="1"/>
  <c r="E24" i="4"/>
  <c r="G24" i="4" s="1"/>
  <c r="E26" i="4"/>
  <c r="G26" i="4" s="1"/>
  <c r="E20" i="4"/>
  <c r="F20" i="4" s="1"/>
  <c r="F29" i="4" s="1"/>
  <c r="D22" i="4"/>
  <c r="D23" i="4"/>
  <c r="D24" i="4"/>
  <c r="D25" i="4"/>
  <c r="D26" i="4"/>
  <c r="D27" i="4"/>
  <c r="D28" i="4"/>
  <c r="D20" i="4"/>
  <c r="E8" i="4"/>
  <c r="G8" i="4" s="1"/>
  <c r="E9" i="4"/>
  <c r="G9" i="4" s="1"/>
  <c r="E10" i="4"/>
  <c r="G10" i="4" s="1"/>
  <c r="E12" i="4"/>
  <c r="G12" i="4" s="1"/>
  <c r="E6" i="4"/>
  <c r="F6" i="4" s="1"/>
  <c r="F15" i="4" s="1"/>
  <c r="D8" i="4"/>
  <c r="D9" i="4"/>
  <c r="D10" i="4"/>
  <c r="D11" i="4"/>
  <c r="D12" i="4"/>
  <c r="D13" i="4"/>
  <c r="D14" i="4"/>
  <c r="D6" i="4"/>
  <c r="A373" i="164" l="1"/>
  <c r="BJ372" i="164"/>
  <c r="CK372" i="164" s="1"/>
  <c r="G153" i="4"/>
  <c r="G99" i="4"/>
  <c r="G166" i="4"/>
  <c r="G140" i="4"/>
  <c r="G127" i="4"/>
  <c r="G113" i="4"/>
  <c r="G85" i="4"/>
  <c r="G71" i="4"/>
  <c r="G57" i="4"/>
  <c r="G43" i="4"/>
  <c r="G29" i="4"/>
  <c r="G15" i="4"/>
  <c r="J25" i="14"/>
  <c r="E95" i="4"/>
  <c r="I95" i="4" s="1"/>
  <c r="E39" i="4"/>
  <c r="I39" i="4" s="1"/>
  <c r="E81" i="4"/>
  <c r="I81" i="4" s="1"/>
  <c r="E25" i="4"/>
  <c r="I25" i="4" s="1"/>
  <c r="E149" i="4"/>
  <c r="I149" i="4" s="1"/>
  <c r="E123" i="4"/>
  <c r="I123" i="4" s="1"/>
  <c r="E67" i="4"/>
  <c r="I67" i="4" s="1"/>
  <c r="E11" i="4"/>
  <c r="I11" i="4" s="1"/>
  <c r="E109" i="4"/>
  <c r="I109" i="4" s="1"/>
  <c r="E162" i="4"/>
  <c r="I162" i="4" s="1"/>
  <c r="E53" i="4"/>
  <c r="I53" i="4" s="1"/>
  <c r="E136" i="4"/>
  <c r="I136" i="4" s="1"/>
  <c r="A374" i="164" l="1"/>
  <c r="BJ373" i="164"/>
  <c r="CK373" i="164" s="1"/>
  <c r="J31" i="14"/>
  <c r="J30" i="14"/>
  <c r="J29" i="14"/>
  <c r="J28" i="14"/>
  <c r="J27" i="14"/>
  <c r="J26" i="14"/>
  <c r="E1017" i="57" l="1"/>
  <c r="H1017" i="57" s="1"/>
  <c r="E1053" i="57"/>
  <c r="H1053" i="57" s="1"/>
  <c r="E1035" i="57"/>
  <c r="H1035" i="57" s="1"/>
  <c r="E274" i="57"/>
  <c r="H274" i="57" s="1"/>
  <c r="E1054" i="57"/>
  <c r="H1054" i="57" s="1"/>
  <c r="V128" i="56" s="1"/>
  <c r="E1018" i="57"/>
  <c r="H1018" i="57" s="1"/>
  <c r="V124" i="56" s="1"/>
  <c r="E1036" i="57"/>
  <c r="H1036" i="57" s="1"/>
  <c r="V126" i="56" s="1"/>
  <c r="A375" i="164"/>
  <c r="BJ374" i="164"/>
  <c r="CK374" i="164" s="1"/>
  <c r="E871" i="57"/>
  <c r="H871" i="57" s="1"/>
  <c r="V107" i="56" s="1"/>
  <c r="E839" i="57"/>
  <c r="H839" i="57" s="1"/>
  <c r="V103" i="56" s="1"/>
  <c r="E936" i="57"/>
  <c r="H936" i="57" s="1"/>
  <c r="V115" i="56" s="1"/>
  <c r="E831" i="57"/>
  <c r="H831" i="57" s="1"/>
  <c r="V102" i="56" s="1"/>
  <c r="E847" i="57"/>
  <c r="H847" i="57" s="1"/>
  <c r="V104" i="56" s="1"/>
  <c r="E855" i="57"/>
  <c r="H855" i="57" s="1"/>
  <c r="V105" i="56" s="1"/>
  <c r="E870" i="57"/>
  <c r="H870" i="57" s="1"/>
  <c r="E854" i="57"/>
  <c r="H854" i="57" s="1"/>
  <c r="T105" i="56" s="1"/>
  <c r="E935" i="57"/>
  <c r="H935" i="57" s="1"/>
  <c r="T115" i="56" s="1"/>
  <c r="E838" i="57"/>
  <c r="H838" i="57" s="1"/>
  <c r="T103" i="56" s="1"/>
  <c r="E846" i="57"/>
  <c r="H846" i="57" s="1"/>
  <c r="T104" i="56" s="1"/>
  <c r="E830" i="57"/>
  <c r="H830" i="57" s="1"/>
  <c r="T102" i="56" s="1"/>
  <c r="E879" i="57"/>
  <c r="H879" i="57" s="1"/>
  <c r="V108" i="56" s="1"/>
  <c r="E878" i="57"/>
  <c r="H878" i="57" s="1"/>
  <c r="T108" i="56" s="1"/>
  <c r="E111" i="4"/>
  <c r="H111" i="4" s="1"/>
  <c r="E928" i="57"/>
  <c r="H928" i="57" s="1"/>
  <c r="V114" i="56" s="1"/>
  <c r="E896" i="57"/>
  <c r="H896" i="57" s="1"/>
  <c r="V110" i="56" s="1"/>
  <c r="E962" i="57"/>
  <c r="H962" i="57" s="1"/>
  <c r="V118" i="56" s="1"/>
  <c r="E815" i="57"/>
  <c r="H815" i="57" s="1"/>
  <c r="V100" i="56" s="1"/>
  <c r="E895" i="57"/>
  <c r="H895" i="57" s="1"/>
  <c r="T110" i="56" s="1"/>
  <c r="E961" i="57"/>
  <c r="H961" i="57" s="1"/>
  <c r="T118" i="56" s="1"/>
  <c r="E927" i="57"/>
  <c r="H927" i="57" s="1"/>
  <c r="E814" i="57"/>
  <c r="H814" i="57" s="1"/>
  <c r="T100" i="56" s="1"/>
  <c r="E41" i="4"/>
  <c r="H41" i="4" s="1"/>
  <c r="E13" i="4"/>
  <c r="H13" i="4" s="1"/>
  <c r="E83" i="4"/>
  <c r="H83" i="4" s="1"/>
  <c r="E97" i="4"/>
  <c r="H97" i="4" s="1"/>
  <c r="E27" i="4"/>
  <c r="H27" i="4" s="1"/>
  <c r="E125" i="4"/>
  <c r="H125" i="4" s="1"/>
  <c r="E151" i="4"/>
  <c r="H151" i="4" s="1"/>
  <c r="E55" i="4"/>
  <c r="H55" i="4" s="1"/>
  <c r="E1000" i="57"/>
  <c r="H1000" i="57" s="1"/>
  <c r="V122" i="56" s="1"/>
  <c r="E992" i="57"/>
  <c r="H992" i="57" s="1"/>
  <c r="V121" i="56" s="1"/>
  <c r="E823" i="57"/>
  <c r="H823" i="57" s="1"/>
  <c r="V101" i="56" s="1"/>
  <c r="E904" i="57"/>
  <c r="H904" i="57" s="1"/>
  <c r="V111" i="56" s="1"/>
  <c r="E805" i="57"/>
  <c r="H805" i="57" s="1"/>
  <c r="V99" i="56" s="1"/>
  <c r="E888" i="57"/>
  <c r="H888" i="57" s="1"/>
  <c r="V109" i="56" s="1"/>
  <c r="E742" i="57"/>
  <c r="H742" i="57" s="1"/>
  <c r="V93" i="56" s="1"/>
  <c r="E677" i="57"/>
  <c r="H677" i="57" s="1"/>
  <c r="V87" i="56" s="1"/>
  <c r="E688" i="57"/>
  <c r="H688" i="57" s="1"/>
  <c r="V88" i="56" s="1"/>
  <c r="E731" i="57"/>
  <c r="H731" i="57" s="1"/>
  <c r="V92" i="56" s="1"/>
  <c r="E1045" i="57"/>
  <c r="H1045" i="57" s="1"/>
  <c r="V127" i="56" s="1"/>
  <c r="E1009" i="57"/>
  <c r="H1009" i="57" s="1"/>
  <c r="V123" i="56" s="1"/>
  <c r="E753" i="57"/>
  <c r="H753" i="57" s="1"/>
  <c r="V94" i="56" s="1"/>
  <c r="E699" i="57"/>
  <c r="H699" i="57" s="1"/>
  <c r="V89" i="56" s="1"/>
  <c r="E982" i="57"/>
  <c r="H982" i="57" s="1"/>
  <c r="V120" i="56" s="1"/>
  <c r="E944" i="57"/>
  <c r="H944" i="57" s="1"/>
  <c r="V116" i="56" s="1"/>
  <c r="E863" i="57"/>
  <c r="H863" i="57" s="1"/>
  <c r="V106" i="56" s="1"/>
  <c r="E912" i="57"/>
  <c r="H912" i="57" s="1"/>
  <c r="V112" i="56" s="1"/>
  <c r="E785" i="57"/>
  <c r="H785" i="57" s="1"/>
  <c r="V97" i="56" s="1"/>
  <c r="E764" i="57"/>
  <c r="H764" i="57" s="1"/>
  <c r="V95" i="56" s="1"/>
  <c r="E710" i="57"/>
  <c r="H710" i="57" s="1"/>
  <c r="V90" i="56" s="1"/>
  <c r="E655" i="57"/>
  <c r="H655" i="57" s="1"/>
  <c r="V85" i="56" s="1"/>
  <c r="E775" i="57"/>
  <c r="H775" i="57" s="1"/>
  <c r="V96" i="56" s="1"/>
  <c r="E1063" i="57"/>
  <c r="H1063" i="57" s="1"/>
  <c r="V129" i="56" s="1"/>
  <c r="E1027" i="57"/>
  <c r="H1027" i="57" s="1"/>
  <c r="V125" i="56" s="1"/>
  <c r="E972" i="57"/>
  <c r="H972" i="57" s="1"/>
  <c r="V119" i="56" s="1"/>
  <c r="E952" i="57"/>
  <c r="H952" i="57" s="1"/>
  <c r="V117" i="56" s="1"/>
  <c r="E920" i="57"/>
  <c r="H920" i="57" s="1"/>
  <c r="V113" i="56" s="1"/>
  <c r="E795" i="57"/>
  <c r="H795" i="57" s="1"/>
  <c r="V98" i="56" s="1"/>
  <c r="E720" i="57"/>
  <c r="H720" i="57" s="1"/>
  <c r="V91" i="56" s="1"/>
  <c r="E666" i="57"/>
  <c r="H666" i="57" s="1"/>
  <c r="V86" i="56" s="1"/>
  <c r="E971" i="57"/>
  <c r="H971" i="57" s="1"/>
  <c r="T119" i="56" s="1"/>
  <c r="E730" i="57"/>
  <c r="H730" i="57" s="1"/>
  <c r="T92" i="56" s="1"/>
  <c r="E676" i="57"/>
  <c r="H676" i="57" s="1"/>
  <c r="T87" i="56" s="1"/>
  <c r="E1062" i="57"/>
  <c r="H1062" i="57" s="1"/>
  <c r="T129" i="56" s="1"/>
  <c r="E719" i="57"/>
  <c r="H719" i="57" s="1"/>
  <c r="T91" i="56" s="1"/>
  <c r="E951" i="57"/>
  <c r="H951" i="57" s="1"/>
  <c r="T117" i="56" s="1"/>
  <c r="E665" i="57"/>
  <c r="H665" i="57" s="1"/>
  <c r="T86" i="56" s="1"/>
  <c r="E999" i="57"/>
  <c r="H999" i="57" s="1"/>
  <c r="T122" i="56" s="1"/>
  <c r="E991" i="57"/>
  <c r="H991" i="57" s="1"/>
  <c r="T121" i="56" s="1"/>
  <c r="E822" i="57"/>
  <c r="H822" i="57" s="1"/>
  <c r="T101" i="56" s="1"/>
  <c r="E903" i="57"/>
  <c r="H903" i="57" s="1"/>
  <c r="T111" i="56" s="1"/>
  <c r="E804" i="57"/>
  <c r="H804" i="57" s="1"/>
  <c r="T99" i="56" s="1"/>
  <c r="E887" i="57"/>
  <c r="H887" i="57" s="1"/>
  <c r="T109" i="56" s="1"/>
  <c r="E741" i="57"/>
  <c r="H741" i="57" s="1"/>
  <c r="T93" i="56" s="1"/>
  <c r="E687" i="57"/>
  <c r="H687" i="57" s="1"/>
  <c r="T88" i="56" s="1"/>
  <c r="E1044" i="57"/>
  <c r="H1044" i="57" s="1"/>
  <c r="T127" i="56" s="1"/>
  <c r="E1008" i="57"/>
  <c r="H1008" i="57" s="1"/>
  <c r="T123" i="56" s="1"/>
  <c r="E752" i="57"/>
  <c r="H752" i="57" s="1"/>
  <c r="T94" i="56" s="1"/>
  <c r="E698" i="57"/>
  <c r="H698" i="57" s="1"/>
  <c r="T89" i="56" s="1"/>
  <c r="E794" i="57"/>
  <c r="H794" i="57" s="1"/>
  <c r="T98" i="56" s="1"/>
  <c r="E981" i="57"/>
  <c r="H981" i="57" s="1"/>
  <c r="T120" i="56" s="1"/>
  <c r="E943" i="57"/>
  <c r="H943" i="57" s="1"/>
  <c r="T116" i="56" s="1"/>
  <c r="E862" i="57"/>
  <c r="H862" i="57" s="1"/>
  <c r="T106" i="56" s="1"/>
  <c r="E911" i="57"/>
  <c r="H911" i="57" s="1"/>
  <c r="T112" i="56" s="1"/>
  <c r="E784" i="57"/>
  <c r="H784" i="57" s="1"/>
  <c r="T97" i="56" s="1"/>
  <c r="E763" i="57"/>
  <c r="H763" i="57" s="1"/>
  <c r="T95" i="56" s="1"/>
  <c r="E709" i="57"/>
  <c r="H709" i="57" s="1"/>
  <c r="T90" i="56" s="1"/>
  <c r="E774" i="57"/>
  <c r="H774" i="57" s="1"/>
  <c r="T96" i="56" s="1"/>
  <c r="E654" i="57"/>
  <c r="H654" i="57" s="1"/>
  <c r="T85" i="56" s="1"/>
  <c r="E1026" i="57"/>
  <c r="H1026" i="57" s="1"/>
  <c r="T125" i="56" s="1"/>
  <c r="E919" i="57"/>
  <c r="H919" i="57" s="1"/>
  <c r="T113" i="56" s="1"/>
  <c r="E138" i="4"/>
  <c r="H138" i="4" s="1"/>
  <c r="E260" i="57"/>
  <c r="H260" i="57" s="1"/>
  <c r="V31" i="56" s="1"/>
  <c r="E204" i="57"/>
  <c r="H204" i="57" s="1"/>
  <c r="V27" i="56" s="1"/>
  <c r="E287" i="57"/>
  <c r="H287" i="57" s="1"/>
  <c r="V34" i="56" s="1"/>
  <c r="E181" i="57"/>
  <c r="H181" i="57" s="1"/>
  <c r="V25" i="56" s="1"/>
  <c r="E161" i="57"/>
  <c r="H161" i="57" s="1"/>
  <c r="V24" i="56" s="1"/>
  <c r="E298" i="57"/>
  <c r="H298" i="57" s="1"/>
  <c r="V35" i="56" s="1"/>
  <c r="E244" i="57"/>
  <c r="H244" i="57" s="1"/>
  <c r="V30" i="56" s="1"/>
  <c r="E308" i="57"/>
  <c r="H308" i="57" s="1"/>
  <c r="V36" i="56" s="1"/>
  <c r="E231" i="57"/>
  <c r="H231" i="57" s="1"/>
  <c r="V29" i="56" s="1"/>
  <c r="E221" i="57"/>
  <c r="H221" i="57" s="1"/>
  <c r="V28" i="56" s="1"/>
  <c r="E44" i="57"/>
  <c r="H44" i="57" s="1"/>
  <c r="E24" i="57"/>
  <c r="H24" i="57" s="1"/>
  <c r="V7" i="56" s="1"/>
  <c r="E117" i="57"/>
  <c r="H117" i="57" s="1"/>
  <c r="H119" i="57" s="1"/>
  <c r="V19" i="56" s="1"/>
  <c r="E127" i="57"/>
  <c r="E55" i="57"/>
  <c r="H55" i="57" s="1"/>
  <c r="E153" i="57"/>
  <c r="H153" i="57" s="1"/>
  <c r="V23" i="56" s="1"/>
  <c r="E196" i="57"/>
  <c r="H196" i="57" s="1"/>
  <c r="V26" i="56" s="1"/>
  <c r="E97" i="57"/>
  <c r="H97" i="57" s="1"/>
  <c r="E81" i="57"/>
  <c r="H81" i="57" s="1"/>
  <c r="E36" i="57"/>
  <c r="H36" i="57" s="1"/>
  <c r="H37" i="57" s="1"/>
  <c r="V9" i="56" s="1"/>
  <c r="E65" i="57"/>
  <c r="H65" i="57" s="1"/>
  <c r="E56" i="57"/>
  <c r="H56" i="57" s="1"/>
  <c r="E128" i="57"/>
  <c r="H128" i="57" s="1"/>
  <c r="E106" i="57"/>
  <c r="H106" i="57" s="1"/>
  <c r="E89" i="57"/>
  <c r="H89" i="57" s="1"/>
  <c r="E73" i="57"/>
  <c r="H73" i="57" s="1"/>
  <c r="E45" i="57"/>
  <c r="H45" i="57" s="1"/>
  <c r="E259" i="57"/>
  <c r="H259" i="57" s="1"/>
  <c r="T31" i="56" s="1"/>
  <c r="E230" i="57"/>
  <c r="H230" i="57" s="1"/>
  <c r="T29" i="56" s="1"/>
  <c r="E160" i="57"/>
  <c r="H160" i="57" s="1"/>
  <c r="T24" i="56" s="1"/>
  <c r="E203" i="57"/>
  <c r="E220" i="57"/>
  <c r="H220" i="57" s="1"/>
  <c r="T28" i="56" s="1"/>
  <c r="E286" i="57"/>
  <c r="H286" i="57" s="1"/>
  <c r="T34" i="56" s="1"/>
  <c r="E180" i="57"/>
  <c r="H180" i="57" s="1"/>
  <c r="T25" i="56" s="1"/>
  <c r="E297" i="57"/>
  <c r="H297" i="57" s="1"/>
  <c r="T35" i="56" s="1"/>
  <c r="E243" i="57"/>
  <c r="H243" i="57" s="1"/>
  <c r="T30" i="56" s="1"/>
  <c r="E307" i="57"/>
  <c r="H307" i="57" s="1"/>
  <c r="T36" i="56" s="1"/>
  <c r="E195" i="57"/>
  <c r="H195" i="57" s="1"/>
  <c r="T26" i="56" s="1"/>
  <c r="E152" i="57"/>
  <c r="H152" i="57" s="1"/>
  <c r="T23" i="56" s="1"/>
  <c r="E126" i="57"/>
  <c r="H126" i="57" s="1"/>
  <c r="T20" i="56" s="1"/>
  <c r="E23" i="57"/>
  <c r="H23" i="57" s="1"/>
  <c r="T7" i="56" s="1"/>
  <c r="E69" i="4"/>
  <c r="H69" i="4" s="1"/>
  <c r="E164" i="4"/>
  <c r="H164" i="4" s="1"/>
  <c r="E42" i="4"/>
  <c r="H42" i="4" s="1"/>
  <c r="E84" i="4"/>
  <c r="H84" i="4" s="1"/>
  <c r="E98" i="4"/>
  <c r="H98" i="4" s="1"/>
  <c r="E139" i="4"/>
  <c r="H139" i="4" s="1"/>
  <c r="E152" i="4"/>
  <c r="H152" i="4" s="1"/>
  <c r="E14" i="4"/>
  <c r="H14" i="4" s="1"/>
  <c r="E112" i="4"/>
  <c r="H112" i="4" s="1"/>
  <c r="E56" i="4"/>
  <c r="H56" i="4" s="1"/>
  <c r="E165" i="4"/>
  <c r="H165" i="4" s="1"/>
  <c r="E126" i="4"/>
  <c r="H126" i="4" s="1"/>
  <c r="E70" i="4"/>
  <c r="H70" i="4" s="1"/>
  <c r="E28" i="4"/>
  <c r="H28" i="4" s="1"/>
  <c r="H203" i="57" l="1"/>
  <c r="T27" i="56" s="1"/>
  <c r="V32" i="56"/>
  <c r="H275" i="57"/>
  <c r="E270" i="57" s="1"/>
  <c r="I270" i="57" s="1"/>
  <c r="I275" i="57" s="1"/>
  <c r="T126" i="56"/>
  <c r="H1038" i="57"/>
  <c r="E1037" i="57" s="1"/>
  <c r="I1037" i="57" s="1"/>
  <c r="T128" i="56"/>
  <c r="H1056" i="57"/>
  <c r="E1055" i="57" s="1"/>
  <c r="I1055" i="57" s="1"/>
  <c r="T124" i="56"/>
  <c r="H1020" i="57"/>
  <c r="E1019" i="57" s="1"/>
  <c r="I1019" i="57" s="1"/>
  <c r="BJ375" i="164"/>
  <c r="CK375" i="164" s="1"/>
  <c r="A376" i="164"/>
  <c r="V10" i="56"/>
  <c r="V20" i="56"/>
  <c r="H74" i="57"/>
  <c r="E72" i="57" s="1"/>
  <c r="I72" i="57" s="1"/>
  <c r="V14" i="56"/>
  <c r="H90" i="57"/>
  <c r="E88" i="57" s="1"/>
  <c r="I88" i="57" s="1"/>
  <c r="V16" i="56"/>
  <c r="H930" i="57"/>
  <c r="E929" i="57" s="1"/>
  <c r="I929" i="57" s="1"/>
  <c r="T114" i="56"/>
  <c r="H66" i="57"/>
  <c r="E64" i="57" s="1"/>
  <c r="I64" i="57" s="1"/>
  <c r="V13" i="56"/>
  <c r="H873" i="57"/>
  <c r="E872" i="57" s="1"/>
  <c r="I872" i="57" s="1"/>
  <c r="R107" i="56" s="1"/>
  <c r="T107" i="56"/>
  <c r="H82" i="57"/>
  <c r="E80" i="57" s="1"/>
  <c r="I80" i="57" s="1"/>
  <c r="V15" i="56"/>
  <c r="H108" i="57"/>
  <c r="E105" i="57" s="1"/>
  <c r="I105" i="57" s="1"/>
  <c r="V18" i="56"/>
  <c r="H99" i="57"/>
  <c r="E98" i="57" s="1"/>
  <c r="I98" i="57" s="1"/>
  <c r="V17" i="56"/>
  <c r="H833" i="57"/>
  <c r="E832" i="57" s="1"/>
  <c r="I832" i="57" s="1"/>
  <c r="H849" i="57"/>
  <c r="E848" i="57" s="1"/>
  <c r="I848" i="57" s="1"/>
  <c r="R104" i="56" s="1"/>
  <c r="H841" i="57"/>
  <c r="E840" i="57" s="1"/>
  <c r="I840" i="57" s="1"/>
  <c r="H938" i="57"/>
  <c r="E937" i="57" s="1"/>
  <c r="I937" i="57" s="1"/>
  <c r="H857" i="57"/>
  <c r="E856" i="57" s="1"/>
  <c r="I856" i="57" s="1"/>
  <c r="H881" i="57"/>
  <c r="E880" i="57" s="1"/>
  <c r="I880" i="57" s="1"/>
  <c r="H817" i="57"/>
  <c r="E816" i="57" s="1"/>
  <c r="I816" i="57" s="1"/>
  <c r="H29" i="4"/>
  <c r="E21" i="4" s="1"/>
  <c r="I21" i="4" s="1"/>
  <c r="H964" i="57"/>
  <c r="E963" i="57" s="1"/>
  <c r="I963" i="57" s="1"/>
  <c r="R118" i="56" s="1"/>
  <c r="H43" i="4"/>
  <c r="E35" i="4" s="1"/>
  <c r="I35" i="4" s="1"/>
  <c r="I43" i="4" s="1"/>
  <c r="B44" i="4" s="1"/>
  <c r="D26" i="2" s="1"/>
  <c r="H898" i="57"/>
  <c r="E897" i="57" s="1"/>
  <c r="I897" i="57" s="1"/>
  <c r="H1047" i="57"/>
  <c r="E1046" i="57" s="1"/>
  <c r="I1046" i="57" s="1"/>
  <c r="H214" i="57"/>
  <c r="E202" i="57" s="1"/>
  <c r="I202" i="57" s="1"/>
  <c r="I214" i="57" s="1"/>
  <c r="H1011" i="57"/>
  <c r="E1010" i="57" s="1"/>
  <c r="I1010" i="57" s="1"/>
  <c r="H755" i="57"/>
  <c r="E754" i="57" s="1"/>
  <c r="I754" i="57" s="1"/>
  <c r="H777" i="57"/>
  <c r="E776" i="57" s="1"/>
  <c r="I776" i="57" s="1"/>
  <c r="H1065" i="57"/>
  <c r="E1064" i="57" s="1"/>
  <c r="I1064" i="57" s="1"/>
  <c r="H288" i="57"/>
  <c r="E282" i="57" s="1"/>
  <c r="I282" i="57" s="1"/>
  <c r="H701" i="57"/>
  <c r="E700" i="57" s="1"/>
  <c r="I700" i="57" s="1"/>
  <c r="H1002" i="57"/>
  <c r="E1001" i="57" s="1"/>
  <c r="I1001" i="57" s="1"/>
  <c r="H984" i="57"/>
  <c r="E983" i="57" s="1"/>
  <c r="I983" i="57" s="1"/>
  <c r="H825" i="57"/>
  <c r="E824" i="57" s="1"/>
  <c r="I824" i="57" s="1"/>
  <c r="H787" i="57"/>
  <c r="E786" i="57" s="1"/>
  <c r="I786" i="57" s="1"/>
  <c r="H744" i="57"/>
  <c r="E743" i="57" s="1"/>
  <c r="I743" i="57" s="1"/>
  <c r="H954" i="57"/>
  <c r="E953" i="57" s="1"/>
  <c r="I953" i="57" s="1"/>
  <c r="H914" i="57"/>
  <c r="E913" i="57" s="1"/>
  <c r="I913" i="57" s="1"/>
  <c r="H890" i="57"/>
  <c r="E889" i="57" s="1"/>
  <c r="I889" i="57" s="1"/>
  <c r="H865" i="57"/>
  <c r="E864" i="57" s="1"/>
  <c r="I864" i="57" s="1"/>
  <c r="H807" i="57"/>
  <c r="E806" i="57" s="1"/>
  <c r="I806" i="57" s="1"/>
  <c r="H299" i="57"/>
  <c r="E293" i="57" s="1"/>
  <c r="I293" i="57" s="1"/>
  <c r="H922" i="57"/>
  <c r="E921" i="57" s="1"/>
  <c r="I921" i="57" s="1"/>
  <c r="H183" i="57"/>
  <c r="E182" i="57" s="1"/>
  <c r="I182" i="57" s="1"/>
  <c r="I183" i="57" s="1"/>
  <c r="H1029" i="57"/>
  <c r="E1028" i="57" s="1"/>
  <c r="I1028" i="57" s="1"/>
  <c r="H994" i="57"/>
  <c r="E993" i="57" s="1"/>
  <c r="I993" i="57" s="1"/>
  <c r="H797" i="57"/>
  <c r="E796" i="57" s="1"/>
  <c r="I796" i="57" s="1"/>
  <c r="H766" i="57"/>
  <c r="E765" i="57" s="1"/>
  <c r="I765" i="57" s="1"/>
  <c r="H657" i="57"/>
  <c r="E656" i="57" s="1"/>
  <c r="I656" i="57" s="1"/>
  <c r="H668" i="57"/>
  <c r="E667" i="57" s="1"/>
  <c r="I667" i="57" s="1"/>
  <c r="H712" i="57"/>
  <c r="E711" i="57" s="1"/>
  <c r="I711" i="57" s="1"/>
  <c r="H722" i="57"/>
  <c r="E721" i="57" s="1"/>
  <c r="I721" i="57" s="1"/>
  <c r="H690" i="57"/>
  <c r="E689" i="57" s="1"/>
  <c r="I689" i="57" s="1"/>
  <c r="H679" i="57"/>
  <c r="H733" i="57"/>
  <c r="E732" i="57" s="1"/>
  <c r="I732" i="57" s="1"/>
  <c r="H946" i="57"/>
  <c r="H906" i="57"/>
  <c r="E905" i="57" s="1"/>
  <c r="I905" i="57" s="1"/>
  <c r="R111" i="56" s="1"/>
  <c r="H974" i="57"/>
  <c r="H263" i="57"/>
  <c r="E261" i="57" s="1"/>
  <c r="I261" i="57" s="1"/>
  <c r="H246" i="57"/>
  <c r="E245" i="57" s="1"/>
  <c r="I245" i="57" s="1"/>
  <c r="H168" i="57"/>
  <c r="E159" i="57" s="1"/>
  <c r="I159" i="57" s="1"/>
  <c r="I168" i="57" s="1"/>
  <c r="H224" i="57"/>
  <c r="E219" i="57" s="1"/>
  <c r="I219" i="57" s="1"/>
  <c r="H25" i="57"/>
  <c r="E22" i="57" s="1"/>
  <c r="I22" i="57" s="1"/>
  <c r="I25" i="57" s="1"/>
  <c r="E35" i="57"/>
  <c r="I35" i="57" s="1"/>
  <c r="I37" i="57" s="1"/>
  <c r="H237" i="57"/>
  <c r="E229" i="57" s="1"/>
  <c r="I229" i="57" s="1"/>
  <c r="H130" i="57"/>
  <c r="E129" i="57" s="1"/>
  <c r="I129" i="57" s="1"/>
  <c r="H154" i="57"/>
  <c r="E151" i="57" s="1"/>
  <c r="I151" i="57" s="1"/>
  <c r="I154" i="57" s="1"/>
  <c r="H47" i="57"/>
  <c r="E43" i="57" s="1"/>
  <c r="I43" i="57" s="1"/>
  <c r="H57" i="57"/>
  <c r="H197" i="57"/>
  <c r="E188" i="57" s="1"/>
  <c r="I188" i="57" s="1"/>
  <c r="I197" i="57" s="1"/>
  <c r="H309" i="57"/>
  <c r="E305" i="57" s="1"/>
  <c r="I305" i="57" s="1"/>
  <c r="E114" i="57"/>
  <c r="I114" i="57" s="1"/>
  <c r="H166" i="4"/>
  <c r="E160" i="4" s="1"/>
  <c r="I160" i="4" s="1"/>
  <c r="H153" i="4"/>
  <c r="E147" i="4" s="1"/>
  <c r="I147" i="4" s="1"/>
  <c r="H140" i="4"/>
  <c r="E134" i="4" s="1"/>
  <c r="I134" i="4" s="1"/>
  <c r="H127" i="4"/>
  <c r="E119" i="4" s="1"/>
  <c r="I119" i="4" s="1"/>
  <c r="H113" i="4"/>
  <c r="E105" i="4" s="1"/>
  <c r="I105" i="4" s="1"/>
  <c r="H99" i="4"/>
  <c r="E91" i="4" s="1"/>
  <c r="I91" i="4" s="1"/>
  <c r="H85" i="4"/>
  <c r="E77" i="4" s="1"/>
  <c r="I77" i="4" s="1"/>
  <c r="H71" i="4"/>
  <c r="E63" i="4" s="1"/>
  <c r="I63" i="4" s="1"/>
  <c r="H57" i="4"/>
  <c r="E49" i="4" s="1"/>
  <c r="I49" i="4" s="1"/>
  <c r="I57" i="4" s="1"/>
  <c r="B58" i="4" s="1"/>
  <c r="H15" i="4"/>
  <c r="E7" i="4" s="1"/>
  <c r="E178" i="57" l="1"/>
  <c r="G178" i="57" s="1"/>
  <c r="D25" i="2"/>
  <c r="R128" i="56"/>
  <c r="I1056" i="57"/>
  <c r="B1057" i="57" s="1"/>
  <c r="I1020" i="57"/>
  <c r="B1021" i="57" s="1"/>
  <c r="F124" i="56" s="1"/>
  <c r="R124" i="56"/>
  <c r="I1038" i="57"/>
  <c r="B1039" i="57" s="1"/>
  <c r="F126" i="56" s="1"/>
  <c r="R126" i="56"/>
  <c r="A377" i="164"/>
  <c r="BJ376" i="164"/>
  <c r="CK376" i="164" s="1"/>
  <c r="I841" i="57"/>
  <c r="B842" i="57" s="1"/>
  <c r="F103" i="56" s="1"/>
  <c r="R103" i="56"/>
  <c r="I849" i="57"/>
  <c r="B850" i="57" s="1"/>
  <c r="F104" i="56" s="1"/>
  <c r="I99" i="57"/>
  <c r="B100" i="57" s="1"/>
  <c r="F17" i="56" s="1"/>
  <c r="R17" i="56"/>
  <c r="I777" i="57"/>
  <c r="B778" i="57" s="1"/>
  <c r="F96" i="56" s="1"/>
  <c r="R96" i="56"/>
  <c r="I1011" i="57"/>
  <c r="B1012" i="57" s="1"/>
  <c r="F123" i="56" s="1"/>
  <c r="R123" i="56"/>
  <c r="I833" i="57"/>
  <c r="B834" i="57" s="1"/>
  <c r="F102" i="56" s="1"/>
  <c r="R102" i="56"/>
  <c r="I954" i="57"/>
  <c r="B955" i="57" s="1"/>
  <c r="F117" i="56" s="1"/>
  <c r="R117" i="56"/>
  <c r="I119" i="57"/>
  <c r="B120" i="57" s="1"/>
  <c r="R19" i="56"/>
  <c r="I865" i="57"/>
  <c r="B866" i="57" s="1"/>
  <c r="F106" i="56" s="1"/>
  <c r="R106" i="56"/>
  <c r="I755" i="57"/>
  <c r="B756" i="57" s="1"/>
  <c r="F94" i="56" s="1"/>
  <c r="R94" i="56"/>
  <c r="I74" i="57"/>
  <c r="B75" i="57" s="1"/>
  <c r="F14" i="56" s="1"/>
  <c r="R14" i="56"/>
  <c r="I766" i="57"/>
  <c r="B767" i="57" s="1"/>
  <c r="F95" i="56" s="1"/>
  <c r="R95" i="56"/>
  <c r="I744" i="57"/>
  <c r="B745" i="57" s="1"/>
  <c r="F93" i="56" s="1"/>
  <c r="R93" i="56"/>
  <c r="I1047" i="57"/>
  <c r="B1048" i="57" s="1"/>
  <c r="F127" i="56" s="1"/>
  <c r="R127" i="56"/>
  <c r="I657" i="57"/>
  <c r="B658" i="57" s="1"/>
  <c r="F85" i="56" s="1"/>
  <c r="R85" i="56"/>
  <c r="I47" i="57"/>
  <c r="B48" i="57" s="1"/>
  <c r="F10" i="56" s="1"/>
  <c r="R10" i="56"/>
  <c r="I263" i="57"/>
  <c r="B264" i="57" s="1"/>
  <c r="F31" i="56" s="1"/>
  <c r="R31" i="56"/>
  <c r="I797" i="57"/>
  <c r="B798" i="57" s="1"/>
  <c r="F98" i="56" s="1"/>
  <c r="R98" i="56"/>
  <c r="I787" i="57"/>
  <c r="B788" i="57" s="1"/>
  <c r="F97" i="56" s="1"/>
  <c r="R97" i="56"/>
  <c r="I930" i="57"/>
  <c r="B931" i="57" s="1"/>
  <c r="F114" i="56" s="1"/>
  <c r="R114" i="56"/>
  <c r="I857" i="57"/>
  <c r="B858" i="57" s="1"/>
  <c r="F105" i="56" s="1"/>
  <c r="R105" i="56"/>
  <c r="I108" i="57"/>
  <c r="B109" i="57" s="1"/>
  <c r="R18" i="56"/>
  <c r="I712" i="57"/>
  <c r="B713" i="57" s="1"/>
  <c r="F90" i="56" s="1"/>
  <c r="R90" i="56"/>
  <c r="I914" i="57"/>
  <c r="B915" i="57" s="1"/>
  <c r="F112" i="56" s="1"/>
  <c r="R112" i="56"/>
  <c r="I246" i="57"/>
  <c r="B247" i="57" s="1"/>
  <c r="F30" i="56" s="1"/>
  <c r="R30" i="56"/>
  <c r="I825" i="57"/>
  <c r="B826" i="57" s="1"/>
  <c r="F101" i="56" s="1"/>
  <c r="R101" i="56"/>
  <c r="I898" i="57"/>
  <c r="B899" i="57" s="1"/>
  <c r="F110" i="56" s="1"/>
  <c r="R110" i="56"/>
  <c r="I938" i="57"/>
  <c r="B939" i="57" s="1"/>
  <c r="F115" i="56" s="1"/>
  <c r="R115" i="56"/>
  <c r="I722" i="57"/>
  <c r="B723" i="57" s="1"/>
  <c r="F91" i="56" s="1"/>
  <c r="R91" i="56"/>
  <c r="I309" i="57"/>
  <c r="B310" i="57" s="1"/>
  <c r="F36" i="56" s="1"/>
  <c r="R36" i="56"/>
  <c r="I890" i="57"/>
  <c r="B891" i="57" s="1"/>
  <c r="F109" i="56" s="1"/>
  <c r="R109" i="56"/>
  <c r="E54" i="57"/>
  <c r="I54" i="57" s="1"/>
  <c r="V11" i="56"/>
  <c r="I984" i="57"/>
  <c r="B985" i="57" s="1"/>
  <c r="F120" i="56" s="1"/>
  <c r="R120" i="56"/>
  <c r="I994" i="57"/>
  <c r="B995" i="57" s="1"/>
  <c r="F121" i="56" s="1"/>
  <c r="R121" i="56"/>
  <c r="I237" i="57"/>
  <c r="B238" i="57" s="1"/>
  <c r="F29" i="56" s="1"/>
  <c r="R29" i="56"/>
  <c r="I1002" i="57"/>
  <c r="B1003" i="57" s="1"/>
  <c r="F122" i="56" s="1"/>
  <c r="R122" i="56"/>
  <c r="I964" i="57"/>
  <c r="B965" i="57" s="1"/>
  <c r="F118" i="56" s="1"/>
  <c r="I66" i="57"/>
  <c r="B67" i="57" s="1"/>
  <c r="F13" i="56" s="1"/>
  <c r="R13" i="56"/>
  <c r="I224" i="57"/>
  <c r="B225" i="57" s="1"/>
  <c r="F28" i="56" s="1"/>
  <c r="R28" i="56"/>
  <c r="I922" i="57"/>
  <c r="B923" i="57" s="1"/>
  <c r="F113" i="56" s="1"/>
  <c r="R113" i="56"/>
  <c r="I701" i="57"/>
  <c r="B702" i="57" s="1"/>
  <c r="F89" i="56" s="1"/>
  <c r="R89" i="56"/>
  <c r="I130" i="57"/>
  <c r="B131" i="57" s="1"/>
  <c r="F20" i="56" s="1"/>
  <c r="R20" i="56"/>
  <c r="I1029" i="57"/>
  <c r="B1030" i="57" s="1"/>
  <c r="F125" i="56" s="1"/>
  <c r="R125" i="56"/>
  <c r="B38" i="57"/>
  <c r="F9" i="56" s="1"/>
  <c r="R9" i="56"/>
  <c r="I299" i="57"/>
  <c r="B300" i="57" s="1"/>
  <c r="F35" i="56" s="1"/>
  <c r="R35" i="56"/>
  <c r="I288" i="57"/>
  <c r="B289" i="57" s="1"/>
  <c r="F34" i="56" s="1"/>
  <c r="R34" i="56"/>
  <c r="I817" i="57"/>
  <c r="B818" i="57" s="1"/>
  <c r="F100" i="56" s="1"/>
  <c r="R100" i="56"/>
  <c r="I873" i="57"/>
  <c r="B874" i="57" s="1"/>
  <c r="F107" i="56" s="1"/>
  <c r="I668" i="57"/>
  <c r="B669" i="57" s="1"/>
  <c r="F86" i="56" s="1"/>
  <c r="R86" i="56"/>
  <c r="I906" i="57"/>
  <c r="B907" i="57" s="1"/>
  <c r="F111" i="56" s="1"/>
  <c r="I733" i="57"/>
  <c r="B734" i="57" s="1"/>
  <c r="F92" i="56" s="1"/>
  <c r="R92" i="56"/>
  <c r="I82" i="57"/>
  <c r="B83" i="57" s="1"/>
  <c r="F15" i="56" s="1"/>
  <c r="R15" i="56"/>
  <c r="I690" i="57"/>
  <c r="B691" i="57" s="1"/>
  <c r="F88" i="56" s="1"/>
  <c r="R88" i="56"/>
  <c r="I807" i="57"/>
  <c r="B808" i="57" s="1"/>
  <c r="F99" i="56" s="1"/>
  <c r="R99" i="56"/>
  <c r="I1065" i="57"/>
  <c r="B1066" i="57" s="1"/>
  <c r="F129" i="56" s="1"/>
  <c r="R129" i="56"/>
  <c r="I881" i="57"/>
  <c r="B882" i="57" s="1"/>
  <c r="F108" i="56" s="1"/>
  <c r="R108" i="56"/>
  <c r="I90" i="57"/>
  <c r="B91" i="57" s="1"/>
  <c r="F16" i="56" s="1"/>
  <c r="R16" i="56"/>
  <c r="E678" i="57"/>
  <c r="I678" i="57" s="1"/>
  <c r="E973" i="57"/>
  <c r="I973" i="57" s="1"/>
  <c r="E945" i="57"/>
  <c r="I945" i="57" s="1"/>
  <c r="R116" i="56" s="1"/>
  <c r="I7" i="4"/>
  <c r="I15" i="4" s="1"/>
  <c r="I166" i="4"/>
  <c r="B167" i="4" s="1"/>
  <c r="D31" i="2" s="1"/>
  <c r="I153" i="4"/>
  <c r="B154" i="4" s="1"/>
  <c r="D30" i="2" s="1"/>
  <c r="I140" i="4"/>
  <c r="B141" i="4" s="1"/>
  <c r="D29" i="2" s="1"/>
  <c r="I127" i="4"/>
  <c r="B128" i="4" s="1"/>
  <c r="D20" i="2" s="1"/>
  <c r="I113" i="4"/>
  <c r="B114" i="4" s="1"/>
  <c r="D21" i="2" s="1"/>
  <c r="I99" i="4"/>
  <c r="B100" i="4" s="1"/>
  <c r="I85" i="4"/>
  <c r="B86" i="4" s="1"/>
  <c r="D23" i="2" s="1"/>
  <c r="I71" i="4"/>
  <c r="B72" i="4" s="1"/>
  <c r="D24" i="2" s="1"/>
  <c r="I29" i="4"/>
  <c r="B30" i="4" s="1"/>
  <c r="D27" i="2" s="1"/>
  <c r="F128" i="56" l="1"/>
  <c r="G275" i="57"/>
  <c r="R32" i="56" s="1"/>
  <c r="D22" i="2"/>
  <c r="F18" i="56"/>
  <c r="G18" i="56" s="1"/>
  <c r="F19" i="56"/>
  <c r="G19" i="56" s="1"/>
  <c r="G126" i="56"/>
  <c r="AB126" i="56"/>
  <c r="S126" i="56" s="1"/>
  <c r="I126" i="56" s="1"/>
  <c r="G124" i="56"/>
  <c r="AB124" i="56"/>
  <c r="G128" i="56"/>
  <c r="AB128" i="56"/>
  <c r="AD128" i="56" s="1"/>
  <c r="B276" i="57"/>
  <c r="F32" i="56" s="1"/>
  <c r="A378" i="164"/>
  <c r="BJ377" i="164"/>
  <c r="CK377" i="164" s="1"/>
  <c r="AB86" i="56"/>
  <c r="S86" i="56" s="1"/>
  <c r="I86" i="56" s="1"/>
  <c r="G86" i="56"/>
  <c r="G108" i="56"/>
  <c r="AB108" i="56"/>
  <c r="S108" i="56" s="1"/>
  <c r="I108" i="56" s="1"/>
  <c r="G111" i="56"/>
  <c r="AB111" i="56"/>
  <c r="G35" i="56"/>
  <c r="AB35" i="56"/>
  <c r="AD35" i="56" s="1"/>
  <c r="G121" i="56"/>
  <c r="AB121" i="56"/>
  <c r="AD121" i="56" s="1"/>
  <c r="AB90" i="56"/>
  <c r="S90" i="56" s="1"/>
  <c r="I90" i="56" s="1"/>
  <c r="G90" i="56"/>
  <c r="AB95" i="56"/>
  <c r="S95" i="56" s="1"/>
  <c r="I95" i="56" s="1"/>
  <c r="G95" i="56"/>
  <c r="G120" i="56"/>
  <c r="AB120" i="56"/>
  <c r="G28" i="56"/>
  <c r="AB28" i="56"/>
  <c r="AD28" i="56" s="1"/>
  <c r="G31" i="56"/>
  <c r="AB31" i="56"/>
  <c r="G102" i="56"/>
  <c r="AB102" i="56"/>
  <c r="AB14" i="56"/>
  <c r="AD14" i="56" s="1"/>
  <c r="G14" i="56"/>
  <c r="AB10" i="56"/>
  <c r="AD10" i="56" s="1"/>
  <c r="G10" i="56"/>
  <c r="AB123" i="56"/>
  <c r="S123" i="56" s="1"/>
  <c r="I123" i="56" s="1"/>
  <c r="G123" i="56"/>
  <c r="I946" i="57"/>
  <c r="B947" i="57" s="1"/>
  <c r="F116" i="56" s="1"/>
  <c r="G115" i="56"/>
  <c r="AB115" i="56"/>
  <c r="I57" i="57"/>
  <c r="B58" i="57" s="1"/>
  <c r="F11" i="56" s="1"/>
  <c r="R11" i="56"/>
  <c r="G110" i="56"/>
  <c r="AB110" i="56"/>
  <c r="AD110" i="56" s="1"/>
  <c r="AB94" i="56"/>
  <c r="S94" i="56" s="1"/>
  <c r="I94" i="56" s="1"/>
  <c r="G94" i="56"/>
  <c r="G13" i="56"/>
  <c r="AB13" i="56"/>
  <c r="AD13" i="56" s="1"/>
  <c r="AB125" i="56"/>
  <c r="S125" i="56" s="1"/>
  <c r="I125" i="56" s="1"/>
  <c r="G125" i="56"/>
  <c r="AB105" i="56"/>
  <c r="AD105" i="56" s="1"/>
  <c r="G105" i="56"/>
  <c r="G85" i="56"/>
  <c r="AB85" i="56"/>
  <c r="AB96" i="56"/>
  <c r="AD96" i="56" s="1"/>
  <c r="G96" i="56"/>
  <c r="G129" i="56"/>
  <c r="AB129" i="56"/>
  <c r="S129" i="56" s="1"/>
  <c r="I129" i="56" s="1"/>
  <c r="I974" i="57"/>
  <c r="B975" i="57" s="1"/>
  <c r="F119" i="56" s="1"/>
  <c r="R119" i="56"/>
  <c r="G99" i="56"/>
  <c r="AB99" i="56"/>
  <c r="S99" i="56" s="1"/>
  <c r="I99" i="56" s="1"/>
  <c r="AB88" i="56"/>
  <c r="S88" i="56" s="1"/>
  <c r="I88" i="56" s="1"/>
  <c r="G88" i="56"/>
  <c r="AB20" i="56"/>
  <c r="G20" i="56"/>
  <c r="G118" i="56"/>
  <c r="AB118" i="56"/>
  <c r="G109" i="56"/>
  <c r="AB109" i="56"/>
  <c r="AD109" i="56" s="1"/>
  <c r="AB101" i="56"/>
  <c r="AD101" i="56" s="1"/>
  <c r="G101" i="56"/>
  <c r="G106" i="56"/>
  <c r="AB106" i="56"/>
  <c r="AD106" i="56" s="1"/>
  <c r="G107" i="56"/>
  <c r="AB107" i="56"/>
  <c r="AD107" i="56" s="1"/>
  <c r="G114" i="56"/>
  <c r="AB114" i="56"/>
  <c r="AD114" i="56" s="1"/>
  <c r="AB17" i="56"/>
  <c r="S17" i="56" s="1"/>
  <c r="I17" i="56" s="1"/>
  <c r="G17" i="56"/>
  <c r="G36" i="56"/>
  <c r="AB36" i="56"/>
  <c r="G30" i="56"/>
  <c r="AB30" i="56"/>
  <c r="S30" i="56" s="1"/>
  <c r="I30" i="56" s="1"/>
  <c r="AB127" i="56"/>
  <c r="G127" i="56"/>
  <c r="G122" i="56"/>
  <c r="AB122" i="56"/>
  <c r="AD122" i="56" s="1"/>
  <c r="AB89" i="56"/>
  <c r="AD89" i="56" s="1"/>
  <c r="G89" i="56"/>
  <c r="G97" i="56"/>
  <c r="AB97" i="56"/>
  <c r="AD97" i="56" s="1"/>
  <c r="AB104" i="56"/>
  <c r="AD104" i="56" s="1"/>
  <c r="G104" i="56"/>
  <c r="G9" i="56"/>
  <c r="AB9" i="56"/>
  <c r="S9" i="56" s="1"/>
  <c r="I9" i="56" s="1"/>
  <c r="G15" i="56"/>
  <c r="AB15" i="56"/>
  <c r="S15" i="56" s="1"/>
  <c r="I15" i="56" s="1"/>
  <c r="AB92" i="56"/>
  <c r="AD92" i="56" s="1"/>
  <c r="G92" i="56"/>
  <c r="G34" i="56"/>
  <c r="AB34" i="56"/>
  <c r="S34" i="56" s="1"/>
  <c r="I34" i="56" s="1"/>
  <c r="G29" i="56"/>
  <c r="AB29" i="56"/>
  <c r="S29" i="56" s="1"/>
  <c r="I29" i="56" s="1"/>
  <c r="G91" i="56"/>
  <c r="AB91" i="56"/>
  <c r="AD91" i="56" s="1"/>
  <c r="G112" i="56"/>
  <c r="AB112" i="56"/>
  <c r="AB93" i="56"/>
  <c r="S93" i="56" s="1"/>
  <c r="I93" i="56" s="1"/>
  <c r="G93" i="56"/>
  <c r="I679" i="57"/>
  <c r="B680" i="57" s="1"/>
  <c r="F87" i="56" s="1"/>
  <c r="R87" i="56"/>
  <c r="G100" i="56"/>
  <c r="AB100" i="56"/>
  <c r="S100" i="56" s="1"/>
  <c r="I100" i="56" s="1"/>
  <c r="G16" i="56"/>
  <c r="AB16" i="56"/>
  <c r="AD16" i="56" s="1"/>
  <c r="G113" i="56"/>
  <c r="AB113" i="56"/>
  <c r="G98" i="56"/>
  <c r="AB98" i="56"/>
  <c r="G117" i="56"/>
  <c r="AB117" i="56"/>
  <c r="G103" i="56"/>
  <c r="AB103" i="56"/>
  <c r="S103" i="56" s="1"/>
  <c r="I103" i="56" s="1"/>
  <c r="E194" i="57"/>
  <c r="G194" i="57" s="1"/>
  <c r="G197" i="57" s="1"/>
  <c r="E174" i="57"/>
  <c r="G174" i="57" s="1"/>
  <c r="G183" i="57" s="1"/>
  <c r="E164" i="57"/>
  <c r="G164" i="57" s="1"/>
  <c r="G168" i="57" s="1"/>
  <c r="E145" i="57"/>
  <c r="G145" i="57" s="1"/>
  <c r="E206" i="57"/>
  <c r="G206" i="57" s="1"/>
  <c r="G214" i="57" s="1"/>
  <c r="B16" i="4"/>
  <c r="E146" i="57"/>
  <c r="G146" i="57" s="1"/>
  <c r="E21" i="57"/>
  <c r="G127" i="2" l="1"/>
  <c r="D28" i="2"/>
  <c r="AB18" i="56"/>
  <c r="AD18" i="56" s="1"/>
  <c r="AD126" i="56"/>
  <c r="AB19" i="56"/>
  <c r="U19" i="56" s="1"/>
  <c r="J19" i="56" s="1"/>
  <c r="S118" i="56"/>
  <c r="I118" i="56" s="1"/>
  <c r="AD118" i="56"/>
  <c r="S111" i="56"/>
  <c r="I111" i="56" s="1"/>
  <c r="AD111" i="56"/>
  <c r="AD90" i="56"/>
  <c r="AD95" i="56"/>
  <c r="G31" i="2"/>
  <c r="G112" i="2"/>
  <c r="S124" i="56"/>
  <c r="I124" i="56" s="1"/>
  <c r="Y124" i="56"/>
  <c r="L124" i="56" s="1"/>
  <c r="AA124" i="56"/>
  <c r="M124" i="56" s="1"/>
  <c r="W124" i="56"/>
  <c r="K124" i="56" s="1"/>
  <c r="U124" i="56"/>
  <c r="J124" i="56" s="1"/>
  <c r="G47" i="2"/>
  <c r="G125" i="2"/>
  <c r="G110" i="2"/>
  <c r="G118" i="2"/>
  <c r="S128" i="56"/>
  <c r="I128" i="56" s="1"/>
  <c r="AA128" i="56"/>
  <c r="M128" i="56" s="1"/>
  <c r="Y128" i="56"/>
  <c r="L128" i="56" s="1"/>
  <c r="W128" i="56"/>
  <c r="K128" i="56" s="1"/>
  <c r="U128" i="56"/>
  <c r="J128" i="56" s="1"/>
  <c r="Y126" i="56"/>
  <c r="L126" i="56" s="1"/>
  <c r="AA126" i="56"/>
  <c r="M126" i="56" s="1"/>
  <c r="W126" i="56"/>
  <c r="K126" i="56" s="1"/>
  <c r="U126" i="56"/>
  <c r="J126" i="56" s="1"/>
  <c r="G117" i="2"/>
  <c r="G133" i="2"/>
  <c r="AD124" i="56"/>
  <c r="AB32" i="56"/>
  <c r="S32" i="56" s="1"/>
  <c r="I32" i="56" s="1"/>
  <c r="G32" i="56"/>
  <c r="AD125" i="56"/>
  <c r="S121" i="56"/>
  <c r="I121" i="56" s="1"/>
  <c r="AD99" i="56"/>
  <c r="S13" i="56"/>
  <c r="I13" i="56" s="1"/>
  <c r="G33" i="56"/>
  <c r="D17" i="130" s="1"/>
  <c r="G12" i="56"/>
  <c r="AD86" i="56"/>
  <c r="AD108" i="56"/>
  <c r="BJ378" i="164"/>
  <c r="CK378" i="164" s="1"/>
  <c r="A380" i="164"/>
  <c r="S10" i="56"/>
  <c r="I10" i="56" s="1"/>
  <c r="S97" i="56"/>
  <c r="I97" i="56" s="1"/>
  <c r="S18" i="56"/>
  <c r="I18" i="56" s="1"/>
  <c r="S35" i="56"/>
  <c r="I35" i="56" s="1"/>
  <c r="S28" i="56"/>
  <c r="I28" i="56" s="1"/>
  <c r="S114" i="56"/>
  <c r="I114" i="56" s="1"/>
  <c r="S106" i="56"/>
  <c r="I106" i="56" s="1"/>
  <c r="AD30" i="56"/>
  <c r="S89" i="56"/>
  <c r="I89" i="56" s="1"/>
  <c r="AD34" i="56"/>
  <c r="AD15" i="56"/>
  <c r="S96" i="56"/>
  <c r="I96" i="56" s="1"/>
  <c r="S92" i="56"/>
  <c r="I92" i="56" s="1"/>
  <c r="AD93" i="56"/>
  <c r="S101" i="56"/>
  <c r="I101" i="56" s="1"/>
  <c r="AD94" i="56"/>
  <c r="Y112" i="56"/>
  <c r="L112" i="56" s="1"/>
  <c r="AA112" i="56"/>
  <c r="M112" i="56" s="1"/>
  <c r="U112" i="56"/>
  <c r="J112" i="56" s="1"/>
  <c r="W112" i="56"/>
  <c r="K112" i="56" s="1"/>
  <c r="AD112" i="56"/>
  <c r="Y127" i="56"/>
  <c r="L127" i="56" s="1"/>
  <c r="AA127" i="56"/>
  <c r="M127" i="56" s="1"/>
  <c r="U127" i="56"/>
  <c r="J127" i="56" s="1"/>
  <c r="W127" i="56"/>
  <c r="K127" i="56" s="1"/>
  <c r="AD127" i="56"/>
  <c r="Y111" i="56"/>
  <c r="L111" i="56" s="1"/>
  <c r="AA111" i="56"/>
  <c r="M111" i="56" s="1"/>
  <c r="U111" i="56"/>
  <c r="J111" i="56" s="1"/>
  <c r="W111" i="56"/>
  <c r="K111" i="56" s="1"/>
  <c r="AA117" i="56"/>
  <c r="M117" i="56" s="1"/>
  <c r="Y117" i="56"/>
  <c r="L117" i="56" s="1"/>
  <c r="U117" i="56"/>
  <c r="J117" i="56" s="1"/>
  <c r="W117" i="56"/>
  <c r="K117" i="56" s="1"/>
  <c r="S117" i="56"/>
  <c r="I117" i="56" s="1"/>
  <c r="S127" i="56"/>
  <c r="I127" i="56" s="1"/>
  <c r="Y110" i="56"/>
  <c r="L110" i="56" s="1"/>
  <c r="AA110" i="56"/>
  <c r="M110" i="56" s="1"/>
  <c r="W110" i="56"/>
  <c r="K110" i="56" s="1"/>
  <c r="U110" i="56"/>
  <c r="J110" i="56" s="1"/>
  <c r="AD9" i="56"/>
  <c r="B169" i="57"/>
  <c r="F24" i="56" s="1"/>
  <c r="R24" i="56"/>
  <c r="Y113" i="56"/>
  <c r="L113" i="56" s="1"/>
  <c r="AA113" i="56"/>
  <c r="M113" i="56" s="1"/>
  <c r="W113" i="56"/>
  <c r="K113" i="56" s="1"/>
  <c r="U113" i="56"/>
  <c r="J113" i="56" s="1"/>
  <c r="AD117" i="56"/>
  <c r="AA91" i="56"/>
  <c r="M91" i="56" s="1"/>
  <c r="Y91" i="56"/>
  <c r="L91" i="56" s="1"/>
  <c r="W91" i="56"/>
  <c r="K91" i="56" s="1"/>
  <c r="U91" i="56"/>
  <c r="J91" i="56" s="1"/>
  <c r="S91" i="56"/>
  <c r="I91" i="56" s="1"/>
  <c r="Y114" i="56"/>
  <c r="L114" i="56" s="1"/>
  <c r="AA114" i="56"/>
  <c r="M114" i="56" s="1"/>
  <c r="W114" i="56"/>
  <c r="K114" i="56" s="1"/>
  <c r="U114" i="56"/>
  <c r="J114" i="56" s="1"/>
  <c r="AA99" i="56"/>
  <c r="M99" i="56" s="1"/>
  <c r="Y99" i="56"/>
  <c r="L99" i="56" s="1"/>
  <c r="U99" i="56"/>
  <c r="J99" i="56" s="1"/>
  <c r="W99" i="56"/>
  <c r="K99" i="56" s="1"/>
  <c r="S109" i="56"/>
  <c r="I109" i="56" s="1"/>
  <c r="Y108" i="56"/>
  <c r="L108" i="56" s="1"/>
  <c r="AA108" i="56"/>
  <c r="M108" i="56" s="1"/>
  <c r="U108" i="56"/>
  <c r="J108" i="56" s="1"/>
  <c r="W108" i="56"/>
  <c r="K108" i="56" s="1"/>
  <c r="B215" i="57"/>
  <c r="F27" i="56" s="1"/>
  <c r="R27" i="56"/>
  <c r="B184" i="57"/>
  <c r="F25" i="56" s="1"/>
  <c r="R25" i="56"/>
  <c r="Y16" i="56"/>
  <c r="L16" i="56" s="1"/>
  <c r="U16" i="56"/>
  <c r="J16" i="56" s="1"/>
  <c r="AA16" i="56"/>
  <c r="M16" i="56" s="1"/>
  <c r="W16" i="56"/>
  <c r="K16" i="56" s="1"/>
  <c r="U9" i="56"/>
  <c r="J9" i="56" s="1"/>
  <c r="Y9" i="56"/>
  <c r="L9" i="56" s="1"/>
  <c r="AA9" i="56"/>
  <c r="M9" i="56" s="1"/>
  <c r="W9" i="56"/>
  <c r="K9" i="56" s="1"/>
  <c r="AD29" i="56"/>
  <c r="AA30" i="56"/>
  <c r="M30" i="56" s="1"/>
  <c r="Y30" i="56"/>
  <c r="L30" i="56" s="1"/>
  <c r="U30" i="56"/>
  <c r="J30" i="56" s="1"/>
  <c r="W30" i="56"/>
  <c r="K30" i="56" s="1"/>
  <c r="Y101" i="56"/>
  <c r="L101" i="56" s="1"/>
  <c r="AA101" i="56"/>
  <c r="M101" i="56" s="1"/>
  <c r="W101" i="56"/>
  <c r="K101" i="56" s="1"/>
  <c r="U101" i="56"/>
  <c r="J101" i="56" s="1"/>
  <c r="AA20" i="56"/>
  <c r="M20" i="56" s="1"/>
  <c r="Y20" i="56"/>
  <c r="L20" i="56" s="1"/>
  <c r="W20" i="56"/>
  <c r="K20" i="56" s="1"/>
  <c r="U20" i="56"/>
  <c r="J20" i="56" s="1"/>
  <c r="AA96" i="56"/>
  <c r="M96" i="56" s="1"/>
  <c r="Y96" i="56"/>
  <c r="L96" i="56" s="1"/>
  <c r="U96" i="56"/>
  <c r="J96" i="56" s="1"/>
  <c r="W96" i="56"/>
  <c r="K96" i="56" s="1"/>
  <c r="AA31" i="56"/>
  <c r="M31" i="56" s="1"/>
  <c r="Y31" i="56"/>
  <c r="L31" i="56" s="1"/>
  <c r="W31" i="56"/>
  <c r="K31" i="56" s="1"/>
  <c r="U31" i="56"/>
  <c r="J31" i="56" s="1"/>
  <c r="AA90" i="56"/>
  <c r="M90" i="56" s="1"/>
  <c r="Y90" i="56"/>
  <c r="L90" i="56" s="1"/>
  <c r="W90" i="56"/>
  <c r="K90" i="56" s="1"/>
  <c r="U90" i="56"/>
  <c r="J90" i="56" s="1"/>
  <c r="B198" i="57"/>
  <c r="F26" i="56" s="1"/>
  <c r="R26" i="56"/>
  <c r="AB87" i="56"/>
  <c r="S87" i="56" s="1"/>
  <c r="I87" i="56" s="1"/>
  <c r="G87" i="56"/>
  <c r="Y107" i="56"/>
  <c r="L107" i="56" s="1"/>
  <c r="AA107" i="56"/>
  <c r="M107" i="56" s="1"/>
  <c r="W107" i="56"/>
  <c r="K107" i="56" s="1"/>
  <c r="U107" i="56"/>
  <c r="J107" i="56" s="1"/>
  <c r="AA29" i="56"/>
  <c r="M29" i="56" s="1"/>
  <c r="Y29" i="56"/>
  <c r="L29" i="56" s="1"/>
  <c r="W29" i="56"/>
  <c r="K29" i="56" s="1"/>
  <c r="U29" i="56"/>
  <c r="J29" i="56" s="1"/>
  <c r="Y19" i="56"/>
  <c r="L19" i="56" s="1"/>
  <c r="AA19" i="56"/>
  <c r="M19" i="56" s="1"/>
  <c r="W19" i="56"/>
  <c r="K19" i="56" s="1"/>
  <c r="AA109" i="56"/>
  <c r="M109" i="56" s="1"/>
  <c r="Y109" i="56"/>
  <c r="L109" i="56" s="1"/>
  <c r="U109" i="56"/>
  <c r="J109" i="56" s="1"/>
  <c r="W109" i="56"/>
  <c r="K109" i="56" s="1"/>
  <c r="G119" i="56"/>
  <c r="AB119" i="56"/>
  <c r="AD119" i="56" s="1"/>
  <c r="AB11" i="56"/>
  <c r="AD11" i="56" s="1"/>
  <c r="G11" i="56"/>
  <c r="Y123" i="56"/>
  <c r="L123" i="56" s="1"/>
  <c r="AA123" i="56"/>
  <c r="M123" i="56" s="1"/>
  <c r="U123" i="56"/>
  <c r="J123" i="56" s="1"/>
  <c r="W123" i="56"/>
  <c r="K123" i="56" s="1"/>
  <c r="Y121" i="56"/>
  <c r="L121" i="56" s="1"/>
  <c r="AA121" i="56"/>
  <c r="M121" i="56" s="1"/>
  <c r="W121" i="56"/>
  <c r="K121" i="56" s="1"/>
  <c r="U121" i="56"/>
  <c r="J121" i="56" s="1"/>
  <c r="Y104" i="56"/>
  <c r="L104" i="56" s="1"/>
  <c r="AA104" i="56"/>
  <c r="M104" i="56" s="1"/>
  <c r="W104" i="56"/>
  <c r="K104" i="56" s="1"/>
  <c r="U104" i="56"/>
  <c r="J104" i="56" s="1"/>
  <c r="S16" i="56"/>
  <c r="I16" i="56" s="1"/>
  <c r="AA36" i="56"/>
  <c r="M36" i="56" s="1"/>
  <c r="Y36" i="56"/>
  <c r="L36" i="56" s="1"/>
  <c r="W36" i="56"/>
  <c r="K36" i="56" s="1"/>
  <c r="U36" i="56"/>
  <c r="J36" i="56" s="1"/>
  <c r="AD36" i="56"/>
  <c r="AA129" i="56"/>
  <c r="M129" i="56" s="1"/>
  <c r="Y129" i="56"/>
  <c r="L129" i="56" s="1"/>
  <c r="U129" i="56"/>
  <c r="J129" i="56" s="1"/>
  <c r="W129" i="56"/>
  <c r="K129" i="56" s="1"/>
  <c r="S20" i="56"/>
  <c r="I20" i="56" s="1"/>
  <c r="Y125" i="56"/>
  <c r="L125" i="56" s="1"/>
  <c r="AA125" i="56"/>
  <c r="M125" i="56" s="1"/>
  <c r="U125" i="56"/>
  <c r="J125" i="56" s="1"/>
  <c r="W125" i="56"/>
  <c r="K125" i="56" s="1"/>
  <c r="AD129" i="56"/>
  <c r="AA95" i="56"/>
  <c r="M95" i="56" s="1"/>
  <c r="Y95" i="56"/>
  <c r="L95" i="56" s="1"/>
  <c r="U95" i="56"/>
  <c r="J95" i="56" s="1"/>
  <c r="W95" i="56"/>
  <c r="K95" i="56" s="1"/>
  <c r="AA98" i="56"/>
  <c r="M98" i="56" s="1"/>
  <c r="Y98" i="56"/>
  <c r="L98" i="56" s="1"/>
  <c r="U98" i="56"/>
  <c r="J98" i="56" s="1"/>
  <c r="W98" i="56"/>
  <c r="K98" i="56" s="1"/>
  <c r="S36" i="56"/>
  <c r="I36" i="56" s="1"/>
  <c r="Y118" i="56"/>
  <c r="L118" i="56" s="1"/>
  <c r="AA118" i="56"/>
  <c r="M118" i="56" s="1"/>
  <c r="W118" i="56"/>
  <c r="K118" i="56" s="1"/>
  <c r="U118" i="56"/>
  <c r="J118" i="56" s="1"/>
  <c r="AA85" i="56"/>
  <c r="M85" i="56" s="1"/>
  <c r="Y85" i="56"/>
  <c r="L85" i="56" s="1"/>
  <c r="U85" i="56"/>
  <c r="J85" i="56" s="1"/>
  <c r="W85" i="56"/>
  <c r="K85" i="56" s="1"/>
  <c r="AD20" i="56"/>
  <c r="Y115" i="56"/>
  <c r="L115" i="56" s="1"/>
  <c r="AA115" i="56"/>
  <c r="M115" i="56" s="1"/>
  <c r="U115" i="56"/>
  <c r="J115" i="56" s="1"/>
  <c r="W115" i="56"/>
  <c r="K115" i="56" s="1"/>
  <c r="U14" i="56"/>
  <c r="J14" i="56" s="1"/>
  <c r="Y14" i="56"/>
  <c r="L14" i="56" s="1"/>
  <c r="AA14" i="56"/>
  <c r="M14" i="56" s="1"/>
  <c r="W14" i="56"/>
  <c r="K14" i="56" s="1"/>
  <c r="AD115" i="56"/>
  <c r="Y120" i="56"/>
  <c r="L120" i="56" s="1"/>
  <c r="AA120" i="56"/>
  <c r="M120" i="56" s="1"/>
  <c r="W120" i="56"/>
  <c r="K120" i="56" s="1"/>
  <c r="U120" i="56"/>
  <c r="J120" i="56" s="1"/>
  <c r="AD31" i="56"/>
  <c r="AD113" i="56"/>
  <c r="AA92" i="56"/>
  <c r="M92" i="56" s="1"/>
  <c r="Y92" i="56"/>
  <c r="L92" i="56" s="1"/>
  <c r="U92" i="56"/>
  <c r="J92" i="56" s="1"/>
  <c r="W92" i="56"/>
  <c r="K92" i="56" s="1"/>
  <c r="Y18" i="56"/>
  <c r="L18" i="56" s="1"/>
  <c r="U18" i="56"/>
  <c r="J18" i="56" s="1"/>
  <c r="AA18" i="56"/>
  <c r="M18" i="56" s="1"/>
  <c r="S122" i="56"/>
  <c r="I122" i="56" s="1"/>
  <c r="S107" i="56"/>
  <c r="I107" i="56" s="1"/>
  <c r="AA94" i="56"/>
  <c r="M94" i="56" s="1"/>
  <c r="Y94" i="56"/>
  <c r="L94" i="56" s="1"/>
  <c r="U94" i="56"/>
  <c r="J94" i="56" s="1"/>
  <c r="W94" i="56"/>
  <c r="K94" i="56" s="1"/>
  <c r="S115" i="56"/>
  <c r="I115" i="56" s="1"/>
  <c r="S31" i="56"/>
  <c r="I31" i="56" s="1"/>
  <c r="AA93" i="56"/>
  <c r="M93" i="56" s="1"/>
  <c r="Y93" i="56"/>
  <c r="L93" i="56" s="1"/>
  <c r="U93" i="56"/>
  <c r="J93" i="56" s="1"/>
  <c r="W93" i="56"/>
  <c r="K93" i="56" s="1"/>
  <c r="S113" i="56"/>
  <c r="I113" i="56" s="1"/>
  <c r="AA97" i="56"/>
  <c r="M97" i="56" s="1"/>
  <c r="Y97" i="56"/>
  <c r="L97" i="56" s="1"/>
  <c r="U97" i="56"/>
  <c r="J97" i="56" s="1"/>
  <c r="W97" i="56"/>
  <c r="K97" i="56" s="1"/>
  <c r="S104" i="56"/>
  <c r="I104" i="56" s="1"/>
  <c r="U17" i="56"/>
  <c r="J17" i="56" s="1"/>
  <c r="Y17" i="56"/>
  <c r="L17" i="56" s="1"/>
  <c r="AA17" i="56"/>
  <c r="M17" i="56" s="1"/>
  <c r="W17" i="56"/>
  <c r="K17" i="56" s="1"/>
  <c r="AD17" i="56"/>
  <c r="U13" i="56"/>
  <c r="J13" i="56" s="1"/>
  <c r="Y13" i="56"/>
  <c r="L13" i="56" s="1"/>
  <c r="AA13" i="56"/>
  <c r="M13" i="56" s="1"/>
  <c r="W13" i="56"/>
  <c r="K13" i="56" s="1"/>
  <c r="S85" i="56"/>
  <c r="I85" i="56" s="1"/>
  <c r="U10" i="56"/>
  <c r="J10" i="56" s="1"/>
  <c r="AA10" i="56"/>
  <c r="M10" i="56" s="1"/>
  <c r="Y10" i="56"/>
  <c r="L10" i="56" s="1"/>
  <c r="W10" i="56"/>
  <c r="K10" i="56" s="1"/>
  <c r="AA102" i="56"/>
  <c r="M102" i="56" s="1"/>
  <c r="Y102" i="56"/>
  <c r="L102" i="56" s="1"/>
  <c r="W102" i="56"/>
  <c r="K102" i="56" s="1"/>
  <c r="U102" i="56"/>
  <c r="J102" i="56" s="1"/>
  <c r="S120" i="56"/>
  <c r="I120" i="56" s="1"/>
  <c r="Y35" i="56"/>
  <c r="L35" i="56" s="1"/>
  <c r="AA35" i="56"/>
  <c r="M35" i="56" s="1"/>
  <c r="U35" i="56"/>
  <c r="J35" i="56" s="1"/>
  <c r="W35" i="56"/>
  <c r="K35" i="56" s="1"/>
  <c r="AD98" i="56"/>
  <c r="Y34" i="56"/>
  <c r="L34" i="56" s="1"/>
  <c r="AA34" i="56"/>
  <c r="M34" i="56" s="1"/>
  <c r="W34" i="56"/>
  <c r="K34" i="56" s="1"/>
  <c r="U34" i="56"/>
  <c r="J34" i="56" s="1"/>
  <c r="AA122" i="56"/>
  <c r="M122" i="56" s="1"/>
  <c r="Y122" i="56"/>
  <c r="L122" i="56" s="1"/>
  <c r="U122" i="56"/>
  <c r="J122" i="56" s="1"/>
  <c r="W122" i="56"/>
  <c r="K122" i="56" s="1"/>
  <c r="AD19" i="56"/>
  <c r="Y106" i="56"/>
  <c r="L106" i="56" s="1"/>
  <c r="AA106" i="56"/>
  <c r="M106" i="56" s="1"/>
  <c r="U106" i="56"/>
  <c r="J106" i="56" s="1"/>
  <c r="W106" i="56"/>
  <c r="K106" i="56" s="1"/>
  <c r="AD85" i="56"/>
  <c r="AB116" i="56"/>
  <c r="AD116" i="56" s="1"/>
  <c r="G116" i="56"/>
  <c r="AD120" i="56"/>
  <c r="S102" i="56"/>
  <c r="I102" i="56" s="1"/>
  <c r="Y103" i="56"/>
  <c r="L103" i="56" s="1"/>
  <c r="AA103" i="56"/>
  <c r="M103" i="56" s="1"/>
  <c r="U103" i="56"/>
  <c r="J103" i="56" s="1"/>
  <c r="W103" i="56"/>
  <c r="K103" i="56" s="1"/>
  <c r="AA100" i="56"/>
  <c r="M100" i="56" s="1"/>
  <c r="Y100" i="56"/>
  <c r="L100" i="56" s="1"/>
  <c r="W100" i="56"/>
  <c r="K100" i="56" s="1"/>
  <c r="U100" i="56"/>
  <c r="J100" i="56" s="1"/>
  <c r="AD103" i="56"/>
  <c r="S98" i="56"/>
  <c r="I98" i="56" s="1"/>
  <c r="U15" i="56"/>
  <c r="J15" i="56" s="1"/>
  <c r="Y15" i="56"/>
  <c r="L15" i="56" s="1"/>
  <c r="AA15" i="56"/>
  <c r="M15" i="56" s="1"/>
  <c r="W15" i="56"/>
  <c r="K15" i="56" s="1"/>
  <c r="S112" i="56"/>
  <c r="I112" i="56" s="1"/>
  <c r="AA89" i="56"/>
  <c r="M89" i="56" s="1"/>
  <c r="Y89" i="56"/>
  <c r="L89" i="56" s="1"/>
  <c r="W89" i="56"/>
  <c r="K89" i="56" s="1"/>
  <c r="U89" i="56"/>
  <c r="J89" i="56" s="1"/>
  <c r="S110" i="56"/>
  <c r="I110" i="56" s="1"/>
  <c r="S19" i="56"/>
  <c r="I19" i="56" s="1"/>
  <c r="AD100" i="56"/>
  <c r="AA88" i="56"/>
  <c r="M88" i="56" s="1"/>
  <c r="Y88" i="56"/>
  <c r="L88" i="56" s="1"/>
  <c r="W88" i="56"/>
  <c r="K88" i="56" s="1"/>
  <c r="U88" i="56"/>
  <c r="J88" i="56" s="1"/>
  <c r="Y105" i="56"/>
  <c r="L105" i="56" s="1"/>
  <c r="AA105" i="56"/>
  <c r="M105" i="56" s="1"/>
  <c r="U105" i="56"/>
  <c r="J105" i="56" s="1"/>
  <c r="W105" i="56"/>
  <c r="K105" i="56" s="1"/>
  <c r="AD88" i="56"/>
  <c r="S105" i="56"/>
  <c r="I105" i="56" s="1"/>
  <c r="AD123" i="56"/>
  <c r="S14" i="56"/>
  <c r="I14" i="56" s="1"/>
  <c r="Y28" i="56"/>
  <c r="L28" i="56" s="1"/>
  <c r="AA28" i="56"/>
  <c r="M28" i="56" s="1"/>
  <c r="W28" i="56"/>
  <c r="K28" i="56" s="1"/>
  <c r="U28" i="56"/>
  <c r="J28" i="56" s="1"/>
  <c r="AD102" i="56"/>
  <c r="AA86" i="56"/>
  <c r="M86" i="56" s="1"/>
  <c r="Y86" i="56"/>
  <c r="L86" i="56" s="1"/>
  <c r="W86" i="56"/>
  <c r="K86" i="56" s="1"/>
  <c r="U86" i="56"/>
  <c r="J86" i="56" s="1"/>
  <c r="G116" i="2"/>
  <c r="G123" i="2"/>
  <c r="G111" i="2"/>
  <c r="G122" i="2"/>
  <c r="G124" i="2"/>
  <c r="G120" i="2"/>
  <c r="G121" i="2"/>
  <c r="G126" i="2"/>
  <c r="G128" i="2"/>
  <c r="G119" i="2"/>
  <c r="G113" i="2"/>
  <c r="G114" i="2"/>
  <c r="G115" i="2"/>
  <c r="G42" i="2"/>
  <c r="G81" i="2"/>
  <c r="G156" i="2"/>
  <c r="G84" i="2"/>
  <c r="G109" i="2"/>
  <c r="G75" i="2"/>
  <c r="G86" i="2"/>
  <c r="G24" i="2"/>
  <c r="G4" i="2"/>
  <c r="G92" i="2"/>
  <c r="G131" i="2"/>
  <c r="G55" i="2"/>
  <c r="G137" i="2"/>
  <c r="G155" i="2"/>
  <c r="G102" i="2"/>
  <c r="G73" i="2"/>
  <c r="G30" i="2"/>
  <c r="G97" i="2"/>
  <c r="G149" i="2"/>
  <c r="G143" i="2"/>
  <c r="G160" i="2"/>
  <c r="G74" i="2"/>
  <c r="G14" i="2"/>
  <c r="G161" i="2"/>
  <c r="G56" i="2"/>
  <c r="G25" i="2"/>
  <c r="G96" i="2"/>
  <c r="G141" i="2"/>
  <c r="G72" i="2"/>
  <c r="G67" i="2"/>
  <c r="G63" i="2"/>
  <c r="G21" i="2"/>
  <c r="G71" i="2"/>
  <c r="G5" i="2"/>
  <c r="G94" i="2"/>
  <c r="G100" i="2"/>
  <c r="G7" i="2"/>
  <c r="G99" i="2"/>
  <c r="G98" i="2"/>
  <c r="G95" i="2"/>
  <c r="G136" i="2"/>
  <c r="G89" i="2"/>
  <c r="G36" i="2"/>
  <c r="G49" i="2"/>
  <c r="G28" i="2"/>
  <c r="G147" i="2"/>
  <c r="G61" i="2"/>
  <c r="G54" i="2"/>
  <c r="G38" i="2"/>
  <c r="G62" i="2"/>
  <c r="G65" i="2"/>
  <c r="G82" i="2"/>
  <c r="G93" i="2"/>
  <c r="G138" i="2"/>
  <c r="G80" i="2"/>
  <c r="G29" i="2"/>
  <c r="G48" i="2"/>
  <c r="G40" i="2"/>
  <c r="G6" i="2"/>
  <c r="G158" i="2"/>
  <c r="G60" i="2"/>
  <c r="G83" i="2"/>
  <c r="G85" i="2"/>
  <c r="G106" i="2"/>
  <c r="G101" i="2"/>
  <c r="G15" i="2"/>
  <c r="G34" i="2"/>
  <c r="G23" i="2"/>
  <c r="G59" i="2"/>
  <c r="G76" i="2"/>
  <c r="G148" i="2"/>
  <c r="G66" i="2"/>
  <c r="G157" i="2"/>
  <c r="G70" i="2"/>
  <c r="G69" i="2"/>
  <c r="G108" i="2"/>
  <c r="G46" i="2"/>
  <c r="G142" i="2"/>
  <c r="G26" i="2"/>
  <c r="G159" i="2"/>
  <c r="G107" i="2"/>
  <c r="G16" i="2"/>
  <c r="G105" i="2"/>
  <c r="G152" i="2"/>
  <c r="G104" i="2"/>
  <c r="G17" i="2"/>
  <c r="G134" i="2"/>
  <c r="G129" i="2"/>
  <c r="G79" i="2"/>
  <c r="G22" i="2"/>
  <c r="G50" i="2"/>
  <c r="G151" i="2"/>
  <c r="G135" i="2"/>
  <c r="G140" i="2"/>
  <c r="G68" i="2"/>
  <c r="G51" i="2"/>
  <c r="G27" i="2"/>
  <c r="G154" i="2"/>
  <c r="G20" i="2"/>
  <c r="G146" i="2"/>
  <c r="G132" i="2"/>
  <c r="G153" i="2"/>
  <c r="G103" i="2"/>
  <c r="G150" i="2"/>
  <c r="G130" i="2"/>
  <c r="G45" i="2"/>
  <c r="G41" i="2"/>
  <c r="G64" i="2"/>
  <c r="G139" i="2"/>
  <c r="G154" i="57"/>
  <c r="G21" i="57"/>
  <c r="G25" i="57" s="1"/>
  <c r="R7" i="56" s="1"/>
  <c r="W18" i="56" l="1"/>
  <c r="K18" i="56" s="1"/>
  <c r="N18" i="56" s="1"/>
  <c r="D13" i="130"/>
  <c r="AD32" i="56"/>
  <c r="N126" i="56"/>
  <c r="I33" i="56"/>
  <c r="N124" i="56"/>
  <c r="N128" i="56"/>
  <c r="W32" i="56"/>
  <c r="K32" i="56" s="1"/>
  <c r="Y32" i="56"/>
  <c r="L32" i="56" s="1"/>
  <c r="AA32" i="56"/>
  <c r="M32" i="56" s="1"/>
  <c r="U32" i="56"/>
  <c r="J32" i="56" s="1"/>
  <c r="G84" i="56"/>
  <c r="G8" i="56"/>
  <c r="N113" i="56"/>
  <c r="N110" i="56"/>
  <c r="N108" i="56"/>
  <c r="BJ380" i="164"/>
  <c r="CK380" i="164" s="1"/>
  <c r="A381" i="164"/>
  <c r="N13" i="56"/>
  <c r="N14" i="56"/>
  <c r="N111" i="56"/>
  <c r="N112" i="56"/>
  <c r="N20" i="56"/>
  <c r="N114" i="56"/>
  <c r="N95" i="56"/>
  <c r="N89" i="56"/>
  <c r="N30" i="56"/>
  <c r="N29" i="56"/>
  <c r="N28" i="56"/>
  <c r="N88" i="56"/>
  <c r="N103" i="56"/>
  <c r="I12" i="56"/>
  <c r="N118" i="56"/>
  <c r="S116" i="56"/>
  <c r="I116" i="56" s="1"/>
  <c r="N19" i="56"/>
  <c r="N94" i="56"/>
  <c r="N93" i="56"/>
  <c r="N129" i="56"/>
  <c r="N99" i="56"/>
  <c r="N121" i="56"/>
  <c r="N96" i="56"/>
  <c r="N15" i="56"/>
  <c r="N10" i="56"/>
  <c r="N35" i="56"/>
  <c r="N17" i="56"/>
  <c r="N92" i="56"/>
  <c r="N98" i="56"/>
  <c r="N104" i="56"/>
  <c r="N90" i="56"/>
  <c r="N86" i="56"/>
  <c r="N100" i="56"/>
  <c r="N97" i="56"/>
  <c r="S119" i="56"/>
  <c r="I119" i="56" s="1"/>
  <c r="N125" i="56"/>
  <c r="N106" i="56"/>
  <c r="N16" i="56"/>
  <c r="N123" i="56"/>
  <c r="N101" i="56"/>
  <c r="N9" i="56"/>
  <c r="N91" i="56"/>
  <c r="N109" i="56"/>
  <c r="AB24" i="56"/>
  <c r="G24" i="56"/>
  <c r="AA87" i="56"/>
  <c r="M87" i="56" s="1"/>
  <c r="Y87" i="56"/>
  <c r="L87" i="56" s="1"/>
  <c r="W87" i="56"/>
  <c r="K87" i="56" s="1"/>
  <c r="U87" i="56"/>
  <c r="J87" i="56" s="1"/>
  <c r="N102" i="56"/>
  <c r="N31" i="56"/>
  <c r="N115" i="56"/>
  <c r="U11" i="56"/>
  <c r="J11" i="56" s="1"/>
  <c r="J8" i="56" s="1"/>
  <c r="Y11" i="56"/>
  <c r="L11" i="56" s="1"/>
  <c r="L8" i="56" s="1"/>
  <c r="AA11" i="56"/>
  <c r="M11" i="56" s="1"/>
  <c r="M8" i="56" s="1"/>
  <c r="W11" i="56"/>
  <c r="K11" i="56" s="1"/>
  <c r="K8" i="56" s="1"/>
  <c r="G26" i="56"/>
  <c r="AB26" i="56"/>
  <c r="S26" i="56" s="1"/>
  <c r="I26" i="56" s="1"/>
  <c r="G25" i="56"/>
  <c r="AB25" i="56"/>
  <c r="AD25" i="56" s="1"/>
  <c r="N105" i="56"/>
  <c r="Y116" i="56"/>
  <c r="L116" i="56" s="1"/>
  <c r="AA116" i="56"/>
  <c r="M116" i="56" s="1"/>
  <c r="U116" i="56"/>
  <c r="J116" i="56" s="1"/>
  <c r="W116" i="56"/>
  <c r="K116" i="56" s="1"/>
  <c r="N85" i="56"/>
  <c r="Y119" i="56"/>
  <c r="L119" i="56" s="1"/>
  <c r="AA119" i="56"/>
  <c r="M119" i="56" s="1"/>
  <c r="U119" i="56"/>
  <c r="J119" i="56" s="1"/>
  <c r="W119" i="56"/>
  <c r="K119" i="56" s="1"/>
  <c r="B26" i="57"/>
  <c r="F7" i="56" s="1"/>
  <c r="J33" i="56"/>
  <c r="N120" i="56"/>
  <c r="G27" i="56"/>
  <c r="AB27" i="56"/>
  <c r="AD27" i="56" s="1"/>
  <c r="N127" i="56"/>
  <c r="K33" i="56"/>
  <c r="M12" i="56"/>
  <c r="M33" i="56"/>
  <c r="L12" i="56"/>
  <c r="N107" i="56"/>
  <c r="N117" i="56"/>
  <c r="B155" i="57"/>
  <c r="F23" i="56" s="1"/>
  <c r="R23" i="56"/>
  <c r="L33" i="56"/>
  <c r="J12" i="56"/>
  <c r="N122" i="56"/>
  <c r="N36" i="56"/>
  <c r="S11" i="56"/>
  <c r="I11" i="56" s="1"/>
  <c r="AD87" i="56"/>
  <c r="F93" i="2"/>
  <c r="H93" i="2" s="1"/>
  <c r="I93" i="2" s="1"/>
  <c r="K12" i="56" l="1"/>
  <c r="N12" i="56" s="1"/>
  <c r="D21" i="130"/>
  <c r="F49" i="2"/>
  <c r="H49" i="2" s="1"/>
  <c r="I49" i="2" s="1"/>
  <c r="F59" i="2"/>
  <c r="H59" i="2" s="1"/>
  <c r="I59" i="2" s="1"/>
  <c r="F55" i="2"/>
  <c r="H55" i="2" s="1"/>
  <c r="I55" i="2" s="1"/>
  <c r="F26" i="2"/>
  <c r="H26" i="2" s="1"/>
  <c r="I26" i="2" s="1"/>
  <c r="F151" i="2"/>
  <c r="H151" i="2" s="1"/>
  <c r="I151" i="2" s="1"/>
  <c r="F72" i="2"/>
  <c r="H72" i="2" s="1"/>
  <c r="I72" i="2" s="1"/>
  <c r="F23" i="2"/>
  <c r="H23" i="2" s="1"/>
  <c r="I23" i="2" s="1"/>
  <c r="F135" i="2"/>
  <c r="H135" i="2" s="1"/>
  <c r="I135" i="2" s="1"/>
  <c r="F60" i="2"/>
  <c r="H60" i="2" s="1"/>
  <c r="I60" i="2" s="1"/>
  <c r="F29" i="2"/>
  <c r="H29" i="2" s="1"/>
  <c r="I29" i="2" s="1"/>
  <c r="F80" i="2"/>
  <c r="H80" i="2" s="1"/>
  <c r="I80" i="2" s="1"/>
  <c r="F158" i="2"/>
  <c r="H158" i="2" s="1"/>
  <c r="I158" i="2" s="1"/>
  <c r="F110" i="2"/>
  <c r="H110" i="2" s="1"/>
  <c r="I110" i="2" s="1"/>
  <c r="F65" i="2"/>
  <c r="H65" i="2" s="1"/>
  <c r="I65" i="2" s="1"/>
  <c r="F147" i="2"/>
  <c r="H147" i="2" s="1"/>
  <c r="I147" i="2" s="1"/>
  <c r="F161" i="2"/>
  <c r="H161" i="2" s="1"/>
  <c r="I161" i="2" s="1"/>
  <c r="F105" i="2"/>
  <c r="H105" i="2" s="1"/>
  <c r="I105" i="2" s="1"/>
  <c r="F42" i="2"/>
  <c r="H42" i="2" s="1"/>
  <c r="I42" i="2" s="1"/>
  <c r="N32" i="56"/>
  <c r="I84" i="56"/>
  <c r="N33" i="56"/>
  <c r="D11" i="130"/>
  <c r="F98" i="2"/>
  <c r="H98" i="2" s="1"/>
  <c r="I98" i="2" s="1"/>
  <c r="F155" i="2"/>
  <c r="H155" i="2" s="1"/>
  <c r="I155" i="2" s="1"/>
  <c r="F146" i="2"/>
  <c r="H146" i="2" s="1"/>
  <c r="I146" i="2" s="1"/>
  <c r="F152" i="2"/>
  <c r="H152" i="2" s="1"/>
  <c r="I152" i="2" s="1"/>
  <c r="F99" i="2"/>
  <c r="H99" i="2" s="1"/>
  <c r="I99" i="2" s="1"/>
  <c r="F38" i="2"/>
  <c r="H38" i="2" s="1"/>
  <c r="I38" i="2" s="1"/>
  <c r="F16" i="2"/>
  <c r="H16" i="2" s="1"/>
  <c r="I16" i="2" s="1"/>
  <c r="F4" i="2"/>
  <c r="H4" i="2" s="1"/>
  <c r="I4" i="2" s="1"/>
  <c r="F97" i="2"/>
  <c r="H97" i="2" s="1"/>
  <c r="I97" i="2" s="1"/>
  <c r="F54" i="2"/>
  <c r="H54" i="2" s="1"/>
  <c r="I54" i="2" s="1"/>
  <c r="F142" i="2"/>
  <c r="H142" i="2" s="1"/>
  <c r="I142" i="2" s="1"/>
  <c r="F92" i="2"/>
  <c r="H92" i="2" s="1"/>
  <c r="I92" i="2" s="1"/>
  <c r="F70" i="2"/>
  <c r="H70" i="2" s="1"/>
  <c r="I70" i="2" s="1"/>
  <c r="F68" i="2"/>
  <c r="H68" i="2" s="1"/>
  <c r="I68" i="2" s="1"/>
  <c r="F150" i="2"/>
  <c r="H150" i="2" s="1"/>
  <c r="I150" i="2" s="1"/>
  <c r="F126" i="2"/>
  <c r="H126" i="2" s="1"/>
  <c r="I126" i="2" s="1"/>
  <c r="F138" i="2"/>
  <c r="H138" i="2" s="1"/>
  <c r="I138" i="2" s="1"/>
  <c r="F5" i="2"/>
  <c r="H5" i="2" s="1"/>
  <c r="I5" i="2" s="1"/>
  <c r="F84" i="2"/>
  <c r="H84" i="2" s="1"/>
  <c r="I84" i="2" s="1"/>
  <c r="F153" i="2"/>
  <c r="H153" i="2" s="1"/>
  <c r="I153" i="2" s="1"/>
  <c r="F96" i="2"/>
  <c r="H96" i="2" s="1"/>
  <c r="I96" i="2" s="1"/>
  <c r="F24" i="2"/>
  <c r="H24" i="2" s="1"/>
  <c r="I24" i="2" s="1"/>
  <c r="F122" i="2"/>
  <c r="H122" i="2" s="1"/>
  <c r="I122" i="2" s="1"/>
  <c r="F34" i="2"/>
  <c r="H34" i="2" s="1"/>
  <c r="I34" i="2" s="1"/>
  <c r="F85" i="2"/>
  <c r="H85" i="2" s="1"/>
  <c r="I85" i="2" s="1"/>
  <c r="F20" i="2"/>
  <c r="H20" i="2" s="1"/>
  <c r="I20" i="2" s="1"/>
  <c r="F40" i="2"/>
  <c r="H40" i="2" s="1"/>
  <c r="I40" i="2" s="1"/>
  <c r="F148" i="2"/>
  <c r="H148" i="2" s="1"/>
  <c r="I148" i="2" s="1"/>
  <c r="F79" i="2"/>
  <c r="H79" i="2" s="1"/>
  <c r="I79" i="2" s="1"/>
  <c r="F123" i="2"/>
  <c r="H123" i="2" s="1"/>
  <c r="I123" i="2" s="1"/>
  <c r="F69" i="2"/>
  <c r="H69" i="2" s="1"/>
  <c r="I69" i="2" s="1"/>
  <c r="F71" i="2"/>
  <c r="H71" i="2" s="1"/>
  <c r="I71" i="2" s="1"/>
  <c r="F139" i="2"/>
  <c r="H139" i="2" s="1"/>
  <c r="I139" i="2" s="1"/>
  <c r="F130" i="2"/>
  <c r="H130" i="2" s="1"/>
  <c r="I130" i="2" s="1"/>
  <c r="F63" i="2"/>
  <c r="H63" i="2" s="1"/>
  <c r="I63" i="2" s="1"/>
  <c r="F103" i="2"/>
  <c r="H103" i="2" s="1"/>
  <c r="I103" i="2" s="1"/>
  <c r="F101" i="2"/>
  <c r="H101" i="2" s="1"/>
  <c r="I101" i="2" s="1"/>
  <c r="F157" i="2"/>
  <c r="H157" i="2" s="1"/>
  <c r="I157" i="2" s="1"/>
  <c r="F143" i="2"/>
  <c r="H143" i="2" s="1"/>
  <c r="I143" i="2" s="1"/>
  <c r="F7" i="2"/>
  <c r="H7" i="2" s="1"/>
  <c r="I7" i="2" s="1"/>
  <c r="F82" i="2"/>
  <c r="H82" i="2" s="1"/>
  <c r="I82" i="2" s="1"/>
  <c r="F107" i="2"/>
  <c r="H107" i="2" s="1"/>
  <c r="I107" i="2" s="1"/>
  <c r="F51" i="2"/>
  <c r="H51" i="2" s="1"/>
  <c r="I51" i="2" s="1"/>
  <c r="F15" i="2"/>
  <c r="H15" i="2" s="1"/>
  <c r="I15" i="2" s="1"/>
  <c r="F64" i="2"/>
  <c r="H64" i="2" s="1"/>
  <c r="I64" i="2" s="1"/>
  <c r="F129" i="2"/>
  <c r="H129" i="2" s="1"/>
  <c r="I129" i="2" s="1"/>
  <c r="F14" i="2"/>
  <c r="H14" i="2" s="1"/>
  <c r="I14" i="2" s="1"/>
  <c r="F50" i="2"/>
  <c r="H50" i="2" s="1"/>
  <c r="I50" i="2" s="1"/>
  <c r="F45" i="2"/>
  <c r="H45" i="2" s="1"/>
  <c r="I45" i="2" s="1"/>
  <c r="F159" i="2"/>
  <c r="H159" i="2" s="1"/>
  <c r="I159" i="2" s="1"/>
  <c r="F81" i="2"/>
  <c r="H81" i="2" s="1"/>
  <c r="I81" i="2" s="1"/>
  <c r="F141" i="2"/>
  <c r="H141" i="2" s="1"/>
  <c r="I141" i="2" s="1"/>
  <c r="F6" i="2"/>
  <c r="H6" i="2" s="1"/>
  <c r="I6" i="2" s="1"/>
  <c r="F76" i="2"/>
  <c r="H76" i="2" s="1"/>
  <c r="I76" i="2" s="1"/>
  <c r="F136" i="2"/>
  <c r="H136" i="2" s="1"/>
  <c r="I136" i="2" s="1"/>
  <c r="F21" i="2"/>
  <c r="H21" i="2" s="1"/>
  <c r="I21" i="2" s="1"/>
  <c r="F89" i="2"/>
  <c r="H89" i="2" s="1"/>
  <c r="I89" i="2" s="1"/>
  <c r="F106" i="2"/>
  <c r="H106" i="2" s="1"/>
  <c r="I106" i="2" s="1"/>
  <c r="F25" i="2"/>
  <c r="H25" i="2" s="1"/>
  <c r="I25" i="2" s="1"/>
  <c r="F46" i="2"/>
  <c r="H46" i="2" s="1"/>
  <c r="I46" i="2" s="1"/>
  <c r="F102" i="2"/>
  <c r="H102" i="2" s="1"/>
  <c r="I102" i="2" s="1"/>
  <c r="F154" i="2"/>
  <c r="H154" i="2" s="1"/>
  <c r="I154" i="2" s="1"/>
  <c r="F108" i="2"/>
  <c r="H108" i="2" s="1"/>
  <c r="I108" i="2" s="1"/>
  <c r="F83" i="2"/>
  <c r="H83" i="2" s="1"/>
  <c r="I83" i="2" s="1"/>
  <c r="F86" i="2"/>
  <c r="H86" i="2" s="1"/>
  <c r="I86" i="2" s="1"/>
  <c r="F109" i="2"/>
  <c r="H109" i="2" s="1"/>
  <c r="I109" i="2" s="1"/>
  <c r="F66" i="2"/>
  <c r="H66" i="2" s="1"/>
  <c r="I66" i="2" s="1"/>
  <c r="F36" i="2"/>
  <c r="H36" i="2" s="1"/>
  <c r="I36" i="2" s="1"/>
  <c r="F73" i="2"/>
  <c r="H73" i="2" s="1"/>
  <c r="I73" i="2" s="1"/>
  <c r="F134" i="2"/>
  <c r="H134" i="2" s="1"/>
  <c r="I134" i="2" s="1"/>
  <c r="F112" i="2"/>
  <c r="H112" i="2" s="1"/>
  <c r="I112" i="2" s="1"/>
  <c r="F75" i="2"/>
  <c r="H75" i="2" s="1"/>
  <c r="I75" i="2" s="1"/>
  <c r="F140" i="2"/>
  <c r="H140" i="2" s="1"/>
  <c r="I140" i="2" s="1"/>
  <c r="F27" i="2"/>
  <c r="H27" i="2" s="1"/>
  <c r="I27" i="2" s="1"/>
  <c r="F41" i="2"/>
  <c r="H41" i="2" s="1"/>
  <c r="I41" i="2" s="1"/>
  <c r="F100" i="2"/>
  <c r="H100" i="2" s="1"/>
  <c r="I100" i="2" s="1"/>
  <c r="F22" i="2"/>
  <c r="H22" i="2" s="1"/>
  <c r="I22" i="2" s="1"/>
  <c r="F56" i="2"/>
  <c r="H56" i="2" s="1"/>
  <c r="I56" i="2" s="1"/>
  <c r="F119" i="2"/>
  <c r="H119" i="2" s="1"/>
  <c r="I119" i="2" s="1"/>
  <c r="A382" i="164"/>
  <c r="BJ381" i="164"/>
  <c r="CK381" i="164" s="1"/>
  <c r="M84" i="56"/>
  <c r="S25" i="56"/>
  <c r="I25" i="56" s="1"/>
  <c r="N87" i="56"/>
  <c r="K84" i="56"/>
  <c r="F47" i="2"/>
  <c r="H47" i="2" s="1"/>
  <c r="I47" i="2" s="1"/>
  <c r="F131" i="2"/>
  <c r="H131" i="2" s="1"/>
  <c r="I131" i="2" s="1"/>
  <c r="F28" i="2"/>
  <c r="H28" i="2" s="1"/>
  <c r="I28" i="2" s="1"/>
  <c r="F121" i="2"/>
  <c r="H121" i="2" s="1"/>
  <c r="I121" i="2" s="1"/>
  <c r="F132" i="2"/>
  <c r="H132" i="2" s="1"/>
  <c r="I132" i="2" s="1"/>
  <c r="F62" i="2"/>
  <c r="H62" i="2" s="1"/>
  <c r="I62" i="2" s="1"/>
  <c r="F113" i="2"/>
  <c r="H113" i="2" s="1"/>
  <c r="I113" i="2" s="1"/>
  <c r="F111" i="2"/>
  <c r="H111" i="2" s="1"/>
  <c r="I111" i="2" s="1"/>
  <c r="F31" i="2"/>
  <c r="H31" i="2" s="1"/>
  <c r="I31" i="2" s="1"/>
  <c r="F67" i="2"/>
  <c r="H67" i="2" s="1"/>
  <c r="I67" i="2" s="1"/>
  <c r="F116" i="2"/>
  <c r="H116" i="2" s="1"/>
  <c r="I116" i="2" s="1"/>
  <c r="F125" i="2"/>
  <c r="H125" i="2" s="1"/>
  <c r="I125" i="2" s="1"/>
  <c r="F61" i="2"/>
  <c r="H61" i="2" s="1"/>
  <c r="I61" i="2" s="1"/>
  <c r="F156" i="2"/>
  <c r="H156" i="2" s="1"/>
  <c r="I156" i="2" s="1"/>
  <c r="F114" i="2"/>
  <c r="H114" i="2" s="1"/>
  <c r="I114" i="2" s="1"/>
  <c r="F124" i="2"/>
  <c r="H124" i="2" s="1"/>
  <c r="I124" i="2" s="1"/>
  <c r="F104" i="2"/>
  <c r="H104" i="2" s="1"/>
  <c r="I104" i="2" s="1"/>
  <c r="F137" i="2"/>
  <c r="H137" i="2" s="1"/>
  <c r="I137" i="2" s="1"/>
  <c r="F115" i="2"/>
  <c r="H115" i="2" s="1"/>
  <c r="I115" i="2" s="1"/>
  <c r="F127" i="2"/>
  <c r="H127" i="2" s="1"/>
  <c r="I127" i="2" s="1"/>
  <c r="F17" i="2"/>
  <c r="H17" i="2" s="1"/>
  <c r="I17" i="2" s="1"/>
  <c r="F30" i="2"/>
  <c r="H30" i="2" s="1"/>
  <c r="I30" i="2" s="1"/>
  <c r="F128" i="2"/>
  <c r="H128" i="2" s="1"/>
  <c r="I128" i="2" s="1"/>
  <c r="F118" i="2"/>
  <c r="H118" i="2" s="1"/>
  <c r="I118" i="2" s="1"/>
  <c r="F133" i="2"/>
  <c r="H133" i="2" s="1"/>
  <c r="I133" i="2" s="1"/>
  <c r="F149" i="2"/>
  <c r="H149" i="2" s="1"/>
  <c r="I149" i="2" s="1"/>
  <c r="F48" i="2"/>
  <c r="H48" i="2" s="1"/>
  <c r="I48" i="2" s="1"/>
  <c r="F95" i="2"/>
  <c r="H95" i="2" s="1"/>
  <c r="I95" i="2" s="1"/>
  <c r="F117" i="2"/>
  <c r="H117" i="2" s="1"/>
  <c r="I117" i="2" s="1"/>
  <c r="F94" i="2"/>
  <c r="H94" i="2" s="1"/>
  <c r="I94" i="2" s="1"/>
  <c r="F160" i="2"/>
  <c r="H160" i="2" s="1"/>
  <c r="I160" i="2" s="1"/>
  <c r="F74" i="2"/>
  <c r="H74" i="2" s="1"/>
  <c r="I74" i="2" s="1"/>
  <c r="F120" i="2"/>
  <c r="H120" i="2" s="1"/>
  <c r="I120" i="2" s="1"/>
  <c r="N119" i="56"/>
  <c r="L84" i="56"/>
  <c r="J84" i="56"/>
  <c r="S27" i="56"/>
  <c r="I27" i="56" s="1"/>
  <c r="N116" i="56"/>
  <c r="AD26" i="56"/>
  <c r="G23" i="56"/>
  <c r="G22" i="56" s="1"/>
  <c r="AB23" i="56"/>
  <c r="S23" i="56" s="1"/>
  <c r="I23" i="56" s="1"/>
  <c r="AA24" i="56"/>
  <c r="M24" i="56" s="1"/>
  <c r="Y24" i="56"/>
  <c r="L24" i="56" s="1"/>
  <c r="U24" i="56"/>
  <c r="J24" i="56" s="1"/>
  <c r="W24" i="56"/>
  <c r="K24" i="56" s="1"/>
  <c r="Y26" i="56"/>
  <c r="L26" i="56" s="1"/>
  <c r="AA26" i="56"/>
  <c r="M26" i="56" s="1"/>
  <c r="U26" i="56"/>
  <c r="J26" i="56" s="1"/>
  <c r="W26" i="56"/>
  <c r="K26" i="56" s="1"/>
  <c r="N11" i="56"/>
  <c r="I8" i="56"/>
  <c r="G7" i="56"/>
  <c r="G5" i="56" s="1"/>
  <c r="AB7" i="56"/>
  <c r="AA25" i="56"/>
  <c r="M25" i="56" s="1"/>
  <c r="Y25" i="56"/>
  <c r="L25" i="56" s="1"/>
  <c r="U25" i="56"/>
  <c r="J25" i="56" s="1"/>
  <c r="W25" i="56"/>
  <c r="K25" i="56" s="1"/>
  <c r="S24" i="56"/>
  <c r="I24" i="56" s="1"/>
  <c r="AD24" i="56"/>
  <c r="Y27" i="56"/>
  <c r="L27" i="56" s="1"/>
  <c r="AA27" i="56"/>
  <c r="M27" i="56" s="1"/>
  <c r="W27" i="56"/>
  <c r="K27" i="56" s="1"/>
  <c r="U27" i="56"/>
  <c r="J27" i="56" s="1"/>
  <c r="S7" i="56" l="1"/>
  <c r="I7" i="56" s="1"/>
  <c r="I5" i="56" s="1"/>
  <c r="AD7" i="56"/>
  <c r="I22" i="56"/>
  <c r="N8" i="56"/>
  <c r="G131" i="56"/>
  <c r="BJ382" i="164"/>
  <c r="CK382" i="164" s="1"/>
  <c r="A383" i="164"/>
  <c r="N84" i="56"/>
  <c r="N25" i="56"/>
  <c r="N26" i="56"/>
  <c r="N27" i="56"/>
  <c r="N24" i="56"/>
  <c r="AA23" i="56"/>
  <c r="M23" i="56" s="1"/>
  <c r="M22" i="56" s="1"/>
  <c r="Y23" i="56"/>
  <c r="L23" i="56" s="1"/>
  <c r="L22" i="56" s="1"/>
  <c r="U23" i="56"/>
  <c r="J23" i="56" s="1"/>
  <c r="J22" i="56" s="1"/>
  <c r="W23" i="56"/>
  <c r="K23" i="56" s="1"/>
  <c r="K22" i="56" s="1"/>
  <c r="Y7" i="56"/>
  <c r="L7" i="56" s="1"/>
  <c r="L5" i="56" s="1"/>
  <c r="AA7" i="56"/>
  <c r="M7" i="56" s="1"/>
  <c r="M5" i="56" s="1"/>
  <c r="W7" i="56"/>
  <c r="K7" i="56" s="1"/>
  <c r="K5" i="56" s="1"/>
  <c r="U7" i="56"/>
  <c r="J7" i="56" s="1"/>
  <c r="J5" i="56" s="1"/>
  <c r="AD23" i="56"/>
  <c r="D15" i="130"/>
  <c r="N5" i="56" l="1"/>
  <c r="L131" i="56"/>
  <c r="I131" i="56"/>
  <c r="N22" i="56"/>
  <c r="D9" i="130"/>
  <c r="A384" i="164"/>
  <c r="BJ383" i="164"/>
  <c r="CK383" i="164" s="1"/>
  <c r="M131" i="56"/>
  <c r="M133" i="56" s="1"/>
  <c r="K131" i="56"/>
  <c r="K133" i="56" s="1"/>
  <c r="N7" i="56"/>
  <c r="J131" i="56"/>
  <c r="N23" i="56"/>
  <c r="G23" i="149"/>
  <c r="G133" i="56"/>
  <c r="J45" i="14"/>
  <c r="N131" i="56" l="1"/>
  <c r="L133" i="56"/>
  <c r="H41" i="14"/>
  <c r="H42" i="14"/>
  <c r="A385" i="164"/>
  <c r="BJ384" i="164"/>
  <c r="CK384" i="164" s="1"/>
  <c r="I133" i="56"/>
  <c r="J133" i="56"/>
  <c r="H34" i="14"/>
  <c r="H25" i="14"/>
  <c r="H43" i="14"/>
  <c r="H40" i="14"/>
  <c r="N133" i="56" l="1"/>
  <c r="A386" i="164"/>
  <c r="BJ385" i="164"/>
  <c r="CK385" i="164" s="1"/>
  <c r="BJ386" i="164" l="1"/>
  <c r="CK386" i="164" s="1"/>
  <c r="A387" i="164"/>
  <c r="A389" i="164" l="1"/>
  <c r="BJ387" i="164"/>
  <c r="CK387" i="164" s="1"/>
  <c r="H30" i="14"/>
  <c r="H39" i="14"/>
  <c r="H26" i="14"/>
  <c r="H27" i="14"/>
  <c r="H28" i="14"/>
  <c r="H38" i="14"/>
  <c r="H31" i="14"/>
  <c r="H29" i="14"/>
  <c r="H35" i="14"/>
  <c r="H36" i="14"/>
  <c r="H37" i="14"/>
  <c r="A390" i="164" l="1"/>
  <c r="BJ389" i="164"/>
  <c r="CK389" i="164" s="1"/>
  <c r="A391" i="164" l="1"/>
  <c r="BJ390" i="164"/>
  <c r="CK390" i="164" s="1"/>
  <c r="A393" i="164" l="1"/>
  <c r="BJ391" i="164"/>
  <c r="CK391" i="164" s="1"/>
  <c r="A394" i="164" l="1"/>
  <c r="BJ393" i="164"/>
  <c r="CK393" i="164" s="1"/>
  <c r="BJ394" i="164" l="1"/>
  <c r="CK394" i="164" s="1"/>
  <c r="A396" i="164"/>
  <c r="A398" i="164" l="1"/>
  <c r="BJ396" i="164"/>
  <c r="CK396" i="164" s="1"/>
  <c r="BJ398" i="164" l="1"/>
  <c r="CK398" i="164" s="1"/>
  <c r="A400" i="164"/>
  <c r="A401" i="164" l="1"/>
  <c r="BJ400" i="164"/>
  <c r="CK400" i="164" s="1"/>
  <c r="A402" i="164" l="1"/>
  <c r="BJ401" i="164"/>
  <c r="CK401" i="164" s="1"/>
  <c r="A403" i="164" l="1"/>
  <c r="BJ402" i="164"/>
  <c r="CK402" i="164" s="1"/>
  <c r="A404" i="164" l="1"/>
  <c r="BJ403" i="164"/>
  <c r="CK403" i="164" s="1"/>
  <c r="BJ404" i="164" l="1"/>
  <c r="CK404" i="164" s="1"/>
  <c r="A406" i="164"/>
  <c r="BJ406" i="164" l="1"/>
  <c r="CK406" i="164" s="1"/>
  <c r="A407" i="164"/>
  <c r="BJ407" i="164" l="1"/>
  <c r="CK407" i="164" s="1"/>
  <c r="A408" i="164"/>
  <c r="BJ408" i="164" l="1"/>
  <c r="CK408" i="164" s="1"/>
  <c r="A410" i="164"/>
  <c r="BJ410" i="164" l="1"/>
  <c r="CK410" i="164" s="1"/>
  <c r="A411" i="164"/>
  <c r="BJ411" i="164" l="1"/>
  <c r="CK411" i="164" s="1"/>
  <c r="A413" i="164"/>
  <c r="BJ413" i="164" l="1"/>
  <c r="CK413" i="164" s="1"/>
  <c r="A414" i="164"/>
  <c r="BJ414" i="164" l="1"/>
  <c r="CK414" i="164" s="1"/>
  <c r="A415" i="164"/>
  <c r="BJ415" i="164" l="1"/>
  <c r="CK415" i="164" s="1"/>
  <c r="A416" i="164"/>
  <c r="BJ416" i="164" l="1"/>
  <c r="CK416" i="164" s="1"/>
  <c r="A417" i="164"/>
  <c r="BJ417" i="164" l="1"/>
  <c r="CK417" i="164" s="1"/>
  <c r="A419" i="164"/>
  <c r="A420" i="164" l="1"/>
  <c r="BJ419" i="164"/>
  <c r="CK419" i="164" s="1"/>
  <c r="A421" i="164" l="1"/>
  <c r="BJ420" i="164"/>
  <c r="CK420" i="164" s="1"/>
  <c r="A422" i="164" l="1"/>
  <c r="BJ421" i="164"/>
  <c r="CK421" i="164" s="1"/>
  <c r="A423" i="164" l="1"/>
  <c r="BJ422" i="164"/>
  <c r="CK422" i="164" s="1"/>
  <c r="BJ423" i="164" l="1"/>
  <c r="CK423" i="164" s="1"/>
  <c r="A424" i="164"/>
  <c r="BJ424" i="164" l="1"/>
  <c r="CK424" i="164" s="1"/>
  <c r="A425" i="164"/>
  <c r="A426" i="164" l="1"/>
  <c r="BJ425" i="164"/>
  <c r="CK425" i="164" s="1"/>
  <c r="BJ426" i="164" l="1"/>
  <c r="CK426" i="164" s="1"/>
  <c r="A428" i="164"/>
  <c r="A429" i="164" l="1"/>
  <c r="BJ428" i="164"/>
  <c r="CK428" i="164" s="1"/>
  <c r="BJ429" i="164" l="1"/>
  <c r="CK429" i="164" s="1"/>
  <c r="A431" i="164"/>
  <c r="A432" i="164" l="1"/>
  <c r="BJ431" i="164"/>
  <c r="CK431" i="164" s="1"/>
  <c r="A433" i="164" l="1"/>
  <c r="BJ432" i="164"/>
  <c r="CK432" i="164" s="1"/>
  <c r="A435" i="164" l="1"/>
  <c r="BJ433" i="164"/>
  <c r="CK433" i="164" s="1"/>
  <c r="A436" i="164" l="1"/>
  <c r="BJ435" i="164"/>
  <c r="CK435" i="164" s="1"/>
  <c r="A437" i="164" l="1"/>
  <c r="BJ436" i="164"/>
  <c r="CK436" i="164" s="1"/>
  <c r="BJ437" i="164" l="1"/>
  <c r="CK437" i="164" s="1"/>
  <c r="A439" i="164"/>
  <c r="A441" i="164" l="1"/>
  <c r="BJ439" i="164"/>
  <c r="CK439" i="164" s="1"/>
  <c r="A442" i="164" l="1"/>
  <c r="BJ441" i="164"/>
  <c r="CK441" i="164" s="1"/>
  <c r="BJ442" i="164" l="1"/>
  <c r="CK442" i="164" s="1"/>
  <c r="A444" i="164"/>
  <c r="BJ444" i="164" l="1"/>
  <c r="CK444" i="164" s="1"/>
  <c r="A446" i="164"/>
  <c r="BJ446" i="164" l="1"/>
  <c r="CK446" i="164" s="1"/>
  <c r="A448" i="164"/>
  <c r="BJ448" i="164" l="1"/>
  <c r="CK448" i="164" s="1"/>
  <c r="A449" i="164"/>
  <c r="BJ449" i="164" l="1"/>
  <c r="CK449" i="164" s="1"/>
  <c r="A450" i="164"/>
  <c r="A451" i="164" l="1"/>
  <c r="BJ450" i="164"/>
  <c r="CK450" i="164" s="1"/>
  <c r="BJ451" i="164" l="1"/>
  <c r="CK451" i="164" s="1"/>
  <c r="A452" i="164"/>
  <c r="BJ452" i="164" l="1"/>
  <c r="CK452" i="164" s="1"/>
  <c r="A453" i="164"/>
  <c r="A455" i="164" l="1"/>
  <c r="BJ453" i="164"/>
  <c r="CK453" i="164" s="1"/>
  <c r="BJ455" i="164" l="1"/>
  <c r="CK455" i="164" s="1"/>
  <c r="A457" i="164"/>
  <c r="BJ457" i="164" l="1"/>
  <c r="CK457" i="164" s="1"/>
  <c r="A459" i="164"/>
  <c r="BJ459" i="164" l="1"/>
  <c r="CK459" i="164" s="1"/>
  <c r="A460" i="164"/>
  <c r="A461" i="164" l="1"/>
  <c r="BJ460" i="164"/>
  <c r="CK460" i="164" s="1"/>
  <c r="A462" i="164" l="1"/>
  <c r="BJ461" i="164"/>
  <c r="CK461" i="164" s="1"/>
  <c r="BJ462" i="164" l="1"/>
  <c r="CK462" i="164" s="1"/>
  <c r="A463" i="164"/>
  <c r="A465" i="164" l="1"/>
  <c r="BJ463" i="164"/>
  <c r="CK463" i="164" s="1"/>
  <c r="BJ465" i="164" l="1"/>
  <c r="CK465" i="164" s="1"/>
  <c r="A466" i="164"/>
  <c r="A467" i="164" l="1"/>
  <c r="BJ466" i="164"/>
  <c r="CK466" i="164" s="1"/>
  <c r="BJ467" i="164" l="1"/>
  <c r="CK467" i="164" s="1"/>
  <c r="A468" i="164"/>
  <c r="BJ468" i="164" l="1"/>
  <c r="CK468" i="164" s="1"/>
  <c r="A469" i="164"/>
  <c r="BJ469" i="164" l="1"/>
  <c r="CK469" i="164" s="1"/>
  <c r="A470" i="164"/>
  <c r="A472" i="164" l="1"/>
  <c r="BJ470" i="164"/>
  <c r="CK470" i="164" s="1"/>
  <c r="BJ472" i="164" l="1"/>
  <c r="CK472" i="164" s="1"/>
  <c r="A473" i="164"/>
  <c r="BJ473" i="164" l="1"/>
  <c r="CK473" i="164" s="1"/>
  <c r="A474" i="164"/>
  <c r="A476" i="164" l="1"/>
  <c r="BJ474" i="164"/>
  <c r="CK474" i="164" s="1"/>
  <c r="BJ476" i="164" l="1"/>
  <c r="CK476" i="164" s="1"/>
  <c r="A478" i="164"/>
  <c r="A480" i="164" l="1"/>
  <c r="BJ478" i="164"/>
  <c r="CK478" i="164" s="1"/>
  <c r="A481" i="164" l="1"/>
  <c r="BJ480" i="164"/>
  <c r="CK480" i="164" s="1"/>
  <c r="A482" i="164" l="1"/>
  <c r="BJ481" i="164"/>
  <c r="CK481" i="164" s="1"/>
  <c r="BJ482" i="164" l="1"/>
  <c r="CK482" i="164" s="1"/>
  <c r="A483" i="164"/>
  <c r="BJ483" i="164" l="1"/>
  <c r="CK483" i="164" s="1"/>
  <c r="A484" i="164"/>
  <c r="A485" i="164" l="1"/>
  <c r="BJ484" i="164"/>
  <c r="CK484" i="164" s="1"/>
  <c r="A486" i="164" l="1"/>
  <c r="BJ485" i="164"/>
  <c r="CK485" i="164" s="1"/>
  <c r="BJ486" i="164" l="1"/>
  <c r="CK486" i="164" s="1"/>
  <c r="A487" i="164"/>
  <c r="A488" i="164" l="1"/>
  <c r="BJ487" i="164"/>
  <c r="CK487" i="164" s="1"/>
  <c r="A489" i="164" l="1"/>
  <c r="BJ488" i="164"/>
  <c r="CK488" i="164" s="1"/>
  <c r="A490" i="164" l="1"/>
  <c r="BJ489" i="164"/>
  <c r="CK489" i="164" s="1"/>
  <c r="A491" i="164" l="1"/>
  <c r="BJ490" i="164"/>
  <c r="CK490" i="164" s="1"/>
  <c r="A492" i="164" l="1"/>
  <c r="BJ491" i="164"/>
  <c r="CK491" i="164" s="1"/>
  <c r="BJ492" i="164" l="1"/>
  <c r="CK492" i="164" s="1"/>
  <c r="A493" i="164"/>
  <c r="BJ493" i="164" l="1"/>
  <c r="CK493" i="164" s="1"/>
  <c r="A494" i="164"/>
  <c r="A495" i="164" l="1"/>
  <c r="BJ494" i="164"/>
  <c r="CK494" i="164" s="1"/>
  <c r="A496" i="164" l="1"/>
  <c r="BJ495" i="164"/>
  <c r="CK495" i="164" s="1"/>
  <c r="A497" i="164" l="1"/>
  <c r="BJ496" i="164"/>
  <c r="CK496" i="164" s="1"/>
  <c r="BJ497" i="164" l="1"/>
  <c r="CK497" i="164" s="1"/>
  <c r="A498" i="164"/>
  <c r="A499" i="164" l="1"/>
  <c r="BJ498" i="164"/>
  <c r="CK498" i="164" s="1"/>
  <c r="A500" i="164" l="1"/>
  <c r="BJ499" i="164"/>
  <c r="CK499" i="164" s="1"/>
  <c r="BJ500" i="164" l="1"/>
  <c r="CK500" i="164" s="1"/>
  <c r="A501" i="164"/>
  <c r="BJ501" i="164" l="1"/>
  <c r="CK501" i="164" s="1"/>
  <c r="A502" i="164"/>
  <c r="A503" i="164" l="1"/>
  <c r="BJ502" i="164"/>
  <c r="CK502" i="164" s="1"/>
  <c r="A504" i="164" l="1"/>
  <c r="BJ503" i="164"/>
  <c r="CK503" i="164" s="1"/>
  <c r="A505" i="164" l="1"/>
  <c r="BJ504" i="164"/>
  <c r="CK504" i="164" s="1"/>
  <c r="A506" i="164" l="1"/>
  <c r="BJ506" i="164" s="1"/>
  <c r="CK506" i="164" s="1"/>
  <c r="BJ505" i="164"/>
  <c r="CK505" i="164" s="1"/>
  <c r="D12" i="58" l="1"/>
  <c r="G12" i="58" s="1"/>
  <c r="H14" i="128" l="1"/>
  <c r="H58" i="127" l="1"/>
  <c r="J47" i="128" s="1"/>
  <c r="J139" i="56" l="1"/>
  <c r="C5" i="175"/>
  <c r="D13" i="175" s="1"/>
  <c r="G13" i="175" s="1"/>
  <c r="G26" i="149"/>
  <c r="N139" i="56" l="1"/>
  <c r="D14" i="175"/>
  <c r="G14" i="175" s="1"/>
  <c r="D11" i="175"/>
  <c r="G11" i="175" s="1"/>
  <c r="D15" i="175"/>
  <c r="G15" i="175" s="1"/>
  <c r="G16" i="175" l="1"/>
  <c r="G18" i="175" s="1"/>
  <c r="G19" i="175" s="1"/>
  <c r="G20" i="175" l="1"/>
  <c r="G22" i="175"/>
  <c r="H20" i="14" l="1"/>
  <c r="H18" i="14"/>
  <c r="H19" i="14"/>
  <c r="H15" i="14"/>
  <c r="H16" i="14"/>
  <c r="H17" i="14"/>
  <c r="H14" i="14"/>
  <c r="F10" i="149"/>
  <c r="F5" i="149"/>
  <c r="F8" i="149" l="1"/>
  <c r="F7" i="149"/>
  <c r="G5" i="149"/>
  <c r="J5" i="149" s="1"/>
  <c r="G10" i="149"/>
  <c r="J10" i="149" s="1"/>
  <c r="G8" i="149" l="1"/>
  <c r="J8" i="149" s="1"/>
  <c r="G7" i="149"/>
  <c r="J7" i="149" s="1"/>
  <c r="H13" i="14" l="1"/>
  <c r="O6" i="14" l="1"/>
  <c r="J7" i="14"/>
  <c r="H22" i="14"/>
  <c r="J22" i="14"/>
  <c r="H44" i="14"/>
  <c r="J44" i="14"/>
  <c r="N46" i="14"/>
  <c r="M47" i="14"/>
  <c r="M48" i="14"/>
  <c r="M49" i="14"/>
  <c r="M50" i="14"/>
  <c r="M51" i="14"/>
  <c r="M52" i="14"/>
  <c r="M53" i="14"/>
  <c r="M54" i="14"/>
  <c r="E9" i="130"/>
  <c r="F9" i="130"/>
  <c r="I9" i="130"/>
  <c r="J9" i="130"/>
  <c r="K9" i="130"/>
  <c r="L9" i="130"/>
  <c r="M9" i="130"/>
  <c r="E11" i="130"/>
  <c r="F11" i="130"/>
  <c r="I11" i="130"/>
  <c r="J11" i="130"/>
  <c r="K11" i="130"/>
  <c r="L11" i="130"/>
  <c r="M11" i="130"/>
  <c r="E13" i="130"/>
  <c r="F13" i="130"/>
  <c r="I13" i="130"/>
  <c r="J13" i="130"/>
  <c r="K13" i="130"/>
  <c r="L13" i="130"/>
  <c r="M13" i="130"/>
  <c r="N13" i="130"/>
  <c r="O13" i="130"/>
  <c r="P13" i="130"/>
  <c r="Q13" i="130"/>
  <c r="E15" i="130"/>
  <c r="F15" i="130"/>
  <c r="K15" i="130"/>
  <c r="L15" i="130"/>
  <c r="M15" i="130"/>
  <c r="N15" i="130"/>
  <c r="O15" i="130"/>
  <c r="P15" i="130"/>
  <c r="Q15" i="130"/>
  <c r="R15" i="130"/>
  <c r="E17" i="130"/>
  <c r="F17" i="130"/>
  <c r="I17" i="130"/>
  <c r="J17" i="130"/>
  <c r="K17" i="130"/>
  <c r="L17" i="130"/>
  <c r="M17" i="130"/>
  <c r="N17" i="130"/>
  <c r="O17" i="130"/>
  <c r="E19" i="130"/>
  <c r="F19" i="130"/>
  <c r="J19" i="130"/>
  <c r="K19" i="130"/>
  <c r="L19" i="130"/>
  <c r="M19" i="130"/>
  <c r="N19" i="130"/>
  <c r="E21" i="130"/>
  <c r="F21" i="130"/>
  <c r="I21" i="130"/>
  <c r="J21" i="130"/>
  <c r="K21" i="130"/>
  <c r="L21" i="130"/>
  <c r="M21" i="130"/>
  <c r="N21" i="130"/>
  <c r="O21" i="130"/>
  <c r="P21" i="130"/>
  <c r="Q21" i="130"/>
  <c r="R21" i="130"/>
  <c r="E23" i="130"/>
  <c r="F23" i="130"/>
  <c r="I23" i="130"/>
  <c r="J23" i="130"/>
  <c r="K23" i="130"/>
  <c r="L23" i="130"/>
  <c r="M23" i="130"/>
  <c r="N23" i="130"/>
  <c r="O23" i="130"/>
  <c r="P23" i="130"/>
  <c r="Q23" i="130"/>
  <c r="R23" i="130"/>
  <c r="E29" i="130"/>
  <c r="I29" i="130"/>
  <c r="J29" i="130"/>
  <c r="K29" i="130"/>
  <c r="L29" i="130"/>
  <c r="M29" i="130"/>
  <c r="N29" i="130"/>
  <c r="O29" i="130"/>
  <c r="P29" i="130"/>
  <c r="Q29" i="130"/>
  <c r="R29" i="130"/>
  <c r="H15" i="128"/>
  <c r="E29" i="128"/>
  <c r="E31" i="128"/>
  <c r="E32" i="128"/>
  <c r="F35" i="128"/>
  <c r="E42" i="128"/>
  <c r="F42" i="128"/>
  <c r="F43" i="128"/>
  <c r="E45" i="128"/>
  <c r="E47" i="128"/>
  <c r="E48" i="128"/>
  <c r="I48" i="128"/>
  <c r="F51" i="128"/>
  <c r="H59" i="127"/>
  <c r="H60" i="127"/>
  <c r="J60" i="127"/>
  <c r="C6" i="149"/>
  <c r="F6" i="149"/>
  <c r="G6" i="149"/>
  <c r="J6" i="149"/>
  <c r="F9" i="149"/>
  <c r="G9" i="149"/>
  <c r="J9" i="149"/>
  <c r="C11" i="149"/>
  <c r="F11" i="149"/>
  <c r="G11" i="149"/>
  <c r="J11" i="149"/>
  <c r="F12" i="149"/>
  <c r="G12" i="149"/>
  <c r="J12" i="149"/>
  <c r="F13" i="149"/>
  <c r="G13" i="149"/>
  <c r="J13" i="149"/>
  <c r="C14" i="149"/>
  <c r="F14" i="149"/>
  <c r="G14" i="149"/>
  <c r="J14" i="149"/>
  <c r="F16" i="149"/>
  <c r="G16" i="149"/>
  <c r="J16" i="149"/>
  <c r="F17" i="149"/>
  <c r="G17" i="149"/>
  <c r="H17" i="149"/>
  <c r="I17" i="149"/>
  <c r="J17" i="149"/>
  <c r="G19" i="149"/>
  <c r="G20" i="149"/>
  <c r="G21" i="149"/>
  <c r="G22" i="149"/>
  <c r="G25" i="149"/>
  <c r="C5" i="129"/>
  <c r="D11" i="129"/>
  <c r="G11" i="129"/>
  <c r="D13" i="129"/>
  <c r="G13" i="129"/>
  <c r="D14" i="129"/>
  <c r="G14" i="129"/>
  <c r="D15" i="129"/>
  <c r="G15" i="129"/>
  <c r="G16" i="129"/>
  <c r="G18" i="129"/>
  <c r="G19" i="129"/>
  <c r="G20" i="129"/>
  <c r="G22" i="129"/>
  <c r="C5" i="58"/>
  <c r="D11" i="58"/>
  <c r="G11" i="58"/>
  <c r="D13" i="58"/>
  <c r="G13" i="58"/>
  <c r="D14" i="58"/>
  <c r="G14" i="58"/>
  <c r="D15" i="58"/>
  <c r="G15" i="58"/>
  <c r="G16" i="58"/>
  <c r="G18" i="58"/>
  <c r="G19" i="58"/>
  <c r="G20" i="58"/>
  <c r="G22" i="58"/>
  <c r="F132" i="56"/>
  <c r="G132" i="56"/>
  <c r="I132" i="56"/>
  <c r="J132" i="56"/>
  <c r="K132" i="56"/>
  <c r="L132" i="56"/>
  <c r="M132" i="56"/>
  <c r="N132" i="56"/>
  <c r="G134" i="56"/>
  <c r="I134" i="56"/>
  <c r="J134" i="56"/>
  <c r="K134" i="56"/>
  <c r="L134" i="56"/>
  <c r="M134" i="56"/>
  <c r="N134" i="56"/>
  <c r="F136" i="56"/>
  <c r="G136" i="56"/>
  <c r="I136" i="56"/>
  <c r="J136" i="56"/>
  <c r="K136" i="56"/>
  <c r="L136" i="56"/>
  <c r="M136" i="56"/>
  <c r="N136" i="56"/>
  <c r="G137" i="56"/>
  <c r="I137" i="56"/>
  <c r="J137" i="56"/>
  <c r="K137" i="56"/>
  <c r="L137" i="56"/>
  <c r="M137" i="56"/>
  <c r="N137" i="56"/>
  <c r="F138" i="56"/>
  <c r="G138" i="56"/>
  <c r="J138" i="56"/>
  <c r="N138" i="56"/>
  <c r="G141" i="56"/>
  <c r="I141" i="56"/>
  <c r="J141" i="56"/>
  <c r="K141" i="56"/>
  <c r="L141" i="56"/>
  <c r="M141" i="56"/>
  <c r="N141" i="56"/>
  <c r="AF141" i="56"/>
  <c r="I144" i="56"/>
  <c r="J144" i="56"/>
  <c r="K144" i="56"/>
  <c r="L144" i="56"/>
  <c r="M144" i="56"/>
  <c r="N144" i="5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Kevin C</author>
  </authors>
  <commentList>
    <comment ref="E6" authorId="0" shapeId="0" xr:uid="{00000000-0006-0000-0000-000001000000}">
      <text>
        <r>
          <rPr>
            <b/>
            <sz val="9"/>
            <color indexed="81"/>
            <rFont val="Tahoma"/>
            <family val="2"/>
          </rPr>
          <t>EL REPLANTEO SE TARDARÁ 2 MESES APROXIMADAMENTE</t>
        </r>
      </text>
    </comment>
    <comment ref="E7" authorId="0" shapeId="0" xr:uid="{00000000-0006-0000-0000-000002000000}">
      <text>
        <r>
          <rPr>
            <b/>
            <sz val="9"/>
            <color indexed="81"/>
            <rFont val="Tahoma"/>
            <family val="2"/>
          </rPr>
          <t xml:space="preserve">CANT TOTAL DE TUBERÍA ALDO X 2
</t>
        </r>
      </text>
    </comment>
    <comment ref="E9" authorId="0" shapeId="0" xr:uid="{00000000-0006-0000-0000-000003000000}">
      <text>
        <r>
          <rPr>
            <b/>
            <sz val="9"/>
            <color indexed="81"/>
            <rFont val="Tahoma"/>
            <family val="2"/>
          </rPr>
          <t xml:space="preserve">DEMOLICIÓN BRECHAS ACTO, ALDO Y DOMICILIARIAS DE AMBOS
</t>
        </r>
      </text>
    </comment>
    <comment ref="E10" authorId="0" shapeId="0" xr:uid="{00000000-0006-0000-0000-000004000000}">
      <text>
        <r>
          <rPr>
            <b/>
            <sz val="9"/>
            <color indexed="81"/>
            <rFont val="Tahoma"/>
            <family val="2"/>
          </rPr>
          <t>CANT ACOMETIDAS ACUEDUCTO * 0,4M DE ANCHO, 1M DE LARGO Y 0,2M DE ESPESOR DE ANDEN</t>
        </r>
      </text>
    </comment>
    <comment ref="E11" authorId="0" shapeId="0" xr:uid="{00000000-0006-0000-0000-000005000000}">
      <text>
        <r>
          <rPr>
            <b/>
            <sz val="9"/>
            <color indexed="81"/>
            <rFont val="Tahoma"/>
            <family val="2"/>
          </rPr>
          <t xml:space="preserve">CANTIDAD PROVENIENTE DE LOS PLANOS, 16 A REPONER + 2 A SUSPENDER, PARA UN TOTAL DE 18
</t>
        </r>
      </text>
    </comment>
    <comment ref="E13" authorId="0" shapeId="0" xr:uid="{00000000-0006-0000-0000-000006000000}">
      <text>
        <r>
          <rPr>
            <b/>
            <sz val="9"/>
            <color indexed="81"/>
            <rFont val="Tahoma"/>
            <family val="2"/>
          </rPr>
          <t>EXC PARA SUMIDEROS + DOMICILIARIAS ALDO + DOMICILIARIAS ACTO</t>
        </r>
      </text>
    </comment>
    <comment ref="E14" authorId="0" shapeId="0" xr:uid="{00000000-0006-0000-0000-000007000000}">
      <text>
        <r>
          <rPr>
            <b/>
            <sz val="9"/>
            <color indexed="81"/>
            <rFont val="Tahoma"/>
            <family val="2"/>
          </rPr>
          <t>EXC BRECHA ALDO + BRECHA RED PRINCIPAL ACTO</t>
        </r>
      </text>
    </comment>
    <comment ref="E15" authorId="0" shapeId="0" xr:uid="{00000000-0006-0000-0000-000008000000}">
      <text>
        <r>
          <rPr>
            <b/>
            <sz val="9"/>
            <color indexed="81"/>
            <rFont val="Tahoma"/>
            <family val="2"/>
          </rPr>
          <t xml:space="preserve">EXC RED PRINCIPAL ALDO + DOMICILIARIAS ALDO
</t>
        </r>
      </text>
    </comment>
    <comment ref="E16" authorId="0" shapeId="0" xr:uid="{00000000-0006-0000-0000-000009000000}">
      <text>
        <r>
          <rPr>
            <b/>
            <sz val="9"/>
            <color indexed="81"/>
            <rFont val="Tahoma"/>
            <family val="2"/>
          </rPr>
          <t xml:space="preserve">EXC RED PRINCIPAL ALDO + DOMICILIARIAS ALDO
</t>
        </r>
      </text>
    </comment>
    <comment ref="E17" authorId="0" shapeId="0" xr:uid="{00000000-0006-0000-0000-00000A000000}">
      <text>
        <r>
          <rPr>
            <b/>
            <sz val="9"/>
            <color indexed="81"/>
            <rFont val="Tahoma"/>
            <family val="2"/>
          </rPr>
          <t>RED PRINCIPAL ALDO + RED PRINCIPAL ACTO + DOMICILIARIAS ACTO</t>
        </r>
      </text>
    </comment>
    <comment ref="E18" authorId="0" shapeId="0" xr:uid="{00000000-0006-0000-0000-00000B000000}">
      <text>
        <r>
          <rPr>
            <b/>
            <sz val="9"/>
            <color indexed="81"/>
            <rFont val="Tahoma"/>
            <family val="2"/>
          </rPr>
          <t>LLENOS RED PRINCIPAL ALDO + RED PRINCIPAL ACTO + DOMICILIARIAS ALDO</t>
        </r>
      </text>
    </comment>
    <comment ref="E19" authorId="0" shapeId="0" xr:uid="{00000000-0006-0000-0000-00000C000000}">
      <text>
        <r>
          <rPr>
            <b/>
            <sz val="9"/>
            <color indexed="81"/>
            <rFont val="Tahoma"/>
            <family val="2"/>
          </rPr>
          <t xml:space="preserve">LLENOS RED PRINCIPAL ALDO + RED PRINCIPAL ACTO + DOMICILIARIAS ALDO
</t>
        </r>
      </text>
    </comment>
    <comment ref="E20" authorId="0" shapeId="0" xr:uid="{00000000-0006-0000-0000-00000D000000}">
      <text>
        <r>
          <rPr>
            <b/>
            <sz val="9"/>
            <color indexed="81"/>
            <rFont val="Tahoma"/>
            <family val="2"/>
          </rPr>
          <t>TRITURADO PARA CIMENTACIÓN TUBERÍAS ALDO</t>
        </r>
      </text>
    </comment>
    <comment ref="E21" authorId="0" shapeId="0" xr:uid="{00000000-0006-0000-0000-00000E000000}">
      <text>
        <r>
          <rPr>
            <b/>
            <sz val="9"/>
            <color indexed="81"/>
            <rFont val="Tahoma"/>
            <family val="2"/>
          </rPr>
          <t>RED PRINCIPAL ALDO + RED PRINCIPAL ACTO + ACOMETIDAS ACTO</t>
        </r>
      </text>
    </comment>
    <comment ref="E23" authorId="0" shapeId="0" xr:uid="{00000000-0006-0000-0000-00000F000000}">
      <text>
        <r>
          <rPr>
            <b/>
            <sz val="9"/>
            <color indexed="81"/>
            <rFont val="Tahoma"/>
            <family val="2"/>
          </rPr>
          <t>CANT DOMICILIARIAS ALDO</t>
        </r>
      </text>
    </comment>
    <comment ref="E24" authorId="0" shapeId="0" xr:uid="{00000000-0006-0000-0000-000010000000}">
      <text>
        <r>
          <rPr>
            <b/>
            <sz val="9"/>
            <color indexed="81"/>
            <rFont val="Tahoma"/>
            <family val="2"/>
          </rPr>
          <t>CANTIDAD PROVENIENTE DE LOS PLANOS, 31 A REEMPLAZAR Y 5 A CONSTRUIR, PARA UN TOTAL DE 36</t>
        </r>
      </text>
    </comment>
    <comment ref="E25" authorId="0" shapeId="0" xr:uid="{00000000-0006-0000-0000-000011000000}">
      <text>
        <r>
          <rPr>
            <b/>
            <sz val="9"/>
            <color indexed="81"/>
            <rFont val="Tahoma"/>
            <family val="2"/>
          </rPr>
          <t>TOTAL DE VÁLVULAS A INSTALAR</t>
        </r>
      </text>
    </comment>
    <comment ref="E26" authorId="0" shapeId="0" xr:uid="{00000000-0006-0000-0000-000012000000}">
      <text>
        <r>
          <rPr>
            <b/>
            <sz val="9"/>
            <color indexed="81"/>
            <rFont val="Tahoma"/>
            <family val="2"/>
          </rPr>
          <t>DEMOLICIÓN DE ANDENES, SE DIVIDE POR 0,2 DE ESPESOR</t>
        </r>
      </text>
    </comment>
    <comment ref="E27" authorId="0" shapeId="0" xr:uid="{00000000-0006-0000-0000-000013000000}">
      <text>
        <r>
          <rPr>
            <b/>
            <sz val="9"/>
            <color indexed="81"/>
            <rFont val="Tahoma"/>
            <family val="2"/>
          </rPr>
          <t>CANTIDADES TOTALES DE BRECHA RED PRINCIPAL ALDO + DOMICILIARIAS ALDO + RED PRINCIPAL ACTO + DOMICILIARIAS ACTO</t>
        </r>
      </text>
    </comment>
    <comment ref="E28" authorId="0" shapeId="0" xr:uid="{00000000-0006-0000-0000-000014000000}">
      <text>
        <r>
          <rPr>
            <b/>
            <sz val="9"/>
            <color indexed="81"/>
            <rFont val="Tahoma"/>
            <family val="2"/>
          </rPr>
          <t>CANTIDADES TOTALES DE BRECHA RED PRINCIPAL ALDO + DOMICILIARIAS ALDO + RED PRINCIPAL ACTO + DOMICILIARIAS ACTO</t>
        </r>
      </text>
    </comment>
    <comment ref="E29" authorId="0" shapeId="0" xr:uid="{00000000-0006-0000-0000-000015000000}">
      <text>
        <r>
          <rPr>
            <b/>
            <sz val="9"/>
            <color indexed="81"/>
            <rFont val="Tahoma"/>
            <family val="2"/>
          </rPr>
          <t>CANTIDADES TOTALES DE BRECHA RED PRINCIPAL ALDO + DOMICILIARIAS ALDO + RED PRINCIPAL ACTO + DOMICILIARIAS ACTO</t>
        </r>
      </text>
    </comment>
    <comment ref="E30" authorId="0" shapeId="0" xr:uid="{00000000-0006-0000-0000-000016000000}">
      <text>
        <r>
          <rPr>
            <b/>
            <sz val="9"/>
            <color indexed="81"/>
            <rFont val="Tahoma"/>
            <family val="2"/>
          </rPr>
          <t>CANT TOTAL CÁMARAS DE INSPECCIÓN A INSTALAR</t>
        </r>
      </text>
    </comment>
    <comment ref="E31" authorId="0" shapeId="0" xr:uid="{00000000-0006-0000-0000-000017000000}">
      <text>
        <r>
          <rPr>
            <b/>
            <sz val="9"/>
            <color indexed="81"/>
            <rFont val="Tahoma"/>
            <family val="2"/>
          </rPr>
          <t>TOTAL ACOMETIDAS ACTO</t>
        </r>
      </text>
    </comment>
    <comment ref="E32" authorId="0" shapeId="0" xr:uid="{00000000-0006-0000-0000-000018000000}">
      <text>
        <r>
          <rPr>
            <b/>
            <sz val="9"/>
            <color indexed="81"/>
            <rFont val="Tahoma"/>
            <family val="2"/>
          </rPr>
          <t>SE VAN A SUSPENDER O ANULAR 16 SUMIDEROS, PROVIENE DEL DISEÑO</t>
        </r>
      </text>
    </comment>
    <comment ref="E34" authorId="0" shapeId="0" xr:uid="{00000000-0006-0000-0000-000019000000}">
      <text>
        <r>
          <rPr>
            <b/>
            <sz val="9"/>
            <color indexed="81"/>
            <rFont val="Tahoma"/>
            <family val="2"/>
          </rPr>
          <t>ENTIBADO ALDO + ENTIBADO DOMICILIARIAS ALDO</t>
        </r>
      </text>
    </comment>
    <comment ref="E35" authorId="0" shapeId="0" xr:uid="{00000000-0006-0000-0000-00001A000000}">
      <text>
        <r>
          <rPr>
            <b/>
            <sz val="9"/>
            <color indexed="81"/>
            <rFont val="Tahoma"/>
            <family val="2"/>
          </rPr>
          <t>ENTIBADO ALDO + ENTIBADO ACTO</t>
        </r>
      </text>
    </comment>
    <comment ref="E36" authorId="0" shapeId="0" xr:uid="{00000000-0006-0000-0000-00001B000000}">
      <text>
        <r>
          <rPr>
            <b/>
            <sz val="9"/>
            <color indexed="81"/>
            <rFont val="Tahoma"/>
            <family val="2"/>
          </rPr>
          <t>CORRESPONDE AL DISEÑO</t>
        </r>
      </text>
    </comment>
    <comment ref="E37" authorId="0" shapeId="0" xr:uid="{00000000-0006-0000-0000-00001C000000}">
      <text>
        <r>
          <rPr>
            <b/>
            <sz val="9"/>
            <color indexed="81"/>
            <rFont val="Tahoma"/>
            <family val="2"/>
          </rPr>
          <t>TOTAL TUBERÍA ALDO</t>
        </r>
      </text>
    </comment>
    <comment ref="E39" authorId="0" shapeId="0" xr:uid="{00000000-0006-0000-0000-00001D000000}">
      <text>
        <r>
          <rPr>
            <b/>
            <sz val="9"/>
            <color indexed="81"/>
            <rFont val="Tahoma"/>
            <family val="2"/>
          </rPr>
          <t>8M DE TUBERÍA PARA CADA SUMIDERO</t>
        </r>
      </text>
    </comment>
    <comment ref="E40" authorId="0" shapeId="0" xr:uid="{00000000-0006-0000-0000-00001E000000}">
      <text>
        <r>
          <rPr>
            <b/>
            <sz val="9"/>
            <color indexed="81"/>
            <rFont val="Tahoma"/>
            <family val="2"/>
          </rPr>
          <t>CANTIDAD TOTAL ALDO</t>
        </r>
      </text>
    </comment>
    <comment ref="E41" authorId="0" shapeId="0" xr:uid="{00000000-0006-0000-0000-00001F000000}">
      <text>
        <r>
          <rPr>
            <b/>
            <sz val="9"/>
            <color indexed="81"/>
            <rFont val="Tahoma"/>
            <family val="2"/>
          </rPr>
          <t>CANTIDAD TOTAL ALDO</t>
        </r>
      </text>
    </comment>
    <comment ref="E42" authorId="0" shapeId="0" xr:uid="{00000000-0006-0000-0000-000020000000}">
      <text>
        <r>
          <rPr>
            <b/>
            <sz val="9"/>
            <color indexed="81"/>
            <rFont val="Tahoma"/>
            <family val="2"/>
          </rPr>
          <t>CANTIDAD TOTAL ALDO</t>
        </r>
      </text>
    </comment>
    <comment ref="E43" authorId="0" shapeId="0" xr:uid="{00000000-0006-0000-0000-000021000000}">
      <text>
        <r>
          <rPr>
            <b/>
            <sz val="9"/>
            <color indexed="81"/>
            <rFont val="Tahoma"/>
            <family val="2"/>
          </rPr>
          <t>CANTIDAD TOTAL ALDO</t>
        </r>
      </text>
    </comment>
    <comment ref="E44" authorId="0" shapeId="0" xr:uid="{00000000-0006-0000-0000-000022000000}">
      <text>
        <r>
          <rPr>
            <b/>
            <sz val="9"/>
            <color indexed="81"/>
            <rFont val="Tahoma"/>
            <family val="2"/>
          </rPr>
          <t>CANTIDAD TOTAL ALDO</t>
        </r>
      </text>
    </comment>
    <comment ref="E45" authorId="0" shapeId="0" xr:uid="{00000000-0006-0000-0000-000023000000}">
      <text>
        <r>
          <rPr>
            <b/>
            <sz val="9"/>
            <color indexed="81"/>
            <rFont val="Tahoma"/>
            <family val="2"/>
          </rPr>
          <t>6M DE TUBERÍA POR CADA DOMICILIARIA DE ALDO</t>
        </r>
      </text>
    </comment>
    <comment ref="E46" authorId="0" shapeId="0" xr:uid="{00000000-0006-0000-0000-000024000000}">
      <text>
        <r>
          <rPr>
            <b/>
            <sz val="9"/>
            <color indexed="81"/>
            <rFont val="Tahoma"/>
            <family val="2"/>
          </rPr>
          <t>SILLAS DOMICILIARIAS ALDO</t>
        </r>
      </text>
    </comment>
    <comment ref="E47" authorId="0" shapeId="0" xr:uid="{00000000-0006-0000-0000-000025000000}">
      <text>
        <r>
          <rPr>
            <b/>
            <sz val="9"/>
            <color indexed="81"/>
            <rFont val="Tahoma"/>
            <family val="2"/>
          </rPr>
          <t>SILLAS DOMICILIARIAS ALDO</t>
        </r>
      </text>
    </comment>
    <comment ref="E48" authorId="0" shapeId="0" xr:uid="{00000000-0006-0000-0000-000026000000}">
      <text>
        <r>
          <rPr>
            <b/>
            <sz val="9"/>
            <color indexed="81"/>
            <rFont val="Tahoma"/>
            <family val="2"/>
          </rPr>
          <t>SILLAS DOMICILIARIAS ALDO</t>
        </r>
      </text>
    </comment>
    <comment ref="E49" authorId="0" shapeId="0" xr:uid="{00000000-0006-0000-0000-000027000000}">
      <text>
        <r>
          <rPr>
            <b/>
            <sz val="9"/>
            <color indexed="81"/>
            <rFont val="Tahoma"/>
            <family val="2"/>
          </rPr>
          <t>SILLAS DOMICILIARIAS ALDO</t>
        </r>
      </text>
    </comment>
    <comment ref="E50" authorId="0" shapeId="0" xr:uid="{00000000-0006-0000-0000-000028000000}">
      <text>
        <r>
          <rPr>
            <b/>
            <sz val="9"/>
            <color indexed="81"/>
            <rFont val="Tahoma"/>
            <family val="2"/>
          </rPr>
          <t>SILLAS DOMICILIARIAS ALDO</t>
        </r>
      </text>
    </comment>
    <comment ref="E51" authorId="0" shapeId="0" xr:uid="{00000000-0006-0000-0000-000029000000}">
      <text>
        <r>
          <rPr>
            <b/>
            <sz val="9"/>
            <color indexed="81"/>
            <rFont val="Tahoma"/>
            <family val="2"/>
          </rPr>
          <t>TOTAL RED DE ACTO</t>
        </r>
      </text>
    </comment>
    <comment ref="E52" authorId="0" shapeId="0" xr:uid="{00000000-0006-0000-0000-00002A000000}">
      <text>
        <r>
          <rPr>
            <b/>
            <sz val="9"/>
            <color indexed="81"/>
            <rFont val="Tahoma"/>
            <family val="2"/>
          </rPr>
          <t>TOTAL RED DE ACTO</t>
        </r>
      </text>
    </comment>
    <comment ref="E53" authorId="0" shapeId="0" xr:uid="{00000000-0006-0000-0000-00002B000000}">
      <text>
        <r>
          <rPr>
            <b/>
            <sz val="9"/>
            <color indexed="81"/>
            <rFont val="Tahoma"/>
            <family val="2"/>
          </rPr>
          <t>TOTAL RED DE ACTO</t>
        </r>
      </text>
    </comment>
    <comment ref="E54" authorId="0" shapeId="0" xr:uid="{00000000-0006-0000-0000-00002C000000}">
      <text>
        <r>
          <rPr>
            <b/>
            <sz val="9"/>
            <color indexed="81"/>
            <rFont val="Tahoma"/>
            <family val="2"/>
          </rPr>
          <t>TOTAL RED DE ACTO</t>
        </r>
      </text>
    </comment>
    <comment ref="E55" authorId="0" shapeId="0" xr:uid="{00000000-0006-0000-0000-00002D000000}">
      <text>
        <r>
          <rPr>
            <b/>
            <sz val="9"/>
            <color indexed="81"/>
            <rFont val="Tahoma"/>
            <family val="2"/>
          </rPr>
          <t>CANTIDADES PROVENIENTES DEL DISEÑO DE ACTO</t>
        </r>
      </text>
    </comment>
    <comment ref="E56" authorId="0" shapeId="0" xr:uid="{00000000-0006-0000-0000-00002E000000}">
      <text>
        <r>
          <rPr>
            <b/>
            <sz val="9"/>
            <color indexed="81"/>
            <rFont val="Tahoma"/>
            <family val="2"/>
          </rPr>
          <t>CANTIDADES PROVENIENTES DEL DISEÑO DE ACTO</t>
        </r>
      </text>
    </comment>
    <comment ref="E57" authorId="0" shapeId="0" xr:uid="{00000000-0006-0000-0000-00002F000000}">
      <text>
        <r>
          <rPr>
            <b/>
            <sz val="9"/>
            <color indexed="81"/>
            <rFont val="Tahoma"/>
            <family val="2"/>
          </rPr>
          <t>CANTIDADES PROVENIENTES DEL DISEÑO DE ACTO</t>
        </r>
      </text>
    </comment>
    <comment ref="E58" authorId="0" shapeId="0" xr:uid="{00000000-0006-0000-0000-000030000000}">
      <text>
        <r>
          <rPr>
            <b/>
            <sz val="9"/>
            <color indexed="81"/>
            <rFont val="Tahoma"/>
            <family val="2"/>
          </rPr>
          <t>CANTIDADES PROVENIENTES DEL DISEÑO DE ACTO</t>
        </r>
      </text>
    </comment>
    <comment ref="E59" authorId="0" shapeId="0" xr:uid="{00000000-0006-0000-0000-000031000000}">
      <text>
        <r>
          <rPr>
            <b/>
            <sz val="9"/>
            <color indexed="81"/>
            <rFont val="Tahoma"/>
            <family val="2"/>
          </rPr>
          <t>CANTIDADES PROVENIENTES DEL DISEÑO DE ACTO</t>
        </r>
      </text>
    </comment>
    <comment ref="E60" authorId="0" shapeId="0" xr:uid="{00000000-0006-0000-0000-000032000000}">
      <text>
        <r>
          <rPr>
            <b/>
            <sz val="9"/>
            <color indexed="81"/>
            <rFont val="Tahoma"/>
            <family val="2"/>
          </rPr>
          <t>CANTIDADES PROVENIENTES DEL DISEÑO DE ACTO</t>
        </r>
      </text>
    </comment>
    <comment ref="E61" authorId="0" shapeId="0" xr:uid="{00000000-0006-0000-0000-000033000000}">
      <text>
        <r>
          <rPr>
            <b/>
            <sz val="9"/>
            <color indexed="81"/>
            <rFont val="Tahoma"/>
            <family val="2"/>
          </rPr>
          <t>CANTIDADES PROVENIENTES DEL DISEÑO DE ACTO</t>
        </r>
      </text>
    </comment>
    <comment ref="E62" authorId="0" shapeId="0" xr:uid="{00000000-0006-0000-0000-000034000000}">
      <text>
        <r>
          <rPr>
            <b/>
            <sz val="9"/>
            <color indexed="81"/>
            <rFont val="Tahoma"/>
            <family val="2"/>
          </rPr>
          <t>CANTIDADES PROVENIENTES DEL DISEÑO DE ACTO</t>
        </r>
      </text>
    </comment>
    <comment ref="E63" authorId="0" shapeId="0" xr:uid="{00000000-0006-0000-0000-000035000000}">
      <text>
        <r>
          <rPr>
            <b/>
            <sz val="9"/>
            <color indexed="81"/>
            <rFont val="Tahoma"/>
            <family val="2"/>
          </rPr>
          <t>CANTIDADES PROVENIENTES DEL DISEÑO DE ACTO</t>
        </r>
      </text>
    </comment>
    <comment ref="E64" authorId="0" shapeId="0" xr:uid="{00000000-0006-0000-0000-000036000000}">
      <text>
        <r>
          <rPr>
            <b/>
            <sz val="9"/>
            <color indexed="81"/>
            <rFont val="Tahoma"/>
            <family val="2"/>
          </rPr>
          <t>CANTIDADES PROVENIENTES DEL DISEÑO DE ACTO</t>
        </r>
      </text>
    </comment>
    <comment ref="E65" authorId="0" shapeId="0" xr:uid="{00000000-0006-0000-0000-000037000000}">
      <text>
        <r>
          <rPr>
            <b/>
            <sz val="9"/>
            <color indexed="81"/>
            <rFont val="Tahoma"/>
            <family val="2"/>
          </rPr>
          <t>CANTIDADES PROVENIENTES DEL DISEÑO DE ACTO</t>
        </r>
      </text>
    </comment>
    <comment ref="E66" authorId="0" shapeId="0" xr:uid="{00000000-0006-0000-0000-000038000000}">
      <text>
        <r>
          <rPr>
            <b/>
            <sz val="9"/>
            <color indexed="81"/>
            <rFont val="Tahoma"/>
            <family val="2"/>
          </rPr>
          <t>CANTIDADES PROVENIENTES DEL DISEÑO DE ACTO</t>
        </r>
      </text>
    </comment>
    <comment ref="E67" authorId="0" shapeId="0" xr:uid="{00000000-0006-0000-0000-000039000000}">
      <text>
        <r>
          <rPr>
            <b/>
            <sz val="9"/>
            <color indexed="81"/>
            <rFont val="Tahoma"/>
            <family val="2"/>
          </rPr>
          <t>CANTIDADES PROVENIENTES DEL DISEÑO DE ACTO</t>
        </r>
      </text>
    </comment>
    <comment ref="E68" authorId="0" shapeId="0" xr:uid="{00000000-0006-0000-0000-00003A000000}">
      <text>
        <r>
          <rPr>
            <b/>
            <sz val="9"/>
            <color indexed="81"/>
            <rFont val="Tahoma"/>
            <family val="2"/>
          </rPr>
          <t>CANTIDADES PROVENIENTES DEL DISEÑO DE ACTO</t>
        </r>
      </text>
    </comment>
    <comment ref="E69" authorId="0" shapeId="0" xr:uid="{00000000-0006-0000-0000-00003B000000}">
      <text>
        <r>
          <rPr>
            <b/>
            <sz val="9"/>
            <color indexed="81"/>
            <rFont val="Tahoma"/>
            <family val="2"/>
          </rPr>
          <t>CANTIDADES PROVENIENTES DEL DISEÑO DE ACTO</t>
        </r>
      </text>
    </comment>
    <comment ref="E70" authorId="0" shapeId="0" xr:uid="{00000000-0006-0000-0000-00003C000000}">
      <text>
        <r>
          <rPr>
            <b/>
            <sz val="9"/>
            <color indexed="81"/>
            <rFont val="Tahoma"/>
            <family val="2"/>
          </rPr>
          <t>CANTIDADES PROVENIENTES DEL DISEÑO DE ACTO</t>
        </r>
      </text>
    </comment>
    <comment ref="E71" authorId="0" shapeId="0" xr:uid="{00000000-0006-0000-0000-00003D000000}">
      <text>
        <r>
          <rPr>
            <b/>
            <sz val="9"/>
            <color indexed="81"/>
            <rFont val="Tahoma"/>
            <family val="2"/>
          </rPr>
          <t>CANTIDADES PROVENIENTES DEL DISEÑO DE ACTO</t>
        </r>
      </text>
    </comment>
    <comment ref="E72" authorId="0" shapeId="0" xr:uid="{00000000-0006-0000-0000-00003E000000}">
      <text>
        <r>
          <rPr>
            <b/>
            <sz val="9"/>
            <color indexed="81"/>
            <rFont val="Tahoma"/>
            <family val="2"/>
          </rPr>
          <t>CANTIDADES PROVENIENTES DEL DISEÑO DE ACTO</t>
        </r>
      </text>
    </comment>
    <comment ref="E73" authorId="0" shapeId="0" xr:uid="{00000000-0006-0000-0000-00003F000000}">
      <text>
        <r>
          <rPr>
            <b/>
            <sz val="9"/>
            <color indexed="81"/>
            <rFont val="Tahoma"/>
            <family val="2"/>
          </rPr>
          <t>CANTIDADES PROVENIENTES DEL DISEÑO DE ACTO</t>
        </r>
      </text>
    </comment>
    <comment ref="E74" authorId="0" shapeId="0" xr:uid="{00000000-0006-0000-0000-000040000000}">
      <text>
        <r>
          <rPr>
            <b/>
            <sz val="9"/>
            <color indexed="81"/>
            <rFont val="Tahoma"/>
            <family val="2"/>
          </rPr>
          <t>CANTIDADES PROVENIENTES DEL DISEÑO DE ACTO</t>
        </r>
      </text>
    </comment>
    <comment ref="E75" authorId="0" shapeId="0" xr:uid="{00000000-0006-0000-0000-000041000000}">
      <text>
        <r>
          <rPr>
            <b/>
            <sz val="9"/>
            <color indexed="81"/>
            <rFont val="Tahoma"/>
            <family val="2"/>
          </rPr>
          <t>CANTIDADES PROVENIENTES DEL DISEÑO DE ACTO</t>
        </r>
      </text>
    </comment>
    <comment ref="E76" authorId="0" shapeId="0" xr:uid="{00000000-0006-0000-0000-000042000000}">
      <text>
        <r>
          <rPr>
            <b/>
            <sz val="9"/>
            <color indexed="81"/>
            <rFont val="Tahoma"/>
            <family val="2"/>
          </rPr>
          <t>CANTIDADES PROVENIENTES DEL DISEÑO DE ACTO</t>
        </r>
      </text>
    </comment>
    <comment ref="E77" authorId="0" shapeId="0" xr:uid="{00000000-0006-0000-0000-000043000000}">
      <text>
        <r>
          <rPr>
            <b/>
            <sz val="9"/>
            <color indexed="81"/>
            <rFont val="Tahoma"/>
            <family val="2"/>
          </rPr>
          <t>LONG TOTAL DE MH DE 1,20 DE DIAMETRO</t>
        </r>
      </text>
    </comment>
    <comment ref="E78" authorId="0" shapeId="0" xr:uid="{00000000-0006-0000-0000-000044000000}">
      <text>
        <r>
          <rPr>
            <b/>
            <sz val="9"/>
            <color indexed="81"/>
            <rFont val="Tahoma"/>
            <family val="2"/>
          </rPr>
          <t>LONG TOTAL DE MH DE 1,50 DE DIAMETRO</t>
        </r>
      </text>
    </comment>
    <comment ref="E79" authorId="0" shapeId="0" xr:uid="{00000000-0006-0000-0000-000045000000}">
      <text>
        <r>
          <rPr>
            <b/>
            <sz val="9"/>
            <color indexed="81"/>
            <rFont val="Tahoma"/>
            <family val="2"/>
          </rPr>
          <t>CANTIDAD TOTAL DE MH DE 1,20 DE DIAMETRO</t>
        </r>
      </text>
    </comment>
    <comment ref="E80" authorId="0" shapeId="0" xr:uid="{00000000-0006-0000-0000-000046000000}">
      <text>
        <r>
          <rPr>
            <b/>
            <sz val="9"/>
            <color indexed="81"/>
            <rFont val="Tahoma"/>
            <family val="2"/>
          </rPr>
          <t>CANTIDAD TOTAL DE MH DE 1,50 DE DIAMETRO</t>
        </r>
      </text>
    </comment>
    <comment ref="E81" authorId="0" shapeId="0" xr:uid="{00000000-0006-0000-0000-000047000000}">
      <text>
        <r>
          <rPr>
            <b/>
            <sz val="9"/>
            <color indexed="81"/>
            <rFont val="Tahoma"/>
            <family val="2"/>
          </rPr>
          <t>CANTIDAD TOTAL DE MH DE 1,20 DE DIAMETRO</t>
        </r>
      </text>
    </comment>
    <comment ref="E82" authorId="0" shapeId="0" xr:uid="{00000000-0006-0000-0000-000048000000}">
      <text>
        <r>
          <rPr>
            <b/>
            <sz val="9"/>
            <color indexed="81"/>
            <rFont val="Tahoma"/>
            <family val="2"/>
          </rPr>
          <t>CANTIDAD TOTAL DE MH DE 1,50 DE DIAMETRO</t>
        </r>
      </text>
    </comment>
    <comment ref="E83" authorId="0" shapeId="0" xr:uid="{00000000-0006-0000-0000-000049000000}">
      <text>
        <r>
          <rPr>
            <b/>
            <sz val="9"/>
            <color indexed="81"/>
            <rFont val="Tahoma"/>
            <family val="2"/>
          </rPr>
          <t>CANTIDAD TOTAL DE MH DE 1,20 DE DIAMETRO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AU8" authorId="0" shapeId="0" xr:uid="{00000000-0006-0000-0300-000001000000}">
      <text>
        <r>
          <rPr>
            <b/>
            <sz val="9"/>
            <color indexed="81"/>
            <rFont val="Tahoma"/>
            <family val="2"/>
          </rPr>
          <t>Se encuentran los 0.2m de base y los 0.2m de subbase, al ingresarlos al presupuesto dividir cada uno en dos.</t>
        </r>
      </text>
    </comment>
    <comment ref="CU8" authorId="0" shapeId="0" xr:uid="{00000000-0006-0000-0300-000002000000}">
      <text>
        <r>
          <rPr>
            <b/>
            <sz val="9"/>
            <color indexed="81"/>
            <rFont val="Tahoma"/>
            <family val="2"/>
          </rPr>
          <t>Celdas rojas indican que no seran repuestos los MH's</t>
        </r>
      </text>
    </comment>
    <comment ref="BD9" authorId="0" shapeId="0" xr:uid="{00000000-0006-0000-0300-000003000000}">
      <text>
        <r>
          <rPr>
            <b/>
            <sz val="9"/>
            <color indexed="81"/>
            <rFont val="Tahoma"/>
            <family val="2"/>
          </rPr>
          <t>Si la celda es roja significa que debe tener tapa losa y que la profundidad se calculo sin cono.</t>
        </r>
      </text>
    </comment>
    <comment ref="CV24" authorId="0" shapeId="0" xr:uid="{00000000-0006-0000-0300-000004000000}">
      <text>
        <r>
          <rPr>
            <b/>
            <sz val="9"/>
            <color indexed="81"/>
            <rFont val="Tahoma"/>
            <family val="2"/>
          </rPr>
          <t>Autor:</t>
        </r>
        <r>
          <rPr>
            <sz val="9"/>
            <color indexed="81"/>
            <rFont val="Tahoma"/>
            <family val="2"/>
          </rPr>
          <t xml:space="preserve">
Tuberia expuesta se debe colovar acero o un material resistente a la intemperie</t>
        </r>
      </text>
    </comment>
    <comment ref="CV25" authorId="0" shapeId="0" xr:uid="{00000000-0006-0000-0300-000005000000}">
      <text>
        <r>
          <rPr>
            <b/>
            <sz val="9"/>
            <color indexed="81"/>
            <rFont val="Tahoma"/>
            <family val="2"/>
          </rPr>
          <t>Autor:</t>
        </r>
        <r>
          <rPr>
            <sz val="9"/>
            <color indexed="81"/>
            <rFont val="Tahoma"/>
            <family val="2"/>
          </rPr>
          <t xml:space="preserve">
Tuberia expuesta se debe colovar acero o un material resistente a la intemperie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C5" authorId="0" shapeId="0" xr:uid="{00000000-0006-0000-0600-000001000000}">
      <text>
        <r>
          <rPr>
            <b/>
            <sz val="9"/>
            <color indexed="81"/>
            <rFont val="Tahoma"/>
            <family val="2"/>
          </rPr>
          <t>ADMIN:</t>
        </r>
        <r>
          <rPr>
            <sz val="9"/>
            <color indexed="81"/>
            <rFont val="Tahoma"/>
            <family val="2"/>
          </rPr>
          <t xml:space="preserve">
SE RESTARON 0,92 m DE TUBERIA</t>
        </r>
      </text>
    </comment>
    <comment ref="C6" authorId="0" shapeId="0" xr:uid="{00000000-0006-0000-0600-000002000000}">
      <text>
        <r>
          <rPr>
            <b/>
            <sz val="9"/>
            <color indexed="81"/>
            <rFont val="Tahoma"/>
            <family val="2"/>
          </rPr>
          <t>ADMIN:</t>
        </r>
        <r>
          <rPr>
            <sz val="9"/>
            <color indexed="81"/>
            <rFont val="Tahoma"/>
            <family val="2"/>
          </rPr>
          <t xml:space="preserve">
SE AÑADIERON 6m DE TUBERIA</t>
        </r>
      </text>
    </comment>
    <comment ref="D24" authorId="0" shapeId="0" xr:uid="{00000000-0006-0000-0600-000003000000}">
      <text>
        <r>
          <rPr>
            <b/>
            <sz val="9"/>
            <color indexed="81"/>
            <rFont val="Tahoma"/>
            <family val="2"/>
          </rPr>
          <t>ADMIN:</t>
        </r>
        <r>
          <rPr>
            <sz val="9"/>
            <color indexed="81"/>
            <rFont val="Tahoma"/>
            <family val="2"/>
          </rPr>
          <t xml:space="preserve">
SE ELIMINARON 2 UNIDADES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Kevin C</author>
  </authors>
  <commentList>
    <comment ref="C258" authorId="0" shapeId="0" xr:uid="{00000000-0006-0000-0700-000003000000}">
      <text>
        <r>
          <rPr>
            <b/>
            <sz val="9"/>
            <color indexed="81"/>
            <rFont val="Tahoma"/>
            <family val="2"/>
          </rPr>
          <t>3m DE TUBERÍA POR DOMICILIARIA</t>
        </r>
      </text>
    </comment>
    <comment ref="C654" authorId="0" shapeId="0" xr:uid="{00000000-0006-0000-0700-000004000000}">
      <text>
        <r>
          <rPr>
            <b/>
            <sz val="9"/>
            <color indexed="81"/>
            <rFont val="Tahoma"/>
            <family val="2"/>
          </rPr>
          <t>EL RENDIMIENTO DEPENDE DIRECTAMENTE DE LA CANTIDAD DE TUBOS INSTALADOS POR DÍA</t>
        </r>
      </text>
    </comment>
    <comment ref="C719" authorId="0" shapeId="0" xr:uid="{00000000-0006-0000-0700-000005000000}">
      <text>
        <r>
          <rPr>
            <b/>
            <sz val="9"/>
            <color indexed="81"/>
            <rFont val="Tahoma"/>
            <family val="2"/>
          </rPr>
          <t>EL RENDIMIENTO DEPENDE DIRECTAMENTE DE LA CANTIDAD DE TUBOS INSTALADOS POR DÍA</t>
        </r>
      </text>
    </comment>
    <comment ref="C784" authorId="0" shapeId="0" xr:uid="{00000000-0006-0000-0700-000006000000}">
      <text>
        <r>
          <rPr>
            <b/>
            <sz val="9"/>
            <color indexed="81"/>
            <rFont val="Tahoma"/>
            <family val="2"/>
          </rPr>
          <t>EL RENDIMIENTO DEPENDE DIRECTAMENTE DE LA CANTIDAD DE TUBOS INSTALADOS POR DÍA</t>
        </r>
      </text>
    </comment>
    <comment ref="C785" authorId="0" shapeId="0" xr:uid="{00000000-0006-0000-0700-000007000000}">
      <text>
        <r>
          <rPr>
            <b/>
            <sz val="9"/>
            <color indexed="81"/>
            <rFont val="Tahoma"/>
            <family val="2"/>
          </rPr>
          <t>EL RENDIMIENTO DEPENDE DIRECTAMENTE DE LA CANTIDAD DE TUBOS INSTALADOS POR DÍA</t>
        </r>
      </text>
    </comment>
    <comment ref="C794" authorId="0" shapeId="0" xr:uid="{00000000-0006-0000-0700-000008000000}">
      <text>
        <r>
          <rPr>
            <b/>
            <sz val="9"/>
            <color indexed="81"/>
            <rFont val="Tahoma"/>
            <family val="2"/>
          </rPr>
          <t>EL RENDIMIENTO DEPENDE DIRECTAMENTE DE LA CANTIDAD DE TUBOS INSTALADOS POR DÍA</t>
        </r>
      </text>
    </comment>
    <comment ref="C795" authorId="0" shapeId="0" xr:uid="{00000000-0006-0000-0700-000009000000}">
      <text>
        <r>
          <rPr>
            <b/>
            <sz val="9"/>
            <color indexed="81"/>
            <rFont val="Tahoma"/>
            <family val="2"/>
          </rPr>
          <t>EL RENDIMIENTO DEPENDE DIRECTAMENTE DE LA CANTIDAD DE TUBOS INSTALADOS POR DÍA</t>
        </r>
      </text>
    </comment>
    <comment ref="C804" authorId="0" shapeId="0" xr:uid="{00000000-0006-0000-0700-00000A000000}">
      <text>
        <r>
          <rPr>
            <b/>
            <sz val="9"/>
            <color indexed="81"/>
            <rFont val="Tahoma"/>
            <family val="2"/>
          </rPr>
          <t>EL RENDIMIENTO DEPENDE DIRECTAMENTE DE LA CANTIDAD DE TUBOS INSTALADOS POR DÍA</t>
        </r>
      </text>
    </comment>
    <comment ref="C805" authorId="0" shapeId="0" xr:uid="{00000000-0006-0000-0700-00000B000000}">
      <text>
        <r>
          <rPr>
            <b/>
            <sz val="9"/>
            <color indexed="81"/>
            <rFont val="Tahoma"/>
            <family val="2"/>
          </rPr>
          <t>EL RENDIMIENTO DEPENDE DIRECTAMENTE DE LA CANTIDAD DE TUBOS INSTALADOS POR DÍA</t>
        </r>
      </text>
    </comment>
    <comment ref="C814" authorId="0" shapeId="0" xr:uid="{00000000-0006-0000-0700-00000C000000}">
      <text>
        <r>
          <rPr>
            <b/>
            <sz val="9"/>
            <color indexed="81"/>
            <rFont val="Tahoma"/>
            <family val="2"/>
          </rPr>
          <t>EL RENDIMIENTO DEPENDE DIRECTAMENTE DE LA CANTIDAD DE TUBOS INSTALADOS POR DÍA</t>
        </r>
      </text>
    </comment>
    <comment ref="C815" authorId="0" shapeId="0" xr:uid="{00000000-0006-0000-0700-00000D000000}">
      <text>
        <r>
          <rPr>
            <b/>
            <sz val="9"/>
            <color indexed="81"/>
            <rFont val="Tahoma"/>
            <family val="2"/>
          </rPr>
          <t>EL RENDIMIENTO DEPENDE DIRECTAMENTE DE LA CANTIDAD DE TUBOS INSTALADOS POR DÍA</t>
        </r>
      </text>
    </comment>
    <comment ref="C1007" authorId="0" shapeId="0" xr:uid="{00000000-0006-0000-0700-00000E000000}">
      <text>
        <r>
          <rPr>
            <b/>
            <sz val="9"/>
            <color indexed="81"/>
            <rFont val="Tahoma"/>
            <family val="2"/>
          </rPr>
          <t>SE AUMENTA EL RENDIMIENTO DADO QUE SE DEBEN DESCARGAR Y TRANSPORTAR INTERNAMENTE LOS PREFABRICADOS</t>
        </r>
      </text>
    </comment>
    <comment ref="C1016" authorId="0" shapeId="0" xr:uid="{00000000-0006-0000-0700-00000F000000}">
      <text>
        <r>
          <rPr>
            <b/>
            <sz val="9"/>
            <color indexed="81"/>
            <rFont val="Tahoma"/>
            <family val="2"/>
          </rPr>
          <t>SE AUMENTA EL RENDIMIENTO DADO QUE SE DEBEN DESCARGAR Y TRANSPORTAR INTERNAMENTE LOS PREFABRICADOS</t>
        </r>
      </text>
    </comment>
    <comment ref="C1043" authorId="0" shapeId="0" xr:uid="{00000000-0006-0000-0700-000010000000}">
      <text>
        <r>
          <rPr>
            <b/>
            <sz val="9"/>
            <color indexed="81"/>
            <rFont val="Tahoma"/>
            <family val="2"/>
          </rPr>
          <t>SE AUMENTA EL RENDIMIENTO DADO QUE SE DEBEN DESCARGAR Y TRANSPORTAR INTERNAMENTE LOS PREFABRICADOS</t>
        </r>
      </text>
    </comment>
    <comment ref="C1052" authorId="0" shapeId="0" xr:uid="{00000000-0006-0000-0700-000011000000}">
      <text>
        <r>
          <rPr>
            <b/>
            <sz val="9"/>
            <color indexed="81"/>
            <rFont val="Tahoma"/>
            <family val="2"/>
          </rPr>
          <t>SE AUMENTA EL RENDIMIENTO DADO QUE SE DEBEN DESCARGAR Y TRANSPORTAR INTERNAMENTE LOS PREFABRICADOS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J10" authorId="0" shapeId="0" xr:uid="{00000000-0006-0000-1800-000001000000}">
      <text>
        <r>
          <rPr>
            <b/>
            <sz val="9"/>
            <color indexed="81"/>
            <rFont val="Tahoma"/>
            <family val="2"/>
          </rPr>
          <t>ADMIN:</t>
        </r>
        <r>
          <rPr>
            <sz val="9"/>
            <color indexed="81"/>
            <rFont val="Tahoma"/>
            <family val="2"/>
          </rPr>
          <t xml:space="preserve">
EN EL NODO SE PONDRA EL ACCESORIO EN LA ETAPA 1 DE PMAA</t>
        </r>
      </text>
    </comment>
    <comment ref="J11" authorId="0" shapeId="0" xr:uid="{00000000-0006-0000-1800-000002000000}">
      <text>
        <r>
          <rPr>
            <b/>
            <sz val="9"/>
            <color indexed="81"/>
            <rFont val="Tahoma"/>
            <family val="2"/>
          </rPr>
          <t>ADMIN:</t>
        </r>
        <r>
          <rPr>
            <sz val="9"/>
            <color indexed="81"/>
            <rFont val="Tahoma"/>
            <family val="2"/>
          </rPr>
          <t xml:space="preserve">
EN EL NODO SE PONDRA EL ACCESORIO EN LA ETAPA 1 DE PMAA</t>
        </r>
      </text>
    </comment>
    <comment ref="J12" authorId="0" shapeId="0" xr:uid="{00000000-0006-0000-1800-000003000000}">
      <text>
        <r>
          <rPr>
            <b/>
            <sz val="9"/>
            <color indexed="81"/>
            <rFont val="Tahoma"/>
            <family val="2"/>
          </rPr>
          <t>ADMIN:</t>
        </r>
        <r>
          <rPr>
            <sz val="9"/>
            <color indexed="81"/>
            <rFont val="Tahoma"/>
            <family val="2"/>
          </rPr>
          <t xml:space="preserve">
EN EL NODO SE PONDRA EL ACCESORIO EN LA ETAPA 1 DE PMAA</t>
        </r>
      </text>
    </comment>
    <comment ref="J14" authorId="0" shapeId="0" xr:uid="{00000000-0006-0000-1800-000004000000}">
      <text>
        <r>
          <rPr>
            <b/>
            <sz val="9"/>
            <color indexed="81"/>
            <rFont val="Tahoma"/>
            <family val="2"/>
          </rPr>
          <t>ADMIN:</t>
        </r>
        <r>
          <rPr>
            <sz val="9"/>
            <color indexed="81"/>
            <rFont val="Tahoma"/>
            <family val="2"/>
          </rPr>
          <t xml:space="preserve">
EN EL NODO SE PONDRA EL ACCESORIO EN LA ETAPA 1 DE PMAA</t>
        </r>
      </text>
    </comment>
    <comment ref="J17" authorId="0" shapeId="0" xr:uid="{00000000-0006-0000-1800-000005000000}">
      <text>
        <r>
          <rPr>
            <b/>
            <sz val="9"/>
            <color indexed="81"/>
            <rFont val="Tahoma"/>
            <family val="2"/>
          </rPr>
          <t>ADMIN:</t>
        </r>
        <r>
          <rPr>
            <sz val="9"/>
            <color indexed="81"/>
            <rFont val="Tahoma"/>
            <family val="2"/>
          </rPr>
          <t xml:space="preserve">
EN EL NODO SE PONDRA EL ACCESORIO EN LA ETAPA 1 DE PMAA</t>
        </r>
      </text>
    </comment>
    <comment ref="J20" authorId="0" shapeId="0" xr:uid="{00000000-0006-0000-1800-000006000000}">
      <text>
        <r>
          <rPr>
            <b/>
            <sz val="9"/>
            <color indexed="81"/>
            <rFont val="Tahoma"/>
            <family val="2"/>
          </rPr>
          <t>ADMIN:</t>
        </r>
        <r>
          <rPr>
            <sz val="9"/>
            <color indexed="81"/>
            <rFont val="Tahoma"/>
            <family val="2"/>
          </rPr>
          <t xml:space="preserve">
EN EL NODO SE PONDRA EL ACCESORIO EN LA ETAPA 1 DE PMAA</t>
        </r>
      </text>
    </comment>
    <comment ref="F26" authorId="0" shapeId="0" xr:uid="{00000000-0006-0000-1800-000007000000}">
      <text>
        <r>
          <rPr>
            <b/>
            <sz val="9"/>
            <color indexed="81"/>
            <rFont val="Tahoma"/>
            <family val="2"/>
          </rPr>
          <t>ADMIN:</t>
        </r>
        <r>
          <rPr>
            <sz val="9"/>
            <color indexed="81"/>
            <rFont val="Tahoma"/>
            <family val="2"/>
          </rPr>
          <t xml:space="preserve">
EN EL NODO SE PONDRA EL ACCESORIO EN LA ETAPA 1 DE PMAA</t>
        </r>
      </text>
    </comment>
    <comment ref="F29" authorId="0" shapeId="0" xr:uid="{00000000-0006-0000-1800-000008000000}">
      <text>
        <r>
          <rPr>
            <b/>
            <sz val="9"/>
            <color indexed="81"/>
            <rFont val="Tahoma"/>
            <family val="2"/>
          </rPr>
          <t>ADMIN:</t>
        </r>
        <r>
          <rPr>
            <sz val="9"/>
            <color indexed="81"/>
            <rFont val="Tahoma"/>
            <family val="2"/>
          </rPr>
          <t xml:space="preserve">
EN EL NODO SE PONDRA EL ACCESORIO EN LA ETAPA 1 DE PMAA</t>
        </r>
      </text>
    </comment>
    <comment ref="F31" authorId="0" shapeId="0" xr:uid="{00000000-0006-0000-1800-000009000000}">
      <text>
        <r>
          <rPr>
            <b/>
            <sz val="9"/>
            <color indexed="81"/>
            <rFont val="Tahoma"/>
            <family val="2"/>
          </rPr>
          <t>ADMIN:</t>
        </r>
        <r>
          <rPr>
            <sz val="9"/>
            <color indexed="81"/>
            <rFont val="Tahoma"/>
            <family val="2"/>
          </rPr>
          <t xml:space="preserve">
EN EL NODO SE PONDRA EL ACCESORIO EN LA ETAPA 1 DE PMAA</t>
        </r>
      </text>
    </comment>
    <comment ref="F35" authorId="0" shapeId="0" xr:uid="{00000000-0006-0000-1800-00000A000000}">
      <text>
        <r>
          <rPr>
            <b/>
            <sz val="9"/>
            <color indexed="81"/>
            <rFont val="Tahoma"/>
            <family val="2"/>
          </rPr>
          <t>ADMIN:</t>
        </r>
        <r>
          <rPr>
            <sz val="9"/>
            <color indexed="81"/>
            <rFont val="Tahoma"/>
            <family val="2"/>
          </rPr>
          <t xml:space="preserve">
EN EL NODO SE PONDRA EL ACCESORIO EN LA ETAPA 1 DE PMAA</t>
        </r>
      </text>
    </comment>
    <comment ref="F45" authorId="0" shapeId="0" xr:uid="{00000000-0006-0000-1800-00000B000000}">
      <text>
        <r>
          <rPr>
            <b/>
            <sz val="9"/>
            <color indexed="81"/>
            <rFont val="Tahoma"/>
            <family val="2"/>
          </rPr>
          <t>ADMIN:</t>
        </r>
        <r>
          <rPr>
            <sz val="9"/>
            <color indexed="81"/>
            <rFont val="Tahoma"/>
            <family val="2"/>
          </rPr>
          <t xml:space="preserve">
EN EL NODO SE PONDRA EL ACCESORIO EN LA ETAPA 1 DE PMAA</t>
        </r>
      </text>
    </comment>
    <comment ref="F53" authorId="0" shapeId="0" xr:uid="{00000000-0006-0000-1800-00000C000000}">
      <text>
        <r>
          <rPr>
            <b/>
            <sz val="9"/>
            <color indexed="81"/>
            <rFont val="Tahoma"/>
            <family val="2"/>
          </rPr>
          <t>ADMIN:</t>
        </r>
        <r>
          <rPr>
            <sz val="9"/>
            <color indexed="81"/>
            <rFont val="Tahoma"/>
            <family val="2"/>
          </rPr>
          <t xml:space="preserve">
EN EL NODO SE PONDRA EL ACCESORIO EN LA ETAPA 1 DE PMAA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43" authorId="0" shapeId="0" xr:uid="{00000000-0006-0000-1900-000001000000}">
      <text>
        <r>
          <rPr>
            <b/>
            <sz val="9"/>
            <color indexed="81"/>
            <rFont val="Tahoma"/>
            <family val="2"/>
          </rPr>
          <t>ADMIN:</t>
        </r>
        <r>
          <rPr>
            <sz val="9"/>
            <color indexed="81"/>
            <rFont val="Tahoma"/>
            <family val="2"/>
          </rPr>
          <t xml:space="preserve">
CANTIDAD FINAL DE TUBERIA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Autor</author>
    <author>Usuario</author>
  </authors>
  <commentList>
    <comment ref="D43" authorId="0" shapeId="0" xr:uid="{00000000-0006-0000-1F00-000001000000}">
      <text>
        <r>
          <rPr>
            <b/>
            <sz val="9"/>
            <color indexed="81"/>
            <rFont val="Tahoma"/>
            <family val="2"/>
          </rPr>
          <t>Autor:</t>
        </r>
        <r>
          <rPr>
            <sz val="9"/>
            <color indexed="81"/>
            <rFont val="Tahoma"/>
            <family val="2"/>
          </rPr>
          <t xml:space="preserve">
Revisar este aliviadero</t>
        </r>
      </text>
    </comment>
    <comment ref="BG63" authorId="0" shapeId="0" xr:uid="{00000000-0006-0000-1F00-000002000000}">
      <text>
        <r>
          <rPr>
            <b/>
            <sz val="9"/>
            <color indexed="81"/>
            <rFont val="Tahoma"/>
            <family val="2"/>
          </rPr>
          <t>Autor:</t>
        </r>
        <r>
          <rPr>
            <sz val="9"/>
            <color indexed="81"/>
            <rFont val="Tahoma"/>
            <family val="2"/>
          </rPr>
          <t xml:space="preserve">
Estaba en 1,77</t>
        </r>
      </text>
    </comment>
    <comment ref="BE64" authorId="0" shapeId="0" xr:uid="{00000000-0006-0000-1F00-000003000000}">
      <text>
        <r>
          <rPr>
            <b/>
            <sz val="9"/>
            <color indexed="81"/>
            <rFont val="Tahoma"/>
            <family val="2"/>
          </rPr>
          <t>Autor:</t>
        </r>
        <r>
          <rPr>
            <sz val="9"/>
            <color indexed="81"/>
            <rFont val="Tahoma"/>
            <family val="2"/>
          </rPr>
          <t xml:space="preserve">
C673-ALV 3   BATEA 0,80
C673-C681   BATEA 0,82</t>
        </r>
      </text>
    </comment>
    <comment ref="BF64" authorId="0" shapeId="0" xr:uid="{00000000-0006-0000-1F00-000004000000}">
      <text>
        <r>
          <rPr>
            <b/>
            <sz val="9"/>
            <color indexed="81"/>
            <rFont val="Tahoma"/>
            <family val="2"/>
          </rPr>
          <t>Autor:</t>
        </r>
        <r>
          <rPr>
            <sz val="9"/>
            <color indexed="81"/>
            <rFont val="Tahoma"/>
            <family val="2"/>
          </rPr>
          <t xml:space="preserve">
Estaba en 1,80</t>
        </r>
      </text>
    </comment>
    <comment ref="C139" authorId="0" shapeId="0" xr:uid="{00000000-0006-0000-1F00-000005000000}">
      <text>
        <r>
          <rPr>
            <b/>
            <sz val="9"/>
            <color indexed="81"/>
            <rFont val="Tahoma"/>
            <family val="2"/>
          </rPr>
          <t>Autor:</t>
        </r>
        <r>
          <rPr>
            <sz val="9"/>
            <color indexed="81"/>
            <rFont val="Tahoma"/>
            <family val="2"/>
          </rPr>
          <t xml:space="preserve">
ES ARRANQUE NO RECIBE AGGUAS  DE OTROS TRAMOS</t>
        </r>
      </text>
    </comment>
    <comment ref="D139" authorId="0" shapeId="0" xr:uid="{00000000-0006-0000-1F00-000006000000}">
      <text>
        <r>
          <rPr>
            <b/>
            <sz val="9"/>
            <color indexed="81"/>
            <rFont val="Tahoma"/>
            <family val="2"/>
          </rPr>
          <t>Autor:</t>
        </r>
        <r>
          <rPr>
            <sz val="9"/>
            <color indexed="81"/>
            <rFont val="Tahoma"/>
            <family val="2"/>
          </rPr>
          <t xml:space="preserve">
DESCARGA AL TRAMO C183-C175</t>
        </r>
      </text>
    </comment>
    <comment ref="BF182" authorId="0" shapeId="0" xr:uid="{00000000-0006-0000-1F00-000007000000}">
      <text>
        <r>
          <rPr>
            <b/>
            <sz val="9"/>
            <color indexed="81"/>
            <rFont val="Tahoma"/>
            <family val="2"/>
          </rPr>
          <t>Autor:</t>
        </r>
        <r>
          <rPr>
            <sz val="9"/>
            <color indexed="81"/>
            <rFont val="Tahoma"/>
            <family val="2"/>
          </rPr>
          <t xml:space="preserve">
está en 1,50</t>
        </r>
      </text>
    </comment>
    <comment ref="BG182" authorId="0" shapeId="0" xr:uid="{00000000-0006-0000-1F00-000008000000}">
      <text>
        <r>
          <rPr>
            <b/>
            <sz val="9"/>
            <color indexed="81"/>
            <rFont val="Tahoma"/>
            <family val="2"/>
          </rPr>
          <t>Autor:</t>
        </r>
        <r>
          <rPr>
            <sz val="9"/>
            <color indexed="81"/>
            <rFont val="Tahoma"/>
            <family val="2"/>
          </rPr>
          <t xml:space="preserve">
está en 1,90</t>
        </r>
      </text>
    </comment>
    <comment ref="BF183" authorId="0" shapeId="0" xr:uid="{00000000-0006-0000-1F00-000009000000}">
      <text>
        <r>
          <rPr>
            <b/>
            <sz val="9"/>
            <color indexed="81"/>
            <rFont val="Tahoma"/>
            <family val="2"/>
          </rPr>
          <t>Autor:</t>
        </r>
        <r>
          <rPr>
            <sz val="9"/>
            <color indexed="81"/>
            <rFont val="Tahoma"/>
            <family val="2"/>
          </rPr>
          <t xml:space="preserve">
está en 1,93</t>
        </r>
      </text>
    </comment>
    <comment ref="BG183" authorId="0" shapeId="0" xr:uid="{00000000-0006-0000-1F00-00000A000000}">
      <text>
        <r>
          <rPr>
            <b/>
            <sz val="9"/>
            <color indexed="81"/>
            <rFont val="Tahoma"/>
            <family val="2"/>
          </rPr>
          <t>Autor:</t>
        </r>
        <r>
          <rPr>
            <sz val="9"/>
            <color indexed="81"/>
            <rFont val="Tahoma"/>
            <family val="2"/>
          </rPr>
          <t xml:space="preserve">
está en 2,35</t>
        </r>
      </text>
    </comment>
    <comment ref="BF204" authorId="0" shapeId="0" xr:uid="{00000000-0006-0000-1F00-00000B000000}">
      <text>
        <r>
          <rPr>
            <b/>
            <sz val="9"/>
            <color indexed="81"/>
            <rFont val="Tahoma"/>
            <family val="2"/>
          </rPr>
          <t>Autor:</t>
        </r>
        <r>
          <rPr>
            <sz val="9"/>
            <color indexed="81"/>
            <rFont val="Tahoma"/>
            <family val="2"/>
          </rPr>
          <t xml:space="preserve">
Esta en 1,55</t>
        </r>
      </text>
    </comment>
    <comment ref="BG204" authorId="0" shapeId="0" xr:uid="{00000000-0006-0000-1F00-00000C000000}">
      <text>
        <r>
          <rPr>
            <b/>
            <sz val="9"/>
            <color indexed="81"/>
            <rFont val="Tahoma"/>
            <family val="2"/>
          </rPr>
          <t>Autor:</t>
        </r>
        <r>
          <rPr>
            <sz val="9"/>
            <color indexed="81"/>
            <rFont val="Tahoma"/>
            <family val="2"/>
          </rPr>
          <t xml:space="preserve">
Está en 1,87</t>
        </r>
      </text>
    </comment>
    <comment ref="BF205" authorId="0" shapeId="0" xr:uid="{00000000-0006-0000-1F00-00000D000000}">
      <text>
        <r>
          <rPr>
            <b/>
            <sz val="9"/>
            <color indexed="81"/>
            <rFont val="Tahoma"/>
            <family val="2"/>
          </rPr>
          <t>Autor:</t>
        </r>
        <r>
          <rPr>
            <sz val="9"/>
            <color indexed="81"/>
            <rFont val="Tahoma"/>
            <family val="2"/>
          </rPr>
          <t xml:space="preserve">
Está en 1,90</t>
        </r>
      </text>
    </comment>
    <comment ref="BG205" authorId="0" shapeId="0" xr:uid="{00000000-0006-0000-1F00-00000E000000}">
      <text>
        <r>
          <rPr>
            <b/>
            <sz val="9"/>
            <color indexed="81"/>
            <rFont val="Tahoma"/>
            <family val="2"/>
          </rPr>
          <t>Autor:</t>
        </r>
        <r>
          <rPr>
            <sz val="9"/>
            <color indexed="81"/>
            <rFont val="Tahoma"/>
            <family val="2"/>
          </rPr>
          <t xml:space="preserve">
Está en 1,80
</t>
        </r>
      </text>
    </comment>
    <comment ref="D206" authorId="0" shapeId="0" xr:uid="{00000000-0006-0000-1F00-00000F000000}">
      <text>
        <r>
          <rPr>
            <b/>
            <sz val="9"/>
            <color indexed="81"/>
            <rFont val="Tahoma"/>
            <family val="2"/>
          </rPr>
          <t>Autor:</t>
        </r>
        <r>
          <rPr>
            <sz val="9"/>
            <color indexed="81"/>
            <rFont val="Tahoma"/>
            <family val="2"/>
          </rPr>
          <t xml:space="preserve">
DESCARGA AL TRAMO C71-C69</t>
        </r>
      </text>
    </comment>
    <comment ref="BF206" authorId="0" shapeId="0" xr:uid="{00000000-0006-0000-1F00-000010000000}">
      <text>
        <r>
          <rPr>
            <b/>
            <sz val="9"/>
            <color indexed="81"/>
            <rFont val="Tahoma"/>
            <family val="2"/>
          </rPr>
          <t>Autor:</t>
        </r>
        <r>
          <rPr>
            <sz val="9"/>
            <color indexed="81"/>
            <rFont val="Tahoma"/>
            <family val="2"/>
          </rPr>
          <t xml:space="preserve">
Está en 1,87</t>
        </r>
      </text>
    </comment>
    <comment ref="BG206" authorId="0" shapeId="0" xr:uid="{00000000-0006-0000-1F00-000011000000}">
      <text>
        <r>
          <rPr>
            <b/>
            <sz val="9"/>
            <color indexed="81"/>
            <rFont val="Tahoma"/>
            <family val="2"/>
          </rPr>
          <t>Autor:</t>
        </r>
        <r>
          <rPr>
            <sz val="9"/>
            <color indexed="81"/>
            <rFont val="Tahoma"/>
            <family val="2"/>
          </rPr>
          <t xml:space="preserve">
Está en 1,85</t>
        </r>
      </text>
    </comment>
    <comment ref="BF266" authorId="0" shapeId="0" xr:uid="{00000000-0006-0000-1F00-000012000000}">
      <text>
        <r>
          <rPr>
            <b/>
            <sz val="9"/>
            <color indexed="81"/>
            <rFont val="Tahoma"/>
            <family val="2"/>
          </rPr>
          <t>Autor:</t>
        </r>
        <r>
          <rPr>
            <sz val="9"/>
            <color indexed="81"/>
            <rFont val="Tahoma"/>
            <family val="2"/>
          </rPr>
          <t xml:space="preserve">
Esta en 1,00</t>
        </r>
      </text>
    </comment>
    <comment ref="BG266" authorId="0" shapeId="0" xr:uid="{00000000-0006-0000-1F00-000013000000}">
      <text>
        <r>
          <rPr>
            <b/>
            <sz val="9"/>
            <color indexed="81"/>
            <rFont val="Tahoma"/>
            <family val="2"/>
          </rPr>
          <t>Autor:</t>
        </r>
        <r>
          <rPr>
            <sz val="9"/>
            <color indexed="81"/>
            <rFont val="Tahoma"/>
            <family val="2"/>
          </rPr>
          <t xml:space="preserve">
Esta en 1,43</t>
        </r>
      </text>
    </comment>
    <comment ref="BF290" authorId="0" shapeId="0" xr:uid="{00000000-0006-0000-1F00-000014000000}">
      <text>
        <r>
          <rPr>
            <b/>
            <sz val="9"/>
            <color indexed="81"/>
            <rFont val="Tahoma"/>
            <family val="2"/>
          </rPr>
          <t>Autor:</t>
        </r>
        <r>
          <rPr>
            <sz val="9"/>
            <color indexed="81"/>
            <rFont val="Tahoma"/>
            <family val="2"/>
          </rPr>
          <t xml:space="preserve">
Está en 2,56</t>
        </r>
      </text>
    </comment>
    <comment ref="BG290" authorId="0" shapeId="0" xr:uid="{00000000-0006-0000-1F00-000015000000}">
      <text>
        <r>
          <rPr>
            <b/>
            <sz val="9"/>
            <color indexed="81"/>
            <rFont val="Tahoma"/>
            <family val="2"/>
          </rPr>
          <t>Autor:</t>
        </r>
        <r>
          <rPr>
            <sz val="9"/>
            <color indexed="81"/>
            <rFont val="Tahoma"/>
            <family val="2"/>
          </rPr>
          <t xml:space="preserve">
Está en 2,20</t>
        </r>
      </text>
    </comment>
    <comment ref="D325" authorId="1" shapeId="0" xr:uid="{00000000-0006-0000-1F00-000016000000}">
      <text>
        <r>
          <rPr>
            <b/>
            <sz val="9"/>
            <color indexed="81"/>
            <rFont val="Tahoma"/>
            <family val="2"/>
          </rPr>
          <t>Usuario:</t>
        </r>
        <r>
          <rPr>
            <sz val="9"/>
            <color indexed="81"/>
            <rFont val="Tahoma"/>
            <family val="2"/>
          </rPr>
          <t xml:space="preserve">
ALIVIADERO</t>
        </r>
      </text>
    </comment>
    <comment ref="C326" authorId="1" shapeId="0" xr:uid="{00000000-0006-0000-1F00-000017000000}">
      <text>
        <r>
          <rPr>
            <b/>
            <sz val="9"/>
            <color indexed="81"/>
            <rFont val="Tahoma"/>
            <family val="2"/>
          </rPr>
          <t>Usuario:</t>
        </r>
        <r>
          <rPr>
            <sz val="9"/>
            <color indexed="81"/>
            <rFont val="Tahoma"/>
            <family val="2"/>
          </rPr>
          <t xml:space="preserve">
ALIVIADERO</t>
        </r>
      </text>
    </comment>
    <comment ref="I342" authorId="1" shapeId="0" xr:uid="{00000000-0006-0000-1F00-000018000000}">
      <text>
        <r>
          <rPr>
            <b/>
            <sz val="9"/>
            <color indexed="81"/>
            <rFont val="Tahoma"/>
            <family val="2"/>
          </rPr>
          <t>Usuario:</t>
        </r>
        <r>
          <rPr>
            <sz val="9"/>
            <color indexed="81"/>
            <rFont val="Tahoma"/>
            <family val="2"/>
          </rPr>
          <t xml:space="preserve">
Area no urbanizable</t>
        </r>
      </text>
    </comment>
    <comment ref="I343" authorId="1" shapeId="0" xr:uid="{00000000-0006-0000-1F00-000019000000}">
      <text>
        <r>
          <rPr>
            <b/>
            <sz val="9"/>
            <color indexed="81"/>
            <rFont val="Tahoma"/>
            <family val="2"/>
          </rPr>
          <t>Usuario:</t>
        </r>
        <r>
          <rPr>
            <sz val="9"/>
            <color indexed="81"/>
            <rFont val="Tahoma"/>
            <family val="2"/>
          </rPr>
          <t xml:space="preserve">
Area no Urbanizable</t>
        </r>
      </text>
    </comment>
    <comment ref="I344" authorId="1" shapeId="0" xr:uid="{00000000-0006-0000-1F00-00001A000000}">
      <text>
        <r>
          <rPr>
            <b/>
            <sz val="9"/>
            <color indexed="81"/>
            <rFont val="Tahoma"/>
            <family val="2"/>
          </rPr>
          <t>Usuario:</t>
        </r>
        <r>
          <rPr>
            <sz val="9"/>
            <color indexed="81"/>
            <rFont val="Tahoma"/>
            <family val="2"/>
          </rPr>
          <t xml:space="preserve">
Area no urbanizable</t>
        </r>
      </text>
    </comment>
    <comment ref="I345" authorId="1" shapeId="0" xr:uid="{00000000-0006-0000-1F00-00001B000000}">
      <text>
        <r>
          <rPr>
            <b/>
            <sz val="9"/>
            <color indexed="81"/>
            <rFont val="Tahoma"/>
            <family val="2"/>
          </rPr>
          <t>Usuario:</t>
        </r>
        <r>
          <rPr>
            <sz val="9"/>
            <color indexed="81"/>
            <rFont val="Tahoma"/>
            <family val="2"/>
          </rPr>
          <t xml:space="preserve">
Area no urbanizable</t>
        </r>
      </text>
    </comment>
    <comment ref="D348" authorId="1" shapeId="0" xr:uid="{00000000-0006-0000-1F00-00001C000000}">
      <text>
        <r>
          <rPr>
            <b/>
            <sz val="9"/>
            <color indexed="81"/>
            <rFont val="Tahoma"/>
            <family val="2"/>
          </rPr>
          <t>Usuario:</t>
        </r>
        <r>
          <rPr>
            <sz val="9"/>
            <color indexed="81"/>
            <rFont val="Tahoma"/>
            <family val="2"/>
          </rPr>
          <t xml:space="preserve">
ALIVIADERO</t>
        </r>
      </text>
    </comment>
    <comment ref="C349" authorId="1" shapeId="0" xr:uid="{00000000-0006-0000-1F00-00001D000000}">
      <text>
        <r>
          <rPr>
            <b/>
            <sz val="9"/>
            <color indexed="81"/>
            <rFont val="Tahoma"/>
            <family val="2"/>
          </rPr>
          <t>Usuario:</t>
        </r>
        <r>
          <rPr>
            <sz val="9"/>
            <color indexed="81"/>
            <rFont val="Tahoma"/>
            <family val="2"/>
          </rPr>
          <t xml:space="preserve">
ALIVIADERO</t>
        </r>
      </text>
    </comment>
    <comment ref="I349" authorId="1" shapeId="0" xr:uid="{00000000-0006-0000-1F00-00001E000000}">
      <text>
        <r>
          <rPr>
            <b/>
            <sz val="9"/>
            <color indexed="81"/>
            <rFont val="Tahoma"/>
            <family val="2"/>
          </rPr>
          <t>Usuario:</t>
        </r>
        <r>
          <rPr>
            <sz val="9"/>
            <color indexed="81"/>
            <rFont val="Tahoma"/>
            <family val="2"/>
          </rPr>
          <t xml:space="preserve">
Area no urbanizable</t>
        </r>
      </text>
    </comment>
    <comment ref="I350" authorId="1" shapeId="0" xr:uid="{00000000-0006-0000-1F00-00001F000000}">
      <text>
        <r>
          <rPr>
            <b/>
            <sz val="9"/>
            <color indexed="81"/>
            <rFont val="Tahoma"/>
            <family val="2"/>
          </rPr>
          <t>Usuario:</t>
        </r>
        <r>
          <rPr>
            <sz val="9"/>
            <color indexed="81"/>
            <rFont val="Tahoma"/>
            <family val="2"/>
          </rPr>
          <t xml:space="preserve">
Area no urbanizable</t>
        </r>
      </text>
    </comment>
    <comment ref="I351" authorId="1" shapeId="0" xr:uid="{00000000-0006-0000-1F00-000020000000}">
      <text>
        <r>
          <rPr>
            <b/>
            <sz val="9"/>
            <color indexed="81"/>
            <rFont val="Tahoma"/>
            <family val="2"/>
          </rPr>
          <t>Usuario:</t>
        </r>
        <r>
          <rPr>
            <sz val="9"/>
            <color indexed="81"/>
            <rFont val="Tahoma"/>
            <family val="2"/>
          </rPr>
          <t xml:space="preserve">
Area no urbanizable</t>
        </r>
      </text>
    </comment>
    <comment ref="D445" authorId="0" shapeId="0" xr:uid="{00000000-0006-0000-1F00-000021000000}">
      <text>
        <r>
          <rPr>
            <b/>
            <sz val="9"/>
            <color indexed="81"/>
            <rFont val="Tahoma"/>
            <family val="2"/>
          </rPr>
          <t>Autor:</t>
        </r>
        <r>
          <rPr>
            <sz val="9"/>
            <color indexed="81"/>
            <rFont val="Tahoma"/>
            <family val="2"/>
          </rPr>
          <t xml:space="preserve">
Tramo Sifon</t>
        </r>
      </text>
    </comment>
    <comment ref="BH539" authorId="0" shapeId="0" xr:uid="{00000000-0006-0000-1F00-000022000000}">
      <text>
        <r>
          <rPr>
            <b/>
            <sz val="9"/>
            <color indexed="81"/>
            <rFont val="Tahoma"/>
            <family val="2"/>
          </rPr>
          <t>Autor:</t>
        </r>
        <r>
          <rPr>
            <sz val="9"/>
            <color indexed="81"/>
            <rFont val="Tahoma"/>
            <family val="2"/>
          </rPr>
          <t xml:space="preserve">
Cota batea salida Tuberia de camara C167</t>
        </r>
      </text>
    </comment>
    <comment ref="BH560" authorId="0" shapeId="0" xr:uid="{00000000-0006-0000-1F00-000023000000}">
      <text>
        <r>
          <rPr>
            <b/>
            <sz val="9"/>
            <color indexed="81"/>
            <rFont val="Tahoma"/>
            <family val="2"/>
          </rPr>
          <t>Autor:</t>
        </r>
        <r>
          <rPr>
            <sz val="9"/>
            <color indexed="81"/>
            <rFont val="Tahoma"/>
            <family val="2"/>
          </rPr>
          <t xml:space="preserve">
Cota batea tubo de salida</t>
        </r>
      </text>
    </comment>
    <comment ref="BH568" authorId="0" shapeId="0" xr:uid="{00000000-0006-0000-1F00-000024000000}">
      <text>
        <r>
          <rPr>
            <b/>
            <sz val="9"/>
            <color indexed="81"/>
            <rFont val="Tahoma"/>
            <family val="2"/>
          </rPr>
          <t>Autor:</t>
        </r>
        <r>
          <rPr>
            <sz val="9"/>
            <color indexed="81"/>
            <rFont val="Tahoma"/>
            <family val="2"/>
          </rPr>
          <t xml:space="preserve">
Cota batea salida C327</t>
        </r>
      </text>
    </comment>
    <comment ref="BH572" authorId="0" shapeId="0" xr:uid="{00000000-0006-0000-1F00-000025000000}">
      <text>
        <r>
          <rPr>
            <b/>
            <sz val="9"/>
            <color indexed="81"/>
            <rFont val="Tahoma"/>
            <family val="2"/>
          </rPr>
          <t>Autor:</t>
        </r>
        <r>
          <rPr>
            <sz val="9"/>
            <color indexed="81"/>
            <rFont val="Tahoma"/>
            <family val="2"/>
          </rPr>
          <t xml:space="preserve">
Cota Batea C343</t>
        </r>
      </text>
    </comment>
  </commentList>
</comments>
</file>

<file path=xl/sharedStrings.xml><?xml version="1.0" encoding="utf-8"?>
<sst xmlns="http://schemas.openxmlformats.org/spreadsheetml/2006/main" count="10337" uniqueCount="3046">
  <si>
    <t>CONSTRUCCIÓN DE LA SEGUNDA ETAPA DEL PLAN MAESTRO DE ACUEDUCTO Y ALCANTARILLADO DE LOS SECTORES LA VIEJITA, LOS SAUCES, EL ALTO 2, MALPASO 2 Y ADOQUINADO DEL MUNICIPIO DE SAN CARLOS, ANTIOQUIA</t>
  </si>
  <si>
    <t>CANTIDADES DE OBRA Y PRESUPUESTO</t>
  </si>
  <si>
    <t>ITEM</t>
  </si>
  <si>
    <t>DESCRIPCIÓN</t>
  </si>
  <si>
    <t>UN</t>
  </si>
  <si>
    <t>CANT</t>
  </si>
  <si>
    <t xml:space="preserve">VALOR UNITARIO </t>
  </si>
  <si>
    <t>VALOR TOTAL</t>
  </si>
  <si>
    <t>MATERIALES</t>
  </si>
  <si>
    <t>M.O CALIFICADA</t>
  </si>
  <si>
    <t>M.O NO CALIFICADA</t>
  </si>
  <si>
    <t>TRANSPORTE</t>
  </si>
  <si>
    <t>MAQUINARIA</t>
  </si>
  <si>
    <t>TOTAL</t>
  </si>
  <si>
    <t>COSTO DIRECTO OBRA CIVIL E INSTALACIÓN</t>
  </si>
  <si>
    <t>ADMINISTRACIÓN</t>
  </si>
  <si>
    <t>UTILIDAD</t>
  </si>
  <si>
    <t>COSTO TOTAL DE OBRA</t>
  </si>
  <si>
    <t>COSTO DIRECTO SUMINISTROS</t>
  </si>
  <si>
    <t>COSTO TOTAL DE SUMINISTROS</t>
  </si>
  <si>
    <t>INTERVENTORÍA OBRA</t>
  </si>
  <si>
    <t>COSTO TOTAL</t>
  </si>
  <si>
    <t>______________________________________________</t>
  </si>
  <si>
    <r>
      <rPr>
        <b/>
        <sz val="11"/>
        <color rgb="FF000000"/>
        <rFont val="Calibri"/>
        <family val="2"/>
      </rPr>
      <t>Elaboró:</t>
    </r>
    <r>
      <rPr>
        <sz val="11"/>
        <color rgb="FF000000"/>
        <rFont val="Calibri"/>
        <family val="2"/>
      </rPr>
      <t xml:space="preserve"> César Augusto Osorio Obando</t>
    </r>
  </si>
  <si>
    <t>Ingeniero Civil</t>
  </si>
  <si>
    <r>
      <rPr>
        <b/>
        <sz val="11"/>
        <color rgb="FF000000"/>
        <rFont val="Calibri"/>
        <family val="2"/>
      </rPr>
      <t>CC</t>
    </r>
    <r>
      <rPr>
        <sz val="11"/>
        <color rgb="FF000000"/>
        <rFont val="Calibri"/>
        <family val="2"/>
      </rPr>
      <t xml:space="preserve"> </t>
    </r>
    <r>
      <rPr>
        <b/>
        <sz val="11"/>
        <color rgb="FF000000"/>
        <rFont val="Calibri"/>
        <family val="2"/>
      </rPr>
      <t>N°</t>
    </r>
    <r>
      <rPr>
        <sz val="11"/>
        <color rgb="FF000000"/>
        <rFont val="Calibri"/>
        <family val="2"/>
      </rPr>
      <t xml:space="preserve"> 98.462.488</t>
    </r>
  </si>
  <si>
    <r>
      <rPr>
        <b/>
        <sz val="11"/>
        <color rgb="FF000000"/>
        <rFont val="Calibri"/>
        <family val="2"/>
      </rPr>
      <t>T.P. N°</t>
    </r>
    <r>
      <rPr>
        <sz val="11"/>
        <color rgb="FF000000"/>
        <rFont val="Calibri"/>
        <family val="2"/>
      </rPr>
      <t xml:space="preserve"> 05202-093504 ANT</t>
    </r>
  </si>
  <si>
    <t>PLAN FINANCIERO POR FUENTES (VALORES EN PESOS CORRIENTES)</t>
  </si>
  <si>
    <t>COMPONENTE</t>
  </si>
  <si>
    <t xml:space="preserve">ESPECIFICACION </t>
  </si>
  <si>
    <t>FUENTES</t>
  </si>
  <si>
    <t>DEPARTAMENTO - SGP</t>
  </si>
  <si>
    <t>MUNICIPIO -SGP</t>
  </si>
  <si>
    <t>CAR</t>
  </si>
  <si>
    <t>OTRAS FUENTES</t>
  </si>
  <si>
    <t>OBRA FISICA</t>
  </si>
  <si>
    <t>A =</t>
  </si>
  <si>
    <t>I =</t>
  </si>
  <si>
    <t>U =</t>
  </si>
  <si>
    <t>Subtotal Obra Física</t>
  </si>
  <si>
    <t>SUMINISTROS</t>
  </si>
  <si>
    <t>Subtotal Suministros</t>
  </si>
  <si>
    <t>SUBTOTAL</t>
  </si>
  <si>
    <t>Interventoría Obra física =</t>
  </si>
  <si>
    <t>VALOR TOTAL PROYECTO</t>
  </si>
  <si>
    <t>% PARTICIPACIÓN</t>
  </si>
  <si>
    <t>gob TOTAL</t>
  </si>
  <si>
    <t>mpio TOTAL</t>
  </si>
  <si>
    <t>mpio - int obra</t>
  </si>
  <si>
    <t>gob - int sum</t>
  </si>
  <si>
    <t xml:space="preserve">CD obra </t>
  </si>
  <si>
    <t>CD sum</t>
  </si>
  <si>
    <t>int obra</t>
  </si>
  <si>
    <t>int sum</t>
  </si>
  <si>
    <t>PAVIMENTO RED PRINCIPAL Y DOMICILIARIAS ALCANTARILLADO</t>
  </si>
  <si>
    <t>UBICACIÓN</t>
  </si>
  <si>
    <t>CALLE N°</t>
  </si>
  <si>
    <t>DESCRIPCIÓN CALLE</t>
  </si>
  <si>
    <t>REFERENCIA</t>
  </si>
  <si>
    <t>LONGITUD (M)</t>
  </si>
  <si>
    <t>ANCHO ZANJA</t>
  </si>
  <si>
    <t>ÁREA TOTAL (m²)</t>
  </si>
  <si>
    <t>ESPESOR PAVIMENTO (m)</t>
  </si>
  <si>
    <t>VOLUMEN PAVIMENTO (m³)</t>
  </si>
  <si>
    <t>ESPESOR SUB-BASE</t>
  </si>
  <si>
    <t>LLENO EN BASE GRANULAR TOTAL (m³)</t>
  </si>
  <si>
    <t>ESPESOR CAJEO</t>
  </si>
  <si>
    <t>EXC CAJEO DE VIA TOTAL (m³)</t>
  </si>
  <si>
    <t xml:space="preserve">ESPESOR DEMOLICION </t>
  </si>
  <si>
    <t xml:space="preserve">VOLUMEN DEMOLICION </t>
  </si>
  <si>
    <t xml:space="preserve"> DE MH</t>
  </si>
  <si>
    <t>A  MH</t>
  </si>
  <si>
    <t>C327</t>
  </si>
  <si>
    <t>C191</t>
  </si>
  <si>
    <t>CLL 20 ENTRE CRA 21 Y CRA 22</t>
  </si>
  <si>
    <t>Faizan</t>
  </si>
  <si>
    <t>C373</t>
  </si>
  <si>
    <t>CRA 22 ENTRE CLL 19 Y CLL 20</t>
  </si>
  <si>
    <t>Cristo</t>
  </si>
  <si>
    <t>C191A</t>
  </si>
  <si>
    <t>C183</t>
  </si>
  <si>
    <t>CLL 21 ENTRE CRA 21 Y CRA 22</t>
  </si>
  <si>
    <t>Sol de oriente</t>
  </si>
  <si>
    <t>C289</t>
  </si>
  <si>
    <t>C305</t>
  </si>
  <si>
    <t>CRA 24 ENTRE CLL 20 Y CLL 21</t>
  </si>
  <si>
    <t>Esq Hospital- Alto</t>
  </si>
  <si>
    <t>C167</t>
  </si>
  <si>
    <t>C239</t>
  </si>
  <si>
    <t>C241</t>
  </si>
  <si>
    <t>CLL 22 ENTRE CRA 24 Y CRA 24A</t>
  </si>
  <si>
    <t>Salida barrio la viejita</t>
  </si>
  <si>
    <t>C227</t>
  </si>
  <si>
    <t>C243</t>
  </si>
  <si>
    <t>CLL 22 ENTRE CRA 19 Y CRA 20</t>
  </si>
  <si>
    <t>Detrás de iglesia</t>
  </si>
  <si>
    <t>CRA 24 ENTRE CLL 21 Y CLL 22</t>
  </si>
  <si>
    <t>Frente a Hospital</t>
  </si>
  <si>
    <t>C207</t>
  </si>
  <si>
    <t>C217</t>
  </si>
  <si>
    <t>CLL 22 ENTRE CRA 22 Y CRA 23</t>
  </si>
  <si>
    <t>Divino Niño</t>
  </si>
  <si>
    <t>C195</t>
  </si>
  <si>
    <t>C197</t>
  </si>
  <si>
    <t>C311</t>
  </si>
  <si>
    <t>C179</t>
  </si>
  <si>
    <t>CRA 23 ENTRE CLL 20 Y CLL 21</t>
  </si>
  <si>
    <t>Casa Teodulfo</t>
  </si>
  <si>
    <t>C175</t>
  </si>
  <si>
    <t>C215</t>
  </si>
  <si>
    <t>CLL 22 ENTRE CRA 23 Y CRA 24</t>
  </si>
  <si>
    <t>Lote grande</t>
  </si>
  <si>
    <t>C219</t>
  </si>
  <si>
    <t>C221</t>
  </si>
  <si>
    <t>CLL 22 ENTRE CRA 21 Y CRA 22</t>
  </si>
  <si>
    <t>Casa de la cultura</t>
  </si>
  <si>
    <t>C223</t>
  </si>
  <si>
    <t>C225</t>
  </si>
  <si>
    <t>CLL 22 ENTRE CRA 20 Y CRA 21</t>
  </si>
  <si>
    <t>CRA 23 ENTRE CLL 21 Y CLL 22</t>
  </si>
  <si>
    <t>Lote parqueadero</t>
  </si>
  <si>
    <t>DOMICILIARIAS ALDO</t>
  </si>
  <si>
    <t>PAVIMENTO RED PRINCIPAL Y DOMICILIARIAS ACUEDUCTO</t>
  </si>
  <si>
    <t>DE NODO</t>
  </si>
  <si>
    <t>A NODO</t>
  </si>
  <si>
    <t>1124-B</t>
  </si>
  <si>
    <t>N92</t>
  </si>
  <si>
    <t>N3</t>
  </si>
  <si>
    <t>1124-A</t>
  </si>
  <si>
    <t>1133-B</t>
  </si>
  <si>
    <t>N2</t>
  </si>
  <si>
    <t>1133-A</t>
  </si>
  <si>
    <t>1129-A</t>
  </si>
  <si>
    <t>1129-B</t>
  </si>
  <si>
    <t>N4</t>
  </si>
  <si>
    <t>1132-A</t>
  </si>
  <si>
    <t>1132-B</t>
  </si>
  <si>
    <t>N5</t>
  </si>
  <si>
    <t>N6</t>
  </si>
  <si>
    <t>1131-A</t>
  </si>
  <si>
    <t>1131-B</t>
  </si>
  <si>
    <t>N8</t>
  </si>
  <si>
    <t>J-1</t>
  </si>
  <si>
    <t>1130-A</t>
  </si>
  <si>
    <t>1130-B</t>
  </si>
  <si>
    <t>N12</t>
  </si>
  <si>
    <t>J-11</t>
  </si>
  <si>
    <t>1093-A</t>
  </si>
  <si>
    <t>1093-B</t>
  </si>
  <si>
    <t>N21</t>
  </si>
  <si>
    <t>1125-A</t>
  </si>
  <si>
    <t>1125-B</t>
  </si>
  <si>
    <t>N29</t>
  </si>
  <si>
    <t>1096-A</t>
  </si>
  <si>
    <t>1096-B</t>
  </si>
  <si>
    <t>N20</t>
  </si>
  <si>
    <t>1126-A</t>
  </si>
  <si>
    <t>1126-B</t>
  </si>
  <si>
    <t>N30</t>
  </si>
  <si>
    <t>1127-B</t>
  </si>
  <si>
    <t>N17</t>
  </si>
  <si>
    <t>J-14</t>
  </si>
  <si>
    <t>1127-A</t>
  </si>
  <si>
    <t>N18</t>
  </si>
  <si>
    <t>N19</t>
  </si>
  <si>
    <t>J-24</t>
  </si>
  <si>
    <t>N32</t>
  </si>
  <si>
    <t>N31</t>
  </si>
  <si>
    <t>1117-A</t>
  </si>
  <si>
    <t>1117-B</t>
  </si>
  <si>
    <t>1128-A</t>
  </si>
  <si>
    <t>1128-B</t>
  </si>
  <si>
    <t>N76</t>
  </si>
  <si>
    <t>1134-B</t>
  </si>
  <si>
    <t>H1</t>
  </si>
  <si>
    <t>H5</t>
  </si>
  <si>
    <t>H2</t>
  </si>
  <si>
    <t>H3</t>
  </si>
  <si>
    <t>DOMICILIARIAS ACTO</t>
  </si>
  <si>
    <t>PROYECTO:  PLAN MAESTRO DE ALCANTARILLADO VEGACHI-ANTIOQUIA</t>
  </si>
  <si>
    <t>ALCANTARILLADO COMBINADO</t>
  </si>
  <si>
    <t>CANTIDAD OBRA RED</t>
  </si>
  <si>
    <t>186-2</t>
  </si>
  <si>
    <t>MOSTRAR TRAMO</t>
  </si>
  <si>
    <t>CÁLCULAR</t>
  </si>
  <si>
    <t>TRAMO</t>
  </si>
  <si>
    <t xml:space="preserve">LONGITUD </t>
  </si>
  <si>
    <t>PENDIENTE TUBERÍA.</t>
  </si>
  <si>
    <t>DIAMETRO 
INTERIOR</t>
  </si>
  <si>
    <t xml:space="preserve">        COTA TERRENO </t>
  </si>
  <si>
    <t>COTA BATEA</t>
  </si>
  <si>
    <t>%</t>
  </si>
  <si>
    <t>LONG.</t>
  </si>
  <si>
    <t>ANCHO</t>
  </si>
  <si>
    <t>DIAM.</t>
  </si>
  <si>
    <t>MATERIAL DE LA VIA</t>
  </si>
  <si>
    <t>TIPO DE ROTURA</t>
  </si>
  <si>
    <t xml:space="preserve"> LONGITUD ROTURA</t>
  </si>
  <si>
    <t>VOLUMEN ROTURA</t>
  </si>
  <si>
    <t xml:space="preserve">H. </t>
  </si>
  <si>
    <t>%MAT</t>
  </si>
  <si>
    <t>VOL. EXCAVACION  MAT. HUMEDO</t>
  </si>
  <si>
    <t>VOL. EXCAVACION  MAT. SECO</t>
  </si>
  <si>
    <t>VOL</t>
  </si>
  <si>
    <t>ENTIBADO</t>
  </si>
  <si>
    <t>TRINCH.</t>
  </si>
  <si>
    <t>LONG. CIMENTACION</t>
  </si>
  <si>
    <t xml:space="preserve"> CIMENTACION</t>
  </si>
  <si>
    <t>VOL CIMENTACI TRITURADO</t>
  </si>
  <si>
    <t xml:space="preserve">BASE Y SUBBASE GRANULAR PARA ESTRUCTURA DE VÍA  </t>
  </si>
  <si>
    <t xml:space="preserve">  %  MAT.</t>
  </si>
  <si>
    <t>VOL.</t>
  </si>
  <si>
    <t>ARENILLA</t>
  </si>
  <si>
    <t>MAT.</t>
  </si>
  <si>
    <t>BOTADA</t>
  </si>
  <si>
    <t>CAM. DE INSPECCION</t>
  </si>
  <si>
    <t>TAPAS</t>
  </si>
  <si>
    <t>CONCRETO
ANCLAJE
 X 
PEND</t>
  </si>
  <si>
    <t>P</t>
  </si>
  <si>
    <t>Ancho de 
Zanja</t>
  </si>
  <si>
    <t>B</t>
  </si>
  <si>
    <t>C</t>
  </si>
  <si>
    <t>D 
(Diametro exterior)</t>
  </si>
  <si>
    <t>LONG. ROTURA Z.V.</t>
  </si>
  <si>
    <t>VOL
CONCRETO</t>
  </si>
  <si>
    <t>EXCAV. BRUTA</t>
  </si>
  <si>
    <t>EXCAV.</t>
  </si>
  <si>
    <t>TIPO DE CIMENTACIÓN</t>
  </si>
  <si>
    <t>EXCAV. NETA</t>
  </si>
  <si>
    <t>PROFUNDIDAD SOBREEXCAVAR</t>
  </si>
  <si>
    <t>PROFUNDIDADES A EXCAVAR</t>
  </si>
  <si>
    <t>EXCAVACIÓN PARA CÁMARAS NUEVAS</t>
  </si>
  <si>
    <t>ENTIBADO PERMANENTE PARA CAMARAS    (m2)</t>
  </si>
  <si>
    <t>RETIRO DE MAT EXCEDENTE</t>
  </si>
  <si>
    <t>LLENO CON MAT SELECTO</t>
  </si>
  <si>
    <t>VERIFICACIÓN</t>
  </si>
  <si>
    <t>PROFUNDIDAD CÁMARA A DEMOLER</t>
  </si>
  <si>
    <t>CANTIDAD DE TUBERÍA</t>
  </si>
  <si>
    <t xml:space="preserve">DOMICILIARIAS </t>
  </si>
  <si>
    <t>SILLAS PARA DOMICILIARES</t>
  </si>
  <si>
    <t>MH PRE FABRICADO</t>
  </si>
  <si>
    <t>SUPERIOR</t>
  </si>
  <si>
    <t>INFERIOR</t>
  </si>
  <si>
    <t>ROCA</t>
  </si>
  <si>
    <t>TUBERIA</t>
  </si>
  <si>
    <t>ZANJA</t>
  </si>
  <si>
    <t>CAMARA</t>
  </si>
  <si>
    <t>ASFALT</t>
  </si>
  <si>
    <t>ADOQUIN</t>
  </si>
  <si>
    <t>CONCR</t>
  </si>
  <si>
    <t>PROM</t>
  </si>
  <si>
    <t>HUMED</t>
  </si>
  <si>
    <t>0 - 2 M</t>
  </si>
  <si>
    <t>2.01 - 4 M</t>
  </si>
  <si>
    <t>&gt;4.01M</t>
  </si>
  <si>
    <t>&gt;4.01 M</t>
  </si>
  <si>
    <t xml:space="preserve">TEMP </t>
  </si>
  <si>
    <t xml:space="preserve">PERM </t>
  </si>
  <si>
    <t>AREA</t>
  </si>
  <si>
    <t>TIPO A</t>
  </si>
  <si>
    <t>TIPO B</t>
  </si>
  <si>
    <t>TIPO E</t>
  </si>
  <si>
    <t xml:space="preserve">TIPO A </t>
  </si>
  <si>
    <t>D/2</t>
  </si>
  <si>
    <t>SELECTO</t>
  </si>
  <si>
    <t>LLENOS</t>
  </si>
  <si>
    <t>AFIRMADO</t>
  </si>
  <si>
    <t xml:space="preserve">SELECTO </t>
  </si>
  <si>
    <t>PREST.</t>
  </si>
  <si>
    <t>TUBO</t>
  </si>
  <si>
    <t>DE 1.20</t>
  </si>
  <si>
    <t>DE 1.50</t>
  </si>
  <si>
    <t>CAJ TIP 2</t>
  </si>
  <si>
    <t>CAJ TIP 1</t>
  </si>
  <si>
    <t>AREN</t>
  </si>
  <si>
    <t>ARENA</t>
  </si>
  <si>
    <t>A</t>
  </si>
  <si>
    <t>K</t>
  </si>
  <si>
    <t>GEOTEXTIL NO TEJIDO 2500</t>
  </si>
  <si>
    <t>HAY DOMICILIAR</t>
  </si>
  <si>
    <t>LONGITUD TRAMO</t>
  </si>
  <si>
    <t>CANT. DOMICILIARIAS TRAMO</t>
  </si>
  <si>
    <t xml:space="preserve">VOLUMEN DE EXCAVACION PARA DOMICILIARIAS </t>
  </si>
  <si>
    <t>ANGULO DE INCLINACIÓN POR TRAMO</t>
  </si>
  <si>
    <t>CATETO OPUESTO TRIANGULO MAYOR A DOS METROS</t>
  </si>
  <si>
    <t>CATETO OPUESTO TRIANGULO MENOR A CUATRO METROS</t>
  </si>
  <si>
    <t xml:space="preserve">ENTIBADO </t>
  </si>
  <si>
    <t>Cono + Cuello</t>
  </si>
  <si>
    <t>cilindros 1m</t>
  </si>
  <si>
    <t>cilindros 0,5m</t>
  </si>
  <si>
    <t>cilindros 0,25m</t>
  </si>
  <si>
    <t>Desperdicio</t>
  </si>
  <si>
    <t>Empaques</t>
  </si>
  <si>
    <t>Cañuelas Nuevas y Reconstrucciones</t>
  </si>
  <si>
    <t xml:space="preserve"> (m )</t>
  </si>
  <si>
    <t>(%)</t>
  </si>
  <si>
    <t xml:space="preserve"> (mm) </t>
  </si>
  <si>
    <t xml:space="preserve"> (m) </t>
  </si>
  <si>
    <t>( m )</t>
  </si>
  <si>
    <t>m</t>
  </si>
  <si>
    <t>INICIAL</t>
  </si>
  <si>
    <t>FINAL</t>
  </si>
  <si>
    <t>( m3 )</t>
  </si>
  <si>
    <t>(m3)</t>
  </si>
  <si>
    <t>( m2 )</t>
  </si>
  <si>
    <t>(m2)</t>
  </si>
  <si>
    <t>&lt;=2M</t>
  </si>
  <si>
    <t>2-4M</t>
  </si>
  <si>
    <t>&gt;4M</t>
  </si>
  <si>
    <t>ANxP</t>
  </si>
  <si>
    <t>SIN 10%</t>
  </si>
  <si>
    <t>M</t>
  </si>
  <si>
    <t>M3</t>
  </si>
  <si>
    <t>TEMP</t>
  </si>
  <si>
    <t>PERM</t>
  </si>
  <si>
    <t>182 -8</t>
  </si>
  <si>
    <t>227-10</t>
  </si>
  <si>
    <t>284-12</t>
  </si>
  <si>
    <t>327-14</t>
  </si>
  <si>
    <t>362-16</t>
  </si>
  <si>
    <t>407-18</t>
  </si>
  <si>
    <t>452-20</t>
  </si>
  <si>
    <t>595-24</t>
  </si>
  <si>
    <t>671-27</t>
  </si>
  <si>
    <t>747-30</t>
  </si>
  <si>
    <t>823-33</t>
  </si>
  <si>
    <t>899-36</t>
  </si>
  <si>
    <t>m2</t>
  </si>
  <si>
    <t>GRADOS</t>
  </si>
  <si>
    <t>PMAA SAN CARLOS</t>
  </si>
  <si>
    <t>S</t>
  </si>
  <si>
    <t>CONCRETO</t>
  </si>
  <si>
    <t>CANTIDADES TOTALES</t>
  </si>
  <si>
    <t>NOTA: En las excavaciones se consideró un 10% de sobreancho adicional para tener en cuenta los derrumbes.</t>
  </si>
  <si>
    <t>Excavación</t>
  </si>
  <si>
    <t>chequeo</t>
  </si>
  <si>
    <t xml:space="preserve">Expansión del suelo, medido ya excavado </t>
  </si>
  <si>
    <t>Llenos</t>
  </si>
  <si>
    <t>Descapote</t>
  </si>
  <si>
    <t>Botada</t>
  </si>
  <si>
    <t xml:space="preserve">EXCAVACION </t>
  </si>
  <si>
    <t xml:space="preserve">EXCAVACION CAMARAS </t>
  </si>
  <si>
    <t xml:space="preserve">TOTAL EXCAVACION </t>
  </si>
  <si>
    <t>ID Tramo</t>
  </si>
  <si>
    <t>LONGITUD HORIZONTAL</t>
  </si>
  <si>
    <t>PEND.</t>
  </si>
  <si>
    <t>DIAMETRO</t>
  </si>
  <si>
    <t>% ROCA</t>
  </si>
  <si>
    <t>LONG. REAL DE TUBERIA</t>
  </si>
  <si>
    <t>Material de la via
(CONCRETO, FLEXIBLE, ADOQUIN, AFIRMADO)</t>
  </si>
  <si>
    <t>VOLUMEN O ÁREA DE ROTURA</t>
  </si>
  <si>
    <t>H. PROM</t>
  </si>
  <si>
    <t>%MAT HUMEDAD</t>
  </si>
  <si>
    <t>VOL. ROCA</t>
  </si>
  <si>
    <t xml:space="preserve">Tipo de transito sobre la vía  </t>
  </si>
  <si>
    <t>VOL CIMENTACIÓN ARENILLA</t>
  </si>
  <si>
    <t xml:space="preserve">  %  MAT. SELECTO</t>
  </si>
  <si>
    <t xml:space="preserve">BOTE </t>
  </si>
  <si>
    <t>D 
Diametro exterior</t>
  </si>
  <si>
    <t>EXCAV. MEDIDA EN SITU</t>
  </si>
  <si>
    <t>Material</t>
  </si>
  <si>
    <t>Longitud de corte de Pavimento</t>
  </si>
  <si>
    <t>Diametro según Material de la tuberias</t>
  </si>
  <si>
    <t>DIAMETRO EXTERNO</t>
  </si>
  <si>
    <t>VIVIENDAS POR TRAMO</t>
  </si>
  <si>
    <t xml:space="preserve"> DE Nodo</t>
  </si>
  <si>
    <t>A  Nodo</t>
  </si>
  <si>
    <t>FLEXIBLE
ASFALT</t>
  </si>
  <si>
    <t>RIGIDO
CONCRETO</t>
  </si>
  <si>
    <t>NATURAL O AFIRMADO</t>
  </si>
  <si>
    <t>NATURAL O AFIERMADO</t>
  </si>
  <si>
    <t>nivel freatico</t>
  </si>
  <si>
    <t xml:space="preserve">TIPO C1
Peatonal </t>
  </si>
  <si>
    <t>TIPO C2
vehicular</t>
  </si>
  <si>
    <t>TIPO E2</t>
  </si>
  <si>
    <t>D+0.1 C1
D+0.30 E2</t>
  </si>
  <si>
    <t>TODO</t>
  </si>
  <si>
    <t>HPROM  *1.10</t>
  </si>
  <si>
    <t>(m)</t>
  </si>
  <si>
    <r>
      <t>( m</t>
    </r>
    <r>
      <rPr>
        <b/>
        <vertAlign val="superscript"/>
        <sz val="8"/>
        <rFont val="Arial"/>
        <family val="2"/>
      </rPr>
      <t>2</t>
    </r>
    <r>
      <rPr>
        <b/>
        <sz val="8"/>
        <rFont val="Arial"/>
        <family val="2"/>
      </rPr>
      <t xml:space="preserve"> )</t>
    </r>
  </si>
  <si>
    <r>
      <t>( m</t>
    </r>
    <r>
      <rPr>
        <b/>
        <vertAlign val="superscript"/>
        <sz val="8"/>
        <rFont val="Arial"/>
        <family val="2"/>
      </rPr>
      <t>3</t>
    </r>
    <r>
      <rPr>
        <b/>
        <sz val="8"/>
        <rFont val="Arial"/>
        <family val="2"/>
      </rPr>
      <t xml:space="preserve"> )</t>
    </r>
  </si>
  <si>
    <t>VIVIENDAS</t>
  </si>
  <si>
    <t xml:space="preserve">Espesor </t>
  </si>
  <si>
    <t xml:space="preserve">espesor </t>
  </si>
  <si>
    <t>F. compresión</t>
  </si>
  <si>
    <t xml:space="preserve">F. Expansión </t>
  </si>
  <si>
    <t>PEAD RDE 13.6</t>
  </si>
  <si>
    <t>PVC</t>
  </si>
  <si>
    <t xml:space="preserve"> (170,6mm)</t>
  </si>
  <si>
    <t xml:space="preserve"> (191,8mm)</t>
  </si>
  <si>
    <t xml:space="preserve"> (213,2mm)</t>
  </si>
  <si>
    <t xml:space="preserve"> (238,8mm)</t>
  </si>
  <si>
    <t xml:space="preserve"> (50mm)</t>
  </si>
  <si>
    <t xml:space="preserve"> (63,8mm)</t>
  </si>
  <si>
    <t xml:space="preserve"> (75mm)</t>
  </si>
  <si>
    <t xml:space="preserve"> (100mm)</t>
  </si>
  <si>
    <t xml:space="preserve"> (150mm)</t>
  </si>
  <si>
    <t xml:space="preserve"> (200mm)</t>
  </si>
  <si>
    <t xml:space="preserve"> (250mm)</t>
  </si>
  <si>
    <t xml:space="preserve"> (300mm)</t>
  </si>
  <si>
    <t>TR-7(2)</t>
  </si>
  <si>
    <t>VAHICULAR</t>
  </si>
  <si>
    <t>TR-7(1)</t>
  </si>
  <si>
    <t>TR-5(2)</t>
  </si>
  <si>
    <t>TR-5(1)</t>
  </si>
  <si>
    <t>TR-3(1)</t>
  </si>
  <si>
    <t>TR-3(2)</t>
  </si>
  <si>
    <t>TR-8(1)</t>
  </si>
  <si>
    <t>TR-8(2)</t>
  </si>
  <si>
    <t>TR-10</t>
  </si>
  <si>
    <t>TR-12(1)</t>
  </si>
  <si>
    <t>TR-12(2)</t>
  </si>
  <si>
    <t>TR-15(1)</t>
  </si>
  <si>
    <t>TR-15(2)</t>
  </si>
  <si>
    <t>TR-15(3)</t>
  </si>
  <si>
    <t>TR-6(1)</t>
  </si>
  <si>
    <t>TR-6(2)(1)</t>
  </si>
  <si>
    <t>TR-6(2)(2)</t>
  </si>
  <si>
    <t>TR-35(1)</t>
  </si>
  <si>
    <t>TR-35(2)</t>
  </si>
  <si>
    <t>TR-4(1)</t>
  </si>
  <si>
    <t>TR-4(2)</t>
  </si>
  <si>
    <t>TR-33(1)</t>
  </si>
  <si>
    <t>TR-33(2)</t>
  </si>
  <si>
    <t>TR-29(3)</t>
  </si>
  <si>
    <t>TR-29(2)</t>
  </si>
  <si>
    <t>TR-29(1)</t>
  </si>
  <si>
    <t>TR-30</t>
  </si>
  <si>
    <t>TR-52(2)</t>
  </si>
  <si>
    <t>TR-52(1)</t>
  </si>
  <si>
    <t>TR-51(1)</t>
  </si>
  <si>
    <t>TR-51(2)</t>
  </si>
  <si>
    <t>TR-51(3)</t>
  </si>
  <si>
    <t>TR-2(2)</t>
  </si>
  <si>
    <t>P-19</t>
  </si>
  <si>
    <t>P-4</t>
  </si>
  <si>
    <t>P-21</t>
  </si>
  <si>
    <t>P-25</t>
  </si>
  <si>
    <t>Excavaciones</t>
  </si>
  <si>
    <t>DIAMETRO INTERNO</t>
  </si>
  <si>
    <t>Diametro externo tuberia</t>
  </si>
  <si>
    <t>D+0.1 C1
D+0.3 E2</t>
  </si>
  <si>
    <t>mm</t>
  </si>
  <si>
    <t>Concreto</t>
  </si>
  <si>
    <t>VEHICULAR</t>
  </si>
  <si>
    <t>ÍTEM</t>
  </si>
  <si>
    <t>LONGITUD</t>
  </si>
  <si>
    <t>CANTIDAD</t>
  </si>
  <si>
    <t>CÁMARA</t>
  </si>
  <si>
    <t>ABOCADAS</t>
  </si>
  <si>
    <t>ETAPA</t>
  </si>
  <si>
    <t>Tubería PVC-P RDE21 3"</t>
  </si>
  <si>
    <t>ETAPA 2</t>
  </si>
  <si>
    <t>Tubería PVC-P RDE21 4"</t>
  </si>
  <si>
    <t>Tubería PVC-P RDE21 6"</t>
  </si>
  <si>
    <t>Tubería PVC-P RDE21 8"</t>
  </si>
  <si>
    <t>Tubería PVC-P RDE21 1/2"</t>
  </si>
  <si>
    <t>Tee Ø8" HD JUNTA RÁPIDA</t>
  </si>
  <si>
    <t>-</t>
  </si>
  <si>
    <t>Tee Ø8X6" HD JUNTA RÁPIDA</t>
  </si>
  <si>
    <t>Tee Ø8X4" HD JUNTA RÁPIDA</t>
  </si>
  <si>
    <t>Tee Ø8X3" HD JUNTA RÁPIDA</t>
  </si>
  <si>
    <t>Tee Ø6X3" HD JUNTA RÁPIDA</t>
  </si>
  <si>
    <t>Tee Ø4" HD JUNTA RÁPIDA</t>
  </si>
  <si>
    <t>Tee Ø4X3" HD JUNTA RÁPIDA</t>
  </si>
  <si>
    <t>Tee Ø3" HD JUNTA RÁPIDA</t>
  </si>
  <si>
    <t>Hidrante Ø3" HD</t>
  </si>
  <si>
    <t>VÁLVULA COMPUERTA Ø8" HD JUNTA RÁPIDA</t>
  </si>
  <si>
    <t>VÁLVULA COMPUERTA Ø6" HD JUNTA RÁPIDA</t>
  </si>
  <si>
    <t>VÁLVULA COMPUERTA Ø4" HD JUNTA RÁPIDA</t>
  </si>
  <si>
    <t>ETAPA 1</t>
  </si>
  <si>
    <t>VÁLVULA COMPUERTA Ø3" HD JUNTA RÁPIDA</t>
  </si>
  <si>
    <t>REDUCCIÓN Ø8x6" HD JUNTA RÁPIDA</t>
  </si>
  <si>
    <t>REDUCCIÓN Ø8x3" HD JUNTA RÁPIDA</t>
  </si>
  <si>
    <t>REDUCCIÓN Ø6x4" HD JUNTA RÁPIDA</t>
  </si>
  <si>
    <t>REDUCCIÓN Ø4x3" HD JUNTA RÁPIDA</t>
  </si>
  <si>
    <t>EXISTENTE - N/A</t>
  </si>
  <si>
    <t>Unión rápida Ø8" PVC</t>
  </si>
  <si>
    <t>Unión rápida Ø6" PVC</t>
  </si>
  <si>
    <t>SUMIDEROS</t>
  </si>
  <si>
    <t>N/A</t>
  </si>
  <si>
    <t>Unión rápida Ø4" PVC</t>
  </si>
  <si>
    <t>Unión rápida Ø3" PVC</t>
  </si>
  <si>
    <t>Codo En HD de 6" X 45°</t>
  </si>
  <si>
    <t>Acometidas de acueducto en 1/2" para tubería de 3"</t>
  </si>
  <si>
    <t>Acometidas de acueducto en 1/2" para tubería de 4"</t>
  </si>
  <si>
    <t>Acometidas de acueducto en 1/2" para tubería de 6"</t>
  </si>
  <si>
    <t>Acometidas de acueducto en 1/2" para tubería de 8"</t>
  </si>
  <si>
    <t>1. ACTIVIDADES PRELIMINARES</t>
  </si>
  <si>
    <t>Localización, trazado y replanteo de tuberías.</t>
  </si>
  <si>
    <t>1.1</t>
  </si>
  <si>
    <t>Rendimiento</t>
  </si>
  <si>
    <t>Unidad</t>
  </si>
  <si>
    <t>V/Unitario</t>
  </si>
  <si>
    <t>Equipo</t>
  </si>
  <si>
    <t>Personal</t>
  </si>
  <si>
    <t>Otros</t>
  </si>
  <si>
    <t>HERRAMIENTA MENOR (5% M. DE O.)</t>
  </si>
  <si>
    <t>pesos</t>
  </si>
  <si>
    <t>CLAVO COMÚN 37.5 A 100 mm</t>
  </si>
  <si>
    <t>TOPÓGRAFO (INCLUYE TRANSPORTE HASTA CABECERA MUNICIPAL, VIÁTIOS)</t>
  </si>
  <si>
    <t xml:space="preserve">AUXILIAR DE TOPOGRAFÍA </t>
  </si>
  <si>
    <t>ALQUILER ESTACIÓN TOTAL (INCLUYE TRANSPORTE HASTA CABECERA MUNICIPAL)</t>
  </si>
  <si>
    <t>ALQUILER NIVEL DE PRECISIÓN (INCLUYE TRANSPORTE HASTA CABECERA MUNICIPAL)</t>
  </si>
  <si>
    <t>UND</t>
  </si>
  <si>
    <t>día</t>
  </si>
  <si>
    <t>S.T.C. de materiales para la construcción de cerramiento en tela verde sarán H: 2m, distancia entre postes 2m, incluye: madera y todos los demás elementos necesarios para el buen desarrollo de dicha actividad</t>
  </si>
  <si>
    <t>1.2</t>
  </si>
  <si>
    <t>TELA CERRAMIENTO OBRA VERDE</t>
  </si>
  <si>
    <t>LARGUERO MADERA COMÚN 4CMX8CMX2,80M</t>
  </si>
  <si>
    <t>CONCRETO 180kg/cm²  1:2:4</t>
  </si>
  <si>
    <t>OFICIAL (INCLUYE 65% PRESTACIONES)</t>
  </si>
  <si>
    <t>AYUD. ENTENDIDO (INCLUYE 65% PRESTACIONES)</t>
  </si>
  <si>
    <t>2. DEMOLICIONES</t>
  </si>
  <si>
    <t>Corte, rotura y retiro de pavimento de concreto</t>
  </si>
  <si>
    <t>2.1</t>
  </si>
  <si>
    <t>COMPRESOR</t>
  </si>
  <si>
    <t>RETRO DE ORUGA</t>
  </si>
  <si>
    <t>VOLQUETA</t>
  </si>
  <si>
    <t>AYUD. RASO (INCLUYE 65% PRESTACIONES)</t>
  </si>
  <si>
    <t>m³</t>
  </si>
  <si>
    <t>Demolición de andenes, incluye botada de escombros</t>
  </si>
  <si>
    <t>2.2</t>
  </si>
  <si>
    <t>COMPRESOR+MARTILLO+MAGUERA+OPERARIO</t>
  </si>
  <si>
    <t>CARGUE Y BOTADA ESCOMBROS</t>
  </si>
  <si>
    <t>Demolición de Camaras de inspección existente, incluye retiro de escombro</t>
  </si>
  <si>
    <t>2.3</t>
  </si>
  <si>
    <t>un</t>
  </si>
  <si>
    <t>3. EXCAVACIONES Y LLENOS</t>
  </si>
  <si>
    <t>Excavación manual en material heterogéneo de 0 - 2 m bajo cualquier grado de humedad</t>
  </si>
  <si>
    <t>3.1</t>
  </si>
  <si>
    <t>Excavación mecánica en material heterogéneo de 0 - 2 m bajo cualquier grado de humedad</t>
  </si>
  <si>
    <t>3.2</t>
  </si>
  <si>
    <t>Excavación mecánica en material heterogéneo de 2 - 4 m bajo cualquier grado de humedad</t>
  </si>
  <si>
    <t>3.3</t>
  </si>
  <si>
    <t>Excavación mecánica en material heterogéneo &gt; 4 m bajo cualquier grado de humedad</t>
  </si>
  <si>
    <t>3.4</t>
  </si>
  <si>
    <t>Excavación en roca con cemento demoledor no explosivo.  Incluye desembombe. A cualquier profundidad y bajo cualquier grado de humedad</t>
  </si>
  <si>
    <t>3.5</t>
  </si>
  <si>
    <t>CEMENTO EXPANSIVO</t>
  </si>
  <si>
    <t>Llenos en material proveniente de la excavación, compactados mecánicamente hasta obtener una densidad del 95% de la máxima obtenida en el ensayo del Proctor Modificado</t>
  </si>
  <si>
    <t>3.6</t>
  </si>
  <si>
    <t>COMPACTADOR DE PLACA - CANGURO</t>
  </si>
  <si>
    <t>Llenos con material de préstamo en limo, compactados mecánicamente hasta obtener una densidad del 95% de la máxima obtenida en el ensayo del próctor modificado</t>
  </si>
  <si>
    <t>3.7</t>
  </si>
  <si>
    <t>MATERIAL DE PRESTAMO</t>
  </si>
  <si>
    <t>TRANSPORTE LIMO-ARENILLA</t>
  </si>
  <si>
    <t>S.T.I. Lleno con triturado 3/4" (19mm) y 1" (25mm)</t>
  </si>
  <si>
    <t>3.8</t>
  </si>
  <si>
    <t>TRITURADO 1''</t>
  </si>
  <si>
    <t>TRANSPORTE AGREGADOS</t>
  </si>
  <si>
    <t>Cargue, retiro y botada de material proveniente de la excavación a cualquier distancia</t>
  </si>
  <si>
    <t>3.9</t>
  </si>
  <si>
    <t>RETIRO Y BOTADA TIERRA (incluye derecho botada)</t>
  </si>
  <si>
    <t>4. OBRAS EN CONCRETO, ACERO Y PAVIMENTO</t>
  </si>
  <si>
    <t>S.T.C. para construcción de caja de empalme para domiciliar de 60cm x 60cm x hasta 100cm de altura. Incluye tapa. Según diseño</t>
  </si>
  <si>
    <t>4.1</t>
  </si>
  <si>
    <t>CAÑUELA EN PVC 6"</t>
  </si>
  <si>
    <t xml:space="preserve">CONCRETO 280Kg/cm²  </t>
  </si>
  <si>
    <t>Mortero 1:3</t>
  </si>
  <si>
    <t>MALLA ELECTROSOLDADA 6MM X15X15</t>
  </si>
  <si>
    <t>FORMALETA CAMARA DE INSPECCION</t>
  </si>
  <si>
    <t>HERRAJE, TAPA Y MARCO</t>
  </si>
  <si>
    <t>TRANSPORTE - UN VIAJE</t>
  </si>
  <si>
    <t>und</t>
  </si>
  <si>
    <t>S.T.C. Sumidero tipo B para agua lluvias 50 x 80 x 80cm (incluye reja)</t>
  </si>
  <si>
    <t>4.2</t>
  </si>
  <si>
    <t>VIBRADOR A GASOLINA</t>
  </si>
  <si>
    <t>FORMALETA METALICA</t>
  </si>
  <si>
    <t>REJA PARA SUMIDERO HD ASTM-A536 INCLUYE SISTEMA ANTI HURTO</t>
  </si>
  <si>
    <t>Cajas para valvulas de corte según detalle, incluye tapa metalica, tapón Roscado, marco para tapa en concreto f´c=21 Mpa, tubo 6" PVC de protección, ladrillos en concreto de 0.10x0.20x0.40</t>
  </si>
  <si>
    <t>4.3</t>
  </si>
  <si>
    <t>TAPA METALICA 0.20X 0.20 m (1/4")</t>
  </si>
  <si>
    <t>CONCRETO 210kg/cm²  1:2:3</t>
  </si>
  <si>
    <t>TAPON 6" PVC</t>
  </si>
  <si>
    <t>TUB. PVC NOVAFORT 6''  (160mm)</t>
  </si>
  <si>
    <t>CONCRETO 140kg/cm²  1:3:4</t>
  </si>
  <si>
    <t>BLOQUE DE CONCRETO</t>
  </si>
  <si>
    <t>S.T.C y/o reconstrucción de andén en concreto de 21 Mpa, espesor de 10cm.  incluye nivelacion del terreno, malla electrosoldada D-84, 7 cm de Subbase, formaleta metalica o similar, y todo lo necesario para su correcto vaciado.</t>
  </si>
  <si>
    <t>4.4</t>
  </si>
  <si>
    <t>MALLA ELECTROSOLDADA D-84</t>
  </si>
  <si>
    <t xml:space="preserve">SUB-BASE GRANULAR </t>
  </si>
  <si>
    <t>FORMALETA EN MADERA</t>
  </si>
  <si>
    <t>m²</t>
  </si>
  <si>
    <t>S.T.C. de concreto hidráulico de 28 Mpa para placas de concreto de espesor 18cm según los planos, incluye preparación, transporte interno, refuerzo corte y tratamiento de juntas y todos los demás elementos necesarios para el buen desarrollo de dicha actividad.</t>
  </si>
  <si>
    <t>4.5</t>
  </si>
  <si>
    <t>CORTADORA DE METAL</t>
  </si>
  <si>
    <t>DOBELAS (ACERO LISO 30 cm)</t>
  </si>
  <si>
    <t>ACERO DE CANASTILLA (liso)</t>
  </si>
  <si>
    <t>CORTADORA CONCRETO</t>
  </si>
  <si>
    <t>SELLO DE SILICONA SIKASILC O SIMILAR</t>
  </si>
  <si>
    <t>CORDON DE SIKAROD DE 6 mm ( 1/4" ) O SIMILAR</t>
  </si>
  <si>
    <t>Conformacion de Subrasante</t>
  </si>
  <si>
    <t>4.6</t>
  </si>
  <si>
    <t>Rodillo Compactador D-24 con combustible</t>
  </si>
  <si>
    <t>BOBCAT</t>
  </si>
  <si>
    <t xml:space="preserve">S.T.I. de SUB-BASE GRANULAR e = 0,15m </t>
  </si>
  <si>
    <t>4.7</t>
  </si>
  <si>
    <t>COMPACTADOR TIPO RANA</t>
  </si>
  <si>
    <t>RETRO DE LLANTAS - PAJARITA</t>
  </si>
  <si>
    <t>S.T.C. de gancho de acero para cámara de inspección</t>
  </si>
  <si>
    <t>4.8</t>
  </si>
  <si>
    <t>GANCHO DE ACERO</t>
  </si>
  <si>
    <t xml:space="preserve">S.T.I. de acometidas de acueducto 1/2''. Incluye todos los elementos para su correcto funcionamiento. </t>
  </si>
  <si>
    <t>4.9</t>
  </si>
  <si>
    <t>LLAVE DE CORTE UNIVERSAL DE 1/2"</t>
  </si>
  <si>
    <t>UNIVERSAL DE COBRE DE 1/2"</t>
  </si>
  <si>
    <t>ADAPTADOR MACHO EN COBRE DE 1/2"</t>
  </si>
  <si>
    <t>VÁLVULA COMPUERTA BRONCE 1/2"</t>
  </si>
  <si>
    <t>COLLAR DE DERIVACIÓN DE 1/2" DE 3" A 8"</t>
  </si>
  <si>
    <t>SOLDADURA DE ESTAÑO 40 - 60 PARA COBRE</t>
  </si>
  <si>
    <t>FUNDANTE PARA SOLDAR COBRE, PRESENTACIÓN 2 ONZAS</t>
  </si>
  <si>
    <t xml:space="preserve">TUBERÍA PE DE 1/2" (63mm) </t>
  </si>
  <si>
    <t xml:space="preserve">Suspensión (demolición y llenado) de sumidero existente. Incluye todos los elementos necesarios para el desarrollo de la actividad. </t>
  </si>
  <si>
    <t>4.10</t>
  </si>
  <si>
    <t>5. ENTIBADOS Y OTROS</t>
  </si>
  <si>
    <t>S.T.I. Entibado temporal (formaleta madera 1/7 utilizaciones)</t>
  </si>
  <si>
    <t>5.1</t>
  </si>
  <si>
    <t>CAN 2x8'' MAD. COMUN SIN CEP.(3M)</t>
  </si>
  <si>
    <t>TACO REDONDO MADERA 4 VARAS</t>
  </si>
  <si>
    <t>S.T.I. Entibado permanente</t>
  </si>
  <si>
    <t>5.2</t>
  </si>
  <si>
    <t>Perforacion de Camara de inspeccion existente, abocada para nueva tuberia y resane de MH</t>
  </si>
  <si>
    <t>5.3</t>
  </si>
  <si>
    <t>TRANSPORTE INTERNO DE MATERIALES</t>
  </si>
  <si>
    <t xml:space="preserve">Televisación y lavado de redes con equipos </t>
  </si>
  <si>
    <t>5.4</t>
  </si>
  <si>
    <t>EQUIPO VACTOR</t>
  </si>
  <si>
    <t>CÁMARA DE INSPECCIÓN DE REDES (ENDOSCOPIA)</t>
  </si>
  <si>
    <t>ml</t>
  </si>
  <si>
    <t>6. SUMINISTRO Y TRANSPORTE DE TUBERÍAS, ACCESORIOS, PREFABRICADOS Y EQUIPOS</t>
  </si>
  <si>
    <t>S.T. Tubería PVC Alcantarillado Ø 250 mm (10")</t>
  </si>
  <si>
    <t>6.1</t>
  </si>
  <si>
    <t>TUB. PVC NOVAFORT 10''  (250mm)</t>
  </si>
  <si>
    <t>S.T. Tubería PVC Alcantarillado Ø 315 mm (12")</t>
  </si>
  <si>
    <t>6.2</t>
  </si>
  <si>
    <t>TUB. PVC NOVAFORT 12''  (315mm)</t>
  </si>
  <si>
    <t>S.T. Tubería PVC Alcantarillado Ø 355 mm (14")</t>
  </si>
  <si>
    <t>6.3</t>
  </si>
  <si>
    <t>TUB. PVC NOVAFORT 14''  (355mm)</t>
  </si>
  <si>
    <t>S.T. Tubería PVC Alcantarillado Ø 400 mm (16")</t>
  </si>
  <si>
    <t>6.4</t>
  </si>
  <si>
    <t>TUB. PVC NOVAFORT 16''  (400mm)</t>
  </si>
  <si>
    <t>S.T. Tubería PVC Alcantarillado Ø 450 mm (18")</t>
  </si>
  <si>
    <t>6.5</t>
  </si>
  <si>
    <t>TUB. PVC NOVAFORT 18''  (450mm)</t>
  </si>
  <si>
    <t>S.T. Tubería PVC Alcantarillado Ø500 mm (20")</t>
  </si>
  <si>
    <t>6.6</t>
  </si>
  <si>
    <t>TUB. PVC NOVAFORT 20''  (500mm)</t>
  </si>
  <si>
    <t>S.T. de Tubería PVC Alcantarillado Ø 150 mm (6")</t>
  </si>
  <si>
    <t>6.7</t>
  </si>
  <si>
    <t>S.T. Silla Yee PVC Alcantarillado  de 315 mm (12") x 160 mm</t>
  </si>
  <si>
    <t>6.8</t>
  </si>
  <si>
    <t>KIT Silla Yee PVC Alcantarillado  de 315 mm (12") x 160 mm</t>
  </si>
  <si>
    <t>S.T. Silla Yee PVC Alcantarillado  de 355 mm (14") x 160 mm</t>
  </si>
  <si>
    <t>6.9</t>
  </si>
  <si>
    <t>Silla Yee PVC Alcantarillado  de 355 mm (14") x 160 mm</t>
  </si>
  <si>
    <t>Caucho kit silla yee</t>
  </si>
  <si>
    <t>Abrazadera inoxidable silla kit</t>
  </si>
  <si>
    <t>S.T. Silla Yee PVC Alcantarillado  de 400 mm (16") x 160 mm</t>
  </si>
  <si>
    <t>6.10</t>
  </si>
  <si>
    <t>Silla Yee PVC Alcantarillado  de 400 mm (16") x 160 mm</t>
  </si>
  <si>
    <t>S.T. Silla Yee PVC Alcantarillado  de 450 mm (18") x 160 mm</t>
  </si>
  <si>
    <t>6.11</t>
  </si>
  <si>
    <t>Silla Yee PVC Alcantarillado  de 450 mm (18") x 160 mm</t>
  </si>
  <si>
    <t>S.T. Silla Yee PVC Alcantarillado  de 500 mm (20") x 160 mm</t>
  </si>
  <si>
    <t>6.12</t>
  </si>
  <si>
    <t>Silla Yee PVC Alcantarillado  de 500 mm (20") x 160 mm</t>
  </si>
  <si>
    <t xml:space="preserve">S.T. Tubería PVC Unión Mecanica RDE 21 de Ø 3" (80,42 mm) </t>
  </si>
  <si>
    <t>6.13</t>
  </si>
  <si>
    <t>TUB. RDE 21 ACTO 3"</t>
  </si>
  <si>
    <t xml:space="preserve">S.T. Tubería PVC Unión Mecanica RDE 21 de Ø 4" (103,42 mm) </t>
  </si>
  <si>
    <t>6.14</t>
  </si>
  <si>
    <t>TUB. RDE 21 ACTO 4"</t>
  </si>
  <si>
    <t>S.T. Tubería PVC Unión Mecanica RDE 21 de Ø 6" (152,22 mm)</t>
  </si>
  <si>
    <t>6.15</t>
  </si>
  <si>
    <t>TUB. RDE 21 ACTO 6"</t>
  </si>
  <si>
    <t>S.T. Tubería PVC Unión Mecanica RDE 21 de Ø 8" (198,21 mm)</t>
  </si>
  <si>
    <t>6.16</t>
  </si>
  <si>
    <t>TUB. RDE 21 ACTO 8"</t>
  </si>
  <si>
    <t>S.T. de TEE Ø8" HD JUNTA RÁPIDA</t>
  </si>
  <si>
    <t>6.17</t>
  </si>
  <si>
    <t>TEE Ø8" HD JUNTA RÁPIDA</t>
  </si>
  <si>
    <t>S.T. de TEE Ø8X6" HD JUNTA RÁPIDA</t>
  </si>
  <si>
    <t>6.18</t>
  </si>
  <si>
    <t>TEE Ø8X6" HD JUNTA RÁPIDA</t>
  </si>
  <si>
    <t>S.T. de TEE Ø8X4" HD JUNTA RÁPIDA</t>
  </si>
  <si>
    <t>6.19</t>
  </si>
  <si>
    <t>TEE Ø8X4" HD JUNTA RÁPIDA</t>
  </si>
  <si>
    <t>S.T. de TEE Ø8X3" HD JUNTA RÁPIDA</t>
  </si>
  <si>
    <t>6.20</t>
  </si>
  <si>
    <t>TEE Ø8X3" HD JUNTA RÁPIDA</t>
  </si>
  <si>
    <t>S.T. de TEE Ø6X3" HD JUNTA RÁPIDA</t>
  </si>
  <si>
    <t>6.21</t>
  </si>
  <si>
    <t>TEE Ø6X3" HD JUNTA RÁPIDA</t>
  </si>
  <si>
    <t>S.T. de TEE Ø4" HD JUNTA RÁPIDA</t>
  </si>
  <si>
    <t>6.22</t>
  </si>
  <si>
    <t>TEE Ø4" HD JUNTA RÁPIDA</t>
  </si>
  <si>
    <t>S.T. de TEE Ø4X3" HD JUNTA RÁPIDA</t>
  </si>
  <si>
    <t>6.23</t>
  </si>
  <si>
    <t>TEE Ø4X3" HD JUNTA RÁPIDA</t>
  </si>
  <si>
    <t>S.T. de TEE Ø3" HD JUNTA RÁPIDA</t>
  </si>
  <si>
    <t>6.24</t>
  </si>
  <si>
    <t>TEE Ø3" HD JUNTA RÁPIDA</t>
  </si>
  <si>
    <t>S.T. de HIDRANTE Ø3" HD, INCLUYE TODOS LOS ACCESORIOS NECESARIOS</t>
  </si>
  <si>
    <t>6.25</t>
  </si>
  <si>
    <t>HIDRANTE 3" EN HIERRO DÚCTIL HD</t>
  </si>
  <si>
    <t>VÁLVULA HD COMPUERTA EÁSTICA 3" EXT LISO</t>
  </si>
  <si>
    <t>TEE HD EXT LISO Ø=3"X3"</t>
  </si>
  <si>
    <t>S.T. de valvula de acueducto en HD compuerta elastica diametro de 8" JUNTA RÁPIDA</t>
  </si>
  <si>
    <t>6.26</t>
  </si>
  <si>
    <t>VÁLVULA HD COMPUERTA EÁSTICA 8" JUNTA RÁPIDA</t>
  </si>
  <si>
    <t>S.T. de valvula de acueducto en HD compuerta elastica diametro de 6" JUNTA RÁPIDA</t>
  </si>
  <si>
    <t>6.27</t>
  </si>
  <si>
    <t>VÁLVULA HD COMPUERTA EÁSTICA 6" JUNTA RÁPIDA</t>
  </si>
  <si>
    <t>S.T. de valvula de acueducto en HD compuerta elastica diametro de 4" JUNTA RÁPIDA</t>
  </si>
  <si>
    <t>6.28</t>
  </si>
  <si>
    <t>VÁLVULA HD COMPUERTA EÁSTICA 4" JUNTA RÁPIDA</t>
  </si>
  <si>
    <t>S.T. de valvula de acueducto en HD compuerta elastica diametro de 3" JUNTA RÁPIDA</t>
  </si>
  <si>
    <t>6.29</t>
  </si>
  <si>
    <t>VÁLVULA HD COMPUERTA EÁSTICA 3" JUNTA RÁPIDA</t>
  </si>
  <si>
    <t>S.T. de REDUCCIÓN HD Ø=8"X6" JUNTA RÁPIDA</t>
  </si>
  <si>
    <t>6.30</t>
  </si>
  <si>
    <t>REDUCCIÓN HD Ø=8X6" JUNTA RÁPIDA</t>
  </si>
  <si>
    <t>S.T. de REDUCCIÓN HD Ø=8"X3" JUNTA RÁPIDA</t>
  </si>
  <si>
    <t>6.31</t>
  </si>
  <si>
    <t>REDUCCIÓN HD Ø=8"X3" JUNTA RÁPIDA</t>
  </si>
  <si>
    <t>S.T. de REDUCCIÓN HD Ø=6"X4" JUNTA RÁPIDA</t>
  </si>
  <si>
    <t>6.32</t>
  </si>
  <si>
    <t>REDUCCIÓN HD Ø=6X4" JUNTA RÁPIDA</t>
  </si>
  <si>
    <t>S.T. de REDUCCIÓN HD Ø=4"X3" JUNTA RÁPIDA</t>
  </si>
  <si>
    <t>6.33</t>
  </si>
  <si>
    <t>REDUCCIÓN HD Ø=4X3" JUNTA RÁPIDA</t>
  </si>
  <si>
    <t>S.T. UNIÓN RÁPIDA Ø=8" PVC</t>
  </si>
  <si>
    <t>6.34</t>
  </si>
  <si>
    <t>UNIÓN RÁPIDA Ø=8" PVC</t>
  </si>
  <si>
    <t>S.T. UNIÓN RÁPIDA Ø=6" PVC</t>
  </si>
  <si>
    <t>6.35</t>
  </si>
  <si>
    <t>UNIÓN RÁPIDA Ø=6" PVC</t>
  </si>
  <si>
    <t>S.T. UNIÓN RÁPIDA Ø=4" PVC</t>
  </si>
  <si>
    <t>6.36</t>
  </si>
  <si>
    <t>UNIÓN RÁPIDA Ø=4" PVC</t>
  </si>
  <si>
    <t>S.T. UNIÓN RÁPIDA Ø=3" PVC</t>
  </si>
  <si>
    <t>6.37</t>
  </si>
  <si>
    <t>UNIÓN RÁPIDA Ø=3" PVC</t>
  </si>
  <si>
    <t>S.T. MEDIO CODO Ø=6" HD JUNTA RÁPIDA</t>
  </si>
  <si>
    <t>6.38</t>
  </si>
  <si>
    <t>MEDIO CODO Ø=6" HD JUNTA RÁPIDA</t>
  </si>
  <si>
    <t>S.T. de cilindro PREFABRICADO para MH de D=1.20 m</t>
  </si>
  <si>
    <t>6.39</t>
  </si>
  <si>
    <t>TRANSPORTE MH PREFABRICADOS</t>
  </si>
  <si>
    <t>CILINDRO PARA MH D = 1.20m PREFABRICADO, H=1.00m</t>
  </si>
  <si>
    <t>S.T. de cilindro PREFABRICADO para MH de D=1.50 m</t>
  </si>
  <si>
    <t>6.40</t>
  </si>
  <si>
    <t>CILINDRO PARA MH D = 1.50m PREFABRICADO, H=1.00m</t>
  </si>
  <si>
    <t>S.T. Base y Cañuela pozo de inspección para tuberías PREFABRICADO Para MH de D=1.20m</t>
  </si>
  <si>
    <t>6.41</t>
  </si>
  <si>
    <t>BASE PARA POZO DE MH DE 1.45m DI=1.20m</t>
  </si>
  <si>
    <t>S.T. Base y Cañuela pozo de inspección para tuberías PREFABRICADO Para MH de D=1.50m</t>
  </si>
  <si>
    <t>6.42</t>
  </si>
  <si>
    <t>BASE PARA POZO DE MH DE 1.80m DI=1.50m</t>
  </si>
  <si>
    <t>S.T. Cono concentrico PREFABRICADO para MH, D=1.2m h=0.75m</t>
  </si>
  <si>
    <t>6.43</t>
  </si>
  <si>
    <t>CONO CONCÉNTRICO PARA POZO D=1.2m H=0.75m</t>
  </si>
  <si>
    <t>S.T. Cono concentrico PREFABRICADO para MH, D=1.5m h=1.10m</t>
  </si>
  <si>
    <t>6.44</t>
  </si>
  <si>
    <t>CONO CONCÉNTRICO PARA POZO D=1.5m H=1.10m</t>
  </si>
  <si>
    <t>S.T. de tapa polimérica para cámara de inspección, según diseño, incluye anillo/cuello</t>
  </si>
  <si>
    <t>6.45</t>
  </si>
  <si>
    <t>TAPA POLIMÉRICA PARA CÁMARA DE INSPECCIÓN</t>
  </si>
  <si>
    <t>ANILLO PARA TAPA POLIMÉRICA</t>
  </si>
  <si>
    <t>TRANSPORTE POLIMÉRICOS PREFABRICADOS</t>
  </si>
  <si>
    <t>7. COLOCACIÓN (C) O INSTALACIÓN (I) DE TUBERÍAS, ACCESORIOS, PREFABRICADOS Y EQUIPOS</t>
  </si>
  <si>
    <t>I. Tubería PVC Alcantarillado Ø 250 mm (10")</t>
  </si>
  <si>
    <t>7.1</t>
  </si>
  <si>
    <t>LUBRICANTE PAVCO ALCANTARILLADO (x4Kg)</t>
  </si>
  <si>
    <t>NIVELACIÓN DE TUBERÍA</t>
  </si>
  <si>
    <t>I. Tubería PVC Alcantarillado Ø 315 mm (12")</t>
  </si>
  <si>
    <t>7.2</t>
  </si>
  <si>
    <t>I. Tubería PVC Alcantarillado Ø 355 mm (14")</t>
  </si>
  <si>
    <t>7.3</t>
  </si>
  <si>
    <t>I. Tubería PVC Alcantarillado Ø 400 mm (16")</t>
  </si>
  <si>
    <t>7.4</t>
  </si>
  <si>
    <t>I. Tubería PVC Alcantarillado Ø 450 mm (18")</t>
  </si>
  <si>
    <t>7.5</t>
  </si>
  <si>
    <t>I. Tubería PVC Alcantarillado Ø500 mm (20")</t>
  </si>
  <si>
    <t>7.6</t>
  </si>
  <si>
    <t>I. de Tubería PVC Alcantarillado Ø 150 mm (6")</t>
  </si>
  <si>
    <t>7.7</t>
  </si>
  <si>
    <t>I. Silla Yee PVC Alcantarillado  de 315 mm (12") x 160 mm</t>
  </si>
  <si>
    <t>7.8</t>
  </si>
  <si>
    <t>Adhesivo Epóxico NOVAFORT (1/4 gal)</t>
  </si>
  <si>
    <t>ACONDICIONADOR PVC LOWVOC 1/4 GAL</t>
  </si>
  <si>
    <t>I. Silla Yee PVC Alcantarillado  de 355 mm (14") x 160 mm</t>
  </si>
  <si>
    <t>7.9</t>
  </si>
  <si>
    <t>I. Silla Yee PVC Alcantarillado  de 400 mm (16") x 160 mm</t>
  </si>
  <si>
    <t>7.10</t>
  </si>
  <si>
    <t>I. Silla Yee PVC Alcantarillado  de 450 mm (18") x 160 mm</t>
  </si>
  <si>
    <t>7.11</t>
  </si>
  <si>
    <t>I. Silla Yee PVC Alcantarillado  de 500 mm (20") x 160 mm</t>
  </si>
  <si>
    <t>7.12</t>
  </si>
  <si>
    <t xml:space="preserve">I. Tubería PVC Unión Mecanica RDE 21 de Ø 3" (80,42 mm) </t>
  </si>
  <si>
    <t>7.13</t>
  </si>
  <si>
    <t xml:space="preserve">I. Tubería PVC Unión Mecanica RDE 21 de Ø 4" (103,42 mm) </t>
  </si>
  <si>
    <t>7.14</t>
  </si>
  <si>
    <t>I. Tubería PVC Unión Mecanica RDE 21 de Ø 6" (152,22 mm)</t>
  </si>
  <si>
    <t>7.15</t>
  </si>
  <si>
    <t>I. Tubería PVC Unión Mecanica RDE 21 de Ø 8" (198,21 mm)</t>
  </si>
  <si>
    <t>7.16</t>
  </si>
  <si>
    <t>I. de TEE Ø8" HD JUNTA RÁPIDA</t>
  </si>
  <si>
    <t>7.17</t>
  </si>
  <si>
    <t>I. de TEE Ø8X6" HD JUNTA RÁPIDA</t>
  </si>
  <si>
    <t>7.18</t>
  </si>
  <si>
    <t>I. de TEE Ø8X4" HD JUNTA RÁPIDA</t>
  </si>
  <si>
    <t>7.19</t>
  </si>
  <si>
    <t>I. de TEE Ø8X3" HD JUNTA RÁPIDA</t>
  </si>
  <si>
    <t>7.20</t>
  </si>
  <si>
    <t>I. de TEE Ø6X3" HD JUNTA RÁPIDA</t>
  </si>
  <si>
    <t>7.21</t>
  </si>
  <si>
    <t>I. de TEE Ø4" HD JUNTA RÁPIDA</t>
  </si>
  <si>
    <t>7.22</t>
  </si>
  <si>
    <t>I. de TEE Ø4X3" HD JUNTA RÁPIDA</t>
  </si>
  <si>
    <t>7.23</t>
  </si>
  <si>
    <t>I. de TEE Ø3" HD JUNTA RÁPIDA</t>
  </si>
  <si>
    <t>7.24</t>
  </si>
  <si>
    <t>I. de HIDRANTE Ø3" HD, INCLUYE TODOS LOS ACCESORIOS NECESARIOS</t>
  </si>
  <si>
    <t>7.25</t>
  </si>
  <si>
    <t>I. de valvula de acueducto en HD compuerta elastica diametro de 8" JUNTA RÁPIDA</t>
  </si>
  <si>
    <t>7.26</t>
  </si>
  <si>
    <t>I. de valvula de acueducto en HD compuerta elastica diametro de 6" JUNTA RÁPIDA</t>
  </si>
  <si>
    <t>7.27</t>
  </si>
  <si>
    <t>I. de valvula de acueducto en HD compuerta elastica diametro de 4" JUNTA RÁPIDA</t>
  </si>
  <si>
    <t>7.28</t>
  </si>
  <si>
    <t>I. de valvula de acueducto en HD compuerta elastica diametro de 3" JUNTA RÁPIDA</t>
  </si>
  <si>
    <t>7.29</t>
  </si>
  <si>
    <t>I. de REDUCCIÓN HD Ø=8"X6" JUNTA RÁPIDA</t>
  </si>
  <si>
    <t>7.30</t>
  </si>
  <si>
    <t>I. de REDUCCIÓN HD Ø=8"X3" JUNTA RÁPIDA</t>
  </si>
  <si>
    <t>7.31</t>
  </si>
  <si>
    <t>I. de REDUCCIÓN HD Ø=6"X4" JUNTA RÁPIDA</t>
  </si>
  <si>
    <t>7.32</t>
  </si>
  <si>
    <t>I. de REDUCCIÓN HD Ø=4"X3" JUNTA RÁPIDA</t>
  </si>
  <si>
    <t>7.33</t>
  </si>
  <si>
    <t>I. UNIÓN RÁPIDA Ø=8" PVC</t>
  </si>
  <si>
    <t>7.34</t>
  </si>
  <si>
    <t>I. UNIÓN RÁPIDA Ø=6" PVC</t>
  </si>
  <si>
    <t>7.35</t>
  </si>
  <si>
    <t>I. UNIÓN RÁPIDA Ø=4" PVC</t>
  </si>
  <si>
    <t>7.36</t>
  </si>
  <si>
    <t>I. UNIÓN RÁPIDA Ø=3" PVC</t>
  </si>
  <si>
    <t>7.37</t>
  </si>
  <si>
    <t>I. MEDIO CODO Ø=6" HD JUNTA RÁPIDA</t>
  </si>
  <si>
    <t>7.38</t>
  </si>
  <si>
    <t>C. de cilindro PREFABRICADO para MH de D=1.20 m</t>
  </si>
  <si>
    <t>7.39</t>
  </si>
  <si>
    <t>C. de cilindro PREFABRICADO para MH de D=1.50 m</t>
  </si>
  <si>
    <t>7.40</t>
  </si>
  <si>
    <t>I. Base y Cañuela pozo de inspección para tuberías PREFABRICADO Para MH de D=1.20m</t>
  </si>
  <si>
    <t>7.41</t>
  </si>
  <si>
    <t>I. Base y Cañuela pozo de inspección para tuberías PREFABRICADO Para MH de D=1.50m</t>
  </si>
  <si>
    <t>7.42</t>
  </si>
  <si>
    <t>C. Cono concentrico PREFABRICADO para MH, D=1.2m h=0.75m</t>
  </si>
  <si>
    <t>7.43</t>
  </si>
  <si>
    <t>C. Cono concentrico PREFABRICADO para MH, D=1.5m h=1.10m</t>
  </si>
  <si>
    <t>7.44</t>
  </si>
  <si>
    <t>C. de tapa polimérica para cámara de inspección, según diseño, incluye anillo/cuello</t>
  </si>
  <si>
    <t>7.45</t>
  </si>
  <si>
    <t>ANALISIS DE PRECIOS UNITARIOS (APU) DE CONCRETOS Y MORTEROS</t>
  </si>
  <si>
    <t>Concreto 70kg/cm2 1:4:8</t>
  </si>
  <si>
    <t>CONCRETADORA DE 1,5 SACOS ELECTRICA</t>
  </si>
  <si>
    <t>TRITURADO 3/4''</t>
  </si>
  <si>
    <t>ARENA CONCRETO</t>
  </si>
  <si>
    <t>CEMENTO GRIS RIO CLARO (50kg)</t>
  </si>
  <si>
    <t>AGUA</t>
  </si>
  <si>
    <t>Concreto 80kg/cm2 1:4:7</t>
  </si>
  <si>
    <t>Concreto 110kg/cm2 1:3:5</t>
  </si>
  <si>
    <t>Concreto 140kg/cm2 1:3:4</t>
  </si>
  <si>
    <t>Concreto 170kg/cm2 1:3:3</t>
  </si>
  <si>
    <t>Concreto 180kg/cm2 1:2:4</t>
  </si>
  <si>
    <t>Concreto 210kg/cm2 1:2:3</t>
  </si>
  <si>
    <t>Concreto 245kg/cm2 1:2:2</t>
  </si>
  <si>
    <t>Concreto 280kg/cm2 1:2:2</t>
  </si>
  <si>
    <t>CONCRETADORA ELECTRICA 1 SACO</t>
  </si>
  <si>
    <t>ARENA DE PEGA</t>
  </si>
  <si>
    <t>Mortero 1:4</t>
  </si>
  <si>
    <t>Mortero 1:7</t>
  </si>
  <si>
    <t>MANO DE OBRA</t>
  </si>
  <si>
    <t>Concepto</t>
  </si>
  <si>
    <t>M. DE O. COMISIÓN TOPOGRAFÍA (INCLUYE EQUIPOS)</t>
  </si>
  <si>
    <t>ACERO</t>
  </si>
  <si>
    <t>kg</t>
  </si>
  <si>
    <t>CONCRETOS Y MORTEROS</t>
  </si>
  <si>
    <t>CONCRETO 245Kg/cm²  1:2:2</t>
  </si>
  <si>
    <t>CONCRETO 170kg/cm²  1:3:3</t>
  </si>
  <si>
    <t>CONCRETO 110kg/cm²  1:3:5</t>
  </si>
  <si>
    <t>CONCRETO 80kg/cm²  1:4:7</t>
  </si>
  <si>
    <t>CONCRETO 70kg/cm²  1:4:8</t>
  </si>
  <si>
    <t>MORTERO 1:3</t>
  </si>
  <si>
    <t>MORTERO 1:4</t>
  </si>
  <si>
    <t>MORTERO 1:7</t>
  </si>
  <si>
    <t>MH PREFABRICADOS</t>
  </si>
  <si>
    <t xml:space="preserve">un </t>
  </si>
  <si>
    <t>MATERIALES DE PATIO</t>
  </si>
  <si>
    <t>INGETIERRAS</t>
  </si>
  <si>
    <t>afirmado 220</t>
  </si>
  <si>
    <t>ACOPIO</t>
  </si>
  <si>
    <t>saco</t>
  </si>
  <si>
    <t>lb</t>
  </si>
  <si>
    <t>tarro</t>
  </si>
  <si>
    <t>gal/4</t>
  </si>
  <si>
    <t>EQUIPOS Y MAQUINARIAS</t>
  </si>
  <si>
    <t>hora</t>
  </si>
  <si>
    <t>RODILLO COMPACTADOR D-24 CON COMBUSTIBLE</t>
  </si>
  <si>
    <t>TRANSPORTES</t>
  </si>
  <si>
    <t>$/m³.km</t>
  </si>
  <si>
    <t>viaje</t>
  </si>
  <si>
    <t>ton</t>
  </si>
  <si>
    <t>ENSAYOS DE LABORATORIO</t>
  </si>
  <si>
    <t>ENSAYO PROCTOR MODIFICADO Y DENSIDAD</t>
  </si>
  <si>
    <t>TUBERÍAS Y ACCESORIOS ALCANTARILLADO Y ACUEDUCTO</t>
  </si>
  <si>
    <t>https://acuatubos.com.co/en-hierro-ductil/687-codo-en-hd-jr-de-3-x-90-aqt.html</t>
  </si>
  <si>
    <t>OTROS</t>
  </si>
  <si>
    <t>lt</t>
  </si>
  <si>
    <t>PLÁSTICO NEGRO</t>
  </si>
  <si>
    <t>Municipio de San Carlos</t>
  </si>
  <si>
    <t>DISCRIMINACIÓN A.I.U.  (ADMINISTRACIÓN, IMPREVISTOS Y UTILIDADES)</t>
  </si>
  <si>
    <t xml:space="preserve">PLAZO DE EJECUCION EN DIAS </t>
  </si>
  <si>
    <t xml:space="preserve">VALOR COSTOS INDIRECTOS </t>
  </si>
  <si>
    <t>SALARIOS BASE AÑO 2025</t>
  </si>
  <si>
    <t>Código</t>
  </si>
  <si>
    <t>Nombre</t>
  </si>
  <si>
    <t>Und</t>
  </si>
  <si>
    <t>Cantidad</t>
  </si>
  <si>
    <t>Duración</t>
  </si>
  <si>
    <t>Valor</t>
  </si>
  <si>
    <t>Porcentaje del C.D</t>
  </si>
  <si>
    <t>Subtotal</t>
  </si>
  <si>
    <t>Director(es) de Obra</t>
  </si>
  <si>
    <t>ESTIMACIÓN DEL PORCENTAJE DE ADMINISTRACIÓN (A)</t>
  </si>
  <si>
    <t>Ingeniero(s) residente(s)</t>
  </si>
  <si>
    <t>1</t>
  </si>
  <si>
    <t>Impuestos y Gastos de Legalización</t>
  </si>
  <si>
    <t xml:space="preserve">Impuestos </t>
  </si>
  <si>
    <t/>
  </si>
  <si>
    <t>Almacenista(s)</t>
  </si>
  <si>
    <t>1.1.1</t>
  </si>
  <si>
    <t>Celador(es)</t>
  </si>
  <si>
    <t>1.1.2</t>
  </si>
  <si>
    <t>Tasa Pro Deporte y recreacion Municipal (1%)</t>
  </si>
  <si>
    <t>Encargado de la obra</t>
  </si>
  <si>
    <t>1.1.3</t>
  </si>
  <si>
    <t>Estampilla Adulto Mayor (4%)</t>
  </si>
  <si>
    <t>Secretaria(s)</t>
  </si>
  <si>
    <t>1.1.4</t>
  </si>
  <si>
    <t>Estampilla Pro-Hospitalaria (1%)</t>
  </si>
  <si>
    <t>Mensajero(s)</t>
  </si>
  <si>
    <t>1.1.5</t>
  </si>
  <si>
    <t>Estampilla Pro-Cultura (1%)</t>
  </si>
  <si>
    <t>Profesional Ambiental</t>
  </si>
  <si>
    <t>1.1.6</t>
  </si>
  <si>
    <t>Contribución Especial Sobre Contrato de Obra Pública  (5%)</t>
  </si>
  <si>
    <t>Profesional Social</t>
  </si>
  <si>
    <t>1.1.7</t>
  </si>
  <si>
    <t>Estampilla Para La Justicia Familiar (2%)</t>
  </si>
  <si>
    <t>Profesional SST</t>
  </si>
  <si>
    <t>Gastos de Legalización de Contrato</t>
  </si>
  <si>
    <t>FACTOR PRESTACIONAL</t>
  </si>
  <si>
    <t>1.2.1</t>
  </si>
  <si>
    <t>Polizas</t>
  </si>
  <si>
    <t>2</t>
  </si>
  <si>
    <t>Personal de Administración del Contrato</t>
  </si>
  <si>
    <t>Dedicación</t>
  </si>
  <si>
    <t>mes</t>
  </si>
  <si>
    <t>2.4</t>
  </si>
  <si>
    <t>2.8</t>
  </si>
  <si>
    <t>2.9</t>
  </si>
  <si>
    <t>2.10</t>
  </si>
  <si>
    <t>3</t>
  </si>
  <si>
    <t>Otros gastos</t>
  </si>
  <si>
    <t>Meses / Días</t>
  </si>
  <si>
    <t>Arrendamientos</t>
  </si>
  <si>
    <t>Dotacion de oficinas (muebles y enseres), durante toda la obra</t>
  </si>
  <si>
    <t>gl</t>
  </si>
  <si>
    <t>Servicios publicos</t>
  </si>
  <si>
    <t>Elaboración y entrega de planos record</t>
  </si>
  <si>
    <t>Gastos de papelería y permisos</t>
  </si>
  <si>
    <t>Valla contractual (Según Especificaciones del contratante) Incluye estructura metálica</t>
  </si>
  <si>
    <t>Ensayos de laboratorio</t>
  </si>
  <si>
    <t>3.10</t>
  </si>
  <si>
    <t>Gestión ambiental PMA</t>
  </si>
  <si>
    <t>3.12</t>
  </si>
  <si>
    <t>Gestión SST</t>
  </si>
  <si>
    <t>3.13</t>
  </si>
  <si>
    <t>Plan de manejo de tránsito PMT</t>
  </si>
  <si>
    <t>TOTAL ADMINISTRACIÓN</t>
  </si>
  <si>
    <t>COSTO DIRECTO</t>
  </si>
  <si>
    <t>CUADRO DE JORNALES DEL PROYECTO</t>
  </si>
  <si>
    <t>Mano de Obra</t>
  </si>
  <si>
    <t>OFICIAL</t>
  </si>
  <si>
    <t>AYUDANTE ENTENDIDO</t>
  </si>
  <si>
    <t>AYUDANTE RASO</t>
  </si>
  <si>
    <t>VALOR SMMLV 2025</t>
  </si>
  <si>
    <t>CÁLCULO DE PORCENTAJE DE PRESTACIONES SOCIALES</t>
  </si>
  <si>
    <t>Porcentaje</t>
  </si>
  <si>
    <t>Prima de servicios</t>
  </si>
  <si>
    <t>Cesantías</t>
  </si>
  <si>
    <t>Intereses a las Cesantías</t>
  </si>
  <si>
    <t>Vacaciones</t>
  </si>
  <si>
    <t>Aporte de Salud</t>
  </si>
  <si>
    <t>Aporte a Pensión</t>
  </si>
  <si>
    <t>Aporte a Riesgos profesionales</t>
  </si>
  <si>
    <t>Sena</t>
  </si>
  <si>
    <t>I.C.B.F.</t>
  </si>
  <si>
    <t>Caja de Compensación Familiar</t>
  </si>
  <si>
    <t>Dotación obligatoria</t>
  </si>
  <si>
    <t>Subsidio transporte</t>
  </si>
  <si>
    <t>Examen de ingreso</t>
  </si>
  <si>
    <t>Total de porcentaje de prestaciones sociales</t>
  </si>
  <si>
    <t>SMMLV 2025 (INCLUYE 65% PRESTACIONES)</t>
  </si>
  <si>
    <t>DEPARTAMENTO DE ANTIOQUIA</t>
  </si>
  <si>
    <t xml:space="preserve">ANEXO PPTO PLAN DE MANEJO DEL TRANSITO </t>
  </si>
  <si>
    <t xml:space="preserve">PRESUPUESTO </t>
  </si>
  <si>
    <t xml:space="preserve">ITEM </t>
  </si>
  <si>
    <t xml:space="preserve">DESCRIPCION </t>
  </si>
  <si>
    <t>UNIDAD</t>
  </si>
  <si>
    <t xml:space="preserve">VALOR </t>
  </si>
  <si>
    <t xml:space="preserve">VALOR PARCIAL </t>
  </si>
  <si>
    <t xml:space="preserve">1. Señalizacion </t>
  </si>
  <si>
    <t>Señales verticales según manual de señalizacion vial, 75*75</t>
  </si>
  <si>
    <t>Volantes informativos</t>
  </si>
  <si>
    <t xml:space="preserve">2. Dispositivos para canalizar el transito </t>
  </si>
  <si>
    <t>Barricadas con franjas reflectivas de 1,5 x 2,0m</t>
  </si>
  <si>
    <t>Maletin o barrera de contencion vial de 2m x 1m</t>
  </si>
  <si>
    <t>Balizas (1,4m)</t>
  </si>
  <si>
    <t>Teleras 1,35m x 0,90 m  para pasos peatonales</t>
  </si>
  <si>
    <t>2.5</t>
  </si>
  <si>
    <t>Cinta de peligro</t>
  </si>
  <si>
    <t>rollo</t>
  </si>
  <si>
    <t>3. Abanderados</t>
  </si>
  <si>
    <t>Controlador de trafico ( paletero)</t>
  </si>
  <si>
    <t>Paleta Pare - Siga</t>
  </si>
  <si>
    <t>Bastón luminoso verde/rojo recargable</t>
  </si>
  <si>
    <t>Radio de comunicación</t>
  </si>
  <si>
    <t>MUNICIPIO DE SAN CARLOS</t>
  </si>
  <si>
    <t>INVERSIÓN SOCIAL</t>
  </si>
  <si>
    <t>VALOR UNITÁRIO</t>
  </si>
  <si>
    <t>VALOR PARCIAL</t>
  </si>
  <si>
    <t>OBSERVACIONES</t>
  </si>
  <si>
    <t>1. GESTIÓN SOCIAL</t>
  </si>
  <si>
    <t>1.1. Programa para la Protección de la Infraestructura Social y Comunitaria (Programa Atención y  Participación Comunitaria)</t>
  </si>
  <si>
    <t xml:space="preserve">Reuniones con comunidad. (Inicio, avance y fin de obra) - Incluye refrigerios para 50 personas y alquiler de videobeam. </t>
  </si>
  <si>
    <t>Un</t>
  </si>
  <si>
    <t>municipio</t>
  </si>
  <si>
    <t>Reuniones con el Comité de Participación Comunitaria - CPC - (Incluye alquiler de videobeam y refrigerio para 20 personas )</t>
  </si>
  <si>
    <t xml:space="preserve">1.2. Información y divulgación </t>
  </si>
  <si>
    <t xml:space="preserve">Productos de litografía: afiches, volantes, plegables, formatos.Pasa Calles, Vallas Tijeras    </t>
  </si>
  <si>
    <t xml:space="preserve">Productos de litografía: Valla Tijeras </t>
  </si>
  <si>
    <t>Productos de litografía: Pasacalles</t>
  </si>
  <si>
    <t xml:space="preserve">Cartelera informativa </t>
  </si>
  <si>
    <t>Buzón PQRS en acrílico según diseño suministrado por la entidad (0,35m*0,45m)</t>
  </si>
  <si>
    <t>Cuñas radiales</t>
  </si>
  <si>
    <t>Lona para vehículo (volqueta o camión) de 1,50 x 0,80 m, impresión injekt resistente a la intemperie</t>
  </si>
  <si>
    <t>Subtotal Gestión Social</t>
  </si>
  <si>
    <t>INVERSIÓN  AMBIENTAL</t>
  </si>
  <si>
    <t>2. GESTIÓN AMBIENTAL</t>
  </si>
  <si>
    <t xml:space="preserve">PROGRAMA 1: Desarrollo y aplicación de la gestión ambiental </t>
  </si>
  <si>
    <r>
      <t xml:space="preserve">1.1. </t>
    </r>
    <r>
      <rPr>
        <b/>
        <sz val="10"/>
        <color theme="1"/>
        <rFont val="Arial"/>
        <family val="2"/>
      </rPr>
      <t>Conformación de grupo de gestión ambiental</t>
    </r>
  </si>
  <si>
    <t>Valor unitario</t>
  </si>
  <si>
    <t>Plazo</t>
  </si>
  <si>
    <t>Valor total</t>
  </si>
  <si>
    <t>Observación</t>
  </si>
  <si>
    <r>
      <t>1.2.</t>
    </r>
    <r>
      <rPr>
        <b/>
        <sz val="10"/>
        <color theme="1"/>
        <rFont val="Arial"/>
        <family val="2"/>
      </rPr>
      <t xml:space="preserve"> Capacitación y concienciación para el personal de obra</t>
    </r>
  </si>
  <si>
    <t>Capacitaciones personal de obra. Incluye material plegables y didáctico</t>
  </si>
  <si>
    <t xml:space="preserve">Inducción y capacitación relativo del manejo y cuidado  con la fauna silvestre, así como demás aspectos del componente ambiental del proyecto. </t>
  </si>
  <si>
    <t xml:space="preserve">PROGRAMA 2. Actividades constructivas </t>
  </si>
  <si>
    <t>2.1. Manejo integral de materiales de construcción</t>
  </si>
  <si>
    <t>Teleras 1,35m x 0,90 m para acopio temporal de materiales</t>
  </si>
  <si>
    <t>Teleras empleadas en el acopio de materiales de construcción.</t>
  </si>
  <si>
    <t>Larguero en madera comun de 2"x4" x 2,8 m</t>
  </si>
  <si>
    <t>Largueros empleadas en el acopio de materiales de construcción.</t>
  </si>
  <si>
    <t>Adecuación de instalaciones para el almacenamiento de productos químicos.</t>
  </si>
  <si>
    <t>Debe cumplir con la normatividad legal vigente relacionada al tema. (seguro, ventilado, con techo, piso impermeabilizado, con trampa de grasa para evitar la contaminación del suelo; señalizado).</t>
  </si>
  <si>
    <t xml:space="preserve">Plástico negro polietileno de grueso calibre,  (150 m, calibre 3.5 ancho de 3 m). </t>
  </si>
  <si>
    <t>Rollo</t>
  </si>
  <si>
    <t>Cobertura material de construcción y sobrante de obra</t>
  </si>
  <si>
    <t>2.2. Manejo integral de residuos sólidos convencionales, especiales y peligrosos</t>
  </si>
  <si>
    <t xml:space="preserve">Disposición de residuos peligrosos y especiales con empresas certificadas </t>
  </si>
  <si>
    <t xml:space="preserve">Adecuación de zona de almacenamiento de residuos peligrosos </t>
  </si>
  <si>
    <t>La cual debe cumplir con la normatividad que rige el tema (suelo duro y elementos no inflamables).</t>
  </si>
  <si>
    <t>Adecuación de zona de almacenamiento de residuos convencionales, especiales y reciclables</t>
  </si>
  <si>
    <t>Bolsas de polietileno alta densidad (Paquete 100 unidades de  100 x 100). Incluye IVA</t>
  </si>
  <si>
    <t>De cada color se usan en promedio 5 bolsas por semana por color por punto ecológico.</t>
  </si>
  <si>
    <t>Juego de tres recipientes o canecas de 55 galones  Incluye IVA</t>
  </si>
  <si>
    <t>Un Juego por cada frente de obra (considerar distancias)</t>
  </si>
  <si>
    <t>Juego de tres canecas o recipientes de 5 galones (para campamento y frente de obra)  Incluye IVA</t>
  </si>
  <si>
    <t>Teja Zinc Ondulada 3.048x0.80mt Cal 35 0.17mm</t>
  </si>
  <si>
    <r>
      <t>PROGRAMA 3.</t>
    </r>
    <r>
      <rPr>
        <sz val="10"/>
        <color theme="1"/>
        <rFont val="Arial"/>
        <family val="2"/>
      </rPr>
      <t xml:space="preserve"> </t>
    </r>
    <r>
      <rPr>
        <b/>
        <sz val="10"/>
        <color theme="1"/>
        <rFont val="Arial"/>
        <family val="2"/>
      </rPr>
      <t>Gestión del recurso hídrico</t>
    </r>
  </si>
  <si>
    <t>3.2. Manejo de residuos líquidos, domésticos e industriales</t>
  </si>
  <si>
    <t>Actividad</t>
  </si>
  <si>
    <t>Kit Control de derrames - maletín químicos 8 Galones</t>
  </si>
  <si>
    <t>Se deberá disponer de uno por frente de obra activo</t>
  </si>
  <si>
    <r>
      <t>PROGRAMA 4.</t>
    </r>
    <r>
      <rPr>
        <sz val="10"/>
        <color theme="1"/>
        <rFont val="Arial"/>
        <family val="2"/>
      </rPr>
      <t xml:space="preserve"> </t>
    </r>
    <r>
      <rPr>
        <b/>
        <sz val="10"/>
        <color theme="1"/>
        <rFont val="Arial"/>
        <family val="2"/>
      </rPr>
      <t>Manejo de instalaciones temporales</t>
    </r>
  </si>
  <si>
    <t>5.1. Instalación, funcionamiento y desmantelamiento de campamentos y sitios de acopio</t>
  </si>
  <si>
    <t>Estacón de Madera  1,5 m</t>
  </si>
  <si>
    <t>Rollo tela verde 50m x 2.10m ancho 55gr/m2</t>
  </si>
  <si>
    <t>Carpado de materiales de construcción y aislamiento de zonas de acopio de materiales</t>
  </si>
  <si>
    <t>Creación de campamentos o acopios temporales</t>
  </si>
  <si>
    <t>Cinta Demarcación 500 m</t>
  </si>
  <si>
    <t>Delimitación de áreas y senderos peatonales</t>
  </si>
  <si>
    <t xml:space="preserve">Balizas con bandas reflectivas. </t>
  </si>
  <si>
    <t>Subtotal Gestión Ambiental</t>
  </si>
  <si>
    <t>INVERSIÓN SST</t>
  </si>
  <si>
    <t>3. GESTIÓN SST</t>
  </si>
  <si>
    <t>PROGRAMA 1. Gestión administrativa SST</t>
  </si>
  <si>
    <t xml:space="preserve">Carné personal. </t>
  </si>
  <si>
    <t>Imagen institucional</t>
  </si>
  <si>
    <t>PROGRAMA 2. Salud en el Trabajo – Medicina preventiva</t>
  </si>
  <si>
    <t>Capacitación en espacios confinados</t>
  </si>
  <si>
    <t>Solo si se requiere la actividad</t>
  </si>
  <si>
    <t>Agua para hidratación</t>
  </si>
  <si>
    <t>Bolsa</t>
  </si>
  <si>
    <t>Bolsa de 500 ml</t>
  </si>
  <si>
    <t>PROGRAMA 3. Seguridad en el trabajo</t>
  </si>
  <si>
    <t xml:space="preserve">Cinta Señalización de 500 m , color naranja - blanco o amarillo- negro. </t>
  </si>
  <si>
    <t xml:space="preserve">Delimitación de puntos críticos </t>
  </si>
  <si>
    <t xml:space="preserve">Extintor ABC 20 LB </t>
  </si>
  <si>
    <t>Emergencias</t>
  </si>
  <si>
    <t xml:space="preserve">Botiquín cruz roja de primeros auxilios ref. 115 en lona </t>
  </si>
  <si>
    <t>Camilla Emergencia Polietileno 185x45cm (incluye IVA)</t>
  </si>
  <si>
    <t xml:space="preserve">Señales de campamento - avisos en polietileno de 30 x 50 cm   </t>
  </si>
  <si>
    <t>Salidas de emergencia. Solo personal autorizado. Punto de encuentro. Botiquín. Extintores. Sustancias peligrosas. Punto ecológico.Acopios. Rutas de evacuación. Camilla. Riesgo eléctrico. Herramientas. Uso de EPP.</t>
  </si>
  <si>
    <t>Subtotal Gestión Seguridad y Salud en el Trabajo</t>
  </si>
  <si>
    <t>Formulario 1 - Formulario de presupuesto oficial - Interventoría de obra pública de infraestructura de transporte</t>
  </si>
  <si>
    <t>CCE-EICP-FM-70</t>
  </si>
  <si>
    <t>Versión</t>
  </si>
  <si>
    <t>FORMULARIO 1 - DETALLADO</t>
  </si>
  <si>
    <t>SECRETARÍA DE INFRAESTRUCTURA FÍSICA</t>
  </si>
  <si>
    <t>CANT.</t>
  </si>
  <si>
    <t>CARGO / OFICIO</t>
  </si>
  <si>
    <t>SUELDO MENSUAL</t>
  </si>
  <si>
    <t>DEDICACIÓN MENSUAL</t>
  </si>
  <si>
    <t>DURACIÓN</t>
  </si>
  <si>
    <t>VALOR</t>
  </si>
  <si>
    <t>DE PERSONAL</t>
  </si>
  <si>
    <t>(meses)</t>
  </si>
  <si>
    <t>PARCIAL ($)</t>
  </si>
  <si>
    <t>(1)</t>
  </si>
  <si>
    <t>(2)</t>
  </si>
  <si>
    <t>(3)</t>
  </si>
  <si>
    <t>(4)</t>
  </si>
  <si>
    <t>(5)</t>
  </si>
  <si>
    <r>
      <t>(1)*[(2)+(3)]*(4)*(5) =</t>
    </r>
    <r>
      <rPr>
        <b/>
        <sz val="11"/>
        <color indexed="12"/>
        <rFont val="Arial"/>
        <family val="2"/>
      </rPr>
      <t xml:space="preserve"> (6)</t>
    </r>
  </si>
  <si>
    <t xml:space="preserve">COSTOS DE PERSONAL </t>
  </si>
  <si>
    <t>PERSONAL PROFESIONAL</t>
  </si>
  <si>
    <t>Director de Interventoría</t>
  </si>
  <si>
    <t>Ingeniero Residente de Interventoría</t>
  </si>
  <si>
    <t>PERSONAL TECNOLOGO Y TÉCNICO</t>
  </si>
  <si>
    <t>Inspector</t>
  </si>
  <si>
    <t>Inspector SST</t>
  </si>
  <si>
    <t>PERSONAL ADMINISTRATIVO</t>
  </si>
  <si>
    <t>Auxiliar Administrativa</t>
  </si>
  <si>
    <r>
      <t>SUBTOTAL COSTOS DIRECTOS  DE PERSONAL = SUMATORIA DE (6) =</t>
    </r>
    <r>
      <rPr>
        <b/>
        <sz val="11"/>
        <color indexed="12"/>
        <rFont val="Arial"/>
        <family val="2"/>
      </rPr>
      <t xml:space="preserve"> (7)</t>
    </r>
  </si>
  <si>
    <r>
      <t>FACTOR MULTIPLICADOR</t>
    </r>
    <r>
      <rPr>
        <b/>
        <sz val="11"/>
        <color indexed="12"/>
        <rFont val="Arial"/>
        <family val="2"/>
      </rPr>
      <t xml:space="preserve"> (8)</t>
    </r>
  </si>
  <si>
    <r>
      <t xml:space="preserve">SUBTOTAL COSTOS DE PERSONAL = (7) * (8) = </t>
    </r>
    <r>
      <rPr>
        <b/>
        <sz val="11"/>
        <color indexed="12"/>
        <rFont val="Arial"/>
        <family val="2"/>
      </rPr>
      <t xml:space="preserve">(A) </t>
    </r>
  </si>
  <si>
    <t>CONCEPTO</t>
  </si>
  <si>
    <t>COSTO MENSUAL</t>
  </si>
  <si>
    <t>DURACIÓN (meses)</t>
  </si>
  <si>
    <t>VALOR PARCIAL ($)</t>
  </si>
  <si>
    <t>($)</t>
  </si>
  <si>
    <t>(9)</t>
  </si>
  <si>
    <t>(10)</t>
  </si>
  <si>
    <t>(11)</t>
  </si>
  <si>
    <t>(12)</t>
  </si>
  <si>
    <r>
      <t xml:space="preserve">(9)*(10)*(11)*(12) = </t>
    </r>
    <r>
      <rPr>
        <b/>
        <sz val="11"/>
        <color indexed="12"/>
        <rFont val="Arial"/>
        <family val="2"/>
      </rPr>
      <t>(13)</t>
    </r>
  </si>
  <si>
    <t>OTROS COSTOS DIRECTOS</t>
  </si>
  <si>
    <t>COSTOS DE ALQUILER DE EQUIPOS Y OFICINA</t>
  </si>
  <si>
    <t>Tarifa puesto de trabajo del personal de oficina de campo, incluye: alquiler de un (1) equipo de computo completo, escritorio, silla y otros enseres de oficina por puesto de trabajo</t>
  </si>
  <si>
    <t>Kit</t>
  </si>
  <si>
    <t>COSTOS MENSUALES</t>
  </si>
  <si>
    <t>Comunicaciones (Teléfono, Fax, Celular, Internet, Etc.) mensual en campo</t>
  </si>
  <si>
    <t>Fotocopias, edición informes, registros fotográficos entre otros en oficina en campo</t>
  </si>
  <si>
    <t>COSTO DÍA</t>
  </si>
  <si>
    <t>DÍAS - MES</t>
  </si>
  <si>
    <t>(14)</t>
  </si>
  <si>
    <t>(15)</t>
  </si>
  <si>
    <t>(16)</t>
  </si>
  <si>
    <t>(17)</t>
  </si>
  <si>
    <r>
      <t xml:space="preserve">(14)*(15)*(16)*(17) = </t>
    </r>
    <r>
      <rPr>
        <b/>
        <sz val="11"/>
        <color indexed="12"/>
        <rFont val="Arial"/>
        <family val="2"/>
      </rPr>
      <t>(18)</t>
    </r>
  </si>
  <si>
    <t>COSTOS POR DÍA</t>
  </si>
  <si>
    <t>COSTO POR PROYECTO</t>
  </si>
  <si>
    <t>´</t>
  </si>
  <si>
    <t>(19)</t>
  </si>
  <si>
    <t>(20)</t>
  </si>
  <si>
    <r>
      <t xml:space="preserve">(19)*(20) = </t>
    </r>
    <r>
      <rPr>
        <b/>
        <sz val="11"/>
        <color indexed="12"/>
        <rFont val="Arial"/>
        <family val="2"/>
      </rPr>
      <t>(21)</t>
    </r>
  </si>
  <si>
    <t>COSTOS DE UN SOLO PAGO</t>
  </si>
  <si>
    <t>Reconocimiento por disposición de impresora laser multifuncional para el personal de administrativo de obra (se realiza reconocimiento por una sola vez)</t>
  </si>
  <si>
    <t>COSTOS ESTIMADOS</t>
  </si>
  <si>
    <t>Ensayos de laboratorio, según la necesidad</t>
  </si>
  <si>
    <t>Estimado</t>
  </si>
  <si>
    <t>Mano de obra Comisión de topografía, incluye equipos</t>
  </si>
  <si>
    <t>Gastos de alojamiento, transporte y alimentación, se reconocerán según costo real y contra factura</t>
  </si>
  <si>
    <t>PROVISIÓN PARA EL PAGO DE PRIMAS DE GARANTÍAS</t>
  </si>
  <si>
    <r>
      <t xml:space="preserve">SUBTOTAL OTROS COSTOS DIRECTOS = SUMATORIA DE (13) + SUMATORIA DE (18) + SUMATORIA DE (21) = </t>
    </r>
    <r>
      <rPr>
        <b/>
        <sz val="10"/>
        <color indexed="12"/>
        <rFont val="Arial"/>
        <family val="2"/>
      </rPr>
      <t>(B)</t>
    </r>
  </si>
  <si>
    <r>
      <t xml:space="preserve">SUBTOTAL COSTOS BASICOS = (A) + (B) = </t>
    </r>
    <r>
      <rPr>
        <b/>
        <sz val="10"/>
        <color indexed="12"/>
        <rFont val="Arial"/>
        <family val="2"/>
      </rPr>
      <t>(C)</t>
    </r>
  </si>
  <si>
    <r>
      <t xml:space="preserve">IVA = 19% * (C) = </t>
    </r>
    <r>
      <rPr>
        <b/>
        <sz val="10"/>
        <color indexed="12"/>
        <rFont val="Arial"/>
        <family val="2"/>
      </rPr>
      <t>(D)</t>
    </r>
  </si>
  <si>
    <r>
      <t xml:space="preserve">COSTO TOTAL (C) + (D) = </t>
    </r>
    <r>
      <rPr>
        <b/>
        <sz val="10"/>
        <color indexed="12"/>
        <rFont val="Arial"/>
        <family val="2"/>
      </rPr>
      <t>(E)</t>
    </r>
  </si>
  <si>
    <r>
      <rPr>
        <b/>
        <sz val="8"/>
        <rFont val="Arial"/>
        <family val="2"/>
      </rPr>
      <t>1</t>
    </r>
    <r>
      <rPr>
        <sz val="8"/>
        <rFont val="Arial"/>
        <family val="2"/>
      </rPr>
      <t>.   Los costos de personal se reembolsarán según la dedicación efectiva que hubiere tenido en la ejecución de los trabajos</t>
    </r>
  </si>
  <si>
    <r>
      <rPr>
        <b/>
        <sz val="8"/>
        <rFont val="Arial"/>
        <family val="2"/>
      </rPr>
      <t>2</t>
    </r>
    <r>
      <rPr>
        <sz val="8"/>
        <rFont val="Arial"/>
        <family val="2"/>
      </rPr>
      <t>.   Para la determinación de las tarifas unitarias correspondientes a "OTROS COSTOS DIRECTOS", se entiende que el oferente incluyó todas las variables que inciden en su cálculo y además el porcentaje de honorarios que haya establecido dentro de su Factor Multiplicador. Estos valores se reembolsarán según previa presentación y aprobación de la factura o documento equivalente por parte de la supervisión del contrato.</t>
    </r>
  </si>
  <si>
    <r>
      <rPr>
        <b/>
        <sz val="8"/>
        <rFont val="Arial"/>
        <family val="2"/>
      </rPr>
      <t xml:space="preserve">3. </t>
    </r>
    <r>
      <rPr>
        <sz val="8"/>
        <rFont val="Arial"/>
        <family val="2"/>
      </rPr>
      <t xml:space="preserve">  El valor a pagar por  "Gastos de Alojamiento, transporte  y alimentación" corresponden a montos estimados  con los cuales se atenderán los gastos descritos del personal profesional y técnico, las cuales se reembolsarán según previa presentación de la factura. En todo caso solo se reconocerá hasta el valor establecido en el presente formulario. </t>
    </r>
  </si>
  <si>
    <r>
      <rPr>
        <b/>
        <sz val="8"/>
        <rFont val="Arial"/>
        <family val="2"/>
      </rPr>
      <t>4.</t>
    </r>
    <r>
      <rPr>
        <sz val="8"/>
        <rFont val="Arial"/>
        <family val="2"/>
      </rPr>
      <t xml:space="preserve">  El valor a pagar por  "OTROS COSTOS INDIRECTOS ESTIMADOS" se reconocerán mensualmente según previa presentación de la factura o docuemnto equivalente, el cual deberá estar ajustado a los valores de referencia definifos por la entidad.</t>
    </r>
  </si>
  <si>
    <r>
      <rPr>
        <b/>
        <sz val="8"/>
        <rFont val="Arial"/>
        <family val="2"/>
      </rPr>
      <t>5.</t>
    </r>
    <r>
      <rPr>
        <sz val="8"/>
        <rFont val="Arial"/>
        <family val="2"/>
      </rPr>
      <t xml:space="preserve">  El valor a pagar por "Asesorías especializadas" será por hora de especialista, la cual incluirá el Factor Multiplicador, los costos de transporte y demás gastos del especialista. Dicho  valor (hora) será acordado previamente entre las partes, a saber: Interventor, Especialista y Supervisor, para lo cual se tendrá en cuenta  el cumplimiento de las especificaciones solicitadas y el estudio de mercado correspondiente a las tarifas unitarias que se estén estudiando. En todo caso solo se reconocerá hasta el valor establecido en el presente formulario. Se pagará contra factura.</t>
    </r>
  </si>
  <si>
    <r>
      <rPr>
        <b/>
        <sz val="8"/>
        <rFont val="Arial"/>
        <family val="2"/>
      </rPr>
      <t>6.</t>
    </r>
    <r>
      <rPr>
        <sz val="8"/>
        <rFont val="Arial"/>
        <family val="2"/>
      </rPr>
      <t xml:space="preserve"> Si durante la ejecución del contrato la Entidad  llegase a evidenciar pagos inferiores a los valores registrados por el adjudicatario en el presente documento o cuyo valor este por encima de los valores de referencia definidos por la entidad, ésta podrá realizar las deducciones del caso.</t>
    </r>
  </si>
  <si>
    <r>
      <rPr>
        <b/>
        <sz val="8"/>
        <rFont val="Arial"/>
        <family val="2"/>
      </rPr>
      <t>7.</t>
    </r>
    <r>
      <rPr>
        <sz val="8"/>
        <rFont val="Arial"/>
        <family val="2"/>
      </rPr>
      <t xml:space="preserve"> Los valores subrayados no se modifican, corresponden a montos Estimados con los cuales se atenderán las actividades correspondientes.</t>
    </r>
  </si>
  <si>
    <r>
      <rPr>
        <b/>
        <sz val="8"/>
        <rFont val="Arial"/>
        <family val="2"/>
      </rPr>
      <t xml:space="preserve">8. </t>
    </r>
    <r>
      <rPr>
        <sz val="8"/>
        <rFont val="Arial"/>
        <family val="2"/>
      </rPr>
      <t xml:space="preserve"> Los Valores Unitarios de Salarios y demás componentes de la propuesta económica no podrán ser inferiores al 95%, ni superiores al 105% de los valores estimados en el presente formulario.</t>
    </r>
  </si>
  <si>
    <t>NOTA 1: El valor del FACTOR MULTIPLICADOR, el cual afecta los costos de personal, NO PODRÁ en ningún caso ser superior al establecido por la entidad en el Presupuesto Oficial.</t>
  </si>
  <si>
    <t>GOBERNACIÓN DE ANTIOQUIA</t>
  </si>
  <si>
    <t xml:space="preserve">SECRETARÍA DE INFRAESTRUCTURA FÍSICA </t>
  </si>
  <si>
    <t xml:space="preserve">FACTOR MULTIPLICADOR </t>
  </si>
  <si>
    <t>Sueldo Básico</t>
  </si>
  <si>
    <t>Subtotal 1</t>
  </si>
  <si>
    <t>Prestaciones Sociales, aporte a Seguridad social, Aportes parafiscales y descanso remunerado</t>
  </si>
  <si>
    <t>Prestaciones sociales</t>
  </si>
  <si>
    <t>NOMINA INT</t>
  </si>
  <si>
    <t>Prima anual</t>
  </si>
  <si>
    <t>PLAZO</t>
  </si>
  <si>
    <t xml:space="preserve">Cesantía anual </t>
  </si>
  <si>
    <t>SMMLV 2025</t>
  </si>
  <si>
    <t>Interés a las cesantías</t>
  </si>
  <si>
    <t>OTROS COSTOS</t>
  </si>
  <si>
    <t>Aportes a la Seguridad social</t>
  </si>
  <si>
    <t>PÓLIZAS INT</t>
  </si>
  <si>
    <t>Salud (EPS)</t>
  </si>
  <si>
    <t>Pensiones (AFP)</t>
  </si>
  <si>
    <t>Riesgos (ARL) 6,96 % (obra civil)</t>
  </si>
  <si>
    <t>Aportes parafiscales</t>
  </si>
  <si>
    <t>Servicio Nacional de Aprendizaje (SENA)</t>
  </si>
  <si>
    <t>Instituto Colombiano de Bienestar Familiar (ICBF)</t>
  </si>
  <si>
    <t>Cajas de compensación familiar</t>
  </si>
  <si>
    <t>Descanso remunerado (vacaciones)</t>
  </si>
  <si>
    <t>Vacaciones anuales</t>
  </si>
  <si>
    <t>Subtotal 2</t>
  </si>
  <si>
    <t>Costos Indirectos</t>
  </si>
  <si>
    <t>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representación y promoción, preparación y edición de propuestas, gastos de viaje, gastos de representación)</t>
  </si>
  <si>
    <t>Pólizas</t>
  </si>
  <si>
    <t>Asesoría jurídica, contable, tributaria (revisoría fiscal) y médica</t>
  </si>
  <si>
    <t>Otros Costos administrativos, perfeccionamiento, liquidacion de contrato, personal admon post obra. Etc</t>
  </si>
  <si>
    <t>Subtotal 3</t>
  </si>
  <si>
    <t>Gastos de legalización y perfeccionamiento del contrato. Costos Impuestos, Tasas y Contribuciones</t>
  </si>
  <si>
    <t>Subtotal 4</t>
  </si>
  <si>
    <r>
      <t>Honorarios  o Utilidad (</t>
    </r>
    <r>
      <rPr>
        <b/>
        <sz val="10"/>
        <color rgb="FF0000FF"/>
        <rFont val="Arial"/>
        <family val="2"/>
      </rPr>
      <t>10</t>
    </r>
    <r>
      <rPr>
        <b/>
        <sz val="10"/>
        <rFont val="Arial"/>
        <family val="2"/>
      </rPr>
      <t xml:space="preserve">  % de (1+2+3+4)) 
Indicar en el </t>
    </r>
    <r>
      <rPr>
        <b/>
        <u/>
        <sz val="10"/>
        <rFont val="Arial"/>
        <family val="2"/>
      </rPr>
      <t>espacio subrayado el valor del porcentaje</t>
    </r>
    <r>
      <rPr>
        <b/>
        <sz val="10"/>
        <rFont val="Arial"/>
        <family val="2"/>
      </rPr>
      <t xml:space="preserve"> </t>
    </r>
    <r>
      <rPr>
        <b/>
        <u/>
        <sz val="10"/>
        <rFont val="Arial"/>
        <family val="2"/>
      </rPr>
      <t>que estime como</t>
    </r>
    <r>
      <rPr>
        <b/>
        <sz val="10"/>
        <rFont val="Arial"/>
        <family val="2"/>
      </rPr>
      <t xml:space="preserve"> </t>
    </r>
    <r>
      <rPr>
        <b/>
        <u/>
        <sz val="10"/>
        <rFont val="Arial"/>
        <family val="2"/>
      </rPr>
      <t>honorarios</t>
    </r>
    <r>
      <rPr>
        <b/>
        <sz val="10"/>
        <rFont val="Arial"/>
        <family val="2"/>
      </rPr>
      <t xml:space="preserve"> y el resultado de afectar la suma de (1+2+3+4) por dicho porcentaje, lo deberá colocar en la celda a la derecha</t>
    </r>
  </si>
  <si>
    <t>Subtotal 5</t>
  </si>
  <si>
    <t>Subtotal   1+2+3+4+5</t>
  </si>
  <si>
    <t>Factor Multiplicador ajustado a dos cifras decimales</t>
  </si>
  <si>
    <t>VALOR GASTOS LEGALIZACIÓN</t>
  </si>
  <si>
    <t>VALOR DEL CONTRATO ( $ )</t>
  </si>
  <si>
    <t xml:space="preserve">PLAZO DEL CONTRATO (Dias) </t>
  </si>
  <si>
    <t>ANTICIPO</t>
  </si>
  <si>
    <t>TIPO DE GARANTÍA</t>
  </si>
  <si>
    <t>VALOR ASEGURADO</t>
  </si>
  <si>
    <t>COBERTURA ( Dias )</t>
  </si>
  <si>
    <t>TASA anual</t>
  </si>
  <si>
    <t>PRIMA</t>
  </si>
  <si>
    <t>Cumplimiento</t>
  </si>
  <si>
    <t>Buen Manejo y Correcta Inversión del Anticipo</t>
  </si>
  <si>
    <t>100% del anticipo</t>
  </si>
  <si>
    <t>Salarios y Prestaciones Sociales</t>
  </si>
  <si>
    <t>Estabilidad y Calidad de la Obras</t>
  </si>
  <si>
    <t>Responsabilidad Civil</t>
  </si>
  <si>
    <t>SUBTOTAL PRIMA</t>
  </si>
  <si>
    <t>Gastos de expedición</t>
  </si>
  <si>
    <t>I.V.A. (19%)</t>
  </si>
  <si>
    <t>TOTAL POLIZAS</t>
  </si>
  <si>
    <t>Relación</t>
  </si>
  <si>
    <t>Nota: Debido a que la mayoría de las obras a ejecutar no representan un mayor riesgo para la comunidad, ya que son obras menores, no se considera necesario tener en cuenta la póliza Todo Riesgo en Construcción.</t>
  </si>
  <si>
    <t>TOTAL GASTOS LEGALIZACION</t>
  </si>
  <si>
    <t>CRONOGRAMA Y FLUJO DE INVERSIÓN</t>
  </si>
  <si>
    <t>TIEMPO EN MESES</t>
  </si>
  <si>
    <t>MES 1
[ETAPA PREC.]</t>
  </si>
  <si>
    <t>MES 2 
[ETAPA PREC.]</t>
  </si>
  <si>
    <t>MES 1
[OBRA]</t>
  </si>
  <si>
    <t>MES 2
[OBRA]</t>
  </si>
  <si>
    <t>MES 3
[OBRA]</t>
  </si>
  <si>
    <t>MES 4
[OBRA]</t>
  </si>
  <si>
    <t>MES 5
[OBRA]</t>
  </si>
  <si>
    <t>MES 6
[OBRA]</t>
  </si>
  <si>
    <t>MES 7
[OBRA]</t>
  </si>
  <si>
    <t>MES 8
[OBRA]</t>
  </si>
  <si>
    <t>MES 9
[OBRA]</t>
  </si>
  <si>
    <t>MES 10
[OBRA]</t>
  </si>
  <si>
    <t>ACTIVIDAD Y CAPÍTULO</t>
  </si>
  <si>
    <t>VALOR [$] (COSTO DIRECTO)</t>
  </si>
  <si>
    <t xml:space="preserve">VALOR TOTAL [$]             </t>
  </si>
  <si>
    <t>INCID [%]</t>
  </si>
  <si>
    <t>ETAPA PRECONTRACTUAL</t>
  </si>
  <si>
    <t>VALOR TOTAL DEL PROYECTO</t>
  </si>
  <si>
    <t>Etiquetas de fila</t>
  </si>
  <si>
    <t>Cuenta de VISTA DETALLE</t>
  </si>
  <si>
    <t>Cruz Ø6x6x4x4" HD Extr. Liso</t>
  </si>
  <si>
    <t>Reducción Ø4x3" HD Extr. Liso</t>
  </si>
  <si>
    <t>Reducción Ø6x4" HD Extr. Liso</t>
  </si>
  <si>
    <t>Tee Ø3" HD Extr. Liso</t>
  </si>
  <si>
    <t>Tee Ø3x3" HD Extr. Liso</t>
  </si>
  <si>
    <t>Tee Ø6" HD Extr. Liso</t>
  </si>
  <si>
    <t>Válvula compuerta Ø3" HD Extr. Liso</t>
  </si>
  <si>
    <t>Válvula compuerta Ø6" HD Extr. Liso</t>
  </si>
  <si>
    <t>Cruz Ø6x6x6x6" HD Extr. Liso</t>
  </si>
  <si>
    <t>Cruz Ø3x3x3x3" HD Extr. Liso</t>
  </si>
  <si>
    <t>Válvula compuerta Ø4" HD Extr. Liso</t>
  </si>
  <si>
    <t>Total general</t>
  </si>
  <si>
    <t>DESPIECE ACCESORIOS</t>
  </si>
  <si>
    <t>ACCESORIO</t>
  </si>
  <si>
    <t>REDUCCION</t>
  </si>
  <si>
    <t>UNION</t>
  </si>
  <si>
    <t>union</t>
  </si>
  <si>
    <t>VISTA DETALLE</t>
  </si>
  <si>
    <t>X</t>
  </si>
  <si>
    <t>Y</t>
  </si>
  <si>
    <t>Cruz Ø8x8x8x8" HD Extr. Liso</t>
  </si>
  <si>
    <t>divino niño</t>
  </si>
  <si>
    <t>Reducción Ø8x6" HD Extr. Liso</t>
  </si>
  <si>
    <t>3''</t>
  </si>
  <si>
    <t>VD19</t>
  </si>
  <si>
    <t>Cruz Ø8x8x8x8" HD Extr, Liso</t>
  </si>
  <si>
    <t>4''</t>
  </si>
  <si>
    <t>Reducción Ø8x6" HD Extr, Liso</t>
  </si>
  <si>
    <t>Cruz Ø8x8x6x6" HD Extr. Liso</t>
  </si>
  <si>
    <t>casa cultura</t>
  </si>
  <si>
    <t>6''</t>
  </si>
  <si>
    <t>8''</t>
  </si>
  <si>
    <t>Cruz Ø4x4x4x4" HD Extr. Liso</t>
  </si>
  <si>
    <t>La Natalia</t>
  </si>
  <si>
    <t>VD24</t>
  </si>
  <si>
    <t> 4776469,071</t>
  </si>
  <si>
    <t> 2241823,677</t>
  </si>
  <si>
    <t>Cruz Ø8x8x6x6" HD Extr, Liso</t>
  </si>
  <si>
    <t>reduccion</t>
  </si>
  <si>
    <t> 4776468,961</t>
  </si>
  <si>
    <t> 2241823,461</t>
  </si>
  <si>
    <t>Hospital</t>
  </si>
  <si>
    <t>8X6</t>
  </si>
  <si>
    <t> 4776469,580</t>
  </si>
  <si>
    <t> 2241823,739</t>
  </si>
  <si>
    <t>Cementerio</t>
  </si>
  <si>
    <t>6X4</t>
  </si>
  <si>
    <t> 4776469,345</t>
  </si>
  <si>
    <t> 2241823,150</t>
  </si>
  <si>
    <t>Divino niño 2</t>
  </si>
  <si>
    <t>4X3</t>
  </si>
  <si>
    <t> 4776468,694</t>
  </si>
  <si>
    <t> 2241824,450</t>
  </si>
  <si>
    <t> 4776468,976</t>
  </si>
  <si>
    <t> 2241824,237</t>
  </si>
  <si>
    <t>Reducción Ø4x3" HD Extr, Liso</t>
  </si>
  <si>
    <t>El Alto</t>
  </si>
  <si>
    <t> 4776469,053</t>
  </si>
  <si>
    <t> 2241824,079</t>
  </si>
  <si>
    <t>Reducción Ø6x4" HD Extr, Liso</t>
  </si>
  <si>
    <t>Guarderia</t>
  </si>
  <si>
    <t>codo</t>
  </si>
  <si>
    <t>VD25</t>
  </si>
  <si>
    <t> 4776547,930</t>
  </si>
  <si>
    <t> 2241858,943</t>
  </si>
  <si>
    <t>Cruz Ø4x4x4x4" HD Extr, Liso</t>
  </si>
  <si>
    <t>Asilo-Marin</t>
  </si>
  <si>
    <t> 4776547,373</t>
  </si>
  <si>
    <t> 2241858,530</t>
  </si>
  <si>
    <t>Mal Paso- canoso</t>
  </si>
  <si>
    <t> 4776548,092</t>
  </si>
  <si>
    <t> 2241858,653</t>
  </si>
  <si>
    <t> 4776547,800</t>
  </si>
  <si>
    <t> 2241859,514</t>
  </si>
  <si>
    <t>Mal Paso-Marin</t>
  </si>
  <si>
    <t> 4776548,638</t>
  </si>
  <si>
    <t> 2241859,146</t>
  </si>
  <si>
    <t>Variante</t>
  </si>
  <si>
    <t>accesorios</t>
  </si>
  <si>
    <t> 4776547,845</t>
  </si>
  <si>
    <t> 2241858,909</t>
  </si>
  <si>
    <t>Tee Ø8" HD Extr. Liso</t>
  </si>
  <si>
    <t>Hospital-Divino niño</t>
  </si>
  <si>
    <t> 4776547,892</t>
  </si>
  <si>
    <t> 2241859,244</t>
  </si>
  <si>
    <t> 4776548,407</t>
  </si>
  <si>
    <t> 2241859,177</t>
  </si>
  <si>
    <t>Adoquinada-asilo</t>
  </si>
  <si>
    <t>VD02</t>
  </si>
  <si>
    <t> 4776150,962</t>
  </si>
  <si>
    <t> 2241566,264</t>
  </si>
  <si>
    <t>Cruz Ø6x6x4x4" HD Extr, Liso</t>
  </si>
  <si>
    <t> 4776151,134</t>
  </si>
  <si>
    <t> 2241565,998</t>
  </si>
  <si>
    <t> 4776150,820</t>
  </si>
  <si>
    <t> 2241566,640</t>
  </si>
  <si>
    <t>Adoqunada-Torres</t>
  </si>
  <si>
    <t>VD12</t>
  </si>
  <si>
    <t> 4776198,002</t>
  </si>
  <si>
    <t> 2241473,862</t>
  </si>
  <si>
    <t>Cruz Ø6x6x6x6" HD Extr, Liso</t>
  </si>
  <si>
    <t> 4776197,941</t>
  </si>
  <si>
    <t> 2241474,267</t>
  </si>
  <si>
    <t>VD05</t>
  </si>
  <si>
    <t> 4776245,686</t>
  </si>
  <si>
    <t> 2241609,009</t>
  </si>
  <si>
    <t>Cultura-Guarderia</t>
  </si>
  <si>
    <t> 4776245,893</t>
  </si>
  <si>
    <t> 2241608,626</t>
  </si>
  <si>
    <t> 4776245,421</t>
  </si>
  <si>
    <t> 2241609,549</t>
  </si>
  <si>
    <t>Torres</t>
  </si>
  <si>
    <t> 4776245,700</t>
  </si>
  <si>
    <t> 2241609,272</t>
  </si>
  <si>
    <t>Hid-Cultura</t>
  </si>
  <si>
    <t>VD14</t>
  </si>
  <si>
    <t> 4776288,731</t>
  </si>
  <si>
    <t> 2241516,028</t>
  </si>
  <si>
    <t>Cruz Ø3x3x3x3" HD Extr, Liso</t>
  </si>
  <si>
    <t> 4776288,607</t>
  </si>
  <si>
    <t> 2241516,606</t>
  </si>
  <si>
    <t>4776288,804 </t>
  </si>
  <si>
    <t>2241516,310 </t>
  </si>
  <si>
    <t>Hid-Hospital</t>
  </si>
  <si>
    <t>VD08</t>
  </si>
  <si>
    <t> 4776420,409</t>
  </si>
  <si>
    <t> 4776420,363</t>
  </si>
  <si>
    <t> 2241689,709</t>
  </si>
  <si>
    <t>Hid-Mal Paso</t>
  </si>
  <si>
    <t> 4776420,641</t>
  </si>
  <si>
    <t>2241689,090 </t>
  </si>
  <si>
    <t>Hid-Guarderia</t>
  </si>
  <si>
    <t> 4776421,016</t>
  </si>
  <si>
    <t> 2241689,458</t>
  </si>
  <si>
    <t>La viejita</t>
  </si>
  <si>
    <t> 4776419,637</t>
  </si>
  <si>
    <t> 2241689,191</t>
  </si>
  <si>
    <t> 4776420,773</t>
  </si>
  <si>
    <t>2241689,519 </t>
  </si>
  <si>
    <t>Medio codo Ø6" PVC</t>
  </si>
  <si>
    <t> 4776419,811</t>
  </si>
  <si>
    <t> 2241689,322</t>
  </si>
  <si>
    <t>Hospital- La Viejita</t>
  </si>
  <si>
    <t>VD07</t>
  </si>
  <si>
    <t> 4776331,460</t>
  </si>
  <si>
    <t> 2241648,142</t>
  </si>
  <si>
    <t>Válvula compuerta Ø8" HD Extr. Liso</t>
  </si>
  <si>
    <t>Divino niño</t>
  </si>
  <si>
    <t> 4776331,996</t>
  </si>
  <si>
    <t>2241648,288 </t>
  </si>
  <si>
    <t>Adoquinada</t>
  </si>
  <si>
    <t>VD11</t>
  </si>
  <si>
    <t> 4776469,163</t>
  </si>
  <si>
    <t>2241599,120 </t>
  </si>
  <si>
    <t xml:space="preserve">Cultura </t>
  </si>
  <si>
    <t> 4776468,949</t>
  </si>
  <si>
    <t> 2241599,234</t>
  </si>
  <si>
    <t> 4776469,491</t>
  </si>
  <si>
    <t>2241599,245 </t>
  </si>
  <si>
    <t> 4776469,218</t>
  </si>
  <si>
    <t>2241598,610 </t>
  </si>
  <si>
    <t> 4776468,569</t>
  </si>
  <si>
    <t> 2241598,872</t>
  </si>
  <si>
    <t>4776468,810 </t>
  </si>
  <si>
    <t> 2241598,806</t>
  </si>
  <si>
    <t>El alto</t>
  </si>
  <si>
    <t>VD16</t>
  </si>
  <si>
    <t>4776377,675 </t>
  </si>
  <si>
    <t> 2241555,854</t>
  </si>
  <si>
    <t>4776378,199 </t>
  </si>
  <si>
    <t>2241555,923 </t>
  </si>
  <si>
    <t>Mal Paso- El Alto</t>
  </si>
  <si>
    <t> 4776377,827</t>
  </si>
  <si>
    <t> 2241555,511</t>
  </si>
  <si>
    <t>VD06</t>
  </si>
  <si>
    <t> 4776425,134</t>
  </si>
  <si>
    <t>2241459,921 </t>
  </si>
  <si>
    <t> 4776425,634</t>
  </si>
  <si>
    <t> 2241460,007</t>
  </si>
  <si>
    <t> 4776425,039</t>
  </si>
  <si>
    <t>2241459,680 </t>
  </si>
  <si>
    <t>4776424,862 </t>
  </si>
  <si>
    <t>2241460,483 </t>
  </si>
  <si>
    <t> 4776425,436</t>
  </si>
  <si>
    <t>2241459,337 </t>
  </si>
  <si>
    <t> 4776425,478</t>
  </si>
  <si>
    <t> 2241459,583</t>
  </si>
  <si>
    <t> 4776425,100</t>
  </si>
  <si>
    <t>2241460,305 </t>
  </si>
  <si>
    <t>VD18</t>
  </si>
  <si>
    <t> 4776098,961</t>
  </si>
  <si>
    <t> 2241656,182</t>
  </si>
  <si>
    <t>Tee Ø8" HD Extr, Liso</t>
  </si>
  <si>
    <t> 4776099,469</t>
  </si>
  <si>
    <t>2241656,244 </t>
  </si>
  <si>
    <t> 4776099,232</t>
  </si>
  <si>
    <t> 2241655,694</t>
  </si>
  <si>
    <t> 4776098,639</t>
  </si>
  <si>
    <t> 2241655,889</t>
  </si>
  <si>
    <t> 4776099,300</t>
  </si>
  <si>
    <t> 2241655,926</t>
  </si>
  <si>
    <t> 4776098,686</t>
  </si>
  <si>
    <t> 2241656,120</t>
  </si>
  <si>
    <t>VD21</t>
  </si>
  <si>
    <t> 4776288,203</t>
  </si>
  <si>
    <t>2241738,484 </t>
  </si>
  <si>
    <t> 4776288,711</t>
  </si>
  <si>
    <t> 2241738,546</t>
  </si>
  <si>
    <t>4776288,092 </t>
  </si>
  <si>
    <t>2241738,268 </t>
  </si>
  <si>
    <t> 4776288,756</t>
  </si>
  <si>
    <t>2241737,653 </t>
  </si>
  <si>
    <t> 4776288,538</t>
  </si>
  <si>
    <t>2241738,143 </t>
  </si>
  <si>
    <t> 4776288,609</t>
  </si>
  <si>
    <t> 2241737,993</t>
  </si>
  <si>
    <t>4776288,698 </t>
  </si>
  <si>
    <t>2241737,829 </t>
  </si>
  <si>
    <t>VD22</t>
  </si>
  <si>
    <t> 4776330,872</t>
  </si>
  <si>
    <t> 2241758,334</t>
  </si>
  <si>
    <t> 4776331,381</t>
  </si>
  <si>
    <t> 2241758,396</t>
  </si>
  <si>
    <t> 4776330,762</t>
  </si>
  <si>
    <t> 2241758,118</t>
  </si>
  <si>
    <t> 4776331,425</t>
  </si>
  <si>
    <t> 2241757,293</t>
  </si>
  <si>
    <t> 4776331,208</t>
  </si>
  <si>
    <t> 2241757,994</t>
  </si>
  <si>
    <t> 4776331,337</t>
  </si>
  <si>
    <t> 2241757,757</t>
  </si>
  <si>
    <t> 4776331,437</t>
  </si>
  <si>
    <t> 2241757,577</t>
  </si>
  <si>
    <t>VD23</t>
  </si>
  <si>
    <t> 4776372,273</t>
  </si>
  <si>
    <t> 2241777,984</t>
  </si>
  <si>
    <t> 4776372,781</t>
  </si>
  <si>
    <t> 2241778,046</t>
  </si>
  <si>
    <t> 4776372,162</t>
  </si>
  <si>
    <t> 2241777,768</t>
  </si>
  <si>
    <t> 4776372,696</t>
  </si>
  <si>
    <t> 2241777,170</t>
  </si>
  <si>
    <t> 4776372,622</t>
  </si>
  <si>
    <t> 2241777,661</t>
  </si>
  <si>
    <t> 4776372,720</t>
  </si>
  <si>
    <t> 2241777,488</t>
  </si>
  <si>
    <t>VD09</t>
  </si>
  <si>
    <t> 4776371,325</t>
  </si>
  <si>
    <t> 2241666,507</t>
  </si>
  <si>
    <t>Tee Ø3" HD Extr, Liso</t>
  </si>
  <si>
    <t> 4776371,696</t>
  </si>
  <si>
    <t> 2241666,533</t>
  </si>
  <si>
    <t> 4776371,042</t>
  </si>
  <si>
    <t> 2241666,235</t>
  </si>
  <si>
    <t> 4776371,033</t>
  </si>
  <si>
    <t> 2241666,790</t>
  </si>
  <si>
    <t>VD26</t>
  </si>
  <si>
    <t> 4776473,825</t>
  </si>
  <si>
    <t> 2241825,799</t>
  </si>
  <si>
    <t> 4776473,520</t>
  </si>
  <si>
    <t> 2241825,798</t>
  </si>
  <si>
    <t> 4776473,980</t>
  </si>
  <si>
    <t> 2241826,064</t>
  </si>
  <si>
    <t> 4776473,501</t>
  </si>
  <si>
    <t> 2241826,679</t>
  </si>
  <si>
    <t> 4776473,662</t>
  </si>
  <si>
    <t> 2241826,078</t>
  </si>
  <si>
    <t> 4776473,551</t>
  </si>
  <si>
    <t> 2241826,232</t>
  </si>
  <si>
    <t> 4776473,435</t>
  </si>
  <si>
    <t> 2241826,398</t>
  </si>
  <si>
    <t>VD01</t>
  </si>
  <si>
    <t> 4776145,996</t>
  </si>
  <si>
    <t> 2241575,817</t>
  </si>
  <si>
    <t>Tee Ø6" HD Extr, Liso</t>
  </si>
  <si>
    <t> 4776145,994</t>
  </si>
  <si>
    <t> 2241576,122</t>
  </si>
  <si>
    <t> 4776146,261</t>
  </si>
  <si>
    <t> 2241575,661</t>
  </si>
  <si>
    <t> 4776146,668</t>
  </si>
  <si>
    <t> 2241576,025</t>
  </si>
  <si>
    <t> 4776146,275</t>
  </si>
  <si>
    <t> 2241575,980</t>
  </si>
  <si>
    <t> 4776146,429</t>
  </si>
  <si>
    <t> 2241576,090</t>
  </si>
  <si>
    <t>VD13</t>
  </si>
  <si>
    <t> 4776382,276</t>
  </si>
  <si>
    <t> 2241557,992</t>
  </si>
  <si>
    <t> 4776382,448</t>
  </si>
  <si>
    <t> 2241558,247</t>
  </si>
  <si>
    <t> 4776381,972</t>
  </si>
  <si>
    <t> 2241558,009</t>
  </si>
  <si>
    <t> 4776382,289</t>
  </si>
  <si>
    <t> 2241558,304</t>
  </si>
  <si>
    <t>VD10</t>
  </si>
  <si>
    <t> 4776413,490</t>
  </si>
  <si>
    <t> 2241689,019</t>
  </si>
  <si>
    <t> 4776413,503</t>
  </si>
  <si>
    <t> 2241689,332</t>
  </si>
  <si>
    <t> 4776413,662</t>
  </si>
  <si>
    <t> 2241689,274</t>
  </si>
  <si>
    <t> 4776413,186</t>
  </si>
  <si>
    <t> 2241689,036</t>
  </si>
  <si>
    <t>VD03</t>
  </si>
  <si>
    <t> 4776056,644</t>
  </si>
  <si>
    <t> 2241634,708</t>
  </si>
  <si>
    <t> 4776057,099</t>
  </si>
  <si>
    <t> 2241635,092</t>
  </si>
  <si>
    <t> 4776056,102</t>
  </si>
  <si>
    <t> 2241634,896</t>
  </si>
  <si>
    <t> 4776056,177</t>
  </si>
  <si>
    <t> 2241635,456</t>
  </si>
  <si>
    <t> 4776056,414</t>
  </si>
  <si>
    <t> 2241634,658</t>
  </si>
  <si>
    <t> 4776056,510</t>
  </si>
  <si>
    <t> 2241635,066</t>
  </si>
  <si>
    <t> 4776056,380</t>
  </si>
  <si>
    <t> 2241635,341</t>
  </si>
  <si>
    <t>VD17</t>
  </si>
  <si>
    <t> 4776090,144</t>
  </si>
  <si>
    <t> 2241652,520</t>
  </si>
  <si>
    <t>Válvula compuerta Ø6" HD Extr, Liso</t>
  </si>
  <si>
    <t> 4776089,900</t>
  </si>
  <si>
    <t> 2241652,238</t>
  </si>
  <si>
    <t> 4776090,526</t>
  </si>
  <si>
    <t> 2241652,518</t>
  </si>
  <si>
    <t> 4776202,174</t>
  </si>
  <si>
    <t> 2241701,313</t>
  </si>
  <si>
    <t>Válvula compuerta Ø8" HD Extr, Liso</t>
  </si>
  <si>
    <t> 4776201,960</t>
  </si>
  <si>
    <t> 2241701,041</t>
  </si>
  <si>
    <t> 4776202,476</t>
  </si>
  <si>
    <t> 2241701,293</t>
  </si>
  <si>
    <t>VD20</t>
  </si>
  <si>
    <t> 4776212,065</t>
  </si>
  <si>
    <t> 2241706,764</t>
  </si>
  <si>
    <t> 4776212,063</t>
  </si>
  <si>
    <t> 2241706,414</t>
  </si>
  <si>
    <t> 4776212,460</t>
  </si>
  <si>
    <t> 2241706,761</t>
  </si>
  <si>
    <t> 4776328,864</t>
  </si>
  <si>
    <t> 2241757,397</t>
  </si>
  <si>
    <t> 4776328,650</t>
  </si>
  <si>
    <t> 2241757,124</t>
  </si>
  <si>
    <t> 4776329,135</t>
  </si>
  <si>
    <t> 2241757,368</t>
  </si>
  <si>
    <t> 4776466,161</t>
  </si>
  <si>
    <t> 2241822,283</t>
  </si>
  <si>
    <t> 4776465,917</t>
  </si>
  <si>
    <t> 2241822,001</t>
  </si>
  <si>
    <t> 4776466,543</t>
  </si>
  <si>
    <t> 2241822,280</t>
  </si>
  <si>
    <t> 4776545,783</t>
  </si>
  <si>
    <t> 2241857,981</t>
  </si>
  <si>
    <t> 4776545,539</t>
  </si>
  <si>
    <t> 2241857,699</t>
  </si>
  <si>
    <t> 4776546,165</t>
  </si>
  <si>
    <t> 2241857,979</t>
  </si>
  <si>
    <t> 4776150,240</t>
  </si>
  <si>
    <t> 2241569,258</t>
  </si>
  <si>
    <t> 4776150,469</t>
  </si>
  <si>
    <t> 2241568,975</t>
  </si>
  <si>
    <t> 4776150,175</t>
  </si>
  <si>
    <t> 2241569,607</t>
  </si>
  <si>
    <t> 4776197,889</t>
  </si>
  <si>
    <t> 2241477,378</t>
  </si>
  <si>
    <t> 4776197,860</t>
  </si>
  <si>
    <t> 2241477,761</t>
  </si>
  <si>
    <t> 4776198,051</t>
  </si>
  <si>
    <t> 2241477,042</t>
  </si>
  <si>
    <t> 4776244,356</t>
  </si>
  <si>
    <t> 2241612,397</t>
  </si>
  <si>
    <t> 4776244,638</t>
  </si>
  <si>
    <t> 2241612,153</t>
  </si>
  <si>
    <t> 4776244,359</t>
  </si>
  <si>
    <t> 2241612,779</t>
  </si>
  <si>
    <t> 4776288,354</t>
  </si>
  <si>
    <t> 2241519,402</t>
  </si>
  <si>
    <t>Válvula compuerta Ø4" HD Extr, Liso</t>
  </si>
  <si>
    <t> 4776288,351</t>
  </si>
  <si>
    <t> 2241519,788</t>
  </si>
  <si>
    <t> 4776288,554</t>
  </si>
  <si>
    <t> 2241519,100</t>
  </si>
  <si>
    <t> 4776415,844</t>
  </si>
  <si>
    <t> 2241689,264</t>
  </si>
  <si>
    <t>Válvula compuerta Ø3" HD Extr, Liso</t>
  </si>
  <si>
    <t> 4776416,210</t>
  </si>
  <si>
    <t> 2241689,098</t>
  </si>
  <si>
    <t> 4776415,505</t>
  </si>
  <si>
    <t> 2241689,093</t>
  </si>
  <si>
    <t>VD15</t>
  </si>
  <si>
    <t> 4776379,569</t>
  </si>
  <si>
    <t> 2241552,480</t>
  </si>
  <si>
    <t> 4776379,571</t>
  </si>
  <si>
    <t> 2241552,862</t>
  </si>
  <si>
    <t> 4776379,851</t>
  </si>
  <si>
    <t> 2241552,236</t>
  </si>
  <si>
    <t> 4776423,256</t>
  </si>
  <si>
    <t> 2241463,856|</t>
  </si>
  <si>
    <t> 4776423,258</t>
  </si>
  <si>
    <t> 2241464,238</t>
  </si>
  <si>
    <t> 4776423,538</t>
  </si>
  <si>
    <t> 2241463,612</t>
  </si>
  <si>
    <t>VD04</t>
  </si>
  <si>
    <t> 4776204,298</t>
  </si>
  <si>
    <t> 2241705,295</t>
  </si>
  <si>
    <t>Válvula reguladora de presion Ø8" HD Extr, Liso</t>
  </si>
  <si>
    <t> 4776204,580</t>
  </si>
  <si>
    <t> 2241705,051</t>
  </si>
  <si>
    <t> 4776204,301</t>
  </si>
  <si>
    <t> 2241705,677</t>
  </si>
  <si>
    <t>DESPIECE DE TUBERÍAS</t>
  </si>
  <si>
    <t>ID</t>
  </si>
  <si>
    <t>DIÁMETRO</t>
  </si>
  <si>
    <t>MATERIAL</t>
  </si>
  <si>
    <t>COTA TERRENO</t>
  </si>
  <si>
    <t>DE</t>
  </si>
  <si>
    <t>DESPIECE TUBERIA ALCANTARILLADO</t>
  </si>
  <si>
    <t>DESCRIPCION</t>
  </si>
  <si>
    <t>Tuberia PVC 12''</t>
  </si>
  <si>
    <t>Tuberia PVC 14''</t>
  </si>
  <si>
    <t>Tuberia PVC 16''</t>
  </si>
  <si>
    <t>Tuberia PVC 18''</t>
  </si>
  <si>
    <t>Tuberia PVC 20''</t>
  </si>
  <si>
    <t xml:space="preserve">Scenario: Base </t>
  </si>
  <si>
    <t>Tabla de Red - Nudos</t>
  </si>
  <si>
    <t xml:space="preserve">                        </t>
  </si>
  <si>
    <t xml:space="preserve">Cota            </t>
  </si>
  <si>
    <t xml:space="preserve">Demanda Base    </t>
  </si>
  <si>
    <t xml:space="preserve">Calidad Inicial </t>
  </si>
  <si>
    <t xml:space="preserve"> ID Nudo                </t>
  </si>
  <si>
    <t xml:space="preserve">m               </t>
  </si>
  <si>
    <t xml:space="preserve">LPS             </t>
  </si>
  <si>
    <t xml:space="preserve">mg/L            </t>
  </si>
  <si>
    <t xml:space="preserve">Conexión N202           </t>
  </si>
  <si>
    <t xml:space="preserve">Conexión N201           </t>
  </si>
  <si>
    <t xml:space="preserve">Conexión N200           </t>
  </si>
  <si>
    <t xml:space="preserve">Conexión N199           </t>
  </si>
  <si>
    <t xml:space="preserve">Conexión N198           </t>
  </si>
  <si>
    <t xml:space="preserve">Conexión N197           </t>
  </si>
  <si>
    <t xml:space="preserve">Conexión N196           </t>
  </si>
  <si>
    <t xml:space="preserve">Conexión N195           </t>
  </si>
  <si>
    <t xml:space="preserve">Conexión N194           </t>
  </si>
  <si>
    <t xml:space="preserve">Conexión N193           </t>
  </si>
  <si>
    <t xml:space="preserve">Conexión N192           </t>
  </si>
  <si>
    <t xml:space="preserve">Conexión N191           </t>
  </si>
  <si>
    <t xml:space="preserve">Conexión N190           </t>
  </si>
  <si>
    <t xml:space="preserve">Conexión N189           </t>
  </si>
  <si>
    <t xml:space="preserve">Conexión N188           </t>
  </si>
  <si>
    <t xml:space="preserve">Conexión N187           </t>
  </si>
  <si>
    <t xml:space="preserve">Conexión N186           </t>
  </si>
  <si>
    <t xml:space="preserve">Conexión N185           </t>
  </si>
  <si>
    <t xml:space="preserve">Conexión N184           </t>
  </si>
  <si>
    <t xml:space="preserve">Conexión N183           </t>
  </si>
  <si>
    <t xml:space="preserve">Conexión N182           </t>
  </si>
  <si>
    <t xml:space="preserve">Conexión N181           </t>
  </si>
  <si>
    <t xml:space="preserve">Conexión N180           </t>
  </si>
  <si>
    <t xml:space="preserve">Conexión N179           </t>
  </si>
  <si>
    <t xml:space="preserve">Conexión N178           </t>
  </si>
  <si>
    <t xml:space="preserve">Conexión N177           </t>
  </si>
  <si>
    <t xml:space="preserve">Conexión N176           </t>
  </si>
  <si>
    <t xml:space="preserve">Conexión N175           </t>
  </si>
  <si>
    <t xml:space="preserve">Conexión N174           </t>
  </si>
  <si>
    <t xml:space="preserve">Conexión N173           </t>
  </si>
  <si>
    <t xml:space="preserve">Conexión N172           </t>
  </si>
  <si>
    <t xml:space="preserve">Conexión N171           </t>
  </si>
  <si>
    <t xml:space="preserve">Conexión N170           </t>
  </si>
  <si>
    <t xml:space="preserve">Conexión N169           </t>
  </si>
  <si>
    <t xml:space="preserve">Conexión N168           </t>
  </si>
  <si>
    <t xml:space="preserve">Conexión N167           </t>
  </si>
  <si>
    <t xml:space="preserve">Conexión N166           </t>
  </si>
  <si>
    <t xml:space="preserve">Conexión N165           </t>
  </si>
  <si>
    <t xml:space="preserve">Conexión N164           </t>
  </si>
  <si>
    <t xml:space="preserve">Conexión N163           </t>
  </si>
  <si>
    <t xml:space="preserve">Conexión N162           </t>
  </si>
  <si>
    <t xml:space="preserve">Conexión N161           </t>
  </si>
  <si>
    <t xml:space="preserve">Conexión N160           </t>
  </si>
  <si>
    <t xml:space="preserve">Conexión N159           </t>
  </si>
  <si>
    <t xml:space="preserve">Conexión N158           </t>
  </si>
  <si>
    <t xml:space="preserve">Conexión N157           </t>
  </si>
  <si>
    <t xml:space="preserve">Conexión N156           </t>
  </si>
  <si>
    <t xml:space="preserve">Conexión N155           </t>
  </si>
  <si>
    <t xml:space="preserve">Conexión N154           </t>
  </si>
  <si>
    <t xml:space="preserve">Conexión N153           </t>
  </si>
  <si>
    <t xml:space="preserve">Conexión N152           </t>
  </si>
  <si>
    <t xml:space="preserve">Conexión N151           </t>
  </si>
  <si>
    <t xml:space="preserve">Conexión N150           </t>
  </si>
  <si>
    <t xml:space="preserve">Conexión N149           </t>
  </si>
  <si>
    <t xml:space="preserve">Conexión N148           </t>
  </si>
  <si>
    <t xml:space="preserve">Conexión N147           </t>
  </si>
  <si>
    <t xml:space="preserve">Conexión N146           </t>
  </si>
  <si>
    <t xml:space="preserve">Conexión N145           </t>
  </si>
  <si>
    <t xml:space="preserve">Conexión N144           </t>
  </si>
  <si>
    <t xml:space="preserve">Conexión N143           </t>
  </si>
  <si>
    <t xml:space="preserve">Conexión N142           </t>
  </si>
  <si>
    <t xml:space="preserve">Conexión N141           </t>
  </si>
  <si>
    <t xml:space="preserve">Conexión N140           </t>
  </si>
  <si>
    <t xml:space="preserve">Conexión N139           </t>
  </si>
  <si>
    <t xml:space="preserve">Conexión N138           </t>
  </si>
  <si>
    <t xml:space="preserve">Conexión N137           </t>
  </si>
  <si>
    <t xml:space="preserve">Conexión N136           </t>
  </si>
  <si>
    <t xml:space="preserve">Conexión N135           </t>
  </si>
  <si>
    <t xml:space="preserve">Conexión N134           </t>
  </si>
  <si>
    <t xml:space="preserve">Conexión N133           </t>
  </si>
  <si>
    <t xml:space="preserve">Conexión N132           </t>
  </si>
  <si>
    <t xml:space="preserve">Conexión N131           </t>
  </si>
  <si>
    <t xml:space="preserve">Conexión N130           </t>
  </si>
  <si>
    <t xml:space="preserve">Conexión N129           </t>
  </si>
  <si>
    <t xml:space="preserve">Conexión N128           </t>
  </si>
  <si>
    <t xml:space="preserve">Conexión N127           </t>
  </si>
  <si>
    <t xml:space="preserve">Conexión N126           </t>
  </si>
  <si>
    <t xml:space="preserve">Conexión N125           </t>
  </si>
  <si>
    <t xml:space="preserve">Conexión N124           </t>
  </si>
  <si>
    <t xml:space="preserve">Conexión N123           </t>
  </si>
  <si>
    <t xml:space="preserve">Conexión N122           </t>
  </si>
  <si>
    <t xml:space="preserve">Conexión N118           </t>
  </si>
  <si>
    <t xml:space="preserve">Conexión N117           </t>
  </si>
  <si>
    <t xml:space="preserve">Conexión N116           </t>
  </si>
  <si>
    <t xml:space="preserve">Conexión N115           </t>
  </si>
  <si>
    <t xml:space="preserve">Conexión N114           </t>
  </si>
  <si>
    <t xml:space="preserve">Conexión N113           </t>
  </si>
  <si>
    <t xml:space="preserve">Conexión N112           </t>
  </si>
  <si>
    <t xml:space="preserve">Conexión N111           </t>
  </si>
  <si>
    <t xml:space="preserve">Conexión N110           </t>
  </si>
  <si>
    <t xml:space="preserve">Conexión N109           </t>
  </si>
  <si>
    <t xml:space="preserve">Conexión N108           </t>
  </si>
  <si>
    <t xml:space="preserve">Conexión N107           </t>
  </si>
  <si>
    <t xml:space="preserve">Conexión N106           </t>
  </si>
  <si>
    <t xml:space="preserve">Conexión N105           </t>
  </si>
  <si>
    <t xml:space="preserve">Conexión N104           </t>
  </si>
  <si>
    <t xml:space="preserve">Conexión N103           </t>
  </si>
  <si>
    <t xml:space="preserve">Conexión N102           </t>
  </si>
  <si>
    <t xml:space="preserve">Conexión N101           </t>
  </si>
  <si>
    <t xml:space="preserve">Conexión N100           </t>
  </si>
  <si>
    <t xml:space="preserve">Conexión N99            </t>
  </si>
  <si>
    <t xml:space="preserve">Conexión N98            </t>
  </si>
  <si>
    <t xml:space="preserve">Conexión N97            </t>
  </si>
  <si>
    <t xml:space="preserve">Conexión N96            </t>
  </si>
  <si>
    <t xml:space="preserve">Conexión N95            </t>
  </si>
  <si>
    <t xml:space="preserve">Conexión N94            </t>
  </si>
  <si>
    <t xml:space="preserve">Conexión N93            </t>
  </si>
  <si>
    <t xml:space="preserve">Conexión N92            </t>
  </si>
  <si>
    <t xml:space="preserve">Conexión N91            </t>
  </si>
  <si>
    <t xml:space="preserve">Conexión N90            </t>
  </si>
  <si>
    <t xml:space="preserve">Conexión N89            </t>
  </si>
  <si>
    <t xml:space="preserve">Conexión N88            </t>
  </si>
  <si>
    <t xml:space="preserve">Conexión N87            </t>
  </si>
  <si>
    <t xml:space="preserve">Conexión N86            </t>
  </si>
  <si>
    <t xml:space="preserve">Conexión N85            </t>
  </si>
  <si>
    <t xml:space="preserve">Conexión N84            </t>
  </si>
  <si>
    <t xml:space="preserve">Conexión N83            </t>
  </si>
  <si>
    <t xml:space="preserve">Conexión N82            </t>
  </si>
  <si>
    <t xml:space="preserve">Conexión N81A           </t>
  </si>
  <si>
    <t xml:space="preserve">Conexión N81            </t>
  </si>
  <si>
    <t xml:space="preserve">Conexión N80            </t>
  </si>
  <si>
    <t xml:space="preserve">Conexión N79            </t>
  </si>
  <si>
    <t xml:space="preserve">Conexión N78            </t>
  </si>
  <si>
    <t xml:space="preserve">Conexión N77            </t>
  </si>
  <si>
    <t xml:space="preserve">Conexión N76            </t>
  </si>
  <si>
    <t xml:space="preserve">Conexión N75            </t>
  </si>
  <si>
    <t xml:space="preserve">Conexión N74            </t>
  </si>
  <si>
    <t xml:space="preserve">Conexión N73            </t>
  </si>
  <si>
    <t xml:space="preserve">Conexión N72            </t>
  </si>
  <si>
    <t xml:space="preserve">Conexión N71            </t>
  </si>
  <si>
    <t xml:space="preserve">Conexión N70            </t>
  </si>
  <si>
    <t xml:space="preserve">Conexión N69            </t>
  </si>
  <si>
    <t xml:space="preserve">Conexión N68            </t>
  </si>
  <si>
    <t xml:space="preserve">Conexión N67            </t>
  </si>
  <si>
    <t xml:space="preserve">Conexión N66            </t>
  </si>
  <si>
    <t xml:space="preserve">Conexión N65            </t>
  </si>
  <si>
    <t xml:space="preserve">Conexión N64            </t>
  </si>
  <si>
    <t xml:space="preserve">Conexión N63            </t>
  </si>
  <si>
    <t xml:space="preserve">Conexión N62            </t>
  </si>
  <si>
    <t xml:space="preserve">Conexión N61A           </t>
  </si>
  <si>
    <t xml:space="preserve">Conexión N61            </t>
  </si>
  <si>
    <t xml:space="preserve">Conexión N60A           </t>
  </si>
  <si>
    <t xml:space="preserve">Conexión N60            </t>
  </si>
  <si>
    <t xml:space="preserve">Conexión N59            </t>
  </si>
  <si>
    <t xml:space="preserve">Conexión N58            </t>
  </si>
  <si>
    <t xml:space="preserve">Conexión N57            </t>
  </si>
  <si>
    <t xml:space="preserve">Conexión N56A           </t>
  </si>
  <si>
    <t xml:space="preserve">Conexión N56            </t>
  </si>
  <si>
    <t xml:space="preserve">Conexión N55A           </t>
  </si>
  <si>
    <t xml:space="preserve">Conexión N55            </t>
  </si>
  <si>
    <t xml:space="preserve">Conexión N54            </t>
  </si>
  <si>
    <t xml:space="preserve">Conexión N53            </t>
  </si>
  <si>
    <t xml:space="preserve">Conexión N52            </t>
  </si>
  <si>
    <t xml:space="preserve">Conexión N51            </t>
  </si>
  <si>
    <t xml:space="preserve">Conexión N50            </t>
  </si>
  <si>
    <t xml:space="preserve">Conexión N49A           </t>
  </si>
  <si>
    <t xml:space="preserve">Conexión N49            </t>
  </si>
  <si>
    <t xml:space="preserve">Conexión N48A           </t>
  </si>
  <si>
    <t xml:space="preserve">Conexión N48            </t>
  </si>
  <si>
    <t xml:space="preserve">Conexión N47            </t>
  </si>
  <si>
    <t xml:space="preserve">Conexión N46            </t>
  </si>
  <si>
    <t xml:space="preserve">Conexión N45            </t>
  </si>
  <si>
    <t xml:space="preserve">Conexión N44            </t>
  </si>
  <si>
    <t xml:space="preserve">Conexión N43            </t>
  </si>
  <si>
    <t xml:space="preserve">Conexión N42            </t>
  </si>
  <si>
    <t xml:space="preserve">Conexión N41            </t>
  </si>
  <si>
    <t xml:space="preserve">Conexión N40            </t>
  </si>
  <si>
    <t xml:space="preserve">Conexión N39            </t>
  </si>
  <si>
    <t xml:space="preserve">Conexión N38            </t>
  </si>
  <si>
    <t xml:space="preserve">Conexión N37            </t>
  </si>
  <si>
    <t xml:space="preserve">Conexión N36            </t>
  </si>
  <si>
    <t xml:space="preserve">Conexión N35            </t>
  </si>
  <si>
    <t xml:space="preserve">Conexión N34            </t>
  </si>
  <si>
    <t xml:space="preserve">Conexión N33            </t>
  </si>
  <si>
    <t xml:space="preserve">Conexión N32            </t>
  </si>
  <si>
    <t xml:space="preserve">Conexión N31            </t>
  </si>
  <si>
    <t xml:space="preserve">Conexión N30            </t>
  </si>
  <si>
    <t xml:space="preserve">Conexión N29A           </t>
  </si>
  <si>
    <t xml:space="preserve">Conexión N29            </t>
  </si>
  <si>
    <t xml:space="preserve">Conexión N28            </t>
  </si>
  <si>
    <t xml:space="preserve">Conexión N27            </t>
  </si>
  <si>
    <t xml:space="preserve">Conexión N26            </t>
  </si>
  <si>
    <t xml:space="preserve">Conexión N25            </t>
  </si>
  <si>
    <t xml:space="preserve">Conexión N24            </t>
  </si>
  <si>
    <t xml:space="preserve">Conexión N23            </t>
  </si>
  <si>
    <t xml:space="preserve">Conexión N22            </t>
  </si>
  <si>
    <t xml:space="preserve">Conexión N21            </t>
  </si>
  <si>
    <t xml:space="preserve">Conexión N20            </t>
  </si>
  <si>
    <t xml:space="preserve">Conexión N19            </t>
  </si>
  <si>
    <t xml:space="preserve">Conexión N18            </t>
  </si>
  <si>
    <t xml:space="preserve">Conexión N17            </t>
  </si>
  <si>
    <t xml:space="preserve">Conexión N16            </t>
  </si>
  <si>
    <t xml:space="preserve">Conexión N15            </t>
  </si>
  <si>
    <t xml:space="preserve">Conexión N14            </t>
  </si>
  <si>
    <t xml:space="preserve">Conexión N13            </t>
  </si>
  <si>
    <t xml:space="preserve">Conexión N12            </t>
  </si>
  <si>
    <t xml:space="preserve">Conexión N11            </t>
  </si>
  <si>
    <t xml:space="preserve">Conexión N10            </t>
  </si>
  <si>
    <t xml:space="preserve">Conexión N9A            </t>
  </si>
  <si>
    <t xml:space="preserve">Conexión N9             </t>
  </si>
  <si>
    <t xml:space="preserve">Conexión N8             </t>
  </si>
  <si>
    <t xml:space="preserve">Conexión N7             </t>
  </si>
  <si>
    <t xml:space="preserve">Conexión N6             </t>
  </si>
  <si>
    <t xml:space="preserve">Conexión N5             </t>
  </si>
  <si>
    <t xml:space="preserve">Conexión N4             </t>
  </si>
  <si>
    <t xml:space="preserve">Conexión N3             </t>
  </si>
  <si>
    <t xml:space="preserve">Conexión N2             </t>
  </si>
  <si>
    <t xml:space="preserve">Conexión N1A            </t>
  </si>
  <si>
    <t xml:space="preserve">Conexión N1             </t>
  </si>
  <si>
    <t xml:space="preserve">Conexión H1             </t>
  </si>
  <si>
    <t xml:space="preserve">Conexión J-11           </t>
  </si>
  <si>
    <t xml:space="preserve">Conexión H2             </t>
  </si>
  <si>
    <t xml:space="preserve">Conexión J-14           </t>
  </si>
  <si>
    <t xml:space="preserve">Conexión H3             </t>
  </si>
  <si>
    <t xml:space="preserve">Conexión J-24           </t>
  </si>
  <si>
    <t xml:space="preserve">Conexión J-25           </t>
  </si>
  <si>
    <t xml:space="preserve">Conexión H4             </t>
  </si>
  <si>
    <t xml:space="preserve">Conexión 1093-A         </t>
  </si>
  <si>
    <t xml:space="preserve">Conexión 1093-B         </t>
  </si>
  <si>
    <t xml:space="preserve">Conexión 1096-A         </t>
  </si>
  <si>
    <t xml:space="preserve">Conexión 1096-B         </t>
  </si>
  <si>
    <t xml:space="preserve">Conexión 1099-A         </t>
  </si>
  <si>
    <t xml:space="preserve">Conexión 1099-B         </t>
  </si>
  <si>
    <t xml:space="preserve">Conexión 1102-A         </t>
  </si>
  <si>
    <t xml:space="preserve">Conexión 1102-B         </t>
  </si>
  <si>
    <t xml:space="preserve">Conexión 1105-A         </t>
  </si>
  <si>
    <t xml:space="preserve">Conexión 1105-B         </t>
  </si>
  <si>
    <t xml:space="preserve">Conexión 1108-A         </t>
  </si>
  <si>
    <t xml:space="preserve">Conexión 1108-B         </t>
  </si>
  <si>
    <t xml:space="preserve">Conexión 1111-A         </t>
  </si>
  <si>
    <t xml:space="preserve">Conexión 1111-B         </t>
  </si>
  <si>
    <t xml:space="preserve">Conexión 1114-A         </t>
  </si>
  <si>
    <t xml:space="preserve">Conexión 1114-B         </t>
  </si>
  <si>
    <t xml:space="preserve">Conexión 1117-A         </t>
  </si>
  <si>
    <t xml:space="preserve">Conexión 1117-B         </t>
  </si>
  <si>
    <t xml:space="preserve">Conexión 1120-A         </t>
  </si>
  <si>
    <t xml:space="preserve">Conexión 1120-B         </t>
  </si>
  <si>
    <t xml:space="preserve">Conexión 1123-A         </t>
  </si>
  <si>
    <t xml:space="preserve">Conexión 1123-B         </t>
  </si>
  <si>
    <t xml:space="preserve">Embalse T               </t>
  </si>
  <si>
    <t xml:space="preserve">No Disponible   </t>
  </si>
  <si>
    <t>CABEZOTES</t>
  </si>
  <si>
    <t>E</t>
  </si>
  <si>
    <t>F</t>
  </si>
  <si>
    <t>G</t>
  </si>
  <si>
    <t>H</t>
  </si>
  <si>
    <t>J</t>
  </si>
  <si>
    <t>L</t>
  </si>
  <si>
    <t>N</t>
  </si>
  <si>
    <t>REFUERZO A USAR</t>
  </si>
  <si>
    <t>Concreto f´c 210 kg/cm2</t>
  </si>
  <si>
    <t>Refuerzo</t>
  </si>
  <si>
    <t xml:space="preserve">Refuerzo </t>
  </si>
  <si>
    <r>
      <t>Æ</t>
    </r>
    <r>
      <rPr>
        <b/>
        <sz val="10"/>
        <rFont val="Arial"/>
        <family val="2"/>
      </rPr>
      <t xml:space="preserve"> mm</t>
    </r>
  </si>
  <si>
    <r>
      <t>m</t>
    </r>
    <r>
      <rPr>
        <b/>
        <vertAlign val="superscript"/>
        <sz val="10"/>
        <rFont val="Arial"/>
        <family val="2"/>
      </rPr>
      <t>3</t>
    </r>
  </si>
  <si>
    <t>Ø</t>
  </si>
  <si>
    <t>Ø INTERIOR</t>
  </si>
  <si>
    <t>Ø EXTERIOR</t>
  </si>
  <si>
    <t>ESPESOR TUBO</t>
  </si>
  <si>
    <t xml:space="preserve">ANCHO </t>
  </si>
  <si>
    <t>VOLUMEN</t>
  </si>
  <si>
    <t>EMPOTRAMIENTOS</t>
  </si>
  <si>
    <t>CIMENTACIONES SIN ENTIBADO</t>
  </si>
  <si>
    <t>CIMENTACIONES CON ENTIBADO</t>
  </si>
  <si>
    <t>VALOR C</t>
  </si>
  <si>
    <t>NOMINAL</t>
  </si>
  <si>
    <t>SIN ENTIBAR</t>
  </si>
  <si>
    <t>E X P</t>
  </si>
  <si>
    <t>CONCRETOS</t>
  </si>
  <si>
    <t>MATERIAL GRANULAR</t>
  </si>
  <si>
    <t>A1 Y A3</t>
  </si>
  <si>
    <t>B1 Y C1</t>
  </si>
  <si>
    <t>1/2 D</t>
  </si>
  <si>
    <t>clave</t>
  </si>
  <si>
    <t>0.1 sobre clave</t>
  </si>
  <si>
    <t>A3</t>
  </si>
  <si>
    <t>A1</t>
  </si>
  <si>
    <t>B1</t>
  </si>
  <si>
    <t>C1</t>
  </si>
  <si>
    <t>Nº5</t>
  </si>
  <si>
    <t>Nº4</t>
  </si>
  <si>
    <t>21 Mpa</t>
  </si>
  <si>
    <t>plg</t>
  </si>
  <si>
    <t>m3/m</t>
  </si>
  <si>
    <t>FC=4,0</t>
  </si>
  <si>
    <t>FC=3,0</t>
  </si>
  <si>
    <t>FC=1,9</t>
  </si>
  <si>
    <t>FC=1,5</t>
  </si>
  <si>
    <t>kg/un</t>
  </si>
  <si>
    <r>
      <t>m</t>
    </r>
    <r>
      <rPr>
        <b/>
        <vertAlign val="superscript"/>
        <sz val="8"/>
        <rFont val="Arial"/>
        <family val="2"/>
      </rPr>
      <t>3</t>
    </r>
    <r>
      <rPr>
        <b/>
        <sz val="8"/>
        <rFont val="Arial"/>
        <family val="2"/>
      </rPr>
      <t>/m</t>
    </r>
  </si>
  <si>
    <t>TUBERIA DE PEAD PARA ACUEDUCTO PE 100 PN 6 RDE 26</t>
  </si>
  <si>
    <t xml:space="preserve">CIMENTACIONES </t>
  </si>
  <si>
    <t>DIAMETRO NOMINAL</t>
  </si>
  <si>
    <t>COMERCIAL</t>
  </si>
  <si>
    <t>INTERNO</t>
  </si>
  <si>
    <t xml:space="preserve">B1 </t>
  </si>
  <si>
    <t xml:space="preserve"> C1</t>
  </si>
  <si>
    <r>
      <t>m</t>
    </r>
    <r>
      <rPr>
        <b/>
        <vertAlign val="superscript"/>
        <sz val="9"/>
        <rFont val="Arial"/>
        <family val="2"/>
      </rPr>
      <t>3</t>
    </r>
    <r>
      <rPr>
        <b/>
        <sz val="9"/>
        <rFont val="Arial"/>
        <family val="2"/>
      </rPr>
      <t>/m</t>
    </r>
  </si>
  <si>
    <t>A3E</t>
  </si>
  <si>
    <t>A1E</t>
  </si>
  <si>
    <t>B1E</t>
  </si>
  <si>
    <t>C1E</t>
  </si>
  <si>
    <t>TUBERIA PVC</t>
  </si>
  <si>
    <t>Factor de corrección Cb</t>
  </si>
  <si>
    <t>q/Q&gt;1</t>
  </si>
  <si>
    <t>q/Q&lt;1</t>
  </si>
  <si>
    <t>Tipo de cañuela</t>
  </si>
  <si>
    <t>daho/Øs &gt;3,2</t>
  </si>
  <si>
    <t>daho/Øs &lt;1</t>
  </si>
  <si>
    <t>Piso deprimido</t>
  </si>
  <si>
    <t>Media banca</t>
  </si>
  <si>
    <t>Banca llena</t>
  </si>
  <si>
    <t>DIA</t>
  </si>
  <si>
    <t>ExV</t>
  </si>
  <si>
    <t>ExP</t>
  </si>
  <si>
    <t>CIMENTACION</t>
  </si>
  <si>
    <t>ARE</t>
  </si>
  <si>
    <t>VOL. CONCR</t>
  </si>
  <si>
    <t>METRO</t>
  </si>
  <si>
    <t>1/3 D</t>
  </si>
  <si>
    <t xml:space="preserve">1/2 D </t>
  </si>
  <si>
    <t>TIPO C</t>
  </si>
  <si>
    <t>NILLA</t>
  </si>
  <si>
    <t>D</t>
  </si>
  <si>
    <t>ANC x PEND</t>
  </si>
  <si>
    <t>daho/Ø</t>
  </si>
  <si>
    <t>D exter.</t>
  </si>
  <si>
    <t>(1 ANCLAJE)</t>
  </si>
  <si>
    <t>q/Q</t>
  </si>
  <si>
    <t>LOS DATOS AZULES YA HAN SIDO CORREGIDOS SEGÚN TABLA ENTREGADA POR EEPPM EN MAYO /2006</t>
  </si>
  <si>
    <t>PUNTO</t>
  </si>
  <si>
    <t>NORTE</t>
  </si>
  <si>
    <t>ESTE</t>
  </si>
  <si>
    <t>COTA</t>
  </si>
  <si>
    <t>C323</t>
  </si>
  <si>
    <t>C321</t>
  </si>
  <si>
    <t>C325</t>
  </si>
  <si>
    <t>C481</t>
  </si>
  <si>
    <t>C65</t>
  </si>
  <si>
    <t>C193</t>
  </si>
  <si>
    <t>C185</t>
  </si>
  <si>
    <t>C113</t>
  </si>
  <si>
    <t>C285A</t>
  </si>
  <si>
    <t>C315</t>
  </si>
  <si>
    <t>C211</t>
  </si>
  <si>
    <t>C465</t>
  </si>
  <si>
    <t>C463</t>
  </si>
  <si>
    <t>BOT4</t>
  </si>
  <si>
    <t>C3299</t>
  </si>
  <si>
    <t>C313</t>
  </si>
  <si>
    <t>C479</t>
  </si>
  <si>
    <t>C475</t>
  </si>
  <si>
    <t>C3</t>
  </si>
  <si>
    <t>C7</t>
  </si>
  <si>
    <t>C9</t>
  </si>
  <si>
    <t>BOT1</t>
  </si>
  <si>
    <t>BOT 2</t>
  </si>
  <si>
    <t>ALIV 1</t>
  </si>
  <si>
    <t>ALIV 2</t>
  </si>
  <si>
    <t>ALIV 3</t>
  </si>
  <si>
    <t>ALIV 4</t>
  </si>
  <si>
    <t>ALIV 5</t>
  </si>
  <si>
    <t>C257</t>
  </si>
  <si>
    <t>C261</t>
  </si>
  <si>
    <t>C259</t>
  </si>
  <si>
    <t>C255</t>
  </si>
  <si>
    <t>C251</t>
  </si>
  <si>
    <t>C249</t>
  </si>
  <si>
    <t>C247</t>
  </si>
  <si>
    <t>C253</t>
  </si>
  <si>
    <t>C281</t>
  </si>
  <si>
    <t>C283</t>
  </si>
  <si>
    <t>C155</t>
  </si>
  <si>
    <t>C17</t>
  </si>
  <si>
    <t>C19</t>
  </si>
  <si>
    <t>C21</t>
  </si>
  <si>
    <t>C49</t>
  </si>
  <si>
    <t>C51</t>
  </si>
  <si>
    <t>C53</t>
  </si>
  <si>
    <t>C55</t>
  </si>
  <si>
    <t>C27</t>
  </si>
  <si>
    <t>C23</t>
  </si>
  <si>
    <t>C29</t>
  </si>
  <si>
    <t>C31</t>
  </si>
  <si>
    <t>C47</t>
  </si>
  <si>
    <t>ee1</t>
  </si>
  <si>
    <t>C45</t>
  </si>
  <si>
    <t>ee2</t>
  </si>
  <si>
    <t>C43</t>
  </si>
  <si>
    <t>ee3</t>
  </si>
  <si>
    <t>C41</t>
  </si>
  <si>
    <t>C25</t>
  </si>
  <si>
    <t>C33</t>
  </si>
  <si>
    <t>C35</t>
  </si>
  <si>
    <t>C37</t>
  </si>
  <si>
    <t>C57</t>
  </si>
  <si>
    <t>C59</t>
  </si>
  <si>
    <t>C61</t>
  </si>
  <si>
    <t>C151</t>
  </si>
  <si>
    <t>C149</t>
  </si>
  <si>
    <t>C145</t>
  </si>
  <si>
    <t>C147</t>
  </si>
  <si>
    <t>C153</t>
  </si>
  <si>
    <t>C159</t>
  </si>
  <si>
    <t>C161</t>
  </si>
  <si>
    <t>C125</t>
  </si>
  <si>
    <t>C131</t>
  </si>
  <si>
    <t>C133</t>
  </si>
  <si>
    <t>C139</t>
  </si>
  <si>
    <t>C141</t>
  </si>
  <si>
    <t>C137</t>
  </si>
  <si>
    <t>C135</t>
  </si>
  <si>
    <t>C127</t>
  </si>
  <si>
    <t>C129</t>
  </si>
  <si>
    <t>C123</t>
  </si>
  <si>
    <t>C121</t>
  </si>
  <si>
    <t>C431</t>
  </si>
  <si>
    <t>C435</t>
  </si>
  <si>
    <t>C429</t>
  </si>
  <si>
    <t>C425</t>
  </si>
  <si>
    <t>C421</t>
  </si>
  <si>
    <t>C419</t>
  </si>
  <si>
    <t>C423</t>
  </si>
  <si>
    <t>C449A</t>
  </si>
  <si>
    <t>C451</t>
  </si>
  <si>
    <t>C427</t>
  </si>
  <si>
    <t>C453</t>
  </si>
  <si>
    <t>C437</t>
  </si>
  <si>
    <t>C455</t>
  </si>
  <si>
    <t>C457</t>
  </si>
  <si>
    <t>C443</t>
  </si>
  <si>
    <t>C447</t>
  </si>
  <si>
    <t>C445</t>
  </si>
  <si>
    <t>C439</t>
  </si>
  <si>
    <t>C433</t>
  </si>
  <si>
    <t>C441</t>
  </si>
  <si>
    <t>C449</t>
  </si>
  <si>
    <t>C459</t>
  </si>
  <si>
    <t>C419A</t>
  </si>
  <si>
    <t>C415</t>
  </si>
  <si>
    <t>C417</t>
  </si>
  <si>
    <t>C413</t>
  </si>
  <si>
    <t>C411</t>
  </si>
  <si>
    <t>C409</t>
  </si>
  <si>
    <t>C407</t>
  </si>
  <si>
    <t>C405</t>
  </si>
  <si>
    <t>C231</t>
  </si>
  <si>
    <t>C229</t>
  </si>
  <si>
    <t>C233</t>
  </si>
  <si>
    <t>C245</t>
  </si>
  <si>
    <t>C235</t>
  </si>
  <si>
    <t>C237</t>
  </si>
  <si>
    <t>C295</t>
  </si>
  <si>
    <t>C297</t>
  </si>
  <si>
    <t>C301</t>
  </si>
  <si>
    <t>C299</t>
  </si>
  <si>
    <t>C293</t>
  </si>
  <si>
    <t>C291</t>
  </si>
  <si>
    <t>C381</t>
  </si>
  <si>
    <t>C385</t>
  </si>
  <si>
    <t>C383</t>
  </si>
  <si>
    <t>C387</t>
  </si>
  <si>
    <t>C379</t>
  </si>
  <si>
    <t>C371</t>
  </si>
  <si>
    <t>C375</t>
  </si>
  <si>
    <t>C389</t>
  </si>
  <si>
    <t>C391</t>
  </si>
  <si>
    <t>C395</t>
  </si>
  <si>
    <t>C329</t>
  </si>
  <si>
    <t>C317</t>
  </si>
  <si>
    <t>C397</t>
  </si>
  <si>
    <t>C383A</t>
  </si>
  <si>
    <t>C377</t>
  </si>
  <si>
    <t>C657</t>
  </si>
  <si>
    <t>C359</t>
  </si>
  <si>
    <t>C623</t>
  </si>
  <si>
    <t>C641</t>
  </si>
  <si>
    <t>C645</t>
  </si>
  <si>
    <t>C647</t>
  </si>
  <si>
    <t>C655</t>
  </si>
  <si>
    <t>C653</t>
  </si>
  <si>
    <t>C659</t>
  </si>
  <si>
    <t>C651</t>
  </si>
  <si>
    <t>C649</t>
  </si>
  <si>
    <t>C347</t>
  </si>
  <si>
    <t>C349</t>
  </si>
  <si>
    <t>ee4</t>
  </si>
  <si>
    <t>C355</t>
  </si>
  <si>
    <t>C357</t>
  </si>
  <si>
    <t>C361</t>
  </si>
  <si>
    <t>C351</t>
  </si>
  <si>
    <t>C369</t>
  </si>
  <si>
    <t>C367</t>
  </si>
  <si>
    <t>C365</t>
  </si>
  <si>
    <t>C109</t>
  </si>
  <si>
    <t>C111</t>
  </si>
  <si>
    <t>C661</t>
  </si>
  <si>
    <t>C665</t>
  </si>
  <si>
    <t>C393</t>
  </si>
  <si>
    <t>C105</t>
  </si>
  <si>
    <t>C337</t>
  </si>
  <si>
    <t>C341</t>
  </si>
  <si>
    <t>C339</t>
  </si>
  <si>
    <t>C473</t>
  </si>
  <si>
    <t>C609</t>
  </si>
  <si>
    <t>C489</t>
  </si>
  <si>
    <t>C497</t>
  </si>
  <si>
    <t>C613</t>
  </si>
  <si>
    <t>C631</t>
  </si>
  <si>
    <t>C627</t>
  </si>
  <si>
    <t>C633</t>
  </si>
  <si>
    <t>C635</t>
  </si>
  <si>
    <t>C675</t>
  </si>
  <si>
    <t>C625</t>
  </si>
  <si>
    <t>C683</t>
  </si>
  <si>
    <t>C685</t>
  </si>
  <si>
    <t>C703</t>
  </si>
  <si>
    <t>C587</t>
  </si>
  <si>
    <t>C591</t>
  </si>
  <si>
    <t>C589A</t>
  </si>
  <si>
    <t>C595</t>
  </si>
  <si>
    <t>C597</t>
  </si>
  <si>
    <t>C603</t>
  </si>
  <si>
    <t>C605</t>
  </si>
  <si>
    <t>C711</t>
  </si>
  <si>
    <t>C709</t>
  </si>
  <si>
    <t>C707</t>
  </si>
  <si>
    <t>C705</t>
  </si>
  <si>
    <t>C487</t>
  </si>
  <si>
    <t>C491</t>
  </si>
  <si>
    <t>C495</t>
  </si>
  <si>
    <t>C503</t>
  </si>
  <si>
    <t>C501</t>
  </si>
  <si>
    <t>C499</t>
  </si>
  <si>
    <t>C505</t>
  </si>
  <si>
    <t>C507</t>
  </si>
  <si>
    <t>C509</t>
  </si>
  <si>
    <t>C511</t>
  </si>
  <si>
    <t>C515A</t>
  </si>
  <si>
    <t>C615</t>
  </si>
  <si>
    <t>C611</t>
  </si>
  <si>
    <t>C617</t>
  </si>
  <si>
    <t>C619</t>
  </si>
  <si>
    <t>C589</t>
  </si>
  <si>
    <t>C585</t>
  </si>
  <si>
    <t>C687</t>
  </si>
  <si>
    <t>C689</t>
  </si>
  <si>
    <t>C693</t>
  </si>
  <si>
    <t>C697</t>
  </si>
  <si>
    <t>C699</t>
  </si>
  <si>
    <t>C607</t>
  </si>
  <si>
    <t>C559</t>
  </si>
  <si>
    <t>C557</t>
  </si>
  <si>
    <t>C561</t>
  </si>
  <si>
    <t>C563</t>
  </si>
  <si>
    <t>C565</t>
  </si>
  <si>
    <t>C569</t>
  </si>
  <si>
    <t>C581</t>
  </si>
  <si>
    <t>C583</t>
  </si>
  <si>
    <t>C521</t>
  </si>
  <si>
    <t>C575</t>
  </si>
  <si>
    <t>C577</t>
  </si>
  <si>
    <t>C573</t>
  </si>
  <si>
    <t>C571</t>
  </si>
  <si>
    <t>C567</t>
  </si>
  <si>
    <t>C533</t>
  </si>
  <si>
    <t>C531</t>
  </si>
  <si>
    <t>C529</t>
  </si>
  <si>
    <t>C527</t>
  </si>
  <si>
    <t>C523</t>
  </si>
  <si>
    <t>C515</t>
  </si>
  <si>
    <t>C517</t>
  </si>
  <si>
    <t>C513</t>
  </si>
  <si>
    <t>C549</t>
  </si>
  <si>
    <t>C551</t>
  </si>
  <si>
    <t>C553</t>
  </si>
  <si>
    <t>C543</t>
  </si>
  <si>
    <t>C555</t>
  </si>
  <si>
    <t>C525</t>
  </si>
  <si>
    <t>C537</t>
  </si>
  <si>
    <t>C535</t>
  </si>
  <si>
    <t>C539</t>
  </si>
  <si>
    <t>C691</t>
  </si>
  <si>
    <t>C695</t>
  </si>
  <si>
    <t>C541</t>
  </si>
  <si>
    <t>C545</t>
  </si>
  <si>
    <t>C579</t>
  </si>
  <si>
    <t>C493</t>
  </si>
  <si>
    <t>PTAR 1</t>
  </si>
  <si>
    <t>C319</t>
  </si>
  <si>
    <t>C307</t>
  </si>
  <si>
    <t>C163</t>
  </si>
  <si>
    <t>C115</t>
  </si>
  <si>
    <t>C67</t>
  </si>
  <si>
    <t>C191B</t>
  </si>
  <si>
    <t>C165</t>
  </si>
  <si>
    <t>C71</t>
  </si>
  <si>
    <t>C73</t>
  </si>
  <si>
    <t>C75</t>
  </si>
  <si>
    <t>C77</t>
  </si>
  <si>
    <t>C79</t>
  </si>
  <si>
    <t>C81</t>
  </si>
  <si>
    <t>C87</t>
  </si>
  <si>
    <t>C89</t>
  </si>
  <si>
    <t>C93</t>
  </si>
  <si>
    <t>C95</t>
  </si>
  <si>
    <t>C101</t>
  </si>
  <si>
    <t>C199</t>
  </si>
  <si>
    <t>C331</t>
  </si>
  <si>
    <t>C213</t>
  </si>
  <si>
    <t>C201</t>
  </si>
  <si>
    <t>C333</t>
  </si>
  <si>
    <t>C469</t>
  </si>
  <si>
    <t>C471</t>
  </si>
  <si>
    <t>C345</t>
  </si>
  <si>
    <t>C477</t>
  </si>
  <si>
    <t>C401</t>
  </si>
  <si>
    <t>C165A</t>
  </si>
  <si>
    <t>C165B</t>
  </si>
  <si>
    <t>C143</t>
  </si>
  <si>
    <t>C143A</t>
  </si>
  <si>
    <t>C285</t>
  </si>
  <si>
    <t>C287</t>
  </si>
  <si>
    <t>C69</t>
  </si>
  <si>
    <t>C671</t>
  </si>
  <si>
    <t>C667</t>
  </si>
  <si>
    <t>C669</t>
  </si>
  <si>
    <t>C673</t>
  </si>
  <si>
    <t>C679</t>
  </si>
  <si>
    <t>C677</t>
  </si>
  <si>
    <t>C681</t>
  </si>
  <si>
    <t>C63</t>
  </si>
  <si>
    <t>C343</t>
  </si>
  <si>
    <t>C485</t>
  </si>
  <si>
    <t>C169</t>
  </si>
  <si>
    <t>CX1</t>
  </si>
  <si>
    <t>CX2</t>
  </si>
  <si>
    <t>C119</t>
  </si>
  <si>
    <t>CX3</t>
  </si>
  <si>
    <t>C66</t>
  </si>
  <si>
    <t>C115A</t>
  </si>
  <si>
    <t xml:space="preserve"> </t>
  </si>
  <si>
    <t>DIAGNÓSTICO:
"CONSTRUCCIÓN DE LA SEGUNDA ETAPA DEL PLAN MAESTRO DE ACUEDUCTO Y ALCANTARILLADO DE LOS SECTORES LA VIEJITA, LOS SAUCES, EL ALTO 2, MALPASO 2 Y ADOQUINADO DEL MUNICIPIO DE SAN CARLOS, ANTIOQUIA"</t>
  </si>
  <si>
    <t>ABRIL 2024</t>
  </si>
  <si>
    <t>TRAMO No.</t>
  </si>
  <si>
    <t>Arranque</t>
  </si>
  <si>
    <t xml:space="preserve">AREA TRIBUTARIA AGUAS RESIDUAL </t>
  </si>
  <si>
    <t>∑AREA RESIDUAL</t>
  </si>
  <si>
    <t>AREA TRIBUTARIA AGUAS LLUVIAS</t>
  </si>
  <si>
    <t>∑AREA LLUVIAS</t>
  </si>
  <si>
    <t>DENS. POB.</t>
  </si>
  <si>
    <t xml:space="preserve">POBLACIÓN </t>
  </si>
  <si>
    <t>DOTACIÓN</t>
  </si>
  <si>
    <t>CAUDAL MEDIO</t>
  </si>
  <si>
    <t>CAUDAL AGUA COMERCIAL E INSTITUCIONAL</t>
  </si>
  <si>
    <t>CAUDAL AGUA INDUSTRIALES</t>
  </si>
  <si>
    <t>CAUDAL INFILTRACIÓN</t>
  </si>
  <si>
    <t>CAUDAL CONEXIÓN ERRADA</t>
  </si>
  <si>
    <t>FACTOR MAYORACIÓN</t>
  </si>
  <si>
    <t>CAUDAL MAXIMO HORARIO</t>
  </si>
  <si>
    <t>CAUDAL AGUA RESIDUAL (UNITARIO)</t>
  </si>
  <si>
    <t>CAUDAL AGUA RESIDUAL</t>
  </si>
  <si>
    <t>COEFICIENTE DE IMPERMEABILIDAD</t>
  </si>
  <si>
    <t>PENDIENTE ÁREA TRIBUTARIA</t>
  </si>
  <si>
    <t>COEFICIENTE DE ESCORRENTÍA</t>
  </si>
  <si>
    <t xml:space="preserve">INTENSIDAD DE LLUVIA </t>
  </si>
  <si>
    <t>TIEMPO ENTRADA</t>
  </si>
  <si>
    <t>TIEMPO TRÁNSITO ASUMIDO (tt)</t>
  </si>
  <si>
    <t>TIEMPO CONCENTRACIÓN (Tc)</t>
  </si>
  <si>
    <t>VELOCIDAD ASUMIDA</t>
  </si>
  <si>
    <t>TIEMPO TRÁNSITO REAL (TT)</t>
  </si>
  <si>
    <t>RELACIÓN E (tt/TT)</t>
  </si>
  <si>
    <t>CHEQUEO RELACIÓN E</t>
  </si>
  <si>
    <t>CAUDAL LLUVIAS (Unitario)</t>
  </si>
  <si>
    <t xml:space="preserve">CAUDAL LLUVIAS </t>
  </si>
  <si>
    <t>CAUDAL DE DISEÑO</t>
  </si>
  <si>
    <t>LONGITUD TUBERÍA</t>
  </si>
  <si>
    <t>DIÁMETRO NOMINAL</t>
  </si>
  <si>
    <t>DIÁMETRO INTERNO</t>
  </si>
  <si>
    <t>MATERIAL DE LA TUBERIA</t>
  </si>
  <si>
    <t>PROF. CLAVE</t>
  </si>
  <si>
    <t>PROF. BATEA</t>
  </si>
  <si>
    <t>Escala en la cámara</t>
  </si>
  <si>
    <t>PENDIENTE DEL TERRENO</t>
  </si>
  <si>
    <t>PENDIENTE DE LA TUBERÍA</t>
  </si>
  <si>
    <t>VEL. TUBO LLENO</t>
  </si>
  <si>
    <t xml:space="preserve">CAUDAL A TUBO LLENO </t>
  </si>
  <si>
    <t>Vr/V</t>
  </si>
  <si>
    <t xml:space="preserve">VELOCIDAD REAL     </t>
  </si>
  <si>
    <t xml:space="preserve">h/D  </t>
  </si>
  <si>
    <t xml:space="preserve">ÁNGULO </t>
  </si>
  <si>
    <t>Rh/D</t>
  </si>
  <si>
    <t xml:space="preserve">RADIO HIDRÁULICO     </t>
  </si>
  <si>
    <t>Número de Froude</t>
  </si>
  <si>
    <t>Tipo de flujo</t>
  </si>
  <si>
    <t xml:space="preserve">FUERZA TRACTIVA (FT) </t>
  </si>
  <si>
    <t>CHEQUEO HIDRAULICO</t>
  </si>
  <si>
    <t>ESCALA EN LA CÁMARA</t>
  </si>
  <si>
    <t>DISTANCIA AL PUNTO MÁS ALEJADO</t>
  </si>
  <si>
    <t>PENDIENTE DEL PUNTO MÁS ALEJADO</t>
  </si>
  <si>
    <t>TIPO DE RED</t>
  </si>
  <si>
    <t>L ENTRE BORDES INTERNOS</t>
  </si>
  <si>
    <t>Diam Pozo</t>
  </si>
  <si>
    <r>
      <t>L</t>
    </r>
    <r>
      <rPr>
        <b/>
        <vertAlign val="subscript"/>
        <sz val="10"/>
        <rFont val="Arial"/>
        <family val="2"/>
      </rPr>
      <t>real de la tuberia</t>
    </r>
  </si>
  <si>
    <t>Tipo de Pavimento</t>
  </si>
  <si>
    <t>TIPO DE CIMENTACION</t>
  </si>
  <si>
    <t>ESPESOR DE
TUBERIA</t>
  </si>
  <si>
    <t>NIVEL FREATICO APIQUES</t>
  </si>
  <si>
    <t>NIVEL FREATICO NICHOS</t>
  </si>
  <si>
    <t>PERFILES</t>
  </si>
  <si>
    <t xml:space="preserve">VELOCIDAD REAL            </t>
  </si>
  <si>
    <t>FUERZA TRACTIVA</t>
  </si>
  <si>
    <t>DE         CAMARA Nº</t>
  </si>
  <si>
    <t>A CAMARA Nº</t>
  </si>
  <si>
    <t>PROPIA</t>
  </si>
  <si>
    <t>OTRAS</t>
  </si>
  <si>
    <t>AFLUENTE</t>
  </si>
  <si>
    <t>ACUM.</t>
  </si>
  <si>
    <t>ÀREAc</t>
  </si>
  <si>
    <r>
      <t>∑ÁREA</t>
    </r>
    <r>
      <rPr>
        <b/>
        <vertAlign val="subscript"/>
        <sz val="8"/>
        <rFont val="Arial"/>
        <family val="2"/>
      </rPr>
      <t>C</t>
    </r>
  </si>
  <si>
    <t>[l/s]</t>
  </si>
  <si>
    <t>ÀREAind</t>
  </si>
  <si>
    <r>
      <t>∑ÁREA</t>
    </r>
    <r>
      <rPr>
        <b/>
        <vertAlign val="subscript"/>
        <sz val="8"/>
        <rFont val="Arial"/>
        <family val="2"/>
      </rPr>
      <t>indu</t>
    </r>
  </si>
  <si>
    <t>SUP.</t>
  </si>
  <si>
    <t>INF.</t>
  </si>
  <si>
    <t>A.R.</t>
  </si>
  <si>
    <t>A.COMB.</t>
  </si>
  <si>
    <t xml:space="preserve"> A. R.</t>
  </si>
  <si>
    <t>A. COMB.</t>
  </si>
  <si>
    <t>A.R</t>
  </si>
  <si>
    <t>Sup</t>
  </si>
  <si>
    <t>Inf</t>
  </si>
  <si>
    <t>[ha]</t>
  </si>
  <si>
    <t>[hab/ha]</t>
  </si>
  <si>
    <t>[hab]</t>
  </si>
  <si>
    <t>[l/hab-día]</t>
  </si>
  <si>
    <t>[adim]</t>
  </si>
  <si>
    <t>[Decimal]</t>
  </si>
  <si>
    <t>[l/s-ha]</t>
  </si>
  <si>
    <t>[min]</t>
  </si>
  <si>
    <t>[m/s]</t>
  </si>
  <si>
    <t>[m]</t>
  </si>
  <si>
    <t>[PUL]</t>
  </si>
  <si>
    <t>[mm]</t>
  </si>
  <si>
    <t>[%]</t>
  </si>
  <si>
    <t>[grados]</t>
  </si>
  <si>
    <t>[Adim]</t>
  </si>
  <si>
    <r>
      <t>[kg/m</t>
    </r>
    <r>
      <rPr>
        <b/>
        <vertAlign val="superscript"/>
        <sz val="8"/>
        <rFont val="Arial"/>
        <family val="2"/>
      </rPr>
      <t>2</t>
    </r>
    <r>
      <rPr>
        <b/>
        <sz val="8"/>
        <rFont val="Arial"/>
        <family val="2"/>
      </rPr>
      <t>]</t>
    </r>
  </si>
  <si>
    <t>[kg/m2]</t>
  </si>
  <si>
    <t>(Decimales)</t>
  </si>
  <si>
    <t>PEAD=5</t>
  </si>
  <si>
    <t>Cobertura del alcantarillado</t>
  </si>
  <si>
    <t>Area Total (Ha)</t>
  </si>
  <si>
    <t>Densidad de población (viv/ha)</t>
  </si>
  <si>
    <t xml:space="preserve">Material de la tubería </t>
  </si>
  <si>
    <t>PVC=4</t>
  </si>
  <si>
    <t>Población total</t>
  </si>
  <si>
    <t>Hab/Viv</t>
  </si>
  <si>
    <t>Viviendas</t>
  </si>
  <si>
    <t>CONCRETO =6</t>
  </si>
  <si>
    <t>Población con alcantarillado</t>
  </si>
  <si>
    <t>Habitantes por hectárea</t>
  </si>
  <si>
    <t>Factor de Mayoración</t>
  </si>
  <si>
    <t>ESTACIÓN PLUVIOGRÁFICA: SAN CARLOS</t>
  </si>
  <si>
    <t>Area perímetro urbano (ha)</t>
  </si>
  <si>
    <t>Indice de ocupacion (hab/viv)</t>
  </si>
  <si>
    <t>Harmon</t>
  </si>
  <si>
    <t>Tr</t>
  </si>
  <si>
    <t>Dotación neta l/hab-día</t>
  </si>
  <si>
    <t>Coeficiente de retorno</t>
  </si>
  <si>
    <t>Coeficiente Infiltracción (L/s-ha)</t>
  </si>
  <si>
    <t>Coeficiente Comercial e Institucional (L/s-ha)</t>
  </si>
  <si>
    <r>
      <t>i = (100/ 36) C/(Tc+H)</t>
    </r>
    <r>
      <rPr>
        <b/>
        <vertAlign val="superscript"/>
        <sz val="9"/>
        <rFont val="Arial"/>
        <family val="2"/>
      </rPr>
      <t>M</t>
    </r>
  </si>
  <si>
    <t>Coeficiente Conexión Errada (L/s-ha)</t>
  </si>
  <si>
    <t>Coeficiente Industriales (L/s-ha)</t>
  </si>
  <si>
    <t xml:space="preserve">Coeficiente de permeabilidad </t>
  </si>
  <si>
    <t>Diagnostico</t>
  </si>
  <si>
    <t>Combinada</t>
  </si>
  <si>
    <t>Rígido</t>
  </si>
  <si>
    <t>C91</t>
  </si>
  <si>
    <t>C97</t>
  </si>
  <si>
    <t>C99</t>
  </si>
  <si>
    <t>C107</t>
  </si>
  <si>
    <t>C103</t>
  </si>
  <si>
    <t>Diseño</t>
  </si>
  <si>
    <t>C353</t>
  </si>
  <si>
    <t>C639</t>
  </si>
  <si>
    <t>C117</t>
  </si>
  <si>
    <t>COLECTOR 2</t>
  </si>
  <si>
    <t>C303</t>
  </si>
  <si>
    <t>C205</t>
  </si>
  <si>
    <t>C335</t>
  </si>
  <si>
    <t>C85</t>
  </si>
  <si>
    <t>COLECTOR 3</t>
  </si>
  <si>
    <t>Zona Verde</t>
  </si>
  <si>
    <t>Empedrado</t>
  </si>
  <si>
    <t>Destapado</t>
  </si>
  <si>
    <t>C403</t>
  </si>
  <si>
    <t>C399</t>
  </si>
  <si>
    <t>C467</t>
  </si>
  <si>
    <t>C461</t>
  </si>
  <si>
    <t>C483</t>
  </si>
  <si>
    <t>PTAR  1</t>
  </si>
  <si>
    <t>CAUDAL UNITARIO</t>
  </si>
  <si>
    <t>N7</t>
  </si>
  <si>
    <t>N6B</t>
  </si>
  <si>
    <t>N6A</t>
  </si>
  <si>
    <t>CA1</t>
  </si>
  <si>
    <t>N1</t>
  </si>
  <si>
    <t>N1F</t>
  </si>
  <si>
    <t>N1E</t>
  </si>
  <si>
    <t>N10A</t>
  </si>
  <si>
    <t>N2A</t>
  </si>
  <si>
    <t>N114</t>
  </si>
  <si>
    <t>N3A</t>
  </si>
  <si>
    <t>N11A</t>
  </si>
  <si>
    <t>N12A</t>
  </si>
  <si>
    <t>N1A</t>
  </si>
  <si>
    <t>N1B</t>
  </si>
  <si>
    <t>N187B</t>
  </si>
  <si>
    <t>N1C</t>
  </si>
  <si>
    <t>N187C</t>
  </si>
  <si>
    <t>N1D</t>
  </si>
  <si>
    <t>N195</t>
  </si>
  <si>
    <t>N196</t>
  </si>
  <si>
    <t>N4A</t>
  </si>
  <si>
    <t>N197</t>
  </si>
  <si>
    <t>N5A</t>
  </si>
  <si>
    <t>N198</t>
  </si>
  <si>
    <t>N199</t>
  </si>
  <si>
    <t>N7A</t>
  </si>
  <si>
    <t>N199A</t>
  </si>
  <si>
    <t>N8A</t>
  </si>
  <si>
    <t>N9A</t>
  </si>
  <si>
    <t>N17A</t>
  </si>
  <si>
    <t>6A</t>
  </si>
  <si>
    <t>N67</t>
  </si>
  <si>
    <t>C588A</t>
  </si>
  <si>
    <t>C643</t>
  </si>
  <si>
    <t>C83</t>
  </si>
  <si>
    <t>STRUCTURE NAME:</t>
  </si>
  <si>
    <t>TERRENO</t>
  </si>
  <si>
    <t>Structure - (96)</t>
  </si>
  <si>
    <t>1280.85_x000D_
 INV OUT = 1278.860</t>
  </si>
  <si>
    <t>Structure - (97)</t>
  </si>
  <si>
    <t>1277.80_x000D_
 INV IN = 1276.288_x000D_
 INV OUT = 1275.910</t>
  </si>
  <si>
    <t>Structure - (156)</t>
  </si>
  <si>
    <t>1275.94_x000D_
 INV IN = 1274.621_x000D_
 INV OUT = 1273.040</t>
  </si>
  <si>
    <t>Structure - (149)</t>
  </si>
  <si>
    <t>1273.57_x000D_
 INV IN = 1271.870_x000D_
 INV OUT = 1269.240</t>
  </si>
  <si>
    <t>Structure - (98)</t>
  </si>
  <si>
    <t>1268.63_x000D_
 INV IN = 1267.351_x000D_
 INV OUT = 1265.789</t>
  </si>
  <si>
    <t>Structure - (151)</t>
  </si>
  <si>
    <t>1265.52_x000D_
 INV IN = 1263.988_x000D_
 INV OUT = 1261.844</t>
  </si>
  <si>
    <t>Structure - (152)</t>
  </si>
  <si>
    <t>1261.09_x000D_
 INV IN = 1258.922_x000D_
 INV OUT = 1257.809</t>
  </si>
  <si>
    <t>Structure - (157)</t>
  </si>
  <si>
    <t>1256.71_x000D_
 INV IN = 1254.706_x000D_
 INV OUT = 1254.606</t>
  </si>
  <si>
    <t>Structure - (99)</t>
  </si>
  <si>
    <t>1251.47_x000D_
 INV IN = 1250.298_x000D_
 INV OUT = 1250.198</t>
  </si>
  <si>
    <t>Structure - (100)</t>
  </si>
  <si>
    <t>1244.50_x000D_
 INV IN = 1243.370_x000D_
 INV OUT = 1243.270</t>
  </si>
  <si>
    <t>Structure - (115)</t>
  </si>
  <si>
    <t>1241.78_x000D_
 INV IN = 1240.601_x000D_
 INV OUT = 1240.487</t>
  </si>
  <si>
    <t>Structure - (101)</t>
  </si>
  <si>
    <t>1236.52_x000D_
 INV IN = 1235.254_x000D_
 INV OUT = 1235.149</t>
  </si>
  <si>
    <t>Structure - (102)</t>
  </si>
  <si>
    <t>1229.69_x000D_
 INV IN = 1227.459_x000D_
 INV OUT = 1227.359</t>
  </si>
  <si>
    <t>Structure - (103)</t>
  </si>
  <si>
    <t>1225.04_x000D_
 INV IN = 1223.886_x000D_
 INV OUT = 1223.740</t>
  </si>
  <si>
    <t>Structure - (104)</t>
  </si>
  <si>
    <t>1219.65_x000D_
 INV IN = 1218.026_x000D_
 INV OUT = 1217.877</t>
  </si>
  <si>
    <t>Structure - (105)</t>
  </si>
  <si>
    <t>1217.74_x000D_
 INV IN = 1216.513_x000D_
 INV OUT = 1216.394</t>
  </si>
  <si>
    <t>Structure - (106)</t>
  </si>
  <si>
    <t>1216.64_x000D_
 INV IN = 1215.930_x000D_
 INV OUT = 1215.900</t>
  </si>
  <si>
    <t>Structure - (107)</t>
  </si>
  <si>
    <t>1216.49_x000D_
 INV IN = 1215.780_x000D_
 INV OUT = 1215.740</t>
  </si>
  <si>
    <t>Structure - (108)</t>
  </si>
  <si>
    <t>1211.45_x000D_
 INV IN = 1210.228_x000D_
 INV OUT = 1210.128</t>
  </si>
  <si>
    <t>Structure - (114)</t>
  </si>
  <si>
    <t>1206.33_x000D_
 INV IN = 1204.330_x000D_
 INV OUT = 1204.230</t>
  </si>
  <si>
    <t>AGUASCOL S.A. E.S.P.
DEPARTAMENTO TECNICO</t>
  </si>
  <si>
    <t>OBRA</t>
  </si>
  <si>
    <t>CONSTRUCCIÓN Y OPTIMIZACIÓN DE LAS REDES SECUNDARIAS DE ALCANTARILLADO DEL BARRIO EL POBLADO</t>
  </si>
  <si>
    <t>Municipio</t>
  </si>
  <si>
    <t>Caucasia</t>
  </si>
  <si>
    <t>Fecha:</t>
  </si>
  <si>
    <t>Junio de 2016</t>
  </si>
  <si>
    <t>CONSTRUCCIÓN DEL COLECTOR  DE AGUAS RESIDUALES DOMÉSTICAS DEL BARRIO EL POBLADO</t>
  </si>
  <si>
    <t>VALOR 
TOTAL</t>
  </si>
  <si>
    <t>1. OBRA CIVIL PARA REDES DE ALCANTARILLADO</t>
  </si>
  <si>
    <t>1.1 PRELIMINARES PARA REDES DE ALCANTARILLADO</t>
  </si>
  <si>
    <t>1.2 DEMOLICIONES PARA REDES DE ALCANTARILLADO</t>
  </si>
  <si>
    <r>
      <t>m</t>
    </r>
    <r>
      <rPr>
        <vertAlign val="superscript"/>
        <sz val="10"/>
        <rFont val="Arial"/>
        <family val="2"/>
      </rPr>
      <t>3</t>
    </r>
  </si>
  <si>
    <t>1.2.2</t>
  </si>
  <si>
    <t>1.3 MOVIMIENTO DE TIERRA PARA REDES DE ALCANTARILLADO</t>
  </si>
  <si>
    <t>1.3.1</t>
  </si>
  <si>
    <t>1.3.2</t>
  </si>
  <si>
    <t>1.3.3</t>
  </si>
  <si>
    <t>1.3.4</t>
  </si>
  <si>
    <t>1.3.5</t>
  </si>
  <si>
    <t>1.3.6</t>
  </si>
  <si>
    <t>1.3.7</t>
  </si>
  <si>
    <t>1.3.8</t>
  </si>
  <si>
    <t>1.3.9</t>
  </si>
  <si>
    <t>1.4 LLENOS PARA REDES DE ALCANTARILLADO</t>
  </si>
  <si>
    <t>1.4.1</t>
  </si>
  <si>
    <t>1.4.2</t>
  </si>
  <si>
    <t>1.4.3</t>
  </si>
  <si>
    <t>1.5 ENTIBADOS PARA REDES DE ALCANTARILLADO</t>
  </si>
  <si>
    <t>1.5.1</t>
  </si>
  <si>
    <r>
      <t>m</t>
    </r>
    <r>
      <rPr>
        <vertAlign val="superscript"/>
        <sz val="10"/>
        <rFont val="Arial"/>
        <family val="2"/>
      </rPr>
      <t>2</t>
    </r>
  </si>
  <si>
    <t>1.5.2</t>
  </si>
  <si>
    <t>1.6 CARGUE, TRANSPORTE Y BOTADA DE MATERIAL PARA REDES DE ALCANTARILLADO</t>
  </si>
  <si>
    <t>1.6.1</t>
  </si>
  <si>
    <t>1.7 OBRAS EN CONCRETO PARA REDES DE ALCANTARILLADO</t>
  </si>
  <si>
    <t>1.7.1</t>
  </si>
  <si>
    <t>1.8 CAMARAS DE INSPECCIÓN PARA REDES DE ALCANTARILLADO</t>
  </si>
  <si>
    <t>1.8.1</t>
  </si>
  <si>
    <t>1.8.2</t>
  </si>
  <si>
    <t>1.8.3</t>
  </si>
  <si>
    <t>1.8.4</t>
  </si>
  <si>
    <t>1.8.5</t>
  </si>
  <si>
    <t>1.8.6</t>
  </si>
  <si>
    <t>1.8.7</t>
  </si>
  <si>
    <t>1.8.8</t>
  </si>
  <si>
    <t>COSTO DIRECTO OBRA CIVIL PARA REDES DE ALCANTARILLADO</t>
  </si>
  <si>
    <t>2. SUMINISTRO, TRANSPORTE E INSTALACIÓN DE TUBERIA, ACCESORIOS Y EQUIPOS PARA REDES DE ALCANTARILLADO</t>
  </si>
  <si>
    <t>2.1 TUBERIAS PARA REDES DE ALCANATRILLADO</t>
  </si>
  <si>
    <t>2.1.1</t>
  </si>
  <si>
    <t>2.2 ACCESORIOS PARA REDES DE ALCANTARILLADO</t>
  </si>
  <si>
    <t xml:space="preserve">COSTO DIRECTO SUMINISTRO, TRANSPORTE E INSTALACIÓN DE TUBERIA, ACCESORIOS Y EQUIPOS PARA REDES DE ALCANTARILLADO </t>
  </si>
  <si>
    <t>3. SUMINISTRO, TRANSPORTE E INSTALACIÓN DE DOMICILIARIAS (OBRA CIVIL, TUBERIAS Y ACCESORIOS EN PVC)</t>
  </si>
  <si>
    <t>3.1 DEMOLICIONES PARA DOMICILIARIAS</t>
  </si>
  <si>
    <t>3.1.1</t>
  </si>
  <si>
    <t>3.1.2</t>
  </si>
  <si>
    <t>3.2 MOVIMIENTOS DE TIERRA PARA DOMICILIARIAS</t>
  </si>
  <si>
    <t>3.2.1</t>
  </si>
  <si>
    <t>3.2.2</t>
  </si>
  <si>
    <t>3.2.4</t>
  </si>
  <si>
    <t>3.2.5</t>
  </si>
  <si>
    <t>3.3 LLENOS ESTRUCTURALES PARA DOMICILIARIAS</t>
  </si>
  <si>
    <t>3.3.1</t>
  </si>
  <si>
    <r>
      <t>m</t>
    </r>
    <r>
      <rPr>
        <vertAlign val="superscript"/>
        <sz val="10"/>
        <rFont val="Arial"/>
        <family val="2"/>
      </rPr>
      <t>3</t>
    </r>
    <r>
      <rPr>
        <sz val="11"/>
        <color theme="1"/>
        <rFont val="Calibri"/>
        <family val="2"/>
        <scheme val="minor"/>
      </rPr>
      <t/>
    </r>
  </si>
  <si>
    <t>3.3.2</t>
  </si>
  <si>
    <t>3.4 CARGUE, TRANSPORTE Y BOTADA DE MATERIAL PROVENIENTES DE LA EXCAVACIÓN PARA DOMICILIARIAS</t>
  </si>
  <si>
    <t>3.4.1</t>
  </si>
  <si>
    <t>3.5 OBRAS EN CONCRETO POR INSTALACIÓN DE DOMICILIARIAS</t>
  </si>
  <si>
    <t>3.5.1</t>
  </si>
  <si>
    <t>3.5.2</t>
  </si>
  <si>
    <t xml:space="preserve">3.6 SUMINISTRO TRANSPORTE E INSTALACIÓN DE TUBERIA Y ACCESORIOS EN PVC PARA DOMICILIARIAS </t>
  </si>
  <si>
    <t>3.6.1</t>
  </si>
  <si>
    <t>3.6.2</t>
  </si>
  <si>
    <t>3.6.3</t>
  </si>
  <si>
    <t>COSTO DIRECTO SUMINISTRO, TRANSPORTE E INSTALACIÓN DE DOMICILIARIAS</t>
  </si>
  <si>
    <t>SUBTOTAL DE LA REPOSICIÓN DE LAS REDES DE ALCANTARILLADO DEL POBLADO</t>
  </si>
  <si>
    <t>5. OBRA CIVIL PARA REDES DE ACUEDUCTO</t>
  </si>
  <si>
    <t>5.1 PRELIMINARES PARA REDES DE ACUEDUCTO</t>
  </si>
  <si>
    <t>5.1.1</t>
  </si>
  <si>
    <t>5.2 DEMOLICIONES PARA REDES DE ACUEDUCTO</t>
  </si>
  <si>
    <t>5.2.1</t>
  </si>
  <si>
    <t>5.3 MOVIMIENTO DE TIERRA PARA REDES DE ACUEDUCTO</t>
  </si>
  <si>
    <t>5.3.1</t>
  </si>
  <si>
    <t>5.3.2</t>
  </si>
  <si>
    <t>5.3.3</t>
  </si>
  <si>
    <t>5.3.4</t>
  </si>
  <si>
    <t>5.4 LLENOS ESTRUCTURALES PARA REDES DE ACUEDUCTO</t>
  </si>
  <si>
    <t>5.4.1</t>
  </si>
  <si>
    <t>5.4.2</t>
  </si>
  <si>
    <t>5.5 CARGUE, TRANSPORTE Y BOTADA DE MATERIAL PARA REDES DE ACUEDUCTO</t>
  </si>
  <si>
    <t>5.5.1</t>
  </si>
  <si>
    <t>5.6 OBRAS EN CONCRETO PARA REDES DE ACUEDUCTO</t>
  </si>
  <si>
    <t>5.6.1</t>
  </si>
  <si>
    <t>COSTO DIRECTO OBRA CIVIL PARA REDES DE ACUEDUCTO</t>
  </si>
  <si>
    <t>6. SUMINISTRO, TRANSPORTE E INSTALACIÓN DE TUBERIA, ACCESORIOS Y EQUIPOS EN PVC PARA REDES DE ACUEDUCTO</t>
  </si>
  <si>
    <t>6.1 TUBERIAS PARA REDES DE ACUEDUCTO</t>
  </si>
  <si>
    <t>6.1.1</t>
  </si>
  <si>
    <t>6.1.2</t>
  </si>
  <si>
    <t>6.1.3</t>
  </si>
  <si>
    <t>6.2 VALVULAS PARA REDES DE ACUEDUCTO</t>
  </si>
  <si>
    <t>6.2.1</t>
  </si>
  <si>
    <t xml:space="preserve">6.3 ACCESORIOS PARA REDES DE ACUEDUCTO </t>
  </si>
  <si>
    <t>6.3.1</t>
  </si>
  <si>
    <t>6.3.2</t>
  </si>
  <si>
    <t>6.3.3</t>
  </si>
  <si>
    <t>6.3.4</t>
  </si>
  <si>
    <t>6.3.5</t>
  </si>
  <si>
    <t>6.3.6</t>
  </si>
  <si>
    <t>6.3.7</t>
  </si>
  <si>
    <t>6.3.8</t>
  </si>
  <si>
    <t>6.3.9</t>
  </si>
  <si>
    <t>6.3.10</t>
  </si>
  <si>
    <t>6.3.11</t>
  </si>
  <si>
    <t>6.3.12</t>
  </si>
  <si>
    <t>COSTO DIRECTO SUMINISTRO, TRANSPORTE E INSTALACIÓN DE TUBERIA, ACCESORIOS Y EQUIPOS EN PVC</t>
  </si>
  <si>
    <t>7. SUMINISTRO, TRANSPORTE E INSTALACIÓN DE ACOMETIDAS (OBRA CIVIL, TUBERIAS Y ACCESORIOS EN PVC)</t>
  </si>
  <si>
    <t>7.1 MOVIMIENTOS DE TIERRA PARA ACOMETIDAS</t>
  </si>
  <si>
    <t>7.1.1</t>
  </si>
  <si>
    <t>7.1.2</t>
  </si>
  <si>
    <t>7.2 LLENOS ESTRUCTURALES PARA ACOMETIDAS</t>
  </si>
  <si>
    <t>7.2.1</t>
  </si>
  <si>
    <t>7.2.2</t>
  </si>
  <si>
    <t>7.3 CARGUE, TRANSPORTE Y BOTADA DE MATERIAL PARA ACOMETIDAS</t>
  </si>
  <si>
    <t>7.3.1</t>
  </si>
  <si>
    <t>7.4 SUMINISTRO TRANSPORTE E INSTALACIÓN DE TUBERIA Y ACCESORIOS EN PVC PARA ACOMETIDAS</t>
  </si>
  <si>
    <t>7.4.1</t>
  </si>
  <si>
    <t>7.4.2</t>
  </si>
  <si>
    <t>COSTO DIRECTO SUMINISTRO, TRANSPORTE E INSTALACIÓN DE ACOMETIDAS (OBRA CIVIL, TUBERIAS Y ACCESORIOS EN PVC)</t>
  </si>
  <si>
    <t>COSTO DIRECTO CONSTRUCCIÓN Y OPTIMIZACIÓN DE LAS REDES SECUNDARIAS DE ALCANTARILLADO DE LA CALLE 8 ENTRE LAS CARRERAS 19 - 20 Y LA CARRERA 19 ENTRE LAS CALLES 8 -7.</t>
  </si>
  <si>
    <t>A.I.U.I. (31,00%)</t>
  </si>
  <si>
    <t xml:space="preserve">COSTO TOTAL </t>
  </si>
  <si>
    <t>INTERVENTORIA (7,70%)</t>
  </si>
  <si>
    <t xml:space="preserve">COSTO TOTAL + INTERVENTORIA </t>
  </si>
  <si>
    <t>OBSERVACIONES A PRESUPUESTO ENTREGADO POR URBACAMPO</t>
  </si>
  <si>
    <t xml:space="preserve">OBSERVACIONES </t>
  </si>
  <si>
    <t xml:space="preserve">ÍTEMS AFECTADOS </t>
  </si>
  <si>
    <t xml:space="preserve">Revisar las cantidades de codos en la Impulsión de aguas residuales. (Aumento la cantidad de codos) </t>
  </si>
  <si>
    <t>4.8.1 y 4.8.2</t>
  </si>
  <si>
    <t>En las redes de impulsion de aguas residuales y de acueducto, se requiere la realización de prueba Hidrostatica, para que se considere en el presupuesto.</t>
  </si>
  <si>
    <t>4.7.1, 6.1.1, 6.1.2 y 6.1.3</t>
  </si>
  <si>
    <t>Para las camaras de caida de 8" se deben considerar las excavaciones y llenos ya que estas no se encuentran sobre el trazado de alcantarillado a reponer, "Camaras de caida que llegan a red de alcantarillado sobre la avenida Caracolí". Ver plano adjunto de perfiles.</t>
  </si>
  <si>
    <t>2.2.1</t>
  </si>
  <si>
    <t>Se modificaron las Charnelas en PVC por Charnelas en Hierro Ductil, además se incremento en un diametro teniendo en cuenta las recomendaciones del asesor comercial. (Falta cotización por parte del contratista). Ver plano de detalles constructivos.</t>
  </si>
  <si>
    <t>2.2.4 y 2.2.5</t>
  </si>
  <si>
    <t xml:space="preserve">Se incluye abocada para camaras de inspección para cotizacion por el contratista. </t>
  </si>
  <si>
    <t>1.7.4</t>
  </si>
  <si>
    <t>En los sumideros se incluyo el acero y se espera una cotización por parte del contratista de este ítem que contemple la fabricación en obra según plano de detalles constructivos.</t>
  </si>
  <si>
    <t>Falta cotización de los cabezotes de descarga por parte del contratista. Ver plano de detalles constructivos.</t>
  </si>
  <si>
    <t>1.7.2 y 1.7.3</t>
  </si>
  <si>
    <t>Se adjunta formato para considerar inversión por impacto ambiental, que se considerara dentro del AIUI.</t>
  </si>
  <si>
    <t>Se aclara que los ítems de demolición de pavimientos y andenes se estan cotizando por metro cubico.</t>
  </si>
  <si>
    <t xml:space="preserve">Se cambiaron las cantidades de obra para los entibados permanentes y temporales de las brechas </t>
  </si>
  <si>
    <t>1.51 y 1.5.2</t>
  </si>
  <si>
    <t xml:space="preserve">LISTADO DE PRESUPUESTOS </t>
  </si>
  <si>
    <t>FECHA DE MODIFICACIÓN</t>
  </si>
  <si>
    <t xml:space="preserve">1.1 PRELIMINARES </t>
  </si>
  <si>
    <t>LOCALIZACIÓN, TRAZADO Y REPLANTEO</t>
  </si>
  <si>
    <t>ROCERÍA Y LIMPIEZA</t>
  </si>
  <si>
    <t>DESCAPOTE A MANO e=0.15m.</t>
  </si>
  <si>
    <t>DESCAPOTE A MÁQUINA e=0.15m.</t>
  </si>
  <si>
    <t>DESMONTE, DESCAPOTE Y LIMPIEZA a máquina, e=0.15m.</t>
  </si>
  <si>
    <t>1.2 INSTALACIONES PROVISIONALES</t>
  </si>
  <si>
    <t>INSTALACIÓN DE CERRAMIENTO PROVISIONAL en tela verde con una altura de 2,1 m.</t>
  </si>
  <si>
    <t xml:space="preserve">1.3 RETIROS </t>
  </si>
  <si>
    <t xml:space="preserve">RETIRO DE PIEDRA DE ENTRESUELO </t>
  </si>
  <si>
    <t>RETIRO, CARGUE, TRANSPORTE Y BOTADA DE ESCOMBROS</t>
  </si>
  <si>
    <t xml:space="preserve">1.4 DEMOLICIONES </t>
  </si>
  <si>
    <t>DEMOLICIÓN ANDENES O PISOS. Incluye CORTE CON MÁQUINA DE DISCO</t>
  </si>
  <si>
    <t xml:space="preserve">DEMOLICIÓN ANDENES O PISOS. Incluye CORTE CON MÁQUINA DE DISCO </t>
  </si>
  <si>
    <t>DEMOLICIÓN ANDENES O PISOS. No Incluye CORTE CON MÁQUINA DE DISCO.</t>
  </si>
  <si>
    <t>1.4.4</t>
  </si>
  <si>
    <t>DEMOLICIÓN ESTRUCTURAS DE CONCRETO</t>
  </si>
  <si>
    <t>1.4.5</t>
  </si>
  <si>
    <t>DEMOLICIÓN PISO EN CONCRETO de cualquier resistencia con espesor hasta de 12 cm</t>
  </si>
  <si>
    <t>1.4.6</t>
  </si>
  <si>
    <t>CORTE Y ROTURA DE PAVIMENTO RÍGIDO</t>
  </si>
  <si>
    <t>1.4.7</t>
  </si>
  <si>
    <t>1.4.8</t>
  </si>
  <si>
    <t xml:space="preserve">DEMOLICIÓN CÁRCAMOS Y CUNETAS </t>
  </si>
  <si>
    <t>1.4.9</t>
  </si>
  <si>
    <t>CORTE, DEMOLICIÓN Y RETIRO DE PAVIMENTO FLEXIBLE (e = 0,1 m)</t>
  </si>
  <si>
    <t>1.4.10</t>
  </si>
  <si>
    <t>1.4.11</t>
  </si>
  <si>
    <t>DEMOLICIÓN DE CÁMARAS DE INSPECCIÓN EXISTENTES D = 1,20 m ( Incluye retiro de escombros )</t>
  </si>
  <si>
    <t>1.4.12</t>
  </si>
  <si>
    <t>DEMOLICIÓN DE CÁMARAS DE INSPECCIÓN EXISTENTES D =1,50 m (No incluye retiro de escombros)</t>
  </si>
  <si>
    <t xml:space="preserve">1.5 TALA DE ARBOLES </t>
  </si>
  <si>
    <t xml:space="preserve">TALA de ÁRBOLES, ALTURA de 1.0 a 3.0 m. </t>
  </si>
  <si>
    <t xml:space="preserve">TALA de ÁRBOLES, ALTURA de 3.1 a 6.0 m. </t>
  </si>
  <si>
    <t>1.5.3</t>
  </si>
  <si>
    <t>TALA de ÁRBOLES, ALTURA de 6,1 a 8,0 m.</t>
  </si>
  <si>
    <t>1.5.4</t>
  </si>
  <si>
    <t xml:space="preserve">TALA de ÁRBOLES, ALTURA de 8,0 a 10,0 m. </t>
  </si>
  <si>
    <t>1.5.5</t>
  </si>
  <si>
    <t xml:space="preserve">TALA de ÁRBOLES, ALTURA de 10,0 a 15,0 m. </t>
  </si>
  <si>
    <t xml:space="preserve">1.6 MOVIMIENTO DE TIERRA </t>
  </si>
  <si>
    <t>EXCAVACIÓN MANUAL de material COMÚN DE 0-2 m HÚMEDO.</t>
  </si>
  <si>
    <t>1.6.2</t>
  </si>
  <si>
    <t xml:space="preserve">EXCAVACIÓN MANUAL de material COMÚN DE 0-2 m SECO. </t>
  </si>
  <si>
    <t>1.6.3</t>
  </si>
  <si>
    <t xml:space="preserve">EXCAVACIÓN MANUAL de material COMÚN DE 2-4 m HÚMEDO. </t>
  </si>
  <si>
    <t>1.6.4</t>
  </si>
  <si>
    <t>EXCAVACIÓN MANUAL de material COMÚN DE 2-4 m SECO.</t>
  </si>
  <si>
    <t>1.6.5</t>
  </si>
  <si>
    <t>EXCAVACIÓN MANUAL de material COMÚN DE 4 -6 m HÚMEDO.</t>
  </si>
  <si>
    <t>1.6.6</t>
  </si>
  <si>
    <t>EXCAVACIÓN MANUAL de material COMÚN DE 4 - 6 m SECO.</t>
  </si>
  <si>
    <t>1.6.7</t>
  </si>
  <si>
    <t xml:space="preserve">EXCAVACIÓN MANUAL de material COMÚN DE 6 m en adelante, HÚMEDO. </t>
  </si>
  <si>
    <t>1.6.8</t>
  </si>
  <si>
    <t>EXCAVACIÓN MANUAL de material COMÚN DE 6 m en adelante, SECO.</t>
  </si>
  <si>
    <t>1.6.9</t>
  </si>
  <si>
    <t xml:space="preserve">EXCAVACIÓN MECÁNICA de material COMÚN DE 0-2 m, HÚMEDO. </t>
  </si>
  <si>
    <t>1.6.10</t>
  </si>
  <si>
    <t xml:space="preserve">EXCAVACIÓN MECÁNICA de material COMÚN DE 0-2 m, SECO. </t>
  </si>
  <si>
    <t>1.6.11</t>
  </si>
  <si>
    <t xml:space="preserve">EXCAVACIÓN MECÁNICA de material COMÚN DE 2-4 m, HÚMEDO. </t>
  </si>
  <si>
    <t>1.6.12</t>
  </si>
  <si>
    <t>EXCAVACIÓN MECÁNICA de material COMÚN DE 2-4 m, SECO.</t>
  </si>
  <si>
    <t>1.6.13</t>
  </si>
  <si>
    <t>EXCAVACIÓN MECÁNICA de material COMÚN DE 4-6 m, HÚMEDO.</t>
  </si>
  <si>
    <t>1.6.14</t>
  </si>
  <si>
    <t xml:space="preserve">EXCAVACIÓN MECÁNICA de material COMÚN DE 4-6 m, SECO. </t>
  </si>
  <si>
    <t>1.6.15</t>
  </si>
  <si>
    <t xml:space="preserve">EXCAVACIÓN MECÁNICA de material heterogéneo DE 6 m. en adelante, HÚMEDO. </t>
  </si>
  <si>
    <t>1.6.16</t>
  </si>
  <si>
    <t xml:space="preserve">EXCAVACIÓN MECÁNICA de material heterogéneo DE 6 m. en adelante, SECO. </t>
  </si>
  <si>
    <t>1.6.17</t>
  </si>
  <si>
    <t>EXCAVACIÓN EN ROCA con CEMENTO DEMOLEDOR no explosivo con diámetro de perforación de 30mm.</t>
  </si>
  <si>
    <t>1.6.18</t>
  </si>
  <si>
    <t xml:space="preserve">EXCAVACIÓN EN ROCA con CUÑA HIDRÁULICA. </t>
  </si>
  <si>
    <t xml:space="preserve">1.7 EXCAVACIÓN SIN ZANJA </t>
  </si>
  <si>
    <t>'PERFORACIÓN HORIZONTAL DE TORNILLO SIN FIN CON CONTROL DE PENDIENTES DE HASTA 0,5% (AUGER BORING), Incluye INSTALACIÓN DE CAMISA CON TUBERIA EN ACERO 20".</t>
  </si>
  <si>
    <t>1.7.2</t>
  </si>
  <si>
    <t>PERFORACIÓN HORIZONTAL DE TORNILLO SIN FIN CON CONTROL DE PENDIENTES DE HASTA 0,5% (AUGER BORING), Incluye INSTALACIÓN DE CAMISA CON TUBERIA EN ACERO 24".</t>
  </si>
  <si>
    <t xml:space="preserve">1.8 LLENOS ESTRUCTURALES </t>
  </si>
  <si>
    <t xml:space="preserve">LLENOS EN ARENILLA </t>
  </si>
  <si>
    <t>LLENOS EN MATERIAL PROVENIENTES DE LA EXCAVACIÓN</t>
  </si>
  <si>
    <t>TRITURADO DE 3/4 " a 1/2".</t>
  </si>
  <si>
    <t xml:space="preserve">1.9 ENTIBADOS </t>
  </si>
  <si>
    <t>1.9.1</t>
  </si>
  <si>
    <t>ENTIBADO TEMPORAL en tablón de madera (6 usos).</t>
  </si>
  <si>
    <t>1.9.2</t>
  </si>
  <si>
    <t xml:space="preserve">ENTIBADO TEMPORAL en TELERAS </t>
  </si>
  <si>
    <t>1.9.3</t>
  </si>
  <si>
    <t>ENTIBADO PERMANENTE en TELERAS</t>
  </si>
  <si>
    <t xml:space="preserve">1.10 CARGUE, TRANSPORTE Y BOTADA DE MATERIAL </t>
  </si>
  <si>
    <t>1.10.1</t>
  </si>
  <si>
    <t>CARGUE, TRANSPORTE Y BOTADA DE MATERIAL PROVENIENTE DE LAS EXCAVACIONES Y VOLADURAS DE ROCA.</t>
  </si>
  <si>
    <t xml:space="preserve">1.11 OBRAS EN CONCRETO </t>
  </si>
  <si>
    <t>1.11.1</t>
  </si>
  <si>
    <t>CONSTRUCCIÓN DE ANDÉN en concreto de 21 Mpa. espesor de 0.10m.</t>
  </si>
  <si>
    <t>1.11.2</t>
  </si>
  <si>
    <t>Construcción de CUNETA EN "V" en concreto de 21 Mpa.</t>
  </si>
  <si>
    <t>1.11.3</t>
  </si>
  <si>
    <t>Construcción de CÁRCAMO en concreto de 21 Mpa.</t>
  </si>
  <si>
    <t>1.11.4</t>
  </si>
  <si>
    <t>CONSTRUCCIÓN DE SUMIDERO de aguas lluvias TIPO B.</t>
  </si>
  <si>
    <t>1.11.5</t>
  </si>
  <si>
    <t>CONSTRUCCION DE CABEZOTE DE DESCARGA D=400mm.</t>
  </si>
  <si>
    <t>1.11.6</t>
  </si>
  <si>
    <t>CONSTRUCCIÓN DE CABEZOTE DE DESCARGA D=450mm</t>
  </si>
  <si>
    <t>1.11.7</t>
  </si>
  <si>
    <t>CONSTRUCCIÓN DE CABEZOTE DE DESCARGA D=500mm</t>
  </si>
  <si>
    <t>1.11.8</t>
  </si>
  <si>
    <t>CONSTRUCCIÓN DE CABEZOTE DE DESCARGA D=600mm</t>
  </si>
  <si>
    <t>1.11.9</t>
  </si>
  <si>
    <t>CONSTRUCCION DE CABEZOTE DE DESCARGA D=675mm</t>
  </si>
  <si>
    <t>1.11.10</t>
  </si>
  <si>
    <t>CONSTRUCCION DE CABEZOTE DE DESCARGA D=750mm</t>
  </si>
  <si>
    <t>1.11.11</t>
  </si>
  <si>
    <t>ANCLAJES EN CONCRETO DE 21 Mpa, para tubería con pendientes mayores al 15%.</t>
  </si>
  <si>
    <t>1.11.12</t>
  </si>
  <si>
    <t>CONSTRUCCIÓN DE ANCLAJES en concreto de 21 Mpa para accesorios de acueducto.</t>
  </si>
  <si>
    <t>1.11.13</t>
  </si>
  <si>
    <t xml:space="preserve">PERFORACIÓN, ABOCADA Y RESANE </t>
  </si>
  <si>
    <t>1.12 PAVIMENTO</t>
  </si>
  <si>
    <t>1.12.1</t>
  </si>
  <si>
    <t>BASE GRANULAR DE MÁXIMO Ø 1½"</t>
  </si>
  <si>
    <t>1.12.2</t>
  </si>
  <si>
    <t>SUBBASE GRANULAR DE MÁXIMO Ø 2½"</t>
  </si>
  <si>
    <t>1.12.3</t>
  </si>
  <si>
    <t>S.T.I. de MEZCLA ASFALTICA PARA PARCHEO</t>
  </si>
  <si>
    <t>1.12.4</t>
  </si>
  <si>
    <t>S.T.I. de MEZCLA ASFALTICA EN CALIENTE PARA PAVIMENTO DE 0 - 50 m3</t>
  </si>
  <si>
    <t>1.12.5</t>
  </si>
  <si>
    <t>S.T.C PAVIMENTO RÍGIDO en concreto de f'c= 280 kg/cm2</t>
  </si>
  <si>
    <t xml:space="preserve">1.13 CAMARAS DE INSPECCIÓN VACIADAS EN SITIO </t>
  </si>
  <si>
    <t>1.13.1</t>
  </si>
  <si>
    <t xml:space="preserve">S.T.I DE CILINDRO para MH de 1.20 m </t>
  </si>
  <si>
    <t>1.13.2</t>
  </si>
  <si>
    <t>S.T.I DE BASE Y CAÑUELA para MH de 1,20 m</t>
  </si>
  <si>
    <t>1.13.3</t>
  </si>
  <si>
    <t>S.T.I CONO CONCENTRICO para MH de 1,2 m h=0,75m</t>
  </si>
  <si>
    <t>1.13.4</t>
  </si>
  <si>
    <t>S.T.I TAPA EN CONCRETO para MH</t>
  </si>
  <si>
    <t>1.13.5</t>
  </si>
  <si>
    <t>S.T.I DE CILINDRO para MH de 1.50 m</t>
  </si>
  <si>
    <t>1.13.6</t>
  </si>
  <si>
    <t xml:space="preserve">S.T.I. CONO CONCENTRICO para MH de 1.5 m. </t>
  </si>
  <si>
    <t>1.13.7</t>
  </si>
  <si>
    <t>CONSTRUCCIÓN DE CAJAS DE EMPALME para domiciliar</t>
  </si>
  <si>
    <t>1.13.8</t>
  </si>
  <si>
    <t xml:space="preserve">S.T.I DE CAMARA DE CAIDA DE 8" (200mm), incluye excavaciones y llenos con material selecto de la excavacion </t>
  </si>
  <si>
    <t>1.13.9</t>
  </si>
  <si>
    <t>S.T.I de Camara de Caida de 8" (200mm)</t>
  </si>
  <si>
    <t>1.13.10</t>
  </si>
  <si>
    <t>S.T.I de Camara de Caida de 10" (250mm)</t>
  </si>
  <si>
    <t>1.13.11</t>
  </si>
  <si>
    <t>S.T.I DE CAMARA DE CAIDA de 14" (350mm)</t>
  </si>
  <si>
    <t>1.14 CÁMARAS DE INSPECCIÓN PREFABRICADAS</t>
  </si>
  <si>
    <t>1.14.1</t>
  </si>
  <si>
    <t>S.T.I DE CILINDRO para MH (D=1.20m) de 1.00 m.</t>
  </si>
  <si>
    <t>1.14.2</t>
  </si>
  <si>
    <t xml:space="preserve">S.T.I DE CILINDRO para MH (D=1.20m) de 0,50 m </t>
  </si>
  <si>
    <t>1.14.3</t>
  </si>
  <si>
    <t xml:space="preserve">S.T.I DE CILINDRO para MH (D=1.20m) de 0,25 m </t>
  </si>
  <si>
    <t>1.14.4</t>
  </si>
  <si>
    <t>S.T.I DE CUELLO para MH prefabricado</t>
  </si>
  <si>
    <t>1.14.5</t>
  </si>
  <si>
    <t xml:space="preserve">'S.T.I DE TAPA prefabricada para MH. </t>
  </si>
  <si>
    <t>1.14.6</t>
  </si>
  <si>
    <t>S.T.I DE BASE POZO prefabricado y CAÑUELA vaciada en sitio para MH (D=1.20m)</t>
  </si>
  <si>
    <t>1.14.7</t>
  </si>
  <si>
    <t xml:space="preserve">S.T.I DE CONO prefabricado para MH (D=1.20m). </t>
  </si>
  <si>
    <t>1.14.8</t>
  </si>
  <si>
    <t>S.T.I de EMPAQUE DE ACOPLE para unidades prefabricadas de MH (D=1.20m)</t>
  </si>
  <si>
    <t xml:space="preserve">1.15 ACTIVIDADES COMPLEMENTARIAS </t>
  </si>
  <si>
    <t>1.15.1</t>
  </si>
  <si>
    <t xml:space="preserve">ENGRAMADO DE ZONAS VERDES </t>
  </si>
  <si>
    <t>1.15.2</t>
  </si>
  <si>
    <t>DESVIO DE CAÑOS Y MANEJO DE AGUAS</t>
  </si>
  <si>
    <t>1.15.3</t>
  </si>
  <si>
    <t>CORTE DE TUBERIA EN ACERO AL CARBON</t>
  </si>
  <si>
    <t>cm</t>
  </si>
  <si>
    <t>2. SUMINISTRO, TRANSPORTE E INSTALACIÓN DE TUBERÍA, ACCESORIOS Y EQUIPOS PARA REDES DE ALCANTARILLADO</t>
  </si>
  <si>
    <t xml:space="preserve">2.1 DOMICILIARIAS </t>
  </si>
  <si>
    <t>S.T.I. de Tuberia PVC CORRUGADO Ø 150 mm (6")</t>
  </si>
  <si>
    <t>2.1.2</t>
  </si>
  <si>
    <t xml:space="preserve">S.T.I. CODO PVC Ø 150 mm (6") 90° </t>
  </si>
  <si>
    <t>2.1.3</t>
  </si>
  <si>
    <t>S.T.I. CODO PVC Ø 150 mm (6") 45°</t>
  </si>
  <si>
    <t>2.1.4</t>
  </si>
  <si>
    <t xml:space="preserve">S.T.I. SILLA TEE PVC 8"x6" (200x160mm) </t>
  </si>
  <si>
    <t>2.1.5</t>
  </si>
  <si>
    <t xml:space="preserve">S.T.I. SILLA TEE PVC 10x6" (250x160mm) </t>
  </si>
  <si>
    <t>2.1.6</t>
  </si>
  <si>
    <t xml:space="preserve">S.T.I. SILLA TEE PVC 12x6" (315x160mm) </t>
  </si>
  <si>
    <t>2.1.7</t>
  </si>
  <si>
    <t xml:space="preserve">S.T.I. SILLA TEE PVC 14x6" (350x160mm) </t>
  </si>
  <si>
    <t>2.1.8</t>
  </si>
  <si>
    <t xml:space="preserve">S.T.I. SILLA TEE PVC 18x6" (450x160mm) </t>
  </si>
  <si>
    <t>2.1.9</t>
  </si>
  <si>
    <t xml:space="preserve">S.T.I. SILLA TEE PVC 20x6" (500x160mm) </t>
  </si>
  <si>
    <t>2.1.10</t>
  </si>
  <si>
    <t xml:space="preserve">S.T.I. SILLA TEE PVC 24x6" (600x160mm) </t>
  </si>
  <si>
    <t xml:space="preserve">2.2 TUBERÍAS </t>
  </si>
  <si>
    <t xml:space="preserve">S.T.I de Tubería PVC CORRUGADO 8" (200mm). </t>
  </si>
  <si>
    <t>2.2.2</t>
  </si>
  <si>
    <t xml:space="preserve">S.T.I de Tubería PVC CORRUGADO 10" (250mm). </t>
  </si>
  <si>
    <t>2.2.3</t>
  </si>
  <si>
    <t xml:space="preserve">S.T.I de Tubería PVC CORRUGADO 12" (300mm). </t>
  </si>
  <si>
    <t>2.2.4</t>
  </si>
  <si>
    <t xml:space="preserve">S.T.I de Tubería PVC CORRUGADO 14" (350mm). </t>
  </si>
  <si>
    <t>2.2.5</t>
  </si>
  <si>
    <t>S.T.I de Tubería PVC CORRUGADO 16" (400mm).</t>
  </si>
  <si>
    <t>2.2.6</t>
  </si>
  <si>
    <t xml:space="preserve">S.T.I de Tubería PVC CORRUGADO 18" (450mm). </t>
  </si>
  <si>
    <t>2.2.7</t>
  </si>
  <si>
    <t xml:space="preserve">S.T.I de Tubería PVC CORRUGADO 20" (500mm). </t>
  </si>
  <si>
    <t>2.2.8</t>
  </si>
  <si>
    <t xml:space="preserve">S.T.I de Tubería PVC CORRUGADO 24" (600mm). </t>
  </si>
  <si>
    <t>2.2.9</t>
  </si>
  <si>
    <t xml:space="preserve">S.T.I de Tubería PVC CORRUGADO 27" (675mm). </t>
  </si>
  <si>
    <t xml:space="preserve">2.3 ACCESORIOS </t>
  </si>
  <si>
    <t>2.3.1</t>
  </si>
  <si>
    <t>S.T.I CHARNELA EN HD de 30" (750mm).</t>
  </si>
  <si>
    <t>2.3.2</t>
  </si>
  <si>
    <t>S.T.I CHARNELA EN HD de 24" (600mm).</t>
  </si>
  <si>
    <t>2.3.3</t>
  </si>
  <si>
    <t>S.T.I Charnela en HD de 20" (500mm)</t>
  </si>
  <si>
    <t>2.3.4</t>
  </si>
  <si>
    <t>S.T.I Charnela en HD de 16" (400mm)</t>
  </si>
  <si>
    <t>2.3.5</t>
  </si>
  <si>
    <t>S.T.I Charnela en HD de 14" (350mm)</t>
  </si>
  <si>
    <t>3. SUMINISTRO, TRANSPORTE E INSTALACIÓN DE TUBERÍA, ACCESORIOS Y EQUIPOS PARA REDES DE ACUEDUCTO</t>
  </si>
  <si>
    <t>3.1 TUBERIAS</t>
  </si>
  <si>
    <t>S.T.I de Tubería PVC RDE 21 de Ø 2" (50 mm) Unión Platino</t>
  </si>
  <si>
    <t>S.T.I de Tubería PVC RDE 21 de Ø 3" (75 mm) Unión Platino</t>
  </si>
  <si>
    <t>3.1.3</t>
  </si>
  <si>
    <t>S.T.I de Tubería PVC RDE 21 de Ø 4" (100 mm) Unión Platino</t>
  </si>
  <si>
    <t>3.1.4</t>
  </si>
  <si>
    <t>S.T.I de Tubería PVC RDE 21 de Ø 6" (150 mm) Unión Platino</t>
  </si>
  <si>
    <t>3.1.5</t>
  </si>
  <si>
    <t>S.T.I de Tubería PVC RDE 21 de Ø 8" (200 mm) Unión Platino.</t>
  </si>
  <si>
    <t>3.2 VALVULAS</t>
  </si>
  <si>
    <t>S.T.I DE VALVULA DE COMPUERTA en HD de 3" JH</t>
  </si>
  <si>
    <t>S.T.I DE VALVULA DE COMPUERTA en HD de 6" JH</t>
  </si>
  <si>
    <t>3.3 ACCESORIOS</t>
  </si>
  <si>
    <t>S.T.I UNIÓN UNIVERSAL en HD Ø 4"</t>
  </si>
  <si>
    <t>S.T.I UNIÓN SOLDADA en PVC Ø 3" (75 mm) RDE 21</t>
  </si>
  <si>
    <t>3.3.3</t>
  </si>
  <si>
    <t xml:space="preserve">S.T.I TEE en HD J.H Ø 3 x 3" (75mm x 75 mm) </t>
  </si>
  <si>
    <t>3.3.4</t>
  </si>
  <si>
    <t xml:space="preserve">S.T.I CODO en HD J.H Ø 8" (200 mm) x 11,25° </t>
  </si>
  <si>
    <t>3.3.5</t>
  </si>
  <si>
    <t xml:space="preserve">S.T.I CODO en HD J.H Ø 8" (200 mm) x 45° </t>
  </si>
  <si>
    <t>3.3.6</t>
  </si>
  <si>
    <t xml:space="preserve">S.T.I CODO en HD J.H Ø 6" (150 mm) x 90° </t>
  </si>
  <si>
    <t>3.3.7</t>
  </si>
  <si>
    <t xml:space="preserve">S.T.I CODO en HD J.H Ø 6" (150 mm) x 45° </t>
  </si>
  <si>
    <t>3.3.8</t>
  </si>
  <si>
    <t xml:space="preserve">S.T.I CODO en HD J.H Ø 3" (150 mm) x 22,5° </t>
  </si>
  <si>
    <t>3.3.9</t>
  </si>
  <si>
    <t>S.T.I CODO en HD J.H Ø 3" (150 mm) x 11.25°</t>
  </si>
  <si>
    <t>3.3.10</t>
  </si>
  <si>
    <t xml:space="preserve">S.T.I TEE en HD J.H Ø 6 x 2" (150mm x 50 mm) </t>
  </si>
  <si>
    <t>3.3.11</t>
  </si>
  <si>
    <t xml:space="preserve">S.T.I TEE en HD J.H Ø 6 x 3" (150mm x 75 mm) </t>
  </si>
  <si>
    <t>3.3.12</t>
  </si>
  <si>
    <t xml:space="preserve">S.T.I TAPÓN en HD J.H Ø 4" (100 mm) </t>
  </si>
  <si>
    <t>3.3.13</t>
  </si>
  <si>
    <t xml:space="preserve">S.T.I TAPÓN en HD J.H Ø 3" (75 mm) </t>
  </si>
  <si>
    <t>3.3.14</t>
  </si>
  <si>
    <t xml:space="preserve">S.T.I TAPÓN en HD J.H Ø 8" (200 mm) </t>
  </si>
  <si>
    <t>3.3.15</t>
  </si>
  <si>
    <t xml:space="preserve">S.T.I DE ACOMETIDAS DE ACUEDUCTO en Ø1/2" PF+UAD RDE 9, para tubería de Ø2"; incluye la tubería domiciliar Ø1/2 L=6 m, el collar de derivación, las llaves de corte e incorporación,las uniones, el marco con tapa doble ventanilla "Anti-fraude" y el micromedidor volumetrico de 1/2" Clase C (R160) </t>
  </si>
  <si>
    <t>3.3.16</t>
  </si>
  <si>
    <t>S.T.I DE ACOMETIDAS DE ACUEDUCTO en Ø1/2" PF+UAD RDE 9, para tubería de Ø3"; incluye la tubería domiciliar Ø1/2 L=6 m, el collar de derivación, las llaves de corte e incorporación,las uniones,</t>
  </si>
  <si>
    <t>Impuesto del 50% del 4/1000</t>
  </si>
  <si>
    <t>1.1.8</t>
  </si>
  <si>
    <t>Estampilla Pro Deporte Gobernación de Antioquia</t>
  </si>
  <si>
    <t>Tasa Pro Deporte Gobernación de Antioquia (2.5%)</t>
  </si>
  <si>
    <t>FM SIN GRAVAMENES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</si>
</sst>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2">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quot;$&quot;#,##0.00_);[Red]\(&quot;$&quot;#,##0.00\)"/>
    <numFmt numFmtId="165" formatCode="_(&quot;$&quot;* #,##0.00_);_(&quot;$&quot;* \(#,##0.00\);_(&quot;$&quot;* &quot;-&quot;??_);_(@_)"/>
    <numFmt numFmtId="166" formatCode="_(* #,##0.00_);_(* \(#,##0.00\);_(* &quot;-&quot;??_);_(@_)"/>
    <numFmt numFmtId="167" formatCode="_ &quot;$&quot;\ * #,##0_ ;_ &quot;$&quot;\ * \-#,##0_ ;_ &quot;$&quot;\ * &quot;-&quot;_ ;_ @_ "/>
    <numFmt numFmtId="168" formatCode="_-&quot;$&quot;\ * #,##0_-;\-&quot;$&quot;\ * #,##0_-;_-&quot;$&quot;\ * &quot;-&quot;??_-;_-@_-"/>
    <numFmt numFmtId="169" formatCode="_ [$$-240A]\ * #,##0_ ;_ [$$-240A]\ * \-#,##0_ ;_ [$$-240A]\ * &quot;-&quot;_ ;_ @_ "/>
    <numFmt numFmtId="170" formatCode="_ &quot;$&quot;\ * #,##0_ ;_ &quot;$&quot;\ * \-#,##0_ ;_ &quot;$&quot;\ * &quot;-&quot;??_ ;_ @_ "/>
    <numFmt numFmtId="171" formatCode="0.000"/>
    <numFmt numFmtId="172" formatCode="[$$-240A]\ #,##0"/>
    <numFmt numFmtId="173" formatCode="_ &quot;$&quot;\ * #,##0.00_ ;_ &quot;$&quot;\ * \-#,##0.00_ ;_ &quot;$&quot;\ * &quot;-&quot;??_ ;_ @_ "/>
    <numFmt numFmtId="174" formatCode="#,##0.000"/>
    <numFmt numFmtId="175" formatCode="_(&quot;$&quot;* #,##0_);_(&quot;$&quot;* \(#,##0\);_(&quot;$&quot;* &quot;-&quot;??_);_(@_)"/>
    <numFmt numFmtId="176" formatCode="_(&quot;$&quot;\ * #,##0_);_(&quot;$&quot;\ * \(#,##0\);_(&quot;$&quot;\ * &quot;-&quot;??_);_(@_)"/>
    <numFmt numFmtId="177" formatCode="&quot;$&quot;\ #,##0"/>
    <numFmt numFmtId="178" formatCode="_ * #,##0.00_ ;_ * \-#,##0.00_ ;_ * &quot;-&quot;??_ ;_ @_ "/>
    <numFmt numFmtId="179" formatCode="_(&quot;$&quot;\ * #,##0.00_);_(&quot;$&quot;\ * \(#,##0.00\);_(&quot;$&quot;\ * &quot;-&quot;??_);_(@_)"/>
    <numFmt numFmtId="180" formatCode="0.0000"/>
    <numFmt numFmtId="181" formatCode="#,##0.0000"/>
    <numFmt numFmtId="182" formatCode="0.0000000"/>
    <numFmt numFmtId="183" formatCode="_-&quot;$&quot;\ * #,##0_-;\-&quot;$&quot;\ * #,##0_-;_-&quot;$&quot;\ * &quot;-&quot;_-;_-@"/>
    <numFmt numFmtId="184" formatCode="#,##0_ ;\-#,##0\ "/>
    <numFmt numFmtId="185" formatCode="0.0"/>
    <numFmt numFmtId="186" formatCode="0.0\ &quot;m&quot;"/>
    <numFmt numFmtId="187" formatCode="_(* #,##0_);_(* \(#,##0\);_(* &quot;-&quot;??_);_(@_)"/>
    <numFmt numFmtId="188" formatCode="0.00_)"/>
    <numFmt numFmtId="189" formatCode="\P\V\C\=#"/>
    <numFmt numFmtId="190" formatCode="0_)"/>
    <numFmt numFmtId="191" formatCode="0.00000000000"/>
    <numFmt numFmtId="192" formatCode=";;"/>
    <numFmt numFmtId="193" formatCode="0.00000"/>
    <numFmt numFmtId="194" formatCode="0.000_)"/>
    <numFmt numFmtId="195" formatCode="#,##0.00000"/>
    <numFmt numFmtId="196" formatCode="_-&quot;$&quot;* #,##0.0_-;\-&quot;$&quot;* #,##0.0_-;_-&quot;$&quot;* &quot;-&quot;?_-;_-@_-"/>
    <numFmt numFmtId="197" formatCode="#,##0.0"/>
    <numFmt numFmtId="198" formatCode="_-&quot;$&quot;* #,##0.00_-;\-&quot;$&quot;* #,##0.00_-;_-&quot;$&quot;* &quot;-&quot;??_-;_-@_-"/>
    <numFmt numFmtId="199" formatCode="0.000%"/>
    <numFmt numFmtId="200" formatCode="_-* #,##0.00\ _$_-;\-* #,##0.00\ _$_-;_-* &quot;-&quot;??\ _$_-;_-@_-"/>
    <numFmt numFmtId="201" formatCode="_-* #,##0.00\ &quot;$&quot;_-;\-* #,##0.00\ &quot;$&quot;_-;_-* &quot;-&quot;??\ &quot;$&quot;_-;_-@_-"/>
    <numFmt numFmtId="202" formatCode="_-[$$-240A]\ * #,##0.00_ ;_-[$$-240A]\ * \-#,##0.00\ ;_-[$$-240A]\ * &quot;-&quot;??_ ;_-@_ "/>
    <numFmt numFmtId="203" formatCode="_(&quot;$&quot;* #,##0.0000000_);_(&quot;$&quot;* \(#,##0.0000000\);_(&quot;$&quot;* &quot;-&quot;??_);_(@_)"/>
    <numFmt numFmtId="204" formatCode="&quot;$&quot;\ #,##0.0"/>
    <numFmt numFmtId="205" formatCode="&quot;$&quot;#,##0.0"/>
    <numFmt numFmtId="206" formatCode="0.0%"/>
    <numFmt numFmtId="207" formatCode="_ &quot;$&quot;\ * #,##0.00_ ;_ &quot;$&quot;\ * \-#,##0.00_ ;_ &quot;$&quot;\ * &quot;-&quot;_ ;_ @_ "/>
    <numFmt numFmtId="208" formatCode="_ &quot;$&quot;\ * #,##0.000_ ;_ &quot;$&quot;\ * \-#,##0.000_ ;_ &quot;$&quot;\ * &quot;-&quot;_ ;_ @_ "/>
    <numFmt numFmtId="209" formatCode="0.000000000000000"/>
    <numFmt numFmtId="210" formatCode="_(&quot;$&quot;* #,##0.000000_);_(&quot;$&quot;* \(#,##0.000000\);_(&quot;$&quot;* &quot;-&quot;??_);_(@_)"/>
    <numFmt numFmtId="211" formatCode="[$$-240A]\ #,##0.00"/>
  </numFmts>
  <fonts count="115">
    <font>
      <sz val="11"/>
      <color theme="1"/>
      <name val="Calibri"/>
      <family val="2"/>
      <scheme val="minor"/>
    </font>
    <font>
      <sz val="11"/>
      <color theme="1"/>
      <name val="Calibri"/>
      <family val="2"/>
      <scheme val="minor"/>
    </font>
    <font>
      <sz val="11"/>
      <name val="Gill Sans MT"/>
      <family val="2"/>
    </font>
    <font>
      <b/>
      <sz val="11"/>
      <name val="Gill Sans MT"/>
      <family val="2"/>
    </font>
    <font>
      <sz val="10"/>
      <name val="Arial"/>
      <family val="2"/>
    </font>
    <font>
      <sz val="11"/>
      <color theme="1"/>
      <name val="Gill Sans MT"/>
      <family val="2"/>
    </font>
    <font>
      <b/>
      <sz val="11"/>
      <color theme="1"/>
      <name val="Gill Sans MT"/>
      <family val="2"/>
    </font>
    <font>
      <sz val="8"/>
      <name val="Calibri"/>
      <family val="2"/>
      <scheme val="minor"/>
    </font>
    <font>
      <sz val="10"/>
      <name val="MS Sans Serif"/>
      <family val="2"/>
    </font>
    <font>
      <sz val="8"/>
      <name val="Arial"/>
      <family val="2"/>
    </font>
    <font>
      <sz val="8"/>
      <color rgb="FFFF0000"/>
      <name val="Arial"/>
      <family val="2"/>
    </font>
    <font>
      <b/>
      <sz val="8"/>
      <color rgb="FFFF0000"/>
      <name val="Arial"/>
      <family val="2"/>
    </font>
    <font>
      <b/>
      <sz val="8"/>
      <name val="Arial"/>
      <family val="2"/>
    </font>
    <font>
      <b/>
      <sz val="8"/>
      <color indexed="8"/>
      <name val="Arial"/>
      <family val="2"/>
    </font>
    <font>
      <sz val="10"/>
      <name val="Courier"/>
      <family val="3"/>
    </font>
    <font>
      <sz val="8"/>
      <color indexed="8"/>
      <name val="Arial"/>
      <family val="2"/>
    </font>
    <font>
      <b/>
      <sz val="12"/>
      <name val="Gill Sans MT"/>
      <family val="2"/>
    </font>
    <font>
      <b/>
      <sz val="11"/>
      <color theme="1"/>
      <name val="Calibri"/>
      <family val="2"/>
      <scheme val="minor"/>
    </font>
    <font>
      <b/>
      <sz val="12"/>
      <name val="Arial"/>
      <family val="2"/>
    </font>
    <font>
      <sz val="10"/>
      <name val="Helv"/>
    </font>
    <font>
      <sz val="11"/>
      <color rgb="FFFF0000"/>
      <name val="Calibri"/>
      <family val="2"/>
      <scheme val="minor"/>
    </font>
    <font>
      <sz val="12"/>
      <name val="Gill Sans MT"/>
      <family val="2"/>
    </font>
    <font>
      <sz val="9"/>
      <color indexed="81"/>
      <name val="Tahoma"/>
      <family val="2"/>
    </font>
    <font>
      <b/>
      <sz val="9"/>
      <color indexed="81"/>
      <name val="Tahoma"/>
      <family val="2"/>
    </font>
    <font>
      <sz val="11"/>
      <name val="Calibri"/>
      <family val="2"/>
      <scheme val="minor"/>
    </font>
    <font>
      <sz val="10"/>
      <name val="MS Sans Serif"/>
    </font>
    <font>
      <sz val="11"/>
      <color theme="0"/>
      <name val="Calibri"/>
      <family val="2"/>
      <scheme val="minor"/>
    </font>
    <font>
      <b/>
      <sz val="10"/>
      <name val="Arial"/>
      <family val="2"/>
    </font>
    <font>
      <sz val="8"/>
      <color theme="1"/>
      <name val="Arial"/>
      <family val="2"/>
    </font>
    <font>
      <b/>
      <sz val="16"/>
      <color theme="1"/>
      <name val="Calibri"/>
      <family val="2"/>
      <scheme val="minor"/>
    </font>
    <font>
      <b/>
      <sz val="11"/>
      <color theme="1"/>
      <name val="Arial"/>
      <family val="2"/>
    </font>
    <font>
      <b/>
      <sz val="11"/>
      <name val="Calibri"/>
      <family val="2"/>
    </font>
    <font>
      <sz val="11"/>
      <name val="Calibri"/>
      <family val="2"/>
    </font>
    <font>
      <b/>
      <sz val="20"/>
      <color theme="1"/>
      <name val="Calibri"/>
      <family val="2"/>
      <scheme val="minor"/>
    </font>
    <font>
      <b/>
      <sz val="11"/>
      <color rgb="FFFF0000"/>
      <name val="Calibri"/>
      <family val="2"/>
      <scheme val="minor"/>
    </font>
    <font>
      <b/>
      <sz val="14"/>
      <color theme="1"/>
      <name val="Calibri"/>
      <family val="2"/>
      <scheme val="minor"/>
    </font>
    <font>
      <b/>
      <sz val="10"/>
      <name val="Calibri"/>
      <family val="2"/>
      <scheme val="minor"/>
    </font>
    <font>
      <sz val="10"/>
      <name val="Calibri"/>
      <family val="2"/>
      <scheme val="minor"/>
    </font>
    <font>
      <sz val="10"/>
      <color rgb="FF002060"/>
      <name val="Calibri"/>
      <family val="2"/>
      <scheme val="minor"/>
    </font>
    <font>
      <sz val="16"/>
      <name val="Gill Sans MT"/>
      <family val="2"/>
    </font>
    <font>
      <b/>
      <sz val="11"/>
      <name val="Arial"/>
      <family val="2"/>
    </font>
    <font>
      <sz val="11"/>
      <name val="Arial"/>
      <family val="2"/>
    </font>
    <font>
      <b/>
      <sz val="14"/>
      <color theme="1"/>
      <name val="Arial"/>
      <family val="2"/>
    </font>
    <font>
      <b/>
      <sz val="11"/>
      <name val="Calibri"/>
      <family val="2"/>
      <scheme val="minor"/>
    </font>
    <font>
      <b/>
      <sz val="12"/>
      <color theme="1"/>
      <name val="Arial"/>
      <family val="2"/>
    </font>
    <font>
      <b/>
      <sz val="10"/>
      <color theme="1"/>
      <name val="Arial"/>
      <family val="2"/>
    </font>
    <font>
      <sz val="10"/>
      <color theme="1"/>
      <name val="Arial"/>
      <family val="2"/>
    </font>
    <font>
      <sz val="10"/>
      <color rgb="FF000000"/>
      <name val="Arial"/>
      <family val="2"/>
    </font>
    <font>
      <sz val="8"/>
      <color theme="0"/>
      <name val="Arial"/>
      <family val="2"/>
    </font>
    <font>
      <b/>
      <sz val="8"/>
      <color theme="0"/>
      <name val="Arial"/>
      <family val="2"/>
    </font>
    <font>
      <sz val="8"/>
      <color rgb="FF0070C0"/>
      <name val="Arial"/>
      <family val="2"/>
    </font>
    <font>
      <b/>
      <sz val="7"/>
      <name val="Arial"/>
      <family val="2"/>
    </font>
    <font>
      <b/>
      <sz val="6"/>
      <name val="Arial"/>
      <family val="2"/>
    </font>
    <font>
      <b/>
      <sz val="8"/>
      <color indexed="12"/>
      <name val="Arial"/>
      <family val="2"/>
    </font>
    <font>
      <b/>
      <sz val="8"/>
      <color theme="1"/>
      <name val="Arial"/>
      <family val="2"/>
    </font>
    <font>
      <sz val="8"/>
      <color indexed="39"/>
      <name val="Arial"/>
      <family val="2"/>
    </font>
    <font>
      <sz val="8"/>
      <color indexed="12"/>
      <name val="Arial"/>
      <family val="2"/>
    </font>
    <font>
      <sz val="8"/>
      <color rgb="FF0066FF"/>
      <name val="Arial"/>
      <family val="2"/>
    </font>
    <font>
      <sz val="9"/>
      <color theme="1"/>
      <name val="Calibri"/>
      <family val="2"/>
      <scheme val="minor"/>
    </font>
    <font>
      <b/>
      <sz val="8"/>
      <name val="Microsoft Sans Serif"/>
      <family val="2"/>
    </font>
    <font>
      <sz val="9"/>
      <name val="Arial"/>
      <family val="2"/>
    </font>
    <font>
      <b/>
      <sz val="9"/>
      <name val="Arial"/>
      <family val="2"/>
    </font>
    <font>
      <b/>
      <sz val="8"/>
      <color rgb="FF0066CC"/>
      <name val="Arial"/>
      <family val="2"/>
    </font>
    <font>
      <b/>
      <vertAlign val="subscript"/>
      <sz val="10"/>
      <name val="Arial"/>
      <family val="2"/>
    </font>
    <font>
      <b/>
      <vertAlign val="subscript"/>
      <sz val="8"/>
      <name val="Arial"/>
      <family val="2"/>
    </font>
    <font>
      <b/>
      <vertAlign val="superscript"/>
      <sz val="8"/>
      <name val="Arial"/>
      <family val="2"/>
    </font>
    <font>
      <sz val="8"/>
      <color rgb="FF0066CC"/>
      <name val="Arial"/>
      <family val="2"/>
    </font>
    <font>
      <b/>
      <sz val="10"/>
      <color indexed="12"/>
      <name val="Arial"/>
      <family val="2"/>
    </font>
    <font>
      <sz val="10"/>
      <color indexed="9"/>
      <name val="Arial"/>
      <family val="2"/>
    </font>
    <font>
      <b/>
      <vertAlign val="superscript"/>
      <sz val="9"/>
      <name val="Arial"/>
      <family val="2"/>
    </font>
    <font>
      <sz val="8"/>
      <name val="Arial Rounded MT Bold"/>
      <family val="2"/>
    </font>
    <font>
      <b/>
      <vertAlign val="superscript"/>
      <sz val="10"/>
      <name val="Arial"/>
      <family val="2"/>
    </font>
    <font>
      <b/>
      <sz val="10"/>
      <name val="Symbol"/>
      <family val="1"/>
      <charset val="2"/>
    </font>
    <font>
      <sz val="8"/>
      <name val="Microsoft Sans Serif"/>
      <family val="2"/>
    </font>
    <font>
      <vertAlign val="superscript"/>
      <sz val="10"/>
      <name val="Arial"/>
      <family val="2"/>
    </font>
    <font>
      <b/>
      <sz val="10"/>
      <color rgb="FFFF0000"/>
      <name val="Arial"/>
      <family val="2"/>
    </font>
    <font>
      <b/>
      <sz val="9"/>
      <color rgb="FFFF0000"/>
      <name val="Arial"/>
      <family val="2"/>
    </font>
    <font>
      <sz val="11"/>
      <color rgb="FF000000"/>
      <name val="Calibri"/>
      <family val="2"/>
      <scheme val="minor"/>
    </font>
    <font>
      <b/>
      <sz val="11"/>
      <color rgb="FF000000"/>
      <name val="Calibri"/>
      <family val="2"/>
      <scheme val="minor"/>
    </font>
    <font>
      <sz val="10"/>
      <color rgb="FF0070C0"/>
      <name val="MS Sans Serif"/>
    </font>
    <font>
      <sz val="8"/>
      <color theme="3" tint="0.39997558519241921"/>
      <name val="Arial"/>
      <family val="2"/>
    </font>
    <font>
      <sz val="9"/>
      <color rgb="FF0070C0"/>
      <name val="Calibri"/>
      <family val="2"/>
      <scheme val="minor"/>
    </font>
    <font>
      <b/>
      <sz val="5"/>
      <name val="Arial"/>
      <family val="2"/>
    </font>
    <font>
      <sz val="10"/>
      <color theme="1"/>
      <name val="MS Sans Serif"/>
      <family val="2"/>
    </font>
    <font>
      <sz val="10"/>
      <color indexed="17"/>
      <name val="Ottawa"/>
    </font>
    <font>
      <u/>
      <sz val="11"/>
      <name val="Arial"/>
      <family val="2"/>
    </font>
    <font>
      <b/>
      <u/>
      <sz val="11"/>
      <name val="Arial"/>
      <family val="2"/>
    </font>
    <font>
      <b/>
      <sz val="14"/>
      <name val="Arial"/>
      <family val="2"/>
    </font>
    <font>
      <sz val="11"/>
      <color indexed="8"/>
      <name val="Calibri"/>
      <family val="2"/>
    </font>
    <font>
      <b/>
      <u/>
      <sz val="10"/>
      <name val="Arial"/>
      <family val="2"/>
    </font>
    <font>
      <sz val="12"/>
      <color indexed="8"/>
      <name val="Arial"/>
      <family val="2"/>
    </font>
    <font>
      <sz val="12"/>
      <color indexed="8"/>
      <name val="Verdana"/>
      <family val="2"/>
    </font>
    <font>
      <sz val="12"/>
      <name val="Arial Narrow"/>
      <family val="2"/>
    </font>
    <font>
      <sz val="11"/>
      <name val="Arial Narrow"/>
      <family val="2"/>
    </font>
    <font>
      <sz val="11"/>
      <color theme="1"/>
      <name val="Arial Narrow"/>
      <family val="2"/>
    </font>
    <font>
      <b/>
      <sz val="12"/>
      <name val="Arial Narrow"/>
      <family val="2"/>
    </font>
    <font>
      <b/>
      <sz val="11"/>
      <color indexed="12"/>
      <name val="Arial"/>
      <family val="2"/>
    </font>
    <font>
      <u/>
      <sz val="10"/>
      <color theme="10"/>
      <name val="Arial"/>
      <family val="2"/>
    </font>
    <font>
      <i/>
      <u/>
      <sz val="10"/>
      <name val="Arial"/>
      <family val="2"/>
    </font>
    <font>
      <u/>
      <sz val="11"/>
      <color theme="1"/>
      <name val="Arial"/>
      <family val="2"/>
    </font>
    <font>
      <b/>
      <sz val="10"/>
      <color rgb="FF0000FF"/>
      <name val="Arial"/>
      <family val="2"/>
    </font>
    <font>
      <sz val="12"/>
      <color theme="1"/>
      <name val="Calibri"/>
      <family val="2"/>
      <scheme val="minor"/>
    </font>
    <font>
      <b/>
      <sz val="12"/>
      <color theme="1"/>
      <name val="Calibri"/>
      <family val="2"/>
      <scheme val="minor"/>
    </font>
    <font>
      <b/>
      <sz val="10"/>
      <color rgb="FF000000"/>
      <name val="Arial"/>
      <family val="2"/>
    </font>
    <font>
      <b/>
      <sz val="11"/>
      <color rgb="FF000000"/>
      <name val="Calibri"/>
      <family val="2"/>
    </font>
    <font>
      <sz val="11"/>
      <color rgb="FF000000"/>
      <name val="Calibri"/>
      <family val="2"/>
    </font>
    <font>
      <u/>
      <sz val="11"/>
      <color theme="10"/>
      <name val="Calibri"/>
      <family val="2"/>
      <scheme val="minor"/>
    </font>
    <font>
      <b/>
      <sz val="10"/>
      <name val="Gill Sans MT"/>
      <family val="2"/>
    </font>
    <font>
      <b/>
      <sz val="8"/>
      <color theme="1"/>
      <name val="Calibri"/>
      <family val="2"/>
      <scheme val="minor"/>
    </font>
    <font>
      <sz val="10"/>
      <name val="Ottawa"/>
    </font>
    <font>
      <b/>
      <sz val="10"/>
      <name val="MS Sans Serif"/>
      <family val="2"/>
    </font>
    <font>
      <b/>
      <sz val="11"/>
      <name val="Ottawa"/>
    </font>
    <font>
      <sz val="10"/>
      <color indexed="10"/>
      <name val="MS Sans Serif"/>
      <family val="2"/>
    </font>
    <font>
      <b/>
      <sz val="12"/>
      <name val="MS Sans Serif"/>
      <family val="2"/>
    </font>
    <font>
      <b/>
      <sz val="18"/>
      <name val="Arial"/>
      <family val="2"/>
    </font>
  </fonts>
  <fills count="60">
    <fill>
      <patternFill patternType="none"/>
    </fill>
    <fill>
      <patternFill patternType="gray125"/>
    </fill>
    <fill>
      <patternFill patternType="solid">
        <fgColor indexed="22"/>
        <bgColor indexed="64"/>
      </patternFill>
    </fill>
    <fill>
      <patternFill patternType="solid">
        <fgColor rgb="FF92D05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34998626667073579"/>
        <bgColor indexed="64"/>
      </patternFill>
    </fill>
    <fill>
      <patternFill patternType="solid">
        <fgColor rgb="FFFFC000"/>
        <bgColor indexed="64"/>
      </patternFill>
    </fill>
    <fill>
      <patternFill patternType="solid">
        <fgColor theme="8" tint="0.39997558519241921"/>
        <bgColor indexed="64"/>
      </patternFill>
    </fill>
    <fill>
      <patternFill patternType="solid">
        <fgColor indexed="42"/>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00B0F0"/>
        <bgColor indexed="64"/>
      </patternFill>
    </fill>
    <fill>
      <patternFill patternType="solid">
        <fgColor rgb="FFF2F2F2"/>
        <bgColor rgb="FF000000"/>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bgColor indexed="64"/>
      </patternFill>
    </fill>
    <fill>
      <patternFill patternType="solid">
        <fgColor theme="8" tint="0.79998168889431442"/>
        <bgColor indexed="64"/>
      </patternFill>
    </fill>
    <fill>
      <patternFill patternType="solid">
        <fgColor rgb="FF7030A0"/>
        <bgColor indexed="64"/>
      </patternFill>
    </fill>
    <fill>
      <patternFill patternType="solid">
        <fgColor rgb="FFC7A1E3"/>
        <bgColor indexed="64"/>
      </patternFill>
    </fill>
    <fill>
      <patternFill patternType="solid">
        <fgColor rgb="FFFF0000"/>
        <bgColor indexed="64"/>
      </patternFill>
    </fill>
    <fill>
      <patternFill patternType="solid">
        <fgColor theme="9" tint="0.59999389629810485"/>
        <bgColor indexed="64"/>
      </patternFill>
    </fill>
    <fill>
      <patternFill patternType="solid">
        <fgColor rgb="FF4EE48B"/>
        <bgColor indexed="64"/>
      </patternFill>
    </fill>
    <fill>
      <patternFill patternType="solid">
        <fgColor rgb="FFE472D4"/>
        <bgColor indexed="64"/>
      </patternFill>
    </fill>
    <fill>
      <patternFill patternType="solid">
        <fgColor rgb="FFCC3300"/>
        <bgColor indexed="64"/>
      </patternFill>
    </fill>
    <fill>
      <patternFill patternType="solid">
        <fgColor rgb="FF002060"/>
        <bgColor indexed="64"/>
      </patternFill>
    </fill>
    <fill>
      <patternFill patternType="solid">
        <fgColor theme="1"/>
        <bgColor indexed="64"/>
      </patternFill>
    </fill>
    <fill>
      <patternFill patternType="solid">
        <fgColor theme="9" tint="0.39997558519241921"/>
        <bgColor indexed="64"/>
      </patternFill>
    </fill>
    <fill>
      <patternFill patternType="solid">
        <fgColor rgb="FFBFBFBF"/>
        <bgColor rgb="FFBFBFBF"/>
      </patternFill>
    </fill>
    <fill>
      <patternFill patternType="solid">
        <fgColor rgb="FFF2F2F2"/>
        <bgColor rgb="FFF2F2F2"/>
      </patternFill>
    </fill>
    <fill>
      <patternFill patternType="solid">
        <fgColor theme="0"/>
        <bgColor theme="0"/>
      </patternFill>
    </fill>
    <fill>
      <patternFill patternType="solid">
        <fgColor rgb="FFFFFFFF"/>
        <bgColor rgb="FFFFFFFF"/>
      </patternFill>
    </fill>
    <fill>
      <patternFill patternType="solid">
        <fgColor theme="2"/>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theme="9" tint="0.79998168889431442"/>
        <bgColor indexed="64"/>
      </patternFill>
    </fill>
    <fill>
      <patternFill patternType="solid">
        <fgColor theme="9"/>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indexed="43"/>
        <bgColor indexed="64"/>
      </patternFill>
    </fill>
    <fill>
      <patternFill patternType="solid">
        <fgColor indexed="9"/>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rgb="FFFFFF99"/>
        <bgColor indexed="64"/>
      </patternFill>
    </fill>
    <fill>
      <patternFill patternType="solid">
        <fgColor theme="2" tint="-9.9978637043366805E-2"/>
        <bgColor indexed="64"/>
      </patternFill>
    </fill>
    <fill>
      <patternFill patternType="gray125">
        <fgColor auto="1"/>
      </patternFill>
    </fill>
    <fill>
      <patternFill patternType="solid">
        <fgColor theme="4" tint="0.59999389629810485"/>
        <bgColor indexed="64"/>
      </patternFill>
    </fill>
    <fill>
      <patternFill patternType="solid">
        <fgColor rgb="FF00B050"/>
        <bgColor rgb="FFD8D8D8"/>
      </patternFill>
    </fill>
    <fill>
      <patternFill patternType="solid">
        <fgColor theme="0" tint="-0.249977111117893"/>
        <bgColor rgb="FFF2F2F2"/>
      </patternFill>
    </fill>
    <fill>
      <patternFill patternType="solid">
        <fgColor rgb="FFFF714F"/>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rgb="FFFF0000"/>
        <bgColor theme="0"/>
      </patternFill>
    </fill>
    <fill>
      <patternFill patternType="solid">
        <fgColor rgb="FFFF0000"/>
        <bgColor rgb="FF000000"/>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style="medium">
        <color indexed="64"/>
      </left>
      <right style="thin">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auto="1"/>
      </right>
      <top style="thin">
        <color auto="1"/>
      </top>
      <bottom style="thin">
        <color auto="1"/>
      </bottom>
      <diagonal/>
    </border>
    <border>
      <left/>
      <right style="medium">
        <color auto="1"/>
      </right>
      <top/>
      <bottom/>
      <diagonal/>
    </border>
    <border>
      <left style="medium">
        <color auto="1"/>
      </left>
      <right/>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75">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0"/>
    <xf numFmtId="0" fontId="4" fillId="0" borderId="0"/>
    <xf numFmtId="0" fontId="4" fillId="0" borderId="0"/>
    <xf numFmtId="0" fontId="4" fillId="0" borderId="0"/>
    <xf numFmtId="0" fontId="8" fillId="0" borderId="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8" fillId="0" borderId="0"/>
    <xf numFmtId="0" fontId="1" fillId="0" borderId="0"/>
    <xf numFmtId="0" fontId="19" fillId="0" borderId="0" applyNumberFormat="0">
      <alignment horizontal="left"/>
    </xf>
    <xf numFmtId="166" fontId="8" fillId="0" borderId="0" applyFont="0" applyFill="0" applyBorder="0" applyAlignment="0" applyProtection="0"/>
    <xf numFmtId="0" fontId="4" fillId="0" borderId="0"/>
    <xf numFmtId="170" fontId="4" fillId="0" borderId="0" applyFont="0" applyFill="0" applyBorder="0" applyAlignment="0" applyProtection="0"/>
    <xf numFmtId="0" fontId="25" fillId="0" borderId="0"/>
    <xf numFmtId="0" fontId="4" fillId="0" borderId="0"/>
    <xf numFmtId="0" fontId="4" fillId="0" borderId="0"/>
    <xf numFmtId="44" fontId="4" fillId="0" borderId="0" applyFont="0" applyFill="0" applyBorder="0" applyAlignment="0" applyProtection="0"/>
    <xf numFmtId="173" fontId="4" fillId="0" borderId="0" applyFont="0" applyFill="0" applyBorder="0" applyAlignment="0" applyProtection="0"/>
    <xf numFmtId="0" fontId="1" fillId="0" borderId="0"/>
    <xf numFmtId="41" fontId="1" fillId="0" borderId="0" applyFont="0" applyFill="0" applyBorder="0" applyAlignment="0" applyProtection="0"/>
    <xf numFmtId="171" fontId="14" fillId="0" borderId="0"/>
    <xf numFmtId="0" fontId="4" fillId="0" borderId="0"/>
    <xf numFmtId="0" fontId="4" fillId="0" borderId="0"/>
    <xf numFmtId="0" fontId="4" fillId="0" borderId="0"/>
    <xf numFmtId="188" fontId="14" fillId="0" borderId="0"/>
    <xf numFmtId="0" fontId="1" fillId="0" borderId="0"/>
    <xf numFmtId="188" fontId="14" fillId="0" borderId="0"/>
    <xf numFmtId="0" fontId="8" fillId="0" borderId="0"/>
    <xf numFmtId="0" fontId="4" fillId="0" borderId="0"/>
    <xf numFmtId="0" fontId="1" fillId="0" borderId="0"/>
    <xf numFmtId="0" fontId="1" fillId="0" borderId="0"/>
    <xf numFmtId="0" fontId="4" fillId="0" borderId="0"/>
    <xf numFmtId="0" fontId="4" fillId="0" borderId="0"/>
    <xf numFmtId="0" fontId="8" fillId="0" borderId="0"/>
    <xf numFmtId="9" fontId="8" fillId="0" borderId="0" applyFont="0" applyFill="0" applyBorder="0" applyAlignment="0" applyProtection="0"/>
    <xf numFmtId="0" fontId="4" fillId="0" borderId="0"/>
    <xf numFmtId="179" fontId="1" fillId="0" borderId="0" applyFont="0" applyFill="0" applyBorder="0" applyAlignment="0" applyProtection="0"/>
    <xf numFmtId="200" fontId="4" fillId="0" borderId="0" applyFont="0" applyFill="0" applyBorder="0" applyAlignment="0" applyProtection="0"/>
    <xf numFmtId="9" fontId="88" fillId="0" borderId="0" applyFont="0" applyFill="0" applyBorder="0" applyAlignment="0" applyProtection="0"/>
    <xf numFmtId="0" fontId="4" fillId="0" borderId="0"/>
    <xf numFmtId="201" fontId="4" fillId="0" borderId="0" applyFont="0" applyFill="0" applyBorder="0" applyAlignment="0" applyProtection="0"/>
    <xf numFmtId="0" fontId="4" fillId="0" borderId="0"/>
    <xf numFmtId="42" fontId="4" fillId="0" borderId="0" applyFont="0" applyFill="0" applyBorder="0" applyAlignment="0" applyProtection="0"/>
    <xf numFmtId="9" fontId="4" fillId="0" borderId="0" applyFont="0" applyFill="0" applyBorder="0" applyAlignment="0" applyProtection="0"/>
    <xf numFmtId="166" fontId="4" fillId="0" borderId="0" applyFont="0" applyFill="0" applyBorder="0" applyAlignment="0" applyProtection="0"/>
    <xf numFmtId="185" fontId="4" fillId="0" borderId="0" applyFont="0" applyFill="0" applyBorder="0" applyAlignment="0" applyProtection="0"/>
    <xf numFmtId="179" fontId="88" fillId="0" borderId="0" applyFont="0" applyFill="0" applyBorder="0" applyAlignment="0" applyProtection="0"/>
    <xf numFmtId="0" fontId="4" fillId="0" borderId="0"/>
    <xf numFmtId="0" fontId="1" fillId="0" borderId="0"/>
    <xf numFmtId="165" fontId="4" fillId="0" borderId="0" applyFont="0" applyFill="0" applyBorder="0" applyAlignment="0" applyProtection="0"/>
    <xf numFmtId="179" fontId="90" fillId="0" borderId="0" applyFont="0" applyFill="0" applyBorder="0" applyAlignment="0" applyProtection="0"/>
    <xf numFmtId="179" fontId="4" fillId="0" borderId="0" applyFont="0" applyFill="0" applyBorder="0" applyAlignment="0" applyProtection="0"/>
    <xf numFmtId="0" fontId="91" fillId="0" borderId="0" applyNumberFormat="0" applyFill="0" applyBorder="0" applyProtection="0">
      <alignment vertical="top"/>
    </xf>
    <xf numFmtId="0" fontId="94" fillId="0" borderId="0"/>
    <xf numFmtId="0" fontId="1" fillId="0" borderId="0"/>
    <xf numFmtId="173" fontId="4" fillId="0" borderId="0" applyFont="0" applyFill="0" applyBorder="0" applyAlignment="0" applyProtection="0"/>
    <xf numFmtId="9" fontId="1" fillId="0" borderId="0" applyFont="0" applyFill="0" applyBorder="0" applyAlignment="0" applyProtection="0"/>
    <xf numFmtId="166" fontId="4" fillId="0" borderId="0" applyFont="0" applyFill="0" applyBorder="0" applyAlignment="0" applyProtection="0"/>
    <xf numFmtId="0" fontId="97" fillId="0" borderId="0" applyNumberFormat="0" applyFill="0" applyBorder="0" applyAlignment="0" applyProtection="0"/>
    <xf numFmtId="179" fontId="88" fillId="0" borderId="0" applyFont="0" applyFill="0" applyBorder="0" applyAlignment="0" applyProtection="0"/>
    <xf numFmtId="42" fontId="1" fillId="0" borderId="0" applyFont="0" applyFill="0" applyBorder="0" applyAlignment="0" applyProtection="0"/>
    <xf numFmtId="179" fontId="88" fillId="0" borderId="0" applyFont="0" applyFill="0" applyBorder="0" applyAlignment="0" applyProtection="0"/>
    <xf numFmtId="0" fontId="4" fillId="0" borderId="0"/>
    <xf numFmtId="0" fontId="106" fillId="0" borderId="0" applyNumberFormat="0" applyFill="0" applyBorder="0" applyAlignment="0" applyProtection="0"/>
    <xf numFmtId="0" fontId="9" fillId="0" borderId="0"/>
    <xf numFmtId="165" fontId="1" fillId="0" borderId="0" applyFont="0" applyFill="0" applyBorder="0" applyAlignment="0" applyProtection="0"/>
    <xf numFmtId="0" fontId="4" fillId="0" borderId="0"/>
    <xf numFmtId="0" fontId="1" fillId="0" borderId="0"/>
    <xf numFmtId="9" fontId="4" fillId="0" borderId="0" applyFont="0" applyFill="0" applyBorder="0" applyAlignment="0" applyProtection="0"/>
  </cellStyleXfs>
  <cellXfs count="2039">
    <xf numFmtId="0" fontId="0" fillId="0" borderId="0" xfId="0"/>
    <xf numFmtId="167" fontId="5" fillId="0" borderId="1" xfId="0" applyNumberFormat="1" applyFont="1" applyBorder="1"/>
    <xf numFmtId="0" fontId="3" fillId="2" borderId="1" xfId="3" applyFont="1" applyFill="1" applyBorder="1" applyAlignment="1">
      <alignment horizontal="center" vertical="center"/>
    </xf>
    <xf numFmtId="0" fontId="3" fillId="2" borderId="1" xfId="3" applyFont="1" applyFill="1" applyBorder="1" applyAlignment="1">
      <alignment vertical="center"/>
    </xf>
    <xf numFmtId="0" fontId="3" fillId="4" borderId="1" xfId="3" quotePrefix="1" applyFont="1" applyFill="1" applyBorder="1" applyAlignment="1">
      <alignment horizontal="left" vertical="center" wrapText="1"/>
    </xf>
    <xf numFmtId="9" fontId="3" fillId="4" borderId="1" xfId="2" applyFont="1" applyFill="1" applyBorder="1" applyAlignment="1">
      <alignment horizontal="center" vertical="center"/>
    </xf>
    <xf numFmtId="10" fontId="2" fillId="0" borderId="1" xfId="2" applyNumberFormat="1" applyFont="1" applyFill="1" applyBorder="1" applyAlignment="1">
      <alignment horizontal="center" vertical="center"/>
    </xf>
    <xf numFmtId="0" fontId="3" fillId="3" borderId="1" xfId="3" applyFont="1" applyFill="1" applyBorder="1" applyAlignment="1">
      <alignment horizontal="left" vertical="center" wrapText="1"/>
    </xf>
    <xf numFmtId="167" fontId="3" fillId="3" borderId="1" xfId="3" applyNumberFormat="1" applyFont="1" applyFill="1" applyBorder="1" applyAlignment="1">
      <alignment horizontal="left" vertical="center" wrapText="1"/>
    </xf>
    <xf numFmtId="0" fontId="3" fillId="0" borderId="1" xfId="3" applyFont="1" applyBorder="1"/>
    <xf numFmtId="0" fontId="5" fillId="0" borderId="1" xfId="0" applyFont="1" applyBorder="1" applyAlignment="1">
      <alignment horizontal="center"/>
    </xf>
    <xf numFmtId="167" fontId="5" fillId="0" borderId="1" xfId="0" applyNumberFormat="1" applyFont="1" applyBorder="1" applyAlignment="1">
      <alignment horizontal="center"/>
    </xf>
    <xf numFmtId="0" fontId="6" fillId="4" borderId="1" xfId="0" applyFont="1" applyFill="1" applyBorder="1" applyAlignment="1">
      <alignment horizontal="center"/>
    </xf>
    <xf numFmtId="0" fontId="6" fillId="4" borderId="1" xfId="0" applyFont="1" applyFill="1" applyBorder="1"/>
    <xf numFmtId="2" fontId="2" fillId="0" borderId="1" xfId="4" applyNumberFormat="1" applyFont="1" applyBorder="1" applyAlignment="1">
      <alignment horizontal="left"/>
    </xf>
    <xf numFmtId="49" fontId="2" fillId="0" borderId="1" xfId="4" applyNumberFormat="1" applyFont="1" applyBorder="1" applyAlignment="1">
      <alignment horizontal="left"/>
    </xf>
    <xf numFmtId="0" fontId="2" fillId="0" borderId="1" xfId="4" applyFont="1" applyBorder="1" applyAlignment="1">
      <alignment horizontal="left"/>
    </xf>
    <xf numFmtId="0" fontId="2" fillId="0" borderId="1" xfId="4" applyFont="1" applyBorder="1" applyAlignment="1">
      <alignment horizontal="justify"/>
    </xf>
    <xf numFmtId="0" fontId="2" fillId="0" borderId="1" xfId="4" applyFont="1" applyBorder="1"/>
    <xf numFmtId="2" fontId="2" fillId="0" borderId="1" xfId="5" applyNumberFormat="1" applyFont="1" applyBorder="1" applyAlignment="1">
      <alignment horizontal="left"/>
    </xf>
    <xf numFmtId="49" fontId="2" fillId="0" borderId="1" xfId="4" applyNumberFormat="1" applyFont="1" applyBorder="1"/>
    <xf numFmtId="0" fontId="2" fillId="0" borderId="1" xfId="5" applyFont="1" applyBorder="1"/>
    <xf numFmtId="0" fontId="2" fillId="0" borderId="1" xfId="4" applyFont="1" applyBorder="1" applyAlignment="1">
      <alignment horizontal="center"/>
    </xf>
    <xf numFmtId="2" fontId="9" fillId="0" borderId="1" xfId="5" applyNumberFormat="1" applyFont="1" applyBorder="1" applyAlignment="1">
      <alignment horizontal="center" vertical="center"/>
    </xf>
    <xf numFmtId="2" fontId="10" fillId="0" borderId="1" xfId="5" applyNumberFormat="1" applyFont="1" applyBorder="1" applyAlignment="1">
      <alignment horizontal="center" vertical="center"/>
    </xf>
    <xf numFmtId="2" fontId="9" fillId="0" borderId="1" xfId="7" applyNumberFormat="1" applyFont="1" applyBorder="1" applyAlignment="1">
      <alignment horizontal="center" vertical="center"/>
    </xf>
    <xf numFmtId="2" fontId="15" fillId="0" borderId="1" xfId="5" applyNumberFormat="1" applyFont="1" applyBorder="1" applyAlignment="1">
      <alignment horizontal="center" vertical="center"/>
    </xf>
    <xf numFmtId="0" fontId="2" fillId="0" borderId="1" xfId="0" applyFont="1" applyBorder="1" applyAlignment="1">
      <alignment horizontal="center"/>
    </xf>
    <xf numFmtId="1" fontId="12" fillId="0" borderId="0" xfId="5" applyNumberFormat="1" applyFont="1" applyAlignment="1">
      <alignment horizontal="center" vertical="center"/>
    </xf>
    <xf numFmtId="2" fontId="0" fillId="0" borderId="0" xfId="0" applyNumberFormat="1"/>
    <xf numFmtId="0" fontId="0" fillId="0" borderId="0" xfId="0" applyAlignment="1">
      <alignment horizontal="center" vertical="center"/>
    </xf>
    <xf numFmtId="0" fontId="17" fillId="0" borderId="0" xfId="0" applyFont="1"/>
    <xf numFmtId="0" fontId="20" fillId="0" borderId="0" xfId="0" applyFont="1"/>
    <xf numFmtId="0" fontId="2" fillId="0" borderId="0" xfId="10" applyFont="1" applyAlignment="1">
      <alignment horizontal="center" vertical="center" wrapText="1"/>
    </xf>
    <xf numFmtId="3" fontId="16" fillId="0" borderId="0" xfId="17" applyNumberFormat="1" applyFont="1" applyAlignment="1">
      <alignment vertical="center"/>
    </xf>
    <xf numFmtId="0" fontId="21" fillId="0" borderId="0" xfId="17" applyFont="1" applyAlignment="1">
      <alignment vertical="center"/>
    </xf>
    <xf numFmtId="0" fontId="21" fillId="0" borderId="1" xfId="17" applyFont="1" applyBorder="1" applyAlignment="1">
      <alignment vertical="center"/>
    </xf>
    <xf numFmtId="165" fontId="21" fillId="0" borderId="1" xfId="1" applyFont="1" applyFill="1" applyBorder="1" applyAlignment="1">
      <alignment vertical="center"/>
    </xf>
    <xf numFmtId="0" fontId="2" fillId="2" borderId="17" xfId="17" applyFont="1" applyFill="1" applyBorder="1" applyAlignment="1">
      <alignment vertical="center"/>
    </xf>
    <xf numFmtId="49" fontId="3" fillId="0" borderId="17" xfId="17" applyNumberFormat="1" applyFont="1" applyBorder="1" applyAlignment="1">
      <alignment horizontal="center" vertical="center"/>
    </xf>
    <xf numFmtId="49" fontId="3" fillId="0" borderId="1" xfId="17" applyNumberFormat="1" applyFont="1" applyBorder="1" applyAlignment="1">
      <alignment horizontal="center" vertical="center"/>
    </xf>
    <xf numFmtId="0" fontId="3" fillId="0" borderId="1" xfId="17" applyFont="1" applyBorder="1" applyAlignment="1">
      <alignment horizontal="center" vertical="center"/>
    </xf>
    <xf numFmtId="3" fontId="3" fillId="0" borderId="1" xfId="17" applyNumberFormat="1" applyFont="1" applyBorder="1" applyAlignment="1">
      <alignment horizontal="center" vertical="center"/>
    </xf>
    <xf numFmtId="4" fontId="3" fillId="0" borderId="18" xfId="17" applyNumberFormat="1" applyFont="1" applyBorder="1" applyAlignment="1">
      <alignment horizontal="center" vertical="center"/>
    </xf>
    <xf numFmtId="49" fontId="3" fillId="2" borderId="17" xfId="17" applyNumberFormat="1" applyFont="1" applyFill="1" applyBorder="1" applyAlignment="1">
      <alignment horizontal="center" vertical="center"/>
    </xf>
    <xf numFmtId="10" fontId="2" fillId="0" borderId="1" xfId="17" applyNumberFormat="1" applyFont="1" applyBorder="1" applyAlignment="1">
      <alignment horizontal="center" vertical="center"/>
    </xf>
    <xf numFmtId="49" fontId="2" fillId="0" borderId="17" xfId="17" applyNumberFormat="1" applyFont="1" applyBorder="1" applyAlignment="1">
      <alignment horizontal="center" vertical="center"/>
    </xf>
    <xf numFmtId="49" fontId="2" fillId="0" borderId="1" xfId="17" applyNumberFormat="1" applyFont="1" applyBorder="1" applyAlignment="1">
      <alignment vertical="center"/>
    </xf>
    <xf numFmtId="178" fontId="2" fillId="0" borderId="1" xfId="18" applyNumberFormat="1" applyFont="1" applyFill="1" applyBorder="1" applyAlignment="1">
      <alignment horizontal="center" vertical="center"/>
    </xf>
    <xf numFmtId="49" fontId="2" fillId="0" borderId="1" xfId="17" applyNumberFormat="1" applyFont="1" applyBorder="1" applyAlignment="1">
      <alignment vertical="center" wrapText="1"/>
    </xf>
    <xf numFmtId="10" fontId="21" fillId="0" borderId="1" xfId="1" applyNumberFormat="1" applyFont="1" applyFill="1" applyBorder="1" applyAlignment="1">
      <alignment vertical="center"/>
    </xf>
    <xf numFmtId="0" fontId="21" fillId="0" borderId="1" xfId="17" applyFont="1" applyBorder="1" applyAlignment="1">
      <alignment horizontal="center" vertical="center"/>
    </xf>
    <xf numFmtId="49" fontId="2" fillId="0" borderId="1" xfId="17" applyNumberFormat="1" applyFont="1" applyBorder="1" applyAlignment="1">
      <alignment horizontal="center" vertical="center"/>
    </xf>
    <xf numFmtId="2" fontId="2" fillId="0" borderId="1" xfId="17" applyNumberFormat="1" applyFont="1" applyBorder="1" applyAlignment="1">
      <alignment horizontal="center" vertical="center"/>
    </xf>
    <xf numFmtId="4" fontId="2" fillId="0" borderId="1" xfId="17" applyNumberFormat="1" applyFont="1" applyBorder="1" applyAlignment="1">
      <alignment horizontal="center" vertical="center"/>
    </xf>
    <xf numFmtId="49" fontId="3" fillId="12" borderId="17" xfId="17" applyNumberFormat="1" applyFont="1" applyFill="1" applyBorder="1" applyAlignment="1">
      <alignment horizontal="center" vertical="center"/>
    </xf>
    <xf numFmtId="49" fontId="2" fillId="0" borderId="0" xfId="17" applyNumberFormat="1" applyFont="1" applyAlignment="1">
      <alignment vertical="center"/>
    </xf>
    <xf numFmtId="49" fontId="3" fillId="0" borderId="0" xfId="17" applyNumberFormat="1" applyFont="1" applyAlignment="1">
      <alignment horizontal="center" vertical="center"/>
    </xf>
    <xf numFmtId="3" fontId="2" fillId="0" borderId="0" xfId="17" applyNumberFormat="1" applyFont="1" applyAlignment="1">
      <alignment horizontal="center" vertical="center"/>
    </xf>
    <xf numFmtId="0" fontId="2" fillId="0" borderId="0" xfId="17" applyFont="1" applyAlignment="1">
      <alignment horizontal="center" vertical="center"/>
    </xf>
    <xf numFmtId="3" fontId="21" fillId="0" borderId="0" xfId="17" applyNumberFormat="1" applyFont="1" applyAlignment="1">
      <alignment vertical="center"/>
    </xf>
    <xf numFmtId="0" fontId="3" fillId="0" borderId="1" xfId="17" applyFont="1" applyBorder="1" applyAlignment="1">
      <alignment horizontal="center" vertical="center" wrapText="1"/>
    </xf>
    <xf numFmtId="170" fontId="2" fillId="3" borderId="1" xfId="0" applyNumberFormat="1" applyFont="1" applyFill="1" applyBorder="1" applyAlignment="1">
      <alignment horizontal="center" vertical="center"/>
    </xf>
    <xf numFmtId="0" fontId="9" fillId="0" borderId="1" xfId="5" applyFont="1" applyBorder="1" applyAlignment="1">
      <alignment horizontal="center" vertical="center" wrapText="1"/>
    </xf>
    <xf numFmtId="0" fontId="11" fillId="0" borderId="1" xfId="5" applyFont="1" applyBorder="1" applyAlignment="1">
      <alignment horizontal="center" vertical="center" shrinkToFit="1"/>
    </xf>
    <xf numFmtId="180" fontId="21" fillId="0" borderId="0" xfId="17" applyNumberFormat="1" applyFont="1" applyAlignment="1">
      <alignment vertical="center"/>
    </xf>
    <xf numFmtId="168" fontId="5" fillId="3" borderId="1" xfId="1" applyNumberFormat="1" applyFont="1" applyFill="1" applyBorder="1"/>
    <xf numFmtId="169" fontId="2" fillId="3" borderId="1" xfId="4" applyNumberFormat="1" applyFont="1" applyFill="1" applyBorder="1" applyAlignment="1">
      <alignment horizontal="right"/>
    </xf>
    <xf numFmtId="169" fontId="2" fillId="3" borderId="1" xfId="6" applyNumberFormat="1" applyFont="1" applyFill="1" applyBorder="1" applyAlignment="1">
      <alignment horizontal="right"/>
    </xf>
    <xf numFmtId="169" fontId="2" fillId="3" borderId="1" xfId="0" applyNumberFormat="1" applyFont="1" applyFill="1" applyBorder="1" applyAlignment="1">
      <alignment horizontal="right"/>
    </xf>
    <xf numFmtId="176" fontId="16" fillId="3" borderId="1" xfId="1" applyNumberFormat="1" applyFont="1" applyFill="1" applyBorder="1" applyAlignment="1">
      <alignment horizontal="center" vertical="center"/>
    </xf>
    <xf numFmtId="0" fontId="26" fillId="0" borderId="0" xfId="0" applyFont="1" applyAlignment="1">
      <alignment horizontal="center"/>
    </xf>
    <xf numFmtId="0" fontId="0" fillId="0" borderId="0" xfId="0" applyAlignment="1">
      <alignment wrapText="1"/>
    </xf>
    <xf numFmtId="169" fontId="0" fillId="0" borderId="0" xfId="0" applyNumberFormat="1"/>
    <xf numFmtId="167" fontId="0" fillId="0" borderId="0" xfId="0" applyNumberFormat="1"/>
    <xf numFmtId="0" fontId="2" fillId="18" borderId="1" xfId="4" applyFont="1" applyFill="1" applyBorder="1" applyAlignment="1">
      <alignment horizontal="justify"/>
    </xf>
    <xf numFmtId="0" fontId="0" fillId="0" borderId="0" xfId="0" applyAlignment="1">
      <alignment horizontal="center"/>
    </xf>
    <xf numFmtId="0" fontId="9" fillId="7" borderId="1" xfId="5" applyFont="1" applyFill="1" applyBorder="1" applyAlignment="1">
      <alignment horizontal="center" vertical="center" wrapText="1"/>
    </xf>
    <xf numFmtId="0" fontId="12" fillId="16" borderId="1" xfId="5" applyFont="1" applyFill="1" applyBorder="1" applyAlignment="1">
      <alignment horizontal="center" vertical="center" wrapText="1"/>
    </xf>
    <xf numFmtId="0" fontId="24" fillId="0" borderId="0" xfId="0" applyFont="1" applyAlignment="1">
      <alignment wrapText="1"/>
    </xf>
    <xf numFmtId="170" fontId="2" fillId="3" borderId="1" xfId="0" applyNumberFormat="1" applyFont="1" applyFill="1" applyBorder="1" applyAlignment="1">
      <alignment horizontal="center"/>
    </xf>
    <xf numFmtId="1" fontId="12" fillId="5" borderId="1" xfId="5" applyNumberFormat="1" applyFont="1" applyFill="1" applyBorder="1" applyAlignment="1">
      <alignment horizontal="center" vertical="center"/>
    </xf>
    <xf numFmtId="49" fontId="3" fillId="12" borderId="1" xfId="17" applyNumberFormat="1" applyFont="1" applyFill="1" applyBorder="1" applyAlignment="1">
      <alignment horizontal="center" vertical="center"/>
    </xf>
    <xf numFmtId="0" fontId="17" fillId="0" borderId="1" xfId="0" applyFont="1" applyBorder="1" applyAlignment="1">
      <alignment horizontal="center" vertical="center"/>
    </xf>
    <xf numFmtId="0" fontId="36" fillId="13" borderId="1" xfId="0" applyFont="1" applyFill="1" applyBorder="1" applyAlignment="1">
      <alignment horizontal="center" wrapText="1"/>
    </xf>
    <xf numFmtId="2" fontId="37" fillId="0" borderId="1" xfId="5" applyNumberFormat="1" applyFont="1" applyBorder="1" applyAlignment="1">
      <alignment horizontal="center" vertical="center" wrapText="1"/>
    </xf>
    <xf numFmtId="0" fontId="37" fillId="0" borderId="1" xfId="5" applyFont="1" applyBorder="1" applyAlignment="1">
      <alignment horizontal="center" vertical="center" wrapText="1"/>
    </xf>
    <xf numFmtId="167" fontId="37" fillId="0" borderId="1" xfId="5" applyNumberFormat="1" applyFont="1" applyBorder="1" applyAlignment="1">
      <alignment horizontal="center" vertical="center" wrapText="1"/>
    </xf>
    <xf numFmtId="49" fontId="37" fillId="12" borderId="1" xfId="0" applyNumberFormat="1" applyFont="1" applyFill="1" applyBorder="1" applyAlignment="1">
      <alignment vertical="center" wrapText="1"/>
    </xf>
    <xf numFmtId="171" fontId="37" fillId="12" borderId="1" xfId="0" applyNumberFormat="1" applyFont="1" applyFill="1" applyBorder="1" applyAlignment="1">
      <alignment horizontal="center" vertical="center" wrapText="1"/>
    </xf>
    <xf numFmtId="0" fontId="37" fillId="12" borderId="1" xfId="0" applyFont="1" applyFill="1" applyBorder="1" applyAlignment="1">
      <alignment horizontal="center" vertical="center" wrapText="1"/>
    </xf>
    <xf numFmtId="168" fontId="37" fillId="12" borderId="1" xfId="1" applyNumberFormat="1" applyFont="1" applyFill="1" applyBorder="1" applyAlignment="1">
      <alignment horizontal="center" vertical="center" wrapText="1"/>
    </xf>
    <xf numFmtId="167" fontId="37" fillId="12" borderId="1" xfId="0" applyNumberFormat="1" applyFont="1" applyFill="1" applyBorder="1" applyAlignment="1">
      <alignment horizontal="center" vertical="center" wrapText="1"/>
    </xf>
    <xf numFmtId="0" fontId="36" fillId="4" borderId="1" xfId="0" applyFont="1" applyFill="1" applyBorder="1" applyAlignment="1">
      <alignment horizontal="center" vertical="center" wrapText="1"/>
    </xf>
    <xf numFmtId="0" fontId="37" fillId="0" borderId="0" xfId="0" applyFont="1" applyAlignment="1">
      <alignment horizontal="center" vertical="center" wrapText="1"/>
    </xf>
    <xf numFmtId="165" fontId="37" fillId="0" borderId="0" xfId="1" applyFont="1" applyFill="1" applyBorder="1" applyAlignment="1">
      <alignment horizontal="center" vertical="center" wrapText="1"/>
    </xf>
    <xf numFmtId="167" fontId="37" fillId="0" borderId="1" xfId="5" applyNumberFormat="1" applyFont="1" applyBorder="1" applyAlignment="1">
      <alignment horizontal="left" vertical="center" wrapText="1"/>
    </xf>
    <xf numFmtId="172" fontId="36" fillId="4" borderId="1" xfId="0" applyNumberFormat="1" applyFont="1" applyFill="1" applyBorder="1" applyAlignment="1">
      <alignment horizontal="center" vertical="center" wrapText="1"/>
    </xf>
    <xf numFmtId="2" fontId="36" fillId="4" borderId="1" xfId="0" applyNumberFormat="1" applyFont="1" applyFill="1" applyBorder="1" applyAlignment="1">
      <alignment horizontal="center" vertical="center" wrapText="1"/>
    </xf>
    <xf numFmtId="49" fontId="37" fillId="0" borderId="0" xfId="0" applyNumberFormat="1" applyFont="1" applyAlignment="1">
      <alignment horizontal="center" vertical="center" wrapText="1"/>
    </xf>
    <xf numFmtId="167" fontId="37" fillId="0" borderId="0" xfId="0" applyNumberFormat="1" applyFont="1" applyAlignment="1">
      <alignment horizontal="center" vertical="center" wrapText="1"/>
    </xf>
    <xf numFmtId="167" fontId="37" fillId="0" borderId="0" xfId="5" applyNumberFormat="1" applyFont="1" applyAlignment="1">
      <alignment horizontal="left" vertical="center" wrapText="1"/>
    </xf>
    <xf numFmtId="0" fontId="36" fillId="13" borderId="1" xfId="0" applyFont="1" applyFill="1" applyBorder="1" applyAlignment="1">
      <alignment horizontal="center" vertical="center" wrapText="1"/>
    </xf>
    <xf numFmtId="0" fontId="36" fillId="14" borderId="1" xfId="0" applyFont="1" applyFill="1" applyBorder="1" applyAlignment="1">
      <alignment horizontal="center" vertical="center" wrapText="1"/>
    </xf>
    <xf numFmtId="0" fontId="37" fillId="0" borderId="1" xfId="0" applyFont="1" applyBorder="1" applyAlignment="1">
      <alignment horizontal="center" wrapText="1"/>
    </xf>
    <xf numFmtId="173" fontId="37" fillId="0" borderId="1" xfId="0" applyNumberFormat="1" applyFont="1" applyBorder="1" applyAlignment="1">
      <alignment horizontal="center" wrapText="1"/>
    </xf>
    <xf numFmtId="0" fontId="37" fillId="0" borderId="0" xfId="0" applyFont="1" applyAlignment="1">
      <alignment horizontal="center" wrapText="1"/>
    </xf>
    <xf numFmtId="0" fontId="36" fillId="14" borderId="1" xfId="0" applyFont="1" applyFill="1" applyBorder="1" applyAlignment="1">
      <alignment horizontal="center" wrapText="1"/>
    </xf>
    <xf numFmtId="2" fontId="37" fillId="0" borderId="2" xfId="10" applyNumberFormat="1" applyFont="1" applyBorder="1" applyAlignment="1">
      <alignment horizontal="center" wrapText="1"/>
    </xf>
    <xf numFmtId="0" fontId="37" fillId="0" borderId="2" xfId="10" applyFont="1" applyBorder="1" applyAlignment="1">
      <alignment horizontal="center" wrapText="1"/>
    </xf>
    <xf numFmtId="167" fontId="37" fillId="0" borderId="2" xfId="10" applyNumberFormat="1" applyFont="1" applyBorder="1" applyAlignment="1">
      <alignment horizontal="center" wrapText="1"/>
    </xf>
    <xf numFmtId="167" fontId="37" fillId="0" borderId="1" xfId="10" applyNumberFormat="1" applyFont="1" applyBorder="1" applyAlignment="1">
      <alignment horizontal="center" wrapText="1"/>
    </xf>
    <xf numFmtId="167" fontId="37" fillId="0" borderId="0" xfId="10" applyNumberFormat="1" applyFont="1" applyAlignment="1">
      <alignment horizontal="center" wrapText="1"/>
    </xf>
    <xf numFmtId="2" fontId="37" fillId="0" borderId="1" xfId="0" applyNumberFormat="1" applyFont="1" applyBorder="1" applyAlignment="1">
      <alignment horizontal="center" wrapText="1"/>
    </xf>
    <xf numFmtId="167" fontId="37" fillId="0" borderId="1" xfId="0" applyNumberFormat="1" applyFont="1" applyBorder="1" applyAlignment="1">
      <alignment horizontal="center" wrapText="1"/>
    </xf>
    <xf numFmtId="167" fontId="37" fillId="0" borderId="0" xfId="0" applyNumberFormat="1" applyFont="1" applyAlignment="1">
      <alignment horizontal="center" wrapText="1"/>
    </xf>
    <xf numFmtId="0" fontId="36" fillId="7" borderId="1" xfId="0" applyFont="1" applyFill="1" applyBorder="1" applyAlignment="1">
      <alignment horizontal="center" vertical="center" wrapText="1"/>
    </xf>
    <xf numFmtId="0" fontId="37" fillId="0" borderId="1" xfId="0" applyFont="1" applyBorder="1" applyAlignment="1">
      <alignment horizontal="center" vertical="center" wrapText="1"/>
    </xf>
    <xf numFmtId="169" fontId="37" fillId="0" borderId="1" xfId="0" applyNumberFormat="1" applyFont="1" applyBorder="1" applyAlignment="1">
      <alignment horizontal="center" vertical="center" wrapText="1"/>
    </xf>
    <xf numFmtId="167" fontId="37" fillId="0" borderId="0" xfId="0" applyNumberFormat="1" applyFont="1" applyAlignment="1">
      <alignment horizontal="left" wrapText="1"/>
    </xf>
    <xf numFmtId="169" fontId="37" fillId="0" borderId="0" xfId="0" applyNumberFormat="1" applyFont="1" applyAlignment="1">
      <alignment horizontal="center" vertical="center" wrapText="1"/>
    </xf>
    <xf numFmtId="2" fontId="37" fillId="0" borderId="1" xfId="0" applyNumberFormat="1" applyFont="1" applyBorder="1" applyAlignment="1">
      <alignment horizontal="center" vertical="center" wrapText="1"/>
    </xf>
    <xf numFmtId="167" fontId="37" fillId="0" borderId="1" xfId="0" applyNumberFormat="1" applyFont="1" applyBorder="1" applyAlignment="1">
      <alignment horizontal="center" vertical="center" wrapText="1"/>
    </xf>
    <xf numFmtId="167" fontId="37" fillId="0" borderId="1" xfId="0" applyNumberFormat="1" applyFont="1" applyBorder="1" applyAlignment="1">
      <alignment vertical="center" wrapText="1"/>
    </xf>
    <xf numFmtId="167" fontId="37" fillId="0" borderId="0" xfId="0" applyNumberFormat="1" applyFont="1" applyAlignment="1">
      <alignment vertical="center" wrapText="1"/>
    </xf>
    <xf numFmtId="174" fontId="37" fillId="0" borderId="1" xfId="0" applyNumberFormat="1" applyFont="1" applyBorder="1" applyAlignment="1">
      <alignment horizontal="center" vertical="center" wrapText="1"/>
    </xf>
    <xf numFmtId="0" fontId="36" fillId="5" borderId="1" xfId="0" applyFont="1" applyFill="1" applyBorder="1" applyAlignment="1">
      <alignment horizontal="center" vertical="center" wrapText="1"/>
    </xf>
    <xf numFmtId="171" fontId="37" fillId="0" borderId="1" xfId="0" applyNumberFormat="1" applyFont="1" applyBorder="1" applyAlignment="1">
      <alignment horizontal="center" wrapText="1"/>
    </xf>
    <xf numFmtId="172" fontId="36" fillId="0" borderId="0" xfId="0" applyNumberFormat="1" applyFont="1" applyAlignment="1">
      <alignment horizontal="center" vertical="center" wrapText="1"/>
    </xf>
    <xf numFmtId="2" fontId="36" fillId="0" borderId="0" xfId="0" applyNumberFormat="1" applyFont="1" applyAlignment="1">
      <alignment horizontal="center" vertical="center" wrapText="1"/>
    </xf>
    <xf numFmtId="2" fontId="37" fillId="0" borderId="1" xfId="10" applyNumberFormat="1" applyFont="1" applyBorder="1" applyAlignment="1">
      <alignment horizontal="center"/>
    </xf>
    <xf numFmtId="0" fontId="37" fillId="0" borderId="1" xfId="10" applyFont="1" applyBorder="1" applyAlignment="1">
      <alignment horizontal="center"/>
    </xf>
    <xf numFmtId="167" fontId="37" fillId="0" borderId="1" xfId="10" applyNumberFormat="1" applyFont="1" applyBorder="1" applyAlignment="1">
      <alignment horizontal="center"/>
    </xf>
    <xf numFmtId="49" fontId="37" fillId="12" borderId="1" xfId="0" applyNumberFormat="1" applyFont="1" applyFill="1" applyBorder="1" applyAlignment="1">
      <alignment vertical="center"/>
    </xf>
    <xf numFmtId="171" fontId="37" fillId="12" borderId="1" xfId="0" applyNumberFormat="1" applyFont="1" applyFill="1" applyBorder="1" applyAlignment="1">
      <alignment horizontal="center" vertical="center"/>
    </xf>
    <xf numFmtId="0" fontId="37" fillId="12" borderId="1" xfId="0" applyFont="1" applyFill="1" applyBorder="1" applyAlignment="1">
      <alignment horizontal="center" vertical="center"/>
    </xf>
    <xf numFmtId="168" fontId="37" fillId="12" borderId="1" xfId="1" applyNumberFormat="1" applyFont="1" applyFill="1" applyBorder="1" applyAlignment="1">
      <alignment horizontal="center" vertical="center"/>
    </xf>
    <xf numFmtId="167" fontId="37" fillId="12" borderId="1" xfId="0" applyNumberFormat="1" applyFont="1" applyFill="1" applyBorder="1" applyAlignment="1">
      <alignment horizontal="center" vertical="center"/>
    </xf>
    <xf numFmtId="0" fontId="36" fillId="4" borderId="1" xfId="0" applyFont="1" applyFill="1" applyBorder="1" applyAlignment="1">
      <alignment horizontal="center" vertical="center"/>
    </xf>
    <xf numFmtId="0" fontId="37" fillId="0" borderId="0" xfId="0" applyFont="1" applyAlignment="1">
      <alignment horizontal="center" vertical="center"/>
    </xf>
    <xf numFmtId="165" fontId="37" fillId="0" borderId="0" xfId="1" applyFont="1" applyFill="1" applyBorder="1" applyAlignment="1">
      <alignment horizontal="center" vertical="center"/>
    </xf>
    <xf numFmtId="172" fontId="36" fillId="4" borderId="1" xfId="0" applyNumberFormat="1" applyFont="1" applyFill="1" applyBorder="1" applyAlignment="1">
      <alignment horizontal="center" vertical="center"/>
    </xf>
    <xf numFmtId="2" fontId="36" fillId="4" borderId="1" xfId="0" applyNumberFormat="1" applyFont="1" applyFill="1" applyBorder="1" applyAlignment="1">
      <alignment horizontal="center" vertical="center"/>
    </xf>
    <xf numFmtId="49" fontId="37" fillId="0" borderId="0" xfId="0" applyNumberFormat="1" applyFont="1" applyAlignment="1">
      <alignment horizontal="center" vertical="center"/>
    </xf>
    <xf numFmtId="167" fontId="37" fillId="0" borderId="0" xfId="0" applyNumberFormat="1" applyFont="1" applyAlignment="1">
      <alignment horizontal="center" vertical="center"/>
    </xf>
    <xf numFmtId="167" fontId="37" fillId="0" borderId="0" xfId="10" applyNumberFormat="1" applyFont="1" applyAlignment="1">
      <alignment horizontal="center"/>
    </xf>
    <xf numFmtId="49" fontId="37" fillId="0" borderId="0" xfId="0" applyNumberFormat="1" applyFont="1" applyAlignment="1">
      <alignment horizontal="left" vertical="center" wrapText="1"/>
    </xf>
    <xf numFmtId="2" fontId="37" fillId="0" borderId="1" xfId="0" applyNumberFormat="1" applyFont="1" applyBorder="1" applyAlignment="1">
      <alignment horizontal="center" vertical="center"/>
    </xf>
    <xf numFmtId="0" fontId="37" fillId="0" borderId="1" xfId="0" applyFont="1" applyBorder="1" applyAlignment="1">
      <alignment horizontal="center" vertical="center"/>
    </xf>
    <xf numFmtId="167" fontId="37" fillId="0" borderId="1" xfId="0" applyNumberFormat="1" applyFont="1" applyBorder="1" applyAlignment="1">
      <alignment horizontal="center" vertical="center"/>
    </xf>
    <xf numFmtId="0" fontId="37" fillId="15" borderId="1" xfId="0" applyFont="1" applyFill="1" applyBorder="1" applyAlignment="1">
      <alignment wrapText="1"/>
    </xf>
    <xf numFmtId="0" fontId="37" fillId="15" borderId="2" xfId="0" applyFont="1" applyFill="1" applyBorder="1" applyAlignment="1">
      <alignment wrapText="1"/>
    </xf>
    <xf numFmtId="167" fontId="38" fillId="0" borderId="0" xfId="0" applyNumberFormat="1" applyFont="1" applyAlignment="1">
      <alignment horizontal="center" vertical="center" wrapText="1"/>
    </xf>
    <xf numFmtId="0" fontId="36" fillId="29" borderId="1" xfId="0" applyFont="1" applyFill="1" applyBorder="1" applyAlignment="1">
      <alignment horizontal="center" vertical="center" wrapText="1"/>
    </xf>
    <xf numFmtId="174" fontId="37" fillId="0" borderId="1" xfId="11" applyNumberFormat="1" applyFont="1" applyBorder="1" applyAlignment="1">
      <alignment horizontal="center" wrapText="1"/>
    </xf>
    <xf numFmtId="0" fontId="37" fillId="0" borderId="1" xfId="11" applyFont="1" applyBorder="1" applyAlignment="1">
      <alignment horizontal="center" wrapText="1"/>
    </xf>
    <xf numFmtId="167" fontId="37" fillId="0" borderId="1" xfId="11" applyNumberFormat="1" applyFont="1" applyBorder="1" applyAlignment="1">
      <alignment horizontal="center" wrapText="1"/>
    </xf>
    <xf numFmtId="167" fontId="37" fillId="0" borderId="0" xfId="11" applyNumberFormat="1" applyFont="1" applyAlignment="1">
      <alignment horizontal="center" wrapText="1"/>
    </xf>
    <xf numFmtId="174" fontId="37" fillId="0" borderId="1" xfId="0" applyNumberFormat="1" applyFont="1" applyBorder="1" applyAlignment="1">
      <alignment horizontal="center" wrapText="1"/>
    </xf>
    <xf numFmtId="169" fontId="37" fillId="0" borderId="1" xfId="0" applyNumberFormat="1" applyFont="1" applyBorder="1" applyAlignment="1">
      <alignment horizontal="center" wrapText="1"/>
    </xf>
    <xf numFmtId="0" fontId="36" fillId="21" borderId="1" xfId="0" applyFont="1" applyFill="1" applyBorder="1" applyAlignment="1">
      <alignment horizontal="center" vertical="center" wrapText="1"/>
    </xf>
    <xf numFmtId="169" fontId="37" fillId="0" borderId="1" xfId="11" applyNumberFormat="1" applyFont="1" applyBorder="1" applyAlignment="1">
      <alignment horizontal="center" wrapText="1"/>
    </xf>
    <xf numFmtId="0" fontId="37" fillId="0" borderId="0" xfId="11" applyFont="1" applyAlignment="1">
      <alignment horizontal="center" wrapText="1"/>
    </xf>
    <xf numFmtId="170" fontId="37" fillId="0" borderId="1" xfId="0" applyNumberFormat="1" applyFont="1" applyBorder="1" applyAlignment="1">
      <alignment horizontal="center" wrapText="1"/>
    </xf>
    <xf numFmtId="171" fontId="37" fillId="0" borderId="1" xfId="5" applyNumberFormat="1" applyFont="1" applyBorder="1" applyAlignment="1">
      <alignment horizontal="center" vertical="center" wrapText="1"/>
    </xf>
    <xf numFmtId="167" fontId="37" fillId="0" borderId="0" xfId="5" applyNumberFormat="1" applyFont="1" applyAlignment="1">
      <alignment horizontal="center" vertical="center" wrapText="1"/>
    </xf>
    <xf numFmtId="3" fontId="36" fillId="21" borderId="1" xfId="0" applyNumberFormat="1" applyFont="1" applyFill="1" applyBorder="1" applyAlignment="1">
      <alignment horizontal="center" vertical="center" wrapText="1"/>
    </xf>
    <xf numFmtId="0" fontId="36" fillId="8" borderId="1" xfId="0" applyFont="1" applyFill="1" applyBorder="1" applyAlignment="1">
      <alignment horizontal="center" vertical="center" wrapText="1"/>
    </xf>
    <xf numFmtId="3" fontId="36" fillId="8" borderId="1" xfId="0" applyNumberFormat="1" applyFont="1" applyFill="1" applyBorder="1" applyAlignment="1">
      <alignment horizontal="center" vertical="center" wrapText="1"/>
    </xf>
    <xf numFmtId="0" fontId="37" fillId="0" borderId="0" xfId="0" applyFont="1" applyAlignment="1">
      <alignment vertical="center"/>
    </xf>
    <xf numFmtId="0" fontId="37" fillId="15" borderId="1" xfId="0" applyFont="1" applyFill="1" applyBorder="1"/>
    <xf numFmtId="172" fontId="37" fillId="12" borderId="1" xfId="0" applyNumberFormat="1" applyFont="1" applyFill="1" applyBorder="1" applyAlignment="1">
      <alignment vertical="center"/>
    </xf>
    <xf numFmtId="2" fontId="37" fillId="12" borderId="1" xfId="0" applyNumberFormat="1" applyFont="1" applyFill="1" applyBorder="1" applyAlignment="1">
      <alignment horizontal="center" vertical="center"/>
    </xf>
    <xf numFmtId="170" fontId="37" fillId="0" borderId="1" xfId="0" applyNumberFormat="1" applyFont="1" applyBorder="1" applyAlignment="1">
      <alignment horizontal="center" vertical="center" wrapText="1"/>
    </xf>
    <xf numFmtId="0" fontId="21" fillId="3" borderId="1" xfId="17" applyFont="1" applyFill="1" applyBorder="1" applyAlignment="1">
      <alignment horizontal="center" vertical="center"/>
    </xf>
    <xf numFmtId="175" fontId="2" fillId="0" borderId="1" xfId="1" applyNumberFormat="1" applyFont="1" applyBorder="1" applyAlignment="1">
      <alignment horizontal="center" vertical="center"/>
    </xf>
    <xf numFmtId="175" fontId="2" fillId="0" borderId="1" xfId="1" applyNumberFormat="1" applyFont="1" applyFill="1" applyBorder="1" applyAlignment="1">
      <alignment horizontal="center" vertical="center"/>
    </xf>
    <xf numFmtId="0" fontId="16" fillId="4" borderId="1" xfId="17" applyFont="1" applyFill="1" applyBorder="1" applyAlignment="1">
      <alignment horizontal="center" vertical="center"/>
    </xf>
    <xf numFmtId="0" fontId="21" fillId="0" borderId="1" xfId="17" applyFont="1" applyBorder="1" applyAlignment="1">
      <alignment horizontal="left" vertical="center"/>
    </xf>
    <xf numFmtId="9" fontId="21" fillId="0" borderId="1" xfId="2" applyFont="1" applyBorder="1" applyAlignment="1">
      <alignment horizontal="center" vertical="center"/>
    </xf>
    <xf numFmtId="179" fontId="21" fillId="0" borderId="1" xfId="17" applyNumberFormat="1" applyFont="1" applyBorder="1" applyAlignment="1">
      <alignment horizontal="center" vertical="center"/>
    </xf>
    <xf numFmtId="165" fontId="21" fillId="0" borderId="1" xfId="1" applyFont="1" applyFill="1" applyBorder="1" applyAlignment="1">
      <alignment horizontal="center" vertical="center"/>
    </xf>
    <xf numFmtId="165" fontId="16" fillId="4" borderId="1" xfId="1" applyFont="1" applyFill="1" applyBorder="1" applyAlignment="1">
      <alignment horizontal="center" vertical="center"/>
    </xf>
    <xf numFmtId="10" fontId="21" fillId="0" borderId="1" xfId="2" applyNumberFormat="1" applyFont="1" applyBorder="1" applyAlignment="1">
      <alignment horizontal="center" vertical="center"/>
    </xf>
    <xf numFmtId="165" fontId="17" fillId="0" borderId="1" xfId="1" applyFont="1" applyBorder="1" applyAlignment="1">
      <alignment horizontal="center" vertical="center"/>
    </xf>
    <xf numFmtId="49" fontId="3" fillId="12" borderId="1" xfId="17" applyNumberFormat="1" applyFont="1" applyFill="1" applyBorder="1" applyAlignment="1">
      <alignment vertical="center"/>
    </xf>
    <xf numFmtId="3" fontId="2" fillId="12" borderId="1" xfId="17" applyNumberFormat="1" applyFont="1" applyFill="1" applyBorder="1" applyAlignment="1">
      <alignment horizontal="center" vertical="center"/>
    </xf>
    <xf numFmtId="10" fontId="2" fillId="12" borderId="1" xfId="17" applyNumberFormat="1" applyFont="1" applyFill="1" applyBorder="1" applyAlignment="1">
      <alignment horizontal="center" vertical="center"/>
    </xf>
    <xf numFmtId="4" fontId="2" fillId="0" borderId="18" xfId="17" applyNumberFormat="1" applyFont="1" applyBorder="1" applyAlignment="1">
      <alignment horizontal="center" vertical="center"/>
    </xf>
    <xf numFmtId="0" fontId="4" fillId="0" borderId="0" xfId="5"/>
    <xf numFmtId="0" fontId="40" fillId="4" borderId="17" xfId="20" applyFont="1" applyFill="1" applyBorder="1" applyAlignment="1">
      <alignment horizontal="center" vertical="center"/>
    </xf>
    <xf numFmtId="0" fontId="40" fillId="4" borderId="1" xfId="20" applyFont="1" applyFill="1" applyBorder="1" applyAlignment="1">
      <alignment horizontal="center" vertical="center"/>
    </xf>
    <xf numFmtId="0" fontId="40" fillId="4" borderId="18" xfId="20" applyFont="1" applyFill="1" applyBorder="1" applyAlignment="1">
      <alignment horizontal="center" vertical="center"/>
    </xf>
    <xf numFmtId="0" fontId="41" fillId="0" borderId="17" xfId="5" applyFont="1" applyBorder="1" applyAlignment="1">
      <alignment horizontal="center" vertical="center"/>
    </xf>
    <xf numFmtId="0" fontId="41" fillId="0" borderId="1" xfId="5" applyFont="1" applyBorder="1" applyAlignment="1">
      <alignment horizontal="left" vertical="center"/>
    </xf>
    <xf numFmtId="0" fontId="41" fillId="0" borderId="1" xfId="5" applyFont="1" applyBorder="1" applyAlignment="1">
      <alignment horizontal="center" vertical="center"/>
    </xf>
    <xf numFmtId="2" fontId="41" fillId="0" borderId="1" xfId="5" applyNumberFormat="1" applyFont="1" applyBorder="1" applyAlignment="1">
      <alignment horizontal="center" vertical="center"/>
    </xf>
    <xf numFmtId="44" fontId="41" fillId="0" borderId="1" xfId="22" applyFont="1" applyFill="1" applyBorder="1" applyAlignment="1">
      <alignment horizontal="center" vertical="center"/>
    </xf>
    <xf numFmtId="44" fontId="41" fillId="0" borderId="18" xfId="22" applyFont="1" applyFill="1" applyBorder="1" applyAlignment="1">
      <alignment horizontal="center" vertical="center"/>
    </xf>
    <xf numFmtId="44" fontId="40" fillId="4" borderId="13" xfId="22" applyFont="1" applyFill="1" applyBorder="1" applyAlignment="1">
      <alignment horizontal="center" vertical="center"/>
    </xf>
    <xf numFmtId="0" fontId="46" fillId="0" borderId="1" xfId="24" applyFont="1" applyBorder="1" applyAlignment="1">
      <alignment horizontal="left" vertical="center" wrapText="1"/>
    </xf>
    <xf numFmtId="0" fontId="46" fillId="0" borderId="1" xfId="24" applyFont="1" applyBorder="1" applyAlignment="1">
      <alignment horizontal="center" vertical="center" wrapText="1"/>
    </xf>
    <xf numFmtId="0" fontId="46" fillId="18" borderId="1" xfId="24" applyFont="1" applyFill="1" applyBorder="1" applyAlignment="1">
      <alignment horizontal="center" vertical="center" wrapText="1"/>
    </xf>
    <xf numFmtId="0" fontId="46" fillId="32" borderId="1" xfId="24" applyFont="1" applyFill="1" applyBorder="1" applyAlignment="1">
      <alignment horizontal="center" vertical="center" wrapText="1"/>
    </xf>
    <xf numFmtId="171" fontId="9" fillId="0" borderId="1" xfId="5" applyNumberFormat="1" applyFont="1" applyBorder="1" applyAlignment="1">
      <alignment horizontal="center" vertical="center"/>
    </xf>
    <xf numFmtId="1" fontId="9" fillId="0" borderId="1" xfId="5" applyNumberFormat="1" applyFont="1" applyBorder="1" applyAlignment="1">
      <alignment horizontal="center" vertical="center"/>
    </xf>
    <xf numFmtId="2" fontId="48" fillId="23" borderId="1" xfId="13" applyNumberFormat="1" applyFont="1" applyFill="1" applyBorder="1" applyAlignment="1">
      <alignment horizontal="center" vertical="center"/>
    </xf>
    <xf numFmtId="2" fontId="48" fillId="3" borderId="1" xfId="13" applyNumberFormat="1" applyFont="1" applyFill="1" applyBorder="1" applyAlignment="1">
      <alignment horizontal="center" vertical="center"/>
    </xf>
    <xf numFmtId="2" fontId="13" fillId="9" borderId="2" xfId="5" applyNumberFormat="1" applyFont="1" applyFill="1" applyBorder="1" applyAlignment="1">
      <alignment horizontal="center"/>
    </xf>
    <xf numFmtId="0" fontId="0" fillId="0" borderId="1" xfId="0" applyBorder="1"/>
    <xf numFmtId="1" fontId="49" fillId="13" borderId="1" xfId="5" applyNumberFormat="1" applyFont="1" applyFill="1" applyBorder="1" applyAlignment="1">
      <alignment horizontal="center" vertical="center"/>
    </xf>
    <xf numFmtId="1" fontId="49" fillId="7" borderId="1" xfId="5" applyNumberFormat="1" applyFont="1" applyFill="1" applyBorder="1" applyAlignment="1">
      <alignment horizontal="center" vertical="center"/>
    </xf>
    <xf numFmtId="1" fontId="49" fillId="20" borderId="1" xfId="5" applyNumberFormat="1" applyFont="1" applyFill="1" applyBorder="1" applyAlignment="1">
      <alignment horizontal="center" vertical="center"/>
    </xf>
    <xf numFmtId="1" fontId="49" fillId="4" borderId="1" xfId="5" applyNumberFormat="1" applyFont="1" applyFill="1" applyBorder="1" applyAlignment="1">
      <alignment horizontal="center" vertical="center"/>
    </xf>
    <xf numFmtId="1" fontId="49" fillId="14" borderId="1" xfId="5" applyNumberFormat="1" applyFont="1" applyFill="1" applyBorder="1" applyAlignment="1">
      <alignment horizontal="center" vertical="center"/>
    </xf>
    <xf numFmtId="1" fontId="49" fillId="22" borderId="1" xfId="5" applyNumberFormat="1" applyFont="1" applyFill="1" applyBorder="1" applyAlignment="1">
      <alignment horizontal="center" vertical="center"/>
    </xf>
    <xf numFmtId="1" fontId="49" fillId="25" borderId="1" xfId="5" applyNumberFormat="1" applyFont="1" applyFill="1" applyBorder="1" applyAlignment="1">
      <alignment horizontal="center" vertical="center"/>
    </xf>
    <xf numFmtId="1" fontId="49" fillId="3" borderId="1" xfId="5" applyNumberFormat="1" applyFont="1" applyFill="1" applyBorder="1" applyAlignment="1">
      <alignment horizontal="center" vertical="center"/>
    </xf>
    <xf numFmtId="1" fontId="49" fillId="24" borderId="1" xfId="5" applyNumberFormat="1" applyFont="1" applyFill="1" applyBorder="1" applyAlignment="1">
      <alignment horizontal="center" vertical="center"/>
    </xf>
    <xf numFmtId="1" fontId="49" fillId="26" borderId="1" xfId="5" applyNumberFormat="1" applyFont="1" applyFill="1" applyBorder="1" applyAlignment="1">
      <alignment horizontal="center" vertical="center"/>
    </xf>
    <xf numFmtId="1" fontId="49" fillId="27" borderId="1" xfId="5" applyNumberFormat="1" applyFont="1" applyFill="1" applyBorder="1" applyAlignment="1">
      <alignment horizontal="center" vertical="center"/>
    </xf>
    <xf numFmtId="1" fontId="49" fillId="28" borderId="1" xfId="5" applyNumberFormat="1" applyFont="1" applyFill="1" applyBorder="1" applyAlignment="1">
      <alignment horizontal="center" vertical="center"/>
    </xf>
    <xf numFmtId="2" fontId="11" fillId="11" borderId="1" xfId="7" applyNumberFormat="1" applyFont="1" applyFill="1" applyBorder="1" applyAlignment="1">
      <alignment horizontal="center" vertical="center"/>
    </xf>
    <xf numFmtId="2" fontId="9" fillId="0" borderId="1" xfId="13" applyNumberFormat="1" applyFont="1" applyBorder="1" applyAlignment="1">
      <alignment horizontal="center" vertical="center"/>
    </xf>
    <xf numFmtId="0" fontId="12" fillId="18" borderId="1" xfId="13" applyFont="1" applyFill="1" applyBorder="1" applyAlignment="1">
      <alignment horizontal="center" vertical="center"/>
    </xf>
    <xf numFmtId="0" fontId="13" fillId="18" borderId="1" xfId="13" applyFont="1" applyFill="1" applyBorder="1" applyAlignment="1">
      <alignment horizontal="center" vertical="center"/>
    </xf>
    <xf numFmtId="0" fontId="13" fillId="34" borderId="1" xfId="13" applyFont="1" applyFill="1" applyBorder="1" applyAlignment="1">
      <alignment horizontal="center" vertical="center"/>
    </xf>
    <xf numFmtId="1" fontId="13" fillId="34" borderId="1" xfId="13" applyNumberFormat="1" applyFont="1" applyFill="1" applyBorder="1" applyAlignment="1">
      <alignment horizontal="center" vertical="center"/>
    </xf>
    <xf numFmtId="0" fontId="13" fillId="36" borderId="1" xfId="13" applyFont="1" applyFill="1" applyBorder="1" applyAlignment="1">
      <alignment horizontal="center" vertical="center"/>
    </xf>
    <xf numFmtId="0" fontId="13" fillId="0" borderId="1" xfId="13" applyFont="1" applyBorder="1" applyAlignment="1">
      <alignment horizontal="center" vertical="center"/>
    </xf>
    <xf numFmtId="0" fontId="13" fillId="17" borderId="1" xfId="13" applyFont="1" applyFill="1" applyBorder="1" applyAlignment="1">
      <alignment horizontal="center" vertical="center"/>
    </xf>
    <xf numFmtId="0" fontId="13" fillId="10" borderId="1" xfId="13" applyFont="1" applyFill="1" applyBorder="1" applyAlignment="1">
      <alignment horizontal="center" vertical="center"/>
    </xf>
    <xf numFmtId="0" fontId="13" fillId="23" borderId="1" xfId="13" applyFont="1" applyFill="1" applyBorder="1" applyAlignment="1">
      <alignment horizontal="center" vertical="center"/>
    </xf>
    <xf numFmtId="0" fontId="13" fillId="35" borderId="1" xfId="13" applyFont="1" applyFill="1" applyBorder="1" applyAlignment="1">
      <alignment horizontal="center" vertical="center"/>
    </xf>
    <xf numFmtId="2" fontId="9" fillId="18" borderId="1" xfId="13" quotePrefix="1" applyNumberFormat="1" applyFont="1" applyFill="1" applyBorder="1" applyAlignment="1">
      <alignment horizontal="center" vertical="center"/>
    </xf>
    <xf numFmtId="1" fontId="12" fillId="34" borderId="1" xfId="13" applyNumberFormat="1" applyFont="1" applyFill="1" applyBorder="1" applyAlignment="1">
      <alignment horizontal="center" vertical="center" wrapText="1"/>
    </xf>
    <xf numFmtId="0" fontId="13" fillId="18" borderId="1" xfId="13" quotePrefix="1" applyFont="1" applyFill="1" applyBorder="1" applyAlignment="1">
      <alignment horizontal="center" vertical="center"/>
    </xf>
    <xf numFmtId="0" fontId="12" fillId="0" borderId="1" xfId="13" quotePrefix="1" applyFont="1" applyBorder="1" applyAlignment="1">
      <alignment horizontal="center" vertical="center"/>
    </xf>
    <xf numFmtId="0" fontId="12" fillId="18" borderId="1" xfId="13" quotePrefix="1" applyFont="1" applyFill="1" applyBorder="1" applyAlignment="1">
      <alignment horizontal="center" vertical="center"/>
    </xf>
    <xf numFmtId="0" fontId="12" fillId="18" borderId="1" xfId="13" applyFont="1" applyFill="1" applyBorder="1" applyAlignment="1">
      <alignment horizontal="center" vertical="center" wrapText="1"/>
    </xf>
    <xf numFmtId="0" fontId="12" fillId="35" borderId="1" xfId="13" quotePrefix="1" applyFont="1" applyFill="1" applyBorder="1" applyAlignment="1">
      <alignment horizontal="center" vertical="center"/>
    </xf>
    <xf numFmtId="2" fontId="12" fillId="18" borderId="1" xfId="13" quotePrefix="1" applyNumberFormat="1" applyFont="1" applyFill="1" applyBorder="1" applyAlignment="1">
      <alignment horizontal="center" vertical="center"/>
    </xf>
    <xf numFmtId="2" fontId="12" fillId="18" borderId="1" xfId="13" applyNumberFormat="1" applyFont="1" applyFill="1" applyBorder="1" applyAlignment="1">
      <alignment horizontal="center" vertical="center"/>
    </xf>
    <xf numFmtId="0" fontId="12" fillId="0" borderId="1" xfId="13" applyFont="1" applyBorder="1" applyAlignment="1">
      <alignment horizontal="center" vertical="center" wrapText="1"/>
    </xf>
    <xf numFmtId="0" fontId="12" fillId="0" borderId="1" xfId="13" applyFont="1" applyBorder="1" applyAlignment="1">
      <alignment horizontal="center" vertical="center"/>
    </xf>
    <xf numFmtId="0" fontId="12" fillId="18" borderId="31" xfId="13" applyFont="1" applyFill="1" applyBorder="1" applyAlignment="1">
      <alignment horizontal="center" vertical="center"/>
    </xf>
    <xf numFmtId="0" fontId="52" fillId="18" borderId="1" xfId="13" applyFont="1" applyFill="1" applyBorder="1" applyAlignment="1">
      <alignment horizontal="center" vertical="center"/>
    </xf>
    <xf numFmtId="1" fontId="12" fillId="34" borderId="1" xfId="13" applyNumberFormat="1" applyFont="1" applyFill="1" applyBorder="1" applyAlignment="1">
      <alignment horizontal="center" vertical="center"/>
    </xf>
    <xf numFmtId="0" fontId="53" fillId="18" borderId="1" xfId="13" applyFont="1" applyFill="1" applyBorder="1" applyAlignment="1">
      <alignment horizontal="center" vertical="center"/>
    </xf>
    <xf numFmtId="0" fontId="12" fillId="17" borderId="1" xfId="13" applyFont="1" applyFill="1" applyBorder="1" applyAlignment="1">
      <alignment horizontal="center" vertical="center"/>
    </xf>
    <xf numFmtId="0" fontId="12" fillId="10" borderId="1" xfId="13" applyFont="1" applyFill="1" applyBorder="1" applyAlignment="1">
      <alignment horizontal="center" vertical="center"/>
    </xf>
    <xf numFmtId="0" fontId="51" fillId="18" borderId="1" xfId="13" applyFont="1" applyFill="1" applyBorder="1" applyAlignment="1">
      <alignment horizontal="center" vertical="center"/>
    </xf>
    <xf numFmtId="0" fontId="12" fillId="35" borderId="1" xfId="13" applyFont="1" applyFill="1" applyBorder="1" applyAlignment="1">
      <alignment horizontal="center" vertical="center"/>
    </xf>
    <xf numFmtId="0" fontId="12" fillId="18" borderId="21" xfId="13" applyFont="1" applyFill="1" applyBorder="1" applyAlignment="1">
      <alignment horizontal="center" vertical="center"/>
    </xf>
    <xf numFmtId="0" fontId="12" fillId="19" borderId="1" xfId="13" applyFont="1" applyFill="1" applyBorder="1" applyAlignment="1">
      <alignment horizontal="center" vertical="center"/>
    </xf>
    <xf numFmtId="0" fontId="12" fillId="18" borderId="26" xfId="13" applyFont="1" applyFill="1" applyBorder="1" applyAlignment="1">
      <alignment horizontal="center" vertical="center"/>
    </xf>
    <xf numFmtId="2" fontId="9" fillId="18" borderId="1" xfId="13" applyNumberFormat="1" applyFont="1" applyFill="1" applyBorder="1" applyAlignment="1">
      <alignment horizontal="center" vertical="center"/>
    </xf>
    <xf numFmtId="0" fontId="55" fillId="18" borderId="1" xfId="13" applyFont="1" applyFill="1" applyBorder="1" applyAlignment="1">
      <alignment horizontal="center" vertical="center"/>
    </xf>
    <xf numFmtId="2" fontId="15" fillId="18" borderId="1" xfId="13" applyNumberFormat="1" applyFont="1" applyFill="1" applyBorder="1" applyAlignment="1">
      <alignment horizontal="center" vertical="center"/>
    </xf>
    <xf numFmtId="2" fontId="55" fillId="18" borderId="1" xfId="13" applyNumberFormat="1" applyFont="1" applyFill="1" applyBorder="1" applyAlignment="1">
      <alignment horizontal="center" vertical="center"/>
    </xf>
    <xf numFmtId="0" fontId="56" fillId="18" borderId="1" xfId="13" applyFont="1" applyFill="1" applyBorder="1" applyAlignment="1">
      <alignment horizontal="center" vertical="center"/>
    </xf>
    <xf numFmtId="0" fontId="56" fillId="34" borderId="1" xfId="13" applyFont="1" applyFill="1" applyBorder="1" applyAlignment="1">
      <alignment horizontal="center" vertical="center"/>
    </xf>
    <xf numFmtId="2" fontId="56" fillId="18" borderId="1" xfId="13" applyNumberFormat="1" applyFont="1" applyFill="1" applyBorder="1" applyAlignment="1">
      <alignment horizontal="center" vertical="center"/>
    </xf>
    <xf numFmtId="1" fontId="56" fillId="34" borderId="1" xfId="13" applyNumberFormat="1" applyFont="1" applyFill="1" applyBorder="1" applyAlignment="1">
      <alignment horizontal="center" vertical="center"/>
    </xf>
    <xf numFmtId="2" fontId="9" fillId="17" borderId="1" xfId="13" applyNumberFormat="1" applyFont="1" applyFill="1" applyBorder="1" applyAlignment="1">
      <alignment horizontal="center" vertical="center"/>
    </xf>
    <xf numFmtId="2" fontId="9" fillId="10" borderId="1" xfId="13" applyNumberFormat="1" applyFont="1" applyFill="1" applyBorder="1" applyAlignment="1">
      <alignment horizontal="center" vertical="center"/>
    </xf>
    <xf numFmtId="186" fontId="56" fillId="18" borderId="1" xfId="13" applyNumberFormat="1" applyFont="1" applyFill="1" applyBorder="1" applyAlignment="1">
      <alignment horizontal="center" vertical="center"/>
    </xf>
    <xf numFmtId="1" fontId="56" fillId="35" borderId="1" xfId="13" applyNumberFormat="1" applyFont="1" applyFill="1" applyBorder="1" applyAlignment="1">
      <alignment horizontal="center" vertical="center"/>
    </xf>
    <xf numFmtId="2" fontId="9" fillId="35" borderId="1" xfId="13" applyNumberFormat="1" applyFont="1" applyFill="1" applyBorder="1" applyAlignment="1">
      <alignment horizontal="center" vertical="center"/>
    </xf>
    <xf numFmtId="1" fontId="12" fillId="18" borderId="1" xfId="13" applyNumberFormat="1" applyFont="1" applyFill="1" applyBorder="1" applyAlignment="1">
      <alignment horizontal="center" vertical="center"/>
    </xf>
    <xf numFmtId="2" fontId="9" fillId="19" borderId="1" xfId="13" applyNumberFormat="1" applyFont="1" applyFill="1" applyBorder="1" applyAlignment="1">
      <alignment horizontal="center" vertical="center"/>
    </xf>
    <xf numFmtId="1" fontId="56" fillId="5" borderId="1" xfId="13" applyNumberFormat="1" applyFont="1" applyFill="1" applyBorder="1" applyAlignment="1">
      <alignment horizontal="center" vertical="center"/>
    </xf>
    <xf numFmtId="0" fontId="12" fillId="19" borderId="1" xfId="13" quotePrefix="1" applyFont="1" applyFill="1" applyBorder="1" applyAlignment="1">
      <alignment horizontal="center" vertical="center"/>
    </xf>
    <xf numFmtId="0" fontId="9" fillId="18" borderId="1" xfId="13" applyFont="1" applyFill="1" applyBorder="1" applyAlignment="1">
      <alignment horizontal="center" vertical="center"/>
    </xf>
    <xf numFmtId="2" fontId="15" fillId="35" borderId="1" xfId="13" applyNumberFormat="1" applyFont="1" applyFill="1" applyBorder="1" applyAlignment="1">
      <alignment horizontal="center" vertical="center"/>
    </xf>
    <xf numFmtId="2" fontId="9" fillId="34" borderId="1" xfId="13" applyNumberFormat="1" applyFont="1" applyFill="1" applyBorder="1" applyAlignment="1">
      <alignment horizontal="center" vertical="center"/>
    </xf>
    <xf numFmtId="2" fontId="57" fillId="18" borderId="1" xfId="13" applyNumberFormat="1" applyFont="1" applyFill="1" applyBorder="1" applyAlignment="1">
      <alignment horizontal="center" vertical="center"/>
    </xf>
    <xf numFmtId="1" fontId="9" fillId="18" borderId="1" xfId="13" applyNumberFormat="1" applyFont="1" applyFill="1" applyBorder="1" applyAlignment="1">
      <alignment horizontal="center" vertical="center"/>
    </xf>
    <xf numFmtId="2" fontId="57" fillId="34" borderId="1" xfId="13" applyNumberFormat="1" applyFont="1" applyFill="1" applyBorder="1" applyAlignment="1">
      <alignment horizontal="center" vertical="center"/>
    </xf>
    <xf numFmtId="2" fontId="28" fillId="18" borderId="1" xfId="13" applyNumberFormat="1" applyFont="1" applyFill="1" applyBorder="1" applyAlignment="1">
      <alignment horizontal="center" vertical="center"/>
    </xf>
    <xf numFmtId="1" fontId="57" fillId="34" borderId="1" xfId="13" applyNumberFormat="1" applyFont="1" applyFill="1" applyBorder="1" applyAlignment="1">
      <alignment horizontal="center" vertical="center"/>
    </xf>
    <xf numFmtId="2" fontId="15" fillId="0" borderId="1" xfId="13" applyNumberFormat="1" applyFont="1" applyBorder="1" applyAlignment="1">
      <alignment horizontal="center" vertical="center"/>
    </xf>
    <xf numFmtId="171" fontId="9" fillId="18" borderId="1" xfId="13" applyNumberFormat="1" applyFont="1" applyFill="1" applyBorder="1" applyAlignment="1">
      <alignment horizontal="center" vertical="center"/>
    </xf>
    <xf numFmtId="185" fontId="9" fillId="18" borderId="1" xfId="13" applyNumberFormat="1" applyFont="1" applyFill="1" applyBorder="1" applyAlignment="1">
      <alignment horizontal="center" vertical="center"/>
    </xf>
    <xf numFmtId="1" fontId="57" fillId="35" borderId="1" xfId="13" applyNumberFormat="1" applyFont="1" applyFill="1" applyBorder="1" applyAlignment="1">
      <alignment horizontal="center" vertical="center"/>
    </xf>
    <xf numFmtId="2" fontId="48" fillId="18" borderId="1" xfId="13" applyNumberFormat="1" applyFont="1" applyFill="1" applyBorder="1" applyAlignment="1">
      <alignment horizontal="center" vertical="center"/>
    </xf>
    <xf numFmtId="2" fontId="57" fillId="35" borderId="1" xfId="13" applyNumberFormat="1" applyFont="1" applyFill="1" applyBorder="1" applyAlignment="1">
      <alignment horizontal="center" vertical="center"/>
    </xf>
    <xf numFmtId="2" fontId="48" fillId="19" borderId="1" xfId="13" applyNumberFormat="1" applyFont="1" applyFill="1" applyBorder="1" applyAlignment="1">
      <alignment horizontal="center" vertical="center"/>
    </xf>
    <xf numFmtId="2" fontId="9" fillId="23" borderId="1" xfId="13" applyNumberFormat="1" applyFont="1" applyFill="1" applyBorder="1" applyAlignment="1">
      <alignment horizontal="center" vertical="center"/>
    </xf>
    <xf numFmtId="2" fontId="9" fillId="3" borderId="1" xfId="13" applyNumberFormat="1" applyFont="1" applyFill="1" applyBorder="1" applyAlignment="1">
      <alignment horizontal="center" vertical="center"/>
    </xf>
    <xf numFmtId="2" fontId="12" fillId="3" borderId="1" xfId="13" applyNumberFormat="1" applyFont="1" applyFill="1" applyBorder="1" applyAlignment="1">
      <alignment horizontal="center" vertical="center"/>
    </xf>
    <xf numFmtId="2" fontId="57" fillId="3" borderId="1" xfId="13" applyNumberFormat="1" applyFont="1" applyFill="1" applyBorder="1" applyAlignment="1">
      <alignment horizontal="center" vertical="center"/>
    </xf>
    <xf numFmtId="1" fontId="9" fillId="3" borderId="1" xfId="13" applyNumberFormat="1" applyFont="1" applyFill="1" applyBorder="1" applyAlignment="1">
      <alignment horizontal="center" vertical="center"/>
    </xf>
    <xf numFmtId="2" fontId="28" fillId="3" borderId="1" xfId="13" applyNumberFormat="1" applyFont="1" applyFill="1" applyBorder="1" applyAlignment="1">
      <alignment horizontal="center" vertical="center"/>
    </xf>
    <xf numFmtId="1" fontId="57" fillId="3" borderId="1" xfId="13" applyNumberFormat="1" applyFont="1" applyFill="1" applyBorder="1" applyAlignment="1">
      <alignment horizontal="center" vertical="center"/>
    </xf>
    <xf numFmtId="2" fontId="15" fillId="3" borderId="1" xfId="13" applyNumberFormat="1" applyFont="1" applyFill="1" applyBorder="1" applyAlignment="1">
      <alignment horizontal="center" vertical="center"/>
    </xf>
    <xf numFmtId="171" fontId="9" fillId="3" borderId="1" xfId="13" applyNumberFormat="1" applyFont="1" applyFill="1" applyBorder="1" applyAlignment="1">
      <alignment horizontal="center" vertical="center"/>
    </xf>
    <xf numFmtId="185" fontId="9" fillId="3" borderId="1" xfId="13" applyNumberFormat="1" applyFont="1" applyFill="1" applyBorder="1" applyAlignment="1">
      <alignment horizontal="center" vertical="center"/>
    </xf>
    <xf numFmtId="2" fontId="9" fillId="3" borderId="1" xfId="13" quotePrefix="1" applyNumberFormat="1" applyFont="1" applyFill="1" applyBorder="1" applyAlignment="1">
      <alignment horizontal="center" vertical="center"/>
    </xf>
    <xf numFmtId="2" fontId="9" fillId="37" borderId="1" xfId="13" applyNumberFormat="1" applyFont="1" applyFill="1" applyBorder="1" applyAlignment="1">
      <alignment horizontal="center" vertical="center"/>
    </xf>
    <xf numFmtId="2" fontId="57" fillId="37" borderId="1" xfId="13" applyNumberFormat="1" applyFont="1" applyFill="1" applyBorder="1" applyAlignment="1">
      <alignment horizontal="center" vertical="center"/>
    </xf>
    <xf numFmtId="1" fontId="9" fillId="37" borderId="1" xfId="13" applyNumberFormat="1" applyFont="1" applyFill="1" applyBorder="1" applyAlignment="1">
      <alignment horizontal="center" vertical="center"/>
    </xf>
    <xf numFmtId="2" fontId="28" fillId="37" borderId="1" xfId="13" applyNumberFormat="1" applyFont="1" applyFill="1" applyBorder="1" applyAlignment="1">
      <alignment horizontal="center" vertical="center"/>
    </xf>
    <xf numFmtId="1" fontId="57" fillId="37" borderId="1" xfId="13" applyNumberFormat="1" applyFont="1" applyFill="1" applyBorder="1" applyAlignment="1">
      <alignment horizontal="center" vertical="center"/>
    </xf>
    <xf numFmtId="2" fontId="15" fillId="37" borderId="1" xfId="13" applyNumberFormat="1" applyFont="1" applyFill="1" applyBorder="1" applyAlignment="1">
      <alignment horizontal="center" vertical="center"/>
    </xf>
    <xf numFmtId="171" fontId="9" fillId="37" borderId="1" xfId="13" applyNumberFormat="1" applyFont="1" applyFill="1" applyBorder="1" applyAlignment="1">
      <alignment horizontal="center" vertical="center"/>
    </xf>
    <xf numFmtId="185" fontId="9" fillId="37" borderId="1" xfId="13" applyNumberFormat="1" applyFont="1" applyFill="1" applyBorder="1" applyAlignment="1">
      <alignment horizontal="center" vertical="center"/>
    </xf>
    <xf numFmtId="2" fontId="48" fillId="37" borderId="1" xfId="13" applyNumberFormat="1" applyFont="1" applyFill="1" applyBorder="1" applyAlignment="1">
      <alignment horizontal="center" vertical="center"/>
    </xf>
    <xf numFmtId="2" fontId="9" fillId="37" borderId="1" xfId="13" quotePrefix="1" applyNumberFormat="1" applyFont="1" applyFill="1" applyBorder="1" applyAlignment="1">
      <alignment horizontal="center" vertical="center"/>
    </xf>
    <xf numFmtId="2" fontId="57" fillId="23" borderId="1" xfId="13" applyNumberFormat="1" applyFont="1" applyFill="1" applyBorder="1" applyAlignment="1">
      <alignment horizontal="center" vertical="center"/>
    </xf>
    <xf numFmtId="1" fontId="9" fillId="23" borderId="1" xfId="13" applyNumberFormat="1" applyFont="1" applyFill="1" applyBorder="1" applyAlignment="1">
      <alignment horizontal="center" vertical="center"/>
    </xf>
    <xf numFmtId="2" fontId="28" fillId="23" borderId="1" xfId="13" applyNumberFormat="1" applyFont="1" applyFill="1" applyBorder="1" applyAlignment="1">
      <alignment horizontal="center" vertical="center"/>
    </xf>
    <xf numFmtId="1" fontId="57" fillId="23" borderId="1" xfId="13" applyNumberFormat="1" applyFont="1" applyFill="1" applyBorder="1" applyAlignment="1">
      <alignment horizontal="center" vertical="center"/>
    </xf>
    <xf numFmtId="2" fontId="15" fillId="23" borderId="1" xfId="13" applyNumberFormat="1" applyFont="1" applyFill="1" applyBorder="1" applyAlignment="1">
      <alignment horizontal="center" vertical="center"/>
    </xf>
    <xf numFmtId="171" fontId="9" fillId="23" borderId="1" xfId="13" applyNumberFormat="1" applyFont="1" applyFill="1" applyBorder="1" applyAlignment="1">
      <alignment horizontal="center" vertical="center"/>
    </xf>
    <xf numFmtId="185" fontId="9" fillId="23" borderId="1" xfId="13" applyNumberFormat="1" applyFont="1" applyFill="1" applyBorder="1" applyAlignment="1">
      <alignment horizontal="center" vertical="center"/>
    </xf>
    <xf numFmtId="2" fontId="9" fillId="23" borderId="1" xfId="13" quotePrefix="1" applyNumberFormat="1" applyFont="1" applyFill="1" applyBorder="1" applyAlignment="1">
      <alignment horizontal="center" vertical="center"/>
    </xf>
    <xf numFmtId="1" fontId="9" fillId="0" borderId="1" xfId="13" applyNumberFormat="1" applyFont="1" applyBorder="1" applyAlignment="1">
      <alignment horizontal="center" vertical="center"/>
    </xf>
    <xf numFmtId="2" fontId="9" fillId="0" borderId="5" xfId="13" applyNumberFormat="1" applyFont="1" applyBorder="1" applyAlignment="1">
      <alignment horizontal="center" vertical="center"/>
    </xf>
    <xf numFmtId="1" fontId="12" fillId="0" borderId="5" xfId="13" applyNumberFormat="1" applyFont="1" applyBorder="1" applyAlignment="1">
      <alignment horizontal="center" vertical="center"/>
    </xf>
    <xf numFmtId="2" fontId="57" fillId="0" borderId="5" xfId="13" applyNumberFormat="1" applyFont="1" applyBorder="1" applyAlignment="1">
      <alignment horizontal="center" vertical="center"/>
    </xf>
    <xf numFmtId="1" fontId="9" fillId="0" borderId="5" xfId="13" applyNumberFormat="1" applyFont="1" applyBorder="1" applyAlignment="1">
      <alignment horizontal="center" vertical="center"/>
    </xf>
    <xf numFmtId="2" fontId="28" fillId="0" borderId="5" xfId="13" applyNumberFormat="1" applyFont="1" applyBorder="1" applyAlignment="1">
      <alignment horizontal="center" vertical="center"/>
    </xf>
    <xf numFmtId="1" fontId="57" fillId="0" borderId="5" xfId="13" applyNumberFormat="1" applyFont="1" applyBorder="1" applyAlignment="1">
      <alignment horizontal="center" vertical="center"/>
    </xf>
    <xf numFmtId="2" fontId="15" fillId="0" borderId="5" xfId="13" applyNumberFormat="1" applyFont="1" applyBorder="1" applyAlignment="1">
      <alignment horizontal="center" vertical="center"/>
    </xf>
    <xf numFmtId="2" fontId="12" fillId="0" borderId="1" xfId="13" applyNumberFormat="1" applyFont="1" applyBorder="1" applyAlignment="1">
      <alignment horizontal="center" vertical="center"/>
    </xf>
    <xf numFmtId="171" fontId="9" fillId="0" borderId="5" xfId="13" applyNumberFormat="1" applyFont="1" applyBorder="1" applyAlignment="1">
      <alignment horizontal="center" vertical="center"/>
    </xf>
    <xf numFmtId="185" fontId="9" fillId="0" borderId="5" xfId="13" applyNumberFormat="1" applyFont="1" applyBorder="1" applyAlignment="1">
      <alignment horizontal="center" vertical="center"/>
    </xf>
    <xf numFmtId="2" fontId="48" fillId="0" borderId="5" xfId="13" applyNumberFormat="1" applyFont="1" applyBorder="1" applyAlignment="1">
      <alignment horizontal="center" vertical="center"/>
    </xf>
    <xf numFmtId="2" fontId="9" fillId="0" borderId="5" xfId="13" quotePrefix="1" applyNumberFormat="1" applyFont="1" applyBorder="1" applyAlignment="1">
      <alignment horizontal="center" vertical="center"/>
    </xf>
    <xf numFmtId="2" fontId="12" fillId="17" borderId="1" xfId="13" applyNumberFormat="1" applyFont="1" applyFill="1" applyBorder="1" applyAlignment="1">
      <alignment horizontal="center" vertical="center"/>
    </xf>
    <xf numFmtId="2" fontId="4" fillId="0" borderId="29" xfId="13" applyNumberFormat="1" applyFont="1" applyBorder="1" applyAlignment="1">
      <alignment vertical="center"/>
    </xf>
    <xf numFmtId="2" fontId="4" fillId="0" borderId="7" xfId="13" applyNumberFormat="1" applyFont="1" applyBorder="1" applyAlignment="1">
      <alignment vertical="center"/>
    </xf>
    <xf numFmtId="2" fontId="4" fillId="0" borderId="6" xfId="13" applyNumberFormat="1" applyFont="1" applyBorder="1" applyAlignment="1">
      <alignment vertical="center"/>
    </xf>
    <xf numFmtId="2" fontId="4" fillId="0" borderId="32" xfId="13" applyNumberFormat="1" applyFont="1" applyBorder="1" applyAlignment="1">
      <alignment vertical="center"/>
    </xf>
    <xf numFmtId="2" fontId="4" fillId="0" borderId="4" xfId="13" applyNumberFormat="1" applyFont="1" applyBorder="1" applyAlignment="1">
      <alignment vertical="center"/>
    </xf>
    <xf numFmtId="2" fontId="4" fillId="0" borderId="1" xfId="13" applyNumberFormat="1" applyFont="1" applyBorder="1" applyAlignment="1">
      <alignment vertical="center"/>
    </xf>
    <xf numFmtId="2" fontId="9" fillId="18" borderId="4" xfId="13" applyNumberFormat="1" applyFont="1" applyFill="1" applyBorder="1" applyAlignment="1">
      <alignment vertical="center"/>
    </xf>
    <xf numFmtId="2" fontId="9" fillId="18" borderId="7" xfId="13" applyNumberFormat="1" applyFont="1" applyFill="1" applyBorder="1" applyAlignment="1">
      <alignment vertical="center"/>
    </xf>
    <xf numFmtId="2" fontId="9" fillId="18" borderId="1" xfId="13" applyNumberFormat="1" applyFont="1" applyFill="1" applyBorder="1" applyAlignment="1">
      <alignment vertical="center"/>
    </xf>
    <xf numFmtId="2" fontId="50" fillId="18" borderId="1" xfId="26" applyNumberFormat="1" applyFont="1" applyFill="1" applyBorder="1" applyAlignment="1" applyProtection="1">
      <alignment horizontal="center" vertical="center"/>
      <protection locked="0"/>
    </xf>
    <xf numFmtId="0" fontId="58" fillId="34" borderId="1" xfId="13" applyFont="1" applyFill="1" applyBorder="1" applyAlignment="1">
      <alignment horizontal="center" vertical="center" wrapText="1"/>
    </xf>
    <xf numFmtId="1" fontId="9" fillId="34" borderId="1" xfId="13" applyNumberFormat="1" applyFont="1" applyFill="1" applyBorder="1" applyAlignment="1">
      <alignment horizontal="center" vertical="center"/>
    </xf>
    <xf numFmtId="185" fontId="15" fillId="18" borderId="1" xfId="13" applyNumberFormat="1" applyFont="1" applyFill="1" applyBorder="1" applyAlignment="1">
      <alignment horizontal="center" vertical="center"/>
    </xf>
    <xf numFmtId="1" fontId="9" fillId="35" borderId="1" xfId="13" applyNumberFormat="1" applyFont="1" applyFill="1" applyBorder="1" applyAlignment="1">
      <alignment horizontal="center" vertical="center"/>
    </xf>
    <xf numFmtId="0" fontId="55" fillId="18" borderId="1" xfId="15" applyNumberFormat="1" applyFont="1" applyFill="1" applyBorder="1" applyAlignment="1">
      <alignment horizontal="center" vertical="center"/>
    </xf>
    <xf numFmtId="0" fontId="15" fillId="18" borderId="1" xfId="13" applyFont="1" applyFill="1" applyBorder="1" applyAlignment="1">
      <alignment horizontal="center" vertical="center"/>
    </xf>
    <xf numFmtId="0" fontId="15" fillId="34" borderId="1" xfId="13" applyFont="1" applyFill="1" applyBorder="1" applyAlignment="1">
      <alignment horizontal="center" vertical="center"/>
    </xf>
    <xf numFmtId="2" fontId="9" fillId="18" borderId="5" xfId="13" applyNumberFormat="1" applyFont="1" applyFill="1" applyBorder="1" applyAlignment="1">
      <alignment horizontal="center" vertical="center"/>
    </xf>
    <xf numFmtId="2" fontId="56" fillId="18" borderId="5" xfId="13" applyNumberFormat="1" applyFont="1" applyFill="1" applyBorder="1" applyAlignment="1">
      <alignment horizontal="center" vertical="center"/>
    </xf>
    <xf numFmtId="2" fontId="12" fillId="10" borderId="1" xfId="13" applyNumberFormat="1" applyFont="1" applyFill="1" applyBorder="1" applyAlignment="1">
      <alignment horizontal="center" vertical="center"/>
    </xf>
    <xf numFmtId="187" fontId="9" fillId="18" borderId="1" xfId="16" applyNumberFormat="1" applyFont="1" applyFill="1" applyBorder="1" applyAlignment="1">
      <alignment horizontal="center" vertical="center"/>
    </xf>
    <xf numFmtId="2" fontId="9" fillId="18" borderId="4" xfId="13" applyNumberFormat="1" applyFont="1" applyFill="1" applyBorder="1" applyAlignment="1">
      <alignment horizontal="center" vertical="center"/>
    </xf>
    <xf numFmtId="2" fontId="12" fillId="34" borderId="14" xfId="13" applyNumberFormat="1" applyFont="1" applyFill="1" applyBorder="1" applyAlignment="1">
      <alignment horizontal="center" vertical="center"/>
    </xf>
    <xf numFmtId="2" fontId="12" fillId="34" borderId="15" xfId="13" applyNumberFormat="1" applyFont="1" applyFill="1" applyBorder="1" applyAlignment="1">
      <alignment horizontal="center" vertical="center"/>
    </xf>
    <xf numFmtId="2" fontId="12" fillId="34" borderId="16" xfId="13" applyNumberFormat="1" applyFont="1" applyFill="1" applyBorder="1" applyAlignment="1">
      <alignment horizontal="center" vertical="center"/>
    </xf>
    <xf numFmtId="2" fontId="9" fillId="0" borderId="6" xfId="13" applyNumberFormat="1" applyFont="1" applyBorder="1" applyAlignment="1">
      <alignment horizontal="center" vertical="center"/>
    </xf>
    <xf numFmtId="1" fontId="9" fillId="34" borderId="17" xfId="13" applyNumberFormat="1" applyFont="1" applyFill="1" applyBorder="1" applyAlignment="1">
      <alignment horizontal="center" vertical="center"/>
    </xf>
    <xf numFmtId="2" fontId="56" fillId="34" borderId="18" xfId="13" applyNumberFormat="1" applyFont="1" applyFill="1" applyBorder="1" applyAlignment="1">
      <alignment horizontal="center" vertical="center"/>
    </xf>
    <xf numFmtId="1" fontId="9" fillId="18" borderId="4" xfId="13" applyNumberFormat="1" applyFont="1" applyFill="1" applyBorder="1" applyAlignment="1">
      <alignment horizontal="center" vertical="center"/>
    </xf>
    <xf numFmtId="1" fontId="12" fillId="34" borderId="17" xfId="13" applyNumberFormat="1" applyFont="1" applyFill="1" applyBorder="1" applyAlignment="1">
      <alignment horizontal="center" vertical="center"/>
    </xf>
    <xf numFmtId="1" fontId="9" fillId="34" borderId="18" xfId="13" applyNumberFormat="1" applyFont="1" applyFill="1" applyBorder="1" applyAlignment="1">
      <alignment horizontal="center" vertical="center"/>
    </xf>
    <xf numFmtId="1" fontId="9" fillId="0" borderId="6" xfId="13" applyNumberFormat="1" applyFont="1" applyBorder="1" applyAlignment="1">
      <alignment horizontal="center" vertical="center"/>
    </xf>
    <xf numFmtId="1" fontId="9" fillId="17" borderId="1" xfId="13" applyNumberFormat="1" applyFont="1" applyFill="1" applyBorder="1" applyAlignment="1">
      <alignment horizontal="center" vertical="center"/>
    </xf>
    <xf numFmtId="1" fontId="9" fillId="10" borderId="1" xfId="13" applyNumberFormat="1" applyFont="1" applyFill="1" applyBorder="1" applyAlignment="1">
      <alignment horizontal="center" vertical="center"/>
    </xf>
    <xf numFmtId="1" fontId="9" fillId="34" borderId="30" xfId="13" applyNumberFormat="1" applyFont="1" applyFill="1" applyBorder="1" applyAlignment="1">
      <alignment horizontal="center" vertical="center"/>
    </xf>
    <xf numFmtId="1" fontId="9" fillId="34" borderId="19" xfId="13" applyNumberFormat="1" applyFont="1" applyFill="1" applyBorder="1" applyAlignment="1">
      <alignment horizontal="center" vertical="center"/>
    </xf>
    <xf numFmtId="1" fontId="9" fillId="34" borderId="20" xfId="13" applyNumberFormat="1" applyFont="1" applyFill="1" applyBorder="1" applyAlignment="1">
      <alignment horizontal="center" vertical="center"/>
    </xf>
    <xf numFmtId="187" fontId="9" fillId="18" borderId="1" xfId="13" applyNumberFormat="1" applyFont="1" applyFill="1" applyBorder="1" applyAlignment="1">
      <alignment horizontal="center" vertical="center"/>
    </xf>
    <xf numFmtId="1" fontId="9" fillId="18" borderId="2" xfId="13" applyNumberFormat="1" applyFont="1" applyFill="1" applyBorder="1" applyAlignment="1">
      <alignment horizontal="center" vertical="center"/>
    </xf>
    <xf numFmtId="0" fontId="60" fillId="0" borderId="0" xfId="27" applyFont="1" applyAlignment="1">
      <alignment vertical="center"/>
    </xf>
    <xf numFmtId="0" fontId="4" fillId="0" borderId="1" xfId="27" applyBorder="1" applyAlignment="1">
      <alignment horizontal="center" vertical="center"/>
    </xf>
    <xf numFmtId="0" fontId="4" fillId="0" borderId="0" xfId="27" applyAlignment="1">
      <alignment vertical="center"/>
    </xf>
    <xf numFmtId="2" fontId="4" fillId="0" borderId="1" xfId="27" applyNumberFormat="1" applyBorder="1" applyAlignment="1">
      <alignment horizontal="center" vertical="center"/>
    </xf>
    <xf numFmtId="2" fontId="4" fillId="23" borderId="1" xfId="27" applyNumberFormat="1" applyFill="1" applyBorder="1" applyAlignment="1">
      <alignment horizontal="center" vertical="center"/>
    </xf>
    <xf numFmtId="2" fontId="4" fillId="0" borderId="1" xfId="0" applyNumberFormat="1" applyFont="1" applyBorder="1" applyAlignment="1">
      <alignment horizontal="center" vertical="center"/>
    </xf>
    <xf numFmtId="2" fontId="4" fillId="0" borderId="1" xfId="28" applyNumberFormat="1" applyBorder="1" applyAlignment="1">
      <alignment horizontal="center" vertical="center"/>
    </xf>
    <xf numFmtId="0" fontId="4" fillId="23" borderId="1" xfId="27" applyFill="1" applyBorder="1" applyAlignment="1">
      <alignment horizontal="center" vertical="center"/>
    </xf>
    <xf numFmtId="2" fontId="4" fillId="23" borderId="1" xfId="0" applyNumberFormat="1" applyFont="1" applyFill="1" applyBorder="1" applyAlignment="1">
      <alignment horizontal="center" vertical="center"/>
    </xf>
    <xf numFmtId="2" fontId="4" fillId="23" borderId="1" xfId="28" applyNumberFormat="1" applyFill="1" applyBorder="1" applyAlignment="1">
      <alignment horizontal="center" vertical="center"/>
    </xf>
    <xf numFmtId="0" fontId="4" fillId="0" borderId="1" xfId="0" applyFont="1" applyBorder="1" applyAlignment="1">
      <alignment horizontal="center" vertical="center"/>
    </xf>
    <xf numFmtId="2" fontId="4" fillId="0" borderId="1" xfId="27" applyNumberFormat="1" applyBorder="1" applyAlignment="1">
      <alignment vertical="center"/>
    </xf>
    <xf numFmtId="2" fontId="4" fillId="23" borderId="1" xfId="27" applyNumberFormat="1" applyFill="1" applyBorder="1" applyAlignment="1">
      <alignment vertical="center"/>
    </xf>
    <xf numFmtId="0" fontId="4" fillId="0" borderId="0" xfId="27" applyAlignment="1">
      <alignment horizontal="center" vertical="center"/>
    </xf>
    <xf numFmtId="2" fontId="4" fillId="0" borderId="0" xfId="27" applyNumberFormat="1" applyAlignment="1">
      <alignment vertical="center"/>
    </xf>
    <xf numFmtId="2" fontId="4" fillId="0" borderId="0" xfId="27" applyNumberFormat="1" applyAlignment="1">
      <alignment horizontal="center" vertical="center"/>
    </xf>
    <xf numFmtId="0" fontId="9" fillId="0" borderId="0" xfId="28" applyFont="1" applyAlignment="1">
      <alignment vertical="center"/>
    </xf>
    <xf numFmtId="0" fontId="12" fillId="11" borderId="1" xfId="5" applyFont="1" applyFill="1" applyBorder="1" applyAlignment="1">
      <alignment horizontal="center" vertical="center" wrapText="1"/>
    </xf>
    <xf numFmtId="185" fontId="62" fillId="11" borderId="1" xfId="5" applyNumberFormat="1" applyFont="1" applyFill="1" applyBorder="1" applyAlignment="1">
      <alignment horizontal="center" vertical="center"/>
    </xf>
    <xf numFmtId="0" fontId="12" fillId="11" borderId="1" xfId="5" applyFont="1" applyFill="1" applyBorder="1" applyAlignment="1">
      <alignment horizontal="center" vertical="center"/>
    </xf>
    <xf numFmtId="2" fontId="27" fillId="11" borderId="1" xfId="29" applyNumberFormat="1" applyFont="1" applyFill="1" applyBorder="1" applyAlignment="1" applyProtection="1">
      <alignment horizontal="center"/>
      <protection locked="0"/>
    </xf>
    <xf numFmtId="0" fontId="9" fillId="0" borderId="0" xfId="5" applyFont="1" applyAlignment="1">
      <alignment vertical="center"/>
    </xf>
    <xf numFmtId="2" fontId="12" fillId="11" borderId="1" xfId="5" applyNumberFormat="1" applyFont="1" applyFill="1" applyBorder="1" applyAlignment="1">
      <alignment horizontal="center" vertical="center"/>
    </xf>
    <xf numFmtId="0" fontId="62" fillId="11" borderId="1" xfId="5" applyFont="1" applyFill="1" applyBorder="1" applyAlignment="1">
      <alignment horizontal="center" vertical="center"/>
    </xf>
    <xf numFmtId="2" fontId="9" fillId="11" borderId="1" xfId="5" applyNumberFormat="1" applyFont="1" applyFill="1" applyBorder="1" applyAlignment="1">
      <alignment horizontal="center" vertical="center"/>
    </xf>
    <xf numFmtId="0" fontId="12" fillId="13" borderId="1" xfId="5" applyFont="1" applyFill="1" applyBorder="1" applyAlignment="1">
      <alignment horizontal="center" vertical="center"/>
    </xf>
    <xf numFmtId="1" fontId="62" fillId="11" borderId="1" xfId="5" applyNumberFormat="1" applyFont="1" applyFill="1" applyBorder="1" applyAlignment="1">
      <alignment horizontal="center" vertical="center"/>
    </xf>
    <xf numFmtId="0" fontId="12" fillId="11" borderId="1" xfId="5" quotePrefix="1" applyFont="1" applyFill="1" applyBorder="1" applyAlignment="1">
      <alignment horizontal="center" vertical="center"/>
    </xf>
    <xf numFmtId="0" fontId="27" fillId="11" borderId="1" xfId="29" applyFont="1" applyFill="1" applyBorder="1" applyAlignment="1" applyProtection="1">
      <alignment horizontal="center"/>
      <protection locked="0"/>
    </xf>
    <xf numFmtId="0" fontId="4" fillId="11" borderId="1" xfId="29" applyFill="1" applyBorder="1" applyAlignment="1" applyProtection="1">
      <alignment horizontal="center"/>
      <protection locked="0"/>
    </xf>
    <xf numFmtId="0" fontId="9" fillId="0" borderId="0" xfId="5" applyFont="1" applyAlignment="1">
      <alignment horizontal="center" vertical="center"/>
    </xf>
    <xf numFmtId="0" fontId="12" fillId="0" borderId="31" xfId="5" applyFont="1" applyBorder="1" applyAlignment="1">
      <alignment horizontal="center" vertical="center" wrapText="1"/>
    </xf>
    <xf numFmtId="0" fontId="12" fillId="0" borderId="0" xfId="5" applyFont="1" applyAlignment="1">
      <alignment horizontal="center" vertical="center" wrapText="1"/>
    </xf>
    <xf numFmtId="0" fontId="9" fillId="0" borderId="0" xfId="5" applyFont="1" applyAlignment="1">
      <alignment horizontal="center" vertical="center" wrapText="1"/>
    </xf>
    <xf numFmtId="2" fontId="9" fillId="0" borderId="0" xfId="5" applyNumberFormat="1" applyFont="1" applyAlignment="1">
      <alignment horizontal="center" vertical="center"/>
    </xf>
    <xf numFmtId="2" fontId="12" fillId="0" borderId="0" xfId="5" applyNumberFormat="1" applyFont="1" applyAlignment="1">
      <alignment horizontal="center" vertical="center"/>
    </xf>
    <xf numFmtId="0" fontId="12" fillId="0" borderId="0" xfId="5" applyFont="1" applyAlignment="1">
      <alignment horizontal="center" vertical="center"/>
    </xf>
    <xf numFmtId="0" fontId="12" fillId="18" borderId="0" xfId="5" applyFont="1" applyFill="1" applyAlignment="1">
      <alignment horizontal="center" vertical="center"/>
    </xf>
    <xf numFmtId="0" fontId="9" fillId="18" borderId="0" xfId="5" applyFont="1" applyFill="1" applyAlignment="1">
      <alignment horizontal="center" vertical="center"/>
    </xf>
    <xf numFmtId="2" fontId="12" fillId="18" borderId="0" xfId="5" applyNumberFormat="1" applyFont="1" applyFill="1" applyAlignment="1">
      <alignment horizontal="center" vertical="center"/>
    </xf>
    <xf numFmtId="2" fontId="62" fillId="18" borderId="0" xfId="5" applyNumberFormat="1" applyFont="1" applyFill="1" applyAlignment="1">
      <alignment horizontal="center" vertical="center"/>
    </xf>
    <xf numFmtId="1" fontId="62" fillId="18" borderId="0" xfId="5" applyNumberFormat="1" applyFont="1" applyFill="1" applyAlignment="1">
      <alignment horizontal="center" vertical="center"/>
    </xf>
    <xf numFmtId="185" fontId="66" fillId="18" borderId="0" xfId="5" applyNumberFormat="1" applyFont="1" applyFill="1" applyAlignment="1">
      <alignment horizontal="center" vertical="center"/>
    </xf>
    <xf numFmtId="2" fontId="66" fillId="18" borderId="0" xfId="5" applyNumberFormat="1" applyFont="1" applyFill="1" applyAlignment="1">
      <alignment horizontal="center" vertical="center"/>
    </xf>
    <xf numFmtId="171" fontId="9" fillId="18" borderId="0" xfId="5" applyNumberFormat="1" applyFont="1" applyFill="1" applyAlignment="1">
      <alignment horizontal="center" vertical="center"/>
    </xf>
    <xf numFmtId="171" fontId="66" fillId="18" borderId="0" xfId="5" applyNumberFormat="1" applyFont="1" applyFill="1" applyAlignment="1">
      <alignment horizontal="center" vertical="center"/>
    </xf>
    <xf numFmtId="0" fontId="66" fillId="18" borderId="0" xfId="5" applyFont="1" applyFill="1" applyAlignment="1">
      <alignment horizontal="center" vertical="center"/>
    </xf>
    <xf numFmtId="1" fontId="9" fillId="18" borderId="0" xfId="5" applyNumberFormat="1" applyFont="1" applyFill="1" applyAlignment="1">
      <alignment horizontal="center" vertical="center"/>
    </xf>
    <xf numFmtId="0" fontId="12" fillId="18" borderId="0" xfId="5" applyFont="1" applyFill="1" applyAlignment="1">
      <alignment horizontal="left" vertical="center"/>
    </xf>
    <xf numFmtId="0" fontId="12" fillId="18" borderId="0" xfId="5" applyFont="1" applyFill="1" applyAlignment="1">
      <alignment horizontal="center" vertical="center" wrapText="1"/>
    </xf>
    <xf numFmtId="0" fontId="9" fillId="0" borderId="0" xfId="5" applyFont="1" applyAlignment="1">
      <alignment horizontal="justify" vertical="center" wrapText="1"/>
    </xf>
    <xf numFmtId="9" fontId="9" fillId="0" borderId="0" xfId="5" applyNumberFormat="1" applyFont="1" applyAlignment="1">
      <alignment horizontal="center" vertical="center" wrapText="1"/>
    </xf>
    <xf numFmtId="0" fontId="9" fillId="0" borderId="0" xfId="5" quotePrefix="1" applyFont="1" applyAlignment="1">
      <alignment horizontal="left" vertical="center"/>
    </xf>
    <xf numFmtId="1" fontId="9" fillId="0" borderId="0" xfId="5" applyNumberFormat="1" applyFont="1" applyAlignment="1">
      <alignment horizontal="center" vertical="center"/>
    </xf>
    <xf numFmtId="0" fontId="9" fillId="18" borderId="0" xfId="5" applyFont="1" applyFill="1" applyAlignment="1">
      <alignment vertical="center"/>
    </xf>
    <xf numFmtId="189" fontId="12" fillId="18" borderId="0" xfId="5" applyNumberFormat="1" applyFont="1" applyFill="1" applyAlignment="1">
      <alignment horizontal="center" vertical="center"/>
    </xf>
    <xf numFmtId="0" fontId="67" fillId="18" borderId="0" xfId="5" applyFont="1" applyFill="1"/>
    <xf numFmtId="2" fontId="9" fillId="18" borderId="0" xfId="5" applyNumberFormat="1" applyFont="1" applyFill="1" applyAlignment="1">
      <alignment horizontal="center" vertical="center"/>
    </xf>
    <xf numFmtId="0" fontId="9" fillId="0" borderId="0" xfId="5" quotePrefix="1" applyFont="1" applyAlignment="1">
      <alignment horizontal="left" vertical="center" wrapText="1"/>
    </xf>
    <xf numFmtId="1" fontId="9" fillId="38" borderId="0" xfId="5" applyNumberFormat="1" applyFont="1" applyFill="1" applyAlignment="1">
      <alignment horizontal="center" vertical="center" wrapText="1"/>
    </xf>
    <xf numFmtId="185" fontId="9" fillId="0" borderId="0" xfId="5" applyNumberFormat="1" applyFont="1" applyAlignment="1">
      <alignment horizontal="center" vertical="center"/>
    </xf>
    <xf numFmtId="190" fontId="12" fillId="0" borderId="0" xfId="5" applyNumberFormat="1" applyFont="1" applyAlignment="1">
      <alignment horizontal="center" vertical="center"/>
    </xf>
    <xf numFmtId="49" fontId="12" fillId="18" borderId="0" xfId="5" applyNumberFormat="1" applyFont="1" applyFill="1" applyAlignment="1">
      <alignment horizontal="center" vertical="center"/>
    </xf>
    <xf numFmtId="3" fontId="12" fillId="18" borderId="0" xfId="5" applyNumberFormat="1" applyFont="1" applyFill="1" applyAlignment="1">
      <alignment horizontal="center" vertical="center"/>
    </xf>
    <xf numFmtId="171" fontId="12" fillId="18" borderId="0" xfId="5" applyNumberFormat="1" applyFont="1" applyFill="1" applyAlignment="1">
      <alignment horizontal="center" vertical="center"/>
    </xf>
    <xf numFmtId="188" fontId="12" fillId="18" borderId="0" xfId="5" applyNumberFormat="1" applyFont="1" applyFill="1" applyAlignment="1">
      <alignment horizontal="center" vertical="center"/>
    </xf>
    <xf numFmtId="191" fontId="12" fillId="18" borderId="0" xfId="5" applyNumberFormat="1" applyFont="1" applyFill="1" applyAlignment="1">
      <alignment horizontal="center" vertical="center"/>
    </xf>
    <xf numFmtId="188" fontId="68" fillId="18" borderId="0" xfId="30" applyFont="1" applyFill="1" applyProtection="1">
      <protection locked="0"/>
    </xf>
    <xf numFmtId="192" fontId="68" fillId="18" borderId="0" xfId="30" applyNumberFormat="1" applyFont="1" applyFill="1" applyProtection="1">
      <protection locked="0"/>
    </xf>
    <xf numFmtId="0" fontId="4" fillId="18" borderId="0" xfId="5" applyFill="1"/>
    <xf numFmtId="1" fontId="9" fillId="0" borderId="0" xfId="5" applyNumberFormat="1" applyFont="1" applyAlignment="1">
      <alignment horizontal="center" vertical="center" wrapText="1"/>
    </xf>
    <xf numFmtId="0" fontId="9" fillId="18" borderId="0" xfId="5" applyFont="1" applyFill="1" applyAlignment="1">
      <alignment horizontal="left" vertical="center"/>
    </xf>
    <xf numFmtId="188" fontId="9" fillId="18" borderId="0" xfId="5" applyNumberFormat="1" applyFont="1" applyFill="1" applyAlignment="1">
      <alignment horizontal="center" vertical="center" wrapText="1"/>
    </xf>
    <xf numFmtId="0" fontId="12" fillId="18" borderId="1" xfId="28" applyFont="1" applyFill="1" applyBorder="1" applyAlignment="1">
      <alignment horizontal="center" vertical="center"/>
    </xf>
    <xf numFmtId="188" fontId="9" fillId="22" borderId="0" xfId="5" applyNumberFormat="1" applyFont="1" applyFill="1" applyAlignment="1">
      <alignment horizontal="center" vertical="center" wrapText="1"/>
    </xf>
    <xf numFmtId="2" fontId="9" fillId="18" borderId="0" xfId="5" applyNumberFormat="1" applyFont="1" applyFill="1" applyAlignment="1">
      <alignment vertical="center"/>
    </xf>
    <xf numFmtId="4" fontId="9" fillId="18" borderId="0" xfId="5" applyNumberFormat="1" applyFont="1" applyFill="1" applyAlignment="1">
      <alignment vertical="center"/>
    </xf>
    <xf numFmtId="4" fontId="9" fillId="18" borderId="0" xfId="5" applyNumberFormat="1" applyFont="1" applyFill="1" applyAlignment="1">
      <alignment horizontal="center" vertical="center"/>
    </xf>
    <xf numFmtId="2" fontId="12" fillId="18" borderId="1" xfId="28" applyNumberFormat="1" applyFont="1" applyFill="1" applyBorder="1" applyAlignment="1">
      <alignment horizontal="center" vertical="center"/>
    </xf>
    <xf numFmtId="14" fontId="12" fillId="18" borderId="0" xfId="5" applyNumberFormat="1" applyFont="1" applyFill="1" applyAlignment="1">
      <alignment horizontal="center" vertical="center"/>
    </xf>
    <xf numFmtId="3" fontId="9" fillId="18" borderId="0" xfId="5" applyNumberFormat="1" applyFont="1" applyFill="1" applyAlignment="1">
      <alignment horizontal="center" vertical="center"/>
    </xf>
    <xf numFmtId="0" fontId="9" fillId="18" borderId="1" xfId="28" applyFont="1" applyFill="1" applyBorder="1" applyAlignment="1">
      <alignment horizontal="center" vertical="center"/>
    </xf>
    <xf numFmtId="0" fontId="10" fillId="18" borderId="1" xfId="28" applyFont="1" applyFill="1" applyBorder="1" applyAlignment="1">
      <alignment horizontal="center" vertical="center"/>
    </xf>
    <xf numFmtId="0" fontId="9" fillId="0" borderId="0" xfId="5" applyFont="1" applyAlignment="1">
      <alignment vertical="center" wrapText="1"/>
    </xf>
    <xf numFmtId="2" fontId="9" fillId="0" borderId="0" xfId="5" applyNumberFormat="1" applyFont="1" applyAlignment="1">
      <alignment vertical="center"/>
    </xf>
    <xf numFmtId="182" fontId="9" fillId="18" borderId="0" xfId="5" applyNumberFormat="1" applyFont="1" applyFill="1" applyAlignment="1">
      <alignment vertical="center"/>
    </xf>
    <xf numFmtId="171" fontId="9" fillId="18" borderId="0" xfId="5" applyNumberFormat="1" applyFont="1" applyFill="1" applyAlignment="1">
      <alignment vertical="center"/>
    </xf>
    <xf numFmtId="174" fontId="9" fillId="18" borderId="0" xfId="5" applyNumberFormat="1" applyFont="1" applyFill="1" applyAlignment="1">
      <alignment vertical="center"/>
    </xf>
    <xf numFmtId="1" fontId="66" fillId="18" borderId="0" xfId="5" applyNumberFormat="1" applyFont="1" applyFill="1" applyAlignment="1">
      <alignment vertical="center"/>
    </xf>
    <xf numFmtId="193" fontId="9" fillId="18" borderId="0" xfId="5" applyNumberFormat="1" applyFont="1" applyFill="1" applyAlignment="1">
      <alignment vertical="center"/>
    </xf>
    <xf numFmtId="188" fontId="9" fillId="18" borderId="0" xfId="5" applyNumberFormat="1" applyFont="1" applyFill="1" applyAlignment="1">
      <alignment vertical="center"/>
    </xf>
    <xf numFmtId="188" fontId="9" fillId="18" borderId="0" xfId="5" applyNumberFormat="1" applyFont="1" applyFill="1" applyAlignment="1">
      <alignment horizontal="center" vertical="center"/>
    </xf>
    <xf numFmtId="2" fontId="66" fillId="18" borderId="0" xfId="5" applyNumberFormat="1" applyFont="1" applyFill="1" applyAlignment="1">
      <alignment vertical="center"/>
    </xf>
    <xf numFmtId="0" fontId="9" fillId="0" borderId="33" xfId="5" applyFont="1" applyBorder="1" applyAlignment="1">
      <alignment vertical="center"/>
    </xf>
    <xf numFmtId="0" fontId="9" fillId="18" borderId="0" xfId="5" quotePrefix="1" applyFont="1" applyFill="1" applyAlignment="1">
      <alignment horizontal="center" vertical="center"/>
    </xf>
    <xf numFmtId="0" fontId="12" fillId="0" borderId="1" xfId="5" applyFont="1" applyBorder="1" applyAlignment="1">
      <alignment horizontal="center" vertical="center" wrapText="1"/>
    </xf>
    <xf numFmtId="0" fontId="54" fillId="0" borderId="1" xfId="31" applyFont="1" applyBorder="1" applyAlignment="1">
      <alignment horizontal="center" vertical="center"/>
    </xf>
    <xf numFmtId="2" fontId="9" fillId="0" borderId="1" xfId="30" applyNumberFormat="1" applyFont="1" applyBorder="1" applyAlignment="1" applyProtection="1">
      <alignment horizontal="center" vertical="center"/>
      <protection locked="0"/>
    </xf>
    <xf numFmtId="2" fontId="9" fillId="0" borderId="1" xfId="5" applyNumberFormat="1" applyFont="1" applyBorder="1" applyAlignment="1">
      <alignment horizontal="center" vertical="center" wrapText="1"/>
    </xf>
    <xf numFmtId="2" fontId="28" fillId="0" borderId="1" xfId="31" applyNumberFormat="1" applyFont="1" applyBorder="1" applyAlignment="1">
      <alignment horizontal="center" vertical="center"/>
    </xf>
    <xf numFmtId="190" fontId="9" fillId="0" borderId="1" xfId="5" applyNumberFormat="1" applyFont="1" applyBorder="1" applyAlignment="1">
      <alignment horizontal="center" vertical="center" wrapText="1"/>
    </xf>
    <xf numFmtId="188" fontId="9" fillId="0" borderId="1" xfId="5" applyNumberFormat="1" applyFont="1" applyBorder="1" applyAlignment="1">
      <alignment horizontal="center" vertical="center" wrapText="1"/>
    </xf>
    <xf numFmtId="171" fontId="9" fillId="0" borderId="1" xfId="32" applyNumberFormat="1" applyFont="1" applyBorder="1" applyAlignment="1" applyProtection="1">
      <alignment horizontal="center" vertical="center"/>
      <protection locked="0"/>
    </xf>
    <xf numFmtId="185" fontId="9" fillId="0" borderId="1" xfId="33" applyNumberFormat="1" applyFont="1" applyBorder="1" applyAlignment="1">
      <alignment horizontal="center" vertical="center"/>
    </xf>
    <xf numFmtId="2" fontId="9" fillId="0" borderId="1" xfId="33" applyNumberFormat="1" applyFont="1" applyBorder="1" applyAlignment="1">
      <alignment horizontal="center" vertical="center"/>
    </xf>
    <xf numFmtId="188" fontId="9" fillId="0" borderId="1" xfId="5" applyNumberFormat="1" applyFont="1" applyBorder="1" applyAlignment="1">
      <alignment horizontal="center" vertical="center"/>
    </xf>
    <xf numFmtId="2" fontId="48" fillId="0" borderId="1" xfId="33" applyNumberFormat="1" applyFont="1" applyBorder="1" applyAlignment="1">
      <alignment horizontal="center" vertical="center"/>
    </xf>
    <xf numFmtId="188" fontId="48" fillId="0" borderId="1" xfId="5" applyNumberFormat="1" applyFont="1" applyBorder="1" applyAlignment="1">
      <alignment horizontal="center" vertical="center" wrapText="1"/>
    </xf>
    <xf numFmtId="2" fontId="66" fillId="0" borderId="1" xfId="5" applyNumberFormat="1" applyFont="1" applyBorder="1" applyAlignment="1">
      <alignment horizontal="center" vertical="center"/>
    </xf>
    <xf numFmtId="0" fontId="9" fillId="0" borderId="1" xfId="5" applyFont="1" applyBorder="1" applyAlignment="1">
      <alignment horizontal="center"/>
    </xf>
    <xf numFmtId="1" fontId="12" fillId="0" borderId="1" xfId="5" applyNumberFormat="1" applyFont="1" applyBorder="1" applyAlignment="1">
      <alignment horizontal="center" vertical="center"/>
    </xf>
    <xf numFmtId="185" fontId="70" fillId="0" borderId="1" xfId="34" applyNumberFormat="1" applyFont="1" applyBorder="1" applyAlignment="1">
      <alignment horizontal="center" vertical="center" wrapText="1"/>
    </xf>
    <xf numFmtId="0" fontId="9" fillId="0" borderId="1" xfId="5" applyFont="1" applyBorder="1" applyAlignment="1">
      <alignment horizontal="center" vertical="center"/>
    </xf>
    <xf numFmtId="0" fontId="48" fillId="0" borderId="1" xfId="5" applyFont="1" applyBorder="1" applyAlignment="1">
      <alignment horizontal="center" vertical="center" wrapText="1"/>
    </xf>
    <xf numFmtId="2" fontId="48" fillId="0" borderId="1" xfId="34" applyNumberFormat="1" applyFont="1" applyBorder="1" applyAlignment="1">
      <alignment horizontal="center" vertical="center"/>
    </xf>
    <xf numFmtId="171" fontId="48" fillId="0" borderId="1" xfId="32" applyNumberFormat="1" applyFont="1" applyBorder="1" applyAlignment="1" applyProtection="1">
      <alignment horizontal="center" vertical="center"/>
      <protection locked="0"/>
    </xf>
    <xf numFmtId="2" fontId="9" fillId="0" borderId="1" xfId="29" applyNumberFormat="1" applyFont="1" applyBorder="1" applyAlignment="1" applyProtection="1">
      <alignment horizontal="center" vertical="center"/>
      <protection locked="0"/>
    </xf>
    <xf numFmtId="0" fontId="1" fillId="0" borderId="1" xfId="35" applyBorder="1" applyAlignment="1">
      <alignment horizontal="center"/>
    </xf>
    <xf numFmtId="0" fontId="12" fillId="0" borderId="1" xfId="5" applyFont="1" applyBorder="1" applyAlignment="1">
      <alignment horizontal="center" vertical="center"/>
    </xf>
    <xf numFmtId="0" fontId="9" fillId="0" borderId="4" xfId="5" applyFont="1" applyBorder="1" applyAlignment="1">
      <alignment horizontal="center" vertical="center"/>
    </xf>
    <xf numFmtId="2" fontId="66" fillId="0" borderId="0" xfId="5" applyNumberFormat="1" applyFont="1" applyAlignment="1">
      <alignment horizontal="center" vertical="center"/>
    </xf>
    <xf numFmtId="0" fontId="54" fillId="0" borderId="1" xfId="31" applyFont="1" applyBorder="1" applyAlignment="1">
      <alignment horizontal="center"/>
    </xf>
    <xf numFmtId="188" fontId="9" fillId="0" borderId="1" xfId="28" applyNumberFormat="1" applyFont="1" applyBorder="1" applyAlignment="1">
      <alignment horizontal="center" vertical="center" wrapText="1"/>
    </xf>
    <xf numFmtId="1" fontId="70" fillId="0" borderId="1" xfId="34" applyNumberFormat="1" applyFont="1" applyBorder="1" applyAlignment="1">
      <alignment horizontal="center" vertical="center" wrapText="1"/>
    </xf>
    <xf numFmtId="2" fontId="28" fillId="0" borderId="1" xfId="5" applyNumberFormat="1" applyFont="1" applyBorder="1" applyAlignment="1">
      <alignment horizontal="center" vertical="center"/>
    </xf>
    <xf numFmtId="2" fontId="9" fillId="0" borderId="1" xfId="36" applyNumberFormat="1" applyFont="1" applyBorder="1" applyAlignment="1">
      <alignment horizontal="center" vertical="center" wrapText="1"/>
    </xf>
    <xf numFmtId="194" fontId="12" fillId="0" borderId="1" xfId="5" applyNumberFormat="1" applyFont="1" applyBorder="1" applyAlignment="1">
      <alignment horizontal="center" vertical="center"/>
    </xf>
    <xf numFmtId="171" fontId="9" fillId="0" borderId="1" xfId="5" quotePrefix="1" applyNumberFormat="1" applyFont="1" applyBorder="1" applyAlignment="1">
      <alignment horizontal="center" vertical="center"/>
    </xf>
    <xf numFmtId="2" fontId="9" fillId="0" borderId="1" xfId="34" applyNumberFormat="1" applyFont="1" applyBorder="1" applyAlignment="1">
      <alignment horizontal="center" vertical="center"/>
    </xf>
    <xf numFmtId="0" fontId="24" fillId="0" borderId="1" xfId="35" applyFont="1" applyBorder="1" applyAlignment="1">
      <alignment horizontal="center"/>
    </xf>
    <xf numFmtId="0" fontId="28" fillId="0" borderId="0" xfId="31" applyFont="1" applyAlignment="1">
      <alignment horizontal="center"/>
    </xf>
    <xf numFmtId="0" fontId="37" fillId="0" borderId="1" xfId="28" applyFont="1" applyBorder="1" applyAlignment="1">
      <alignment horizontal="center" vertical="center" shrinkToFit="1"/>
    </xf>
    <xf numFmtId="0" fontId="28" fillId="0" borderId="1" xfId="31" applyFont="1" applyBorder="1" applyAlignment="1">
      <alignment horizontal="center"/>
    </xf>
    <xf numFmtId="0" fontId="12" fillId="23" borderId="1" xfId="5" applyFont="1" applyFill="1" applyBorder="1" applyAlignment="1">
      <alignment horizontal="center" vertical="center" wrapText="1"/>
    </xf>
    <xf numFmtId="0" fontId="54" fillId="23" borderId="1" xfId="31" applyFont="1" applyFill="1" applyBorder="1" applyAlignment="1">
      <alignment horizontal="center"/>
    </xf>
    <xf numFmtId="0" fontId="54" fillId="23" borderId="1" xfId="31" applyFont="1" applyFill="1" applyBorder="1" applyAlignment="1">
      <alignment horizontal="center" vertical="center"/>
    </xf>
    <xf numFmtId="2" fontId="9" fillId="23" borderId="1" xfId="5" applyNumberFormat="1" applyFont="1" applyFill="1" applyBorder="1" applyAlignment="1">
      <alignment horizontal="center" vertical="center" wrapText="1"/>
    </xf>
    <xf numFmtId="2" fontId="9" fillId="23" borderId="1" xfId="30" applyNumberFormat="1" applyFont="1" applyFill="1" applyBorder="1" applyAlignment="1" applyProtection="1">
      <alignment horizontal="center" vertical="center"/>
      <protection locked="0"/>
    </xf>
    <xf numFmtId="2" fontId="28" fillId="23" borderId="1" xfId="31" applyNumberFormat="1" applyFont="1" applyFill="1" applyBorder="1" applyAlignment="1">
      <alignment horizontal="center" vertical="center"/>
    </xf>
    <xf numFmtId="190" fontId="9" fillId="23" borderId="1" xfId="5" applyNumberFormat="1" applyFont="1" applyFill="1" applyBorder="1" applyAlignment="1">
      <alignment horizontal="center" vertical="center" wrapText="1"/>
    </xf>
    <xf numFmtId="188" fontId="9" fillId="23" borderId="1" xfId="5" applyNumberFormat="1" applyFont="1" applyFill="1" applyBorder="1" applyAlignment="1">
      <alignment horizontal="center" vertical="center" wrapText="1"/>
    </xf>
    <xf numFmtId="171" fontId="9" fillId="23" borderId="1" xfId="32" applyNumberFormat="1" applyFont="1" applyFill="1" applyBorder="1" applyAlignment="1" applyProtection="1">
      <alignment horizontal="center" vertical="center"/>
      <protection locked="0"/>
    </xf>
    <xf numFmtId="185" fontId="9" fillId="23" borderId="1" xfId="33" applyNumberFormat="1" applyFont="1" applyFill="1" applyBorder="1" applyAlignment="1">
      <alignment horizontal="center" vertical="center"/>
    </xf>
    <xf numFmtId="2" fontId="9" fillId="23" borderId="1" xfId="33" applyNumberFormat="1" applyFont="1" applyFill="1" applyBorder="1" applyAlignment="1">
      <alignment horizontal="center" vertical="center"/>
    </xf>
    <xf numFmtId="188" fontId="9" fillId="23" borderId="1" xfId="5" applyNumberFormat="1" applyFont="1" applyFill="1" applyBorder="1" applyAlignment="1">
      <alignment horizontal="center" vertical="center"/>
    </xf>
    <xf numFmtId="188" fontId="9" fillId="23" borderId="1" xfId="0" applyNumberFormat="1" applyFont="1" applyFill="1" applyBorder="1" applyAlignment="1">
      <alignment horizontal="center" vertical="center" wrapText="1"/>
    </xf>
    <xf numFmtId="2" fontId="66" fillId="23" borderId="1" xfId="5" applyNumberFormat="1" applyFont="1" applyFill="1" applyBorder="1" applyAlignment="1">
      <alignment horizontal="center" vertical="center"/>
    </xf>
    <xf numFmtId="1" fontId="70" fillId="23" borderId="1" xfId="34" applyNumberFormat="1" applyFont="1" applyFill="1" applyBorder="1" applyAlignment="1">
      <alignment horizontal="center" vertical="center" wrapText="1"/>
    </xf>
    <xf numFmtId="1" fontId="12" fillId="23" borderId="1" xfId="5" applyNumberFormat="1" applyFont="1" applyFill="1" applyBorder="1" applyAlignment="1">
      <alignment horizontal="center" vertical="center"/>
    </xf>
    <xf numFmtId="2" fontId="9" fillId="23" borderId="1" xfId="5" applyNumberFormat="1" applyFont="1" applyFill="1" applyBorder="1" applyAlignment="1">
      <alignment horizontal="center" vertical="center"/>
    </xf>
    <xf numFmtId="2" fontId="28" fillId="23" borderId="1" xfId="5" applyNumberFormat="1" applyFont="1" applyFill="1" applyBorder="1" applyAlignment="1">
      <alignment horizontal="center" vertical="center"/>
    </xf>
    <xf numFmtId="2" fontId="9" fillId="23" borderId="1" xfId="36" applyNumberFormat="1" applyFont="1" applyFill="1" applyBorder="1" applyAlignment="1">
      <alignment horizontal="center" vertical="center" wrapText="1"/>
    </xf>
    <xf numFmtId="171" fontId="9" fillId="23" borderId="1" xfId="5" applyNumberFormat="1" applyFont="1" applyFill="1" applyBorder="1" applyAlignment="1">
      <alignment horizontal="center" vertical="center"/>
    </xf>
    <xf numFmtId="194" fontId="12" fillId="23" borderId="1" xfId="5" applyNumberFormat="1" applyFont="1" applyFill="1" applyBorder="1" applyAlignment="1">
      <alignment horizontal="center" vertical="center"/>
    </xf>
    <xf numFmtId="171" fontId="9" fillId="23" borderId="1" xfId="5" quotePrefix="1" applyNumberFormat="1" applyFont="1" applyFill="1" applyBorder="1" applyAlignment="1">
      <alignment horizontal="center" vertical="center"/>
    </xf>
    <xf numFmtId="0" fontId="9" fillId="23" borderId="1" xfId="5" applyFont="1" applyFill="1" applyBorder="1" applyAlignment="1">
      <alignment horizontal="center" vertical="center"/>
    </xf>
    <xf numFmtId="0" fontId="9" fillId="23" borderId="1" xfId="5" applyFont="1" applyFill="1" applyBorder="1" applyAlignment="1">
      <alignment horizontal="center" vertical="center" wrapText="1"/>
    </xf>
    <xf numFmtId="2" fontId="9" fillId="23" borderId="1" xfId="34" applyNumberFormat="1" applyFont="1" applyFill="1" applyBorder="1" applyAlignment="1">
      <alignment horizontal="center" vertical="center"/>
    </xf>
    <xf numFmtId="2" fontId="9" fillId="23" borderId="1" xfId="29" applyNumberFormat="1" applyFont="1" applyFill="1" applyBorder="1" applyAlignment="1" applyProtection="1">
      <alignment horizontal="center" vertical="center"/>
      <protection locked="0"/>
    </xf>
    <xf numFmtId="0" fontId="24" fillId="23" borderId="1" xfId="35" applyFont="1" applyFill="1" applyBorder="1" applyAlignment="1">
      <alignment horizontal="center"/>
    </xf>
    <xf numFmtId="0" fontId="12" fillId="23" borderId="1" xfId="5" applyFont="1" applyFill="1" applyBorder="1" applyAlignment="1">
      <alignment horizontal="center" vertical="center"/>
    </xf>
    <xf numFmtId="2" fontId="66" fillId="23" borderId="0" xfId="5" applyNumberFormat="1" applyFont="1" applyFill="1" applyAlignment="1">
      <alignment horizontal="center" vertical="center"/>
    </xf>
    <xf numFmtId="0" fontId="9" fillId="23" borderId="0" xfId="5" applyFont="1" applyFill="1" applyAlignment="1">
      <alignment vertical="center"/>
    </xf>
    <xf numFmtId="188" fontId="9" fillId="23" borderId="1" xfId="28" applyNumberFormat="1" applyFont="1" applyFill="1" applyBorder="1" applyAlignment="1">
      <alignment horizontal="center" vertical="center" wrapText="1"/>
    </xf>
    <xf numFmtId="2" fontId="9" fillId="39" borderId="1" xfId="5" applyNumberFormat="1" applyFont="1" applyFill="1" applyBorder="1" applyAlignment="1">
      <alignment horizontal="center" vertical="center" wrapText="1"/>
    </xf>
    <xf numFmtId="0" fontId="54" fillId="19" borderId="1" xfId="31" applyFont="1" applyFill="1" applyBorder="1" applyAlignment="1">
      <alignment horizontal="center"/>
    </xf>
    <xf numFmtId="0" fontId="54" fillId="19" borderId="1" xfId="31" applyFont="1" applyFill="1" applyBorder="1" applyAlignment="1">
      <alignment horizontal="center" vertical="center"/>
    </xf>
    <xf numFmtId="2" fontId="9" fillId="19" borderId="1" xfId="5" applyNumberFormat="1" applyFont="1" applyFill="1" applyBorder="1" applyAlignment="1">
      <alignment horizontal="center" vertical="center" wrapText="1"/>
    </xf>
    <xf numFmtId="2" fontId="9" fillId="19" borderId="1" xfId="30" applyNumberFormat="1" applyFont="1" applyFill="1" applyBorder="1" applyAlignment="1" applyProtection="1">
      <alignment horizontal="center" vertical="center"/>
      <protection locked="0"/>
    </xf>
    <xf numFmtId="2" fontId="28" fillId="19" borderId="1" xfId="31" applyNumberFormat="1" applyFont="1" applyFill="1" applyBorder="1" applyAlignment="1">
      <alignment horizontal="center" vertical="center"/>
    </xf>
    <xf numFmtId="190" fontId="9" fillId="19" borderId="1" xfId="5" applyNumberFormat="1" applyFont="1" applyFill="1" applyBorder="1" applyAlignment="1">
      <alignment horizontal="center" vertical="center" wrapText="1"/>
    </xf>
    <xf numFmtId="188" fontId="9" fillId="19" borderId="1" xfId="5" applyNumberFormat="1" applyFont="1" applyFill="1" applyBorder="1" applyAlignment="1">
      <alignment horizontal="center" vertical="center" wrapText="1"/>
    </xf>
    <xf numFmtId="171" fontId="9" fillId="19" borderId="1" xfId="32" applyNumberFormat="1" applyFont="1" applyFill="1" applyBorder="1" applyAlignment="1" applyProtection="1">
      <alignment horizontal="center" vertical="center"/>
      <protection locked="0"/>
    </xf>
    <xf numFmtId="185" fontId="9" fillId="19" borderId="1" xfId="33" applyNumberFormat="1" applyFont="1" applyFill="1" applyBorder="1" applyAlignment="1">
      <alignment horizontal="center" vertical="center"/>
    </xf>
    <xf numFmtId="2" fontId="9" fillId="19" borderId="1" xfId="33" applyNumberFormat="1" applyFont="1" applyFill="1" applyBorder="1" applyAlignment="1">
      <alignment horizontal="center" vertical="center"/>
    </xf>
    <xf numFmtId="188" fontId="9" fillId="19" borderId="1" xfId="5" applyNumberFormat="1" applyFont="1" applyFill="1" applyBorder="1" applyAlignment="1">
      <alignment horizontal="center" vertical="center"/>
    </xf>
    <xf numFmtId="188" fontId="9" fillId="19" borderId="1" xfId="28" applyNumberFormat="1" applyFont="1" applyFill="1" applyBorder="1" applyAlignment="1">
      <alignment horizontal="center" vertical="center" wrapText="1"/>
    </xf>
    <xf numFmtId="2" fontId="66" fillId="19" borderId="1" xfId="5" applyNumberFormat="1" applyFont="1" applyFill="1" applyBorder="1" applyAlignment="1">
      <alignment horizontal="center" vertical="center"/>
    </xf>
    <xf numFmtId="1" fontId="70" fillId="19" borderId="1" xfId="34" applyNumberFormat="1" applyFont="1" applyFill="1" applyBorder="1" applyAlignment="1">
      <alignment horizontal="center" vertical="center" wrapText="1"/>
    </xf>
    <xf numFmtId="1" fontId="12" fillId="19" borderId="1" xfId="5" applyNumberFormat="1" applyFont="1" applyFill="1" applyBorder="1" applyAlignment="1">
      <alignment horizontal="center" vertical="center"/>
    </xf>
    <xf numFmtId="2" fontId="9" fillId="19" borderId="1" xfId="5" applyNumberFormat="1" applyFont="1" applyFill="1" applyBorder="1" applyAlignment="1">
      <alignment horizontal="center" vertical="center"/>
    </xf>
    <xf numFmtId="2" fontId="28" fillId="19" borderId="1" xfId="5" applyNumberFormat="1" applyFont="1" applyFill="1" applyBorder="1" applyAlignment="1">
      <alignment horizontal="center" vertical="center"/>
    </xf>
    <xf numFmtId="2" fontId="9" fillId="19" borderId="1" xfId="36" applyNumberFormat="1" applyFont="1" applyFill="1" applyBorder="1" applyAlignment="1">
      <alignment horizontal="center" vertical="center" wrapText="1"/>
    </xf>
    <xf numFmtId="171" fontId="9" fillId="19" borderId="1" xfId="5" applyNumberFormat="1" applyFont="1" applyFill="1" applyBorder="1" applyAlignment="1">
      <alignment horizontal="center" vertical="center"/>
    </xf>
    <xf numFmtId="171" fontId="9" fillId="19" borderId="1" xfId="5" quotePrefix="1" applyNumberFormat="1" applyFont="1" applyFill="1" applyBorder="1" applyAlignment="1">
      <alignment horizontal="center" vertical="center"/>
    </xf>
    <xf numFmtId="0" fontId="9" fillId="19" borderId="1" xfId="5" applyFont="1" applyFill="1" applyBorder="1" applyAlignment="1">
      <alignment horizontal="center" vertical="center"/>
    </xf>
    <xf numFmtId="0" fontId="9" fillId="19" borderId="1" xfId="5" applyFont="1" applyFill="1" applyBorder="1" applyAlignment="1">
      <alignment horizontal="center" vertical="center" wrapText="1"/>
    </xf>
    <xf numFmtId="2" fontId="9" fillId="19" borderId="1" xfId="34" applyNumberFormat="1" applyFont="1" applyFill="1" applyBorder="1" applyAlignment="1">
      <alignment horizontal="center" vertical="center"/>
    </xf>
    <xf numFmtId="2" fontId="9" fillId="19" borderId="1" xfId="29" applyNumberFormat="1" applyFont="1" applyFill="1" applyBorder="1" applyAlignment="1" applyProtection="1">
      <alignment horizontal="center" vertical="center"/>
      <protection locked="0"/>
    </xf>
    <xf numFmtId="0" fontId="24" fillId="19" borderId="1" xfId="35" applyFont="1" applyFill="1" applyBorder="1" applyAlignment="1">
      <alignment horizontal="center"/>
    </xf>
    <xf numFmtId="0" fontId="12" fillId="19" borderId="1" xfId="5" applyFont="1" applyFill="1" applyBorder="1" applyAlignment="1">
      <alignment horizontal="center" vertical="center"/>
    </xf>
    <xf numFmtId="2" fontId="66" fillId="19" borderId="0" xfId="5" applyNumberFormat="1" applyFont="1" applyFill="1" applyAlignment="1">
      <alignment horizontal="center" vertical="center"/>
    </xf>
    <xf numFmtId="0" fontId="9" fillId="19" borderId="0" xfId="5" applyFont="1" applyFill="1" applyAlignment="1">
      <alignment vertical="center"/>
    </xf>
    <xf numFmtId="0" fontId="12" fillId="19" borderId="1" xfId="5" applyFont="1" applyFill="1" applyBorder="1" applyAlignment="1">
      <alignment horizontal="center" vertical="center" wrapText="1"/>
    </xf>
    <xf numFmtId="194" fontId="12" fillId="19" borderId="1" xfId="5" applyNumberFormat="1" applyFont="1" applyFill="1" applyBorder="1" applyAlignment="1">
      <alignment horizontal="center" vertical="center"/>
    </xf>
    <xf numFmtId="0" fontId="54" fillId="7" borderId="1" xfId="31" applyFont="1" applyFill="1" applyBorder="1" applyAlignment="1">
      <alignment horizontal="center"/>
    </xf>
    <xf numFmtId="0" fontId="54" fillId="7" borderId="1" xfId="31" applyFont="1" applyFill="1" applyBorder="1" applyAlignment="1">
      <alignment horizontal="center" vertical="center"/>
    </xf>
    <xf numFmtId="2" fontId="9" fillId="7" borderId="1" xfId="5" applyNumberFormat="1" applyFont="1" applyFill="1" applyBorder="1" applyAlignment="1">
      <alignment horizontal="center" vertical="center" wrapText="1"/>
    </xf>
    <xf numFmtId="2" fontId="9" fillId="7" borderId="1" xfId="30" applyNumberFormat="1" applyFont="1" applyFill="1" applyBorder="1" applyAlignment="1" applyProtection="1">
      <alignment horizontal="center" vertical="center"/>
      <protection locked="0"/>
    </xf>
    <xf numFmtId="2" fontId="28" fillId="7" borderId="1" xfId="31" applyNumberFormat="1" applyFont="1" applyFill="1" applyBorder="1" applyAlignment="1">
      <alignment horizontal="center" vertical="center"/>
    </xf>
    <xf numFmtId="190" fontId="9" fillId="7" borderId="1" xfId="5" applyNumberFormat="1" applyFont="1" applyFill="1" applyBorder="1" applyAlignment="1">
      <alignment horizontal="center" vertical="center" wrapText="1"/>
    </xf>
    <xf numFmtId="188" fontId="9" fillId="7" borderId="1" xfId="5" applyNumberFormat="1" applyFont="1" applyFill="1" applyBorder="1" applyAlignment="1">
      <alignment horizontal="center" vertical="center" wrapText="1"/>
    </xf>
    <xf numFmtId="171" fontId="9" fillId="7" borderId="1" xfId="32" applyNumberFormat="1" applyFont="1" applyFill="1" applyBorder="1" applyAlignment="1" applyProtection="1">
      <alignment horizontal="center" vertical="center"/>
      <protection locked="0"/>
    </xf>
    <xf numFmtId="2" fontId="9" fillId="7" borderId="1" xfId="33" applyNumberFormat="1" applyFont="1" applyFill="1" applyBorder="1" applyAlignment="1">
      <alignment horizontal="center" vertical="center"/>
    </xf>
    <xf numFmtId="188" fontId="9" fillId="7" borderId="1" xfId="28" applyNumberFormat="1" applyFont="1" applyFill="1" applyBorder="1" applyAlignment="1">
      <alignment horizontal="center" vertical="center" wrapText="1"/>
    </xf>
    <xf numFmtId="1" fontId="70" fillId="7" borderId="1" xfId="34" applyNumberFormat="1" applyFont="1" applyFill="1" applyBorder="1" applyAlignment="1">
      <alignment horizontal="center" vertical="center" wrapText="1"/>
    </xf>
    <xf numFmtId="1" fontId="12" fillId="7" borderId="1" xfId="5" applyNumberFormat="1" applyFont="1" applyFill="1" applyBorder="1" applyAlignment="1">
      <alignment horizontal="center" vertical="center"/>
    </xf>
    <xf numFmtId="2" fontId="66" fillId="7" borderId="1" xfId="5" applyNumberFormat="1" applyFont="1" applyFill="1" applyBorder="1" applyAlignment="1">
      <alignment horizontal="center" vertical="center"/>
    </xf>
    <xf numFmtId="2" fontId="9" fillId="7" borderId="1" xfId="5" applyNumberFormat="1" applyFont="1" applyFill="1" applyBorder="1" applyAlignment="1">
      <alignment horizontal="center" vertical="center"/>
    </xf>
    <xf numFmtId="2" fontId="28" fillId="7" borderId="1" xfId="5" applyNumberFormat="1" applyFont="1" applyFill="1" applyBorder="1" applyAlignment="1">
      <alignment horizontal="center" vertical="center"/>
    </xf>
    <xf numFmtId="2" fontId="9" fillId="7" borderId="1" xfId="36" applyNumberFormat="1" applyFont="1" applyFill="1" applyBorder="1" applyAlignment="1">
      <alignment horizontal="center" vertical="center" wrapText="1"/>
    </xf>
    <xf numFmtId="188" fontId="9" fillId="7" borderId="1" xfId="5" applyNumberFormat="1" applyFont="1" applyFill="1" applyBorder="1" applyAlignment="1">
      <alignment horizontal="center" vertical="center"/>
    </xf>
    <xf numFmtId="171" fontId="9" fillId="7" borderId="1" xfId="5" applyNumberFormat="1" applyFont="1" applyFill="1" applyBorder="1" applyAlignment="1">
      <alignment horizontal="center" vertical="center"/>
    </xf>
    <xf numFmtId="194" fontId="12" fillId="7" borderId="1" xfId="5" applyNumberFormat="1" applyFont="1" applyFill="1" applyBorder="1" applyAlignment="1">
      <alignment horizontal="center" vertical="center"/>
    </xf>
    <xf numFmtId="171" fontId="9" fillId="7" borderId="1" xfId="5" quotePrefix="1" applyNumberFormat="1" applyFont="1" applyFill="1" applyBorder="1" applyAlignment="1">
      <alignment horizontal="center" vertical="center"/>
    </xf>
    <xf numFmtId="0" fontId="9" fillId="7" borderId="1" xfId="5" applyFont="1" applyFill="1" applyBorder="1" applyAlignment="1">
      <alignment horizontal="center" vertical="center"/>
    </xf>
    <xf numFmtId="2" fontId="9" fillId="7" borderId="1" xfId="34" applyNumberFormat="1" applyFont="1" applyFill="1" applyBorder="1" applyAlignment="1">
      <alignment horizontal="center" vertical="center"/>
    </xf>
    <xf numFmtId="2" fontId="9" fillId="7" borderId="1" xfId="29" applyNumberFormat="1" applyFont="1" applyFill="1" applyBorder="1" applyAlignment="1" applyProtection="1">
      <alignment horizontal="center" vertical="center"/>
      <protection locked="0"/>
    </xf>
    <xf numFmtId="0" fontId="24" fillId="7" borderId="1" xfId="35" applyFont="1" applyFill="1" applyBorder="1" applyAlignment="1">
      <alignment horizontal="center"/>
    </xf>
    <xf numFmtId="0" fontId="12" fillId="7" borderId="1" xfId="5" applyFont="1" applyFill="1" applyBorder="1" applyAlignment="1">
      <alignment horizontal="center" vertical="center"/>
    </xf>
    <xf numFmtId="2" fontId="66" fillId="7" borderId="0" xfId="5" applyNumberFormat="1" applyFont="1" applyFill="1" applyAlignment="1">
      <alignment horizontal="center" vertical="center"/>
    </xf>
    <xf numFmtId="0" fontId="9" fillId="7" borderId="0" xfId="5" applyFont="1" applyFill="1" applyAlignment="1">
      <alignment vertical="center"/>
    </xf>
    <xf numFmtId="185" fontId="9" fillId="7" borderId="1" xfId="33" applyNumberFormat="1" applyFont="1" applyFill="1" applyBorder="1" applyAlignment="1">
      <alignment horizontal="center" vertical="center"/>
    </xf>
    <xf numFmtId="1" fontId="66" fillId="0" borderId="0" xfId="5" applyNumberFormat="1" applyFont="1" applyAlignment="1">
      <alignment vertical="center"/>
    </xf>
    <xf numFmtId="171" fontId="66" fillId="0" borderId="0" xfId="5" applyNumberFormat="1" applyFont="1" applyAlignment="1">
      <alignment vertical="center"/>
    </xf>
    <xf numFmtId="171" fontId="9" fillId="0" borderId="0" xfId="5" applyNumberFormat="1" applyFont="1" applyAlignment="1">
      <alignment vertical="center"/>
    </xf>
    <xf numFmtId="2" fontId="9" fillId="40" borderId="1" xfId="5" applyNumberFormat="1" applyFont="1" applyFill="1" applyBorder="1" applyAlignment="1">
      <alignment horizontal="center" vertical="center" wrapText="1"/>
    </xf>
    <xf numFmtId="2" fontId="9" fillId="40" borderId="1" xfId="30" applyNumberFormat="1" applyFont="1" applyFill="1" applyBorder="1" applyAlignment="1" applyProtection="1">
      <alignment horizontal="center" vertical="center"/>
      <protection locked="0"/>
    </xf>
    <xf numFmtId="2" fontId="28" fillId="40" borderId="1" xfId="31" applyNumberFormat="1" applyFont="1" applyFill="1" applyBorder="1" applyAlignment="1">
      <alignment horizontal="center" vertical="center"/>
    </xf>
    <xf numFmtId="190" fontId="9" fillId="40" borderId="1" xfId="5" applyNumberFormat="1" applyFont="1" applyFill="1" applyBorder="1" applyAlignment="1">
      <alignment horizontal="center" vertical="center" wrapText="1"/>
    </xf>
    <xf numFmtId="188" fontId="9" fillId="40" borderId="1" xfId="5" applyNumberFormat="1" applyFont="1" applyFill="1" applyBorder="1" applyAlignment="1">
      <alignment horizontal="center" vertical="center" wrapText="1"/>
    </xf>
    <xf numFmtId="171" fontId="9" fillId="40" borderId="1" xfId="32" applyNumberFormat="1" applyFont="1" applyFill="1" applyBorder="1" applyAlignment="1" applyProtection="1">
      <alignment horizontal="center" vertical="center"/>
      <protection locked="0"/>
    </xf>
    <xf numFmtId="185" fontId="9" fillId="40" borderId="1" xfId="33" applyNumberFormat="1" applyFont="1" applyFill="1" applyBorder="1" applyAlignment="1">
      <alignment horizontal="center" vertical="center"/>
    </xf>
    <xf numFmtId="2" fontId="9" fillId="40" borderId="1" xfId="33" applyNumberFormat="1" applyFont="1" applyFill="1" applyBorder="1" applyAlignment="1">
      <alignment horizontal="center" vertical="center"/>
    </xf>
    <xf numFmtId="188" fontId="9" fillId="41" borderId="1" xfId="5" applyNumberFormat="1" applyFont="1" applyFill="1" applyBorder="1" applyAlignment="1">
      <alignment horizontal="center" vertical="center"/>
    </xf>
    <xf numFmtId="188" fontId="9" fillId="40" borderId="1" xfId="0" applyNumberFormat="1" applyFont="1" applyFill="1" applyBorder="1" applyAlignment="1">
      <alignment horizontal="center" vertical="center" wrapText="1"/>
    </xf>
    <xf numFmtId="1" fontId="70" fillId="40" borderId="1" xfId="34" applyNumberFormat="1" applyFont="1" applyFill="1" applyBorder="1" applyAlignment="1">
      <alignment horizontal="center" vertical="center" wrapText="1"/>
    </xf>
    <xf numFmtId="1" fontId="12" fillId="40" borderId="1" xfId="5" applyNumberFormat="1" applyFont="1" applyFill="1" applyBorder="1" applyAlignment="1">
      <alignment horizontal="center" vertical="center"/>
    </xf>
    <xf numFmtId="2" fontId="66" fillId="40" borderId="1" xfId="5" applyNumberFormat="1" applyFont="1" applyFill="1" applyBorder="1" applyAlignment="1">
      <alignment horizontal="center" vertical="center"/>
    </xf>
    <xf numFmtId="2" fontId="9" fillId="40" borderId="1" xfId="5" applyNumberFormat="1" applyFont="1" applyFill="1" applyBorder="1" applyAlignment="1">
      <alignment horizontal="center" vertical="center"/>
    </xf>
    <xf numFmtId="2" fontId="28" fillId="41" borderId="1" xfId="5" applyNumberFormat="1" applyFont="1" applyFill="1" applyBorder="1" applyAlignment="1">
      <alignment horizontal="center" vertical="center"/>
    </xf>
    <xf numFmtId="2" fontId="9" fillId="40" borderId="1" xfId="36" applyNumberFormat="1" applyFont="1" applyFill="1" applyBorder="1" applyAlignment="1">
      <alignment horizontal="center" vertical="center" wrapText="1"/>
    </xf>
    <xf numFmtId="188" fontId="9" fillId="40" borderId="1" xfId="5" applyNumberFormat="1" applyFont="1" applyFill="1" applyBorder="1" applyAlignment="1">
      <alignment horizontal="center" vertical="center"/>
    </xf>
    <xf numFmtId="171" fontId="9" fillId="40" borderId="1" xfId="5" applyNumberFormat="1" applyFont="1" applyFill="1" applyBorder="1" applyAlignment="1">
      <alignment horizontal="center" vertical="center"/>
    </xf>
    <xf numFmtId="194" fontId="12" fillId="40" borderId="1" xfId="5" applyNumberFormat="1" applyFont="1" applyFill="1" applyBorder="1" applyAlignment="1">
      <alignment horizontal="center" vertical="center"/>
    </xf>
    <xf numFmtId="171" fontId="9" fillId="40" borderId="1" xfId="5" quotePrefix="1" applyNumberFormat="1" applyFont="1" applyFill="1" applyBorder="1" applyAlignment="1">
      <alignment horizontal="center" vertical="center"/>
    </xf>
    <xf numFmtId="0" fontId="9" fillId="40" borderId="1" xfId="5" applyFont="1" applyFill="1" applyBorder="1" applyAlignment="1">
      <alignment horizontal="center" vertical="center"/>
    </xf>
    <xf numFmtId="0" fontId="9" fillId="40" borderId="1" xfId="5" applyFont="1" applyFill="1" applyBorder="1" applyAlignment="1">
      <alignment horizontal="center" vertical="center" wrapText="1"/>
    </xf>
    <xf numFmtId="2" fontId="9" fillId="40" borderId="1" xfId="34" applyNumberFormat="1" applyFont="1" applyFill="1" applyBorder="1" applyAlignment="1">
      <alignment horizontal="center" vertical="center"/>
    </xf>
    <xf numFmtId="0" fontId="9" fillId="41" borderId="1" xfId="5" applyFont="1" applyFill="1" applyBorder="1" applyAlignment="1">
      <alignment horizontal="center" vertical="center"/>
    </xf>
    <xf numFmtId="2" fontId="9" fillId="40" borderId="1" xfId="29" applyNumberFormat="1" applyFont="1" applyFill="1" applyBorder="1" applyAlignment="1" applyProtection="1">
      <alignment horizontal="center" vertical="center"/>
      <protection locked="0"/>
    </xf>
    <xf numFmtId="0" fontId="24" fillId="40" borderId="1" xfId="35" applyFont="1" applyFill="1" applyBorder="1" applyAlignment="1">
      <alignment horizontal="center"/>
    </xf>
    <xf numFmtId="0" fontId="12" fillId="40" borderId="1" xfId="5" applyFont="1" applyFill="1" applyBorder="1" applyAlignment="1">
      <alignment horizontal="center" vertical="center"/>
    </xf>
    <xf numFmtId="2" fontId="9" fillId="19" borderId="1" xfId="37" applyNumberFormat="1" applyFont="1" applyFill="1" applyBorder="1" applyAlignment="1">
      <alignment horizontal="center" vertical="center" wrapText="1"/>
    </xf>
    <xf numFmtId="2" fontId="28" fillId="19" borderId="1" xfId="37" applyNumberFormat="1" applyFont="1" applyFill="1" applyBorder="1" applyAlignment="1">
      <alignment horizontal="center" vertical="center"/>
    </xf>
    <xf numFmtId="2" fontId="28" fillId="40" borderId="1" xfId="5" applyNumberFormat="1" applyFont="1" applyFill="1" applyBorder="1" applyAlignment="1">
      <alignment horizontal="center" vertical="center"/>
    </xf>
    <xf numFmtId="194" fontId="12" fillId="39" borderId="1" xfId="5" applyNumberFormat="1" applyFont="1" applyFill="1" applyBorder="1" applyAlignment="1">
      <alignment horizontal="center" vertical="center"/>
    </xf>
    <xf numFmtId="0" fontId="54" fillId="0" borderId="0" xfId="31" applyFont="1" applyAlignment="1">
      <alignment horizontal="center" vertical="center"/>
    </xf>
    <xf numFmtId="2" fontId="9" fillId="0" borderId="0" xfId="30" applyNumberFormat="1" applyFont="1" applyAlignment="1" applyProtection="1">
      <alignment horizontal="center" vertical="center"/>
      <protection locked="0"/>
    </xf>
    <xf numFmtId="2" fontId="9" fillId="0" borderId="0" xfId="5" applyNumberFormat="1" applyFont="1" applyAlignment="1">
      <alignment horizontal="center" vertical="center" wrapText="1"/>
    </xf>
    <xf numFmtId="4" fontId="37" fillId="0" borderId="0" xfId="28" applyNumberFormat="1" applyFont="1" applyAlignment="1" applyProtection="1">
      <alignment horizontal="center" vertical="center" wrapText="1" shrinkToFit="1"/>
      <protection locked="0"/>
    </xf>
    <xf numFmtId="2" fontId="37" fillId="0" borderId="0" xfId="28" applyNumberFormat="1" applyFont="1" applyAlignment="1">
      <alignment horizontal="center" vertical="center" wrapText="1" shrinkToFit="1"/>
    </xf>
    <xf numFmtId="2" fontId="28" fillId="0" borderId="0" xfId="31" applyNumberFormat="1" applyFont="1" applyAlignment="1">
      <alignment horizontal="center" vertical="center"/>
    </xf>
    <xf numFmtId="190" fontId="9" fillId="0" borderId="0" xfId="5" applyNumberFormat="1" applyFont="1" applyAlignment="1">
      <alignment horizontal="center" vertical="center" wrapText="1"/>
    </xf>
    <xf numFmtId="188" fontId="9" fillId="0" borderId="0" xfId="5" applyNumberFormat="1" applyFont="1" applyAlignment="1">
      <alignment horizontal="center" vertical="center" wrapText="1"/>
    </xf>
    <xf numFmtId="171" fontId="9" fillId="0" borderId="0" xfId="32" applyNumberFormat="1" applyFont="1" applyAlignment="1" applyProtection="1">
      <alignment horizontal="center" vertical="center"/>
      <protection locked="0"/>
    </xf>
    <xf numFmtId="185" fontId="9" fillId="0" borderId="0" xfId="33" applyNumberFormat="1" applyFont="1" applyAlignment="1">
      <alignment horizontal="center" vertical="center"/>
    </xf>
    <xf numFmtId="2" fontId="9" fillId="0" borderId="0" xfId="33" applyNumberFormat="1" applyFont="1" applyAlignment="1">
      <alignment horizontal="center" vertical="center"/>
    </xf>
    <xf numFmtId="188" fontId="9" fillId="0" borderId="0" xfId="5" applyNumberFormat="1" applyFont="1" applyAlignment="1">
      <alignment horizontal="center" vertical="center"/>
    </xf>
    <xf numFmtId="188" fontId="9" fillId="0" borderId="0" xfId="28" applyNumberFormat="1" applyFont="1" applyAlignment="1">
      <alignment horizontal="center" vertical="center" wrapText="1"/>
    </xf>
    <xf numFmtId="1" fontId="70" fillId="0" borderId="0" xfId="34" applyNumberFormat="1" applyFont="1" applyAlignment="1">
      <alignment horizontal="center" vertical="center" wrapText="1"/>
    </xf>
    <xf numFmtId="2" fontId="28" fillId="0" borderId="0" xfId="5" applyNumberFormat="1" applyFont="1" applyAlignment="1">
      <alignment horizontal="center" vertical="center"/>
    </xf>
    <xf numFmtId="2" fontId="9" fillId="0" borderId="0" xfId="36" applyNumberFormat="1" applyFont="1" applyAlignment="1">
      <alignment horizontal="center" vertical="center" wrapText="1"/>
    </xf>
    <xf numFmtId="171" fontId="9" fillId="0" borderId="0" xfId="5" applyNumberFormat="1" applyFont="1" applyAlignment="1">
      <alignment horizontal="center" vertical="center"/>
    </xf>
    <xf numFmtId="194" fontId="12" fillId="0" borderId="0" xfId="5" applyNumberFormat="1" applyFont="1" applyAlignment="1">
      <alignment horizontal="center" vertical="center"/>
    </xf>
    <xf numFmtId="171" fontId="9" fillId="0" borderId="0" xfId="5" quotePrefix="1" applyNumberFormat="1" applyFont="1" applyAlignment="1">
      <alignment horizontal="center" vertical="center"/>
    </xf>
    <xf numFmtId="2" fontId="9" fillId="0" borderId="0" xfId="34" applyNumberFormat="1" applyFont="1" applyAlignment="1">
      <alignment horizontal="center" vertical="center"/>
    </xf>
    <xf numFmtId="2" fontId="9" fillId="0" borderId="0" xfId="29" applyNumberFormat="1" applyFont="1" applyAlignment="1" applyProtection="1">
      <alignment horizontal="center" vertical="center"/>
      <protection locked="0"/>
    </xf>
    <xf numFmtId="0" fontId="24" fillId="0" borderId="0" xfId="35" applyFont="1" applyAlignment="1">
      <alignment horizontal="center"/>
    </xf>
    <xf numFmtId="2" fontId="66" fillId="0" borderId="0" xfId="5" applyNumberFormat="1" applyFont="1" applyAlignment="1">
      <alignment vertical="center"/>
    </xf>
    <xf numFmtId="1" fontId="9" fillId="0" borderId="0" xfId="5" applyNumberFormat="1" applyFont="1" applyAlignment="1">
      <alignment vertical="center"/>
    </xf>
    <xf numFmtId="185" fontId="66" fillId="0" borderId="0" xfId="5" applyNumberFormat="1" applyFont="1" applyAlignment="1">
      <alignment horizontal="center" vertical="center"/>
    </xf>
    <xf numFmtId="0" fontId="9" fillId="35" borderId="0" xfId="5" applyFont="1" applyFill="1" applyAlignment="1">
      <alignment horizontal="center" vertical="center"/>
    </xf>
    <xf numFmtId="0" fontId="54" fillId="0" borderId="1" xfId="28" applyFont="1" applyBorder="1" applyAlignment="1">
      <alignment horizontal="center" vertical="center"/>
    </xf>
    <xf numFmtId="2" fontId="11" fillId="5" borderId="1" xfId="5" applyNumberFormat="1" applyFont="1" applyFill="1" applyBorder="1" applyAlignment="1">
      <alignment horizontal="center" vertical="center"/>
    </xf>
    <xf numFmtId="0" fontId="4" fillId="0" borderId="1" xfId="28" applyBorder="1" applyAlignment="1">
      <alignment horizontal="center" vertical="center"/>
    </xf>
    <xf numFmtId="0" fontId="4" fillId="23" borderId="1" xfId="28" applyFill="1" applyBorder="1" applyAlignment="1">
      <alignment horizontal="center" vertical="center"/>
    </xf>
    <xf numFmtId="49" fontId="59" fillId="0" borderId="0" xfId="28" applyNumberFormat="1" applyFont="1" applyAlignment="1">
      <alignment horizontal="center"/>
    </xf>
    <xf numFmtId="0" fontId="27" fillId="0" borderId="1" xfId="28" applyFont="1" applyBorder="1" applyAlignment="1">
      <alignment horizontal="center" vertical="center"/>
    </xf>
    <xf numFmtId="0" fontId="4" fillId="0" borderId="0" xfId="28"/>
    <xf numFmtId="4" fontId="4" fillId="0" borderId="1" xfId="28" applyNumberFormat="1" applyBorder="1" applyAlignment="1">
      <alignment horizontal="center"/>
    </xf>
    <xf numFmtId="3" fontId="4" fillId="0" borderId="1" xfId="28" applyNumberFormat="1" applyBorder="1" applyAlignment="1">
      <alignment horizontal="center"/>
    </xf>
    <xf numFmtId="195" fontId="27" fillId="0" borderId="1" xfId="28" applyNumberFormat="1" applyFont="1" applyBorder="1" applyAlignment="1">
      <alignment horizontal="center"/>
    </xf>
    <xf numFmtId="195" fontId="27" fillId="0" borderId="1" xfId="28" applyNumberFormat="1" applyFont="1" applyBorder="1" applyAlignment="1">
      <alignment horizontal="center" wrapText="1"/>
    </xf>
    <xf numFmtId="4" fontId="27" fillId="0" borderId="1" xfId="28" applyNumberFormat="1" applyFont="1" applyBorder="1" applyAlignment="1">
      <alignment horizontal="center"/>
    </xf>
    <xf numFmtId="3" fontId="72" fillId="0" borderId="1" xfId="28" applyNumberFormat="1" applyFont="1" applyBorder="1" applyAlignment="1">
      <alignment horizontal="center"/>
    </xf>
    <xf numFmtId="195" fontId="27" fillId="0" borderId="2" xfId="28" applyNumberFormat="1" applyFont="1" applyBorder="1" applyAlignment="1">
      <alignment horizontal="center" vertical="center"/>
    </xf>
    <xf numFmtId="195" fontId="27" fillId="0" borderId="2" xfId="28" applyNumberFormat="1" applyFont="1" applyBorder="1" applyAlignment="1">
      <alignment horizontal="center" vertical="center" wrapText="1"/>
    </xf>
    <xf numFmtId="4" fontId="27" fillId="0" borderId="2" xfId="28" applyNumberFormat="1" applyFont="1" applyBorder="1" applyAlignment="1">
      <alignment horizontal="center" vertical="center"/>
    </xf>
    <xf numFmtId="3" fontId="27" fillId="0" borderId="2" xfId="28" applyNumberFormat="1" applyFont="1" applyBorder="1" applyAlignment="1">
      <alignment horizontal="center" vertical="center" wrapText="1"/>
    </xf>
    <xf numFmtId="2" fontId="9" fillId="0" borderId="0" xfId="39" applyNumberFormat="1" applyFont="1"/>
    <xf numFmtId="0" fontId="15" fillId="0" borderId="0" xfId="39" applyFont="1" applyAlignment="1">
      <alignment horizontal="center"/>
    </xf>
    <xf numFmtId="2" fontId="55" fillId="0" borderId="0" xfId="39" applyNumberFormat="1" applyFont="1"/>
    <xf numFmtId="0" fontId="9" fillId="0" borderId="0" xfId="39" applyFont="1" applyAlignment="1">
      <alignment horizontal="center"/>
    </xf>
    <xf numFmtId="2" fontId="55" fillId="0" borderId="0" xfId="39" applyNumberFormat="1" applyFont="1" applyAlignment="1">
      <alignment horizontal="center"/>
    </xf>
    <xf numFmtId="2" fontId="9" fillId="0" borderId="0" xfId="39" applyNumberFormat="1" applyFont="1" applyAlignment="1">
      <alignment horizontal="center"/>
    </xf>
    <xf numFmtId="0" fontId="9" fillId="0" borderId="0" xfId="15" applyNumberFormat="1" applyFont="1" applyAlignment="1">
      <alignment horizontal="center"/>
    </xf>
    <xf numFmtId="0" fontId="9" fillId="0" borderId="0" xfId="39" applyFont="1" applyAlignment="1">
      <alignment horizontal="left"/>
    </xf>
    <xf numFmtId="2" fontId="9" fillId="0" borderId="0" xfId="39" applyNumberFormat="1" applyFont="1" applyAlignment="1">
      <alignment horizontal="right"/>
    </xf>
    <xf numFmtId="2" fontId="9" fillId="0" borderId="2" xfId="39" applyNumberFormat="1" applyFont="1" applyBorder="1"/>
    <xf numFmtId="180" fontId="56" fillId="0" borderId="39" xfId="39" applyNumberFormat="1" applyFont="1" applyBorder="1" applyProtection="1">
      <protection hidden="1"/>
    </xf>
    <xf numFmtId="2" fontId="56" fillId="0" borderId="39" xfId="39" applyNumberFormat="1" applyFont="1" applyBorder="1" applyProtection="1">
      <protection hidden="1"/>
    </xf>
    <xf numFmtId="2" fontId="9" fillId="0" borderId="39" xfId="39" applyNumberFormat="1" applyFont="1" applyBorder="1" applyProtection="1">
      <protection hidden="1"/>
    </xf>
    <xf numFmtId="193" fontId="9" fillId="0" borderId="39" xfId="39" applyNumberFormat="1" applyFont="1" applyBorder="1" applyProtection="1">
      <protection hidden="1"/>
    </xf>
    <xf numFmtId="193" fontId="56" fillId="0" borderId="39" xfId="39" applyNumberFormat="1" applyFont="1" applyBorder="1" applyProtection="1">
      <protection hidden="1"/>
    </xf>
    <xf numFmtId="1" fontId="9" fillId="0" borderId="39" xfId="39" applyNumberFormat="1" applyFont="1" applyBorder="1" applyProtection="1">
      <protection hidden="1"/>
    </xf>
    <xf numFmtId="2" fontId="9" fillId="0" borderId="3" xfId="39" applyNumberFormat="1" applyFont="1" applyBorder="1"/>
    <xf numFmtId="180" fontId="56" fillId="0" borderId="40" xfId="39" applyNumberFormat="1" applyFont="1" applyBorder="1" applyProtection="1">
      <protection hidden="1"/>
    </xf>
    <xf numFmtId="2" fontId="56" fillId="0" borderId="40" xfId="39" applyNumberFormat="1" applyFont="1" applyBorder="1" applyProtection="1">
      <protection hidden="1"/>
    </xf>
    <xf numFmtId="2" fontId="9" fillId="0" borderId="40" xfId="39" applyNumberFormat="1" applyFont="1" applyBorder="1" applyProtection="1">
      <protection hidden="1"/>
    </xf>
    <xf numFmtId="193" fontId="9" fillId="0" borderId="40" xfId="39" applyNumberFormat="1" applyFont="1" applyBorder="1" applyProtection="1">
      <protection hidden="1"/>
    </xf>
    <xf numFmtId="193" fontId="56" fillId="0" borderId="40" xfId="39" applyNumberFormat="1" applyFont="1" applyBorder="1" applyProtection="1">
      <protection hidden="1"/>
    </xf>
    <xf numFmtId="1" fontId="9" fillId="0" borderId="40" xfId="39" applyNumberFormat="1" applyFont="1" applyBorder="1" applyProtection="1">
      <protection hidden="1"/>
    </xf>
    <xf numFmtId="2" fontId="9" fillId="0" borderId="41" xfId="39" applyNumberFormat="1" applyFont="1" applyBorder="1"/>
    <xf numFmtId="1" fontId="12" fillId="0" borderId="40" xfId="39" applyNumberFormat="1" applyFont="1" applyBorder="1"/>
    <xf numFmtId="0" fontId="56" fillId="0" borderId="40" xfId="39" applyFont="1" applyBorder="1" applyProtection="1">
      <protection hidden="1"/>
    </xf>
    <xf numFmtId="0" fontId="9" fillId="0" borderId="40" xfId="39" applyFont="1" applyBorder="1" applyProtection="1">
      <protection hidden="1"/>
    </xf>
    <xf numFmtId="1" fontId="12" fillId="0" borderId="0" xfId="39" applyNumberFormat="1" applyFont="1"/>
    <xf numFmtId="2" fontId="9" fillId="0" borderId="40" xfId="39" applyNumberFormat="1" applyFont="1" applyBorder="1"/>
    <xf numFmtId="2" fontId="9" fillId="0" borderId="40" xfId="39" applyNumberFormat="1" applyFont="1" applyBorder="1" applyAlignment="1">
      <alignment horizontal="center"/>
    </xf>
    <xf numFmtId="0" fontId="60" fillId="0" borderId="0" xfId="5" applyFont="1"/>
    <xf numFmtId="2" fontId="60" fillId="0" borderId="0" xfId="5" applyNumberFormat="1" applyFont="1"/>
    <xf numFmtId="180" fontId="60" fillId="0" borderId="0" xfId="5" applyNumberFormat="1" applyFont="1"/>
    <xf numFmtId="0" fontId="60" fillId="0" borderId="0" xfId="5" applyFont="1" applyAlignment="1">
      <alignment horizontal="center"/>
    </xf>
    <xf numFmtId="180" fontId="60" fillId="42" borderId="0" xfId="5" applyNumberFormat="1" applyFont="1" applyFill="1"/>
    <xf numFmtId="2" fontId="9" fillId="43" borderId="40" xfId="39" applyNumberFormat="1" applyFont="1" applyFill="1" applyBorder="1" applyAlignment="1">
      <alignment horizontal="center"/>
    </xf>
    <xf numFmtId="180" fontId="56" fillId="43" borderId="40" xfId="39" applyNumberFormat="1" applyFont="1" applyFill="1" applyBorder="1" applyProtection="1">
      <protection hidden="1"/>
    </xf>
    <xf numFmtId="2" fontId="9" fillId="43" borderId="40" xfId="39" applyNumberFormat="1" applyFont="1" applyFill="1" applyBorder="1" applyProtection="1">
      <protection hidden="1"/>
    </xf>
    <xf numFmtId="193" fontId="9" fillId="43" borderId="40" xfId="39" applyNumberFormat="1" applyFont="1" applyFill="1" applyBorder="1" applyProtection="1">
      <protection hidden="1"/>
    </xf>
    <xf numFmtId="193" fontId="56" fillId="43" borderId="40" xfId="39" applyNumberFormat="1" applyFont="1" applyFill="1" applyBorder="1" applyProtection="1">
      <protection hidden="1"/>
    </xf>
    <xf numFmtId="1" fontId="9" fillId="43" borderId="40" xfId="39" applyNumberFormat="1" applyFont="1" applyFill="1" applyBorder="1" applyProtection="1">
      <protection hidden="1"/>
    </xf>
    <xf numFmtId="2" fontId="9" fillId="0" borderId="3" xfId="39" applyNumberFormat="1" applyFont="1" applyBorder="1" applyAlignment="1">
      <alignment horizontal="center"/>
    </xf>
    <xf numFmtId="2" fontId="9" fillId="0" borderId="3" xfId="39" applyNumberFormat="1" applyFont="1" applyBorder="1" applyAlignment="1" applyProtection="1">
      <alignment horizontal="center"/>
      <protection hidden="1"/>
    </xf>
    <xf numFmtId="1" fontId="9" fillId="0" borderId="3" xfId="39" applyNumberFormat="1" applyFont="1" applyBorder="1" applyAlignment="1" applyProtection="1">
      <alignment horizontal="center"/>
      <protection hidden="1"/>
    </xf>
    <xf numFmtId="0" fontId="51" fillId="0" borderId="2" xfId="39" applyFont="1" applyBorder="1" applyAlignment="1">
      <alignment horizontal="center"/>
    </xf>
    <xf numFmtId="0" fontId="12" fillId="0" borderId="2" xfId="39" applyFont="1" applyBorder="1" applyAlignment="1" applyProtection="1">
      <alignment horizontal="center"/>
      <protection hidden="1"/>
    </xf>
    <xf numFmtId="0" fontId="12" fillId="0" borderId="0" xfId="39" applyFont="1" applyAlignment="1">
      <alignment horizontal="center"/>
    </xf>
    <xf numFmtId="0" fontId="51" fillId="0" borderId="3" xfId="39" applyFont="1" applyBorder="1" applyAlignment="1">
      <alignment horizontal="center"/>
    </xf>
    <xf numFmtId="0" fontId="12" fillId="0" borderId="3" xfId="39" applyFont="1" applyBorder="1" applyAlignment="1" applyProtection="1">
      <alignment horizontal="center"/>
      <protection hidden="1"/>
    </xf>
    <xf numFmtId="0" fontId="51" fillId="0" borderId="5" xfId="39" applyFont="1" applyBorder="1" applyAlignment="1">
      <alignment horizontal="center"/>
    </xf>
    <xf numFmtId="0" fontId="12" fillId="0" borderId="5" xfId="39" applyFont="1" applyBorder="1" applyAlignment="1" applyProtection="1">
      <alignment horizontal="center"/>
      <protection hidden="1"/>
    </xf>
    <xf numFmtId="0" fontId="12" fillId="0" borderId="5" xfId="39" applyFont="1" applyBorder="1" applyAlignment="1" applyProtection="1">
      <alignment horizontal="centerContinuous"/>
      <protection hidden="1"/>
    </xf>
    <xf numFmtId="0" fontId="12" fillId="0" borderId="1" xfId="39" applyFont="1" applyBorder="1" applyAlignment="1">
      <alignment horizontal="center"/>
    </xf>
    <xf numFmtId="0" fontId="12" fillId="0" borderId="17" xfId="39" applyFont="1" applyBorder="1" applyAlignment="1">
      <alignment horizontal="center"/>
    </xf>
    <xf numFmtId="0" fontId="4" fillId="0" borderId="0" xfId="5" applyAlignment="1">
      <alignment horizontal="center"/>
    </xf>
    <xf numFmtId="2" fontId="60" fillId="0" borderId="1" xfId="5" applyNumberFormat="1" applyFont="1" applyBorder="1"/>
    <xf numFmtId="2" fontId="60" fillId="0" borderId="4" xfId="5" applyNumberFormat="1" applyFont="1" applyBorder="1"/>
    <xf numFmtId="180" fontId="60" fillId="0" borderId="1" xfId="5" applyNumberFormat="1" applyFont="1" applyBorder="1" applyAlignment="1">
      <alignment horizontal="center"/>
    </xf>
    <xf numFmtId="180" fontId="60" fillId="0" borderId="1" xfId="5" applyNumberFormat="1" applyFont="1" applyBorder="1"/>
    <xf numFmtId="193" fontId="60" fillId="0" borderId="1" xfId="5" applyNumberFormat="1" applyFont="1" applyBorder="1"/>
    <xf numFmtId="193" fontId="60" fillId="0" borderId="1" xfId="5" applyNumberFormat="1" applyFont="1" applyBorder="1" applyAlignment="1">
      <alignment horizontal="center"/>
    </xf>
    <xf numFmtId="2" fontId="60" fillId="0" borderId="1" xfId="5" applyNumberFormat="1" applyFont="1" applyBorder="1" applyAlignment="1">
      <alignment horizontal="center"/>
    </xf>
    <xf numFmtId="1" fontId="60" fillId="0" borderId="1" xfId="5" applyNumberFormat="1" applyFont="1" applyBorder="1" applyAlignment="1">
      <alignment horizontal="center"/>
    </xf>
    <xf numFmtId="0" fontId="60" fillId="0" borderId="1" xfId="5" applyFont="1" applyBorder="1" applyAlignment="1">
      <alignment horizontal="center"/>
    </xf>
    <xf numFmtId="0" fontId="60" fillId="0" borderId="26" xfId="5" applyFont="1" applyBorder="1"/>
    <xf numFmtId="0" fontId="60" fillId="0" borderId="28" xfId="5" applyFont="1" applyBorder="1"/>
    <xf numFmtId="0" fontId="61" fillId="0" borderId="5" xfId="5" applyFont="1" applyBorder="1" applyAlignment="1">
      <alignment horizontal="center"/>
    </xf>
    <xf numFmtId="0" fontId="61" fillId="0" borderId="28" xfId="5" applyFont="1" applyBorder="1" applyAlignment="1">
      <alignment horizontal="center"/>
    </xf>
    <xf numFmtId="0" fontId="61" fillId="0" borderId="0" xfId="5" applyFont="1" applyAlignment="1">
      <alignment horizontal="center"/>
    </xf>
    <xf numFmtId="180" fontId="61" fillId="0" borderId="0" xfId="5" applyNumberFormat="1" applyFont="1" applyAlignment="1">
      <alignment horizontal="center"/>
    </xf>
    <xf numFmtId="0" fontId="61" fillId="0" borderId="0" xfId="5" applyFont="1" applyAlignment="1">
      <alignment horizontal="left"/>
    </xf>
    <xf numFmtId="0" fontId="61" fillId="0" borderId="2" xfId="5" applyFont="1" applyBorder="1" applyAlignment="1">
      <alignment horizontal="center"/>
    </xf>
    <xf numFmtId="2" fontId="61" fillId="0" borderId="2" xfId="5" applyNumberFormat="1" applyFont="1" applyBorder="1"/>
    <xf numFmtId="0" fontId="61" fillId="0" borderId="3" xfId="5" applyFont="1" applyBorder="1" applyAlignment="1">
      <alignment horizontal="center"/>
    </xf>
    <xf numFmtId="0" fontId="60" fillId="0" borderId="6" xfId="5" applyFont="1" applyBorder="1"/>
    <xf numFmtId="0" fontId="60" fillId="0" borderId="7" xfId="5" applyFont="1" applyBorder="1"/>
    <xf numFmtId="0" fontId="60" fillId="0" borderId="4" xfId="5" applyFont="1" applyBorder="1"/>
    <xf numFmtId="180" fontId="61" fillId="0" borderId="2" xfId="5" applyNumberFormat="1" applyFont="1" applyBorder="1" applyAlignment="1">
      <alignment horizontal="center"/>
    </xf>
    <xf numFmtId="0" fontId="60" fillId="0" borderId="3" xfId="5" applyFont="1" applyBorder="1"/>
    <xf numFmtId="180" fontId="60" fillId="0" borderId="3" xfId="5" applyNumberFormat="1" applyFont="1" applyBorder="1"/>
    <xf numFmtId="0" fontId="60" fillId="0" borderId="5" xfId="5" applyFont="1" applyBorder="1"/>
    <xf numFmtId="0" fontId="61" fillId="0" borderId="22" xfId="5" applyFont="1" applyBorder="1" applyAlignment="1">
      <alignment horizontal="center"/>
    </xf>
    <xf numFmtId="0" fontId="61" fillId="0" borderId="23" xfId="5" applyFont="1" applyBorder="1" applyAlignment="1">
      <alignment horizontal="centerContinuous"/>
    </xf>
    <xf numFmtId="0" fontId="61" fillId="0" borderId="31" xfId="5" applyFont="1" applyBorder="1" applyAlignment="1">
      <alignment horizontal="centerContinuous"/>
    </xf>
    <xf numFmtId="0" fontId="61" fillId="0" borderId="22" xfId="5" applyFont="1" applyBorder="1" applyAlignment="1">
      <alignment horizontal="centerContinuous"/>
    </xf>
    <xf numFmtId="0" fontId="61" fillId="0" borderId="0" xfId="5" applyFont="1" applyAlignment="1">
      <alignment horizontal="centerContinuous"/>
    </xf>
    <xf numFmtId="2" fontId="61" fillId="0" borderId="0" xfId="5" applyNumberFormat="1" applyFont="1" applyAlignment="1">
      <alignment horizontal="center"/>
    </xf>
    <xf numFmtId="0" fontId="61" fillId="0" borderId="0" xfId="5" applyFont="1"/>
    <xf numFmtId="1" fontId="60" fillId="0" borderId="0" xfId="5" applyNumberFormat="1" applyFont="1" applyAlignment="1">
      <alignment horizontal="center"/>
    </xf>
    <xf numFmtId="180" fontId="60" fillId="0" borderId="0" xfId="5" applyNumberFormat="1" applyFont="1" applyAlignment="1">
      <alignment horizontal="center"/>
    </xf>
    <xf numFmtId="193" fontId="60" fillId="0" borderId="0" xfId="5" applyNumberFormat="1" applyFont="1"/>
    <xf numFmtId="193" fontId="60" fillId="0" borderId="0" xfId="5" applyNumberFormat="1" applyFont="1" applyAlignment="1">
      <alignment horizontal="center"/>
    </xf>
    <xf numFmtId="2" fontId="60" fillId="0" borderId="0" xfId="5" applyNumberFormat="1" applyFont="1" applyAlignment="1">
      <alignment horizontal="center"/>
    </xf>
    <xf numFmtId="180" fontId="60" fillId="3" borderId="1" xfId="5" applyNumberFormat="1" applyFont="1" applyFill="1" applyBorder="1" applyAlignment="1">
      <alignment horizontal="center"/>
    </xf>
    <xf numFmtId="185" fontId="60" fillId="3" borderId="1" xfId="5" applyNumberFormat="1" applyFont="1" applyFill="1" applyBorder="1" applyAlignment="1">
      <alignment horizontal="center"/>
    </xf>
    <xf numFmtId="0" fontId="4" fillId="3" borderId="0" xfId="5" applyFill="1"/>
    <xf numFmtId="2" fontId="4" fillId="0" borderId="0" xfId="5" applyNumberFormat="1"/>
    <xf numFmtId="2" fontId="4" fillId="3" borderId="0" xfId="5" applyNumberFormat="1" applyFill="1"/>
    <xf numFmtId="1" fontId="60" fillId="3" borderId="1" xfId="5" applyNumberFormat="1" applyFont="1" applyFill="1" applyBorder="1" applyAlignment="1">
      <alignment horizontal="center"/>
    </xf>
    <xf numFmtId="2" fontId="60" fillId="3" borderId="1" xfId="5" applyNumberFormat="1" applyFont="1" applyFill="1" applyBorder="1"/>
    <xf numFmtId="2" fontId="60" fillId="3" borderId="4" xfId="5" applyNumberFormat="1" applyFont="1" applyFill="1" applyBorder="1"/>
    <xf numFmtId="180" fontId="60" fillId="3" borderId="1" xfId="5" applyNumberFormat="1" applyFont="1" applyFill="1" applyBorder="1"/>
    <xf numFmtId="193" fontId="60" fillId="3" borderId="1" xfId="5" applyNumberFormat="1" applyFont="1" applyFill="1" applyBorder="1"/>
    <xf numFmtId="193" fontId="60" fillId="3" borderId="1" xfId="5" applyNumberFormat="1" applyFont="1" applyFill="1" applyBorder="1" applyAlignment="1">
      <alignment horizontal="center"/>
    </xf>
    <xf numFmtId="2" fontId="60" fillId="3" borderId="1" xfId="5" applyNumberFormat="1" applyFont="1" applyFill="1" applyBorder="1" applyAlignment="1">
      <alignment horizontal="center"/>
    </xf>
    <xf numFmtId="2" fontId="61" fillId="3" borderId="1" xfId="5" applyNumberFormat="1" applyFont="1" applyFill="1" applyBorder="1" applyAlignment="1">
      <alignment horizontal="center"/>
    </xf>
    <xf numFmtId="2" fontId="60" fillId="22" borderId="1" xfId="5" applyNumberFormat="1" applyFont="1" applyFill="1" applyBorder="1" applyAlignment="1">
      <alignment horizontal="center"/>
    </xf>
    <xf numFmtId="185" fontId="60" fillId="0" borderId="1" xfId="5" applyNumberFormat="1" applyFont="1" applyBorder="1" applyAlignment="1">
      <alignment horizontal="center"/>
    </xf>
    <xf numFmtId="2" fontId="61" fillId="0" borderId="1" xfId="5" applyNumberFormat="1" applyFont="1" applyBorder="1" applyAlignment="1">
      <alignment horizontal="center"/>
    </xf>
    <xf numFmtId="2" fontId="9" fillId="0" borderId="0" xfId="5" applyNumberFormat="1" applyFont="1"/>
    <xf numFmtId="2" fontId="9" fillId="0" borderId="0" xfId="5" applyNumberFormat="1" applyFont="1" applyAlignment="1">
      <alignment horizontal="center"/>
    </xf>
    <xf numFmtId="193" fontId="9" fillId="0" borderId="0" xfId="5" applyNumberFormat="1" applyFont="1"/>
    <xf numFmtId="0" fontId="9" fillId="0" borderId="0" xfId="5" applyFont="1"/>
    <xf numFmtId="171" fontId="9" fillId="0" borderId="0" xfId="5" applyNumberFormat="1" applyFont="1"/>
    <xf numFmtId="2" fontId="9" fillId="0" borderId="1" xfId="5" applyNumberFormat="1" applyFont="1" applyBorder="1"/>
    <xf numFmtId="2" fontId="9" fillId="0" borderId="1" xfId="5" applyNumberFormat="1" applyFont="1" applyBorder="1" applyAlignment="1">
      <alignment horizontal="center"/>
    </xf>
    <xf numFmtId="193" fontId="9" fillId="0" borderId="1" xfId="5" applyNumberFormat="1" applyFont="1" applyBorder="1"/>
    <xf numFmtId="0" fontId="9" fillId="0" borderId="1" xfId="5" applyFont="1" applyBorder="1"/>
    <xf numFmtId="171" fontId="9" fillId="0" borderId="1" xfId="5" applyNumberFormat="1" applyFont="1" applyBorder="1"/>
    <xf numFmtId="1" fontId="9" fillId="0" borderId="1" xfId="5" applyNumberFormat="1" applyFont="1" applyBorder="1"/>
    <xf numFmtId="180" fontId="9" fillId="0" borderId="1" xfId="5" applyNumberFormat="1" applyFont="1" applyBorder="1"/>
    <xf numFmtId="0" fontId="27" fillId="0" borderId="0" xfId="5" applyFont="1"/>
    <xf numFmtId="2" fontId="12" fillId="0" borderId="1" xfId="5" applyNumberFormat="1" applyFont="1" applyBorder="1"/>
    <xf numFmtId="2" fontId="12" fillId="0" borderId="1" xfId="5" applyNumberFormat="1" applyFont="1" applyBorder="1" applyAlignment="1">
      <alignment horizontal="center"/>
    </xf>
    <xf numFmtId="193" fontId="12" fillId="0" borderId="1" xfId="5" applyNumberFormat="1" applyFont="1" applyBorder="1"/>
    <xf numFmtId="180" fontId="12" fillId="0" borderId="1" xfId="5" applyNumberFormat="1" applyFont="1" applyBorder="1"/>
    <xf numFmtId="171" fontId="12" fillId="0" borderId="1" xfId="5" applyNumberFormat="1" applyFont="1" applyBorder="1"/>
    <xf numFmtId="0" fontId="12" fillId="0" borderId="1" xfId="5" applyFont="1" applyBorder="1"/>
    <xf numFmtId="2" fontId="4" fillId="0" borderId="1" xfId="5" applyNumberFormat="1" applyBorder="1" applyAlignment="1">
      <alignment horizontal="center"/>
    </xf>
    <xf numFmtId="0" fontId="4" fillId="0" borderId="26" xfId="5" applyBorder="1"/>
    <xf numFmtId="0" fontId="4" fillId="0" borderId="28" xfId="5" applyBorder="1"/>
    <xf numFmtId="0" fontId="12" fillId="0" borderId="28" xfId="5" applyFont="1" applyBorder="1" applyAlignment="1">
      <alignment horizontal="center"/>
    </xf>
    <xf numFmtId="0" fontId="12" fillId="0" borderId="26" xfId="5" applyFont="1" applyBorder="1" applyAlignment="1">
      <alignment horizontal="center"/>
    </xf>
    <xf numFmtId="0" fontId="12" fillId="0" borderId="0" xfId="5" applyFont="1" applyAlignment="1">
      <alignment horizontal="center"/>
    </xf>
    <xf numFmtId="0" fontId="4" fillId="0" borderId="23" xfId="5" applyBorder="1"/>
    <xf numFmtId="0" fontId="4" fillId="0" borderId="31" xfId="5" applyBorder="1"/>
    <xf numFmtId="0" fontId="12" fillId="0" borderId="31" xfId="5" applyFont="1" applyBorder="1" applyAlignment="1">
      <alignment horizontal="center"/>
    </xf>
    <xf numFmtId="0" fontId="12" fillId="0" borderId="23" xfId="5" applyFont="1" applyBorder="1" applyAlignment="1">
      <alignment horizontal="center"/>
    </xf>
    <xf numFmtId="0" fontId="12" fillId="0" borderId="2" xfId="5" applyFont="1" applyBorder="1" applyAlignment="1">
      <alignment horizontal="center"/>
    </xf>
    <xf numFmtId="0" fontId="12" fillId="0" borderId="3" xfId="5" applyFont="1" applyBorder="1" applyAlignment="1">
      <alignment horizontal="center"/>
    </xf>
    <xf numFmtId="0" fontId="4" fillId="0" borderId="3" xfId="5" applyBorder="1" applyAlignment="1">
      <alignment horizontal="center" vertical="center" wrapText="1"/>
    </xf>
    <xf numFmtId="0" fontId="4" fillId="0" borderId="24" xfId="5" applyBorder="1" applyAlignment="1">
      <alignment horizontal="center" vertical="center" wrapText="1"/>
    </xf>
    <xf numFmtId="0" fontId="12" fillId="0" borderId="5" xfId="5" applyFont="1" applyBorder="1" applyAlignment="1">
      <alignment horizontal="center"/>
    </xf>
    <xf numFmtId="0" fontId="9" fillId="0" borderId="3" xfId="5" applyFont="1" applyBorder="1"/>
    <xf numFmtId="0" fontId="12" fillId="0" borderId="5" xfId="5" applyFont="1" applyBorder="1" applyAlignment="1">
      <alignment horizontal="center" vertical="center" wrapText="1"/>
    </xf>
    <xf numFmtId="0" fontId="12" fillId="0" borderId="22" xfId="5" applyFont="1" applyBorder="1" applyAlignment="1">
      <alignment horizontal="center" vertical="center" wrapText="1"/>
    </xf>
    <xf numFmtId="0" fontId="9" fillId="0" borderId="5" xfId="5" applyFont="1" applyBorder="1"/>
    <xf numFmtId="0" fontId="12" fillId="0" borderId="6" xfId="5" applyFont="1" applyBorder="1" applyAlignment="1">
      <alignment horizontal="center"/>
    </xf>
    <xf numFmtId="0" fontId="12" fillId="0" borderId="4" xfId="5" applyFont="1" applyBorder="1" applyAlignment="1">
      <alignment horizontal="center"/>
    </xf>
    <xf numFmtId="0" fontId="12" fillId="0" borderId="22" xfId="5" applyFont="1" applyBorder="1" applyAlignment="1">
      <alignment horizontal="center"/>
    </xf>
    <xf numFmtId="0" fontId="12" fillId="0" borderId="7" xfId="5" applyFont="1" applyBorder="1" applyAlignment="1">
      <alignment horizontal="center"/>
    </xf>
    <xf numFmtId="0" fontId="27" fillId="0" borderId="0" xfId="28" applyFont="1" applyAlignment="1">
      <alignment horizontal="center"/>
    </xf>
    <xf numFmtId="0" fontId="4" fillId="0" borderId="0" xfId="28" applyAlignment="1">
      <alignment horizontal="center" vertical="center"/>
    </xf>
    <xf numFmtId="0" fontId="4" fillId="0" borderId="0" xfId="28" applyAlignment="1">
      <alignment horizontal="center"/>
    </xf>
    <xf numFmtId="0" fontId="27" fillId="0" borderId="0" xfId="28" applyFont="1" applyAlignment="1">
      <alignment horizontal="center" vertical="center"/>
    </xf>
    <xf numFmtId="2" fontId="37" fillId="0" borderId="1" xfId="28" applyNumberFormat="1" applyFont="1" applyBorder="1" applyAlignment="1">
      <alignment horizontal="center" vertical="center" wrapText="1" shrinkToFit="1"/>
    </xf>
    <xf numFmtId="0" fontId="37" fillId="8" borderId="1" xfId="28" applyFont="1" applyFill="1" applyBorder="1" applyAlignment="1">
      <alignment horizontal="center" vertical="center" shrinkToFit="1"/>
    </xf>
    <xf numFmtId="0" fontId="37" fillId="10" borderId="1" xfId="28" applyFont="1" applyFill="1" applyBorder="1" applyAlignment="1">
      <alignment horizontal="center" vertical="center" shrinkToFit="1"/>
    </xf>
    <xf numFmtId="0" fontId="4" fillId="0" borderId="1" xfId="28" applyBorder="1"/>
    <xf numFmtId="2" fontId="4" fillId="0" borderId="1" xfId="28" applyNumberFormat="1" applyBorder="1"/>
    <xf numFmtId="0" fontId="37" fillId="5" borderId="1" xfId="28" applyFont="1" applyFill="1" applyBorder="1" applyAlignment="1">
      <alignment horizontal="center" vertical="center" shrinkToFit="1"/>
    </xf>
    <xf numFmtId="2" fontId="37" fillId="0" borderId="1" xfId="28" applyNumberFormat="1" applyFont="1" applyBorder="1" applyAlignment="1">
      <alignment horizontal="center" vertical="center" wrapText="1"/>
    </xf>
    <xf numFmtId="2" fontId="4" fillId="0" borderId="0" xfId="28" applyNumberFormat="1"/>
    <xf numFmtId="0" fontId="73" fillId="0" borderId="0" xfId="28" applyFont="1"/>
    <xf numFmtId="0" fontId="73" fillId="0" borderId="0" xfId="28" applyFont="1" applyAlignment="1">
      <alignment wrapText="1"/>
    </xf>
    <xf numFmtId="0" fontId="4" fillId="0" borderId="0" xfId="28" applyAlignment="1">
      <alignment vertical="center"/>
    </xf>
    <xf numFmtId="2" fontId="4" fillId="0" borderId="0" xfId="28" applyNumberFormat="1" applyAlignment="1">
      <alignment vertical="center"/>
    </xf>
    <xf numFmtId="49" fontId="45" fillId="0" borderId="0" xfId="28" applyNumberFormat="1" applyFont="1" applyAlignment="1">
      <alignment horizontal="center" vertical="center" wrapText="1"/>
    </xf>
    <xf numFmtId="0" fontId="4" fillId="0" borderId="0" xfId="28" applyAlignment="1">
      <alignment horizontal="justify" vertical="center"/>
    </xf>
    <xf numFmtId="0" fontId="46" fillId="0" borderId="0" xfId="28" applyFont="1" applyAlignment="1">
      <alignment vertical="center"/>
    </xf>
    <xf numFmtId="2" fontId="4" fillId="0" borderId="0" xfId="28" applyNumberFormat="1" applyAlignment="1">
      <alignment horizontal="center" vertical="center"/>
    </xf>
    <xf numFmtId="0" fontId="4" fillId="18" borderId="0" xfId="28" applyFill="1" applyAlignment="1">
      <alignment vertical="center"/>
    </xf>
    <xf numFmtId="2" fontId="4" fillId="18" borderId="0" xfId="28" applyNumberFormat="1" applyFill="1" applyAlignment="1">
      <alignment horizontal="center" vertical="center"/>
    </xf>
    <xf numFmtId="0" fontId="4" fillId="18" borderId="0" xfId="28" applyFill="1" applyAlignment="1">
      <alignment horizontal="center" vertical="center"/>
    </xf>
    <xf numFmtId="0" fontId="4" fillId="18" borderId="0" xfId="28" applyFill="1" applyAlignment="1">
      <alignment horizontal="justify" vertical="center"/>
    </xf>
    <xf numFmtId="0" fontId="46" fillId="18" borderId="0" xfId="28" applyFont="1" applyFill="1" applyAlignment="1">
      <alignment vertical="center"/>
    </xf>
    <xf numFmtId="0" fontId="4" fillId="18" borderId="42" xfId="28" applyFill="1" applyBorder="1" applyAlignment="1">
      <alignment horizontal="center" vertical="center"/>
    </xf>
    <xf numFmtId="0" fontId="45" fillId="18" borderId="1" xfId="28" applyFont="1" applyFill="1" applyBorder="1" applyAlignment="1">
      <alignment horizontal="center" vertical="center"/>
    </xf>
    <xf numFmtId="0" fontId="46" fillId="18" borderId="42" xfId="28" applyFont="1" applyFill="1" applyBorder="1" applyAlignment="1">
      <alignment horizontal="center" vertical="center"/>
    </xf>
    <xf numFmtId="0" fontId="46" fillId="18" borderId="42" xfId="28" applyFont="1" applyFill="1" applyBorder="1" applyAlignment="1">
      <alignment horizontal="center" vertical="center" wrapText="1"/>
    </xf>
    <xf numFmtId="0" fontId="46" fillId="18" borderId="44" xfId="28" applyFont="1" applyFill="1" applyBorder="1" applyAlignment="1">
      <alignment horizontal="center" vertical="center"/>
    </xf>
    <xf numFmtId="0" fontId="4" fillId="18" borderId="1" xfId="28" applyFill="1" applyBorder="1" applyAlignment="1" applyProtection="1">
      <alignment horizontal="center" vertical="center"/>
      <protection locked="0"/>
    </xf>
    <xf numFmtId="0" fontId="4" fillId="18" borderId="0" xfId="28" applyFill="1" applyAlignment="1" applyProtection="1">
      <alignment vertical="center"/>
      <protection locked="0"/>
    </xf>
    <xf numFmtId="2" fontId="4" fillId="18" borderId="0" xfId="28" applyNumberFormat="1" applyFill="1" applyAlignment="1" applyProtection="1">
      <alignment horizontal="center" vertical="center"/>
      <protection locked="0"/>
    </xf>
    <xf numFmtId="49" fontId="45" fillId="18" borderId="0" xfId="28" applyNumberFormat="1" applyFont="1" applyFill="1" applyAlignment="1">
      <alignment horizontal="center" vertical="center" wrapText="1"/>
    </xf>
    <xf numFmtId="49" fontId="45" fillId="18" borderId="0" xfId="28" applyNumberFormat="1" applyFont="1" applyFill="1" applyAlignment="1">
      <alignment horizontal="center" vertical="center"/>
    </xf>
    <xf numFmtId="2" fontId="4" fillId="18" borderId="0" xfId="28" applyNumberFormat="1" applyFill="1" applyAlignment="1" applyProtection="1">
      <alignment vertical="center"/>
      <protection locked="0"/>
    </xf>
    <xf numFmtId="0" fontId="27" fillId="18" borderId="0" xfId="28" applyFont="1" applyFill="1" applyAlignment="1" applyProtection="1">
      <alignment horizontal="center" vertical="center"/>
      <protection locked="0"/>
    </xf>
    <xf numFmtId="0" fontId="4" fillId="18" borderId="0" xfId="28" applyFill="1" applyAlignment="1" applyProtection="1">
      <alignment horizontal="center" vertical="center"/>
      <protection locked="0"/>
    </xf>
    <xf numFmtId="3" fontId="4" fillId="18" borderId="0" xfId="28" applyNumberFormat="1" applyFill="1" applyAlignment="1">
      <alignment horizontal="center" vertical="center"/>
    </xf>
    <xf numFmtId="2" fontId="4" fillId="18" borderId="0" xfId="28" applyNumberFormat="1" applyFill="1" applyAlignment="1">
      <alignment vertical="center"/>
    </xf>
    <xf numFmtId="167" fontId="27" fillId="18" borderId="1" xfId="28" applyNumberFormat="1" applyFont="1" applyFill="1" applyBorder="1" applyAlignment="1">
      <alignment horizontal="center" vertical="center"/>
    </xf>
    <xf numFmtId="0" fontId="27" fillId="18" borderId="6" xfId="28" applyFont="1" applyFill="1" applyBorder="1" applyAlignment="1">
      <alignment horizontal="left" vertical="center" wrapText="1" indent="1"/>
    </xf>
    <xf numFmtId="0" fontId="27" fillId="18" borderId="7" xfId="28" applyFont="1" applyFill="1" applyBorder="1" applyAlignment="1">
      <alignment horizontal="left" vertical="center" wrapText="1"/>
    </xf>
    <xf numFmtId="9" fontId="27" fillId="18" borderId="7" xfId="28" applyNumberFormat="1" applyFont="1" applyFill="1" applyBorder="1" applyAlignment="1">
      <alignment horizontal="center" vertical="center" wrapText="1"/>
    </xf>
    <xf numFmtId="0" fontId="27" fillId="18" borderId="4" xfId="28" quotePrefix="1" applyFont="1" applyFill="1" applyBorder="1" applyAlignment="1">
      <alignment horizontal="left" vertical="center" wrapText="1" indent="1"/>
    </xf>
    <xf numFmtId="185" fontId="46" fillId="18" borderId="21" xfId="28" applyNumberFormat="1" applyFont="1" applyFill="1" applyBorder="1" applyAlignment="1">
      <alignment horizontal="center" vertical="center" wrapText="1"/>
    </xf>
    <xf numFmtId="185" fontId="46" fillId="18" borderId="0" xfId="28" applyNumberFormat="1" applyFont="1" applyFill="1" applyAlignment="1">
      <alignment horizontal="center" vertical="center" wrapText="1"/>
    </xf>
    <xf numFmtId="0" fontId="27" fillId="18" borderId="7" xfId="28" applyFont="1" applyFill="1" applyBorder="1" applyAlignment="1">
      <alignment horizontal="left" vertical="center" wrapText="1" indent="1"/>
    </xf>
    <xf numFmtId="196" fontId="4" fillId="0" borderId="0" xfId="28" applyNumberFormat="1" applyAlignment="1">
      <alignment vertical="center"/>
    </xf>
    <xf numFmtId="167" fontId="27" fillId="18" borderId="0" xfId="28" applyNumberFormat="1" applyFont="1" applyFill="1" applyAlignment="1">
      <alignment horizontal="center" vertical="center"/>
    </xf>
    <xf numFmtId="0" fontId="27" fillId="18" borderId="0" xfId="28" applyFont="1" applyFill="1" applyAlignment="1">
      <alignment horizontal="left" vertical="center" wrapText="1" indent="1"/>
    </xf>
    <xf numFmtId="2" fontId="46" fillId="18" borderId="23" xfId="28" applyNumberFormat="1" applyFont="1" applyFill="1" applyBorder="1" applyAlignment="1">
      <alignment horizontal="center" vertical="center" wrapText="1"/>
    </xf>
    <xf numFmtId="2" fontId="46" fillId="18" borderId="31" xfId="28" applyNumberFormat="1" applyFont="1" applyFill="1" applyBorder="1" applyAlignment="1">
      <alignment horizontal="center" vertical="center" wrapText="1"/>
    </xf>
    <xf numFmtId="167" fontId="4" fillId="18" borderId="1" xfId="28" applyNumberFormat="1" applyFill="1" applyBorder="1" applyAlignment="1">
      <alignment horizontal="center" vertical="center"/>
    </xf>
    <xf numFmtId="167" fontId="4" fillId="18" borderId="1" xfId="28" applyNumberFormat="1" applyFill="1" applyBorder="1" applyAlignment="1" applyProtection="1">
      <alignment horizontal="center" vertical="center"/>
      <protection locked="0"/>
    </xf>
    <xf numFmtId="197" fontId="4" fillId="18" borderId="1" xfId="28" applyNumberFormat="1" applyFill="1" applyBorder="1" applyAlignment="1" applyProtection="1">
      <alignment horizontal="center" vertical="center"/>
      <protection locked="0"/>
    </xf>
    <xf numFmtId="0" fontId="4" fillId="18" borderId="1" xfId="28" applyFill="1" applyBorder="1" applyAlignment="1">
      <alignment horizontal="center" vertical="center"/>
    </xf>
    <xf numFmtId="0" fontId="4" fillId="18" borderId="1" xfId="28" applyFill="1" applyBorder="1" applyAlignment="1">
      <alignment horizontal="left" vertical="center" wrapText="1" indent="1"/>
    </xf>
    <xf numFmtId="0" fontId="4" fillId="6" borderId="0" xfId="28" applyFill="1" applyAlignment="1">
      <alignment vertical="center"/>
    </xf>
    <xf numFmtId="0" fontId="4" fillId="5" borderId="1" xfId="28" applyFill="1" applyBorder="1" applyAlignment="1">
      <alignment horizontal="center" vertical="center"/>
    </xf>
    <xf numFmtId="167" fontId="4" fillId="18" borderId="1" xfId="28" applyNumberFormat="1" applyFill="1" applyBorder="1" applyAlignment="1">
      <alignment horizontal="left" vertical="center" indent="1"/>
    </xf>
    <xf numFmtId="167" fontId="4" fillId="18" borderId="1" xfId="28" applyNumberFormat="1" applyFill="1" applyBorder="1" applyAlignment="1" applyProtection="1">
      <alignment horizontal="left" vertical="center" indent="1"/>
      <protection locked="0"/>
    </xf>
    <xf numFmtId="185" fontId="4" fillId="18" borderId="0" xfId="28" applyNumberFormat="1" applyFill="1" applyAlignment="1">
      <alignment vertical="center"/>
    </xf>
    <xf numFmtId="0" fontId="4" fillId="44" borderId="0" xfId="28" applyFill="1" applyAlignment="1">
      <alignment vertical="center"/>
    </xf>
    <xf numFmtId="185" fontId="4" fillId="18" borderId="1" xfId="28" applyNumberFormat="1" applyFill="1" applyBorder="1" applyAlignment="1" applyProtection="1">
      <alignment horizontal="center" vertical="center"/>
      <protection locked="0"/>
    </xf>
    <xf numFmtId="2" fontId="4" fillId="6" borderId="0" xfId="28" applyNumberFormat="1" applyFill="1" applyAlignment="1">
      <alignment horizontal="center" vertical="center"/>
    </xf>
    <xf numFmtId="4" fontId="4" fillId="6" borderId="0" xfId="28" applyNumberFormat="1" applyFill="1" applyAlignment="1">
      <alignment vertical="center"/>
    </xf>
    <xf numFmtId="2" fontId="46" fillId="18" borderId="28" xfId="28" applyNumberFormat="1" applyFont="1" applyFill="1" applyBorder="1" applyAlignment="1">
      <alignment horizontal="center" vertical="center" wrapText="1"/>
    </xf>
    <xf numFmtId="167" fontId="27" fillId="18" borderId="7" xfId="28" applyNumberFormat="1" applyFont="1" applyFill="1" applyBorder="1" applyAlignment="1">
      <alignment horizontal="center" vertical="center"/>
    </xf>
    <xf numFmtId="0" fontId="27" fillId="18" borderId="28" xfId="28" quotePrefix="1" applyFont="1" applyFill="1" applyBorder="1" applyAlignment="1">
      <alignment horizontal="left" vertical="center" wrapText="1" indent="1"/>
    </xf>
    <xf numFmtId="167" fontId="27" fillId="0" borderId="1" xfId="28" applyNumberFormat="1" applyFont="1" applyBorder="1" applyAlignment="1">
      <alignment horizontal="center" vertical="center"/>
    </xf>
    <xf numFmtId="0" fontId="46" fillId="18" borderId="23" xfId="28" quotePrefix="1" applyFont="1" applyFill="1" applyBorder="1" applyAlignment="1">
      <alignment horizontal="center" vertical="center" wrapText="1"/>
    </xf>
    <xf numFmtId="0" fontId="46" fillId="18" borderId="31" xfId="28" quotePrefix="1" applyFont="1" applyFill="1" applyBorder="1" applyAlignment="1">
      <alignment horizontal="center" vertical="center" wrapText="1"/>
    </xf>
    <xf numFmtId="197" fontId="4" fillId="0" borderId="1" xfId="28" applyNumberFormat="1" applyBorder="1" applyAlignment="1" applyProtection="1">
      <alignment horizontal="center" vertical="center"/>
      <protection locked="0"/>
    </xf>
    <xf numFmtId="0" fontId="4" fillId="18" borderId="1" xfId="28" quotePrefix="1" applyFill="1" applyBorder="1" applyAlignment="1">
      <alignment horizontal="left" vertical="center" wrapText="1" indent="1"/>
    </xf>
    <xf numFmtId="0" fontId="4" fillId="45" borderId="0" xfId="28" applyFill="1" applyAlignment="1">
      <alignment vertical="center"/>
    </xf>
    <xf numFmtId="167" fontId="4" fillId="45" borderId="1" xfId="28" applyNumberFormat="1" applyFill="1" applyBorder="1" applyAlignment="1">
      <alignment horizontal="left" vertical="center" indent="1"/>
    </xf>
    <xf numFmtId="167" fontId="4" fillId="45" borderId="1" xfId="28" applyNumberFormat="1" applyFill="1" applyBorder="1" applyAlignment="1" applyProtection="1">
      <alignment horizontal="left" vertical="center" indent="1"/>
      <protection locked="0"/>
    </xf>
    <xf numFmtId="197" fontId="4" fillId="45" borderId="1" xfId="28" applyNumberFormat="1" applyFill="1" applyBorder="1" applyAlignment="1" applyProtection="1">
      <alignment horizontal="center" vertical="center"/>
      <protection locked="0"/>
    </xf>
    <xf numFmtId="0" fontId="4" fillId="45" borderId="1" xfId="28" applyFill="1" applyBorder="1" applyAlignment="1">
      <alignment horizontal="center" vertical="center"/>
    </xf>
    <xf numFmtId="0" fontId="4" fillId="45" borderId="1" xfId="28" quotePrefix="1" applyFill="1" applyBorder="1" applyAlignment="1">
      <alignment horizontal="left" vertical="center" wrapText="1" indent="1"/>
    </xf>
    <xf numFmtId="185" fontId="4" fillId="45" borderId="1" xfId="28" applyNumberFormat="1" applyFill="1" applyBorder="1" applyAlignment="1" applyProtection="1">
      <alignment horizontal="center" vertical="center"/>
      <protection locked="0"/>
    </xf>
    <xf numFmtId="0" fontId="4" fillId="45" borderId="1" xfId="28" applyFill="1" applyBorder="1" applyAlignment="1">
      <alignment horizontal="left" vertical="center" wrapText="1" indent="1"/>
    </xf>
    <xf numFmtId="2" fontId="27" fillId="18" borderId="13" xfId="28" applyNumberFormat="1" applyFont="1" applyFill="1" applyBorder="1" applyAlignment="1">
      <alignment horizontal="center" vertical="center" wrapText="1"/>
    </xf>
    <xf numFmtId="0" fontId="27" fillId="18" borderId="12" xfId="28" applyFont="1" applyFill="1" applyBorder="1" applyAlignment="1">
      <alignment horizontal="center" vertical="center" wrapText="1"/>
    </xf>
    <xf numFmtId="2" fontId="27" fillId="18" borderId="12" xfId="28" applyNumberFormat="1" applyFont="1" applyFill="1" applyBorder="1" applyAlignment="1">
      <alignment horizontal="center" vertical="center" wrapText="1"/>
    </xf>
    <xf numFmtId="0" fontId="27" fillId="18" borderId="12" xfId="28" applyFont="1" applyFill="1" applyBorder="1" applyAlignment="1">
      <alignment horizontal="center" vertical="center"/>
    </xf>
    <xf numFmtId="0" fontId="4" fillId="18" borderId="21" xfId="9" applyFill="1" applyBorder="1" applyAlignment="1">
      <alignment horizontal="center" vertical="center" wrapText="1"/>
    </xf>
    <xf numFmtId="0" fontId="4" fillId="18" borderId="0" xfId="9" applyFill="1" applyAlignment="1">
      <alignment horizontal="center" vertical="center" wrapText="1"/>
    </xf>
    <xf numFmtId="0" fontId="4" fillId="18" borderId="24" xfId="9" applyFill="1" applyBorder="1" applyAlignment="1">
      <alignment horizontal="center" vertical="center" wrapText="1"/>
    </xf>
    <xf numFmtId="0" fontId="46" fillId="18" borderId="19" xfId="28" applyFont="1" applyFill="1" applyBorder="1" applyAlignment="1">
      <alignment horizontal="left" vertical="center" indent="1"/>
    </xf>
    <xf numFmtId="49" fontId="45" fillId="18" borderId="30" xfId="28" applyNumberFormat="1" applyFont="1" applyFill="1" applyBorder="1" applyAlignment="1">
      <alignment horizontal="center" vertical="center" wrapText="1"/>
    </xf>
    <xf numFmtId="0" fontId="45" fillId="18" borderId="48" xfId="28" applyFont="1" applyFill="1" applyBorder="1" applyAlignment="1">
      <alignment horizontal="left" vertical="center" indent="1"/>
    </xf>
    <xf numFmtId="49" fontId="45" fillId="18" borderId="14" xfId="28" applyNumberFormat="1" applyFont="1" applyFill="1" applyBorder="1" applyAlignment="1">
      <alignment horizontal="center" vertical="center" wrapText="1"/>
    </xf>
    <xf numFmtId="0" fontId="45" fillId="18" borderId="49" xfId="28" applyFont="1" applyFill="1" applyBorder="1" applyAlignment="1">
      <alignment horizontal="left" vertical="center" indent="1"/>
    </xf>
    <xf numFmtId="198" fontId="4" fillId="0" borderId="0" xfId="28" applyNumberFormat="1" applyAlignment="1">
      <alignment vertical="center"/>
    </xf>
    <xf numFmtId="167" fontId="4" fillId="0" borderId="0" xfId="28" applyNumberFormat="1" applyAlignment="1">
      <alignment vertical="center"/>
    </xf>
    <xf numFmtId="14" fontId="4" fillId="18" borderId="1" xfId="28" applyNumberFormat="1" applyFill="1" applyBorder="1" applyAlignment="1" applyProtection="1">
      <alignment horizontal="center" vertical="center"/>
      <protection locked="0"/>
    </xf>
    <xf numFmtId="197" fontId="4" fillId="18" borderId="0" xfId="28" applyNumberFormat="1" applyFill="1" applyAlignment="1">
      <alignment vertical="center"/>
    </xf>
    <xf numFmtId="167" fontId="4" fillId="18" borderId="0" xfId="28" applyNumberFormat="1" applyFill="1" applyAlignment="1">
      <alignment vertical="center"/>
    </xf>
    <xf numFmtId="167" fontId="4" fillId="18" borderId="2" xfId="28" applyNumberFormat="1" applyFill="1" applyBorder="1" applyAlignment="1">
      <alignment horizontal="left" vertical="center" indent="1"/>
    </xf>
    <xf numFmtId="0" fontId="4" fillId="18" borderId="2" xfId="28" applyFill="1" applyBorder="1" applyAlignment="1">
      <alignment horizontal="center" vertical="center"/>
    </xf>
    <xf numFmtId="0" fontId="4" fillId="18" borderId="2" xfId="28" quotePrefix="1" applyFill="1" applyBorder="1" applyAlignment="1">
      <alignment horizontal="left" vertical="center" wrapText="1" indent="1"/>
    </xf>
    <xf numFmtId="0" fontId="4" fillId="5" borderId="0" xfId="28" applyFill="1" applyAlignment="1">
      <alignment vertical="center"/>
    </xf>
    <xf numFmtId="2" fontId="4" fillId="5" borderId="0" xfId="28" applyNumberFormat="1" applyFill="1" applyAlignment="1">
      <alignment vertical="center"/>
    </xf>
    <xf numFmtId="167" fontId="4" fillId="5" borderId="1" xfId="28" applyNumberFormat="1" applyFill="1" applyBorder="1" applyAlignment="1">
      <alignment horizontal="left" vertical="center" indent="1"/>
    </xf>
    <xf numFmtId="14" fontId="4" fillId="5" borderId="1" xfId="28" applyNumberFormat="1" applyFill="1" applyBorder="1" applyAlignment="1" applyProtection="1">
      <alignment horizontal="center" vertical="center"/>
      <protection locked="0"/>
    </xf>
    <xf numFmtId="0" fontId="4" fillId="5" borderId="1" xfId="28" quotePrefix="1" applyFill="1" applyBorder="1" applyAlignment="1">
      <alignment horizontal="left" vertical="center" wrapText="1" indent="1"/>
    </xf>
    <xf numFmtId="0" fontId="27" fillId="18" borderId="13" xfId="28" applyFont="1" applyFill="1" applyBorder="1" applyAlignment="1">
      <alignment horizontal="center" vertical="center" wrapText="1"/>
    </xf>
    <xf numFmtId="0" fontId="17" fillId="5" borderId="1" xfId="0" applyFont="1" applyFill="1" applyBorder="1" applyAlignment="1">
      <alignment horizontal="center"/>
    </xf>
    <xf numFmtId="0" fontId="0" fillId="0" borderId="1" xfId="0" applyBorder="1" applyAlignment="1">
      <alignment horizontal="center" vertical="center"/>
    </xf>
    <xf numFmtId="0" fontId="0" fillId="0" borderId="0" xfId="0" applyAlignment="1">
      <alignment horizontal="left"/>
    </xf>
    <xf numFmtId="0" fontId="0" fillId="0" borderId="0" xfId="0" pivotButton="1"/>
    <xf numFmtId="0" fontId="17" fillId="0" borderId="0" xfId="0" applyFont="1" applyAlignment="1">
      <alignment horizontal="center" vertical="center"/>
    </xf>
    <xf numFmtId="0" fontId="17" fillId="0" borderId="0" xfId="0" applyFont="1" applyAlignment="1">
      <alignment horizontal="center"/>
    </xf>
    <xf numFmtId="0" fontId="0" fillId="0" borderId="0" xfId="0" quotePrefix="1" applyAlignment="1">
      <alignment horizontal="center"/>
    </xf>
    <xf numFmtId="0" fontId="17" fillId="0" borderId="0" xfId="0" quotePrefix="1" applyFont="1" applyAlignment="1">
      <alignment horizontal="center"/>
    </xf>
    <xf numFmtId="0" fontId="0" fillId="0" borderId="3" xfId="0" applyBorder="1" applyAlignment="1">
      <alignment horizontal="center" vertical="center"/>
    </xf>
    <xf numFmtId="0" fontId="17" fillId="0" borderId="1" xfId="0" applyFont="1" applyBorder="1" applyAlignment="1">
      <alignment horizontal="center"/>
    </xf>
    <xf numFmtId="0" fontId="0" fillId="0" borderId="0" xfId="0" applyAlignment="1">
      <alignment vertical="center"/>
    </xf>
    <xf numFmtId="0" fontId="0" fillId="0" borderId="5" xfId="0" applyBorder="1" applyAlignment="1">
      <alignment horizontal="center" vertical="center"/>
    </xf>
    <xf numFmtId="0" fontId="0" fillId="17" borderId="0" xfId="0" applyFill="1"/>
    <xf numFmtId="0" fontId="0" fillId="10" borderId="0" xfId="0" applyFill="1"/>
    <xf numFmtId="0" fontId="0" fillId="29" borderId="0" xfId="0" applyFill="1"/>
    <xf numFmtId="0" fontId="0" fillId="46" borderId="0" xfId="0" applyFill="1"/>
    <xf numFmtId="0" fontId="17" fillId="5" borderId="1" xfId="0" applyFont="1" applyFill="1" applyBorder="1"/>
    <xf numFmtId="0" fontId="0" fillId="29" borderId="1" xfId="0" applyFill="1" applyBorder="1"/>
    <xf numFmtId="0" fontId="77" fillId="29" borderId="1" xfId="0" applyFont="1" applyFill="1" applyBorder="1" applyAlignment="1">
      <alignment horizontal="center" vertical="center"/>
    </xf>
    <xf numFmtId="0" fontId="0" fillId="29" borderId="1" xfId="0" applyFill="1" applyBorder="1" applyAlignment="1">
      <alignment horizontal="center" vertical="center"/>
    </xf>
    <xf numFmtId="0" fontId="0" fillId="29" borderId="1" xfId="0" applyFill="1" applyBorder="1" applyAlignment="1">
      <alignment horizontal="center"/>
    </xf>
    <xf numFmtId="0" fontId="77" fillId="0" borderId="1" xfId="0" applyFont="1" applyBorder="1" applyAlignment="1">
      <alignment horizontal="center" vertical="center"/>
    </xf>
    <xf numFmtId="0" fontId="78" fillId="5" borderId="1" xfId="0" applyFont="1" applyFill="1" applyBorder="1" applyAlignment="1">
      <alignment horizontal="center" vertical="center"/>
    </xf>
    <xf numFmtId="2" fontId="9" fillId="0" borderId="0" xfId="19" applyNumberFormat="1" applyFont="1"/>
    <xf numFmtId="2" fontId="9" fillId="0" borderId="0" xfId="19" applyNumberFormat="1" applyFont="1" applyAlignment="1">
      <alignment horizontal="center"/>
    </xf>
    <xf numFmtId="2" fontId="56" fillId="0" borderId="0" xfId="19" applyNumberFormat="1" applyFont="1"/>
    <xf numFmtId="0" fontId="15" fillId="0" borderId="0" xfId="19" applyFont="1"/>
    <xf numFmtId="0" fontId="9" fillId="0" borderId="0" xfId="19" applyFont="1"/>
    <xf numFmtId="2" fontId="28" fillId="0" borderId="0" xfId="19" applyNumberFormat="1" applyFont="1"/>
    <xf numFmtId="0" fontId="79" fillId="0" borderId="0" xfId="19" applyFont="1"/>
    <xf numFmtId="2" fontId="12" fillId="0" borderId="0" xfId="19" applyNumberFormat="1" applyFont="1"/>
    <xf numFmtId="2" fontId="55" fillId="0" borderId="0" xfId="19" applyNumberFormat="1" applyFont="1" applyAlignment="1">
      <alignment horizontal="left"/>
    </xf>
    <xf numFmtId="1" fontId="12" fillId="0" borderId="0" xfId="19" applyNumberFormat="1" applyFont="1" applyAlignment="1">
      <alignment horizontal="center" wrapText="1"/>
    </xf>
    <xf numFmtId="2" fontId="9" fillId="0" borderId="0" xfId="19" applyNumberFormat="1" applyFont="1" applyAlignment="1">
      <alignment horizontal="left"/>
    </xf>
    <xf numFmtId="2" fontId="13" fillId="5" borderId="1" xfId="19" applyNumberFormat="1" applyFont="1" applyFill="1" applyBorder="1" applyAlignment="1">
      <alignment horizontal="center"/>
    </xf>
    <xf numFmtId="2" fontId="12" fillId="0" borderId="0" xfId="19" applyNumberFormat="1" applyFont="1" applyAlignment="1">
      <alignment horizontal="center"/>
    </xf>
    <xf numFmtId="2" fontId="12" fillId="0" borderId="0" xfId="19" applyNumberFormat="1" applyFont="1" applyAlignment="1">
      <alignment horizontal="center" vertical="center"/>
    </xf>
    <xf numFmtId="2" fontId="12" fillId="47" borderId="2" xfId="19" applyNumberFormat="1" applyFont="1" applyFill="1" applyBorder="1" applyAlignment="1">
      <alignment horizontal="center"/>
    </xf>
    <xf numFmtId="171" fontId="12" fillId="47" borderId="2" xfId="19" applyNumberFormat="1" applyFont="1" applyFill="1" applyBorder="1" applyAlignment="1">
      <alignment horizontal="center"/>
    </xf>
    <xf numFmtId="1" fontId="9" fillId="0" borderId="2" xfId="19" applyNumberFormat="1" applyFont="1" applyBorder="1" applyAlignment="1">
      <alignment vertical="center"/>
    </xf>
    <xf numFmtId="1" fontId="9" fillId="0" borderId="0" xfId="19" applyNumberFormat="1" applyFont="1" applyAlignment="1">
      <alignment vertical="center"/>
    </xf>
    <xf numFmtId="2" fontId="9" fillId="0" borderId="0" xfId="19" applyNumberFormat="1" applyFont="1" applyAlignment="1">
      <alignment horizontal="center" vertical="center"/>
    </xf>
    <xf numFmtId="2" fontId="80" fillId="0" borderId="0" xfId="19" applyNumberFormat="1" applyFont="1" applyAlignment="1">
      <alignment horizontal="center"/>
    </xf>
    <xf numFmtId="2" fontId="15" fillId="43" borderId="0" xfId="19" applyNumberFormat="1" applyFont="1" applyFill="1" applyAlignment="1">
      <alignment horizontal="center"/>
    </xf>
    <xf numFmtId="2" fontId="15" fillId="0" borderId="0" xfId="19" applyNumberFormat="1" applyFont="1" applyAlignment="1">
      <alignment horizontal="center"/>
    </xf>
    <xf numFmtId="2" fontId="9" fillId="43" borderId="0" xfId="19" applyNumberFormat="1" applyFont="1" applyFill="1" applyAlignment="1">
      <alignment horizontal="center"/>
    </xf>
    <xf numFmtId="2" fontId="9" fillId="0" borderId="0" xfId="19" quotePrefix="1" applyNumberFormat="1" applyFont="1" applyAlignment="1">
      <alignment horizontal="center"/>
    </xf>
    <xf numFmtId="1" fontId="9" fillId="0" borderId="0" xfId="19" applyNumberFormat="1" applyFont="1" applyAlignment="1">
      <alignment horizontal="center"/>
    </xf>
    <xf numFmtId="171" fontId="9" fillId="0" borderId="0" xfId="19" applyNumberFormat="1" applyFont="1" applyAlignment="1">
      <alignment horizontal="center"/>
    </xf>
    <xf numFmtId="2" fontId="28" fillId="0" borderId="0" xfId="19" applyNumberFormat="1" applyFont="1" applyAlignment="1">
      <alignment horizontal="center"/>
    </xf>
    <xf numFmtId="0" fontId="81" fillId="0" borderId="0" xfId="19" applyFont="1" applyAlignment="1">
      <alignment horizontal="center" vertical="center" wrapText="1"/>
    </xf>
    <xf numFmtId="185" fontId="9" fillId="0" borderId="0" xfId="19" applyNumberFormat="1" applyFont="1" applyAlignment="1">
      <alignment horizontal="center"/>
    </xf>
    <xf numFmtId="2" fontId="50" fillId="0" borderId="0" xfId="26" applyNumberFormat="1" applyFont="1" applyAlignment="1" applyProtection="1">
      <alignment horizontal="center" vertical="center"/>
      <protection locked="0"/>
    </xf>
    <xf numFmtId="10" fontId="28" fillId="0" borderId="0" xfId="40" applyNumberFormat="1" applyFont="1" applyFill="1" applyBorder="1" applyAlignment="1" applyProtection="1">
      <alignment horizontal="center" vertical="center"/>
      <protection locked="0"/>
    </xf>
    <xf numFmtId="0" fontId="79" fillId="0" borderId="0" xfId="19" applyFont="1" applyAlignment="1">
      <alignment horizontal="center" vertical="center"/>
    </xf>
    <xf numFmtId="2" fontId="50" fillId="0" borderId="0" xfId="19" applyNumberFormat="1" applyFont="1" applyAlignment="1">
      <alignment horizontal="center" vertical="center"/>
    </xf>
    <xf numFmtId="171" fontId="9" fillId="0" borderId="0" xfId="19" applyNumberFormat="1" applyFont="1"/>
    <xf numFmtId="2" fontId="80" fillId="0" borderId="1" xfId="19" applyNumberFormat="1" applyFont="1" applyBorder="1" applyAlignment="1">
      <alignment horizontal="center"/>
    </xf>
    <xf numFmtId="2" fontId="15" fillId="0" borderId="1" xfId="19" applyNumberFormat="1" applyFont="1" applyBorder="1" applyAlignment="1">
      <alignment horizontal="center"/>
    </xf>
    <xf numFmtId="2" fontId="9" fillId="0" borderId="1" xfId="19" applyNumberFormat="1" applyFont="1" applyBorder="1" applyAlignment="1">
      <alignment horizontal="center"/>
    </xf>
    <xf numFmtId="2" fontId="9" fillId="0" borderId="1" xfId="19" quotePrefix="1" applyNumberFormat="1" applyFont="1" applyBorder="1" applyAlignment="1">
      <alignment horizontal="center"/>
    </xf>
    <xf numFmtId="2" fontId="12" fillId="0" borderId="1" xfId="19" applyNumberFormat="1" applyFont="1" applyBorder="1" applyAlignment="1">
      <alignment horizontal="center"/>
    </xf>
    <xf numFmtId="2" fontId="9" fillId="0" borderId="1" xfId="19" applyNumberFormat="1" applyFont="1" applyBorder="1"/>
    <xf numFmtId="193" fontId="9" fillId="0" borderId="1" xfId="19" applyNumberFormat="1" applyFont="1" applyBorder="1" applyAlignment="1">
      <alignment horizontal="center"/>
    </xf>
    <xf numFmtId="1" fontId="9" fillId="0" borderId="1" xfId="19" applyNumberFormat="1" applyFont="1" applyBorder="1" applyAlignment="1">
      <alignment horizontal="center"/>
    </xf>
    <xf numFmtId="171" fontId="9" fillId="0" borderId="1" xfId="19" applyNumberFormat="1" applyFont="1" applyBorder="1" applyAlignment="1">
      <alignment horizontal="center"/>
    </xf>
    <xf numFmtId="2" fontId="9" fillId="5" borderId="1" xfId="19" applyNumberFormat="1" applyFont="1" applyFill="1" applyBorder="1" applyAlignment="1">
      <alignment horizontal="center"/>
    </xf>
    <xf numFmtId="2" fontId="9" fillId="29" borderId="1" xfId="19" applyNumberFormat="1" applyFont="1" applyFill="1" applyBorder="1" applyAlignment="1">
      <alignment horizontal="center"/>
    </xf>
    <xf numFmtId="2" fontId="28" fillId="0" borderId="1" xfId="19" applyNumberFormat="1" applyFont="1" applyBorder="1" applyAlignment="1">
      <alignment horizontal="center"/>
    </xf>
    <xf numFmtId="0" fontId="81" fillId="0" borderId="1" xfId="19" applyFont="1" applyBorder="1" applyAlignment="1">
      <alignment horizontal="center" vertical="center" wrapText="1"/>
    </xf>
    <xf numFmtId="185" fontId="9" fillId="0" borderId="1" xfId="19" applyNumberFormat="1" applyFont="1" applyBorder="1" applyAlignment="1">
      <alignment horizontal="center"/>
    </xf>
    <xf numFmtId="10" fontId="28" fillId="0" borderId="1" xfId="40" applyNumberFormat="1" applyFont="1" applyFill="1" applyBorder="1" applyAlignment="1" applyProtection="1">
      <alignment horizontal="center" vertical="center"/>
      <protection locked="0"/>
    </xf>
    <xf numFmtId="2" fontId="50" fillId="0" borderId="1" xfId="19" applyNumberFormat="1" applyFont="1" applyBorder="1" applyAlignment="1">
      <alignment horizontal="center" vertical="center"/>
    </xf>
    <xf numFmtId="0" fontId="25" fillId="0" borderId="1" xfId="19" applyBorder="1" applyAlignment="1">
      <alignment horizontal="center"/>
    </xf>
    <xf numFmtId="2" fontId="9" fillId="0" borderId="1" xfId="19" applyNumberFormat="1" applyFont="1" applyBorder="1" applyAlignment="1">
      <alignment horizontal="center" vertical="center"/>
    </xf>
    <xf numFmtId="2" fontId="15" fillId="43" borderId="1" xfId="19" applyNumberFormat="1" applyFont="1" applyFill="1" applyBorder="1" applyAlignment="1">
      <alignment horizontal="center"/>
    </xf>
    <xf numFmtId="2" fontId="50" fillId="0" borderId="1" xfId="26" applyNumberFormat="1" applyFont="1" applyBorder="1" applyAlignment="1" applyProtection="1">
      <alignment horizontal="center" vertical="center"/>
      <protection locked="0"/>
    </xf>
    <xf numFmtId="2" fontId="50" fillId="0" borderId="6" xfId="19" applyNumberFormat="1" applyFont="1" applyBorder="1" applyAlignment="1">
      <alignment horizontal="center" vertical="center"/>
    </xf>
    <xf numFmtId="2" fontId="9" fillId="43" borderId="0" xfId="19" applyNumberFormat="1" applyFont="1" applyFill="1" applyAlignment="1">
      <alignment vertical="center"/>
    </xf>
    <xf numFmtId="1" fontId="12" fillId="9" borderId="1" xfId="19" applyNumberFormat="1" applyFont="1" applyFill="1" applyBorder="1" applyAlignment="1">
      <alignment horizontal="center" vertical="center" wrapText="1"/>
    </xf>
    <xf numFmtId="2" fontId="56" fillId="9" borderId="1" xfId="19" applyNumberFormat="1" applyFont="1" applyFill="1" applyBorder="1" applyAlignment="1">
      <alignment horizontal="center" vertical="center"/>
    </xf>
    <xf numFmtId="1" fontId="56" fillId="9" borderId="1" xfId="19" applyNumberFormat="1" applyFont="1" applyFill="1" applyBorder="1" applyAlignment="1">
      <alignment horizontal="center" vertical="center"/>
    </xf>
    <xf numFmtId="2" fontId="56" fillId="0" borderId="1" xfId="19" applyNumberFormat="1" applyFont="1" applyBorder="1" applyAlignment="1">
      <alignment horizontal="center" vertical="center"/>
    </xf>
    <xf numFmtId="2" fontId="53" fillId="9" borderId="1" xfId="19" applyNumberFormat="1" applyFont="1" applyFill="1" applyBorder="1" applyAlignment="1">
      <alignment horizontal="center" vertical="center"/>
    </xf>
    <xf numFmtId="0" fontId="56" fillId="0" borderId="1" xfId="19" applyFont="1" applyBorder="1" applyAlignment="1">
      <alignment horizontal="center" vertical="center"/>
    </xf>
    <xf numFmtId="2" fontId="55" fillId="9" borderId="1" xfId="19" applyNumberFormat="1" applyFont="1" applyFill="1" applyBorder="1" applyAlignment="1">
      <alignment horizontal="center" vertical="center"/>
    </xf>
    <xf numFmtId="0" fontId="55" fillId="0" borderId="1" xfId="19" applyFont="1" applyBorder="1" applyAlignment="1">
      <alignment horizontal="center" vertical="center"/>
    </xf>
    <xf numFmtId="2" fontId="28" fillId="0" borderId="1" xfId="19" applyNumberFormat="1" applyFont="1" applyBorder="1" applyAlignment="1">
      <alignment horizontal="center" vertical="center"/>
    </xf>
    <xf numFmtId="2" fontId="55" fillId="0" borderId="1" xfId="19" applyNumberFormat="1" applyFont="1" applyBorder="1" applyAlignment="1">
      <alignment horizontal="center" vertical="center"/>
    </xf>
    <xf numFmtId="2" fontId="9" fillId="43" borderId="0" xfId="19" applyNumberFormat="1" applyFont="1" applyFill="1"/>
    <xf numFmtId="1" fontId="12" fillId="9" borderId="1" xfId="19" applyNumberFormat="1" applyFont="1" applyFill="1" applyBorder="1" applyAlignment="1">
      <alignment horizontal="center" wrapText="1"/>
    </xf>
    <xf numFmtId="2" fontId="9" fillId="43" borderId="1" xfId="19" applyNumberFormat="1" applyFont="1" applyFill="1" applyBorder="1" applyAlignment="1">
      <alignment horizontal="center"/>
    </xf>
    <xf numFmtId="2" fontId="9" fillId="43" borderId="1" xfId="19" applyNumberFormat="1" applyFont="1" applyFill="1" applyBorder="1"/>
    <xf numFmtId="185" fontId="9" fillId="43" borderId="1" xfId="19" applyNumberFormat="1" applyFont="1" applyFill="1" applyBorder="1" applyAlignment="1">
      <alignment horizontal="center"/>
    </xf>
    <xf numFmtId="2" fontId="56" fillId="0" borderId="1" xfId="19" applyNumberFormat="1" applyFont="1" applyBorder="1" applyAlignment="1">
      <alignment horizontal="center"/>
    </xf>
    <xf numFmtId="2" fontId="28" fillId="0" borderId="1" xfId="26" applyNumberFormat="1" applyFont="1" applyBorder="1" applyAlignment="1" applyProtection="1">
      <alignment horizontal="center" vertical="center"/>
      <protection locked="0"/>
    </xf>
    <xf numFmtId="0" fontId="9" fillId="0" borderId="1" xfId="19" applyFont="1" applyBorder="1" applyAlignment="1">
      <alignment horizontal="center" vertical="center"/>
    </xf>
    <xf numFmtId="0" fontId="12" fillId="0" borderId="0" xfId="19" applyFont="1" applyAlignment="1">
      <alignment horizontal="center" vertical="center"/>
    </xf>
    <xf numFmtId="0" fontId="12" fillId="0" borderId="1" xfId="19" applyFont="1" applyBorder="1" applyAlignment="1">
      <alignment horizontal="center" vertical="center" wrapText="1"/>
    </xf>
    <xf numFmtId="0" fontId="12" fillId="0" borderId="1" xfId="19" applyFont="1" applyBorder="1" applyAlignment="1">
      <alignment horizontal="center" vertical="center"/>
    </xf>
    <xf numFmtId="0" fontId="52" fillId="0" borderId="1" xfId="19" applyFont="1" applyBorder="1" applyAlignment="1">
      <alignment horizontal="center" vertical="center"/>
    </xf>
    <xf numFmtId="0" fontId="53" fillId="0" borderId="1" xfId="19" applyFont="1" applyBorder="1" applyAlignment="1">
      <alignment horizontal="center" vertical="center"/>
    </xf>
    <xf numFmtId="0" fontId="12" fillId="0" borderId="1" xfId="19" quotePrefix="1" applyFont="1" applyBorder="1" applyAlignment="1">
      <alignment horizontal="center" vertical="center"/>
    </xf>
    <xf numFmtId="0" fontId="54" fillId="0" borderId="1" xfId="19" quotePrefix="1" applyFont="1" applyBorder="1" applyAlignment="1">
      <alignment horizontal="center" vertical="center"/>
    </xf>
    <xf numFmtId="2" fontId="12" fillId="0" borderId="1" xfId="19" quotePrefix="1" applyNumberFormat="1" applyFont="1" applyBorder="1" applyAlignment="1">
      <alignment horizontal="center" vertical="center"/>
    </xf>
    <xf numFmtId="2" fontId="12" fillId="0" borderId="1" xfId="19" applyNumberFormat="1" applyFont="1" applyBorder="1" applyAlignment="1">
      <alignment horizontal="center" vertical="center"/>
    </xf>
    <xf numFmtId="0" fontId="52" fillId="0" borderId="1" xfId="19" applyFont="1" applyBorder="1" applyAlignment="1">
      <alignment horizontal="center" vertical="center" wrapText="1"/>
    </xf>
    <xf numFmtId="0" fontId="82" fillId="0" borderId="1" xfId="19" applyFont="1" applyBorder="1" applyAlignment="1">
      <alignment horizontal="center" vertical="center" wrapText="1"/>
    </xf>
    <xf numFmtId="0" fontId="12" fillId="0" borderId="0" xfId="19" applyFont="1" applyAlignment="1">
      <alignment horizontal="center"/>
    </xf>
    <xf numFmtId="0" fontId="12" fillId="0" borderId="5" xfId="19" applyFont="1" applyBorder="1" applyAlignment="1">
      <alignment horizontal="center"/>
    </xf>
    <xf numFmtId="0" fontId="12" fillId="0" borderId="1" xfId="19" applyFont="1" applyBorder="1" applyAlignment="1">
      <alignment horizontal="center"/>
    </xf>
    <xf numFmtId="0" fontId="25" fillId="0" borderId="0" xfId="19"/>
    <xf numFmtId="0" fontId="25" fillId="0" borderId="0" xfId="19" applyAlignment="1">
      <alignment horizontal="center"/>
    </xf>
    <xf numFmtId="2" fontId="25" fillId="0" borderId="0" xfId="19" applyNumberFormat="1"/>
    <xf numFmtId="1" fontId="25" fillId="0" borderId="0" xfId="19" applyNumberFormat="1"/>
    <xf numFmtId="0" fontId="25" fillId="43" borderId="0" xfId="19" applyFill="1"/>
    <xf numFmtId="0" fontId="83" fillId="0" borderId="0" xfId="19" applyFont="1"/>
    <xf numFmtId="0" fontId="84" fillId="0" borderId="0" xfId="19" applyFont="1"/>
    <xf numFmtId="2" fontId="13" fillId="9" borderId="1" xfId="19" applyNumberFormat="1" applyFont="1" applyFill="1" applyBorder="1" applyAlignment="1">
      <alignment horizontal="center"/>
    </xf>
    <xf numFmtId="2" fontId="12" fillId="5" borderId="1" xfId="19" applyNumberFormat="1" applyFont="1" applyFill="1" applyBorder="1"/>
    <xf numFmtId="2" fontId="13" fillId="0" borderId="1" xfId="19" applyNumberFormat="1" applyFont="1" applyBorder="1" applyAlignment="1">
      <alignment horizontal="center"/>
    </xf>
    <xf numFmtId="1" fontId="9" fillId="0" borderId="1" xfId="19" applyNumberFormat="1" applyFont="1" applyBorder="1" applyAlignment="1">
      <alignment vertical="center"/>
    </xf>
    <xf numFmtId="2" fontId="9" fillId="0" borderId="2" xfId="19" applyNumberFormat="1" applyFont="1" applyBorder="1" applyAlignment="1">
      <alignment horizontal="center" vertical="center"/>
    </xf>
    <xf numFmtId="2" fontId="15" fillId="0" borderId="2" xfId="19" applyNumberFormat="1" applyFont="1" applyBorder="1" applyAlignment="1">
      <alignment horizontal="center"/>
    </xf>
    <xf numFmtId="2" fontId="9" fillId="0" borderId="2" xfId="19" applyNumberFormat="1" applyFont="1" applyBorder="1" applyAlignment="1">
      <alignment horizontal="center"/>
    </xf>
    <xf numFmtId="1" fontId="9" fillId="0" borderId="2" xfId="19" applyNumberFormat="1" applyFont="1" applyBorder="1" applyAlignment="1">
      <alignment horizontal="center"/>
    </xf>
    <xf numFmtId="2" fontId="9" fillId="43" borderId="2" xfId="19" applyNumberFormat="1" applyFont="1" applyFill="1" applyBorder="1" applyAlignment="1">
      <alignment horizontal="center"/>
    </xf>
    <xf numFmtId="2" fontId="15" fillId="0" borderId="26" xfId="19" applyNumberFormat="1" applyFont="1" applyBorder="1" applyAlignment="1">
      <alignment horizontal="center"/>
    </xf>
    <xf numFmtId="2" fontId="15" fillId="0" borderId="25" xfId="19" applyNumberFormat="1" applyFont="1" applyBorder="1" applyAlignment="1">
      <alignment horizontal="center"/>
    </xf>
    <xf numFmtId="2" fontId="9" fillId="0" borderId="25" xfId="19" applyNumberFormat="1" applyFont="1" applyBorder="1" applyAlignment="1">
      <alignment horizontal="center"/>
    </xf>
    <xf numFmtId="2" fontId="28" fillId="0" borderId="0" xfId="26" applyNumberFormat="1" applyFont="1" applyAlignment="1" applyProtection="1">
      <alignment horizontal="center" vertical="center"/>
      <protection locked="0"/>
    </xf>
    <xf numFmtId="2" fontId="9" fillId="0" borderId="2" xfId="13" applyNumberFormat="1" applyFont="1" applyBorder="1" applyAlignment="1">
      <alignment horizontal="center" vertical="center"/>
    </xf>
    <xf numFmtId="10" fontId="28" fillId="0" borderId="2" xfId="40" applyNumberFormat="1" applyFont="1" applyFill="1" applyBorder="1" applyAlignment="1" applyProtection="1">
      <alignment horizontal="center" vertical="center"/>
      <protection locked="0"/>
    </xf>
    <xf numFmtId="1" fontId="9" fillId="29" borderId="0" xfId="19" applyNumberFormat="1" applyFont="1" applyFill="1" applyAlignment="1">
      <alignment vertical="center"/>
    </xf>
    <xf numFmtId="1" fontId="9" fillId="29" borderId="0" xfId="19" applyNumberFormat="1" applyFont="1" applyFill="1" applyAlignment="1">
      <alignment horizontal="center" vertical="center"/>
    </xf>
    <xf numFmtId="185" fontId="9" fillId="29" borderId="1" xfId="19" applyNumberFormat="1" applyFont="1" applyFill="1" applyBorder="1" applyAlignment="1">
      <alignment vertical="center"/>
    </xf>
    <xf numFmtId="2" fontId="9" fillId="29" borderId="2" xfId="19" applyNumberFormat="1" applyFont="1" applyFill="1" applyBorder="1" applyAlignment="1">
      <alignment horizontal="center" vertical="center"/>
    </xf>
    <xf numFmtId="2" fontId="80" fillId="29" borderId="1" xfId="19" applyNumberFormat="1" applyFont="1" applyFill="1" applyBorder="1" applyAlignment="1">
      <alignment horizontal="center"/>
    </xf>
    <xf numFmtId="2" fontId="15" fillId="29" borderId="0" xfId="19" applyNumberFormat="1" applyFont="1" applyFill="1" applyAlignment="1">
      <alignment horizontal="center"/>
    </xf>
    <xf numFmtId="2" fontId="15" fillId="29" borderId="1" xfId="19" applyNumberFormat="1" applyFont="1" applyFill="1" applyBorder="1" applyAlignment="1">
      <alignment horizontal="center"/>
    </xf>
    <xf numFmtId="2" fontId="9" fillId="29" borderId="1" xfId="19" quotePrefix="1" applyNumberFormat="1" applyFont="1" applyFill="1" applyBorder="1" applyAlignment="1">
      <alignment horizontal="center"/>
    </xf>
    <xf numFmtId="2" fontId="12" fillId="29" borderId="1" xfId="19" applyNumberFormat="1" applyFont="1" applyFill="1" applyBorder="1" applyAlignment="1">
      <alignment horizontal="center"/>
    </xf>
    <xf numFmtId="2" fontId="9" fillId="29" borderId="0" xfId="19" applyNumberFormat="1" applyFont="1" applyFill="1" applyAlignment="1">
      <alignment horizontal="center"/>
    </xf>
    <xf numFmtId="2" fontId="9" fillId="29" borderId="1" xfId="19" applyNumberFormat="1" applyFont="1" applyFill="1" applyBorder="1"/>
    <xf numFmtId="171" fontId="9" fillId="29" borderId="1" xfId="19" applyNumberFormat="1" applyFont="1" applyFill="1" applyBorder="1" applyAlignment="1">
      <alignment horizontal="center"/>
    </xf>
    <xf numFmtId="1" fontId="9" fillId="29" borderId="1" xfId="19" applyNumberFormat="1" applyFont="1" applyFill="1" applyBorder="1" applyAlignment="1">
      <alignment horizontal="center"/>
    </xf>
    <xf numFmtId="2" fontId="9" fillId="29" borderId="1" xfId="13" applyNumberFormat="1" applyFont="1" applyFill="1" applyBorder="1" applyAlignment="1">
      <alignment horizontal="center" vertical="center"/>
    </xf>
    <xf numFmtId="2" fontId="28" fillId="29" borderId="1" xfId="19" applyNumberFormat="1" applyFont="1" applyFill="1" applyBorder="1" applyAlignment="1">
      <alignment horizontal="center"/>
    </xf>
    <xf numFmtId="0" fontId="81" fillId="29" borderId="1" xfId="19" applyFont="1" applyFill="1" applyBorder="1" applyAlignment="1">
      <alignment horizontal="center" vertical="center" wrapText="1"/>
    </xf>
    <xf numFmtId="185" fontId="9" fillId="29" borderId="1" xfId="19" applyNumberFormat="1" applyFont="1" applyFill="1" applyBorder="1" applyAlignment="1">
      <alignment horizontal="center"/>
    </xf>
    <xf numFmtId="2" fontId="28" fillId="29" borderId="1" xfId="26" applyNumberFormat="1" applyFont="1" applyFill="1" applyBorder="1" applyAlignment="1" applyProtection="1">
      <alignment horizontal="center" vertical="center"/>
      <protection locked="0"/>
    </xf>
    <xf numFmtId="2" fontId="28" fillId="29" borderId="6" xfId="26" applyNumberFormat="1" applyFont="1" applyFill="1" applyBorder="1" applyAlignment="1" applyProtection="1">
      <alignment horizontal="center" vertical="center"/>
      <protection locked="0"/>
    </xf>
    <xf numFmtId="2" fontId="50" fillId="29" borderId="1" xfId="26" applyNumberFormat="1" applyFont="1" applyFill="1" applyBorder="1" applyAlignment="1" applyProtection="1">
      <alignment horizontal="center" vertical="center"/>
      <protection locked="0"/>
    </xf>
    <xf numFmtId="10" fontId="28" fillId="29" borderId="1" xfId="40" applyNumberFormat="1" applyFont="1" applyFill="1" applyBorder="1" applyAlignment="1" applyProtection="1">
      <alignment horizontal="center" vertical="center"/>
      <protection locked="0"/>
    </xf>
    <xf numFmtId="2" fontId="50" fillId="29" borderId="1" xfId="19" applyNumberFormat="1" applyFont="1" applyFill="1" applyBorder="1" applyAlignment="1">
      <alignment horizontal="center" vertical="center"/>
    </xf>
    <xf numFmtId="0" fontId="25" fillId="29" borderId="1" xfId="19" applyFill="1" applyBorder="1" applyAlignment="1">
      <alignment horizontal="center"/>
    </xf>
    <xf numFmtId="1" fontId="9" fillId="0" borderId="1" xfId="19" applyNumberFormat="1" applyFont="1" applyBorder="1" applyAlignment="1">
      <alignment horizontal="center" vertical="center"/>
    </xf>
    <xf numFmtId="185" fontId="9" fillId="0" borderId="1" xfId="19" applyNumberFormat="1" applyFont="1" applyBorder="1" applyAlignment="1">
      <alignment vertical="center"/>
    </xf>
    <xf numFmtId="2" fontId="28" fillId="0" borderId="6" xfId="26" applyNumberFormat="1" applyFont="1" applyBorder="1" applyAlignment="1" applyProtection="1">
      <alignment horizontal="center" vertical="center"/>
      <protection locked="0"/>
    </xf>
    <xf numFmtId="2" fontId="56" fillId="9" borderId="1" xfId="19" applyNumberFormat="1" applyFont="1" applyFill="1" applyBorder="1" applyAlignment="1">
      <alignment horizontal="center"/>
    </xf>
    <xf numFmtId="1" fontId="56" fillId="9" borderId="1" xfId="19" applyNumberFormat="1" applyFont="1" applyFill="1" applyBorder="1" applyAlignment="1">
      <alignment horizontal="center"/>
    </xf>
    <xf numFmtId="2" fontId="53" fillId="9" borderId="1" xfId="19" applyNumberFormat="1" applyFont="1" applyFill="1" applyBorder="1" applyAlignment="1">
      <alignment horizontal="center"/>
    </xf>
    <xf numFmtId="0" fontId="56" fillId="0" borderId="1" xfId="19" applyFont="1" applyBorder="1" applyAlignment="1">
      <alignment horizontal="center"/>
    </xf>
    <xf numFmtId="2" fontId="55" fillId="9" borderId="1" xfId="19" applyNumberFormat="1" applyFont="1" applyFill="1" applyBorder="1" applyAlignment="1">
      <alignment horizontal="center"/>
    </xf>
    <xf numFmtId="2" fontId="55" fillId="0" borderId="1" xfId="19" applyNumberFormat="1" applyFont="1" applyBorder="1" applyAlignment="1">
      <alignment horizontal="center"/>
    </xf>
    <xf numFmtId="0" fontId="17" fillId="48" borderId="1" xfId="0" applyFont="1" applyFill="1" applyBorder="1" applyAlignment="1">
      <alignment horizontal="center" vertical="center"/>
    </xf>
    <xf numFmtId="3" fontId="0" fillId="0" borderId="0" xfId="0" applyNumberFormat="1"/>
    <xf numFmtId="2" fontId="11" fillId="18" borderId="1" xfId="13" applyNumberFormat="1" applyFont="1" applyFill="1" applyBorder="1" applyAlignment="1">
      <alignment horizontal="center" vertical="center"/>
    </xf>
    <xf numFmtId="1" fontId="9" fillId="19" borderId="1" xfId="13" applyNumberFormat="1" applyFont="1" applyFill="1" applyBorder="1" applyAlignment="1">
      <alignment horizontal="center" vertical="center"/>
    </xf>
    <xf numFmtId="1" fontId="12" fillId="19" borderId="1" xfId="13" applyNumberFormat="1" applyFont="1" applyFill="1" applyBorder="1" applyAlignment="1">
      <alignment horizontal="center" vertical="center"/>
    </xf>
    <xf numFmtId="0" fontId="12" fillId="18" borderId="5" xfId="13" quotePrefix="1" applyFont="1" applyFill="1" applyBorder="1" applyAlignment="1">
      <alignment horizontal="center" vertical="center"/>
    </xf>
    <xf numFmtId="2" fontId="15" fillId="0" borderId="0" xfId="19" applyNumberFormat="1" applyFont="1" applyAlignment="1">
      <alignment horizontal="center" vertical="center"/>
    </xf>
    <xf numFmtId="0" fontId="79" fillId="0" borderId="1" xfId="19" applyFont="1" applyBorder="1" applyAlignment="1">
      <alignment horizontal="center" vertical="center"/>
    </xf>
    <xf numFmtId="0" fontId="15" fillId="0" borderId="1" xfId="19" applyFont="1" applyBorder="1" applyAlignment="1">
      <alignment horizontal="center" vertical="center"/>
    </xf>
    <xf numFmtId="2" fontId="15" fillId="0" borderId="1" xfId="19" applyNumberFormat="1" applyFont="1" applyBorder="1" applyAlignment="1">
      <alignment horizontal="center" vertical="center"/>
    </xf>
    <xf numFmtId="0" fontId="13" fillId="0" borderId="1" xfId="19" applyFont="1" applyBorder="1" applyAlignment="1">
      <alignment horizontal="center" vertical="center"/>
    </xf>
    <xf numFmtId="2" fontId="15" fillId="0" borderId="0" xfId="19" applyNumberFormat="1" applyFont="1"/>
    <xf numFmtId="0" fontId="79" fillId="29" borderId="1" xfId="19" applyFont="1" applyFill="1" applyBorder="1" applyAlignment="1">
      <alignment horizontal="center" vertical="center"/>
    </xf>
    <xf numFmtId="0" fontId="15" fillId="0" borderId="1" xfId="19" applyFont="1" applyBorder="1" applyAlignment="1">
      <alignment horizontal="center"/>
    </xf>
    <xf numFmtId="0" fontId="55" fillId="0" borderId="1" xfId="19" applyFont="1" applyBorder="1" applyAlignment="1">
      <alignment horizontal="center"/>
    </xf>
    <xf numFmtId="0" fontId="4" fillId="0" borderId="1" xfId="20" applyBorder="1" applyAlignment="1">
      <alignment horizontal="justify" vertical="center"/>
    </xf>
    <xf numFmtId="0" fontId="27" fillId="0" borderId="17" xfId="20" applyFont="1" applyBorder="1" applyAlignment="1">
      <alignment horizontal="center" vertical="center"/>
    </xf>
    <xf numFmtId="0" fontId="4" fillId="0" borderId="1" xfId="20" applyBorder="1" applyAlignment="1">
      <alignment horizontal="justify" vertical="center" wrapText="1"/>
    </xf>
    <xf numFmtId="0" fontId="93" fillId="18" borderId="0" xfId="58" applyNumberFormat="1" applyFont="1" applyFill="1" applyBorder="1" applyAlignment="1">
      <alignment vertical="center" wrapText="1"/>
    </xf>
    <xf numFmtId="0" fontId="92" fillId="18" borderId="0" xfId="58" applyFont="1" applyFill="1" applyBorder="1" applyAlignment="1">
      <alignment vertical="center" wrapText="1"/>
    </xf>
    <xf numFmtId="0" fontId="92" fillId="18" borderId="0" xfId="58" applyFont="1" applyFill="1" applyBorder="1" applyAlignment="1">
      <alignment horizontal="center" vertical="center" wrapText="1"/>
    </xf>
    <xf numFmtId="0" fontId="93" fillId="18" borderId="0" xfId="58" applyNumberFormat="1" applyFont="1" applyFill="1" applyBorder="1" applyAlignment="1">
      <alignment horizontal="center" vertical="center" wrapText="1"/>
    </xf>
    <xf numFmtId="0" fontId="93" fillId="18" borderId="0" xfId="58" applyNumberFormat="1" applyFont="1" applyFill="1" applyBorder="1" applyAlignment="1">
      <alignment horizontal="justify" vertical="center" wrapText="1"/>
    </xf>
    <xf numFmtId="0" fontId="93" fillId="18" borderId="0" xfId="58" applyNumberFormat="1" applyFont="1" applyFill="1" applyBorder="1" applyAlignment="1">
      <alignment horizontal="right" vertical="center" wrapText="1"/>
    </xf>
    <xf numFmtId="0" fontId="4" fillId="0" borderId="1" xfId="23" applyNumberFormat="1" applyBorder="1" applyAlignment="1">
      <alignment horizontal="left" vertical="center"/>
    </xf>
    <xf numFmtId="173" fontId="4" fillId="0" borderId="1" xfId="61" applyFill="1" applyBorder="1" applyAlignment="1">
      <alignment horizontal="center" vertical="center"/>
    </xf>
    <xf numFmtId="170" fontId="4" fillId="0" borderId="1" xfId="23" applyNumberFormat="1" applyBorder="1" applyAlignment="1">
      <alignment horizontal="center" vertical="center"/>
    </xf>
    <xf numFmtId="9" fontId="4" fillId="0" borderId="1" xfId="62" applyFont="1" applyFill="1" applyBorder="1" applyAlignment="1">
      <alignment horizontal="center" vertical="center"/>
    </xf>
    <xf numFmtId="197" fontId="4" fillId="0" borderId="1" xfId="20" applyNumberFormat="1" applyBorder="1" applyAlignment="1">
      <alignment horizontal="center" vertical="center"/>
    </xf>
    <xf numFmtId="9" fontId="4" fillId="0" borderId="1" xfId="62" applyFont="1" applyBorder="1" applyAlignment="1">
      <alignment horizontal="center" vertical="center"/>
    </xf>
    <xf numFmtId="0" fontId="4" fillId="0" borderId="1" xfId="20" applyBorder="1" applyAlignment="1">
      <alignment horizontal="center" vertical="center"/>
    </xf>
    <xf numFmtId="0" fontId="4" fillId="0" borderId="1" xfId="23" applyNumberFormat="1" applyBorder="1" applyAlignment="1">
      <alignment horizontal="left" vertical="center" wrapText="1"/>
    </xf>
    <xf numFmtId="173" fontId="4" fillId="0" borderId="1" xfId="61" applyBorder="1" applyAlignment="1">
      <alignment horizontal="center" vertical="center"/>
    </xf>
    <xf numFmtId="2" fontId="4" fillId="0" borderId="1" xfId="58" applyNumberFormat="1" applyFont="1" applyBorder="1" applyAlignment="1">
      <alignment horizontal="center" vertical="center" wrapText="1"/>
    </xf>
    <xf numFmtId="173" fontId="4" fillId="0" borderId="1" xfId="23" applyBorder="1" applyAlignment="1">
      <alignment horizontal="center" vertical="center"/>
    </xf>
    <xf numFmtId="2" fontId="41" fillId="0" borderId="1" xfId="58" applyNumberFormat="1" applyFont="1" applyBorder="1" applyAlignment="1">
      <alignment horizontal="center" vertical="center" wrapText="1"/>
    </xf>
    <xf numFmtId="177" fontId="41" fillId="49" borderId="1" xfId="60" applyNumberFormat="1" applyFont="1" applyFill="1" applyBorder="1" applyAlignment="1">
      <alignment horizontal="center" vertical="center" wrapText="1"/>
    </xf>
    <xf numFmtId="0" fontId="96" fillId="0" borderId="1" xfId="58" quotePrefix="1" applyFont="1" applyBorder="1" applyAlignment="1">
      <alignment horizontal="center" vertical="center" wrapText="1"/>
    </xf>
    <xf numFmtId="0" fontId="4" fillId="0" borderId="1" xfId="20" applyBorder="1" applyAlignment="1">
      <alignment horizontal="left" vertical="center" wrapText="1"/>
    </xf>
    <xf numFmtId="0" fontId="98" fillId="0" borderId="1" xfId="20" applyFont="1" applyBorder="1" applyAlignment="1">
      <alignment horizontal="center" vertical="center"/>
    </xf>
    <xf numFmtId="170" fontId="4" fillId="0" borderId="1" xfId="23" applyNumberFormat="1" applyFont="1" applyFill="1" applyBorder="1" applyAlignment="1">
      <alignment horizontal="center" vertical="center"/>
    </xf>
    <xf numFmtId="0" fontId="27" fillId="35" borderId="14" xfId="20" applyFont="1" applyFill="1" applyBorder="1" applyAlignment="1">
      <alignment horizontal="center" vertical="center"/>
    </xf>
    <xf numFmtId="0" fontId="27" fillId="35" borderId="15" xfId="20" applyFont="1" applyFill="1" applyBorder="1" applyAlignment="1">
      <alignment horizontal="justify" vertical="center"/>
    </xf>
    <xf numFmtId="10" fontId="27" fillId="35" borderId="16" xfId="44" applyNumberFormat="1" applyFont="1" applyFill="1" applyBorder="1" applyAlignment="1">
      <alignment horizontal="center" vertical="center"/>
    </xf>
    <xf numFmtId="0" fontId="27" fillId="41" borderId="17" xfId="20" applyFont="1" applyFill="1" applyBorder="1" applyAlignment="1">
      <alignment horizontal="center" vertical="center"/>
    </xf>
    <xf numFmtId="10" fontId="27" fillId="41" borderId="18" xfId="44" applyNumberFormat="1" applyFont="1" applyFill="1" applyBorder="1" applyAlignment="1">
      <alignment horizontal="center" vertical="center"/>
    </xf>
    <xf numFmtId="0" fontId="27" fillId="35" borderId="17" xfId="20" applyFont="1" applyFill="1" applyBorder="1" applyAlignment="1">
      <alignment horizontal="center" vertical="center"/>
    </xf>
    <xf numFmtId="0" fontId="27" fillId="35" borderId="1" xfId="20" applyFont="1" applyFill="1" applyBorder="1" applyAlignment="1">
      <alignment horizontal="justify" vertical="center"/>
    </xf>
    <xf numFmtId="10" fontId="4" fillId="35" borderId="18" xfId="44" applyNumberFormat="1" applyFont="1" applyFill="1" applyBorder="1" applyAlignment="1">
      <alignment horizontal="center"/>
    </xf>
    <xf numFmtId="0" fontId="4" fillId="0" borderId="0" xfId="5" applyAlignment="1">
      <alignment horizontal="center" vertical="center"/>
    </xf>
    <xf numFmtId="199" fontId="4" fillId="35" borderId="18" xfId="44" applyNumberFormat="1" applyFont="1" applyFill="1" applyBorder="1" applyAlignment="1">
      <alignment horizontal="center"/>
    </xf>
    <xf numFmtId="49" fontId="4" fillId="0" borderId="1" xfId="20" applyNumberFormat="1" applyBorder="1" applyAlignment="1">
      <alignment horizontal="justify" vertical="center" wrapText="1"/>
    </xf>
    <xf numFmtId="10" fontId="4" fillId="0" borderId="18" xfId="44" applyNumberFormat="1" applyFont="1" applyFill="1" applyBorder="1" applyAlignment="1">
      <alignment horizontal="center" vertical="center"/>
    </xf>
    <xf numFmtId="3" fontId="4" fillId="0" borderId="0" xfId="5" applyNumberFormat="1"/>
    <xf numFmtId="0" fontId="27" fillId="41" borderId="1" xfId="20" applyFont="1" applyFill="1" applyBorder="1" applyAlignment="1">
      <alignment horizontal="justify" vertical="center" wrapText="1"/>
    </xf>
    <xf numFmtId="0" fontId="27" fillId="41" borderId="30" xfId="20" applyFont="1" applyFill="1" applyBorder="1" applyAlignment="1">
      <alignment horizontal="center" vertical="center"/>
    </xf>
    <xf numFmtId="0" fontId="27" fillId="41" borderId="19" xfId="20" applyFont="1" applyFill="1" applyBorder="1" applyAlignment="1">
      <alignment horizontal="justify" vertical="center"/>
    </xf>
    <xf numFmtId="2" fontId="27" fillId="41" borderId="20" xfId="44" applyNumberFormat="1" applyFont="1" applyFill="1" applyBorder="1" applyAlignment="1">
      <alignment horizontal="center" vertical="center"/>
    </xf>
    <xf numFmtId="0" fontId="75" fillId="41" borderId="17" xfId="20" applyFont="1" applyFill="1" applyBorder="1" applyAlignment="1">
      <alignment horizontal="center" vertical="center"/>
    </xf>
    <xf numFmtId="0" fontId="75" fillId="41" borderId="1" xfId="20" applyFont="1" applyFill="1" applyBorder="1" applyAlignment="1">
      <alignment horizontal="justify" vertical="center"/>
    </xf>
    <xf numFmtId="10" fontId="75" fillId="41" borderId="18" xfId="44" applyNumberFormat="1" applyFont="1" applyFill="1" applyBorder="1" applyAlignment="1">
      <alignment horizontal="center" vertical="center"/>
    </xf>
    <xf numFmtId="0" fontId="75" fillId="41" borderId="1" xfId="20" applyFont="1" applyFill="1" applyBorder="1" applyAlignment="1">
      <alignment horizontal="justify" vertical="center" wrapText="1"/>
    </xf>
    <xf numFmtId="165" fontId="4" fillId="0" borderId="0" xfId="1" applyFont="1" applyAlignment="1">
      <alignment horizontal="center" vertical="center"/>
    </xf>
    <xf numFmtId="44" fontId="4" fillId="0" borderId="0" xfId="5" applyNumberFormat="1"/>
    <xf numFmtId="0" fontId="93" fillId="18" borderId="1" xfId="58" applyNumberFormat="1" applyFont="1" applyFill="1" applyBorder="1" applyAlignment="1">
      <alignment vertical="center" wrapText="1"/>
    </xf>
    <xf numFmtId="0" fontId="12" fillId="0" borderId="1" xfId="59" applyFont="1" applyBorder="1" applyAlignment="1">
      <alignment horizontal="justify" vertical="center" wrapText="1"/>
    </xf>
    <xf numFmtId="0" fontId="9" fillId="18" borderId="1" xfId="59" applyFont="1" applyFill="1" applyBorder="1" applyAlignment="1">
      <alignment horizontal="center" vertical="center" wrapText="1"/>
    </xf>
    <xf numFmtId="0" fontId="12" fillId="18" borderId="1" xfId="59" applyFont="1" applyFill="1" applyBorder="1" applyAlignment="1">
      <alignment horizontal="center" vertical="center" wrapText="1"/>
    </xf>
    <xf numFmtId="0" fontId="96" fillId="0" borderId="1" xfId="58" quotePrefix="1" applyFont="1" applyFill="1" applyBorder="1" applyAlignment="1">
      <alignment horizontal="center" vertical="center" wrapText="1"/>
    </xf>
    <xf numFmtId="0" fontId="41" fillId="0" borderId="1" xfId="58" applyFont="1" applyBorder="1" applyAlignment="1">
      <alignment horizontal="center" vertical="center" wrapText="1"/>
    </xf>
    <xf numFmtId="0" fontId="40" fillId="11" borderId="1" xfId="58" applyFont="1" applyFill="1" applyBorder="1" applyAlignment="1">
      <alignment horizontal="left" vertical="center"/>
    </xf>
    <xf numFmtId="0" fontId="40" fillId="11" borderId="1" xfId="58" applyFont="1" applyFill="1" applyBorder="1" applyAlignment="1">
      <alignment vertical="center" wrapText="1"/>
    </xf>
    <xf numFmtId="202" fontId="4" fillId="0" borderId="1" xfId="63" applyNumberFormat="1" applyFont="1" applyFill="1" applyBorder="1" applyAlignment="1">
      <alignment vertical="center" wrapText="1"/>
    </xf>
    <xf numFmtId="202" fontId="41" fillId="11" borderId="1" xfId="63" applyNumberFormat="1" applyFont="1" applyFill="1" applyBorder="1" applyAlignment="1">
      <alignment vertical="center" wrapText="1"/>
    </xf>
    <xf numFmtId="2" fontId="40" fillId="11" borderId="1" xfId="58" applyNumberFormat="1" applyFont="1" applyFill="1" applyBorder="1" applyAlignment="1">
      <alignment vertical="center" wrapText="1"/>
    </xf>
    <xf numFmtId="202" fontId="40" fillId="11" borderId="1" xfId="58" applyNumberFormat="1" applyFont="1" applyFill="1" applyBorder="1" applyAlignment="1">
      <alignment vertical="center" wrapText="1"/>
    </xf>
    <xf numFmtId="179" fontId="40" fillId="11" borderId="1" xfId="65" applyFont="1" applyFill="1" applyBorder="1" applyAlignment="1">
      <alignment vertical="center" wrapText="1"/>
    </xf>
    <xf numFmtId="179" fontId="40" fillId="11" borderId="1" xfId="67" applyFont="1" applyFill="1" applyBorder="1" applyAlignment="1">
      <alignment vertical="center" wrapText="1"/>
    </xf>
    <xf numFmtId="0" fontId="1" fillId="0" borderId="0" xfId="60" applyAlignment="1">
      <alignment vertical="center"/>
    </xf>
    <xf numFmtId="0" fontId="41" fillId="0" borderId="0" xfId="60" applyFont="1"/>
    <xf numFmtId="0" fontId="41" fillId="0" borderId="0" xfId="68" applyFont="1" applyAlignment="1">
      <alignment vertical="center"/>
    </xf>
    <xf numFmtId="174" fontId="41" fillId="0" borderId="0" xfId="21" applyNumberFormat="1" applyFont="1" applyAlignment="1">
      <alignment horizontal="left" vertical="center"/>
    </xf>
    <xf numFmtId="176" fontId="1" fillId="0" borderId="0" xfId="60" applyNumberFormat="1" applyAlignment="1">
      <alignment vertical="center"/>
    </xf>
    <xf numFmtId="0" fontId="41" fillId="0" borderId="0" xfId="21" applyFont="1" applyAlignment="1" applyProtection="1">
      <alignment vertical="center"/>
      <protection locked="0"/>
    </xf>
    <xf numFmtId="0" fontId="41" fillId="0" borderId="0" xfId="20" applyFont="1"/>
    <xf numFmtId="0" fontId="93" fillId="0" borderId="0" xfId="58" applyNumberFormat="1" applyFont="1" applyFill="1" applyBorder="1" applyAlignment="1">
      <alignment vertical="center" wrapText="1"/>
    </xf>
    <xf numFmtId="0" fontId="92" fillId="0" borderId="0" xfId="58" applyFont="1" applyFill="1" applyBorder="1" applyAlignment="1">
      <alignment vertical="center" wrapText="1"/>
    </xf>
    <xf numFmtId="0" fontId="93" fillId="0" borderId="0" xfId="58" applyNumberFormat="1" applyFont="1" applyFill="1" applyBorder="1" applyAlignment="1">
      <alignment horizontal="right" vertical="center" wrapText="1"/>
    </xf>
    <xf numFmtId="0" fontId="92" fillId="0" borderId="0" xfId="58" applyNumberFormat="1" applyFont="1" applyFill="1" applyBorder="1" applyAlignment="1">
      <alignment vertical="center" wrapText="1"/>
    </xf>
    <xf numFmtId="0" fontId="92" fillId="0" borderId="0" xfId="58" applyFont="1" applyFill="1" applyBorder="1" applyAlignment="1">
      <alignment horizontal="center" vertical="center" wrapText="1"/>
    </xf>
    <xf numFmtId="0" fontId="93" fillId="0" borderId="0" xfId="58" applyNumberFormat="1" applyFont="1" applyFill="1" applyBorder="1" applyAlignment="1">
      <alignment horizontal="center" vertical="center" wrapText="1"/>
    </xf>
    <xf numFmtId="0" fontId="93" fillId="0" borderId="0" xfId="58" applyNumberFormat="1" applyFont="1" applyFill="1" applyBorder="1" applyAlignment="1">
      <alignment horizontal="justify" vertical="center" wrapText="1"/>
    </xf>
    <xf numFmtId="179" fontId="40" fillId="11" borderId="5" xfId="65" applyFont="1" applyFill="1" applyBorder="1" applyAlignment="1">
      <alignment vertical="center" wrapText="1"/>
    </xf>
    <xf numFmtId="4" fontId="4" fillId="0" borderId="21" xfId="20" applyNumberFormat="1" applyBorder="1"/>
    <xf numFmtId="0" fontId="41" fillId="0" borderId="24" xfId="20" applyFont="1" applyBorder="1"/>
    <xf numFmtId="0" fontId="92" fillId="18" borderId="5" xfId="58" applyFont="1" applyFill="1" applyBorder="1" applyAlignment="1">
      <alignment horizontal="center" vertical="center" wrapText="1"/>
    </xf>
    <xf numFmtId="0" fontId="93" fillId="18" borderId="5" xfId="58" applyNumberFormat="1" applyFont="1" applyFill="1" applyBorder="1" applyAlignment="1">
      <alignment horizontal="center" vertical="center" wrapText="1"/>
    </xf>
    <xf numFmtId="0" fontId="93" fillId="18" borderId="5" xfId="58" applyNumberFormat="1" applyFont="1" applyFill="1" applyBorder="1" applyAlignment="1">
      <alignment horizontal="justify" vertical="center" wrapText="1"/>
    </xf>
    <xf numFmtId="0" fontId="93" fillId="18" borderId="5" xfId="58" applyNumberFormat="1" applyFont="1" applyFill="1" applyBorder="1" applyAlignment="1">
      <alignment vertical="center" wrapText="1"/>
    </xf>
    <xf numFmtId="0" fontId="27" fillId="11" borderId="1" xfId="0" applyFont="1" applyFill="1" applyBorder="1" applyAlignment="1">
      <alignment horizontal="center" vertical="center" wrapText="1"/>
    </xf>
    <xf numFmtId="0" fontId="0" fillId="0" borderId="0" xfId="0" applyAlignment="1">
      <alignment horizontal="left" vertical="center"/>
    </xf>
    <xf numFmtId="10" fontId="0" fillId="0" borderId="0" xfId="2" applyNumberFormat="1" applyFont="1" applyAlignment="1">
      <alignment horizontal="center" vertical="center"/>
    </xf>
    <xf numFmtId="44" fontId="101" fillId="0" borderId="1" xfId="0" applyNumberFormat="1" applyFont="1" applyBorder="1" applyAlignment="1">
      <alignment horizontal="center" vertical="center"/>
    </xf>
    <xf numFmtId="0" fontId="101" fillId="0" borderId="0" xfId="0" applyFont="1"/>
    <xf numFmtId="44" fontId="101" fillId="7" borderId="1" xfId="0" applyNumberFormat="1" applyFont="1" applyFill="1" applyBorder="1" applyAlignment="1">
      <alignment horizontal="center" vertical="center"/>
    </xf>
    <xf numFmtId="44" fontId="101" fillId="50" borderId="1" xfId="0" applyNumberFormat="1" applyFont="1" applyFill="1" applyBorder="1" applyAlignment="1">
      <alignment horizontal="center" vertical="center"/>
    </xf>
    <xf numFmtId="10" fontId="102" fillId="50" borderId="1" xfId="2" applyNumberFormat="1" applyFont="1" applyFill="1" applyBorder="1" applyAlignment="1">
      <alignment horizontal="center" vertical="center"/>
    </xf>
    <xf numFmtId="10" fontId="102" fillId="40" borderId="1" xfId="2" applyNumberFormat="1" applyFont="1" applyFill="1" applyBorder="1" applyAlignment="1">
      <alignment horizontal="center" vertical="center"/>
    </xf>
    <xf numFmtId="44" fontId="101" fillId="40" borderId="1" xfId="0" applyNumberFormat="1" applyFont="1" applyFill="1" applyBorder="1" applyAlignment="1">
      <alignment horizontal="center" vertical="center"/>
    </xf>
    <xf numFmtId="10" fontId="102" fillId="23" borderId="1" xfId="2" applyNumberFormat="1" applyFont="1" applyFill="1" applyBorder="1" applyAlignment="1">
      <alignment horizontal="center" vertical="center"/>
    </xf>
    <xf numFmtId="44" fontId="101" fillId="23" borderId="1" xfId="0" applyNumberFormat="1" applyFont="1" applyFill="1" applyBorder="1" applyAlignment="1">
      <alignment horizontal="center" vertical="center"/>
    </xf>
    <xf numFmtId="10" fontId="102" fillId="16" borderId="1" xfId="2" applyNumberFormat="1" applyFont="1" applyFill="1" applyBorder="1" applyAlignment="1">
      <alignment horizontal="center" vertical="center"/>
    </xf>
    <xf numFmtId="44" fontId="101" fillId="16" borderId="1" xfId="0" applyNumberFormat="1" applyFont="1" applyFill="1" applyBorder="1" applyAlignment="1">
      <alignment horizontal="center" vertical="center"/>
    </xf>
    <xf numFmtId="10" fontId="102" fillId="45" borderId="1" xfId="2" applyNumberFormat="1" applyFont="1" applyFill="1" applyBorder="1" applyAlignment="1">
      <alignment horizontal="center" vertical="center"/>
    </xf>
    <xf numFmtId="44" fontId="101" fillId="45" borderId="1" xfId="0" applyNumberFormat="1" applyFont="1" applyFill="1" applyBorder="1" applyAlignment="1">
      <alignment horizontal="center" vertical="center"/>
    </xf>
    <xf numFmtId="0" fontId="46" fillId="0" borderId="0" xfId="24" applyFont="1" applyAlignment="1">
      <alignment vertical="center" wrapText="1"/>
    </xf>
    <xf numFmtId="0" fontId="30" fillId="30" borderId="1" xfId="24" applyFont="1" applyFill="1" applyBorder="1" applyAlignment="1">
      <alignment horizontal="center" vertical="center" wrapText="1"/>
    </xf>
    <xf numFmtId="0" fontId="46" fillId="32" borderId="1" xfId="24" applyFont="1" applyFill="1" applyBorder="1" applyAlignment="1">
      <alignment horizontal="left" vertical="center" wrapText="1"/>
    </xf>
    <xf numFmtId="0" fontId="47" fillId="0" borderId="1" xfId="24" applyFont="1" applyBorder="1" applyAlignment="1">
      <alignment horizontal="left" vertical="center" wrapText="1"/>
    </xf>
    <xf numFmtId="0" fontId="47" fillId="33" borderId="1" xfId="24" applyFont="1" applyFill="1" applyBorder="1" applyAlignment="1">
      <alignment horizontal="center" vertical="center" wrapText="1"/>
    </xf>
    <xf numFmtId="0" fontId="46" fillId="31" borderId="1" xfId="24" applyFont="1" applyFill="1" applyBorder="1" applyAlignment="1">
      <alignment horizontal="left" vertical="center" wrapText="1"/>
    </xf>
    <xf numFmtId="0" fontId="47" fillId="33" borderId="1" xfId="24" applyFont="1" applyFill="1" applyBorder="1" applyAlignment="1">
      <alignment horizontal="left" vertical="center" wrapText="1"/>
    </xf>
    <xf numFmtId="0" fontId="46" fillId="31" borderId="1" xfId="24" applyFont="1" applyFill="1" applyBorder="1" applyAlignment="1">
      <alignment vertical="center" wrapText="1"/>
    </xf>
    <xf numFmtId="0" fontId="46" fillId="31" borderId="1" xfId="24" applyFont="1" applyFill="1" applyBorder="1" applyAlignment="1">
      <alignment horizontal="center" vertical="center" wrapText="1"/>
    </xf>
    <xf numFmtId="184" fontId="46" fillId="0" borderId="1" xfId="25" applyNumberFormat="1" applyFont="1" applyFill="1" applyBorder="1" applyAlignment="1">
      <alignment horizontal="center" vertical="center" wrapText="1"/>
    </xf>
    <xf numFmtId="0" fontId="46" fillId="18" borderId="1" xfId="24" applyFont="1" applyFill="1" applyBorder="1" applyAlignment="1">
      <alignment horizontal="left" vertical="center" wrapText="1"/>
    </xf>
    <xf numFmtId="0" fontId="1" fillId="0" borderId="0" xfId="24" applyAlignment="1">
      <alignment wrapText="1"/>
    </xf>
    <xf numFmtId="8" fontId="47" fillId="0" borderId="1" xfId="24" applyNumberFormat="1" applyFont="1" applyBorder="1" applyAlignment="1">
      <alignment horizontal="center" vertical="center" wrapText="1"/>
    </xf>
    <xf numFmtId="8" fontId="47" fillId="18" borderId="1" xfId="24" applyNumberFormat="1" applyFont="1" applyFill="1" applyBorder="1" applyAlignment="1">
      <alignment horizontal="center" vertical="center" wrapText="1"/>
    </xf>
    <xf numFmtId="165" fontId="0" fillId="0" borderId="0" xfId="1" applyFont="1"/>
    <xf numFmtId="0" fontId="0" fillId="0" borderId="13" xfId="0" applyBorder="1" applyAlignment="1">
      <alignment horizontal="center" vertical="center"/>
    </xf>
    <xf numFmtId="0" fontId="0" fillId="0" borderId="12" xfId="0" applyBorder="1" applyAlignment="1">
      <alignment horizontal="center" vertical="center"/>
    </xf>
    <xf numFmtId="0" fontId="0" fillId="0" borderId="11" xfId="0" applyBorder="1" applyAlignment="1">
      <alignment horizontal="center"/>
    </xf>
    <xf numFmtId="0" fontId="0" fillId="0" borderId="11" xfId="0" applyBorder="1" applyAlignment="1">
      <alignment horizontal="center" vertical="center"/>
    </xf>
    <xf numFmtId="0" fontId="0" fillId="0" borderId="20" xfId="0" applyBorder="1" applyAlignment="1">
      <alignment horizontal="center" vertical="center"/>
    </xf>
    <xf numFmtId="0" fontId="0" fillId="0" borderId="19" xfId="0" applyBorder="1" applyAlignment="1">
      <alignment horizontal="center" vertical="center"/>
    </xf>
    <xf numFmtId="0" fontId="0" fillId="0" borderId="18" xfId="0" applyBorder="1" applyAlignment="1">
      <alignment horizontal="center" vertical="center"/>
    </xf>
    <xf numFmtId="0" fontId="0" fillId="0" borderId="16" xfId="0" applyBorder="1" applyAlignment="1">
      <alignment horizontal="center" vertical="center"/>
    </xf>
    <xf numFmtId="0" fontId="0" fillId="0" borderId="15"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17" fillId="5" borderId="0" xfId="0" applyFont="1" applyFill="1"/>
    <xf numFmtId="16" fontId="0" fillId="0" borderId="0" xfId="0" applyNumberFormat="1"/>
    <xf numFmtId="0" fontId="0" fillId="0" borderId="24" xfId="0" applyBorder="1"/>
    <xf numFmtId="2" fontId="12" fillId="16" borderId="0" xfId="19" applyNumberFormat="1" applyFont="1" applyFill="1"/>
    <xf numFmtId="2" fontId="12" fillId="16" borderId="1" xfId="19" applyNumberFormat="1" applyFont="1" applyFill="1" applyBorder="1"/>
    <xf numFmtId="2" fontId="9" fillId="22" borderId="0" xfId="19" applyNumberFormat="1" applyFont="1" applyFill="1"/>
    <xf numFmtId="0" fontId="12" fillId="46" borderId="1" xfId="19" applyFont="1" applyFill="1" applyBorder="1" applyAlignment="1">
      <alignment horizontal="center"/>
    </xf>
    <xf numFmtId="175" fontId="17" fillId="4" borderId="1" xfId="0" applyNumberFormat="1" applyFont="1" applyFill="1" applyBorder="1" applyAlignment="1">
      <alignment vertical="center" wrapText="1"/>
    </xf>
    <xf numFmtId="0" fontId="0" fillId="0" borderId="0" xfId="0" applyAlignment="1">
      <alignment horizontal="center" vertical="center" wrapText="1"/>
    </xf>
    <xf numFmtId="0" fontId="0" fillId="12" borderId="1" xfId="0" applyFill="1" applyBorder="1" applyAlignment="1">
      <alignment horizontal="center" vertical="center" wrapText="1"/>
    </xf>
    <xf numFmtId="2" fontId="0" fillId="12" borderId="1" xfId="0" applyNumberFormat="1" applyFill="1" applyBorder="1" applyAlignment="1">
      <alignment horizontal="center" vertical="center" wrapText="1"/>
    </xf>
    <xf numFmtId="175" fontId="0" fillId="12" borderId="1" xfId="1" applyNumberFormat="1" applyFont="1" applyFill="1" applyBorder="1" applyAlignment="1">
      <alignment horizontal="center" vertical="center" wrapText="1"/>
    </xf>
    <xf numFmtId="2" fontId="12" fillId="53" borderId="1" xfId="13" applyNumberFormat="1" applyFont="1" applyFill="1" applyBorder="1" applyAlignment="1">
      <alignment horizontal="center" vertical="center"/>
    </xf>
    <xf numFmtId="2" fontId="13" fillId="53" borderId="2" xfId="5" applyNumberFormat="1" applyFont="1" applyFill="1" applyBorder="1" applyAlignment="1">
      <alignment horizontal="center"/>
    </xf>
    <xf numFmtId="2" fontId="12" fillId="53" borderId="2" xfId="19" applyNumberFormat="1" applyFont="1" applyFill="1" applyBorder="1" applyAlignment="1">
      <alignment horizontal="center"/>
    </xf>
    <xf numFmtId="2" fontId="13" fillId="53" borderId="1" xfId="19" applyNumberFormat="1" applyFont="1" applyFill="1" applyBorder="1" applyAlignment="1">
      <alignment horizontal="center"/>
    </xf>
    <xf numFmtId="0" fontId="46" fillId="3" borderId="1" xfId="24" applyFont="1" applyFill="1" applyBorder="1" applyAlignment="1">
      <alignment horizontal="left" vertical="center" wrapText="1"/>
    </xf>
    <xf numFmtId="0" fontId="46" fillId="3" borderId="1" xfId="24" applyFont="1" applyFill="1" applyBorder="1" applyAlignment="1">
      <alignment wrapText="1"/>
    </xf>
    <xf numFmtId="176" fontId="103" fillId="3" borderId="1" xfId="24" applyNumberFormat="1" applyFont="1" applyFill="1" applyBorder="1" applyAlignment="1">
      <alignment horizontal="right" vertical="center" wrapText="1"/>
    </xf>
    <xf numFmtId="0" fontId="4" fillId="0" borderId="1" xfId="24" applyFont="1" applyBorder="1" applyAlignment="1">
      <alignment horizontal="center" wrapText="1"/>
    </xf>
    <xf numFmtId="0" fontId="46" fillId="0" borderId="1" xfId="24" applyFont="1" applyBorder="1" applyAlignment="1">
      <alignment wrapText="1"/>
    </xf>
    <xf numFmtId="0" fontId="46" fillId="18" borderId="1" xfId="24" applyFont="1" applyFill="1" applyBorder="1" applyAlignment="1">
      <alignment horizontal="center" wrapText="1"/>
    </xf>
    <xf numFmtId="0" fontId="0" fillId="0" borderId="0" xfId="0" applyAlignment="1">
      <alignment vertical="center" wrapText="1"/>
    </xf>
    <xf numFmtId="44" fontId="0" fillId="0" borderId="0" xfId="0" applyNumberFormat="1" applyAlignment="1">
      <alignment vertical="center" wrapText="1"/>
    </xf>
    <xf numFmtId="0" fontId="0" fillId="12" borderId="1" xfId="0" applyFill="1" applyBorder="1" applyAlignment="1">
      <alignment vertical="center" wrapText="1"/>
    </xf>
    <xf numFmtId="0" fontId="0" fillId="0" borderId="0" xfId="0" applyAlignment="1">
      <alignment horizontal="right" vertical="center" wrapText="1"/>
    </xf>
    <xf numFmtId="10" fontId="34" fillId="12" borderId="1" xfId="2" applyNumberFormat="1" applyFont="1" applyFill="1" applyBorder="1" applyAlignment="1">
      <alignment vertical="center" wrapText="1"/>
    </xf>
    <xf numFmtId="0" fontId="17" fillId="0" borderId="0" xfId="0" applyFont="1" applyAlignment="1">
      <alignment vertical="center" wrapText="1"/>
    </xf>
    <xf numFmtId="0" fontId="17" fillId="6" borderId="1" xfId="0" applyFont="1" applyFill="1" applyBorder="1" applyAlignment="1">
      <alignment horizontal="center" vertical="center" wrapText="1"/>
    </xf>
    <xf numFmtId="2" fontId="17" fillId="6" borderId="1" xfId="0" applyNumberFormat="1" applyFont="1" applyFill="1" applyBorder="1" applyAlignment="1">
      <alignment horizontal="center" vertical="center" wrapText="1"/>
    </xf>
    <xf numFmtId="9" fontId="3" fillId="4" borderId="19" xfId="17" applyNumberFormat="1" applyFont="1" applyFill="1" applyBorder="1" applyAlignment="1">
      <alignment horizontal="center" vertical="center"/>
    </xf>
    <xf numFmtId="180" fontId="0" fillId="0" borderId="0" xfId="0" applyNumberFormat="1" applyAlignment="1">
      <alignment horizontal="center" vertical="center"/>
    </xf>
    <xf numFmtId="180" fontId="0" fillId="0" borderId="0" xfId="0" quotePrefix="1" applyNumberFormat="1" applyAlignment="1">
      <alignment horizontal="center" vertical="center"/>
    </xf>
    <xf numFmtId="0" fontId="77" fillId="22" borderId="1" xfId="0" applyFont="1" applyFill="1" applyBorder="1" applyAlignment="1">
      <alignment horizontal="center" vertical="center"/>
    </xf>
    <xf numFmtId="0" fontId="77" fillId="7" borderId="1" xfId="0" applyFont="1" applyFill="1" applyBorder="1" applyAlignment="1">
      <alignment horizontal="center" vertical="center"/>
    </xf>
    <xf numFmtId="0" fontId="17" fillId="44" borderId="1" xfId="0" applyFont="1" applyFill="1" applyBorder="1" applyAlignment="1">
      <alignment horizontal="center"/>
    </xf>
    <xf numFmtId="0" fontId="0" fillId="44" borderId="1" xfId="0" applyFill="1" applyBorder="1" applyAlignment="1">
      <alignment horizontal="center" vertical="center"/>
    </xf>
    <xf numFmtId="0" fontId="78" fillId="0" borderId="1" xfId="0" applyFont="1" applyBorder="1" applyAlignment="1">
      <alignment horizontal="center" vertical="center"/>
    </xf>
    <xf numFmtId="0" fontId="78" fillId="0" borderId="1" xfId="0" applyFont="1" applyBorder="1" applyAlignment="1">
      <alignment horizontal="center" vertical="center" wrapText="1"/>
    </xf>
    <xf numFmtId="0" fontId="17" fillId="7" borderId="13" xfId="0" applyFont="1" applyFill="1" applyBorder="1"/>
    <xf numFmtId="0" fontId="17" fillId="7" borderId="11" xfId="0" applyFont="1" applyFill="1" applyBorder="1" applyAlignment="1">
      <alignment horizontal="center"/>
    </xf>
    <xf numFmtId="0" fontId="0" fillId="22" borderId="1" xfId="0" applyFill="1" applyBorder="1" applyAlignment="1">
      <alignment horizontal="center" vertical="center"/>
    </xf>
    <xf numFmtId="2" fontId="12" fillId="7" borderId="1" xfId="19" applyNumberFormat="1" applyFont="1" applyFill="1" applyBorder="1" applyAlignment="1">
      <alignment horizontal="center"/>
    </xf>
    <xf numFmtId="171" fontId="9" fillId="22" borderId="0" xfId="19" applyNumberFormat="1" applyFont="1" applyFill="1"/>
    <xf numFmtId="2" fontId="9" fillId="22" borderId="0" xfId="19" applyNumberFormat="1" applyFont="1" applyFill="1" applyAlignment="1">
      <alignment horizontal="center" vertical="center"/>
    </xf>
    <xf numFmtId="2" fontId="80" fillId="22" borderId="1" xfId="19" applyNumberFormat="1" applyFont="1" applyFill="1" applyBorder="1" applyAlignment="1">
      <alignment horizontal="center"/>
    </xf>
    <xf numFmtId="2" fontId="15" fillId="22" borderId="0" xfId="19" applyNumberFormat="1" applyFont="1" applyFill="1" applyAlignment="1">
      <alignment horizontal="center"/>
    </xf>
    <xf numFmtId="2" fontId="15" fillId="22" borderId="1" xfId="19" applyNumberFormat="1" applyFont="1" applyFill="1" applyBorder="1" applyAlignment="1">
      <alignment horizontal="center"/>
    </xf>
    <xf numFmtId="2" fontId="9" fillId="22" borderId="1" xfId="19" applyNumberFormat="1" applyFont="1" applyFill="1" applyBorder="1" applyAlignment="1">
      <alignment horizontal="center"/>
    </xf>
    <xf numFmtId="2" fontId="9" fillId="22" borderId="1" xfId="19" quotePrefix="1" applyNumberFormat="1" applyFont="1" applyFill="1" applyBorder="1" applyAlignment="1">
      <alignment horizontal="center"/>
    </xf>
    <xf numFmtId="2" fontId="12" fillId="22" borderId="1" xfId="19" applyNumberFormat="1" applyFont="1" applyFill="1" applyBorder="1" applyAlignment="1">
      <alignment horizontal="center"/>
    </xf>
    <xf numFmtId="2" fontId="9" fillId="22" borderId="0" xfId="19" applyNumberFormat="1" applyFont="1" applyFill="1" applyAlignment="1">
      <alignment horizontal="center"/>
    </xf>
    <xf numFmtId="2" fontId="9" fillId="22" borderId="1" xfId="19" applyNumberFormat="1" applyFont="1" applyFill="1" applyBorder="1"/>
    <xf numFmtId="193" fontId="9" fillId="22" borderId="1" xfId="19" applyNumberFormat="1" applyFont="1" applyFill="1" applyBorder="1" applyAlignment="1">
      <alignment horizontal="center"/>
    </xf>
    <xf numFmtId="1" fontId="9" fillId="22" borderId="1" xfId="19" applyNumberFormat="1" applyFont="1" applyFill="1" applyBorder="1" applyAlignment="1">
      <alignment horizontal="center"/>
    </xf>
    <xf numFmtId="171" fontId="9" fillId="22" borderId="1" xfId="19" applyNumberFormat="1" applyFont="1" applyFill="1" applyBorder="1" applyAlignment="1">
      <alignment horizontal="center"/>
    </xf>
    <xf numFmtId="2" fontId="28" fillId="22" borderId="1" xfId="19" applyNumberFormat="1" applyFont="1" applyFill="1" applyBorder="1" applyAlignment="1">
      <alignment horizontal="center"/>
    </xf>
    <xf numFmtId="0" fontId="81" fillId="22" borderId="1" xfId="19" applyFont="1" applyFill="1" applyBorder="1" applyAlignment="1">
      <alignment horizontal="center" vertical="center" wrapText="1"/>
    </xf>
    <xf numFmtId="185" fontId="9" fillId="22" borderId="1" xfId="19" applyNumberFormat="1" applyFont="1" applyFill="1" applyBorder="1" applyAlignment="1">
      <alignment horizontal="center"/>
    </xf>
    <xf numFmtId="2" fontId="50" fillId="22" borderId="0" xfId="26" applyNumberFormat="1" applyFont="1" applyFill="1" applyAlignment="1" applyProtection="1">
      <alignment horizontal="center" vertical="center"/>
      <protection locked="0"/>
    </xf>
    <xf numFmtId="2" fontId="50" fillId="22" borderId="1" xfId="26" applyNumberFormat="1" applyFont="1" applyFill="1" applyBorder="1" applyAlignment="1" applyProtection="1">
      <alignment horizontal="center" vertical="center"/>
      <protection locked="0"/>
    </xf>
    <xf numFmtId="10" fontId="28" fillId="22" borderId="1" xfId="40" applyNumberFormat="1" applyFont="1" applyFill="1" applyBorder="1" applyAlignment="1" applyProtection="1">
      <alignment horizontal="center" vertical="center"/>
      <protection locked="0"/>
    </xf>
    <xf numFmtId="2" fontId="50" fillId="22" borderId="1" xfId="19" applyNumberFormat="1" applyFont="1" applyFill="1" applyBorder="1" applyAlignment="1">
      <alignment horizontal="center" vertical="center"/>
    </xf>
    <xf numFmtId="0" fontId="79" fillId="22" borderId="1" xfId="19" applyFont="1" applyFill="1" applyBorder="1" applyAlignment="1">
      <alignment horizontal="center" vertical="center"/>
    </xf>
    <xf numFmtId="0" fontId="25" fillId="22" borderId="1" xfId="19" applyFill="1" applyBorder="1" applyAlignment="1">
      <alignment horizontal="center"/>
    </xf>
    <xf numFmtId="1" fontId="9" fillId="22" borderId="1" xfId="19" applyNumberFormat="1" applyFont="1" applyFill="1" applyBorder="1" applyAlignment="1">
      <alignment horizontal="center" vertical="center"/>
    </xf>
    <xf numFmtId="2" fontId="9" fillId="22" borderId="2" xfId="19" applyNumberFormat="1" applyFont="1" applyFill="1" applyBorder="1" applyAlignment="1">
      <alignment horizontal="center" vertical="center"/>
    </xf>
    <xf numFmtId="2" fontId="9" fillId="22" borderId="1" xfId="13" applyNumberFormat="1" applyFont="1" applyFill="1" applyBorder="1" applyAlignment="1">
      <alignment horizontal="center" vertical="center"/>
    </xf>
    <xf numFmtId="2" fontId="28" fillId="22" borderId="1" xfId="26" applyNumberFormat="1" applyFont="1" applyFill="1" applyBorder="1" applyAlignment="1" applyProtection="1">
      <alignment horizontal="center" vertical="center"/>
      <protection locked="0"/>
    </xf>
    <xf numFmtId="2" fontId="9" fillId="53" borderId="1" xfId="19" applyNumberFormat="1" applyFont="1" applyFill="1" applyBorder="1" applyAlignment="1">
      <alignment horizontal="center"/>
    </xf>
    <xf numFmtId="2" fontId="15" fillId="53" borderId="1" xfId="19" applyNumberFormat="1" applyFont="1" applyFill="1" applyBorder="1" applyAlignment="1">
      <alignment horizontal="center"/>
    </xf>
    <xf numFmtId="203" fontId="0" fillId="0" borderId="0" xfId="1" applyNumberFormat="1" applyFont="1"/>
    <xf numFmtId="0" fontId="17" fillId="7" borderId="1" xfId="0" applyFont="1" applyFill="1" applyBorder="1" applyAlignment="1">
      <alignment horizontal="center" vertical="center"/>
    </xf>
    <xf numFmtId="0" fontId="21" fillId="7" borderId="1" xfId="17" applyFont="1" applyFill="1" applyBorder="1" applyAlignment="1">
      <alignment horizontal="left" vertical="center"/>
    </xf>
    <xf numFmtId="0" fontId="21" fillId="7" borderId="1" xfId="17" applyFont="1" applyFill="1" applyBorder="1" applyAlignment="1">
      <alignment horizontal="center" vertical="center"/>
    </xf>
    <xf numFmtId="179" fontId="21" fillId="7" borderId="1" xfId="17" applyNumberFormat="1" applyFont="1" applyFill="1" applyBorder="1" applyAlignment="1">
      <alignment horizontal="center" vertical="center"/>
    </xf>
    <xf numFmtId="165" fontId="21" fillId="7" borderId="1" xfId="1" applyFont="1" applyFill="1" applyBorder="1" applyAlignment="1">
      <alignment horizontal="center" vertical="center"/>
    </xf>
    <xf numFmtId="49" fontId="2" fillId="7" borderId="17" xfId="17" applyNumberFormat="1" applyFont="1" applyFill="1" applyBorder="1" applyAlignment="1">
      <alignment horizontal="center" vertical="center"/>
    </xf>
    <xf numFmtId="49" fontId="2" fillId="7" borderId="1" xfId="17" applyNumberFormat="1" applyFont="1" applyFill="1" applyBorder="1" applyAlignment="1">
      <alignment vertical="center"/>
    </xf>
    <xf numFmtId="49" fontId="3" fillId="7" borderId="1" xfId="17" applyNumberFormat="1" applyFont="1" applyFill="1" applyBorder="1" applyAlignment="1">
      <alignment horizontal="center" vertical="center"/>
    </xf>
    <xf numFmtId="178" fontId="2" fillId="7" borderId="1" xfId="18" applyNumberFormat="1" applyFont="1" applyFill="1" applyBorder="1" applyAlignment="1">
      <alignment horizontal="center" vertical="center"/>
    </xf>
    <xf numFmtId="3" fontId="2" fillId="7" borderId="1" xfId="18" applyNumberFormat="1" applyFont="1" applyFill="1" applyBorder="1" applyAlignment="1">
      <alignment horizontal="center" vertical="center"/>
    </xf>
    <xf numFmtId="10" fontId="2" fillId="7" borderId="1" xfId="17" applyNumberFormat="1" applyFont="1" applyFill="1" applyBorder="1" applyAlignment="1">
      <alignment horizontal="center" vertical="center"/>
    </xf>
    <xf numFmtId="0" fontId="106" fillId="0" borderId="0" xfId="69"/>
    <xf numFmtId="0" fontId="0" fillId="3" borderId="1" xfId="0" applyFill="1" applyBorder="1" applyAlignment="1">
      <alignment horizontal="center"/>
    </xf>
    <xf numFmtId="0" fontId="0" fillId="3" borderId="1" xfId="0" applyFill="1" applyBorder="1" applyAlignment="1">
      <alignment horizontal="center" vertical="center"/>
    </xf>
    <xf numFmtId="10" fontId="40" fillId="0" borderId="19" xfId="2" applyNumberFormat="1" applyFont="1" applyBorder="1" applyAlignment="1">
      <alignment horizontal="center" vertical="center"/>
    </xf>
    <xf numFmtId="206" fontId="40" fillId="0" borderId="19" xfId="2" applyNumberFormat="1" applyFont="1" applyBorder="1" applyAlignment="1">
      <alignment horizontal="center" vertical="center"/>
    </xf>
    <xf numFmtId="0" fontId="0" fillId="0" borderId="1" xfId="0" applyBorder="1" applyAlignment="1">
      <alignment horizontal="center"/>
    </xf>
    <xf numFmtId="180" fontId="0" fillId="0" borderId="1" xfId="0" applyNumberFormat="1" applyBorder="1" applyAlignment="1">
      <alignment horizontal="center"/>
    </xf>
    <xf numFmtId="0" fontId="0" fillId="0" borderId="1" xfId="0" quotePrefix="1" applyBorder="1" applyAlignment="1">
      <alignment horizontal="center"/>
    </xf>
    <xf numFmtId="175" fontId="17" fillId="7" borderId="1" xfId="0" applyNumberFormat="1" applyFont="1" applyFill="1" applyBorder="1" applyAlignment="1">
      <alignment vertical="center" wrapText="1"/>
    </xf>
    <xf numFmtId="175" fontId="35" fillId="7" borderId="1" xfId="0" applyNumberFormat="1" applyFont="1" applyFill="1" applyBorder="1" applyAlignment="1">
      <alignment horizontal="center" vertical="center" wrapText="1"/>
    </xf>
    <xf numFmtId="2" fontId="2" fillId="7" borderId="1" xfId="17" applyNumberFormat="1" applyFont="1" applyFill="1" applyBorder="1" applyAlignment="1">
      <alignment horizontal="center" vertical="center"/>
    </xf>
    <xf numFmtId="175" fontId="21" fillId="0" borderId="0" xfId="17" applyNumberFormat="1" applyFont="1" applyAlignment="1">
      <alignment vertical="center"/>
    </xf>
    <xf numFmtId="177" fontId="40" fillId="0" borderId="1" xfId="70" applyNumberFormat="1" applyFont="1" applyBorder="1" applyAlignment="1">
      <alignment horizontal="center" vertical="center"/>
    </xf>
    <xf numFmtId="177" fontId="40" fillId="0" borderId="1" xfId="70" applyNumberFormat="1" applyFont="1" applyBorder="1" applyAlignment="1">
      <alignment horizontal="center" vertical="center" wrapText="1"/>
    </xf>
    <xf numFmtId="177" fontId="40" fillId="0" borderId="18" xfId="70" applyNumberFormat="1" applyFont="1" applyBorder="1" applyAlignment="1">
      <alignment horizontal="center" vertical="center"/>
    </xf>
    <xf numFmtId="10" fontId="0" fillId="0" borderId="0" xfId="2" applyNumberFormat="1" applyFont="1" applyAlignment="1">
      <alignment wrapText="1"/>
    </xf>
    <xf numFmtId="0" fontId="107" fillId="0" borderId="1" xfId="17" applyFont="1" applyBorder="1" applyAlignment="1">
      <alignment vertical="center"/>
    </xf>
    <xf numFmtId="49" fontId="3" fillId="11" borderId="17" xfId="17" applyNumberFormat="1" applyFont="1" applyFill="1" applyBorder="1" applyAlignment="1">
      <alignment horizontal="center" vertical="center"/>
    </xf>
    <xf numFmtId="49" fontId="3" fillId="11" borderId="1" xfId="17" applyNumberFormat="1" applyFont="1" applyFill="1" applyBorder="1" applyAlignment="1">
      <alignment horizontal="center" vertical="center"/>
    </xf>
    <xf numFmtId="0" fontId="3" fillId="11" borderId="1" xfId="17" applyFont="1" applyFill="1" applyBorder="1" applyAlignment="1">
      <alignment horizontal="center" vertical="center"/>
    </xf>
    <xf numFmtId="0" fontId="3" fillId="11" borderId="1" xfId="17" applyFont="1" applyFill="1" applyBorder="1" applyAlignment="1">
      <alignment horizontal="center" vertical="center" wrapText="1"/>
    </xf>
    <xf numFmtId="3" fontId="3" fillId="11" borderId="1" xfId="17" applyNumberFormat="1" applyFont="1" applyFill="1" applyBorder="1" applyAlignment="1">
      <alignment horizontal="center" vertical="center"/>
    </xf>
    <xf numFmtId="4" fontId="3" fillId="11" borderId="18" xfId="17" applyNumberFormat="1" applyFont="1" applyFill="1" applyBorder="1" applyAlignment="1">
      <alignment horizontal="center" vertical="center"/>
    </xf>
    <xf numFmtId="0" fontId="16" fillId="0" borderId="1" xfId="17" applyFont="1" applyBorder="1" applyAlignment="1">
      <alignment horizontal="left" vertical="center"/>
    </xf>
    <xf numFmtId="4" fontId="2" fillId="0" borderId="0" xfId="17" applyNumberFormat="1" applyFont="1" applyAlignment="1">
      <alignment horizontal="center" vertical="center"/>
    </xf>
    <xf numFmtId="3" fontId="3" fillId="3" borderId="18" xfId="17" applyNumberFormat="1" applyFont="1" applyFill="1" applyBorder="1" applyAlignment="1">
      <alignment horizontal="center" vertical="center"/>
    </xf>
    <xf numFmtId="177" fontId="2" fillId="2" borderId="18" xfId="17" applyNumberFormat="1" applyFont="1" applyFill="1" applyBorder="1" applyAlignment="1">
      <alignment horizontal="center" vertical="center"/>
    </xf>
    <xf numFmtId="49" fontId="3" fillId="2" borderId="18" xfId="17" applyNumberFormat="1" applyFont="1" applyFill="1" applyBorder="1" applyAlignment="1">
      <alignment horizontal="center" vertical="center"/>
    </xf>
    <xf numFmtId="0" fontId="2" fillId="12" borderId="1" xfId="17" applyFont="1" applyFill="1" applyBorder="1" applyAlignment="1">
      <alignment horizontal="center" vertical="center"/>
    </xf>
    <xf numFmtId="3" fontId="2" fillId="12" borderId="18" xfId="17" applyNumberFormat="1" applyFont="1" applyFill="1" applyBorder="1" applyAlignment="1">
      <alignment horizontal="center" vertical="center"/>
    </xf>
    <xf numFmtId="165" fontId="0" fillId="0" borderId="0" xfId="1" applyFont="1" applyAlignment="1">
      <alignment horizontal="center" vertical="center"/>
    </xf>
    <xf numFmtId="4" fontId="0" fillId="0" borderId="0" xfId="0" applyNumberFormat="1" applyAlignment="1">
      <alignment horizontal="center" vertical="center"/>
    </xf>
    <xf numFmtId="181" fontId="2" fillId="0" borderId="0" xfId="17" applyNumberFormat="1" applyFont="1" applyAlignment="1">
      <alignment horizontal="center" vertical="center"/>
    </xf>
    <xf numFmtId="175" fontId="2" fillId="0" borderId="18" xfId="1" applyNumberFormat="1" applyFont="1" applyBorder="1" applyAlignment="1">
      <alignment horizontal="center" vertical="center"/>
    </xf>
    <xf numFmtId="175" fontId="2" fillId="7" borderId="18" xfId="1" applyNumberFormat="1" applyFont="1" applyFill="1" applyBorder="1" applyAlignment="1">
      <alignment horizontal="center" vertical="center"/>
    </xf>
    <xf numFmtId="175" fontId="3" fillId="4" borderId="20" xfId="1" applyNumberFormat="1" applyFont="1" applyFill="1" applyBorder="1" applyAlignment="1">
      <alignment horizontal="center" vertical="center"/>
    </xf>
    <xf numFmtId="10" fontId="0" fillId="0" borderId="0" xfId="0" applyNumberFormat="1"/>
    <xf numFmtId="0" fontId="41" fillId="0" borderId="22" xfId="58" applyFont="1" applyFill="1" applyBorder="1" applyAlignment="1">
      <alignment horizontal="justify" vertical="center" wrapText="1"/>
    </xf>
    <xf numFmtId="0" fontId="41" fillId="0" borderId="31" xfId="58" applyFont="1" applyFill="1" applyBorder="1" applyAlignment="1">
      <alignment horizontal="justify" vertical="center" wrapText="1"/>
    </xf>
    <xf numFmtId="0" fontId="41" fillId="0" borderId="23" xfId="58" applyFont="1" applyFill="1" applyBorder="1" applyAlignment="1">
      <alignment horizontal="justify" vertical="center" wrapText="1"/>
    </xf>
    <xf numFmtId="0" fontId="99" fillId="0" borderId="0" xfId="60" applyFont="1"/>
    <xf numFmtId="179" fontId="1" fillId="0" borderId="0" xfId="60" applyNumberFormat="1" applyAlignment="1">
      <alignment vertical="center"/>
    </xf>
    <xf numFmtId="0" fontId="2" fillId="0" borderId="1" xfId="4" applyFont="1" applyBorder="1" applyAlignment="1">
      <alignment horizontal="justify" vertical="center"/>
    </xf>
    <xf numFmtId="0" fontId="105" fillId="0" borderId="0" xfId="0" applyFont="1" applyAlignment="1">
      <alignment horizontal="left" vertical="center"/>
    </xf>
    <xf numFmtId="1" fontId="27" fillId="0" borderId="1" xfId="13" applyNumberFormat="1" applyFont="1" applyBorder="1" applyAlignment="1">
      <alignment horizontal="center" vertical="center"/>
    </xf>
    <xf numFmtId="2" fontId="108" fillId="6"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10" fontId="0" fillId="54" borderId="1" xfId="2" applyNumberFormat="1" applyFont="1" applyFill="1" applyBorder="1" applyAlignment="1">
      <alignment horizontal="center" vertical="center" wrapText="1"/>
    </xf>
    <xf numFmtId="175" fontId="0" fillId="0" borderId="1" xfId="1" applyNumberFormat="1" applyFont="1" applyBorder="1" applyAlignment="1">
      <alignment horizontal="center" vertical="center" wrapText="1"/>
    </xf>
    <xf numFmtId="175" fontId="0" fillId="0" borderId="0" xfId="1" applyNumberFormat="1" applyFont="1"/>
    <xf numFmtId="165" fontId="0" fillId="0" borderId="0" xfId="0" applyNumberFormat="1"/>
    <xf numFmtId="175" fontId="0" fillId="0" borderId="1" xfId="1" applyNumberFormat="1" applyFont="1" applyBorder="1" applyAlignment="1">
      <alignment horizontal="center" vertical="center"/>
    </xf>
    <xf numFmtId="175" fontId="17" fillId="4" borderId="1" xfId="1" applyNumberFormat="1" applyFont="1" applyFill="1" applyBorder="1" applyAlignment="1">
      <alignment horizontal="center" vertical="center"/>
    </xf>
    <xf numFmtId="199" fontId="17" fillId="7" borderId="1" xfId="2" applyNumberFormat="1" applyFont="1" applyFill="1" applyBorder="1" applyAlignment="1">
      <alignment horizontal="center" vertical="center" wrapText="1"/>
    </xf>
    <xf numFmtId="0" fontId="4" fillId="37" borderId="1" xfId="27" applyFill="1" applyBorder="1" applyAlignment="1">
      <alignment horizontal="center" vertical="center"/>
    </xf>
    <xf numFmtId="188" fontId="9" fillId="0" borderId="0" xfId="30" applyFont="1" applyAlignment="1" applyProtection="1">
      <alignment horizontal="center" vertical="center"/>
      <protection locked="0"/>
    </xf>
    <xf numFmtId="2" fontId="28" fillId="40" borderId="1" xfId="72" applyNumberFormat="1" applyFont="1" applyFill="1" applyBorder="1" applyAlignment="1">
      <alignment horizontal="center" vertical="center"/>
    </xf>
    <xf numFmtId="2" fontId="28" fillId="19" borderId="1" xfId="72" applyNumberFormat="1" applyFont="1" applyFill="1" applyBorder="1" applyAlignment="1">
      <alignment horizontal="center" vertical="center"/>
    </xf>
    <xf numFmtId="2" fontId="9" fillId="19" borderId="1" xfId="72" applyNumberFormat="1" applyFont="1" applyFill="1" applyBorder="1" applyAlignment="1">
      <alignment horizontal="center" vertical="center" wrapText="1"/>
    </xf>
    <xf numFmtId="0" fontId="12" fillId="5" borderId="1" xfId="5" applyFont="1" applyFill="1" applyBorder="1" applyAlignment="1">
      <alignment horizontal="center" vertical="center"/>
    </xf>
    <xf numFmtId="0" fontId="24" fillId="5" borderId="1" xfId="35" applyFont="1" applyFill="1" applyBorder="1" applyAlignment="1">
      <alignment horizontal="center"/>
    </xf>
    <xf numFmtId="188" fontId="9" fillId="0" borderId="1" xfId="30" applyFont="1" applyBorder="1" applyAlignment="1" applyProtection="1">
      <alignment horizontal="center" vertical="center" wrapText="1"/>
      <protection locked="0"/>
    </xf>
    <xf numFmtId="188" fontId="4" fillId="11" borderId="1" xfId="30" applyFont="1" applyFill="1" applyBorder="1" applyAlignment="1" applyProtection="1">
      <alignment horizontal="center" vertical="center"/>
      <protection locked="0"/>
    </xf>
    <xf numFmtId="2" fontId="9" fillId="54" borderId="1" xfId="13" quotePrefix="1" applyNumberFormat="1" applyFont="1" applyFill="1" applyBorder="1" applyAlignment="1">
      <alignment horizontal="center" vertical="center"/>
    </xf>
    <xf numFmtId="0" fontId="8" fillId="18" borderId="1" xfId="13" applyFill="1" applyBorder="1" applyAlignment="1">
      <alignment horizontal="center" vertical="center"/>
    </xf>
    <xf numFmtId="1" fontId="8" fillId="0" borderId="1" xfId="13" applyNumberFormat="1" applyBorder="1" applyAlignment="1">
      <alignment horizontal="center" vertical="center"/>
    </xf>
    <xf numFmtId="1" fontId="8" fillId="18" borderId="1" xfId="13" applyNumberFormat="1" applyFill="1" applyBorder="1" applyAlignment="1">
      <alignment horizontal="center" vertical="center"/>
    </xf>
    <xf numFmtId="1" fontId="8" fillId="35" borderId="1" xfId="13" applyNumberFormat="1" applyFill="1" applyBorder="1" applyAlignment="1">
      <alignment horizontal="center" vertical="center"/>
    </xf>
    <xf numFmtId="1" fontId="8" fillId="34" borderId="1" xfId="13" applyNumberFormat="1" applyFill="1" applyBorder="1" applyAlignment="1">
      <alignment horizontal="center" vertical="center"/>
    </xf>
    <xf numFmtId="0" fontId="8" fillId="35" borderId="1" xfId="13" applyFill="1" applyBorder="1" applyAlignment="1">
      <alignment horizontal="center" vertical="center"/>
    </xf>
    <xf numFmtId="2" fontId="8" fillId="18" borderId="1" xfId="13" applyNumberFormat="1" applyFill="1" applyBorder="1" applyAlignment="1">
      <alignment horizontal="center" vertical="center"/>
    </xf>
    <xf numFmtId="1" fontId="8" fillId="10" borderId="1" xfId="13" applyNumberFormat="1" applyFill="1" applyBorder="1" applyAlignment="1">
      <alignment horizontal="center" vertical="center"/>
    </xf>
    <xf numFmtId="1" fontId="8" fillId="17" borderId="1" xfId="13" applyNumberFormat="1" applyFill="1" applyBorder="1" applyAlignment="1">
      <alignment horizontal="center" vertical="center"/>
    </xf>
    <xf numFmtId="0" fontId="109" fillId="18" borderId="1" xfId="13" applyFont="1" applyFill="1" applyBorder="1" applyAlignment="1">
      <alignment horizontal="center" vertical="center"/>
    </xf>
    <xf numFmtId="0" fontId="8" fillId="0" borderId="1" xfId="13" applyBorder="1" applyAlignment="1">
      <alignment horizontal="center" vertical="center"/>
    </xf>
    <xf numFmtId="1" fontId="110" fillId="0" borderId="1" xfId="13" applyNumberFormat="1" applyFont="1" applyBorder="1" applyAlignment="1">
      <alignment horizontal="center" vertical="center"/>
    </xf>
    <xf numFmtId="0" fontId="107" fillId="0" borderId="1" xfId="13" applyFont="1" applyBorder="1" applyAlignment="1">
      <alignment horizontal="center" vertical="center"/>
    </xf>
    <xf numFmtId="0" fontId="111" fillId="0" borderId="1" xfId="13" applyFont="1" applyBorder="1" applyAlignment="1">
      <alignment horizontal="center" vertical="center"/>
    </xf>
    <xf numFmtId="0" fontId="8" fillId="10" borderId="1" xfId="13" applyFill="1" applyBorder="1" applyAlignment="1">
      <alignment horizontal="center" vertical="center"/>
    </xf>
    <xf numFmtId="0" fontId="18" fillId="0" borderId="1" xfId="13" applyFont="1" applyBorder="1" applyAlignment="1">
      <alignment horizontal="center" vertical="center"/>
    </xf>
    <xf numFmtId="0" fontId="110" fillId="0" borderId="1" xfId="13" applyFont="1" applyBorder="1" applyAlignment="1">
      <alignment horizontal="center" vertical="center"/>
    </xf>
    <xf numFmtId="0" fontId="112" fillId="0" borderId="1" xfId="13" applyFont="1" applyBorder="1" applyAlignment="1">
      <alignment horizontal="center" vertical="center"/>
    </xf>
    <xf numFmtId="1" fontId="107" fillId="18" borderId="1" xfId="13" applyNumberFormat="1" applyFont="1" applyFill="1" applyBorder="1" applyAlignment="1">
      <alignment horizontal="center" vertical="center"/>
    </xf>
    <xf numFmtId="1" fontId="110" fillId="18" borderId="1" xfId="13" applyNumberFormat="1" applyFont="1" applyFill="1" applyBorder="1" applyAlignment="1">
      <alignment horizontal="center" vertical="center"/>
    </xf>
    <xf numFmtId="0" fontId="111" fillId="18" borderId="1" xfId="13" applyFont="1" applyFill="1" applyBorder="1" applyAlignment="1">
      <alignment horizontal="center" vertical="center"/>
    </xf>
    <xf numFmtId="171" fontId="8" fillId="18" borderId="1" xfId="13" applyNumberFormat="1" applyFill="1" applyBorder="1" applyAlignment="1">
      <alignment horizontal="center" vertical="center"/>
    </xf>
    <xf numFmtId="0" fontId="27" fillId="18" borderId="1" xfId="13" applyFont="1" applyFill="1" applyBorder="1" applyAlignment="1">
      <alignment horizontal="center" vertical="center"/>
    </xf>
    <xf numFmtId="1" fontId="27" fillId="18" borderId="1" xfId="13" applyNumberFormat="1" applyFont="1" applyFill="1" applyBorder="1" applyAlignment="1">
      <alignment horizontal="center" vertical="center"/>
    </xf>
    <xf numFmtId="1" fontId="113" fillId="18" borderId="1" xfId="13" applyNumberFormat="1" applyFont="1" applyFill="1" applyBorder="1" applyAlignment="1">
      <alignment horizontal="center" vertical="center"/>
    </xf>
    <xf numFmtId="0" fontId="18" fillId="18" borderId="1" xfId="13" quotePrefix="1" applyFont="1" applyFill="1" applyBorder="1" applyAlignment="1">
      <alignment horizontal="center" vertical="center"/>
    </xf>
    <xf numFmtId="0" fontId="107" fillId="18" borderId="1" xfId="13" applyFont="1" applyFill="1" applyBorder="1" applyAlignment="1">
      <alignment horizontal="center" vertical="center"/>
    </xf>
    <xf numFmtId="0" fontId="18" fillId="18" borderId="1" xfId="13" applyFont="1" applyFill="1" applyBorder="1" applyAlignment="1">
      <alignment horizontal="center" vertical="center"/>
    </xf>
    <xf numFmtId="1" fontId="4" fillId="18" borderId="1" xfId="13" applyNumberFormat="1" applyFont="1" applyFill="1" applyBorder="1" applyAlignment="1">
      <alignment horizontal="center" vertical="center"/>
    </xf>
    <xf numFmtId="0" fontId="114" fillId="18" borderId="1" xfId="13" applyFont="1" applyFill="1" applyBorder="1" applyAlignment="1">
      <alignment horizontal="center" vertical="center"/>
    </xf>
    <xf numFmtId="1" fontId="56" fillId="53" borderId="1" xfId="13" applyNumberFormat="1" applyFont="1" applyFill="1" applyBorder="1" applyAlignment="1">
      <alignment horizontal="center" vertical="center"/>
    </xf>
    <xf numFmtId="10" fontId="41" fillId="0" borderId="6" xfId="2" applyNumberFormat="1" applyFont="1" applyFill="1" applyBorder="1" applyAlignment="1">
      <alignment horizontal="left" vertical="center" wrapText="1"/>
    </xf>
    <xf numFmtId="3" fontId="41" fillId="0" borderId="29" xfId="70" applyNumberFormat="1" applyFont="1" applyBorder="1" applyAlignment="1">
      <alignment horizontal="right" vertical="center" wrapText="1"/>
    </xf>
    <xf numFmtId="49" fontId="2" fillId="12" borderId="17" xfId="17" applyNumberFormat="1" applyFont="1" applyFill="1" applyBorder="1" applyAlignment="1">
      <alignment horizontal="center" vertical="center"/>
    </xf>
    <xf numFmtId="49" fontId="2" fillId="12" borderId="1" xfId="17" applyNumberFormat="1" applyFont="1" applyFill="1" applyBorder="1" applyAlignment="1">
      <alignment vertical="center"/>
    </xf>
    <xf numFmtId="49" fontId="2" fillId="12" borderId="1" xfId="17" applyNumberFormat="1" applyFont="1" applyFill="1" applyBorder="1" applyAlignment="1">
      <alignment horizontal="center" vertical="center"/>
    </xf>
    <xf numFmtId="2" fontId="2" fillId="12" borderId="1" xfId="17" applyNumberFormat="1" applyFont="1" applyFill="1" applyBorder="1" applyAlignment="1">
      <alignment horizontal="center" vertical="center"/>
    </xf>
    <xf numFmtId="4" fontId="2" fillId="12" borderId="1" xfId="17" applyNumberFormat="1" applyFont="1" applyFill="1" applyBorder="1" applyAlignment="1">
      <alignment horizontal="center" vertical="center"/>
    </xf>
    <xf numFmtId="175" fontId="2" fillId="12" borderId="1" xfId="1" applyNumberFormat="1" applyFont="1" applyFill="1" applyBorder="1" applyAlignment="1">
      <alignment horizontal="center" vertical="center"/>
    </xf>
    <xf numFmtId="175" fontId="2" fillId="12" borderId="18" xfId="1" applyNumberFormat="1" applyFont="1" applyFill="1" applyBorder="1" applyAlignment="1">
      <alignment horizontal="center" vertical="center"/>
    </xf>
    <xf numFmtId="175" fontId="3" fillId="11" borderId="18" xfId="1" applyNumberFormat="1" applyFont="1" applyFill="1" applyBorder="1" applyAlignment="1">
      <alignment horizontal="center" vertical="center"/>
    </xf>
    <xf numFmtId="3" fontId="40" fillId="0" borderId="1" xfId="70" applyNumberFormat="1" applyFont="1" applyBorder="1" applyAlignment="1">
      <alignment horizontal="center" vertical="center"/>
    </xf>
    <xf numFmtId="177" fontId="41" fillId="0" borderId="1" xfId="42" applyNumberFormat="1" applyFont="1" applyFill="1" applyBorder="1" applyAlignment="1">
      <alignment horizontal="center" vertical="center"/>
    </xf>
    <xf numFmtId="177" fontId="41" fillId="0" borderId="18" xfId="42" applyNumberFormat="1" applyFont="1" applyFill="1" applyBorder="1" applyAlignment="1">
      <alignment horizontal="center" vertical="center"/>
    </xf>
    <xf numFmtId="206" fontId="40" fillId="0" borderId="20" xfId="42" applyNumberFormat="1" applyFont="1" applyFill="1" applyBorder="1" applyAlignment="1">
      <alignment horizontal="center" vertical="center"/>
    </xf>
    <xf numFmtId="3" fontId="40" fillId="0" borderId="1" xfId="70" applyNumberFormat="1" applyFont="1" applyBorder="1" applyAlignment="1">
      <alignment horizontal="center" vertical="center" wrapText="1"/>
    </xf>
    <xf numFmtId="3" fontId="40" fillId="0" borderId="6" xfId="70" applyNumberFormat="1" applyFont="1" applyBorder="1" applyAlignment="1">
      <alignment horizontal="center" vertical="center" wrapText="1"/>
    </xf>
    <xf numFmtId="0" fontId="0" fillId="7" borderId="0" xfId="0" applyFill="1" applyAlignment="1">
      <alignment horizontal="center" vertical="center"/>
    </xf>
    <xf numFmtId="165" fontId="0" fillId="7" borderId="0" xfId="0" applyNumberFormat="1" applyFill="1" applyAlignment="1">
      <alignment horizontal="center" vertical="center"/>
    </xf>
    <xf numFmtId="165" fontId="0" fillId="7" borderId="0" xfId="1" applyFont="1" applyFill="1" applyAlignment="1">
      <alignment horizontal="center" vertical="center"/>
    </xf>
    <xf numFmtId="44" fontId="0" fillId="0" borderId="0" xfId="0" applyNumberFormat="1" applyAlignment="1">
      <alignment horizontal="center" vertical="center"/>
    </xf>
    <xf numFmtId="204" fontId="0" fillId="0" borderId="0" xfId="0" applyNumberFormat="1" applyAlignment="1">
      <alignment horizontal="center" vertical="center"/>
    </xf>
    <xf numFmtId="1" fontId="9" fillId="53" borderId="1" xfId="13" applyNumberFormat="1" applyFont="1" applyFill="1" applyBorder="1" applyAlignment="1">
      <alignment horizontal="center" vertical="center"/>
    </xf>
    <xf numFmtId="2" fontId="9" fillId="53" borderId="1" xfId="13" quotePrefix="1" applyNumberFormat="1" applyFont="1" applyFill="1" applyBorder="1" applyAlignment="1">
      <alignment horizontal="center" vertical="center"/>
    </xf>
    <xf numFmtId="0" fontId="0" fillId="54" borderId="1" xfId="0" applyFill="1" applyBorder="1" applyAlignment="1">
      <alignment horizontal="center" vertical="center"/>
    </xf>
    <xf numFmtId="0" fontId="0" fillId="55" borderId="1" xfId="0" applyFill="1" applyBorder="1" applyAlignment="1">
      <alignment horizontal="center" vertical="center"/>
    </xf>
    <xf numFmtId="0" fontId="0" fillId="56" borderId="1" xfId="0" applyFill="1" applyBorder="1" applyAlignment="1">
      <alignment horizontal="center" vertical="center"/>
    </xf>
    <xf numFmtId="0" fontId="0" fillId="37" borderId="1" xfId="0" applyFill="1" applyBorder="1" applyAlignment="1">
      <alignment horizontal="center" vertical="center"/>
    </xf>
    <xf numFmtId="3" fontId="40" fillId="11" borderId="1" xfId="70" applyNumberFormat="1" applyFont="1" applyFill="1" applyBorder="1" applyAlignment="1">
      <alignment horizontal="center" vertical="center" wrapText="1"/>
    </xf>
    <xf numFmtId="177" fontId="41" fillId="11" borderId="1" xfId="42" applyNumberFormat="1" applyFont="1" applyFill="1" applyBorder="1" applyAlignment="1">
      <alignment horizontal="center" vertical="center"/>
    </xf>
    <xf numFmtId="3" fontId="40" fillId="12" borderId="1" xfId="70" applyNumberFormat="1" applyFont="1" applyFill="1" applyBorder="1" applyAlignment="1">
      <alignment horizontal="center" vertical="center" wrapText="1"/>
    </xf>
    <xf numFmtId="177" fontId="41" fillId="12" borderId="1" xfId="42" applyNumberFormat="1" applyFont="1" applyFill="1" applyBorder="1" applyAlignment="1">
      <alignment horizontal="center" vertical="center"/>
    </xf>
    <xf numFmtId="3" fontId="40" fillId="4" borderId="1" xfId="70" applyNumberFormat="1" applyFont="1" applyFill="1" applyBorder="1" applyAlignment="1">
      <alignment horizontal="center" vertical="center" wrapText="1"/>
    </xf>
    <xf numFmtId="177" fontId="41" fillId="4" borderId="1" xfId="42" applyNumberFormat="1" applyFont="1" applyFill="1" applyBorder="1" applyAlignment="1">
      <alignment horizontal="center" vertical="center"/>
    </xf>
    <xf numFmtId="205" fontId="40" fillId="4" borderId="1" xfId="42" applyNumberFormat="1" applyFont="1" applyFill="1" applyBorder="1" applyAlignment="1">
      <alignment horizontal="center" vertical="center"/>
    </xf>
    <xf numFmtId="177" fontId="40" fillId="4" borderId="1" xfId="42" applyNumberFormat="1" applyFont="1" applyFill="1" applyBorder="1" applyAlignment="1">
      <alignment horizontal="center" vertical="center"/>
    </xf>
    <xf numFmtId="177" fontId="40" fillId="11" borderId="18" xfId="42" applyNumberFormat="1" applyFont="1" applyFill="1" applyBorder="1" applyAlignment="1">
      <alignment horizontal="center" vertical="center"/>
    </xf>
    <xf numFmtId="177" fontId="40" fillId="12" borderId="18" xfId="42" applyNumberFormat="1" applyFont="1" applyFill="1" applyBorder="1" applyAlignment="1">
      <alignment horizontal="center" vertical="center"/>
    </xf>
    <xf numFmtId="177" fontId="40" fillId="4" borderId="18" xfId="42" applyNumberFormat="1" applyFont="1" applyFill="1" applyBorder="1" applyAlignment="1">
      <alignment horizontal="center" vertical="center"/>
    </xf>
    <xf numFmtId="177" fontId="40" fillId="11" borderId="1" xfId="42" applyNumberFormat="1" applyFont="1" applyFill="1" applyBorder="1" applyAlignment="1">
      <alignment horizontal="center" vertical="center"/>
    </xf>
    <xf numFmtId="177" fontId="40" fillId="12" borderId="1" xfId="42" applyNumberFormat="1" applyFont="1" applyFill="1" applyBorder="1" applyAlignment="1">
      <alignment horizontal="center" vertical="center"/>
    </xf>
    <xf numFmtId="175" fontId="102" fillId="40" borderId="1" xfId="1" applyNumberFormat="1" applyFont="1" applyFill="1" applyBorder="1" applyAlignment="1">
      <alignment horizontal="center" vertical="center"/>
    </xf>
    <xf numFmtId="175" fontId="102" fillId="23" borderId="1" xfId="1" applyNumberFormat="1" applyFont="1" applyFill="1" applyBorder="1" applyAlignment="1">
      <alignment horizontal="center" vertical="center"/>
    </xf>
    <xf numFmtId="175" fontId="102" fillId="16" borderId="1" xfId="1" applyNumberFormat="1" applyFont="1" applyFill="1" applyBorder="1" applyAlignment="1">
      <alignment horizontal="center" vertical="center"/>
    </xf>
    <xf numFmtId="175" fontId="102" fillId="45" borderId="1" xfId="1" applyNumberFormat="1" applyFont="1" applyFill="1" applyBorder="1" applyAlignment="1">
      <alignment horizontal="center" vertical="center"/>
    </xf>
    <xf numFmtId="175" fontId="102" fillId="50" borderId="1" xfId="1" applyNumberFormat="1" applyFont="1" applyFill="1" applyBorder="1" applyAlignment="1">
      <alignment horizontal="center" vertical="center"/>
    </xf>
    <xf numFmtId="3" fontId="41" fillId="0" borderId="6" xfId="70" applyNumberFormat="1" applyFont="1" applyBorder="1" applyAlignment="1">
      <alignment horizontal="center" vertical="center" wrapText="1"/>
    </xf>
    <xf numFmtId="3" fontId="41" fillId="0" borderId="1" xfId="70" applyNumberFormat="1" applyFont="1" applyBorder="1" applyAlignment="1">
      <alignment horizontal="center" vertical="center" wrapText="1"/>
    </xf>
    <xf numFmtId="0" fontId="46" fillId="22" borderId="1" xfId="24" applyFont="1" applyFill="1" applyBorder="1" applyAlignment="1">
      <alignment horizontal="left" vertical="center" wrapText="1"/>
    </xf>
    <xf numFmtId="173" fontId="4" fillId="22" borderId="1" xfId="61" applyFill="1" applyBorder="1" applyAlignment="1">
      <alignment horizontal="center" vertical="center"/>
    </xf>
    <xf numFmtId="9" fontId="0" fillId="0" borderId="0" xfId="2" applyFont="1"/>
    <xf numFmtId="0" fontId="4" fillId="22" borderId="1" xfId="23" applyNumberFormat="1" applyFill="1" applyBorder="1" applyAlignment="1">
      <alignment horizontal="left" vertical="center" wrapText="1"/>
    </xf>
    <xf numFmtId="170" fontId="4" fillId="22" borderId="1" xfId="23" applyNumberFormat="1" applyFill="1" applyBorder="1" applyAlignment="1">
      <alignment horizontal="center" vertical="center"/>
    </xf>
    <xf numFmtId="2" fontId="55" fillId="22" borderId="1" xfId="13" applyNumberFormat="1" applyFont="1" applyFill="1" applyBorder="1" applyAlignment="1">
      <alignment horizontal="center" vertical="center"/>
    </xf>
    <xf numFmtId="167" fontId="37" fillId="22" borderId="1" xfId="0" applyNumberFormat="1" applyFont="1" applyFill="1" applyBorder="1" applyAlignment="1">
      <alignment horizontal="center" vertical="center" wrapText="1"/>
    </xf>
    <xf numFmtId="168" fontId="37" fillId="22" borderId="1" xfId="1" applyNumberFormat="1" applyFont="1" applyFill="1" applyBorder="1" applyAlignment="1">
      <alignment horizontal="center" vertical="center" wrapText="1"/>
    </xf>
    <xf numFmtId="168" fontId="37" fillId="0" borderId="1" xfId="1" applyNumberFormat="1" applyFont="1" applyFill="1" applyBorder="1" applyAlignment="1">
      <alignment horizontal="center" vertical="center" wrapText="1"/>
    </xf>
    <xf numFmtId="0" fontId="46" fillId="58" borderId="1" xfId="24" applyFont="1" applyFill="1" applyBorder="1" applyAlignment="1">
      <alignment horizontal="left" vertical="center" wrapText="1"/>
    </xf>
    <xf numFmtId="8" fontId="47" fillId="22" borderId="1" xfId="24" applyNumberFormat="1" applyFont="1" applyFill="1" applyBorder="1" applyAlignment="1">
      <alignment horizontal="center" vertical="center" wrapText="1"/>
    </xf>
    <xf numFmtId="0" fontId="46" fillId="58" borderId="1" xfId="24" applyFont="1" applyFill="1" applyBorder="1" applyAlignment="1">
      <alignment horizontal="center" vertical="center" wrapText="1"/>
    </xf>
    <xf numFmtId="44" fontId="93" fillId="0" borderId="0" xfId="58" applyNumberFormat="1" applyFont="1" applyFill="1" applyBorder="1" applyAlignment="1">
      <alignment vertical="center" wrapText="1"/>
    </xf>
    <xf numFmtId="0" fontId="0" fillId="3" borderId="1" xfId="0" quotePrefix="1" applyFill="1" applyBorder="1" applyAlignment="1">
      <alignment horizontal="center"/>
    </xf>
    <xf numFmtId="175" fontId="0" fillId="0" borderId="0" xfId="0" applyNumberFormat="1"/>
    <xf numFmtId="10" fontId="3" fillId="11" borderId="1" xfId="17" applyNumberFormat="1" applyFont="1" applyFill="1" applyBorder="1" applyAlignment="1">
      <alignment horizontal="center" vertical="center"/>
    </xf>
    <xf numFmtId="0" fontId="41" fillId="0" borderId="30" xfId="5" applyFont="1" applyBorder="1" applyAlignment="1">
      <alignment horizontal="center" vertical="center"/>
    </xf>
    <xf numFmtId="0" fontId="41" fillId="0" borderId="19" xfId="5" applyFont="1" applyBorder="1" applyAlignment="1">
      <alignment horizontal="left" vertical="center"/>
    </xf>
    <xf numFmtId="0" fontId="41" fillId="0" borderId="19" xfId="5" applyFont="1" applyBorder="1" applyAlignment="1">
      <alignment horizontal="center" vertical="center"/>
    </xf>
    <xf numFmtId="2" fontId="41" fillId="0" borderId="19" xfId="5" applyNumberFormat="1" applyFont="1" applyBorder="1" applyAlignment="1">
      <alignment horizontal="center" vertical="center"/>
    </xf>
    <xf numFmtId="44" fontId="41" fillId="0" borderId="19" xfId="22" applyFont="1" applyFill="1" applyBorder="1" applyAlignment="1">
      <alignment horizontal="center" vertical="center"/>
    </xf>
    <xf numFmtId="44" fontId="41" fillId="0" borderId="20" xfId="22" applyFont="1" applyFill="1" applyBorder="1" applyAlignment="1">
      <alignment horizontal="center" vertical="center"/>
    </xf>
    <xf numFmtId="0" fontId="4" fillId="0" borderId="1" xfId="24" applyFont="1" applyBorder="1" applyAlignment="1">
      <alignment horizontal="center" vertical="center" wrapText="1"/>
    </xf>
    <xf numFmtId="183" fontId="46" fillId="0" borderId="1" xfId="24" applyNumberFormat="1" applyFont="1" applyBorder="1" applyAlignment="1">
      <alignment horizontal="left" vertical="center" wrapText="1"/>
    </xf>
    <xf numFmtId="0" fontId="46" fillId="22" borderId="1" xfId="24" applyFont="1" applyFill="1" applyBorder="1" applyAlignment="1">
      <alignment horizontal="center" vertical="center" wrapText="1"/>
    </xf>
    <xf numFmtId="0" fontId="46" fillId="22" borderId="1" xfId="24" applyFont="1" applyFill="1" applyBorder="1" applyAlignment="1">
      <alignment horizontal="center" wrapText="1"/>
    </xf>
    <xf numFmtId="0" fontId="37" fillId="59" borderId="2" xfId="0" applyFont="1" applyFill="1" applyBorder="1" applyAlignment="1">
      <alignment wrapText="1"/>
    </xf>
    <xf numFmtId="171" fontId="37" fillId="22" borderId="1" xfId="0" applyNumberFormat="1" applyFont="1" applyFill="1" applyBorder="1" applyAlignment="1">
      <alignment horizontal="center" vertical="center" wrapText="1"/>
    </xf>
    <xf numFmtId="0" fontId="37" fillId="22" borderId="1" xfId="0" applyFont="1" applyFill="1" applyBorder="1" applyAlignment="1">
      <alignment horizontal="center" vertical="center" wrapText="1"/>
    </xf>
    <xf numFmtId="10" fontId="43" fillId="12" borderId="1" xfId="2" applyNumberFormat="1" applyFont="1" applyFill="1" applyBorder="1" applyAlignment="1">
      <alignment vertical="center" wrapText="1"/>
    </xf>
    <xf numFmtId="9" fontId="0" fillId="0" borderId="0" xfId="0" applyNumberFormat="1" applyAlignment="1">
      <alignment horizontal="center" vertical="center"/>
    </xf>
    <xf numFmtId="175" fontId="0" fillId="0" borderId="0" xfId="0" applyNumberFormat="1" applyAlignment="1">
      <alignment vertical="center" wrapText="1"/>
    </xf>
    <xf numFmtId="167" fontId="5" fillId="12" borderId="1" xfId="0" applyNumberFormat="1" applyFont="1" applyFill="1" applyBorder="1" applyAlignment="1">
      <alignment horizontal="center"/>
    </xf>
    <xf numFmtId="0" fontId="41" fillId="12" borderId="1" xfId="5" applyFont="1" applyFill="1" applyBorder="1" applyAlignment="1">
      <alignment horizontal="left" vertical="center"/>
    </xf>
    <xf numFmtId="0" fontId="41" fillId="12" borderId="1" xfId="5" applyFont="1" applyFill="1" applyBorder="1" applyAlignment="1">
      <alignment horizontal="center" vertical="center"/>
    </xf>
    <xf numFmtId="2" fontId="41" fillId="12" borderId="1" xfId="5" applyNumberFormat="1" applyFont="1" applyFill="1" applyBorder="1" applyAlignment="1">
      <alignment horizontal="center" vertical="center"/>
    </xf>
    <xf numFmtId="44" fontId="41" fillId="12" borderId="1" xfId="22" applyFont="1" applyFill="1" applyBorder="1" applyAlignment="1">
      <alignment horizontal="center" vertical="center"/>
    </xf>
    <xf numFmtId="44" fontId="41" fillId="12" borderId="18" xfId="22" applyFont="1" applyFill="1" applyBorder="1" applyAlignment="1">
      <alignment horizontal="center" vertical="center"/>
    </xf>
    <xf numFmtId="173" fontId="4" fillId="18" borderId="1" xfId="61" applyFill="1" applyBorder="1" applyAlignment="1">
      <alignment horizontal="center" vertical="center"/>
    </xf>
    <xf numFmtId="0" fontId="4" fillId="18" borderId="1" xfId="20" applyFill="1" applyBorder="1" applyAlignment="1">
      <alignment horizontal="left" vertical="center" wrapText="1"/>
    </xf>
    <xf numFmtId="49" fontId="4" fillId="18" borderId="1" xfId="20" applyNumberFormat="1" applyFill="1" applyBorder="1" applyAlignment="1">
      <alignment horizontal="justify" vertical="center" wrapText="1"/>
    </xf>
    <xf numFmtId="10" fontId="0" fillId="0" borderId="0" xfId="0" applyNumberFormat="1" applyAlignment="1">
      <alignment vertical="center" wrapText="1"/>
    </xf>
    <xf numFmtId="207" fontId="37" fillId="0" borderId="0" xfId="0" applyNumberFormat="1" applyFont="1" applyAlignment="1">
      <alignment horizontal="center" vertical="center" wrapText="1"/>
    </xf>
    <xf numFmtId="208" fontId="37" fillId="0" borderId="0" xfId="0" applyNumberFormat="1" applyFont="1" applyAlignment="1">
      <alignment horizontal="center" vertical="center" wrapText="1"/>
    </xf>
    <xf numFmtId="2" fontId="37" fillId="0" borderId="0" xfId="0" applyNumberFormat="1" applyFont="1" applyAlignment="1">
      <alignment horizontal="center" vertical="center" wrapText="1"/>
    </xf>
    <xf numFmtId="49" fontId="2" fillId="3" borderId="1" xfId="4" applyNumberFormat="1" applyFont="1" applyFill="1" applyBorder="1"/>
    <xf numFmtId="0" fontId="5" fillId="3" borderId="1" xfId="0" applyFont="1" applyFill="1" applyBorder="1" applyAlignment="1">
      <alignment horizontal="center"/>
    </xf>
    <xf numFmtId="0" fontId="2" fillId="3" borderId="1" xfId="0" applyFont="1" applyFill="1" applyBorder="1"/>
    <xf numFmtId="0" fontId="2" fillId="3" borderId="1" xfId="4" applyFont="1" applyFill="1" applyBorder="1" applyAlignment="1">
      <alignment horizontal="justify"/>
    </xf>
    <xf numFmtId="0" fontId="2" fillId="3" borderId="1" xfId="4" applyFont="1" applyFill="1" applyBorder="1" applyAlignment="1">
      <alignment horizontal="center"/>
    </xf>
    <xf numFmtId="2" fontId="40" fillId="5" borderId="1" xfId="58" applyNumberFormat="1" applyFont="1" applyFill="1" applyBorder="1" applyAlignment="1">
      <alignment vertical="center" wrapText="1"/>
    </xf>
    <xf numFmtId="0" fontId="6" fillId="4" borderId="1" xfId="0" applyFont="1" applyFill="1" applyBorder="1" applyAlignment="1">
      <alignment horizontal="center"/>
    </xf>
    <xf numFmtId="0" fontId="3" fillId="2" borderId="4" xfId="17" applyFont="1" applyFill="1" applyBorder="1" applyAlignment="1">
      <alignment horizontal="center" vertical="center"/>
    </xf>
    <xf numFmtId="0" fontId="3" fillId="0" borderId="4" xfId="17" applyFont="1" applyBorder="1" applyAlignment="1">
      <alignment horizontal="center" vertical="center" wrapText="1"/>
    </xf>
    <xf numFmtId="49" fontId="3" fillId="2" borderId="4" xfId="17" applyNumberFormat="1" applyFont="1" applyFill="1" applyBorder="1" applyAlignment="1">
      <alignment horizontal="center" vertical="center"/>
    </xf>
    <xf numFmtId="10" fontId="2" fillId="12" borderId="4" xfId="17" applyNumberFormat="1" applyFont="1" applyFill="1" applyBorder="1" applyAlignment="1">
      <alignment horizontal="center" vertical="center"/>
    </xf>
    <xf numFmtId="10" fontId="2" fillId="0" borderId="4" xfId="17" applyNumberFormat="1" applyFont="1" applyBorder="1" applyAlignment="1">
      <alignment horizontal="center" vertical="center"/>
    </xf>
    <xf numFmtId="10" fontId="2" fillId="7" borderId="4" xfId="17" applyNumberFormat="1" applyFont="1" applyFill="1" applyBorder="1" applyAlignment="1">
      <alignment horizontal="center" vertical="center"/>
    </xf>
    <xf numFmtId="0" fontId="3" fillId="11" borderId="4" xfId="17" applyFont="1" applyFill="1" applyBorder="1" applyAlignment="1">
      <alignment horizontal="center" vertical="center" wrapText="1"/>
    </xf>
    <xf numFmtId="10" fontId="3" fillId="11" borderId="4" xfId="17" applyNumberFormat="1" applyFont="1" applyFill="1" applyBorder="1" applyAlignment="1">
      <alignment horizontal="center" vertical="center"/>
    </xf>
    <xf numFmtId="9" fontId="3" fillId="4" borderId="27" xfId="17" applyNumberFormat="1" applyFont="1" applyFill="1" applyBorder="1" applyAlignment="1">
      <alignment horizontal="center" vertical="center"/>
    </xf>
    <xf numFmtId="49" fontId="2" fillId="5" borderId="1" xfId="17" applyNumberFormat="1" applyFont="1" applyFill="1" applyBorder="1" applyAlignment="1">
      <alignment vertical="center"/>
    </xf>
    <xf numFmtId="10" fontId="2" fillId="5" borderId="1" xfId="17" applyNumberFormat="1" applyFont="1" applyFill="1" applyBorder="1" applyAlignment="1">
      <alignment horizontal="center" vertical="center"/>
    </xf>
    <xf numFmtId="165" fontId="21" fillId="0" borderId="0" xfId="1" applyFont="1" applyAlignment="1">
      <alignment vertical="center"/>
    </xf>
    <xf numFmtId="2" fontId="2" fillId="5" borderId="1" xfId="17" applyNumberFormat="1" applyFont="1" applyFill="1" applyBorder="1" applyAlignment="1">
      <alignment horizontal="center" vertical="center"/>
    </xf>
    <xf numFmtId="175" fontId="35" fillId="5" borderId="1" xfId="0" applyNumberFormat="1" applyFont="1" applyFill="1" applyBorder="1" applyAlignment="1">
      <alignment horizontal="center" vertical="center" wrapText="1"/>
    </xf>
    <xf numFmtId="175" fontId="17" fillId="5" borderId="1" xfId="0" applyNumberFormat="1" applyFont="1" applyFill="1" applyBorder="1" applyAlignment="1">
      <alignment vertical="center" wrapText="1"/>
    </xf>
    <xf numFmtId="171" fontId="0" fillId="0" borderId="0" xfId="0" applyNumberFormat="1" applyAlignment="1">
      <alignment horizontal="center" vertical="center"/>
    </xf>
    <xf numFmtId="2" fontId="93" fillId="0" borderId="0" xfId="58" applyNumberFormat="1" applyFont="1" applyFill="1" applyBorder="1" applyAlignment="1">
      <alignment vertical="center" wrapText="1"/>
    </xf>
    <xf numFmtId="49" fontId="4" fillId="0" borderId="1" xfId="20" applyNumberFormat="1" applyFill="1" applyBorder="1" applyAlignment="1">
      <alignment horizontal="justify" vertical="center" wrapText="1"/>
    </xf>
    <xf numFmtId="0" fontId="4" fillId="0" borderId="1" xfId="20" applyFill="1" applyBorder="1" applyAlignment="1">
      <alignment horizontal="justify" vertical="center" wrapText="1"/>
    </xf>
    <xf numFmtId="10" fontId="4" fillId="0" borderId="0" xfId="5" applyNumberFormat="1"/>
    <xf numFmtId="199" fontId="4" fillId="0" borderId="0" xfId="5" applyNumberFormat="1"/>
    <xf numFmtId="165" fontId="4" fillId="0" borderId="0" xfId="1" applyFont="1"/>
    <xf numFmtId="165" fontId="4" fillId="0" borderId="0" xfId="5" applyNumberFormat="1"/>
    <xf numFmtId="165" fontId="21" fillId="0" borderId="0" xfId="17" applyNumberFormat="1" applyFont="1" applyAlignment="1">
      <alignment vertical="center"/>
    </xf>
    <xf numFmtId="165" fontId="27" fillId="0" borderId="0" xfId="5" applyNumberFormat="1" applyFont="1"/>
    <xf numFmtId="10" fontId="4" fillId="0" borderId="0" xfId="2" applyNumberFormat="1" applyFont="1"/>
    <xf numFmtId="165" fontId="93" fillId="0" borderId="0" xfId="58" applyNumberFormat="1" applyFont="1" applyFill="1" applyBorder="1" applyAlignment="1">
      <alignment vertical="center" wrapText="1"/>
    </xf>
    <xf numFmtId="0" fontId="4" fillId="5" borderId="0" xfId="5" applyFill="1"/>
    <xf numFmtId="164" fontId="93" fillId="0" borderId="0" xfId="58" applyNumberFormat="1" applyFont="1" applyFill="1" applyBorder="1" applyAlignment="1">
      <alignment vertical="center" wrapText="1"/>
    </xf>
    <xf numFmtId="209" fontId="4" fillId="5" borderId="0" xfId="5" applyNumberFormat="1" applyFill="1"/>
    <xf numFmtId="210" fontId="4" fillId="0" borderId="0" xfId="5" applyNumberFormat="1"/>
    <xf numFmtId="211" fontId="0" fillId="0" borderId="0" xfId="0" applyNumberFormat="1" applyAlignment="1">
      <alignment wrapText="1"/>
    </xf>
    <xf numFmtId="0" fontId="105" fillId="0" borderId="0" xfId="0" applyFont="1" applyAlignment="1">
      <alignment horizontal="left" vertical="center"/>
    </xf>
    <xf numFmtId="0" fontId="17" fillId="12" borderId="1" xfId="0" applyFont="1" applyFill="1" applyBorder="1" applyAlignment="1">
      <alignment horizontal="right" vertical="center" wrapText="1"/>
    </xf>
    <xf numFmtId="0" fontId="35" fillId="7" borderId="1" xfId="0" applyFont="1" applyFill="1" applyBorder="1" applyAlignment="1">
      <alignment horizontal="center" vertical="center" wrapText="1"/>
    </xf>
    <xf numFmtId="2" fontId="108" fillId="6" borderId="1" xfId="0" applyNumberFormat="1" applyFont="1" applyFill="1" applyBorder="1" applyAlignment="1">
      <alignment horizontal="center" vertical="center" wrapText="1"/>
    </xf>
    <xf numFmtId="0" fontId="17" fillId="4" borderId="1" xfId="0" applyFont="1" applyFill="1" applyBorder="1" applyAlignment="1">
      <alignment horizontal="left" vertical="center" wrapText="1"/>
    </xf>
    <xf numFmtId="0" fontId="104" fillId="0" borderId="0" xfId="0" applyFont="1" applyAlignment="1">
      <alignment horizontal="left" vertical="center"/>
    </xf>
    <xf numFmtId="0" fontId="104" fillId="0" borderId="0" xfId="0" applyFont="1" applyAlignment="1">
      <alignment horizontal="left"/>
    </xf>
    <xf numFmtId="0" fontId="35" fillId="57" borderId="1" xfId="0" applyFont="1" applyFill="1" applyBorder="1" applyAlignment="1">
      <alignment horizontal="center" vertical="center" wrapText="1"/>
    </xf>
    <xf numFmtId="0" fontId="17" fillId="7" borderId="4" xfId="0" applyFont="1" applyFill="1" applyBorder="1" applyAlignment="1">
      <alignment horizontal="right" vertical="center" wrapText="1"/>
    </xf>
    <xf numFmtId="0" fontId="17" fillId="7" borderId="7" xfId="0" applyFont="1" applyFill="1" applyBorder="1" applyAlignment="1">
      <alignment horizontal="right" vertical="center" wrapText="1"/>
    </xf>
    <xf numFmtId="0" fontId="17" fillId="7" borderId="6" xfId="0" applyFont="1" applyFill="1" applyBorder="1" applyAlignment="1">
      <alignment horizontal="right" vertical="center" wrapText="1"/>
    </xf>
    <xf numFmtId="3" fontId="27" fillId="4" borderId="14" xfId="70" applyNumberFormat="1" applyFont="1" applyFill="1" applyBorder="1" applyAlignment="1">
      <alignment horizontal="center" vertical="center" wrapText="1"/>
    </xf>
    <xf numFmtId="3" fontId="27" fillId="4" borderId="59" xfId="70" applyNumberFormat="1" applyFont="1" applyFill="1" applyBorder="1" applyAlignment="1">
      <alignment horizontal="center" vertical="center" wrapText="1"/>
    </xf>
    <xf numFmtId="3" fontId="27" fillId="4" borderId="15" xfId="70" applyNumberFormat="1" applyFont="1" applyFill="1" applyBorder="1" applyAlignment="1">
      <alignment horizontal="center" vertical="center" wrapText="1"/>
    </xf>
    <xf numFmtId="3" fontId="27" fillId="4" borderId="16" xfId="70" applyNumberFormat="1" applyFont="1" applyFill="1" applyBorder="1" applyAlignment="1">
      <alignment horizontal="center" vertical="center" wrapText="1"/>
    </xf>
    <xf numFmtId="3" fontId="40" fillId="11" borderId="17" xfId="70" applyNumberFormat="1" applyFont="1" applyFill="1" applyBorder="1" applyAlignment="1">
      <alignment horizontal="center" vertical="center"/>
    </xf>
    <xf numFmtId="3" fontId="40" fillId="11" borderId="6" xfId="70" applyNumberFormat="1" applyFont="1" applyFill="1" applyBorder="1" applyAlignment="1">
      <alignment horizontal="center" vertical="center"/>
    </xf>
    <xf numFmtId="3" fontId="40" fillId="11" borderId="1" xfId="70" applyNumberFormat="1" applyFont="1" applyFill="1" applyBorder="1" applyAlignment="1">
      <alignment horizontal="center" vertical="center"/>
    </xf>
    <xf numFmtId="3" fontId="40" fillId="11" borderId="18" xfId="70" applyNumberFormat="1" applyFont="1" applyFill="1" applyBorder="1" applyAlignment="1">
      <alignment horizontal="center" vertical="center"/>
    </xf>
    <xf numFmtId="3" fontId="40" fillId="4" borderId="32" xfId="70" applyNumberFormat="1" applyFont="1" applyFill="1" applyBorder="1" applyAlignment="1">
      <alignment horizontal="center" vertical="center"/>
    </xf>
    <xf numFmtId="3" fontId="40" fillId="4" borderId="26" xfId="70" applyNumberFormat="1" applyFont="1" applyFill="1" applyBorder="1" applyAlignment="1">
      <alignment horizontal="center" vertical="center"/>
    </xf>
    <xf numFmtId="3" fontId="40" fillId="4" borderId="1" xfId="70" applyNumberFormat="1" applyFont="1" applyFill="1" applyBorder="1" applyAlignment="1">
      <alignment horizontal="center" vertical="center"/>
    </xf>
    <xf numFmtId="3" fontId="40" fillId="0" borderId="30" xfId="70" applyNumberFormat="1" applyFont="1" applyBorder="1" applyAlignment="1">
      <alignment horizontal="center" vertical="center"/>
    </xf>
    <xf numFmtId="3" fontId="40" fillId="0" borderId="60" xfId="70" applyNumberFormat="1" applyFont="1" applyBorder="1" applyAlignment="1">
      <alignment horizontal="center" vertical="center"/>
    </xf>
    <xf numFmtId="3" fontId="40" fillId="0" borderId="19" xfId="70" applyNumberFormat="1" applyFont="1" applyBorder="1" applyAlignment="1">
      <alignment horizontal="center" vertical="center"/>
    </xf>
    <xf numFmtId="3" fontId="40" fillId="0" borderId="29" xfId="70" applyNumberFormat="1" applyFont="1" applyBorder="1" applyAlignment="1">
      <alignment horizontal="center" vertical="center"/>
    </xf>
    <xf numFmtId="3" fontId="40" fillId="0" borderId="6" xfId="70" applyNumberFormat="1" applyFont="1" applyBorder="1" applyAlignment="1">
      <alignment horizontal="center" vertical="center"/>
    </xf>
    <xf numFmtId="3" fontId="40" fillId="11" borderId="61" xfId="70" applyNumberFormat="1" applyFont="1" applyFill="1" applyBorder="1" applyAlignment="1">
      <alignment horizontal="center" vertical="center" wrapText="1"/>
    </xf>
    <xf numFmtId="3" fontId="40" fillId="11" borderId="23" xfId="70" applyNumberFormat="1" applyFont="1" applyFill="1" applyBorder="1" applyAlignment="1">
      <alignment horizontal="center" vertical="center" wrapText="1"/>
    </xf>
    <xf numFmtId="3" fontId="40" fillId="12" borderId="62" xfId="70" applyNumberFormat="1" applyFont="1" applyFill="1" applyBorder="1" applyAlignment="1">
      <alignment horizontal="center" vertical="center" wrapText="1"/>
    </xf>
    <xf numFmtId="3" fontId="40" fillId="12" borderId="26" xfId="70" applyNumberFormat="1" applyFont="1" applyFill="1" applyBorder="1" applyAlignment="1">
      <alignment horizontal="center" vertical="center" wrapText="1"/>
    </xf>
    <xf numFmtId="3" fontId="40" fillId="4" borderId="61" xfId="70" applyNumberFormat="1" applyFont="1" applyFill="1" applyBorder="1" applyAlignment="1">
      <alignment horizontal="center" vertical="center" wrapText="1"/>
    </xf>
    <xf numFmtId="3" fontId="40" fillId="4" borderId="23" xfId="70" applyNumberFormat="1" applyFont="1" applyFill="1" applyBorder="1" applyAlignment="1">
      <alignment horizontal="center" vertical="center" wrapText="1"/>
    </xf>
    <xf numFmtId="1" fontId="18" fillId="16" borderId="1" xfId="5" applyNumberFormat="1" applyFont="1" applyFill="1" applyBorder="1" applyAlignment="1">
      <alignment horizontal="center" vertical="center"/>
    </xf>
    <xf numFmtId="0" fontId="18" fillId="16" borderId="1" xfId="5" applyFont="1" applyFill="1" applyBorder="1" applyAlignment="1">
      <alignment horizontal="center" vertical="center"/>
    </xf>
    <xf numFmtId="0" fontId="12" fillId="16" borderId="1" xfId="5" applyFont="1" applyFill="1" applyBorder="1" applyAlignment="1">
      <alignment horizontal="center" vertical="center" wrapText="1"/>
    </xf>
    <xf numFmtId="0" fontId="29" fillId="14" borderId="1" xfId="0" applyFont="1" applyFill="1" applyBorder="1" applyAlignment="1">
      <alignment horizontal="center" vertical="center"/>
    </xf>
    <xf numFmtId="0" fontId="29" fillId="13" borderId="1" xfId="0" applyFont="1" applyFill="1" applyBorder="1" applyAlignment="1">
      <alignment horizontal="center" vertical="center"/>
    </xf>
    <xf numFmtId="0" fontId="12" fillId="18" borderId="5" xfId="13" applyFont="1" applyFill="1" applyBorder="1" applyAlignment="1">
      <alignment horizontal="center" vertical="center" wrapText="1"/>
    </xf>
    <xf numFmtId="0" fontId="12" fillId="18" borderId="2" xfId="13" applyFont="1" applyFill="1" applyBorder="1" applyAlignment="1">
      <alignment horizontal="center" vertical="center" wrapText="1"/>
    </xf>
    <xf numFmtId="0" fontId="12" fillId="18" borderId="5" xfId="13" applyFont="1" applyFill="1" applyBorder="1" applyAlignment="1">
      <alignment horizontal="center" vertical="center"/>
    </xf>
    <xf numFmtId="0" fontId="12" fillId="18" borderId="2" xfId="13" applyFont="1" applyFill="1" applyBorder="1" applyAlignment="1">
      <alignment horizontal="center" vertical="center"/>
    </xf>
    <xf numFmtId="0" fontId="12" fillId="18" borderId="4" xfId="13" applyFont="1" applyFill="1" applyBorder="1" applyAlignment="1">
      <alignment horizontal="center" vertical="center"/>
    </xf>
    <xf numFmtId="0" fontId="12" fillId="18" borderId="6" xfId="13" applyFont="1" applyFill="1" applyBorder="1" applyAlignment="1">
      <alignment horizontal="center" vertical="center"/>
    </xf>
    <xf numFmtId="0" fontId="12" fillId="18" borderId="1" xfId="13" applyFont="1" applyFill="1" applyBorder="1" applyAlignment="1">
      <alignment horizontal="center" vertical="center"/>
    </xf>
    <xf numFmtId="0" fontId="12" fillId="18" borderId="4" xfId="13" quotePrefix="1" applyFont="1" applyFill="1" applyBorder="1" applyAlignment="1">
      <alignment horizontal="center" vertical="center" wrapText="1"/>
    </xf>
    <xf numFmtId="0" fontId="12" fillId="18" borderId="7" xfId="13" quotePrefix="1" applyFont="1" applyFill="1" applyBorder="1" applyAlignment="1">
      <alignment horizontal="center" vertical="center" wrapText="1"/>
    </xf>
    <xf numFmtId="0" fontId="12" fillId="18" borderId="6" xfId="13" quotePrefix="1" applyFont="1" applyFill="1" applyBorder="1" applyAlignment="1">
      <alignment horizontal="center" vertical="center" wrapText="1"/>
    </xf>
    <xf numFmtId="0" fontId="12" fillId="0" borderId="1" xfId="13" quotePrefix="1" applyFont="1" applyBorder="1" applyAlignment="1">
      <alignment horizontal="center" vertical="center"/>
    </xf>
    <xf numFmtId="0" fontId="55" fillId="18" borderId="1" xfId="13" applyFont="1" applyFill="1" applyBorder="1" applyAlignment="1">
      <alignment horizontal="center" vertical="center"/>
    </xf>
    <xf numFmtId="0" fontId="9" fillId="18" borderId="1" xfId="13" applyFont="1" applyFill="1" applyBorder="1" applyAlignment="1">
      <alignment horizontal="center" vertical="center"/>
    </xf>
    <xf numFmtId="0" fontId="12" fillId="18" borderId="1" xfId="13" quotePrefix="1" applyFont="1" applyFill="1" applyBorder="1" applyAlignment="1">
      <alignment horizontal="center" vertical="center"/>
    </xf>
    <xf numFmtId="0" fontId="12" fillId="34" borderId="1" xfId="13" applyFont="1" applyFill="1" applyBorder="1" applyAlignment="1">
      <alignment horizontal="center" vertical="center" wrapText="1"/>
    </xf>
    <xf numFmtId="0" fontId="12" fillId="18" borderId="7" xfId="13" applyFont="1" applyFill="1" applyBorder="1" applyAlignment="1">
      <alignment horizontal="center" vertical="center"/>
    </xf>
    <xf numFmtId="0" fontId="12" fillId="18" borderId="4" xfId="13" quotePrefix="1" applyFont="1" applyFill="1" applyBorder="1" applyAlignment="1">
      <alignment horizontal="center" vertical="center"/>
    </xf>
    <xf numFmtId="0" fontId="12" fillId="18" borderId="7" xfId="13" quotePrefix="1" applyFont="1" applyFill="1" applyBorder="1" applyAlignment="1">
      <alignment horizontal="center" vertical="center"/>
    </xf>
    <xf numFmtId="0" fontId="12" fillId="18" borderId="6" xfId="13" quotePrefix="1" applyFont="1" applyFill="1" applyBorder="1" applyAlignment="1">
      <alignment horizontal="center" vertical="center"/>
    </xf>
    <xf numFmtId="0" fontId="51" fillId="18" borderId="5" xfId="13" applyFont="1" applyFill="1" applyBorder="1" applyAlignment="1">
      <alignment horizontal="center" vertical="center" wrapText="1"/>
    </xf>
    <xf numFmtId="0" fontId="51" fillId="18" borderId="2" xfId="13" applyFont="1" applyFill="1" applyBorder="1" applyAlignment="1">
      <alignment horizontal="center" vertical="center" wrapText="1"/>
    </xf>
    <xf numFmtId="0" fontId="12" fillId="0" borderId="1" xfId="13" applyFont="1" applyBorder="1" applyAlignment="1">
      <alignment horizontal="center" vertical="center" wrapText="1"/>
    </xf>
    <xf numFmtId="0" fontId="12" fillId="0" borderId="1" xfId="13" applyFont="1" applyBorder="1" applyAlignment="1">
      <alignment horizontal="center" vertical="center"/>
    </xf>
    <xf numFmtId="0" fontId="12" fillId="0" borderId="1" xfId="13" applyFont="1" applyBorder="1" applyAlignment="1">
      <alignment horizontal="center" vertical="center" textRotation="90" wrapText="1"/>
    </xf>
    <xf numFmtId="0" fontId="12" fillId="0" borderId="1" xfId="13" applyFont="1" applyBorder="1" applyAlignment="1">
      <alignment horizontal="center" vertical="center" textRotation="90"/>
    </xf>
    <xf numFmtId="0" fontId="12" fillId="18" borderId="1" xfId="13" applyFont="1" applyFill="1" applyBorder="1" applyAlignment="1">
      <alignment horizontal="center" vertical="center" wrapText="1"/>
    </xf>
    <xf numFmtId="0" fontId="12" fillId="0" borderId="5" xfId="13" applyFont="1" applyBorder="1" applyAlignment="1">
      <alignment horizontal="center" vertical="center" wrapText="1"/>
    </xf>
    <xf numFmtId="0" fontId="12" fillId="0" borderId="2" xfId="13" applyFont="1" applyBorder="1" applyAlignment="1">
      <alignment horizontal="center" vertical="center" wrapText="1"/>
    </xf>
    <xf numFmtId="0" fontId="12" fillId="5" borderId="1" xfId="14" applyFont="1" applyFill="1" applyBorder="1" applyAlignment="1">
      <alignment horizontal="center" vertical="center" wrapText="1"/>
    </xf>
    <xf numFmtId="0" fontId="12" fillId="35" borderId="1" xfId="13" applyFont="1" applyFill="1" applyBorder="1" applyAlignment="1">
      <alignment horizontal="center" vertical="center" wrapText="1"/>
    </xf>
    <xf numFmtId="0" fontId="12" fillId="0" borderId="1" xfId="14" applyFont="1" applyBorder="1" applyAlignment="1">
      <alignment horizontal="center" vertical="center" wrapText="1"/>
    </xf>
    <xf numFmtId="0" fontId="12" fillId="35" borderId="1" xfId="14" applyFont="1" applyFill="1" applyBorder="1" applyAlignment="1">
      <alignment horizontal="center" vertical="center" wrapText="1"/>
    </xf>
    <xf numFmtId="0" fontId="12" fillId="18" borderId="22" xfId="13" applyFont="1" applyFill="1" applyBorder="1" applyAlignment="1">
      <alignment horizontal="center" vertical="center"/>
    </xf>
    <xf numFmtId="0" fontId="12" fillId="18" borderId="31" xfId="13" applyFont="1" applyFill="1" applyBorder="1" applyAlignment="1">
      <alignment horizontal="center" vertical="center"/>
    </xf>
    <xf numFmtId="0" fontId="12" fillId="18" borderId="23" xfId="13" applyFont="1" applyFill="1" applyBorder="1" applyAlignment="1">
      <alignment horizontal="center" vertical="center"/>
    </xf>
    <xf numFmtId="0" fontId="12" fillId="18" borderId="24" xfId="13" applyFont="1" applyFill="1" applyBorder="1" applyAlignment="1">
      <alignment horizontal="center" vertical="center"/>
    </xf>
    <xf numFmtId="0" fontId="12" fillId="18" borderId="0" xfId="13" applyFont="1" applyFill="1" applyAlignment="1">
      <alignment horizontal="center" vertical="center"/>
    </xf>
    <xf numFmtId="0" fontId="12" fillId="18" borderId="21" xfId="13" applyFont="1" applyFill="1" applyBorder="1" applyAlignment="1">
      <alignment horizontal="center" vertical="center"/>
    </xf>
    <xf numFmtId="0" fontId="12" fillId="18" borderId="25" xfId="13" applyFont="1" applyFill="1" applyBorder="1" applyAlignment="1">
      <alignment horizontal="center" vertical="center"/>
    </xf>
    <xf numFmtId="0" fontId="12" fillId="18" borderId="28" xfId="13" applyFont="1" applyFill="1" applyBorder="1" applyAlignment="1">
      <alignment horizontal="center" vertical="center"/>
    </xf>
    <xf numFmtId="0" fontId="12" fillId="18" borderId="26" xfId="13" applyFont="1" applyFill="1" applyBorder="1" applyAlignment="1">
      <alignment horizontal="center" vertical="center"/>
    </xf>
    <xf numFmtId="0" fontId="12" fillId="19" borderId="22" xfId="13" applyFont="1" applyFill="1" applyBorder="1" applyAlignment="1">
      <alignment horizontal="center" vertical="center"/>
    </xf>
    <xf numFmtId="0" fontId="12" fillId="19" borderId="31" xfId="13" applyFont="1" applyFill="1" applyBorder="1" applyAlignment="1">
      <alignment horizontal="center" vertical="center"/>
    </xf>
    <xf numFmtId="0" fontId="12" fillId="19" borderId="23" xfId="13" applyFont="1" applyFill="1" applyBorder="1" applyAlignment="1">
      <alignment horizontal="center" vertical="center"/>
    </xf>
    <xf numFmtId="0" fontId="12" fillId="19" borderId="24" xfId="13" applyFont="1" applyFill="1" applyBorder="1" applyAlignment="1">
      <alignment horizontal="center" vertical="center"/>
    </xf>
    <xf numFmtId="0" fontId="12" fillId="19" borderId="0" xfId="13" applyFont="1" applyFill="1" applyAlignment="1">
      <alignment horizontal="center" vertical="center"/>
    </xf>
    <xf numFmtId="0" fontId="12" fillId="19" borderId="21" xfId="13" applyFont="1" applyFill="1" applyBorder="1" applyAlignment="1">
      <alignment horizontal="center" vertical="center"/>
    </xf>
    <xf numFmtId="0" fontId="12" fillId="19" borderId="25" xfId="13" applyFont="1" applyFill="1" applyBorder="1" applyAlignment="1">
      <alignment horizontal="center" vertical="center"/>
    </xf>
    <xf numFmtId="0" fontId="12" fillId="19" borderId="28" xfId="13" applyFont="1" applyFill="1" applyBorder="1" applyAlignment="1">
      <alignment horizontal="center" vertical="center"/>
    </xf>
    <xf numFmtId="0" fontId="12" fillId="19" borderId="26" xfId="13" applyFont="1" applyFill="1" applyBorder="1" applyAlignment="1">
      <alignment horizontal="center" vertical="center"/>
    </xf>
    <xf numFmtId="0" fontId="12" fillId="18" borderId="3" xfId="13" applyFont="1" applyFill="1" applyBorder="1" applyAlignment="1">
      <alignment horizontal="center" vertical="center" wrapText="1"/>
    </xf>
    <xf numFmtId="0" fontId="12" fillId="19" borderId="5" xfId="13" applyFont="1" applyFill="1" applyBorder="1" applyAlignment="1">
      <alignment horizontal="center" vertical="center" wrapText="1"/>
    </xf>
    <xf numFmtId="0" fontId="12" fillId="19" borderId="2" xfId="13" applyFont="1" applyFill="1" applyBorder="1" applyAlignment="1">
      <alignment horizontal="center" vertical="center" wrapText="1"/>
    </xf>
    <xf numFmtId="0" fontId="12" fillId="19" borderId="1" xfId="13" applyFont="1" applyFill="1" applyBorder="1" applyAlignment="1">
      <alignment horizontal="center" vertical="center" wrapText="1"/>
    </xf>
    <xf numFmtId="0" fontId="12" fillId="19" borderId="4" xfId="13" applyFont="1" applyFill="1" applyBorder="1" applyAlignment="1">
      <alignment horizontal="center" vertical="center" wrapText="1"/>
    </xf>
    <xf numFmtId="0" fontId="12" fillId="19" borderId="7" xfId="13" applyFont="1" applyFill="1" applyBorder="1" applyAlignment="1">
      <alignment horizontal="center" vertical="center" wrapText="1"/>
    </xf>
    <xf numFmtId="0" fontId="12" fillId="19" borderId="6" xfId="13" applyFont="1" applyFill="1" applyBorder="1" applyAlignment="1">
      <alignment horizontal="center" vertical="center" wrapText="1"/>
    </xf>
    <xf numFmtId="0" fontId="12" fillId="19" borderId="1" xfId="13" applyFont="1" applyFill="1" applyBorder="1" applyAlignment="1">
      <alignment horizontal="center" vertical="center"/>
    </xf>
    <xf numFmtId="1" fontId="12" fillId="18" borderId="1" xfId="13" applyNumberFormat="1" applyFont="1" applyFill="1" applyBorder="1" applyAlignment="1">
      <alignment horizontal="center" vertical="center"/>
    </xf>
    <xf numFmtId="1" fontId="27" fillId="17" borderId="4" xfId="13" applyNumberFormat="1" applyFont="1" applyFill="1" applyBorder="1" applyAlignment="1">
      <alignment horizontal="center" vertical="center"/>
    </xf>
    <xf numFmtId="1" fontId="27" fillId="17" borderId="7" xfId="13" applyNumberFormat="1" applyFont="1" applyFill="1" applyBorder="1" applyAlignment="1">
      <alignment horizontal="center" vertical="center"/>
    </xf>
    <xf numFmtId="1" fontId="27" fillId="17" borderId="6" xfId="13" applyNumberFormat="1" applyFont="1" applyFill="1" applyBorder="1" applyAlignment="1">
      <alignment horizontal="center" vertical="center"/>
    </xf>
    <xf numFmtId="1" fontId="27" fillId="3" borderId="4" xfId="13" applyNumberFormat="1" applyFont="1" applyFill="1" applyBorder="1" applyAlignment="1">
      <alignment horizontal="center" vertical="center"/>
    </xf>
    <xf numFmtId="1" fontId="27" fillId="3" borderId="7" xfId="13" applyNumberFormat="1" applyFont="1" applyFill="1" applyBorder="1" applyAlignment="1">
      <alignment horizontal="center" vertical="center"/>
    </xf>
    <xf numFmtId="1" fontId="27" fillId="3" borderId="6" xfId="13" applyNumberFormat="1" applyFont="1" applyFill="1" applyBorder="1" applyAlignment="1">
      <alignment horizontal="center" vertical="center"/>
    </xf>
    <xf numFmtId="2" fontId="9" fillId="18" borderId="22" xfId="13" applyNumberFormat="1" applyFont="1" applyFill="1" applyBorder="1" applyAlignment="1">
      <alignment horizontal="left" vertical="center"/>
    </xf>
    <xf numFmtId="2" fontId="9" fillId="18" borderId="31" xfId="13" applyNumberFormat="1" applyFont="1" applyFill="1" applyBorder="1" applyAlignment="1">
      <alignment horizontal="left" vertical="center"/>
    </xf>
    <xf numFmtId="2" fontId="9" fillId="18" borderId="23" xfId="13" applyNumberFormat="1" applyFont="1" applyFill="1" applyBorder="1" applyAlignment="1">
      <alignment horizontal="left" vertical="center"/>
    </xf>
    <xf numFmtId="2" fontId="9" fillId="18" borderId="24" xfId="13" applyNumberFormat="1" applyFont="1" applyFill="1" applyBorder="1" applyAlignment="1">
      <alignment horizontal="left" vertical="center"/>
    </xf>
    <xf numFmtId="2" fontId="9" fillId="18" borderId="0" xfId="13" applyNumberFormat="1" applyFont="1" applyFill="1" applyAlignment="1">
      <alignment horizontal="left" vertical="center"/>
    </xf>
    <xf numFmtId="2" fontId="9" fillId="18" borderId="21" xfId="13" applyNumberFormat="1" applyFont="1" applyFill="1" applyBorder="1" applyAlignment="1">
      <alignment horizontal="left" vertical="center"/>
    </xf>
    <xf numFmtId="2" fontId="9" fillId="18" borderId="25" xfId="13" applyNumberFormat="1" applyFont="1" applyFill="1" applyBorder="1" applyAlignment="1">
      <alignment horizontal="left" vertical="center"/>
    </xf>
    <xf numFmtId="2" fontId="9" fillId="18" borderId="28" xfId="13" applyNumberFormat="1" applyFont="1" applyFill="1" applyBorder="1" applyAlignment="1">
      <alignment horizontal="left" vertical="center"/>
    </xf>
    <xf numFmtId="2" fontId="9" fillId="18" borderId="26" xfId="13" applyNumberFormat="1" applyFont="1" applyFill="1" applyBorder="1" applyAlignment="1">
      <alignment horizontal="left" vertical="center"/>
    </xf>
    <xf numFmtId="1" fontId="27" fillId="0" borderId="1" xfId="13" applyNumberFormat="1" applyFont="1" applyBorder="1" applyAlignment="1">
      <alignment horizontal="center" vertical="center"/>
    </xf>
    <xf numFmtId="1" fontId="27" fillId="17" borderId="1" xfId="13" applyNumberFormat="1" applyFont="1" applyFill="1" applyBorder="1" applyAlignment="1">
      <alignment horizontal="center" vertical="center"/>
    </xf>
    <xf numFmtId="2" fontId="4" fillId="0" borderId="4" xfId="13" applyNumberFormat="1" applyFont="1" applyBorder="1" applyAlignment="1">
      <alignment horizontal="center" vertical="center"/>
    </xf>
    <xf numFmtId="2" fontId="4" fillId="0" borderId="7" xfId="13" applyNumberFormat="1" applyFont="1" applyBorder="1" applyAlignment="1">
      <alignment horizontal="center" vertical="center"/>
    </xf>
    <xf numFmtId="2" fontId="4" fillId="0" borderId="6" xfId="13" applyNumberFormat="1" applyFont="1" applyBorder="1" applyAlignment="1">
      <alignment horizontal="center" vertical="center"/>
    </xf>
    <xf numFmtId="2" fontId="4" fillId="0" borderId="1" xfId="13" applyNumberFormat="1" applyFont="1" applyBorder="1" applyAlignment="1">
      <alignment horizontal="center" vertical="center"/>
    </xf>
    <xf numFmtId="0" fontId="12" fillId="0" borderId="1" xfId="19" applyFont="1" applyBorder="1" applyAlignment="1">
      <alignment horizontal="center" vertical="center"/>
    </xf>
    <xf numFmtId="0" fontId="12" fillId="0" borderId="1" xfId="19" quotePrefix="1" applyFont="1" applyBorder="1" applyAlignment="1">
      <alignment horizontal="center" vertical="center"/>
    </xf>
    <xf numFmtId="0" fontId="12" fillId="0" borderId="1" xfId="19" applyFont="1" applyBorder="1" applyAlignment="1">
      <alignment horizontal="center" vertical="center" wrapText="1"/>
    </xf>
    <xf numFmtId="0" fontId="54" fillId="0" borderId="1" xfId="19" applyFont="1" applyBorder="1" applyAlignment="1">
      <alignment horizontal="center" vertical="center"/>
    </xf>
    <xf numFmtId="0" fontId="12" fillId="0" borderId="1" xfId="19" quotePrefix="1" applyFont="1" applyBorder="1" applyAlignment="1">
      <alignment horizontal="center" vertical="center" wrapText="1"/>
    </xf>
    <xf numFmtId="0" fontId="13" fillId="0" borderId="1" xfId="19" quotePrefix="1" applyFont="1" applyBorder="1" applyAlignment="1">
      <alignment horizontal="center" vertical="center"/>
    </xf>
    <xf numFmtId="0" fontId="12" fillId="0" borderId="5" xfId="19" applyFont="1" applyBorder="1" applyAlignment="1">
      <alignment horizontal="center" vertical="center" wrapText="1"/>
    </xf>
    <xf numFmtId="0" fontId="12" fillId="0" borderId="2" xfId="19" applyFont="1" applyBorder="1" applyAlignment="1">
      <alignment horizontal="center" vertical="center" wrapText="1"/>
    </xf>
    <xf numFmtId="0" fontId="12" fillId="0" borderId="22" xfId="19" applyFont="1" applyBorder="1" applyAlignment="1">
      <alignment horizontal="center" vertical="center" wrapText="1"/>
    </xf>
    <xf numFmtId="0" fontId="12" fillId="0" borderId="31" xfId="19" applyFont="1" applyBorder="1" applyAlignment="1">
      <alignment horizontal="center" vertical="center" wrapText="1"/>
    </xf>
    <xf numFmtId="0" fontId="12" fillId="0" borderId="23" xfId="19" applyFont="1" applyBorder="1" applyAlignment="1">
      <alignment horizontal="center" vertical="center" wrapText="1"/>
    </xf>
    <xf numFmtId="0" fontId="12" fillId="0" borderId="24" xfId="19" applyFont="1" applyBorder="1" applyAlignment="1">
      <alignment horizontal="center" vertical="center" wrapText="1"/>
    </xf>
    <xf numFmtId="0" fontId="12" fillId="0" borderId="0" xfId="19" applyFont="1" applyAlignment="1">
      <alignment horizontal="center" vertical="center" wrapText="1"/>
    </xf>
    <xf numFmtId="0" fontId="12" fillId="0" borderId="21" xfId="19" applyFont="1" applyBorder="1" applyAlignment="1">
      <alignment horizontal="center" vertical="center" wrapText="1"/>
    </xf>
    <xf numFmtId="0" fontId="12" fillId="0" borderId="25" xfId="19" applyFont="1" applyBorder="1" applyAlignment="1">
      <alignment horizontal="center" vertical="center" wrapText="1"/>
    </xf>
    <xf numFmtId="0" fontId="12" fillId="0" borderId="28" xfId="19" applyFont="1" applyBorder="1" applyAlignment="1">
      <alignment horizontal="center" vertical="center" wrapText="1"/>
    </xf>
    <xf numFmtId="0" fontId="12" fillId="0" borderId="26" xfId="19" applyFont="1" applyBorder="1" applyAlignment="1">
      <alignment horizontal="center" vertical="center" wrapText="1"/>
    </xf>
    <xf numFmtId="0" fontId="52" fillId="0" borderId="1" xfId="19" applyFont="1" applyBorder="1" applyAlignment="1">
      <alignment horizontal="center" vertical="center" wrapText="1"/>
    </xf>
    <xf numFmtId="0" fontId="52" fillId="0" borderId="1" xfId="19" applyFont="1" applyBorder="1" applyAlignment="1">
      <alignment horizontal="center" vertical="center"/>
    </xf>
    <xf numFmtId="0" fontId="12" fillId="0" borderId="1" xfId="19" applyFont="1" applyBorder="1" applyAlignment="1">
      <alignment horizontal="center" vertical="center" textRotation="90" wrapText="1"/>
    </xf>
    <xf numFmtId="0" fontId="12" fillId="0" borderId="1" xfId="19" applyFont="1" applyBorder="1" applyAlignment="1">
      <alignment horizontal="center" vertical="center" textRotation="90"/>
    </xf>
    <xf numFmtId="0" fontId="51" fillId="0" borderId="1" xfId="19" applyFont="1" applyBorder="1" applyAlignment="1">
      <alignment horizontal="center" vertical="center" wrapText="1"/>
    </xf>
    <xf numFmtId="1" fontId="9" fillId="0" borderId="1" xfId="19" applyNumberFormat="1" applyFont="1" applyBorder="1" applyAlignment="1">
      <alignment horizontal="center" vertical="center"/>
    </xf>
    <xf numFmtId="0" fontId="36" fillId="21" borderId="1" xfId="0" applyFont="1" applyFill="1" applyBorder="1" applyAlignment="1">
      <alignment horizontal="center" vertical="center" wrapText="1"/>
    </xf>
    <xf numFmtId="0" fontId="29" fillId="8" borderId="8" xfId="0" applyFont="1" applyFill="1" applyBorder="1" applyAlignment="1">
      <alignment horizontal="center" vertical="center" wrapText="1"/>
    </xf>
    <xf numFmtId="0" fontId="29" fillId="8" borderId="9" xfId="0" applyFont="1" applyFill="1" applyBorder="1" applyAlignment="1">
      <alignment horizontal="center" vertical="center" wrapText="1"/>
    </xf>
    <xf numFmtId="0" fontId="29" fillId="8" borderId="10" xfId="0" applyFont="1" applyFill="1" applyBorder="1" applyAlignment="1">
      <alignment horizontal="center" vertical="center" wrapText="1"/>
    </xf>
    <xf numFmtId="0" fontId="36" fillId="5" borderId="1" xfId="0" applyFont="1" applyFill="1" applyBorder="1" applyAlignment="1">
      <alignment horizontal="center" vertical="center" wrapText="1"/>
    </xf>
    <xf numFmtId="0" fontId="36" fillId="29" borderId="1" xfId="0" applyFont="1" applyFill="1" applyBorder="1" applyAlignment="1">
      <alignment horizontal="center" vertical="center" wrapText="1"/>
    </xf>
    <xf numFmtId="0" fontId="36" fillId="21" borderId="4" xfId="0" applyFont="1" applyFill="1" applyBorder="1" applyAlignment="1">
      <alignment horizontal="center" vertical="center" wrapText="1"/>
    </xf>
    <xf numFmtId="0" fontId="36" fillId="21" borderId="7" xfId="0" applyFont="1" applyFill="1" applyBorder="1" applyAlignment="1">
      <alignment horizontal="center" vertical="center" wrapText="1"/>
    </xf>
    <xf numFmtId="0" fontId="36" fillId="21" borderId="6"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3" fillId="13" borderId="8" xfId="0" applyFont="1" applyFill="1" applyBorder="1" applyAlignment="1">
      <alignment horizontal="center" vertical="center" wrapText="1"/>
    </xf>
    <xf numFmtId="0" fontId="33" fillId="13" borderId="9" xfId="0" applyFont="1" applyFill="1" applyBorder="1" applyAlignment="1">
      <alignment horizontal="center" vertical="center" wrapText="1"/>
    </xf>
    <xf numFmtId="0" fontId="33" fillId="13" borderId="10" xfId="0" applyFont="1" applyFill="1" applyBorder="1" applyAlignment="1">
      <alignment horizontal="center" vertical="center" wrapText="1"/>
    </xf>
    <xf numFmtId="0" fontId="33" fillId="14" borderId="8" xfId="0" applyFont="1" applyFill="1" applyBorder="1" applyAlignment="1">
      <alignment horizontal="center" vertical="center" wrapText="1"/>
    </xf>
    <xf numFmtId="0" fontId="33" fillId="14" borderId="9" xfId="0" applyFont="1" applyFill="1" applyBorder="1" applyAlignment="1">
      <alignment horizontal="center" vertical="center" wrapText="1"/>
    </xf>
    <xf numFmtId="0" fontId="33" fillId="14" borderId="10" xfId="0" applyFont="1" applyFill="1" applyBorder="1" applyAlignment="1">
      <alignment horizontal="center" vertical="center" wrapText="1"/>
    </xf>
    <xf numFmtId="0" fontId="36" fillId="14" borderId="1" xfId="0" applyFont="1" applyFill="1" applyBorder="1" applyAlignment="1">
      <alignment horizontal="center" vertical="center" wrapText="1"/>
    </xf>
    <xf numFmtId="0" fontId="36" fillId="14" borderId="1" xfId="0" applyFont="1" applyFill="1" applyBorder="1" applyAlignment="1">
      <alignment horizontal="center" wrapText="1"/>
    </xf>
    <xf numFmtId="0" fontId="36" fillId="7" borderId="1" xfId="0" applyFont="1" applyFill="1" applyBorder="1" applyAlignment="1">
      <alignment horizontal="center" vertical="center" wrapText="1"/>
    </xf>
    <xf numFmtId="0" fontId="33" fillId="5" borderId="8" xfId="0" applyFont="1" applyFill="1" applyBorder="1" applyAlignment="1">
      <alignment horizontal="center" vertical="center" wrapText="1"/>
    </xf>
    <xf numFmtId="0" fontId="33" fillId="5" borderId="9" xfId="0" applyFont="1" applyFill="1" applyBorder="1" applyAlignment="1">
      <alignment horizontal="center" vertical="center" wrapText="1"/>
    </xf>
    <xf numFmtId="0" fontId="33" fillId="5" borderId="10" xfId="0" applyFont="1" applyFill="1" applyBorder="1" applyAlignment="1">
      <alignment horizontal="center" vertical="center" wrapText="1"/>
    </xf>
    <xf numFmtId="0" fontId="33" fillId="7" borderId="8" xfId="0" applyFont="1" applyFill="1" applyBorder="1" applyAlignment="1">
      <alignment horizontal="center" vertical="center" wrapText="1"/>
    </xf>
    <xf numFmtId="0" fontId="33" fillId="7" borderId="9" xfId="0" applyFont="1" applyFill="1" applyBorder="1" applyAlignment="1">
      <alignment horizontal="center" vertical="center" wrapText="1"/>
    </xf>
    <xf numFmtId="0" fontId="33" fillId="7" borderId="10" xfId="0" applyFont="1" applyFill="1" applyBorder="1" applyAlignment="1">
      <alignment horizontal="center" vertical="center" wrapText="1"/>
    </xf>
    <xf numFmtId="0" fontId="36" fillId="5" borderId="4" xfId="0" applyFont="1" applyFill="1" applyBorder="1" applyAlignment="1">
      <alignment horizontal="center" vertical="center" wrapText="1"/>
    </xf>
    <xf numFmtId="0" fontId="36" fillId="5" borderId="7" xfId="0" applyFont="1" applyFill="1" applyBorder="1" applyAlignment="1">
      <alignment horizontal="center" vertical="center" wrapText="1"/>
    </xf>
    <xf numFmtId="0" fontId="36" fillId="5" borderId="6" xfId="0" applyFont="1" applyFill="1" applyBorder="1" applyAlignment="1">
      <alignment horizontal="center" vertical="center" wrapText="1"/>
    </xf>
    <xf numFmtId="0" fontId="36" fillId="13" borderId="1" xfId="0" applyFont="1" applyFill="1" applyBorder="1" applyAlignment="1">
      <alignment horizontal="center" wrapText="1"/>
    </xf>
    <xf numFmtId="0" fontId="36" fillId="13" borderId="1" xfId="0" applyFont="1" applyFill="1" applyBorder="1" applyAlignment="1">
      <alignment horizontal="center" vertical="center" wrapText="1"/>
    </xf>
    <xf numFmtId="0" fontId="36" fillId="8" borderId="1" xfId="0" applyFont="1" applyFill="1" applyBorder="1" applyAlignment="1">
      <alignment horizontal="center" vertical="center" wrapText="1"/>
    </xf>
    <xf numFmtId="0" fontId="36" fillId="8" borderId="4" xfId="0" applyFont="1" applyFill="1" applyBorder="1" applyAlignment="1">
      <alignment horizontal="center" vertical="center" wrapText="1"/>
    </xf>
    <xf numFmtId="0" fontId="36" fillId="8" borderId="7" xfId="0" applyFont="1" applyFill="1" applyBorder="1" applyAlignment="1">
      <alignment horizontal="center" vertical="center" wrapText="1"/>
    </xf>
    <xf numFmtId="0" fontId="36" fillId="8" borderId="6" xfId="0" applyFont="1" applyFill="1" applyBorder="1" applyAlignment="1">
      <alignment horizontal="center" vertical="center" wrapText="1"/>
    </xf>
    <xf numFmtId="0" fontId="33" fillId="29" borderId="8" xfId="0" applyFont="1" applyFill="1" applyBorder="1" applyAlignment="1">
      <alignment horizontal="center" vertical="center" wrapText="1"/>
    </xf>
    <xf numFmtId="0" fontId="33" fillId="29" borderId="9" xfId="0" applyFont="1" applyFill="1" applyBorder="1" applyAlignment="1">
      <alignment horizontal="center" vertical="center" wrapText="1"/>
    </xf>
    <xf numFmtId="0" fontId="33" fillId="29" borderId="10" xfId="0" applyFont="1" applyFill="1" applyBorder="1" applyAlignment="1">
      <alignment horizontal="center" vertical="center" wrapText="1"/>
    </xf>
    <xf numFmtId="0" fontId="36" fillId="13" borderId="1" xfId="9" applyFont="1" applyFill="1" applyBorder="1" applyAlignment="1">
      <alignment horizontal="center" vertical="center" wrapText="1" shrinkToFit="1"/>
    </xf>
    <xf numFmtId="0" fontId="6" fillId="6" borderId="4" xfId="0" applyFont="1" applyFill="1" applyBorder="1" applyAlignment="1">
      <alignment horizontal="center"/>
    </xf>
    <xf numFmtId="0" fontId="6" fillId="6" borderId="7" xfId="0" applyFont="1" applyFill="1" applyBorder="1" applyAlignment="1">
      <alignment horizontal="center"/>
    </xf>
    <xf numFmtId="0" fontId="6" fillId="6" borderId="6" xfId="0" applyFont="1" applyFill="1" applyBorder="1" applyAlignment="1">
      <alignment horizontal="center"/>
    </xf>
    <xf numFmtId="0" fontId="6" fillId="6" borderId="1" xfId="0" applyFont="1" applyFill="1" applyBorder="1" applyAlignment="1">
      <alignment horizontal="center"/>
    </xf>
    <xf numFmtId="0" fontId="16" fillId="0" borderId="1" xfId="17" applyFont="1" applyBorder="1" applyAlignment="1">
      <alignment horizontal="center" vertical="center"/>
    </xf>
    <xf numFmtId="49" fontId="3" fillId="2" borderId="1" xfId="17" applyNumberFormat="1" applyFont="1" applyFill="1" applyBorder="1" applyAlignment="1">
      <alignment horizontal="center" vertical="center"/>
    </xf>
    <xf numFmtId="0" fontId="3" fillId="2" borderId="1" xfId="17" applyFont="1" applyFill="1" applyBorder="1" applyAlignment="1">
      <alignment horizontal="center" vertical="center"/>
    </xf>
    <xf numFmtId="49" fontId="3" fillId="11" borderId="29" xfId="17" applyNumberFormat="1" applyFont="1" applyFill="1" applyBorder="1" applyAlignment="1">
      <alignment horizontal="right" vertical="center"/>
    </xf>
    <xf numFmtId="49" fontId="3" fillId="11" borderId="7" xfId="17" applyNumberFormat="1" applyFont="1" applyFill="1" applyBorder="1" applyAlignment="1">
      <alignment horizontal="right" vertical="center"/>
    </xf>
    <xf numFmtId="49" fontId="3" fillId="11" borderId="6" xfId="17" applyNumberFormat="1" applyFont="1" applyFill="1" applyBorder="1" applyAlignment="1">
      <alignment horizontal="right" vertical="center"/>
    </xf>
    <xf numFmtId="49" fontId="3" fillId="4" borderId="48" xfId="17" applyNumberFormat="1" applyFont="1" applyFill="1" applyBorder="1" applyAlignment="1">
      <alignment horizontal="right" vertical="center"/>
    </xf>
    <xf numFmtId="49" fontId="3" fillId="4" borderId="63" xfId="17" applyNumberFormat="1" applyFont="1" applyFill="1" applyBorder="1" applyAlignment="1">
      <alignment horizontal="right" vertical="center"/>
    </xf>
    <xf numFmtId="49" fontId="3" fillId="4" borderId="60" xfId="17" applyNumberFormat="1" applyFont="1" applyFill="1" applyBorder="1" applyAlignment="1">
      <alignment horizontal="right" vertical="center"/>
    </xf>
    <xf numFmtId="0" fontId="2" fillId="0" borderId="14" xfId="10" applyFont="1" applyBorder="1" applyAlignment="1">
      <alignment horizontal="center" vertical="center" wrapText="1"/>
    </xf>
    <xf numFmtId="0" fontId="2" fillId="0" borderId="17" xfId="10" applyFont="1" applyBorder="1" applyAlignment="1">
      <alignment horizontal="center" vertical="center" wrapText="1"/>
    </xf>
    <xf numFmtId="0" fontId="2" fillId="0" borderId="16" xfId="10" applyFont="1" applyBorder="1" applyAlignment="1">
      <alignment horizontal="center" vertical="center" wrapText="1"/>
    </xf>
    <xf numFmtId="0" fontId="2" fillId="0" borderId="18" xfId="10" applyFont="1" applyBorder="1" applyAlignment="1">
      <alignment horizontal="center" vertical="center" wrapText="1"/>
    </xf>
    <xf numFmtId="49" fontId="3" fillId="4" borderId="17" xfId="17" quotePrefix="1" applyNumberFormat="1" applyFont="1" applyFill="1" applyBorder="1" applyAlignment="1">
      <alignment horizontal="center" vertical="center"/>
    </xf>
    <xf numFmtId="49" fontId="3" fillId="4" borderId="1" xfId="17" quotePrefix="1" applyNumberFormat="1" applyFont="1" applyFill="1" applyBorder="1" applyAlignment="1">
      <alignment horizontal="center" vertical="center"/>
    </xf>
    <xf numFmtId="49" fontId="3" fillId="4" borderId="4" xfId="17" quotePrefix="1" applyNumberFormat="1" applyFont="1" applyFill="1" applyBorder="1" applyAlignment="1">
      <alignment horizontal="center" vertical="center"/>
    </xf>
    <xf numFmtId="49" fontId="3" fillId="4" borderId="18" xfId="17" quotePrefix="1" applyNumberFormat="1" applyFont="1" applyFill="1" applyBorder="1" applyAlignment="1">
      <alignment horizontal="center" vertical="center"/>
    </xf>
    <xf numFmtId="0" fontId="16" fillId="0" borderId="29" xfId="17" applyFont="1" applyBorder="1" applyAlignment="1">
      <alignment horizontal="right" vertical="center"/>
    </xf>
    <xf numFmtId="0" fontId="16" fillId="0" borderId="7" xfId="17" applyFont="1" applyBorder="1" applyAlignment="1">
      <alignment horizontal="right" vertical="center"/>
    </xf>
    <xf numFmtId="0" fontId="16" fillId="0" borderId="6" xfId="17" applyFont="1" applyBorder="1" applyAlignment="1">
      <alignment horizontal="right" vertical="center"/>
    </xf>
    <xf numFmtId="0" fontId="39" fillId="0" borderId="22" xfId="10" applyFont="1" applyBorder="1" applyAlignment="1">
      <alignment horizontal="center" vertical="center" wrapText="1"/>
    </xf>
    <xf numFmtId="0" fontId="39" fillId="0" borderId="31" xfId="10" applyFont="1" applyBorder="1" applyAlignment="1">
      <alignment horizontal="center" vertical="center" wrapText="1"/>
    </xf>
    <xf numFmtId="0" fontId="39" fillId="0" borderId="23" xfId="10" applyFont="1" applyBorder="1" applyAlignment="1">
      <alignment horizontal="center" vertical="center" wrapText="1"/>
    </xf>
    <xf numFmtId="0" fontId="39" fillId="0" borderId="25" xfId="10" applyFont="1" applyBorder="1" applyAlignment="1">
      <alignment horizontal="center" vertical="center" wrapText="1"/>
    </xf>
    <xf numFmtId="0" fontId="39" fillId="0" borderId="28" xfId="10" applyFont="1" applyBorder="1" applyAlignment="1">
      <alignment horizontal="center" vertical="center" wrapText="1"/>
    </xf>
    <xf numFmtId="0" fontId="39" fillId="0" borderId="26" xfId="10" applyFont="1" applyBorder="1" applyAlignment="1">
      <alignment horizontal="center" vertical="center" wrapText="1"/>
    </xf>
    <xf numFmtId="0" fontId="35" fillId="0" borderId="64" xfId="0" applyFont="1" applyBorder="1" applyAlignment="1">
      <alignment horizontal="center" vertical="center" wrapText="1"/>
    </xf>
    <xf numFmtId="0" fontId="35" fillId="0" borderId="65" xfId="0" applyFont="1" applyBorder="1" applyAlignment="1">
      <alignment horizontal="center" vertical="center" wrapText="1"/>
    </xf>
    <xf numFmtId="0" fontId="35" fillId="0" borderId="59" xfId="0" applyFont="1" applyBorder="1" applyAlignment="1">
      <alignment horizontal="center" vertical="center" wrapText="1"/>
    </xf>
    <xf numFmtId="49" fontId="2" fillId="0" borderId="29" xfId="17" applyNumberFormat="1" applyFont="1" applyBorder="1" applyAlignment="1">
      <alignment horizontal="center" vertical="center"/>
    </xf>
    <xf numFmtId="49" fontId="2" fillId="0" borderId="7" xfId="17" applyNumberFormat="1" applyFont="1" applyBorder="1" applyAlignment="1">
      <alignment horizontal="center" vertical="center"/>
    </xf>
    <xf numFmtId="49" fontId="2" fillId="0" borderId="6" xfId="17" applyNumberFormat="1" applyFont="1" applyBorder="1" applyAlignment="1">
      <alignment horizontal="center" vertical="center"/>
    </xf>
    <xf numFmtId="0" fontId="6" fillId="4" borderId="11" xfId="0" applyFont="1" applyFill="1" applyBorder="1" applyAlignment="1">
      <alignment horizontal="center"/>
    </xf>
    <xf numFmtId="0" fontId="6" fillId="4" borderId="12" xfId="0" applyFont="1" applyFill="1" applyBorder="1" applyAlignment="1">
      <alignment horizontal="center"/>
    </xf>
    <xf numFmtId="0" fontId="6" fillId="4" borderId="13" xfId="0" applyFont="1" applyFill="1" applyBorder="1" applyAlignment="1">
      <alignment horizontal="center"/>
    </xf>
    <xf numFmtId="0" fontId="6" fillId="4" borderId="1" xfId="0" applyFont="1" applyFill="1" applyBorder="1" applyAlignment="1">
      <alignment horizontal="center"/>
    </xf>
    <xf numFmtId="0" fontId="40" fillId="4" borderId="17" xfId="20" applyFont="1" applyFill="1" applyBorder="1" applyAlignment="1">
      <alignment horizontal="left" vertical="center"/>
    </xf>
    <xf numFmtId="0" fontId="40" fillId="4" borderId="1" xfId="20" applyFont="1" applyFill="1" applyBorder="1" applyAlignment="1">
      <alignment horizontal="left" vertical="center"/>
    </xf>
    <xf numFmtId="0" fontId="40" fillId="4" borderId="18" xfId="20" applyFont="1" applyFill="1" applyBorder="1" applyAlignment="1">
      <alignment horizontal="left" vertical="center"/>
    </xf>
    <xf numFmtId="0" fontId="40" fillId="4" borderId="11" xfId="5" applyFont="1" applyFill="1" applyBorder="1" applyAlignment="1">
      <alignment horizontal="center" vertical="center"/>
    </xf>
    <xf numFmtId="0" fontId="40" fillId="4" borderId="12" xfId="5" applyFont="1" applyFill="1" applyBorder="1" applyAlignment="1">
      <alignment horizontal="center" vertical="center"/>
    </xf>
    <xf numFmtId="0" fontId="40" fillId="4" borderId="14" xfId="20" applyFont="1" applyFill="1" applyBorder="1" applyAlignment="1">
      <alignment horizontal="center" vertical="center" wrapText="1"/>
    </xf>
    <xf numFmtId="0" fontId="40" fillId="4" borderId="15" xfId="20" applyFont="1" applyFill="1" applyBorder="1" applyAlignment="1">
      <alignment horizontal="center" vertical="center" wrapText="1"/>
    </xf>
    <xf numFmtId="0" fontId="40" fillId="4" borderId="16" xfId="20" applyFont="1" applyFill="1" applyBorder="1" applyAlignment="1">
      <alignment horizontal="center" vertical="center" wrapText="1"/>
    </xf>
    <xf numFmtId="0" fontId="40" fillId="4" borderId="17" xfId="21" applyFont="1" applyFill="1" applyBorder="1" applyAlignment="1">
      <alignment horizontal="center" vertical="center" wrapText="1"/>
    </xf>
    <xf numFmtId="0" fontId="40" fillId="4" borderId="1" xfId="21" applyFont="1" applyFill="1" applyBorder="1" applyAlignment="1">
      <alignment horizontal="center" vertical="center" wrapText="1"/>
    </xf>
    <xf numFmtId="0" fontId="40" fillId="4" borderId="18" xfId="21" applyFont="1" applyFill="1" applyBorder="1" applyAlignment="1">
      <alignment horizontal="center" vertical="center" wrapText="1"/>
    </xf>
    <xf numFmtId="0" fontId="40" fillId="4" borderId="17" xfId="20" applyFont="1" applyFill="1" applyBorder="1" applyAlignment="1">
      <alignment horizontal="center" vertical="center"/>
    </xf>
    <xf numFmtId="0" fontId="40" fillId="4" borderId="1" xfId="20" applyFont="1" applyFill="1" applyBorder="1" applyAlignment="1">
      <alignment horizontal="center" vertical="center"/>
    </xf>
    <xf numFmtId="0" fontId="40" fillId="4" borderId="18" xfId="20" applyFont="1" applyFill="1" applyBorder="1" applyAlignment="1">
      <alignment horizontal="center" vertical="center"/>
    </xf>
    <xf numFmtId="49" fontId="40" fillId="4" borderId="17" xfId="20" applyNumberFormat="1" applyFont="1" applyFill="1" applyBorder="1" applyAlignment="1">
      <alignment horizontal="center" vertical="center"/>
    </xf>
    <xf numFmtId="49" fontId="40" fillId="4" borderId="1" xfId="20" applyNumberFormat="1" applyFont="1" applyFill="1" applyBorder="1" applyAlignment="1">
      <alignment horizontal="center" vertical="center"/>
    </xf>
    <xf numFmtId="49" fontId="40" fillId="4" borderId="18" xfId="20" applyNumberFormat="1" applyFont="1" applyFill="1" applyBorder="1" applyAlignment="1">
      <alignment horizontal="center" vertical="center"/>
    </xf>
    <xf numFmtId="8" fontId="47" fillId="0" borderId="1" xfId="24" applyNumberFormat="1" applyFont="1" applyBorder="1" applyAlignment="1">
      <alignment horizontal="center" vertical="center" wrapText="1"/>
    </xf>
    <xf numFmtId="0" fontId="45" fillId="3" borderId="1" xfId="24" applyFont="1" applyFill="1" applyBorder="1" applyAlignment="1">
      <alignment horizontal="left" vertical="center" wrapText="1"/>
    </xf>
    <xf numFmtId="0" fontId="42" fillId="51" borderId="1" xfId="24" applyFont="1" applyFill="1" applyBorder="1" applyAlignment="1">
      <alignment horizontal="center" vertical="center" wrapText="1"/>
    </xf>
    <xf numFmtId="0" fontId="45" fillId="52" borderId="1" xfId="24" applyFont="1" applyFill="1" applyBorder="1" applyAlignment="1">
      <alignment horizontal="left" vertical="center" wrapText="1"/>
    </xf>
    <xf numFmtId="0" fontId="27" fillId="4" borderId="1" xfId="24" applyFont="1" applyFill="1" applyBorder="1" applyAlignment="1">
      <alignment wrapText="1"/>
    </xf>
    <xf numFmtId="8" fontId="47" fillId="22" borderId="1" xfId="24" applyNumberFormat="1" applyFont="1" applyFill="1" applyBorder="1" applyAlignment="1">
      <alignment horizontal="center" vertical="center" wrapText="1"/>
    </xf>
    <xf numFmtId="0" fontId="42" fillId="0" borderId="22" xfId="24" applyFont="1" applyBorder="1" applyAlignment="1">
      <alignment horizontal="center" vertical="center" wrapText="1"/>
    </xf>
    <xf numFmtId="0" fontId="32" fillId="0" borderId="31" xfId="24" applyFont="1" applyBorder="1" applyAlignment="1">
      <alignment wrapText="1"/>
    </xf>
    <xf numFmtId="0" fontId="32" fillId="0" borderId="23" xfId="24" applyFont="1" applyBorder="1" applyAlignment="1">
      <alignment wrapText="1"/>
    </xf>
    <xf numFmtId="0" fontId="42" fillId="0" borderId="25" xfId="24" applyFont="1" applyBorder="1" applyAlignment="1">
      <alignment horizontal="center" vertical="center" wrapText="1"/>
    </xf>
    <xf numFmtId="0" fontId="32" fillId="0" borderId="28" xfId="24" applyFont="1" applyBorder="1" applyAlignment="1">
      <alignment wrapText="1"/>
    </xf>
    <xf numFmtId="0" fontId="32" fillId="0" borderId="26" xfId="24" applyFont="1" applyBorder="1" applyAlignment="1">
      <alignment wrapText="1"/>
    </xf>
    <xf numFmtId="0" fontId="18" fillId="0" borderId="1" xfId="24" applyFont="1" applyBorder="1" applyAlignment="1">
      <alignment horizontal="center" vertical="center" wrapText="1"/>
    </xf>
    <xf numFmtId="0" fontId="43" fillId="0" borderId="1" xfId="24" applyFont="1" applyBorder="1" applyAlignment="1">
      <alignment wrapText="1"/>
    </xf>
    <xf numFmtId="0" fontId="31" fillId="0" borderId="1" xfId="24" applyFont="1" applyBorder="1" applyAlignment="1">
      <alignment wrapText="1"/>
    </xf>
    <xf numFmtId="0" fontId="44" fillId="0" borderId="1" xfId="24" applyFont="1" applyBorder="1" applyAlignment="1">
      <alignment horizontal="center" vertical="center" wrapText="1"/>
    </xf>
    <xf numFmtId="0" fontId="32" fillId="0" borderId="1" xfId="24" applyFont="1" applyBorder="1" applyAlignment="1">
      <alignment wrapText="1"/>
    </xf>
    <xf numFmtId="0" fontId="30" fillId="30" borderId="1" xfId="24" applyFont="1" applyFill="1" applyBorder="1" applyAlignment="1">
      <alignment horizontal="center" vertical="center" wrapText="1"/>
    </xf>
    <xf numFmtId="0" fontId="46" fillId="31" borderId="1" xfId="24" applyFont="1" applyFill="1" applyBorder="1" applyAlignment="1">
      <alignment horizontal="left" vertical="center" wrapText="1"/>
    </xf>
    <xf numFmtId="0" fontId="4" fillId="0" borderId="1" xfId="24" applyFont="1" applyBorder="1" applyAlignment="1">
      <alignment wrapText="1"/>
    </xf>
    <xf numFmtId="8" fontId="47" fillId="18" borderId="1" xfId="24" applyNumberFormat="1" applyFont="1" applyFill="1" applyBorder="1" applyAlignment="1">
      <alignment horizontal="center" vertical="center" wrapText="1"/>
    </xf>
    <xf numFmtId="0" fontId="105" fillId="0" borderId="24" xfId="0" applyFont="1" applyBorder="1" applyAlignment="1">
      <alignment horizontal="left" vertical="center"/>
    </xf>
    <xf numFmtId="0" fontId="9" fillId="0" borderId="0" xfId="20" applyFont="1" applyAlignment="1">
      <alignment vertical="center" wrapText="1"/>
    </xf>
    <xf numFmtId="0" fontId="27" fillId="11" borderId="1" xfId="58" applyFont="1" applyFill="1" applyBorder="1" applyAlignment="1">
      <alignment horizontal="right" vertical="center" wrapText="1"/>
    </xf>
    <xf numFmtId="0" fontId="27" fillId="11" borderId="5" xfId="58" applyFont="1" applyFill="1" applyBorder="1" applyAlignment="1">
      <alignment horizontal="right" vertical="center" wrapText="1"/>
    </xf>
    <xf numFmtId="0" fontId="85" fillId="0" borderId="24" xfId="21" applyFont="1" applyBorder="1" applyAlignment="1">
      <alignment horizontal="left" wrapText="1"/>
    </xf>
    <xf numFmtId="0" fontId="85" fillId="0" borderId="0" xfId="21" applyFont="1" applyAlignment="1">
      <alignment horizontal="left" wrapText="1"/>
    </xf>
    <xf numFmtId="0" fontId="9" fillId="0" borderId="1" xfId="20" applyFont="1" applyBorder="1" applyAlignment="1">
      <alignment vertical="center" wrapText="1"/>
    </xf>
    <xf numFmtId="0" fontId="9" fillId="0" borderId="1" xfId="20" applyFont="1" applyBorder="1" applyAlignment="1">
      <alignment horizontal="left" vertical="center" wrapText="1"/>
    </xf>
    <xf numFmtId="0" fontId="12" fillId="0" borderId="1" xfId="20" applyFont="1" applyBorder="1" applyAlignment="1">
      <alignment horizontal="left" vertical="center" wrapText="1"/>
    </xf>
    <xf numFmtId="0" fontId="104" fillId="0" borderId="24" xfId="0" applyFont="1" applyBorder="1" applyAlignment="1">
      <alignment horizontal="left"/>
    </xf>
    <xf numFmtId="0" fontId="104" fillId="0" borderId="24" xfId="0" applyFont="1" applyBorder="1" applyAlignment="1">
      <alignment horizontal="left" vertical="center"/>
    </xf>
    <xf numFmtId="0" fontId="40" fillId="11" borderId="1" xfId="58" applyFont="1" applyFill="1" applyBorder="1" applyAlignment="1">
      <alignment horizontal="left" vertical="center" wrapText="1"/>
    </xf>
    <xf numFmtId="177" fontId="41" fillId="49" borderId="1" xfId="60" applyNumberFormat="1" applyFont="1" applyFill="1" applyBorder="1" applyAlignment="1">
      <alignment horizontal="center" vertical="center"/>
    </xf>
    <xf numFmtId="177" fontId="41" fillId="49" borderId="1" xfId="60" applyNumberFormat="1" applyFont="1" applyFill="1" applyBorder="1" applyAlignment="1">
      <alignment horizontal="center" vertical="center" wrapText="1"/>
    </xf>
    <xf numFmtId="177" fontId="41" fillId="0" borderId="22" xfId="60" applyNumberFormat="1" applyFont="1" applyBorder="1" applyAlignment="1">
      <alignment horizontal="center" vertical="center" wrapText="1"/>
    </xf>
    <xf numFmtId="177" fontId="41" fillId="0" borderId="23" xfId="60" applyNumberFormat="1" applyFont="1" applyBorder="1" applyAlignment="1">
      <alignment horizontal="center" vertical="center" wrapText="1"/>
    </xf>
    <xf numFmtId="177" fontId="41" fillId="0" borderId="24" xfId="60" applyNumberFormat="1" applyFont="1" applyBorder="1" applyAlignment="1">
      <alignment horizontal="center" vertical="center" wrapText="1"/>
    </xf>
    <xf numFmtId="177" fontId="41" fillId="0" borderId="21" xfId="60" applyNumberFormat="1" applyFont="1" applyBorder="1" applyAlignment="1">
      <alignment horizontal="center" vertical="center" wrapText="1"/>
    </xf>
    <xf numFmtId="177" fontId="41" fillId="0" borderId="25" xfId="60" applyNumberFormat="1" applyFont="1" applyBorder="1" applyAlignment="1">
      <alignment horizontal="center" vertical="center" wrapText="1"/>
    </xf>
    <xf numFmtId="177" fontId="41" fillId="0" borderId="26" xfId="60" applyNumberFormat="1" applyFont="1" applyBorder="1" applyAlignment="1">
      <alignment horizontal="center" vertical="center" wrapText="1"/>
    </xf>
    <xf numFmtId="0" fontId="86" fillId="12" borderId="1" xfId="58" applyFont="1" applyFill="1" applyBorder="1" applyAlignment="1">
      <alignment horizontal="center" vertical="center" wrapText="1"/>
    </xf>
    <xf numFmtId="0" fontId="40" fillId="11" borderId="1" xfId="58" applyFont="1" applyFill="1" applyBorder="1" applyAlignment="1">
      <alignment horizontal="right" vertical="center" wrapText="1"/>
    </xf>
    <xf numFmtId="0" fontId="9" fillId="0" borderId="4" xfId="20" applyFont="1" applyBorder="1" applyAlignment="1">
      <alignment horizontal="left" vertical="center"/>
    </xf>
    <xf numFmtId="0" fontId="9" fillId="0" borderId="7" xfId="20" applyFont="1" applyBorder="1" applyAlignment="1">
      <alignment horizontal="left" vertical="center"/>
    </xf>
    <xf numFmtId="0" fontId="9" fillId="0" borderId="6" xfId="20" applyFont="1" applyBorder="1" applyAlignment="1">
      <alignment horizontal="left" vertical="center"/>
    </xf>
    <xf numFmtId="0" fontId="4" fillId="48" borderId="2" xfId="23" applyNumberFormat="1" applyFill="1" applyBorder="1" applyAlignment="1">
      <alignment horizontal="center" vertical="center" wrapText="1"/>
    </xf>
    <xf numFmtId="0" fontId="4" fillId="48" borderId="1" xfId="23" applyNumberFormat="1" applyFill="1" applyBorder="1" applyAlignment="1">
      <alignment horizontal="center" vertical="center" wrapText="1"/>
    </xf>
    <xf numFmtId="0" fontId="9" fillId="0" borderId="1" xfId="59" applyFont="1" applyBorder="1" applyAlignment="1">
      <alignment horizontal="left" vertical="center" wrapText="1"/>
    </xf>
    <xf numFmtId="0" fontId="95" fillId="18" borderId="22" xfId="58" applyFont="1" applyFill="1" applyBorder="1" applyAlignment="1">
      <alignment horizontal="center" vertical="center" wrapText="1"/>
    </xf>
    <xf numFmtId="0" fontId="95" fillId="18" borderId="31" xfId="58" applyFont="1" applyFill="1" applyBorder="1" applyAlignment="1">
      <alignment horizontal="center" vertical="center" wrapText="1"/>
    </xf>
    <xf numFmtId="0" fontId="95" fillId="18" borderId="23" xfId="58" applyFont="1" applyFill="1" applyBorder="1" applyAlignment="1">
      <alignment horizontal="center" vertical="center" wrapText="1"/>
    </xf>
    <xf numFmtId="0" fontId="27" fillId="18" borderId="24" xfId="59" applyFont="1" applyFill="1" applyBorder="1" applyAlignment="1">
      <alignment horizontal="center" vertical="center" wrapText="1"/>
    </xf>
    <xf numFmtId="0" fontId="27" fillId="18" borderId="0" xfId="59" applyFont="1" applyFill="1" applyAlignment="1">
      <alignment horizontal="center" vertical="center" wrapText="1"/>
    </xf>
    <xf numFmtId="0" fontId="27" fillId="18" borderId="21" xfId="59" applyFont="1" applyFill="1" applyBorder="1" applyAlignment="1">
      <alignment horizontal="center" vertical="center" wrapText="1"/>
    </xf>
    <xf numFmtId="0" fontId="27" fillId="18" borderId="25" xfId="59" applyFont="1" applyFill="1" applyBorder="1" applyAlignment="1">
      <alignment horizontal="center" vertical="center" wrapText="1"/>
    </xf>
    <xf numFmtId="0" fontId="27" fillId="18" borderId="28" xfId="59" applyFont="1" applyFill="1" applyBorder="1" applyAlignment="1">
      <alignment horizontal="center" vertical="center" wrapText="1"/>
    </xf>
    <xf numFmtId="0" fontId="27" fillId="18" borderId="26" xfId="59" applyFont="1" applyFill="1" applyBorder="1" applyAlignment="1">
      <alignment horizontal="center" vertical="center" wrapText="1"/>
    </xf>
    <xf numFmtId="177" fontId="41" fillId="0" borderId="1" xfId="60" applyNumberFormat="1" applyFont="1" applyBorder="1" applyAlignment="1">
      <alignment horizontal="center" vertical="center" wrapText="1"/>
    </xf>
    <xf numFmtId="0" fontId="27" fillId="2" borderId="29" xfId="20" applyFont="1" applyFill="1" applyBorder="1" applyAlignment="1">
      <alignment horizontal="center" vertical="center"/>
    </xf>
    <xf numFmtId="0" fontId="27" fillId="2" borderId="7" xfId="20" applyFont="1" applyFill="1" applyBorder="1" applyAlignment="1">
      <alignment horizontal="center" vertical="center"/>
    </xf>
    <xf numFmtId="0" fontId="27" fillId="2" borderId="50" xfId="20" applyFont="1" applyFill="1" applyBorder="1" applyAlignment="1">
      <alignment horizontal="center" vertical="center"/>
    </xf>
    <xf numFmtId="0" fontId="27" fillId="0" borderId="38" xfId="5" applyFont="1" applyBorder="1" applyAlignment="1">
      <alignment horizontal="center" vertical="center" wrapText="1"/>
    </xf>
    <xf numFmtId="0" fontId="27" fillId="0" borderId="37" xfId="5" applyFont="1" applyBorder="1" applyAlignment="1">
      <alignment horizontal="center" vertical="center" wrapText="1"/>
    </xf>
    <xf numFmtId="0" fontId="27" fillId="0" borderId="36" xfId="5" applyFont="1" applyBorder="1" applyAlignment="1">
      <alignment horizontal="center" vertical="center" wrapText="1"/>
    </xf>
    <xf numFmtId="0" fontId="27" fillId="0" borderId="52" xfId="5" applyFont="1" applyBorder="1" applyAlignment="1">
      <alignment horizontal="center" vertical="center" wrapText="1"/>
    </xf>
    <xf numFmtId="0" fontId="27" fillId="0" borderId="0" xfId="5" applyFont="1" applyAlignment="1">
      <alignment horizontal="center" vertical="center" wrapText="1"/>
    </xf>
    <xf numFmtId="0" fontId="27" fillId="0" borderId="51" xfId="5" applyFont="1" applyBorder="1" applyAlignment="1">
      <alignment horizontal="center" vertical="center" wrapText="1"/>
    </xf>
    <xf numFmtId="0" fontId="89" fillId="0" borderId="52" xfId="20" applyFont="1" applyBorder="1" applyAlignment="1">
      <alignment horizontal="center" vertical="center"/>
    </xf>
    <xf numFmtId="0" fontId="89" fillId="0" borderId="0" xfId="20" applyFont="1" applyAlignment="1">
      <alignment horizontal="center" vertical="center"/>
    </xf>
    <xf numFmtId="0" fontId="89" fillId="0" borderId="51" xfId="20" applyFont="1" applyBorder="1" applyAlignment="1">
      <alignment horizontal="center" vertical="center"/>
    </xf>
    <xf numFmtId="0" fontId="16" fillId="4" borderId="4" xfId="17" applyFont="1" applyFill="1" applyBorder="1" applyAlignment="1">
      <alignment horizontal="center" vertical="center"/>
    </xf>
    <xf numFmtId="0" fontId="16" fillId="4" borderId="7" xfId="17" applyFont="1" applyFill="1" applyBorder="1" applyAlignment="1">
      <alignment horizontal="center" vertical="center"/>
    </xf>
    <xf numFmtId="0" fontId="16" fillId="4" borderId="6" xfId="17" applyFont="1" applyFill="1" applyBorder="1" applyAlignment="1">
      <alignment horizontal="center" vertical="center"/>
    </xf>
    <xf numFmtId="0" fontId="21" fillId="0" borderId="4" xfId="17" applyFont="1" applyBorder="1" applyAlignment="1">
      <alignment horizontal="left" vertical="center"/>
    </xf>
    <xf numFmtId="0" fontId="21" fillId="0" borderId="7" xfId="17" applyFont="1" applyBorder="1" applyAlignment="1">
      <alignment horizontal="left" vertical="center"/>
    </xf>
    <xf numFmtId="0" fontId="21" fillId="0" borderId="6" xfId="17" applyFont="1" applyBorder="1" applyAlignment="1">
      <alignment horizontal="left" vertical="center"/>
    </xf>
    <xf numFmtId="0" fontId="16" fillId="4" borderId="1" xfId="17" applyFont="1" applyFill="1" applyBorder="1" applyAlignment="1">
      <alignment horizontal="center" vertical="center" wrapText="1"/>
    </xf>
    <xf numFmtId="0" fontId="21" fillId="0" borderId="1" xfId="17" applyFont="1" applyBorder="1" applyAlignment="1">
      <alignment horizontal="center" vertical="center" wrapText="1"/>
    </xf>
    <xf numFmtId="0" fontId="3" fillId="4" borderId="4" xfId="17" applyFont="1" applyFill="1" applyBorder="1" applyAlignment="1">
      <alignment horizontal="center" vertical="center" wrapText="1"/>
    </xf>
    <xf numFmtId="0" fontId="3" fillId="4" borderId="6" xfId="17" applyFont="1" applyFill="1" applyBorder="1" applyAlignment="1">
      <alignment horizontal="center" vertical="center" wrapText="1"/>
    </xf>
    <xf numFmtId="0" fontId="16" fillId="4" borderId="5" xfId="17" applyFont="1" applyFill="1" applyBorder="1" applyAlignment="1">
      <alignment horizontal="center" vertical="center"/>
    </xf>
    <xf numFmtId="0" fontId="16" fillId="4" borderId="2" xfId="17" applyFont="1" applyFill="1" applyBorder="1" applyAlignment="1">
      <alignment horizontal="center" vertical="center"/>
    </xf>
    <xf numFmtId="0" fontId="16" fillId="4" borderId="5" xfId="17" applyFont="1" applyFill="1" applyBorder="1" applyAlignment="1">
      <alignment horizontal="center" vertical="center" wrapText="1"/>
    </xf>
    <xf numFmtId="0" fontId="16" fillId="4" borderId="2" xfId="17" applyFont="1" applyFill="1" applyBorder="1" applyAlignment="1">
      <alignment horizontal="center" vertical="center" wrapText="1"/>
    </xf>
    <xf numFmtId="0" fontId="16" fillId="4" borderId="1" xfId="17" applyFont="1" applyFill="1" applyBorder="1" applyAlignment="1">
      <alignment horizontal="center" vertical="center"/>
    </xf>
    <xf numFmtId="0" fontId="16" fillId="48" borderId="1" xfId="17" applyFont="1" applyFill="1" applyBorder="1" applyAlignment="1">
      <alignment horizontal="center" vertical="center" wrapText="1"/>
    </xf>
    <xf numFmtId="0" fontId="102" fillId="50" borderId="1" xfId="0" applyFont="1" applyFill="1" applyBorder="1" applyAlignment="1">
      <alignment horizontal="left" vertical="center"/>
    </xf>
    <xf numFmtId="0" fontId="27" fillId="48" borderId="1" xfId="0" applyFont="1" applyFill="1" applyBorder="1" applyAlignment="1">
      <alignment horizontal="center" vertical="center" wrapText="1"/>
    </xf>
    <xf numFmtId="0" fontId="27" fillId="48" borderId="1" xfId="0" applyFont="1" applyFill="1" applyBorder="1" applyAlignment="1">
      <alignment horizontal="center" vertical="center"/>
    </xf>
    <xf numFmtId="0" fontId="87" fillId="11" borderId="1" xfId="0" applyFont="1" applyFill="1" applyBorder="1" applyAlignment="1">
      <alignment horizontal="center" vertical="center"/>
    </xf>
    <xf numFmtId="0" fontId="27" fillId="48" borderId="5" xfId="0" applyFont="1" applyFill="1" applyBorder="1" applyAlignment="1">
      <alignment horizontal="center" vertical="center" wrapText="1"/>
    </xf>
    <xf numFmtId="0" fontId="27" fillId="48" borderId="2" xfId="0" applyFont="1" applyFill="1" applyBorder="1" applyAlignment="1">
      <alignment horizontal="center" vertical="center" wrapText="1"/>
    </xf>
    <xf numFmtId="0" fontId="27" fillId="11" borderId="4" xfId="0" applyFont="1" applyFill="1" applyBorder="1" applyAlignment="1">
      <alignment horizontal="center" vertical="center" wrapText="1"/>
    </xf>
    <xf numFmtId="0" fontId="27" fillId="11" borderId="6" xfId="0" applyFont="1" applyFill="1" applyBorder="1" applyAlignment="1">
      <alignment horizontal="center" vertical="center" wrapText="1"/>
    </xf>
    <xf numFmtId="175" fontId="102" fillId="14" borderId="1" xfId="0" applyNumberFormat="1" applyFont="1" applyFill="1" applyBorder="1" applyAlignment="1">
      <alignment horizontal="center" vertical="center"/>
    </xf>
    <xf numFmtId="0" fontId="102" fillId="14" borderId="1" xfId="0" applyFont="1" applyFill="1" applyBorder="1" applyAlignment="1">
      <alignment horizontal="center" vertical="center"/>
    </xf>
    <xf numFmtId="0" fontId="102" fillId="40" borderId="1" xfId="0" applyFont="1" applyFill="1" applyBorder="1" applyAlignment="1">
      <alignment horizontal="left" vertical="center"/>
    </xf>
    <xf numFmtId="0" fontId="102" fillId="23" borderId="1" xfId="0" applyFont="1" applyFill="1" applyBorder="1" applyAlignment="1">
      <alignment horizontal="left" vertical="center"/>
    </xf>
    <xf numFmtId="0" fontId="102" fillId="16" borderId="1" xfId="0" applyFont="1" applyFill="1" applyBorder="1" applyAlignment="1">
      <alignment horizontal="left" vertical="center"/>
    </xf>
    <xf numFmtId="0" fontId="102" fillId="45" borderId="1" xfId="0" applyFont="1" applyFill="1" applyBorder="1" applyAlignment="1">
      <alignment horizontal="left" vertical="center"/>
    </xf>
    <xf numFmtId="0" fontId="102" fillId="45" borderId="4" xfId="0" applyFont="1" applyFill="1" applyBorder="1" applyAlignment="1">
      <alignment horizontal="left" vertical="center"/>
    </xf>
    <xf numFmtId="0" fontId="102" fillId="45" borderId="7" xfId="0" applyFont="1" applyFill="1" applyBorder="1" applyAlignment="1">
      <alignment horizontal="left" vertical="center"/>
    </xf>
    <xf numFmtId="0" fontId="102" fillId="45" borderId="6" xfId="0" applyFont="1" applyFill="1" applyBorder="1" applyAlignment="1">
      <alignment horizontal="left" vertical="center"/>
    </xf>
    <xf numFmtId="0" fontId="87" fillId="3" borderId="24" xfId="0" applyFont="1" applyFill="1" applyBorder="1" applyAlignment="1">
      <alignment horizontal="center" vertical="center" wrapText="1"/>
    </xf>
    <xf numFmtId="0" fontId="87" fillId="3" borderId="0" xfId="0" applyFont="1" applyFill="1" applyAlignment="1">
      <alignment horizontal="center" vertical="center" wrapText="1"/>
    </xf>
    <xf numFmtId="0" fontId="87" fillId="3" borderId="25" xfId="0" applyFont="1" applyFill="1" applyBorder="1" applyAlignment="1">
      <alignment horizontal="center" vertical="center" wrapText="1"/>
    </xf>
    <xf numFmtId="0" fontId="87" fillId="3" borderId="28" xfId="0" applyFont="1" applyFill="1" applyBorder="1" applyAlignment="1">
      <alignment horizontal="center" vertical="center" wrapText="1"/>
    </xf>
    <xf numFmtId="0" fontId="77" fillId="0" borderId="1" xfId="0" applyFont="1" applyBorder="1" applyAlignment="1">
      <alignment horizontal="center" vertical="center"/>
    </xf>
    <xf numFmtId="0" fontId="77" fillId="22" borderId="1" xfId="0" applyFont="1" applyFill="1" applyBorder="1" applyAlignment="1">
      <alignment horizontal="center" vertical="center"/>
    </xf>
    <xf numFmtId="0" fontId="77" fillId="0" borderId="1" xfId="0" applyFont="1" applyBorder="1" applyAlignment="1">
      <alignment horizontal="center" vertical="center" wrapText="1"/>
    </xf>
    <xf numFmtId="0" fontId="77" fillId="0" borderId="5" xfId="0" applyFont="1" applyBorder="1" applyAlignment="1">
      <alignment horizontal="center" vertical="center"/>
    </xf>
    <xf numFmtId="0" fontId="77" fillId="0" borderId="3" xfId="0" applyFont="1" applyBorder="1" applyAlignment="1">
      <alignment horizontal="center" vertical="center"/>
    </xf>
    <xf numFmtId="0" fontId="77" fillId="0" borderId="2" xfId="0" applyFont="1" applyBorder="1" applyAlignment="1">
      <alignment horizontal="center" vertical="center"/>
    </xf>
    <xf numFmtId="0" fontId="0" fillId="0" borderId="1" xfId="0" applyBorder="1" applyAlignment="1">
      <alignment horizontal="center" vertical="center"/>
    </xf>
    <xf numFmtId="0" fontId="0" fillId="0" borderId="15" xfId="0" applyBorder="1" applyAlignment="1">
      <alignment horizontal="center" vertical="center"/>
    </xf>
    <xf numFmtId="0" fontId="0" fillId="0" borderId="19" xfId="0" applyBorder="1" applyAlignment="1">
      <alignment horizontal="center" vertical="center"/>
    </xf>
    <xf numFmtId="0" fontId="0" fillId="0" borderId="57" xfId="0" applyBorder="1" applyAlignment="1">
      <alignment horizontal="center" vertical="center"/>
    </xf>
    <xf numFmtId="0" fontId="0" fillId="0" borderId="56" xfId="0" applyBorder="1" applyAlignment="1">
      <alignment horizontal="center" vertical="center"/>
    </xf>
    <xf numFmtId="0" fontId="0" fillId="0" borderId="3" xfId="0" applyBorder="1" applyAlignment="1">
      <alignment horizontal="center" vertical="center"/>
    </xf>
    <xf numFmtId="0" fontId="0" fillId="0" borderId="55" xfId="0" applyBorder="1" applyAlignment="1">
      <alignment horizontal="center" vertical="center"/>
    </xf>
    <xf numFmtId="0" fontId="0" fillId="0" borderId="53" xfId="0" applyBorder="1" applyAlignment="1">
      <alignment horizontal="center" vertical="center"/>
    </xf>
    <xf numFmtId="0" fontId="0" fillId="0" borderId="14" xfId="0" applyBorder="1" applyAlignment="1">
      <alignment horizontal="center" vertical="center"/>
    </xf>
    <xf numFmtId="0" fontId="0" fillId="0" borderId="30" xfId="0" applyBorder="1" applyAlignment="1">
      <alignment horizontal="center" vertical="center"/>
    </xf>
    <xf numFmtId="0" fontId="0" fillId="0" borderId="54" xfId="0" applyBorder="1" applyAlignment="1">
      <alignment horizontal="center" vertical="center"/>
    </xf>
    <xf numFmtId="0" fontId="78" fillId="0" borderId="1" xfId="0" applyFont="1" applyBorder="1" applyAlignment="1">
      <alignment horizontal="center" vertical="center"/>
    </xf>
    <xf numFmtId="0" fontId="0" fillId="0" borderId="17" xfId="0" applyBorder="1" applyAlignment="1">
      <alignment horizontal="center" vertical="center"/>
    </xf>
    <xf numFmtId="0" fontId="17" fillId="0" borderId="1" xfId="0" applyFont="1" applyBorder="1" applyAlignment="1">
      <alignment horizontal="center" vertical="center"/>
    </xf>
    <xf numFmtId="0" fontId="17" fillId="48" borderId="1" xfId="0" applyFont="1" applyFill="1" applyBorder="1" applyAlignment="1">
      <alignment horizontal="center" vertical="center"/>
    </xf>
    <xf numFmtId="4" fontId="27" fillId="0" borderId="38" xfId="28" applyNumberFormat="1" applyFont="1" applyBorder="1" applyAlignment="1">
      <alignment horizontal="center" vertical="center"/>
    </xf>
    <xf numFmtId="4" fontId="27" fillId="0" borderId="37" xfId="28" applyNumberFormat="1" applyFont="1" applyBorder="1" applyAlignment="1">
      <alignment horizontal="center" vertical="center"/>
    </xf>
    <xf numFmtId="4" fontId="27" fillId="0" borderId="36" xfId="28" applyNumberFormat="1" applyFont="1" applyBorder="1" applyAlignment="1">
      <alignment horizontal="center" vertical="center"/>
    </xf>
    <xf numFmtId="4" fontId="27" fillId="0" borderId="35" xfId="28" applyNumberFormat="1" applyFont="1" applyBorder="1" applyAlignment="1">
      <alignment horizontal="center" vertical="center"/>
    </xf>
    <xf numFmtId="4" fontId="27" fillId="0" borderId="33" xfId="28" applyNumberFormat="1" applyFont="1" applyBorder="1" applyAlignment="1">
      <alignment horizontal="center" vertical="center"/>
    </xf>
    <xf numFmtId="4" fontId="27" fillId="0" borderId="34" xfId="28" applyNumberFormat="1" applyFont="1" applyBorder="1" applyAlignment="1">
      <alignment horizontal="center" vertical="center"/>
    </xf>
    <xf numFmtId="0" fontId="61" fillId="0" borderId="28" xfId="5" applyFont="1" applyBorder="1" applyAlignment="1">
      <alignment horizontal="center"/>
    </xf>
    <xf numFmtId="0" fontId="12" fillId="0" borderId="5" xfId="5" applyFont="1" applyBorder="1" applyAlignment="1">
      <alignment horizontal="center" vertical="center" wrapText="1"/>
    </xf>
    <xf numFmtId="0" fontId="4" fillId="0" borderId="3" xfId="5" applyBorder="1" applyAlignment="1">
      <alignment horizontal="center" vertical="center" wrapText="1"/>
    </xf>
    <xf numFmtId="180" fontId="61" fillId="0" borderId="5" xfId="5" applyNumberFormat="1" applyFont="1" applyBorder="1" applyAlignment="1">
      <alignment horizontal="center" vertical="center" wrapText="1"/>
    </xf>
    <xf numFmtId="180" fontId="60" fillId="0" borderId="3" xfId="5" applyNumberFormat="1" applyFont="1" applyBorder="1" applyAlignment="1">
      <alignment horizontal="center" vertical="center" wrapText="1"/>
    </xf>
    <xf numFmtId="0" fontId="61" fillId="0" borderId="5" xfId="5" applyFont="1" applyBorder="1" applyAlignment="1">
      <alignment horizontal="center" vertical="center" wrapText="1"/>
    </xf>
    <xf numFmtId="0" fontId="60" fillId="0" borderId="3" xfId="5" applyFont="1" applyBorder="1" applyAlignment="1">
      <alignment horizontal="center" vertical="center" wrapText="1"/>
    </xf>
    <xf numFmtId="0" fontId="61" fillId="0" borderId="4" xfId="5" applyFont="1" applyBorder="1" applyAlignment="1">
      <alignment horizontal="center"/>
    </xf>
    <xf numFmtId="0" fontId="61" fillId="0" borderId="7" xfId="5" applyFont="1" applyBorder="1" applyAlignment="1">
      <alignment horizontal="center"/>
    </xf>
    <xf numFmtId="0" fontId="61" fillId="0" borderId="6" xfId="5" applyFont="1" applyBorder="1" applyAlignment="1">
      <alignment horizontal="center"/>
    </xf>
    <xf numFmtId="0" fontId="61" fillId="0" borderId="1" xfId="5" applyFont="1" applyBorder="1" applyAlignment="1">
      <alignment horizontal="center" wrapText="1"/>
    </xf>
    <xf numFmtId="2" fontId="61" fillId="0" borderId="22" xfId="5" applyNumberFormat="1" applyFont="1" applyBorder="1" applyAlignment="1">
      <alignment vertical="center" wrapText="1"/>
    </xf>
    <xf numFmtId="2" fontId="60" fillId="0" borderId="24" xfId="5" applyNumberFormat="1" applyFont="1" applyBorder="1" applyAlignment="1">
      <alignment vertical="center" wrapText="1"/>
    </xf>
    <xf numFmtId="0" fontId="61" fillId="0" borderId="22" xfId="5" applyFont="1" applyBorder="1" applyAlignment="1">
      <alignment horizontal="center" vertical="center" wrapText="1"/>
    </xf>
    <xf numFmtId="0" fontId="60" fillId="0" borderId="24" xfId="5" applyFont="1" applyBorder="1" applyAlignment="1">
      <alignment horizontal="center" vertical="center" wrapText="1"/>
    </xf>
    <xf numFmtId="0" fontId="61" fillId="0" borderId="24" xfId="5" applyFont="1" applyBorder="1" applyAlignment="1">
      <alignment horizontal="center"/>
    </xf>
    <xf numFmtId="0" fontId="61" fillId="0" borderId="0" xfId="5" applyFont="1" applyAlignment="1">
      <alignment horizontal="center"/>
    </xf>
    <xf numFmtId="0" fontId="27" fillId="0" borderId="0" xfId="5" applyFont="1" applyAlignment="1">
      <alignment horizontal="center" wrapText="1"/>
    </xf>
    <xf numFmtId="0" fontId="61" fillId="0" borderId="0" xfId="5" applyFont="1" applyAlignment="1">
      <alignment horizontal="center" wrapText="1"/>
    </xf>
    <xf numFmtId="0" fontId="9" fillId="0" borderId="1" xfId="28" applyFont="1" applyBorder="1" applyAlignment="1">
      <alignment horizontal="center" vertical="center"/>
    </xf>
    <xf numFmtId="17" fontId="61" fillId="0" borderId="1" xfId="20" quotePrefix="1" applyNumberFormat="1" applyFont="1" applyBorder="1" applyAlignment="1">
      <alignment horizontal="center" vertical="center" wrapText="1"/>
    </xf>
    <xf numFmtId="17" fontId="61" fillId="0" borderId="1" xfId="20" applyNumberFormat="1" applyFont="1" applyBorder="1" applyAlignment="1">
      <alignment horizontal="center" vertical="center" wrapText="1"/>
    </xf>
    <xf numFmtId="0" fontId="12" fillId="11" borderId="1" xfId="5" applyFont="1" applyFill="1" applyBorder="1" applyAlignment="1">
      <alignment horizontal="center" vertical="center" wrapText="1"/>
    </xf>
    <xf numFmtId="0" fontId="12" fillId="11" borderId="1" xfId="5" applyFont="1" applyFill="1" applyBorder="1" applyAlignment="1">
      <alignment horizontal="center" vertical="center" textRotation="255" wrapText="1"/>
    </xf>
    <xf numFmtId="2" fontId="12" fillId="11" borderId="1" xfId="5" applyNumberFormat="1" applyFont="1" applyFill="1" applyBorder="1" applyAlignment="1">
      <alignment horizontal="center" vertical="center" wrapText="1"/>
    </xf>
    <xf numFmtId="188" fontId="12" fillId="11" borderId="1" xfId="30" applyFont="1" applyFill="1" applyBorder="1" applyAlignment="1" applyProtection="1">
      <alignment horizontal="center" vertical="center" wrapText="1"/>
      <protection locked="0"/>
    </xf>
    <xf numFmtId="0" fontId="27" fillId="11" borderId="1" xfId="5" applyFont="1" applyFill="1" applyBorder="1" applyAlignment="1"/>
    <xf numFmtId="2" fontId="12" fillId="11" borderId="22" xfId="5" applyNumberFormat="1" applyFont="1" applyFill="1" applyBorder="1" applyAlignment="1">
      <alignment horizontal="center" vertical="center" wrapText="1"/>
    </xf>
    <xf numFmtId="2" fontId="12" fillId="11" borderId="31" xfId="5" applyNumberFormat="1" applyFont="1" applyFill="1" applyBorder="1" applyAlignment="1">
      <alignment horizontal="center" vertical="center" wrapText="1"/>
    </xf>
    <xf numFmtId="2" fontId="12" fillId="11" borderId="23" xfId="5" applyNumberFormat="1" applyFont="1" applyFill="1" applyBorder="1" applyAlignment="1">
      <alignment horizontal="center" vertical="center" wrapText="1"/>
    </xf>
    <xf numFmtId="2" fontId="12" fillId="11" borderId="25" xfId="5" applyNumberFormat="1" applyFont="1" applyFill="1" applyBorder="1" applyAlignment="1">
      <alignment horizontal="center" vertical="center" wrapText="1"/>
    </xf>
    <xf numFmtId="2" fontId="12" fillId="11" borderId="28" xfId="5" applyNumberFormat="1" applyFont="1" applyFill="1" applyBorder="1" applyAlignment="1">
      <alignment horizontal="center" vertical="center" wrapText="1"/>
    </xf>
    <xf numFmtId="2" fontId="12" fillId="11" borderId="26" xfId="5" applyNumberFormat="1" applyFont="1" applyFill="1" applyBorder="1" applyAlignment="1">
      <alignment horizontal="center" vertical="center" wrapText="1"/>
    </xf>
    <xf numFmtId="0" fontId="12" fillId="11" borderId="1" xfId="5" quotePrefix="1" applyFont="1" applyFill="1" applyBorder="1" applyAlignment="1">
      <alignment horizontal="center" vertical="center" wrapText="1"/>
    </xf>
    <xf numFmtId="0" fontId="12" fillId="0" borderId="1" xfId="28" applyFont="1" applyBorder="1" applyAlignment="1">
      <alignment horizontal="center" wrapText="1"/>
    </xf>
    <xf numFmtId="0" fontId="18" fillId="0" borderId="1" xfId="28" applyFont="1" applyBorder="1" applyAlignment="1">
      <alignment horizontal="center" vertical="center" wrapText="1"/>
    </xf>
    <xf numFmtId="0" fontId="12" fillId="11" borderId="1" xfId="5" applyFont="1" applyFill="1" applyBorder="1" applyAlignment="1">
      <alignment horizontal="center" vertical="center"/>
    </xf>
    <xf numFmtId="0" fontId="62" fillId="11" borderId="1" xfId="5" applyFont="1" applyFill="1" applyBorder="1" applyAlignment="1">
      <alignment horizontal="center" vertical="center" wrapText="1"/>
    </xf>
    <xf numFmtId="0" fontId="12" fillId="13" borderId="1" xfId="5" applyFont="1" applyFill="1" applyBorder="1" applyAlignment="1">
      <alignment horizontal="center" vertical="center" wrapText="1"/>
    </xf>
    <xf numFmtId="0" fontId="9" fillId="0" borderId="0" xfId="5" applyFont="1" applyAlignment="1">
      <alignment horizontal="justify" vertical="center" wrapText="1"/>
    </xf>
    <xf numFmtId="0" fontId="27" fillId="11" borderId="1" xfId="29" applyFont="1" applyFill="1" applyBorder="1" applyAlignment="1" applyProtection="1">
      <alignment horizontal="center" vertical="center" wrapText="1"/>
      <protection locked="0"/>
    </xf>
    <xf numFmtId="0" fontId="12" fillId="11" borderId="5" xfId="5" applyFont="1" applyFill="1" applyBorder="1" applyAlignment="1">
      <alignment horizontal="center" vertical="center" wrapText="1"/>
    </xf>
    <xf numFmtId="0" fontId="12" fillId="11" borderId="3" xfId="5" applyFont="1" applyFill="1" applyBorder="1" applyAlignment="1">
      <alignment horizontal="center" vertical="center" wrapText="1"/>
    </xf>
    <xf numFmtId="0" fontId="12" fillId="11" borderId="2" xfId="5" applyFont="1" applyFill="1" applyBorder="1" applyAlignment="1">
      <alignment horizontal="center" vertical="center" wrapText="1"/>
    </xf>
    <xf numFmtId="188" fontId="12" fillId="11" borderId="1" xfId="5" applyNumberFormat="1" applyFont="1" applyFill="1" applyBorder="1" applyAlignment="1">
      <alignment horizontal="center" vertical="center" wrapText="1"/>
    </xf>
    <xf numFmtId="185" fontId="62" fillId="11" borderId="1" xfId="5" applyNumberFormat="1" applyFont="1" applyFill="1" applyBorder="1" applyAlignment="1">
      <alignment horizontal="center" vertical="center"/>
    </xf>
    <xf numFmtId="2" fontId="12" fillId="11" borderId="1" xfId="5" quotePrefix="1" applyNumberFormat="1" applyFont="1" applyFill="1" applyBorder="1" applyAlignment="1">
      <alignment horizontal="center" vertical="center" wrapText="1"/>
    </xf>
    <xf numFmtId="0" fontId="27" fillId="11" borderId="1" xfId="29" applyFont="1" applyFill="1" applyBorder="1" applyAlignment="1" applyProtection="1">
      <alignment horizontal="center" wrapText="1"/>
      <protection locked="0"/>
    </xf>
    <xf numFmtId="2" fontId="27" fillId="11" borderId="1" xfId="29" applyNumberFormat="1" applyFont="1" applyFill="1" applyBorder="1" applyAlignment="1" applyProtection="1">
      <alignment horizontal="center"/>
      <protection locked="0"/>
    </xf>
    <xf numFmtId="0" fontId="12" fillId="11" borderId="31" xfId="5" applyFont="1" applyFill="1" applyBorder="1" applyAlignment="1">
      <alignment horizontal="center" vertical="center" wrapText="1"/>
    </xf>
    <xf numFmtId="0" fontId="12" fillId="11" borderId="23" xfId="5" applyFont="1" applyFill="1" applyBorder="1" applyAlignment="1">
      <alignment horizontal="center" vertical="center" wrapText="1"/>
    </xf>
    <xf numFmtId="0" fontId="12" fillId="11" borderId="0" xfId="5" applyFont="1" applyFill="1" applyAlignment="1">
      <alignment horizontal="center" vertical="center" wrapText="1"/>
    </xf>
    <xf numFmtId="0" fontId="12" fillId="11" borderId="21" xfId="5" applyFont="1" applyFill="1" applyBorder="1" applyAlignment="1">
      <alignment horizontal="center" vertical="center" wrapText="1"/>
    </xf>
    <xf numFmtId="1" fontId="62" fillId="11" borderId="1" xfId="5" quotePrefix="1" applyNumberFormat="1" applyFont="1" applyFill="1" applyBorder="1" applyAlignment="1">
      <alignment horizontal="center" vertical="center" wrapText="1"/>
    </xf>
    <xf numFmtId="1" fontId="62" fillId="11" borderId="1" xfId="5" applyNumberFormat="1" applyFont="1" applyFill="1" applyBorder="1" applyAlignment="1">
      <alignment horizontal="center" vertical="center" wrapText="1"/>
    </xf>
    <xf numFmtId="188" fontId="61" fillId="18" borderId="1" xfId="30" quotePrefix="1" applyFont="1" applyFill="1" applyBorder="1" applyAlignment="1" applyProtection="1">
      <alignment horizontal="center" vertical="center"/>
      <protection locked="0"/>
    </xf>
    <xf numFmtId="0" fontId="9" fillId="18" borderId="1" xfId="28" applyFont="1" applyFill="1" applyBorder="1" applyAlignment="1">
      <alignment horizontal="center" vertical="center"/>
    </xf>
    <xf numFmtId="0" fontId="9" fillId="0" borderId="0" xfId="5" quotePrefix="1" applyFont="1" applyAlignment="1">
      <alignment horizontal="left" vertical="center" wrapText="1"/>
    </xf>
    <xf numFmtId="0" fontId="12" fillId="18" borderId="1" xfId="28" applyFont="1" applyFill="1" applyBorder="1" applyAlignment="1">
      <alignment horizontal="center" vertical="center"/>
    </xf>
    <xf numFmtId="0" fontId="9" fillId="0" borderId="0" xfId="5" quotePrefix="1" applyFont="1" applyAlignment="1">
      <alignment vertical="center" wrapText="1"/>
    </xf>
    <xf numFmtId="0" fontId="12" fillId="11" borderId="5" xfId="5" applyFont="1" applyFill="1" applyBorder="1" applyAlignment="1">
      <alignment horizontal="center" vertical="center"/>
    </xf>
    <xf numFmtId="0" fontId="12" fillId="11" borderId="2" xfId="5" applyFont="1" applyFill="1" applyBorder="1" applyAlignment="1">
      <alignment horizontal="center" vertical="center"/>
    </xf>
    <xf numFmtId="0" fontId="12" fillId="13" borderId="1" xfId="5" quotePrefix="1" applyFont="1" applyFill="1" applyBorder="1" applyAlignment="1">
      <alignment horizontal="center" vertical="center" wrapText="1"/>
    </xf>
    <xf numFmtId="0" fontId="54" fillId="17" borderId="4" xfId="31" applyFont="1" applyFill="1" applyBorder="1" applyAlignment="1">
      <alignment horizontal="center" vertical="center"/>
    </xf>
    <xf numFmtId="0" fontId="54" fillId="17" borderId="6" xfId="31" applyFont="1" applyFill="1" applyBorder="1" applyAlignment="1">
      <alignment horizontal="center" vertical="center"/>
    </xf>
    <xf numFmtId="0" fontId="54" fillId="3" borderId="4" xfId="31" applyFont="1" applyFill="1" applyBorder="1" applyAlignment="1">
      <alignment horizontal="center" vertical="center"/>
    </xf>
    <xf numFmtId="0" fontId="54" fillId="3" borderId="6" xfId="31" applyFont="1" applyFill="1" applyBorder="1" applyAlignment="1">
      <alignment horizontal="center" vertical="center"/>
    </xf>
    <xf numFmtId="0" fontId="12" fillId="0" borderId="4" xfId="5" applyFont="1" applyBorder="1" applyAlignment="1">
      <alignment horizontal="center" vertical="center"/>
    </xf>
    <xf numFmtId="0" fontId="12" fillId="0" borderId="6" xfId="5" applyFont="1" applyBorder="1" applyAlignment="1">
      <alignment horizontal="center" vertical="center"/>
    </xf>
    <xf numFmtId="0" fontId="40" fillId="18" borderId="38" xfId="9" applyFont="1" applyFill="1" applyBorder="1" applyAlignment="1">
      <alignment horizontal="center" vertical="center" wrapText="1"/>
    </xf>
    <xf numFmtId="0" fontId="40" fillId="18" borderId="37" xfId="9" applyFont="1" applyFill="1" applyBorder="1" applyAlignment="1">
      <alignment horizontal="center" vertical="center" wrapText="1"/>
    </xf>
    <xf numFmtId="0" fontId="40" fillId="18" borderId="36" xfId="9" applyFont="1" applyFill="1" applyBorder="1" applyAlignment="1">
      <alignment horizontal="center" vertical="center" wrapText="1"/>
    </xf>
    <xf numFmtId="49" fontId="40" fillId="18" borderId="35" xfId="28" applyNumberFormat="1" applyFont="1" applyFill="1" applyBorder="1" applyAlignment="1">
      <alignment horizontal="center" vertical="center" wrapText="1"/>
    </xf>
    <xf numFmtId="49" fontId="40" fillId="18" borderId="33" xfId="28" applyNumberFormat="1" applyFont="1" applyFill="1" applyBorder="1" applyAlignment="1">
      <alignment horizontal="center" vertical="center" wrapText="1"/>
    </xf>
    <xf numFmtId="49" fontId="40" fillId="18" borderId="34" xfId="28" applyNumberFormat="1" applyFont="1" applyFill="1" applyBorder="1" applyAlignment="1">
      <alignment horizontal="center" vertical="center" wrapText="1"/>
    </xf>
    <xf numFmtId="0" fontId="4" fillId="18" borderId="24" xfId="9" applyFill="1" applyBorder="1" applyAlignment="1">
      <alignment horizontal="center" vertical="center" wrapText="1"/>
    </xf>
    <xf numFmtId="0" fontId="4" fillId="18" borderId="0" xfId="9" applyFill="1" applyAlignment="1">
      <alignment horizontal="center" vertical="center" wrapText="1"/>
    </xf>
    <xf numFmtId="0" fontId="4" fillId="18" borderId="21" xfId="9" applyFill="1" applyBorder="1" applyAlignment="1">
      <alignment horizontal="center" vertical="center" wrapText="1"/>
    </xf>
    <xf numFmtId="0" fontId="76" fillId="18" borderId="15" xfId="9" applyFont="1" applyFill="1" applyBorder="1" applyAlignment="1">
      <alignment horizontal="left" vertical="center" wrapText="1" indent="1"/>
    </xf>
    <xf numFmtId="0" fontId="76" fillId="18" borderId="16" xfId="9" applyFont="1" applyFill="1" applyBorder="1" applyAlignment="1">
      <alignment horizontal="left" vertical="center" wrapText="1" indent="1"/>
    </xf>
    <xf numFmtId="0" fontId="27" fillId="18" borderId="19" xfId="28" applyFont="1" applyFill="1" applyBorder="1" applyAlignment="1">
      <alignment horizontal="center" vertical="center"/>
    </xf>
    <xf numFmtId="0" fontId="46" fillId="18" borderId="27" xfId="28" applyFont="1" applyFill="1" applyBorder="1" applyAlignment="1">
      <alignment horizontal="left" vertical="center" indent="1"/>
    </xf>
    <xf numFmtId="0" fontId="46" fillId="18" borderId="47" xfId="28" applyFont="1" applyFill="1" applyBorder="1" applyAlignment="1">
      <alignment horizontal="left" vertical="center" indent="1"/>
    </xf>
    <xf numFmtId="185" fontId="46" fillId="18" borderId="4" xfId="28" applyNumberFormat="1" applyFont="1" applyFill="1" applyBorder="1" applyAlignment="1">
      <alignment horizontal="center" vertical="center" wrapText="1"/>
    </xf>
    <xf numFmtId="185" fontId="46" fillId="18" borderId="6" xfId="28" applyNumberFormat="1" applyFont="1" applyFill="1" applyBorder="1" applyAlignment="1">
      <alignment horizontal="center" vertical="center" wrapText="1"/>
    </xf>
    <xf numFmtId="49" fontId="27" fillId="6" borderId="4" xfId="28" applyNumberFormat="1" applyFont="1" applyFill="1" applyBorder="1" applyAlignment="1">
      <alignment horizontal="left" vertical="center" wrapText="1" indent="2"/>
    </xf>
    <xf numFmtId="49" fontId="27" fillId="6" borderId="7" xfId="28" applyNumberFormat="1" applyFont="1" applyFill="1" applyBorder="1" applyAlignment="1">
      <alignment horizontal="left" vertical="center" wrapText="1" indent="2"/>
    </xf>
    <xf numFmtId="49" fontId="27" fillId="6" borderId="6" xfId="28" applyNumberFormat="1" applyFont="1" applyFill="1" applyBorder="1" applyAlignment="1">
      <alignment horizontal="left" vertical="center" wrapText="1" indent="2"/>
    </xf>
    <xf numFmtId="0" fontId="75" fillId="18" borderId="8" xfId="9" applyFont="1" applyFill="1" applyBorder="1" applyAlignment="1">
      <alignment horizontal="center" vertical="center" wrapText="1"/>
    </xf>
    <xf numFmtId="0" fontId="75" fillId="18" borderId="9" xfId="9" applyFont="1" applyFill="1" applyBorder="1" applyAlignment="1">
      <alignment horizontal="center" vertical="center" wrapText="1"/>
    </xf>
    <xf numFmtId="0" fontId="75" fillId="18" borderId="10" xfId="9" applyFont="1" applyFill="1" applyBorder="1" applyAlignment="1">
      <alignment horizontal="center" vertical="center" wrapText="1"/>
    </xf>
    <xf numFmtId="49" fontId="45" fillId="18" borderId="8" xfId="28" applyNumberFormat="1" applyFont="1" applyFill="1" applyBorder="1" applyAlignment="1">
      <alignment horizontal="center" vertical="center" wrapText="1"/>
    </xf>
    <xf numFmtId="49" fontId="45" fillId="18" borderId="46" xfId="28" applyNumberFormat="1" applyFont="1" applyFill="1" applyBorder="1" applyAlignment="1">
      <alignment horizontal="center" vertical="center" wrapText="1"/>
    </xf>
    <xf numFmtId="49" fontId="27" fillId="44" borderId="2" xfId="28" applyNumberFormat="1" applyFont="1" applyFill="1" applyBorder="1" applyAlignment="1">
      <alignment horizontal="center" vertical="center" wrapText="1"/>
    </xf>
    <xf numFmtId="2" fontId="46" fillId="45" borderId="4" xfId="28" applyNumberFormat="1" applyFont="1" applyFill="1" applyBorder="1" applyAlignment="1">
      <alignment horizontal="center" vertical="center" wrapText="1"/>
    </xf>
    <xf numFmtId="2" fontId="46" fillId="45" borderId="6" xfId="28" applyNumberFormat="1" applyFont="1" applyFill="1" applyBorder="1" applyAlignment="1">
      <alignment horizontal="center" vertical="center" wrapText="1"/>
    </xf>
    <xf numFmtId="2" fontId="46" fillId="18" borderId="4" xfId="28" applyNumberFormat="1" applyFont="1" applyFill="1" applyBorder="1" applyAlignment="1">
      <alignment horizontal="center" vertical="center" wrapText="1"/>
    </xf>
    <xf numFmtId="2" fontId="46" fillId="18" borderId="6" xfId="28" applyNumberFormat="1" applyFont="1" applyFill="1" applyBorder="1" applyAlignment="1">
      <alignment horizontal="center" vertical="center" wrapText="1"/>
    </xf>
    <xf numFmtId="2" fontId="46" fillId="18" borderId="1" xfId="28" applyNumberFormat="1" applyFont="1" applyFill="1" applyBorder="1" applyAlignment="1">
      <alignment horizontal="center" vertical="center" wrapText="1"/>
    </xf>
    <xf numFmtId="0" fontId="27" fillId="18" borderId="4" xfId="28" quotePrefix="1" applyFont="1" applyFill="1" applyBorder="1" applyAlignment="1">
      <alignment horizontal="left" vertical="center" wrapText="1" indent="1"/>
    </xf>
    <xf numFmtId="0" fontId="27" fillId="18" borderId="7" xfId="28" applyFont="1" applyFill="1" applyBorder="1" applyAlignment="1">
      <alignment horizontal="left" vertical="center" wrapText="1" indent="1"/>
    </xf>
    <xf numFmtId="0" fontId="27" fillId="18" borderId="6" xfId="28" applyFont="1" applyFill="1" applyBorder="1" applyAlignment="1">
      <alignment horizontal="left" vertical="center" wrapText="1" indent="1"/>
    </xf>
    <xf numFmtId="0" fontId="46" fillId="18" borderId="4" xfId="28" applyFont="1" applyFill="1" applyBorder="1" applyAlignment="1">
      <alignment horizontal="center" vertical="center" wrapText="1"/>
    </xf>
    <xf numFmtId="0" fontId="46" fillId="18" borderId="6" xfId="28" applyFont="1" applyFill="1" applyBorder="1" applyAlignment="1">
      <alignment horizontal="center" vertical="center" wrapText="1"/>
    </xf>
    <xf numFmtId="185" fontId="27" fillId="18" borderId="1" xfId="28" applyNumberFormat="1" applyFont="1" applyFill="1" applyBorder="1" applyAlignment="1">
      <alignment horizontal="center" vertical="center" wrapText="1"/>
    </xf>
    <xf numFmtId="49" fontId="27" fillId="44" borderId="1" xfId="28" applyNumberFormat="1" applyFont="1" applyFill="1" applyBorder="1" applyAlignment="1">
      <alignment horizontal="center" vertical="center" wrapText="1"/>
    </xf>
    <xf numFmtId="0" fontId="46" fillId="18" borderId="43" xfId="28" applyFont="1" applyFill="1" applyBorder="1" applyAlignment="1">
      <alignment horizontal="left" vertical="center" wrapText="1"/>
    </xf>
    <xf numFmtId="0" fontId="46" fillId="18" borderId="42" xfId="28" applyFont="1" applyFill="1" applyBorder="1" applyAlignment="1">
      <alignment horizontal="left" vertical="center" wrapText="1"/>
    </xf>
    <xf numFmtId="0" fontId="46" fillId="18" borderId="43" xfId="28" applyFont="1" applyFill="1" applyBorder="1" applyAlignment="1">
      <alignment horizontal="left" vertical="center"/>
    </xf>
    <xf numFmtId="0" fontId="46" fillId="18" borderId="42" xfId="28" applyFont="1" applyFill="1" applyBorder="1" applyAlignment="1">
      <alignment horizontal="left" vertical="center"/>
    </xf>
    <xf numFmtId="0" fontId="27" fillId="18" borderId="4" xfId="28" applyFont="1" applyFill="1" applyBorder="1" applyAlignment="1">
      <alignment horizontal="left" vertical="center" wrapText="1" indent="1"/>
    </xf>
    <xf numFmtId="0" fontId="44" fillId="18" borderId="0" xfId="28" applyFont="1" applyFill="1" applyAlignment="1">
      <alignment horizontal="center" vertical="center"/>
    </xf>
    <xf numFmtId="0" fontId="46" fillId="18" borderId="1" xfId="28" applyFont="1" applyFill="1" applyBorder="1" applyAlignment="1">
      <alignment horizontal="center" vertical="center"/>
    </xf>
    <xf numFmtId="0" fontId="46" fillId="18" borderId="45" xfId="28" applyFont="1" applyFill="1" applyBorder="1" applyAlignment="1">
      <alignment horizontal="left" vertical="center"/>
    </xf>
    <xf numFmtId="0" fontId="46" fillId="18" borderId="44" xfId="28" applyFont="1" applyFill="1" applyBorder="1" applyAlignment="1">
      <alignment horizontal="left" vertical="center"/>
    </xf>
    <xf numFmtId="185" fontId="46" fillId="18" borderId="1" xfId="28" applyNumberFormat="1" applyFont="1" applyFill="1" applyBorder="1" applyAlignment="1">
      <alignment horizontal="center" vertical="center" wrapText="1"/>
    </xf>
    <xf numFmtId="49" fontId="27" fillId="6" borderId="1" xfId="28" applyNumberFormat="1" applyFont="1" applyFill="1" applyBorder="1" applyAlignment="1">
      <alignment horizontal="left" vertical="center" wrapText="1" indent="2"/>
    </xf>
    <xf numFmtId="0" fontId="27" fillId="18" borderId="8" xfId="9" applyFont="1" applyFill="1" applyBorder="1" applyAlignment="1">
      <alignment horizontal="center" vertical="center" wrapText="1"/>
    </xf>
    <xf numFmtId="0" fontId="27" fillId="18" borderId="9" xfId="9" applyFont="1" applyFill="1" applyBorder="1" applyAlignment="1">
      <alignment horizontal="center" vertical="center" wrapText="1"/>
    </xf>
    <xf numFmtId="0" fontId="27" fillId="18" borderId="10" xfId="9" applyFont="1" applyFill="1" applyBorder="1" applyAlignment="1">
      <alignment horizontal="center" vertical="center" wrapText="1"/>
    </xf>
    <xf numFmtId="185" fontId="46" fillId="5" borderId="1" xfId="28" applyNumberFormat="1" applyFont="1" applyFill="1" applyBorder="1" applyAlignment="1">
      <alignment horizontal="center" vertical="center" wrapText="1"/>
    </xf>
  </cellXfs>
  <cellStyles count="75">
    <cellStyle name="Hipervínculo" xfId="69" builtinId="8"/>
    <cellStyle name="Hipervínculo 2 2" xfId="64" xr:uid="{00000000-0005-0000-0000-000001000000}"/>
    <cellStyle name="Millares [0] 7" xfId="25" xr:uid="{00000000-0005-0000-0000-000002000000}"/>
    <cellStyle name="Millares 2 10 2" xfId="50" xr:uid="{00000000-0005-0000-0000-000003000000}"/>
    <cellStyle name="Millares 2 2 2 2" xfId="63" xr:uid="{00000000-0005-0000-0000-000004000000}"/>
    <cellStyle name="Millares 31" xfId="43" xr:uid="{00000000-0005-0000-0000-000005000000}"/>
    <cellStyle name="Millares 4" xfId="51" xr:uid="{00000000-0005-0000-0000-000006000000}"/>
    <cellStyle name="Millares 4 7" xfId="16" xr:uid="{00000000-0005-0000-0000-000007000000}"/>
    <cellStyle name="Millares_FORMULARIO 21 AIUI SANTA HELENA FEBRERO 29" xfId="18" xr:uid="{00000000-0005-0000-0000-000008000000}"/>
    <cellStyle name="Moneda" xfId="1" builtinId="4"/>
    <cellStyle name="Moneda [0] 2" xfId="48" xr:uid="{00000000-0005-0000-0000-00000A000000}"/>
    <cellStyle name="Moneda [0] 2 3 3" xfId="66" xr:uid="{00000000-0005-0000-0000-00000B000000}"/>
    <cellStyle name="Moneda 11" xfId="71" xr:uid="{00000000-0005-0000-0000-00000C000000}"/>
    <cellStyle name="Moneda 2" xfId="22" xr:uid="{00000000-0005-0000-0000-00000D000000}"/>
    <cellStyle name="Moneda 2 13" xfId="23" xr:uid="{00000000-0005-0000-0000-00000E000000}"/>
    <cellStyle name="Moneda 2 2" xfId="57" xr:uid="{00000000-0005-0000-0000-00000F000000}"/>
    <cellStyle name="Moneda 2 2 2 3" xfId="61" xr:uid="{00000000-0005-0000-0000-000010000000}"/>
    <cellStyle name="Moneda 29" xfId="46" xr:uid="{00000000-0005-0000-0000-000011000000}"/>
    <cellStyle name="Moneda 3" xfId="42" xr:uid="{00000000-0005-0000-0000-000012000000}"/>
    <cellStyle name="Moneda 3 11" xfId="65" xr:uid="{00000000-0005-0000-0000-000013000000}"/>
    <cellStyle name="Moneda 3 4 2" xfId="67" xr:uid="{00000000-0005-0000-0000-000014000000}"/>
    <cellStyle name="Moneda 4" xfId="52" xr:uid="{00000000-0005-0000-0000-000015000000}"/>
    <cellStyle name="Moneda 5" xfId="55" xr:uid="{00000000-0005-0000-0000-000016000000}"/>
    <cellStyle name="Moneda 7 2" xfId="56" xr:uid="{00000000-0005-0000-0000-000017000000}"/>
    <cellStyle name="Normal" xfId="0" builtinId="0"/>
    <cellStyle name="Normal 10 10 2" xfId="5" xr:uid="{00000000-0005-0000-0000-000019000000}"/>
    <cellStyle name="Normal 10 15 2" xfId="72" xr:uid="{00000000-0005-0000-0000-00001A000000}"/>
    <cellStyle name="Normal 10 16" xfId="36" xr:uid="{00000000-0005-0000-0000-00001B000000}"/>
    <cellStyle name="Normal 10 17" xfId="37" xr:uid="{00000000-0005-0000-0000-00001C000000}"/>
    <cellStyle name="Normal 12 2" xfId="59" xr:uid="{00000000-0005-0000-0000-00001D000000}"/>
    <cellStyle name="Normal 13" xfId="53" xr:uid="{00000000-0005-0000-0000-00001E000000}"/>
    <cellStyle name="Normal 19 2 2 5" xfId="31" xr:uid="{00000000-0005-0000-0000-00001F000000}"/>
    <cellStyle name="Normal 2 12" xfId="28" xr:uid="{00000000-0005-0000-0000-000020000000}"/>
    <cellStyle name="Normal 2 2" xfId="10" xr:uid="{00000000-0005-0000-0000-000021000000}"/>
    <cellStyle name="Normal 2 2 2 2 2 2" xfId="20" xr:uid="{00000000-0005-0000-0000-000022000000}"/>
    <cellStyle name="Normal 2 3" xfId="41" xr:uid="{00000000-0005-0000-0000-000023000000}"/>
    <cellStyle name="Normal 2_FORMATOS_PARA_ENTREGAR 2" xfId="45" xr:uid="{00000000-0005-0000-0000-000024000000}"/>
    <cellStyle name="Normal 22" xfId="19" xr:uid="{00000000-0005-0000-0000-000025000000}"/>
    <cellStyle name="Normal 3" xfId="4" xr:uid="{00000000-0005-0000-0000-000026000000}"/>
    <cellStyle name="Normal 3 10" xfId="6" xr:uid="{00000000-0005-0000-0000-000027000000}"/>
    <cellStyle name="Normal 3 11 2 2" xfId="58" xr:uid="{00000000-0005-0000-0000-000028000000}"/>
    <cellStyle name="Normal 3 2 14 2 2" xfId="47" xr:uid="{00000000-0005-0000-0000-000029000000}"/>
    <cellStyle name="Normal 3_ADM-INGENIEROS 2 2" xfId="68" xr:uid="{00000000-0005-0000-0000-00002A000000}"/>
    <cellStyle name="Normal 4 2" xfId="12" xr:uid="{00000000-0005-0000-0000-00002B000000}"/>
    <cellStyle name="Normal 4 2 11" xfId="34" xr:uid="{00000000-0005-0000-0000-00002C000000}"/>
    <cellStyle name="Normal 4 2 11 2" xfId="38" xr:uid="{00000000-0005-0000-0000-00002D000000}"/>
    <cellStyle name="Normal 4 2 2 10 5" xfId="14" xr:uid="{00000000-0005-0000-0000-00002E000000}"/>
    <cellStyle name="Normal 5 11 3 4 2" xfId="24" xr:uid="{00000000-0005-0000-0000-00002F000000}"/>
    <cellStyle name="Normal 5 8" xfId="7" xr:uid="{00000000-0005-0000-0000-000030000000}"/>
    <cellStyle name="Normal 6" xfId="54" xr:uid="{00000000-0005-0000-0000-000031000000}"/>
    <cellStyle name="Normal 6 2" xfId="11" xr:uid="{00000000-0005-0000-0000-000032000000}"/>
    <cellStyle name="Normal 6 2 2" xfId="39" xr:uid="{00000000-0005-0000-0000-000033000000}"/>
    <cellStyle name="Normal 6 2 3" xfId="60" xr:uid="{00000000-0005-0000-0000-000034000000}"/>
    <cellStyle name="Normal 7 10 8" xfId="35" xr:uid="{00000000-0005-0000-0000-000035000000}"/>
    <cellStyle name="Normal 9 54" xfId="13" xr:uid="{00000000-0005-0000-0000-000036000000}"/>
    <cellStyle name="Normal 92" xfId="73" xr:uid="{2DEDA5C9-E602-4E19-BD1E-46CDF2383223}"/>
    <cellStyle name="Normal_ALCALLUV" xfId="33" xr:uid="{00000000-0005-0000-0000-000037000000}"/>
    <cellStyle name="Normal_CONSOLIDADO PRESUPUESTOS OCC Y URA 2 2" xfId="21" xr:uid="{00000000-0005-0000-0000-000038000000}"/>
    <cellStyle name="Normal_Cuadro de jornales CAÑASGORDA" xfId="3" xr:uid="{00000000-0005-0000-0000-000039000000}"/>
    <cellStyle name="Normal_Design ALAN 001221 2" xfId="30" xr:uid="{00000000-0005-0000-0000-00003A000000}"/>
    <cellStyle name="Normal_DISEÑO A.LL. PARAISO 1 2" xfId="32" xr:uid="{00000000-0005-0000-0000-00003B000000}"/>
    <cellStyle name="Normal_DISEÑO A.LL. PARAISO 1 2 2" xfId="26" xr:uid="{00000000-0005-0000-0000-00003C000000}"/>
    <cellStyle name="Normal_FORMULARIO 21 AIUI SANTA HELENA FEBRERO 29 2" xfId="17" xr:uid="{00000000-0005-0000-0000-00003D000000}"/>
    <cellStyle name="Normal_Hoja1 2" xfId="29" xr:uid="{00000000-0005-0000-0000-00003E000000}"/>
    <cellStyle name="Normal_paraiso" xfId="27" xr:uid="{00000000-0005-0000-0000-00003F000000}"/>
    <cellStyle name="Normal_PRESUPUESTO" xfId="9" xr:uid="{00000000-0005-0000-0000-000040000000}"/>
    <cellStyle name="Normal_PROYEC5" xfId="70" xr:uid="{00000000-0005-0000-0000-000041000000}"/>
    <cellStyle name="Porcentaje" xfId="2" builtinId="5"/>
    <cellStyle name="Porcentaje 2" xfId="8" xr:uid="{00000000-0005-0000-0000-000043000000}"/>
    <cellStyle name="Porcentaje 2 2" xfId="44" xr:uid="{00000000-0005-0000-0000-000044000000}"/>
    <cellStyle name="Porcentaje 2 3" xfId="49" xr:uid="{00000000-0005-0000-0000-000045000000}"/>
    <cellStyle name="Porcentaje 3 2" xfId="74" xr:uid="{3B220F73-CBF5-4986-9217-93EE52215943}"/>
    <cellStyle name="Porcentaje 3 4" xfId="62" xr:uid="{00000000-0005-0000-0000-000046000000}"/>
    <cellStyle name="Porcentaje 4" xfId="40" xr:uid="{00000000-0005-0000-0000-000047000000}"/>
    <cellStyle name="TEXT 2" xfId="15" xr:uid="{00000000-0005-0000-0000-000048000000}"/>
  </cellStyles>
  <dxfs count="141">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fill>
        <patternFill>
          <bgColor rgb="FFFFC7CE"/>
        </patternFill>
      </fill>
    </dxf>
    <dxf>
      <font>
        <u val="double"/>
        <color rgb="FFFF0000"/>
      </font>
    </dxf>
    <dxf>
      <font>
        <u val="double"/>
        <color rgb="FFFF0000"/>
      </font>
    </dxf>
    <dxf>
      <font>
        <u val="double"/>
        <color rgb="FFFF0000"/>
      </font>
    </dxf>
    <dxf>
      <font>
        <condense val="0"/>
        <extend val="0"/>
        <color indexed="10"/>
      </font>
    </dxf>
    <dxf>
      <font>
        <condense val="0"/>
        <extend val="0"/>
        <color indexed="10"/>
      </font>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lor auto="1"/>
      </font>
      <fill>
        <patternFill>
          <bgColor rgb="FFFFFF00"/>
        </patternFill>
      </fill>
    </dxf>
    <dxf>
      <font>
        <condense val="0"/>
        <extend val="0"/>
        <color rgb="FF9C0006"/>
      </font>
      <fill>
        <patternFill>
          <bgColor rgb="FFFFC7CE"/>
        </patternFill>
      </fill>
    </dxf>
    <dxf>
      <font>
        <condense val="0"/>
        <extend val="0"/>
        <color rgb="FF006100"/>
      </font>
      <fill>
        <patternFill>
          <bgColor rgb="FFC6EFCE"/>
        </patternFill>
      </fill>
    </dxf>
    <dxf>
      <font>
        <color rgb="FF9C5700"/>
      </font>
      <fill>
        <patternFill>
          <bgColor rgb="FFFFEB9C"/>
        </patternFill>
      </fill>
    </dxf>
    <dxf>
      <fill>
        <patternFill>
          <bgColor rgb="FFFF0000"/>
        </patternFill>
      </fill>
    </dxf>
    <dxf>
      <fill>
        <patternFill>
          <bgColor rgb="FFFFFF00"/>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ill>
        <patternFill>
          <bgColor theme="8" tint="0.79998168889431442"/>
        </patternFill>
      </fill>
    </dxf>
    <dxf>
      <fill>
        <patternFill>
          <bgColor theme="8" tint="0.79998168889431442"/>
        </patternFill>
      </fill>
    </dxf>
    <dxf>
      <fill>
        <patternFill>
          <bgColor rgb="FF00FF00"/>
        </patternFill>
      </fill>
    </dxf>
    <dxf>
      <fill>
        <patternFill>
          <bgColor rgb="FF00FF00"/>
        </patternFill>
      </fill>
    </dxf>
    <dxf>
      <fill>
        <patternFill>
          <bgColor theme="8" tint="0.79998168889431442"/>
        </patternFill>
      </fill>
    </dxf>
    <dxf>
      <fill>
        <patternFill>
          <bgColor rgb="FF00FF00"/>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5" tint="0.59996337778862885"/>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colors>
    <mruColors>
      <color rgb="FF20D067"/>
      <color rgb="FFFF714F"/>
      <color rgb="FFE472D4"/>
      <color rgb="FFC7A1E3"/>
      <color rgb="FF4EE48B"/>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79.xml"/><Relationship Id="rId21" Type="http://schemas.openxmlformats.org/officeDocument/2006/relationships/worksheet" Target="worksheets/sheet21.xml"/><Relationship Id="rId42" Type="http://schemas.openxmlformats.org/officeDocument/2006/relationships/externalLink" Target="externalLinks/externalLink4.xml"/><Relationship Id="rId63" Type="http://schemas.openxmlformats.org/officeDocument/2006/relationships/externalLink" Target="externalLinks/externalLink25.xml"/><Relationship Id="rId84" Type="http://schemas.openxmlformats.org/officeDocument/2006/relationships/externalLink" Target="externalLinks/externalLink46.xml"/><Relationship Id="rId138" Type="http://schemas.openxmlformats.org/officeDocument/2006/relationships/externalLink" Target="externalLinks/externalLink100.xml"/><Relationship Id="rId159" Type="http://schemas.openxmlformats.org/officeDocument/2006/relationships/customXml" Target="../customXml/item2.xml"/><Relationship Id="rId107" Type="http://schemas.openxmlformats.org/officeDocument/2006/relationships/externalLink" Target="externalLinks/externalLink69.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15.xml"/><Relationship Id="rId74" Type="http://schemas.openxmlformats.org/officeDocument/2006/relationships/externalLink" Target="externalLinks/externalLink36.xml"/><Relationship Id="rId128" Type="http://schemas.openxmlformats.org/officeDocument/2006/relationships/externalLink" Target="externalLinks/externalLink90.xml"/><Relationship Id="rId149" Type="http://schemas.openxmlformats.org/officeDocument/2006/relationships/externalLink" Target="externalLinks/externalLink111.xml"/><Relationship Id="rId5" Type="http://schemas.openxmlformats.org/officeDocument/2006/relationships/worksheet" Target="worksheets/sheet5.xml"/><Relationship Id="rId95" Type="http://schemas.openxmlformats.org/officeDocument/2006/relationships/externalLink" Target="externalLinks/externalLink57.xml"/><Relationship Id="rId160" Type="http://schemas.openxmlformats.org/officeDocument/2006/relationships/customXml" Target="../customXml/item3.xml"/><Relationship Id="rId22" Type="http://schemas.openxmlformats.org/officeDocument/2006/relationships/worksheet" Target="worksheets/sheet22.xml"/><Relationship Id="rId43" Type="http://schemas.openxmlformats.org/officeDocument/2006/relationships/externalLink" Target="externalLinks/externalLink5.xml"/><Relationship Id="rId64" Type="http://schemas.openxmlformats.org/officeDocument/2006/relationships/externalLink" Target="externalLinks/externalLink26.xml"/><Relationship Id="rId118" Type="http://schemas.openxmlformats.org/officeDocument/2006/relationships/externalLink" Target="externalLinks/externalLink80.xml"/><Relationship Id="rId139" Type="http://schemas.openxmlformats.org/officeDocument/2006/relationships/externalLink" Target="externalLinks/externalLink101.xml"/><Relationship Id="rId80" Type="http://schemas.openxmlformats.org/officeDocument/2006/relationships/externalLink" Target="externalLinks/externalLink42.xml"/><Relationship Id="rId85" Type="http://schemas.openxmlformats.org/officeDocument/2006/relationships/externalLink" Target="externalLinks/externalLink47.xml"/><Relationship Id="rId150" Type="http://schemas.openxmlformats.org/officeDocument/2006/relationships/externalLink" Target="externalLinks/externalLink112.xml"/><Relationship Id="rId155" Type="http://schemas.openxmlformats.org/officeDocument/2006/relationships/styles" Target="styles.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externalLink" Target="externalLinks/externalLink21.xml"/><Relationship Id="rId103" Type="http://schemas.openxmlformats.org/officeDocument/2006/relationships/externalLink" Target="externalLinks/externalLink65.xml"/><Relationship Id="rId108" Type="http://schemas.openxmlformats.org/officeDocument/2006/relationships/externalLink" Target="externalLinks/externalLink70.xml"/><Relationship Id="rId124" Type="http://schemas.openxmlformats.org/officeDocument/2006/relationships/externalLink" Target="externalLinks/externalLink86.xml"/><Relationship Id="rId129" Type="http://schemas.openxmlformats.org/officeDocument/2006/relationships/externalLink" Target="externalLinks/externalLink91.xml"/><Relationship Id="rId54" Type="http://schemas.openxmlformats.org/officeDocument/2006/relationships/externalLink" Target="externalLinks/externalLink16.xml"/><Relationship Id="rId70" Type="http://schemas.openxmlformats.org/officeDocument/2006/relationships/externalLink" Target="externalLinks/externalLink32.xml"/><Relationship Id="rId75" Type="http://schemas.openxmlformats.org/officeDocument/2006/relationships/externalLink" Target="externalLinks/externalLink37.xml"/><Relationship Id="rId91" Type="http://schemas.openxmlformats.org/officeDocument/2006/relationships/externalLink" Target="externalLinks/externalLink53.xml"/><Relationship Id="rId96" Type="http://schemas.openxmlformats.org/officeDocument/2006/relationships/externalLink" Target="externalLinks/externalLink58.xml"/><Relationship Id="rId140" Type="http://schemas.openxmlformats.org/officeDocument/2006/relationships/externalLink" Target="externalLinks/externalLink102.xml"/><Relationship Id="rId145" Type="http://schemas.openxmlformats.org/officeDocument/2006/relationships/externalLink" Target="externalLinks/externalLink107.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11.xml"/><Relationship Id="rId114" Type="http://schemas.openxmlformats.org/officeDocument/2006/relationships/externalLink" Target="externalLinks/externalLink76.xml"/><Relationship Id="rId119" Type="http://schemas.openxmlformats.org/officeDocument/2006/relationships/externalLink" Target="externalLinks/externalLink81.xml"/><Relationship Id="rId44" Type="http://schemas.openxmlformats.org/officeDocument/2006/relationships/externalLink" Target="externalLinks/externalLink6.xml"/><Relationship Id="rId60" Type="http://schemas.openxmlformats.org/officeDocument/2006/relationships/externalLink" Target="externalLinks/externalLink22.xml"/><Relationship Id="rId65" Type="http://schemas.openxmlformats.org/officeDocument/2006/relationships/externalLink" Target="externalLinks/externalLink27.xml"/><Relationship Id="rId81" Type="http://schemas.openxmlformats.org/officeDocument/2006/relationships/externalLink" Target="externalLinks/externalLink43.xml"/><Relationship Id="rId86" Type="http://schemas.openxmlformats.org/officeDocument/2006/relationships/externalLink" Target="externalLinks/externalLink48.xml"/><Relationship Id="rId130" Type="http://schemas.openxmlformats.org/officeDocument/2006/relationships/externalLink" Target="externalLinks/externalLink92.xml"/><Relationship Id="rId135" Type="http://schemas.openxmlformats.org/officeDocument/2006/relationships/externalLink" Target="externalLinks/externalLink97.xml"/><Relationship Id="rId151" Type="http://schemas.openxmlformats.org/officeDocument/2006/relationships/externalLink" Target="externalLinks/externalLink113.xml"/><Relationship Id="rId156" Type="http://schemas.openxmlformats.org/officeDocument/2006/relationships/sharedStrings" Target="sharedStrings.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xml"/><Relationship Id="rId109" Type="http://schemas.openxmlformats.org/officeDocument/2006/relationships/externalLink" Target="externalLinks/externalLink71.xml"/><Relationship Id="rId34" Type="http://schemas.openxmlformats.org/officeDocument/2006/relationships/worksheet" Target="worksheets/sheet34.xml"/><Relationship Id="rId50" Type="http://schemas.openxmlformats.org/officeDocument/2006/relationships/externalLink" Target="externalLinks/externalLink12.xml"/><Relationship Id="rId55" Type="http://schemas.openxmlformats.org/officeDocument/2006/relationships/externalLink" Target="externalLinks/externalLink17.xml"/><Relationship Id="rId76" Type="http://schemas.openxmlformats.org/officeDocument/2006/relationships/externalLink" Target="externalLinks/externalLink38.xml"/><Relationship Id="rId97" Type="http://schemas.openxmlformats.org/officeDocument/2006/relationships/externalLink" Target="externalLinks/externalLink59.xml"/><Relationship Id="rId104" Type="http://schemas.openxmlformats.org/officeDocument/2006/relationships/externalLink" Target="externalLinks/externalLink66.xml"/><Relationship Id="rId120" Type="http://schemas.openxmlformats.org/officeDocument/2006/relationships/externalLink" Target="externalLinks/externalLink82.xml"/><Relationship Id="rId125" Type="http://schemas.openxmlformats.org/officeDocument/2006/relationships/externalLink" Target="externalLinks/externalLink87.xml"/><Relationship Id="rId141" Type="http://schemas.openxmlformats.org/officeDocument/2006/relationships/externalLink" Target="externalLinks/externalLink103.xml"/><Relationship Id="rId146" Type="http://schemas.openxmlformats.org/officeDocument/2006/relationships/externalLink" Target="externalLinks/externalLink108.xml"/><Relationship Id="rId7" Type="http://schemas.openxmlformats.org/officeDocument/2006/relationships/worksheet" Target="worksheets/sheet7.xml"/><Relationship Id="rId71" Type="http://schemas.openxmlformats.org/officeDocument/2006/relationships/externalLink" Target="externalLinks/externalLink33.xml"/><Relationship Id="rId92" Type="http://schemas.openxmlformats.org/officeDocument/2006/relationships/externalLink" Target="externalLinks/externalLink54.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2.xml"/><Relationship Id="rId45" Type="http://schemas.openxmlformats.org/officeDocument/2006/relationships/externalLink" Target="externalLinks/externalLink7.xml"/><Relationship Id="rId66" Type="http://schemas.openxmlformats.org/officeDocument/2006/relationships/externalLink" Target="externalLinks/externalLink28.xml"/><Relationship Id="rId87" Type="http://schemas.openxmlformats.org/officeDocument/2006/relationships/externalLink" Target="externalLinks/externalLink49.xml"/><Relationship Id="rId110" Type="http://schemas.openxmlformats.org/officeDocument/2006/relationships/externalLink" Target="externalLinks/externalLink72.xml"/><Relationship Id="rId115" Type="http://schemas.openxmlformats.org/officeDocument/2006/relationships/externalLink" Target="externalLinks/externalLink77.xml"/><Relationship Id="rId131" Type="http://schemas.openxmlformats.org/officeDocument/2006/relationships/externalLink" Target="externalLinks/externalLink93.xml"/><Relationship Id="rId136" Type="http://schemas.openxmlformats.org/officeDocument/2006/relationships/externalLink" Target="externalLinks/externalLink98.xml"/><Relationship Id="rId157" Type="http://schemas.openxmlformats.org/officeDocument/2006/relationships/calcChain" Target="calcChain.xml"/><Relationship Id="rId61" Type="http://schemas.openxmlformats.org/officeDocument/2006/relationships/externalLink" Target="externalLinks/externalLink23.xml"/><Relationship Id="rId82" Type="http://schemas.openxmlformats.org/officeDocument/2006/relationships/externalLink" Target="externalLinks/externalLink44.xml"/><Relationship Id="rId152" Type="http://schemas.openxmlformats.org/officeDocument/2006/relationships/externalLink" Target="externalLinks/externalLink114.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18.xml"/><Relationship Id="rId77" Type="http://schemas.openxmlformats.org/officeDocument/2006/relationships/externalLink" Target="externalLinks/externalLink39.xml"/><Relationship Id="rId100" Type="http://schemas.openxmlformats.org/officeDocument/2006/relationships/externalLink" Target="externalLinks/externalLink62.xml"/><Relationship Id="rId105" Type="http://schemas.openxmlformats.org/officeDocument/2006/relationships/externalLink" Target="externalLinks/externalLink67.xml"/><Relationship Id="rId126" Type="http://schemas.openxmlformats.org/officeDocument/2006/relationships/externalLink" Target="externalLinks/externalLink88.xml"/><Relationship Id="rId147" Type="http://schemas.openxmlformats.org/officeDocument/2006/relationships/externalLink" Target="externalLinks/externalLink109.xml"/><Relationship Id="rId8" Type="http://schemas.openxmlformats.org/officeDocument/2006/relationships/worksheet" Target="worksheets/sheet8.xml"/><Relationship Id="rId51" Type="http://schemas.openxmlformats.org/officeDocument/2006/relationships/externalLink" Target="externalLinks/externalLink13.xml"/><Relationship Id="rId72" Type="http://schemas.openxmlformats.org/officeDocument/2006/relationships/externalLink" Target="externalLinks/externalLink34.xml"/><Relationship Id="rId93" Type="http://schemas.openxmlformats.org/officeDocument/2006/relationships/externalLink" Target="externalLinks/externalLink55.xml"/><Relationship Id="rId98" Type="http://schemas.openxmlformats.org/officeDocument/2006/relationships/externalLink" Target="externalLinks/externalLink60.xml"/><Relationship Id="rId121" Type="http://schemas.openxmlformats.org/officeDocument/2006/relationships/externalLink" Target="externalLinks/externalLink83.xml"/><Relationship Id="rId142" Type="http://schemas.openxmlformats.org/officeDocument/2006/relationships/externalLink" Target="externalLinks/externalLink104.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8.xml"/><Relationship Id="rId67" Type="http://schemas.openxmlformats.org/officeDocument/2006/relationships/externalLink" Target="externalLinks/externalLink29.xml"/><Relationship Id="rId116" Type="http://schemas.openxmlformats.org/officeDocument/2006/relationships/externalLink" Target="externalLinks/externalLink78.xml"/><Relationship Id="rId137" Type="http://schemas.openxmlformats.org/officeDocument/2006/relationships/externalLink" Target="externalLinks/externalLink99.xml"/><Relationship Id="rId158"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externalLink" Target="externalLinks/externalLink3.xml"/><Relationship Id="rId62" Type="http://schemas.openxmlformats.org/officeDocument/2006/relationships/externalLink" Target="externalLinks/externalLink24.xml"/><Relationship Id="rId83" Type="http://schemas.openxmlformats.org/officeDocument/2006/relationships/externalLink" Target="externalLinks/externalLink45.xml"/><Relationship Id="rId88" Type="http://schemas.openxmlformats.org/officeDocument/2006/relationships/externalLink" Target="externalLinks/externalLink50.xml"/><Relationship Id="rId111" Type="http://schemas.openxmlformats.org/officeDocument/2006/relationships/externalLink" Target="externalLinks/externalLink73.xml"/><Relationship Id="rId132" Type="http://schemas.openxmlformats.org/officeDocument/2006/relationships/externalLink" Target="externalLinks/externalLink94.xml"/><Relationship Id="rId153" Type="http://schemas.openxmlformats.org/officeDocument/2006/relationships/pivotCacheDefinition" Target="pivotCache/pivotCacheDefinition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9.xml"/><Relationship Id="rId106" Type="http://schemas.openxmlformats.org/officeDocument/2006/relationships/externalLink" Target="externalLinks/externalLink68.xml"/><Relationship Id="rId127" Type="http://schemas.openxmlformats.org/officeDocument/2006/relationships/externalLink" Target="externalLinks/externalLink89.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4.xml"/><Relationship Id="rId73" Type="http://schemas.openxmlformats.org/officeDocument/2006/relationships/externalLink" Target="externalLinks/externalLink35.xml"/><Relationship Id="rId78" Type="http://schemas.openxmlformats.org/officeDocument/2006/relationships/externalLink" Target="externalLinks/externalLink40.xml"/><Relationship Id="rId94" Type="http://schemas.openxmlformats.org/officeDocument/2006/relationships/externalLink" Target="externalLinks/externalLink56.xml"/><Relationship Id="rId99" Type="http://schemas.openxmlformats.org/officeDocument/2006/relationships/externalLink" Target="externalLinks/externalLink61.xml"/><Relationship Id="rId101" Type="http://schemas.openxmlformats.org/officeDocument/2006/relationships/externalLink" Target="externalLinks/externalLink63.xml"/><Relationship Id="rId122" Type="http://schemas.openxmlformats.org/officeDocument/2006/relationships/externalLink" Target="externalLinks/externalLink84.xml"/><Relationship Id="rId143" Type="http://schemas.openxmlformats.org/officeDocument/2006/relationships/externalLink" Target="externalLinks/externalLink105.xml"/><Relationship Id="rId148" Type="http://schemas.openxmlformats.org/officeDocument/2006/relationships/externalLink" Target="externalLinks/externalLink110.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9.xml"/><Relationship Id="rId68" Type="http://schemas.openxmlformats.org/officeDocument/2006/relationships/externalLink" Target="externalLinks/externalLink30.xml"/><Relationship Id="rId89" Type="http://schemas.openxmlformats.org/officeDocument/2006/relationships/externalLink" Target="externalLinks/externalLink51.xml"/><Relationship Id="rId112" Type="http://schemas.openxmlformats.org/officeDocument/2006/relationships/externalLink" Target="externalLinks/externalLink74.xml"/><Relationship Id="rId133" Type="http://schemas.openxmlformats.org/officeDocument/2006/relationships/externalLink" Target="externalLinks/externalLink95.xml"/><Relationship Id="rId154" Type="http://schemas.openxmlformats.org/officeDocument/2006/relationships/theme" Target="theme/theme1.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20.xml"/><Relationship Id="rId79" Type="http://schemas.openxmlformats.org/officeDocument/2006/relationships/externalLink" Target="externalLinks/externalLink41.xml"/><Relationship Id="rId102" Type="http://schemas.openxmlformats.org/officeDocument/2006/relationships/externalLink" Target="externalLinks/externalLink64.xml"/><Relationship Id="rId123" Type="http://schemas.openxmlformats.org/officeDocument/2006/relationships/externalLink" Target="externalLinks/externalLink85.xml"/><Relationship Id="rId144" Type="http://schemas.openxmlformats.org/officeDocument/2006/relationships/externalLink" Target="externalLinks/externalLink106.xml"/><Relationship Id="rId90" Type="http://schemas.openxmlformats.org/officeDocument/2006/relationships/externalLink" Target="externalLinks/externalLink52.xml"/><Relationship Id="rId27" Type="http://schemas.openxmlformats.org/officeDocument/2006/relationships/worksheet" Target="worksheets/sheet27.xml"/><Relationship Id="rId48" Type="http://schemas.openxmlformats.org/officeDocument/2006/relationships/externalLink" Target="externalLinks/externalLink10.xml"/><Relationship Id="rId69" Type="http://schemas.openxmlformats.org/officeDocument/2006/relationships/externalLink" Target="externalLinks/externalLink31.xml"/><Relationship Id="rId113" Type="http://schemas.openxmlformats.org/officeDocument/2006/relationships/externalLink" Target="externalLinks/externalLink75.xml"/><Relationship Id="rId134" Type="http://schemas.openxmlformats.org/officeDocument/2006/relationships/externalLink" Target="externalLinks/externalLink9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image" Target="../media/image8.png"/></Relationships>
</file>

<file path=xl/drawings/_rels/drawing1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image" Target="../media/image8.png"/></Relationships>
</file>

<file path=xl/drawings/_rels/drawing13.xml.rels><?xml version="1.0" encoding="UTF-8" standalone="yes"?>
<Relationships xmlns="http://schemas.openxmlformats.org/package/2006/relationships"><Relationship Id="rId1" Type="http://schemas.openxmlformats.org/officeDocument/2006/relationships/image" Target="../media/image6.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2</xdr:col>
      <xdr:colOff>388938</xdr:colOff>
      <xdr:row>142</xdr:row>
      <xdr:rowOff>22496</xdr:rowOff>
    </xdr:from>
    <xdr:to>
      <xdr:col>2</xdr:col>
      <xdr:colOff>1444625</xdr:colOff>
      <xdr:row>142</xdr:row>
      <xdr:rowOff>620407</xdr:rowOff>
    </xdr:to>
    <xdr:pic>
      <xdr:nvPicPr>
        <xdr:cNvPr id="2" name="Imagen 1">
          <a:extLst>
            <a:ext uri="{FF2B5EF4-FFF2-40B4-BE49-F238E27FC236}">
              <a16:creationId xmlns:a16="http://schemas.microsoft.com/office/drawing/2014/main" id="{5FE71D21-D9AB-2C0C-0CB2-72927368769A}"/>
            </a:ext>
          </a:extLst>
        </xdr:cNvPr>
        <xdr:cNvPicPr>
          <a:picLocks noChangeAspect="1"/>
        </xdr:cNvPicPr>
      </xdr:nvPicPr>
      <xdr:blipFill>
        <a:blip xmlns:r="http://schemas.openxmlformats.org/officeDocument/2006/relationships" r:embed="rId1"/>
        <a:stretch>
          <a:fillRect/>
        </a:stretch>
      </xdr:blipFill>
      <xdr:spPr>
        <a:xfrm>
          <a:off x="992188" y="29692871"/>
          <a:ext cx="1055687" cy="5979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xdr:colOff>
      <xdr:row>3</xdr:row>
      <xdr:rowOff>19050</xdr:rowOff>
    </xdr:from>
    <xdr:to>
      <xdr:col>4</xdr:col>
      <xdr:colOff>1104900</xdr:colOff>
      <xdr:row>4</xdr:row>
      <xdr:rowOff>0</xdr:rowOff>
    </xdr:to>
    <xdr:sp macro="" textlink="">
      <xdr:nvSpPr>
        <xdr:cNvPr id="2" name="Line 1">
          <a:extLst>
            <a:ext uri="{FF2B5EF4-FFF2-40B4-BE49-F238E27FC236}">
              <a16:creationId xmlns:a16="http://schemas.microsoft.com/office/drawing/2014/main" id="{9EBE083C-EDCA-437D-9C21-16132D144FD4}"/>
            </a:ext>
          </a:extLst>
        </xdr:cNvPr>
        <xdr:cNvSpPr>
          <a:spLocks noChangeShapeType="1"/>
        </xdr:cNvSpPr>
      </xdr:nvSpPr>
      <xdr:spPr bwMode="auto">
        <a:xfrm>
          <a:off x="1362075" y="419100"/>
          <a:ext cx="2009775" cy="36195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17</xdr:col>
      <xdr:colOff>140599</xdr:colOff>
      <xdr:row>1</xdr:row>
      <xdr:rowOff>219075</xdr:rowOff>
    </xdr:from>
    <xdr:to>
      <xdr:col>28</xdr:col>
      <xdr:colOff>722387</xdr:colOff>
      <xdr:row>37</xdr:row>
      <xdr:rowOff>19050</xdr:rowOff>
    </xdr:to>
    <xdr:pic>
      <xdr:nvPicPr>
        <xdr:cNvPr id="2" name="Imagen 1">
          <a:extLst>
            <a:ext uri="{FF2B5EF4-FFF2-40B4-BE49-F238E27FC236}">
              <a16:creationId xmlns:a16="http://schemas.microsoft.com/office/drawing/2014/main" id="{4938D15D-9F21-40E6-9BB7-8BD355EF1209}"/>
            </a:ext>
          </a:extLst>
        </xdr:cNvPr>
        <xdr:cNvPicPr>
          <a:picLocks noChangeAspect="1"/>
        </xdr:cNvPicPr>
      </xdr:nvPicPr>
      <xdr:blipFill>
        <a:blip xmlns:r="http://schemas.openxmlformats.org/officeDocument/2006/relationships" r:embed="rId1"/>
        <a:stretch>
          <a:fillRect/>
        </a:stretch>
      </xdr:blipFill>
      <xdr:spPr>
        <a:xfrm>
          <a:off x="14332849" y="409575"/>
          <a:ext cx="8963788" cy="70485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54</xdr:col>
      <xdr:colOff>7327</xdr:colOff>
      <xdr:row>523</xdr:row>
      <xdr:rowOff>14654</xdr:rowOff>
    </xdr:from>
    <xdr:to>
      <xdr:col>60</xdr:col>
      <xdr:colOff>14654</xdr:colOff>
      <xdr:row>552</xdr:row>
      <xdr:rowOff>83321</xdr:rowOff>
    </xdr:to>
    <xdr:pic>
      <xdr:nvPicPr>
        <xdr:cNvPr id="5" name="Imagen 4">
          <a:extLst>
            <a:ext uri="{FF2B5EF4-FFF2-40B4-BE49-F238E27FC236}">
              <a16:creationId xmlns:a16="http://schemas.microsoft.com/office/drawing/2014/main" id="{4F9A064F-A224-6ADA-C93E-3BE8B98D5A0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5227846" y="7092462"/>
          <a:ext cx="3253154" cy="4728590"/>
        </a:xfrm>
        <a:prstGeom prst="rect">
          <a:avLst/>
        </a:prstGeom>
        <a:ln w="28575">
          <a:solidFill>
            <a:srgbClr val="FF0000"/>
          </a:solidFill>
        </a:ln>
      </xdr:spPr>
    </xdr:pic>
    <xdr:clientData/>
  </xdr:twoCellAnchor>
  <xdr:twoCellAnchor editAs="oneCell">
    <xdr:from>
      <xdr:col>60</xdr:col>
      <xdr:colOff>117231</xdr:colOff>
      <xdr:row>523</xdr:row>
      <xdr:rowOff>9896</xdr:rowOff>
    </xdr:from>
    <xdr:to>
      <xdr:col>66</xdr:col>
      <xdr:colOff>410308</xdr:colOff>
      <xdr:row>531</xdr:row>
      <xdr:rowOff>103825</xdr:rowOff>
    </xdr:to>
    <xdr:pic>
      <xdr:nvPicPr>
        <xdr:cNvPr id="7" name="Imagen 6">
          <a:extLst>
            <a:ext uri="{FF2B5EF4-FFF2-40B4-BE49-F238E27FC236}">
              <a16:creationId xmlns:a16="http://schemas.microsoft.com/office/drawing/2014/main" id="{BCE3AE2D-B6F3-C6DB-CA1A-7252AE624D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8583577" y="7087704"/>
          <a:ext cx="3253154" cy="1368813"/>
        </a:xfrm>
        <a:prstGeom prst="rect">
          <a:avLst/>
        </a:prstGeom>
        <a:ln w="28575">
          <a:solidFill>
            <a:srgbClr val="FF0000"/>
          </a:solid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95250</xdr:colOff>
      <xdr:row>1</xdr:row>
      <xdr:rowOff>58615</xdr:rowOff>
    </xdr:from>
    <xdr:to>
      <xdr:col>12</xdr:col>
      <xdr:colOff>293077</xdr:colOff>
      <xdr:row>26</xdr:row>
      <xdr:rowOff>41514</xdr:rowOff>
    </xdr:to>
    <xdr:pic>
      <xdr:nvPicPr>
        <xdr:cNvPr id="3" name="Imagen 2">
          <a:extLst>
            <a:ext uri="{FF2B5EF4-FFF2-40B4-BE49-F238E27FC236}">
              <a16:creationId xmlns:a16="http://schemas.microsoft.com/office/drawing/2014/main" id="{5D67C5A9-6F2A-471B-946C-7D86946DCDA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94885" y="249115"/>
          <a:ext cx="3245827" cy="4752726"/>
        </a:xfrm>
        <a:prstGeom prst="rect">
          <a:avLst/>
        </a:prstGeom>
        <a:ln w="28575">
          <a:solidFill>
            <a:srgbClr val="FF0000"/>
          </a:solidFill>
        </a:ln>
      </xdr:spPr>
    </xdr:pic>
    <xdr:clientData/>
  </xdr:twoCellAnchor>
  <xdr:twoCellAnchor editAs="oneCell">
    <xdr:from>
      <xdr:col>12</xdr:col>
      <xdr:colOff>381000</xdr:colOff>
      <xdr:row>1</xdr:row>
      <xdr:rowOff>51288</xdr:rowOff>
    </xdr:from>
    <xdr:to>
      <xdr:col>16</xdr:col>
      <xdr:colOff>573224</xdr:colOff>
      <xdr:row>8</xdr:row>
      <xdr:rowOff>83584</xdr:rowOff>
    </xdr:to>
    <xdr:pic>
      <xdr:nvPicPr>
        <xdr:cNvPr id="4" name="Imagen 3">
          <a:extLst>
            <a:ext uri="{FF2B5EF4-FFF2-40B4-BE49-F238E27FC236}">
              <a16:creationId xmlns:a16="http://schemas.microsoft.com/office/drawing/2014/main" id="{6F9ADDAC-5F77-455E-893E-0ABCAA857A7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228635" y="241788"/>
          <a:ext cx="3240224" cy="1365796"/>
        </a:xfrm>
        <a:prstGeom prst="rect">
          <a:avLst/>
        </a:prstGeom>
        <a:ln w="28575">
          <a:solidFill>
            <a:srgbClr val="FF0000"/>
          </a:solidFill>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13</xdr:col>
      <xdr:colOff>142875</xdr:colOff>
      <xdr:row>9</xdr:row>
      <xdr:rowOff>0</xdr:rowOff>
    </xdr:from>
    <xdr:to>
      <xdr:col>26</xdr:col>
      <xdr:colOff>342900</xdr:colOff>
      <xdr:row>9</xdr:row>
      <xdr:rowOff>0</xdr:rowOff>
    </xdr:to>
    <xdr:sp macro="" textlink="">
      <xdr:nvSpPr>
        <xdr:cNvPr id="2" name="Rectángulo redondeado 1">
          <a:extLst>
            <a:ext uri="{FF2B5EF4-FFF2-40B4-BE49-F238E27FC236}">
              <a16:creationId xmlns:a16="http://schemas.microsoft.com/office/drawing/2014/main" id="{15195B0E-7022-4216-8D56-9631A4D03F82}"/>
            </a:ext>
          </a:extLst>
        </xdr:cNvPr>
        <xdr:cNvSpPr>
          <a:spLocks noChangeArrowheads="1"/>
        </xdr:cNvSpPr>
      </xdr:nvSpPr>
      <xdr:spPr bwMode="auto">
        <a:xfrm>
          <a:off x="9877425" y="2228850"/>
          <a:ext cx="13115925" cy="0"/>
        </a:xfrm>
        <a:prstGeom prst="roundRect">
          <a:avLst>
            <a:gd name="adj" fmla="val 16667"/>
          </a:avLst>
        </a:prstGeom>
        <a:noFill/>
        <a:ln w="9525">
          <a:noFill/>
          <a:round/>
          <a:headEnd/>
          <a:tailEnd/>
        </a:ln>
        <a:effectLst>
          <a:outerShdw dist="35921" dir="2700000" algn="ctr" rotWithShape="0">
            <a:srgbClr val="000000"/>
          </a:outerShdw>
        </a:effectLst>
      </xdr:spPr>
      <xdr:txBody>
        <a:bodyPr wrap="square" lIns="27432" tIns="27432" rIns="27432" bIns="27432"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defRPr sz="1000"/>
          </a:pPr>
          <a:endParaRPr lang="es-CO" sz="1200" b="1" i="0" strike="noStrike">
            <a:solidFill>
              <a:srgbClr val="000000"/>
            </a:solidFill>
            <a:latin typeface="Times New Roman"/>
            <a:cs typeface="Times New Roman"/>
          </a:endParaRPr>
        </a:p>
        <a:p>
          <a:pPr algn="ctr" rtl="0">
            <a:defRPr sz="1000"/>
          </a:pPr>
          <a:endParaRPr lang="es-CO" sz="1200" b="1" i="0" strike="noStrike">
            <a:solidFill>
              <a:srgbClr val="000000"/>
            </a:solidFill>
            <a:latin typeface="Times New Roman"/>
            <a:cs typeface="Times New Roman"/>
          </a:endParaRPr>
        </a:p>
      </xdr:txBody>
    </xdr:sp>
    <xdr:clientData/>
  </xdr:twoCellAnchor>
  <xdr:twoCellAnchor>
    <xdr:from>
      <xdr:col>11</xdr:col>
      <xdr:colOff>150495</xdr:colOff>
      <xdr:row>11</xdr:row>
      <xdr:rowOff>0</xdr:rowOff>
    </xdr:from>
    <xdr:to>
      <xdr:col>25</xdr:col>
      <xdr:colOff>190501</xdr:colOff>
      <xdr:row>11</xdr:row>
      <xdr:rowOff>0</xdr:rowOff>
    </xdr:to>
    <xdr:sp macro="" textlink="">
      <xdr:nvSpPr>
        <xdr:cNvPr id="3" name="Rectángulo redondeado 2">
          <a:extLst>
            <a:ext uri="{FF2B5EF4-FFF2-40B4-BE49-F238E27FC236}">
              <a16:creationId xmlns:a16="http://schemas.microsoft.com/office/drawing/2014/main" id="{FD4BDFE3-59B7-48E4-9E68-E93F5C4B9BD2}"/>
            </a:ext>
            <a:ext uri="{147F2762-F138-4A5C-976F-8EAC2B608ADB}">
              <a16:predDERef xmlns:a16="http://schemas.microsoft.com/office/drawing/2014/main" pred="{15195B0E-7022-4216-8D56-9631A4D03F82}"/>
            </a:ext>
          </a:extLst>
        </xdr:cNvPr>
        <xdr:cNvSpPr>
          <a:spLocks noChangeArrowheads="1"/>
        </xdr:cNvSpPr>
      </xdr:nvSpPr>
      <xdr:spPr bwMode="auto">
        <a:xfrm>
          <a:off x="10647045" y="2654300"/>
          <a:ext cx="12879706" cy="0"/>
        </a:xfrm>
        <a:prstGeom prst="roundRect">
          <a:avLst>
            <a:gd name="adj" fmla="val 16667"/>
          </a:avLst>
        </a:prstGeom>
        <a:noFill/>
        <a:ln w="9525">
          <a:noFill/>
          <a:round/>
          <a:headEnd/>
          <a:tailEnd/>
        </a:ln>
        <a:effectLst>
          <a:outerShdw dist="35921" dir="2700000" algn="ctr" rotWithShape="0">
            <a:srgbClr val="000000"/>
          </a:outerShdw>
        </a:effectLst>
      </xdr:spPr>
      <xdr:txBody>
        <a:bodyPr wrap="square" lIns="27432" tIns="27432" rIns="27432" bIns="27432"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defRPr sz="1000"/>
          </a:pPr>
          <a:endParaRPr lang="es-ES" sz="1200" b="1" i="0" strike="noStrike">
            <a:solidFill>
              <a:srgbClr val="000000"/>
            </a:solidFill>
            <a:latin typeface="Times New Roman"/>
            <a:cs typeface="Times New Roman"/>
          </a:endParaRPr>
        </a:p>
        <a:p>
          <a:pPr algn="ctr" rtl="0">
            <a:defRPr sz="1000"/>
          </a:pPr>
          <a:endParaRPr lang="es-ES" sz="1200" b="1" i="0" strike="noStrike">
            <a:solidFill>
              <a:srgbClr val="000000"/>
            </a:solidFill>
            <a:latin typeface="Times New Roman"/>
            <a:cs typeface="Times New Roman"/>
          </a:endParaRPr>
        </a:p>
      </xdr:txBody>
    </xdr:sp>
    <xdr:clientData/>
  </xdr:twoCellAnchor>
  <xdr:twoCellAnchor editAs="oneCell">
    <xdr:from>
      <xdr:col>1</xdr:col>
      <xdr:colOff>96931</xdr:colOff>
      <xdr:row>1</xdr:row>
      <xdr:rowOff>39472</xdr:rowOff>
    </xdr:from>
    <xdr:to>
      <xdr:col>1</xdr:col>
      <xdr:colOff>1010211</xdr:colOff>
      <xdr:row>3</xdr:row>
      <xdr:rowOff>177302</xdr:rowOff>
    </xdr:to>
    <xdr:pic>
      <xdr:nvPicPr>
        <xdr:cNvPr id="5" name="Imagen 4">
          <a:extLst>
            <a:ext uri="{FF2B5EF4-FFF2-40B4-BE49-F238E27FC236}">
              <a16:creationId xmlns:a16="http://schemas.microsoft.com/office/drawing/2014/main" id="{CA3D455B-FAD9-4A88-A6E7-3AA038B14C03}"/>
            </a:ext>
            <a:ext uri="{147F2762-F138-4A5C-976F-8EAC2B608ADB}">
              <a16:predDERef xmlns:a16="http://schemas.microsoft.com/office/drawing/2014/main" pred="{FD4BDFE3-59B7-48E4-9E68-E93F5C4B9BD2}"/>
            </a:ext>
          </a:extLst>
        </xdr:cNvPr>
        <xdr:cNvPicPr>
          <a:picLocks noChangeAspect="1"/>
        </xdr:cNvPicPr>
      </xdr:nvPicPr>
      <xdr:blipFill>
        <a:blip xmlns:r="http://schemas.openxmlformats.org/officeDocument/2006/relationships" r:embed="rId1" cstate="print"/>
        <a:stretch>
          <a:fillRect/>
        </a:stretch>
      </xdr:blipFill>
      <xdr:spPr>
        <a:xfrm>
          <a:off x="287431" y="229972"/>
          <a:ext cx="913280" cy="1080805"/>
        </a:xfrm>
        <a:prstGeom prst="rect">
          <a:avLst/>
        </a:prstGeom>
      </xdr:spPr>
    </xdr:pic>
    <xdr:clientData/>
  </xdr:twoCellAnchor>
  <xdr:twoCellAnchor editAs="oneCell">
    <xdr:from>
      <xdr:col>12</xdr:col>
      <xdr:colOff>85725</xdr:colOff>
      <xdr:row>0</xdr:row>
      <xdr:rowOff>180975</xdr:rowOff>
    </xdr:from>
    <xdr:to>
      <xdr:col>12</xdr:col>
      <xdr:colOff>7047630</xdr:colOff>
      <xdr:row>38</xdr:row>
      <xdr:rowOff>198789</xdr:rowOff>
    </xdr:to>
    <xdr:pic>
      <xdr:nvPicPr>
        <xdr:cNvPr id="6" name="Imagen 5">
          <a:extLst>
            <a:ext uri="{FF2B5EF4-FFF2-40B4-BE49-F238E27FC236}">
              <a16:creationId xmlns:a16="http://schemas.microsoft.com/office/drawing/2014/main" id="{FF0864FF-39E7-700D-551F-469EEA415146}"/>
            </a:ext>
          </a:extLst>
        </xdr:cNvPr>
        <xdr:cNvPicPr>
          <a:picLocks noChangeAspect="1"/>
        </xdr:cNvPicPr>
      </xdr:nvPicPr>
      <xdr:blipFill>
        <a:blip xmlns:r="http://schemas.openxmlformats.org/officeDocument/2006/relationships" r:embed="rId2"/>
        <a:stretch>
          <a:fillRect/>
        </a:stretch>
      </xdr:blipFill>
      <xdr:spPr>
        <a:xfrm>
          <a:off x="12058650" y="180975"/>
          <a:ext cx="6961905" cy="98857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222250</xdr:colOff>
      <xdr:row>24</xdr:row>
      <xdr:rowOff>79375</xdr:rowOff>
    </xdr:from>
    <xdr:to>
      <xdr:col>2</xdr:col>
      <xdr:colOff>1277937</xdr:colOff>
      <xdr:row>26</xdr:row>
      <xdr:rowOff>280412</xdr:rowOff>
    </xdr:to>
    <xdr:pic>
      <xdr:nvPicPr>
        <xdr:cNvPr id="2" name="Imagen 1">
          <a:extLst>
            <a:ext uri="{FF2B5EF4-FFF2-40B4-BE49-F238E27FC236}">
              <a16:creationId xmlns:a16="http://schemas.microsoft.com/office/drawing/2014/main" id="{96ED1FB2-CD75-419E-9577-9A458BC4897B}"/>
            </a:ext>
          </a:extLst>
        </xdr:cNvPr>
        <xdr:cNvPicPr>
          <a:picLocks noChangeAspect="1"/>
        </xdr:cNvPicPr>
      </xdr:nvPicPr>
      <xdr:blipFill>
        <a:blip xmlns:r="http://schemas.openxmlformats.org/officeDocument/2006/relationships" r:embed="rId1"/>
        <a:stretch>
          <a:fillRect/>
        </a:stretch>
      </xdr:blipFill>
      <xdr:spPr>
        <a:xfrm>
          <a:off x="1222375" y="5857875"/>
          <a:ext cx="1055687" cy="59791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3629025</xdr:colOff>
      <xdr:row>1</xdr:row>
      <xdr:rowOff>108939</xdr:rowOff>
    </xdr:from>
    <xdr:to>
      <xdr:col>7</xdr:col>
      <xdr:colOff>4467224</xdr:colOff>
      <xdr:row>2</xdr:row>
      <xdr:rowOff>638175</xdr:rowOff>
    </xdr:to>
    <xdr:pic>
      <xdr:nvPicPr>
        <xdr:cNvPr id="2" name="Imagen 1">
          <a:extLst>
            <a:ext uri="{FF2B5EF4-FFF2-40B4-BE49-F238E27FC236}">
              <a16:creationId xmlns:a16="http://schemas.microsoft.com/office/drawing/2014/main" id="{B4D844CF-C044-4753-BC70-AE0E9072CD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058650" y="299439"/>
          <a:ext cx="838199" cy="10054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1333500</xdr:colOff>
      <xdr:row>19</xdr:row>
      <xdr:rowOff>254000</xdr:rowOff>
    </xdr:from>
    <xdr:to>
      <xdr:col>1</xdr:col>
      <xdr:colOff>2389187</xdr:colOff>
      <xdr:row>20</xdr:row>
      <xdr:rowOff>296286</xdr:rowOff>
    </xdr:to>
    <xdr:pic>
      <xdr:nvPicPr>
        <xdr:cNvPr id="3" name="Imagen 2">
          <a:extLst>
            <a:ext uri="{FF2B5EF4-FFF2-40B4-BE49-F238E27FC236}">
              <a16:creationId xmlns:a16="http://schemas.microsoft.com/office/drawing/2014/main" id="{BBECE12F-E8E6-4A49-97A2-C2F87CFB64B6}"/>
            </a:ext>
          </a:extLst>
        </xdr:cNvPr>
        <xdr:cNvPicPr>
          <a:picLocks noChangeAspect="1"/>
        </xdr:cNvPicPr>
      </xdr:nvPicPr>
      <xdr:blipFill>
        <a:blip xmlns:r="http://schemas.openxmlformats.org/officeDocument/2006/relationships" r:embed="rId2"/>
        <a:stretch>
          <a:fillRect/>
        </a:stretch>
      </xdr:blipFill>
      <xdr:spPr>
        <a:xfrm>
          <a:off x="1571625" y="22733000"/>
          <a:ext cx="1055687" cy="59791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3629025</xdr:colOff>
      <xdr:row>1</xdr:row>
      <xdr:rowOff>108939</xdr:rowOff>
    </xdr:from>
    <xdr:to>
      <xdr:col>7</xdr:col>
      <xdr:colOff>4467224</xdr:colOff>
      <xdr:row>2</xdr:row>
      <xdr:rowOff>638175</xdr:rowOff>
    </xdr:to>
    <xdr:pic>
      <xdr:nvPicPr>
        <xdr:cNvPr id="2" name="Imagen 1">
          <a:extLst>
            <a:ext uri="{FF2B5EF4-FFF2-40B4-BE49-F238E27FC236}">
              <a16:creationId xmlns:a16="http://schemas.microsoft.com/office/drawing/2014/main" id="{F6BA3D2B-A571-4CB0-A0DE-10BC24BB2A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011025" y="299439"/>
          <a:ext cx="838199" cy="10054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1333500</xdr:colOff>
      <xdr:row>42</xdr:row>
      <xdr:rowOff>254000</xdr:rowOff>
    </xdr:from>
    <xdr:to>
      <xdr:col>1</xdr:col>
      <xdr:colOff>2389187</xdr:colOff>
      <xdr:row>43</xdr:row>
      <xdr:rowOff>296287</xdr:rowOff>
    </xdr:to>
    <xdr:pic>
      <xdr:nvPicPr>
        <xdr:cNvPr id="3" name="Imagen 2">
          <a:extLst>
            <a:ext uri="{FF2B5EF4-FFF2-40B4-BE49-F238E27FC236}">
              <a16:creationId xmlns:a16="http://schemas.microsoft.com/office/drawing/2014/main" id="{EAE48E11-1E3B-44C7-87DE-B5C0B7872A0B}"/>
            </a:ext>
          </a:extLst>
        </xdr:cNvPr>
        <xdr:cNvPicPr>
          <a:picLocks noChangeAspect="1"/>
        </xdr:cNvPicPr>
      </xdr:nvPicPr>
      <xdr:blipFill>
        <a:blip xmlns:r="http://schemas.openxmlformats.org/officeDocument/2006/relationships" r:embed="rId2"/>
        <a:stretch>
          <a:fillRect/>
        </a:stretch>
      </xdr:blipFill>
      <xdr:spPr>
        <a:xfrm>
          <a:off x="1571625" y="22694900"/>
          <a:ext cx="1055687" cy="59473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3629025</xdr:colOff>
      <xdr:row>1</xdr:row>
      <xdr:rowOff>108939</xdr:rowOff>
    </xdr:from>
    <xdr:to>
      <xdr:col>7</xdr:col>
      <xdr:colOff>4467224</xdr:colOff>
      <xdr:row>2</xdr:row>
      <xdr:rowOff>638175</xdr:rowOff>
    </xdr:to>
    <xdr:pic>
      <xdr:nvPicPr>
        <xdr:cNvPr id="2" name="Imagen 1">
          <a:extLst>
            <a:ext uri="{FF2B5EF4-FFF2-40B4-BE49-F238E27FC236}">
              <a16:creationId xmlns:a16="http://schemas.microsoft.com/office/drawing/2014/main" id="{21C2DA59-8CA5-4EE4-AF9E-CC943E388F2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011025" y="299439"/>
          <a:ext cx="838199" cy="10054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1333500</xdr:colOff>
      <xdr:row>21</xdr:row>
      <xdr:rowOff>254000</xdr:rowOff>
    </xdr:from>
    <xdr:to>
      <xdr:col>1</xdr:col>
      <xdr:colOff>2389187</xdr:colOff>
      <xdr:row>22</xdr:row>
      <xdr:rowOff>296286</xdr:rowOff>
    </xdr:to>
    <xdr:pic>
      <xdr:nvPicPr>
        <xdr:cNvPr id="3" name="Imagen 2">
          <a:extLst>
            <a:ext uri="{FF2B5EF4-FFF2-40B4-BE49-F238E27FC236}">
              <a16:creationId xmlns:a16="http://schemas.microsoft.com/office/drawing/2014/main" id="{398EBE43-ECFA-4BED-95A0-9D2B098ABDA4}"/>
            </a:ext>
          </a:extLst>
        </xdr:cNvPr>
        <xdr:cNvPicPr>
          <a:picLocks noChangeAspect="1"/>
        </xdr:cNvPicPr>
      </xdr:nvPicPr>
      <xdr:blipFill>
        <a:blip xmlns:r="http://schemas.openxmlformats.org/officeDocument/2006/relationships" r:embed="rId2"/>
        <a:stretch>
          <a:fillRect/>
        </a:stretch>
      </xdr:blipFill>
      <xdr:spPr>
        <a:xfrm>
          <a:off x="1571625" y="22694900"/>
          <a:ext cx="1055687" cy="59473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381000</xdr:colOff>
      <xdr:row>4</xdr:row>
      <xdr:rowOff>60960</xdr:rowOff>
    </xdr:from>
    <xdr:to>
      <xdr:col>2</xdr:col>
      <xdr:colOff>1853590</xdr:colOff>
      <xdr:row>6</xdr:row>
      <xdr:rowOff>182880</xdr:rowOff>
    </xdr:to>
    <xdr:pic>
      <xdr:nvPicPr>
        <xdr:cNvPr id="2" name="Imagen 1">
          <a:extLst>
            <a:ext uri="{FF2B5EF4-FFF2-40B4-BE49-F238E27FC236}">
              <a16:creationId xmlns:a16="http://schemas.microsoft.com/office/drawing/2014/main" id="{C0B1873F-3744-4FBD-9847-987DCD99259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840" b="20290"/>
        <a:stretch/>
      </xdr:blipFill>
      <xdr:spPr bwMode="auto">
        <a:xfrm>
          <a:off x="1143000" y="603885"/>
          <a:ext cx="1472590" cy="5219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857249</xdr:colOff>
      <xdr:row>4</xdr:row>
      <xdr:rowOff>13268</xdr:rowOff>
    </xdr:from>
    <xdr:to>
      <xdr:col>7</xdr:col>
      <xdr:colOff>1523999</xdr:colOff>
      <xdr:row>8</xdr:row>
      <xdr:rowOff>1443</xdr:rowOff>
    </xdr:to>
    <xdr:pic>
      <xdr:nvPicPr>
        <xdr:cNvPr id="3" name="Imagen 2">
          <a:extLst>
            <a:ext uri="{FF2B5EF4-FFF2-40B4-BE49-F238E27FC236}">
              <a16:creationId xmlns:a16="http://schemas.microsoft.com/office/drawing/2014/main" id="{23FD71F0-E912-43FB-9B59-29043D2C4B4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43924" y="556193"/>
          <a:ext cx="666750" cy="804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82550</xdr:colOff>
      <xdr:row>60</xdr:row>
      <xdr:rowOff>92075</xdr:rowOff>
    </xdr:from>
    <xdr:to>
      <xdr:col>2</xdr:col>
      <xdr:colOff>1138237</xdr:colOff>
      <xdr:row>62</xdr:row>
      <xdr:rowOff>324861</xdr:rowOff>
    </xdr:to>
    <xdr:pic>
      <xdr:nvPicPr>
        <xdr:cNvPr id="4" name="Imagen 3">
          <a:extLst>
            <a:ext uri="{FF2B5EF4-FFF2-40B4-BE49-F238E27FC236}">
              <a16:creationId xmlns:a16="http://schemas.microsoft.com/office/drawing/2014/main" id="{76AD2F4A-44BA-494A-9469-B4B05D8DED93}"/>
            </a:ext>
          </a:extLst>
        </xdr:cNvPr>
        <xdr:cNvPicPr>
          <a:picLocks noChangeAspect="1"/>
        </xdr:cNvPicPr>
      </xdr:nvPicPr>
      <xdr:blipFill>
        <a:blip xmlns:r="http://schemas.openxmlformats.org/officeDocument/2006/relationships" r:embed="rId3"/>
        <a:stretch>
          <a:fillRect/>
        </a:stretch>
      </xdr:blipFill>
      <xdr:spPr>
        <a:xfrm>
          <a:off x="844550" y="13408025"/>
          <a:ext cx="1055687" cy="58521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381000</xdr:colOff>
      <xdr:row>4</xdr:row>
      <xdr:rowOff>60960</xdr:rowOff>
    </xdr:from>
    <xdr:to>
      <xdr:col>2</xdr:col>
      <xdr:colOff>1853590</xdr:colOff>
      <xdr:row>6</xdr:row>
      <xdr:rowOff>182880</xdr:rowOff>
    </xdr:to>
    <xdr:pic>
      <xdr:nvPicPr>
        <xdr:cNvPr id="2" name="Imagen 1">
          <a:extLst>
            <a:ext uri="{FF2B5EF4-FFF2-40B4-BE49-F238E27FC236}">
              <a16:creationId xmlns:a16="http://schemas.microsoft.com/office/drawing/2014/main" id="{AE62AC12-8DD4-4536-8161-87FCB7BA741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840" b="20290"/>
        <a:stretch/>
      </xdr:blipFill>
      <xdr:spPr bwMode="auto">
        <a:xfrm>
          <a:off x="1143000" y="603885"/>
          <a:ext cx="1472590" cy="5219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857249</xdr:colOff>
      <xdr:row>4</xdr:row>
      <xdr:rowOff>13268</xdr:rowOff>
    </xdr:from>
    <xdr:to>
      <xdr:col>7</xdr:col>
      <xdr:colOff>1523999</xdr:colOff>
      <xdr:row>8</xdr:row>
      <xdr:rowOff>1443</xdr:rowOff>
    </xdr:to>
    <xdr:pic>
      <xdr:nvPicPr>
        <xdr:cNvPr id="3" name="Imagen 2">
          <a:extLst>
            <a:ext uri="{FF2B5EF4-FFF2-40B4-BE49-F238E27FC236}">
              <a16:creationId xmlns:a16="http://schemas.microsoft.com/office/drawing/2014/main" id="{17B5FD9C-38E3-4176-AB55-86752C6B74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20149" y="556193"/>
          <a:ext cx="666750" cy="807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82550</xdr:colOff>
      <xdr:row>32</xdr:row>
      <xdr:rowOff>92075</xdr:rowOff>
    </xdr:from>
    <xdr:to>
      <xdr:col>2</xdr:col>
      <xdr:colOff>1138237</xdr:colOff>
      <xdr:row>34</xdr:row>
      <xdr:rowOff>324862</xdr:rowOff>
    </xdr:to>
    <xdr:pic>
      <xdr:nvPicPr>
        <xdr:cNvPr id="4" name="Imagen 3">
          <a:extLst>
            <a:ext uri="{FF2B5EF4-FFF2-40B4-BE49-F238E27FC236}">
              <a16:creationId xmlns:a16="http://schemas.microsoft.com/office/drawing/2014/main" id="{3D9D0493-8695-4CA2-96F1-DB90CAAEEC65}"/>
            </a:ext>
          </a:extLst>
        </xdr:cNvPr>
        <xdr:cNvPicPr>
          <a:picLocks noChangeAspect="1"/>
        </xdr:cNvPicPr>
      </xdr:nvPicPr>
      <xdr:blipFill>
        <a:blip xmlns:r="http://schemas.openxmlformats.org/officeDocument/2006/relationships" r:embed="rId3"/>
        <a:stretch>
          <a:fillRect/>
        </a:stretch>
      </xdr:blipFill>
      <xdr:spPr>
        <a:xfrm>
          <a:off x="844550" y="13388975"/>
          <a:ext cx="1055687" cy="58521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8</xdr:col>
      <xdr:colOff>213675</xdr:colOff>
      <xdr:row>8</xdr:row>
      <xdr:rowOff>47840</xdr:rowOff>
    </xdr:from>
    <xdr:to>
      <xdr:col>15</xdr:col>
      <xdr:colOff>596790</xdr:colOff>
      <xdr:row>43</xdr:row>
      <xdr:rowOff>557151</xdr:rowOff>
    </xdr:to>
    <xdr:pic>
      <xdr:nvPicPr>
        <xdr:cNvPr id="4" name="Imagen 3">
          <a:extLst>
            <a:ext uri="{FF2B5EF4-FFF2-40B4-BE49-F238E27FC236}">
              <a16:creationId xmlns:a16="http://schemas.microsoft.com/office/drawing/2014/main" id="{FC5CC634-6E71-4157-87D1-43B5CA1BEA78}"/>
            </a:ext>
          </a:extLst>
        </xdr:cNvPr>
        <xdr:cNvPicPr>
          <a:picLocks noChangeAspect="1"/>
        </xdr:cNvPicPr>
      </xdr:nvPicPr>
      <xdr:blipFill>
        <a:blip xmlns:r="http://schemas.openxmlformats.org/officeDocument/2006/relationships" r:embed="rId1"/>
        <a:stretch>
          <a:fillRect/>
        </a:stretch>
      </xdr:blipFill>
      <xdr:spPr>
        <a:xfrm>
          <a:off x="10018075" y="1724240"/>
          <a:ext cx="6601882" cy="778217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762000</xdr:colOff>
      <xdr:row>29</xdr:row>
      <xdr:rowOff>71438</xdr:rowOff>
    </xdr:from>
    <xdr:to>
      <xdr:col>2</xdr:col>
      <xdr:colOff>606474</xdr:colOff>
      <xdr:row>30</xdr:row>
      <xdr:rowOff>526474</xdr:rowOff>
    </xdr:to>
    <xdr:pic>
      <xdr:nvPicPr>
        <xdr:cNvPr id="2" name="Imagen 1">
          <a:extLst>
            <a:ext uri="{FF2B5EF4-FFF2-40B4-BE49-F238E27FC236}">
              <a16:creationId xmlns:a16="http://schemas.microsoft.com/office/drawing/2014/main" id="{DB53F737-0D8D-4070-867F-A50D50FD7D7D}"/>
            </a:ext>
          </a:extLst>
        </xdr:cNvPr>
        <xdr:cNvPicPr>
          <a:picLocks noChangeAspect="1"/>
        </xdr:cNvPicPr>
      </xdr:nvPicPr>
      <xdr:blipFill>
        <a:blip xmlns:r="http://schemas.openxmlformats.org/officeDocument/2006/relationships" r:embed="rId1"/>
        <a:stretch>
          <a:fillRect/>
        </a:stretch>
      </xdr:blipFill>
      <xdr:spPr>
        <a:xfrm>
          <a:off x="1000125" y="5929313"/>
          <a:ext cx="971599" cy="55028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oneCellAnchor>
    <xdr:from>
      <xdr:col>1</xdr:col>
      <xdr:colOff>93134</xdr:colOff>
      <xdr:row>0</xdr:row>
      <xdr:rowOff>0</xdr:rowOff>
    </xdr:from>
    <xdr:ext cx="876300" cy="923929"/>
    <xdr:pic>
      <xdr:nvPicPr>
        <xdr:cNvPr id="2" name="Imagen 1" descr="Nuestros Símbolos">
          <a:extLst>
            <a:ext uri="{FF2B5EF4-FFF2-40B4-BE49-F238E27FC236}">
              <a16:creationId xmlns:a16="http://schemas.microsoft.com/office/drawing/2014/main" id="{7E6461D9-CE0F-4715-B5E9-01433F1926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5134" y="0"/>
          <a:ext cx="876300" cy="9239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104</xdr:col>
      <xdr:colOff>16934</xdr:colOff>
      <xdr:row>0</xdr:row>
      <xdr:rowOff>143934</xdr:rowOff>
    </xdr:from>
    <xdr:ext cx="850900" cy="635000"/>
    <xdr:pic>
      <xdr:nvPicPr>
        <xdr:cNvPr id="3" name="Imagen 2" descr="Nuestros Símbolos">
          <a:extLst>
            <a:ext uri="{FF2B5EF4-FFF2-40B4-BE49-F238E27FC236}">
              <a16:creationId xmlns:a16="http://schemas.microsoft.com/office/drawing/2014/main" id="{41E8B82D-2F64-4823-97B7-AFC506041E4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9264934" y="143934"/>
          <a:ext cx="850900" cy="635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oneCellAnchor>
</xdr:wsDr>
</file>

<file path=xl/drawings/drawing16.xml><?xml version="1.0" encoding="utf-8"?>
<xdr:wsDr xmlns:xdr="http://schemas.openxmlformats.org/drawingml/2006/spreadsheetDrawing" xmlns:a="http://schemas.openxmlformats.org/drawingml/2006/main">
  <xdr:oneCellAnchor>
    <xdr:from>
      <xdr:col>2</xdr:col>
      <xdr:colOff>19917</xdr:colOff>
      <xdr:row>140</xdr:row>
      <xdr:rowOff>230332</xdr:rowOff>
    </xdr:from>
    <xdr:ext cx="6124575" cy="1190625"/>
    <xdr:pic>
      <xdr:nvPicPr>
        <xdr:cNvPr id="2" name="Imagen 5">
          <a:extLst>
            <a:ext uri="{FF2B5EF4-FFF2-40B4-BE49-F238E27FC236}">
              <a16:creationId xmlns:a16="http://schemas.microsoft.com/office/drawing/2014/main" id="{597897E3-2E48-496F-8AE3-72DB830177E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26"/>
        <a:stretch>
          <a:fillRect/>
        </a:stretch>
      </xdr:blipFill>
      <xdr:spPr bwMode="auto">
        <a:xfrm>
          <a:off x="1543917" y="26862232"/>
          <a:ext cx="6124575" cy="1190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disco2\DATOS\LABORATORIO\Pavimento\MDC2-2xl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ochgroup-my.sharepoint.com/JJTORRES/Mis%20documentos/Documents%20and%20Settings/LUZ%20MARY/Configuraci&#243;n%20local/Temp/hgg/0bra%20552/PPTO%20ADMINISTRATIVO%2013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A75797D\PREDIMENSIONAMIENTO%20SISTEMA%20ESTADI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ochgroup-my.sharepoint.com/japarra/Documents%20and%20Settings/crendon.HMV/Local%20Settings/Temporary%20Internet%20Files/OLK3/859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gobantioquia.sharepoint.com/japarra/Documents%20and%20Settings/crendon.HMV/Local%20Settings/Temporary%20Internet%20Files/OLK3/859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integrarc.sharepoint.com/Users/USUARIO/Downloads/Users/SMINGE~1/AppData/Local/Temp/Rar$DI48.776/Users/oegomez/AppData/Local/Microsoft/Windows/Temporary%20Internet%20Files/Content.Outlook/SCY6KILA/presupuesto%20M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3F9E4655\PRESUPUESTO%20P.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aboratorio\c\DATOS\Laboratorio\Base\GradBase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ISAFLOW/Downloads/POE_ORIENTE_V1_(MEJORAMIENTO%2025CM)_%20(V1).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oorcalidad\Nuevo%20informe%20mensual%20-%20Mayo\datos\Datos%202005\Costos\Costos%202005\Facturacion%20Obr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integrarc.sharepoint.com/Users/USUARIO/Downloads/Mis%20documentos/contratos-en-ejecuci&#243;n/contratos-inv&#237;as-2002/consulv&#237;as-advial/WINDOWS/TEMP/TD_0025.DIR/NOV-%20DIC-2002/INF%20NOV-DIC_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integrarc.sharepoint.com/Users/USUARIO/Downloads/invmeta/INFORMES/infabr9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integrarc.sharepoint.com/Users/USUARIO/Downloads/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abrielaapabone\d%20copias\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Startup" Target="Administrativos/Informe%20Septiembre/Nuevo%20informe%20mensual%20-%20Mayo/datos/Datos%202005/Costos/Costos%202005/Facturacion%20Obra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USER/Downloads/PPTO%20MONTEBELLO%20SANTA%20BARBAR_V%20NOV%202022%20EXP%20(version%202)%20(1).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USER/Downloads/PPTO-Suroeste-V3.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kevin\Desktop\Libro1.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integrarc.sharepoint.com/Users/USUARIO/Downloads/Mis%20documentos/contratos-en-ejecuci&#243;n/contratos-inv&#237;as-2002/consulv&#237;as-advial/Mis%20documentos/Advial-Jul-01-jul-03/formatos/FORMATOS%20UTILES/AP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alderon_rafael\c\IK%20-%20DATA%20BASE\Book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integrarc.sharepoint.com/Users/USUARIO/Downloads/Documents%20and%20Settings/ccastrod/Escritorio/PLANTILLAS/EJEMPLOS%20APUS/META/APUS_META_2013-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Nelsy-pc\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omercial\DATOS\MAQUINARIA\7-mantenimientos\control%20de%20Mt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NTPRINCIPAL\Licitaciones\LICITACIONES%202000\46,47,48-2000SecrtObrasAnt\46-2000%20LA%20YE%20-%20BELMIRA\PRECIOS%20belmir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laneacion1\REPORTE%20PRODUCCION\Documents%20and%20Settings\Administrador\Mis%20documentos\Mis%20archivos%20recibidos\REPORTE%20PRODUCCION%20-%20JUNIO%20def.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integrarc.sharepoint.com/Presupuestos%20Convenios%20Milton%202012/Users/Usuario/AppData/Local/Temp/Rar$DI05.444/APU%20-%20Inv..GRUPO%20I.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integrarc.sharepoint.com/AMVB%2009/Inf.%20Accidentalidad/ADMON/GRUPO5/PRESUP~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Nelsonbojaca\objetivo%20ecopetrol%20barranca\2%20REUNI&#211;N%20OBJETIVO\OBJETIV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ENRIESCOBAR\LIcitaciones\DOCUME~1\HENRIL~1\CONFIG~1\ARCHIV~1\Content.IE5\OHAJ0LYN\precios_La%20Mata_Bosconia_enviado%20a%20FRAFUENT.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04A6A17\3.PRESUPUESTO%20CARARE%20CAMBIO%20DE%20DISE&#209;O-INGENIERIA%20DE%20VIAS.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20SCV-054-02%20La%20l&#237;nea-ibagu&#233;\BASE%20PRESUP.Lic.%20054-02%20La%20l&#237;nea-Ibagu&#233;.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oorcalidad\Datos\Actas\ACTA%20No%204%20%20con%20corte%20al%2011%20de%20Enero%20de%202007\ACTA%20DE%20OBRA%20No%204%20CON%20CORTE%20AL%2011%20DE%20ENERO%20DE%202007.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integrarc.sharepoint.com/Users/Wcorredor/AppData/Local/Microsoft/Windows/Temporary%20Internet%20Files/Content.Outlook/N8UQB43B/Users/GeoTuneles/Downloads/DA_PROCESO_13-1-108154_124002002_9512407%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OBRAS\BANADIA\INFORMES\BANADIACD\1erINFORME.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PROYECTOS/DIRECTOS/MUNICIPIO%20DE%20SANTA%20FE/PRESUPUESTO/PRESUPUESTO%20PAVIMENTO%20SANTA%20FE_Versi&#243;n1.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integrarc.sharepoint.com/Users/milag/Downloads/REPORTE%20PRODUCCION%20(PARA%20IMPRESION)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Users\Jorge%20Forero%20Ing\Documents\AMV%20SANTANDER%202014\PRECIOS%20UNITARIOS\APU%20Grupo%204%20Territorial%20Santander%202014%20formato%20nuevo%20v2%20def.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K:\disco2\DATOS\LABORATORIO\Pavimento\N&#250;cleo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integrarc.sharepoint.com/Users/USUARIO/Downloads/CUND%20GRUPO%201/TECNICO/presupuestos/presupuestos%202010/presupuestos%20marzo%202010/necesidades%20de%20las%20v&#237;as/presupuesto%20necesidades%20vias%20marz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Gleal\ADARVES\Documents%20and%20Settings\Presupuestos1\Mis%20documentos\GEOVANNY%20LEAL\PRESUPUESTOS%202004\VARIOS\hoja%20de%20calcul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ochgroup-my.sharepoint.com/2kprincipal/licitaciones2/Datos/LICITACIONES/Planes%20de%20accion/DATOS/Equipos/COSTO%20DE%20PROPIEDAD.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2kprincipal/licitaciones2/Datos/LICITACIONES/Planes%20de%20accion/DATOS/Equipos/COSTO%20DE%20PROPIEDAD.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integrarc.sharepoint.com/Users/USUARIO/Downloads/MANTENIMIENTO%20RUTA%201001_MARZO%20DE%202008/Documents%20and%20Settings/PEDRO%20GARCIA%20REALPE/Mis%20documentos/AMV_G1_2006_TUMACO/Actas%20AMV_G1_Tumaco/a%20%20aaInformaci&#243;n"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integrarc.sharepoint.com/Users/USUARIO/Downloads/Mis%20documentos/contratos-en-ejecuci&#243;n/contratos-inv&#237;as-2002/consulv&#237;as-advial/WINDOWS/TEMP/TD_0025.DIR/NOV-%20DIC-2002/oficina/accidentes%20le%20NOV-02-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oorcalidad\Users\maribel.herrera.ELCONDOR\AppData\Local\Microsoft\Windows\Temporary%20Internet%20Files\Content.Outlook\UETXCW0J\100518-RESUMEN%20TRA-V2.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integrarc.sharepoint.com/Users/USUARIO/Downloads/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S-REV1"/>
      <sheetName val="PROY_ORIGINAL"/>
      <sheetName val="PU (2)"/>
      <sheetName val="PESOS"/>
      <sheetName val="G&amp;G"/>
      <sheetName val="Datos"/>
      <sheetName val="COSTOS UNITARIOS"/>
      <sheetName val="CA-2909"/>
      <sheetName val="TRAYECTO 1"/>
      <sheetName val="CABG"/>
      <sheetName val="Seguim-16"/>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9"/>
      <sheetName val="PU_(2)7"/>
      <sheetName val=""/>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PROY_ORIGINAL2"/>
      <sheetName val="PU_(2)1"/>
      <sheetName val="PROY_ORIGINAL1"/>
      <sheetName val="PU_(2)"/>
      <sheetName val="PROY_ORIGINAL3"/>
      <sheetName val="PU_(2)2"/>
      <sheetName val="PROY_ORIGINAL5"/>
      <sheetName val="PU_(2)4"/>
      <sheetName val="PROY_ORIGINAL4"/>
      <sheetName val="PU_(2)3"/>
      <sheetName val="FORMATO_PREACTA2"/>
      <sheetName val="SOPORTES"/>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SUB-BASE"/>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GAVIONES"/>
      <sheetName val="Señales"/>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1"/>
      <sheetName val="Drenes"/>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XXX"/>
      <sheetName val="BOX_110+520_PUENTE_EL_VERDE1"/>
      <sheetName val="Muro_K99+07031"/>
      <sheetName val="MURO_K104+4541"/>
      <sheetName val="Muro_K109+05701"/>
      <sheetName val="BOX_K1"/>
      <sheetName val="CONVERCIONES"/>
      <sheetName val="PARCHEO"/>
      <sheetName val="APU´s"/>
      <sheetName val="COSTOS_UNITARIOS1"/>
      <sheetName val="TRAYECTO_11"/>
      <sheetName val="Varios"/>
      <sheetName val="RESUMEN"/>
      <sheetName val="VALOR_ENSAYOS1"/>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j0$#j_$#LÓu"/>
      <sheetName val="plantilla"/>
      <sheetName val="resumen_preacta1"/>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_en_asfalto1"/>
      <sheetName val="Mat_fresado_para_ampliacion1"/>
      <sheetName val="Tuberia_filtro_D=6&quot;1"/>
      <sheetName val="Realce_de_bordillo1"/>
      <sheetName val="Remocion_tuberia_d=24&quot;1"/>
      <sheetName val="GRAVA_ATRAQUES_DE_ALCANTARILLA1"/>
      <sheetName val="RESALTO"/>
      <sheetName val="Geodren"/>
      <sheetName val="Hoja1"/>
      <sheetName val="PROY_ORIGINAL8"/>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COSTOS_UNITARIOS"/>
      <sheetName val="TRAYECTO_1"/>
      <sheetName val="VALOR_ENSAY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 110+520 PUENTE EL VERDE"/>
      <sheetName val="Muro K99+0703"/>
      <sheetName val="MURO K104+454"/>
      <sheetName val="Muro K109+0570"/>
      <sheetName val="BOX K"/>
      <sheetName val="proveedores"/>
      <sheetName val="VALOR ENSAYOS"/>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Información"/>
      <sheetName val="resumen_preacta"/>
      <sheetName val="Resalto_en_asfalto"/>
      <sheetName val="Mat_fresado_para_ampliacion"/>
      <sheetName val="Tuberia_filtro_D=6&quot;"/>
      <sheetName val="Realce_de_bordillo"/>
      <sheetName val="Remocion_tuberia_d=24&quot;"/>
      <sheetName val="GRAVA_ATRAQUES_DE_ALCANTARILLA"/>
      <sheetName val="PROY_ORIGINAL7"/>
      <sheetName val="PU_(2)6"/>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COSTOS_UNITARIOS2"/>
      <sheetName val="TRAYECTO_1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usa Posible"/>
      <sheetName val="Accidentalidad"/>
      <sheetName val="Elementos Involucrados"/>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trimonio neto personal"/>
      <sheetName val="Cálculos"/>
      <sheetName val="sap"/>
      <sheetName val="P2"/>
      <sheetName val="P1"/>
      <sheetName val="31-05-18"/>
      <sheetName val="F-7857-308"/>
      <sheetName val="Equipo Menor"/>
      <sheetName val="ALQUILADO F-7857-308 "/>
      <sheetName val="Real Para tarifas"/>
      <sheetName val="PRESU"/>
      <sheetName val="Datos_CO"/>
      <sheetName val="Skid Lifting Lug"/>
      <sheetName val="CCONC"/>
      <sheetName val="ACTA PROVEEDORES"/>
      <sheetName val="ACTA INICIO"/>
      <sheetName val="ACTA PARCIAL"/>
      <sheetName val="ACTA TERMINACION"/>
      <sheetName val="CABLE CONTROL"/>
      <sheetName val="AMOBLAMINETO"/>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ral. 1"/>
      <sheetName val="Paral. 2"/>
      <sheetName val="Paral. 3"/>
      <sheetName val="Paral.4"/>
      <sheetName val="ó&gt;"/>
      <sheetName val="_x0000_㈀㰰⌀_x0000_㈀㰮⌀_x0000_䰀଒v_x0000__x0000__x0000_頀"/>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ó&gt;????j0$?#???j_$?#???LÓu????"/>
      <sheetName val="MATERIALES Y RECURSOS"/>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ORTE DE OBRA N° 1"/>
      <sheetName val="memoria"/>
      <sheetName val="memoria 1"/>
      <sheetName val="RELACION DE PRECIOS"/>
      <sheetName val="ACTA 5"/>
      <sheetName val="MODIF. 2"/>
      <sheetName val="MODIF. 3"/>
      <sheetName val="cant"/>
      <sheetName val="par mar19"/>
      <sheetName val="par"/>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EMPRESAS"/>
      <sheetName val="REAJUSTESACTA1PROVI"/>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TARIFAS_MATERIALES4"/>
      <sheetName val="TARIFAS_EQUIPOS_4"/>
      <sheetName val="TARIFA_SALARIOS4"/>
      <sheetName val="MYE_OBRA4"/>
      <sheetName val="MDC-1_COLOCACION_4"/>
      <sheetName val="D-20_COLOCACION_4"/>
      <sheetName val="TRANSPORTE_MEZCLA_ASFALTICA4"/>
      <sheetName val="EXT_microagomerado4"/>
      <sheetName val="Grafico_Avance4"/>
      <sheetName val="Tramo_24"/>
      <sheetName val="BASE_DE_DATOS_DE_PRECIO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TARIFAS_MATERIALES1"/>
      <sheetName val="TARIFAS_EQUIPOS_1"/>
      <sheetName val="TARIFA_SALARIO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TARIFAS_MATERIALES2"/>
      <sheetName val="TARIFAS_EQUIPOS_2"/>
      <sheetName val="TARIFA_SALARIOS2"/>
      <sheetName val="MYE_OBRA2"/>
      <sheetName val="MDC-1_COLOCACION_2"/>
      <sheetName val="D-20_COLOCACION_2"/>
      <sheetName val="TRANSPORTE_MEZCLA_ASFALTICA2"/>
      <sheetName val="EXT_microagomerado2"/>
      <sheetName val="Grafico_Avance2"/>
      <sheetName val="Tramo_22"/>
      <sheetName val="BASE_DE_DATOS_DE_PRECIO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TARIFAS_MATERIALES3"/>
      <sheetName val="TARIFAS_EQUIPOS_3"/>
      <sheetName val="TARIFA_SALARIOS3"/>
      <sheetName val="MYE_OBRA3"/>
      <sheetName val="MDC-1_COLOCACION_3"/>
      <sheetName val="D-20_COLOCACION_3"/>
      <sheetName val="TRANSPORTE_MEZCLA_ASFALTICA3"/>
      <sheetName val="EXT_microagomerado3"/>
      <sheetName val="Grafico_Avance3"/>
      <sheetName val="Tramo_23"/>
      <sheetName val="BASE_DE_DATOS_DE_PRECIO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PSM Monthly"/>
      <sheetName val="BQMPALOC"/>
      <sheetName val="ACTA No.5"/>
      <sheetName val="IV. MANO DE OBRA AIU"/>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INSUMOS"/>
      <sheetName val="TRANS"/>
      <sheetName val="CUADRI"/>
      <sheetName val="EQUI"/>
      <sheetName val="CANT OBRA"/>
      <sheetName val="Programacion"/>
      <sheetName val="ó&gt;_x0000__x0001__x0000__x0000__"/>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Relación De Equipos"/>
      <sheetName val="BCE-ENERO-2004"/>
      <sheetName val="API93"/>
      <sheetName val="Listas de apoyo Social"/>
      <sheetName val="Listas de apoyo"/>
      <sheetName val="Item"/>
      <sheetName val="AIU"/>
      <sheetName val="Constantes Generales"/>
      <sheetName val="Prestaciones Sociales"/>
      <sheetName val="M.OBRA"/>
      <sheetName val="ZF"/>
      <sheetName val="HE-BA"/>
      <sheetName val="for2-consor"/>
      <sheetName val="[PRESUPUESTOS-R_x0000_耽1._x0000__x0000_㙊辎簎䣼ꦱ_xdb30_疏揤S"/>
      <sheetName val="PREACTA 28"/>
      <sheetName val="MC SF GAVIONES"/>
      <sheetName val="Dominios"/>
      <sheetName val="Equipo"/>
      <sheetName val="otros"/>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ATERIALES_Y_RECURSOS"/>
      <sheetName val="TARIFAS_MATERIALES6"/>
      <sheetName val="TARIFAS_EQUIPOS_6"/>
      <sheetName val="TARIFA_SALARIOS6"/>
      <sheetName val="Indicadores_Y_Listas24"/>
      <sheetName val="CORTE_DE_OBRA_N°_1"/>
      <sheetName val="memoria_1"/>
      <sheetName val="Skid_Lifting_Lug"/>
      <sheetName val="CABLE_CONTROL"/>
      <sheetName val="PSM_Monthly"/>
      <sheetName val="ACTA_No_5"/>
      <sheetName val="ACTA_PROVEEDORES"/>
      <sheetName val="ACTA_INICIO"/>
      <sheetName val="ACTA_PARCIAL"/>
      <sheetName val="ACTA_TERMINACION"/>
      <sheetName val="IV__MANO_DE_OBRA_AIU"/>
      <sheetName val="Resistividad_"/>
      <sheetName val="RELACION_DE_PRECIOS"/>
      <sheetName val="ACTA_5"/>
      <sheetName val="MODIF__2"/>
      <sheetName val="MODIF__3"/>
      <sheetName val="par_mar19"/>
      <sheetName val="GPI_526"/>
      <sheetName val="VEA_374"/>
      <sheetName val="RESUMEN S.T.I.M.S.T "/>
      <sheetName val="strsumm0"/>
      <sheetName val="C"/>
      <sheetName val="Concept"/>
      <sheetName val="REVISIONES"/>
      <sheetName val="59y22%"/>
      <sheetName val="Opex Case. Kitaro"/>
      <sheetName val="inst"/>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TARIFAS_MATERIALES8"/>
      <sheetName val="TARIFAS_EQUIPOS_8"/>
      <sheetName val="TARIFA_SALARIOS8"/>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BASE_DE_DATOS_DE_PREC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ACTA PARCIAL 1"/>
      <sheetName val="Main"/>
      <sheetName val="Input"/>
      <sheetName val="Listas_de_apoyo_Social"/>
      <sheetName val="Listas_de_apoyo"/>
      <sheetName val="PRESUPUESTO_V5"/>
      <sheetName val="1__Preliminares"/>
      <sheetName val="2__Demoliciones"/>
      <sheetName val="3__Elementos_y_Estructuras"/>
      <sheetName val="4__HVAC"/>
      <sheetName val="8__Recubrimientos_y_Acabados"/>
      <sheetName val="9__Otros"/>
      <sheetName val="10__Tramites_y_Licencias"/>
      <sheetName val="ó&gt;_"/>
      <sheetName val="Obras preliminares"/>
      <sheetName val="Estructuras Concreto"/>
      <sheetName val="GRAFICO"/>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CANT_OBRA"/>
      <sheetName val="Base_de_Diseño"/>
      <sheetName val="V3 (1000m)"/>
      <sheetName val="indices"/>
      <sheetName val="CorpTax"/>
      <sheetName val="maestro zuly"/>
      <sheetName val="DADICION"/>
      <sheetName val="RESINV"/>
      <sheetName val="SNP7_Anclajes_pasivos6j1"/>
      <sheetName val="Causa_Posible6"/>
      <sheetName val="Base_de_Datos6"/>
      <sheetName val="CRA_MODI6"/>
      <sheetName val="Lista_ICCU6"/>
      <sheetName val="Elementos_Involucrados6"/>
      <sheetName val="Patrimonio_neto_personal6"/>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ral__16"/>
      <sheetName val="Paral__26"/>
      <sheetName val="Paral__36"/>
      <sheetName val="Paral_46"/>
      <sheetName val="Avan_Var6"/>
      <sheetName val="Avan_UF16"/>
      <sheetName val="Avan_UF26"/>
      <sheetName val="Avan_UF36"/>
      <sheetName val="Avan_UF4_6"/>
      <sheetName val="Plan_de_Obras6"/>
      <sheetName val="Hoja_26"/>
      <sheetName val="PRESUPUESTOS-REV1_xls6"/>
      <sheetName val="Constantes_Generales"/>
      <sheetName val="Prestaciones_Sociales"/>
      <sheetName val="MC_SF_GAVIONES"/>
      <sheetName val="M_OBRA"/>
      <sheetName val="Base_de_datos_cuadrilla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efreshError="1"/>
      <sheetData sheetId="91" refreshError="1"/>
      <sheetData sheetId="92" refreshError="1"/>
      <sheetData sheetId="93" refreshError="1"/>
      <sheetData sheetId="94" refreshError="1"/>
      <sheetData sheetId="95">
        <row r="2">
          <cell r="A2">
            <v>0</v>
          </cell>
        </row>
      </sheetData>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ow r="2">
          <cell r="A2">
            <v>0</v>
          </cell>
        </row>
      </sheetData>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efreshError="1"/>
      <sheetData sheetId="174" refreshError="1"/>
      <sheetData sheetId="175" refreshError="1"/>
      <sheetData sheetId="176" refreshError="1"/>
      <sheetData sheetId="177" refreshError="1"/>
      <sheetData sheetId="178" refreshError="1"/>
      <sheetData sheetId="179" refreshError="1"/>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efreshError="1"/>
      <sheetData sheetId="198">
        <row r="2">
          <cell r="A2">
            <v>0</v>
          </cell>
        </row>
      </sheetData>
      <sheetData sheetId="199" refreshError="1"/>
      <sheetData sheetId="200" refreshError="1"/>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efreshError="1"/>
      <sheetData sheetId="207" refreshError="1"/>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efreshError="1"/>
      <sheetData sheetId="216" refreshError="1"/>
      <sheetData sheetId="217" refreshError="1"/>
      <sheetData sheetId="218" refreshError="1"/>
      <sheetData sheetId="219" refreshError="1"/>
      <sheetData sheetId="220" refreshError="1"/>
      <sheetData sheetId="221">
        <row r="2">
          <cell r="A2">
            <v>0</v>
          </cell>
        </row>
      </sheetData>
      <sheetData sheetId="222" refreshError="1"/>
      <sheetData sheetId="223" refreshError="1"/>
      <sheetData sheetId="224" refreshError="1"/>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efreshError="1"/>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efreshError="1"/>
      <sheetData sheetId="514" refreshError="1"/>
      <sheetData sheetId="515" refreshError="1"/>
      <sheetData sheetId="516" refreshError="1"/>
      <sheetData sheetId="517" refreshError="1"/>
      <sheetData sheetId="518" refreshError="1"/>
      <sheetData sheetId="519" refreshError="1"/>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efreshError="1"/>
      <sheetData sheetId="535">
        <row r="2">
          <cell r="A2">
            <v>0</v>
          </cell>
        </row>
      </sheetData>
      <sheetData sheetId="536" refreshError="1"/>
      <sheetData sheetId="537" refreshError="1"/>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efreshError="1"/>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ow r="2">
          <cell r="A2">
            <v>0</v>
          </cell>
        </row>
      </sheetData>
      <sheetData sheetId="629">
        <row r="2">
          <cell r="A2">
            <v>0</v>
          </cell>
        </row>
      </sheetData>
      <sheetData sheetId="630">
        <row r="2">
          <cell r="A2">
            <v>0</v>
          </cell>
        </row>
      </sheetData>
      <sheetData sheetId="631">
        <row r="2">
          <cell r="A2">
            <v>0</v>
          </cell>
        </row>
      </sheetData>
      <sheetData sheetId="632">
        <row r="2">
          <cell r="A2">
            <v>0</v>
          </cell>
        </row>
      </sheetData>
      <sheetData sheetId="633">
        <row r="2">
          <cell r="A2">
            <v>0</v>
          </cell>
        </row>
      </sheetData>
      <sheetData sheetId="634">
        <row r="2">
          <cell r="A2">
            <v>0</v>
          </cell>
        </row>
      </sheetData>
      <sheetData sheetId="635">
        <row r="2">
          <cell r="A2">
            <v>0</v>
          </cell>
        </row>
      </sheetData>
      <sheetData sheetId="636">
        <row r="2">
          <cell r="A2">
            <v>0</v>
          </cell>
        </row>
      </sheetData>
      <sheetData sheetId="637">
        <row r="2">
          <cell r="A2">
            <v>0</v>
          </cell>
        </row>
      </sheetData>
      <sheetData sheetId="638">
        <row r="2">
          <cell r="A2">
            <v>0</v>
          </cell>
        </row>
      </sheetData>
      <sheetData sheetId="639">
        <row r="2">
          <cell r="A2">
            <v>0</v>
          </cell>
        </row>
      </sheetData>
      <sheetData sheetId="640">
        <row r="2">
          <cell r="A2">
            <v>0</v>
          </cell>
        </row>
      </sheetData>
      <sheetData sheetId="641">
        <row r="2">
          <cell r="A2">
            <v>0</v>
          </cell>
        </row>
      </sheetData>
      <sheetData sheetId="642">
        <row r="2">
          <cell r="A2">
            <v>0</v>
          </cell>
        </row>
      </sheetData>
      <sheetData sheetId="643">
        <row r="2">
          <cell r="A2">
            <v>0</v>
          </cell>
        </row>
      </sheetData>
      <sheetData sheetId="644">
        <row r="2">
          <cell r="A2">
            <v>0</v>
          </cell>
        </row>
      </sheetData>
      <sheetData sheetId="645">
        <row r="2">
          <cell r="A2">
            <v>0</v>
          </cell>
        </row>
      </sheetData>
      <sheetData sheetId="646">
        <row r="2">
          <cell r="A2">
            <v>0</v>
          </cell>
        </row>
      </sheetData>
      <sheetData sheetId="647">
        <row r="2">
          <cell r="A2">
            <v>0</v>
          </cell>
        </row>
      </sheetData>
      <sheetData sheetId="648">
        <row r="2">
          <cell r="A2">
            <v>0</v>
          </cell>
        </row>
      </sheetData>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ow r="2">
          <cell r="A2">
            <v>0</v>
          </cell>
        </row>
      </sheetData>
      <sheetData sheetId="660">
        <row r="2">
          <cell r="A2">
            <v>0</v>
          </cell>
        </row>
      </sheetData>
      <sheetData sheetId="661">
        <row r="2">
          <cell r="A2">
            <v>0</v>
          </cell>
        </row>
      </sheetData>
      <sheetData sheetId="662">
        <row r="2">
          <cell r="A2">
            <v>0</v>
          </cell>
        </row>
      </sheetData>
      <sheetData sheetId="663">
        <row r="2">
          <cell r="A2">
            <v>0</v>
          </cell>
        </row>
      </sheetData>
      <sheetData sheetId="664">
        <row r="2">
          <cell r="A2">
            <v>0</v>
          </cell>
        </row>
      </sheetData>
      <sheetData sheetId="665">
        <row r="2">
          <cell r="A2">
            <v>0</v>
          </cell>
        </row>
      </sheetData>
      <sheetData sheetId="666">
        <row r="2">
          <cell r="A2">
            <v>0</v>
          </cell>
        </row>
      </sheetData>
      <sheetData sheetId="667">
        <row r="2">
          <cell r="A2">
            <v>0</v>
          </cell>
        </row>
      </sheetData>
      <sheetData sheetId="668">
        <row r="2">
          <cell r="A2">
            <v>0</v>
          </cell>
        </row>
      </sheetData>
      <sheetData sheetId="669">
        <row r="2">
          <cell r="A2">
            <v>0</v>
          </cell>
        </row>
      </sheetData>
      <sheetData sheetId="670">
        <row r="2">
          <cell r="A2">
            <v>0</v>
          </cell>
        </row>
      </sheetData>
      <sheetData sheetId="671">
        <row r="2">
          <cell r="A2">
            <v>0</v>
          </cell>
        </row>
      </sheetData>
      <sheetData sheetId="672">
        <row r="2">
          <cell r="A2">
            <v>0</v>
          </cell>
        </row>
      </sheetData>
      <sheetData sheetId="673">
        <row r="2">
          <cell r="A2">
            <v>0</v>
          </cell>
        </row>
      </sheetData>
      <sheetData sheetId="674">
        <row r="2">
          <cell r="A2">
            <v>0</v>
          </cell>
        </row>
      </sheetData>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efreshError="1"/>
      <sheetData sheetId="904" refreshError="1"/>
      <sheetData sheetId="905" refreshError="1"/>
      <sheetData sheetId="906" refreshError="1"/>
      <sheetData sheetId="907" refreshError="1"/>
      <sheetData sheetId="908" refreshError="1"/>
      <sheetData sheetId="909" refreshError="1"/>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efreshError="1"/>
      <sheetData sheetId="1056" refreshError="1"/>
      <sheetData sheetId="1057">
        <row r="2">
          <cell r="A2">
            <v>0</v>
          </cell>
        </row>
      </sheetData>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efreshError="1"/>
      <sheetData sheetId="1079" refreshError="1"/>
      <sheetData sheetId="1080">
        <row r="2">
          <cell r="A2">
            <v>0</v>
          </cell>
        </row>
      </sheetData>
      <sheetData sheetId="1081">
        <row r="2">
          <cell r="A2">
            <v>0</v>
          </cell>
        </row>
      </sheetData>
      <sheetData sheetId="1082" refreshError="1"/>
      <sheetData sheetId="1083" refreshError="1"/>
      <sheetData sheetId="1084">
        <row r="2">
          <cell r="A2">
            <v>0</v>
          </cell>
        </row>
      </sheetData>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efreshError="1"/>
      <sheetData sheetId="1104" refreshError="1"/>
      <sheetData sheetId="1105" refreshError="1"/>
      <sheetData sheetId="1106" refreshError="1"/>
      <sheetData sheetId="1107" refreshError="1"/>
      <sheetData sheetId="1108">
        <row r="2">
          <cell r="A2">
            <v>0</v>
          </cell>
        </row>
      </sheetData>
      <sheetData sheetId="1109">
        <row r="2">
          <cell r="A2">
            <v>0</v>
          </cell>
        </row>
      </sheetData>
      <sheetData sheetId="1110" refreshError="1"/>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efreshError="1"/>
      <sheetData sheetId="1119">
        <row r="2">
          <cell r="A2" t="str">
            <v>Locación</v>
          </cell>
        </row>
      </sheetData>
      <sheetData sheetId="1120" refreshError="1"/>
      <sheetData sheetId="1121">
        <row r="2">
          <cell r="A2">
            <v>0</v>
          </cell>
        </row>
      </sheetData>
      <sheetData sheetId="1122">
        <row r="2">
          <cell r="A2">
            <v>0</v>
          </cell>
        </row>
      </sheetData>
      <sheetData sheetId="1123">
        <row r="2">
          <cell r="A2" t="str">
            <v>FORMULARIO N° 4</v>
          </cell>
        </row>
      </sheetData>
      <sheetData sheetId="1124">
        <row r="2">
          <cell r="A2">
            <v>0</v>
          </cell>
        </row>
      </sheetData>
      <sheetData sheetId="1125">
        <row r="2">
          <cell r="A2">
            <v>0</v>
          </cell>
        </row>
      </sheetData>
      <sheetData sheetId="1126">
        <row r="2">
          <cell r="A2">
            <v>0</v>
          </cell>
        </row>
      </sheetData>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efreshError="1"/>
      <sheetData sheetId="1771" refreshError="1"/>
      <sheetData sheetId="1772">
        <row r="2">
          <cell r="A2">
            <v>0</v>
          </cell>
        </row>
      </sheetData>
      <sheetData sheetId="1773" refreshError="1"/>
      <sheetData sheetId="1774">
        <row r="2">
          <cell r="A2">
            <v>0</v>
          </cell>
        </row>
      </sheetData>
      <sheetData sheetId="1775"/>
      <sheetData sheetId="1776"/>
      <sheetData sheetId="1777"/>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ow r="2">
          <cell r="A2">
            <v>0</v>
          </cell>
        </row>
      </sheetData>
      <sheetData sheetId="1788" refreshError="1"/>
      <sheetData sheetId="1789" refreshError="1"/>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t="str">
            <v>FORMULARIO N° 4</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efreshError="1"/>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sheetData sheetId="4179"/>
      <sheetData sheetId="4180">
        <row r="2">
          <cell r="A2">
            <v>0</v>
          </cell>
        </row>
      </sheetData>
      <sheetData sheetId="4181"/>
      <sheetData sheetId="4182"/>
      <sheetData sheetId="4183"/>
      <sheetData sheetId="4184"/>
      <sheetData sheetId="4185"/>
      <sheetData sheetId="4186"/>
      <sheetData sheetId="4187">
        <row r="2">
          <cell r="A2">
            <v>0</v>
          </cell>
        </row>
      </sheetData>
      <sheetData sheetId="4188"/>
      <sheetData sheetId="4189"/>
      <sheetData sheetId="4190"/>
      <sheetData sheetId="4191"/>
      <sheetData sheetId="4192"/>
      <sheetData sheetId="4193"/>
      <sheetData sheetId="4194"/>
      <sheetData sheetId="4195"/>
      <sheetData sheetId="4196"/>
      <sheetData sheetId="4197"/>
      <sheetData sheetId="4198">
        <row r="2">
          <cell r="A2">
            <v>0</v>
          </cell>
        </row>
      </sheetData>
      <sheetData sheetId="4199"/>
      <sheetData sheetId="4200"/>
      <sheetData sheetId="4201"/>
      <sheetData sheetId="4202"/>
      <sheetData sheetId="4203"/>
      <sheetData sheetId="4204"/>
      <sheetData sheetId="4205"/>
      <sheetData sheetId="4206">
        <row r="2">
          <cell r="A2">
            <v>0</v>
          </cell>
        </row>
      </sheetData>
      <sheetData sheetId="4207">
        <row r="2">
          <cell r="A2">
            <v>0</v>
          </cell>
        </row>
      </sheetData>
      <sheetData sheetId="4208"/>
      <sheetData sheetId="4209"/>
      <sheetData sheetId="4210"/>
      <sheetData sheetId="4211">
        <row r="2">
          <cell r="A2">
            <v>0</v>
          </cell>
        </row>
      </sheetData>
      <sheetData sheetId="4212">
        <row r="2">
          <cell r="A2">
            <v>0</v>
          </cell>
        </row>
      </sheetData>
      <sheetData sheetId="4213"/>
      <sheetData sheetId="4214"/>
      <sheetData sheetId="4215"/>
      <sheetData sheetId="4216">
        <row r="2">
          <cell r="A2">
            <v>0</v>
          </cell>
        </row>
      </sheetData>
      <sheetData sheetId="4217">
        <row r="2">
          <cell r="A2">
            <v>0</v>
          </cell>
        </row>
      </sheetData>
      <sheetData sheetId="4218">
        <row r="2">
          <cell r="A2">
            <v>0</v>
          </cell>
        </row>
      </sheetData>
      <sheetData sheetId="4219"/>
      <sheetData sheetId="4220"/>
      <sheetData sheetId="4221">
        <row r="2">
          <cell r="A2">
            <v>0</v>
          </cell>
        </row>
      </sheetData>
      <sheetData sheetId="4222">
        <row r="2">
          <cell r="A2">
            <v>0</v>
          </cell>
        </row>
      </sheetData>
      <sheetData sheetId="4223"/>
      <sheetData sheetId="4224">
        <row r="2">
          <cell r="A2">
            <v>0</v>
          </cell>
        </row>
      </sheetData>
      <sheetData sheetId="4225"/>
      <sheetData sheetId="4226">
        <row r="2">
          <cell r="A2">
            <v>0</v>
          </cell>
        </row>
      </sheetData>
      <sheetData sheetId="4227"/>
      <sheetData sheetId="4228">
        <row r="2">
          <cell r="A2">
            <v>0</v>
          </cell>
        </row>
      </sheetData>
      <sheetData sheetId="4229">
        <row r="2">
          <cell r="A2">
            <v>0</v>
          </cell>
        </row>
      </sheetData>
      <sheetData sheetId="4230"/>
      <sheetData sheetId="4231"/>
      <sheetData sheetId="4232"/>
      <sheetData sheetId="4233">
        <row r="2">
          <cell r="A2">
            <v>0</v>
          </cell>
        </row>
      </sheetData>
      <sheetData sheetId="4234">
        <row r="2">
          <cell r="A2">
            <v>0</v>
          </cell>
        </row>
      </sheetData>
      <sheetData sheetId="4235"/>
      <sheetData sheetId="4236"/>
      <sheetData sheetId="4237"/>
      <sheetData sheetId="4238"/>
      <sheetData sheetId="4239"/>
      <sheetData sheetId="4240"/>
      <sheetData sheetId="4241">
        <row r="2">
          <cell r="A2">
            <v>0</v>
          </cell>
        </row>
      </sheetData>
      <sheetData sheetId="4242">
        <row r="2">
          <cell r="A2">
            <v>0</v>
          </cell>
        </row>
      </sheetData>
      <sheetData sheetId="4243"/>
      <sheetData sheetId="4244"/>
      <sheetData sheetId="4245"/>
      <sheetData sheetId="4246">
        <row r="2">
          <cell r="A2">
            <v>0</v>
          </cell>
        </row>
      </sheetData>
      <sheetData sheetId="4247">
        <row r="2">
          <cell r="A2">
            <v>0</v>
          </cell>
        </row>
      </sheetData>
      <sheetData sheetId="4248"/>
      <sheetData sheetId="4249"/>
      <sheetData sheetId="4250"/>
      <sheetData sheetId="4251">
        <row r="2">
          <cell r="A2">
            <v>0</v>
          </cell>
        </row>
      </sheetData>
      <sheetData sheetId="4252">
        <row r="2">
          <cell r="A2">
            <v>0</v>
          </cell>
        </row>
      </sheetData>
      <sheetData sheetId="4253">
        <row r="2">
          <cell r="A2">
            <v>0</v>
          </cell>
        </row>
      </sheetData>
      <sheetData sheetId="4254"/>
      <sheetData sheetId="4255"/>
      <sheetData sheetId="4256">
        <row r="2">
          <cell r="A2">
            <v>0</v>
          </cell>
        </row>
      </sheetData>
      <sheetData sheetId="4257">
        <row r="2">
          <cell r="A2">
            <v>0</v>
          </cell>
        </row>
      </sheetData>
      <sheetData sheetId="4258"/>
      <sheetData sheetId="4259"/>
      <sheetData sheetId="4260"/>
      <sheetData sheetId="4261">
        <row r="2">
          <cell r="A2">
            <v>0</v>
          </cell>
        </row>
      </sheetData>
      <sheetData sheetId="4262">
        <row r="2">
          <cell r="A2">
            <v>0</v>
          </cell>
        </row>
      </sheetData>
      <sheetData sheetId="4263"/>
      <sheetData sheetId="4264"/>
      <sheetData sheetId="4265"/>
      <sheetData sheetId="4266">
        <row r="2">
          <cell r="A2">
            <v>0</v>
          </cell>
        </row>
      </sheetData>
      <sheetData sheetId="4267">
        <row r="2">
          <cell r="A2">
            <v>0</v>
          </cell>
        </row>
      </sheetData>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2">
          <cell r="A2">
            <v>0</v>
          </cell>
        </row>
      </sheetData>
      <sheetData sheetId="4292"/>
      <sheetData sheetId="4293"/>
      <sheetData sheetId="4294"/>
      <sheetData sheetId="4295"/>
      <sheetData sheetId="4296"/>
      <sheetData sheetId="4297"/>
      <sheetData sheetId="4298"/>
      <sheetData sheetId="4299">
        <row r="2">
          <cell r="A2">
            <v>0</v>
          </cell>
        </row>
      </sheetData>
      <sheetData sheetId="4300"/>
      <sheetData sheetId="4301">
        <row r="2">
          <cell r="A2">
            <v>0</v>
          </cell>
        </row>
      </sheetData>
      <sheetData sheetId="4302"/>
      <sheetData sheetId="4303"/>
      <sheetData sheetId="4304"/>
      <sheetData sheetId="4305"/>
      <sheetData sheetId="4306"/>
      <sheetData sheetId="4307">
        <row r="2">
          <cell r="A2">
            <v>0</v>
          </cell>
        </row>
      </sheetData>
      <sheetData sheetId="4308"/>
      <sheetData sheetId="4309">
        <row r="2">
          <cell r="A2">
            <v>0</v>
          </cell>
        </row>
      </sheetData>
      <sheetData sheetId="4310"/>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row r="2">
          <cell r="A2">
            <v>0</v>
          </cell>
        </row>
      </sheetData>
      <sheetData sheetId="4338">
        <row r="2">
          <cell r="A2">
            <v>0</v>
          </cell>
        </row>
      </sheetData>
      <sheetData sheetId="4339"/>
      <sheetData sheetId="4340"/>
      <sheetData sheetId="4341"/>
      <sheetData sheetId="4342"/>
      <sheetData sheetId="4343"/>
      <sheetData sheetId="4344"/>
      <sheetData sheetId="4345">
        <row r="2">
          <cell r="A2">
            <v>0</v>
          </cell>
        </row>
      </sheetData>
      <sheetData sheetId="4346">
        <row r="2">
          <cell r="A2">
            <v>0</v>
          </cell>
        </row>
      </sheetData>
      <sheetData sheetId="4347">
        <row r="2">
          <cell r="A2">
            <v>0</v>
          </cell>
        </row>
      </sheetData>
      <sheetData sheetId="4348">
        <row r="2">
          <cell r="A2">
            <v>0</v>
          </cell>
        </row>
      </sheetData>
      <sheetData sheetId="4349"/>
      <sheetData sheetId="4350">
        <row r="2">
          <cell r="A2">
            <v>0</v>
          </cell>
        </row>
      </sheetData>
      <sheetData sheetId="4351"/>
      <sheetData sheetId="4352"/>
      <sheetData sheetId="4353">
        <row r="2">
          <cell r="A2">
            <v>0</v>
          </cell>
        </row>
      </sheetData>
      <sheetData sheetId="4354"/>
      <sheetData sheetId="4355">
        <row r="2">
          <cell r="A2">
            <v>0</v>
          </cell>
        </row>
      </sheetData>
      <sheetData sheetId="4356">
        <row r="2">
          <cell r="A2">
            <v>0</v>
          </cell>
        </row>
      </sheetData>
      <sheetData sheetId="4357">
        <row r="2">
          <cell r="A2">
            <v>0</v>
          </cell>
        </row>
      </sheetData>
      <sheetData sheetId="4358"/>
      <sheetData sheetId="4359"/>
      <sheetData sheetId="4360">
        <row r="2">
          <cell r="A2">
            <v>0</v>
          </cell>
        </row>
      </sheetData>
      <sheetData sheetId="4361"/>
      <sheetData sheetId="4362"/>
      <sheetData sheetId="4363">
        <row r="2">
          <cell r="A2">
            <v>0</v>
          </cell>
        </row>
      </sheetData>
      <sheetData sheetId="4364"/>
      <sheetData sheetId="4365">
        <row r="2">
          <cell r="A2">
            <v>0</v>
          </cell>
        </row>
      </sheetData>
      <sheetData sheetId="4366"/>
      <sheetData sheetId="4367"/>
      <sheetData sheetId="4368"/>
      <sheetData sheetId="4369"/>
      <sheetData sheetId="4370"/>
      <sheetData sheetId="4371"/>
      <sheetData sheetId="4372">
        <row r="2">
          <cell r="A2">
            <v>0</v>
          </cell>
        </row>
      </sheetData>
      <sheetData sheetId="4373">
        <row r="2">
          <cell r="A2">
            <v>0</v>
          </cell>
        </row>
      </sheetData>
      <sheetData sheetId="4374"/>
      <sheetData sheetId="4375"/>
      <sheetData sheetId="4376"/>
      <sheetData sheetId="4377"/>
      <sheetData sheetId="4378"/>
      <sheetData sheetId="4379"/>
      <sheetData sheetId="4380"/>
      <sheetData sheetId="4381"/>
      <sheetData sheetId="4382"/>
      <sheetData sheetId="4383">
        <row r="2">
          <cell r="A2">
            <v>0</v>
          </cell>
        </row>
      </sheetData>
      <sheetData sheetId="4384">
        <row r="2">
          <cell r="A2">
            <v>0</v>
          </cell>
        </row>
      </sheetData>
      <sheetData sheetId="4385"/>
      <sheetData sheetId="4386"/>
      <sheetData sheetId="4387"/>
      <sheetData sheetId="4388"/>
      <sheetData sheetId="4389"/>
      <sheetData sheetId="4390"/>
      <sheetData sheetId="4391">
        <row r="2">
          <cell r="A2">
            <v>0</v>
          </cell>
        </row>
      </sheetData>
      <sheetData sheetId="4392">
        <row r="2">
          <cell r="A2">
            <v>0</v>
          </cell>
        </row>
      </sheetData>
      <sheetData sheetId="4393">
        <row r="2">
          <cell r="A2">
            <v>0</v>
          </cell>
        </row>
      </sheetData>
      <sheetData sheetId="4394">
        <row r="2">
          <cell r="A2">
            <v>0</v>
          </cell>
        </row>
      </sheetData>
      <sheetData sheetId="4395"/>
      <sheetData sheetId="4396">
        <row r="2">
          <cell r="A2">
            <v>0</v>
          </cell>
        </row>
      </sheetData>
      <sheetData sheetId="4397">
        <row r="2">
          <cell r="A2">
            <v>0</v>
          </cell>
        </row>
      </sheetData>
      <sheetData sheetId="4398"/>
      <sheetData sheetId="4399">
        <row r="2">
          <cell r="A2">
            <v>0</v>
          </cell>
        </row>
      </sheetData>
      <sheetData sheetId="4400"/>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sheetData sheetId="4409">
        <row r="2">
          <cell r="A2">
            <v>0</v>
          </cell>
        </row>
      </sheetData>
      <sheetData sheetId="4410"/>
      <sheetData sheetId="4411">
        <row r="2">
          <cell r="A2">
            <v>0</v>
          </cell>
        </row>
      </sheetData>
      <sheetData sheetId="4412">
        <row r="2">
          <cell r="A2">
            <v>0</v>
          </cell>
        </row>
      </sheetData>
      <sheetData sheetId="4413"/>
      <sheetData sheetId="4414"/>
      <sheetData sheetId="4415"/>
      <sheetData sheetId="4416"/>
      <sheetData sheetId="4417"/>
      <sheetData sheetId="4418"/>
      <sheetData sheetId="4419">
        <row r="2">
          <cell r="A2">
            <v>0</v>
          </cell>
        </row>
      </sheetData>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sheetData sheetId="4525"/>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sheetData sheetId="4547">
        <row r="2">
          <cell r="A2">
            <v>0</v>
          </cell>
        </row>
      </sheetData>
      <sheetData sheetId="4548">
        <row r="2">
          <cell r="A2">
            <v>0</v>
          </cell>
        </row>
      </sheetData>
      <sheetData sheetId="4549"/>
      <sheetData sheetId="4550">
        <row r="2">
          <cell r="A2">
            <v>0</v>
          </cell>
        </row>
      </sheetData>
      <sheetData sheetId="4551"/>
      <sheetData sheetId="4552"/>
      <sheetData sheetId="4553"/>
      <sheetData sheetId="4554"/>
      <sheetData sheetId="4555"/>
      <sheetData sheetId="4556"/>
      <sheetData sheetId="4557">
        <row r="2">
          <cell r="A2">
            <v>0</v>
          </cell>
        </row>
      </sheetData>
      <sheetData sheetId="4558">
        <row r="2">
          <cell r="A2">
            <v>0</v>
          </cell>
        </row>
      </sheetData>
      <sheetData sheetId="4559"/>
      <sheetData sheetId="4560"/>
      <sheetData sheetId="4561"/>
      <sheetData sheetId="4562"/>
      <sheetData sheetId="4563"/>
      <sheetData sheetId="4564"/>
      <sheetData sheetId="4565"/>
      <sheetData sheetId="4566"/>
      <sheetData sheetId="4567"/>
      <sheetData sheetId="4568">
        <row r="2">
          <cell r="A2">
            <v>0</v>
          </cell>
        </row>
      </sheetData>
      <sheetData sheetId="4569">
        <row r="2">
          <cell r="A2">
            <v>0</v>
          </cell>
        </row>
      </sheetData>
      <sheetData sheetId="4570"/>
      <sheetData sheetId="4571"/>
      <sheetData sheetId="4572"/>
      <sheetData sheetId="4573"/>
      <sheetData sheetId="4574"/>
      <sheetData sheetId="4575"/>
      <sheetData sheetId="4576">
        <row r="2">
          <cell r="A2">
            <v>0</v>
          </cell>
        </row>
      </sheetData>
      <sheetData sheetId="4577">
        <row r="2">
          <cell r="A2">
            <v>0</v>
          </cell>
        </row>
      </sheetData>
      <sheetData sheetId="4578">
        <row r="2">
          <cell r="A2">
            <v>0</v>
          </cell>
        </row>
      </sheetData>
      <sheetData sheetId="4579">
        <row r="2">
          <cell r="A2">
            <v>0</v>
          </cell>
        </row>
      </sheetData>
      <sheetData sheetId="4580"/>
      <sheetData sheetId="4581"/>
      <sheetData sheetId="4582">
        <row r="2">
          <cell r="A2">
            <v>0</v>
          </cell>
        </row>
      </sheetData>
      <sheetData sheetId="4583"/>
      <sheetData sheetId="4584">
        <row r="2">
          <cell r="A2">
            <v>0</v>
          </cell>
        </row>
      </sheetData>
      <sheetData sheetId="4585"/>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sheetData sheetId="4592">
        <row r="2">
          <cell r="A2">
            <v>0</v>
          </cell>
        </row>
      </sheetData>
      <sheetData sheetId="4593"/>
      <sheetData sheetId="4594">
        <row r="2">
          <cell r="A2">
            <v>0</v>
          </cell>
        </row>
      </sheetData>
      <sheetData sheetId="4595"/>
      <sheetData sheetId="4596">
        <row r="2">
          <cell r="A2">
            <v>0</v>
          </cell>
        </row>
      </sheetData>
      <sheetData sheetId="4597">
        <row r="2">
          <cell r="A2">
            <v>0</v>
          </cell>
        </row>
      </sheetData>
      <sheetData sheetId="4598"/>
      <sheetData sheetId="4599">
        <row r="2">
          <cell r="A2">
            <v>0</v>
          </cell>
        </row>
      </sheetData>
      <sheetData sheetId="4600"/>
      <sheetData sheetId="4601"/>
      <sheetData sheetId="4602"/>
      <sheetData sheetId="4603"/>
      <sheetData sheetId="4604">
        <row r="2">
          <cell r="A2">
            <v>0</v>
          </cell>
        </row>
      </sheetData>
      <sheetData sheetId="4605"/>
      <sheetData sheetId="4606"/>
      <sheetData sheetId="4607"/>
      <sheetData sheetId="4608"/>
      <sheetData sheetId="4609"/>
      <sheetData sheetId="4610"/>
      <sheetData sheetId="4611"/>
      <sheetData sheetId="4612">
        <row r="2">
          <cell r="A2">
            <v>0</v>
          </cell>
        </row>
      </sheetData>
      <sheetData sheetId="4613"/>
      <sheetData sheetId="4614"/>
      <sheetData sheetId="4615"/>
      <sheetData sheetId="4616"/>
      <sheetData sheetId="4617">
        <row r="2">
          <cell r="A2">
            <v>0</v>
          </cell>
        </row>
      </sheetData>
      <sheetData sheetId="4618"/>
      <sheetData sheetId="4619"/>
      <sheetData sheetId="4620"/>
      <sheetData sheetId="4621"/>
      <sheetData sheetId="4622">
        <row r="2">
          <cell r="A2">
            <v>0</v>
          </cell>
        </row>
      </sheetData>
      <sheetData sheetId="4623">
        <row r="2">
          <cell r="A2">
            <v>0</v>
          </cell>
        </row>
      </sheetData>
      <sheetData sheetId="4624"/>
      <sheetData sheetId="4625">
        <row r="2">
          <cell r="A2">
            <v>0</v>
          </cell>
        </row>
      </sheetData>
      <sheetData sheetId="4626"/>
      <sheetData sheetId="4627">
        <row r="2">
          <cell r="A2">
            <v>0</v>
          </cell>
        </row>
      </sheetData>
      <sheetData sheetId="4628"/>
      <sheetData sheetId="4629"/>
      <sheetData sheetId="4630">
        <row r="2">
          <cell r="A2">
            <v>0</v>
          </cell>
        </row>
      </sheetData>
      <sheetData sheetId="4631"/>
      <sheetData sheetId="4632">
        <row r="2">
          <cell r="A2">
            <v>0</v>
          </cell>
        </row>
      </sheetData>
      <sheetData sheetId="4633">
        <row r="2">
          <cell r="A2">
            <v>0</v>
          </cell>
        </row>
      </sheetData>
      <sheetData sheetId="4634"/>
      <sheetData sheetId="4635">
        <row r="2">
          <cell r="A2">
            <v>0</v>
          </cell>
        </row>
      </sheetData>
      <sheetData sheetId="4636"/>
      <sheetData sheetId="4637">
        <row r="2">
          <cell r="A2">
            <v>0</v>
          </cell>
        </row>
      </sheetData>
      <sheetData sheetId="4638"/>
      <sheetData sheetId="4639"/>
      <sheetData sheetId="4640">
        <row r="2">
          <cell r="A2">
            <v>0</v>
          </cell>
        </row>
      </sheetData>
      <sheetData sheetId="4641"/>
      <sheetData sheetId="4642">
        <row r="2">
          <cell r="A2">
            <v>0</v>
          </cell>
        </row>
      </sheetData>
      <sheetData sheetId="4643">
        <row r="2">
          <cell r="A2">
            <v>0</v>
          </cell>
        </row>
      </sheetData>
      <sheetData sheetId="4644"/>
      <sheetData sheetId="4645"/>
      <sheetData sheetId="4646"/>
      <sheetData sheetId="4647"/>
      <sheetData sheetId="4648"/>
      <sheetData sheetId="4649"/>
      <sheetData sheetId="4650">
        <row r="2">
          <cell r="A2">
            <v>0</v>
          </cell>
        </row>
      </sheetData>
      <sheetData sheetId="4651"/>
      <sheetData sheetId="4652"/>
      <sheetData sheetId="4653"/>
      <sheetData sheetId="4654"/>
      <sheetData sheetId="4655"/>
      <sheetData sheetId="4656"/>
      <sheetData sheetId="4657"/>
      <sheetData sheetId="4658"/>
      <sheetData sheetId="4659"/>
      <sheetData sheetId="4660"/>
      <sheetData sheetId="4661">
        <row r="2">
          <cell r="A2">
            <v>0</v>
          </cell>
        </row>
      </sheetData>
      <sheetData sheetId="4662"/>
      <sheetData sheetId="4663"/>
      <sheetData sheetId="4664"/>
      <sheetData sheetId="4665"/>
      <sheetData sheetId="4666"/>
      <sheetData sheetId="4667"/>
      <sheetData sheetId="4668"/>
      <sheetData sheetId="4669">
        <row r="2">
          <cell r="A2">
            <v>0</v>
          </cell>
        </row>
      </sheetData>
      <sheetData sheetId="4670"/>
      <sheetData sheetId="4671">
        <row r="2">
          <cell r="A2">
            <v>0</v>
          </cell>
        </row>
      </sheetData>
      <sheetData sheetId="4672"/>
      <sheetData sheetId="4673"/>
      <sheetData sheetId="4674"/>
      <sheetData sheetId="4675"/>
      <sheetData sheetId="4676">
        <row r="2">
          <cell r="A2">
            <v>0</v>
          </cell>
        </row>
      </sheetData>
      <sheetData sheetId="4677">
        <row r="2">
          <cell r="A2">
            <v>0</v>
          </cell>
        </row>
      </sheetData>
      <sheetData sheetId="4678"/>
      <sheetData sheetId="4679">
        <row r="2">
          <cell r="A2">
            <v>0</v>
          </cell>
        </row>
      </sheetData>
      <sheetData sheetId="4680"/>
      <sheetData sheetId="4681"/>
      <sheetData sheetId="4682"/>
      <sheetData sheetId="4683"/>
      <sheetData sheetId="4684"/>
      <sheetData sheetId="4685"/>
      <sheetData sheetId="4686">
        <row r="2">
          <cell r="A2">
            <v>0</v>
          </cell>
        </row>
      </sheetData>
      <sheetData sheetId="4687">
        <row r="2">
          <cell r="A2">
            <v>0</v>
          </cell>
        </row>
      </sheetData>
      <sheetData sheetId="4688"/>
      <sheetData sheetId="4689">
        <row r="2">
          <cell r="A2">
            <v>0</v>
          </cell>
        </row>
      </sheetData>
      <sheetData sheetId="4690"/>
      <sheetData sheetId="4691"/>
      <sheetData sheetId="4692"/>
      <sheetData sheetId="4693"/>
      <sheetData sheetId="4694"/>
      <sheetData sheetId="4695"/>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sheetData sheetId="5105">
        <row r="2">
          <cell r="A2">
            <v>0</v>
          </cell>
        </row>
      </sheetData>
      <sheetData sheetId="5106"/>
      <sheetData sheetId="5107"/>
      <sheetData sheetId="5108"/>
      <sheetData sheetId="5109"/>
      <sheetData sheetId="5110"/>
      <sheetData sheetId="5111"/>
      <sheetData sheetId="5112">
        <row r="2">
          <cell r="A2">
            <v>0</v>
          </cell>
        </row>
      </sheetData>
      <sheetData sheetId="5113">
        <row r="2">
          <cell r="A2">
            <v>0</v>
          </cell>
        </row>
      </sheetData>
      <sheetData sheetId="5114"/>
      <sheetData sheetId="5115"/>
      <sheetData sheetId="5116"/>
      <sheetData sheetId="5117"/>
      <sheetData sheetId="5118"/>
      <sheetData sheetId="5119"/>
      <sheetData sheetId="5120"/>
      <sheetData sheetId="5121"/>
      <sheetData sheetId="5122"/>
      <sheetData sheetId="5123"/>
      <sheetData sheetId="5124">
        <row r="2">
          <cell r="A2">
            <v>0</v>
          </cell>
        </row>
      </sheetData>
      <sheetData sheetId="5125"/>
      <sheetData sheetId="5126"/>
      <sheetData sheetId="5127"/>
      <sheetData sheetId="5128"/>
      <sheetData sheetId="5129"/>
      <sheetData sheetId="5130"/>
      <sheetData sheetId="5131">
        <row r="2">
          <cell r="A2">
            <v>0</v>
          </cell>
        </row>
      </sheetData>
      <sheetData sheetId="5132">
        <row r="2">
          <cell r="A2">
            <v>0</v>
          </cell>
        </row>
      </sheetData>
      <sheetData sheetId="5133">
        <row r="2">
          <cell r="A2">
            <v>0</v>
          </cell>
        </row>
      </sheetData>
      <sheetData sheetId="5134">
        <row r="2">
          <cell r="A2">
            <v>0</v>
          </cell>
        </row>
      </sheetData>
      <sheetData sheetId="5135"/>
      <sheetData sheetId="5136"/>
      <sheetData sheetId="5137"/>
      <sheetData sheetId="5138"/>
      <sheetData sheetId="5139">
        <row r="2">
          <cell r="A2">
            <v>0</v>
          </cell>
        </row>
      </sheetData>
      <sheetData sheetId="5140"/>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sheetData sheetId="5147"/>
      <sheetData sheetId="5148"/>
      <sheetData sheetId="5149">
        <row r="2">
          <cell r="A2">
            <v>0</v>
          </cell>
        </row>
      </sheetData>
      <sheetData sheetId="5150"/>
      <sheetData sheetId="5151">
        <row r="2">
          <cell r="A2">
            <v>0</v>
          </cell>
        </row>
      </sheetData>
      <sheetData sheetId="5152">
        <row r="2">
          <cell r="A2">
            <v>0</v>
          </cell>
        </row>
      </sheetData>
      <sheetData sheetId="5153"/>
      <sheetData sheetId="5154"/>
      <sheetData sheetId="5155"/>
      <sheetData sheetId="5156"/>
      <sheetData sheetId="5157"/>
      <sheetData sheetId="5158"/>
      <sheetData sheetId="5159">
        <row r="2">
          <cell r="A2">
            <v>0</v>
          </cell>
        </row>
      </sheetData>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ow r="2">
          <cell r="A2">
            <v>0</v>
          </cell>
        </row>
      </sheetData>
      <sheetData sheetId="5179"/>
      <sheetData sheetId="5180">
        <row r="2">
          <cell r="A2">
            <v>0</v>
          </cell>
        </row>
      </sheetData>
      <sheetData sheetId="5181"/>
      <sheetData sheetId="5182">
        <row r="2">
          <cell r="A2">
            <v>0</v>
          </cell>
        </row>
      </sheetData>
      <sheetData sheetId="5183"/>
      <sheetData sheetId="5184"/>
      <sheetData sheetId="5185">
        <row r="2">
          <cell r="A2">
            <v>0</v>
          </cell>
        </row>
      </sheetData>
      <sheetData sheetId="5186"/>
      <sheetData sheetId="5187">
        <row r="2">
          <cell r="A2">
            <v>0</v>
          </cell>
        </row>
      </sheetData>
      <sheetData sheetId="5188">
        <row r="2">
          <cell r="A2">
            <v>0</v>
          </cell>
        </row>
      </sheetData>
      <sheetData sheetId="5189"/>
      <sheetData sheetId="5190">
        <row r="2">
          <cell r="A2">
            <v>0</v>
          </cell>
        </row>
      </sheetData>
      <sheetData sheetId="5191"/>
      <sheetData sheetId="5192"/>
      <sheetData sheetId="5193"/>
      <sheetData sheetId="5194"/>
      <sheetData sheetId="5195">
        <row r="2">
          <cell r="A2">
            <v>0</v>
          </cell>
        </row>
      </sheetData>
      <sheetData sheetId="5196"/>
      <sheetData sheetId="5197">
        <row r="2">
          <cell r="A2">
            <v>0</v>
          </cell>
        </row>
      </sheetData>
      <sheetData sheetId="5198">
        <row r="2">
          <cell r="A2">
            <v>0</v>
          </cell>
        </row>
      </sheetData>
      <sheetData sheetId="5199"/>
      <sheetData sheetId="5200"/>
      <sheetData sheetId="5201"/>
      <sheetData sheetId="5202"/>
      <sheetData sheetId="5203"/>
      <sheetData sheetId="5204"/>
      <sheetData sheetId="5205">
        <row r="2">
          <cell r="A2">
            <v>0</v>
          </cell>
        </row>
      </sheetData>
      <sheetData sheetId="5206"/>
      <sheetData sheetId="5207"/>
      <sheetData sheetId="5208"/>
      <sheetData sheetId="5209"/>
      <sheetData sheetId="5210"/>
      <sheetData sheetId="5211"/>
      <sheetData sheetId="5212"/>
      <sheetData sheetId="5213"/>
      <sheetData sheetId="5214"/>
      <sheetData sheetId="5215"/>
      <sheetData sheetId="5216">
        <row r="2">
          <cell r="A2">
            <v>0</v>
          </cell>
        </row>
      </sheetData>
      <sheetData sheetId="5217"/>
      <sheetData sheetId="5218"/>
      <sheetData sheetId="5219"/>
      <sheetData sheetId="5220"/>
      <sheetData sheetId="5221"/>
      <sheetData sheetId="5222"/>
      <sheetData sheetId="5223"/>
      <sheetData sheetId="5224">
        <row r="2">
          <cell r="A2">
            <v>0</v>
          </cell>
        </row>
      </sheetData>
      <sheetData sheetId="5225"/>
      <sheetData sheetId="5226">
        <row r="2">
          <cell r="A2">
            <v>0</v>
          </cell>
        </row>
      </sheetData>
      <sheetData sheetId="5227"/>
      <sheetData sheetId="5228"/>
      <sheetData sheetId="5229"/>
      <sheetData sheetId="5230"/>
      <sheetData sheetId="5231">
        <row r="2">
          <cell r="A2">
            <v>0</v>
          </cell>
        </row>
      </sheetData>
      <sheetData sheetId="5232">
        <row r="2">
          <cell r="A2">
            <v>0</v>
          </cell>
        </row>
      </sheetData>
      <sheetData sheetId="5233"/>
      <sheetData sheetId="5234">
        <row r="2">
          <cell r="A2">
            <v>0</v>
          </cell>
        </row>
      </sheetData>
      <sheetData sheetId="5235"/>
      <sheetData sheetId="5236"/>
      <sheetData sheetId="5237"/>
      <sheetData sheetId="5238"/>
      <sheetData sheetId="5239"/>
      <sheetData sheetId="5240"/>
      <sheetData sheetId="5241">
        <row r="2">
          <cell r="A2">
            <v>0</v>
          </cell>
        </row>
      </sheetData>
      <sheetData sheetId="5242">
        <row r="2">
          <cell r="A2">
            <v>0</v>
          </cell>
        </row>
      </sheetData>
      <sheetData sheetId="5243"/>
      <sheetData sheetId="5244">
        <row r="2">
          <cell r="A2">
            <v>0</v>
          </cell>
        </row>
      </sheetData>
      <sheetData sheetId="5245"/>
      <sheetData sheetId="5246"/>
      <sheetData sheetId="5247"/>
      <sheetData sheetId="5248"/>
      <sheetData sheetId="5249"/>
      <sheetData sheetId="5250"/>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efreshError="1"/>
      <sheetData sheetId="5520">
        <row r="2">
          <cell r="A2">
            <v>0</v>
          </cell>
        </row>
      </sheetData>
      <sheetData sheetId="5521" refreshError="1"/>
      <sheetData sheetId="5522" refreshError="1"/>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efreshError="1"/>
      <sheetData sheetId="5534" refreshError="1"/>
      <sheetData sheetId="5535" refreshError="1"/>
      <sheetData sheetId="5536" refreshError="1"/>
      <sheetData sheetId="5537" refreshError="1"/>
      <sheetData sheetId="5538" refreshError="1"/>
      <sheetData sheetId="5539">
        <row r="2">
          <cell r="A2">
            <v>0</v>
          </cell>
        </row>
      </sheetData>
      <sheetData sheetId="5540"/>
      <sheetData sheetId="5541"/>
      <sheetData sheetId="5542"/>
      <sheetData sheetId="5543"/>
      <sheetData sheetId="5544"/>
      <sheetData sheetId="5545">
        <row r="2">
          <cell r="A2">
            <v>0</v>
          </cell>
        </row>
      </sheetData>
      <sheetData sheetId="5546"/>
      <sheetData sheetId="5547">
        <row r="2">
          <cell r="A2">
            <v>0</v>
          </cell>
        </row>
      </sheetData>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sheetData sheetId="5563"/>
      <sheetData sheetId="5564"/>
      <sheetData sheetId="5565"/>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sheetData sheetId="5584">
        <row r="2">
          <cell r="A2">
            <v>0</v>
          </cell>
        </row>
      </sheetData>
      <sheetData sheetId="5585">
        <row r="2">
          <cell r="A2">
            <v>0</v>
          </cell>
        </row>
      </sheetData>
      <sheetData sheetId="5586">
        <row r="2">
          <cell r="A2">
            <v>0</v>
          </cell>
        </row>
      </sheetData>
      <sheetData sheetId="5587">
        <row r="2">
          <cell r="A2">
            <v>0</v>
          </cell>
        </row>
      </sheetData>
      <sheetData sheetId="5588"/>
      <sheetData sheetId="5589"/>
      <sheetData sheetId="5590"/>
      <sheetData sheetId="5591"/>
      <sheetData sheetId="5592"/>
      <sheetData sheetId="5593"/>
      <sheetData sheetId="5594">
        <row r="2">
          <cell r="B2">
            <v>0</v>
          </cell>
        </row>
      </sheetData>
      <sheetData sheetId="5595">
        <row r="2">
          <cell r="B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B2">
            <v>0</v>
          </cell>
        </row>
      </sheetData>
      <sheetData sheetId="5617">
        <row r="2">
          <cell r="B2">
            <v>0</v>
          </cell>
        </row>
      </sheetData>
      <sheetData sheetId="5618">
        <row r="2">
          <cell r="B2">
            <v>0</v>
          </cell>
        </row>
      </sheetData>
      <sheetData sheetId="5619">
        <row r="2">
          <cell r="A2">
            <v>0</v>
          </cell>
        </row>
      </sheetData>
      <sheetData sheetId="5620">
        <row r="2">
          <cell r="B2">
            <v>0</v>
          </cell>
        </row>
      </sheetData>
      <sheetData sheetId="5621">
        <row r="2">
          <cell r="B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B2">
            <v>0</v>
          </cell>
        </row>
      </sheetData>
      <sheetData sheetId="5643">
        <row r="2">
          <cell r="B2">
            <v>0</v>
          </cell>
        </row>
      </sheetData>
      <sheetData sheetId="5644">
        <row r="2">
          <cell r="B2">
            <v>0</v>
          </cell>
        </row>
      </sheetData>
      <sheetData sheetId="5645"/>
      <sheetData sheetId="5646"/>
      <sheetData sheetId="5647"/>
      <sheetData sheetId="5648"/>
      <sheetData sheetId="5649">
        <row r="2">
          <cell r="A2">
            <v>0</v>
          </cell>
        </row>
      </sheetData>
      <sheetData sheetId="5650">
        <row r="2">
          <cell r="B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B2">
            <v>0</v>
          </cell>
        </row>
      </sheetData>
      <sheetData sheetId="5675"/>
      <sheetData sheetId="5676"/>
      <sheetData sheetId="5677"/>
      <sheetData sheetId="5678"/>
      <sheetData sheetId="5679">
        <row r="2">
          <cell r="B2">
            <v>0</v>
          </cell>
        </row>
      </sheetData>
      <sheetData sheetId="5680">
        <row r="2">
          <cell r="B2">
            <v>0</v>
          </cell>
        </row>
      </sheetData>
      <sheetData sheetId="5681">
        <row r="2">
          <cell r="B2">
            <v>0</v>
          </cell>
        </row>
      </sheetData>
      <sheetData sheetId="5682">
        <row r="2">
          <cell r="B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sheetData sheetId="5704"/>
      <sheetData sheetId="5705"/>
      <sheetData sheetId="5706"/>
      <sheetData sheetId="5707"/>
      <sheetData sheetId="5708"/>
      <sheetData sheetId="5709"/>
      <sheetData sheetId="5710">
        <row r="2">
          <cell r="B2">
            <v>0</v>
          </cell>
        </row>
      </sheetData>
      <sheetData sheetId="5711">
        <row r="2">
          <cell r="B2">
            <v>0</v>
          </cell>
        </row>
      </sheetData>
      <sheetData sheetId="5712">
        <row r="2">
          <cell r="B2">
            <v>0</v>
          </cell>
        </row>
      </sheetData>
      <sheetData sheetId="5713"/>
      <sheetData sheetId="5714"/>
      <sheetData sheetId="5715">
        <row r="2">
          <cell r="B2">
            <v>0</v>
          </cell>
        </row>
      </sheetData>
      <sheetData sheetId="5716">
        <row r="2">
          <cell r="B2">
            <v>0</v>
          </cell>
        </row>
      </sheetData>
      <sheetData sheetId="5717">
        <row r="2">
          <cell r="A2">
            <v>0</v>
          </cell>
        </row>
      </sheetData>
      <sheetData sheetId="5718">
        <row r="2">
          <cell r="A2">
            <v>0</v>
          </cell>
        </row>
      </sheetData>
      <sheetData sheetId="5719">
        <row r="2">
          <cell r="A2">
            <v>0</v>
          </cell>
        </row>
      </sheetData>
      <sheetData sheetId="5720">
        <row r="2">
          <cell r="A2">
            <v>0</v>
          </cell>
        </row>
      </sheetData>
      <sheetData sheetId="5721">
        <row r="2">
          <cell r="A2">
            <v>0</v>
          </cell>
        </row>
      </sheetData>
      <sheetData sheetId="5722"/>
      <sheetData sheetId="5723"/>
      <sheetData sheetId="5724"/>
      <sheetData sheetId="5725"/>
      <sheetData sheetId="5726" refreshError="1"/>
      <sheetData sheetId="5727" refreshError="1"/>
      <sheetData sheetId="5728" refreshError="1"/>
      <sheetData sheetId="5729" refreshError="1"/>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50">
        <row r="2">
          <cell r="A2">
            <v>0</v>
          </cell>
        </row>
      </sheetData>
      <sheetData sheetId="5751"/>
      <sheetData sheetId="5752"/>
      <sheetData sheetId="5753">
        <row r="5">
          <cell r="A5" t="str">
            <v>OFERTA ECONÓMICA DETALLADA</v>
          </cell>
        </row>
      </sheetData>
      <sheetData sheetId="5754"/>
      <sheetData sheetId="5755">
        <row r="2">
          <cell r="B2">
            <v>0</v>
          </cell>
        </row>
      </sheetData>
      <sheetData sheetId="5756"/>
      <sheetData sheetId="5757" refreshError="1"/>
      <sheetData sheetId="5758">
        <row r="2">
          <cell r="A2">
            <v>0</v>
          </cell>
        </row>
      </sheetData>
      <sheetData sheetId="5759"/>
      <sheetData sheetId="5760"/>
      <sheetData sheetId="5761">
        <row r="2">
          <cell r="A2">
            <v>0</v>
          </cell>
        </row>
      </sheetData>
      <sheetData sheetId="5762"/>
      <sheetData sheetId="5763"/>
      <sheetData sheetId="5764"/>
      <sheetData sheetId="5765"/>
      <sheetData sheetId="5766"/>
      <sheetData sheetId="5767"/>
      <sheetData sheetId="5768"/>
      <sheetData sheetId="5769"/>
      <sheetData sheetId="5770">
        <row r="2">
          <cell r="B2" t="str">
            <v>Patrimonio
neto
personal</v>
          </cell>
        </row>
      </sheetData>
      <sheetData sheetId="5771">
        <row r="2">
          <cell r="B2" t="str">
            <v>Patrimonio
neto
personal</v>
          </cell>
        </row>
      </sheetData>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row r="2">
          <cell r="A2">
            <v>0</v>
          </cell>
        </row>
      </sheetData>
      <sheetData sheetId="5789"/>
      <sheetData sheetId="5790"/>
      <sheetData sheetId="5791"/>
      <sheetData sheetId="5792"/>
      <sheetData sheetId="5793"/>
      <sheetData sheetId="5794"/>
      <sheetData sheetId="5795"/>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row r="2">
          <cell r="A2">
            <v>0</v>
          </cell>
        </row>
      </sheetData>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row r="2">
          <cell r="A2">
            <v>0</v>
          </cell>
        </row>
      </sheetData>
      <sheetData sheetId="5849">
        <row r="2">
          <cell r="A2">
            <v>0</v>
          </cell>
        </row>
      </sheetData>
      <sheetData sheetId="5850">
        <row r="2">
          <cell r="A2" t="str">
            <v>“CONSTRUCCIÓN DE OBRAS CIVILES, ELÉCTRICAS, MECÁNICAS E INSTRUMENTACIÓN REQUERIDAS POR ECOPETROL Y SU GRUPO EMPRESARIAL PARA LA VIGENCIA 2017-2020 CON OPCIÓN DE DOS AÑOS”</v>
          </cell>
        </row>
      </sheetData>
      <sheetData sheetId="5851">
        <row r="2">
          <cell r="A2">
            <v>0</v>
          </cell>
        </row>
      </sheetData>
      <sheetData sheetId="5852">
        <row r="2">
          <cell r="A2">
            <v>0</v>
          </cell>
        </row>
      </sheetData>
      <sheetData sheetId="5853">
        <row r="2">
          <cell r="A2">
            <v>0</v>
          </cell>
        </row>
      </sheetData>
      <sheetData sheetId="5854">
        <row r="2">
          <cell r="A2">
            <v>0</v>
          </cell>
        </row>
      </sheetData>
      <sheetData sheetId="5855">
        <row r="2">
          <cell r="A2">
            <v>0</v>
          </cell>
        </row>
      </sheetData>
      <sheetData sheetId="5856">
        <row r="2">
          <cell r="A2">
            <v>0</v>
          </cell>
        </row>
      </sheetData>
      <sheetData sheetId="5857">
        <row r="2">
          <cell r="A2">
            <v>0</v>
          </cell>
        </row>
      </sheetData>
      <sheetData sheetId="5858">
        <row r="2">
          <cell r="A2">
            <v>0</v>
          </cell>
        </row>
      </sheetData>
      <sheetData sheetId="5859">
        <row r="2">
          <cell r="A2">
            <v>0</v>
          </cell>
        </row>
      </sheetData>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ow r="2">
          <cell r="A2">
            <v>0</v>
          </cell>
        </row>
      </sheetData>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sheetData sheetId="6029"/>
      <sheetData sheetId="6030"/>
      <sheetData sheetId="6031"/>
      <sheetData sheetId="6032"/>
      <sheetData sheetId="6033"/>
      <sheetData sheetId="6034"/>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sheetData sheetId="6108" refreshError="1"/>
      <sheetData sheetId="6109">
        <row r="2">
          <cell r="A2">
            <v>0</v>
          </cell>
        </row>
      </sheetData>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sheetData sheetId="6196">
        <row r="2">
          <cell r="A2" t="str">
            <v>“CONSTRUCCIÓN DE OBRAS CIVILES, ELÉCTRICAS, MECÁNICAS E INSTRUMENTACIÓN REQUERIDAS POR ECOPETROL Y SU GRUPO EMPRESARIAL PARA LA VIGENCIA 2017-2020 CON OPCIÓN DE DOS AÑOS”</v>
          </cell>
        </row>
      </sheetData>
      <sheetData sheetId="6197">
        <row r="5">
          <cell r="A5">
            <v>0</v>
          </cell>
        </row>
      </sheetData>
      <sheetData sheetId="6198"/>
      <sheetData sheetId="6199">
        <row r="2">
          <cell r="A2">
            <v>0</v>
          </cell>
        </row>
      </sheetData>
      <sheetData sheetId="6200"/>
      <sheetData sheetId="6201"/>
      <sheetData sheetId="6202">
        <row r="2">
          <cell r="B2">
            <v>0</v>
          </cell>
        </row>
      </sheetData>
      <sheetData sheetId="6203"/>
      <sheetData sheetId="6204"/>
      <sheetData sheetId="6205"/>
      <sheetData sheetId="6206">
        <row r="2">
          <cell r="A2">
            <v>0</v>
          </cell>
        </row>
      </sheetData>
      <sheetData sheetId="6207"/>
      <sheetData sheetId="6208"/>
      <sheetData sheetId="6209"/>
      <sheetData sheetId="6210"/>
      <sheetData sheetId="6211"/>
      <sheetData sheetId="6212"/>
      <sheetData sheetId="6213"/>
      <sheetData sheetId="6214"/>
      <sheetData sheetId="6215"/>
      <sheetData sheetId="6216">
        <row r="2">
          <cell r="A2">
            <v>0</v>
          </cell>
        </row>
      </sheetData>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row r="2">
          <cell r="A2">
            <v>0</v>
          </cell>
        </row>
      </sheetData>
      <sheetData sheetId="6345"/>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row r="2">
          <cell r="A2">
            <v>0</v>
          </cell>
        </row>
      </sheetData>
      <sheetData sheetId="6369">
        <row r="2">
          <cell r="A2">
            <v>0</v>
          </cell>
        </row>
      </sheetData>
      <sheetData sheetId="6370">
        <row r="2">
          <cell r="A2">
            <v>0</v>
          </cell>
        </row>
      </sheetData>
      <sheetData sheetId="6371">
        <row r="2">
          <cell r="A2">
            <v>0</v>
          </cell>
        </row>
      </sheetData>
      <sheetData sheetId="6372">
        <row r="2">
          <cell r="A2">
            <v>0</v>
          </cell>
        </row>
      </sheetData>
      <sheetData sheetId="6373">
        <row r="2">
          <cell r="A2">
            <v>0</v>
          </cell>
        </row>
      </sheetData>
      <sheetData sheetId="6374">
        <row r="2">
          <cell r="A2">
            <v>0</v>
          </cell>
        </row>
      </sheetData>
      <sheetData sheetId="6375">
        <row r="2">
          <cell r="A2">
            <v>0</v>
          </cell>
        </row>
      </sheetData>
      <sheetData sheetId="6376">
        <row r="2">
          <cell r="A2">
            <v>0</v>
          </cell>
        </row>
      </sheetData>
      <sheetData sheetId="6377">
        <row r="2">
          <cell r="A2">
            <v>0</v>
          </cell>
        </row>
      </sheetData>
      <sheetData sheetId="6378">
        <row r="2">
          <cell r="A2">
            <v>0</v>
          </cell>
        </row>
      </sheetData>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row r="2">
          <cell r="A2" t="str">
            <v>“CONSTRUCCIÓN DE OBRAS CIVILES, ELÉCTRICAS, MECÁNICAS E INSTRUMENTACIÓN REQUERIDAS POR ECOPETROL Y SU GRUPO EMPRESARIAL PARA LA VIGENCIA 2017-2020 CON OPCIÓN DE DOS AÑOS”</v>
          </cell>
        </row>
      </sheetData>
      <sheetData sheetId="6451"/>
      <sheetData sheetId="6452"/>
      <sheetData sheetId="6453"/>
      <sheetData sheetId="6454"/>
      <sheetData sheetId="6455"/>
      <sheetData sheetId="6456"/>
      <sheetData sheetId="6457"/>
      <sheetData sheetId="6458">
        <row r="2">
          <cell r="B2" t="str">
            <v>Patrimonio
neto
personal</v>
          </cell>
        </row>
      </sheetData>
      <sheetData sheetId="6459"/>
      <sheetData sheetId="6460"/>
      <sheetData sheetId="6461">
        <row r="2">
          <cell r="A2" t="str">
            <v>“CONSTRUCCIÓN DE OBRAS CIVILES, ELÉCTRICAS, MECÁNICAS E INSTRUMENTACIÓN REQUERIDAS POR ECOPETROL Y SU GRUPO EMPRESARIAL PARA LA VIGENCIA 2017-2020 CON OPCIÓN DE DOS AÑOS”</v>
          </cell>
        </row>
      </sheetData>
      <sheetData sheetId="6462">
        <row r="5">
          <cell r="A5">
            <v>0</v>
          </cell>
        </row>
      </sheetData>
      <sheetData sheetId="6463"/>
      <sheetData sheetId="6464">
        <row r="2">
          <cell r="A2">
            <v>0</v>
          </cell>
        </row>
      </sheetData>
      <sheetData sheetId="6465"/>
      <sheetData sheetId="6466"/>
      <sheetData sheetId="6467">
        <row r="2">
          <cell r="B2">
            <v>0</v>
          </cell>
        </row>
      </sheetData>
      <sheetData sheetId="6468"/>
      <sheetData sheetId="6469"/>
      <sheetData sheetId="6470"/>
      <sheetData sheetId="6471"/>
      <sheetData sheetId="6472">
        <row r="2">
          <cell r="A2">
            <v>0</v>
          </cell>
        </row>
      </sheetData>
      <sheetData sheetId="6473"/>
      <sheetData sheetId="6474"/>
      <sheetData sheetId="6475"/>
      <sheetData sheetId="6476"/>
      <sheetData sheetId="6477"/>
      <sheetData sheetId="6478"/>
      <sheetData sheetId="6479"/>
      <sheetData sheetId="6480"/>
      <sheetData sheetId="6481"/>
      <sheetData sheetId="6482">
        <row r="2">
          <cell r="A2">
            <v>0</v>
          </cell>
        </row>
      </sheetData>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ow r="2">
          <cell r="A2">
            <v>0</v>
          </cell>
        </row>
      </sheetData>
      <sheetData sheetId="6532">
        <row r="2">
          <cell r="A2">
            <v>0</v>
          </cell>
        </row>
      </sheetData>
      <sheetData sheetId="6533">
        <row r="2">
          <cell r="A2">
            <v>0</v>
          </cell>
        </row>
      </sheetData>
      <sheetData sheetId="6534">
        <row r="2">
          <cell r="A2">
            <v>0</v>
          </cell>
        </row>
      </sheetData>
      <sheetData sheetId="6535">
        <row r="2">
          <cell r="A2">
            <v>0</v>
          </cell>
        </row>
      </sheetData>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row r="2">
          <cell r="A2">
            <v>0</v>
          </cell>
        </row>
      </sheetData>
      <sheetData sheetId="6551">
        <row r="2">
          <cell r="A2">
            <v>0</v>
          </cell>
        </row>
      </sheetData>
      <sheetData sheetId="6552">
        <row r="2">
          <cell r="A2">
            <v>0</v>
          </cell>
        </row>
      </sheetData>
      <sheetData sheetId="6553">
        <row r="2">
          <cell r="A2">
            <v>0</v>
          </cell>
        </row>
      </sheetData>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row r="2">
          <cell r="A2">
            <v>0</v>
          </cell>
        </row>
      </sheetData>
      <sheetData sheetId="6611"/>
      <sheetData sheetId="6612">
        <row r="2">
          <cell r="A2">
            <v>0</v>
          </cell>
        </row>
      </sheetData>
      <sheetData sheetId="6613">
        <row r="2">
          <cell r="A2">
            <v>0</v>
          </cell>
        </row>
      </sheetData>
      <sheetData sheetId="6614">
        <row r="2">
          <cell r="A2">
            <v>0</v>
          </cell>
        </row>
      </sheetData>
      <sheetData sheetId="6615">
        <row r="2">
          <cell r="A2">
            <v>0</v>
          </cell>
        </row>
      </sheetData>
      <sheetData sheetId="6616">
        <row r="2">
          <cell r="A2">
            <v>0</v>
          </cell>
        </row>
      </sheetData>
      <sheetData sheetId="6617">
        <row r="2">
          <cell r="A2">
            <v>0</v>
          </cell>
        </row>
      </sheetData>
      <sheetData sheetId="6618"/>
      <sheetData sheetId="6619">
        <row r="2">
          <cell r="A2">
            <v>0</v>
          </cell>
        </row>
      </sheetData>
      <sheetData sheetId="6620">
        <row r="2">
          <cell r="A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row r="2">
          <cell r="A2">
            <v>0</v>
          </cell>
        </row>
      </sheetData>
      <sheetData sheetId="6640">
        <row r="2">
          <cell r="A2">
            <v>0</v>
          </cell>
        </row>
      </sheetData>
      <sheetData sheetId="6641">
        <row r="2">
          <cell r="A2">
            <v>0</v>
          </cell>
        </row>
      </sheetData>
      <sheetData sheetId="6642">
        <row r="2">
          <cell r="A2">
            <v>0</v>
          </cell>
        </row>
      </sheetData>
      <sheetData sheetId="6643">
        <row r="2">
          <cell r="A2">
            <v>0</v>
          </cell>
        </row>
      </sheetData>
      <sheetData sheetId="6644">
        <row r="2">
          <cell r="A2">
            <v>0</v>
          </cell>
        </row>
      </sheetData>
      <sheetData sheetId="6645"/>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ow r="2">
          <cell r="A2">
            <v>0</v>
          </cell>
        </row>
      </sheetData>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row r="2">
          <cell r="A2">
            <v>0</v>
          </cell>
        </row>
      </sheetData>
      <sheetData sheetId="6788">
        <row r="2">
          <cell r="A2">
            <v>0</v>
          </cell>
        </row>
      </sheetData>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row r="2">
          <cell r="A2">
            <v>0</v>
          </cell>
        </row>
      </sheetData>
      <sheetData sheetId="6827">
        <row r="2">
          <cell r="A2">
            <v>0</v>
          </cell>
        </row>
      </sheetData>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row r="2">
          <cell r="A2">
            <v>0</v>
          </cell>
        </row>
      </sheetData>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sheetData sheetId="7035"/>
      <sheetData sheetId="7036"/>
      <sheetData sheetId="7037"/>
      <sheetData sheetId="7038"/>
      <sheetData sheetId="7039"/>
      <sheetData sheetId="7040"/>
      <sheetData sheetId="7041"/>
      <sheetData sheetId="7042"/>
      <sheetData sheetId="7043"/>
      <sheetData sheetId="7044"/>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sheetData sheetId="7078"/>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_a  aaInformación GRUPO 4_A MIn"/>
      <sheetName val="\Users\HP\AppData\Local\Microso"/>
      <sheetName val="Hoja1 (2)"/>
      <sheetName val="Hoja1 (3)"/>
      <sheetName val="precios-básicos2002"/>
      <sheetName val="APUs"/>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LISTADO "/>
      <sheetName val="M.O."/>
      <sheetName val="EQUIPOS"/>
      <sheetName val="MANO DE OBRA"/>
      <sheetName val="TRANSPORTE"/>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l_4"/>
      <sheetName val="relleno sitio - Caquez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MURO PR25+221-235"/>
      <sheetName val="MURO PR25+261-267"/>
      <sheetName val="MURO PR25+267-273"/>
      <sheetName val="MURO PR25+273-277"/>
      <sheetName val="AC2-AG96"/>
      <sheetName val="HISTORICOS FUEL OIL EXP"/>
      <sheetName val="_aCCIDENTES_DE_1995___1996_xl_5"/>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ESTADO VÍA-CRIT.TECNICO"/>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CANT OBRA"/>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_aCCIDENTES_DE_1995___1996_x_12"/>
      <sheetName val="\Users\ANDRES FELIPE MUÑOZ\Down"/>
      <sheetName val="\Nuevos APU Córdoba\a  aaInform"/>
      <sheetName val="\E\Nuevos APU Córdoba\a  aaInfo"/>
      <sheetName val="\Users\JoseGabriel\Documents\Mi"/>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T"/>
      <sheetName val="HER"/>
      <sheetName val="PER"/>
      <sheetName val="TRAN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Users\LENOVO\Downloads\a  aaIn"/>
      <sheetName val="ESTADO_VÍA-CRIT_TECNICO"/>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ITEMS ALCANT."/>
      <sheetName val="COSTOS_UNITARIOS"/>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COSTOS_UNITARIOS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_aCCIDENTES_DE_1995___1996_x_23"/>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aCCIDENTES%2520DE%25201995%2520"/>
      <sheetName val="\Users\rosalym\Desktop\BALANCE "/>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gp05"/>
      <sheetName val="GP06"/>
      <sheetName val="\\Gabrielaapabone\d copias\a  a"/>
      <sheetName val="CRONOGRAMA INICIAL"/>
      <sheetName val="informe sem no.1"/>
      <sheetName val="informe sem no.2"/>
      <sheetName val="informe sem no.3"/>
      <sheetName val="informe sem no.4"/>
      <sheetName val="REPROGRAMACION 2"/>
      <sheetName val="lista-precio-mat-equipos"/>
      <sheetName val="rendimiento"/>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a%20%20aaInformación%20GRUPO%2"/>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refreshError="1"/>
      <sheetData sheetId="317" refreshError="1"/>
      <sheetData sheetId="318"/>
      <sheetData sheetId="319"/>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sheetData sheetId="593"/>
      <sheetData sheetId="594"/>
      <sheetData sheetId="595" refreshError="1"/>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refreshError="1"/>
      <sheetData sheetId="624"/>
      <sheetData sheetId="625" refreshError="1"/>
      <sheetData sheetId="626"/>
      <sheetData sheetId="627" refreshError="1"/>
      <sheetData sheetId="628" refreshError="1"/>
      <sheetData sheetId="629"/>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sheetData sheetId="713" refreshError="1"/>
      <sheetData sheetId="714" refreshError="1"/>
      <sheetData sheetId="715" refreshError="1"/>
      <sheetData sheetId="716" refreshError="1"/>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refreshError="1"/>
      <sheetData sheetId="818" refreshError="1"/>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refreshError="1"/>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sheetData sheetId="2053"/>
      <sheetData sheetId="2054"/>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sheetData sheetId="2088"/>
      <sheetData sheetId="2089" refreshError="1"/>
      <sheetData sheetId="2090"/>
      <sheetData sheetId="2091"/>
      <sheetData sheetId="2092"/>
      <sheetData sheetId="2093"/>
      <sheetData sheetId="2094"/>
      <sheetData sheetId="2095"/>
      <sheetData sheetId="2096" refreshError="1"/>
      <sheetData sheetId="2097" refreshError="1"/>
      <sheetData sheetId="2098" refreshError="1"/>
      <sheetData sheetId="2099" refreshError="1"/>
      <sheetData sheetId="2100"/>
      <sheetData sheetId="2101"/>
      <sheetData sheetId="2102"/>
      <sheetData sheetId="2103"/>
      <sheetData sheetId="2104"/>
      <sheetData sheetId="2105" refreshError="1"/>
      <sheetData sheetId="2106"/>
      <sheetData sheetId="2107"/>
      <sheetData sheetId="2108"/>
      <sheetData sheetId="2109"/>
      <sheetData sheetId="2110"/>
      <sheetData sheetId="2111"/>
      <sheetData sheetId="2112"/>
      <sheetData sheetId="2113"/>
      <sheetData sheetId="2114"/>
      <sheetData sheetId="2115"/>
      <sheetData sheetId="2116"/>
      <sheetData sheetId="2117" refreshError="1"/>
      <sheetData sheetId="2118" refreshError="1"/>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TABLAS SOPORTE "/>
      <sheetName val="Tablas de Soporte"/>
      <sheetName val="Paso 1 Calculo del Presupuest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 val="STRSUMM0"/>
      <sheetName val="OPCIONES DE SIMULACION"/>
      <sheetName val="COSTOS DE TRANSPORTE"/>
      <sheetName val="BOUNDS &amp; ROWS"/>
      <sheetName val="COMPRA MATERIA PRIMA"/>
      <sheetName val="SURVEY"/>
      <sheetName val="General"/>
      <sheetName val="SALARIOS CONVENC"/>
      <sheetName val="MATERIALES BL1"/>
      <sheetName val="SALARIOS CONVENC. - CALCULO"/>
      <sheetName val="Resumen"/>
      <sheetName val="Z209"/>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LIQ.SEM18 GDT"/>
      <sheetName val="LIQ.SEM19 GDT"/>
      <sheetName val="LIQ.SEM 20-21 GDT"/>
      <sheetName val="LIQ.SEM18 GCH"/>
      <sheetName val="LIQ.SEM19 GCH"/>
      <sheetName val="LIQ.SEM 20-21 GCH"/>
      <sheetName val="IN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M.O"/>
      <sheetName val="MC SF GAVIONES"/>
      <sheetName val="g.g"/>
      <sheetName val="P2"/>
      <sheetName val="P1"/>
      <sheetName val="31-05-18"/>
      <sheetName val="F-7857-308"/>
      <sheetName val="Equipo Menor"/>
      <sheetName val="ALQUILADO F-7857-308 "/>
      <sheetName val="Real Para tarifas"/>
      <sheetName val="mat&amp;consumo"/>
      <sheetName val="subcontrats"/>
      <sheetName val="codconst"/>
      <sheetName val="Act_12"/>
      <sheetName val="Facturacion_M&amp;E_Marzo12"/>
      <sheetName val="PRESUPUESTO_LICITACIÓN_SRN_0021"/>
      <sheetName val="Precios_7"/>
      <sheetName val="Anexo_112"/>
      <sheetName val="Anexo_212"/>
      <sheetName val="Anexo_312"/>
      <sheetName val="Anexo_412"/>
      <sheetName val="M_O_7"/>
      <sheetName val="RESUMEN_MES_MARZO12"/>
      <sheetName val="CALCULO_DE_CAMISAS3"/>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SOPORTE_ALC_PLUVIAL"/>
      <sheetName val="Quadro-Orç__Resumo"/>
      <sheetName val="SOPORTE_"/>
      <sheetName val="ARQUITECTONICO_PEAJE"/>
      <sheetName val="A_P_U_"/>
      <sheetName val="DAT_NUC"/>
      <sheetName val="Proc_0009h"/>
      <sheetName val="M_O"/>
      <sheetName val="Datos_Graficas"/>
      <sheetName val="MC_SF_GAVIONES"/>
      <sheetName val="g_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sheetData sheetId="44" refreshError="1"/>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efreshError="1"/>
      <sheetData sheetId="708"/>
      <sheetData sheetId="709"/>
      <sheetData sheetId="710"/>
      <sheetData sheetId="711"/>
      <sheetData sheetId="712"/>
      <sheetData sheetId="713"/>
      <sheetData sheetId="714"/>
      <sheetData sheetId="715" refreshError="1"/>
      <sheetData sheetId="716" refreshError="1"/>
      <sheetData sheetId="717" refreshError="1"/>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AiuBPMarco98"/>
    </sheetNames>
    <sheetDataSet>
      <sheetData sheetId="0" refreshError="1"/>
      <sheetData sheetId="1" refreshError="1"/>
      <sheetData sheetId="2" refreshError="1"/>
      <sheetData sheetId="3" refreshError="1"/>
      <sheetData sheetId="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TODOITEM"/>
      <sheetName val="LISTADO DE ITEMS"/>
      <sheetName val="PRESENTACION"/>
      <sheetName val="CRITERIOS DE DISEÑO"/>
      <sheetName val="CAUDAL SUTRO"/>
      <sheetName val="PARSHALL"/>
      <sheetName val="PRELIMINAR"/>
      <sheetName val="CANTIDADES PRELIMINAR"/>
      <sheetName val="PRESUPUESTO PRELIMINAR"/>
      <sheetName val="ESQUEMA 1 30%"/>
      <sheetName val="SEDIMENTADOR PRIMARIO ALT. 1-30"/>
      <sheetName val="CANTIDADES S.P. ALT. 1-30"/>
      <sheetName val="PRESUPUESTO S.P.  ALT. 1-30"/>
      <sheetName val="DIGESTOR ANEROBIO ALT. 1-30"/>
      <sheetName val="CANTIDADES D.A. ALT. 1-30"/>
      <sheetName val="PRESUPUESTO D.A.  ALT. 1-30"/>
      <sheetName val="LECHOS DE SECADO ALT. 1-30"/>
      <sheetName val="CANTIDADES L.S. ALT. 1-30"/>
      <sheetName val="PRESUPUESTO L.S.  ALT. 1-30"/>
      <sheetName val="ESQUEMA 2 30%"/>
      <sheetName val="UASB ALT.2-30"/>
      <sheetName val="CANTIDADES U.A.S.B. ALT. 2-30"/>
      <sheetName val="PRESUPUESTO UASB  ALT. 2-30"/>
      <sheetName val="LECHOS DE SECADO ALT. 2-30"/>
      <sheetName val="CANTIDADES L.S. ALT. 2-30"/>
      <sheetName val="PRESUPUESTO L.S.  ALT. 2-30"/>
      <sheetName val="ESQUEMA 1 70%"/>
      <sheetName val="UASB ALT. 1-70"/>
      <sheetName val="CANTIDAD U.A.S.B. ALT. 1-70"/>
      <sheetName val="PRESUPUESTO UASB  ALT. 1-70"/>
      <sheetName val="LECHOS DE SECADO ALT. 1-70"/>
      <sheetName val="CANTIDADES L.S. ALT. 1-70"/>
      <sheetName val="PRESUPUESTO L.S.  ALT. 1-70"/>
      <sheetName val="ESQUEMA 2 70%"/>
      <sheetName val="FILTRO ANAEROBIO ALT. 2-70"/>
      <sheetName val="CANTIDADES F.A. ALT. 2-70"/>
      <sheetName val="PRESUPUESTO F.A. ALT. 2-70"/>
      <sheetName val="LECHOS DE SECADO ALT. 2-70"/>
      <sheetName val="CANTIDADES L.S. ALT. 2-70"/>
      <sheetName val="PRESUPUESTO L.S.  ALT. 2-70"/>
      <sheetName val="ESQUEMA 3 70%"/>
      <sheetName val="LODOS DE ALTA TASA ALT. 3-70"/>
      <sheetName val="CANTIDAD L.A. ALT. 3-70"/>
      <sheetName val="PRESUPUESTO L.A. ALT. 3-70"/>
      <sheetName val="SEDIMENTADOR SEC. ALT. 3-70"/>
      <sheetName val="CANTIDADES S.S. ALT. 3-70"/>
      <sheetName val="PRESUPUESTO S.S.  ALT. 3-70"/>
      <sheetName val="DIGESTOR ANEROBIO ALT. 3-70"/>
      <sheetName val="CANTIDADES D.A. ALT. 3-70"/>
      <sheetName val="PRESUPUESTO D.A.  ALT. 3-70"/>
      <sheetName val="LECHOS DE SECADO ALT. 3-70"/>
      <sheetName val="CANTIDADES L.S. ALT. 3-70"/>
      <sheetName val="PRESUPUESTO L.S.  ALT. 3-70"/>
      <sheetName val="ESQUEMA 4 70%"/>
      <sheetName val="SEDIMENTADOR PRIMARIO ALT. 4-70"/>
      <sheetName val="CANTIDADES S.P. ALT. 4-70"/>
      <sheetName val="PRESUPUESTO S.P.  ALT. 4-70"/>
      <sheetName val="FILTRO PERCOLADOR ALT. 4-70"/>
      <sheetName val="CANTIDADES F.P. ALT. 4-70"/>
      <sheetName val="PRESUPUESTO F.P.  ALT. 4-70"/>
      <sheetName val="SEDIMENTADOR SEC. ALT. 4-70"/>
      <sheetName val="CANTIDADES S.S. ALT. 4-70"/>
      <sheetName val="PRESUPUESTO S.S.  ALT. 4-70"/>
      <sheetName val="DIGESTOR ANEROBIO ALT. 4-70"/>
      <sheetName val="CANTIDADES D.A. ALT. 4-70"/>
      <sheetName val="PRESUPUESTO D.A.  ALT. 4-70"/>
      <sheetName val="LECHOS DE SECADO ALT. 4-70"/>
      <sheetName val="CANTIDADES L.S. ALT. 4-70"/>
      <sheetName val="PRESUPUESTO L.S.  ALT. 4-70"/>
      <sheetName val="ESQUEMA 1 80%"/>
      <sheetName val="UASB ALT. 1-80"/>
      <sheetName val="CANTIDAD U.A.S.B. ALT 1-80"/>
      <sheetName val="PRESUPUESTO UASB  ALT. 1-80"/>
      <sheetName val="FILTRO PERCOLADOR ALT. 1-80"/>
      <sheetName val="CANTIDADES F.P. ALT. 1-80"/>
      <sheetName val="PRESUPUESTO F.P.  ALT. 1-80"/>
      <sheetName val="SEDIMENTADOR SEC. ALT. 1-80"/>
      <sheetName val="CANTIDADES S.S. ALT. 1-80"/>
      <sheetName val="PRESUPUESTO S.S.  ALT. 1-80"/>
      <sheetName val="LECHOS DE SECADO ALT. 1-80"/>
      <sheetName val="CANTIDADES L.S. ALT. 1-80"/>
      <sheetName val="PRESUPUESTO L.S.  ALT. 1-80"/>
      <sheetName val="ESQUEMA 2 80%"/>
      <sheetName val="FILTRO ANAEROBIO ALT. 2-80"/>
      <sheetName val="CANTIDADES F.A. ALT. 2-80"/>
      <sheetName val="PRESUPUESTO F.A. ALT. 2-80"/>
      <sheetName val="FILTRO PERCOLADOR ALT. 2-80"/>
      <sheetName val="CANTIDADES F.P. ALT. 2-80"/>
      <sheetName val="PRESUPUESTO F.P.  ALT. 2-80"/>
      <sheetName val="SEDIMENTADOR SEC. ALT. 2-80"/>
      <sheetName val="CANTIDADES S.S. ALT. 2-80"/>
      <sheetName val="PRESUPUESTO S.S.  ALT. 2-80"/>
      <sheetName val="LECHOS DE SECADO ALT. 2-80"/>
      <sheetName val="CANTIDADES L.S. ALT. 2-80"/>
      <sheetName val="PRESUPUESTO L.S.  ALT. 2-80"/>
      <sheetName val="ESQUEMA 3 80%"/>
      <sheetName val="LODOS DE ALTA TASA ALT. 3-80"/>
      <sheetName val="CANTIDAD L.A. ALT. 3-80"/>
      <sheetName val="PRESUPUESTO L.A. ALT. 3-80"/>
      <sheetName val="SEDIMENTADOR SEC. ALT. 3-80"/>
      <sheetName val="CANTIDADES S.S. ALT. 3-80"/>
      <sheetName val="PRESUPUESTO S.S.  ALT. 3-80"/>
      <sheetName val="DIGESTOR ANEROBIO ALT. 3-80"/>
      <sheetName val="CANTIDADES D.A. ALT. 3-80"/>
      <sheetName val="PRESUPUESTO D.A.  ALT. 3-80"/>
      <sheetName val="LECHOS DE SECADO ALT. 3-80"/>
      <sheetName val="CANTIDADES L.S. ALT. 3-80"/>
      <sheetName val="PRESUPUESTO L.S.  ALT. 3-80"/>
      <sheetName val="ESQUEMA 4 80%"/>
      <sheetName val="SEDIMENTADOR PRIMARIO ALT. 4-80"/>
      <sheetName val="CANTIDADES S.P. ALT. 4-80"/>
      <sheetName val="PRESUPUESTO S.P.  ALT. 4-80"/>
      <sheetName val="FILTRO PERCOLADOR ALT. 4-80"/>
      <sheetName val="CANTIDADES F.P. ALT. 4-80"/>
      <sheetName val="PRESUPUESTO F.P.  ALT. 4-80"/>
      <sheetName val="SEDIMENTADOR SEC. ALT. 4-80"/>
      <sheetName val="CANTIDADES S.S. ALT. 4-80"/>
      <sheetName val="PRESUPUESTO S.S.  ALT. 4-80"/>
      <sheetName val="DIGESTOR ANEROBIO ALT. 4-80"/>
      <sheetName val="CANTIDADES D.A. ALT. 4-80"/>
      <sheetName val="PRESUPUESTO D.A.  ALT. 4-80"/>
      <sheetName val="LECHOS DE SECADO ALT. 4-80"/>
      <sheetName val="CANTIDADES L.S. ALT. 4-80"/>
      <sheetName val="PRESUPUESTO L.S.  ALT. 4-80"/>
      <sheetName val="PRESUPUESTO EQUIPOS"/>
      <sheetName val="RESUMEN PRESUPUEST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 val="COSTOS UNITARIOS"/>
      <sheetName val="CA-2909"/>
      <sheetName val="TABLAS SOPORTE "/>
      <sheetName val="PE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 val="8599"/>
      <sheetName val="Hoja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46W9"/>
      <sheetName val="Presentacion"/>
      <sheetName val="Resumen"/>
      <sheetName val="DEST. MEDIOS"/>
      <sheetName val="COMBUASF"/>
      <sheetName val="BALCRUDO"/>
      <sheetName val="PRECIOS"/>
      <sheetName val="CARGASPROC."/>
      <sheetName val="G L P  FINAL"/>
      <sheetName val="API - 21827"/>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Item"/>
      <sheetName val="AIU"/>
      <sheetName val="Curva S Llanos"/>
      <sheetName val="INST"/>
      <sheetName val="Tablas"/>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DATOS_PIMS"/>
      <sheetName val="API - 21827"/>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ID 200123"/>
      <sheetName val="ID 200124"/>
      <sheetName val="UnitAn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APU 17"/>
      <sheetName val="APU 18"/>
      <sheetName val="APU 19"/>
      <sheetName val="port"/>
      <sheetName val="Inicio"/>
      <sheetName val="OT-AC-reembolsa-"/>
      <sheetName val="Hoja2"/>
      <sheetName val="lodos"/>
      <sheetName val="barreras"/>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83">
          <cell r="O83" t="str">
            <v>Pendiente</v>
          </cell>
        </row>
      </sheetData>
      <sheetData sheetId="349"/>
      <sheetData sheetId="350"/>
      <sheetData sheetId="351"/>
      <sheetData sheetId="352"/>
      <sheetData sheetId="353"/>
      <sheetData sheetId="354"/>
      <sheetData sheetId="355"/>
      <sheetData sheetId="356"/>
      <sheetData sheetId="357"/>
      <sheetData sheetId="358" refreshError="1"/>
      <sheetData sheetId="359">
        <row r="83">
          <cell r="O83" t="str">
            <v>Pendiente</v>
          </cell>
        </row>
      </sheetData>
      <sheetData sheetId="360" refreshError="1"/>
      <sheetData sheetId="361"/>
      <sheetData sheetId="362"/>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 val="G.G"/>
      <sheetName val="ANEXO 7"/>
      <sheetName val="Formulario N° 4"/>
      <sheetName val="MATERIALES"/>
      <sheetName val="EQUIPO"/>
      <sheetName val="Reprograma 4"/>
      <sheetName val="DUB-823"/>
      <sheetName val="GPI 526"/>
      <sheetName val="SKJ452"/>
      <sheetName val="ITA878"/>
      <sheetName val="AEA-944"/>
      <sheetName val="XXJ617"/>
      <sheetName val="SNG_855"/>
      <sheetName val="VEA 374"/>
      <sheetName val="HFB024"/>
      <sheetName val="PAJ825"/>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 val="Ind_SerieEmpcanasta gral y  (3"/>
      <sheetName val="Gabinetes ctrol, prot. y med. "/>
      <sheetName val="PREACTA 5"/>
      <sheetName val="PREACTA 6"/>
      <sheetName val="ACTASBAR"/>
      <sheetName val="LIS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oc 0009h"/>
      <sheetName val="Proc 0009i"/>
      <sheetName val="Indice fecha"/>
      <sheetName val="Gráfico de control"/>
      <sheetName val="HIST-RES"/>
      <sheetName val="Hist(1)"/>
      <sheetName val="Hist(2)"/>
      <sheetName val="GRAFICOS"/>
      <sheetName val="UNA"/>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res"/>
      <sheetName val="CRON FIN"/>
      <sheetName val="PRORATEO"/>
      <sheetName val="1.1"/>
      <sheetName val="1.2"/>
      <sheetName val="1.3"/>
      <sheetName val="1.4"/>
      <sheetName val="1.5"/>
      <sheetName val="1.6"/>
      <sheetName val="1.7"/>
      <sheetName val="1.8"/>
      <sheetName val="2.1"/>
      <sheetName val="2.2"/>
      <sheetName val="2.3"/>
      <sheetName val="2.4"/>
      <sheetName val="2.5"/>
      <sheetName val="2.6"/>
      <sheetName val="2.7"/>
      <sheetName val="3.1"/>
      <sheetName val="4.1"/>
      <sheetName val="PAGA"/>
      <sheetName val="PAPSO"/>
      <sheetName val="BAÑOS"/>
      <sheetName val="A.I.U"/>
      <sheetName val="Apu Valla"/>
      <sheetName val="F. P. AIU"/>
      <sheetName val="Analisis Baños"/>
      <sheetName val="SUPERVISION"/>
      <sheetName val="FM CARCTERIZA"/>
      <sheetName val="Caracterización"/>
      <sheetName val="PManejo de transito"/>
      <sheetName val="APU PMT"/>
      <sheetName val="Insumos"/>
      <sheetName val="CONCRETOS"/>
      <sheetName val="Equipo y transporte"/>
      <sheetName val="CUADRILLAS"/>
      <sheetName val="Interventoria"/>
      <sheetName val="Factor Multiplicador"/>
      <sheetName val="POE_MUN"/>
      <sheetName val="C1"/>
      <sheetName val="C2"/>
      <sheetName val="C3"/>
      <sheetName val="C4"/>
      <sheetName val="C5"/>
      <sheetName val="C6"/>
      <sheetName val="C7"/>
      <sheetName val="Rendi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ESTADO RE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Informacion"/>
      <sheetName val="INDICMICROEMP"/>
      <sheetName val="Datos"/>
      <sheetName val="MATERIALE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 DE 1995 - 1996.xls]"/>
      <sheetName val="Datos Básicos"/>
      <sheetName val="SALARIOS"/>
      <sheetName val="SUB APU"/>
      <sheetName val="INV"/>
      <sheetName val="AASHTO"/>
      <sheetName val="PESOS"/>
      <sheetName val="Formulario N° 4"/>
      <sheetName val="EQUIPO"/>
      <sheetName val="Base Muestra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DATOS"/>
      <sheetName val="precios-básicos2002"/>
      <sheetName val="\\Gabrielaapabone\d copias\a  a"/>
    </sheetNames>
    <definedNames>
      <definedName name="absc"/>
    </definedNames>
    <sheetDataSet>
      <sheetData sheetId="0" refreshError="1"/>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REF"/>
      <sheetName val="\Users\USUARIO\Downloads\MANTEN"/>
      <sheetName val="Fornato 6"/>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ANEL"/>
      <sheetName val="_MANTENIMIENTO RUTA 1001_MARZO "/>
      <sheetName val="_I_MANTENIMIENTO RUTA 1001_MARZ"/>
      <sheetName val="[a  aaInformación]__192_168__16"/>
      <sheetName val="[a  aaInformación]__192_168__15"/>
      <sheetName val="[a  aaInformación]__192_168__17"/>
      <sheetName val="[a  aaInformación]__192_168__18"/>
      <sheetName val="\Users\LENOVO\Downloads\Users\A"/>
      <sheetName val="PLAN DE INVERSION ANTICIPO"/>
      <sheetName val="inv mensual"/>
      <sheetName val="borrador flujo inv"/>
      <sheetName val="social-ambiental"/>
      <sheetName val="AU"/>
      <sheetName val="Res-Accide-10"/>
      <sheetName val="INFORME SEMANAL"/>
      <sheetName val="AVANCE SEMANAL"/>
      <sheetName val="CLIMA mes"/>
      <sheetName val="REG FOTO"/>
      <sheetName val="SISOMA"/>
      <sheetName val="Info-Portaf"/>
      <sheetName val="Paramtri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refreshError="1"/>
      <sheetData sheetId="171"/>
      <sheetData sheetId="172"/>
      <sheetData sheetId="173"/>
      <sheetData sheetId="174"/>
      <sheetData sheetId="175"/>
      <sheetData sheetId="176" refreshError="1"/>
      <sheetData sheetId="17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EMPRESA"/>
      <sheetName val="ANEXO 7"/>
      <sheetName val="INSUMOS"/>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ACLARACIONES"/>
      <sheetName val="ENTIDADES"/>
      <sheetName val="DATOS INICIALES"/>
      <sheetName val="PRESUPUESTO"/>
      <sheetName val="MEMORIAS"/>
      <sheetName val="APU"/>
      <sheetName val="AIU"/>
      <sheetName val="LEGALIZACIÓN OBRA"/>
      <sheetName val="PMA"/>
      <sheetName val="PMT"/>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ÓLIZAS INTERVENTORÍA"/>
      <sheetName val="EXP INSUMOS"/>
      <sheetName val="Análisis_Reajustes_OBRA"/>
      <sheetName val="Análisis_Reajuste_INTERVENTO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ES"/>
      <sheetName val="ENTIDADES"/>
      <sheetName val="DATOS INICIALES"/>
      <sheetName val="DISTANCIAS"/>
      <sheetName val="PRESUPUESTO"/>
      <sheetName val="MEMORIAS"/>
      <sheetName val="APU"/>
      <sheetName val="INSUMOS"/>
      <sheetName val="AIU"/>
      <sheetName val="PÓLIZAS OBRA"/>
      <sheetName val="LEGALIZACIÓN OBRA"/>
      <sheetName val="Análisis_Reajustes_Obra"/>
      <sheetName val="PAGA"/>
      <sheetName val="PMT"/>
      <sheetName val="PAPSO OBRA"/>
      <sheetName val="APU GEORREFERENCIACIÓN"/>
      <sheetName val="APU CARACTERIZACIÓN"/>
      <sheetName val="AJUSTE ESTUDIOS"/>
      <sheetName val="APU AUXILIARES 1"/>
      <sheetName val="APU AUXILIARES 2"/>
      <sheetName val="APU AUXILIARES 3"/>
      <sheetName val="APU AUXILIARES 4"/>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 val="Análisis_Reajustes_In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sheetData sheetId="1"/>
      <sheetData sheetId="2"/>
      <sheetData sheetId="3"/>
      <sheetData sheetId="4"/>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Cotización"/>
      <sheetName val="Pres_CDI90"/>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Anexo 5-1"/>
      <sheetName val="Anexo 5"/>
      <sheetName val="CHECK LIST INFORME"/>
      <sheetName val="CERT. BIENES-SERV"/>
      <sheetName val="CHECK LIST"/>
      <sheetName val="FICHA FINANCIERA"/>
      <sheetName val="CONTROL ACTAS"/>
      <sheetName val="Seguimiento (2)"/>
      <sheetName val="Hoja1"/>
      <sheetName val="IPC"/>
      <sheetName val="CIM"/>
      <sheetName val="suministros"/>
      <sheetName val="MOV"/>
      <sheetName val="PREL"/>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BASE DATOS"/>
      <sheetName val="MATERIALES"/>
      <sheetName val="PROPUESTA PRESENTADA"/>
      <sheetName val="BASES"/>
      <sheetName val="BDATOS"/>
      <sheetName val="DATOS"/>
      <sheetName val="GIRON"/>
      <sheetName val="SANTILL"/>
      <sheetName val="ACTA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sheetData sheetId="93"/>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sheetData sheetId="569" refreshError="1"/>
      <sheetData sheetId="570" refreshError="1"/>
      <sheetData sheetId="571" refreshError="1"/>
      <sheetData sheetId="572" refreshError="1"/>
      <sheetData sheetId="573" refreshError="1"/>
      <sheetData sheetId="574" refreshError="1"/>
      <sheetData sheetId="57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Libro1"/>
      <sheetName val="Hoja2"/>
    </sheetNames>
    <definedNames>
      <definedName name="Loan_Start" refersTo="#REF!"/>
    </definedNames>
    <sheetDataSet>
      <sheetData sheetId="0"/>
      <sheetData sheetId="1" refreshError="1"/>
      <sheetData sheetId="2"/>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 val="5094-2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 val="AutoOpen Stub Data"/>
      <sheetName val="Personalizar"/>
      <sheetName val="Factura"/>
      <sheetName val="Macros"/>
      <sheetName val="ATW"/>
      <sheetName val="Lock"/>
      <sheetName val="TemplateInformation"/>
      <sheetName val="CALC PROD MENSUAL"/>
    </sheetNames>
    <sheetDataSet>
      <sheetData sheetId="0"/>
      <sheetData sheetId="1"/>
      <sheetData sheetId="2"/>
      <sheetData sheetId="3"/>
      <sheetData sheetId="4"/>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1_Preliminares"/>
      <sheetName val="Insumos"/>
      <sheetName val="M.Obra"/>
      <sheetName val="General"/>
      <sheetName val="BASE"/>
      <sheetName val="Hoja6"/>
      <sheetName val="PRESUPUESTO "/>
      <sheetName val="Cuadrillas"/>
      <sheetName val="Equ"/>
      <sheetName val="Trans"/>
      <sheetName val="Mat"/>
      <sheetName val="Salarios"/>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 work"/>
      <sheetName val="PERSO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COSTOS OFICINA"/>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Format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PU"/>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PIP3C"/>
      <sheetName val="#REF"/>
      <sheetName val="Resumen"/>
      <sheetName val="cp03"/>
      <sheetName val="PERFASES"/>
      <sheetName val="Book1"/>
      <sheetName val="rencst0599"/>
      <sheetName val="VENTA"/>
      <sheetName val="SUMMA"/>
      <sheetName val="DATA-FASE"/>
      <sheetName val="SRG1-S1"/>
      <sheetName val="20 de Julio"/>
      <sheetName val="Casaloma"/>
      <sheetName val="Huertas"/>
      <sheetName val="Pinos 4-8 "/>
      <sheetName val="Pinos 4-7"/>
      <sheetName val="Mirad. de la Prim."/>
      <sheetName val="Paraiso"/>
      <sheetName val="Porv. de la Est."/>
      <sheetName val="Rincon Porv."/>
      <sheetName val="San Isidro"/>
      <sheetName val="Sta Ines"/>
      <sheetName val="San Vicente"/>
      <sheetName val="Uv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 val="MATERIA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equipos"/>
      <sheetName val="Hoja1"/>
      <sheetName val="Mantenimientos"/>
      <sheetName val="Dto Equipos"/>
      <sheetName val="Mantenimientos (3)"/>
      <sheetName val="Mantenimientos (2)"/>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PLANNING"/>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Cover"/>
      <sheetName val="EQAL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ALT"/>
      <sheetName val="PROGRAMA"/>
      <sheetName val="formulario"/>
      <sheetName val="PreciosUnitarios"/>
      <sheetName val="equipos1"/>
      <sheetName val="ACARREO"/>
      <sheetName val="MATERIALES"/>
      <sheetName val="CUADBASI"/>
      <sheetName val="PRESOC"/>
      <sheetName val="AIU-CONDOR"/>
      <sheetName val="L. MATERIALES"/>
      <sheetName val="Módulo1"/>
      <sheetName val="Módulo2"/>
      <sheetName val="Módulo3"/>
      <sheetName val="BOFIAT"/>
      <sheetName val="CA W11B"/>
      <sheetName val="COM125"/>
      <sheetName val="CM - 08"/>
      <sheetName val="CV15"/>
      <sheetName val="MN03"/>
      <sheetName val="PE08"/>
      <sheetName val="PL04"/>
      <sheetName val="PP02"/>
      <sheetName val="R320-L (2)"/>
      <sheetName val="RO10"/>
      <sheetName val="RO14"/>
      <sheetName val="ROJD"/>
      <sheetName val="RR02"/>
      <sheetName val="SG04"/>
      <sheetName val="TM01"/>
      <sheetName val="VD15"/>
      <sheetName val="VD18"/>
      <sheetName val="VD19"/>
      <sheetName val="VD21"/>
      <sheetName val="resumen"/>
      <sheetName val="MANTENIMIENTO"/>
      <sheetName val="FILTROS2"/>
      <sheetName val="Control de reportes"/>
      <sheetName val="Despacho Equipos"/>
      <sheetName val="Llegada Equipos"/>
      <sheetName val="Documentos"/>
      <sheetName val="anexo2"/>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bletroque"/>
      <sheetName val="dumper"/>
      <sheetName val="terex"/>
      <sheetName val="mantos"/>
      <sheetName val="taladros"/>
      <sheetName val="mulas"/>
      <sheetName val="triturado"/>
      <sheetName val="lluvia"/>
      <sheetName val="observaciones"/>
      <sheetName val="datos_equipo"/>
      <sheetName val="equipos"/>
      <sheetName val="tritur"/>
      <sheetName val="dobletroque1"/>
      <sheetName val="mulas room"/>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sheetData sheetId="1" refreshError="1"/>
      <sheetData sheetId="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BASE"/>
      <sheetName val="perfil"/>
    </sheetNames>
    <sheetDataSet>
      <sheetData sheetId="0"/>
      <sheetData sheetId="1" refreshError="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Contrato"/>
      <sheetName val="PROGRAMA DE INVERSIONES"/>
      <sheetName val="PROGRAMA DE EJECUCIÓN"/>
      <sheetName val="PROGRAMA DE COSTOS"/>
      <sheetName val="ppto (2)"/>
      <sheetName val="G&amp;G V V"/>
      <sheetName val="P&amp;G"/>
      <sheetName val="BSC"/>
      <sheetName val="ppto"/>
      <sheetName val="SUBBASE LOCALIZACIONES"/>
      <sheetName val="BASE LOCALIZACIONES (2)"/>
      <sheetName val="G&amp;G ATL"/>
      <sheetName val="INDICADORES"/>
      <sheetName val="GRAFICA .S.C."/>
      <sheetName val="GRAFICA .E.C. "/>
      <sheetName val="GRAFICA .C.R."/>
      <sheetName val="GRAFICA .C."/>
      <sheetName val="BSC VS OBJ. CALIDAD"/>
      <sheetName val="GRAFICA .M.C."/>
      <sheetName val="G&amp;G V V (2)"/>
      <sheetName val="G&amp;G ATL (2)"/>
      <sheetName val="P&amp;G (2)"/>
      <sheetName val="Hoja2"/>
      <sheetName val="Hoja3"/>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icional Invias"/>
      <sheetName val="alternativa 2"/>
      <sheetName val="alternativa 1"/>
      <sheetName val="VR-PROP"/>
      <sheetName val="ICCP"/>
      <sheetName val="BSC VS OBJ. CALIDAD"/>
    </sheetNames>
    <sheetDataSet>
      <sheetData sheetId="0"/>
      <sheetData sheetId="1"/>
      <sheetData sheetId="2"/>
      <sheetData sheetId="3"/>
      <sheetData sheetId="4"/>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ICCP"/>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Actual Data (MAP)"/>
      <sheetName val="Actual Data (STX)"/>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Cálculo"/>
      <sheetName val="Itemes_Renovación1"/>
      <sheetName val="FECHAS_DE_CORTE1"/>
      <sheetName val="Informacion_General1"/>
      <sheetName val="Itemes_Renovación"/>
      <sheetName val="FECHAS_DE_CORTE"/>
      <sheetName val="Informacion_General"/>
      <sheetName val="Itemes_Renovación2"/>
      <sheetName val="FECHAS_DE_CORTE2"/>
      <sheetName val="Informacion_General2"/>
      <sheetName val="Itemes_Renovación3"/>
      <sheetName val="FECHAS_DE_CORTE3"/>
      <sheetName val="Informacion_General3"/>
      <sheetName val="PR_117"/>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PLAN DE INVERSION ANTICIPO"/>
      <sheetName val="inv mensual"/>
      <sheetName val="borrador flujo inv"/>
      <sheetName val="social-ambiental"/>
      <sheetName val="AU"/>
      <sheetName val="Precios"/>
      <sheetName val="ManoDeObr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ELECTRICO"/>
      <sheetName val="Vuelt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 val="PRECIOS TRANSI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 val="BASE"/>
      <sheetName val="PRECIOS"/>
    </sheetNames>
    <sheetDataSet>
      <sheetData sheetId="0" refreshError="1"/>
      <sheetData sheetId="1" refreshError="1"/>
      <sheetData sheetId="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NSUMOS"/>
      <sheetName val="ITEMS"/>
      <sheetName val="APU"/>
      <sheetName val="anexo2"/>
      <sheetName val="ACARR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ACTA INT"/>
      <sheetName val="Ajuste"/>
      <sheetName val="ACTA DE OBRA"/>
      <sheetName val="1.01"/>
      <sheetName val="1.02"/>
      <sheetName val="1.03"/>
      <sheetName val="1.04"/>
      <sheetName val="2.02"/>
      <sheetName val="2.03"/>
      <sheetName val="3.01"/>
      <sheetName val="3.02"/>
      <sheetName val="3.03"/>
      <sheetName val="3.04"/>
      <sheetName val="UPAV-002"/>
      <sheetName val="3.05"/>
      <sheetName val="3.08"/>
      <sheetName val="3.10 "/>
      <sheetName val="3.11"/>
      <sheetName val="4.01"/>
      <sheetName val="4.01.03"/>
      <sheetName val="4.01.09"/>
      <sheetName val="4.03.14"/>
      <sheetName val="5.01"/>
      <sheetName val="5.04"/>
      <sheetName val="8.19"/>
      <sheetName val="UVAR-001"/>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5"/>
      <sheetName val="15.06"/>
      <sheetName val="15.07"/>
      <sheetName val="16.01"/>
      <sheetName val="16.02"/>
      <sheetName val="17.01"/>
      <sheetName val="17.07"/>
      <sheetName val="17.08"/>
      <sheetName val="18.01"/>
      <sheetName val="19.04.03"/>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1"/>
      <sheetName val="19.21.03"/>
      <sheetName val="19.21.04"/>
      <sheetName val="20.01"/>
      <sheetName val="20.13"/>
      <sheetName val="20.19"/>
      <sheetName val="20.21"/>
      <sheetName val="20.22"/>
      <sheetName val="20.24"/>
      <sheetName val="20.26"/>
      <sheetName val="20.28"/>
      <sheetName val="Alc-001"/>
      <sheetName val="Alc-005"/>
      <sheetName val="Alc-006"/>
      <sheetName val="Alc-013"/>
      <sheetName val="21.06.01"/>
      <sheetName val="22.01.01.02"/>
      <sheetName val="22.01.01.12"/>
      <sheetName val="22.01.01.14"/>
      <sheetName val="22.01.02.01"/>
      <sheetName val="22.01.02.02"/>
      <sheetName val="22.01.02.04"/>
      <sheetName val="22.01.03.01"/>
      <sheetName val="PUN-001"/>
      <sheetName val="BASE-E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HISTORICOS FUEL OIL EXP"/>
      <sheetName val="PR 1"/>
      <sheetName val="_aCCIDENTES_DE_1995___1996_xl_2"/>
      <sheetName val="//ccefici"/>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nsidades"/>
      <sheetName val="INDICE"/>
      <sheetName val="Materiales"/>
      <sheetName val="Equipo"/>
      <sheetName val="Otros"/>
      <sheetName val="200.2"/>
      <sheetName val="210.1.1"/>
      <sheetName val="211.1"/>
      <sheetName val="220.1"/>
      <sheetName val="2P"/>
      <sheetName val="221.2"/>
      <sheetName val="230.2"/>
      <sheetName val="320.1"/>
      <sheetName val="330.1"/>
      <sheetName val="900.1"/>
      <sheetName val="900.2"/>
      <sheetName val="640.1"/>
      <sheetName val="701.1"/>
      <sheetName val="710.1 "/>
      <sheetName val="710.2"/>
      <sheetName val="730.1"/>
      <sheetName val="730.2"/>
      <sheetName val="740.1"/>
      <sheetName val="BARANDA NEW JERSEY,"/>
      <sheetName val="641.1"/>
      <sheetName val="MALLA ELECTRO "/>
      <sheetName val="201.6"/>
      <sheetName val="DEM PAVIMENTOS"/>
      <sheetName val="600.1"/>
      <sheetName val="610.1"/>
      <sheetName val="621.1"/>
      <sheetName val="630.3"/>
      <sheetName val="630.4"/>
      <sheetName val="630.5"/>
      <sheetName val="630.6"/>
      <sheetName val="630.7"/>
      <sheetName val="661.1 TIPO 1"/>
      <sheetName val="671.7"/>
      <sheetName val="672"/>
      <sheetName val="673.1 "/>
      <sheetName val="674.2"/>
      <sheetName val="CINTA PVC"/>
      <sheetName val="RONDAS"/>
      <sheetName val="810.2"/>
      <sheetName val="NOVAFORT"/>
      <sheetName val="670.2 "/>
      <sheetName val="LANZADO CIELO ABIERTO"/>
      <sheetName val="720.1"/>
      <sheetName val="ANCLAJES PASIVOS"/>
      <sheetName val="ANCLAJES ACTIVOS"/>
      <sheetName val="PRUEBA DE CARGA"/>
      <sheetName val="INY PRESION"/>
      <sheetName val="630.1"/>
      <sheetName val="642.1"/>
      <sheetName val="420.1"/>
      <sheetName val="450.2comprada"/>
      <sheetName val="450.1P COMPRADA"/>
      <sheetName val="673.2 "/>
      <sheetName val="18 - 1"/>
      <sheetName val="18 - 2"/>
      <sheetName val="231.1"/>
      <sheetName val="700.1 "/>
      <sheetName val="700.3"/>
      <sheetName val="REPERFILACION"/>
      <sheetName val="Exc Sub Adicional"/>
      <sheetName val="PERNOS A"/>
      <sheetName val="PERNOS RESINA"/>
      <sheetName val="LANZADO TUNEL"/>
      <sheetName val="concreto para revestimiento "/>
      <sheetName val="MORTERO RELLENO"/>
      <sheetName val="R CONC CONV"/>
      <sheetName val="PERFORACION HUECOS INY"/>
      <sheetName val="CONEXIONES INY"/>
      <sheetName val="TUBO A MANCHETE"/>
      <sheetName val="PERNO FIBRA"/>
      <sheetName val="LOSA PAVIMENTO"/>
      <sheetName val="GEOMEMBRANA"/>
      <sheetName val="TUB DRENAJE 15"/>
      <sheetName val="TUB DRENAJE 20"/>
      <sheetName val="TUB DRENAJE 30"/>
      <sheetName val="FIBRA ACERO"/>
      <sheetName val="PERF DE HUECOSDRENAJE"/>
      <sheetName val="MALLA ELECTRO S"/>
      <sheetName val="arco acero"/>
      <sheetName val="LAMINA TRAPEZOID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EST.VÍA CRITERIO TECNICO 90BLB"/>
      <sheetName val="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ESTADO VÍA-CRIT.TECNICO"/>
      <sheetName val="M y E "/>
      <sheetName val="relacion facturas"/>
      <sheetName val="MATERIALES  SEPARADOS "/>
      <sheetName val="NOMINA "/>
      <sheetName val="ELEMENTOS SEPARADOS "/>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BRA"/>
      <sheetName val="CRONOGRAMA FINANCIERO"/>
      <sheetName val="PPTO OBRA AUXILIAR"/>
      <sheetName val="PPTO CAPITULOS"/>
      <sheetName val="APUs"/>
      <sheetName val="PMA"/>
      <sheetName val="FACTOR PRESTACIONAL"/>
      <sheetName val="AIU"/>
      <sheetName val="PMT"/>
      <sheetName val="INTERVENTORIA"/>
      <sheetName val="F.M."/>
      <sheetName val="Concretos"/>
      <sheetName val="MATERIALES"/>
      <sheetName val="CUADRILLAS"/>
      <sheetName val="TRANSPORTE"/>
      <sheetName val="EQUIPOS"/>
      <sheetName val="DATOS ENTR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MEDELLIN"/>
      <sheetName val="REPORTE"/>
      <sheetName val="meses"/>
      <sheetName val="REPORTE 10"/>
      <sheetName val="Gráfico1"/>
      <sheetName val="GUIAS 1"/>
      <sheetName val="GUIAS 2"/>
      <sheetName val="OFICIO DE ENTREGA"/>
      <sheetName val="CORRECCION DE FOLIOS"/>
      <sheetName val="PROYECCION"/>
      <sheetName val="Datos"/>
      <sheetName val="Lista_Equipos"/>
      <sheetName val="Planilleros"/>
      <sheetName val="Sensibilidad"/>
      <sheetName val="cargue"/>
      <sheetName val="Viajes_Ho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Mezclas asfálticas"/>
    </sheetNames>
    <sheetDataSet>
      <sheetData sheetId="0" refreshError="1"/>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DICO"/>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 cimentacion 1"/>
      <sheetName val="acero cimentacion "/>
      <sheetName val="acero 1 piso"/>
      <sheetName val="acero piso 3"/>
      <sheetName val="acero piso 2"/>
      <sheetName val="acero cubierta"/>
      <sheetName val="acer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 val="RICS NUEVA HOJA DIARIA"/>
      <sheetName val="RICS_NUEVA_HOJA_DIARIA2"/>
      <sheetName val="RICS_NUEVA_HOJA_DIARIA"/>
      <sheetName val="RICS_NUEVA_HOJA_DIARIA1"/>
      <sheetName val="RICS_NUEVA_HOJA_DIARIA3"/>
      <sheetName val="RICS_NUEVA_HOJA_DIARIA4"/>
      <sheetName val="RICS_NUEVA_HOJA_DIARIA5"/>
      <sheetName val="RICS_NUEVA_HOJA_DIARIA6"/>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 val="1erINFORME"/>
    </sheetNames>
    <sheetDataSet>
      <sheetData sheetId="0"/>
      <sheetData sheetId="1"/>
      <sheetData sheetId="2"/>
      <sheetData sheetId="3"/>
      <sheetData sheetId="4"/>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INDICE"/>
      <sheetName val="glvc"/>
      <sheetName val="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 val="DATOS"/>
      <sheetName val="datosluminariasRoyAlPHa"/>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LSAL"/>
      <sheetName val="Anexo 12"/>
      <sheetName val="INSUMOS"/>
      <sheetName val="Indicadores_de_Producto"/>
      <sheetName val="BASE"/>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ELDORADO"/>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OFERTA ECON"/>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OMPONENTE II"/>
      <sheetName val="CONSOLIDADO."/>
      <sheetName val="PtoOficial"/>
      <sheetName val="APU II"/>
      <sheetName val="Hora efectiva (base calendario)"/>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DISEÑO HIDROSANITARIO"/>
      <sheetName val="DISEÑO ELECTRICO"/>
      <sheetName val="OBRA EJECUTADA"/>
      <sheetName val="OBRA EJECUTADA POR CANCELAR"/>
      <sheetName val="OBRA A EJECUTAR"/>
      <sheetName val="BALANCE 1P INICIAL"/>
      <sheetName val="BALANCE 1P FINAL"/>
      <sheetName val="MDEO"/>
      <sheetName val="C-M-H"/>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BASICOS"/>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Compilado"/>
      <sheetName val="ACEROS"/>
      <sheetName val="C123"/>
      <sheetName val="M14"/>
      <sheetName val="C122"/>
      <sheetName val="3.2"/>
      <sheetName val="3.3"/>
      <sheetName val="3.4"/>
      <sheetName val="3.5"/>
      <sheetName val="3.6"/>
      <sheetName val="3.7"/>
      <sheetName val="7.8"/>
      <sheetName val="7.9"/>
      <sheetName val="7.10"/>
      <sheetName val="7.11"/>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CANT. MAT."/>
      <sheetName val="14."/>
      <sheetName val="15."/>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ó&gt;"/>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10"/>
      <sheetName val="8,11"/>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Hoja15"/>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ANALISIS BASICOS"/>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STRSUMM0"/>
      <sheetName val="$ Directo"/>
      <sheetName val="mat&amp;sub"/>
      <sheetName val="indir"/>
      <sheetName val="gene"/>
      <sheetName val="tot"/>
      <sheetName val="prog "/>
      <sheetName val="pres_comp"/>
      <sheetName val="civ_1"/>
      <sheetName val="kp_civ1"/>
      <sheetName val="KP"/>
      <sheetName val="civpl1"/>
      <sheetName val="7417stiA"/>
      <sheetName val="\Users\JoseGabriel\Downloads\Ví"/>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INSUMOS (2)"/>
      <sheetName val="ITEM"/>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sheetData sheetId="30" refreshError="1"/>
      <sheetData sheetId="31" refreshError="1"/>
      <sheetData sheetId="32"/>
      <sheetData sheetId="33"/>
      <sheetData sheetId="34"/>
      <sheetData sheetId="35"/>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refreshError="1"/>
      <sheetData sheetId="118" refreshError="1"/>
      <sheetData sheetId="119" refreshError="1"/>
      <sheetData sheetId="120" refreshError="1"/>
      <sheetData sheetId="121"/>
      <sheetData sheetId="122"/>
      <sheetData sheetId="123"/>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efreshError="1"/>
      <sheetData sheetId="578" refreshError="1"/>
      <sheetData sheetId="579" refreshError="1"/>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sheetData sheetId="605"/>
      <sheetData sheetId="606"/>
      <sheetData sheetId="607"/>
      <sheetData sheetId="608"/>
      <sheetData sheetId="609" refreshError="1"/>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refreshError="1"/>
      <sheetData sheetId="857" refreshError="1"/>
      <sheetData sheetId="858" refreshError="1"/>
      <sheetData sheetId="859" refreshError="1"/>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sheetData sheetId="942" refreshError="1"/>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sheetData sheetId="976" refreshError="1"/>
      <sheetData sheetId="977" refreshError="1"/>
      <sheetData sheetId="978" refreshError="1"/>
      <sheetData sheetId="979" refreshError="1"/>
      <sheetData sheetId="980" refreshError="1"/>
      <sheetData sheetId="98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sheetData sheetId="1587"/>
      <sheetData sheetId="1588"/>
      <sheetData sheetId="1589"/>
      <sheetData sheetId="1590"/>
      <sheetData sheetId="1591"/>
      <sheetData sheetId="1592"/>
      <sheetData sheetId="1593"/>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sheetData sheetId="1843"/>
      <sheetData sheetId="1844"/>
      <sheetData sheetId="1845"/>
      <sheetData sheetId="1846"/>
      <sheetData sheetId="1847"/>
      <sheetData sheetId="1848"/>
      <sheetData sheetId="1849"/>
      <sheetData sheetId="1850"/>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refreshError="1"/>
      <sheetData sheetId="2532"/>
      <sheetData sheetId="2533"/>
      <sheetData sheetId="2534"/>
      <sheetData sheetId="2535"/>
      <sheetData sheetId="2536"/>
      <sheetData sheetId="2537"/>
      <sheetData sheetId="2538"/>
      <sheetData sheetId="2539"/>
      <sheetData sheetId="2540" refreshError="1"/>
      <sheetData sheetId="2541"/>
      <sheetData sheetId="2542" refreshError="1"/>
      <sheetData sheetId="2543"/>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refreshError="1"/>
      <sheetData sheetId="2753"/>
      <sheetData sheetId="2754"/>
      <sheetData sheetId="2755" refreshError="1"/>
      <sheetData sheetId="2756" refreshError="1"/>
      <sheetData sheetId="2757" refreshError="1"/>
      <sheetData sheetId="2758" refreshError="1"/>
      <sheetData sheetId="2759"/>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sheetData sheetId="2806"/>
      <sheetData sheetId="2807"/>
      <sheetData sheetId="2808"/>
      <sheetData sheetId="2809"/>
      <sheetData sheetId="2810"/>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sheetData sheetId="2897"/>
      <sheetData sheetId="2898" refreshError="1"/>
      <sheetData sheetId="2899"/>
      <sheetData sheetId="2900" refreshError="1"/>
      <sheetData sheetId="290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sheetData sheetId="2941"/>
      <sheetData sheetId="2942"/>
      <sheetData sheetId="2943"/>
      <sheetData sheetId="2944"/>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sheetData sheetId="2961"/>
      <sheetData sheetId="2962" refreshError="1"/>
      <sheetData sheetId="2963"/>
      <sheetData sheetId="2964"/>
      <sheetData sheetId="2965" refreshError="1"/>
      <sheetData sheetId="2966"/>
      <sheetData sheetId="2967"/>
      <sheetData sheetId="2968"/>
      <sheetData sheetId="2969"/>
      <sheetData sheetId="2970"/>
      <sheetData sheetId="297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sheetData sheetId="3013" refreshError="1"/>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refreshError="1"/>
      <sheetData sheetId="3035"/>
      <sheetData sheetId="3036" refreshError="1"/>
      <sheetData sheetId="3037" refreshError="1"/>
      <sheetData sheetId="3038" refreshError="1"/>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sheetData sheetId="3127"/>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sheetData sheetId="3208"/>
      <sheetData sheetId="3209" refreshError="1"/>
      <sheetData sheetId="3210" refreshError="1"/>
      <sheetData sheetId="321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sheetData sheetId="3251"/>
      <sheetData sheetId="3252"/>
      <sheetData sheetId="3253"/>
      <sheetData sheetId="3254"/>
      <sheetData sheetId="3255"/>
      <sheetData sheetId="3256"/>
      <sheetData sheetId="3257"/>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refreshError="1"/>
      <sheetData sheetId="3294" refreshError="1"/>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refreshError="1"/>
      <sheetData sheetId="3385"/>
      <sheetData sheetId="3386" refreshError="1"/>
      <sheetData sheetId="3387" refreshError="1"/>
      <sheetData sheetId="3388" refreshError="1"/>
      <sheetData sheetId="3389" refreshError="1"/>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refreshError="1"/>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sheetData sheetId="3515"/>
      <sheetData sheetId="3516"/>
      <sheetData sheetId="3517"/>
      <sheetData sheetId="3518"/>
      <sheetData sheetId="3519" refreshError="1"/>
      <sheetData sheetId="3520"/>
      <sheetData sheetId="3521"/>
      <sheetData sheetId="3522"/>
      <sheetData sheetId="3523"/>
      <sheetData sheetId="3524"/>
      <sheetData sheetId="3525"/>
      <sheetData sheetId="3526"/>
      <sheetData sheetId="3527"/>
      <sheetData sheetId="3528" refreshError="1"/>
      <sheetData sheetId="3529" refreshError="1"/>
      <sheetData sheetId="3530"/>
      <sheetData sheetId="3531" refreshError="1"/>
      <sheetData sheetId="3532" refreshError="1"/>
      <sheetData sheetId="3533" refreshError="1"/>
      <sheetData sheetId="3534"/>
      <sheetData sheetId="3535" refreshError="1"/>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refreshError="1"/>
      <sheetData sheetId="3574" refreshError="1"/>
      <sheetData sheetId="3575" refreshError="1"/>
      <sheetData sheetId="3576" refreshError="1"/>
      <sheetData sheetId="3577" refreshError="1"/>
      <sheetData sheetId="3578" refreshError="1"/>
      <sheetData sheetId="3579"/>
      <sheetData sheetId="3580"/>
      <sheetData sheetId="3581" refreshError="1"/>
      <sheetData sheetId="3582" refreshError="1"/>
      <sheetData sheetId="3583" refreshError="1"/>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refreshError="1"/>
      <sheetData sheetId="3615" refreshError="1"/>
      <sheetData sheetId="3616" refreshError="1"/>
      <sheetData sheetId="3617"/>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sheetData sheetId="3725" refreshError="1"/>
      <sheetData sheetId="3726"/>
      <sheetData sheetId="3727"/>
      <sheetData sheetId="3728"/>
      <sheetData sheetId="3729"/>
      <sheetData sheetId="3730"/>
      <sheetData sheetId="3731"/>
      <sheetData sheetId="3732"/>
      <sheetData sheetId="3733"/>
      <sheetData sheetId="3734"/>
      <sheetData sheetId="3735"/>
      <sheetData sheetId="3736"/>
      <sheetData sheetId="3737" refreshError="1"/>
      <sheetData sheetId="3738" refreshError="1"/>
      <sheetData sheetId="3739" refreshError="1"/>
      <sheetData sheetId="3740"/>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sheetData sheetId="3772"/>
      <sheetData sheetId="3773"/>
      <sheetData sheetId="3774"/>
      <sheetData sheetId="3775" refreshError="1"/>
      <sheetData sheetId="3776" refreshError="1"/>
      <sheetData sheetId="3777"/>
      <sheetData sheetId="3778"/>
      <sheetData sheetId="3779"/>
      <sheetData sheetId="3780"/>
      <sheetData sheetId="3781"/>
      <sheetData sheetId="3782"/>
      <sheetData sheetId="3783"/>
      <sheetData sheetId="3784" refreshError="1"/>
      <sheetData sheetId="3785" refreshError="1"/>
      <sheetData sheetId="3786" refreshError="1"/>
      <sheetData sheetId="3787" refreshError="1"/>
      <sheetData sheetId="3788" refreshError="1"/>
      <sheetData sheetId="3789" refreshError="1"/>
      <sheetData sheetId="3790"/>
      <sheetData sheetId="3791"/>
      <sheetData sheetId="3792"/>
      <sheetData sheetId="3793"/>
      <sheetData sheetId="3794"/>
      <sheetData sheetId="3795"/>
      <sheetData sheetId="3796"/>
      <sheetData sheetId="3797"/>
      <sheetData sheetId="3798" refreshError="1"/>
      <sheetData sheetId="3799" refreshError="1"/>
      <sheetData sheetId="3800" refreshError="1"/>
      <sheetData sheetId="3801" refreshError="1"/>
      <sheetData sheetId="3802" refreshError="1"/>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refreshError="1"/>
      <sheetData sheetId="3888" refreshError="1"/>
      <sheetData sheetId="3889" refreshError="1"/>
      <sheetData sheetId="3890" refreshError="1"/>
      <sheetData sheetId="3891" refreshError="1"/>
      <sheetData sheetId="3892" refreshError="1"/>
      <sheetData sheetId="3893" refreshError="1"/>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refreshError="1"/>
      <sheetData sheetId="3939" refreshError="1"/>
      <sheetData sheetId="3940" refreshError="1"/>
      <sheetData sheetId="3941" refreshError="1"/>
      <sheetData sheetId="3942" refreshError="1"/>
      <sheetData sheetId="3943" refreshError="1"/>
      <sheetData sheetId="3944" refreshError="1"/>
      <sheetData sheetId="3945"/>
      <sheetData sheetId="3946" refreshError="1"/>
      <sheetData sheetId="3947" refreshError="1"/>
      <sheetData sheetId="3948" refreshError="1"/>
      <sheetData sheetId="3949" refreshError="1"/>
      <sheetData sheetId="3950" refreshError="1"/>
      <sheetData sheetId="3951"/>
      <sheetData sheetId="3952"/>
      <sheetData sheetId="3953"/>
      <sheetData sheetId="3954"/>
      <sheetData sheetId="3955"/>
      <sheetData sheetId="3956"/>
      <sheetData sheetId="3957"/>
      <sheetData sheetId="3958"/>
      <sheetData sheetId="3959" refreshError="1"/>
      <sheetData sheetId="3960" refreshError="1"/>
      <sheetData sheetId="3961" refreshError="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sheetData sheetId="4248" refreshError="1"/>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sheetData sheetId="4297" refreshError="1"/>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refreshError="1"/>
      <sheetData sheetId="4334" refreshError="1"/>
      <sheetData sheetId="4335" refreshError="1"/>
      <sheetData sheetId="4336"/>
      <sheetData sheetId="4337"/>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sheetData sheetId="4349" refreshError="1"/>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refreshError="1"/>
      <sheetData sheetId="4363" refreshError="1"/>
      <sheetData sheetId="4364" refreshError="1"/>
      <sheetData sheetId="4365" refreshError="1"/>
      <sheetData sheetId="4366" refreshError="1"/>
      <sheetData sheetId="4367"/>
      <sheetData sheetId="4368"/>
      <sheetData sheetId="4369"/>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sheetData sheetId="4394" refreshError="1"/>
      <sheetData sheetId="4395"/>
      <sheetData sheetId="4396" refreshError="1"/>
      <sheetData sheetId="4397"/>
      <sheetData sheetId="4398"/>
      <sheetData sheetId="4399"/>
      <sheetData sheetId="4400"/>
      <sheetData sheetId="4401"/>
      <sheetData sheetId="4402"/>
      <sheetData sheetId="4403"/>
      <sheetData sheetId="4404"/>
      <sheetData sheetId="4405"/>
      <sheetData sheetId="4406"/>
      <sheetData sheetId="4407"/>
      <sheetData sheetId="4408" refreshError="1"/>
      <sheetData sheetId="4409" refreshError="1"/>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sheetData sheetId="4503"/>
      <sheetData sheetId="4504"/>
      <sheetData sheetId="4505"/>
      <sheetData sheetId="4506" refreshError="1"/>
      <sheetData sheetId="4507" refreshError="1"/>
      <sheetData sheetId="4508" refreshError="1"/>
      <sheetData sheetId="4509"/>
      <sheetData sheetId="4510" refreshError="1"/>
      <sheetData sheetId="4511" refreshError="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refreshError="1"/>
      <sheetData sheetId="4532" refreshError="1"/>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refreshError="1"/>
      <sheetData sheetId="4552" refreshError="1"/>
      <sheetData sheetId="4553" refreshError="1"/>
      <sheetData sheetId="4554" refreshError="1"/>
      <sheetData sheetId="4555"/>
      <sheetData sheetId="4556"/>
      <sheetData sheetId="4557" refreshError="1"/>
      <sheetData sheetId="4558" refreshError="1"/>
      <sheetData sheetId="4559" refreshError="1"/>
      <sheetData sheetId="4560"/>
      <sheetData sheetId="4561"/>
      <sheetData sheetId="4562" refreshError="1"/>
      <sheetData sheetId="4563"/>
      <sheetData sheetId="4564"/>
      <sheetData sheetId="4565"/>
      <sheetData sheetId="4566" refreshError="1"/>
      <sheetData sheetId="4567"/>
      <sheetData sheetId="4568" refreshError="1"/>
      <sheetData sheetId="4569" refreshError="1"/>
      <sheetData sheetId="4570" refreshError="1"/>
      <sheetData sheetId="4571" refreshError="1"/>
      <sheetData sheetId="4572" refreshError="1"/>
      <sheetData sheetId="4573"/>
      <sheetData sheetId="4574" refreshError="1"/>
      <sheetData sheetId="4575" refreshError="1"/>
      <sheetData sheetId="4576"/>
      <sheetData sheetId="4577"/>
      <sheetData sheetId="4578"/>
      <sheetData sheetId="4579"/>
      <sheetData sheetId="4580" refreshError="1"/>
      <sheetData sheetId="4581" refreshError="1"/>
      <sheetData sheetId="4582" refreshError="1"/>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refreshError="1"/>
      <sheetData sheetId="4694"/>
      <sheetData sheetId="4695"/>
      <sheetData sheetId="4696"/>
      <sheetData sheetId="4697" refreshError="1"/>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refreshError="1"/>
      <sheetData sheetId="4721"/>
      <sheetData sheetId="4722"/>
      <sheetData sheetId="4723"/>
      <sheetData sheetId="4724"/>
      <sheetData sheetId="4725"/>
      <sheetData sheetId="4726"/>
      <sheetData sheetId="4727"/>
      <sheetData sheetId="4728" refreshError="1"/>
      <sheetData sheetId="4729" refreshError="1"/>
      <sheetData sheetId="4730" refreshError="1"/>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refreshError="1"/>
      <sheetData sheetId="4751"/>
      <sheetData sheetId="4752" refreshError="1"/>
      <sheetData sheetId="4753"/>
      <sheetData sheetId="4754" refreshError="1"/>
      <sheetData sheetId="4755" refreshError="1"/>
      <sheetData sheetId="4756" refreshError="1"/>
      <sheetData sheetId="4757"/>
      <sheetData sheetId="4758"/>
      <sheetData sheetId="4759"/>
      <sheetData sheetId="4760"/>
      <sheetData sheetId="4761"/>
      <sheetData sheetId="4762"/>
      <sheetData sheetId="4763"/>
      <sheetData sheetId="4764" refreshError="1"/>
      <sheetData sheetId="4765" refreshError="1"/>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sheetData sheetId="4960"/>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sheetData sheetId="5334"/>
      <sheetData sheetId="5335"/>
      <sheetData sheetId="5336"/>
      <sheetData sheetId="5337" refreshError="1"/>
      <sheetData sheetId="5338" refreshError="1"/>
      <sheetData sheetId="5339" refreshError="1"/>
      <sheetData sheetId="5340" refreshError="1"/>
      <sheetData sheetId="5341" refreshError="1"/>
      <sheetData sheetId="5342" refreshError="1"/>
      <sheetData sheetId="5343"/>
      <sheetData sheetId="5344" refreshError="1"/>
      <sheetData sheetId="5345"/>
      <sheetData sheetId="5346" refreshError="1"/>
      <sheetData sheetId="5347"/>
      <sheetData sheetId="5348"/>
      <sheetData sheetId="5349"/>
      <sheetData sheetId="5350"/>
      <sheetData sheetId="5351"/>
      <sheetData sheetId="5352"/>
      <sheetData sheetId="5353"/>
      <sheetData sheetId="5354"/>
      <sheetData sheetId="5355"/>
      <sheetData sheetId="5356" refreshError="1"/>
      <sheetData sheetId="5357" refreshError="1"/>
      <sheetData sheetId="5358" refreshError="1"/>
      <sheetData sheetId="5359"/>
      <sheetData sheetId="5360"/>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sheetData sheetId="5372"/>
      <sheetData sheetId="5373" refreshError="1"/>
      <sheetData sheetId="5374" refreshError="1"/>
      <sheetData sheetId="5375"/>
      <sheetData sheetId="5376" refreshError="1"/>
      <sheetData sheetId="5377" refreshError="1"/>
      <sheetData sheetId="5378"/>
      <sheetData sheetId="5379" refreshError="1"/>
      <sheetData sheetId="5380"/>
      <sheetData sheetId="5381"/>
      <sheetData sheetId="5382"/>
      <sheetData sheetId="5383"/>
      <sheetData sheetId="5384"/>
      <sheetData sheetId="5385"/>
      <sheetData sheetId="5386" refreshError="1"/>
      <sheetData sheetId="5387"/>
      <sheetData sheetId="5388" refreshError="1"/>
      <sheetData sheetId="5389"/>
      <sheetData sheetId="5390" refreshError="1"/>
      <sheetData sheetId="5391" refreshError="1"/>
      <sheetData sheetId="5392" refreshError="1"/>
      <sheetData sheetId="5393"/>
      <sheetData sheetId="5394"/>
      <sheetData sheetId="5395"/>
      <sheetData sheetId="5396"/>
      <sheetData sheetId="5397"/>
      <sheetData sheetId="5398"/>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sheetData sheetId="5451"/>
      <sheetData sheetId="5452"/>
      <sheetData sheetId="5453"/>
      <sheetData sheetId="5454"/>
      <sheetData sheetId="5455"/>
      <sheetData sheetId="5456"/>
      <sheetData sheetId="5457"/>
      <sheetData sheetId="5458"/>
      <sheetData sheetId="5459"/>
      <sheetData sheetId="5460" refreshError="1"/>
      <sheetData sheetId="5461" refreshError="1"/>
      <sheetData sheetId="5462" refreshError="1"/>
      <sheetData sheetId="5463" refreshError="1"/>
      <sheetData sheetId="5464" refreshError="1"/>
      <sheetData sheetId="5465" refreshError="1"/>
      <sheetData sheetId="5466" refreshError="1"/>
      <sheetData sheetId="5467"/>
      <sheetData sheetId="5468"/>
      <sheetData sheetId="5469"/>
      <sheetData sheetId="5470"/>
      <sheetData sheetId="5471"/>
      <sheetData sheetId="5472"/>
      <sheetData sheetId="5473"/>
      <sheetData sheetId="5474"/>
      <sheetData sheetId="5475"/>
      <sheetData sheetId="5476"/>
      <sheetData sheetId="5477"/>
      <sheetData sheetId="5478" refreshError="1"/>
      <sheetData sheetId="5479" refreshError="1"/>
      <sheetData sheetId="5480" refreshError="1"/>
      <sheetData sheetId="5481" refreshError="1"/>
      <sheetData sheetId="5482" refreshError="1"/>
      <sheetData sheetId="5483"/>
      <sheetData sheetId="5484"/>
      <sheetData sheetId="5485" refreshError="1"/>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refreshError="1"/>
      <sheetData sheetId="5521" refreshError="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refreshError="1"/>
      <sheetData sheetId="5544"/>
      <sheetData sheetId="5545"/>
      <sheetData sheetId="5546"/>
      <sheetData sheetId="5547" refreshError="1"/>
      <sheetData sheetId="5548"/>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sheetData sheetId="5630"/>
      <sheetData sheetId="5631"/>
      <sheetData sheetId="5632"/>
      <sheetData sheetId="5633"/>
      <sheetData sheetId="5634"/>
      <sheetData sheetId="5635"/>
      <sheetData sheetId="5636"/>
      <sheetData sheetId="5637"/>
      <sheetData sheetId="5638"/>
      <sheetData sheetId="5639" refreshError="1"/>
      <sheetData sheetId="5640"/>
      <sheetData sheetId="5641" refreshError="1"/>
      <sheetData sheetId="5642"/>
      <sheetData sheetId="5643" refreshError="1"/>
      <sheetData sheetId="5644" refreshError="1"/>
      <sheetData sheetId="5645" refreshError="1"/>
      <sheetData sheetId="5646" refreshError="1"/>
      <sheetData sheetId="5647"/>
      <sheetData sheetId="5648"/>
      <sheetData sheetId="5649"/>
      <sheetData sheetId="5650"/>
      <sheetData sheetId="5651"/>
      <sheetData sheetId="5652" refreshError="1"/>
      <sheetData sheetId="5653" refreshError="1"/>
      <sheetData sheetId="5654" refreshError="1"/>
      <sheetData sheetId="5655" refreshError="1"/>
      <sheetData sheetId="5656" refreshError="1"/>
      <sheetData sheetId="5657" refreshError="1"/>
      <sheetData sheetId="5658" refreshError="1"/>
      <sheetData sheetId="5659"/>
      <sheetData sheetId="5660"/>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refreshError="1"/>
      <sheetData sheetId="5782"/>
      <sheetData sheetId="5783"/>
      <sheetData sheetId="5784" refreshError="1"/>
      <sheetData sheetId="5785"/>
      <sheetData sheetId="5786" refreshError="1"/>
      <sheetData sheetId="5787"/>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sheetData sheetId="5803"/>
      <sheetData sheetId="5804"/>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refreshError="1"/>
      <sheetData sheetId="5843"/>
      <sheetData sheetId="5844"/>
      <sheetData sheetId="5845"/>
      <sheetData sheetId="5846"/>
      <sheetData sheetId="5847"/>
      <sheetData sheetId="5848"/>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sheetData sheetId="5920"/>
      <sheetData sheetId="5921"/>
      <sheetData sheetId="5922"/>
      <sheetData sheetId="5923"/>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sheetData sheetId="6142"/>
      <sheetData sheetId="6143"/>
      <sheetData sheetId="6144" refreshError="1"/>
      <sheetData sheetId="6145" refreshError="1"/>
      <sheetData sheetId="6146" refreshError="1"/>
      <sheetData sheetId="6147" refreshError="1"/>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sheetData sheetId="6213" refreshError="1"/>
      <sheetData sheetId="6214"/>
      <sheetData sheetId="6215" refreshError="1"/>
      <sheetData sheetId="6216" refreshError="1"/>
      <sheetData sheetId="6217" refreshError="1"/>
      <sheetData sheetId="6218"/>
      <sheetData sheetId="6219"/>
      <sheetData sheetId="6220"/>
      <sheetData sheetId="6221"/>
      <sheetData sheetId="6222"/>
      <sheetData sheetId="6223" refreshError="1"/>
      <sheetData sheetId="6224" refreshError="1"/>
      <sheetData sheetId="6225"/>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refreshError="1"/>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refreshError="1"/>
      <sheetData sheetId="6780"/>
      <sheetData sheetId="6781"/>
      <sheetData sheetId="6782" refreshError="1"/>
      <sheetData sheetId="6783" refreshError="1"/>
      <sheetData sheetId="6784" refreshError="1"/>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refreshError="1"/>
      <sheetData sheetId="6809" refreshError="1"/>
      <sheetData sheetId="6810" refreshError="1"/>
      <sheetData sheetId="6811" refreshError="1"/>
      <sheetData sheetId="6812" refreshError="1"/>
      <sheetData sheetId="6813" refreshError="1"/>
      <sheetData sheetId="6814"/>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sheetData sheetId="7121"/>
      <sheetData sheetId="7122"/>
      <sheetData sheetId="7123"/>
      <sheetData sheetId="7124"/>
      <sheetData sheetId="7125"/>
      <sheetData sheetId="7126" refreshError="1"/>
      <sheetData sheetId="7127"/>
      <sheetData sheetId="7128"/>
      <sheetData sheetId="7129"/>
      <sheetData sheetId="7130"/>
      <sheetData sheetId="7131"/>
      <sheetData sheetId="7132"/>
      <sheetData sheetId="7133"/>
      <sheetData sheetId="7134"/>
      <sheetData sheetId="7135"/>
      <sheetData sheetId="7136"/>
      <sheetData sheetId="7137" refreshError="1"/>
      <sheetData sheetId="7138"/>
      <sheetData sheetId="7139"/>
      <sheetData sheetId="7140"/>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sheetData sheetId="7150"/>
      <sheetData sheetId="7151"/>
      <sheetData sheetId="7152"/>
      <sheetData sheetId="7153"/>
      <sheetData sheetId="7154"/>
      <sheetData sheetId="7155"/>
      <sheetData sheetId="7156"/>
      <sheetData sheetId="7157"/>
      <sheetData sheetId="7158"/>
      <sheetData sheetId="7159"/>
      <sheetData sheetId="7160" refreshError="1"/>
      <sheetData sheetId="7161"/>
      <sheetData sheetId="7162" refreshError="1"/>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refreshError="1"/>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sheetData sheetId="7224"/>
      <sheetData sheetId="7225"/>
      <sheetData sheetId="7226"/>
      <sheetData sheetId="7227"/>
      <sheetData sheetId="7228"/>
      <sheetData sheetId="7229"/>
      <sheetData sheetId="7230"/>
      <sheetData sheetId="7231"/>
      <sheetData sheetId="7232"/>
      <sheetData sheetId="7233"/>
      <sheetData sheetId="7234" refreshError="1"/>
      <sheetData sheetId="7235"/>
      <sheetData sheetId="7236"/>
      <sheetData sheetId="7237" refreshError="1"/>
      <sheetData sheetId="7238"/>
      <sheetData sheetId="7239"/>
      <sheetData sheetId="7240"/>
      <sheetData sheetId="7241"/>
      <sheetData sheetId="7242"/>
      <sheetData sheetId="7243"/>
      <sheetData sheetId="7244"/>
      <sheetData sheetId="7245"/>
      <sheetData sheetId="7246"/>
      <sheetData sheetId="7247" refreshError="1"/>
      <sheetData sheetId="7248" refreshError="1"/>
      <sheetData sheetId="7249" refreshError="1"/>
      <sheetData sheetId="7250" refreshError="1"/>
      <sheetData sheetId="7251"/>
      <sheetData sheetId="7252"/>
      <sheetData sheetId="7253"/>
      <sheetData sheetId="7254"/>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sheetData sheetId="7600" refreshError="1"/>
      <sheetData sheetId="7601" refreshError="1"/>
      <sheetData sheetId="7602" refreshError="1"/>
      <sheetData sheetId="7603" refreshError="1"/>
      <sheetData sheetId="7604"/>
      <sheetData sheetId="7605" refreshError="1"/>
      <sheetData sheetId="7606" refreshError="1"/>
      <sheetData sheetId="7607" refreshError="1"/>
      <sheetData sheetId="7608" refreshError="1"/>
      <sheetData sheetId="7609" refreshError="1"/>
      <sheetData sheetId="7610" refreshError="1"/>
      <sheetData sheetId="7611"/>
      <sheetData sheetId="7612" refreshError="1"/>
      <sheetData sheetId="7613" refreshError="1"/>
      <sheetData sheetId="7614" refreshError="1"/>
      <sheetData sheetId="7615" refreshError="1"/>
      <sheetData sheetId="7616" refreshError="1"/>
      <sheetData sheetId="7617" refreshError="1"/>
      <sheetData sheetId="7618" refreshError="1"/>
      <sheetData sheetId="7619"/>
      <sheetData sheetId="7620"/>
      <sheetData sheetId="7621"/>
      <sheetData sheetId="7622"/>
      <sheetData sheetId="7623"/>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sheetData sheetId="8586" refreshError="1"/>
      <sheetData sheetId="8587"/>
      <sheetData sheetId="8588"/>
      <sheetData sheetId="8589"/>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sheetData sheetId="8600" refreshError="1"/>
      <sheetData sheetId="8601" refreshError="1"/>
      <sheetData sheetId="8602" refreshError="1"/>
      <sheetData sheetId="8603"/>
      <sheetData sheetId="8604"/>
      <sheetData sheetId="8605"/>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refreshError="1"/>
      <sheetData sheetId="8732" refreshError="1"/>
      <sheetData sheetId="8733" refreshError="1"/>
      <sheetData sheetId="8734" refreshError="1"/>
      <sheetData sheetId="8735" refreshError="1"/>
      <sheetData sheetId="8736"/>
      <sheetData sheetId="8737"/>
      <sheetData sheetId="8738"/>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sheetData sheetId="8862"/>
      <sheetData sheetId="8863" refreshError="1"/>
      <sheetData sheetId="8864" refreshError="1"/>
      <sheetData sheetId="8865" refreshError="1"/>
      <sheetData sheetId="8866" refreshError="1"/>
      <sheetData sheetId="8867" refreshError="1"/>
      <sheetData sheetId="8868"/>
      <sheetData sheetId="8869"/>
      <sheetData sheetId="8870"/>
      <sheetData sheetId="8871" refreshError="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 val="SAL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P"/>
      <sheetName val="MAT"/>
      <sheetName val="MO"/>
      <sheetName val="AUI"/>
      <sheetName val="PRESUPUESTO"/>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item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Excavación Mat. Común Estacione"/>
      <sheetName val="Demolición Pavimento"/>
      <sheetName val="PUNITARIOS%20PARA%20241201%202S"/>
      <sheetName val="TRANSPORTE"/>
      <sheetName val="Insum"/>
      <sheetName val="SUB APU"/>
      <sheetName val="ESTADO VÍA-CRIT.TECNICO"/>
      <sheetName val="RELACION MES"/>
      <sheetName val="PRESUPUESTO"/>
      <sheetName val="GCB2000"/>
      <sheetName val="Listas"/>
      <sheetName val="A. P. U."/>
      <sheetName val="Presup_Cancha"/>
      <sheetName val="CRA.MODI"/>
      <sheetName val=" Liquidacion de Obra por Tramos"/>
      <sheetName val="A.P.U"/>
      <sheetName val="FORMULA"/>
      <sheetName val="CLASIFICACION"/>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CODCONST"/>
      <sheetName val="PREACTA Y CONTRATISTAS"/>
      <sheetName val="5. ELECTRICO"/>
      <sheetName val="LISTA DE PRECIOS"/>
      <sheetName val="062"/>
      <sheetName val="Listado"/>
      <sheetName val="REC-COD,"/>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BALANCE"/>
      <sheetName val="ITEMS NO REVISTOS"/>
      <sheetName val="APU ELECTRICOS"/>
      <sheetName val="CONT_ADI"/>
      <sheetName val="mdo"/>
      <sheetName val="equip"/>
      <sheetName val="mat"/>
      <sheetName val="CIRCUITOS CODENSA"/>
      <sheetName val="APU"/>
      <sheetName val="DEST. MEDIOS"/>
      <sheetName val="COMBUASF"/>
      <sheetName val="BALCRUDO"/>
      <sheetName val="CARGASPROC."/>
      <sheetName val="G L P  FINAL"/>
      <sheetName val="BASE"/>
      <sheetName val="costos oficina"/>
      <sheetName val="costos campamento"/>
      <sheetName val="días habiles 2015"/>
      <sheetName val="Proveedores y acreedores"/>
      <sheetName val="c2_5y2_613"/>
      <sheetName val="c2_5y2_612"/>
      <sheetName val="c2_5y2_611"/>
      <sheetName val="7422cw00"/>
      <sheetName val="for 6"/>
      <sheetName val="gpi_526"/>
      <sheetName val="vea_374"/>
      <sheetName val="5__ELECTRICO"/>
      <sheetName val="ITEMS_NO_REVISTOS"/>
      <sheetName val="APU_ELECTRICOS"/>
      <sheetName val="for_6"/>
      <sheetName val="glvc"/>
      <sheetName val="Estado Resumen"/>
      <sheetName val="devdics"/>
      <sheetName val="Bases 2A"/>
      <sheetName val="CHINCHINA FINAL . A CEROS"/>
      <sheetName val="Memoria de calculo"/>
      <sheetName val="@RISK - Correlaciones"/>
      <sheetName val="Acta"/>
      <sheetName val="c2_5y2_614"/>
      <sheetName val="REAJUSTESACTA1PROVI"/>
      <sheetName val="PP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48">
          <cell r="E48">
            <v>0</v>
          </cell>
        </row>
      </sheetData>
      <sheetData sheetId="158">
        <row r="48">
          <cell r="E48">
            <v>0</v>
          </cell>
        </row>
      </sheetData>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row r="48">
          <cell r="E48">
            <v>0</v>
          </cell>
        </row>
      </sheetData>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sheetData sheetId="329">
        <row r="48">
          <cell r="E48">
            <v>0</v>
          </cell>
        </row>
      </sheetData>
      <sheetData sheetId="330" refreshError="1"/>
      <sheetData sheetId="331" refreshError="1"/>
      <sheetData sheetId="332"/>
      <sheetData sheetId="333" refreshError="1"/>
      <sheetData sheetId="33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2)"/>
      <sheetName val="Mayo11"/>
      <sheetName val="Mayo12"/>
      <sheetName val="Mayo18"/>
      <sheetName val="Mayo19"/>
      <sheetName val="Hoja1"/>
      <sheetName val="Mayo21"/>
      <sheetName val="RESUM TTES"/>
      <sheetName val="Expl-1"/>
      <sheetName val="Expl-2"/>
      <sheetName val="Expl-3"/>
      <sheetName val="Expl-4"/>
      <sheetName val="Expl-5"/>
      <sheetName val="Hoja3"/>
      <sheetName val="Hoja3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 val="PU"/>
    </sheetNames>
    <sheetDataSet>
      <sheetData sheetId="0"/>
      <sheetData sheetId="1"/>
      <sheetData sheetId="2"/>
      <sheetData sheetId="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CRA.MODI"/>
      <sheetName val="1,01"/>
      <sheetName val="devdics"/>
      <sheetName val="Listas"/>
      <sheetName val="AASHTO"/>
      <sheetName val="INV"/>
      <sheetName val="UNIT."/>
      <sheetName val="glvc"/>
      <sheetName val="PROGR_2"/>
      <sheetName val="PROGR_3"/>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sheetData sheetId="33"/>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Resumen APU"/>
      <sheetName val="ARMENIA_CLUB DE TIRO"/>
      <sheetName val="Mes a M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ARMENIA-CLUB DE TI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PRESUPUESTO%20PDA%20COMPLETO%20V4.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uario" refreshedDate="45495.449031944445" createdVersion="8" refreshedVersion="8" minRefreshableVersion="3" recordCount="113" xr:uid="{00000000-000A-0000-FFFF-FFFF00000000}">
  <cacheSource type="worksheet">
    <worksheetSource ref="H2:K48" sheet="ACCESORIOS" r:id="rId2"/>
  </cacheSource>
  <cacheFields count="4">
    <cacheField name="VISTA DETALLE" numFmtId="0">
      <sharedItems/>
    </cacheField>
    <cacheField name="X" numFmtId="0">
      <sharedItems containsSemiMixedTypes="0" containsString="0" containsNumber="1" minValue="4779198.6780000003" maxValue="4779501.7699999996"/>
    </cacheField>
    <cacheField name="Y" numFmtId="0">
      <sharedItems containsSemiMixedTypes="0" containsString="0" containsNumber="1" minValue="2241987.696" maxValue="4779463.4939999999"/>
    </cacheField>
    <cacheField name="ACCESORIO" numFmtId="0">
      <sharedItems count="15">
        <s v="Unión rápida Ø6&quot; PVC"/>
        <s v="Hidrante Ø3&quot; HD"/>
        <s v="Válvula compuerta Ø3&quot; HD Extr. Liso"/>
        <s v="Unión rápida Ø3&quot; PVC"/>
        <s v="Reducción Ø4x3&quot; HD Extr. Liso"/>
        <s v="Reducción Ø6x4&quot; HD Extr. Liso"/>
        <s v="Tee Ø6&quot; HD Extr. Liso"/>
        <s v="Válvula compuerta Ø6&quot; HD Extr. Liso"/>
        <s v="Cruz Ø6x6x4x4&quot; HD Extr. Liso"/>
        <s v="Unión rápida Ø4&quot; PVC"/>
        <s v="Tee Ø3x3&quot; HD Extr. Liso"/>
        <s v="Tee Ø3&quot; HD Extr. Liso"/>
        <s v="Cruz Ø6x6x6x6&quot; HD Extr. Liso"/>
        <s v="Cruz Ø3x3x3x3&quot; HD Extr. Liso"/>
        <s v="Válvula compuerta Ø4&quot; HD Extr. Liso"/>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13">
  <r>
    <s v="VD01"/>
    <n v="4779232.5319999997"/>
    <n v="2242128.9549999996"/>
    <x v="0"/>
  </r>
  <r>
    <s v="VD01"/>
    <n v="4779232.3299999991"/>
    <n v="2242128.8389999997"/>
    <x v="1"/>
  </r>
  <r>
    <s v="VD01"/>
    <n v="4779232.2279999992"/>
    <n v="2242128.5749999997"/>
    <x v="2"/>
  </r>
  <r>
    <s v="VD01"/>
    <n v="4779231.9889999991"/>
    <n v="2242128.6399999997"/>
    <x v="3"/>
  </r>
  <r>
    <s v="VD01"/>
    <n v="4779231.835"/>
    <n v="2242128.5299999998"/>
    <x v="4"/>
  </r>
  <r>
    <s v="VD01"/>
    <n v="4779231.5559999999"/>
    <n v="2242128.3669999996"/>
    <x v="5"/>
  </r>
  <r>
    <s v="VD01"/>
    <n v="4779231.8209999995"/>
    <n v="2242128.2109999997"/>
    <x v="6"/>
  </r>
  <r>
    <s v="VD01"/>
    <n v="4779233.4169999994"/>
    <n v="2242125.5179999997"/>
    <x v="0"/>
  </r>
  <r>
    <s v="VD01"/>
    <n v="4779233.4519999996"/>
    <n v="2242125.1269999999"/>
    <x v="0"/>
  </r>
  <r>
    <s v="VD01"/>
    <n v="4779233.7909999993"/>
    <n v="2242124.9349999996"/>
    <x v="7"/>
  </r>
  <r>
    <s v="VD01"/>
    <n v="4779235.7349999994"/>
    <n v="2242122.1569999997"/>
    <x v="0"/>
  </r>
  <r>
    <s v="VD02"/>
    <n v="4779235.8"/>
    <n v="2242121.8079999997"/>
    <x v="0"/>
  </r>
  <r>
    <s v="VD02"/>
    <n v="4779236.0289999992"/>
    <n v="2242121.5249999999"/>
    <x v="7"/>
  </r>
  <r>
    <s v="VD02"/>
    <n v="4779236.38"/>
    <n v="2242119.19"/>
    <x v="0"/>
  </r>
  <r>
    <s v="VD02"/>
    <n v="4779236.5219999999"/>
    <n v="2242118.8139999998"/>
    <x v="0"/>
  </r>
  <r>
    <s v="VD02"/>
    <n v="4779236.6939999992"/>
    <n v="2242118.548"/>
    <x v="8"/>
  </r>
  <r>
    <s v="VD02"/>
    <n v="4779235.8810000001"/>
    <n v="2242118.3539999998"/>
    <x v="0"/>
  </r>
  <r>
    <s v="VD02"/>
    <n v="4779236.0319999997"/>
    <n v="2242118.5839999998"/>
    <x v="3"/>
  </r>
  <r>
    <s v="VD02"/>
    <n v="4779236.3969999999"/>
    <n v="2242118.5859999997"/>
    <x v="4"/>
  </r>
  <r>
    <s v="VD02"/>
    <n v="4779237.0139999995"/>
    <n v="2242118.9469999997"/>
    <x v="9"/>
  </r>
  <r>
    <s v="VD02"/>
    <n v="4779237.2309999997"/>
    <n v="2242119.264"/>
    <x v="9"/>
  </r>
  <r>
    <s v="VD02"/>
    <n v="4779237.4519999996"/>
    <n v="2242119.2279999997"/>
    <x v="4"/>
  </r>
  <r>
    <s v="VD02"/>
    <n v="4779256.1609999994"/>
    <n v="2242130.787"/>
    <x v="3"/>
  </r>
  <r>
    <s v="VD03"/>
    <n v="4779256.3489999995"/>
    <n v="2242131.091"/>
    <x v="3"/>
  </r>
  <r>
    <s v="VD03"/>
    <n v="4779256.7439999999"/>
    <n v="2242131.1179999998"/>
    <x v="2"/>
  </r>
  <r>
    <s v="VD03"/>
    <n v="4779319.307"/>
    <n v="2242158.8099999996"/>
    <x v="3"/>
  </r>
  <r>
    <s v="VD04"/>
    <n v="4779318.9009999996"/>
    <n v="2242158.8819999998"/>
    <x v="3"/>
  </r>
  <r>
    <s v="VD04"/>
    <n v="4779318.6569999997"/>
    <n v="2242158.5999999996"/>
    <x v="2"/>
  </r>
  <r>
    <s v="VD04"/>
    <n v="4779331.0589999994"/>
    <n v="2242161.9069999997"/>
    <x v="3"/>
  </r>
  <r>
    <s v="VD05"/>
    <n v="4779331.2459999993"/>
    <n v="2242161.5589999999"/>
    <x v="0"/>
  </r>
  <r>
    <s v="VD05"/>
    <n v="4779331.4529999997"/>
    <n v="2242161.176"/>
    <x v="8"/>
  </r>
  <r>
    <s v="VD05"/>
    <n v="4779331.7129999995"/>
    <n v="4776798.7029999997"/>
    <x v="0"/>
  </r>
  <r>
    <s v="VD05"/>
    <n v="4779331.659"/>
    <n v="2242160.6509999996"/>
    <x v="5"/>
  </r>
  <r>
    <s v="VD05"/>
    <n v="4779330.3709999993"/>
    <n v="2242161.219"/>
    <x v="9"/>
  </r>
  <r>
    <s v="VD05"/>
    <n v="4779330.6429999992"/>
    <n v="2242161.412"/>
    <x v="3"/>
  </r>
  <r>
    <s v="VD05"/>
    <n v="4779331.0949999997"/>
    <n v="2242161.3639999996"/>
    <x v="4"/>
  </r>
  <r>
    <s v="VD05"/>
    <n v="4779331.7989999996"/>
    <n v="2242161.71"/>
    <x v="9"/>
  </r>
  <r>
    <s v="VD05"/>
    <n v="4779332.05"/>
    <n v="2242161.9889999996"/>
    <x v="9"/>
  </r>
  <r>
    <s v="VD05"/>
    <n v="4779332.3079999993"/>
    <n v="2242161.9529999997"/>
    <x v="4"/>
  </r>
  <r>
    <s v="VD05"/>
    <n v="4779318.6569999997"/>
    <n v="2242158.5999999996"/>
    <x v="3"/>
  </r>
  <r>
    <s v="VD06"/>
    <n v="4779318.9009999996"/>
    <n v="2242158.8819999998"/>
    <x v="3"/>
  </r>
  <r>
    <s v="VD06"/>
    <n v="4779319.307"/>
    <n v="2242158.8099999996"/>
    <x v="2"/>
  </r>
  <r>
    <s v="VD06"/>
    <n v="4779331.0589999994"/>
    <n v="2242161.9069999997"/>
    <x v="3"/>
  </r>
  <r>
    <s v="VD07"/>
    <n v="4779331.2459999993"/>
    <n v="2242161.5589999999"/>
    <x v="0"/>
  </r>
  <r>
    <s v="VD07"/>
    <n v="4779331.4529999997"/>
    <n v="2242161.176"/>
    <x v="8"/>
  </r>
  <r>
    <s v="VD07"/>
    <n v="4779331.7129999995"/>
    <n v="2242160.906"/>
    <x v="0"/>
  </r>
  <r>
    <s v="VD07"/>
    <n v="4779331.659"/>
    <n v="2242160.6509999996"/>
    <x v="5"/>
  </r>
  <r>
    <s v="VD07"/>
    <n v="4779330.3709999993"/>
    <n v="2242161.219"/>
    <x v="9"/>
  </r>
  <r>
    <s v="VD07"/>
    <n v="4779330.6429999992"/>
    <n v="2242161.412"/>
    <x v="3"/>
  </r>
  <r>
    <s v="VD07"/>
    <n v="4779331.0949999997"/>
    <n v="2242161.3639999996"/>
    <x v="4"/>
  </r>
  <r>
    <s v="VD07"/>
    <n v="4779331.7989999996"/>
    <n v="2242161.71"/>
    <x v="9"/>
  </r>
  <r>
    <s v="VD07"/>
    <n v="4779332.05"/>
    <n v="2242161.9889999996"/>
    <x v="9"/>
  </r>
  <r>
    <s v="VD07"/>
    <n v="4779332.3079999993"/>
    <n v="2242161.9529999997"/>
    <x v="4"/>
  </r>
  <r>
    <s v="VD07"/>
    <n v="4779426.8899999997"/>
    <n v="2242207.716"/>
    <x v="3"/>
  </r>
  <r>
    <s v="VD08"/>
    <n v="4779427.0819999995"/>
    <n v="2242208.0439999998"/>
    <x v="3"/>
  </r>
  <r>
    <s v="VD08"/>
    <n v="4779427.4749999996"/>
    <n v="2242208.0099999998"/>
    <x v="2"/>
  </r>
  <r>
    <s v="VD08"/>
    <n v="4779456.5929999994"/>
    <n v="2242219.34"/>
    <x v="3"/>
  </r>
  <r>
    <s v="VD09"/>
    <n v="4779456.8849999998"/>
    <n v="2242219.057"/>
    <x v="3"/>
  </r>
  <r>
    <s v="VD09"/>
    <n v="4779456.602"/>
    <n v="2242218.7849999997"/>
    <x v="10"/>
  </r>
  <r>
    <s v="VD09"/>
    <n v="4779457.2560000001"/>
    <n v="2242219.0829999996"/>
    <x v="3"/>
  </r>
  <r>
    <s v="VD09"/>
    <n v="4779498.523"/>
    <n v="2242242.5799999996"/>
    <x v="3"/>
  </r>
  <r>
    <s v="VD10"/>
    <n v="4779498.7189999996"/>
    <n v="2242242.2309999997"/>
    <x v="1"/>
  </r>
  <r>
    <s v="VD10"/>
    <n v="4779499.0629999992"/>
    <n v="2242241.8819999998"/>
    <x v="2"/>
  </r>
  <r>
    <s v="VD10"/>
    <n v="4779498.7459999993"/>
    <n v="2242241.5859999997"/>
    <x v="3"/>
  </r>
  <r>
    <s v="VD10"/>
    <n v="4779499.05"/>
    <n v="2242241.5689999997"/>
    <x v="3"/>
  </r>
  <r>
    <s v="VD10"/>
    <n v="4779499.2219999991"/>
    <n v="2242241.824"/>
    <x v="11"/>
  </r>
  <r>
    <s v="VD10"/>
    <n v="4779501.0649999995"/>
    <n v="2242241.6429999997"/>
    <x v="3"/>
  </r>
  <r>
    <s v="VD10"/>
    <n v="4779501.4039999992"/>
    <n v="2242241.8139999998"/>
    <x v="3"/>
  </r>
  <r>
    <s v="VD10"/>
    <n v="4779501.7699999996"/>
    <n v="2242241.648"/>
    <x v="2"/>
  </r>
  <r>
    <s v="VD10"/>
    <n v="4779498.7189999996"/>
    <n v="2242242.2309999997"/>
    <x v="3"/>
  </r>
  <r>
    <s v="VD11"/>
    <n v="4779198.6780000003"/>
    <n v="2241989.1979999999"/>
    <x v="1"/>
  </r>
  <r>
    <s v="VD11"/>
    <n v="4779198.88"/>
    <n v="2241988.8280000002"/>
    <x v="2"/>
  </r>
  <r>
    <s v="VD11"/>
    <n v="4779198.9579999996"/>
    <n v="2241988.6710000001"/>
    <x v="3"/>
  </r>
  <r>
    <s v="VD11"/>
    <n v="4779199.1040000003"/>
    <n v="2241988.4249999998"/>
    <x v="4"/>
  </r>
  <r>
    <s v="VD11"/>
    <n v="4779199.1710000001"/>
    <n v="2241988.2680000002"/>
    <x v="5"/>
  </r>
  <r>
    <s v="VD11"/>
    <n v="4779199.2939999998"/>
    <n v="2241988.0440000002"/>
    <x v="0"/>
  </r>
  <r>
    <s v="VD11"/>
    <n v="4779199.3839999996"/>
    <n v="2241987.7859999998"/>
    <x v="11"/>
  </r>
  <r>
    <s v="VD11"/>
    <n v="4779199.1260000002"/>
    <n v="2241987.696"/>
    <x v="0"/>
  </r>
  <r>
    <s v="VD11"/>
    <n v="4779199.5860000001"/>
    <n v="2241987.932"/>
    <x v="0"/>
  </r>
  <r>
    <s v="VD12"/>
    <n v="4779283.4919999996"/>
    <n v="2242026.3670000001"/>
    <x v="0"/>
  </r>
  <r>
    <s v="VD12"/>
    <n v="4779283.8430000003"/>
    <n v="2242026.503"/>
    <x v="12"/>
  </r>
  <r>
    <s v="VD12"/>
    <n v="4779284.1490000002"/>
    <n v="2242026.65"/>
    <x v="0"/>
  </r>
  <r>
    <s v="VD12"/>
    <n v="4779284.4670000002"/>
    <n v="2242026.8319999999"/>
    <x v="5"/>
  </r>
  <r>
    <s v="VD12"/>
    <n v="4779284.6969999997"/>
    <n v="2242026.9449999998"/>
    <x v="4"/>
  </r>
  <r>
    <s v="VD12"/>
    <n v="4779284.9809999997"/>
    <n v="2242027.1039999998"/>
    <x v="3"/>
  </r>
  <r>
    <s v="VD12"/>
    <n v="4779283.7439999999"/>
    <n v="2242026.8769999999"/>
    <x v="0"/>
  </r>
  <r>
    <s v="VD12"/>
    <n v="4779284.0369999995"/>
    <n v="2242026.2650000001"/>
    <x v="0"/>
  </r>
  <r>
    <s v="VD12"/>
    <n v="4779283.4009999996"/>
    <n v="2242030.31"/>
    <x v="0"/>
  </r>
  <r>
    <s v="VD12"/>
    <n v="4779283.5599999996"/>
    <n v="2242029.9920000001"/>
    <x v="7"/>
  </r>
  <r>
    <s v="VD12"/>
    <n v="4779283.5489999996"/>
    <n v="2242029.5950000002"/>
    <x v="0"/>
  </r>
  <r>
    <s v="VD13"/>
    <n v="4779331.8289999999"/>
    <n v="2242052.7659999998"/>
    <x v="3"/>
  </r>
  <r>
    <s v="VD13"/>
    <n v="4779332.1619999995"/>
    <n v="2242052.969"/>
    <x v="2"/>
  </r>
  <r>
    <s v="VD13"/>
    <n v="4779332.5089999996"/>
    <n v="2242053.0839999998"/>
    <x v="3"/>
  </r>
  <r>
    <s v="VD14"/>
    <n v="4779374.1950000003"/>
    <n v="2242068.5329999998"/>
    <x v="3"/>
  </r>
  <r>
    <s v="VD14"/>
    <n v="4779374.5650000004"/>
    <n v="2242068.696"/>
    <x v="13"/>
  </r>
  <r>
    <s v="VD14"/>
    <n v="4779374.9050000003"/>
    <n v="2242068.844"/>
    <x v="3"/>
  </r>
  <r>
    <s v="VD14"/>
    <n v="4779373.8789999997"/>
    <n v="2242072.3429999999"/>
    <x v="9"/>
  </r>
  <r>
    <s v="VD14"/>
    <n v="4779374.0250000004"/>
    <n v="2242071.9819999998"/>
    <x v="14"/>
  </r>
  <r>
    <s v="VD14"/>
    <n v="4779374.1330000004"/>
    <n v="2242071.6690000002"/>
    <x v="9"/>
  </r>
  <r>
    <s v="VD14"/>
    <n v="4779374.3260000004"/>
    <n v="2242069.7910000002"/>
    <x v="9"/>
  </r>
  <r>
    <s v="VD14"/>
    <n v="4779374.4460000005"/>
    <n v="2242069.406"/>
    <x v="4"/>
  </r>
  <r>
    <s v="VD14"/>
    <n v="4779374.4340000004"/>
    <n v="2242068.9950000001"/>
    <x v="9"/>
  </r>
  <r>
    <s v="VD15"/>
    <n v="4779463.8660000004"/>
    <n v="2242108.659"/>
    <x v="3"/>
  </r>
  <r>
    <s v="VD15"/>
    <n v="4779461.82"/>
    <n v="2242114.4169999999"/>
    <x v="3"/>
  </r>
  <r>
    <s v="VD15"/>
    <n v="4779461.943"/>
    <n v="2242114.176"/>
    <x v="11"/>
  </r>
  <r>
    <s v="VD15"/>
    <n v="4779462.1610000003"/>
    <n v="2242114.304"/>
    <x v="3"/>
  </r>
  <r>
    <s v="VD15"/>
    <n v="4779462.5839999998"/>
    <n v="2242114.531"/>
    <x v="2"/>
  </r>
  <r>
    <s v="VD15"/>
    <n v="4779462.9349999996"/>
    <n v="2242114.733"/>
    <x v="1"/>
  </r>
  <r>
    <s v="VD15"/>
    <n v="4779462.0630000001"/>
    <n v="2242113.9190000002"/>
    <x v="3"/>
  </r>
  <r>
    <s v="VD15"/>
    <n v="4779463.4050000003"/>
    <n v="2242108.8330000001"/>
    <x v="3"/>
  </r>
  <r>
    <s v="VD16"/>
    <n v="4779463.6679999996"/>
    <n v="2242108.1889999998"/>
    <x v="3"/>
  </r>
  <r>
    <s v="VD16"/>
    <n v="4779463.4939999999"/>
    <n v="4779463.4939999999"/>
    <x v="13"/>
  </r>
  <r>
    <s v="VD16"/>
    <n v="4779374.5480000004"/>
    <n v="2242068.3289999999"/>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1700-000000000000}" name="TablaDinámica1" cacheId="4"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B19" firstHeaderRow="1" firstDataRow="1" firstDataCol="1"/>
  <pivotFields count="4">
    <pivotField dataField="1" showAll="0"/>
    <pivotField showAll="0"/>
    <pivotField showAll="0"/>
    <pivotField axis="axisRow" showAll="0">
      <items count="16">
        <item x="8"/>
        <item x="1"/>
        <item x="4"/>
        <item x="5"/>
        <item x="11"/>
        <item x="10"/>
        <item x="6"/>
        <item x="3"/>
        <item x="9"/>
        <item x="0"/>
        <item x="2"/>
        <item x="7"/>
        <item x="12"/>
        <item x="13"/>
        <item x="14"/>
        <item t="default"/>
      </items>
    </pivotField>
  </pivotFields>
  <rowFields count="1">
    <field x="3"/>
  </rowFields>
  <rowItems count="16">
    <i>
      <x/>
    </i>
    <i>
      <x v="1"/>
    </i>
    <i>
      <x v="2"/>
    </i>
    <i>
      <x v="3"/>
    </i>
    <i>
      <x v="4"/>
    </i>
    <i>
      <x v="5"/>
    </i>
    <i>
      <x v="6"/>
    </i>
    <i>
      <x v="7"/>
    </i>
    <i>
      <x v="8"/>
    </i>
    <i>
      <x v="9"/>
    </i>
    <i>
      <x v="10"/>
    </i>
    <i>
      <x v="11"/>
    </i>
    <i>
      <x v="12"/>
    </i>
    <i>
      <x v="13"/>
    </i>
    <i>
      <x v="14"/>
    </i>
    <i t="grand">
      <x/>
    </i>
  </rowItems>
  <colItems count="1">
    <i/>
  </colItems>
  <dataFields count="1">
    <dataField name="Cuenta de VISTA DETALLE"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acuatubos.com.co/en-hierro-ductil/687-codo-en-hd-jr-de-3-x-90-aqt.html"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5.xml"/><Relationship Id="rId1" Type="http://schemas.openxmlformats.org/officeDocument/2006/relationships/printerSettings" Target="../printerSettings/printerSettings27.bin"/><Relationship Id="rId4" Type="http://schemas.openxmlformats.org/officeDocument/2006/relationships/comments" Target="../comments7.xml"/></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1:AI190"/>
  <sheetViews>
    <sheetView topLeftCell="A112" zoomScale="70" zoomScaleNormal="70" workbookViewId="0">
      <selection activeCell="G138" sqref="G138"/>
    </sheetView>
  </sheetViews>
  <sheetFormatPr baseColWidth="10" defaultColWidth="11.42578125" defaultRowHeight="15"/>
  <cols>
    <col min="1" max="1" width="3.5703125" style="1258" customWidth="1"/>
    <col min="2" max="2" width="5.42578125" style="1258" customWidth="1"/>
    <col min="3" max="3" width="80" style="1258" customWidth="1"/>
    <col min="4" max="5" width="11.42578125" style="1258" customWidth="1"/>
    <col min="6" max="6" width="19.28515625" style="1258" customWidth="1"/>
    <col min="7" max="7" width="22.85546875" style="1258" customWidth="1"/>
    <col min="8" max="8" width="3.7109375" style="1258" customWidth="1"/>
    <col min="9" max="14" width="22.5703125" style="1258" customWidth="1"/>
    <col min="15" max="15" width="8.85546875" style="1258" bestFit="1" customWidth="1"/>
    <col min="16" max="16" width="3.7109375" style="1258" hidden="1" customWidth="1"/>
    <col min="17" max="28" width="12.85546875" style="1258" hidden="1" customWidth="1"/>
    <col min="29" max="29" width="8.5703125" style="1258" hidden="1" customWidth="1"/>
    <col min="30" max="30" width="16.42578125" hidden="1" customWidth="1"/>
    <col min="31" max="31" width="11.42578125" hidden="1" customWidth="1"/>
    <col min="32" max="32" width="38.140625" customWidth="1"/>
    <col min="33" max="35" width="11.5703125" customWidth="1"/>
    <col min="36" max="16384" width="11.42578125" style="1258"/>
  </cols>
  <sheetData>
    <row r="1" spans="2:31">
      <c r="H1" s="1259"/>
      <c r="O1" s="1259"/>
      <c r="P1" s="1259"/>
      <c r="Q1" s="1259"/>
      <c r="R1" s="1259"/>
      <c r="S1" s="1259"/>
      <c r="T1" s="1259"/>
      <c r="U1" s="1259"/>
      <c r="V1" s="1259"/>
      <c r="W1" s="1259"/>
      <c r="X1" s="1259"/>
      <c r="Y1" s="1259"/>
      <c r="Z1" s="1259"/>
      <c r="AA1" s="1259"/>
      <c r="AB1" s="1259"/>
      <c r="AC1" s="1259"/>
    </row>
    <row r="2" spans="2:31" ht="37.5" customHeight="1">
      <c r="B2" s="1552" t="s">
        <v>0</v>
      </c>
      <c r="C2" s="1552"/>
      <c r="D2" s="1552"/>
      <c r="E2" s="1552"/>
      <c r="F2" s="1552"/>
      <c r="G2" s="1552"/>
    </row>
    <row r="3" spans="2:31" ht="33" customHeight="1">
      <c r="B3" s="1552" t="s">
        <v>1</v>
      </c>
      <c r="C3" s="1552"/>
      <c r="D3" s="1552"/>
      <c r="E3" s="1552"/>
      <c r="F3" s="1552"/>
      <c r="G3" s="1552"/>
    </row>
    <row r="4" spans="2:31" ht="18.75" customHeight="1">
      <c r="B4" s="1264" t="s">
        <v>2</v>
      </c>
      <c r="C4" s="1264" t="s">
        <v>3</v>
      </c>
      <c r="D4" s="1264" t="s">
        <v>4</v>
      </c>
      <c r="E4" s="1265" t="s">
        <v>5</v>
      </c>
      <c r="F4" s="1264" t="s">
        <v>6</v>
      </c>
      <c r="G4" s="1264" t="s">
        <v>7</v>
      </c>
      <c r="I4" s="1265" t="s">
        <v>8</v>
      </c>
      <c r="J4" s="1265" t="s">
        <v>9</v>
      </c>
      <c r="K4" s="1265" t="s">
        <v>10</v>
      </c>
      <c r="L4" s="1265" t="s">
        <v>11</v>
      </c>
      <c r="M4" s="1265" t="s">
        <v>12</v>
      </c>
      <c r="N4" s="1265" t="s">
        <v>13</v>
      </c>
      <c r="Q4" s="1364" t="s">
        <v>2</v>
      </c>
      <c r="R4" s="1548" t="s">
        <v>8</v>
      </c>
      <c r="S4" s="1548"/>
      <c r="T4" s="1548" t="s">
        <v>9</v>
      </c>
      <c r="U4" s="1548"/>
      <c r="V4" s="1548" t="s">
        <v>10</v>
      </c>
      <c r="W4" s="1548"/>
      <c r="X4" s="1548" t="s">
        <v>11</v>
      </c>
      <c r="Y4" s="1548"/>
      <c r="Z4" s="1548" t="s">
        <v>12</v>
      </c>
      <c r="AA4" s="1548"/>
      <c r="AB4" s="1364" t="s">
        <v>13</v>
      </c>
    </row>
    <row r="5" spans="2:31" ht="18.75" customHeight="1">
      <c r="B5" s="1549" t="str">
        <f>'APU''S'!B2</f>
        <v>1. ACTIVIDADES PRELIMINARES</v>
      </c>
      <c r="C5" s="1549"/>
      <c r="D5" s="1549"/>
      <c r="E5" s="1549"/>
      <c r="F5" s="1549"/>
      <c r="G5" s="1243">
        <f>ROUND(SUM(G6:G7),0)</f>
        <v>135731645</v>
      </c>
      <c r="I5" s="1371">
        <f>SUM(I6:I7)</f>
        <v>56612839.177795462</v>
      </c>
      <c r="J5" s="1371">
        <f t="shared" ref="J5:M5" si="0">SUM(J6:J7)</f>
        <v>44775357.217500001</v>
      </c>
      <c r="K5" s="1371">
        <f t="shared" si="0"/>
        <v>13383694.330500003</v>
      </c>
      <c r="L5" s="1371">
        <f t="shared" si="0"/>
        <v>0</v>
      </c>
      <c r="M5" s="1371">
        <f t="shared" si="0"/>
        <v>20959595.8674669</v>
      </c>
      <c r="N5" s="1371">
        <f>ROUND(SUM(I5:M5),0)</f>
        <v>135731487</v>
      </c>
      <c r="O5" s="1492"/>
      <c r="Q5"/>
      <c r="R5"/>
      <c r="S5"/>
      <c r="T5"/>
      <c r="U5"/>
      <c r="V5"/>
      <c r="W5"/>
      <c r="X5"/>
      <c r="Y5"/>
      <c r="Z5"/>
      <c r="AA5"/>
      <c r="AB5"/>
    </row>
    <row r="6" spans="2:31" ht="15" customHeight="1">
      <c r="B6" s="1245" t="str">
        <f>'APU''S'!I4</f>
        <v>1.1</v>
      </c>
      <c r="C6" s="1260" t="str">
        <f>'APU''S'!B4</f>
        <v>Localización, trazado y replanteo de tuberías.</v>
      </c>
      <c r="D6" s="1246" t="str">
        <f>'APU''S'!C14</f>
        <v>día</v>
      </c>
      <c r="E6" s="1246">
        <f>ROUND(60,2)</f>
        <v>60</v>
      </c>
      <c r="F6" s="1247">
        <f>+'APU''S'!B14</f>
        <v>987150</v>
      </c>
      <c r="G6" s="1247">
        <f>ROUND(E6*F6,0)</f>
        <v>59229000</v>
      </c>
      <c r="I6" s="1370">
        <f>E6*F6*S6</f>
        <v>1830924.0000000002</v>
      </c>
      <c r="J6" s="1370">
        <f>E6*F6*U6</f>
        <v>31200000</v>
      </c>
      <c r="K6" s="1370">
        <f>E6*F6*W6</f>
        <v>5238480.0000000009</v>
      </c>
      <c r="L6" s="1370">
        <f>E6*F6*Y6</f>
        <v>0</v>
      </c>
      <c r="M6" s="1370">
        <f>20959552.8674669+43</f>
        <v>20959595.8674669</v>
      </c>
      <c r="N6" s="1370">
        <f>ROUND(SUM(I6:M6),0)</f>
        <v>59229000</v>
      </c>
      <c r="O6" s="1492"/>
      <c r="Q6" s="1365" t="str">
        <f>B6</f>
        <v>1.1</v>
      </c>
      <c r="R6" s="1367">
        <f>+'APU''S'!G7+'APU''S'!I6</f>
        <v>30515.4</v>
      </c>
      <c r="S6" s="1366">
        <f>R6/AB6</f>
        <v>3.0912627260294791E-2</v>
      </c>
      <c r="T6" s="1367">
        <f>+'APU''S'!H8</f>
        <v>520000</v>
      </c>
      <c r="U6" s="1366">
        <f t="shared" ref="U6:U69" si="1">T6/AB6</f>
        <v>0.52676898141113304</v>
      </c>
      <c r="V6" s="1367">
        <f>+'APU''S'!H9</f>
        <v>87308.000000000015</v>
      </c>
      <c r="W6" s="1366">
        <f t="shared" ref="W6:W69" si="2">V6/AB6</f>
        <v>8.8444511978929261E-2</v>
      </c>
      <c r="X6" s="1367">
        <v>0</v>
      </c>
      <c r="Y6" s="1366">
        <f t="shared" ref="Y6:Y69" si="3">X6/AB6</f>
        <v>0</v>
      </c>
      <c r="Z6" s="1367">
        <f>+'APU''S'!F10+'APU''S'!F11</f>
        <v>349325.88112444815</v>
      </c>
      <c r="AA6" s="1366">
        <f t="shared" ref="AA6:AA69" si="4">Z6/AB6</f>
        <v>0.35387315111629253</v>
      </c>
      <c r="AB6" s="1367">
        <f>F6</f>
        <v>987150</v>
      </c>
      <c r="AC6" s="1502"/>
      <c r="AD6" s="1369">
        <f>R6+T6+V6+X6+Z6-AB6</f>
        <v>-0.71887555182911456</v>
      </c>
      <c r="AE6">
        <v>0</v>
      </c>
    </row>
    <row r="7" spans="2:31" ht="45" customHeight="1">
      <c r="B7" s="1245" t="str">
        <f>'APU''S'!I16</f>
        <v>1.2</v>
      </c>
      <c r="C7" s="1260" t="str">
        <f>'APU''S'!B16</f>
        <v>S.T.C. de materiales para la construcción de cerramiento en tela verde sarán H: 2m, distancia entre postes 2m, incluye: madera y todos los demás elementos necesarios para el buen desarrollo de dicha actividad</v>
      </c>
      <c r="D7" s="1246" t="str">
        <f>'APU''S'!C26</f>
        <v>m</v>
      </c>
      <c r="E7" s="1246">
        <f>ROUND(2*ALDO!M503,2)</f>
        <v>2487.81</v>
      </c>
      <c r="F7" s="1247">
        <f>'APU''S'!B26</f>
        <v>30751</v>
      </c>
      <c r="G7" s="1247">
        <f>ROUND(E7*F7,0)</f>
        <v>76502645</v>
      </c>
      <c r="I7" s="1370">
        <f>E7*F7*S7</f>
        <v>54781915.177795462</v>
      </c>
      <c r="J7" s="1370">
        <f>E7*F7*U7</f>
        <v>13575357.217500003</v>
      </c>
      <c r="K7" s="1370">
        <f>E7*F7*W7</f>
        <v>8145214.330500002</v>
      </c>
      <c r="L7" s="1370">
        <f>E7*F7*Y7</f>
        <v>0</v>
      </c>
      <c r="M7" s="1370">
        <f>E7*F7*AA7</f>
        <v>0</v>
      </c>
      <c r="N7" s="1370">
        <f t="shared" ref="N7:N71" si="5">ROUND(SUM(I7:M7),0)</f>
        <v>76502487</v>
      </c>
      <c r="O7" s="1492"/>
      <c r="Q7" s="1365" t="str">
        <f>B7</f>
        <v>1.2</v>
      </c>
      <c r="R7" s="1367">
        <f>'APU''S'!I25+'APU''S'!G25-AE7</f>
        <v>22020.136255500001</v>
      </c>
      <c r="S7" s="1366">
        <f t="shared" ref="S7:S69" si="6">R7/AB7</f>
        <v>0.71607870493642489</v>
      </c>
      <c r="T7" s="1367">
        <f>'APU''S'!H23</f>
        <v>5456.7500000000009</v>
      </c>
      <c r="U7" s="1366">
        <f t="shared" si="1"/>
        <v>0.17744951383694843</v>
      </c>
      <c r="V7" s="1367">
        <f>'APU''S'!H24</f>
        <v>3274.0500000000011</v>
      </c>
      <c r="W7" s="1366">
        <f t="shared" si="2"/>
        <v>0.10646970830216906</v>
      </c>
      <c r="X7" s="1367">
        <v>0</v>
      </c>
      <c r="Y7" s="1366">
        <f t="shared" si="3"/>
        <v>0</v>
      </c>
      <c r="Z7" s="1367">
        <v>0</v>
      </c>
      <c r="AA7" s="1366">
        <f t="shared" si="4"/>
        <v>0</v>
      </c>
      <c r="AB7" s="1367">
        <f>F7</f>
        <v>30751</v>
      </c>
      <c r="AD7" s="1369">
        <f>R7+T7+V7+X7+Z7-AB7</f>
        <v>-6.3744499995664228E-2</v>
      </c>
      <c r="AE7">
        <v>-0.60045959999843035</v>
      </c>
    </row>
    <row r="8" spans="2:31" ht="18.75" customHeight="1">
      <c r="B8" s="1549" t="str">
        <f>'APU''S'!B28</f>
        <v>2. DEMOLICIONES</v>
      </c>
      <c r="C8" s="1549"/>
      <c r="D8" s="1549"/>
      <c r="E8" s="1549"/>
      <c r="F8" s="1549"/>
      <c r="G8" s="1243">
        <f ca="1">ROUND(SUM(G9:G11),0)</f>
        <v>95324740</v>
      </c>
      <c r="I8" s="1371">
        <f ca="1">SUM(I9:I11)</f>
        <v>936503.19199998339</v>
      </c>
      <c r="J8" s="1371">
        <f t="shared" ref="J8:M8" ca="1" si="7">SUM(J9:J11)</f>
        <v>0</v>
      </c>
      <c r="K8" s="1371">
        <f t="shared" ca="1" si="7"/>
        <v>18721454.440000005</v>
      </c>
      <c r="L8" s="1371">
        <f t="shared" ca="1" si="7"/>
        <v>14168704</v>
      </c>
      <c r="M8" s="1371">
        <f t="shared" ca="1" si="7"/>
        <v>61498269.700000003</v>
      </c>
      <c r="N8" s="1371">
        <f t="shared" ca="1" si="5"/>
        <v>95324931</v>
      </c>
      <c r="O8" s="1492"/>
      <c r="Q8"/>
      <c r="R8" s="1368"/>
      <c r="S8"/>
      <c r="T8" s="1368"/>
      <c r="U8"/>
      <c r="V8" s="1368"/>
      <c r="W8"/>
      <c r="X8" s="1368"/>
      <c r="Y8"/>
      <c r="Z8" s="1368"/>
      <c r="AA8"/>
      <c r="AB8" s="1368"/>
      <c r="AD8" s="1369"/>
    </row>
    <row r="9" spans="2:31" ht="15" customHeight="1">
      <c r="B9" s="1245" t="str">
        <f>'APU''S'!I30</f>
        <v>2.1</v>
      </c>
      <c r="C9" s="1260" t="str">
        <f>'APU''S'!B30</f>
        <v>Corte, rotura y retiro de pavimento de concreto</v>
      </c>
      <c r="D9" s="1246" t="str">
        <f>'APU''S'!C38</f>
        <v>m³</v>
      </c>
      <c r="E9" s="1246">
        <f>ROUND(PAV!Q28+PAV!Q74,2)</f>
        <v>683.65</v>
      </c>
      <c r="F9" s="1247">
        <f>'APU''S'!B38</f>
        <v>114835</v>
      </c>
      <c r="G9" s="1247">
        <f>ROUND(E9*F9,0)</f>
        <v>78506948</v>
      </c>
      <c r="I9" s="1370">
        <f>E9*F9*S9</f>
        <v>597291.33199998422</v>
      </c>
      <c r="J9" s="1370">
        <f>E9*F9*U9</f>
        <v>0</v>
      </c>
      <c r="K9" s="1370">
        <f>E9*F9*W9</f>
        <v>11937622.840000002</v>
      </c>
      <c r="L9" s="1370">
        <f>E9*F9*Y9</f>
        <v>10938400</v>
      </c>
      <c r="M9" s="1370">
        <f>E9*F9*AA9</f>
        <v>55033825</v>
      </c>
      <c r="N9" s="1370">
        <f t="shared" si="5"/>
        <v>78507139</v>
      </c>
      <c r="O9" s="1492"/>
      <c r="Q9" s="1365" t="str">
        <f>B9</f>
        <v>2.1</v>
      </c>
      <c r="R9" s="1367">
        <f>'APU''S'!I37-AE9</f>
        <v>873.67999999997687</v>
      </c>
      <c r="S9" s="1366">
        <f t="shared" si="6"/>
        <v>7.6081334088037344E-3</v>
      </c>
      <c r="T9" s="1367">
        <v>0</v>
      </c>
      <c r="U9" s="1366">
        <f t="shared" si="1"/>
        <v>0</v>
      </c>
      <c r="V9" s="1367">
        <f>'APU''S'!H37</f>
        <v>17461.600000000002</v>
      </c>
      <c r="W9" s="1366">
        <f t="shared" si="2"/>
        <v>0.15205817041842645</v>
      </c>
      <c r="X9" s="1367">
        <f>'APU''S'!F34</f>
        <v>16000</v>
      </c>
      <c r="Y9" s="1366">
        <f t="shared" si="3"/>
        <v>0.13933034353637827</v>
      </c>
      <c r="Z9" s="1367">
        <f>'APU''S'!F32+'APU''S'!F33</f>
        <v>80500</v>
      </c>
      <c r="AA9" s="1366">
        <f t="shared" si="4"/>
        <v>0.70100579091740323</v>
      </c>
      <c r="AB9" s="1367">
        <f>F9</f>
        <v>114835</v>
      </c>
      <c r="AD9" s="1369">
        <f t="shared" ref="AD9:AD71" si="8">R9+T9+V9+X9+Z9-AB9</f>
        <v>0.27999999998428393</v>
      </c>
      <c r="AE9">
        <v>-0.59999999997671694</v>
      </c>
    </row>
    <row r="10" spans="2:31" ht="15" customHeight="1">
      <c r="B10" s="1245" t="str">
        <f>'APU''S'!I40</f>
        <v>2.2</v>
      </c>
      <c r="C10" s="1260" t="str">
        <f>'APU''S'!B40</f>
        <v>Demolición de andenes, incluye botada de escombros</v>
      </c>
      <c r="D10" s="1246" t="str">
        <f>'APU''S'!C48</f>
        <v>m³</v>
      </c>
      <c r="E10" s="1246">
        <f>ROUND(SUM('ACCESORIOS, ETC'!D29:D32)*0.4*1*0.2,2)</f>
        <v>33.36</v>
      </c>
      <c r="F10" s="1247">
        <f>'APU''S'!B48</f>
        <v>269231</v>
      </c>
      <c r="G10" s="1247">
        <f t="shared" ref="G10:G11" si="9">ROUND(E10*F10,0)</f>
        <v>8981546</v>
      </c>
      <c r="I10" s="1370">
        <f>E10*F10*S10</f>
        <v>182053.86000000004</v>
      </c>
      <c r="J10" s="1370">
        <f>E10*F10*U10</f>
        <v>0</v>
      </c>
      <c r="K10" s="1370">
        <f>E10*F10*W10</f>
        <v>3640743.600000001</v>
      </c>
      <c r="L10" s="1370">
        <f>E10*F10*Y10</f>
        <v>1214304</v>
      </c>
      <c r="M10" s="1370">
        <f>E10*F10*AA10</f>
        <v>3944444.7</v>
      </c>
      <c r="N10" s="1370">
        <f t="shared" si="5"/>
        <v>8981546</v>
      </c>
      <c r="O10" s="1492"/>
      <c r="Q10" s="1365" t="str">
        <f>B10</f>
        <v>2.2</v>
      </c>
      <c r="R10" s="1367">
        <f>'APU''S'!I43-AE10</f>
        <v>5457.2500000000018</v>
      </c>
      <c r="S10" s="1366">
        <f t="shared" si="6"/>
        <v>2.0269768340198571E-2</v>
      </c>
      <c r="T10" s="1367">
        <v>0</v>
      </c>
      <c r="U10" s="1366">
        <f t="shared" si="1"/>
        <v>0</v>
      </c>
      <c r="V10" s="1367">
        <f>'APU''S'!H44+'APU''S'!H45</f>
        <v>109135.00000000003</v>
      </c>
      <c r="W10" s="1366">
        <f t="shared" si="2"/>
        <v>0.40535822397866528</v>
      </c>
      <c r="X10" s="1367">
        <f>'APU''S'!I46</f>
        <v>36400</v>
      </c>
      <c r="Y10" s="1366">
        <f t="shared" si="3"/>
        <v>0.13519988411438505</v>
      </c>
      <c r="Z10" s="1367">
        <f>'APU''S'!F42</f>
        <v>118238.75</v>
      </c>
      <c r="AA10" s="1366">
        <f t="shared" si="4"/>
        <v>0.43917212356675123</v>
      </c>
      <c r="AB10" s="1367">
        <f>F10</f>
        <v>269231</v>
      </c>
      <c r="AD10" s="1369">
        <f t="shared" si="8"/>
        <v>0</v>
      </c>
      <c r="AE10">
        <v>-0.5</v>
      </c>
    </row>
    <row r="11" spans="2:31" ht="15" customHeight="1">
      <c r="B11" s="1245" t="str">
        <f>'APU''S'!I50</f>
        <v>2.3</v>
      </c>
      <c r="C11" s="1260" t="str">
        <f>'APU''S'!B50</f>
        <v>Demolición de Camaras de inspección existente, incluye retiro de escombro</v>
      </c>
      <c r="D11" s="1246" t="str">
        <f>'APU''S'!C58</f>
        <v>un</v>
      </c>
      <c r="E11" s="1246">
        <f ca="1">ROUND(E83+2,2)</f>
        <v>18</v>
      </c>
      <c r="F11" s="1247">
        <f>'APU''S'!B58</f>
        <v>435347</v>
      </c>
      <c r="G11" s="1247">
        <f t="shared" ca="1" si="9"/>
        <v>7836246</v>
      </c>
      <c r="I11" s="1370">
        <f ca="1">E11*F11*S11</f>
        <v>157157.99999999921</v>
      </c>
      <c r="J11" s="1370">
        <f ca="1">E11*F11*U11</f>
        <v>0</v>
      </c>
      <c r="K11" s="1370">
        <f ca="1">E11*F11*W11</f>
        <v>3143088.0000000009</v>
      </c>
      <c r="L11" s="1370">
        <f ca="1">E11*F11*Y11</f>
        <v>2016000</v>
      </c>
      <c r="M11" s="1370">
        <f ca="1">E11*F11*AA11</f>
        <v>2520000</v>
      </c>
      <c r="N11" s="1370">
        <f t="shared" ca="1" si="5"/>
        <v>7836246</v>
      </c>
      <c r="O11" s="1492"/>
      <c r="Q11" s="1365" t="str">
        <f>B11</f>
        <v>2.3</v>
      </c>
      <c r="R11" s="1367">
        <f>'APU''S'!I54-AE11</f>
        <v>8730.9999999999563</v>
      </c>
      <c r="S11" s="1366">
        <f t="shared" si="6"/>
        <v>2.0055266258869262E-2</v>
      </c>
      <c r="T11" s="1367">
        <v>0</v>
      </c>
      <c r="U11" s="1366">
        <f t="shared" si="1"/>
        <v>0</v>
      </c>
      <c r="V11" s="1367">
        <f>'APU''S'!H57</f>
        <v>174616.00000000006</v>
      </c>
      <c r="W11" s="1366">
        <f t="shared" si="2"/>
        <v>0.40109613710442488</v>
      </c>
      <c r="X11" s="1367">
        <f>'APU''S'!I53</f>
        <v>112000</v>
      </c>
      <c r="Y11" s="1366">
        <f t="shared" si="3"/>
        <v>0.25726604294964706</v>
      </c>
      <c r="Z11" s="1367">
        <f>'APU''S'!F52</f>
        <v>140000</v>
      </c>
      <c r="AA11" s="1366">
        <f t="shared" si="4"/>
        <v>0.32158255368705885</v>
      </c>
      <c r="AB11" s="1367">
        <f>F11</f>
        <v>435347</v>
      </c>
      <c r="AD11" s="1369">
        <f t="shared" si="8"/>
        <v>0</v>
      </c>
      <c r="AE11">
        <v>-0.19999999995343387</v>
      </c>
    </row>
    <row r="12" spans="2:31" ht="18.75" customHeight="1">
      <c r="B12" s="1549" t="str">
        <f>'APU''S'!B60</f>
        <v>3. EXCAVACIONES Y LLENOS</v>
      </c>
      <c r="C12" s="1549"/>
      <c r="D12" s="1549"/>
      <c r="E12" s="1549"/>
      <c r="F12" s="1549"/>
      <c r="G12" s="1243">
        <f ca="1">ROUND(SUM(G13:G21),0)</f>
        <v>1045801858</v>
      </c>
      <c r="I12" s="1371">
        <f ca="1">SUM(I13:I21)</f>
        <v>163984580.47644663</v>
      </c>
      <c r="J12" s="1371">
        <f t="shared" ref="J12:M12" ca="1" si="10">SUM(J13:J21)</f>
        <v>13924316.380000003</v>
      </c>
      <c r="K12" s="1371">
        <f t="shared" ca="1" si="10"/>
        <v>235404454.01373336</v>
      </c>
      <c r="L12" s="1371">
        <f t="shared" ca="1" si="10"/>
        <v>402590818.19999999</v>
      </c>
      <c r="M12" s="1371">
        <f t="shared" ca="1" si="10"/>
        <v>229898836.4205195</v>
      </c>
      <c r="N12" s="1371">
        <f t="shared" ca="1" si="5"/>
        <v>1045803005</v>
      </c>
      <c r="O12" s="1492"/>
      <c r="Q12"/>
      <c r="R12" s="1368"/>
      <c r="S12"/>
      <c r="T12" s="1368"/>
      <c r="U12"/>
      <c r="V12" s="1368"/>
      <c r="W12"/>
      <c r="X12" s="1368"/>
      <c r="Y12"/>
      <c r="Z12" s="1368"/>
      <c r="AA12"/>
      <c r="AB12" s="1368"/>
      <c r="AD12" s="1369"/>
    </row>
    <row r="13" spans="2:31" ht="15" customHeight="1">
      <c r="B13" s="1245" t="str">
        <f>'APU''S'!I62</f>
        <v>3.1</v>
      </c>
      <c r="C13" s="1260" t="str">
        <f>'APU''S'!B62</f>
        <v>Excavación manual en material heterogéneo de 0 - 2 m bajo cualquier grado de humedad</v>
      </c>
      <c r="D13" s="1246" t="str">
        <f>'APU''S'!C67</f>
        <v>m³</v>
      </c>
      <c r="E13" s="1246">
        <f>ROUND((E24*8*0.7*0.8)+ALDO!DP503+'ACOM ACTO'!AB47+'ACOM ACTO'!AE47,2)</f>
        <v>2855.28</v>
      </c>
      <c r="F13" s="1247">
        <f>'APU''S'!B67</f>
        <v>50421</v>
      </c>
      <c r="G13" s="1247">
        <f>ROUND(E13*F13,0)</f>
        <v>143966073</v>
      </c>
      <c r="I13" s="1370">
        <f t="shared" ref="I13:I21" si="11">E13*F13*S13</f>
        <v>6857240.4479999738</v>
      </c>
      <c r="J13" s="1370">
        <f t="shared" ref="J13:J21" si="12">E13*F13*U13</f>
        <v>0</v>
      </c>
      <c r="K13" s="1370">
        <f t="shared" ref="K13:K21" si="13">E13*F13*W13</f>
        <v>137108832.43200001</v>
      </c>
      <c r="L13" s="1370">
        <f t="shared" ref="L13:L21" si="14">E13*F13*Y13</f>
        <v>0</v>
      </c>
      <c r="M13" s="1370">
        <f t="shared" ref="M13:M21" si="15">E13*F13*AA13</f>
        <v>0</v>
      </c>
      <c r="N13" s="1370">
        <f t="shared" si="5"/>
        <v>143966073</v>
      </c>
      <c r="O13" s="1492"/>
      <c r="Q13" s="1365" t="str">
        <f t="shared" ref="Q13:Q21" si="16">B13</f>
        <v>3.1</v>
      </c>
      <c r="R13" s="1367">
        <f>'APU''S'!I64-AE13</f>
        <v>2401.5999999999908</v>
      </c>
      <c r="S13" s="1366">
        <f t="shared" si="6"/>
        <v>4.763094742270068E-2</v>
      </c>
      <c r="T13" s="1367">
        <v>0</v>
      </c>
      <c r="U13" s="1366">
        <f t="shared" si="1"/>
        <v>0</v>
      </c>
      <c r="V13" s="1367">
        <f>'APU''S'!H65</f>
        <v>48019.400000000009</v>
      </c>
      <c r="W13" s="1366">
        <f t="shared" si="2"/>
        <v>0.95236905257729931</v>
      </c>
      <c r="X13" s="1367">
        <v>0</v>
      </c>
      <c r="Y13" s="1366">
        <f t="shared" si="3"/>
        <v>0</v>
      </c>
      <c r="Z13" s="1367">
        <v>0</v>
      </c>
      <c r="AA13" s="1366">
        <f t="shared" si="4"/>
        <v>0</v>
      </c>
      <c r="AB13" s="1367">
        <f t="shared" ref="AB13:AB21" si="17">F13</f>
        <v>50421</v>
      </c>
      <c r="AD13" s="1369">
        <f t="shared" si="8"/>
        <v>0</v>
      </c>
      <c r="AE13">
        <v>-0.6299999999901047</v>
      </c>
    </row>
    <row r="14" spans="2:31" ht="30" customHeight="1">
      <c r="B14" s="1245" t="str">
        <f>'APU''S'!I69</f>
        <v>3.2</v>
      </c>
      <c r="C14" s="1260" t="str">
        <f>'APU''S'!B69</f>
        <v>Excavación mecánica en material heterogéneo de 0 - 2 m bajo cualquier grado de humedad</v>
      </c>
      <c r="D14" s="1246" t="str">
        <f>'APU''S'!C75</f>
        <v>m³</v>
      </c>
      <c r="E14" s="1246">
        <f ca="1">ROUND(ALDO!AC503+ALDO!AF503+ACTO!AB46+ACTO!AE46-ACTO!AB39-ACTO!AE39,2)</f>
        <v>2823.61</v>
      </c>
      <c r="F14" s="1247">
        <f>'APU''S'!B75</f>
        <v>38592</v>
      </c>
      <c r="G14" s="1247">
        <f t="shared" ref="G14:G21" ca="1" si="18">ROUND(E14*F14,0)</f>
        <v>108968757</v>
      </c>
      <c r="I14" s="1370">
        <f t="shared" ca="1" si="11"/>
        <v>310032.37800000253</v>
      </c>
      <c r="J14" s="1370">
        <f t="shared" ca="1" si="12"/>
        <v>0</v>
      </c>
      <c r="K14" s="1370">
        <f t="shared" ca="1" si="13"/>
        <v>6163093.5470000012</v>
      </c>
      <c r="L14" s="1370">
        <f t="shared" ca="1" si="14"/>
        <v>0</v>
      </c>
      <c r="M14" s="1370">
        <f t="shared" ca="1" si="15"/>
        <v>102495631.19500001</v>
      </c>
      <c r="N14" s="1370">
        <f t="shared" ca="1" si="5"/>
        <v>108968757</v>
      </c>
      <c r="O14" s="1492"/>
      <c r="Q14" s="1365" t="str">
        <f t="shared" si="16"/>
        <v>3.2</v>
      </c>
      <c r="R14" s="1367">
        <f>'APU''S'!I72-AE14</f>
        <v>109.80000000000089</v>
      </c>
      <c r="S14" s="1366">
        <f t="shared" si="6"/>
        <v>2.8451492537313666E-3</v>
      </c>
      <c r="T14" s="1367">
        <v>0</v>
      </c>
      <c r="U14" s="1366">
        <f t="shared" si="1"/>
        <v>0</v>
      </c>
      <c r="V14" s="1367">
        <f>'APU''S'!H73</f>
        <v>2182.7000000000003</v>
      </c>
      <c r="W14" s="1366">
        <f t="shared" si="2"/>
        <v>5.6558354063018249E-2</v>
      </c>
      <c r="X14" s="1367">
        <v>0</v>
      </c>
      <c r="Y14" s="1366">
        <f t="shared" si="3"/>
        <v>0</v>
      </c>
      <c r="Z14" s="1367">
        <f>'APU''S'!F71</f>
        <v>36299.5</v>
      </c>
      <c r="AA14" s="1366">
        <f t="shared" si="4"/>
        <v>0.9405964966832504</v>
      </c>
      <c r="AB14" s="1367">
        <f t="shared" si="17"/>
        <v>38592</v>
      </c>
      <c r="AD14" s="1369">
        <f t="shared" si="8"/>
        <v>0</v>
      </c>
      <c r="AE14">
        <v>-0.66500000000087311</v>
      </c>
    </row>
    <row r="15" spans="2:31" ht="30" customHeight="1">
      <c r="B15" s="1245" t="str">
        <f>'APU''S'!I77</f>
        <v>3.3</v>
      </c>
      <c r="C15" s="1260" t="str">
        <f>'APU''S'!B77</f>
        <v>Excavación mecánica en material heterogéneo de 2 - 4 m bajo cualquier grado de humedad</v>
      </c>
      <c r="D15" s="1246" t="str">
        <f>'APU''S'!C83</f>
        <v>m³</v>
      </c>
      <c r="E15" s="1246">
        <f>ROUND(ALDO!AD503+ALDO!AG503+ALDO!DQ503,2)</f>
        <v>744.79</v>
      </c>
      <c r="F15" s="1247">
        <f>'APU''S'!B83</f>
        <v>58992</v>
      </c>
      <c r="G15" s="1247">
        <f t="shared" si="18"/>
        <v>43936652</v>
      </c>
      <c r="I15" s="1370">
        <f t="shared" si="11"/>
        <v>81405.546999995247</v>
      </c>
      <c r="J15" s="1370">
        <f t="shared" si="12"/>
        <v>0</v>
      </c>
      <c r="K15" s="1370">
        <f t="shared" si="13"/>
        <v>1625653.1330000001</v>
      </c>
      <c r="L15" s="1370">
        <f t="shared" si="14"/>
        <v>0</v>
      </c>
      <c r="M15" s="1370">
        <f t="shared" si="15"/>
        <v>42229593.000000007</v>
      </c>
      <c r="N15" s="1370">
        <f t="shared" si="5"/>
        <v>43936652</v>
      </c>
      <c r="O15" s="1492"/>
      <c r="Q15" s="1365" t="str">
        <f t="shared" si="16"/>
        <v>3.3</v>
      </c>
      <c r="R15" s="1367">
        <f>'APU''S'!I80-AE15</f>
        <v>109.29999999999362</v>
      </c>
      <c r="S15" s="1366">
        <f t="shared" si="6"/>
        <v>1.8527935991319775E-3</v>
      </c>
      <c r="T15" s="1367">
        <v>0</v>
      </c>
      <c r="U15" s="1366">
        <f t="shared" si="1"/>
        <v>0</v>
      </c>
      <c r="V15" s="1367">
        <f>'APU''S'!H81</f>
        <v>2182.7000000000003</v>
      </c>
      <c r="W15" s="1366">
        <f t="shared" si="2"/>
        <v>3.6999932194195825E-2</v>
      </c>
      <c r="X15" s="1367">
        <v>0</v>
      </c>
      <c r="Y15" s="1366">
        <f t="shared" si="3"/>
        <v>0</v>
      </c>
      <c r="Z15" s="1367">
        <f>'APU''S'!F79</f>
        <v>56700.000000000007</v>
      </c>
      <c r="AA15" s="1366">
        <f t="shared" si="4"/>
        <v>0.96114727420667223</v>
      </c>
      <c r="AB15" s="1367">
        <f t="shared" si="17"/>
        <v>58992</v>
      </c>
      <c r="AD15" s="1369">
        <f t="shared" si="8"/>
        <v>0</v>
      </c>
      <c r="AE15">
        <v>-0.16499999999359716</v>
      </c>
    </row>
    <row r="16" spans="2:31" ht="15" customHeight="1">
      <c r="B16" s="1245" t="str">
        <f>'APU''S'!I85</f>
        <v>3.4</v>
      </c>
      <c r="C16" s="1260" t="str">
        <f>'APU''S'!B85</f>
        <v>Excavación mecánica en material heterogéneo &gt; 4 m bajo cualquier grado de humedad</v>
      </c>
      <c r="D16" s="1246" t="str">
        <f>'APU''S'!C91</f>
        <v>m³</v>
      </c>
      <c r="E16" s="1246">
        <f>ROUND(ALDO!AE503+ALDO!AH503+ALDO!DR503,2)</f>
        <v>0.35</v>
      </c>
      <c r="F16" s="1247">
        <f>'APU''S'!B91</f>
        <v>59756</v>
      </c>
      <c r="G16" s="1247">
        <f t="shared" si="18"/>
        <v>20915</v>
      </c>
      <c r="I16" s="1370">
        <f t="shared" si="11"/>
        <v>51.006666666664543</v>
      </c>
      <c r="J16" s="1370">
        <f t="shared" si="12"/>
        <v>0</v>
      </c>
      <c r="K16" s="1370">
        <f t="shared" si="13"/>
        <v>1018.5933333333335</v>
      </c>
      <c r="L16" s="1370">
        <f t="shared" si="14"/>
        <v>0</v>
      </c>
      <c r="M16" s="1370">
        <f t="shared" si="15"/>
        <v>19845</v>
      </c>
      <c r="N16" s="1370">
        <f t="shared" si="5"/>
        <v>20915</v>
      </c>
      <c r="O16" s="1492"/>
      <c r="Q16" s="1365" t="str">
        <f t="shared" si="16"/>
        <v>3.4</v>
      </c>
      <c r="R16" s="1367">
        <f>'APU''S'!I88-AE16</f>
        <v>145.73333333332727</v>
      </c>
      <c r="S16" s="1366">
        <f t="shared" si="6"/>
        <v>2.4388067028135629E-3</v>
      </c>
      <c r="T16" s="1367">
        <v>0</v>
      </c>
      <c r="U16" s="1366">
        <f t="shared" si="1"/>
        <v>0</v>
      </c>
      <c r="V16" s="1367">
        <f>'APU''S'!H89</f>
        <v>2910.2666666666673</v>
      </c>
      <c r="W16" s="1366">
        <f t="shared" si="2"/>
        <v>4.8702501282995303E-2</v>
      </c>
      <c r="X16" s="1367">
        <v>0</v>
      </c>
      <c r="Y16" s="1366">
        <f t="shared" si="3"/>
        <v>0</v>
      </c>
      <c r="Z16" s="1367">
        <f>'APU''S'!F87</f>
        <v>56700.000000000007</v>
      </c>
      <c r="AA16" s="1366">
        <f t="shared" si="4"/>
        <v>0.94885869201419115</v>
      </c>
      <c r="AB16" s="1367">
        <f t="shared" si="17"/>
        <v>59756</v>
      </c>
      <c r="AD16" s="1369">
        <f t="shared" si="8"/>
        <v>0</v>
      </c>
      <c r="AE16">
        <v>-0.2199999999938882</v>
      </c>
    </row>
    <row r="17" spans="2:31" ht="30" customHeight="1">
      <c r="B17" s="1245" t="str">
        <f>'APU''S'!I93</f>
        <v>3.5</v>
      </c>
      <c r="C17" s="1260" t="str">
        <f>'APU''S'!B93</f>
        <v>Excavación en roca con cemento demoledor no explosivo.  Incluye desembombe. A cualquier profundidad y bajo cualquier grado de humedad</v>
      </c>
      <c r="D17" s="1246" t="str">
        <f>'APU''S'!C100</f>
        <v>m³</v>
      </c>
      <c r="E17" s="1246">
        <f ca="1">ROUND(ALDO!AI503+ACTO!AH46-ACTO!AH39+'ACOM ACTO'!AH47,2)</f>
        <v>40.81</v>
      </c>
      <c r="F17" s="1247">
        <f>'APU''S'!B100</f>
        <v>314919</v>
      </c>
      <c r="G17" s="1247">
        <f t="shared" ca="1" si="18"/>
        <v>12851844</v>
      </c>
      <c r="I17" s="1370">
        <f t="shared" ca="1" si="11"/>
        <v>8533044.5200000014</v>
      </c>
      <c r="J17" s="1370">
        <f t="shared" ca="1" si="12"/>
        <v>0</v>
      </c>
      <c r="K17" s="1370">
        <f t="shared" ca="1" si="13"/>
        <v>890759.87000000023</v>
      </c>
      <c r="L17" s="1370">
        <f t="shared" ca="1" si="14"/>
        <v>0</v>
      </c>
      <c r="M17" s="1370">
        <f t="shared" ca="1" si="15"/>
        <v>3428040.0000000005</v>
      </c>
      <c r="N17" s="1370">
        <f t="shared" ca="1" si="5"/>
        <v>12851844</v>
      </c>
      <c r="O17" s="1492"/>
      <c r="Q17" s="1365" t="str">
        <f t="shared" si="16"/>
        <v>3.5</v>
      </c>
      <c r="R17" s="1367">
        <f>'APU''S'!I98+'APU''S'!G99-AE17</f>
        <v>209092.00000000003</v>
      </c>
      <c r="S17" s="1366">
        <f t="shared" si="6"/>
        <v>0.66395485823338707</v>
      </c>
      <c r="T17" s="1367">
        <v>0</v>
      </c>
      <c r="U17" s="1366">
        <f t="shared" si="1"/>
        <v>0</v>
      </c>
      <c r="V17" s="1367">
        <f>'APU''S'!H97</f>
        <v>21827.000000000004</v>
      </c>
      <c r="W17" s="1366">
        <f t="shared" si="2"/>
        <v>6.9309886034186585E-2</v>
      </c>
      <c r="X17" s="1367">
        <v>0</v>
      </c>
      <c r="Y17" s="1366">
        <f t="shared" si="3"/>
        <v>0</v>
      </c>
      <c r="Z17" s="1367">
        <f>'APU''S'!F96</f>
        <v>84000</v>
      </c>
      <c r="AA17" s="1366">
        <f t="shared" si="4"/>
        <v>0.26673525573242646</v>
      </c>
      <c r="AB17" s="1367">
        <f t="shared" si="17"/>
        <v>314919</v>
      </c>
      <c r="AD17" s="1369">
        <f t="shared" si="8"/>
        <v>0</v>
      </c>
      <c r="AE17">
        <v>-0.65000000002328306</v>
      </c>
    </row>
    <row r="18" spans="2:31" ht="45" customHeight="1">
      <c r="B18" s="1245" t="str">
        <f>'APU''S'!I102</f>
        <v>3.6</v>
      </c>
      <c r="C18" s="1260" t="str">
        <f>'APU''S'!B102</f>
        <v>Llenos en material proveniente de la excavación, compactados mecánicamente hasta obtener una densidad del 95% de la máxima obtenida en el ensayo del Proctor Modificado</v>
      </c>
      <c r="D18" s="1246" t="str">
        <f>'APU''S'!C109</f>
        <v>m³</v>
      </c>
      <c r="E18" s="1246">
        <f ca="1">ROUND(ALDO!AZ503+ACTO!AY46-ACTO!AY39+'ACOM ACTO'!AY47+SUM(ALDO!DP503:DR503)*(ALDO!AV11/100),2)</f>
        <v>1292.26</v>
      </c>
      <c r="F18" s="1247">
        <f>'APU''S'!B109</f>
        <v>45518</v>
      </c>
      <c r="G18" s="1247">
        <f t="shared" ca="1" si="18"/>
        <v>58821091</v>
      </c>
      <c r="I18" s="1370">
        <f t="shared" ca="1" si="11"/>
        <v>1693635.9559999951</v>
      </c>
      <c r="J18" s="1370">
        <f t="shared" ca="1" si="12"/>
        <v>0</v>
      </c>
      <c r="K18" s="1370">
        <f t="shared" ca="1" si="13"/>
        <v>33847390.824000001</v>
      </c>
      <c r="L18" s="1370">
        <f t="shared" ca="1" si="14"/>
        <v>0</v>
      </c>
      <c r="M18" s="1370">
        <f t="shared" ca="1" si="15"/>
        <v>23280603.617594786</v>
      </c>
      <c r="N18" s="1370">
        <f t="shared" ca="1" si="5"/>
        <v>58821630</v>
      </c>
      <c r="O18" s="1492"/>
      <c r="Q18" s="1365" t="str">
        <f t="shared" si="16"/>
        <v>3.6</v>
      </c>
      <c r="R18" s="1367">
        <f>'APU''S'!I105-AE18</f>
        <v>1310.5999999999963</v>
      </c>
      <c r="S18" s="1366">
        <f t="shared" si="6"/>
        <v>2.8793004965068682E-2</v>
      </c>
      <c r="T18" s="1367">
        <f>'APU''S'!I107</f>
        <v>0</v>
      </c>
      <c r="U18" s="1366">
        <f t="shared" si="1"/>
        <v>0</v>
      </c>
      <c r="V18" s="1367">
        <f>'APU''S'!H106</f>
        <v>26192.400000000005</v>
      </c>
      <c r="W18" s="1366">
        <f t="shared" si="2"/>
        <v>0.57542950041741736</v>
      </c>
      <c r="X18" s="1367">
        <v>0</v>
      </c>
      <c r="Y18" s="1366">
        <f t="shared" si="3"/>
        <v>0</v>
      </c>
      <c r="Z18" s="1367">
        <f>'APU''S'!F104</f>
        <v>18015.417654028435</v>
      </c>
      <c r="AA18" s="1366">
        <f t="shared" si="4"/>
        <v>0.39578667019703051</v>
      </c>
      <c r="AB18" s="1367">
        <f t="shared" si="17"/>
        <v>45518</v>
      </c>
      <c r="AD18" s="1369">
        <f t="shared" si="8"/>
        <v>0.41765402843884658</v>
      </c>
      <c r="AE18">
        <v>-0.97999999999592546</v>
      </c>
    </row>
    <row r="19" spans="2:31" ht="30" customHeight="1">
      <c r="B19" s="1245" t="str">
        <f>'APU''S'!I111</f>
        <v>3.7</v>
      </c>
      <c r="C19" s="1260" t="str">
        <f>'APU''S'!B111</f>
        <v>Llenos con material de préstamo en limo, compactados mecánicamente hasta obtener una densidad del 95% de la máxima obtenida en el ensayo del próctor modificado</v>
      </c>
      <c r="D19" s="1246" t="str">
        <f>'APU''S'!C120</f>
        <v>m³</v>
      </c>
      <c r="E19" s="1246">
        <f ca="1">ROUND(ALDO!BA503+ACTO!AZ46-ACTO!AZ39+'ACOM ACTO'!AZ47+SUM(ALDO!DP503:DR503)*(1-(ALDO!AV11/100)),2)</f>
        <v>2585.98</v>
      </c>
      <c r="F19" s="1247">
        <f>'APU''S'!B120</f>
        <v>90243</v>
      </c>
      <c r="G19" s="1247">
        <f t="shared" ca="1" si="18"/>
        <v>233366593</v>
      </c>
      <c r="I19" s="1370">
        <f t="shared" ca="1" si="11"/>
        <v>69607873.567879975</v>
      </c>
      <c r="J19" s="1370">
        <f t="shared" ca="1" si="12"/>
        <v>0</v>
      </c>
      <c r="K19" s="1370">
        <f t="shared" ca="1" si="13"/>
        <v>47413115.786400028</v>
      </c>
      <c r="L19" s="1370">
        <f t="shared" ca="1" si="14"/>
        <v>94129672</v>
      </c>
      <c r="M19" s="1370">
        <f t="shared" ca="1" si="15"/>
        <v>22216868.607924689</v>
      </c>
      <c r="N19" s="1370">
        <f t="shared" ca="1" si="5"/>
        <v>233367530</v>
      </c>
      <c r="O19" s="1492"/>
      <c r="Q19" s="1365" t="str">
        <f t="shared" si="16"/>
        <v>3.7</v>
      </c>
      <c r="R19" s="1367">
        <f>'APU''S'!G119+'APU''S'!I114-AE19</f>
        <v>26917.405999999992</v>
      </c>
      <c r="S19" s="1366">
        <f t="shared" si="6"/>
        <v>0.29827694114778974</v>
      </c>
      <c r="T19" s="1367">
        <f>'APU''S'!I118</f>
        <v>0</v>
      </c>
      <c r="U19" s="1366">
        <f t="shared" si="1"/>
        <v>0</v>
      </c>
      <c r="V19" s="1367">
        <f>'APU''S'!H119</f>
        <v>18334.680000000008</v>
      </c>
      <c r="W19" s="1366">
        <f t="shared" si="2"/>
        <v>0.20317010737674954</v>
      </c>
      <c r="X19" s="1367">
        <f>'APU''S'!I116</f>
        <v>36400</v>
      </c>
      <c r="Y19" s="1366">
        <f t="shared" si="3"/>
        <v>0.4033553849052004</v>
      </c>
      <c r="Z19" s="1367">
        <f>'APU''S'!F113</f>
        <v>8591.2762697022736</v>
      </c>
      <c r="AA19" s="1366">
        <f t="shared" si="4"/>
        <v>9.5201580950348211E-2</v>
      </c>
      <c r="AB19" s="1367">
        <f t="shared" si="17"/>
        <v>90243</v>
      </c>
      <c r="AD19" s="1369">
        <f t="shared" si="8"/>
        <v>0.36226970226562116</v>
      </c>
      <c r="AE19">
        <v>-0.67199999999138527</v>
      </c>
    </row>
    <row r="20" spans="2:31" ht="15" customHeight="1">
      <c r="B20" s="1245" t="str">
        <f>'APU''S'!I122</f>
        <v>3.8</v>
      </c>
      <c r="C20" s="1260" t="str">
        <f>'APU''S'!B122</f>
        <v>S.T.I. Lleno con triturado 3/4" (19mm) y 1" (25mm)</v>
      </c>
      <c r="D20" s="1246" t="str">
        <f>'APU''S'!C131</f>
        <v>m³</v>
      </c>
      <c r="E20" s="1246">
        <f ca="1">ROUND(ALDO!AT503,2)</f>
        <v>637.94000000000005</v>
      </c>
      <c r="F20" s="1247">
        <f>'APU''S'!B131</f>
        <v>266350</v>
      </c>
      <c r="G20" s="1247">
        <f t="shared" ca="1" si="18"/>
        <v>169915319</v>
      </c>
      <c r="I20" s="1370">
        <f t="shared" ca="1" si="11"/>
        <v>76901297.052900016</v>
      </c>
      <c r="J20" s="1370">
        <f t="shared" ca="1" si="12"/>
        <v>13924316.380000003</v>
      </c>
      <c r="K20" s="1370">
        <f t="shared" ca="1" si="13"/>
        <v>8354589.8280000016</v>
      </c>
      <c r="L20" s="1370">
        <f ca="1">E20*F20*Y20</f>
        <v>70734787.200000003</v>
      </c>
      <c r="M20" s="1370">
        <f t="shared" ca="1" si="15"/>
        <v>0</v>
      </c>
      <c r="N20" s="1370">
        <f t="shared" ca="1" si="5"/>
        <v>169914990</v>
      </c>
      <c r="O20" s="1492"/>
      <c r="Q20" s="1365" t="str">
        <f t="shared" si="16"/>
        <v>3.8</v>
      </c>
      <c r="R20" s="1367">
        <f>'APU''S'!G130+'APU''S'!I129-AE20</f>
        <v>120546.28500000002</v>
      </c>
      <c r="S20" s="1366">
        <f t="shared" si="6"/>
        <v>0.4525860146423879</v>
      </c>
      <c r="T20" s="1367">
        <f>'APU''S'!H126</f>
        <v>21827.000000000004</v>
      </c>
      <c r="U20" s="1366">
        <f t="shared" si="1"/>
        <v>8.1948563919654605E-2</v>
      </c>
      <c r="V20" s="1367">
        <f>'APU''S'!H127+'APU''S'!H128</f>
        <v>13096.200000000003</v>
      </c>
      <c r="W20" s="1366">
        <f t="shared" si="2"/>
        <v>4.9169138351792763E-2</v>
      </c>
      <c r="X20" s="1367">
        <f>'APU''S'!I125</f>
        <v>110880</v>
      </c>
      <c r="Y20" s="1366">
        <f t="shared" si="3"/>
        <v>0.41629434954007882</v>
      </c>
      <c r="Z20" s="1367">
        <v>0</v>
      </c>
      <c r="AA20" s="1366">
        <f t="shared" si="4"/>
        <v>0</v>
      </c>
      <c r="AB20" s="1367">
        <f t="shared" si="17"/>
        <v>266350</v>
      </c>
      <c r="AD20" s="1369">
        <f t="shared" si="8"/>
        <v>-0.51499999995576218</v>
      </c>
      <c r="AE20">
        <v>-0.125</v>
      </c>
    </row>
    <row r="21" spans="2:31" ht="15" customHeight="1">
      <c r="B21" s="1245" t="str">
        <f>'APU''S'!I133</f>
        <v>3.9</v>
      </c>
      <c r="C21" s="1260" t="str">
        <f>'APU''S'!B133</f>
        <v>Cargue, retiro y botada de material proveniente de la excavación a cualquier distancia</v>
      </c>
      <c r="D21" s="1246" t="str">
        <f>'APU''S'!C138</f>
        <v>m³</v>
      </c>
      <c r="E21" s="1246">
        <f ca="1">ROUND(ALDO!BC503+ACTO!BB46-ACTO!BB39+'ACOM ACTO'!BB47,2)</f>
        <v>3450.31</v>
      </c>
      <c r="F21" s="1247">
        <f>'APU''S'!B138</f>
        <v>79400</v>
      </c>
      <c r="G21" s="1247">
        <f t="shared" ca="1" si="18"/>
        <v>273954614</v>
      </c>
      <c r="I21" s="1370">
        <f t="shared" ca="1" si="11"/>
        <v>0</v>
      </c>
      <c r="J21" s="1370">
        <f t="shared" ca="1" si="12"/>
        <v>0</v>
      </c>
      <c r="K21" s="1370">
        <f t="shared" ca="1" si="13"/>
        <v>0</v>
      </c>
      <c r="L21" s="1370">
        <f t="shared" ca="1" si="14"/>
        <v>237726359</v>
      </c>
      <c r="M21" s="1370">
        <f t="shared" ca="1" si="15"/>
        <v>36228255</v>
      </c>
      <c r="N21" s="1370">
        <f t="shared" ca="1" si="5"/>
        <v>273954614</v>
      </c>
      <c r="O21" s="1492"/>
      <c r="Q21" s="1365" t="str">
        <f t="shared" si="16"/>
        <v>3.9</v>
      </c>
      <c r="R21" s="1367">
        <v>0</v>
      </c>
      <c r="S21" s="1366">
        <f t="shared" si="6"/>
        <v>0</v>
      </c>
      <c r="T21" s="1367">
        <v>0</v>
      </c>
      <c r="U21" s="1366">
        <f t="shared" si="1"/>
        <v>0</v>
      </c>
      <c r="V21" s="1367">
        <v>0</v>
      </c>
      <c r="W21" s="1366">
        <f t="shared" si="2"/>
        <v>0</v>
      </c>
      <c r="X21" s="1367">
        <f>'APU''S'!I136</f>
        <v>68900</v>
      </c>
      <c r="Y21" s="1366">
        <f t="shared" si="3"/>
        <v>0.86775818639798485</v>
      </c>
      <c r="Z21" s="1367">
        <f>'APU''S'!F135</f>
        <v>10500</v>
      </c>
      <c r="AA21" s="1366">
        <f t="shared" si="4"/>
        <v>0.13224181360201512</v>
      </c>
      <c r="AB21" s="1367">
        <f t="shared" si="17"/>
        <v>79400</v>
      </c>
      <c r="AD21" s="1369">
        <f t="shared" si="8"/>
        <v>0</v>
      </c>
      <c r="AE21">
        <v>0</v>
      </c>
    </row>
    <row r="22" spans="2:31" ht="18.75" customHeight="1">
      <c r="B22" s="1549" t="str">
        <f>'APU''S'!B140</f>
        <v>4. OBRAS EN CONCRETO, ACERO Y PAVIMENTO</v>
      </c>
      <c r="C22" s="1549"/>
      <c r="D22" s="1549"/>
      <c r="E22" s="1549"/>
      <c r="F22" s="1549"/>
      <c r="G22" s="1243">
        <f ca="1">ROUND(SUM(G23:G32),0)</f>
        <v>1352012494</v>
      </c>
      <c r="I22" s="1371">
        <f ca="1">SUM(I23:I32)</f>
        <v>998625804.04000103</v>
      </c>
      <c r="J22" s="1371">
        <f t="shared" ref="J22:M22" ca="1" si="19">SUM(J23:J32)</f>
        <v>129388712.26750159</v>
      </c>
      <c r="K22" s="1371">
        <f t="shared" ca="1" si="19"/>
        <v>100222488.5633581</v>
      </c>
      <c r="L22" s="1371">
        <f t="shared" ca="1" si="19"/>
        <v>85288535.314285725</v>
      </c>
      <c r="M22" s="1371">
        <f t="shared" ca="1" si="19"/>
        <v>38486485.861428566</v>
      </c>
      <c r="N22" s="1371">
        <f ca="1">ROUND(SUM(I22:M22),0)</f>
        <v>1352012026</v>
      </c>
      <c r="O22" s="1492"/>
      <c r="Q22"/>
      <c r="R22" s="1368"/>
      <c r="S22"/>
      <c r="T22" s="1368"/>
      <c r="U22"/>
      <c r="V22" s="1368"/>
      <c r="W22"/>
      <c r="X22" s="1368"/>
      <c r="Y22"/>
      <c r="Z22" s="1368"/>
      <c r="AA22"/>
      <c r="AB22" s="1368"/>
      <c r="AD22" s="1369"/>
    </row>
    <row r="23" spans="2:31" ht="30" customHeight="1">
      <c r="B23" s="1245" t="str">
        <f>'APU''S'!I142</f>
        <v>4.1</v>
      </c>
      <c r="C23" s="1260" t="str">
        <f>'APU''S'!B142</f>
        <v>S.T.C. para construcción de caja de empalme para domiciliar de 60cm x 60cm x hasta 100cm de altura. Incluye tapa. Según diseño</v>
      </c>
      <c r="D23" s="1246" t="str">
        <f>'APU''S'!C155</f>
        <v>und</v>
      </c>
      <c r="E23" s="1246">
        <f>ROUND(ALDO!DK503,2)</f>
        <v>316</v>
      </c>
      <c r="F23" s="1247">
        <f>'APU''S'!B155</f>
        <v>763918</v>
      </c>
      <c r="G23" s="1247">
        <f>ROUND(E23*F23,0)</f>
        <v>241398088</v>
      </c>
      <c r="I23" s="1370">
        <f t="shared" ref="I23:I32" si="20">E23*F23*S23</f>
        <v>186345445.63752139</v>
      </c>
      <c r="J23" s="1370">
        <f t="shared" ref="J23:J32" si="21">E23*F23*U23</f>
        <v>34486660.000000007</v>
      </c>
      <c r="K23" s="1370">
        <f t="shared" ref="K23:K32" si="22">E23*F23*W23</f>
        <v>13794664.000000002</v>
      </c>
      <c r="L23" s="1370">
        <f t="shared" ref="L23:L32" si="23">E23*F23*Y23</f>
        <v>6771428.5714285709</v>
      </c>
      <c r="M23" s="1370">
        <f t="shared" ref="M23:M32" si="24">E23*F23*AA23</f>
        <v>0</v>
      </c>
      <c r="N23" s="1370">
        <f t="shared" si="5"/>
        <v>241398198</v>
      </c>
      <c r="O23" s="1492"/>
      <c r="Q23" s="1365" t="str">
        <f t="shared" ref="Q23:Q32" si="25">B23</f>
        <v>4.1</v>
      </c>
      <c r="R23" s="1367">
        <f>'APU''S'!G154+'APU''S'!I151-AE23</f>
        <v>589700.7773339285</v>
      </c>
      <c r="S23" s="1366">
        <f t="shared" si="6"/>
        <v>0.77194250866444891</v>
      </c>
      <c r="T23" s="1367">
        <f>'APU''S'!H152</f>
        <v>109135.00000000001</v>
      </c>
      <c r="U23" s="1366">
        <f t="shared" si="1"/>
        <v>0.1428621920153734</v>
      </c>
      <c r="V23" s="1367">
        <f>'APU''S'!H153</f>
        <v>43654.000000000007</v>
      </c>
      <c r="W23" s="1366">
        <f t="shared" si="2"/>
        <v>5.714487680614936E-2</v>
      </c>
      <c r="X23" s="1367">
        <f>'APU''S'!I150</f>
        <v>21428.571428571428</v>
      </c>
      <c r="Y23" s="1366">
        <f t="shared" si="3"/>
        <v>2.8050879058447931E-2</v>
      </c>
      <c r="Z23" s="1367">
        <v>0</v>
      </c>
      <c r="AA23" s="1366">
        <f t="shared" si="4"/>
        <v>0</v>
      </c>
      <c r="AB23" s="1367">
        <f t="shared" ref="AB23:AB32" si="26">F23</f>
        <v>763918</v>
      </c>
      <c r="AD23" s="1369">
        <f t="shared" si="8"/>
        <v>0.34876249998342246</v>
      </c>
      <c r="AE23">
        <v>-0.3801650881068781</v>
      </c>
    </row>
    <row r="24" spans="2:31" ht="15" customHeight="1">
      <c r="B24" s="1245" t="str">
        <f>'APU''S'!I157</f>
        <v>4.2</v>
      </c>
      <c r="C24" s="1260" t="str">
        <f>'APU''S'!B157</f>
        <v>S.T.C. Sumidero tipo B para agua lluvias 50 x 80 x 80cm (incluye reja)</v>
      </c>
      <c r="D24" s="1246" t="str">
        <f>'APU''S'!C169</f>
        <v>und</v>
      </c>
      <c r="E24" s="1246">
        <f>ROUND(36,2)</f>
        <v>36</v>
      </c>
      <c r="F24" s="1247">
        <f>'APU''S'!B169</f>
        <v>1346205</v>
      </c>
      <c r="G24" s="1247">
        <f t="shared" ref="G24:G32" si="27">ROUND(E24*F24,0)</f>
        <v>48463380</v>
      </c>
      <c r="I24" s="1370">
        <f t="shared" si="20"/>
        <v>34195847.77714286</v>
      </c>
      <c r="J24" s="1370">
        <f t="shared" si="21"/>
        <v>5238480.0000000009</v>
      </c>
      <c r="K24" s="1370">
        <f t="shared" si="22"/>
        <v>6286176.0000000019</v>
      </c>
      <c r="L24" s="1370">
        <f t="shared" si="23"/>
        <v>1542857.142857143</v>
      </c>
      <c r="M24" s="1370">
        <f t="shared" si="24"/>
        <v>1200000</v>
      </c>
      <c r="N24" s="1370">
        <f t="shared" si="5"/>
        <v>48463361</v>
      </c>
      <c r="O24" s="1492"/>
      <c r="Q24" s="1365" t="str">
        <f t="shared" si="25"/>
        <v>4.2</v>
      </c>
      <c r="R24" s="1367">
        <f>'APU''S'!G168+'APU''S'!I159+'APU''S'!F166-AE24</f>
        <v>949884.6604761905</v>
      </c>
      <c r="S24" s="1366">
        <f t="shared" si="6"/>
        <v>0.70560179205707196</v>
      </c>
      <c r="T24" s="1367">
        <f>'APU''S'!H160</f>
        <v>145513.33333333334</v>
      </c>
      <c r="U24" s="1366">
        <f t="shared" si="1"/>
        <v>0.10809151157017939</v>
      </c>
      <c r="V24" s="1367">
        <f>'APU''S'!H161</f>
        <v>174616.00000000003</v>
      </c>
      <c r="W24" s="1366">
        <f t="shared" si="2"/>
        <v>0.12970981388421529</v>
      </c>
      <c r="X24" s="1367">
        <f>'APU''S'!I163</f>
        <v>42857.142857142855</v>
      </c>
      <c r="Y24" s="1366">
        <f t="shared" si="3"/>
        <v>3.1835524943929681E-2</v>
      </c>
      <c r="Z24" s="1367">
        <f>'APU''S'!F165</f>
        <v>33333.333333333328</v>
      </c>
      <c r="AA24" s="1366">
        <f t="shared" si="4"/>
        <v>2.4760963845278639E-2</v>
      </c>
      <c r="AB24" s="1367">
        <f t="shared" si="26"/>
        <v>1346205</v>
      </c>
      <c r="AD24" s="1369">
        <f t="shared" si="8"/>
        <v>-0.53000000002793968</v>
      </c>
      <c r="AE24">
        <v>-6.1622857116162777E-2</v>
      </c>
    </row>
    <row r="25" spans="2:31" ht="48.6" customHeight="1">
      <c r="B25" s="1245" t="str">
        <f>'APU''S'!I171</f>
        <v>4.3</v>
      </c>
      <c r="C25" s="1260" t="str">
        <f>'APU''S'!B171</f>
        <v>Cajas para valvulas de corte según detalle, incluye tapa metalica, tapón Roscado, marco para tapa en concreto f´c=21 Mpa, tubo 6" PVC de protección, ladrillos en concreto de 0.10x0.20x0.40</v>
      </c>
      <c r="D25" s="1246" t="str">
        <f>'APU''S'!C184</f>
        <v>un</v>
      </c>
      <c r="E25" s="1246">
        <f>ROUND(SUM(E64:E67),2)</f>
        <v>14</v>
      </c>
      <c r="F25" s="1247">
        <f>'APU''S'!B184</f>
        <v>417589</v>
      </c>
      <c r="G25" s="1247">
        <f t="shared" si="27"/>
        <v>5846246</v>
      </c>
      <c r="I25" s="1370">
        <f t="shared" si="20"/>
        <v>3121621.7648</v>
      </c>
      <c r="J25" s="1370">
        <f t="shared" si="21"/>
        <v>1527890.0000000002</v>
      </c>
      <c r="K25" s="1370">
        <f t="shared" si="22"/>
        <v>916734.00000000023</v>
      </c>
      <c r="L25" s="1370">
        <f t="shared" si="23"/>
        <v>280000</v>
      </c>
      <c r="M25" s="1370">
        <f t="shared" si="24"/>
        <v>0</v>
      </c>
      <c r="N25" s="1370">
        <f t="shared" si="5"/>
        <v>5846246</v>
      </c>
      <c r="O25" s="1492"/>
      <c r="Q25" s="1365" t="str">
        <f t="shared" si="25"/>
        <v>4.3</v>
      </c>
      <c r="R25" s="1367">
        <f>'APU''S'!G183+'APU''S'!I182-AE25</f>
        <v>222972.98320000002</v>
      </c>
      <c r="S25" s="1366">
        <f t="shared" si="6"/>
        <v>0.53395320087454412</v>
      </c>
      <c r="T25" s="1367">
        <f>'APU''S'!H180</f>
        <v>109135.00000000001</v>
      </c>
      <c r="U25" s="1366">
        <f t="shared" si="1"/>
        <v>0.26134548563300281</v>
      </c>
      <c r="V25" s="1367">
        <f>'APU''S'!H181</f>
        <v>65481.000000000015</v>
      </c>
      <c r="W25" s="1366">
        <f t="shared" si="2"/>
        <v>0.15680729137980171</v>
      </c>
      <c r="X25" s="1367">
        <f>'APU''S'!I175</f>
        <v>20000</v>
      </c>
      <c r="Y25" s="1366">
        <f t="shared" si="3"/>
        <v>4.7893981881706654E-2</v>
      </c>
      <c r="Z25" s="1367">
        <v>0</v>
      </c>
      <c r="AA25" s="1366">
        <f t="shared" si="4"/>
        <v>0</v>
      </c>
      <c r="AB25" s="1367">
        <f t="shared" si="26"/>
        <v>417589</v>
      </c>
      <c r="AD25" s="1369">
        <f t="shared" si="8"/>
        <v>-1.6799999983049929E-2</v>
      </c>
      <c r="AE25">
        <v>-0.42597333336016163</v>
      </c>
    </row>
    <row r="26" spans="2:31" ht="48.6" customHeight="1">
      <c r="B26" s="1245" t="str">
        <f>'APU''S'!I186</f>
        <v>4.4</v>
      </c>
      <c r="C26" s="1260" t="str">
        <f>'APU''S'!B186</f>
        <v>S.T.C y/o reconstrucción de andén en concreto de 21 Mpa, espesor de 10cm.  incluye nivelacion del terreno, malla electrosoldada D-84, 7 cm de Subbase, formaleta metalica o similar, y todo lo necesario para su correcto vaciado.</v>
      </c>
      <c r="D26" s="1246" t="str">
        <f>'APU''S'!C198</f>
        <v>m²</v>
      </c>
      <c r="E26" s="1246">
        <f>ROUND(E10/0.2,2)</f>
        <v>166.8</v>
      </c>
      <c r="F26" s="1247">
        <f>'APU''S'!B198</f>
        <v>140905</v>
      </c>
      <c r="G26" s="1247">
        <f t="shared" si="27"/>
        <v>23502954</v>
      </c>
      <c r="I26" s="1370">
        <f t="shared" si="20"/>
        <v>15804396.1602</v>
      </c>
      <c r="J26" s="1370">
        <f t="shared" si="21"/>
        <v>5201062.2857142854</v>
      </c>
      <c r="K26" s="1370">
        <f t="shared" si="22"/>
        <v>2080424.9142857143</v>
      </c>
      <c r="L26" s="1370">
        <f t="shared" si="23"/>
        <v>0</v>
      </c>
      <c r="M26" s="1370">
        <f t="shared" si="24"/>
        <v>417000</v>
      </c>
      <c r="N26" s="1370">
        <f t="shared" si="5"/>
        <v>23502883</v>
      </c>
      <c r="O26" s="1492"/>
      <c r="Q26" s="1365" t="str">
        <f t="shared" si="25"/>
        <v>4.4</v>
      </c>
      <c r="R26" s="1367">
        <f>'APU''S'!G197+'APU''S'!I188+'APU''S'!F192-AE26</f>
        <v>94750.57650000001</v>
      </c>
      <c r="S26" s="1366">
        <f t="shared" si="6"/>
        <v>0.67244296866683229</v>
      </c>
      <c r="T26" s="1367">
        <f>'APU''S'!H195</f>
        <v>31181.428571428572</v>
      </c>
      <c r="U26" s="1366">
        <f t="shared" si="1"/>
        <v>0.22129398226768796</v>
      </c>
      <c r="V26" s="1367">
        <f>'APU''S'!H196</f>
        <v>12472.571428571429</v>
      </c>
      <c r="W26" s="1366">
        <f t="shared" si="2"/>
        <v>8.8517592907075185E-2</v>
      </c>
      <c r="X26" s="1367">
        <v>0</v>
      </c>
      <c r="Y26" s="1366">
        <f t="shared" si="3"/>
        <v>0</v>
      </c>
      <c r="Z26" s="1367">
        <f>'APU''S'!F189</f>
        <v>2500</v>
      </c>
      <c r="AA26" s="1366">
        <f t="shared" si="4"/>
        <v>1.7742450587275114E-2</v>
      </c>
      <c r="AB26" s="1367">
        <f t="shared" si="26"/>
        <v>140905</v>
      </c>
      <c r="AD26" s="1369">
        <f t="shared" si="8"/>
        <v>-0.42350000000442378</v>
      </c>
      <c r="AE26">
        <v>-0.55177872339845635</v>
      </c>
    </row>
    <row r="27" spans="2:31" ht="45" customHeight="1">
      <c r="B27" s="1245" t="str">
        <f>'APU''S'!I200</f>
        <v>4.5</v>
      </c>
      <c r="C27" s="1260" t="str">
        <f>'APU''S'!B200</f>
        <v>S.T.C. de concreto hidráulico de 28 Mpa para placas de concreto de espesor 18cm según los planos, incluye preparación, transporte interno, refuerzo corte y tratamiento de juntas y todos los demás elementos necesarios para el buen desarrollo de dicha actividad.</v>
      </c>
      <c r="D27" s="1246" t="str">
        <f>'APU''S'!C215</f>
        <v>m³</v>
      </c>
      <c r="E27" s="1246">
        <f>ROUND(PAV!K28+PAV!K74,2)</f>
        <v>615.29</v>
      </c>
      <c r="F27" s="1247">
        <f>'APU''S'!B215</f>
        <v>1173810</v>
      </c>
      <c r="G27" s="1247">
        <f t="shared" si="27"/>
        <v>722233555</v>
      </c>
      <c r="I27" s="1370">
        <f t="shared" si="20"/>
        <v>615167458.03786314</v>
      </c>
      <c r="J27" s="1370">
        <f t="shared" si="21"/>
        <v>44766449.433333337</v>
      </c>
      <c r="K27" s="1370">
        <f t="shared" si="22"/>
        <v>53719739.320000008</v>
      </c>
      <c r="L27" s="1370">
        <f t="shared" si="23"/>
        <v>0</v>
      </c>
      <c r="M27" s="1370">
        <f t="shared" si="24"/>
        <v>8579515.86142857</v>
      </c>
      <c r="N27" s="1370">
        <f t="shared" si="5"/>
        <v>722233163</v>
      </c>
      <c r="O27" s="1492"/>
      <c r="Q27" s="1365" t="str">
        <f t="shared" si="25"/>
        <v>4.5</v>
      </c>
      <c r="R27" s="1367">
        <f>'APU''S'!G214+'APU''S'!I202-AE27</f>
        <v>999800.83869047626</v>
      </c>
      <c r="S27" s="1366">
        <f t="shared" si="6"/>
        <v>0.85175696125478251</v>
      </c>
      <c r="T27" s="1367">
        <f>'APU''S'!H203</f>
        <v>72756.666666666672</v>
      </c>
      <c r="U27" s="1366">
        <f t="shared" si="1"/>
        <v>6.1983341994587431E-2</v>
      </c>
      <c r="V27" s="1367">
        <f>'APU''S'!H204</f>
        <v>87308.000000000015</v>
      </c>
      <c r="W27" s="1366">
        <f t="shared" si="2"/>
        <v>7.4380010393504919E-2</v>
      </c>
      <c r="X27" s="1367">
        <v>0</v>
      </c>
      <c r="Y27" s="1366">
        <f t="shared" si="3"/>
        <v>0</v>
      </c>
      <c r="Z27" s="1367">
        <f>'APU''S'!I207+'APU''S'!F205+'APU''S'!F208+'APU''S'!F211</f>
        <v>13943.857142857141</v>
      </c>
      <c r="AA27" s="1366">
        <f t="shared" si="4"/>
        <v>1.1879143253897259E-2</v>
      </c>
      <c r="AB27" s="1367">
        <f t="shared" si="26"/>
        <v>1173810</v>
      </c>
      <c r="AD27" s="1369">
        <f t="shared" si="8"/>
        <v>-0.63749999995343387</v>
      </c>
      <c r="AE27">
        <v>-0.28388901636935771</v>
      </c>
    </row>
    <row r="28" spans="2:31" ht="15" customHeight="1">
      <c r="B28" s="1245" t="str">
        <f>'APU''S'!I217</f>
        <v>4.6</v>
      </c>
      <c r="C28" s="1260" t="str">
        <f>'APU''S'!B217</f>
        <v>Conformacion de Subrasante</v>
      </c>
      <c r="D28" s="1246" t="str">
        <f>'APU''S'!C225</f>
        <v>m²</v>
      </c>
      <c r="E28" s="1246">
        <f>ROUND(PAV!I28+PAV!I74,2)</f>
        <v>3418.25</v>
      </c>
      <c r="F28" s="1247">
        <f>'APU''S'!B225</f>
        <v>4292</v>
      </c>
      <c r="G28" s="1247">
        <f t="shared" si="27"/>
        <v>14671129</v>
      </c>
      <c r="I28" s="1370">
        <f t="shared" si="20"/>
        <v>373614.72499999695</v>
      </c>
      <c r="J28" s="1370">
        <f t="shared" si="21"/>
        <v>4663133.9218750009</v>
      </c>
      <c r="K28" s="1370">
        <f t="shared" si="22"/>
        <v>2797880.3531250013</v>
      </c>
      <c r="L28" s="1370">
        <f t="shared" si="23"/>
        <v>0</v>
      </c>
      <c r="M28" s="1370">
        <f t="shared" si="24"/>
        <v>6836500</v>
      </c>
      <c r="N28" s="1370">
        <f t="shared" si="5"/>
        <v>14671129</v>
      </c>
      <c r="O28" s="1492"/>
      <c r="Q28" s="1365" t="str">
        <f t="shared" si="25"/>
        <v>4.6</v>
      </c>
      <c r="R28" s="1367">
        <f>'APU''S'!I219-AE28</f>
        <v>109.2999999999991</v>
      </c>
      <c r="S28" s="1366">
        <f t="shared" si="6"/>
        <v>2.5465983224603705E-2</v>
      </c>
      <c r="T28" s="1367">
        <f>'APU''S'!H220</f>
        <v>1364.1875000000002</v>
      </c>
      <c r="U28" s="1366">
        <f t="shared" si="1"/>
        <v>0.31784424510717618</v>
      </c>
      <c r="V28" s="1367">
        <f>'APU''S'!H221</f>
        <v>818.51250000000027</v>
      </c>
      <c r="W28" s="1366">
        <f t="shared" si="2"/>
        <v>0.19070654706430576</v>
      </c>
      <c r="X28" s="1367">
        <v>0</v>
      </c>
      <c r="Y28" s="1366">
        <f t="shared" si="3"/>
        <v>0</v>
      </c>
      <c r="Z28" s="1367">
        <f>'APU''S'!F224</f>
        <v>2000</v>
      </c>
      <c r="AA28" s="1366">
        <f t="shared" si="4"/>
        <v>0.46598322460391428</v>
      </c>
      <c r="AB28" s="1367">
        <f t="shared" si="26"/>
        <v>4292</v>
      </c>
      <c r="AD28" s="1369">
        <f t="shared" si="8"/>
        <v>0</v>
      </c>
      <c r="AE28">
        <v>-0.16499999999905413</v>
      </c>
    </row>
    <row r="29" spans="2:31" ht="15" customHeight="1">
      <c r="B29" s="1245" t="str">
        <f>'APU''S'!I227</f>
        <v>4.7</v>
      </c>
      <c r="C29" s="1260" t="str">
        <f>'APU''S'!B227</f>
        <v xml:space="preserve">S.T.I. de SUB-BASE GRANULAR e = 0,15m </v>
      </c>
      <c r="D29" s="1246" t="str">
        <f>'APU''S'!C238</f>
        <v>m³</v>
      </c>
      <c r="E29" s="1246">
        <f>ROUND(PAV!M28+PAV!M74,2)</f>
        <v>512.74</v>
      </c>
      <c r="F29" s="1247">
        <f>'APU''S'!B238</f>
        <v>312203</v>
      </c>
      <c r="G29" s="1247">
        <f t="shared" si="27"/>
        <v>160078966</v>
      </c>
      <c r="I29" s="1370">
        <f t="shared" si="20"/>
        <v>67646916.22800003</v>
      </c>
      <c r="J29" s="1370">
        <f t="shared" si="21"/>
        <v>2797893.9950000006</v>
      </c>
      <c r="K29" s="1370">
        <f t="shared" si="22"/>
        <v>1678736.3970000006</v>
      </c>
      <c r="L29" s="1370">
        <f t="shared" si="23"/>
        <v>67189449.600000009</v>
      </c>
      <c r="M29" s="1370">
        <f t="shared" si="24"/>
        <v>20765969.999999996</v>
      </c>
      <c r="N29" s="1370">
        <f t="shared" si="5"/>
        <v>160078966</v>
      </c>
      <c r="O29" s="1492"/>
      <c r="Q29" s="1365" t="str">
        <f t="shared" si="25"/>
        <v>4.7</v>
      </c>
      <c r="R29" s="1367">
        <f>'APU''S'!G237+'APU''S'!I229-AE29</f>
        <v>131932.20000000004</v>
      </c>
      <c r="S29" s="1366">
        <f t="shared" si="6"/>
        <v>0.42258466446510778</v>
      </c>
      <c r="T29" s="1367">
        <f>'APU''S'!H230</f>
        <v>5456.7500000000009</v>
      </c>
      <c r="U29" s="1366">
        <f t="shared" si="1"/>
        <v>1.7478211292011932E-2</v>
      </c>
      <c r="V29" s="1367">
        <f>'APU''S'!H231</f>
        <v>3274.0500000000011</v>
      </c>
      <c r="W29" s="1366">
        <f t="shared" si="2"/>
        <v>1.0486926775207161E-2</v>
      </c>
      <c r="X29" s="1367">
        <f>'APU''S'!I236</f>
        <v>131040.00000000001</v>
      </c>
      <c r="Y29" s="1366">
        <f t="shared" si="3"/>
        <v>0.41972690845379451</v>
      </c>
      <c r="Z29" s="1367">
        <f>'APU''S'!F234+'APU''S'!F235</f>
        <v>40500</v>
      </c>
      <c r="AA29" s="1366">
        <f t="shared" si="4"/>
        <v>0.12972328901387878</v>
      </c>
      <c r="AB29" s="1367">
        <f t="shared" si="26"/>
        <v>312203</v>
      </c>
      <c r="AD29" s="1369">
        <f t="shared" si="8"/>
        <v>0</v>
      </c>
      <c r="AE29">
        <v>-0.66000000003259629</v>
      </c>
    </row>
    <row r="30" spans="2:31" ht="15" customHeight="1">
      <c r="B30" s="1245" t="str">
        <f>'APU''S'!I240</f>
        <v>4.8</v>
      </c>
      <c r="C30" s="1260" t="str">
        <f>'APU''S'!B240</f>
        <v>S.T.C. de gancho de acero para cámara de inspección</v>
      </c>
      <c r="D30" s="1246" t="str">
        <f>'APU''S'!C247</f>
        <v>und</v>
      </c>
      <c r="E30" s="1246">
        <f ca="1">ROUND(E83,2)</f>
        <v>16</v>
      </c>
      <c r="F30" s="1247">
        <f>'APU''S'!B247</f>
        <v>68600</v>
      </c>
      <c r="G30" s="1247">
        <f t="shared" ca="1" si="27"/>
        <v>1097600</v>
      </c>
      <c r="I30" s="1370">
        <f t="shared" ca="1" si="20"/>
        <v>509419.78947368404</v>
      </c>
      <c r="J30" s="1370">
        <f t="shared" ca="1" si="21"/>
        <v>367612.63157894742</v>
      </c>
      <c r="K30" s="1370">
        <f t="shared" ca="1" si="22"/>
        <v>220567.57894736846</v>
      </c>
      <c r="L30" s="1370">
        <f t="shared" ca="1" si="23"/>
        <v>0</v>
      </c>
      <c r="M30" s="1370">
        <f t="shared" ca="1" si="24"/>
        <v>0</v>
      </c>
      <c r="N30" s="1370">
        <f t="shared" ca="1" si="5"/>
        <v>1097600</v>
      </c>
      <c r="O30" s="1492"/>
      <c r="Q30" s="1365" t="str">
        <f t="shared" si="25"/>
        <v>4.8</v>
      </c>
      <c r="R30" s="1367">
        <f>'APU''S'!G246+'APU''S'!I245-AE30</f>
        <v>31838.736842105252</v>
      </c>
      <c r="S30" s="1366">
        <f t="shared" si="6"/>
        <v>0.46412152831057218</v>
      </c>
      <c r="T30" s="1367">
        <f>'APU''S'!H243</f>
        <v>22975.789473684214</v>
      </c>
      <c r="U30" s="1366">
        <f t="shared" si="1"/>
        <v>0.33492404480589233</v>
      </c>
      <c r="V30" s="1367">
        <f>'APU''S'!H244</f>
        <v>13785.473684210529</v>
      </c>
      <c r="W30" s="1366">
        <f t="shared" si="2"/>
        <v>0.2009544268835354</v>
      </c>
      <c r="X30" s="1367">
        <v>0</v>
      </c>
      <c r="Y30" s="1366">
        <f t="shared" si="3"/>
        <v>0</v>
      </c>
      <c r="Z30" s="1367">
        <v>0</v>
      </c>
      <c r="AA30" s="1366">
        <f t="shared" si="4"/>
        <v>0</v>
      </c>
      <c r="AB30" s="1367">
        <f t="shared" si="26"/>
        <v>68600</v>
      </c>
      <c r="AD30" s="1369">
        <f t="shared" si="8"/>
        <v>0</v>
      </c>
      <c r="AE30">
        <v>-0.67368421051651239</v>
      </c>
    </row>
    <row r="31" spans="2:31" ht="30" customHeight="1">
      <c r="B31" s="1245" t="str">
        <f>'APU''S'!I249</f>
        <v>4.9</v>
      </c>
      <c r="C31" s="1260" t="str">
        <f>'APU''S'!B249</f>
        <v xml:space="preserve">S.T.I. de acometidas de acueducto 1/2''. Incluye todos los elementos para su correcto funcionamiento. </v>
      </c>
      <c r="D31" s="1246" t="str">
        <f>'APU''S'!C264</f>
        <v>und</v>
      </c>
      <c r="E31" s="1246">
        <f>ROUND('ACCESORIOS, ETC'!D29+'ACCESORIOS, ETC'!D30+'ACCESORIOS, ETC'!D31+'ACCESORIOS, ETC'!D32,2)</f>
        <v>417</v>
      </c>
      <c r="F31" s="1247">
        <f>'APU''S'!B264</f>
        <v>316432</v>
      </c>
      <c r="G31" s="1247">
        <f t="shared" si="27"/>
        <v>131952144</v>
      </c>
      <c r="I31" s="1370">
        <f t="shared" si="20"/>
        <v>75068795.920000002</v>
      </c>
      <c r="J31" s="1370">
        <f t="shared" si="21"/>
        <v>30339530.000000004</v>
      </c>
      <c r="K31" s="1370">
        <f t="shared" si="22"/>
        <v>18203718.000000004</v>
      </c>
      <c r="L31" s="1370">
        <f t="shared" si="23"/>
        <v>8340000</v>
      </c>
      <c r="M31" s="1370">
        <f t="shared" si="24"/>
        <v>0</v>
      </c>
      <c r="N31" s="1370">
        <f t="shared" si="5"/>
        <v>131952044</v>
      </c>
      <c r="O31" s="1492"/>
      <c r="Q31" s="1365" t="str">
        <f t="shared" si="25"/>
        <v>4.9</v>
      </c>
      <c r="R31" s="1367">
        <f>'APU''S'!G263+'APU''S'!I261-AE31</f>
        <v>180021.09333333332</v>
      </c>
      <c r="S31" s="1366">
        <f t="shared" si="6"/>
        <v>0.5689092548583371</v>
      </c>
      <c r="T31" s="1367">
        <f>'APU''S'!H259</f>
        <v>72756.666666666672</v>
      </c>
      <c r="U31" s="1366">
        <f t="shared" si="1"/>
        <v>0.22992828369654988</v>
      </c>
      <c r="V31" s="1367">
        <f>'APU''S'!H260</f>
        <v>43654.000000000007</v>
      </c>
      <c r="W31" s="1366">
        <f t="shared" si="2"/>
        <v>0.13795697021792994</v>
      </c>
      <c r="X31" s="1367">
        <f>'APU''S'!I262</f>
        <v>20000</v>
      </c>
      <c r="Y31" s="1366">
        <f t="shared" si="3"/>
        <v>6.3204732770389849E-2</v>
      </c>
      <c r="Z31" s="1367">
        <v>0</v>
      </c>
      <c r="AA31" s="1366">
        <f t="shared" si="4"/>
        <v>0</v>
      </c>
      <c r="AB31" s="1367">
        <f t="shared" si="26"/>
        <v>316432</v>
      </c>
      <c r="AD31" s="1369">
        <f t="shared" si="8"/>
        <v>-0.23999999999068677</v>
      </c>
      <c r="AE31">
        <v>-0.51000000000931323</v>
      </c>
    </row>
    <row r="32" spans="2:31" customFormat="1" ht="30" customHeight="1">
      <c r="B32" s="1245" t="str">
        <f>'APU''S'!I266</f>
        <v>4.10</v>
      </c>
      <c r="C32" s="1260" t="str">
        <f>'APU''S'!B266</f>
        <v xml:space="preserve">Suspensión (demolición y llenado) de sumidero existente. Incluye todos los elementos necesarios para el desarrollo de la actividad. </v>
      </c>
      <c r="D32" s="1246" t="str">
        <f>'APU''S'!C276</f>
        <v>und</v>
      </c>
      <c r="E32" s="1246">
        <f>ROUND(16,2)</f>
        <v>16</v>
      </c>
      <c r="F32" s="1247">
        <f>'APU''S'!B276</f>
        <v>173027</v>
      </c>
      <c r="G32" s="1247">
        <f t="shared" si="27"/>
        <v>2768432</v>
      </c>
      <c r="I32" s="1370">
        <f t="shared" si="20"/>
        <v>392287.99999999971</v>
      </c>
      <c r="J32" s="1370">
        <f t="shared" si="21"/>
        <v>0</v>
      </c>
      <c r="K32" s="1370">
        <f t="shared" si="22"/>
        <v>523848.00000000012</v>
      </c>
      <c r="L32" s="1370">
        <f t="shared" si="23"/>
        <v>1164800</v>
      </c>
      <c r="M32" s="1370">
        <f t="shared" si="24"/>
        <v>687500</v>
      </c>
      <c r="N32" s="1370">
        <f>ROUND(SUM(I32:M32),0)</f>
        <v>2768436</v>
      </c>
      <c r="O32" s="1492"/>
      <c r="Q32" s="1365" t="str">
        <f t="shared" si="25"/>
        <v>4.10</v>
      </c>
      <c r="R32" s="1367">
        <f>'APU''S'!G275+'APU''S'!I270-AE32</f>
        <v>24517.999999999982</v>
      </c>
      <c r="S32" s="1366">
        <f t="shared" si="6"/>
        <v>0.14170042825686155</v>
      </c>
      <c r="T32" s="1367">
        <v>0</v>
      </c>
      <c r="U32" s="1366">
        <f t="shared" si="1"/>
        <v>0</v>
      </c>
      <c r="V32" s="1367">
        <f>'APU''S'!H274</f>
        <v>32740.500000000007</v>
      </c>
      <c r="W32" s="1366">
        <f t="shared" si="2"/>
        <v>0.18922191334300431</v>
      </c>
      <c r="X32" s="1367">
        <f>'APU''S'!I272+'APU''S'!I273</f>
        <v>72800</v>
      </c>
      <c r="Y32" s="1366">
        <f t="shared" si="3"/>
        <v>0.42074358337138135</v>
      </c>
      <c r="Z32" s="1367">
        <f>'APU''S'!F275</f>
        <v>42968.75</v>
      </c>
      <c r="AA32" s="1366">
        <f t="shared" si="4"/>
        <v>0.24833551988995936</v>
      </c>
      <c r="AB32" s="1367">
        <f t="shared" si="26"/>
        <v>173027</v>
      </c>
      <c r="AD32" s="1369">
        <f t="shared" si="8"/>
        <v>0.25</v>
      </c>
      <c r="AE32">
        <v>-0.97499999997671694</v>
      </c>
    </row>
    <row r="33" spans="2:31" ht="18.75" customHeight="1">
      <c r="B33" s="1549" t="str">
        <f>'APU''S'!B278</f>
        <v>5. ENTIBADOS Y OTROS</v>
      </c>
      <c r="C33" s="1549"/>
      <c r="D33" s="1549"/>
      <c r="E33" s="1549"/>
      <c r="F33" s="1549"/>
      <c r="G33" s="1243">
        <f>ROUND(SUM(G34:G37),0)</f>
        <v>695107872</v>
      </c>
      <c r="I33" s="1371">
        <f>SUM(I34:I37)</f>
        <v>277278982.30259991</v>
      </c>
      <c r="J33" s="1371">
        <f t="shared" ref="J33:M33" si="28">SUM(J34:J37)</f>
        <v>258139553.03000003</v>
      </c>
      <c r="K33" s="1371">
        <f t="shared" si="28"/>
        <v>136225231.81800005</v>
      </c>
      <c r="L33" s="1371">
        <f t="shared" si="28"/>
        <v>273000</v>
      </c>
      <c r="M33" s="1371">
        <f t="shared" si="28"/>
        <v>23188760</v>
      </c>
      <c r="N33" s="1371">
        <f>ROUND(SUM(I33:M33),0)</f>
        <v>695105527</v>
      </c>
      <c r="O33" s="1492"/>
      <c r="Q33"/>
      <c r="R33" s="1368"/>
      <c r="S33"/>
      <c r="T33" s="1368"/>
      <c r="U33"/>
      <c r="V33" s="1368"/>
      <c r="W33"/>
      <c r="X33" s="1368"/>
      <c r="Y33"/>
      <c r="Z33" s="1368"/>
      <c r="AA33"/>
      <c r="AB33" s="1368"/>
      <c r="AD33" s="1369"/>
    </row>
    <row r="34" spans="2:31" ht="15" customHeight="1">
      <c r="B34" s="1245" t="str">
        <f>'APU''S'!I280</f>
        <v>5.1</v>
      </c>
      <c r="C34" s="1260" t="str">
        <f>'APU''S'!B280</f>
        <v>S.T.I. Entibado temporal (formaleta madera 1/7 utilizaciones)</v>
      </c>
      <c r="D34" s="1246" t="str">
        <f>'APU''S'!C289</f>
        <v>m²</v>
      </c>
      <c r="E34" s="1246">
        <f>ROUND(ALDO!AK503+ALDO!DS503,2)</f>
        <v>6962.82</v>
      </c>
      <c r="F34" s="1247">
        <f>'APU''S'!B289</f>
        <v>56025</v>
      </c>
      <c r="G34" s="1247">
        <f>ROUND(E34*F34,0)</f>
        <v>390091991</v>
      </c>
      <c r="I34" s="1370">
        <f>E34*F34*S34</f>
        <v>146925690.92659992</v>
      </c>
      <c r="J34" s="1370">
        <f>E34*F34*U34</f>
        <v>151977472.14000002</v>
      </c>
      <c r="K34" s="1370">
        <f>E34*F34*W34</f>
        <v>91186483.284000024</v>
      </c>
      <c r="L34" s="1370">
        <f>E34*F34*Y34</f>
        <v>0</v>
      </c>
      <c r="M34" s="1370">
        <f>E34*F34*AA34</f>
        <v>0</v>
      </c>
      <c r="N34" s="1370">
        <v>402625067</v>
      </c>
      <c r="O34" s="1492"/>
      <c r="Q34" s="1365" t="str">
        <f>B34</f>
        <v>5.1</v>
      </c>
      <c r="R34" s="1367">
        <f>'APU''S'!G288+'APU''S'!I282-AE34</f>
        <v>21101.463333333322</v>
      </c>
      <c r="S34" s="1366">
        <f t="shared" si="6"/>
        <v>0.37664370072884107</v>
      </c>
      <c r="T34" s="1367">
        <f>'APU''S'!H286</f>
        <v>21827.000000000004</v>
      </c>
      <c r="U34" s="1366">
        <f t="shared" si="1"/>
        <v>0.38959393128067832</v>
      </c>
      <c r="V34" s="1367">
        <f>'APU''S'!H287</f>
        <v>13096.200000000004</v>
      </c>
      <c r="W34" s="1366">
        <f t="shared" si="2"/>
        <v>0.23375635876840703</v>
      </c>
      <c r="X34" s="1367">
        <v>0</v>
      </c>
      <c r="Y34" s="1366">
        <f t="shared" si="3"/>
        <v>0</v>
      </c>
      <c r="Z34" s="1367">
        <v>0</v>
      </c>
      <c r="AA34" s="1366">
        <f t="shared" si="4"/>
        <v>0</v>
      </c>
      <c r="AB34" s="1367">
        <f>F34</f>
        <v>56025</v>
      </c>
      <c r="AD34" s="1369">
        <f t="shared" si="8"/>
        <v>-0.33666666666977108</v>
      </c>
      <c r="AE34">
        <v>-0.30895830519875744</v>
      </c>
    </row>
    <row r="35" spans="2:31" ht="15" customHeight="1">
      <c r="B35" s="1245" t="str">
        <f>'APU''S'!I291</f>
        <v>5.2</v>
      </c>
      <c r="C35" s="1260" t="str">
        <f>'APU''S'!B291</f>
        <v>S.T.I. Entibado permanente</v>
      </c>
      <c r="D35" s="1246" t="str">
        <f>'APU''S'!C300</f>
        <v>m²</v>
      </c>
      <c r="E35" s="1246">
        <f>ROUND(ALDO!AL503+ALDO!DT503,2)</f>
        <v>2984.07</v>
      </c>
      <c r="F35" s="1247">
        <f>'APU''S'!B300</f>
        <v>78340</v>
      </c>
      <c r="G35" s="1247">
        <f t="shared" ref="G35:G37" si="29">ROUND(E35*F35,0)</f>
        <v>233772044</v>
      </c>
      <c r="I35" s="1370">
        <f>E35*F35*S35</f>
        <v>129558770.37599996</v>
      </c>
      <c r="J35" s="1370">
        <f>E35*F35*U35</f>
        <v>65133295.890000015</v>
      </c>
      <c r="K35" s="1370">
        <f>E35*F35*W35</f>
        <v>39079977.534000017</v>
      </c>
      <c r="L35" s="1370">
        <f>E35*F35*Y35</f>
        <v>0</v>
      </c>
      <c r="M35" s="1370">
        <f>E35*F35*AA35</f>
        <v>0</v>
      </c>
      <c r="N35" s="1370">
        <f t="shared" si="5"/>
        <v>233772044</v>
      </c>
      <c r="O35" s="1492"/>
      <c r="Q35" s="1365" t="str">
        <f>B35</f>
        <v>5.2</v>
      </c>
      <c r="R35" s="1367">
        <f>'APU''S'!G299+'APU''S'!I293-AE35</f>
        <v>43416.799999999988</v>
      </c>
      <c r="S35" s="1366">
        <f t="shared" si="6"/>
        <v>0.55420985448046955</v>
      </c>
      <c r="T35" s="1367">
        <f>'APU''S'!H297</f>
        <v>21827.000000000004</v>
      </c>
      <c r="U35" s="1366">
        <f t="shared" si="1"/>
        <v>0.27861884094970646</v>
      </c>
      <c r="V35" s="1367">
        <f>'APU''S'!H298</f>
        <v>13096.200000000004</v>
      </c>
      <c r="W35" s="1366">
        <f t="shared" si="2"/>
        <v>0.1671713045698239</v>
      </c>
      <c r="X35" s="1367">
        <v>0</v>
      </c>
      <c r="Y35" s="1366">
        <f t="shared" si="3"/>
        <v>0</v>
      </c>
      <c r="Z35" s="1367">
        <v>0</v>
      </c>
      <c r="AA35" s="1366">
        <f t="shared" si="4"/>
        <v>0</v>
      </c>
      <c r="AB35" s="1367">
        <f>F35</f>
        <v>78340</v>
      </c>
      <c r="AD35" s="1369">
        <f t="shared" si="8"/>
        <v>0</v>
      </c>
      <c r="AE35">
        <v>-0.63999999998486601</v>
      </c>
    </row>
    <row r="36" spans="2:31" ht="30" customHeight="1">
      <c r="B36" s="1245" t="str">
        <f>'APU''S'!I302</f>
        <v>5.3</v>
      </c>
      <c r="C36" s="1260" t="str">
        <f>'APU''S'!B302</f>
        <v>Perforacion de Camara de inspeccion existente, abocada para nueva tuberia y resane de MH</v>
      </c>
      <c r="D36" s="1246" t="str">
        <f>'APU''S'!C310</f>
        <v>und</v>
      </c>
      <c r="E36" s="1246">
        <f>ROUND('ACCESORIOS, ETC'!G26,2)</f>
        <v>91</v>
      </c>
      <c r="F36" s="1247">
        <f>'APU''S'!B310</f>
        <v>326347</v>
      </c>
      <c r="G36" s="1247">
        <f t="shared" si="29"/>
        <v>29697577</v>
      </c>
      <c r="I36" s="1370">
        <f>E36*F36*S36</f>
        <v>794520.99999999593</v>
      </c>
      <c r="J36" s="1370">
        <f>E36*F36*U36</f>
        <v>9931285</v>
      </c>
      <c r="K36" s="1370">
        <f>E36*F36*W36</f>
        <v>5958771.0000000019</v>
      </c>
      <c r="L36" s="1370">
        <f>E36*F36*Y36</f>
        <v>273000</v>
      </c>
      <c r="M36" s="1370">
        <f>E36*F36*AA36</f>
        <v>12740000</v>
      </c>
      <c r="N36" s="1370">
        <f t="shared" si="5"/>
        <v>29697577</v>
      </c>
      <c r="O36" s="1492"/>
      <c r="Q36" s="1365" t="str">
        <f>B36</f>
        <v>5.3</v>
      </c>
      <c r="R36" s="1367">
        <f>'APU''S'!I305-AE36</f>
        <v>8730.9999999999545</v>
      </c>
      <c r="S36" s="1366">
        <f t="shared" si="6"/>
        <v>2.6753731457620125E-2</v>
      </c>
      <c r="T36" s="1367">
        <f>'APU''S'!H307</f>
        <v>109135.00000000001</v>
      </c>
      <c r="U36" s="1366">
        <f t="shared" si="1"/>
        <v>0.33441398266262601</v>
      </c>
      <c r="V36" s="1367">
        <f>'APU''S'!H308</f>
        <v>65481.000000000015</v>
      </c>
      <c r="W36" s="1366">
        <f t="shared" si="2"/>
        <v>0.20064838959757564</v>
      </c>
      <c r="X36" s="1367">
        <f>'APU''S'!I306</f>
        <v>3000</v>
      </c>
      <c r="Y36" s="1366">
        <f t="shared" si="3"/>
        <v>9.1926691527729684E-3</v>
      </c>
      <c r="Z36" s="1367">
        <f>'APU''S'!F309</f>
        <v>140000</v>
      </c>
      <c r="AA36" s="1366">
        <f t="shared" si="4"/>
        <v>0.42899122712940518</v>
      </c>
      <c r="AB36" s="1367">
        <f>F36</f>
        <v>326347</v>
      </c>
      <c r="AD36" s="1369">
        <f t="shared" si="8"/>
        <v>0</v>
      </c>
      <c r="AE36">
        <v>-0.19999999995343387</v>
      </c>
    </row>
    <row r="37" spans="2:31" ht="15" customHeight="1">
      <c r="B37" s="1245" t="str">
        <f>'APU''S'!I312</f>
        <v>5.4</v>
      </c>
      <c r="C37" s="1260" t="str">
        <f>'APU''S'!B312</f>
        <v xml:space="preserve">Televisación y lavado de redes con equipos </v>
      </c>
      <c r="D37" s="1246" t="str">
        <f>'APU''S'!C317</f>
        <v>ml</v>
      </c>
      <c r="E37" s="1246">
        <f>ROUND(ALDO!M503,2)</f>
        <v>1243.9000000000001</v>
      </c>
      <c r="F37" s="1247">
        <f>'APU''S'!B317</f>
        <v>33400</v>
      </c>
      <c r="G37" s="1247">
        <f t="shared" si="29"/>
        <v>41546260</v>
      </c>
      <c r="I37" s="1370">
        <f>E37*F37*S37</f>
        <v>0</v>
      </c>
      <c r="J37" s="1370">
        <f>E37*F37*U37</f>
        <v>31097500</v>
      </c>
      <c r="K37" s="1370">
        <f>E37*F37*W37</f>
        <v>0</v>
      </c>
      <c r="L37" s="1370">
        <f>E37*F37*Y37</f>
        <v>0</v>
      </c>
      <c r="M37" s="1370">
        <f>E37*F37*AA37</f>
        <v>10448760</v>
      </c>
      <c r="N37" s="1370">
        <f t="shared" si="5"/>
        <v>41546260</v>
      </c>
      <c r="O37" s="1492"/>
      <c r="Q37" s="1365" t="str">
        <f>B37</f>
        <v>5.4</v>
      </c>
      <c r="R37" s="1367">
        <v>0</v>
      </c>
      <c r="S37" s="1366">
        <f t="shared" si="6"/>
        <v>0</v>
      </c>
      <c r="T37" s="1367">
        <f>'APU''S'!F315</f>
        <v>25000</v>
      </c>
      <c r="U37" s="1366">
        <f t="shared" si="1"/>
        <v>0.74850299401197606</v>
      </c>
      <c r="V37" s="1367">
        <v>0</v>
      </c>
      <c r="W37" s="1366">
        <f t="shared" si="2"/>
        <v>0</v>
      </c>
      <c r="X37" s="1367">
        <v>0</v>
      </c>
      <c r="Y37" s="1366">
        <f t="shared" si="3"/>
        <v>0</v>
      </c>
      <c r="Z37" s="1367">
        <f>'APU''S'!F314</f>
        <v>8400</v>
      </c>
      <c r="AA37" s="1366">
        <f t="shared" si="4"/>
        <v>0.25149700598802394</v>
      </c>
      <c r="AB37" s="1367">
        <f>F37</f>
        <v>33400</v>
      </c>
      <c r="AD37" s="1369">
        <f t="shared" si="8"/>
        <v>0</v>
      </c>
      <c r="AE37">
        <v>0</v>
      </c>
    </row>
    <row r="38" spans="2:31" ht="18.75" customHeight="1">
      <c r="B38" s="1549" t="str">
        <f>'APU''S'!B319</f>
        <v>6. SUMINISTRO Y TRANSPORTE DE TUBERÍAS, ACCESORIOS, PREFABRICADOS Y EQUIPOS</v>
      </c>
      <c r="C38" s="1549"/>
      <c r="D38" s="1549"/>
      <c r="E38" s="1549"/>
      <c r="F38" s="1549"/>
      <c r="G38" s="1243">
        <f ca="1">ROUND(SUM(G39:G83),0)</f>
        <v>818342499</v>
      </c>
      <c r="I38" s="1371">
        <f ca="1">SUM(I39:I83)</f>
        <v>784037451.32267022</v>
      </c>
      <c r="J38" s="1371">
        <f t="shared" ref="J38:M38" ca="1" si="30">SUM(J39:J83)</f>
        <v>0</v>
      </c>
      <c r="K38" s="1371">
        <f t="shared" ca="1" si="30"/>
        <v>0</v>
      </c>
      <c r="L38" s="1371">
        <f t="shared" ca="1" si="30"/>
        <v>34305047.12732958</v>
      </c>
      <c r="M38" s="1371">
        <f t="shared" ca="1" si="30"/>
        <v>0</v>
      </c>
      <c r="N38" s="1371">
        <f ca="1">ROUND(SUM(I38:M38),0)</f>
        <v>818342498</v>
      </c>
      <c r="O38" s="1492"/>
      <c r="Q38"/>
      <c r="R38" s="1368"/>
      <c r="S38"/>
      <c r="T38" s="1368"/>
      <c r="U38"/>
      <c r="V38" s="1368"/>
      <c r="W38"/>
      <c r="X38" s="1368"/>
      <c r="Y38"/>
      <c r="Z38" s="1368"/>
      <c r="AA38"/>
      <c r="AB38" s="1368"/>
      <c r="AD38" s="1369"/>
    </row>
    <row r="39" spans="2:31" ht="15" customHeight="1">
      <c r="B39" s="1245" t="str">
        <f>'APU''S'!I321</f>
        <v>6.1</v>
      </c>
      <c r="C39" s="1260" t="str">
        <f>'APU''S'!B321</f>
        <v>S.T. Tubería PVC Alcantarillado Ø 250 mm (10")</v>
      </c>
      <c r="D39" s="1246" t="str">
        <f>'APU''S'!C326</f>
        <v>m</v>
      </c>
      <c r="E39" s="1246">
        <f>ROUND(8*E24,2)</f>
        <v>288</v>
      </c>
      <c r="F39" s="1247">
        <f>'APU''S'!B326</f>
        <v>107893</v>
      </c>
      <c r="G39" s="1247">
        <f>ROUND(E39*F39,0)</f>
        <v>31073184</v>
      </c>
      <c r="I39" s="1370">
        <f t="shared" ref="I39:I83" si="31">E39*F39*S39</f>
        <v>29633184</v>
      </c>
      <c r="J39" s="1370">
        <f t="shared" ref="J39:J83" si="32">E39*F39*U39</f>
        <v>0</v>
      </c>
      <c r="K39" s="1370">
        <f t="shared" ref="K39:K83" si="33">E39*F39*W39</f>
        <v>0</v>
      </c>
      <c r="L39" s="1370">
        <f t="shared" ref="L39:L83" si="34">E39*F39*Y39</f>
        <v>1440000</v>
      </c>
      <c r="M39" s="1370">
        <f t="shared" ref="M39:M83" si="35">E39*F39*AA39</f>
        <v>0</v>
      </c>
      <c r="N39" s="1370">
        <f t="shared" si="5"/>
        <v>31073184</v>
      </c>
      <c r="O39" s="1492"/>
      <c r="Q39" s="1365" t="str">
        <f t="shared" ref="Q39:Q83" si="36">B39</f>
        <v>6.1</v>
      </c>
      <c r="R39" s="1367">
        <f>'APU''S'!G325-AE39</f>
        <v>102893</v>
      </c>
      <c r="S39" s="1366">
        <f t="shared" si="6"/>
        <v>0.95365779058882416</v>
      </c>
      <c r="T39" s="1367">
        <v>0</v>
      </c>
      <c r="U39" s="1366">
        <f t="shared" si="1"/>
        <v>0</v>
      </c>
      <c r="V39" s="1367">
        <v>0</v>
      </c>
      <c r="W39" s="1366">
        <f t="shared" si="2"/>
        <v>0</v>
      </c>
      <c r="X39" s="1367">
        <f>'APU''S'!I325</f>
        <v>5000</v>
      </c>
      <c r="Y39" s="1366">
        <f t="shared" si="3"/>
        <v>4.6342209411175887E-2</v>
      </c>
      <c r="Z39" s="1367">
        <v>0</v>
      </c>
      <c r="AA39" s="1366">
        <f t="shared" si="4"/>
        <v>0</v>
      </c>
      <c r="AB39" s="1367">
        <f t="shared" ref="AB39:AB83" si="37">F39</f>
        <v>107893</v>
      </c>
      <c r="AD39" s="1369">
        <f t="shared" si="8"/>
        <v>0</v>
      </c>
      <c r="AE39">
        <v>-0.52499999999417923</v>
      </c>
    </row>
    <row r="40" spans="2:31" ht="15" customHeight="1">
      <c r="B40" s="1245" t="str">
        <f>'APU''S'!I328</f>
        <v>6.2</v>
      </c>
      <c r="C40" s="1260" t="str">
        <f>'APU''S'!B328</f>
        <v>S.T. Tubería PVC Alcantarillado Ø 315 mm (12")</v>
      </c>
      <c r="D40" s="1246" t="str">
        <f>'APU''S'!C333</f>
        <v>m</v>
      </c>
      <c r="E40" s="1246">
        <f ca="1">ROUND(SUMIF(ALDO!G134:G331,"284",ALDO!M134:M331),2)</f>
        <v>986.84</v>
      </c>
      <c r="F40" s="1247">
        <f>'APU''S'!B333</f>
        <v>154306</v>
      </c>
      <c r="G40" s="1247">
        <f t="shared" ref="G40:G83" ca="1" si="38">ROUND(E40*F40,0)</f>
        <v>152275333</v>
      </c>
      <c r="I40" s="1370">
        <f t="shared" ca="1" si="31"/>
        <v>146107583.03999999</v>
      </c>
      <c r="J40" s="1370">
        <f t="shared" ca="1" si="32"/>
        <v>0</v>
      </c>
      <c r="K40" s="1370">
        <f t="shared" ca="1" si="33"/>
        <v>0</v>
      </c>
      <c r="L40" s="1370">
        <f t="shared" ca="1" si="34"/>
        <v>6167750</v>
      </c>
      <c r="M40" s="1370">
        <f t="shared" ca="1" si="35"/>
        <v>0</v>
      </c>
      <c r="N40" s="1370">
        <f t="shared" ca="1" si="5"/>
        <v>152275333</v>
      </c>
      <c r="O40" s="1492"/>
      <c r="Q40" s="1365" t="str">
        <f t="shared" si="36"/>
        <v>6.2</v>
      </c>
      <c r="R40" s="1367">
        <f>'APU''S'!G332-AE40</f>
        <v>148056</v>
      </c>
      <c r="S40" s="1366">
        <f t="shared" si="6"/>
        <v>0.95949606625795503</v>
      </c>
      <c r="T40" s="1367">
        <v>0</v>
      </c>
      <c r="U40" s="1366">
        <f t="shared" si="1"/>
        <v>0</v>
      </c>
      <c r="V40" s="1367">
        <v>0</v>
      </c>
      <c r="W40" s="1366">
        <f t="shared" si="2"/>
        <v>0</v>
      </c>
      <c r="X40" s="1367">
        <f>'APU''S'!I332</f>
        <v>6250</v>
      </c>
      <c r="Y40" s="1366">
        <f t="shared" si="3"/>
        <v>4.0503933742045028E-2</v>
      </c>
      <c r="Z40" s="1367">
        <v>0</v>
      </c>
      <c r="AA40" s="1366">
        <f t="shared" si="4"/>
        <v>0</v>
      </c>
      <c r="AB40" s="1367">
        <f t="shared" si="37"/>
        <v>154306</v>
      </c>
      <c r="AD40" s="1369">
        <f t="shared" si="8"/>
        <v>0</v>
      </c>
      <c r="AE40">
        <v>-5.0000000017462298E-2</v>
      </c>
    </row>
    <row r="41" spans="2:31" ht="15" customHeight="1">
      <c r="B41" s="1245" t="str">
        <f>'APU''S'!I335</f>
        <v>6.3</v>
      </c>
      <c r="C41" s="1260" t="str">
        <f>'APU''S'!B335</f>
        <v>S.T. Tubería PVC Alcantarillado Ø 355 mm (14")</v>
      </c>
      <c r="D41" s="1246" t="str">
        <f>'APU''S'!C340</f>
        <v>m</v>
      </c>
      <c r="E41" s="1246">
        <f ca="1">ROUND(SUMIF(ALDO!G134:G331,"327",ALDO!M134:M331),2)</f>
        <v>15.39</v>
      </c>
      <c r="F41" s="1247">
        <f>'APU''S'!B340</f>
        <v>229695</v>
      </c>
      <c r="G41" s="1247">
        <f t="shared" ca="1" si="38"/>
        <v>3535006</v>
      </c>
      <c r="I41" s="1370">
        <f t="shared" ca="1" si="31"/>
        <v>3414771.6750000003</v>
      </c>
      <c r="J41" s="1370">
        <f t="shared" ca="1" si="32"/>
        <v>0</v>
      </c>
      <c r="K41" s="1370">
        <f t="shared" ca="1" si="33"/>
        <v>0</v>
      </c>
      <c r="L41" s="1370">
        <f t="shared" ca="1" si="34"/>
        <v>120234.375</v>
      </c>
      <c r="M41" s="1370">
        <f t="shared" ca="1" si="35"/>
        <v>0</v>
      </c>
      <c r="N41" s="1370">
        <f t="shared" ca="1" si="5"/>
        <v>3535006</v>
      </c>
      <c r="O41" s="1492"/>
      <c r="Q41" s="1365" t="str">
        <f t="shared" si="36"/>
        <v>6.3</v>
      </c>
      <c r="R41" s="1367">
        <f>'APU''S'!G339-AE41</f>
        <v>221882.5</v>
      </c>
      <c r="S41" s="1366">
        <f t="shared" si="6"/>
        <v>0.96598750516989917</v>
      </c>
      <c r="T41" s="1367">
        <v>0</v>
      </c>
      <c r="U41" s="1366">
        <f t="shared" si="1"/>
        <v>0</v>
      </c>
      <c r="V41" s="1367">
        <v>0</v>
      </c>
      <c r="W41" s="1366">
        <f t="shared" si="2"/>
        <v>0</v>
      </c>
      <c r="X41" s="1367">
        <f>'APU''S'!I339</f>
        <v>7812.5</v>
      </c>
      <c r="Y41" s="1366">
        <f t="shared" si="3"/>
        <v>3.4012494830100784E-2</v>
      </c>
      <c r="Z41" s="1367">
        <v>0</v>
      </c>
      <c r="AA41" s="1366">
        <f t="shared" si="4"/>
        <v>0</v>
      </c>
      <c r="AB41" s="1367">
        <f t="shared" si="37"/>
        <v>229695</v>
      </c>
      <c r="AD41" s="1369">
        <f t="shared" si="8"/>
        <v>0</v>
      </c>
      <c r="AE41">
        <v>-0.87499999997089617</v>
      </c>
    </row>
    <row r="42" spans="2:31" ht="15" customHeight="1">
      <c r="B42" s="1245" t="str">
        <f>'APU''S'!I342</f>
        <v>6.4</v>
      </c>
      <c r="C42" s="1260" t="str">
        <f>'APU''S'!B342</f>
        <v>S.T. Tubería PVC Alcantarillado Ø 400 mm (16")</v>
      </c>
      <c r="D42" s="1246" t="str">
        <f>'APU''S'!C347</f>
        <v>m</v>
      </c>
      <c r="E42" s="1246">
        <f ca="1">ROUND(SUMIF(ALDO!G134:G331,"362",ALDO!M134:M331),2)</f>
        <v>100.45</v>
      </c>
      <c r="F42" s="1247">
        <f>'APU''S'!B347</f>
        <v>283886</v>
      </c>
      <c r="G42" s="1247">
        <f t="shared" ca="1" si="38"/>
        <v>28516349</v>
      </c>
      <c r="I42" s="1370">
        <f t="shared" ca="1" si="31"/>
        <v>27260723.699999999</v>
      </c>
      <c r="J42" s="1370">
        <f t="shared" ca="1" si="32"/>
        <v>0</v>
      </c>
      <c r="K42" s="1370">
        <f t="shared" ca="1" si="33"/>
        <v>0</v>
      </c>
      <c r="L42" s="1370">
        <f t="shared" ca="1" si="34"/>
        <v>1255625</v>
      </c>
      <c r="M42" s="1370">
        <f t="shared" ca="1" si="35"/>
        <v>0</v>
      </c>
      <c r="N42" s="1370">
        <f t="shared" ca="1" si="5"/>
        <v>28516349</v>
      </c>
      <c r="O42" s="1492"/>
      <c r="Q42" s="1365" t="str">
        <f t="shared" si="36"/>
        <v>6.4</v>
      </c>
      <c r="R42" s="1367">
        <f>'APU''S'!G346-AE42</f>
        <v>271386</v>
      </c>
      <c r="S42" s="1366">
        <f t="shared" si="6"/>
        <v>0.95596824077270459</v>
      </c>
      <c r="T42" s="1367">
        <v>0</v>
      </c>
      <c r="U42" s="1366">
        <f t="shared" si="1"/>
        <v>0</v>
      </c>
      <c r="V42" s="1367">
        <v>0</v>
      </c>
      <c r="W42" s="1366">
        <f t="shared" si="2"/>
        <v>0</v>
      </c>
      <c r="X42" s="1367">
        <f>'APU''S'!I346</f>
        <v>12500</v>
      </c>
      <c r="Y42" s="1366">
        <f t="shared" si="3"/>
        <v>4.4031759227295464E-2</v>
      </c>
      <c r="Z42" s="1367">
        <v>0</v>
      </c>
      <c r="AA42" s="1366">
        <f t="shared" si="4"/>
        <v>0</v>
      </c>
      <c r="AB42" s="1367">
        <f t="shared" si="37"/>
        <v>283886</v>
      </c>
      <c r="AD42" s="1369">
        <f t="shared" si="8"/>
        <v>0</v>
      </c>
      <c r="AE42">
        <v>-0.8999999999650754</v>
      </c>
    </row>
    <row r="43" spans="2:31" ht="15" customHeight="1">
      <c r="B43" s="1245" t="str">
        <f>'APU''S'!I349</f>
        <v>6.5</v>
      </c>
      <c r="C43" s="1260" t="str">
        <f>'APU''S'!B349</f>
        <v>S.T. Tubería PVC Alcantarillado Ø 450 mm (18")</v>
      </c>
      <c r="D43" s="1246" t="str">
        <f>'APU''S'!C354</f>
        <v>m</v>
      </c>
      <c r="E43" s="1246">
        <f ca="1">ROUND(SUMIF(ALDO!G134:G331,"407",ALDO!M134:M331),2)</f>
        <v>41.52</v>
      </c>
      <c r="F43" s="1247">
        <f>'APU''S'!B354</f>
        <v>386688</v>
      </c>
      <c r="G43" s="1247">
        <f t="shared" ca="1" si="38"/>
        <v>16055286</v>
      </c>
      <c r="I43" s="1370">
        <f t="shared" ca="1" si="31"/>
        <v>15478619.093333336</v>
      </c>
      <c r="J43" s="1370">
        <f t="shared" ca="1" si="32"/>
        <v>0</v>
      </c>
      <c r="K43" s="1370">
        <f t="shared" ca="1" si="33"/>
        <v>0</v>
      </c>
      <c r="L43" s="1370">
        <f t="shared" ca="1" si="34"/>
        <v>576666.66666666674</v>
      </c>
      <c r="M43" s="1370">
        <f t="shared" ca="1" si="35"/>
        <v>0</v>
      </c>
      <c r="N43" s="1370">
        <f t="shared" ca="1" si="5"/>
        <v>16055286</v>
      </c>
      <c r="O43" s="1492"/>
      <c r="Q43" s="1365" t="str">
        <f t="shared" si="36"/>
        <v>6.5</v>
      </c>
      <c r="R43" s="1367">
        <f>'APU''S'!G353-AE43</f>
        <v>372799.11111111112</v>
      </c>
      <c r="S43" s="1366">
        <f t="shared" si="6"/>
        <v>0.96408244142851895</v>
      </c>
      <c r="T43" s="1367">
        <v>0</v>
      </c>
      <c r="U43" s="1366">
        <f t="shared" si="1"/>
        <v>0</v>
      </c>
      <c r="V43" s="1367">
        <v>0</v>
      </c>
      <c r="W43" s="1366">
        <f t="shared" si="2"/>
        <v>0</v>
      </c>
      <c r="X43" s="1367">
        <f>'APU''S'!I353</f>
        <v>13888.888888888889</v>
      </c>
      <c r="Y43" s="1366">
        <f t="shared" si="3"/>
        <v>3.5917558571481115E-2</v>
      </c>
      <c r="Z43" s="1367">
        <v>0</v>
      </c>
      <c r="AA43" s="1366">
        <f t="shared" si="4"/>
        <v>0</v>
      </c>
      <c r="AB43" s="1367">
        <f t="shared" si="37"/>
        <v>386688</v>
      </c>
      <c r="AD43" s="1369">
        <f t="shared" si="8"/>
        <v>0</v>
      </c>
      <c r="AE43">
        <v>-0.98611111112404615</v>
      </c>
    </row>
    <row r="44" spans="2:31" ht="15" customHeight="1">
      <c r="B44" s="1245" t="str">
        <f>'APU''S'!I356</f>
        <v>6.6</v>
      </c>
      <c r="C44" s="1260" t="str">
        <f>'APU''S'!B356</f>
        <v>S.T. Tubería PVC Alcantarillado Ø500 mm (20")</v>
      </c>
      <c r="D44" s="1246" t="str">
        <f>'APU''S'!C361</f>
        <v>m</v>
      </c>
      <c r="E44" s="1246">
        <f ca="1">ROUND(SUMIF(ALDO!G134:G331,"452",ALDO!M134:M331),2)</f>
        <v>99.7</v>
      </c>
      <c r="F44" s="1247">
        <f>'APU''S'!B361</f>
        <v>472566</v>
      </c>
      <c r="G44" s="1247">
        <f t="shared" ca="1" si="38"/>
        <v>47114830</v>
      </c>
      <c r="I44" s="1370">
        <f t="shared" ca="1" si="31"/>
        <v>45557017.700000003</v>
      </c>
      <c r="J44" s="1370">
        <f t="shared" ca="1" si="32"/>
        <v>0</v>
      </c>
      <c r="K44" s="1370">
        <f t="shared" ca="1" si="33"/>
        <v>0</v>
      </c>
      <c r="L44" s="1370">
        <f t="shared" ca="1" si="34"/>
        <v>1557812.5000000002</v>
      </c>
      <c r="M44" s="1370">
        <f t="shared" ca="1" si="35"/>
        <v>0</v>
      </c>
      <c r="N44" s="1370">
        <f t="shared" ca="1" si="5"/>
        <v>47114830</v>
      </c>
      <c r="O44" s="1492"/>
      <c r="Q44" s="1365" t="str">
        <f t="shared" si="36"/>
        <v>6.6</v>
      </c>
      <c r="R44" s="1367">
        <f>'APU''S'!G360-AE44</f>
        <v>456941</v>
      </c>
      <c r="S44" s="1366">
        <f t="shared" si="6"/>
        <v>0.96693583541769823</v>
      </c>
      <c r="T44" s="1367">
        <v>0</v>
      </c>
      <c r="U44" s="1366">
        <f t="shared" si="1"/>
        <v>0</v>
      </c>
      <c r="V44" s="1367">
        <v>0</v>
      </c>
      <c r="W44" s="1366">
        <f t="shared" si="2"/>
        <v>0</v>
      </c>
      <c r="X44" s="1367">
        <f>'APU''S'!I360</f>
        <v>15625</v>
      </c>
      <c r="Y44" s="1366">
        <f t="shared" si="3"/>
        <v>3.3064164582301735E-2</v>
      </c>
      <c r="Z44" s="1367">
        <v>0</v>
      </c>
      <c r="AA44" s="1366">
        <f t="shared" si="4"/>
        <v>0</v>
      </c>
      <c r="AB44" s="1367">
        <f t="shared" si="37"/>
        <v>472566</v>
      </c>
      <c r="AD44" s="1369">
        <f t="shared" si="8"/>
        <v>0</v>
      </c>
      <c r="AE44">
        <v>-0.59999999997671694</v>
      </c>
    </row>
    <row r="45" spans="2:31" ht="15" customHeight="1">
      <c r="B45" s="1245" t="str">
        <f>'APU''S'!I363</f>
        <v>6.7</v>
      </c>
      <c r="C45" s="1260" t="str">
        <f>'APU''S'!B363</f>
        <v>S.T. de Tubería PVC Alcantarillado Ø 150 mm (6")</v>
      </c>
      <c r="D45" s="1246" t="str">
        <f>'APU''S'!C368</f>
        <v>m</v>
      </c>
      <c r="E45" s="1246">
        <f>ROUND(6*E23,2)</f>
        <v>1896</v>
      </c>
      <c r="F45" s="1247">
        <f>'APU''S'!B368</f>
        <v>50507</v>
      </c>
      <c r="G45" s="1247">
        <f t="shared" si="38"/>
        <v>95761272</v>
      </c>
      <c r="I45" s="1370">
        <f t="shared" si="31"/>
        <v>88989843.428571418</v>
      </c>
      <c r="J45" s="1370">
        <f t="shared" si="32"/>
        <v>0</v>
      </c>
      <c r="K45" s="1370">
        <f t="shared" si="33"/>
        <v>0</v>
      </c>
      <c r="L45" s="1370">
        <f t="shared" si="34"/>
        <v>6771428.5714285718</v>
      </c>
      <c r="M45" s="1370">
        <f t="shared" si="35"/>
        <v>0</v>
      </c>
      <c r="N45" s="1370">
        <f t="shared" si="5"/>
        <v>95761272</v>
      </c>
      <c r="O45" s="1492"/>
      <c r="Q45" s="1365" t="str">
        <f t="shared" si="36"/>
        <v>6.7</v>
      </c>
      <c r="R45" s="1367">
        <f>'APU''S'!G367-AE45</f>
        <v>46935.571428571428</v>
      </c>
      <c r="S45" s="1366">
        <f t="shared" si="6"/>
        <v>0.92928844375178543</v>
      </c>
      <c r="T45" s="1367">
        <v>0</v>
      </c>
      <c r="U45" s="1366">
        <f t="shared" si="1"/>
        <v>0</v>
      </c>
      <c r="V45" s="1367">
        <v>0</v>
      </c>
      <c r="W45" s="1366">
        <f t="shared" si="2"/>
        <v>0</v>
      </c>
      <c r="X45" s="1367">
        <f>'APU''S'!I367</f>
        <v>3571.4285714285716</v>
      </c>
      <c r="Y45" s="1366">
        <f t="shared" si="3"/>
        <v>7.0711556248214541E-2</v>
      </c>
      <c r="Z45" s="1367">
        <v>0</v>
      </c>
      <c r="AA45" s="1366">
        <f t="shared" si="4"/>
        <v>0</v>
      </c>
      <c r="AB45" s="1367">
        <f t="shared" si="37"/>
        <v>50507</v>
      </c>
      <c r="AD45" s="1369">
        <f t="shared" si="8"/>
        <v>0</v>
      </c>
      <c r="AE45">
        <v>-0.90476190476329066</v>
      </c>
    </row>
    <row r="46" spans="2:31" ht="15" customHeight="1">
      <c r="B46" s="1245" t="str">
        <f>'APU''S'!I370</f>
        <v>6.8</v>
      </c>
      <c r="C46" s="1260" t="str">
        <f>'APU''S'!B370</f>
        <v>S.T. Silla Yee PVC Alcantarillado  de 315 mm (12") x 160 mm</v>
      </c>
      <c r="D46" s="1246" t="str">
        <f>'APU''S'!C375</f>
        <v>und</v>
      </c>
      <c r="E46" s="1246">
        <f ca="1">ROUND(ALDO!DW503,2)</f>
        <v>253</v>
      </c>
      <c r="F46" s="1247">
        <f>'APU''S'!B375</f>
        <v>339719</v>
      </c>
      <c r="G46" s="1247">
        <f t="shared" ca="1" si="38"/>
        <v>85948907</v>
      </c>
      <c r="I46" s="1370">
        <f t="shared" ca="1" si="31"/>
        <v>85189907</v>
      </c>
      <c r="J46" s="1370">
        <f t="shared" ca="1" si="32"/>
        <v>0</v>
      </c>
      <c r="K46" s="1370">
        <f t="shared" ca="1" si="33"/>
        <v>0</v>
      </c>
      <c r="L46" s="1370">
        <f t="shared" ca="1" si="34"/>
        <v>759000</v>
      </c>
      <c r="M46" s="1370">
        <f t="shared" ca="1" si="35"/>
        <v>0</v>
      </c>
      <c r="N46" s="1370">
        <f t="shared" ca="1" si="5"/>
        <v>85948907</v>
      </c>
      <c r="O46" s="1492"/>
      <c r="Q46" s="1365" t="str">
        <f t="shared" si="36"/>
        <v>6.8</v>
      </c>
      <c r="R46" s="1367">
        <f>'APU''S'!G374</f>
        <v>336719</v>
      </c>
      <c r="S46" s="1366">
        <f t="shared" si="6"/>
        <v>0.99116917216876299</v>
      </c>
      <c r="T46" s="1367">
        <v>0</v>
      </c>
      <c r="U46" s="1366">
        <f t="shared" si="1"/>
        <v>0</v>
      </c>
      <c r="V46" s="1367">
        <v>0</v>
      </c>
      <c r="W46" s="1366">
        <f t="shared" si="2"/>
        <v>0</v>
      </c>
      <c r="X46" s="1367">
        <f>'APU''S'!I374</f>
        <v>3000</v>
      </c>
      <c r="Y46" s="1366">
        <f t="shared" si="3"/>
        <v>8.8308278312369936E-3</v>
      </c>
      <c r="Z46" s="1367">
        <v>0</v>
      </c>
      <c r="AA46" s="1366">
        <f t="shared" si="4"/>
        <v>0</v>
      </c>
      <c r="AB46" s="1367">
        <f t="shared" si="37"/>
        <v>339719</v>
      </c>
      <c r="AD46" s="1369">
        <f t="shared" si="8"/>
        <v>0</v>
      </c>
      <c r="AE46">
        <v>0</v>
      </c>
    </row>
    <row r="47" spans="2:31" ht="15" customHeight="1">
      <c r="B47" s="1245" t="str">
        <f>'APU''S'!I377</f>
        <v>6.9</v>
      </c>
      <c r="C47" s="1260" t="str">
        <f>'APU''S'!B377</f>
        <v>S.T. Silla Yee PVC Alcantarillado  de 355 mm (14") x 160 mm</v>
      </c>
      <c r="D47" s="1246" t="str">
        <f>'APU''S'!C384</f>
        <v>und</v>
      </c>
      <c r="E47" s="1246">
        <f ca="1">ROUND(ALDO!DX503,2)</f>
        <v>1</v>
      </c>
      <c r="F47" s="1247">
        <f>'APU''S'!B384</f>
        <v>444344</v>
      </c>
      <c r="G47" s="1247">
        <f t="shared" ca="1" si="38"/>
        <v>444344</v>
      </c>
      <c r="I47" s="1370">
        <f t="shared" ca="1" si="31"/>
        <v>440594</v>
      </c>
      <c r="J47" s="1370">
        <f t="shared" ca="1" si="32"/>
        <v>0</v>
      </c>
      <c r="K47" s="1370">
        <f t="shared" ca="1" si="33"/>
        <v>0</v>
      </c>
      <c r="L47" s="1370">
        <f t="shared" ca="1" si="34"/>
        <v>3750.0000000000005</v>
      </c>
      <c r="M47" s="1370">
        <f t="shared" ca="1" si="35"/>
        <v>0</v>
      </c>
      <c r="N47" s="1370">
        <f t="shared" ca="1" si="5"/>
        <v>444344</v>
      </c>
      <c r="O47" s="1492"/>
      <c r="Q47" s="1365" t="str">
        <f t="shared" si="36"/>
        <v>6.9</v>
      </c>
      <c r="R47" s="1367">
        <f>'APU''S'!G383</f>
        <v>440594</v>
      </c>
      <c r="S47" s="1366">
        <f t="shared" si="6"/>
        <v>0.99156059269394881</v>
      </c>
      <c r="T47" s="1367">
        <v>0</v>
      </c>
      <c r="U47" s="1366">
        <f t="shared" si="1"/>
        <v>0</v>
      </c>
      <c r="V47" s="1367">
        <v>0</v>
      </c>
      <c r="W47" s="1366">
        <f t="shared" si="2"/>
        <v>0</v>
      </c>
      <c r="X47" s="1367">
        <f>'APU''S'!I383</f>
        <v>3750</v>
      </c>
      <c r="Y47" s="1366">
        <f t="shared" si="3"/>
        <v>8.4394073060511682E-3</v>
      </c>
      <c r="Z47" s="1367">
        <v>0</v>
      </c>
      <c r="AA47" s="1366">
        <f t="shared" si="4"/>
        <v>0</v>
      </c>
      <c r="AB47" s="1367">
        <f t="shared" si="37"/>
        <v>444344</v>
      </c>
      <c r="AD47" s="1369">
        <f t="shared" si="8"/>
        <v>0</v>
      </c>
      <c r="AE47">
        <v>0</v>
      </c>
    </row>
    <row r="48" spans="2:31" ht="15" customHeight="1">
      <c r="B48" s="1245" t="str">
        <f>'APU''S'!I386</f>
        <v>6.10</v>
      </c>
      <c r="C48" s="1260" t="str">
        <f>'APU''S'!B386</f>
        <v>S.T. Silla Yee PVC Alcantarillado  de 400 mm (16") x 160 mm</v>
      </c>
      <c r="D48" s="1246" t="str">
        <f>'APU''S'!C393</f>
        <v>und</v>
      </c>
      <c r="E48" s="1246">
        <f ca="1">ROUND(ALDO!DY503,2)</f>
        <v>25</v>
      </c>
      <c r="F48" s="1247">
        <f>'APU''S'!B393</f>
        <v>477631</v>
      </c>
      <c r="G48" s="1247">
        <f t="shared" ca="1" si="38"/>
        <v>11940775</v>
      </c>
      <c r="I48" s="1370">
        <f t="shared" ca="1" si="31"/>
        <v>11840775</v>
      </c>
      <c r="J48" s="1370">
        <f t="shared" ca="1" si="32"/>
        <v>0</v>
      </c>
      <c r="K48" s="1370">
        <f t="shared" ca="1" si="33"/>
        <v>0</v>
      </c>
      <c r="L48" s="1370">
        <f t="shared" ca="1" si="34"/>
        <v>99999.999999999985</v>
      </c>
      <c r="M48" s="1370">
        <f t="shared" ca="1" si="35"/>
        <v>0</v>
      </c>
      <c r="N48" s="1370">
        <f t="shared" ca="1" si="5"/>
        <v>11940775</v>
      </c>
      <c r="O48" s="1492"/>
      <c r="Q48" s="1365" t="str">
        <f t="shared" si="36"/>
        <v>6.10</v>
      </c>
      <c r="R48" s="1367">
        <f>'APU''S'!G392</f>
        <v>473631</v>
      </c>
      <c r="S48" s="1366">
        <f t="shared" si="6"/>
        <v>0.991625334201507</v>
      </c>
      <c r="T48" s="1367">
        <v>0</v>
      </c>
      <c r="U48" s="1366">
        <f t="shared" si="1"/>
        <v>0</v>
      </c>
      <c r="V48" s="1367">
        <v>0</v>
      </c>
      <c r="W48" s="1366">
        <f t="shared" si="2"/>
        <v>0</v>
      </c>
      <c r="X48" s="1367">
        <f>'APU''S'!I392</f>
        <v>4000</v>
      </c>
      <c r="Y48" s="1366">
        <f t="shared" si="3"/>
        <v>8.3746657984929782E-3</v>
      </c>
      <c r="Z48" s="1367">
        <v>0</v>
      </c>
      <c r="AA48" s="1366">
        <f t="shared" si="4"/>
        <v>0</v>
      </c>
      <c r="AB48" s="1367">
        <f t="shared" si="37"/>
        <v>477631</v>
      </c>
      <c r="AD48" s="1369">
        <f t="shared" si="8"/>
        <v>0</v>
      </c>
      <c r="AE48">
        <v>0</v>
      </c>
    </row>
    <row r="49" spans="2:31" ht="15" customHeight="1">
      <c r="B49" s="1245" t="str">
        <f>'APU''S'!I395</f>
        <v>6.11</v>
      </c>
      <c r="C49" s="1260" t="str">
        <f>'APU''S'!B395</f>
        <v>S.T. Silla Yee PVC Alcantarillado  de 450 mm (18") x 160 mm</v>
      </c>
      <c r="D49" s="1246" t="str">
        <f>'APU''S'!C402</f>
        <v>und</v>
      </c>
      <c r="E49" s="1246">
        <f ca="1">ROUND(ALDO!DZ503,2)</f>
        <v>18</v>
      </c>
      <c r="F49" s="1247">
        <f>'APU''S'!B402</f>
        <v>504059</v>
      </c>
      <c r="G49" s="1247">
        <f t="shared" ca="1" si="38"/>
        <v>9073062</v>
      </c>
      <c r="I49" s="1370">
        <f t="shared" ca="1" si="31"/>
        <v>8995919.1428571437</v>
      </c>
      <c r="J49" s="1370">
        <f t="shared" ca="1" si="32"/>
        <v>0</v>
      </c>
      <c r="K49" s="1370">
        <f t="shared" ca="1" si="33"/>
        <v>0</v>
      </c>
      <c r="L49" s="1370">
        <f t="shared" ca="1" si="34"/>
        <v>77142.85714285713</v>
      </c>
      <c r="M49" s="1370">
        <f t="shared" ca="1" si="35"/>
        <v>0</v>
      </c>
      <c r="N49" s="1370">
        <f t="shared" ca="1" si="5"/>
        <v>9073062</v>
      </c>
      <c r="O49" s="1492"/>
      <c r="Q49" s="1365" t="str">
        <f t="shared" si="36"/>
        <v>6.11</v>
      </c>
      <c r="R49" s="1367">
        <f>'APU''S'!G401-AE49</f>
        <v>499773.28571428574</v>
      </c>
      <c r="S49" s="1366">
        <f t="shared" si="6"/>
        <v>0.99149759396079773</v>
      </c>
      <c r="T49" s="1367">
        <v>0</v>
      </c>
      <c r="U49" s="1366">
        <f t="shared" si="1"/>
        <v>0</v>
      </c>
      <c r="V49" s="1367">
        <v>0</v>
      </c>
      <c r="W49" s="1366">
        <f t="shared" si="2"/>
        <v>0</v>
      </c>
      <c r="X49" s="1367">
        <f>'APU''S'!I401</f>
        <v>4285.7142857142853</v>
      </c>
      <c r="Y49" s="1366">
        <f t="shared" si="3"/>
        <v>8.502406039202326E-3</v>
      </c>
      <c r="Z49" s="1367">
        <v>0</v>
      </c>
      <c r="AA49" s="1366">
        <f t="shared" si="4"/>
        <v>0</v>
      </c>
      <c r="AB49" s="1367">
        <f t="shared" si="37"/>
        <v>504059</v>
      </c>
      <c r="AD49" s="1369">
        <f t="shared" si="8"/>
        <v>0</v>
      </c>
      <c r="AE49">
        <v>-0.28571428573923185</v>
      </c>
    </row>
    <row r="50" spans="2:31" ht="15" customHeight="1">
      <c r="B50" s="1245" t="str">
        <f>'APU''S'!I404</f>
        <v>6.12</v>
      </c>
      <c r="C50" s="1260" t="str">
        <f>'APU''S'!B404</f>
        <v>S.T. Silla Yee PVC Alcantarillado  de 500 mm (20") x 160 mm</v>
      </c>
      <c r="D50" s="1246" t="str">
        <f>'APU''S'!C411</f>
        <v>und</v>
      </c>
      <c r="E50" s="1246">
        <f ca="1">ROUND(ALDO!EA503,2)</f>
        <v>19</v>
      </c>
      <c r="F50" s="1247">
        <f>'APU''S'!B411</f>
        <v>715454</v>
      </c>
      <c r="G50" s="1247">
        <f t="shared" ca="1" si="38"/>
        <v>13593626</v>
      </c>
      <c r="I50" s="1370">
        <f t="shared" ca="1" si="31"/>
        <v>13505933.692307692</v>
      </c>
      <c r="J50" s="1370">
        <f t="shared" ca="1" si="32"/>
        <v>0</v>
      </c>
      <c r="K50" s="1370">
        <f t="shared" ca="1" si="33"/>
        <v>0</v>
      </c>
      <c r="L50" s="1370">
        <f t="shared" ca="1" si="34"/>
        <v>87692.307692307688</v>
      </c>
      <c r="M50" s="1370">
        <f t="shared" ca="1" si="35"/>
        <v>0</v>
      </c>
      <c r="N50" s="1370">
        <f t="shared" ca="1" si="5"/>
        <v>13593626</v>
      </c>
      <c r="O50" s="1492"/>
      <c r="Q50" s="1365" t="str">
        <f t="shared" si="36"/>
        <v>6.12</v>
      </c>
      <c r="R50" s="1367">
        <f>'APU''S'!G410-AE50</f>
        <v>710838.61538461538</v>
      </c>
      <c r="S50" s="1366">
        <f t="shared" si="6"/>
        <v>0.99354901277316976</v>
      </c>
      <c r="T50" s="1367">
        <v>0</v>
      </c>
      <c r="U50" s="1366">
        <f t="shared" si="1"/>
        <v>0</v>
      </c>
      <c r="V50" s="1367">
        <v>0</v>
      </c>
      <c r="W50" s="1366">
        <f t="shared" si="2"/>
        <v>0</v>
      </c>
      <c r="X50" s="1367">
        <f>'APU''S'!I410</f>
        <v>4615.3846153846152</v>
      </c>
      <c r="Y50" s="1366">
        <f t="shared" si="3"/>
        <v>6.4509872268302577E-3</v>
      </c>
      <c r="Z50" s="1367">
        <v>0</v>
      </c>
      <c r="AA50" s="1366">
        <f t="shared" si="4"/>
        <v>0</v>
      </c>
      <c r="AB50" s="1367">
        <f t="shared" si="37"/>
        <v>715454</v>
      </c>
      <c r="AD50" s="1369">
        <f t="shared" si="8"/>
        <v>0</v>
      </c>
      <c r="AE50">
        <v>-0.61538461537566036</v>
      </c>
    </row>
    <row r="51" spans="2:31" ht="15" customHeight="1">
      <c r="B51" s="1245" t="str">
        <f>'APU''S'!I413</f>
        <v>6.13</v>
      </c>
      <c r="C51" s="1260" t="str">
        <f>'APU''S'!B413</f>
        <v xml:space="preserve">S.T. Tubería PVC Unión Mecanica RDE 21 de Ø 3" (80,42 mm) </v>
      </c>
      <c r="D51" s="1246" t="str">
        <f>'APU''S'!C418</f>
        <v>m</v>
      </c>
      <c r="E51" s="1246">
        <f>ROUND(SUMIF(ACTO!F7:F43,"80,42",ACTO!L7:L43),2)</f>
        <v>324.72000000000003</v>
      </c>
      <c r="F51" s="1247">
        <f>'APU''S'!B418</f>
        <v>50329</v>
      </c>
      <c r="G51" s="1247">
        <f t="shared" si="38"/>
        <v>16342833</v>
      </c>
      <c r="I51" s="1370">
        <f t="shared" si="31"/>
        <v>15183118.594285714</v>
      </c>
      <c r="J51" s="1370">
        <f t="shared" si="32"/>
        <v>0</v>
      </c>
      <c r="K51" s="1370">
        <f t="shared" si="33"/>
        <v>0</v>
      </c>
      <c r="L51" s="1370">
        <f t="shared" si="34"/>
        <v>1159714.2857142859</v>
      </c>
      <c r="M51" s="1370">
        <f t="shared" si="35"/>
        <v>0</v>
      </c>
      <c r="N51" s="1370">
        <f t="shared" si="5"/>
        <v>16342833</v>
      </c>
      <c r="O51" s="1492"/>
      <c r="Q51" s="1365" t="str">
        <f t="shared" si="36"/>
        <v>6.13</v>
      </c>
      <c r="R51" s="1367">
        <f>'APU''S'!G417-AE51</f>
        <v>46757.571428571428</v>
      </c>
      <c r="S51" s="1366">
        <f t="shared" si="6"/>
        <v>0.92903835618771335</v>
      </c>
      <c r="T51" s="1367">
        <v>0</v>
      </c>
      <c r="U51" s="1366">
        <f t="shared" si="1"/>
        <v>0</v>
      </c>
      <c r="V51" s="1367">
        <v>0</v>
      </c>
      <c r="W51" s="1366">
        <f t="shared" si="2"/>
        <v>0</v>
      </c>
      <c r="X51" s="1367">
        <f>'APU''S'!I417</f>
        <v>3571.4285714285716</v>
      </c>
      <c r="Y51" s="1366">
        <f t="shared" si="3"/>
        <v>7.096164381228659E-2</v>
      </c>
      <c r="Z51" s="1367">
        <v>0</v>
      </c>
      <c r="AA51" s="1366">
        <f t="shared" si="4"/>
        <v>0</v>
      </c>
      <c r="AB51" s="1367">
        <f t="shared" si="37"/>
        <v>50329</v>
      </c>
      <c r="AD51" s="1369">
        <f t="shared" si="8"/>
        <v>0</v>
      </c>
      <c r="AE51">
        <v>-0.40476190476329066</v>
      </c>
    </row>
    <row r="52" spans="2:31" ht="15" customHeight="1">
      <c r="B52" s="1245" t="str">
        <f>'APU''S'!I420</f>
        <v>6.14</v>
      </c>
      <c r="C52" s="1260" t="str">
        <f>'APU''S'!B420</f>
        <v xml:space="preserve">S.T. Tubería PVC Unión Mecanica RDE 21 de Ø 4" (103,42 mm) </v>
      </c>
      <c r="D52" s="1246" t="str">
        <f>'APU''S'!C425</f>
        <v>m</v>
      </c>
      <c r="E52" s="1246">
        <f>ROUND(SUMIF(ACTO!F7:F43,"103,42",ACTO!L7:L43),2)</f>
        <v>102.51</v>
      </c>
      <c r="F52" s="1247">
        <f>'APU''S'!B425</f>
        <v>62646</v>
      </c>
      <c r="G52" s="1247">
        <f t="shared" si="38"/>
        <v>6421841</v>
      </c>
      <c r="I52" s="1370">
        <f t="shared" si="31"/>
        <v>6055734.3171428563</v>
      </c>
      <c r="J52" s="1370">
        <f t="shared" si="32"/>
        <v>0</v>
      </c>
      <c r="K52" s="1370">
        <f t="shared" si="33"/>
        <v>0</v>
      </c>
      <c r="L52" s="1370">
        <f t="shared" si="34"/>
        <v>366107.14285714284</v>
      </c>
      <c r="M52" s="1370">
        <f t="shared" si="35"/>
        <v>0</v>
      </c>
      <c r="N52" s="1370">
        <f t="shared" si="5"/>
        <v>6421841</v>
      </c>
      <c r="O52" s="1492"/>
      <c r="Q52" s="1365" t="str">
        <f t="shared" si="36"/>
        <v>6.14</v>
      </c>
      <c r="R52" s="1367">
        <f>'APU''S'!G424-AE52</f>
        <v>59074.571428571428</v>
      </c>
      <c r="S52" s="1366">
        <f t="shared" si="6"/>
        <v>0.94299031747551998</v>
      </c>
      <c r="T52" s="1367">
        <v>0</v>
      </c>
      <c r="U52" s="1366">
        <f t="shared" si="1"/>
        <v>0</v>
      </c>
      <c r="V52" s="1367">
        <v>0</v>
      </c>
      <c r="W52" s="1366">
        <f t="shared" si="2"/>
        <v>0</v>
      </c>
      <c r="X52" s="1367">
        <f>'APU''S'!I424</f>
        <v>3571.4285714285716</v>
      </c>
      <c r="Y52" s="1366">
        <f t="shared" si="3"/>
        <v>5.7009682524479958E-2</v>
      </c>
      <c r="Z52" s="1367">
        <v>0</v>
      </c>
      <c r="AA52" s="1366">
        <f t="shared" si="4"/>
        <v>0</v>
      </c>
      <c r="AB52" s="1367">
        <f t="shared" si="37"/>
        <v>62646</v>
      </c>
      <c r="AD52" s="1369">
        <f t="shared" si="8"/>
        <v>0</v>
      </c>
      <c r="AE52">
        <v>-0.90476190476329066</v>
      </c>
    </row>
    <row r="53" spans="2:31" ht="15" customHeight="1">
      <c r="B53" s="1245" t="str">
        <f>'APU''S'!I427</f>
        <v>6.15</v>
      </c>
      <c r="C53" s="1260" t="str">
        <f>'APU''S'!B427</f>
        <v>S.T. Tubería PVC Unión Mecanica RDE 21 de Ø 6" (152,22 mm)</v>
      </c>
      <c r="D53" s="1246" t="str">
        <f>'APU''S'!C432</f>
        <v>m</v>
      </c>
      <c r="E53" s="1246">
        <f>ROUND(SUMIF(ACTO!F7:F43,"152,22",ACTO!L7:L43),2)</f>
        <v>351.12</v>
      </c>
      <c r="F53" s="1247">
        <f>'APU''S'!B432</f>
        <v>124938</v>
      </c>
      <c r="G53" s="1247">
        <f t="shared" si="38"/>
        <v>43868231</v>
      </c>
      <c r="I53" s="1370">
        <f t="shared" si="31"/>
        <v>42614230.560000002</v>
      </c>
      <c r="J53" s="1370">
        <f t="shared" si="32"/>
        <v>0</v>
      </c>
      <c r="K53" s="1370">
        <f t="shared" si="33"/>
        <v>0</v>
      </c>
      <c r="L53" s="1370">
        <f t="shared" si="34"/>
        <v>1254000</v>
      </c>
      <c r="M53" s="1370">
        <f t="shared" si="35"/>
        <v>0</v>
      </c>
      <c r="N53" s="1370">
        <f t="shared" si="5"/>
        <v>43868231</v>
      </c>
      <c r="O53" s="1492"/>
      <c r="Q53" s="1365" t="str">
        <f t="shared" si="36"/>
        <v>6.15</v>
      </c>
      <c r="R53" s="1367">
        <f>'APU''S'!G431-AE53</f>
        <v>121366.57142857143</v>
      </c>
      <c r="S53" s="1366">
        <f t="shared" si="6"/>
        <v>0.97141439296748333</v>
      </c>
      <c r="T53" s="1367">
        <v>0</v>
      </c>
      <c r="U53" s="1366">
        <f t="shared" si="1"/>
        <v>0</v>
      </c>
      <c r="V53" s="1367">
        <v>0</v>
      </c>
      <c r="W53" s="1366">
        <f t="shared" si="2"/>
        <v>0</v>
      </c>
      <c r="X53" s="1367">
        <f>'APU''S'!I431</f>
        <v>3571.4285714285716</v>
      </c>
      <c r="Y53" s="1366">
        <f t="shared" si="3"/>
        <v>2.85856070325167E-2</v>
      </c>
      <c r="Z53" s="1367">
        <v>0</v>
      </c>
      <c r="AA53" s="1366">
        <f t="shared" si="4"/>
        <v>0</v>
      </c>
      <c r="AB53" s="1367">
        <f t="shared" si="37"/>
        <v>124938</v>
      </c>
      <c r="AD53" s="1369">
        <f t="shared" si="8"/>
        <v>0</v>
      </c>
      <c r="AE53">
        <v>-7.1428571434807964E-2</v>
      </c>
    </row>
    <row r="54" spans="2:31" ht="15" customHeight="1">
      <c r="B54" s="1245" t="str">
        <f>'APU''S'!I434</f>
        <v>6.16</v>
      </c>
      <c r="C54" s="1260" t="str">
        <f>'APU''S'!B434</f>
        <v>S.T. Tubería PVC Unión Mecanica RDE 21 de Ø 8" (198,21 mm)</v>
      </c>
      <c r="D54" s="1246" t="str">
        <f>'APU''S'!C439</f>
        <v>m</v>
      </c>
      <c r="E54" s="1246">
        <f>ROUND(SUMIF(ACTO!F7:F43,"198,21",ACTO!L7:L43)-ACTO!L39,2)</f>
        <v>497.26</v>
      </c>
      <c r="F54" s="1247">
        <f>'APU''S'!B439</f>
        <v>209747</v>
      </c>
      <c r="G54" s="1247">
        <f t="shared" si="38"/>
        <v>104298793</v>
      </c>
      <c r="I54" s="1370">
        <f t="shared" si="31"/>
        <v>102226876.55333333</v>
      </c>
      <c r="J54" s="1370">
        <f t="shared" si="32"/>
        <v>0</v>
      </c>
      <c r="K54" s="1370">
        <f t="shared" si="33"/>
        <v>0</v>
      </c>
      <c r="L54" s="1370">
        <f t="shared" si="34"/>
        <v>2071916.6666666667</v>
      </c>
      <c r="M54" s="1370">
        <f t="shared" si="35"/>
        <v>0</v>
      </c>
      <c r="N54" s="1370">
        <f t="shared" si="5"/>
        <v>104298793</v>
      </c>
      <c r="O54" s="1492"/>
      <c r="Q54" s="1365" t="str">
        <f t="shared" si="36"/>
        <v>6.16</v>
      </c>
      <c r="R54" s="1367">
        <f>'APU''S'!G438</f>
        <v>205580.33333333334</v>
      </c>
      <c r="S54" s="1366">
        <f t="shared" si="6"/>
        <v>0.98013479731931008</v>
      </c>
      <c r="T54" s="1367">
        <v>0</v>
      </c>
      <c r="U54" s="1366">
        <f t="shared" si="1"/>
        <v>0</v>
      </c>
      <c r="V54" s="1367">
        <v>0</v>
      </c>
      <c r="W54" s="1366">
        <f t="shared" si="2"/>
        <v>0</v>
      </c>
      <c r="X54" s="1367">
        <f>'APU''S'!I438</f>
        <v>4166.666666666667</v>
      </c>
      <c r="Y54" s="1366">
        <f t="shared" si="3"/>
        <v>1.9865202680689913E-2</v>
      </c>
      <c r="Z54" s="1367">
        <v>0</v>
      </c>
      <c r="AA54" s="1366">
        <f t="shared" si="4"/>
        <v>0</v>
      </c>
      <c r="AB54" s="1367">
        <f t="shared" si="37"/>
        <v>209747</v>
      </c>
      <c r="AD54" s="1369">
        <f t="shared" si="8"/>
        <v>0</v>
      </c>
      <c r="AE54">
        <v>0</v>
      </c>
    </row>
    <row r="55" spans="2:31" ht="15" customHeight="1">
      <c r="B55" s="1245" t="str">
        <f>'APU''S'!I441</f>
        <v>6.17</v>
      </c>
      <c r="C55" s="1260" t="str">
        <f>'APU''S'!B441</f>
        <v>S.T. de TEE Ø8" HD JUNTA RÁPIDA</v>
      </c>
      <c r="D55" s="1246" t="str">
        <f>'APU''S'!C446</f>
        <v>und</v>
      </c>
      <c r="E55" s="1246">
        <f>ROUND('ACCESORIOS, ETC'!D7,2)</f>
        <v>1</v>
      </c>
      <c r="F55" s="1247">
        <f>'APU''S'!B446</f>
        <v>1519650</v>
      </c>
      <c r="G55" s="1247">
        <f t="shared" si="38"/>
        <v>1519650</v>
      </c>
      <c r="I55" s="1370">
        <f t="shared" si="31"/>
        <v>1469650</v>
      </c>
      <c r="J55" s="1370">
        <f t="shared" si="32"/>
        <v>0</v>
      </c>
      <c r="K55" s="1370">
        <f t="shared" si="33"/>
        <v>0</v>
      </c>
      <c r="L55" s="1370">
        <f t="shared" si="34"/>
        <v>50000</v>
      </c>
      <c r="M55" s="1370">
        <f t="shared" si="35"/>
        <v>0</v>
      </c>
      <c r="N55" s="1370">
        <f t="shared" si="5"/>
        <v>1519650</v>
      </c>
      <c r="O55" s="1492"/>
      <c r="Q55" s="1365" t="str">
        <f t="shared" si="36"/>
        <v>6.17</v>
      </c>
      <c r="R55" s="1367">
        <f>'APU''S'!G445</f>
        <v>1469650</v>
      </c>
      <c r="S55" s="1366">
        <f t="shared" si="6"/>
        <v>0.96709768696739384</v>
      </c>
      <c r="T55" s="1367">
        <v>0</v>
      </c>
      <c r="U55" s="1366">
        <f t="shared" si="1"/>
        <v>0</v>
      </c>
      <c r="V55" s="1367">
        <v>0</v>
      </c>
      <c r="W55" s="1366">
        <f t="shared" si="2"/>
        <v>0</v>
      </c>
      <c r="X55" s="1367">
        <f>'APU''S'!I445</f>
        <v>50000</v>
      </c>
      <c r="Y55" s="1366">
        <f t="shared" si="3"/>
        <v>3.2902313032606191E-2</v>
      </c>
      <c r="Z55" s="1367">
        <v>0</v>
      </c>
      <c r="AA55" s="1366">
        <f t="shared" si="4"/>
        <v>0</v>
      </c>
      <c r="AB55" s="1367">
        <f t="shared" si="37"/>
        <v>1519650</v>
      </c>
      <c r="AD55" s="1369">
        <f t="shared" si="8"/>
        <v>0</v>
      </c>
      <c r="AE55">
        <v>0</v>
      </c>
    </row>
    <row r="56" spans="2:31" ht="15" customHeight="1">
      <c r="B56" s="1245" t="str">
        <f>'APU''S'!I448</f>
        <v>6.18</v>
      </c>
      <c r="C56" s="1260" t="str">
        <f>'APU''S'!B448</f>
        <v>S.T. de TEE Ø8X6" HD JUNTA RÁPIDA</v>
      </c>
      <c r="D56" s="1246" t="str">
        <f>'APU''S'!C453</f>
        <v>und</v>
      </c>
      <c r="E56" s="1246">
        <f>ROUND('ACCESORIOS, ETC'!D8,2)</f>
        <v>2</v>
      </c>
      <c r="F56" s="1247">
        <f>'APU''S'!B453</f>
        <v>1458960</v>
      </c>
      <c r="G56" s="1247">
        <f t="shared" si="38"/>
        <v>2917920</v>
      </c>
      <c r="I56" s="1370">
        <f t="shared" si="31"/>
        <v>2817920</v>
      </c>
      <c r="J56" s="1370">
        <f t="shared" si="32"/>
        <v>0</v>
      </c>
      <c r="K56" s="1370">
        <f t="shared" si="33"/>
        <v>0</v>
      </c>
      <c r="L56" s="1370">
        <f t="shared" si="34"/>
        <v>100000</v>
      </c>
      <c r="M56" s="1370">
        <f t="shared" si="35"/>
        <v>0</v>
      </c>
      <c r="N56" s="1370">
        <f t="shared" si="5"/>
        <v>2917920</v>
      </c>
      <c r="O56" s="1492"/>
      <c r="Q56" s="1365" t="str">
        <f t="shared" si="36"/>
        <v>6.18</v>
      </c>
      <c r="R56" s="1367">
        <f>'APU''S'!G452</f>
        <v>1408960</v>
      </c>
      <c r="S56" s="1366">
        <f t="shared" si="6"/>
        <v>0.96572901244722265</v>
      </c>
      <c r="T56" s="1367">
        <v>0</v>
      </c>
      <c r="U56" s="1366">
        <f t="shared" si="1"/>
        <v>0</v>
      </c>
      <c r="V56" s="1367">
        <v>0</v>
      </c>
      <c r="W56" s="1366">
        <f t="shared" si="2"/>
        <v>0</v>
      </c>
      <c r="X56" s="1367">
        <f>'APU''S'!I452</f>
        <v>50000</v>
      </c>
      <c r="Y56" s="1366">
        <f t="shared" si="3"/>
        <v>3.427098755277732E-2</v>
      </c>
      <c r="Z56" s="1367">
        <v>0</v>
      </c>
      <c r="AA56" s="1366">
        <f t="shared" si="4"/>
        <v>0</v>
      </c>
      <c r="AB56" s="1367">
        <f t="shared" si="37"/>
        <v>1458960</v>
      </c>
      <c r="AD56" s="1369">
        <f t="shared" si="8"/>
        <v>0</v>
      </c>
      <c r="AE56">
        <v>0</v>
      </c>
    </row>
    <row r="57" spans="2:31" ht="15" customHeight="1">
      <c r="B57" s="1245" t="str">
        <f>'APU''S'!I455</f>
        <v>6.19</v>
      </c>
      <c r="C57" s="1260" t="str">
        <f>'APU''S'!B455</f>
        <v>S.T. de TEE Ø8X4" HD JUNTA RÁPIDA</v>
      </c>
      <c r="D57" s="1246" t="str">
        <f>'APU''S'!C460</f>
        <v>und</v>
      </c>
      <c r="E57" s="1246">
        <f>ROUND('ACCESORIOS, ETC'!D9,2)</f>
        <v>3</v>
      </c>
      <c r="F57" s="1247">
        <f>'APU''S'!B460</f>
        <v>1397080</v>
      </c>
      <c r="G57" s="1247">
        <f t="shared" si="38"/>
        <v>4191240</v>
      </c>
      <c r="I57" s="1370">
        <f t="shared" si="31"/>
        <v>4041240</v>
      </c>
      <c r="J57" s="1370">
        <f t="shared" si="32"/>
        <v>0</v>
      </c>
      <c r="K57" s="1370">
        <f t="shared" si="33"/>
        <v>0</v>
      </c>
      <c r="L57" s="1370">
        <f t="shared" si="34"/>
        <v>150000</v>
      </c>
      <c r="M57" s="1370">
        <f t="shared" si="35"/>
        <v>0</v>
      </c>
      <c r="N57" s="1370">
        <f t="shared" si="5"/>
        <v>4191240</v>
      </c>
      <c r="O57" s="1492"/>
      <c r="Q57" s="1365" t="str">
        <f t="shared" si="36"/>
        <v>6.19</v>
      </c>
      <c r="R57" s="1367">
        <f>'APU''S'!G459</f>
        <v>1347080</v>
      </c>
      <c r="S57" s="1366">
        <f t="shared" si="6"/>
        <v>0.96421106880064134</v>
      </c>
      <c r="T57" s="1367">
        <v>0</v>
      </c>
      <c r="U57" s="1366">
        <f t="shared" si="1"/>
        <v>0</v>
      </c>
      <c r="V57" s="1367">
        <v>0</v>
      </c>
      <c r="W57" s="1366">
        <f t="shared" si="2"/>
        <v>0</v>
      </c>
      <c r="X57" s="1367">
        <f>'APU''S'!I459</f>
        <v>50000</v>
      </c>
      <c r="Y57" s="1366">
        <f t="shared" si="3"/>
        <v>3.5788931199358665E-2</v>
      </c>
      <c r="Z57" s="1367">
        <v>0</v>
      </c>
      <c r="AA57" s="1366">
        <f t="shared" si="4"/>
        <v>0</v>
      </c>
      <c r="AB57" s="1367">
        <f t="shared" si="37"/>
        <v>1397080</v>
      </c>
      <c r="AD57" s="1369">
        <f t="shared" si="8"/>
        <v>0</v>
      </c>
      <c r="AE57">
        <v>0</v>
      </c>
    </row>
    <row r="58" spans="2:31" ht="15" customHeight="1">
      <c r="B58" s="1245" t="str">
        <f>'APU''S'!I462</f>
        <v>6.20</v>
      </c>
      <c r="C58" s="1260" t="str">
        <f>'APU''S'!B462</f>
        <v>S.T. de TEE Ø8X3" HD JUNTA RÁPIDA</v>
      </c>
      <c r="D58" s="1246" t="str">
        <f>'APU''S'!C467</f>
        <v>und</v>
      </c>
      <c r="E58" s="1246">
        <f>ROUND('ACCESORIOS, ETC'!D10,2)</f>
        <v>5</v>
      </c>
      <c r="F58" s="1247">
        <f>'APU''S'!B467</f>
        <v>1238810</v>
      </c>
      <c r="G58" s="1247">
        <f t="shared" si="38"/>
        <v>6194050</v>
      </c>
      <c r="I58" s="1370">
        <f t="shared" si="31"/>
        <v>5944050</v>
      </c>
      <c r="J58" s="1370">
        <f t="shared" si="32"/>
        <v>0</v>
      </c>
      <c r="K58" s="1370">
        <f t="shared" si="33"/>
        <v>0</v>
      </c>
      <c r="L58" s="1370">
        <f t="shared" si="34"/>
        <v>250000</v>
      </c>
      <c r="M58" s="1370">
        <f t="shared" si="35"/>
        <v>0</v>
      </c>
      <c r="N58" s="1370">
        <f t="shared" si="5"/>
        <v>6194050</v>
      </c>
      <c r="O58" s="1492"/>
      <c r="Q58" s="1365" t="str">
        <f t="shared" si="36"/>
        <v>6.20</v>
      </c>
      <c r="R58" s="1367">
        <f>'APU''S'!G466</f>
        <v>1188810</v>
      </c>
      <c r="S58" s="1366">
        <f t="shared" si="6"/>
        <v>0.95963868551270981</v>
      </c>
      <c r="T58" s="1367">
        <v>0</v>
      </c>
      <c r="U58" s="1366">
        <f t="shared" si="1"/>
        <v>0</v>
      </c>
      <c r="V58" s="1367">
        <v>0</v>
      </c>
      <c r="W58" s="1366">
        <f t="shared" si="2"/>
        <v>0</v>
      </c>
      <c r="X58" s="1367">
        <f>'APU''S'!I466</f>
        <v>50000</v>
      </c>
      <c r="Y58" s="1366">
        <f t="shared" si="3"/>
        <v>4.0361314487290224E-2</v>
      </c>
      <c r="Z58" s="1367">
        <v>0</v>
      </c>
      <c r="AA58" s="1366">
        <f t="shared" si="4"/>
        <v>0</v>
      </c>
      <c r="AB58" s="1367">
        <f t="shared" si="37"/>
        <v>1238810</v>
      </c>
      <c r="AD58" s="1369">
        <f t="shared" si="8"/>
        <v>0</v>
      </c>
      <c r="AE58">
        <v>0</v>
      </c>
    </row>
    <row r="59" spans="2:31" ht="15" customHeight="1">
      <c r="B59" s="1245" t="str">
        <f>'APU''S'!I469</f>
        <v>6.21</v>
      </c>
      <c r="C59" s="1260" t="str">
        <f>'APU''S'!B469</f>
        <v>S.T. de TEE Ø6X3" HD JUNTA RÁPIDA</v>
      </c>
      <c r="D59" s="1246" t="str">
        <f>'APU''S'!C474</f>
        <v>und</v>
      </c>
      <c r="E59" s="1246">
        <f>ROUND('ACCESORIOS, ETC'!D11,2)</f>
        <v>2</v>
      </c>
      <c r="F59" s="1247">
        <f>'APU''S'!B474</f>
        <v>775900</v>
      </c>
      <c r="G59" s="1247">
        <f t="shared" si="38"/>
        <v>1551800</v>
      </c>
      <c r="I59" s="1370">
        <f t="shared" si="31"/>
        <v>1451800</v>
      </c>
      <c r="J59" s="1370">
        <f t="shared" si="32"/>
        <v>0</v>
      </c>
      <c r="K59" s="1370">
        <f t="shared" si="33"/>
        <v>0</v>
      </c>
      <c r="L59" s="1370">
        <f t="shared" si="34"/>
        <v>100000</v>
      </c>
      <c r="M59" s="1370">
        <f t="shared" si="35"/>
        <v>0</v>
      </c>
      <c r="N59" s="1370">
        <f t="shared" si="5"/>
        <v>1551800</v>
      </c>
      <c r="O59" s="1492"/>
      <c r="Q59" s="1365" t="str">
        <f t="shared" si="36"/>
        <v>6.21</v>
      </c>
      <c r="R59" s="1367">
        <f>'APU''S'!G473</f>
        <v>725900</v>
      </c>
      <c r="S59" s="1366">
        <f t="shared" si="6"/>
        <v>0.93555870601881685</v>
      </c>
      <c r="T59" s="1367">
        <v>0</v>
      </c>
      <c r="U59" s="1366">
        <f t="shared" si="1"/>
        <v>0</v>
      </c>
      <c r="V59" s="1367">
        <v>0</v>
      </c>
      <c r="W59" s="1366">
        <f t="shared" si="2"/>
        <v>0</v>
      </c>
      <c r="X59" s="1367">
        <f>'APU''S'!I473</f>
        <v>50000</v>
      </c>
      <c r="Y59" s="1366">
        <f t="shared" si="3"/>
        <v>6.4441293981183145E-2</v>
      </c>
      <c r="Z59" s="1367">
        <v>0</v>
      </c>
      <c r="AA59" s="1366">
        <f t="shared" si="4"/>
        <v>0</v>
      </c>
      <c r="AB59" s="1367">
        <f t="shared" si="37"/>
        <v>775900</v>
      </c>
      <c r="AD59" s="1369">
        <f t="shared" si="8"/>
        <v>0</v>
      </c>
      <c r="AE59">
        <v>0</v>
      </c>
    </row>
    <row r="60" spans="2:31" ht="15" customHeight="1">
      <c r="B60" s="1245" t="str">
        <f>'APU''S'!I476</f>
        <v>6.22</v>
      </c>
      <c r="C60" s="1260" t="str">
        <f>'APU''S'!B476</f>
        <v>S.T. de TEE Ø4" HD JUNTA RÁPIDA</v>
      </c>
      <c r="D60" s="1246" t="str">
        <f>'APU''S'!C481</f>
        <v>und</v>
      </c>
      <c r="E60" s="1246">
        <f>ROUND('ACCESORIOS, ETC'!D12,2)</f>
        <v>1</v>
      </c>
      <c r="F60" s="1247">
        <f>'APU''S'!B481</f>
        <v>545040</v>
      </c>
      <c r="G60" s="1247">
        <f t="shared" si="38"/>
        <v>545040</v>
      </c>
      <c r="I60" s="1370">
        <f t="shared" si="31"/>
        <v>495040</v>
      </c>
      <c r="J60" s="1370">
        <f t="shared" si="32"/>
        <v>0</v>
      </c>
      <c r="K60" s="1370">
        <f t="shared" si="33"/>
        <v>0</v>
      </c>
      <c r="L60" s="1370">
        <f t="shared" si="34"/>
        <v>50000</v>
      </c>
      <c r="M60" s="1370">
        <f t="shared" si="35"/>
        <v>0</v>
      </c>
      <c r="N60" s="1370">
        <f t="shared" si="5"/>
        <v>545040</v>
      </c>
      <c r="O60" s="1492"/>
      <c r="Q60" s="1365" t="str">
        <f t="shared" si="36"/>
        <v>6.22</v>
      </c>
      <c r="R60" s="1367">
        <f>'APU''S'!G480</f>
        <v>495040</v>
      </c>
      <c r="S60" s="1366">
        <f t="shared" si="6"/>
        <v>0.90826361367972996</v>
      </c>
      <c r="T60" s="1367">
        <v>0</v>
      </c>
      <c r="U60" s="1366">
        <f t="shared" si="1"/>
        <v>0</v>
      </c>
      <c r="V60" s="1367">
        <v>0</v>
      </c>
      <c r="W60" s="1366">
        <f t="shared" si="2"/>
        <v>0</v>
      </c>
      <c r="X60" s="1367">
        <f>'APU''S'!I480</f>
        <v>50000</v>
      </c>
      <c r="Y60" s="1366">
        <f t="shared" si="3"/>
        <v>9.1736386320270077E-2</v>
      </c>
      <c r="Z60" s="1367">
        <v>0</v>
      </c>
      <c r="AA60" s="1366">
        <f t="shared" si="4"/>
        <v>0</v>
      </c>
      <c r="AB60" s="1367">
        <f t="shared" si="37"/>
        <v>545040</v>
      </c>
      <c r="AD60" s="1369">
        <f t="shared" si="8"/>
        <v>0</v>
      </c>
      <c r="AE60">
        <v>0</v>
      </c>
    </row>
    <row r="61" spans="2:31" ht="15" customHeight="1">
      <c r="B61" s="1245" t="str">
        <f>'APU''S'!I483</f>
        <v>6.23</v>
      </c>
      <c r="C61" s="1260" t="str">
        <f>'APU''S'!B483</f>
        <v>S.T. de TEE Ø4X3" HD JUNTA RÁPIDA</v>
      </c>
      <c r="D61" s="1246" t="str">
        <f>'APU''S'!C488</f>
        <v>und</v>
      </c>
      <c r="E61" s="1246">
        <f>ROUND('ACCESORIOS, ETC'!D13,2)</f>
        <v>5</v>
      </c>
      <c r="F61" s="1247">
        <f>'APU''S'!B488</f>
        <v>433180</v>
      </c>
      <c r="G61" s="1247">
        <f t="shared" si="38"/>
        <v>2165900</v>
      </c>
      <c r="I61" s="1370">
        <f t="shared" si="31"/>
        <v>1915900</v>
      </c>
      <c r="J61" s="1370">
        <f t="shared" si="32"/>
        <v>0</v>
      </c>
      <c r="K61" s="1370">
        <f t="shared" si="33"/>
        <v>0</v>
      </c>
      <c r="L61" s="1370">
        <f t="shared" si="34"/>
        <v>250000</v>
      </c>
      <c r="M61" s="1370">
        <f t="shared" si="35"/>
        <v>0</v>
      </c>
      <c r="N61" s="1370">
        <f t="shared" si="5"/>
        <v>2165900</v>
      </c>
      <c r="O61" s="1492"/>
      <c r="Q61" s="1365" t="str">
        <f t="shared" si="36"/>
        <v>6.23</v>
      </c>
      <c r="R61" s="1367">
        <f>'APU''S'!G487</f>
        <v>383180</v>
      </c>
      <c r="S61" s="1366">
        <f t="shared" si="6"/>
        <v>0.88457454176093075</v>
      </c>
      <c r="T61" s="1367">
        <v>0</v>
      </c>
      <c r="U61" s="1366">
        <f t="shared" si="1"/>
        <v>0</v>
      </c>
      <c r="V61" s="1367">
        <v>0</v>
      </c>
      <c r="W61" s="1366">
        <f t="shared" si="2"/>
        <v>0</v>
      </c>
      <c r="X61" s="1367">
        <f>'APU''S'!I487</f>
        <v>50000</v>
      </c>
      <c r="Y61" s="1366">
        <f t="shared" si="3"/>
        <v>0.1154254582390692</v>
      </c>
      <c r="Z61" s="1367">
        <v>0</v>
      </c>
      <c r="AA61" s="1366">
        <f t="shared" si="4"/>
        <v>0</v>
      </c>
      <c r="AB61" s="1367">
        <f t="shared" si="37"/>
        <v>433180</v>
      </c>
      <c r="AD61" s="1369">
        <f t="shared" si="8"/>
        <v>0</v>
      </c>
      <c r="AE61">
        <v>0</v>
      </c>
    </row>
    <row r="62" spans="2:31" ht="15" customHeight="1">
      <c r="B62" s="1245" t="str">
        <f>'APU''S'!I490</f>
        <v>6.24</v>
      </c>
      <c r="C62" s="1260" t="str">
        <f>'APU''S'!B490</f>
        <v>S.T. de TEE Ø3" HD JUNTA RÁPIDA</v>
      </c>
      <c r="D62" s="1246" t="str">
        <f>'APU''S'!C495</f>
        <v>und</v>
      </c>
      <c r="E62" s="1246">
        <f>ROUND('ACCESORIOS, ETC'!D14,2)</f>
        <v>2</v>
      </c>
      <c r="F62" s="1247">
        <f>'APU''S'!B495</f>
        <v>347500</v>
      </c>
      <c r="G62" s="1247">
        <f t="shared" si="38"/>
        <v>695000</v>
      </c>
      <c r="I62" s="1370">
        <f t="shared" si="31"/>
        <v>595000</v>
      </c>
      <c r="J62" s="1370">
        <f t="shared" si="32"/>
        <v>0</v>
      </c>
      <c r="K62" s="1370">
        <f t="shared" si="33"/>
        <v>0</v>
      </c>
      <c r="L62" s="1370">
        <f t="shared" si="34"/>
        <v>100000</v>
      </c>
      <c r="M62" s="1370">
        <f t="shared" si="35"/>
        <v>0</v>
      </c>
      <c r="N62" s="1370">
        <f t="shared" si="5"/>
        <v>695000</v>
      </c>
      <c r="O62" s="1492"/>
      <c r="Q62" s="1365" t="str">
        <f t="shared" si="36"/>
        <v>6.24</v>
      </c>
      <c r="R62" s="1367">
        <f>'APU''S'!G494</f>
        <v>297500</v>
      </c>
      <c r="S62" s="1366">
        <f t="shared" si="6"/>
        <v>0.85611510791366907</v>
      </c>
      <c r="T62" s="1367">
        <v>0</v>
      </c>
      <c r="U62" s="1366">
        <f t="shared" si="1"/>
        <v>0</v>
      </c>
      <c r="V62" s="1367">
        <v>0</v>
      </c>
      <c r="W62" s="1366">
        <f t="shared" si="2"/>
        <v>0</v>
      </c>
      <c r="X62" s="1367">
        <f>'APU''S'!I494</f>
        <v>50000</v>
      </c>
      <c r="Y62" s="1366">
        <f t="shared" si="3"/>
        <v>0.14388489208633093</v>
      </c>
      <c r="Z62" s="1367">
        <v>0</v>
      </c>
      <c r="AA62" s="1366">
        <f t="shared" si="4"/>
        <v>0</v>
      </c>
      <c r="AB62" s="1367">
        <f t="shared" si="37"/>
        <v>347500</v>
      </c>
      <c r="AD62" s="1369">
        <f t="shared" si="8"/>
        <v>0</v>
      </c>
      <c r="AE62">
        <v>0</v>
      </c>
    </row>
    <row r="63" spans="2:31" ht="15" customHeight="1">
      <c r="B63" s="1245" t="str">
        <f>'APU''S'!I497</f>
        <v>6.25</v>
      </c>
      <c r="C63" s="1260" t="str">
        <f>'APU''S'!B497</f>
        <v>S.T. de HIDRANTE Ø3" HD, INCLUYE TODOS LOS ACCESORIOS NECESARIOS</v>
      </c>
      <c r="D63" s="1246" t="str">
        <f>'APU''S'!C504</f>
        <v>und</v>
      </c>
      <c r="E63" s="1246">
        <f>ROUND('ACCESORIOS, ETC'!D15,2)</f>
        <v>3</v>
      </c>
      <c r="F63" s="1247">
        <f>'APU''S'!B504</f>
        <v>4755280</v>
      </c>
      <c r="G63" s="1247">
        <f t="shared" si="38"/>
        <v>14265840</v>
      </c>
      <c r="I63" s="1370">
        <f t="shared" si="31"/>
        <v>13965840</v>
      </c>
      <c r="J63" s="1370">
        <f t="shared" si="32"/>
        <v>0</v>
      </c>
      <c r="K63" s="1370">
        <f t="shared" si="33"/>
        <v>0</v>
      </c>
      <c r="L63" s="1370">
        <f t="shared" si="34"/>
        <v>300000</v>
      </c>
      <c r="M63" s="1370">
        <f t="shared" si="35"/>
        <v>0</v>
      </c>
      <c r="N63" s="1370">
        <f t="shared" si="5"/>
        <v>14265840</v>
      </c>
      <c r="O63" s="1492"/>
      <c r="Q63" s="1365" t="str">
        <f t="shared" si="36"/>
        <v>6.25</v>
      </c>
      <c r="R63" s="1367">
        <f>'APU''S'!G503</f>
        <v>4655280</v>
      </c>
      <c r="S63" s="1366">
        <f t="shared" si="6"/>
        <v>0.97897074409919083</v>
      </c>
      <c r="T63" s="1367">
        <v>0</v>
      </c>
      <c r="U63" s="1366">
        <f t="shared" si="1"/>
        <v>0</v>
      </c>
      <c r="V63" s="1367">
        <v>0</v>
      </c>
      <c r="W63" s="1366">
        <f t="shared" si="2"/>
        <v>0</v>
      </c>
      <c r="X63" s="1367">
        <f>'APU''S'!I503</f>
        <v>100000</v>
      </c>
      <c r="Y63" s="1366">
        <f t="shared" si="3"/>
        <v>2.1029255900809205E-2</v>
      </c>
      <c r="Z63" s="1367">
        <v>0</v>
      </c>
      <c r="AA63" s="1366">
        <f t="shared" si="4"/>
        <v>0</v>
      </c>
      <c r="AB63" s="1367">
        <f t="shared" si="37"/>
        <v>4755280</v>
      </c>
      <c r="AD63" s="1369">
        <f t="shared" si="8"/>
        <v>0</v>
      </c>
      <c r="AE63">
        <v>0</v>
      </c>
    </row>
    <row r="64" spans="2:31" ht="15" customHeight="1">
      <c r="B64" s="1245" t="str">
        <f>'APU''S'!I506</f>
        <v>6.26</v>
      </c>
      <c r="C64" s="1260" t="str">
        <f>'APU''S'!B506</f>
        <v>S.T. de valvula de acueducto en HD compuerta elastica diametro de 8" JUNTA RÁPIDA</v>
      </c>
      <c r="D64" s="1246" t="str">
        <f>'APU''S'!C511</f>
        <v>und</v>
      </c>
      <c r="E64" s="1246">
        <f>ROUND('ACCESORIOS, ETC'!D16,2)</f>
        <v>5</v>
      </c>
      <c r="F64" s="1247">
        <f>'APU''S'!B511</f>
        <v>3308240</v>
      </c>
      <c r="G64" s="1247">
        <f t="shared" si="38"/>
        <v>16541200</v>
      </c>
      <c r="I64" s="1370">
        <f t="shared" si="31"/>
        <v>16041200</v>
      </c>
      <c r="J64" s="1370">
        <f t="shared" si="32"/>
        <v>0</v>
      </c>
      <c r="K64" s="1370">
        <f t="shared" si="33"/>
        <v>0</v>
      </c>
      <c r="L64" s="1370">
        <f t="shared" si="34"/>
        <v>500000</v>
      </c>
      <c r="M64" s="1370">
        <f t="shared" si="35"/>
        <v>0</v>
      </c>
      <c r="N64" s="1370">
        <f t="shared" si="5"/>
        <v>16541200</v>
      </c>
      <c r="O64" s="1492"/>
      <c r="Q64" s="1365" t="str">
        <f t="shared" si="36"/>
        <v>6.26</v>
      </c>
      <c r="R64" s="1367">
        <f>'APU''S'!G510</f>
        <v>3208240</v>
      </c>
      <c r="S64" s="1366">
        <f t="shared" si="6"/>
        <v>0.96977244698087195</v>
      </c>
      <c r="T64" s="1367">
        <v>0</v>
      </c>
      <c r="U64" s="1366">
        <f t="shared" si="1"/>
        <v>0</v>
      </c>
      <c r="V64" s="1367">
        <v>0</v>
      </c>
      <c r="W64" s="1366">
        <f t="shared" si="2"/>
        <v>0</v>
      </c>
      <c r="X64" s="1367">
        <f>'APU''S'!I510</f>
        <v>100000</v>
      </c>
      <c r="Y64" s="1366">
        <f t="shared" si="3"/>
        <v>3.0227553019127995E-2</v>
      </c>
      <c r="Z64" s="1367">
        <v>0</v>
      </c>
      <c r="AA64" s="1366">
        <f t="shared" si="4"/>
        <v>0</v>
      </c>
      <c r="AB64" s="1367">
        <f t="shared" si="37"/>
        <v>3308240</v>
      </c>
      <c r="AD64" s="1369">
        <f t="shared" si="8"/>
        <v>0</v>
      </c>
      <c r="AE64">
        <v>0</v>
      </c>
    </row>
    <row r="65" spans="2:31" ht="15" customHeight="1">
      <c r="B65" s="1245" t="str">
        <f>'APU''S'!I513</f>
        <v>6.27</v>
      </c>
      <c r="C65" s="1260" t="str">
        <f>'APU''S'!B513</f>
        <v>S.T. de valvula de acueducto en HD compuerta elastica diametro de 6" JUNTA RÁPIDA</v>
      </c>
      <c r="D65" s="1246" t="str">
        <f>'APU''S'!C518</f>
        <v>und</v>
      </c>
      <c r="E65" s="1246">
        <f>ROUND('ACCESORIOS, ETC'!D17,2)</f>
        <v>4</v>
      </c>
      <c r="F65" s="1247">
        <f>'APU''S'!B518</f>
        <v>2293170</v>
      </c>
      <c r="G65" s="1247">
        <f t="shared" si="38"/>
        <v>9172680</v>
      </c>
      <c r="I65" s="1370">
        <f t="shared" si="31"/>
        <v>8772680</v>
      </c>
      <c r="J65" s="1370">
        <f t="shared" si="32"/>
        <v>0</v>
      </c>
      <c r="K65" s="1370">
        <f t="shared" si="33"/>
        <v>0</v>
      </c>
      <c r="L65" s="1370">
        <f t="shared" si="34"/>
        <v>400000</v>
      </c>
      <c r="M65" s="1370">
        <f t="shared" si="35"/>
        <v>0</v>
      </c>
      <c r="N65" s="1370">
        <f t="shared" si="5"/>
        <v>9172680</v>
      </c>
      <c r="O65" s="1492"/>
      <c r="Q65" s="1365" t="str">
        <f t="shared" si="36"/>
        <v>6.27</v>
      </c>
      <c r="R65" s="1367">
        <f>'APU''S'!G517</f>
        <v>2193170</v>
      </c>
      <c r="S65" s="1366">
        <f t="shared" si="6"/>
        <v>0.95639224305219417</v>
      </c>
      <c r="T65" s="1367">
        <v>0</v>
      </c>
      <c r="U65" s="1366">
        <f t="shared" si="1"/>
        <v>0</v>
      </c>
      <c r="V65" s="1367">
        <v>0</v>
      </c>
      <c r="W65" s="1366">
        <f t="shared" si="2"/>
        <v>0</v>
      </c>
      <c r="X65" s="1367">
        <f>'APU''S'!I517</f>
        <v>100000</v>
      </c>
      <c r="Y65" s="1366">
        <f t="shared" si="3"/>
        <v>4.3607756947805873E-2</v>
      </c>
      <c r="Z65" s="1367">
        <v>0</v>
      </c>
      <c r="AA65" s="1366">
        <f t="shared" si="4"/>
        <v>0</v>
      </c>
      <c r="AB65" s="1367">
        <f t="shared" si="37"/>
        <v>2293170</v>
      </c>
      <c r="AD65" s="1369">
        <f t="shared" si="8"/>
        <v>0</v>
      </c>
      <c r="AE65">
        <v>0</v>
      </c>
    </row>
    <row r="66" spans="2:31" ht="15" customHeight="1">
      <c r="B66" s="1245" t="str">
        <f>'APU''S'!I520</f>
        <v>6.28</v>
      </c>
      <c r="C66" s="1260" t="str">
        <f>'APU''S'!B520</f>
        <v>S.T. de valvula de acueducto en HD compuerta elastica diametro de 4" JUNTA RÁPIDA</v>
      </c>
      <c r="D66" s="1246" t="str">
        <f>'APU''S'!C525</f>
        <v>und</v>
      </c>
      <c r="E66" s="1246">
        <f>ROUND('ACCESORIOS, ETC'!D18,2)</f>
        <v>1</v>
      </c>
      <c r="F66" s="1247">
        <f>'APU''S'!B525</f>
        <v>1236450</v>
      </c>
      <c r="G66" s="1247">
        <f t="shared" si="38"/>
        <v>1236450</v>
      </c>
      <c r="I66" s="1370">
        <f t="shared" si="31"/>
        <v>1136450</v>
      </c>
      <c r="J66" s="1370">
        <f t="shared" si="32"/>
        <v>0</v>
      </c>
      <c r="K66" s="1370">
        <f t="shared" si="33"/>
        <v>0</v>
      </c>
      <c r="L66" s="1370">
        <f t="shared" si="34"/>
        <v>100000</v>
      </c>
      <c r="M66" s="1370">
        <f t="shared" si="35"/>
        <v>0</v>
      </c>
      <c r="N66" s="1370">
        <f t="shared" si="5"/>
        <v>1236450</v>
      </c>
      <c r="O66" s="1492"/>
      <c r="Q66" s="1365" t="str">
        <f t="shared" si="36"/>
        <v>6.28</v>
      </c>
      <c r="R66" s="1367">
        <f>'APU''S'!G524</f>
        <v>1136450</v>
      </c>
      <c r="S66" s="1366">
        <f t="shared" si="6"/>
        <v>0.91912329653443325</v>
      </c>
      <c r="T66" s="1367">
        <v>0</v>
      </c>
      <c r="U66" s="1366">
        <f t="shared" si="1"/>
        <v>0</v>
      </c>
      <c r="V66" s="1367">
        <v>0</v>
      </c>
      <c r="W66" s="1366">
        <f t="shared" si="2"/>
        <v>0</v>
      </c>
      <c r="X66" s="1367">
        <f>'APU''S'!I524</f>
        <v>100000</v>
      </c>
      <c r="Y66" s="1366">
        <f t="shared" si="3"/>
        <v>8.0876703465566746E-2</v>
      </c>
      <c r="Z66" s="1367">
        <v>0</v>
      </c>
      <c r="AA66" s="1366">
        <f t="shared" si="4"/>
        <v>0</v>
      </c>
      <c r="AB66" s="1367">
        <f t="shared" si="37"/>
        <v>1236450</v>
      </c>
      <c r="AD66" s="1369">
        <f t="shared" si="8"/>
        <v>0</v>
      </c>
      <c r="AE66">
        <v>0</v>
      </c>
    </row>
    <row r="67" spans="2:31" ht="15" customHeight="1">
      <c r="B67" s="1245" t="str">
        <f>'APU''S'!I527</f>
        <v>6.29</v>
      </c>
      <c r="C67" s="1260" t="str">
        <f>'APU''S'!B527</f>
        <v>S.T. de valvula de acueducto en HD compuerta elastica diametro de 3" JUNTA RÁPIDA</v>
      </c>
      <c r="D67" s="1246" t="str">
        <f>'APU''S'!C532</f>
        <v>und</v>
      </c>
      <c r="E67" s="1246">
        <f>ROUND('ACCESORIOS, ETC'!D19,2)</f>
        <v>4</v>
      </c>
      <c r="F67" s="1247">
        <f>'APU''S'!B532</f>
        <v>957990</v>
      </c>
      <c r="G67" s="1247">
        <f t="shared" si="38"/>
        <v>3831960</v>
      </c>
      <c r="I67" s="1370">
        <f t="shared" si="31"/>
        <v>3431960</v>
      </c>
      <c r="J67" s="1370">
        <f t="shared" si="32"/>
        <v>0</v>
      </c>
      <c r="K67" s="1370">
        <f t="shared" si="33"/>
        <v>0</v>
      </c>
      <c r="L67" s="1370">
        <f t="shared" si="34"/>
        <v>400000</v>
      </c>
      <c r="M67" s="1370">
        <f t="shared" si="35"/>
        <v>0</v>
      </c>
      <c r="N67" s="1370">
        <f t="shared" si="5"/>
        <v>3831960</v>
      </c>
      <c r="O67" s="1492"/>
      <c r="Q67" s="1365" t="str">
        <f t="shared" si="36"/>
        <v>6.29</v>
      </c>
      <c r="R67" s="1367">
        <f>'APU''S'!G531</f>
        <v>857990</v>
      </c>
      <c r="S67" s="1366">
        <f t="shared" si="6"/>
        <v>0.89561477677220014</v>
      </c>
      <c r="T67" s="1367">
        <v>0</v>
      </c>
      <c r="U67" s="1366">
        <f t="shared" si="1"/>
        <v>0</v>
      </c>
      <c r="V67" s="1367">
        <v>0</v>
      </c>
      <c r="W67" s="1366">
        <f t="shared" si="2"/>
        <v>0</v>
      </c>
      <c r="X67" s="1367">
        <f>'APU''S'!I531</f>
        <v>100000</v>
      </c>
      <c r="Y67" s="1366">
        <f t="shared" si="3"/>
        <v>0.10438522322779988</v>
      </c>
      <c r="Z67" s="1367">
        <v>0</v>
      </c>
      <c r="AA67" s="1366">
        <f t="shared" si="4"/>
        <v>0</v>
      </c>
      <c r="AB67" s="1367">
        <f t="shared" si="37"/>
        <v>957990</v>
      </c>
      <c r="AD67" s="1369">
        <f t="shared" si="8"/>
        <v>0</v>
      </c>
      <c r="AE67">
        <v>0</v>
      </c>
    </row>
    <row r="68" spans="2:31" ht="15" customHeight="1">
      <c r="B68" s="1245" t="str">
        <f>'APU''S'!I534</f>
        <v>6.30</v>
      </c>
      <c r="C68" s="1260" t="str">
        <f>'APU''S'!B534</f>
        <v>S.T. de REDUCCIÓN HD Ø=8"X6" JUNTA RÁPIDA</v>
      </c>
      <c r="D68" s="1246" t="str">
        <f>'APU''S'!C539</f>
        <v>und</v>
      </c>
      <c r="E68" s="1246">
        <f>ROUND('ACCESORIOS, ETC'!D20,2)</f>
        <v>1</v>
      </c>
      <c r="F68" s="1247">
        <f>'APU''S'!B539</f>
        <v>702120</v>
      </c>
      <c r="G68" s="1247">
        <f t="shared" si="38"/>
        <v>702120</v>
      </c>
      <c r="I68" s="1370">
        <f t="shared" si="31"/>
        <v>652120</v>
      </c>
      <c r="J68" s="1370">
        <f t="shared" si="32"/>
        <v>0</v>
      </c>
      <c r="K68" s="1370">
        <f t="shared" si="33"/>
        <v>0</v>
      </c>
      <c r="L68" s="1370">
        <f t="shared" si="34"/>
        <v>50000</v>
      </c>
      <c r="M68" s="1370">
        <f t="shared" si="35"/>
        <v>0</v>
      </c>
      <c r="N68" s="1370">
        <f t="shared" si="5"/>
        <v>702120</v>
      </c>
      <c r="O68" s="1492"/>
      <c r="Q68" s="1365" t="str">
        <f t="shared" si="36"/>
        <v>6.30</v>
      </c>
      <c r="R68" s="1367">
        <f>'APU''S'!G538</f>
        <v>652120</v>
      </c>
      <c r="S68" s="1366">
        <f t="shared" si="6"/>
        <v>0.92878710191989977</v>
      </c>
      <c r="T68" s="1367">
        <v>0</v>
      </c>
      <c r="U68" s="1366">
        <f t="shared" si="1"/>
        <v>0</v>
      </c>
      <c r="V68" s="1367">
        <v>0</v>
      </c>
      <c r="W68" s="1366">
        <f t="shared" si="2"/>
        <v>0</v>
      </c>
      <c r="X68" s="1367">
        <f>'APU''S'!I538</f>
        <v>50000</v>
      </c>
      <c r="Y68" s="1366">
        <f t="shared" si="3"/>
        <v>7.121289808010027E-2</v>
      </c>
      <c r="Z68" s="1367">
        <v>0</v>
      </c>
      <c r="AA68" s="1366">
        <f t="shared" si="4"/>
        <v>0</v>
      </c>
      <c r="AB68" s="1367">
        <f t="shared" si="37"/>
        <v>702120</v>
      </c>
      <c r="AD68" s="1369">
        <f t="shared" si="8"/>
        <v>0</v>
      </c>
      <c r="AE68">
        <v>0</v>
      </c>
    </row>
    <row r="69" spans="2:31" ht="15" customHeight="1">
      <c r="B69" s="1245" t="str">
        <f>'APU''S'!I541</f>
        <v>6.31</v>
      </c>
      <c r="C69" s="1260" t="str">
        <f>'APU''S'!B541</f>
        <v>S.T. de REDUCCIÓN HD Ø=8"X3" JUNTA RÁPIDA</v>
      </c>
      <c r="D69" s="1246" t="str">
        <f>'APU''S'!C546</f>
        <v>und</v>
      </c>
      <c r="E69" s="1246">
        <f>ROUND('ACCESORIOS, ETC'!D21,2)</f>
        <v>1</v>
      </c>
      <c r="F69" s="1247">
        <f>'APU''S'!B546</f>
        <v>640240</v>
      </c>
      <c r="G69" s="1247">
        <f t="shared" si="38"/>
        <v>640240</v>
      </c>
      <c r="I69" s="1370">
        <f t="shared" si="31"/>
        <v>590240</v>
      </c>
      <c r="J69" s="1370">
        <f t="shared" si="32"/>
        <v>0</v>
      </c>
      <c r="K69" s="1370">
        <f t="shared" si="33"/>
        <v>0</v>
      </c>
      <c r="L69" s="1370">
        <f t="shared" si="34"/>
        <v>50000</v>
      </c>
      <c r="M69" s="1370">
        <f t="shared" si="35"/>
        <v>0</v>
      </c>
      <c r="N69" s="1370">
        <f t="shared" si="5"/>
        <v>640240</v>
      </c>
      <c r="O69" s="1492"/>
      <c r="Q69" s="1365" t="str">
        <f t="shared" si="36"/>
        <v>6.31</v>
      </c>
      <c r="R69" s="1367">
        <f>'APU''S'!G545</f>
        <v>590240</v>
      </c>
      <c r="S69" s="1366">
        <f t="shared" si="6"/>
        <v>0.92190428589279017</v>
      </c>
      <c r="T69" s="1367">
        <v>0</v>
      </c>
      <c r="U69" s="1366">
        <f t="shared" si="1"/>
        <v>0</v>
      </c>
      <c r="V69" s="1367">
        <v>0</v>
      </c>
      <c r="W69" s="1366">
        <f t="shared" si="2"/>
        <v>0</v>
      </c>
      <c r="X69" s="1367">
        <f>'APU''S'!I545</f>
        <v>50000</v>
      </c>
      <c r="Y69" s="1366">
        <f t="shared" si="3"/>
        <v>7.8095714107209793E-2</v>
      </c>
      <c r="Z69" s="1367">
        <v>0</v>
      </c>
      <c r="AA69" s="1366">
        <f t="shared" si="4"/>
        <v>0</v>
      </c>
      <c r="AB69" s="1367">
        <f t="shared" si="37"/>
        <v>640240</v>
      </c>
      <c r="AD69" s="1369">
        <f t="shared" si="8"/>
        <v>0</v>
      </c>
      <c r="AE69">
        <v>0</v>
      </c>
    </row>
    <row r="70" spans="2:31" ht="15" customHeight="1">
      <c r="B70" s="1245" t="str">
        <f>'APU''S'!I548</f>
        <v>6.32</v>
      </c>
      <c r="C70" s="1260" t="str">
        <f>'APU''S'!B548</f>
        <v>S.T. de REDUCCIÓN HD Ø=6"X4" JUNTA RÁPIDA</v>
      </c>
      <c r="D70" s="1246" t="str">
        <f>'APU''S'!C553</f>
        <v>und</v>
      </c>
      <c r="E70" s="1246">
        <f>ROUND('ACCESORIOS, ETC'!D22,2)</f>
        <v>1</v>
      </c>
      <c r="F70" s="1247">
        <f>'APU''S'!B553</f>
        <v>534330</v>
      </c>
      <c r="G70" s="1247">
        <f t="shared" si="38"/>
        <v>534330</v>
      </c>
      <c r="I70" s="1370">
        <f t="shared" si="31"/>
        <v>484330</v>
      </c>
      <c r="J70" s="1370">
        <f t="shared" si="32"/>
        <v>0</v>
      </c>
      <c r="K70" s="1370">
        <f t="shared" si="33"/>
        <v>0</v>
      </c>
      <c r="L70" s="1370">
        <f t="shared" si="34"/>
        <v>50000</v>
      </c>
      <c r="M70" s="1370">
        <f t="shared" si="35"/>
        <v>0</v>
      </c>
      <c r="N70" s="1370">
        <f t="shared" si="5"/>
        <v>534330</v>
      </c>
      <c r="O70" s="1492"/>
      <c r="Q70" s="1365" t="str">
        <f t="shared" si="36"/>
        <v>6.32</v>
      </c>
      <c r="R70" s="1367">
        <f>'APU''S'!G552</f>
        <v>484330</v>
      </c>
      <c r="S70" s="1366">
        <f t="shared" ref="S70:S129" si="39">R70/AB70</f>
        <v>0.90642486852694026</v>
      </c>
      <c r="T70" s="1367">
        <v>0</v>
      </c>
      <c r="U70" s="1366">
        <f t="shared" ref="U70:U129" si="40">T70/AB70</f>
        <v>0</v>
      </c>
      <c r="V70" s="1367">
        <v>0</v>
      </c>
      <c r="W70" s="1366">
        <f t="shared" ref="W70:W129" si="41">V70/AB70</f>
        <v>0</v>
      </c>
      <c r="X70" s="1367">
        <f>'APU''S'!I552</f>
        <v>50000</v>
      </c>
      <c r="Y70" s="1366">
        <f t="shared" ref="Y70:Y129" si="42">X70/AB70</f>
        <v>9.3575131473059722E-2</v>
      </c>
      <c r="Z70" s="1367">
        <v>0</v>
      </c>
      <c r="AA70" s="1366">
        <f t="shared" ref="AA70:AA129" si="43">Z70/AB70</f>
        <v>0</v>
      </c>
      <c r="AB70" s="1367">
        <f t="shared" si="37"/>
        <v>534330</v>
      </c>
      <c r="AD70" s="1369">
        <f t="shared" si="8"/>
        <v>0</v>
      </c>
      <c r="AE70">
        <v>0</v>
      </c>
    </row>
    <row r="71" spans="2:31" ht="15" customHeight="1">
      <c r="B71" s="1245" t="str">
        <f>'APU''S'!I555</f>
        <v>6.33</v>
      </c>
      <c r="C71" s="1260" t="str">
        <f>'APU''S'!B555</f>
        <v>S.T. de REDUCCIÓN HD Ø=4"X3" JUNTA RÁPIDA</v>
      </c>
      <c r="D71" s="1246" t="str">
        <f>'APU''S'!C560</f>
        <v>und</v>
      </c>
      <c r="E71" s="1246">
        <f>ROUND('ACCESORIOS, ETC'!D23,2)</f>
        <v>1</v>
      </c>
      <c r="F71" s="1247">
        <f>'APU''S'!B560</f>
        <v>251110</v>
      </c>
      <c r="G71" s="1247">
        <f t="shared" si="38"/>
        <v>251110</v>
      </c>
      <c r="I71" s="1370">
        <f t="shared" si="31"/>
        <v>201110</v>
      </c>
      <c r="J71" s="1370">
        <f t="shared" si="32"/>
        <v>0</v>
      </c>
      <c r="K71" s="1370">
        <f t="shared" si="33"/>
        <v>0</v>
      </c>
      <c r="L71" s="1370">
        <f t="shared" si="34"/>
        <v>50000</v>
      </c>
      <c r="M71" s="1370">
        <f t="shared" si="35"/>
        <v>0</v>
      </c>
      <c r="N71" s="1370">
        <f t="shared" si="5"/>
        <v>251110</v>
      </c>
      <c r="O71" s="1492"/>
      <c r="Q71" s="1365" t="str">
        <f t="shared" si="36"/>
        <v>6.33</v>
      </c>
      <c r="R71" s="1367">
        <f>'APU''S'!G559</f>
        <v>201110</v>
      </c>
      <c r="S71" s="1366">
        <f t="shared" si="39"/>
        <v>0.80088407470829515</v>
      </c>
      <c r="T71" s="1367">
        <v>0</v>
      </c>
      <c r="U71" s="1366">
        <f t="shared" si="40"/>
        <v>0</v>
      </c>
      <c r="V71" s="1367">
        <v>0</v>
      </c>
      <c r="W71" s="1366">
        <f t="shared" si="41"/>
        <v>0</v>
      </c>
      <c r="X71" s="1367">
        <f>'APU''S'!I559</f>
        <v>50000</v>
      </c>
      <c r="Y71" s="1366">
        <f t="shared" si="42"/>
        <v>0.19911592529170483</v>
      </c>
      <c r="Z71" s="1367">
        <v>0</v>
      </c>
      <c r="AA71" s="1366">
        <f t="shared" si="43"/>
        <v>0</v>
      </c>
      <c r="AB71" s="1367">
        <f t="shared" si="37"/>
        <v>251110</v>
      </c>
      <c r="AD71" s="1369">
        <f t="shared" si="8"/>
        <v>0</v>
      </c>
      <c r="AE71">
        <v>0</v>
      </c>
    </row>
    <row r="72" spans="2:31" ht="15" customHeight="1">
      <c r="B72" s="1245" t="str">
        <f>'APU''S'!I562</f>
        <v>6.34</v>
      </c>
      <c r="C72" s="1260" t="str">
        <f>'APU''S'!B562</f>
        <v>S.T. UNIÓN RÁPIDA Ø=8" PVC</v>
      </c>
      <c r="D72" s="1246" t="str">
        <f>'APU''S'!C567</f>
        <v>und</v>
      </c>
      <c r="E72" s="1246">
        <f>ROUND('ACCESORIOS, ETC'!D24,2)</f>
        <v>25</v>
      </c>
      <c r="F72" s="1247">
        <f>'APU''S'!B567</f>
        <v>383431</v>
      </c>
      <c r="G72" s="1247">
        <f t="shared" si="38"/>
        <v>9585775</v>
      </c>
      <c r="I72" s="1370">
        <f t="shared" si="31"/>
        <v>9532203.5714285709</v>
      </c>
      <c r="J72" s="1370">
        <f t="shared" si="32"/>
        <v>0</v>
      </c>
      <c r="K72" s="1370">
        <f t="shared" si="33"/>
        <v>0</v>
      </c>
      <c r="L72" s="1370">
        <f t="shared" si="34"/>
        <v>53571.428571428572</v>
      </c>
      <c r="M72" s="1370">
        <f t="shared" si="35"/>
        <v>0</v>
      </c>
      <c r="N72" s="1370">
        <f t="shared" ref="N72:N128" si="44">ROUND(SUM(I72:M72),0)</f>
        <v>9585775</v>
      </c>
      <c r="O72" s="1492"/>
      <c r="Q72" s="1365" t="str">
        <f t="shared" si="36"/>
        <v>6.34</v>
      </c>
      <c r="R72" s="1367">
        <f>'APU''S'!G566-AE72</f>
        <v>381288.14285714284</v>
      </c>
      <c r="S72" s="1366">
        <f t="shared" si="39"/>
        <v>0.99441136177602452</v>
      </c>
      <c r="T72" s="1367">
        <v>0</v>
      </c>
      <c r="U72" s="1366">
        <f t="shared" si="40"/>
        <v>0</v>
      </c>
      <c r="V72" s="1367">
        <v>0</v>
      </c>
      <c r="W72" s="1366">
        <f t="shared" si="41"/>
        <v>0</v>
      </c>
      <c r="X72" s="1367">
        <f>'APU''S'!I566</f>
        <v>2142.8571428571427</v>
      </c>
      <c r="Y72" s="1366">
        <f t="shared" si="42"/>
        <v>5.5886382239754813E-3</v>
      </c>
      <c r="Z72" s="1367">
        <v>0</v>
      </c>
      <c r="AA72" s="1366">
        <f t="shared" si="43"/>
        <v>0</v>
      </c>
      <c r="AB72" s="1367">
        <f t="shared" si="37"/>
        <v>383431</v>
      </c>
      <c r="AD72" s="1369">
        <f t="shared" ref="AD72:AD129" si="45">R72+T72+V72+X72+Z72-AB72</f>
        <v>0</v>
      </c>
      <c r="AE72">
        <v>-0.1428571428405121</v>
      </c>
    </row>
    <row r="73" spans="2:31" ht="15" customHeight="1">
      <c r="B73" s="1245" t="str">
        <f>'APU''S'!I569</f>
        <v>6.35</v>
      </c>
      <c r="C73" s="1260" t="str">
        <f>'APU''S'!B569</f>
        <v>S.T. UNIÓN RÁPIDA Ø=6" PVC</v>
      </c>
      <c r="D73" s="1246" t="str">
        <f>'APU''S'!C574</f>
        <v>und</v>
      </c>
      <c r="E73" s="1246">
        <f>ROUND('ACCESORIOS, ETC'!D25,2)</f>
        <v>19</v>
      </c>
      <c r="F73" s="1247">
        <f>'APU''S'!B574</f>
        <v>209413</v>
      </c>
      <c r="G73" s="1247">
        <f t="shared" si="38"/>
        <v>3978847</v>
      </c>
      <c r="I73" s="1370">
        <f t="shared" si="31"/>
        <v>3943222</v>
      </c>
      <c r="J73" s="1370">
        <f t="shared" si="32"/>
        <v>0</v>
      </c>
      <c r="K73" s="1370">
        <f t="shared" si="33"/>
        <v>0</v>
      </c>
      <c r="L73" s="1370">
        <f t="shared" si="34"/>
        <v>35625</v>
      </c>
      <c r="M73" s="1370">
        <f t="shared" si="35"/>
        <v>0</v>
      </c>
      <c r="N73" s="1370">
        <f t="shared" si="44"/>
        <v>3978847</v>
      </c>
      <c r="O73" s="1492"/>
      <c r="Q73" s="1365" t="str">
        <f t="shared" si="36"/>
        <v>6.35</v>
      </c>
      <c r="R73" s="1367">
        <f>'APU''S'!G573</f>
        <v>207538</v>
      </c>
      <c r="S73" s="1366">
        <f t="shared" si="39"/>
        <v>0.9910464011307798</v>
      </c>
      <c r="T73" s="1367">
        <v>0</v>
      </c>
      <c r="U73" s="1366">
        <f t="shared" si="40"/>
        <v>0</v>
      </c>
      <c r="V73" s="1367">
        <v>0</v>
      </c>
      <c r="W73" s="1366">
        <f t="shared" si="41"/>
        <v>0</v>
      </c>
      <c r="X73" s="1367">
        <f>'APU''S'!I573</f>
        <v>1875</v>
      </c>
      <c r="Y73" s="1366">
        <f t="shared" si="42"/>
        <v>8.9535988692201543E-3</v>
      </c>
      <c r="Z73" s="1367">
        <v>0</v>
      </c>
      <c r="AA73" s="1366">
        <f t="shared" si="43"/>
        <v>0</v>
      </c>
      <c r="AB73" s="1367">
        <f t="shared" si="37"/>
        <v>209413</v>
      </c>
      <c r="AD73" s="1369">
        <f t="shared" si="45"/>
        <v>0</v>
      </c>
      <c r="AE73">
        <v>0</v>
      </c>
    </row>
    <row r="74" spans="2:31" ht="15" customHeight="1">
      <c r="B74" s="1245" t="str">
        <f>'APU''S'!I576</f>
        <v>6.36</v>
      </c>
      <c r="C74" s="1260" t="str">
        <f>'APU''S'!B576</f>
        <v>S.T. UNIÓN RÁPIDA Ø=4" PVC</v>
      </c>
      <c r="D74" s="1246" t="str">
        <f>'APU''S'!C581</f>
        <v>und</v>
      </c>
      <c r="E74" s="1246">
        <f>ROUND('ACCESORIOS, ETC'!D26,2)</f>
        <v>14</v>
      </c>
      <c r="F74" s="1247">
        <f>'APU''S'!B581</f>
        <v>90555</v>
      </c>
      <c r="G74" s="1247">
        <f t="shared" si="38"/>
        <v>1267770</v>
      </c>
      <c r="I74" s="1370">
        <f t="shared" si="31"/>
        <v>1244436.6666666665</v>
      </c>
      <c r="J74" s="1370">
        <f t="shared" si="32"/>
        <v>0</v>
      </c>
      <c r="K74" s="1370">
        <f t="shared" si="33"/>
        <v>0</v>
      </c>
      <c r="L74" s="1370">
        <f t="shared" si="34"/>
        <v>23333.333333333336</v>
      </c>
      <c r="M74" s="1370">
        <f t="shared" si="35"/>
        <v>0</v>
      </c>
      <c r="N74" s="1370">
        <f t="shared" si="44"/>
        <v>1267770</v>
      </c>
      <c r="O74" s="1492"/>
      <c r="Q74" s="1365" t="str">
        <f t="shared" si="36"/>
        <v>6.36</v>
      </c>
      <c r="R74" s="1367">
        <f>'APU''S'!G580-AE74</f>
        <v>88888.333333333328</v>
      </c>
      <c r="S74" s="1366">
        <f t="shared" si="39"/>
        <v>0.98159497911030125</v>
      </c>
      <c r="T74" s="1367">
        <v>0</v>
      </c>
      <c r="U74" s="1366">
        <f t="shared" si="40"/>
        <v>0</v>
      </c>
      <c r="V74" s="1367">
        <v>0</v>
      </c>
      <c r="W74" s="1366">
        <f t="shared" si="41"/>
        <v>0</v>
      </c>
      <c r="X74" s="1367">
        <f>'APU''S'!I580</f>
        <v>1666.6666666666667</v>
      </c>
      <c r="Y74" s="1366">
        <f t="shared" si="42"/>
        <v>1.8405020889698712E-2</v>
      </c>
      <c r="Z74" s="1367">
        <v>0</v>
      </c>
      <c r="AA74" s="1366">
        <f t="shared" si="43"/>
        <v>0</v>
      </c>
      <c r="AB74" s="1367">
        <f t="shared" si="37"/>
        <v>90555</v>
      </c>
      <c r="AD74" s="1369">
        <f t="shared" si="45"/>
        <v>0</v>
      </c>
      <c r="AE74">
        <v>-0.33333333332848269</v>
      </c>
    </row>
    <row r="75" spans="2:31" ht="15" customHeight="1">
      <c r="B75" s="1245" t="str">
        <f>'APU''S'!I583</f>
        <v>6.37</v>
      </c>
      <c r="C75" s="1260" t="str">
        <f>'APU''S'!B583</f>
        <v>S.T. UNIÓN RÁPIDA Ø=3" PVC</v>
      </c>
      <c r="D75" s="1246" t="str">
        <f>'APU''S'!C588</f>
        <v>und</v>
      </c>
      <c r="E75" s="1246">
        <f>ROUND('ACCESORIOS, ETC'!D27,2)</f>
        <v>30</v>
      </c>
      <c r="F75" s="1247">
        <f>'APU''S'!B588</f>
        <v>62502</v>
      </c>
      <c r="G75" s="1247">
        <f t="shared" si="38"/>
        <v>1875060</v>
      </c>
      <c r="I75" s="1370">
        <f t="shared" si="31"/>
        <v>1830060</v>
      </c>
      <c r="J75" s="1370">
        <f t="shared" si="32"/>
        <v>0</v>
      </c>
      <c r="K75" s="1370">
        <f t="shared" si="33"/>
        <v>0</v>
      </c>
      <c r="L75" s="1370">
        <f t="shared" si="34"/>
        <v>45000</v>
      </c>
      <c r="M75" s="1370">
        <f t="shared" si="35"/>
        <v>0</v>
      </c>
      <c r="N75" s="1370">
        <f t="shared" si="44"/>
        <v>1875060</v>
      </c>
      <c r="O75" s="1492"/>
      <c r="Q75" s="1365" t="str">
        <f t="shared" si="36"/>
        <v>6.37</v>
      </c>
      <c r="R75" s="1367">
        <f>'APU''S'!G587</f>
        <v>61002</v>
      </c>
      <c r="S75" s="1366">
        <f t="shared" si="39"/>
        <v>0.97600076797542479</v>
      </c>
      <c r="T75" s="1367">
        <v>0</v>
      </c>
      <c r="U75" s="1366">
        <f t="shared" si="40"/>
        <v>0</v>
      </c>
      <c r="V75" s="1367">
        <v>0</v>
      </c>
      <c r="W75" s="1366">
        <f t="shared" si="41"/>
        <v>0</v>
      </c>
      <c r="X75" s="1367">
        <f>'APU''S'!I587</f>
        <v>1500</v>
      </c>
      <c r="Y75" s="1366">
        <f t="shared" si="42"/>
        <v>2.3999232024575212E-2</v>
      </c>
      <c r="Z75" s="1367">
        <v>0</v>
      </c>
      <c r="AA75" s="1366">
        <f t="shared" si="43"/>
        <v>0</v>
      </c>
      <c r="AB75" s="1367">
        <f t="shared" si="37"/>
        <v>62502</v>
      </c>
      <c r="AD75" s="1369">
        <f t="shared" si="45"/>
        <v>0</v>
      </c>
      <c r="AE75">
        <v>0</v>
      </c>
    </row>
    <row r="76" spans="2:31" ht="15" customHeight="1">
      <c r="B76" s="1245" t="str">
        <f>'APU''S'!I590</f>
        <v>6.38</v>
      </c>
      <c r="C76" s="1260" t="str">
        <f>'APU''S'!B590</f>
        <v>S.T. MEDIO CODO Ø=6" HD JUNTA RÁPIDA</v>
      </c>
      <c r="D76" s="1246" t="str">
        <f>'APU''S'!C595</f>
        <v>und</v>
      </c>
      <c r="E76" s="1246">
        <f>ROUND('ACCESORIOS, ETC'!D28,2)</f>
        <v>1</v>
      </c>
      <c r="F76" s="1247">
        <f>'APU''S'!B595</f>
        <v>498473</v>
      </c>
      <c r="G76" s="1247">
        <f t="shared" si="38"/>
        <v>498473</v>
      </c>
      <c r="I76" s="1370">
        <f t="shared" si="31"/>
        <v>448473</v>
      </c>
      <c r="J76" s="1370">
        <f t="shared" si="32"/>
        <v>0</v>
      </c>
      <c r="K76" s="1370">
        <f t="shared" si="33"/>
        <v>0</v>
      </c>
      <c r="L76" s="1370">
        <f t="shared" si="34"/>
        <v>50000</v>
      </c>
      <c r="M76" s="1370">
        <f t="shared" si="35"/>
        <v>0</v>
      </c>
      <c r="N76" s="1370">
        <f t="shared" si="44"/>
        <v>498473</v>
      </c>
      <c r="O76" s="1492"/>
      <c r="Q76" s="1365" t="str">
        <f t="shared" si="36"/>
        <v>6.38</v>
      </c>
      <c r="R76" s="1367">
        <f>'APU''S'!G594</f>
        <v>448473</v>
      </c>
      <c r="S76" s="1366">
        <f t="shared" si="39"/>
        <v>0.89969366445123411</v>
      </c>
      <c r="T76" s="1367">
        <v>0</v>
      </c>
      <c r="U76" s="1366">
        <f t="shared" si="40"/>
        <v>0</v>
      </c>
      <c r="V76" s="1367">
        <v>0</v>
      </c>
      <c r="W76" s="1366">
        <f t="shared" si="41"/>
        <v>0</v>
      </c>
      <c r="X76" s="1367">
        <f>'APU''S'!I594</f>
        <v>50000</v>
      </c>
      <c r="Y76" s="1366">
        <f t="shared" si="42"/>
        <v>0.10030633554876593</v>
      </c>
      <c r="Z76" s="1367">
        <v>0</v>
      </c>
      <c r="AA76" s="1366">
        <f t="shared" si="43"/>
        <v>0</v>
      </c>
      <c r="AB76" s="1367">
        <f t="shared" si="37"/>
        <v>498473</v>
      </c>
      <c r="AD76" s="1369">
        <f t="shared" si="45"/>
        <v>0</v>
      </c>
      <c r="AE76">
        <v>0</v>
      </c>
    </row>
    <row r="77" spans="2:31" ht="29.25" customHeight="1">
      <c r="B77" s="1245" t="str">
        <f>'APU''S'!I597</f>
        <v>6.39</v>
      </c>
      <c r="C77" s="1260" t="str">
        <f>'APU''S'!B597</f>
        <v>S.T. de cilindro PREFABRICADO para MH de D=1.20 m</v>
      </c>
      <c r="D77" s="1246" t="str">
        <f>'APU''S'!C602</f>
        <v>m</v>
      </c>
      <c r="E77" s="1246">
        <f ca="1">ROUND(ALDO!BD503,2)</f>
        <v>15.06</v>
      </c>
      <c r="F77" s="1247">
        <f>'APU''S'!B602</f>
        <v>938693</v>
      </c>
      <c r="G77" s="1247">
        <f t="shared" ca="1" si="38"/>
        <v>14136717</v>
      </c>
      <c r="I77" s="1370">
        <f t="shared" ca="1" si="31"/>
        <v>12048010.264650773</v>
      </c>
      <c r="J77" s="1370">
        <f t="shared" ca="1" si="32"/>
        <v>0</v>
      </c>
      <c r="K77" s="1370">
        <f t="shared" ca="1" si="33"/>
        <v>0</v>
      </c>
      <c r="L77" s="1370">
        <f t="shared" ca="1" si="34"/>
        <v>2088706.3153492266</v>
      </c>
      <c r="M77" s="1370">
        <f t="shared" ca="1" si="35"/>
        <v>0</v>
      </c>
      <c r="N77" s="1370">
        <f t="shared" ca="1" si="44"/>
        <v>14136717</v>
      </c>
      <c r="O77" s="1492"/>
      <c r="Q77" s="1365" t="str">
        <f t="shared" si="36"/>
        <v>6.39</v>
      </c>
      <c r="R77" s="1367">
        <f>'APU''S'!G601-AE77</f>
        <v>800000.68158371677</v>
      </c>
      <c r="S77" s="1366">
        <f t="shared" si="39"/>
        <v>0.85224954440239431</v>
      </c>
      <c r="T77" s="1367">
        <v>0</v>
      </c>
      <c r="U77" s="1366">
        <f t="shared" si="40"/>
        <v>0</v>
      </c>
      <c r="V77" s="1367">
        <v>0</v>
      </c>
      <c r="W77" s="1366">
        <f t="shared" si="41"/>
        <v>0</v>
      </c>
      <c r="X77" s="1367">
        <f>'APU''S'!I601</f>
        <v>138692.31841628329</v>
      </c>
      <c r="Y77" s="1366">
        <f t="shared" si="42"/>
        <v>0.14775045559760572</v>
      </c>
      <c r="Z77" s="1367">
        <v>0</v>
      </c>
      <c r="AA77" s="1366">
        <f t="shared" si="43"/>
        <v>0</v>
      </c>
      <c r="AB77" s="1367">
        <f t="shared" si="37"/>
        <v>938693</v>
      </c>
      <c r="AD77" s="1369">
        <f t="shared" si="45"/>
        <v>0</v>
      </c>
      <c r="AE77">
        <v>-0.68158371676690876</v>
      </c>
    </row>
    <row r="78" spans="2:31" ht="27" customHeight="1">
      <c r="B78" s="1245" t="str">
        <f>'APU''S'!I604</f>
        <v>6.40</v>
      </c>
      <c r="C78" s="1260" t="str">
        <f>'APU''S'!B604</f>
        <v>S.T. de cilindro PREFABRICADO para MH de D=1.50 m</v>
      </c>
      <c r="D78" s="1246" t="str">
        <f>'APU''S'!C609</f>
        <v>m</v>
      </c>
      <c r="E78" s="1246">
        <f>ROUND(ALDO!BE237,2)</f>
        <v>2.5</v>
      </c>
      <c r="F78" s="1247">
        <f>'APU''S'!B609</f>
        <v>1538014</v>
      </c>
      <c r="G78" s="1247">
        <f t="shared" si="38"/>
        <v>3845035</v>
      </c>
      <c r="I78" s="1370">
        <f t="shared" si="31"/>
        <v>3498304.2039592918</v>
      </c>
      <c r="J78" s="1370">
        <f t="shared" si="32"/>
        <v>0</v>
      </c>
      <c r="K78" s="1370">
        <f t="shared" si="33"/>
        <v>0</v>
      </c>
      <c r="L78" s="1370">
        <f t="shared" si="34"/>
        <v>346730.79604070826</v>
      </c>
      <c r="M78" s="1370">
        <f t="shared" si="35"/>
        <v>0</v>
      </c>
      <c r="N78" s="1370">
        <f t="shared" si="44"/>
        <v>3845035</v>
      </c>
      <c r="O78" s="1492"/>
      <c r="Q78" s="1365" t="str">
        <f t="shared" si="36"/>
        <v>6.40</v>
      </c>
      <c r="R78" s="1367">
        <f>'APU''S'!G608-AE78</f>
        <v>1399321.6815837168</v>
      </c>
      <c r="S78" s="1366">
        <f t="shared" si="39"/>
        <v>0.90982376076142135</v>
      </c>
      <c r="T78" s="1367">
        <v>0</v>
      </c>
      <c r="U78" s="1366">
        <f t="shared" si="40"/>
        <v>0</v>
      </c>
      <c r="V78" s="1367">
        <v>0</v>
      </c>
      <c r="W78" s="1366">
        <f t="shared" si="41"/>
        <v>0</v>
      </c>
      <c r="X78" s="1367">
        <f>'APU''S'!I608</f>
        <v>138692.31841628329</v>
      </c>
      <c r="Y78" s="1366">
        <f t="shared" si="42"/>
        <v>9.0176239238578648E-2</v>
      </c>
      <c r="Z78" s="1367">
        <v>0</v>
      </c>
      <c r="AA78" s="1366">
        <f t="shared" si="43"/>
        <v>0</v>
      </c>
      <c r="AB78" s="1367">
        <f t="shared" si="37"/>
        <v>1538014</v>
      </c>
      <c r="AD78" s="1369">
        <f t="shared" si="45"/>
        <v>0</v>
      </c>
      <c r="AE78">
        <v>-0.68158371676690876</v>
      </c>
    </row>
    <row r="79" spans="2:31" ht="32.25" customHeight="1">
      <c r="B79" s="1245" t="str">
        <f>'APU''S'!I611</f>
        <v>6.41</v>
      </c>
      <c r="C79" s="1260" t="str">
        <f>'APU''S'!B611</f>
        <v>S.T. Base y Cañuela pozo de inspección para tuberías PREFABRICADO Para MH de D=1.20m</v>
      </c>
      <c r="D79" s="1246" t="str">
        <f>'APU''S'!C616</f>
        <v>und</v>
      </c>
      <c r="E79" s="1246">
        <f ca="1">ROUND(ALDO!BH503-ALDO!BH237,2)</f>
        <v>15</v>
      </c>
      <c r="F79" s="1247">
        <f>'APU''S'!B616</f>
        <v>1164885</v>
      </c>
      <c r="G79" s="1247">
        <f t="shared" ca="1" si="38"/>
        <v>17473275</v>
      </c>
      <c r="I79" s="1370">
        <f t="shared" ca="1" si="31"/>
        <v>15625893.318695104</v>
      </c>
      <c r="J79" s="1370">
        <f t="shared" ca="1" si="32"/>
        <v>0</v>
      </c>
      <c r="K79" s="1370">
        <f t="shared" ca="1" si="33"/>
        <v>0</v>
      </c>
      <c r="L79" s="1370">
        <f t="shared" ca="1" si="34"/>
        <v>1847381.6813048935</v>
      </c>
      <c r="M79" s="1370">
        <f t="shared" ca="1" si="35"/>
        <v>0</v>
      </c>
      <c r="N79" s="1370">
        <f t="shared" ca="1" si="44"/>
        <v>17473275</v>
      </c>
      <c r="O79" s="1492"/>
      <c r="Q79" s="1365" t="str">
        <f t="shared" si="36"/>
        <v>6.41</v>
      </c>
      <c r="R79" s="1367">
        <f>'APU''S'!G615-AE79</f>
        <v>1041726.2212463403</v>
      </c>
      <c r="S79" s="1366">
        <f t="shared" si="39"/>
        <v>0.89427387359811505</v>
      </c>
      <c r="T79" s="1367">
        <v>0</v>
      </c>
      <c r="U79" s="1366">
        <f t="shared" si="40"/>
        <v>0</v>
      </c>
      <c r="V79" s="1367">
        <v>0</v>
      </c>
      <c r="W79" s="1366">
        <f t="shared" si="41"/>
        <v>0</v>
      </c>
      <c r="X79" s="1367">
        <f>'APU''S'!I615</f>
        <v>123158.77875365957</v>
      </c>
      <c r="Y79" s="1366">
        <f t="shared" si="42"/>
        <v>0.10572612640188479</v>
      </c>
      <c r="Z79" s="1367">
        <v>0</v>
      </c>
      <c r="AA79" s="1366">
        <f t="shared" si="43"/>
        <v>0</v>
      </c>
      <c r="AB79" s="1367">
        <f t="shared" si="37"/>
        <v>1164885</v>
      </c>
      <c r="AD79" s="1369">
        <f t="shared" si="45"/>
        <v>0</v>
      </c>
      <c r="AE79">
        <v>-0.22124634031206369</v>
      </c>
    </row>
    <row r="80" spans="2:31" ht="32.25" customHeight="1">
      <c r="B80" s="1245" t="str">
        <f>'APU''S'!I618</f>
        <v>6.42</v>
      </c>
      <c r="C80" s="1260" t="str">
        <f>'APU''S'!B618</f>
        <v>S.T. Base y Cañuela pozo de inspección para tuberías PREFABRICADO Para MH de D=1.50m</v>
      </c>
      <c r="D80" s="1246" t="str">
        <f>'APU''S'!C623</f>
        <v>und</v>
      </c>
      <c r="E80" s="1246">
        <f>ROUND(ALDO!BH237,2)</f>
        <v>1</v>
      </c>
      <c r="F80" s="1247">
        <f>'APU''S'!B623</f>
        <v>2287829</v>
      </c>
      <c r="G80" s="1247">
        <f t="shared" si="38"/>
        <v>2287829</v>
      </c>
      <c r="I80" s="1370">
        <f t="shared" si="31"/>
        <v>2164670.2212463403</v>
      </c>
      <c r="J80" s="1370">
        <f t="shared" si="32"/>
        <v>0</v>
      </c>
      <c r="K80" s="1370">
        <f t="shared" si="33"/>
        <v>0</v>
      </c>
      <c r="L80" s="1370">
        <f t="shared" si="34"/>
        <v>123158.77875365957</v>
      </c>
      <c r="M80" s="1370">
        <f t="shared" si="35"/>
        <v>0</v>
      </c>
      <c r="N80" s="1370">
        <f t="shared" si="44"/>
        <v>2287829</v>
      </c>
      <c r="O80" s="1492"/>
      <c r="Q80" s="1365" t="str">
        <f t="shared" si="36"/>
        <v>6.42</v>
      </c>
      <c r="R80" s="1367">
        <f>'APU''S'!G622-AE80</f>
        <v>2164670.2212463403</v>
      </c>
      <c r="S80" s="1366">
        <f t="shared" si="39"/>
        <v>0.94616783913760172</v>
      </c>
      <c r="T80" s="1367">
        <v>0</v>
      </c>
      <c r="U80" s="1366">
        <f t="shared" si="40"/>
        <v>0</v>
      </c>
      <c r="V80" s="1367">
        <v>0</v>
      </c>
      <c r="W80" s="1366">
        <f t="shared" si="41"/>
        <v>0</v>
      </c>
      <c r="X80" s="1367">
        <f>'APU''S'!I622</f>
        <v>123158.77875365957</v>
      </c>
      <c r="Y80" s="1366">
        <f t="shared" si="42"/>
        <v>5.3832160862398185E-2</v>
      </c>
      <c r="Z80" s="1367">
        <v>0</v>
      </c>
      <c r="AA80" s="1366">
        <f t="shared" si="43"/>
        <v>0</v>
      </c>
      <c r="AB80" s="1367">
        <f t="shared" si="37"/>
        <v>2287829</v>
      </c>
      <c r="AD80" s="1369">
        <f t="shared" si="45"/>
        <v>0</v>
      </c>
      <c r="AE80">
        <v>-0.72124634031206369</v>
      </c>
    </row>
    <row r="81" spans="1:31" ht="15" customHeight="1">
      <c r="B81" s="1245" t="str">
        <f>'APU''S'!I625</f>
        <v>6.43</v>
      </c>
      <c r="C81" s="1260" t="str">
        <f>'APU''S'!B625</f>
        <v>S.T. Cono concentrico PREFABRICADO para MH, D=1.2m h=0.75m</v>
      </c>
      <c r="D81" s="1246" t="str">
        <f>'APU''S'!C630</f>
        <v>und</v>
      </c>
      <c r="E81" s="1246">
        <f ca="1">ROUND(ALDO!BH503-ALDO!BH237,2)</f>
        <v>15</v>
      </c>
      <c r="F81" s="1247">
        <f>'APU''S'!B630</f>
        <v>597085</v>
      </c>
      <c r="G81" s="1247">
        <f t="shared" ca="1" si="38"/>
        <v>8956275</v>
      </c>
      <c r="I81" s="1370">
        <f t="shared" ca="1" si="31"/>
        <v>7500005.6566290259</v>
      </c>
      <c r="J81" s="1370">
        <f t="shared" ca="1" si="32"/>
        <v>0</v>
      </c>
      <c r="K81" s="1370">
        <f t="shared" ca="1" si="33"/>
        <v>0</v>
      </c>
      <c r="L81" s="1370">
        <f t="shared" ca="1" si="34"/>
        <v>1456269.3433709743</v>
      </c>
      <c r="M81" s="1370">
        <f t="shared" ca="1" si="35"/>
        <v>0</v>
      </c>
      <c r="N81" s="1370">
        <f t="shared" ca="1" si="44"/>
        <v>8956275</v>
      </c>
      <c r="O81" s="1492"/>
      <c r="Q81" s="1365" t="str">
        <f t="shared" si="36"/>
        <v>6.43</v>
      </c>
      <c r="R81" s="1367">
        <f>'APU''S'!G629-AE81</f>
        <v>500000.37710860174</v>
      </c>
      <c r="S81" s="1366">
        <f t="shared" si="39"/>
        <v>0.83740234155706761</v>
      </c>
      <c r="T81" s="1367">
        <v>0</v>
      </c>
      <c r="U81" s="1366">
        <f t="shared" si="40"/>
        <v>0</v>
      </c>
      <c r="V81" s="1367">
        <v>0</v>
      </c>
      <c r="W81" s="1366">
        <f t="shared" si="41"/>
        <v>0</v>
      </c>
      <c r="X81" s="1367">
        <f>'APU''S'!I629</f>
        <v>97084.622891398292</v>
      </c>
      <c r="Y81" s="1366">
        <f t="shared" si="42"/>
        <v>0.16259765844293239</v>
      </c>
      <c r="Z81" s="1367">
        <v>0</v>
      </c>
      <c r="AA81" s="1366">
        <f t="shared" si="43"/>
        <v>0</v>
      </c>
      <c r="AB81" s="1367">
        <f t="shared" si="37"/>
        <v>597085</v>
      </c>
      <c r="AD81" s="1369">
        <f t="shared" si="45"/>
        <v>0</v>
      </c>
      <c r="AE81">
        <v>-0.37710860173683614</v>
      </c>
    </row>
    <row r="82" spans="1:31" ht="15" customHeight="1">
      <c r="B82" s="1245" t="str">
        <f>'APU''S'!I632</f>
        <v>6.44</v>
      </c>
      <c r="C82" s="1260" t="str">
        <f>'APU''S'!B632</f>
        <v>S.T. Cono concentrico PREFABRICADO para MH, D=1.5m h=1.10m</v>
      </c>
      <c r="D82" s="1246" t="str">
        <f>'APU''S'!C637</f>
        <v>und</v>
      </c>
      <c r="E82" s="1246">
        <f>ROUND(ALDO!BH237,2)</f>
        <v>1</v>
      </c>
      <c r="F82" s="1247">
        <f>'APU''S'!B637</f>
        <v>1227625</v>
      </c>
      <c r="G82" s="1247">
        <f t="shared" si="38"/>
        <v>1227625</v>
      </c>
      <c r="I82" s="1370">
        <f t="shared" si="31"/>
        <v>1130540.3771086016</v>
      </c>
      <c r="J82" s="1370">
        <f t="shared" si="32"/>
        <v>0</v>
      </c>
      <c r="K82" s="1370">
        <f t="shared" si="33"/>
        <v>0</v>
      </c>
      <c r="L82" s="1370">
        <f t="shared" si="34"/>
        <v>97084.622891398292</v>
      </c>
      <c r="M82" s="1370">
        <f t="shared" si="35"/>
        <v>0</v>
      </c>
      <c r="N82" s="1370">
        <f t="shared" si="44"/>
        <v>1227625</v>
      </c>
      <c r="O82" s="1492"/>
      <c r="Q82" s="1365" t="str">
        <f t="shared" si="36"/>
        <v>6.44</v>
      </c>
      <c r="R82" s="1367">
        <f>'APU''S'!G636-AE82</f>
        <v>1130540.3771086016</v>
      </c>
      <c r="S82" s="1366">
        <f t="shared" si="39"/>
        <v>0.92091671081038717</v>
      </c>
      <c r="T82" s="1367">
        <v>0</v>
      </c>
      <c r="U82" s="1366">
        <f t="shared" si="40"/>
        <v>0</v>
      </c>
      <c r="V82" s="1367">
        <v>0</v>
      </c>
      <c r="W82" s="1366">
        <f t="shared" si="41"/>
        <v>0</v>
      </c>
      <c r="X82" s="1367">
        <f>'APU''S'!I636</f>
        <v>97084.622891398292</v>
      </c>
      <c r="Y82" s="1366">
        <f t="shared" si="42"/>
        <v>7.9083289189612702E-2</v>
      </c>
      <c r="Z82" s="1367">
        <v>0</v>
      </c>
      <c r="AA82" s="1366">
        <f t="shared" si="43"/>
        <v>0</v>
      </c>
      <c r="AB82" s="1367">
        <f t="shared" si="37"/>
        <v>1227625</v>
      </c>
      <c r="AD82" s="1369">
        <f t="shared" si="45"/>
        <v>0</v>
      </c>
      <c r="AE82">
        <v>-0.71044193487614393</v>
      </c>
    </row>
    <row r="83" spans="1:31" ht="15" customHeight="1">
      <c r="B83" s="1245" t="str">
        <f>'APU''S'!I639</f>
        <v>6.45</v>
      </c>
      <c r="C83" s="1260" t="str">
        <f>'APU''S'!B639</f>
        <v>S.T. de tapa polimérica para cámara de inspección, según diseño, incluye anillo/cuello</v>
      </c>
      <c r="D83" s="1246" t="str">
        <f>'APU''S'!C645</f>
        <v>und</v>
      </c>
      <c r="E83" s="1246">
        <f ca="1">ROUND(ALDO!BH503,2)</f>
        <v>16</v>
      </c>
      <c r="F83" s="1247">
        <f>'APU''S'!B645</f>
        <v>1249351</v>
      </c>
      <c r="G83" s="1247">
        <f t="shared" ca="1" si="38"/>
        <v>19989616</v>
      </c>
      <c r="I83" s="1370">
        <f t="shared" ca="1" si="31"/>
        <v>18570270.545454547</v>
      </c>
      <c r="J83" s="1370">
        <f t="shared" ca="1" si="32"/>
        <v>0</v>
      </c>
      <c r="K83" s="1370">
        <f t="shared" ca="1" si="33"/>
        <v>0</v>
      </c>
      <c r="L83" s="1370">
        <f t="shared" ca="1" si="34"/>
        <v>1419345.4545454546</v>
      </c>
      <c r="M83" s="1370">
        <f t="shared" ca="1" si="35"/>
        <v>0</v>
      </c>
      <c r="N83" s="1370">
        <f t="shared" ca="1" si="44"/>
        <v>19989616</v>
      </c>
      <c r="O83" s="1492"/>
      <c r="Q83" s="1365" t="str">
        <f t="shared" si="36"/>
        <v>6.45</v>
      </c>
      <c r="R83" s="1367">
        <f>'APU''S'!G644-AE83</f>
        <v>1160641.9090909092</v>
      </c>
      <c r="S83" s="1366">
        <f t="shared" si="39"/>
        <v>0.92899586192423844</v>
      </c>
      <c r="T83" s="1367">
        <v>0</v>
      </c>
      <c r="U83" s="1366">
        <f t="shared" si="40"/>
        <v>0</v>
      </c>
      <c r="V83" s="1367">
        <v>0</v>
      </c>
      <c r="W83" s="1366">
        <f t="shared" si="41"/>
        <v>0</v>
      </c>
      <c r="X83" s="1367">
        <f>'APU''S'!I644</f>
        <v>88709.090909090912</v>
      </c>
      <c r="Y83" s="1366">
        <f t="shared" si="42"/>
        <v>7.1004138075761669E-2</v>
      </c>
      <c r="Z83" s="1367">
        <v>0</v>
      </c>
      <c r="AA83" s="1366">
        <f t="shared" si="43"/>
        <v>0</v>
      </c>
      <c r="AB83" s="1367">
        <f t="shared" si="37"/>
        <v>1249351</v>
      </c>
      <c r="AD83" s="1369">
        <f>R83+T83+V83+X83+Z83-AB83</f>
        <v>0</v>
      </c>
      <c r="AE83">
        <v>-0.90909090917557478</v>
      </c>
    </row>
    <row r="84" spans="1:31" ht="18.75" customHeight="1">
      <c r="B84" s="1549" t="str">
        <f>'APU''S'!B647</f>
        <v>7. COLOCACIÓN (C) O INSTALACIÓN (I) DE TUBERÍAS, ACCESORIOS, PREFABRICADOS Y EQUIPOS</v>
      </c>
      <c r="C84" s="1549"/>
      <c r="D84" s="1549"/>
      <c r="E84" s="1549"/>
      <c r="F84" s="1549"/>
      <c r="G84" s="1243">
        <f ca="1">ROUND(SUM(G85:G129),0)</f>
        <v>193916454</v>
      </c>
      <c r="I84" s="1371">
        <f ca="1">SUM(I85:I129)</f>
        <v>29735693.024852436</v>
      </c>
      <c r="J84" s="1371">
        <f t="shared" ref="J84:M84" ca="1" si="46">SUM(J85:J129)</f>
        <v>93630626.047421902</v>
      </c>
      <c r="K84" s="1371">
        <f t="shared" ca="1" si="46"/>
        <v>54707750.973643154</v>
      </c>
      <c r="L84" s="1371">
        <f t="shared" ca="1" si="46"/>
        <v>7418872</v>
      </c>
      <c r="M84" s="1371">
        <f t="shared" ca="1" si="46"/>
        <v>8424688</v>
      </c>
      <c r="N84" s="1371">
        <f t="shared" ca="1" si="44"/>
        <v>193917630</v>
      </c>
      <c r="O84" s="1492"/>
      <c r="Q84"/>
      <c r="R84" s="1368"/>
      <c r="S84"/>
      <c r="T84" s="1368"/>
      <c r="U84"/>
      <c r="V84" s="1368"/>
      <c r="W84"/>
      <c r="X84" s="1368"/>
      <c r="Y84"/>
      <c r="Z84" s="1368"/>
      <c r="AA84"/>
      <c r="AB84" s="1368"/>
      <c r="AD84" s="1369"/>
    </row>
    <row r="85" spans="1:31" ht="15" customHeight="1">
      <c r="A85" s="1261"/>
      <c r="B85" s="1245" t="str">
        <f>'APU''S'!I649</f>
        <v>7.1</v>
      </c>
      <c r="C85" s="1260" t="str">
        <f>'APU''S'!B649</f>
        <v>I. Tubería PVC Alcantarillado Ø 250 mm (10")</v>
      </c>
      <c r="D85" s="1246" t="str">
        <f>'APU''S'!C658</f>
        <v>m</v>
      </c>
      <c r="E85" s="1246">
        <f t="shared" ref="E85:E123" si="47">ROUND(E39,2)</f>
        <v>288</v>
      </c>
      <c r="F85" s="1247">
        <f>'APU''S'!B658</f>
        <v>36097</v>
      </c>
      <c r="G85" s="1247">
        <f>ROUND(E85*F85,0)</f>
        <v>10395936</v>
      </c>
      <c r="I85" s="1370">
        <f t="shared" ref="I85:I129" si="48">E85*F85*S85</f>
        <v>1121567.9999999986</v>
      </c>
      <c r="J85" s="1370">
        <f t="shared" ref="J85:J129" si="49">E85*F85*U85</f>
        <v>5699280</v>
      </c>
      <c r="K85" s="1370">
        <f t="shared" ref="K85:K129" si="50">E85*F85*W85</f>
        <v>3143088.0000000009</v>
      </c>
      <c r="L85" s="1370">
        <f t="shared" ref="L85:L128" si="51">E85*F85*Y85</f>
        <v>432000</v>
      </c>
      <c r="M85" s="1370">
        <f t="shared" ref="M85:M129" si="52">E85*F85*AA85</f>
        <v>0</v>
      </c>
      <c r="N85" s="1370">
        <f t="shared" si="44"/>
        <v>10395936</v>
      </c>
      <c r="O85" s="1492"/>
      <c r="Q85" s="1365" t="str">
        <f t="shared" ref="Q85:Q129" si="53">B85</f>
        <v>7.1</v>
      </c>
      <c r="R85" s="1367">
        <f>'APU''S'!G657+'APU''S'!I656-AE85</f>
        <v>3894.333333333328</v>
      </c>
      <c r="S85" s="1366">
        <f t="shared" si="39"/>
        <v>0.10788523515342904</v>
      </c>
      <c r="T85" s="1367">
        <f>'APU''S'!H654+'APU''S'!I653</f>
        <v>19789.166666666668</v>
      </c>
      <c r="U85" s="1366">
        <f t="shared" si="40"/>
        <v>0.5482219205658827</v>
      </c>
      <c r="V85" s="1367">
        <f>'APU''S'!H655</f>
        <v>10913.500000000002</v>
      </c>
      <c r="W85" s="1366">
        <f t="shared" si="41"/>
        <v>0.3023381444441367</v>
      </c>
      <c r="X85" s="1367">
        <f>'APU''S'!I651</f>
        <v>1500</v>
      </c>
      <c r="Y85" s="1366">
        <f t="shared" si="42"/>
        <v>4.1554699836551516E-2</v>
      </c>
      <c r="Z85" s="1367">
        <v>0</v>
      </c>
      <c r="AA85" s="1366">
        <f t="shared" si="43"/>
        <v>0</v>
      </c>
      <c r="AB85" s="1367">
        <f t="shared" ref="AB85:AB129" si="54">F85</f>
        <v>36097</v>
      </c>
      <c r="AD85" s="1369">
        <f t="shared" si="45"/>
        <v>0</v>
      </c>
      <c r="AE85">
        <v>-0.99166666666133096</v>
      </c>
    </row>
    <row r="86" spans="1:31" ht="15" customHeight="1">
      <c r="A86" s="1261"/>
      <c r="B86" s="1245" t="str">
        <f>'APU''S'!I660</f>
        <v>7.2</v>
      </c>
      <c r="C86" s="1260" t="str">
        <f>'APU''S'!B660</f>
        <v>I. Tubería PVC Alcantarillado Ø 315 mm (12")</v>
      </c>
      <c r="D86" s="1246" t="str">
        <f>'APU''S'!C669</f>
        <v>m</v>
      </c>
      <c r="E86" s="1246">
        <f t="shared" ca="1" si="47"/>
        <v>986.84</v>
      </c>
      <c r="F86" s="1247">
        <f>'APU''S'!B669</f>
        <v>39492</v>
      </c>
      <c r="G86" s="1247">
        <f t="shared" ref="G86:G129" ca="1" si="55">ROUND(E86*F86,0)</f>
        <v>38972285</v>
      </c>
      <c r="I86" s="1370">
        <f t="shared" ca="1" si="48"/>
        <v>4002330.6429629549</v>
      </c>
      <c r="J86" s="1370">
        <f t="shared" ca="1" si="49"/>
        <v>21523163.148148149</v>
      </c>
      <c r="K86" s="1370">
        <f t="shared" ca="1" si="50"/>
        <v>11966531.488888891</v>
      </c>
      <c r="L86" s="1370">
        <f t="shared" ca="1" si="51"/>
        <v>1480260</v>
      </c>
      <c r="M86" s="1370">
        <f t="shared" ca="1" si="52"/>
        <v>0</v>
      </c>
      <c r="N86" s="1370">
        <f t="shared" ca="1" si="44"/>
        <v>38972285</v>
      </c>
      <c r="O86" s="1492"/>
      <c r="Q86" s="1365" t="str">
        <f t="shared" si="53"/>
        <v>7.2</v>
      </c>
      <c r="R86" s="1367">
        <f>'APU''S'!I667+'APU''S'!G663-AE86</f>
        <v>4055.7037037036953</v>
      </c>
      <c r="S86" s="1366">
        <f t="shared" si="39"/>
        <v>0.10269684249224388</v>
      </c>
      <c r="T86" s="1367">
        <f>'APU''S'!I664+'APU''S'!H665</f>
        <v>21810.185185185186</v>
      </c>
      <c r="U86" s="1366">
        <f t="shared" si="40"/>
        <v>0.55226843880242038</v>
      </c>
      <c r="V86" s="1367">
        <f>'APU''S'!H666</f>
        <v>12126.111111111113</v>
      </c>
      <c r="W86" s="1366">
        <f t="shared" si="41"/>
        <v>0.30705234252788194</v>
      </c>
      <c r="X86" s="1367">
        <f>'APU''S'!I662</f>
        <v>1500</v>
      </c>
      <c r="Y86" s="1366">
        <f t="shared" si="42"/>
        <v>3.7982376177453661E-2</v>
      </c>
      <c r="Z86" s="1367">
        <v>0</v>
      </c>
      <c r="AA86" s="1366">
        <f t="shared" si="43"/>
        <v>0</v>
      </c>
      <c r="AB86" s="1367">
        <f t="shared" si="54"/>
        <v>39492</v>
      </c>
      <c r="AD86" s="1369">
        <f t="shared" si="45"/>
        <v>0</v>
      </c>
      <c r="AE86">
        <v>-0.68055555554747116</v>
      </c>
    </row>
    <row r="87" spans="1:31" ht="15" customHeight="1">
      <c r="A87" s="1261"/>
      <c r="B87" s="1245" t="str">
        <f>'APU''S'!I671</f>
        <v>7.3</v>
      </c>
      <c r="C87" s="1260" t="str">
        <f>'APU''S'!B671</f>
        <v>I. Tubería PVC Alcantarillado Ø 355 mm (14")</v>
      </c>
      <c r="D87" s="1246" t="str">
        <f>'APU''S'!C680</f>
        <v>m</v>
      </c>
      <c r="E87" s="1246">
        <f t="shared" ca="1" si="47"/>
        <v>15.39</v>
      </c>
      <c r="F87" s="1247">
        <f>'APU''S'!B680</f>
        <v>44346</v>
      </c>
      <c r="G87" s="1247">
        <f t="shared" ca="1" si="55"/>
        <v>682485</v>
      </c>
      <c r="I87" s="1370">
        <f t="shared" ca="1" si="48"/>
        <v>74913.389999999941</v>
      </c>
      <c r="J87" s="1370">
        <f t="shared" ca="1" si="49"/>
        <v>374538.09375000012</v>
      </c>
      <c r="K87" s="1370">
        <f t="shared" ca="1" si="50"/>
        <v>209948.45625000005</v>
      </c>
      <c r="L87" s="1370">
        <f t="shared" ca="1" si="51"/>
        <v>23085.000000000004</v>
      </c>
      <c r="M87" s="1370">
        <f t="shared" ca="1" si="52"/>
        <v>0</v>
      </c>
      <c r="N87" s="1370">
        <f t="shared" ca="1" si="44"/>
        <v>682485</v>
      </c>
      <c r="O87" s="1492"/>
      <c r="Q87" s="1365" t="str">
        <f t="shared" si="53"/>
        <v>7.3</v>
      </c>
      <c r="R87" s="1367">
        <f>'APU''S'!G674+'APU''S'!I678-AE87</f>
        <v>4867.6666666666624</v>
      </c>
      <c r="S87" s="1366">
        <f t="shared" si="39"/>
        <v>0.10976563087238222</v>
      </c>
      <c r="T87" s="1367">
        <f>'APU''S'!I675+'APU''S'!H676</f>
        <v>24336.458333333336</v>
      </c>
      <c r="U87" s="1366">
        <f t="shared" si="40"/>
        <v>0.54878587320915839</v>
      </c>
      <c r="V87" s="1367">
        <f>'APU''S'!H677</f>
        <v>13641.875000000002</v>
      </c>
      <c r="W87" s="1366">
        <f t="shared" si="41"/>
        <v>0.30762357371578047</v>
      </c>
      <c r="X87" s="1367">
        <f>'APU''S'!I673</f>
        <v>1500</v>
      </c>
      <c r="Y87" s="1366">
        <f t="shared" si="42"/>
        <v>3.3824922202678936E-2</v>
      </c>
      <c r="Z87" s="1367">
        <v>0</v>
      </c>
      <c r="AA87" s="1366">
        <f t="shared" si="43"/>
        <v>0</v>
      </c>
      <c r="AB87" s="1367">
        <f t="shared" si="54"/>
        <v>44346</v>
      </c>
      <c r="AD87" s="1369">
        <f t="shared" si="45"/>
        <v>0</v>
      </c>
      <c r="AE87">
        <v>-0.98958333332848269</v>
      </c>
    </row>
    <row r="88" spans="1:31" ht="15" customHeight="1">
      <c r="A88" s="1261"/>
      <c r="B88" s="1245" t="str">
        <f>'APU''S'!I682</f>
        <v>7.4</v>
      </c>
      <c r="C88" s="1260" t="str">
        <f>'APU''S'!B682</f>
        <v>I. Tubería PVC Alcantarillado Ø 400 mm (16")</v>
      </c>
      <c r="D88" s="1246" t="str">
        <f>'APU''S'!C691</f>
        <v>m</v>
      </c>
      <c r="E88" s="1246">
        <f t="shared" ca="1" si="47"/>
        <v>100.45</v>
      </c>
      <c r="F88" s="1247">
        <f>'APU''S'!B691</f>
        <v>50238</v>
      </c>
      <c r="G88" s="1247">
        <f t="shared" ca="1" si="55"/>
        <v>5046407</v>
      </c>
      <c r="I88" s="1370">
        <f t="shared" ca="1" si="48"/>
        <v>558779.43333333195</v>
      </c>
      <c r="J88" s="1370">
        <f t="shared" ca="1" si="49"/>
        <v>2770865.4166666674</v>
      </c>
      <c r="K88" s="1370">
        <f t="shared" ca="1" si="50"/>
        <v>1566087.2500000007</v>
      </c>
      <c r="L88" s="1370">
        <f t="shared" ca="1" si="51"/>
        <v>150675.00000000003</v>
      </c>
      <c r="M88" s="1370">
        <f t="shared" ca="1" si="52"/>
        <v>0</v>
      </c>
      <c r="N88" s="1370">
        <f t="shared" ca="1" si="44"/>
        <v>5046407</v>
      </c>
      <c r="O88" s="1492"/>
      <c r="Q88" s="1365" t="str">
        <f t="shared" si="53"/>
        <v>7.4</v>
      </c>
      <c r="R88" s="1367">
        <f>'APU''S'!I689+'APU''S'!G685-AE88</f>
        <v>5562.76190476189</v>
      </c>
      <c r="S88" s="1366">
        <f t="shared" si="39"/>
        <v>0.1107281719965343</v>
      </c>
      <c r="T88" s="1367">
        <f>'APU''S'!H687+'APU''S'!I686</f>
        <v>27584.523809523816</v>
      </c>
      <c r="U88" s="1366">
        <f t="shared" si="40"/>
        <v>0.54907687028790586</v>
      </c>
      <c r="V88" s="1367">
        <f>'APU''S'!H688</f>
        <v>15590.714285714292</v>
      </c>
      <c r="W88" s="1366">
        <f t="shared" si="41"/>
        <v>0.31033708120773701</v>
      </c>
      <c r="X88" s="1367">
        <f>'APU''S'!I684</f>
        <v>1500</v>
      </c>
      <c r="Y88" s="1366">
        <f t="shared" si="42"/>
        <v>2.9857876507822765E-2</v>
      </c>
      <c r="Z88" s="1367">
        <v>0</v>
      </c>
      <c r="AA88" s="1366">
        <f t="shared" si="43"/>
        <v>0</v>
      </c>
      <c r="AB88" s="1367">
        <f t="shared" si="54"/>
        <v>50238</v>
      </c>
      <c r="AD88" s="1369">
        <f t="shared" si="45"/>
        <v>0</v>
      </c>
      <c r="AE88">
        <v>-0.84523809522215743</v>
      </c>
    </row>
    <row r="89" spans="1:31" ht="15" customHeight="1">
      <c r="A89" s="1261"/>
      <c r="B89" s="1245" t="str">
        <f>'APU''S'!I693</f>
        <v>7.5</v>
      </c>
      <c r="C89" s="1260" t="str">
        <f>'APU''S'!B693</f>
        <v>I. Tubería PVC Alcantarillado Ø 450 mm (18")</v>
      </c>
      <c r="D89" s="1246" t="str">
        <f>'APU''S'!C702</f>
        <v>m</v>
      </c>
      <c r="E89" s="1246">
        <f t="shared" ca="1" si="47"/>
        <v>41.52</v>
      </c>
      <c r="F89" s="1247">
        <f>'APU''S'!B702</f>
        <v>58094</v>
      </c>
      <c r="G89" s="1247">
        <f t="shared" ca="1" si="55"/>
        <v>2412063</v>
      </c>
      <c r="I89" s="1370">
        <f t="shared" ca="1" si="48"/>
        <v>269446.34666666621</v>
      </c>
      <c r="J89" s="1370">
        <f t="shared" ca="1" si="49"/>
        <v>1325122.3333333337</v>
      </c>
      <c r="K89" s="1370">
        <f t="shared" ca="1" si="50"/>
        <v>755214.2000000003</v>
      </c>
      <c r="L89" s="1370">
        <f t="shared" ca="1" si="51"/>
        <v>62280.000000000007</v>
      </c>
      <c r="M89" s="1370">
        <f t="shared" ca="1" si="52"/>
        <v>0</v>
      </c>
      <c r="N89" s="1370">
        <f t="shared" ca="1" si="44"/>
        <v>2412063</v>
      </c>
      <c r="O89" s="1492"/>
      <c r="Q89" s="1365" t="str">
        <f t="shared" si="53"/>
        <v>7.5</v>
      </c>
      <c r="R89" s="1367">
        <f>'APU''S'!I700+'APU''S'!G696-AE89</f>
        <v>6489.5555555555447</v>
      </c>
      <c r="S89" s="1366">
        <f t="shared" si="39"/>
        <v>0.11170784513986891</v>
      </c>
      <c r="T89" s="1367">
        <f>'APU''S'!H698+'APU''S'!I697</f>
        <v>31915.277777777785</v>
      </c>
      <c r="U89" s="1366">
        <f t="shared" si="40"/>
        <v>0.54937304674799092</v>
      </c>
      <c r="V89" s="1367">
        <f>'APU''S'!H699</f>
        <v>18189.166666666672</v>
      </c>
      <c r="W89" s="1366">
        <f t="shared" si="41"/>
        <v>0.31309888571395794</v>
      </c>
      <c r="X89" s="1367">
        <f>'APU''S'!I695</f>
        <v>1500</v>
      </c>
      <c r="Y89" s="1366">
        <f t="shared" si="42"/>
        <v>2.5820222398182255E-2</v>
      </c>
      <c r="Z89" s="1367">
        <v>0</v>
      </c>
      <c r="AA89" s="1366">
        <f t="shared" si="43"/>
        <v>0</v>
      </c>
      <c r="AB89" s="1367">
        <f t="shared" si="54"/>
        <v>58094</v>
      </c>
      <c r="AD89" s="1369">
        <f t="shared" si="45"/>
        <v>0</v>
      </c>
      <c r="AE89">
        <v>-0.65277777776645962</v>
      </c>
    </row>
    <row r="90" spans="1:31" ht="15" customHeight="1">
      <c r="A90" s="1261"/>
      <c r="B90" s="1245" t="str">
        <f>'APU''S'!I704</f>
        <v>7.6</v>
      </c>
      <c r="C90" s="1260" t="str">
        <f>'APU''S'!B704</f>
        <v>I. Tubería PVC Alcantarillado Ø500 mm (20")</v>
      </c>
      <c r="D90" s="1246" t="str">
        <f>'APU''S'!C713</f>
        <v>m</v>
      </c>
      <c r="E90" s="1246">
        <f t="shared" ca="1" si="47"/>
        <v>99.7</v>
      </c>
      <c r="F90" s="1247">
        <f>'APU''S'!B713</f>
        <v>69093</v>
      </c>
      <c r="G90" s="1247">
        <f t="shared" ca="1" si="55"/>
        <v>6888572</v>
      </c>
      <c r="I90" s="1370">
        <f t="shared" ca="1" si="48"/>
        <v>776430.36666666577</v>
      </c>
      <c r="J90" s="1370">
        <f t="shared" ca="1" si="49"/>
        <v>3786439.8333333344</v>
      </c>
      <c r="K90" s="1370">
        <f t="shared" ca="1" si="50"/>
        <v>2176151.9000000004</v>
      </c>
      <c r="L90" s="1370">
        <f t="shared" ca="1" si="51"/>
        <v>149550</v>
      </c>
      <c r="M90" s="1370">
        <f t="shared" ca="1" si="52"/>
        <v>0</v>
      </c>
      <c r="N90" s="1370">
        <f t="shared" ca="1" si="44"/>
        <v>6888572</v>
      </c>
      <c r="O90" s="1492"/>
      <c r="Q90" s="1365" t="str">
        <f t="shared" si="53"/>
        <v>7.6</v>
      </c>
      <c r="R90" s="1367">
        <f>'APU''S'!G707+'APU''S'!I711-AE90</f>
        <v>7787.6666666666561</v>
      </c>
      <c r="S90" s="1366">
        <f t="shared" si="39"/>
        <v>0.11271281702439692</v>
      </c>
      <c r="T90" s="1367">
        <f>'APU''S'!H709+'APU''S'!I708</f>
        <v>37978.333333333336</v>
      </c>
      <c r="U90" s="1366">
        <f t="shared" si="40"/>
        <v>0.54966976876576989</v>
      </c>
      <c r="V90" s="1367">
        <f>'APU''S'!H710</f>
        <v>21827.000000000004</v>
      </c>
      <c r="W90" s="1366">
        <f t="shared" si="41"/>
        <v>0.31590754490324641</v>
      </c>
      <c r="X90" s="1367">
        <f>'APU''S'!I706</f>
        <v>1500</v>
      </c>
      <c r="Y90" s="1366">
        <f t="shared" si="42"/>
        <v>2.1709869306586773E-2</v>
      </c>
      <c r="Z90" s="1367">
        <v>0</v>
      </c>
      <c r="AA90" s="1366">
        <f t="shared" si="43"/>
        <v>0</v>
      </c>
      <c r="AB90" s="1367">
        <f t="shared" si="54"/>
        <v>69093</v>
      </c>
      <c r="AD90" s="1369">
        <f t="shared" si="45"/>
        <v>0</v>
      </c>
      <c r="AE90">
        <v>-0.98333333332266193</v>
      </c>
    </row>
    <row r="91" spans="1:31" ht="15" customHeight="1">
      <c r="A91" s="1261"/>
      <c r="B91" s="1245" t="str">
        <f>'APU''S'!I715</f>
        <v>7.7</v>
      </c>
      <c r="C91" s="1260" t="str">
        <f>'APU''S'!B715</f>
        <v>I. de Tubería PVC Alcantarillado Ø 150 mm (6")</v>
      </c>
      <c r="D91" s="1246" t="str">
        <f>'APU''S'!C723</f>
        <v>m</v>
      </c>
      <c r="E91" s="1246">
        <f t="shared" si="47"/>
        <v>1896</v>
      </c>
      <c r="F91" s="1247">
        <f>'APU''S'!B723</f>
        <v>23498</v>
      </c>
      <c r="G91" s="1247">
        <f t="shared" si="55"/>
        <v>44552208</v>
      </c>
      <c r="I91" s="1370">
        <f t="shared" si="48"/>
        <v>4922437.3333333293</v>
      </c>
      <c r="J91" s="1370">
        <f t="shared" si="49"/>
        <v>22991106.666666668</v>
      </c>
      <c r="K91" s="1370">
        <f t="shared" si="50"/>
        <v>13794664.000000002</v>
      </c>
      <c r="L91" s="1370">
        <f t="shared" si="51"/>
        <v>2843999.9999999995</v>
      </c>
      <c r="M91" s="1370">
        <f t="shared" si="52"/>
        <v>0</v>
      </c>
      <c r="N91" s="1370">
        <f t="shared" si="44"/>
        <v>44552208</v>
      </c>
      <c r="O91" s="1492"/>
      <c r="Q91" s="1365" t="str">
        <f t="shared" si="53"/>
        <v>7.7</v>
      </c>
      <c r="R91" s="1367">
        <f>'APU''S'!G718+'APU''S'!I721-AE91</f>
        <v>2596.2222222222199</v>
      </c>
      <c r="S91" s="1366">
        <f t="shared" si="39"/>
        <v>0.11048694451537237</v>
      </c>
      <c r="T91" s="1367">
        <f>'APU''S'!H719</f>
        <v>12126.111111111111</v>
      </c>
      <c r="U91" s="1366">
        <f t="shared" si="40"/>
        <v>0.51604864716618914</v>
      </c>
      <c r="V91" s="1367">
        <f>'APU''S'!H720</f>
        <v>7275.6666666666679</v>
      </c>
      <c r="W91" s="1366">
        <f t="shared" si="41"/>
        <v>0.30962918829971348</v>
      </c>
      <c r="X91" s="1367">
        <f>'APU''S'!I717</f>
        <v>1500</v>
      </c>
      <c r="Y91" s="1366">
        <f t="shared" si="42"/>
        <v>6.3835220018724992E-2</v>
      </c>
      <c r="Z91" s="1367">
        <v>0</v>
      </c>
      <c r="AA91" s="1366">
        <f t="shared" si="43"/>
        <v>0</v>
      </c>
      <c r="AB91" s="1367">
        <f t="shared" si="54"/>
        <v>23498</v>
      </c>
      <c r="AD91" s="1369">
        <f t="shared" si="45"/>
        <v>0</v>
      </c>
      <c r="AE91">
        <v>-0.66111111110876664</v>
      </c>
    </row>
    <row r="92" spans="1:31" ht="15" customHeight="1">
      <c r="A92" s="1261"/>
      <c r="B92" s="1245" t="str">
        <f>'APU''S'!I725</f>
        <v>7.8</v>
      </c>
      <c r="C92" s="1260" t="str">
        <f>'APU''S'!B725</f>
        <v>I. Silla Yee PVC Alcantarillado  de 315 mm (12") x 160 mm</v>
      </c>
      <c r="D92" s="1246" t="str">
        <f>'APU''S'!C734</f>
        <v>und</v>
      </c>
      <c r="E92" s="1246">
        <f t="shared" ca="1" si="47"/>
        <v>253</v>
      </c>
      <c r="F92" s="1247">
        <f>'APU''S'!B734</f>
        <v>65897</v>
      </c>
      <c r="G92" s="1247">
        <f t="shared" ca="1" si="55"/>
        <v>16671941</v>
      </c>
      <c r="I92" s="1370">
        <f t="shared" ca="1" si="48"/>
        <v>7798421.3999999966</v>
      </c>
      <c r="J92" s="1370">
        <f t="shared" ca="1" si="49"/>
        <v>5522231.0000000009</v>
      </c>
      <c r="K92" s="1370">
        <f t="shared" ca="1" si="50"/>
        <v>3313338.600000001</v>
      </c>
      <c r="L92" s="1370">
        <f t="shared" ca="1" si="51"/>
        <v>37950</v>
      </c>
      <c r="M92" s="1370">
        <f t="shared" ca="1" si="52"/>
        <v>0</v>
      </c>
      <c r="N92" s="1370">
        <f t="shared" ca="1" si="44"/>
        <v>16671941</v>
      </c>
      <c r="O92" s="1492"/>
      <c r="Q92" s="1365" t="str">
        <f t="shared" si="53"/>
        <v>7.8</v>
      </c>
      <c r="R92" s="1367">
        <f>'APU''S'!I732+'APU''S'!G728+'APU''S'!G729-AE92</f>
        <v>30823.799999999988</v>
      </c>
      <c r="S92" s="1366">
        <f t="shared" si="39"/>
        <v>0.46775725753827924</v>
      </c>
      <c r="T92" s="1367">
        <f>'APU''S'!H730</f>
        <v>21827.000000000004</v>
      </c>
      <c r="U92" s="1366">
        <f t="shared" si="40"/>
        <v>0.33122903925823638</v>
      </c>
      <c r="V92" s="1367">
        <f>'APU''S'!H731</f>
        <v>13096.200000000004</v>
      </c>
      <c r="W92" s="1366">
        <f t="shared" si="41"/>
        <v>0.19873742355494187</v>
      </c>
      <c r="X92" s="1367">
        <f>'APU''S'!I727</f>
        <v>150</v>
      </c>
      <c r="Y92" s="1366">
        <f t="shared" si="42"/>
        <v>2.2762796485424224E-3</v>
      </c>
      <c r="Z92" s="1367">
        <v>0</v>
      </c>
      <c r="AA92" s="1366">
        <f t="shared" si="43"/>
        <v>0</v>
      </c>
      <c r="AB92" s="1367">
        <f t="shared" si="54"/>
        <v>65897</v>
      </c>
      <c r="AD92" s="1369">
        <f t="shared" si="45"/>
        <v>0</v>
      </c>
      <c r="AE92">
        <v>-0.63999999998486601</v>
      </c>
    </row>
    <row r="93" spans="1:31" ht="15" customHeight="1">
      <c r="A93" s="1261"/>
      <c r="B93" s="1245" t="str">
        <f>'APU''S'!I736</f>
        <v>7.9</v>
      </c>
      <c r="C93" s="1260" t="str">
        <f>'APU''S'!B736</f>
        <v>I. Silla Yee PVC Alcantarillado  de 355 mm (14") x 160 mm</v>
      </c>
      <c r="D93" s="1246" t="str">
        <f>'APU''S'!C745</f>
        <v>und</v>
      </c>
      <c r="E93" s="1246">
        <f t="shared" ca="1" si="47"/>
        <v>1</v>
      </c>
      <c r="F93" s="1247">
        <f>'APU''S'!B745</f>
        <v>78728</v>
      </c>
      <c r="G93" s="1247">
        <f t="shared" ca="1" si="55"/>
        <v>78728</v>
      </c>
      <c r="I93" s="1370">
        <f t="shared" ca="1" si="48"/>
        <v>34924</v>
      </c>
      <c r="J93" s="1370">
        <f t="shared" ca="1" si="49"/>
        <v>27283.750000000004</v>
      </c>
      <c r="K93" s="1370">
        <f t="shared" ca="1" si="50"/>
        <v>16370.250000000004</v>
      </c>
      <c r="L93" s="1370">
        <f t="shared" ca="1" si="51"/>
        <v>150</v>
      </c>
      <c r="M93" s="1370">
        <f t="shared" ca="1" si="52"/>
        <v>0</v>
      </c>
      <c r="N93" s="1370">
        <f t="shared" ca="1" si="44"/>
        <v>78728</v>
      </c>
      <c r="O93" s="1492"/>
      <c r="Q93" s="1365" t="str">
        <f t="shared" si="53"/>
        <v>7.9</v>
      </c>
      <c r="R93" s="1367">
        <f>'APU''S'!I743+'APU''S'!G739+'APU''S'!G740-AE93</f>
        <v>34924</v>
      </c>
      <c r="S93" s="1366">
        <f t="shared" si="39"/>
        <v>0.44360329234833856</v>
      </c>
      <c r="T93" s="1367">
        <f>'APU''S'!H741</f>
        <v>27283.750000000004</v>
      </c>
      <c r="U93" s="1366">
        <f t="shared" si="40"/>
        <v>0.34655713342140032</v>
      </c>
      <c r="V93" s="1367">
        <f>'APU''S'!H742</f>
        <v>16370.250000000004</v>
      </c>
      <c r="W93" s="1366">
        <f t="shared" si="41"/>
        <v>0.2079342800528402</v>
      </c>
      <c r="X93" s="1367">
        <f>'APU''S'!I738</f>
        <v>150</v>
      </c>
      <c r="Y93" s="1366">
        <f t="shared" si="42"/>
        <v>1.9052941774209938E-3</v>
      </c>
      <c r="Z93" s="1367">
        <v>0</v>
      </c>
      <c r="AA93" s="1366">
        <f t="shared" si="43"/>
        <v>0</v>
      </c>
      <c r="AB93" s="1367">
        <f t="shared" si="54"/>
        <v>78728</v>
      </c>
      <c r="AD93" s="1369">
        <f t="shared" si="45"/>
        <v>0</v>
      </c>
      <c r="AE93">
        <v>-7.4999999997089617E-2</v>
      </c>
    </row>
    <row r="94" spans="1:31" ht="15" customHeight="1">
      <c r="A94" s="1261"/>
      <c r="B94" s="1245" t="str">
        <f>'APU''S'!I747</f>
        <v>7.10</v>
      </c>
      <c r="C94" s="1260" t="str">
        <f>'APU''S'!B747</f>
        <v>I. Silla Yee PVC Alcantarillado  de 400 mm (16") x 160 mm</v>
      </c>
      <c r="D94" s="1246" t="str">
        <f>'APU''S'!C756</f>
        <v>und</v>
      </c>
      <c r="E94" s="1246">
        <f t="shared" ca="1" si="47"/>
        <v>25</v>
      </c>
      <c r="F94" s="1247">
        <f>'APU''S'!B756</f>
        <v>84608</v>
      </c>
      <c r="G94" s="1247">
        <f t="shared" ca="1" si="55"/>
        <v>2115200</v>
      </c>
      <c r="I94" s="1370">
        <f t="shared" ca="1" si="48"/>
        <v>947343.33333333314</v>
      </c>
      <c r="J94" s="1370">
        <f t="shared" ca="1" si="49"/>
        <v>727566.66666666674</v>
      </c>
      <c r="K94" s="1370">
        <f t="shared" ca="1" si="50"/>
        <v>436540.00000000006</v>
      </c>
      <c r="L94" s="1370">
        <f t="shared" ca="1" si="51"/>
        <v>3750</v>
      </c>
      <c r="M94" s="1370">
        <f t="shared" ca="1" si="52"/>
        <v>0</v>
      </c>
      <c r="N94" s="1370">
        <f t="shared" ca="1" si="44"/>
        <v>2115200</v>
      </c>
      <c r="O94" s="1492"/>
      <c r="Q94" s="1365" t="str">
        <f t="shared" si="53"/>
        <v>7.10</v>
      </c>
      <c r="R94" s="1367">
        <f>'APU''S'!G750+'APU''S'!G751+'APU''S'!I754-AE94</f>
        <v>37893.733333333323</v>
      </c>
      <c r="S94" s="1366">
        <f t="shared" si="39"/>
        <v>0.44787411749873918</v>
      </c>
      <c r="T94" s="1367">
        <f>'APU''S'!H752</f>
        <v>29102.666666666672</v>
      </c>
      <c r="U94" s="1366">
        <f t="shared" si="40"/>
        <v>0.34397062531517908</v>
      </c>
      <c r="V94" s="1367">
        <f>'APU''S'!H753</f>
        <v>17461.600000000002</v>
      </c>
      <c r="W94" s="1366">
        <f t="shared" si="41"/>
        <v>0.20638237518910743</v>
      </c>
      <c r="X94" s="1367">
        <f>'APU''S'!I749</f>
        <v>150</v>
      </c>
      <c r="Y94" s="1366">
        <f t="shared" si="42"/>
        <v>1.7728819969742814E-3</v>
      </c>
      <c r="Z94" s="1367">
        <v>0</v>
      </c>
      <c r="AA94" s="1366">
        <f t="shared" si="43"/>
        <v>0</v>
      </c>
      <c r="AB94" s="1367">
        <f t="shared" si="54"/>
        <v>84608</v>
      </c>
      <c r="AD94" s="1369">
        <f t="shared" si="45"/>
        <v>0</v>
      </c>
      <c r="AE94">
        <v>-0.6533333333209157</v>
      </c>
    </row>
    <row r="95" spans="1:31" ht="15" customHeight="1">
      <c r="A95" s="1261"/>
      <c r="B95" s="1245" t="str">
        <f>'APU''S'!I758</f>
        <v>7.11</v>
      </c>
      <c r="C95" s="1260" t="str">
        <f>'APU''S'!B758</f>
        <v>I. Silla Yee PVC Alcantarillado  de 450 mm (18") x 160 mm</v>
      </c>
      <c r="D95" s="1246" t="str">
        <f>'APU''S'!C767</f>
        <v>und</v>
      </c>
      <c r="E95" s="1246">
        <f t="shared" ca="1" si="47"/>
        <v>18</v>
      </c>
      <c r="F95" s="1247">
        <f>'APU''S'!B767</f>
        <v>91499</v>
      </c>
      <c r="G95" s="1247">
        <f t="shared" ca="1" si="55"/>
        <v>1646982</v>
      </c>
      <c r="I95" s="1370">
        <f t="shared" ca="1" si="48"/>
        <v>746256.85714285716</v>
      </c>
      <c r="J95" s="1370">
        <f t="shared" ca="1" si="49"/>
        <v>561265.71428571432</v>
      </c>
      <c r="K95" s="1370">
        <f t="shared" ca="1" si="50"/>
        <v>336759.42857142864</v>
      </c>
      <c r="L95" s="1370">
        <f t="shared" ca="1" si="51"/>
        <v>2700</v>
      </c>
      <c r="M95" s="1370">
        <f t="shared" ca="1" si="52"/>
        <v>0</v>
      </c>
      <c r="N95" s="1370">
        <f t="shared" ca="1" si="44"/>
        <v>1646982</v>
      </c>
      <c r="O95" s="1492"/>
      <c r="Q95" s="1365" t="str">
        <f t="shared" si="53"/>
        <v>7.11</v>
      </c>
      <c r="R95" s="1367">
        <f>'APU''S'!G761+'APU''S'!G762+'APU''S'!I765-AE95</f>
        <v>41458.714285714283</v>
      </c>
      <c r="S95" s="1366">
        <f t="shared" si="39"/>
        <v>0.45310565455047908</v>
      </c>
      <c r="T95" s="1367">
        <f>'APU''S'!H763</f>
        <v>31181.428571428572</v>
      </c>
      <c r="U95" s="1366">
        <f t="shared" si="40"/>
        <v>0.34078436454418709</v>
      </c>
      <c r="V95" s="1367">
        <f>'APU''S'!H764</f>
        <v>18708.857142857145</v>
      </c>
      <c r="W95" s="1366">
        <f t="shared" si="41"/>
        <v>0.20447061872651226</v>
      </c>
      <c r="X95" s="1367">
        <f>'APU''S'!I760</f>
        <v>150</v>
      </c>
      <c r="Y95" s="1366">
        <f t="shared" si="42"/>
        <v>1.6393621788216265E-3</v>
      </c>
      <c r="Z95" s="1367">
        <v>0</v>
      </c>
      <c r="AA95" s="1366">
        <f t="shared" si="43"/>
        <v>0</v>
      </c>
      <c r="AB95" s="1367">
        <f t="shared" si="54"/>
        <v>91499</v>
      </c>
      <c r="AD95" s="1369">
        <f t="shared" si="45"/>
        <v>0</v>
      </c>
      <c r="AE95">
        <v>-0.64642857143189758</v>
      </c>
    </row>
    <row r="96" spans="1:31" ht="15" customHeight="1">
      <c r="A96" s="1261"/>
      <c r="B96" s="1245" t="str">
        <f>'APU''S'!I769</f>
        <v>7.12</v>
      </c>
      <c r="C96" s="1260" t="str">
        <f>'APU''S'!B769</f>
        <v>I. Silla Yee PVC Alcantarillado  de 500 mm (20") x 160 mm</v>
      </c>
      <c r="D96" s="1246" t="str">
        <f>'APU''S'!C778</f>
        <v>und</v>
      </c>
      <c r="E96" s="1246">
        <f t="shared" ca="1" si="47"/>
        <v>19</v>
      </c>
      <c r="F96" s="1247">
        <f>'APU''S'!B778</f>
        <v>99714</v>
      </c>
      <c r="G96" s="1247">
        <f t="shared" ca="1" si="55"/>
        <v>1894566</v>
      </c>
      <c r="I96" s="1370">
        <f t="shared" ca="1" si="48"/>
        <v>870883.99999999953</v>
      </c>
      <c r="J96" s="1370">
        <f t="shared" ca="1" si="49"/>
        <v>638020.00000000012</v>
      </c>
      <c r="K96" s="1370">
        <f t="shared" ca="1" si="50"/>
        <v>382812.00000000012</v>
      </c>
      <c r="L96" s="1370">
        <f t="shared" ca="1" si="51"/>
        <v>2850</v>
      </c>
      <c r="M96" s="1370">
        <f t="shared" ca="1" si="52"/>
        <v>0</v>
      </c>
      <c r="N96" s="1370">
        <f t="shared" ca="1" si="44"/>
        <v>1894566</v>
      </c>
      <c r="O96" s="1492"/>
      <c r="Q96" s="1365" t="str">
        <f t="shared" si="53"/>
        <v>7.12</v>
      </c>
      <c r="R96" s="1367">
        <f>'APU''S'!G772+'APU''S'!G773+'APU''S'!I776-AE96</f>
        <v>45835.999999999978</v>
      </c>
      <c r="S96" s="1366">
        <f t="shared" si="39"/>
        <v>0.45967466955492686</v>
      </c>
      <c r="T96" s="1367">
        <f>'APU''S'!H774</f>
        <v>33580.000000000007</v>
      </c>
      <c r="U96" s="1366">
        <f t="shared" si="40"/>
        <v>0.33676314258780116</v>
      </c>
      <c r="V96" s="1367">
        <f>'APU''S'!H775</f>
        <v>20148.000000000007</v>
      </c>
      <c r="W96" s="1366">
        <f t="shared" si="41"/>
        <v>0.20205788555268073</v>
      </c>
      <c r="X96" s="1367">
        <f>'APU''S'!I771</f>
        <v>150</v>
      </c>
      <c r="Y96" s="1366">
        <f t="shared" si="42"/>
        <v>1.5043023045911306E-3</v>
      </c>
      <c r="Z96" s="1367">
        <v>0</v>
      </c>
      <c r="AA96" s="1366">
        <f t="shared" si="43"/>
        <v>0</v>
      </c>
      <c r="AB96" s="1367">
        <f t="shared" si="54"/>
        <v>99714</v>
      </c>
      <c r="AD96" s="1369">
        <f t="shared" si="45"/>
        <v>0</v>
      </c>
      <c r="AE96">
        <v>-0.38021978019969538</v>
      </c>
    </row>
    <row r="97" spans="1:31" ht="15" customHeight="1">
      <c r="A97" s="1261"/>
      <c r="B97" s="1245" t="str">
        <f>'APU''S'!I780</f>
        <v>7.13</v>
      </c>
      <c r="C97" s="1260" t="str">
        <f>'APU''S'!B780</f>
        <v xml:space="preserve">I. Tubería PVC Unión Mecanica RDE 21 de Ø 3" (80,42 mm) </v>
      </c>
      <c r="D97" s="1246" t="str">
        <f>'APU''S'!C788</f>
        <v>m</v>
      </c>
      <c r="E97" s="1246">
        <f t="shared" si="47"/>
        <v>324.72000000000003</v>
      </c>
      <c r="F97" s="1247">
        <f>'APU''S'!B788</f>
        <v>17950</v>
      </c>
      <c r="G97" s="1247">
        <f t="shared" si="55"/>
        <v>5828724</v>
      </c>
      <c r="I97" s="1370">
        <f t="shared" si="48"/>
        <v>616535.03999999957</v>
      </c>
      <c r="J97" s="1370">
        <f t="shared" si="49"/>
        <v>2953193.1000000006</v>
      </c>
      <c r="K97" s="1370">
        <f t="shared" si="50"/>
        <v>1771915.8600000006</v>
      </c>
      <c r="L97" s="1370">
        <f t="shared" si="51"/>
        <v>487080.00000000006</v>
      </c>
      <c r="M97" s="1370">
        <f t="shared" si="52"/>
        <v>0</v>
      </c>
      <c r="N97" s="1370">
        <f t="shared" si="44"/>
        <v>5828724</v>
      </c>
      <c r="O97" s="1492"/>
      <c r="Q97" s="1365" t="str">
        <f t="shared" si="53"/>
        <v>7.13</v>
      </c>
      <c r="R97" s="1367">
        <f>'APU''S'!G783+'APU''S'!I786-AE97</f>
        <v>1898.6666666666652</v>
      </c>
      <c r="S97" s="1366">
        <f t="shared" si="39"/>
        <v>0.10577530176415961</v>
      </c>
      <c r="T97" s="1367">
        <f>'APU''S'!H784</f>
        <v>9094.5833333333339</v>
      </c>
      <c r="U97" s="1366">
        <f t="shared" si="40"/>
        <v>0.50666202414113282</v>
      </c>
      <c r="V97" s="1367">
        <f>'APU''S'!H785</f>
        <v>5456.7500000000009</v>
      </c>
      <c r="W97" s="1366">
        <f t="shared" si="41"/>
        <v>0.3039972144846797</v>
      </c>
      <c r="X97" s="1367">
        <f>'APU''S'!I782</f>
        <v>1500</v>
      </c>
      <c r="Y97" s="1366">
        <f t="shared" si="42"/>
        <v>8.3565459610027856E-2</v>
      </c>
      <c r="Z97" s="1367">
        <v>0</v>
      </c>
      <c r="AA97" s="1366">
        <f t="shared" si="43"/>
        <v>0</v>
      </c>
      <c r="AB97" s="1367">
        <f t="shared" si="54"/>
        <v>17950</v>
      </c>
      <c r="AD97" s="1369">
        <f t="shared" si="45"/>
        <v>0</v>
      </c>
      <c r="AE97">
        <v>-0.75999999999839929</v>
      </c>
    </row>
    <row r="98" spans="1:31" ht="15" customHeight="1">
      <c r="A98" s="1261"/>
      <c r="B98" s="1245" t="str">
        <f>'APU''S'!I790</f>
        <v>7.14</v>
      </c>
      <c r="C98" s="1260" t="str">
        <f>'APU''S'!B790</f>
        <v xml:space="preserve">I. Tubería PVC Unión Mecanica RDE 21 de Ø 4" (103,42 mm) </v>
      </c>
      <c r="D98" s="1246" t="str">
        <f>'APU''S'!C798</f>
        <v>m</v>
      </c>
      <c r="E98" s="1246">
        <f t="shared" si="47"/>
        <v>102.51</v>
      </c>
      <c r="F98" s="1247">
        <f>'APU''S'!B798</f>
        <v>23498</v>
      </c>
      <c r="G98" s="1247">
        <f t="shared" si="55"/>
        <v>2408780</v>
      </c>
      <c r="I98" s="1370">
        <f t="shared" si="48"/>
        <v>266138.73999999976</v>
      </c>
      <c r="J98" s="1370">
        <f t="shared" si="49"/>
        <v>1243047.6500000001</v>
      </c>
      <c r="K98" s="1370">
        <f t="shared" si="50"/>
        <v>745828.59000000008</v>
      </c>
      <c r="L98" s="1370">
        <f t="shared" si="51"/>
        <v>153764.99999999997</v>
      </c>
      <c r="M98" s="1370">
        <f t="shared" si="52"/>
        <v>0</v>
      </c>
      <c r="N98" s="1370">
        <f t="shared" si="44"/>
        <v>2408780</v>
      </c>
      <c r="O98" s="1492"/>
      <c r="Q98" s="1365" t="str">
        <f t="shared" si="53"/>
        <v>7.14</v>
      </c>
      <c r="R98" s="1367">
        <f>'APU''S'!G793+'APU''S'!I796-AE98</f>
        <v>2596.2222222222199</v>
      </c>
      <c r="S98" s="1366">
        <f t="shared" si="39"/>
        <v>0.11048694451537237</v>
      </c>
      <c r="T98" s="1367">
        <f>'APU''S'!H794</f>
        <v>12126.111111111111</v>
      </c>
      <c r="U98" s="1366">
        <f t="shared" si="40"/>
        <v>0.51604864716618914</v>
      </c>
      <c r="V98" s="1367">
        <f>'APU''S'!H795</f>
        <v>7275.6666666666679</v>
      </c>
      <c r="W98" s="1366">
        <f t="shared" si="41"/>
        <v>0.30962918829971348</v>
      </c>
      <c r="X98" s="1367">
        <f>'APU''S'!I792</f>
        <v>1500</v>
      </c>
      <c r="Y98" s="1366">
        <f t="shared" si="42"/>
        <v>6.3835220018724992E-2</v>
      </c>
      <c r="Z98" s="1367">
        <v>0</v>
      </c>
      <c r="AA98" s="1366">
        <f t="shared" si="43"/>
        <v>0</v>
      </c>
      <c r="AB98" s="1367">
        <f t="shared" si="54"/>
        <v>23498</v>
      </c>
      <c r="AD98" s="1369">
        <f t="shared" si="45"/>
        <v>0</v>
      </c>
      <c r="AE98">
        <v>-0.66111111110876664</v>
      </c>
    </row>
    <row r="99" spans="1:31" ht="15" customHeight="1">
      <c r="A99" s="1261"/>
      <c r="B99" s="1245" t="str">
        <f>'APU''S'!I800</f>
        <v>7.15</v>
      </c>
      <c r="C99" s="1260" t="str">
        <f>'APU''S'!B800</f>
        <v>I. Tubería PVC Unión Mecanica RDE 21 de Ø 6" (152,22 mm)</v>
      </c>
      <c r="D99" s="1246" t="str">
        <f>'APU''S'!C808</f>
        <v>m</v>
      </c>
      <c r="E99" s="1246">
        <f t="shared" si="47"/>
        <v>351.12</v>
      </c>
      <c r="F99" s="1247">
        <f>'APU''S'!B808</f>
        <v>24953</v>
      </c>
      <c r="G99" s="1247">
        <f t="shared" si="55"/>
        <v>8761497</v>
      </c>
      <c r="I99" s="1370">
        <f t="shared" si="48"/>
        <v>935868.55999999726</v>
      </c>
      <c r="J99" s="1370">
        <f t="shared" si="49"/>
        <v>4561843.0000000009</v>
      </c>
      <c r="K99" s="1370">
        <f t="shared" si="50"/>
        <v>2737105.8000000012</v>
      </c>
      <c r="L99" s="1370">
        <f t="shared" si="51"/>
        <v>526680</v>
      </c>
      <c r="M99" s="1370">
        <f t="shared" si="52"/>
        <v>0</v>
      </c>
      <c r="N99" s="1370">
        <f t="shared" si="44"/>
        <v>8761497</v>
      </c>
      <c r="O99" s="1492"/>
      <c r="Q99" s="1365" t="str">
        <f t="shared" si="53"/>
        <v>7.15</v>
      </c>
      <c r="R99" s="1367">
        <f>'APU''S'!G803+'APU''S'!I806-AE99</f>
        <v>2665.380952380945</v>
      </c>
      <c r="S99" s="1366">
        <f t="shared" si="39"/>
        <v>0.106816052273512</v>
      </c>
      <c r="T99" s="1367">
        <f>'APU''S'!H804</f>
        <v>12992.261904761908</v>
      </c>
      <c r="U99" s="1366">
        <f t="shared" si="40"/>
        <v>0.52066933453941044</v>
      </c>
      <c r="V99" s="1367">
        <f>'APU''S'!H805</f>
        <v>7795.3571428571458</v>
      </c>
      <c r="W99" s="1366">
        <f t="shared" si="41"/>
        <v>0.31240160072364631</v>
      </c>
      <c r="X99" s="1367">
        <f>'APU''S'!I802</f>
        <v>1500</v>
      </c>
      <c r="Y99" s="1366">
        <f t="shared" si="42"/>
        <v>6.0113012463431252E-2</v>
      </c>
      <c r="Z99" s="1367">
        <v>0</v>
      </c>
      <c r="AA99" s="1366">
        <f t="shared" si="43"/>
        <v>0</v>
      </c>
      <c r="AB99" s="1367">
        <f t="shared" si="54"/>
        <v>24953</v>
      </c>
      <c r="AD99" s="1369">
        <f t="shared" si="45"/>
        <v>0</v>
      </c>
      <c r="AE99">
        <v>-0.5277777777700976</v>
      </c>
    </row>
    <row r="100" spans="1:31" ht="15" customHeight="1">
      <c r="A100" s="1261"/>
      <c r="B100" s="1245" t="str">
        <f>'APU''S'!I810</f>
        <v>7.16</v>
      </c>
      <c r="C100" s="1260" t="str">
        <f>'APU''S'!B810</f>
        <v>I. Tubería PVC Unión Mecanica RDE 21 de Ø 8" (198,21 mm)</v>
      </c>
      <c r="D100" s="1246" t="str">
        <f>'APU''S'!C818</f>
        <v>m</v>
      </c>
      <c r="E100" s="1246">
        <f t="shared" si="47"/>
        <v>497.26</v>
      </c>
      <c r="F100" s="1247">
        <f>'APU''S'!B818</f>
        <v>27607</v>
      </c>
      <c r="G100" s="1247">
        <f t="shared" si="55"/>
        <v>13727857</v>
      </c>
      <c r="I100" s="1370">
        <f t="shared" si="48"/>
        <v>1849972.9533333317</v>
      </c>
      <c r="J100" s="1370">
        <f t="shared" si="49"/>
        <v>6957496.1666666679</v>
      </c>
      <c r="K100" s="1370">
        <f t="shared" si="50"/>
        <v>4174497.7000000011</v>
      </c>
      <c r="L100" s="1370">
        <f t="shared" si="51"/>
        <v>745890</v>
      </c>
      <c r="M100" s="1370">
        <f t="shared" si="52"/>
        <v>0</v>
      </c>
      <c r="N100" s="1370">
        <f t="shared" si="44"/>
        <v>13727857</v>
      </c>
      <c r="O100" s="1492"/>
      <c r="Q100" s="1365" t="str">
        <f t="shared" si="53"/>
        <v>7.16</v>
      </c>
      <c r="R100" s="1367">
        <f>'APU''S'!G813+'APU''S'!I816-AE100</f>
        <v>3720.3333333333303</v>
      </c>
      <c r="S100" s="1366">
        <f t="shared" si="39"/>
        <v>0.13476050760072916</v>
      </c>
      <c r="T100" s="1367">
        <f>'APU''S'!H814</f>
        <v>13991.666666666668</v>
      </c>
      <c r="U100" s="1366">
        <f t="shared" si="40"/>
        <v>0.50681590417889189</v>
      </c>
      <c r="V100" s="1367">
        <f>'APU''S'!H815</f>
        <v>8395.0000000000018</v>
      </c>
      <c r="W100" s="1366">
        <f t="shared" si="41"/>
        <v>0.30408954250733516</v>
      </c>
      <c r="X100" s="1367">
        <f>'APU''S'!I812</f>
        <v>1500</v>
      </c>
      <c r="Y100" s="1366">
        <f t="shared" si="42"/>
        <v>5.4334045713043795E-2</v>
      </c>
      <c r="Z100" s="1367">
        <v>0</v>
      </c>
      <c r="AA100" s="1366">
        <f t="shared" si="43"/>
        <v>0</v>
      </c>
      <c r="AB100" s="1367">
        <f t="shared" si="54"/>
        <v>27607</v>
      </c>
      <c r="AD100" s="1369">
        <f t="shared" si="45"/>
        <v>0</v>
      </c>
      <c r="AE100">
        <v>-0.24444444444088731</v>
      </c>
    </row>
    <row r="101" spans="1:31" ht="15" customHeight="1">
      <c r="A101" s="1261"/>
      <c r="B101" s="1245" t="str">
        <f>'APU''S'!I820</f>
        <v>7.17</v>
      </c>
      <c r="C101" s="1260" t="str">
        <f>'APU''S'!B820</f>
        <v>I. de TEE Ø8" HD JUNTA RÁPIDA</v>
      </c>
      <c r="D101" s="1246" t="str">
        <f>'APU''S'!C826</f>
        <v>und</v>
      </c>
      <c r="E101" s="1246">
        <f t="shared" si="47"/>
        <v>1</v>
      </c>
      <c r="F101" s="1247">
        <f>'APU''S'!B826</f>
        <v>122232</v>
      </c>
      <c r="G101" s="1247">
        <f t="shared" si="55"/>
        <v>122232</v>
      </c>
      <c r="I101" s="1370">
        <f t="shared" si="48"/>
        <v>5821.333333333323</v>
      </c>
      <c r="J101" s="1370">
        <f t="shared" si="49"/>
        <v>72756.666666666672</v>
      </c>
      <c r="K101" s="1370">
        <f t="shared" si="50"/>
        <v>43654.000000000007</v>
      </c>
      <c r="L101" s="1370">
        <f t="shared" si="51"/>
        <v>0</v>
      </c>
      <c r="M101" s="1370">
        <f t="shared" si="52"/>
        <v>0</v>
      </c>
      <c r="N101" s="1370">
        <f t="shared" si="44"/>
        <v>122232</v>
      </c>
      <c r="O101" s="1492"/>
      <c r="Q101" s="1365" t="str">
        <f t="shared" si="53"/>
        <v>7.17</v>
      </c>
      <c r="R101" s="1367">
        <f>'APU''S'!I824-AE101</f>
        <v>5821.333333333323</v>
      </c>
      <c r="S101" s="1366">
        <f t="shared" si="39"/>
        <v>4.7625280886619895E-2</v>
      </c>
      <c r="T101" s="1367">
        <f>'APU''S'!H822</f>
        <v>72756.666666666672</v>
      </c>
      <c r="U101" s="1366">
        <f t="shared" si="40"/>
        <v>0.59523419944586253</v>
      </c>
      <c r="V101" s="1367">
        <f>'APU''S'!H823</f>
        <v>43654.000000000007</v>
      </c>
      <c r="W101" s="1366">
        <f t="shared" si="41"/>
        <v>0.35714051966751759</v>
      </c>
      <c r="X101" s="1367">
        <v>0</v>
      </c>
      <c r="Y101" s="1366">
        <f t="shared" si="42"/>
        <v>0</v>
      </c>
      <c r="Z101" s="1367">
        <v>0</v>
      </c>
      <c r="AA101" s="1366">
        <f t="shared" si="43"/>
        <v>0</v>
      </c>
      <c r="AB101" s="1367">
        <f t="shared" si="54"/>
        <v>122232</v>
      </c>
      <c r="AD101" s="1369">
        <f t="shared" si="45"/>
        <v>0</v>
      </c>
      <c r="AE101">
        <v>-0.79999999998835847</v>
      </c>
    </row>
    <row r="102" spans="1:31" ht="15" customHeight="1">
      <c r="A102" s="1261"/>
      <c r="B102" s="1245" t="str">
        <f>'APU''S'!I828</f>
        <v>7.18</v>
      </c>
      <c r="C102" s="1260" t="str">
        <f>'APU''S'!B828</f>
        <v>I. de TEE Ø8X6" HD JUNTA RÁPIDA</v>
      </c>
      <c r="D102" s="1246" t="str">
        <f>'APU''S'!C834</f>
        <v>und</v>
      </c>
      <c r="E102" s="1246">
        <f t="shared" si="47"/>
        <v>2</v>
      </c>
      <c r="F102" s="1247">
        <f>'APU''S'!B834</f>
        <v>118289</v>
      </c>
      <c r="G102" s="1247">
        <f t="shared" si="55"/>
        <v>236578</v>
      </c>
      <c r="I102" s="1370">
        <f t="shared" si="48"/>
        <v>11267.032258064475</v>
      </c>
      <c r="J102" s="1370">
        <f t="shared" si="49"/>
        <v>140819.3548387097</v>
      </c>
      <c r="K102" s="1370">
        <f t="shared" si="50"/>
        <v>84491.612903225818</v>
      </c>
      <c r="L102" s="1370">
        <f t="shared" si="51"/>
        <v>0</v>
      </c>
      <c r="M102" s="1370">
        <f t="shared" si="52"/>
        <v>0</v>
      </c>
      <c r="N102" s="1370">
        <f t="shared" si="44"/>
        <v>236578</v>
      </c>
      <c r="O102" s="1492"/>
      <c r="Q102" s="1365" t="str">
        <f t="shared" si="53"/>
        <v>7.18</v>
      </c>
      <c r="R102" s="1367">
        <f>'APU''S'!I832-AE102</f>
        <v>5633.5161290322376</v>
      </c>
      <c r="S102" s="1366">
        <f t="shared" si="39"/>
        <v>4.7625021168766643E-2</v>
      </c>
      <c r="T102" s="1367">
        <f>'APU''S'!H830</f>
        <v>70409.677419354848</v>
      </c>
      <c r="U102" s="1366">
        <f t="shared" si="40"/>
        <v>0.59523436176952083</v>
      </c>
      <c r="V102" s="1367">
        <f>'APU''S'!H831</f>
        <v>42245.806451612909</v>
      </c>
      <c r="W102" s="1366">
        <f t="shared" si="41"/>
        <v>0.35714061706171252</v>
      </c>
      <c r="X102" s="1367">
        <v>0</v>
      </c>
      <c r="Y102" s="1366">
        <f t="shared" si="42"/>
        <v>0</v>
      </c>
      <c r="Z102" s="1367">
        <v>0</v>
      </c>
      <c r="AA102" s="1366">
        <f t="shared" si="43"/>
        <v>0</v>
      </c>
      <c r="AB102" s="1367">
        <f t="shared" si="54"/>
        <v>118289</v>
      </c>
      <c r="AD102" s="1369">
        <f t="shared" si="45"/>
        <v>0</v>
      </c>
      <c r="AE102">
        <v>-0.74193548384937458</v>
      </c>
    </row>
    <row r="103" spans="1:31" ht="15" customHeight="1">
      <c r="A103" s="1261"/>
      <c r="B103" s="1245" t="str">
        <f>'APU''S'!I836</f>
        <v>7.19</v>
      </c>
      <c r="C103" s="1260" t="str">
        <f>'APU''S'!B836</f>
        <v>I. de TEE Ø8X4" HD JUNTA RÁPIDA</v>
      </c>
      <c r="D103" s="1246" t="str">
        <f>'APU''S'!C842</f>
        <v>und</v>
      </c>
      <c r="E103" s="1246">
        <f t="shared" si="47"/>
        <v>3</v>
      </c>
      <c r="F103" s="1247">
        <f>'APU''S'!B842</f>
        <v>114592</v>
      </c>
      <c r="G103" s="1247">
        <f t="shared" si="55"/>
        <v>343776</v>
      </c>
      <c r="I103" s="1370">
        <f t="shared" si="48"/>
        <v>16370.999999999916</v>
      </c>
      <c r="J103" s="1370">
        <f t="shared" si="49"/>
        <v>204628.12500000003</v>
      </c>
      <c r="K103" s="1370">
        <f t="shared" si="50"/>
        <v>122776.87500000001</v>
      </c>
      <c r="L103" s="1370">
        <f t="shared" si="51"/>
        <v>0</v>
      </c>
      <c r="M103" s="1370">
        <f t="shared" si="52"/>
        <v>0</v>
      </c>
      <c r="N103" s="1370">
        <f t="shared" si="44"/>
        <v>343776</v>
      </c>
      <c r="O103" s="1492"/>
      <c r="Q103" s="1365" t="str">
        <f t="shared" si="53"/>
        <v>7.19</v>
      </c>
      <c r="R103" s="1367">
        <f>'APU''S'!I840-AE103</f>
        <v>5456.9999999999727</v>
      </c>
      <c r="S103" s="1366">
        <f t="shared" si="39"/>
        <v>4.7621125383970717E-2</v>
      </c>
      <c r="T103" s="1367">
        <f>'APU''S'!H838</f>
        <v>68209.375000000015</v>
      </c>
      <c r="U103" s="1366">
        <f t="shared" si="40"/>
        <v>0.59523679663501827</v>
      </c>
      <c r="V103" s="1367">
        <f>'APU''S'!H839</f>
        <v>40925.625000000007</v>
      </c>
      <c r="W103" s="1366">
        <f t="shared" si="41"/>
        <v>0.35714207798101094</v>
      </c>
      <c r="X103" s="1367">
        <v>0</v>
      </c>
      <c r="Y103" s="1366">
        <f t="shared" si="42"/>
        <v>0</v>
      </c>
      <c r="Z103" s="1367">
        <v>0</v>
      </c>
      <c r="AA103" s="1366">
        <f t="shared" si="43"/>
        <v>0</v>
      </c>
      <c r="AB103" s="1367">
        <f t="shared" si="54"/>
        <v>114592</v>
      </c>
      <c r="AD103" s="1369">
        <f t="shared" si="45"/>
        <v>0</v>
      </c>
      <c r="AE103">
        <v>-0.24999999997089617</v>
      </c>
    </row>
    <row r="104" spans="1:31" ht="15" customHeight="1">
      <c r="A104" s="1261"/>
      <c r="B104" s="1245" t="str">
        <f>'APU''S'!I844</f>
        <v>7.20</v>
      </c>
      <c r="C104" s="1260" t="str">
        <f>'APU''S'!B844</f>
        <v>I. de TEE Ø8X3" HD JUNTA RÁPIDA</v>
      </c>
      <c r="D104" s="1246" t="str">
        <f>'APU''S'!C850</f>
        <v>und</v>
      </c>
      <c r="E104" s="1246">
        <f t="shared" si="47"/>
        <v>5</v>
      </c>
      <c r="F104" s="1247">
        <f>'APU''S'!B850</f>
        <v>111120</v>
      </c>
      <c r="G104" s="1247">
        <f t="shared" si="55"/>
        <v>555600</v>
      </c>
      <c r="I104" s="1370">
        <f t="shared" si="48"/>
        <v>26460.606060605955</v>
      </c>
      <c r="J104" s="1370">
        <f t="shared" si="49"/>
        <v>330712.12121212127</v>
      </c>
      <c r="K104" s="1370">
        <f t="shared" si="50"/>
        <v>198427.27272727279</v>
      </c>
      <c r="L104" s="1370">
        <f t="shared" si="51"/>
        <v>0</v>
      </c>
      <c r="M104" s="1370">
        <f t="shared" si="52"/>
        <v>0</v>
      </c>
      <c r="N104" s="1370">
        <f t="shared" si="44"/>
        <v>555600</v>
      </c>
      <c r="O104" s="1492"/>
      <c r="Q104" s="1365" t="str">
        <f t="shared" si="53"/>
        <v>7.20</v>
      </c>
      <c r="R104" s="1367">
        <f>'APU''S'!I848-AE104</f>
        <v>5292.1212121211911</v>
      </c>
      <c r="S104" s="1366">
        <f t="shared" si="39"/>
        <v>4.762528088661979E-2</v>
      </c>
      <c r="T104" s="1367">
        <f>'APU''S'!H846</f>
        <v>66142.424242424255</v>
      </c>
      <c r="U104" s="1366">
        <f t="shared" si="40"/>
        <v>0.59523419944586264</v>
      </c>
      <c r="V104" s="1367">
        <f>'APU''S'!H847</f>
        <v>39685.454545454559</v>
      </c>
      <c r="W104" s="1366">
        <f t="shared" si="41"/>
        <v>0.35714051966751764</v>
      </c>
      <c r="X104" s="1367">
        <v>0</v>
      </c>
      <c r="Y104" s="1366">
        <f t="shared" si="42"/>
        <v>0</v>
      </c>
      <c r="Z104" s="1367">
        <v>0</v>
      </c>
      <c r="AA104" s="1366">
        <f t="shared" si="43"/>
        <v>0</v>
      </c>
      <c r="AB104" s="1367">
        <f t="shared" si="54"/>
        <v>111120</v>
      </c>
      <c r="AD104" s="1369">
        <f t="shared" si="45"/>
        <v>0</v>
      </c>
      <c r="AE104">
        <v>-0.72727272725023795</v>
      </c>
    </row>
    <row r="105" spans="1:31" ht="15" customHeight="1">
      <c r="A105" s="1261"/>
      <c r="B105" s="1245" t="str">
        <f>'APU''S'!I852</f>
        <v>7.21</v>
      </c>
      <c r="C105" s="1260" t="str">
        <f>'APU''S'!B852</f>
        <v>I. de TEE Ø6X3" HD JUNTA RÁPIDA</v>
      </c>
      <c r="D105" s="1246" t="str">
        <f>'APU''S'!C858</f>
        <v>und</v>
      </c>
      <c r="E105" s="1246">
        <f t="shared" si="47"/>
        <v>2</v>
      </c>
      <c r="F105" s="1247">
        <f>'APU''S'!B858</f>
        <v>107852</v>
      </c>
      <c r="G105" s="1247">
        <f t="shared" si="55"/>
        <v>215704</v>
      </c>
      <c r="I105" s="1370">
        <f t="shared" si="48"/>
        <v>10273.411764705854</v>
      </c>
      <c r="J105" s="1370">
        <f t="shared" si="49"/>
        <v>128394.11764705884</v>
      </c>
      <c r="K105" s="1370">
        <f t="shared" si="50"/>
        <v>77036.470588235316</v>
      </c>
      <c r="L105" s="1370">
        <f t="shared" si="51"/>
        <v>0</v>
      </c>
      <c r="M105" s="1370">
        <f t="shared" si="52"/>
        <v>0</v>
      </c>
      <c r="N105" s="1370">
        <f t="shared" si="44"/>
        <v>215704</v>
      </c>
      <c r="O105" s="1492"/>
      <c r="Q105" s="1365" t="str">
        <f t="shared" si="53"/>
        <v>7.21</v>
      </c>
      <c r="R105" s="1367">
        <f>'APU''S'!I856-AE105</f>
        <v>5136.7058823529269</v>
      </c>
      <c r="S105" s="1366">
        <f t="shared" si="39"/>
        <v>4.7627358624345646E-2</v>
      </c>
      <c r="T105" s="1367">
        <f>'APU''S'!H854</f>
        <v>64197.05882352942</v>
      </c>
      <c r="U105" s="1366">
        <f t="shared" si="40"/>
        <v>0.59523290085978398</v>
      </c>
      <c r="V105" s="1367">
        <f>'APU''S'!H855</f>
        <v>38518.235294117658</v>
      </c>
      <c r="W105" s="1366">
        <f t="shared" si="41"/>
        <v>0.35713974051587044</v>
      </c>
      <c r="X105" s="1367">
        <v>0</v>
      </c>
      <c r="Y105" s="1366">
        <f t="shared" si="42"/>
        <v>0</v>
      </c>
      <c r="Z105" s="1367">
        <v>0</v>
      </c>
      <c r="AA105" s="1366">
        <f t="shared" si="43"/>
        <v>0</v>
      </c>
      <c r="AB105" s="1367">
        <f t="shared" si="54"/>
        <v>107852</v>
      </c>
      <c r="AD105" s="1369">
        <f t="shared" si="45"/>
        <v>0</v>
      </c>
      <c r="AE105">
        <v>-0.94117647057282738</v>
      </c>
    </row>
    <row r="106" spans="1:31" ht="15" customHeight="1">
      <c r="A106" s="1261"/>
      <c r="B106" s="1245" t="str">
        <f>'APU''S'!I860</f>
        <v>7.22</v>
      </c>
      <c r="C106" s="1260" t="str">
        <f>'APU''S'!B860</f>
        <v>I. de TEE Ø4" HD JUNTA RÁPIDA</v>
      </c>
      <c r="D106" s="1246" t="str">
        <f>'APU''S'!C866</f>
        <v>und</v>
      </c>
      <c r="E106" s="1246">
        <f t="shared" si="47"/>
        <v>1</v>
      </c>
      <c r="F106" s="1247">
        <f>'APU''S'!B866</f>
        <v>97785</v>
      </c>
      <c r="G106" s="1247">
        <f t="shared" si="55"/>
        <v>97785</v>
      </c>
      <c r="I106" s="1370">
        <f t="shared" si="48"/>
        <v>4656.4666666666471</v>
      </c>
      <c r="J106" s="1370">
        <f t="shared" si="49"/>
        <v>58205.333333333343</v>
      </c>
      <c r="K106" s="1370">
        <f t="shared" si="50"/>
        <v>34923.200000000004</v>
      </c>
      <c r="L106" s="1370">
        <f t="shared" si="51"/>
        <v>0</v>
      </c>
      <c r="M106" s="1370">
        <f t="shared" si="52"/>
        <v>0</v>
      </c>
      <c r="N106" s="1370">
        <f t="shared" si="44"/>
        <v>97785</v>
      </c>
      <c r="O106" s="1492"/>
      <c r="Q106" s="1365" t="str">
        <f t="shared" si="53"/>
        <v>7.22</v>
      </c>
      <c r="R106" s="1367">
        <f>'APU''S'!I864-AE106</f>
        <v>4656.4666666666471</v>
      </c>
      <c r="S106" s="1366">
        <f t="shared" si="39"/>
        <v>4.7619437200661113E-2</v>
      </c>
      <c r="T106" s="1367">
        <f>'APU''S'!H862</f>
        <v>58205.333333333343</v>
      </c>
      <c r="U106" s="1366">
        <f t="shared" si="40"/>
        <v>0.59523785174958677</v>
      </c>
      <c r="V106" s="1367">
        <f>'APU''S'!H863</f>
        <v>34923.200000000004</v>
      </c>
      <c r="W106" s="1366">
        <f t="shared" si="41"/>
        <v>0.35714271104975204</v>
      </c>
      <c r="X106" s="1367">
        <v>0</v>
      </c>
      <c r="Y106" s="1366">
        <f t="shared" si="42"/>
        <v>0</v>
      </c>
      <c r="Z106" s="1367">
        <v>0</v>
      </c>
      <c r="AA106" s="1366">
        <f t="shared" si="43"/>
        <v>0</v>
      </c>
      <c r="AB106" s="1367">
        <f t="shared" si="54"/>
        <v>97785</v>
      </c>
      <c r="AD106" s="1369">
        <f t="shared" si="45"/>
        <v>0</v>
      </c>
      <c r="AE106">
        <v>-3.9999999979045242E-2</v>
      </c>
    </row>
    <row r="107" spans="1:31" ht="15" customHeight="1">
      <c r="A107" s="1261"/>
      <c r="B107" s="1245" t="str">
        <f>'APU''S'!I868</f>
        <v>7.23</v>
      </c>
      <c r="C107" s="1260" t="str">
        <f>'APU''S'!B868</f>
        <v>I. de TEE Ø4X3" HD JUNTA RÁPIDA</v>
      </c>
      <c r="D107" s="1246" t="str">
        <f>'APU''S'!C874</f>
        <v>und</v>
      </c>
      <c r="E107" s="1246">
        <f t="shared" si="47"/>
        <v>5</v>
      </c>
      <c r="F107" s="1247">
        <f>'APU''S'!B874</f>
        <v>95246</v>
      </c>
      <c r="G107" s="1247">
        <f t="shared" si="55"/>
        <v>476230</v>
      </c>
      <c r="I107" s="1370">
        <f t="shared" si="48"/>
        <v>22681.948051948042</v>
      </c>
      <c r="J107" s="1370">
        <f t="shared" si="49"/>
        <v>283467.5324675325</v>
      </c>
      <c r="K107" s="1370">
        <f t="shared" si="50"/>
        <v>170080.51948051949</v>
      </c>
      <c r="L107" s="1370">
        <f t="shared" si="51"/>
        <v>0</v>
      </c>
      <c r="M107" s="1370">
        <f t="shared" si="52"/>
        <v>0</v>
      </c>
      <c r="N107" s="1370">
        <f t="shared" si="44"/>
        <v>476230</v>
      </c>
      <c r="O107" s="1492"/>
      <c r="Q107" s="1365" t="str">
        <f t="shared" si="53"/>
        <v>7.23</v>
      </c>
      <c r="R107" s="1367">
        <f>'APU''S'!I872-AE107</f>
        <v>4536.3896103896086</v>
      </c>
      <c r="S107" s="1366">
        <f t="shared" si="39"/>
        <v>4.7628137773655675E-2</v>
      </c>
      <c r="T107" s="1367">
        <f>'APU''S'!H870</f>
        <v>56693.506493506495</v>
      </c>
      <c r="U107" s="1366">
        <f t="shared" si="40"/>
        <v>0.5952324138914652</v>
      </c>
      <c r="V107" s="1367">
        <f>'APU''S'!H871</f>
        <v>34016.103896103901</v>
      </c>
      <c r="W107" s="1366">
        <f t="shared" si="41"/>
        <v>0.35713944833487915</v>
      </c>
      <c r="X107" s="1367">
        <v>0</v>
      </c>
      <c r="Y107" s="1366">
        <f t="shared" si="42"/>
        <v>0</v>
      </c>
      <c r="Z107" s="1367">
        <v>0</v>
      </c>
      <c r="AA107" s="1366">
        <f t="shared" si="43"/>
        <v>0</v>
      </c>
      <c r="AB107" s="1367">
        <f t="shared" si="54"/>
        <v>95246</v>
      </c>
      <c r="AD107" s="1369">
        <f t="shared" si="45"/>
        <v>0</v>
      </c>
      <c r="AE107">
        <v>-0.90909090908826329</v>
      </c>
    </row>
    <row r="108" spans="1:31" ht="15" customHeight="1">
      <c r="A108" s="1261"/>
      <c r="B108" s="1245" t="str">
        <f>'APU''S'!I876</f>
        <v>7.24</v>
      </c>
      <c r="C108" s="1260" t="str">
        <f>'APU''S'!B876</f>
        <v>I. de TEE Ø3" HD JUNTA RÁPIDA</v>
      </c>
      <c r="D108" s="1246" t="str">
        <f>'APU''S'!C882</f>
        <v>und</v>
      </c>
      <c r="E108" s="1246">
        <f t="shared" si="47"/>
        <v>2</v>
      </c>
      <c r="F108" s="1247">
        <f>'APU''S'!B882</f>
        <v>91674</v>
      </c>
      <c r="G108" s="1247">
        <f t="shared" si="55"/>
        <v>183348</v>
      </c>
      <c r="I108" s="1370">
        <f t="shared" si="48"/>
        <v>8731.9999999999545</v>
      </c>
      <c r="J108" s="1370">
        <f t="shared" si="49"/>
        <v>109135.00000000003</v>
      </c>
      <c r="K108" s="1370">
        <f t="shared" si="50"/>
        <v>65481.000000000015</v>
      </c>
      <c r="L108" s="1370">
        <f t="shared" si="51"/>
        <v>0</v>
      </c>
      <c r="M108" s="1370">
        <f t="shared" si="52"/>
        <v>0</v>
      </c>
      <c r="N108" s="1370">
        <f t="shared" si="44"/>
        <v>183348</v>
      </c>
      <c r="O108" s="1492"/>
      <c r="Q108" s="1365" t="str">
        <f t="shared" si="53"/>
        <v>7.24</v>
      </c>
      <c r="R108" s="1367">
        <f>'APU''S'!I880-AE108</f>
        <v>4365.9999999999773</v>
      </c>
      <c r="S108" s="1366">
        <f t="shared" si="39"/>
        <v>4.7625280886619728E-2</v>
      </c>
      <c r="T108" s="1367">
        <f>'APU''S'!H878</f>
        <v>54567.500000000007</v>
      </c>
      <c r="U108" s="1366">
        <f t="shared" si="40"/>
        <v>0.59523419944586264</v>
      </c>
      <c r="V108" s="1367">
        <f>'APU''S'!H879</f>
        <v>32740.500000000007</v>
      </c>
      <c r="W108" s="1366">
        <f t="shared" si="41"/>
        <v>0.35714051966751759</v>
      </c>
      <c r="X108" s="1367">
        <v>0</v>
      </c>
      <c r="Y108" s="1366">
        <f t="shared" si="42"/>
        <v>0</v>
      </c>
      <c r="Z108" s="1367">
        <v>0</v>
      </c>
      <c r="AA108" s="1366">
        <f t="shared" si="43"/>
        <v>0</v>
      </c>
      <c r="AB108" s="1367">
        <f t="shared" si="54"/>
        <v>91674</v>
      </c>
      <c r="AD108" s="1369">
        <f t="shared" si="45"/>
        <v>0</v>
      </c>
      <c r="AE108">
        <v>-0.59999999997671694</v>
      </c>
    </row>
    <row r="109" spans="1:31" ht="15" customHeight="1">
      <c r="A109" s="1261"/>
      <c r="B109" s="1245" t="str">
        <f>'APU''S'!I884</f>
        <v>7.25</v>
      </c>
      <c r="C109" s="1260" t="str">
        <f>'APU''S'!B884</f>
        <v>I. de HIDRANTE Ø3" HD, INCLUYE TODOS LOS ACCESORIOS NECESARIOS</v>
      </c>
      <c r="D109" s="1246" t="str">
        <f>'APU''S'!C891</f>
        <v>und</v>
      </c>
      <c r="E109" s="1246">
        <f t="shared" si="47"/>
        <v>3</v>
      </c>
      <c r="F109" s="1247">
        <f>'APU''S'!B891</f>
        <v>392194</v>
      </c>
      <c r="G109" s="1247">
        <f t="shared" si="55"/>
        <v>1176582</v>
      </c>
      <c r="I109" s="1370">
        <f t="shared" si="48"/>
        <v>52385.999999999724</v>
      </c>
      <c r="J109" s="1370">
        <f t="shared" si="49"/>
        <v>654810.00000000012</v>
      </c>
      <c r="K109" s="1370">
        <f t="shared" si="50"/>
        <v>392886.00000000012</v>
      </c>
      <c r="L109" s="1370">
        <f t="shared" si="51"/>
        <v>76499.999999999985</v>
      </c>
      <c r="M109" s="1370">
        <f t="shared" si="52"/>
        <v>0</v>
      </c>
      <c r="N109" s="1370">
        <f t="shared" si="44"/>
        <v>1176582</v>
      </c>
      <c r="O109" s="1492"/>
      <c r="Q109" s="1365" t="str">
        <f t="shared" si="53"/>
        <v>7.25</v>
      </c>
      <c r="R109" s="1367">
        <f>'APU''S'!I889-AE109</f>
        <v>17461.999999999909</v>
      </c>
      <c r="S109" s="1366">
        <f t="shared" si="39"/>
        <v>4.4523883588223963E-2</v>
      </c>
      <c r="T109" s="1367">
        <f>'APU''S'!H887</f>
        <v>218270.00000000003</v>
      </c>
      <c r="U109" s="1366">
        <f t="shared" si="40"/>
        <v>0.55653579606011316</v>
      </c>
      <c r="V109" s="1367">
        <f>'APU''S'!H888</f>
        <v>130962.00000000003</v>
      </c>
      <c r="W109" s="1366">
        <f t="shared" si="41"/>
        <v>0.33392147763606794</v>
      </c>
      <c r="X109" s="1367">
        <f>'APU''S'!I886</f>
        <v>25500</v>
      </c>
      <c r="Y109" s="1366">
        <f t="shared" si="42"/>
        <v>6.5018842715594827E-2</v>
      </c>
      <c r="Z109" s="1367">
        <v>0</v>
      </c>
      <c r="AA109" s="1366">
        <f t="shared" si="43"/>
        <v>0</v>
      </c>
      <c r="AB109" s="1367">
        <f t="shared" si="54"/>
        <v>392194</v>
      </c>
      <c r="AD109" s="1369">
        <f t="shared" si="45"/>
        <v>0</v>
      </c>
      <c r="AE109">
        <v>-0.39999999990686774</v>
      </c>
    </row>
    <row r="110" spans="1:31" ht="15" customHeight="1">
      <c r="A110" s="1261"/>
      <c r="B110" s="1245" t="str">
        <f>'APU''S'!I893</f>
        <v>7.26</v>
      </c>
      <c r="C110" s="1260" t="str">
        <f>'APU''S'!B893</f>
        <v>I. de valvula de acueducto en HD compuerta elastica diametro de 8" JUNTA RÁPIDA</v>
      </c>
      <c r="D110" s="1246" t="str">
        <f>'APU''S'!C899</f>
        <v>und</v>
      </c>
      <c r="E110" s="1246">
        <f t="shared" si="47"/>
        <v>5</v>
      </c>
      <c r="F110" s="1247">
        <f>'APU''S'!B899</f>
        <v>122232</v>
      </c>
      <c r="G110" s="1247">
        <f t="shared" si="55"/>
        <v>611160</v>
      </c>
      <c r="I110" s="1370">
        <f t="shared" si="48"/>
        <v>29106.666666666613</v>
      </c>
      <c r="J110" s="1370">
        <f t="shared" si="49"/>
        <v>363783.33333333337</v>
      </c>
      <c r="K110" s="1370">
        <f t="shared" si="50"/>
        <v>218270.00000000006</v>
      </c>
      <c r="L110" s="1370">
        <f t="shared" si="51"/>
        <v>0</v>
      </c>
      <c r="M110" s="1370">
        <f t="shared" si="52"/>
        <v>0</v>
      </c>
      <c r="N110" s="1370">
        <f t="shared" si="44"/>
        <v>611160</v>
      </c>
      <c r="O110" s="1492"/>
      <c r="Q110" s="1365" t="str">
        <f t="shared" si="53"/>
        <v>7.26</v>
      </c>
      <c r="R110" s="1367">
        <f>'APU''S'!I897-AE110</f>
        <v>5821.333333333323</v>
      </c>
      <c r="S110" s="1366">
        <f t="shared" si="39"/>
        <v>4.7625280886619895E-2</v>
      </c>
      <c r="T110" s="1367">
        <f>'APU''S'!H895</f>
        <v>72756.666666666672</v>
      </c>
      <c r="U110" s="1366">
        <f t="shared" si="40"/>
        <v>0.59523419944586253</v>
      </c>
      <c r="V110" s="1367">
        <f>'APU''S'!H896</f>
        <v>43654.000000000007</v>
      </c>
      <c r="W110" s="1366">
        <f t="shared" si="41"/>
        <v>0.35714051966751759</v>
      </c>
      <c r="X110" s="1367">
        <v>0</v>
      </c>
      <c r="Y110" s="1366">
        <f t="shared" si="42"/>
        <v>0</v>
      </c>
      <c r="Z110" s="1367">
        <v>0</v>
      </c>
      <c r="AA110" s="1366">
        <f t="shared" si="43"/>
        <v>0</v>
      </c>
      <c r="AB110" s="1367">
        <f t="shared" si="54"/>
        <v>122232</v>
      </c>
      <c r="AD110" s="1369">
        <f t="shared" si="45"/>
        <v>0</v>
      </c>
      <c r="AE110">
        <v>-0.79999999998835847</v>
      </c>
    </row>
    <row r="111" spans="1:31" ht="15" customHeight="1">
      <c r="A111" s="1261"/>
      <c r="B111" s="1245" t="str">
        <f>'APU''S'!I901</f>
        <v>7.27</v>
      </c>
      <c r="C111" s="1260" t="str">
        <f>'APU''S'!B901</f>
        <v>I. de valvula de acueducto en HD compuerta elastica diametro de 6" JUNTA RÁPIDA</v>
      </c>
      <c r="D111" s="1246" t="str">
        <f>'APU''S'!C907</f>
        <v>und</v>
      </c>
      <c r="E111" s="1246">
        <f t="shared" si="47"/>
        <v>4</v>
      </c>
      <c r="F111" s="1247">
        <f>'APU''S'!B907</f>
        <v>104770</v>
      </c>
      <c r="G111" s="1247">
        <f t="shared" si="55"/>
        <v>419080</v>
      </c>
      <c r="I111" s="1370">
        <f t="shared" si="48"/>
        <v>19957.714285714264</v>
      </c>
      <c r="J111" s="1370">
        <f t="shared" si="49"/>
        <v>249451.42857142858</v>
      </c>
      <c r="K111" s="1370">
        <f t="shared" si="50"/>
        <v>149670.85714285716</v>
      </c>
      <c r="L111" s="1370">
        <f t="shared" si="51"/>
        <v>0</v>
      </c>
      <c r="M111" s="1370">
        <f t="shared" si="52"/>
        <v>0</v>
      </c>
      <c r="N111" s="1370">
        <f t="shared" si="44"/>
        <v>419080</v>
      </c>
      <c r="O111" s="1492"/>
      <c r="Q111" s="1365" t="str">
        <f t="shared" si="53"/>
        <v>7.27</v>
      </c>
      <c r="R111" s="1367">
        <f>'APU''S'!I905-AE111</f>
        <v>4989.4285714285661</v>
      </c>
      <c r="S111" s="1366">
        <f t="shared" si="39"/>
        <v>4.7622683701713908E-2</v>
      </c>
      <c r="T111" s="1367">
        <f>'APU''S'!H903</f>
        <v>62362.857142857145</v>
      </c>
      <c r="U111" s="1366">
        <f t="shared" si="40"/>
        <v>0.59523582268642883</v>
      </c>
      <c r="V111" s="1367">
        <f>'APU''S'!H904</f>
        <v>37417.71428571429</v>
      </c>
      <c r="W111" s="1366">
        <f t="shared" si="41"/>
        <v>0.35714149361185732</v>
      </c>
      <c r="X111" s="1367">
        <v>0</v>
      </c>
      <c r="Y111" s="1366">
        <f t="shared" si="42"/>
        <v>0</v>
      </c>
      <c r="Z111" s="1367">
        <v>0</v>
      </c>
      <c r="AA111" s="1366">
        <f t="shared" si="43"/>
        <v>0</v>
      </c>
      <c r="AB111" s="1367">
        <f t="shared" si="54"/>
        <v>104770</v>
      </c>
      <c r="AD111" s="1369">
        <f t="shared" si="45"/>
        <v>0</v>
      </c>
      <c r="AE111">
        <v>-0.39999999999417923</v>
      </c>
    </row>
    <row r="112" spans="1:31" ht="15" customHeight="1">
      <c r="A112" s="1261"/>
      <c r="B112" s="1245" t="str">
        <f>'APU''S'!I909</f>
        <v>7.28</v>
      </c>
      <c r="C112" s="1260" t="str">
        <f>'APU''S'!B909</f>
        <v>I. de valvula de acueducto en HD compuerta elastica diametro de 4" JUNTA RÁPIDA</v>
      </c>
      <c r="D112" s="1246" t="str">
        <f>'APU''S'!C915</f>
        <v>und</v>
      </c>
      <c r="E112" s="1246">
        <f t="shared" si="47"/>
        <v>1</v>
      </c>
      <c r="F112" s="1247">
        <f>'APU''S'!B915</f>
        <v>96499</v>
      </c>
      <c r="G112" s="1247">
        <f t="shared" si="55"/>
        <v>96499</v>
      </c>
      <c r="I112" s="1370">
        <f t="shared" si="48"/>
        <v>4595.8421052631484</v>
      </c>
      <c r="J112" s="1370">
        <f t="shared" si="49"/>
        <v>57439.473684210534</v>
      </c>
      <c r="K112" s="1370">
        <f t="shared" si="50"/>
        <v>34463.68421052632</v>
      </c>
      <c r="L112" s="1370">
        <f t="shared" si="51"/>
        <v>0</v>
      </c>
      <c r="M112" s="1370">
        <f t="shared" si="52"/>
        <v>0</v>
      </c>
      <c r="N112" s="1370">
        <f t="shared" si="44"/>
        <v>96499</v>
      </c>
      <c r="O112" s="1492"/>
      <c r="Q112" s="1365" t="str">
        <f t="shared" si="53"/>
        <v>7.28</v>
      </c>
      <c r="R112" s="1367">
        <f>'APU''S'!I913-AE112</f>
        <v>4595.8421052631484</v>
      </c>
      <c r="S112" s="1366">
        <f t="shared" si="39"/>
        <v>4.7625800321901245E-2</v>
      </c>
      <c r="T112" s="1367">
        <f>'APU''S'!H911</f>
        <v>57439.473684210534</v>
      </c>
      <c r="U112" s="1366">
        <f t="shared" si="40"/>
        <v>0.59523387479881174</v>
      </c>
      <c r="V112" s="1367">
        <f>'APU''S'!H912</f>
        <v>34463.68421052632</v>
      </c>
      <c r="W112" s="1366">
        <f t="shared" si="41"/>
        <v>0.35714032487928704</v>
      </c>
      <c r="X112" s="1367">
        <v>0</v>
      </c>
      <c r="Y112" s="1366">
        <f t="shared" si="42"/>
        <v>0</v>
      </c>
      <c r="Z112" s="1367">
        <v>0</v>
      </c>
      <c r="AA112" s="1366">
        <f t="shared" si="43"/>
        <v>0</v>
      </c>
      <c r="AB112" s="1367">
        <f t="shared" si="54"/>
        <v>96499</v>
      </c>
      <c r="AD112" s="1369">
        <f t="shared" si="45"/>
        <v>0</v>
      </c>
      <c r="AE112">
        <v>-0.6842105263058329</v>
      </c>
    </row>
    <row r="113" spans="1:31" ht="15" customHeight="1">
      <c r="A113" s="1261"/>
      <c r="B113" s="1245" t="str">
        <f>'APU''S'!I917</f>
        <v>7.29</v>
      </c>
      <c r="C113" s="1260" t="str">
        <f>'APU''S'!B917</f>
        <v>I. de valvula de acueducto en HD compuerta elastica diametro de 3" JUNTA RÁPIDA</v>
      </c>
      <c r="D113" s="1246" t="str">
        <f>'APU''S'!C923</f>
        <v>und</v>
      </c>
      <c r="E113" s="1246">
        <f t="shared" si="47"/>
        <v>4</v>
      </c>
      <c r="F113" s="1247">
        <f>'APU''S'!B923</f>
        <v>91674</v>
      </c>
      <c r="G113" s="1247">
        <f t="shared" si="55"/>
        <v>366696</v>
      </c>
      <c r="I113" s="1370">
        <f t="shared" si="48"/>
        <v>17463.999999999909</v>
      </c>
      <c r="J113" s="1370">
        <f t="shared" si="49"/>
        <v>218270.00000000006</v>
      </c>
      <c r="K113" s="1370">
        <f t="shared" si="50"/>
        <v>130962.00000000003</v>
      </c>
      <c r="L113" s="1370">
        <f t="shared" si="51"/>
        <v>0</v>
      </c>
      <c r="M113" s="1370">
        <f t="shared" si="52"/>
        <v>0</v>
      </c>
      <c r="N113" s="1370">
        <f t="shared" si="44"/>
        <v>366696</v>
      </c>
      <c r="O113" s="1492"/>
      <c r="Q113" s="1365" t="str">
        <f t="shared" si="53"/>
        <v>7.29</v>
      </c>
      <c r="R113" s="1367">
        <f>'APU''S'!I921-AE113</f>
        <v>4365.9999999999773</v>
      </c>
      <c r="S113" s="1366">
        <f t="shared" si="39"/>
        <v>4.7625280886619728E-2</v>
      </c>
      <c r="T113" s="1367">
        <f>'APU''S'!H919</f>
        <v>54567.500000000007</v>
      </c>
      <c r="U113" s="1366">
        <f t="shared" si="40"/>
        <v>0.59523419944586264</v>
      </c>
      <c r="V113" s="1367">
        <f>'APU''S'!H920</f>
        <v>32740.500000000007</v>
      </c>
      <c r="W113" s="1366">
        <f t="shared" si="41"/>
        <v>0.35714051966751759</v>
      </c>
      <c r="X113" s="1367">
        <v>0</v>
      </c>
      <c r="Y113" s="1366">
        <f t="shared" si="42"/>
        <v>0</v>
      </c>
      <c r="Z113" s="1367">
        <v>0</v>
      </c>
      <c r="AA113" s="1366">
        <f t="shared" si="43"/>
        <v>0</v>
      </c>
      <c r="AB113" s="1367">
        <f t="shared" si="54"/>
        <v>91674</v>
      </c>
      <c r="AD113" s="1369">
        <f t="shared" si="45"/>
        <v>0</v>
      </c>
      <c r="AE113">
        <v>-0.59999999997671694</v>
      </c>
    </row>
    <row r="114" spans="1:31" ht="15" customHeight="1">
      <c r="A114" s="1261"/>
      <c r="B114" s="1245" t="str">
        <f>'APU''S'!I925</f>
        <v>7.30</v>
      </c>
      <c r="C114" s="1260" t="str">
        <f>'APU''S'!B925</f>
        <v>I. de REDUCCIÓN HD Ø=8"X6" JUNTA RÁPIDA</v>
      </c>
      <c r="D114" s="1246" t="str">
        <f>'APU''S'!C931</f>
        <v>und</v>
      </c>
      <c r="E114" s="1246">
        <f t="shared" si="47"/>
        <v>1</v>
      </c>
      <c r="F114" s="1247">
        <f>'APU''S'!B931</f>
        <v>122232</v>
      </c>
      <c r="G114" s="1247">
        <f t="shared" si="55"/>
        <v>122232</v>
      </c>
      <c r="I114" s="1370">
        <f t="shared" si="48"/>
        <v>5821.333333333323</v>
      </c>
      <c r="J114" s="1370">
        <f t="shared" si="49"/>
        <v>72756.666666666672</v>
      </c>
      <c r="K114" s="1370">
        <f t="shared" si="50"/>
        <v>43654.000000000007</v>
      </c>
      <c r="L114" s="1370">
        <f t="shared" si="51"/>
        <v>0</v>
      </c>
      <c r="M114" s="1370">
        <f t="shared" si="52"/>
        <v>0</v>
      </c>
      <c r="N114" s="1370">
        <f t="shared" si="44"/>
        <v>122232</v>
      </c>
      <c r="O114" s="1492"/>
      <c r="Q114" s="1365" t="str">
        <f t="shared" si="53"/>
        <v>7.30</v>
      </c>
      <c r="R114" s="1367">
        <f>'APU''S'!I929-AE114</f>
        <v>5821.333333333323</v>
      </c>
      <c r="S114" s="1366">
        <f t="shared" si="39"/>
        <v>4.7625280886619895E-2</v>
      </c>
      <c r="T114" s="1367">
        <f>'APU''S'!H927</f>
        <v>72756.666666666672</v>
      </c>
      <c r="U114" s="1366">
        <f t="shared" si="40"/>
        <v>0.59523419944586253</v>
      </c>
      <c r="V114" s="1367">
        <f>'APU''S'!H928</f>
        <v>43654.000000000007</v>
      </c>
      <c r="W114" s="1366">
        <f t="shared" si="41"/>
        <v>0.35714051966751759</v>
      </c>
      <c r="X114" s="1367">
        <v>0</v>
      </c>
      <c r="Y114" s="1366">
        <f t="shared" si="42"/>
        <v>0</v>
      </c>
      <c r="Z114" s="1367">
        <v>0</v>
      </c>
      <c r="AA114" s="1366">
        <f t="shared" si="43"/>
        <v>0</v>
      </c>
      <c r="AB114" s="1367">
        <f t="shared" si="54"/>
        <v>122232</v>
      </c>
      <c r="AD114" s="1369">
        <f t="shared" si="45"/>
        <v>0</v>
      </c>
      <c r="AE114">
        <v>-0.79999999998835847</v>
      </c>
    </row>
    <row r="115" spans="1:31" ht="15" customHeight="1">
      <c r="A115" s="1261"/>
      <c r="B115" s="1245" t="str">
        <f>'APU''S'!I933</f>
        <v>7.31</v>
      </c>
      <c r="C115" s="1260" t="str">
        <f>'APU''S'!B933</f>
        <v>I. de REDUCCIÓN HD Ø=8"X3" JUNTA RÁPIDA</v>
      </c>
      <c r="D115" s="1246" t="str">
        <f>'APU''S'!C939</f>
        <v>und</v>
      </c>
      <c r="E115" s="1246">
        <f t="shared" si="47"/>
        <v>1</v>
      </c>
      <c r="F115" s="1247">
        <f>'APU''S'!B939</f>
        <v>118289</v>
      </c>
      <c r="G115" s="1247">
        <f t="shared" si="55"/>
        <v>118289</v>
      </c>
      <c r="I115" s="1370">
        <f t="shared" si="48"/>
        <v>5633.5161290322376</v>
      </c>
      <c r="J115" s="1370">
        <f t="shared" si="49"/>
        <v>70409.677419354848</v>
      </c>
      <c r="K115" s="1370">
        <f t="shared" si="50"/>
        <v>42245.806451612909</v>
      </c>
      <c r="L115" s="1370">
        <f t="shared" si="51"/>
        <v>0</v>
      </c>
      <c r="M115" s="1370">
        <f t="shared" si="52"/>
        <v>0</v>
      </c>
      <c r="N115" s="1370">
        <f t="shared" si="44"/>
        <v>118289</v>
      </c>
      <c r="O115" s="1492"/>
      <c r="Q115" s="1365" t="str">
        <f t="shared" si="53"/>
        <v>7.31</v>
      </c>
      <c r="R115" s="1367">
        <f>'APU''S'!I937-AE115</f>
        <v>5633.5161290322376</v>
      </c>
      <c r="S115" s="1366">
        <f t="shared" si="39"/>
        <v>4.7625021168766643E-2</v>
      </c>
      <c r="T115" s="1367">
        <f>'APU''S'!H935</f>
        <v>70409.677419354848</v>
      </c>
      <c r="U115" s="1366">
        <f t="shared" si="40"/>
        <v>0.59523436176952083</v>
      </c>
      <c r="V115" s="1367">
        <f>'APU''S'!H936</f>
        <v>42245.806451612909</v>
      </c>
      <c r="W115" s="1366">
        <f t="shared" si="41"/>
        <v>0.35714061706171252</v>
      </c>
      <c r="X115" s="1367">
        <v>0</v>
      </c>
      <c r="Y115" s="1366">
        <f t="shared" si="42"/>
        <v>0</v>
      </c>
      <c r="Z115" s="1367">
        <v>0</v>
      </c>
      <c r="AA115" s="1366">
        <f t="shared" si="43"/>
        <v>0</v>
      </c>
      <c r="AB115" s="1367">
        <f t="shared" si="54"/>
        <v>118289</v>
      </c>
      <c r="AD115" s="1369">
        <f t="shared" si="45"/>
        <v>0</v>
      </c>
      <c r="AE115">
        <v>-0.74193548384937458</v>
      </c>
    </row>
    <row r="116" spans="1:31" ht="15" customHeight="1">
      <c r="A116" s="1261"/>
      <c r="B116" s="1245" t="str">
        <f>'APU''S'!I941</f>
        <v>7.32</v>
      </c>
      <c r="C116" s="1260" t="str">
        <f>'APU''S'!B941</f>
        <v>I. de REDUCCIÓN HD Ø=6"X4" JUNTA RÁPIDA</v>
      </c>
      <c r="D116" s="1246" t="str">
        <f>'APU''S'!C947</f>
        <v>und</v>
      </c>
      <c r="E116" s="1246">
        <f t="shared" si="47"/>
        <v>1</v>
      </c>
      <c r="F116" s="1247">
        <f>'APU''S'!B947</f>
        <v>104770</v>
      </c>
      <c r="G116" s="1247">
        <f t="shared" si="55"/>
        <v>104770</v>
      </c>
      <c r="I116" s="1370">
        <f t="shared" si="48"/>
        <v>4989.4285714285661</v>
      </c>
      <c r="J116" s="1370">
        <f t="shared" si="49"/>
        <v>62362.857142857145</v>
      </c>
      <c r="K116" s="1370">
        <f t="shared" si="50"/>
        <v>37417.71428571429</v>
      </c>
      <c r="L116" s="1370">
        <f t="shared" si="51"/>
        <v>0</v>
      </c>
      <c r="M116" s="1370">
        <f t="shared" si="52"/>
        <v>0</v>
      </c>
      <c r="N116" s="1370">
        <f t="shared" si="44"/>
        <v>104770</v>
      </c>
      <c r="O116" s="1492"/>
      <c r="Q116" s="1365" t="str">
        <f t="shared" si="53"/>
        <v>7.32</v>
      </c>
      <c r="R116" s="1367">
        <f>'APU''S'!I945-AE116</f>
        <v>4989.4285714285661</v>
      </c>
      <c r="S116" s="1366">
        <f t="shared" si="39"/>
        <v>4.7622683701713908E-2</v>
      </c>
      <c r="T116" s="1367">
        <f>'APU''S'!H943</f>
        <v>62362.857142857145</v>
      </c>
      <c r="U116" s="1366">
        <f t="shared" si="40"/>
        <v>0.59523582268642883</v>
      </c>
      <c r="V116" s="1367">
        <f>'APU''S'!H944</f>
        <v>37417.71428571429</v>
      </c>
      <c r="W116" s="1366">
        <f t="shared" si="41"/>
        <v>0.35714149361185732</v>
      </c>
      <c r="X116" s="1367">
        <v>0</v>
      </c>
      <c r="Y116" s="1366">
        <f t="shared" si="42"/>
        <v>0</v>
      </c>
      <c r="Z116" s="1367">
        <v>0</v>
      </c>
      <c r="AA116" s="1366">
        <f t="shared" si="43"/>
        <v>0</v>
      </c>
      <c r="AB116" s="1367">
        <f t="shared" si="54"/>
        <v>104770</v>
      </c>
      <c r="AD116" s="1369">
        <f t="shared" si="45"/>
        <v>0</v>
      </c>
      <c r="AE116">
        <v>-0.39999999999417923</v>
      </c>
    </row>
    <row r="117" spans="1:31" ht="15" customHeight="1">
      <c r="A117" s="1261"/>
      <c r="B117" s="1245" t="str">
        <f>'APU''S'!I949</f>
        <v>7.33</v>
      </c>
      <c r="C117" s="1260" t="str">
        <f>'APU''S'!B949</f>
        <v>I. de REDUCCIÓN HD Ø=4"X3" JUNTA RÁPIDA</v>
      </c>
      <c r="D117" s="1246" t="str">
        <f>'APU''S'!C955</f>
        <v>und</v>
      </c>
      <c r="E117" s="1246">
        <f t="shared" si="47"/>
        <v>1</v>
      </c>
      <c r="F117" s="1247">
        <f>'APU''S'!B955</f>
        <v>91674</v>
      </c>
      <c r="G117" s="1247">
        <f t="shared" si="55"/>
        <v>91674</v>
      </c>
      <c r="I117" s="1370">
        <f t="shared" si="48"/>
        <v>4365.9999999999773</v>
      </c>
      <c r="J117" s="1370">
        <f t="shared" si="49"/>
        <v>54567.500000000015</v>
      </c>
      <c r="K117" s="1370">
        <f t="shared" si="50"/>
        <v>32740.500000000007</v>
      </c>
      <c r="L117" s="1370">
        <f t="shared" si="51"/>
        <v>0</v>
      </c>
      <c r="M117" s="1370">
        <f t="shared" si="52"/>
        <v>0</v>
      </c>
      <c r="N117" s="1370">
        <f t="shared" si="44"/>
        <v>91674</v>
      </c>
      <c r="O117" s="1492"/>
      <c r="Q117" s="1365" t="str">
        <f t="shared" si="53"/>
        <v>7.33</v>
      </c>
      <c r="R117" s="1367">
        <f>'APU''S'!I953-AE117</f>
        <v>4365.9999999999773</v>
      </c>
      <c r="S117" s="1366">
        <f t="shared" si="39"/>
        <v>4.7625280886619728E-2</v>
      </c>
      <c r="T117" s="1367">
        <f>'APU''S'!H951</f>
        <v>54567.500000000007</v>
      </c>
      <c r="U117" s="1366">
        <f t="shared" si="40"/>
        <v>0.59523419944586264</v>
      </c>
      <c r="V117" s="1367">
        <f>'APU''S'!H952</f>
        <v>32740.500000000007</v>
      </c>
      <c r="W117" s="1366">
        <f t="shared" si="41"/>
        <v>0.35714051966751759</v>
      </c>
      <c r="X117" s="1367">
        <v>0</v>
      </c>
      <c r="Y117" s="1366">
        <f t="shared" si="42"/>
        <v>0</v>
      </c>
      <c r="Z117" s="1367">
        <v>0</v>
      </c>
      <c r="AA117" s="1366">
        <f t="shared" si="43"/>
        <v>0</v>
      </c>
      <c r="AB117" s="1367">
        <f t="shared" si="54"/>
        <v>91674</v>
      </c>
      <c r="AD117" s="1369">
        <f t="shared" si="45"/>
        <v>0</v>
      </c>
      <c r="AE117">
        <v>-0.59999999997671694</v>
      </c>
    </row>
    <row r="118" spans="1:31" ht="15" customHeight="1">
      <c r="A118" s="1261"/>
      <c r="B118" s="1245" t="str">
        <f>'APU''S'!I957</f>
        <v>7.34</v>
      </c>
      <c r="C118" s="1260" t="str">
        <f>'APU''S'!B957</f>
        <v>I. UNIÓN RÁPIDA Ø=8" PVC</v>
      </c>
      <c r="D118" s="1246" t="str">
        <f>'APU''S'!C965</f>
        <v>und</v>
      </c>
      <c r="E118" s="1246">
        <f t="shared" si="47"/>
        <v>25</v>
      </c>
      <c r="F118" s="1247">
        <f>'APU''S'!B965</f>
        <v>147063</v>
      </c>
      <c r="G118" s="1247">
        <f t="shared" si="55"/>
        <v>3676575</v>
      </c>
      <c r="I118" s="1370">
        <f t="shared" si="48"/>
        <v>1182060.7142857141</v>
      </c>
      <c r="J118" s="1370">
        <f t="shared" si="49"/>
        <v>1559071.4285714286</v>
      </c>
      <c r="K118" s="1370">
        <f t="shared" si="50"/>
        <v>935442.85714285739</v>
      </c>
      <c r="L118" s="1370">
        <f t="shared" si="51"/>
        <v>0</v>
      </c>
      <c r="M118" s="1370">
        <f t="shared" si="52"/>
        <v>0</v>
      </c>
      <c r="N118" s="1370">
        <f t="shared" si="44"/>
        <v>3676575</v>
      </c>
      <c r="O118" s="1492"/>
      <c r="Q118" s="1365" t="str">
        <f t="shared" si="53"/>
        <v>7.34</v>
      </c>
      <c r="R118" s="1367">
        <f>'APU''S'!I963+'APU''S'!G959+'APU''S'!G960-AE118</f>
        <v>47282.428571428565</v>
      </c>
      <c r="S118" s="1366">
        <f t="shared" si="39"/>
        <v>0.32151138336242674</v>
      </c>
      <c r="T118" s="1367">
        <f>'APU''S'!H961</f>
        <v>62362.857142857145</v>
      </c>
      <c r="U118" s="1366">
        <f t="shared" si="40"/>
        <v>0.42405538539848325</v>
      </c>
      <c r="V118" s="1367">
        <f>'APU''S'!H962</f>
        <v>37417.71428571429</v>
      </c>
      <c r="W118" s="1366">
        <f t="shared" si="41"/>
        <v>0.25443323123909001</v>
      </c>
      <c r="X118" s="1367">
        <v>0</v>
      </c>
      <c r="Y118" s="1366">
        <f t="shared" si="42"/>
        <v>0</v>
      </c>
      <c r="Z118" s="1367">
        <v>0</v>
      </c>
      <c r="AA118" s="1366">
        <f t="shared" si="43"/>
        <v>0</v>
      </c>
      <c r="AB118" s="1367">
        <f t="shared" si="54"/>
        <v>147063</v>
      </c>
      <c r="AD118" s="1369">
        <f t="shared" si="45"/>
        <v>0</v>
      </c>
      <c r="AE118">
        <v>-0.39999999999417923</v>
      </c>
    </row>
    <row r="119" spans="1:31" ht="15" customHeight="1">
      <c r="A119" s="1261"/>
      <c r="B119" s="1245" t="str">
        <f>'APU''S'!I967</f>
        <v>7.35</v>
      </c>
      <c r="C119" s="1260" t="str">
        <f>'APU''S'!B967</f>
        <v>I. UNIÓN RÁPIDA Ø=6" PVC</v>
      </c>
      <c r="D119" s="1246" t="str">
        <f>'APU''S'!C975</f>
        <v>und</v>
      </c>
      <c r="E119" s="1246">
        <f t="shared" si="47"/>
        <v>19</v>
      </c>
      <c r="F119" s="1247">
        <f>'APU''S'!B975</f>
        <v>129738</v>
      </c>
      <c r="G119" s="1247">
        <f t="shared" si="55"/>
        <v>2465022</v>
      </c>
      <c r="I119" s="1370">
        <f t="shared" si="48"/>
        <v>806170</v>
      </c>
      <c r="J119" s="1370">
        <f t="shared" si="49"/>
        <v>1036782.5000000002</v>
      </c>
      <c r="K119" s="1370">
        <f t="shared" si="50"/>
        <v>622069.50000000012</v>
      </c>
      <c r="L119" s="1370">
        <f t="shared" si="51"/>
        <v>0</v>
      </c>
      <c r="M119" s="1370">
        <f t="shared" si="52"/>
        <v>0</v>
      </c>
      <c r="N119" s="1370">
        <f t="shared" si="44"/>
        <v>2465022</v>
      </c>
      <c r="O119" s="1492"/>
      <c r="Q119" s="1365" t="str">
        <f t="shared" si="53"/>
        <v>7.35</v>
      </c>
      <c r="R119" s="1367">
        <f>'APU''S'!I973+'APU''S'!G969+'APU''S'!G970-AE119</f>
        <v>42430</v>
      </c>
      <c r="S119" s="1366">
        <f t="shared" si="39"/>
        <v>0.327043734295272</v>
      </c>
      <c r="T119" s="1367">
        <f>'APU''S'!H971</f>
        <v>54567.500000000007</v>
      </c>
      <c r="U119" s="1366">
        <f t="shared" si="40"/>
        <v>0.42059766606545507</v>
      </c>
      <c r="V119" s="1367">
        <f>'APU''S'!H972</f>
        <v>32740.500000000007</v>
      </c>
      <c r="W119" s="1366">
        <f t="shared" si="41"/>
        <v>0.25235859963927304</v>
      </c>
      <c r="X119" s="1367">
        <v>0</v>
      </c>
      <c r="Y119" s="1366">
        <f t="shared" si="42"/>
        <v>0</v>
      </c>
      <c r="Z119" s="1367">
        <v>0</v>
      </c>
      <c r="AA119" s="1366">
        <f t="shared" si="43"/>
        <v>0</v>
      </c>
      <c r="AB119" s="1367">
        <f t="shared" si="54"/>
        <v>129738</v>
      </c>
      <c r="AD119" s="1369">
        <f t="shared" si="45"/>
        <v>0</v>
      </c>
      <c r="AE119">
        <v>-0.89999999999417923</v>
      </c>
    </row>
    <row r="120" spans="1:31" ht="15" customHeight="1">
      <c r="A120" s="1261"/>
      <c r="B120" s="1245" t="str">
        <f>'APU''S'!I977</f>
        <v>7.36</v>
      </c>
      <c r="C120" s="1260" t="str">
        <f>'APU''S'!B977</f>
        <v>I. UNIÓN RÁPIDA Ø=4" PVC</v>
      </c>
      <c r="D120" s="1246" t="str">
        <f>'APU''S'!C985</f>
        <v>und</v>
      </c>
      <c r="E120" s="1246">
        <f t="shared" si="47"/>
        <v>14</v>
      </c>
      <c r="F120" s="1247">
        <f>'APU''S'!B985</f>
        <v>105059</v>
      </c>
      <c r="G120" s="1247">
        <f t="shared" si="55"/>
        <v>1470826</v>
      </c>
      <c r="I120" s="1370">
        <f t="shared" si="48"/>
        <v>492976.39999999967</v>
      </c>
      <c r="J120" s="1370">
        <f t="shared" si="49"/>
        <v>611156.00000000012</v>
      </c>
      <c r="K120" s="1370">
        <f t="shared" si="50"/>
        <v>366693.60000000015</v>
      </c>
      <c r="L120" s="1370">
        <f t="shared" si="51"/>
        <v>0</v>
      </c>
      <c r="M120" s="1370">
        <f t="shared" si="52"/>
        <v>0</v>
      </c>
      <c r="N120" s="1370">
        <f t="shared" si="44"/>
        <v>1470826</v>
      </c>
      <c r="O120" s="1492"/>
      <c r="Q120" s="1365" t="str">
        <f t="shared" si="53"/>
        <v>7.36</v>
      </c>
      <c r="R120" s="1367">
        <f>'APU''S'!I983+'APU''S'!G979+'APU''S'!G980-AE120</f>
        <v>35212.599999999977</v>
      </c>
      <c r="S120" s="1366">
        <f t="shared" si="39"/>
        <v>0.33516976175291957</v>
      </c>
      <c r="T120" s="1367">
        <f>'APU''S'!H981</f>
        <v>43654.000000000007</v>
      </c>
      <c r="U120" s="1366">
        <f t="shared" si="40"/>
        <v>0.41551889890442523</v>
      </c>
      <c r="V120" s="1367">
        <f>'APU''S'!H982</f>
        <v>26192.400000000009</v>
      </c>
      <c r="W120" s="1366">
        <f t="shared" si="41"/>
        <v>0.24931133934265517</v>
      </c>
      <c r="X120" s="1367">
        <v>0</v>
      </c>
      <c r="Y120" s="1366">
        <f t="shared" si="42"/>
        <v>0</v>
      </c>
      <c r="Z120" s="1367">
        <v>0</v>
      </c>
      <c r="AA120" s="1366">
        <f t="shared" si="43"/>
        <v>0</v>
      </c>
      <c r="AB120" s="1367">
        <f t="shared" si="54"/>
        <v>105059</v>
      </c>
      <c r="AD120" s="1369">
        <f t="shared" si="45"/>
        <v>0</v>
      </c>
      <c r="AE120">
        <v>-0.52999999998428393</v>
      </c>
    </row>
    <row r="121" spans="1:31" ht="15" customHeight="1">
      <c r="A121" s="1261"/>
      <c r="B121" s="1245" t="str">
        <f>'APU''S'!I987</f>
        <v>7.37</v>
      </c>
      <c r="C121" s="1260" t="str">
        <f>'APU''S'!B987</f>
        <v>I. UNIÓN RÁPIDA Ø=3" PVC</v>
      </c>
      <c r="D121" s="1246" t="str">
        <f>'APU''S'!C995</f>
        <v>und</v>
      </c>
      <c r="E121" s="1246">
        <f t="shared" si="47"/>
        <v>30</v>
      </c>
      <c r="F121" s="1247">
        <f>'APU''S'!B995</f>
        <v>98715</v>
      </c>
      <c r="G121" s="1247">
        <f t="shared" si="55"/>
        <v>2961450</v>
      </c>
      <c r="I121" s="1370">
        <f t="shared" si="48"/>
        <v>866057.99999999942</v>
      </c>
      <c r="J121" s="1370">
        <f t="shared" si="49"/>
        <v>1309620.0000000002</v>
      </c>
      <c r="K121" s="1370">
        <f t="shared" si="50"/>
        <v>785772.00000000035</v>
      </c>
      <c r="L121" s="1370">
        <f t="shared" si="51"/>
        <v>0</v>
      </c>
      <c r="M121" s="1370">
        <f t="shared" si="52"/>
        <v>0</v>
      </c>
      <c r="N121" s="1370">
        <f t="shared" si="44"/>
        <v>2961450</v>
      </c>
      <c r="O121" s="1492"/>
      <c r="Q121" s="1365" t="str">
        <f t="shared" si="53"/>
        <v>7.37</v>
      </c>
      <c r="R121" s="1367">
        <f>'APU''S'!I993+'APU''S'!G989+'APU''S'!G990-AE121</f>
        <v>28868.59999999998</v>
      </c>
      <c r="S121" s="1366">
        <f t="shared" si="39"/>
        <v>0.29244390416856586</v>
      </c>
      <c r="T121" s="1367">
        <f>'APU''S'!H991</f>
        <v>43654.000000000007</v>
      </c>
      <c r="U121" s="1366">
        <f t="shared" si="40"/>
        <v>0.44222255989464626</v>
      </c>
      <c r="V121" s="1367">
        <f>'APU''S'!H992</f>
        <v>26192.400000000009</v>
      </c>
      <c r="W121" s="1366">
        <f t="shared" si="41"/>
        <v>0.26533353593678782</v>
      </c>
      <c r="X121" s="1367">
        <v>0</v>
      </c>
      <c r="Y121" s="1366">
        <f t="shared" si="42"/>
        <v>0</v>
      </c>
      <c r="Z121" s="1367">
        <v>0</v>
      </c>
      <c r="AA121" s="1366">
        <f t="shared" si="43"/>
        <v>0</v>
      </c>
      <c r="AB121" s="1367">
        <f t="shared" si="54"/>
        <v>98715</v>
      </c>
      <c r="AD121" s="1369">
        <f t="shared" si="45"/>
        <v>0</v>
      </c>
      <c r="AE121">
        <v>-0.47999999998137355</v>
      </c>
    </row>
    <row r="122" spans="1:31" ht="15" customHeight="1">
      <c r="A122" s="1261"/>
      <c r="B122" s="1245" t="str">
        <f>'APU''S'!I997</f>
        <v>7.38</v>
      </c>
      <c r="C122" s="1260" t="str">
        <f>'APU''S'!B997</f>
        <v>I. MEDIO CODO Ø=6" HD JUNTA RÁPIDA</v>
      </c>
      <c r="D122" s="1246" t="str">
        <f>'APU''S'!C1003</f>
        <v>und</v>
      </c>
      <c r="E122" s="1246">
        <f t="shared" si="47"/>
        <v>1</v>
      </c>
      <c r="F122" s="1247">
        <f>'APU''S'!B1003</f>
        <v>73339</v>
      </c>
      <c r="G122" s="1247">
        <f t="shared" si="55"/>
        <v>73339</v>
      </c>
      <c r="I122" s="1370">
        <f t="shared" si="48"/>
        <v>3492.5999999999858</v>
      </c>
      <c r="J122" s="1370">
        <f t="shared" si="49"/>
        <v>43654.000000000007</v>
      </c>
      <c r="K122" s="1370">
        <f t="shared" si="50"/>
        <v>26192.400000000009</v>
      </c>
      <c r="L122" s="1370">
        <f t="shared" si="51"/>
        <v>0</v>
      </c>
      <c r="M122" s="1370">
        <f t="shared" si="52"/>
        <v>0</v>
      </c>
      <c r="N122" s="1370">
        <f t="shared" si="44"/>
        <v>73339</v>
      </c>
      <c r="O122" s="1492"/>
      <c r="Q122" s="1365" t="str">
        <f t="shared" si="53"/>
        <v>7.38</v>
      </c>
      <c r="R122" s="1367">
        <f>'APU''S'!I1001-AE122</f>
        <v>3492.5999999999858</v>
      </c>
      <c r="S122" s="1366">
        <f t="shared" si="39"/>
        <v>4.7622683701713762E-2</v>
      </c>
      <c r="T122" s="1367">
        <f>'APU''S'!H999</f>
        <v>43654.000000000007</v>
      </c>
      <c r="U122" s="1366">
        <f t="shared" si="40"/>
        <v>0.59523582268642883</v>
      </c>
      <c r="V122" s="1367">
        <f>'APU''S'!H1000</f>
        <v>26192.400000000009</v>
      </c>
      <c r="W122" s="1366">
        <f t="shared" si="41"/>
        <v>0.35714149361185737</v>
      </c>
      <c r="X122" s="1367">
        <v>0</v>
      </c>
      <c r="Y122" s="1366">
        <f t="shared" si="42"/>
        <v>0</v>
      </c>
      <c r="Z122" s="1367">
        <v>0</v>
      </c>
      <c r="AA122" s="1366">
        <f t="shared" si="43"/>
        <v>0</v>
      </c>
      <c r="AB122" s="1367">
        <f t="shared" si="54"/>
        <v>73339</v>
      </c>
      <c r="AD122" s="1369">
        <f t="shared" si="45"/>
        <v>0</v>
      </c>
      <c r="AE122">
        <v>-0.27999999998428393</v>
      </c>
    </row>
    <row r="123" spans="1:31" ht="15" customHeight="1">
      <c r="A123" s="1261"/>
      <c r="B123" s="1245" t="str">
        <f>'APU''S'!I1005</f>
        <v>7.39</v>
      </c>
      <c r="C123" s="1260" t="str">
        <f>'APU''S'!B1005</f>
        <v>C. de cilindro PREFABRICADO para MH de D=1.20 m</v>
      </c>
      <c r="D123" s="1246" t="str">
        <f>'APU''S'!C1012</f>
        <v>m</v>
      </c>
      <c r="E123" s="1246">
        <f t="shared" ca="1" si="47"/>
        <v>15.06</v>
      </c>
      <c r="F123" s="1247">
        <f>'APU''S'!B1012</f>
        <v>291174</v>
      </c>
      <c r="G123" s="1247">
        <f t="shared" ca="1" si="55"/>
        <v>4385080</v>
      </c>
      <c r="I123" s="1370">
        <f t="shared" ca="1" si="48"/>
        <v>65751.959999999672</v>
      </c>
      <c r="J123" s="1370">
        <f t="shared" ca="1" si="49"/>
        <v>821786.55000000016</v>
      </c>
      <c r="K123" s="1370">
        <f t="shared" ca="1" si="50"/>
        <v>493071.93000000017</v>
      </c>
      <c r="L123" s="1370">
        <f t="shared" ca="1" si="51"/>
        <v>0</v>
      </c>
      <c r="M123" s="1370">
        <f ca="1">E123*F123*AA123+1399</f>
        <v>3005869.0000000005</v>
      </c>
      <c r="N123" s="1370">
        <f t="shared" ca="1" si="44"/>
        <v>4386479</v>
      </c>
      <c r="O123" s="1492"/>
      <c r="Q123" s="1365" t="str">
        <f t="shared" si="53"/>
        <v>7.39</v>
      </c>
      <c r="R123" s="1367">
        <f>'APU''S'!I1010-AE123</f>
        <v>4365.9999999999773</v>
      </c>
      <c r="S123" s="1366">
        <f t="shared" si="39"/>
        <v>1.4994470660155019E-2</v>
      </c>
      <c r="T123" s="1367">
        <f>'APU''S'!H1008</f>
        <v>54567.500000000007</v>
      </c>
      <c r="U123" s="1366">
        <f t="shared" si="40"/>
        <v>0.18740512545763016</v>
      </c>
      <c r="V123" s="1367">
        <f>'APU''S'!H1009</f>
        <v>32740.500000000007</v>
      </c>
      <c r="W123" s="1366">
        <f t="shared" si="41"/>
        <v>0.11244307527457811</v>
      </c>
      <c r="X123" s="1367">
        <v>0</v>
      </c>
      <c r="Y123" s="1366">
        <f t="shared" si="42"/>
        <v>0</v>
      </c>
      <c r="Z123" s="1367">
        <f>'APU''S'!F1007</f>
        <v>199500</v>
      </c>
      <c r="AA123" s="1366">
        <f t="shared" si="43"/>
        <v>0.68515732860763667</v>
      </c>
      <c r="AB123" s="1367">
        <f t="shared" si="54"/>
        <v>291174</v>
      </c>
      <c r="AD123" s="1369">
        <f t="shared" si="45"/>
        <v>0</v>
      </c>
      <c r="AE123">
        <v>-0.59999999997671694</v>
      </c>
    </row>
    <row r="124" spans="1:31" ht="15" customHeight="1">
      <c r="A124" s="1261"/>
      <c r="B124" s="1245" t="str">
        <f>'APU''S'!I1014</f>
        <v>7.40</v>
      </c>
      <c r="C124" s="1260" t="str">
        <f>'APU''S'!B1014</f>
        <v>C. de cilindro PREFABRICADO para MH de D=1.50 m</v>
      </c>
      <c r="D124" s="1246" t="str">
        <f>'APU''S'!C1021</f>
        <v>m</v>
      </c>
      <c r="E124" s="1246">
        <f t="shared" ref="E124:E129" si="56">ROUND(E78,2)</f>
        <v>2.5</v>
      </c>
      <c r="F124" s="1247">
        <f>'APU''S'!B1021</f>
        <v>312174</v>
      </c>
      <c r="G124" s="1247">
        <f t="shared" si="55"/>
        <v>780435</v>
      </c>
      <c r="I124" s="1370">
        <f t="shared" si="48"/>
        <v>10914.999999999942</v>
      </c>
      <c r="J124" s="1370">
        <f t="shared" si="49"/>
        <v>136418.75</v>
      </c>
      <c r="K124" s="1370">
        <f t="shared" si="50"/>
        <v>81851.250000000015</v>
      </c>
      <c r="L124" s="1370">
        <f t="shared" si="51"/>
        <v>0</v>
      </c>
      <c r="M124" s="1370">
        <f t="shared" si="52"/>
        <v>551250</v>
      </c>
      <c r="N124" s="1370">
        <f t="shared" si="44"/>
        <v>780435</v>
      </c>
      <c r="O124" s="1492"/>
      <c r="Q124" s="1365" t="str">
        <f t="shared" si="53"/>
        <v>7.40</v>
      </c>
      <c r="R124" s="1367">
        <f>'APU''S'!I1019-AE124</f>
        <v>4365.9999999999773</v>
      </c>
      <c r="S124" s="1366">
        <f t="shared" si="39"/>
        <v>1.3985789976102997E-2</v>
      </c>
      <c r="T124" s="1367">
        <f>'APU''S'!H1017</f>
        <v>54567.500000000007</v>
      </c>
      <c r="U124" s="1366">
        <f t="shared" si="40"/>
        <v>0.17479834963834273</v>
      </c>
      <c r="V124" s="1367">
        <f>'APU''S'!H1018</f>
        <v>32740.500000000007</v>
      </c>
      <c r="W124" s="1366">
        <f t="shared" si="41"/>
        <v>0.10487900978300566</v>
      </c>
      <c r="X124" s="1367">
        <v>0</v>
      </c>
      <c r="Y124" s="1366">
        <f t="shared" si="42"/>
        <v>0</v>
      </c>
      <c r="Z124" s="1367">
        <f>'APU''S'!F1020</f>
        <v>220500</v>
      </c>
      <c r="AA124" s="1366">
        <f t="shared" si="43"/>
        <v>0.70633685060254858</v>
      </c>
      <c r="AB124" s="1367">
        <f t="shared" si="54"/>
        <v>312174</v>
      </c>
      <c r="AD124" s="1369">
        <f t="shared" si="45"/>
        <v>0</v>
      </c>
      <c r="AE124">
        <v>-0.59999999997671694</v>
      </c>
    </row>
    <row r="125" spans="1:31" ht="15" customHeight="1">
      <c r="A125" s="1261"/>
      <c r="B125" s="1245" t="str">
        <f>'APU''S'!I1023</f>
        <v>7.41</v>
      </c>
      <c r="C125" s="1260" t="str">
        <f>'APU''S'!B1023</f>
        <v>I. Base y Cañuela pozo de inspección para tuberías PREFABRICADO Para MH de D=1.20m</v>
      </c>
      <c r="D125" s="1246" t="str">
        <f>'APU''S'!C1030</f>
        <v>und</v>
      </c>
      <c r="E125" s="1246">
        <f t="shared" ca="1" si="56"/>
        <v>15</v>
      </c>
      <c r="F125" s="1247">
        <f>'APU''S'!B1030</f>
        <v>224874</v>
      </c>
      <c r="G125" s="1247">
        <f t="shared" ca="1" si="55"/>
        <v>3373110</v>
      </c>
      <c r="I125" s="1370">
        <f t="shared" ca="1" si="48"/>
        <v>65489.999999999658</v>
      </c>
      <c r="J125" s="1370">
        <f t="shared" ca="1" si="49"/>
        <v>818512.50000000012</v>
      </c>
      <c r="K125" s="1370">
        <f t="shared" ca="1" si="50"/>
        <v>491107.50000000012</v>
      </c>
      <c r="L125" s="1370">
        <f t="shared" ca="1" si="51"/>
        <v>0</v>
      </c>
      <c r="M125" s="1370">
        <f t="shared" ca="1" si="52"/>
        <v>1997999.9999999998</v>
      </c>
      <c r="N125" s="1370">
        <f t="shared" ca="1" si="44"/>
        <v>3373110</v>
      </c>
      <c r="O125" s="1492"/>
      <c r="Q125" s="1365" t="str">
        <f t="shared" si="53"/>
        <v>7.41</v>
      </c>
      <c r="R125" s="1367">
        <f>'APU''S'!I1028-AE125</f>
        <v>4365.9999999999773</v>
      </c>
      <c r="S125" s="1366">
        <f t="shared" si="39"/>
        <v>1.9415317021976651E-2</v>
      </c>
      <c r="T125" s="1367">
        <f>'APU''S'!H1026</f>
        <v>54567.500000000007</v>
      </c>
      <c r="U125" s="1366">
        <f t="shared" si="40"/>
        <v>0.24265811076425023</v>
      </c>
      <c r="V125" s="1367">
        <f>'APU''S'!H1027</f>
        <v>32740.500000000007</v>
      </c>
      <c r="W125" s="1366">
        <f t="shared" si="41"/>
        <v>0.14559486645855016</v>
      </c>
      <c r="X125" s="1367">
        <v>0</v>
      </c>
      <c r="Y125" s="1366">
        <f t="shared" si="42"/>
        <v>0</v>
      </c>
      <c r="Z125" s="1367">
        <f>'APU''S'!F1029</f>
        <v>133200</v>
      </c>
      <c r="AA125" s="1366">
        <f t="shared" si="43"/>
        <v>0.59233170575522287</v>
      </c>
      <c r="AB125" s="1367">
        <f t="shared" si="54"/>
        <v>224874</v>
      </c>
      <c r="AD125" s="1369">
        <f t="shared" si="45"/>
        <v>0</v>
      </c>
      <c r="AE125">
        <v>-0.59999999997671694</v>
      </c>
    </row>
    <row r="126" spans="1:31" ht="15" customHeight="1">
      <c r="A126" s="1261"/>
      <c r="B126" s="1245" t="str">
        <f>'APU''S'!I1032</f>
        <v>7.42</v>
      </c>
      <c r="C126" s="1260" t="str">
        <f>'APU''S'!B1032</f>
        <v>I. Base y Cañuela pozo de inspección para tuberías PREFABRICADO Para MH de D=1.50m</v>
      </c>
      <c r="D126" s="1246" t="str">
        <f>'APU''S'!C1039</f>
        <v>und</v>
      </c>
      <c r="E126" s="1246">
        <f t="shared" si="56"/>
        <v>1</v>
      </c>
      <c r="F126" s="1247">
        <f>'APU''S'!B1039</f>
        <v>241674</v>
      </c>
      <c r="G126" s="1247">
        <f t="shared" si="55"/>
        <v>241674</v>
      </c>
      <c r="I126" s="1370">
        <f t="shared" si="48"/>
        <v>4365.9999999999773</v>
      </c>
      <c r="J126" s="1370">
        <f t="shared" si="49"/>
        <v>54567.500000000007</v>
      </c>
      <c r="K126" s="1370">
        <f t="shared" si="50"/>
        <v>32740.500000000007</v>
      </c>
      <c r="L126" s="1370">
        <f t="shared" si="51"/>
        <v>0</v>
      </c>
      <c r="M126" s="1370">
        <f t="shared" si="52"/>
        <v>150000</v>
      </c>
      <c r="N126" s="1370">
        <f t="shared" si="44"/>
        <v>241674</v>
      </c>
      <c r="O126" s="1492"/>
      <c r="Q126" s="1365" t="str">
        <f t="shared" si="53"/>
        <v>7.42</v>
      </c>
      <c r="R126" s="1367">
        <f>'APU''S'!I1037-AE126</f>
        <v>4365.9999999999773</v>
      </c>
      <c r="S126" s="1366">
        <f t="shared" si="39"/>
        <v>1.8065658697253229E-2</v>
      </c>
      <c r="T126" s="1367">
        <f>'APU''S'!H1035</f>
        <v>54567.500000000007</v>
      </c>
      <c r="U126" s="1366">
        <f t="shared" si="40"/>
        <v>0.22578970017461542</v>
      </c>
      <c r="V126" s="1367">
        <f>'APU''S'!H1036</f>
        <v>32740.500000000007</v>
      </c>
      <c r="W126" s="1366">
        <f t="shared" si="41"/>
        <v>0.13547382010476927</v>
      </c>
      <c r="X126" s="1367">
        <f>0</f>
        <v>0</v>
      </c>
      <c r="Y126" s="1366">
        <f t="shared" si="42"/>
        <v>0</v>
      </c>
      <c r="Z126" s="1367">
        <f>'APU''S'!F1034</f>
        <v>150000</v>
      </c>
      <c r="AA126" s="1366">
        <f t="shared" si="43"/>
        <v>0.62067082102336202</v>
      </c>
      <c r="AB126" s="1367">
        <f t="shared" si="54"/>
        <v>241674</v>
      </c>
      <c r="AD126" s="1369">
        <f t="shared" si="45"/>
        <v>0</v>
      </c>
      <c r="AE126">
        <v>-0.59999999997671694</v>
      </c>
    </row>
    <row r="127" spans="1:31" ht="15" customHeight="1">
      <c r="A127" s="1261"/>
      <c r="B127" s="1245" t="str">
        <f>'APU''S'!I1041</f>
        <v>7.43</v>
      </c>
      <c r="C127" s="1260" t="str">
        <f>'APU''S'!B1041</f>
        <v>C. Cono concentrico PREFABRICADO para MH, D=1.2m h=0.75m</v>
      </c>
      <c r="D127" s="1246" t="str">
        <f>'APU''S'!C1048</f>
        <v>und</v>
      </c>
      <c r="E127" s="1246">
        <f t="shared" ca="1" si="56"/>
        <v>15</v>
      </c>
      <c r="F127" s="1247">
        <f>'APU''S'!B1048</f>
        <v>351347</v>
      </c>
      <c r="G127" s="1247">
        <f t="shared" ca="1" si="55"/>
        <v>5270205</v>
      </c>
      <c r="I127" s="1370">
        <f t="shared" ca="1" si="48"/>
        <v>130964.99999999932</v>
      </c>
      <c r="J127" s="1370">
        <f t="shared" ca="1" si="49"/>
        <v>1637025.0000000002</v>
      </c>
      <c r="K127" s="1370">
        <f t="shared" ca="1" si="50"/>
        <v>982215.00000000012</v>
      </c>
      <c r="L127" s="1370">
        <f t="shared" ca="1" si="51"/>
        <v>0</v>
      </c>
      <c r="M127" s="1370">
        <f ca="1">E127*F127*AA127+69</f>
        <v>2520069</v>
      </c>
      <c r="N127" s="1370">
        <f t="shared" ca="1" si="44"/>
        <v>5270274</v>
      </c>
      <c r="O127" s="1492"/>
      <c r="Q127" s="1365" t="str">
        <f t="shared" si="53"/>
        <v>7.43</v>
      </c>
      <c r="R127" s="1367">
        <f>'APU''S'!I1046-AE127</f>
        <v>8730.9999999999545</v>
      </c>
      <c r="S127" s="1366">
        <f t="shared" si="39"/>
        <v>2.4850076989414892E-2</v>
      </c>
      <c r="T127" s="1367">
        <f>'APU''S'!H1044</f>
        <v>109135.00000000001</v>
      </c>
      <c r="U127" s="1366">
        <f t="shared" si="40"/>
        <v>0.31061884689495006</v>
      </c>
      <c r="V127" s="1367">
        <f>'APU''S'!H1045</f>
        <v>65481.000000000015</v>
      </c>
      <c r="W127" s="1366">
        <f t="shared" si="41"/>
        <v>0.18637130813697003</v>
      </c>
      <c r="X127" s="1367">
        <v>0</v>
      </c>
      <c r="Y127" s="1366">
        <f t="shared" si="42"/>
        <v>0</v>
      </c>
      <c r="Z127" s="1367">
        <f>'APU''S'!F1043</f>
        <v>168000</v>
      </c>
      <c r="AA127" s="1366">
        <f t="shared" si="43"/>
        <v>0.47815976797866494</v>
      </c>
      <c r="AB127" s="1367">
        <f t="shared" si="54"/>
        <v>351347</v>
      </c>
      <c r="AD127" s="1369">
        <f t="shared" si="45"/>
        <v>0</v>
      </c>
      <c r="AE127">
        <v>-0.19999999995343387</v>
      </c>
    </row>
    <row r="128" spans="1:31" ht="15" customHeight="1">
      <c r="A128" s="1261"/>
      <c r="B128" s="1245" t="str">
        <f>'APU''S'!I1050</f>
        <v>7.44</v>
      </c>
      <c r="C128" s="1260" t="str">
        <f>'APU''S'!B1050</f>
        <v>C. Cono concentrico PREFABRICADO para MH, D=1.5m h=1.10m</v>
      </c>
      <c r="D128" s="1246" t="str">
        <f>'APU''S'!C1057</f>
        <v>und</v>
      </c>
      <c r="E128" s="1246">
        <f t="shared" si="56"/>
        <v>1</v>
      </c>
      <c r="F128" s="1247">
        <f>'APU''S'!B1057</f>
        <v>382848</v>
      </c>
      <c r="G128" s="1247">
        <f t="shared" si="55"/>
        <v>382848</v>
      </c>
      <c r="I128" s="1370">
        <f t="shared" si="48"/>
        <v>8731.0545674999557</v>
      </c>
      <c r="J128" s="1370">
        <f t="shared" si="49"/>
        <v>109136.09135000002</v>
      </c>
      <c r="K128" s="1370">
        <f t="shared" si="50"/>
        <v>65481.000000000007</v>
      </c>
      <c r="L128" s="1370">
        <f t="shared" si="51"/>
        <v>0</v>
      </c>
      <c r="M128" s="1370">
        <f t="shared" si="52"/>
        <v>199500</v>
      </c>
      <c r="N128" s="1370">
        <f t="shared" si="44"/>
        <v>382848</v>
      </c>
      <c r="O128" s="1492"/>
      <c r="Q128" s="1365" t="str">
        <f t="shared" si="53"/>
        <v>7.44</v>
      </c>
      <c r="R128" s="1367">
        <f>'APU''S'!I1055-AE128</f>
        <v>8731.0545674999557</v>
      </c>
      <c r="S128" s="1366">
        <f t="shared" si="39"/>
        <v>2.2805537883180675E-2</v>
      </c>
      <c r="T128" s="1367">
        <f>'APU''S'!H1053</f>
        <v>109136.09135000002</v>
      </c>
      <c r="U128" s="1366">
        <f t="shared" si="40"/>
        <v>0.28506376251149285</v>
      </c>
      <c r="V128" s="1367">
        <f>'APU''S'!H1054</f>
        <v>65481.000000000015</v>
      </c>
      <c r="W128" s="1366">
        <f t="shared" si="41"/>
        <v>0.1710365471414243</v>
      </c>
      <c r="X128" s="1367">
        <v>0</v>
      </c>
      <c r="Y128" s="1366">
        <f t="shared" si="42"/>
        <v>0</v>
      </c>
      <c r="Z128" s="1367">
        <f>'APU''S'!F1052</f>
        <v>199500</v>
      </c>
      <c r="AA128" s="1366">
        <f t="shared" si="43"/>
        <v>0.52109453360080238</v>
      </c>
      <c r="AB128" s="1367">
        <f t="shared" si="54"/>
        <v>382848</v>
      </c>
      <c r="AD128" s="1369">
        <f t="shared" si="45"/>
        <v>0.14591750002000481</v>
      </c>
      <c r="AE128">
        <v>-0.19999999995343387</v>
      </c>
    </row>
    <row r="129" spans="1:32" ht="15" customHeight="1">
      <c r="A129" s="1261"/>
      <c r="B129" s="1245" t="str">
        <f>'APU''S'!I1059</f>
        <v>7.45</v>
      </c>
      <c r="C129" s="1260" t="str">
        <f>'APU''S'!B1059</f>
        <v>C. de tapa polimérica para cámara de inspección, según diseño, incluye anillo/cuello</v>
      </c>
      <c r="D129" s="1246" t="str">
        <f>'APU''S'!C1066</f>
        <v>und</v>
      </c>
      <c r="E129" s="1246">
        <f t="shared" ca="1" si="56"/>
        <v>16</v>
      </c>
      <c r="F129" s="1247">
        <f>'APU''S'!B1066</f>
        <v>88339</v>
      </c>
      <c r="G129" s="1247">
        <f t="shared" ca="1" si="55"/>
        <v>1413424</v>
      </c>
      <c r="I129" s="1370">
        <f t="shared" ca="1" si="48"/>
        <v>55881.599999999773</v>
      </c>
      <c r="J129" s="1370">
        <f t="shared" ca="1" si="49"/>
        <v>698464.00000000012</v>
      </c>
      <c r="K129" s="1370">
        <f t="shared" ca="1" si="50"/>
        <v>419078.40000000014</v>
      </c>
      <c r="L129" s="1370">
        <f ca="1">E129*F129*Y129-293</f>
        <v>239707</v>
      </c>
      <c r="M129" s="1370">
        <f t="shared" ca="1" si="52"/>
        <v>0</v>
      </c>
      <c r="N129" s="1370">
        <f ca="1">ROUND(SUM(I129:M129),0)</f>
        <v>1413131</v>
      </c>
      <c r="O129" s="1492"/>
      <c r="Q129" s="1365" t="str">
        <f t="shared" si="53"/>
        <v>7.45</v>
      </c>
      <c r="R129" s="1367">
        <f>'APU''S'!I1064-AE129</f>
        <v>3492.5999999999858</v>
      </c>
      <c r="S129" s="1366">
        <f t="shared" si="39"/>
        <v>3.9536331631555552E-2</v>
      </c>
      <c r="T129" s="1367">
        <f>'APU''S'!H1062</f>
        <v>43654.000000000007</v>
      </c>
      <c r="U129" s="1366">
        <f t="shared" si="40"/>
        <v>0.49416452529460381</v>
      </c>
      <c r="V129" s="1367">
        <f>'APU''S'!H1063</f>
        <v>26192.400000000009</v>
      </c>
      <c r="W129" s="1366">
        <f t="shared" si="41"/>
        <v>0.29649871517676235</v>
      </c>
      <c r="X129" s="1367">
        <f>'APU''S'!I1061</f>
        <v>15000</v>
      </c>
      <c r="Y129" s="1366">
        <f t="shared" si="42"/>
        <v>0.1698004278970783</v>
      </c>
      <c r="Z129" s="1367">
        <v>0</v>
      </c>
      <c r="AA129" s="1366">
        <f t="shared" si="43"/>
        <v>0</v>
      </c>
      <c r="AB129" s="1367">
        <f t="shared" si="54"/>
        <v>88339</v>
      </c>
      <c r="AD129" s="1369">
        <f t="shared" si="45"/>
        <v>0</v>
      </c>
      <c r="AE129">
        <v>-0.27999999998428393</v>
      </c>
    </row>
    <row r="130" spans="1:32" ht="11.25" customHeight="1">
      <c r="N130"/>
      <c r="O130" s="1492"/>
    </row>
    <row r="131" spans="1:32" ht="18.75" customHeight="1">
      <c r="B131" s="1549" t="s">
        <v>14</v>
      </c>
      <c r="C131" s="1549"/>
      <c r="D131" s="1549"/>
      <c r="E131" s="1549"/>
      <c r="F131" s="1549"/>
      <c r="G131" s="1527">
        <f ca="1">ROUND(SUM(G5,G8,G12,G22,G33,G84),0)</f>
        <v>3517895063</v>
      </c>
      <c r="I131" s="1243">
        <f ca="1">ROUND(SUM(I5,I8,I12,I22,I33,I84),0)</f>
        <v>1527174402</v>
      </c>
      <c r="J131" s="1243">
        <f t="shared" ref="J131:M131" ca="1" si="57">ROUND(SUM(J5,J8,J12,J22,J33,J84),0)</f>
        <v>539858565</v>
      </c>
      <c r="K131" s="1243">
        <f t="shared" ca="1" si="57"/>
        <v>558665074</v>
      </c>
      <c r="L131" s="1243">
        <f ca="1">ROUND(SUM(L5,L8,L12,L22,L33,L84),0)</f>
        <v>509739930</v>
      </c>
      <c r="M131" s="1243">
        <f t="shared" ca="1" si="57"/>
        <v>382456636</v>
      </c>
      <c r="N131" s="1243">
        <f ca="1">SUM(I131:M131)</f>
        <v>3517894607</v>
      </c>
      <c r="AF131" s="1475"/>
    </row>
    <row r="132" spans="1:32" ht="18.75" customHeight="1">
      <c r="B132" s="1546" t="s">
        <v>15</v>
      </c>
      <c r="C132" s="1546"/>
      <c r="D132" s="1546"/>
      <c r="E132" s="1546"/>
      <c r="F132" s="1490">
        <f ca="1">AU!H44</f>
        <v>0.2839792253983523</v>
      </c>
      <c r="G132" s="1243">
        <f ca="1">ROUND($G$131*F132,0)</f>
        <v>999009115</v>
      </c>
      <c r="I132" s="1243">
        <f ca="1">ROUND(I131*$F$132,0)</f>
        <v>433685804</v>
      </c>
      <c r="J132" s="1243">
        <f t="shared" ref="J132:M132" ca="1" si="58">ROUND(J131*$F$132,0)</f>
        <v>153308617</v>
      </c>
      <c r="K132" s="1243">
        <f t="shared" ca="1" si="58"/>
        <v>158649275</v>
      </c>
      <c r="L132" s="1243">
        <f t="shared" ca="1" si="58"/>
        <v>144755550</v>
      </c>
      <c r="M132" s="1243">
        <f t="shared" ca="1" si="58"/>
        <v>108609739</v>
      </c>
      <c r="N132" s="1243">
        <f ca="1">SUM(I132:M132)</f>
        <v>999008985</v>
      </c>
      <c r="AF132" s="1475"/>
    </row>
    <row r="133" spans="1:32" ht="18.75" customHeight="1">
      <c r="B133" s="1546" t="s">
        <v>16</v>
      </c>
      <c r="C133" s="1546"/>
      <c r="D133" s="1546"/>
      <c r="E133" s="1546"/>
      <c r="F133" s="1490">
        <v>0.05</v>
      </c>
      <c r="G133" s="1243">
        <f ca="1">ROUND($G$131*F133,0)</f>
        <v>175894753</v>
      </c>
      <c r="I133" s="1243">
        <f ca="1">ROUND(I131*$F$133,0)</f>
        <v>76358720</v>
      </c>
      <c r="J133" s="1243">
        <f t="shared" ref="J133:M133" ca="1" si="59">ROUND(J131*$F$133,0)</f>
        <v>26992928</v>
      </c>
      <c r="K133" s="1243">
        <f t="shared" ca="1" si="59"/>
        <v>27933254</v>
      </c>
      <c r="L133" s="1243">
        <f t="shared" ca="1" si="59"/>
        <v>25486997</v>
      </c>
      <c r="M133" s="1243">
        <f t="shared" ca="1" si="59"/>
        <v>19122832</v>
      </c>
      <c r="N133" s="1243">
        <f t="shared" ref="N133" ca="1" si="60">SUM(I133:M133)</f>
        <v>175894731</v>
      </c>
      <c r="AF133" s="1475"/>
    </row>
    <row r="134" spans="1:32" ht="18.75" customHeight="1">
      <c r="B134" s="1553" t="s">
        <v>17</v>
      </c>
      <c r="C134" s="1554"/>
      <c r="D134" s="1554"/>
      <c r="E134" s="1554"/>
      <c r="F134" s="1555"/>
      <c r="G134" s="1327">
        <f ca="1">SUM(G131:G133)</f>
        <v>4692798931</v>
      </c>
      <c r="I134" s="1327">
        <f ca="1">SUM(I131:I133)</f>
        <v>2037218926</v>
      </c>
      <c r="J134" s="1327">
        <f t="shared" ref="J134:M134" ca="1" si="61">SUM(J131:J133)</f>
        <v>720160110</v>
      </c>
      <c r="K134" s="1327">
        <f t="shared" ca="1" si="61"/>
        <v>745247603</v>
      </c>
      <c r="L134" s="1327">
        <f t="shared" ca="1" si="61"/>
        <v>679982477</v>
      </c>
      <c r="M134" s="1327">
        <f t="shared" ca="1" si="61"/>
        <v>510189207</v>
      </c>
      <c r="N134" s="1327">
        <f ca="1">SUM(N131:N133)</f>
        <v>4692798323</v>
      </c>
      <c r="AF134" s="1475"/>
    </row>
    <row r="135" spans="1:32" ht="18.75" customHeight="1">
      <c r="B135" s="1549" t="s">
        <v>18</v>
      </c>
      <c r="C135" s="1549"/>
      <c r="D135" s="1549"/>
      <c r="E135" s="1549"/>
      <c r="F135" s="1549"/>
      <c r="G135" s="1527">
        <f ca="1">ROUND(G38,0)</f>
        <v>818342499</v>
      </c>
      <c r="I135" s="1243">
        <f ca="1">ROUND(I38,0)</f>
        <v>784037451</v>
      </c>
      <c r="J135" s="1243">
        <f t="shared" ref="J135:M135" ca="1" si="62">ROUND(J38,0)</f>
        <v>0</v>
      </c>
      <c r="K135" s="1243">
        <f t="shared" ca="1" si="62"/>
        <v>0</v>
      </c>
      <c r="L135" s="1243">
        <f t="shared" ca="1" si="62"/>
        <v>34305047</v>
      </c>
      <c r="M135" s="1243">
        <f t="shared" ca="1" si="62"/>
        <v>0</v>
      </c>
      <c r="N135" s="1243">
        <f ca="1">SUM(I135:M135)</f>
        <v>818342498</v>
      </c>
      <c r="AF135" s="1475"/>
    </row>
    <row r="136" spans="1:32" ht="18.75" customHeight="1">
      <c r="B136" s="1546" t="s">
        <v>15</v>
      </c>
      <c r="C136" s="1546"/>
      <c r="D136" s="1546"/>
      <c r="E136" s="1546"/>
      <c r="F136" s="1490">
        <f ca="1">F132</f>
        <v>0.2839792253983523</v>
      </c>
      <c r="G136" s="1243">
        <f ca="1">ROUND($G$135*F136,0)</f>
        <v>232392269</v>
      </c>
      <c r="I136" s="1243">
        <f ca="1">ROUND(I135*$F$136,0)</f>
        <v>222650348</v>
      </c>
      <c r="J136" s="1243">
        <f t="shared" ref="J136:M136" ca="1" si="63">ROUND(J135*$F$136,0)</f>
        <v>0</v>
      </c>
      <c r="K136" s="1243">
        <f t="shared" ca="1" si="63"/>
        <v>0</v>
      </c>
      <c r="L136" s="1243">
        <f t="shared" ca="1" si="63"/>
        <v>9741921</v>
      </c>
      <c r="M136" s="1243">
        <f t="shared" ca="1" si="63"/>
        <v>0</v>
      </c>
      <c r="N136" s="1243">
        <f ca="1">SUM(I136:M136)</f>
        <v>232392269</v>
      </c>
      <c r="AF136" s="1475"/>
    </row>
    <row r="137" spans="1:32" ht="18.75" customHeight="1">
      <c r="B137" s="1553" t="s">
        <v>19</v>
      </c>
      <c r="C137" s="1554"/>
      <c r="D137" s="1554"/>
      <c r="E137" s="1554"/>
      <c r="F137" s="1555"/>
      <c r="G137" s="1327">
        <f ca="1">SUM(G135:G136)</f>
        <v>1050734768</v>
      </c>
      <c r="I137" s="1327">
        <f ca="1">SUM(I135:I136)</f>
        <v>1006687799</v>
      </c>
      <c r="J137" s="1327">
        <f t="shared" ref="J137:M137" ca="1" si="64">SUM(J135:J136)</f>
        <v>0</v>
      </c>
      <c r="K137" s="1327">
        <f t="shared" ca="1" si="64"/>
        <v>0</v>
      </c>
      <c r="L137" s="1327">
        <f t="shared" ca="1" si="64"/>
        <v>44046968</v>
      </c>
      <c r="M137" s="1327">
        <f t="shared" ca="1" si="64"/>
        <v>0</v>
      </c>
      <c r="N137" s="1327">
        <f ca="1">SUM(N135:N136)</f>
        <v>1050734767</v>
      </c>
      <c r="AF137" s="1475"/>
    </row>
    <row r="138" spans="1:32" ht="18.75" customHeight="1">
      <c r="B138" s="1546" t="s">
        <v>20</v>
      </c>
      <c r="C138" s="1546"/>
      <c r="D138" s="1546"/>
      <c r="E138" s="1546"/>
      <c r="F138" s="1490">
        <f ca="1">G138/(G134+G137)</f>
        <v>9.9217711928671667E-2</v>
      </c>
      <c r="G138" s="1527">
        <f ca="1">ROUND('INT OBRA'!H60,0)</f>
        <v>569860272</v>
      </c>
      <c r="I138" s="1243">
        <v>0</v>
      </c>
      <c r="J138" s="1243">
        <f ca="1">ROUND(G138*100%,0)</f>
        <v>569860272</v>
      </c>
      <c r="K138" s="1243">
        <v>0</v>
      </c>
      <c r="L138" s="1243">
        <v>0</v>
      </c>
      <c r="M138" s="1243">
        <v>0</v>
      </c>
      <c r="N138" s="1243">
        <f ca="1">SUM(I138:M138)</f>
        <v>569860272</v>
      </c>
      <c r="AF138" s="1475"/>
    </row>
    <row r="139" spans="1:32" ht="18.75" customHeight="1">
      <c r="B139" s="1546"/>
      <c r="C139" s="1546"/>
      <c r="D139" s="1546"/>
      <c r="E139" s="1546"/>
      <c r="F139" s="1262"/>
      <c r="G139" s="1243"/>
      <c r="I139" s="1243">
        <v>0</v>
      </c>
      <c r="J139" s="1243">
        <f>ROUND(G139*100%,0)</f>
        <v>0</v>
      </c>
      <c r="K139" s="1243">
        <v>0</v>
      </c>
      <c r="L139" s="1243">
        <v>0</v>
      </c>
      <c r="M139" s="1243">
        <v>0</v>
      </c>
      <c r="N139" s="1243">
        <f>SUM(I139:M139)</f>
        <v>0</v>
      </c>
      <c r="AF139" s="1475"/>
    </row>
    <row r="140" spans="1:32" ht="11.25" customHeight="1">
      <c r="B140" s="1263"/>
      <c r="C140" s="1263"/>
      <c r="D140" s="1263"/>
      <c r="E140" s="1263"/>
      <c r="F140" s="1263"/>
      <c r="G140" s="1263"/>
    </row>
    <row r="141" spans="1:32" ht="18.75" customHeight="1">
      <c r="B141" s="1547" t="s">
        <v>21</v>
      </c>
      <c r="C141" s="1547"/>
      <c r="D141" s="1547"/>
      <c r="E141" s="1547"/>
      <c r="F141" s="1547"/>
      <c r="G141" s="1526">
        <f ca="1">ROUND(SUM(G134,G137,G138),0)</f>
        <v>6313393971</v>
      </c>
      <c r="I141" s="1328">
        <f ca="1">ROUND(SUM(I134,I137,I138,I139),2)</f>
        <v>3043906725</v>
      </c>
      <c r="J141" s="1328">
        <f t="shared" ref="J141:M141" ca="1" si="65">ROUND(SUM(J134,J137,J138,J139),2)</f>
        <v>1290020382</v>
      </c>
      <c r="K141" s="1328">
        <f t="shared" ca="1" si="65"/>
        <v>745247603</v>
      </c>
      <c r="L141" s="1328">
        <f t="shared" ca="1" si="65"/>
        <v>724029445</v>
      </c>
      <c r="M141" s="1328">
        <f t="shared" ca="1" si="65"/>
        <v>510189207</v>
      </c>
      <c r="N141" s="1328">
        <f ca="1">ROUND(SUM(N134,N137,N138,N139),2)</f>
        <v>6313393362</v>
      </c>
      <c r="AF141" s="1475">
        <f ca="1">N141-G141</f>
        <v>-609</v>
      </c>
    </row>
    <row r="142" spans="1:32">
      <c r="G142" s="1492"/>
    </row>
    <row r="143" spans="1:32" ht="52.5" customHeight="1">
      <c r="B143" s="1551" t="s">
        <v>22</v>
      </c>
      <c r="C143" s="1551"/>
      <c r="D143"/>
      <c r="E143"/>
      <c r="F143" s="1475"/>
      <c r="G143" s="1492"/>
      <c r="H143"/>
      <c r="I143" s="1265" t="s">
        <v>8</v>
      </c>
      <c r="J143" s="1265" t="s">
        <v>9</v>
      </c>
      <c r="K143" s="1265" t="s">
        <v>10</v>
      </c>
      <c r="L143" s="1265" t="s">
        <v>11</v>
      </c>
      <c r="M143" s="1265" t="s">
        <v>12</v>
      </c>
      <c r="N143" s="1265" t="s">
        <v>13</v>
      </c>
      <c r="O143"/>
      <c r="P143"/>
      <c r="Q143"/>
      <c r="R143"/>
      <c r="S143"/>
      <c r="T143"/>
      <c r="U143"/>
      <c r="V143"/>
      <c r="W143"/>
      <c r="X143"/>
      <c r="Y143"/>
      <c r="Z143"/>
      <c r="AA143"/>
      <c r="AB143"/>
      <c r="AC143"/>
    </row>
    <row r="144" spans="1:32" ht="15" customHeight="1">
      <c r="B144" s="1545" t="s">
        <v>23</v>
      </c>
      <c r="C144" s="1545"/>
      <c r="D144"/>
      <c r="E144"/>
      <c r="F144"/>
      <c r="G144" s="1475"/>
      <c r="H144"/>
      <c r="I144" s="1372">
        <f ca="1">I141/$N$141</f>
        <v>0.4821348125274631</v>
      </c>
      <c r="J144" s="1372">
        <f t="shared" ref="J144:N144" ca="1" si="66">J141/$N$141</f>
        <v>0.20433074703764989</v>
      </c>
      <c r="K144" s="1372">
        <f t="shared" ca="1" si="66"/>
        <v>0.11804232055072129</v>
      </c>
      <c r="L144" s="1372">
        <f t="shared" ca="1" si="66"/>
        <v>0.11468150382611943</v>
      </c>
      <c r="M144" s="1372">
        <f t="shared" ca="1" si="66"/>
        <v>8.0810616058046278E-2</v>
      </c>
      <c r="N144" s="1372">
        <f t="shared" ca="1" si="66"/>
        <v>1</v>
      </c>
      <c r="O144"/>
      <c r="P144"/>
      <c r="Q144"/>
      <c r="R144"/>
      <c r="S144"/>
      <c r="T144"/>
      <c r="U144"/>
      <c r="V144"/>
      <c r="W144"/>
      <c r="X144"/>
      <c r="Y144"/>
      <c r="Z144"/>
      <c r="AA144"/>
      <c r="AB144"/>
      <c r="AC144"/>
    </row>
    <row r="145" spans="2:29" ht="15" customHeight="1">
      <c r="B145" s="1550" t="s">
        <v>24</v>
      </c>
      <c r="C145" s="1545"/>
      <c r="D145"/>
      <c r="E145"/>
      <c r="G145" s="1492"/>
      <c r="H145"/>
      <c r="O145"/>
      <c r="P145"/>
      <c r="Q145"/>
      <c r="R145"/>
      <c r="S145"/>
      <c r="T145"/>
      <c r="U145"/>
      <c r="V145"/>
      <c r="W145"/>
      <c r="X145"/>
      <c r="Y145"/>
      <c r="Z145"/>
      <c r="AA145"/>
      <c r="AB145"/>
      <c r="AC145"/>
    </row>
    <row r="146" spans="2:29" ht="15" customHeight="1">
      <c r="B146" s="1545" t="s">
        <v>25</v>
      </c>
      <c r="C146" s="1545"/>
      <c r="D146"/>
      <c r="E146"/>
      <c r="F146"/>
      <c r="G146" s="1475"/>
      <c r="H146"/>
      <c r="O146"/>
      <c r="P146"/>
      <c r="Q146"/>
      <c r="R146"/>
      <c r="S146"/>
      <c r="T146"/>
      <c r="U146"/>
      <c r="V146"/>
      <c r="W146"/>
      <c r="X146"/>
      <c r="Y146"/>
      <c r="Z146"/>
      <c r="AA146"/>
      <c r="AB146"/>
      <c r="AC146"/>
    </row>
    <row r="147" spans="2:29" ht="15" customHeight="1">
      <c r="B147" s="1545" t="s">
        <v>26</v>
      </c>
      <c r="C147" s="1545"/>
      <c r="D147"/>
      <c r="E147"/>
      <c r="F147"/>
      <c r="G147" s="1475"/>
      <c r="H147"/>
      <c r="O147"/>
      <c r="P147"/>
      <c r="Q147"/>
      <c r="R147"/>
      <c r="S147"/>
      <c r="T147"/>
      <c r="U147"/>
      <c r="V147"/>
      <c r="W147"/>
      <c r="X147"/>
      <c r="Y147"/>
      <c r="Z147"/>
      <c r="AA147"/>
      <c r="AB147"/>
      <c r="AC147"/>
    </row>
    <row r="148" spans="2:29" ht="15" customHeight="1">
      <c r="B148" s="1362"/>
      <c r="C148" s="1362"/>
      <c r="D148"/>
      <c r="E148"/>
      <c r="F148"/>
      <c r="G148" s="1475"/>
      <c r="H148"/>
      <c r="O148"/>
      <c r="P148"/>
      <c r="Q148"/>
      <c r="R148"/>
      <c r="S148"/>
      <c r="T148"/>
      <c r="U148"/>
      <c r="V148"/>
      <c r="W148"/>
      <c r="X148"/>
      <c r="Y148"/>
      <c r="Z148"/>
      <c r="AA148"/>
      <c r="AB148"/>
      <c r="AC148"/>
    </row>
    <row r="149" spans="2:29" ht="15" customHeight="1">
      <c r="B149" s="1362"/>
      <c r="C149" s="1362"/>
      <c r="D149"/>
      <c r="E149"/>
      <c r="F149"/>
      <c r="G149" s="1475"/>
      <c r="H149"/>
      <c r="O149"/>
      <c r="P149"/>
      <c r="Q149"/>
      <c r="R149"/>
      <c r="S149"/>
      <c r="T149"/>
      <c r="U149"/>
      <c r="V149"/>
      <c r="W149"/>
      <c r="X149"/>
      <c r="Y149"/>
      <c r="Z149"/>
      <c r="AA149"/>
      <c r="AB149"/>
      <c r="AC149"/>
    </row>
    <row r="150" spans="2:29" ht="15" customHeight="1">
      <c r="B150" s="1362"/>
      <c r="C150" s="1362"/>
      <c r="D150"/>
      <c r="E150"/>
      <c r="F150"/>
      <c r="G150"/>
      <c r="H150"/>
      <c r="O150"/>
      <c r="P150"/>
      <c r="Q150"/>
      <c r="R150"/>
      <c r="S150"/>
      <c r="T150"/>
      <c r="U150"/>
      <c r="V150"/>
      <c r="W150"/>
      <c r="X150"/>
      <c r="Y150"/>
      <c r="Z150"/>
      <c r="AA150"/>
      <c r="AB150"/>
      <c r="AC150"/>
    </row>
    <row r="151" spans="2:29" ht="15" customHeight="1">
      <c r="B151"/>
      <c r="C151"/>
      <c r="D151"/>
      <c r="E151"/>
      <c r="F151"/>
      <c r="G151"/>
      <c r="H151"/>
      <c r="O151"/>
      <c r="P151"/>
      <c r="Q151"/>
      <c r="R151"/>
      <c r="S151"/>
      <c r="T151"/>
      <c r="U151"/>
      <c r="V151"/>
      <c r="W151"/>
      <c r="X151"/>
      <c r="Y151"/>
      <c r="Z151"/>
      <c r="AA151"/>
      <c r="AB151"/>
      <c r="AC151"/>
    </row>
    <row r="152" spans="2:29">
      <c r="D152"/>
      <c r="E152"/>
      <c r="F152"/>
      <c r="G152"/>
      <c r="H152"/>
      <c r="O152"/>
      <c r="P152"/>
      <c r="Q152"/>
      <c r="R152"/>
      <c r="S152"/>
      <c r="T152"/>
      <c r="U152"/>
      <c r="V152"/>
      <c r="W152"/>
      <c r="X152"/>
      <c r="Y152"/>
      <c r="Z152"/>
      <c r="AA152"/>
      <c r="AB152"/>
      <c r="AC152"/>
    </row>
    <row r="153" spans="2:29">
      <c r="D153"/>
      <c r="E153"/>
      <c r="H153"/>
      <c r="O153"/>
      <c r="P153"/>
      <c r="Q153"/>
      <c r="R153"/>
      <c r="S153"/>
      <c r="T153"/>
      <c r="U153"/>
      <c r="V153"/>
      <c r="W153"/>
      <c r="X153"/>
      <c r="Y153"/>
      <c r="Z153"/>
      <c r="AA153"/>
      <c r="AB153"/>
      <c r="AC153"/>
    </row>
    <row r="154" spans="2:29">
      <c r="D154"/>
      <c r="E154"/>
      <c r="F154"/>
      <c r="G154"/>
      <c r="H154"/>
      <c r="O154"/>
      <c r="P154"/>
      <c r="Q154"/>
      <c r="R154"/>
      <c r="S154"/>
      <c r="T154"/>
      <c r="U154"/>
      <c r="V154"/>
      <c r="W154"/>
      <c r="X154"/>
      <c r="Y154"/>
      <c r="Z154"/>
      <c r="AA154"/>
      <c r="AB154"/>
      <c r="AC154"/>
    </row>
    <row r="188" spans="2:9" ht="15" customHeight="1">
      <c r="B188"/>
      <c r="C188"/>
      <c r="D188"/>
      <c r="E188"/>
      <c r="F188"/>
      <c r="G188"/>
      <c r="H188"/>
      <c r="I188"/>
    </row>
    <row r="189" spans="2:9" ht="15" customHeight="1">
      <c r="B189"/>
      <c r="C189"/>
      <c r="D189"/>
      <c r="E189"/>
      <c r="F189"/>
      <c r="G189"/>
      <c r="H189"/>
      <c r="I189"/>
    </row>
    <row r="190" spans="2:9" ht="15" customHeight="1">
      <c r="B190"/>
      <c r="C190"/>
      <c r="D190"/>
      <c r="E190"/>
      <c r="F190"/>
      <c r="G190"/>
      <c r="H190"/>
      <c r="I190"/>
    </row>
  </sheetData>
  <mergeCells count="29">
    <mergeCell ref="B143:C143"/>
    <mergeCell ref="B2:G2"/>
    <mergeCell ref="B3:G3"/>
    <mergeCell ref="X4:Y4"/>
    <mergeCell ref="B139:E139"/>
    <mergeCell ref="B134:F134"/>
    <mergeCell ref="B137:F137"/>
    <mergeCell ref="B22:F22"/>
    <mergeCell ref="B33:F33"/>
    <mergeCell ref="B38:F38"/>
    <mergeCell ref="B84:F84"/>
    <mergeCell ref="T4:U4"/>
    <mergeCell ref="V4:W4"/>
    <mergeCell ref="B147:C147"/>
    <mergeCell ref="B136:E136"/>
    <mergeCell ref="B141:F141"/>
    <mergeCell ref="B138:E138"/>
    <mergeCell ref="Z4:AA4"/>
    <mergeCell ref="B12:F12"/>
    <mergeCell ref="B8:F8"/>
    <mergeCell ref="B5:F5"/>
    <mergeCell ref="B144:C144"/>
    <mergeCell ref="B145:C145"/>
    <mergeCell ref="B146:C146"/>
    <mergeCell ref="B131:F131"/>
    <mergeCell ref="B135:F135"/>
    <mergeCell ref="B132:E132"/>
    <mergeCell ref="B133:E133"/>
    <mergeCell ref="R4:S4"/>
  </mergeCells>
  <pageMargins left="0.7" right="0.7" top="0.75" bottom="0.75" header="0.3" footer="0.3"/>
  <pageSetup paperSize="9" scale="29" orientation="portrait" r:id="rId1"/>
  <colBreaks count="1" manualBreakCount="1">
    <brk id="28" max="140" man="1"/>
  </colBreaks>
  <ignoredErrors>
    <ignoredError sqref="M123" formula="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B1:J28"/>
  <sheetViews>
    <sheetView topLeftCell="A4" workbookViewId="0">
      <selection activeCell="J14" sqref="J14"/>
    </sheetView>
  </sheetViews>
  <sheetFormatPr baseColWidth="10" defaultColWidth="11.42578125" defaultRowHeight="15"/>
  <cols>
    <col min="1" max="1" width="2.85546875" style="30" customWidth="1"/>
    <col min="2" max="2" width="28.5703125" style="30" customWidth="1"/>
    <col min="3" max="3" width="10" style="30" customWidth="1"/>
    <col min="4" max="4" width="18.85546875" style="30" hidden="1" customWidth="1"/>
    <col min="5" max="5" width="0" style="30" hidden="1" customWidth="1"/>
    <col min="6" max="6" width="25.7109375" style="30" bestFit="1" customWidth="1"/>
    <col min="7" max="7" width="23.85546875" style="30" customWidth="1"/>
    <col min="8" max="8" width="0" style="30" hidden="1" customWidth="1"/>
    <col min="9" max="9" width="14.5703125" style="30" bestFit="1" customWidth="1"/>
    <col min="10" max="10" width="23.28515625" style="30" customWidth="1"/>
    <col min="11" max="11" width="2.85546875" style="30" customWidth="1"/>
    <col min="12" max="16384" width="11.42578125" style="30"/>
  </cols>
  <sheetData>
    <row r="1" spans="2:10" ht="15" customHeight="1" thickBot="1"/>
    <row r="2" spans="2:10" ht="33" customHeight="1">
      <c r="B2" s="1556" t="str">
        <f>_xlfn.CONCAT("PROYECTO - ",PRESUP!B2)</f>
        <v>PROYECTO - CONSTRUCCIÓN DE LA SEGUNDA ETAPA DEL PLAN MAESTRO DE ACUEDUCTO Y ALCANTARILLADO DE LOS SECTORES LA VIEJITA, LOS SAUCES, EL ALTO 2, MALPASO 2 Y ADOQUINADO DEL MUNICIPIO DE SAN CARLOS, ANTIOQUIA</v>
      </c>
      <c r="C2" s="1557"/>
      <c r="D2" s="1558"/>
      <c r="E2" s="1558"/>
      <c r="F2" s="1558"/>
      <c r="G2" s="1558"/>
      <c r="H2" s="1558"/>
      <c r="I2" s="1558"/>
      <c r="J2" s="1559"/>
    </row>
    <row r="3" spans="2:10">
      <c r="B3" s="1560" t="s">
        <v>27</v>
      </c>
      <c r="C3" s="1561"/>
      <c r="D3" s="1562"/>
      <c r="E3" s="1562"/>
      <c r="F3" s="1562"/>
      <c r="G3" s="1562"/>
      <c r="H3" s="1562"/>
      <c r="I3" s="1562"/>
      <c r="J3" s="1563"/>
    </row>
    <row r="4" spans="2:10" ht="30">
      <c r="B4" s="1570" t="s">
        <v>28</v>
      </c>
      <c r="C4" s="1571"/>
      <c r="D4" s="1428" t="s">
        <v>29</v>
      </c>
      <c r="E4" s="1424" t="s">
        <v>30</v>
      </c>
      <c r="F4" s="1331" t="s">
        <v>31</v>
      </c>
      <c r="G4" s="1332" t="s">
        <v>32</v>
      </c>
      <c r="H4" s="1332" t="s">
        <v>33</v>
      </c>
      <c r="I4" s="1332" t="s">
        <v>34</v>
      </c>
      <c r="J4" s="1333" t="s">
        <v>13</v>
      </c>
    </row>
    <row r="5" spans="2:10" ht="18.75" customHeight="1">
      <c r="B5" s="1572" t="s">
        <v>35</v>
      </c>
      <c r="C5" s="1573"/>
      <c r="D5" s="1441"/>
      <c r="E5" s="1441"/>
      <c r="F5" s="1452">
        <f ca="1">ROUND(G23*I19,0)</f>
        <v>2814316050</v>
      </c>
      <c r="G5" s="1452">
        <f ca="1">ROUND(G23-F5,0)</f>
        <v>703579013</v>
      </c>
      <c r="H5" s="1442"/>
      <c r="I5" s="1442"/>
      <c r="J5" s="1449">
        <f ca="1">SUM(F5:I5)</f>
        <v>3517895063</v>
      </c>
    </row>
    <row r="6" spans="2:10" ht="18.75" customHeight="1">
      <c r="B6" s="1415" t="s">
        <v>36</v>
      </c>
      <c r="C6" s="1414">
        <f ca="1">PRESUP!F132</f>
        <v>0.2839792253983523</v>
      </c>
      <c r="D6" s="1429"/>
      <c r="E6" s="1428"/>
      <c r="F6" s="1425">
        <f ca="1">+ROUND(F5*C6,0)</f>
        <v>799207292</v>
      </c>
      <c r="G6" s="1425">
        <f ca="1">+ROUND(G5*C6,0)</f>
        <v>199801823</v>
      </c>
      <c r="H6" s="1425"/>
      <c r="I6" s="1425"/>
      <c r="J6" s="1426">
        <f ca="1">SUM(F6:I6)</f>
        <v>999009115</v>
      </c>
    </row>
    <row r="7" spans="2:10" ht="18.75" customHeight="1">
      <c r="B7" s="1415" t="s">
        <v>37</v>
      </c>
      <c r="C7" s="1414">
        <v>0</v>
      </c>
      <c r="D7" s="1429"/>
      <c r="E7" s="1428"/>
      <c r="F7" s="1425">
        <f ca="1">+ROUND(F5*0,0)</f>
        <v>0</v>
      </c>
      <c r="G7" s="1425">
        <f ca="1">+ROUND(G5*0,0)</f>
        <v>0</v>
      </c>
      <c r="H7" s="1425"/>
      <c r="I7" s="1425"/>
      <c r="J7" s="1426">
        <f t="shared" ref="J7:J14" ca="1" si="0">SUM(F7:I7)</f>
        <v>0</v>
      </c>
    </row>
    <row r="8" spans="2:10" ht="18.75" customHeight="1">
      <c r="B8" s="1415" t="s">
        <v>38</v>
      </c>
      <c r="C8" s="1414">
        <f>PRESUP!F133</f>
        <v>0.05</v>
      </c>
      <c r="D8" s="1429"/>
      <c r="E8" s="1428"/>
      <c r="F8" s="1425">
        <f ca="1">+ROUND(F5*C8,0)</f>
        <v>140715803</v>
      </c>
      <c r="G8" s="1425">
        <f ca="1">+ROUND(G5*C8,0)</f>
        <v>35178951</v>
      </c>
      <c r="H8" s="1425"/>
      <c r="I8" s="1425"/>
      <c r="J8" s="1426">
        <f ca="1">SUM(F8:I8)</f>
        <v>175894754</v>
      </c>
    </row>
    <row r="9" spans="2:10" ht="18.75" customHeight="1">
      <c r="B9" s="1574" t="s">
        <v>39</v>
      </c>
      <c r="C9" s="1575"/>
      <c r="D9" s="1443"/>
      <c r="E9" s="1443"/>
      <c r="F9" s="1453">
        <f ca="1">SUM(F5:F8)</f>
        <v>3754239145</v>
      </c>
      <c r="G9" s="1453">
        <f ca="1">SUM(G5:G8)</f>
        <v>938559787</v>
      </c>
      <c r="H9" s="1444"/>
      <c r="I9" s="1444"/>
      <c r="J9" s="1450">
        <f ca="1">SUM(F9:I9)</f>
        <v>4692798932</v>
      </c>
    </row>
    <row r="10" spans="2:10" ht="18.75" customHeight="1">
      <c r="B10" s="1572" t="s">
        <v>40</v>
      </c>
      <c r="C10" s="1573"/>
      <c r="D10" s="1441"/>
      <c r="E10" s="1441"/>
      <c r="F10" s="1452">
        <f ca="1">ROUND(G24*I19,0)</f>
        <v>654673999</v>
      </c>
      <c r="G10" s="1452">
        <f ca="1">ROUND(G24-F10,0)</f>
        <v>163668500</v>
      </c>
      <c r="H10" s="1442"/>
      <c r="I10" s="1442"/>
      <c r="J10" s="1449">
        <f t="shared" ca="1" si="0"/>
        <v>818342499</v>
      </c>
    </row>
    <row r="11" spans="2:10" ht="18.75" customHeight="1">
      <c r="B11" s="1415" t="s">
        <v>36</v>
      </c>
      <c r="C11" s="1414">
        <f ca="1">PRESUP!F136</f>
        <v>0.2839792253983523</v>
      </c>
      <c r="D11" s="1429"/>
      <c r="E11" s="1428"/>
      <c r="F11" s="1425">
        <f ca="1">+ROUND(F10*C11,0)</f>
        <v>185913815</v>
      </c>
      <c r="G11" s="1425">
        <f ca="1">+ROUND(G10*C11,0)</f>
        <v>46478454</v>
      </c>
      <c r="H11" s="1425"/>
      <c r="I11" s="1425"/>
      <c r="J11" s="1426">
        <f ca="1">SUM(F11:I11)</f>
        <v>232392269</v>
      </c>
    </row>
    <row r="12" spans="2:10" ht="18.75" customHeight="1">
      <c r="B12" s="1574" t="s">
        <v>41</v>
      </c>
      <c r="C12" s="1575"/>
      <c r="D12" s="1443"/>
      <c r="E12" s="1443"/>
      <c r="F12" s="1453">
        <f ca="1">SUM(F10:F11)</f>
        <v>840587814</v>
      </c>
      <c r="G12" s="1453">
        <f ca="1">SUM(G10:G11)</f>
        <v>210146954</v>
      </c>
      <c r="H12" s="1444"/>
      <c r="I12" s="1444"/>
      <c r="J12" s="1450">
        <f ca="1">SUM(F12:G12)</f>
        <v>1050734768</v>
      </c>
    </row>
    <row r="13" spans="2:10" ht="18.75" customHeight="1">
      <c r="B13" s="1576" t="s">
        <v>42</v>
      </c>
      <c r="C13" s="1577"/>
      <c r="D13" s="1445"/>
      <c r="E13" s="1445"/>
      <c r="F13" s="1448">
        <f ca="1">+F9+F12</f>
        <v>4594826959</v>
      </c>
      <c r="G13" s="1448">
        <f ca="1">+G9+G12</f>
        <v>1148706741</v>
      </c>
      <c r="H13" s="1446"/>
      <c r="I13" s="1446"/>
      <c r="J13" s="1451">
        <f ca="1">SUM(F13:G13)</f>
        <v>5743533700</v>
      </c>
    </row>
    <row r="14" spans="2:10" ht="18.75" customHeight="1">
      <c r="B14" s="1415" t="s">
        <v>43</v>
      </c>
      <c r="C14" s="1414">
        <f ca="1">PRESUP!F138</f>
        <v>9.9217711928671667E-2</v>
      </c>
      <c r="D14" s="1429"/>
      <c r="E14" s="1428"/>
      <c r="F14" s="1425">
        <f ca="1">F13*C14</f>
        <v>455888217.58015645</v>
      </c>
      <c r="G14" s="1425">
        <f ca="1">G13*C14</f>
        <v>113972054.51906125</v>
      </c>
      <c r="H14" s="1425"/>
      <c r="I14" s="1425"/>
      <c r="J14" s="1426">
        <f t="shared" ca="1" si="0"/>
        <v>569860272.09921765</v>
      </c>
    </row>
    <row r="15" spans="2:10" ht="6.6" customHeight="1">
      <c r="B15" s="1415"/>
      <c r="C15" s="1414"/>
      <c r="D15" s="1459"/>
      <c r="E15" s="1460"/>
      <c r="F15" s="1425"/>
      <c r="G15" s="1425"/>
      <c r="H15" s="1425"/>
      <c r="I15" s="1425"/>
      <c r="J15" s="1426"/>
    </row>
    <row r="16" spans="2:10" ht="18.75" customHeight="1">
      <c r="B16" s="1564" t="s">
        <v>44</v>
      </c>
      <c r="C16" s="1565"/>
      <c r="D16" s="1566"/>
      <c r="E16" s="1566"/>
      <c r="F16" s="1447">
        <f ca="1">SUM(F13:F15)</f>
        <v>5050715176.5801563</v>
      </c>
      <c r="G16" s="1448">
        <f ca="1">SUM(G13:G15)</f>
        <v>1262678795.5190613</v>
      </c>
      <c r="H16" s="1448">
        <f>SUM(H5:H15)</f>
        <v>0</v>
      </c>
      <c r="I16" s="1448">
        <f>SUM(I5:I15)</f>
        <v>0</v>
      </c>
      <c r="J16" s="1451">
        <f ca="1">SUM(F16:I16)</f>
        <v>6313393972.0992174</v>
      </c>
    </row>
    <row r="17" spans="2:10" ht="18.75" customHeight="1" thickBot="1">
      <c r="B17" s="1567" t="s">
        <v>45</v>
      </c>
      <c r="C17" s="1568"/>
      <c r="D17" s="1569"/>
      <c r="E17" s="1569"/>
      <c r="F17" s="1322">
        <f ca="1">+F16/$J$16</f>
        <v>0.79999999982589121</v>
      </c>
      <c r="G17" s="1322">
        <f ca="1">+G16/$J$16</f>
        <v>0.20000000017410885</v>
      </c>
      <c r="H17" s="1323">
        <f ca="1">+H16/$J$16</f>
        <v>0</v>
      </c>
      <c r="I17" s="1323">
        <f ca="1">+I16/$J$16</f>
        <v>0</v>
      </c>
      <c r="J17" s="1427">
        <f ca="1">SUM(F17:I17)</f>
        <v>1</v>
      </c>
    </row>
    <row r="18" spans="2:10" ht="15" customHeight="1"/>
    <row r="19" spans="2:10" hidden="1">
      <c r="F19" s="1430" t="s">
        <v>46</v>
      </c>
      <c r="G19" s="1431">
        <f ca="1">PRESUP!G141*'PLAN FINANCIERO'!I19</f>
        <v>5050715176.8000002</v>
      </c>
      <c r="I19" s="1491">
        <v>0.8</v>
      </c>
    </row>
    <row r="20" spans="2:10" hidden="1">
      <c r="F20" s="1430" t="s">
        <v>47</v>
      </c>
      <c r="G20" s="1432">
        <f ca="1">PRESUP!G141*'PLAN FINANCIERO'!I20</f>
        <v>1262678794.2</v>
      </c>
      <c r="I20" s="1491">
        <v>0.2</v>
      </c>
    </row>
    <row r="21" spans="2:10" hidden="1">
      <c r="F21" s="30" t="s">
        <v>48</v>
      </c>
      <c r="G21" s="1433">
        <f ca="1">G20-G25</f>
        <v>692818522.20000005</v>
      </c>
      <c r="I21" s="1433"/>
    </row>
    <row r="22" spans="2:10" hidden="1">
      <c r="F22" s="30" t="s">
        <v>49</v>
      </c>
      <c r="G22" s="1433">
        <f ca="1">G19-G26</f>
        <v>5050715176.8000002</v>
      </c>
      <c r="J22" s="1434"/>
    </row>
    <row r="23" spans="2:10" hidden="1">
      <c r="F23" s="30" t="s">
        <v>50</v>
      </c>
      <c r="G23" s="1349">
        <f ca="1">PRESUP!G131</f>
        <v>3517895063</v>
      </c>
    </row>
    <row r="24" spans="2:10" hidden="1">
      <c r="F24" s="30" t="s">
        <v>51</v>
      </c>
      <c r="G24" s="1349">
        <f ca="1">PRESUP!G135</f>
        <v>818342499</v>
      </c>
    </row>
    <row r="25" spans="2:10" hidden="1">
      <c r="F25" s="30" t="s">
        <v>52</v>
      </c>
      <c r="G25" s="1349">
        <f ca="1">PRESUP!G138</f>
        <v>569860272</v>
      </c>
    </row>
    <row r="26" spans="2:10" hidden="1">
      <c r="F26" s="30" t="s">
        <v>53</v>
      </c>
      <c r="G26" s="1349">
        <f>PRESUP!G139</f>
        <v>0</v>
      </c>
    </row>
    <row r="28" spans="2:10">
      <c r="G28" s="1528"/>
    </row>
  </sheetData>
  <mergeCells count="10">
    <mergeCell ref="B2:J2"/>
    <mergeCell ref="B3:J3"/>
    <mergeCell ref="B16:E16"/>
    <mergeCell ref="B17:E17"/>
    <mergeCell ref="B4:C4"/>
    <mergeCell ref="B5:C5"/>
    <mergeCell ref="B9:C9"/>
    <mergeCell ref="B10:C10"/>
    <mergeCell ref="B12:C12"/>
    <mergeCell ref="B13:C13"/>
  </mergeCells>
  <pageMargins left="0.7" right="0.7" top="0.75" bottom="0.75" header="0.3" footer="0.3"/>
  <pageSetup scale="4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sheetPr>
  <dimension ref="B2:Q74"/>
  <sheetViews>
    <sheetView workbookViewId="0"/>
  </sheetViews>
  <sheetFormatPr baseColWidth="10" defaultColWidth="11.42578125" defaultRowHeight="15"/>
  <cols>
    <col min="1" max="1" width="2.85546875" customWidth="1"/>
    <col min="5" max="5" width="28.5703125" customWidth="1"/>
    <col min="6" max="6" width="21.42578125" customWidth="1"/>
  </cols>
  <sheetData>
    <row r="2" spans="2:17" ht="30" customHeight="1">
      <c r="B2" s="1581" t="s">
        <v>54</v>
      </c>
      <c r="C2" s="1581"/>
      <c r="D2" s="1581"/>
      <c r="E2" s="1581"/>
      <c r="F2" s="1581"/>
      <c r="G2" s="1581"/>
      <c r="H2" s="1581"/>
      <c r="I2" s="1581"/>
      <c r="J2" s="1581"/>
      <c r="K2" s="1581"/>
      <c r="L2" s="1581"/>
      <c r="M2" s="1581"/>
      <c r="N2" s="1581"/>
      <c r="O2" s="1581"/>
      <c r="P2" s="1581"/>
      <c r="Q2" s="1581"/>
    </row>
    <row r="3" spans="2:17" ht="15" customHeight="1">
      <c r="B3" s="1578" t="s">
        <v>55</v>
      </c>
      <c r="C3" s="1579"/>
      <c r="D3" s="1580" t="s">
        <v>56</v>
      </c>
      <c r="E3" s="1580" t="s">
        <v>57</v>
      </c>
      <c r="F3" s="1580" t="s">
        <v>58</v>
      </c>
      <c r="G3" s="1580" t="s">
        <v>59</v>
      </c>
      <c r="H3" s="1580" t="s">
        <v>60</v>
      </c>
      <c r="I3" s="1580" t="s">
        <v>61</v>
      </c>
      <c r="J3" s="1580" t="s">
        <v>62</v>
      </c>
      <c r="K3" s="1580" t="s">
        <v>63</v>
      </c>
      <c r="L3" s="1580" t="s">
        <v>64</v>
      </c>
      <c r="M3" s="1580" t="s">
        <v>65</v>
      </c>
      <c r="N3" s="1580" t="s">
        <v>66</v>
      </c>
      <c r="O3" s="1580" t="s">
        <v>67</v>
      </c>
      <c r="P3" s="1580" t="s">
        <v>68</v>
      </c>
      <c r="Q3" s="1580" t="s">
        <v>69</v>
      </c>
    </row>
    <row r="4" spans="2:17">
      <c r="B4" s="1579"/>
      <c r="C4" s="1579"/>
      <c r="D4" s="1580"/>
      <c r="E4" s="1580"/>
      <c r="F4" s="1580"/>
      <c r="G4" s="1580"/>
      <c r="H4" s="1580"/>
      <c r="I4" s="1580"/>
      <c r="J4" s="1580"/>
      <c r="K4" s="1580"/>
      <c r="L4" s="1580"/>
      <c r="M4" s="1580"/>
      <c r="N4" s="1580"/>
      <c r="O4" s="1580"/>
      <c r="P4" s="1580"/>
      <c r="Q4" s="1580"/>
    </row>
    <row r="5" spans="2:17" ht="15.75" customHeight="1">
      <c r="B5" s="1579"/>
      <c r="C5" s="1579"/>
      <c r="D5" s="1580"/>
      <c r="E5" s="1580"/>
      <c r="F5" s="1580"/>
      <c r="G5" s="1580"/>
      <c r="H5" s="1580"/>
      <c r="I5" s="1580"/>
      <c r="J5" s="1580"/>
      <c r="K5" s="1580"/>
      <c r="L5" s="1580"/>
      <c r="M5" s="1580"/>
      <c r="N5" s="1580"/>
      <c r="O5" s="1580"/>
      <c r="P5" s="1580"/>
      <c r="Q5" s="1580"/>
    </row>
    <row r="6" spans="2:17">
      <c r="B6" s="78" t="s">
        <v>70</v>
      </c>
      <c r="C6" s="78" t="s">
        <v>71</v>
      </c>
      <c r="D6" s="1580"/>
      <c r="E6" s="1580"/>
      <c r="F6" s="1580"/>
      <c r="G6" s="1580"/>
      <c r="H6" s="1580"/>
      <c r="I6" s="1580"/>
      <c r="J6" s="1580"/>
      <c r="K6" s="1580"/>
      <c r="L6" s="1580"/>
      <c r="M6" s="1580"/>
      <c r="N6" s="1580"/>
      <c r="O6" s="1580"/>
      <c r="P6" s="1580"/>
      <c r="Q6" s="1580"/>
    </row>
    <row r="7" spans="2:17">
      <c r="B7" s="64" t="s">
        <v>72</v>
      </c>
      <c r="C7" s="64" t="s">
        <v>73</v>
      </c>
      <c r="D7" s="81">
        <v>6</v>
      </c>
      <c r="E7" s="25" t="s">
        <v>74</v>
      </c>
      <c r="F7" s="25" t="s">
        <v>75</v>
      </c>
      <c r="G7" s="24">
        <v>101.87</v>
      </c>
      <c r="H7" s="24">
        <v>0.79999999999999993</v>
      </c>
      <c r="I7" s="26">
        <f>G7*H7</f>
        <v>81.495999999999995</v>
      </c>
      <c r="J7" s="24">
        <v>0.18</v>
      </c>
      <c r="K7" s="26">
        <f>I7*J7</f>
        <v>14.669279999999999</v>
      </c>
      <c r="L7" s="24">
        <v>0.15</v>
      </c>
      <c r="M7" s="26">
        <f>I7*L7</f>
        <v>12.224399999999999</v>
      </c>
      <c r="N7" s="24">
        <v>0.15</v>
      </c>
      <c r="O7" s="26">
        <f>I7*N7</f>
        <v>12.224399999999999</v>
      </c>
      <c r="P7" s="24">
        <v>0.2</v>
      </c>
      <c r="Q7" s="26">
        <f>I7*P7</f>
        <v>16.299199999999999</v>
      </c>
    </row>
    <row r="8" spans="2:17">
      <c r="B8" s="64" t="s">
        <v>76</v>
      </c>
      <c r="C8" s="64" t="s">
        <v>73</v>
      </c>
      <c r="D8" s="210">
        <v>7</v>
      </c>
      <c r="E8" s="25" t="s">
        <v>77</v>
      </c>
      <c r="F8" s="25" t="s">
        <v>78</v>
      </c>
      <c r="G8" s="24">
        <v>95.98</v>
      </c>
      <c r="H8" s="24">
        <v>0.79999999999999993</v>
      </c>
      <c r="I8" s="26">
        <f t="shared" ref="I8:I27" si="0">G8*H8</f>
        <v>76.783999999999992</v>
      </c>
      <c r="J8" s="24">
        <f>$J$7</f>
        <v>0.18</v>
      </c>
      <c r="K8" s="26">
        <f t="shared" ref="K8:K27" si="1">I8*J8</f>
        <v>13.821119999999999</v>
      </c>
      <c r="L8" s="24">
        <f>$L$7</f>
        <v>0.15</v>
      </c>
      <c r="M8" s="26">
        <f t="shared" ref="M8:M27" si="2">I8*L8</f>
        <v>11.517599999999998</v>
      </c>
      <c r="N8" s="24">
        <f>$N$7</f>
        <v>0.15</v>
      </c>
      <c r="O8" s="26">
        <f t="shared" ref="O8:O27" si="3">I8*N8</f>
        <v>11.517599999999998</v>
      </c>
      <c r="P8" s="24">
        <f>$P$7</f>
        <v>0.2</v>
      </c>
      <c r="Q8" s="26">
        <f t="shared" ref="Q8:Q27" si="4">I8*P8</f>
        <v>15.3568</v>
      </c>
    </row>
    <row r="9" spans="2:17">
      <c r="B9" s="64" t="s">
        <v>79</v>
      </c>
      <c r="C9" s="64" t="s">
        <v>80</v>
      </c>
      <c r="D9" s="211">
        <v>5</v>
      </c>
      <c r="E9" s="25" t="s">
        <v>81</v>
      </c>
      <c r="F9" s="25" t="s">
        <v>82</v>
      </c>
      <c r="G9" s="24">
        <v>43.47</v>
      </c>
      <c r="H9" s="24">
        <v>0.79999999999999993</v>
      </c>
      <c r="I9" s="26">
        <f t="shared" si="0"/>
        <v>34.775999999999996</v>
      </c>
      <c r="J9" s="24">
        <f t="shared" ref="J9:J27" si="5">$J$7</f>
        <v>0.18</v>
      </c>
      <c r="K9" s="26">
        <f t="shared" si="1"/>
        <v>6.2596799999999995</v>
      </c>
      <c r="L9" s="24">
        <f t="shared" ref="L9:L27" si="6">$L$7</f>
        <v>0.15</v>
      </c>
      <c r="M9" s="26">
        <f t="shared" si="2"/>
        <v>5.2163999999999993</v>
      </c>
      <c r="N9" s="24">
        <f t="shared" ref="N9:N27" si="7">$N$7</f>
        <v>0.15</v>
      </c>
      <c r="O9" s="26">
        <f t="shared" si="3"/>
        <v>5.2163999999999993</v>
      </c>
      <c r="P9" s="24">
        <f t="shared" ref="P9:P27" si="8">$P$7</f>
        <v>0.2</v>
      </c>
      <c r="Q9" s="26">
        <f t="shared" si="4"/>
        <v>6.9551999999999996</v>
      </c>
    </row>
    <row r="10" spans="2:17">
      <c r="B10" s="64" t="s">
        <v>83</v>
      </c>
      <c r="C10" s="64" t="s">
        <v>84</v>
      </c>
      <c r="D10" s="212">
        <v>3</v>
      </c>
      <c r="E10" s="25" t="s">
        <v>85</v>
      </c>
      <c r="F10" s="25" t="s">
        <v>86</v>
      </c>
      <c r="G10" s="24">
        <v>62.58</v>
      </c>
      <c r="H10" s="24">
        <v>0.79999999999999993</v>
      </c>
      <c r="I10" s="26">
        <f t="shared" si="0"/>
        <v>50.063999999999993</v>
      </c>
      <c r="J10" s="24">
        <f t="shared" si="5"/>
        <v>0.18</v>
      </c>
      <c r="K10" s="26">
        <f t="shared" si="1"/>
        <v>9.0115199999999991</v>
      </c>
      <c r="L10" s="24">
        <f t="shared" si="6"/>
        <v>0.15</v>
      </c>
      <c r="M10" s="26">
        <f t="shared" si="2"/>
        <v>7.5095999999999989</v>
      </c>
      <c r="N10" s="24">
        <f t="shared" si="7"/>
        <v>0.15</v>
      </c>
      <c r="O10" s="26">
        <f t="shared" si="3"/>
        <v>7.5095999999999989</v>
      </c>
      <c r="P10" s="24">
        <f t="shared" si="8"/>
        <v>0.2</v>
      </c>
      <c r="Q10" s="26">
        <f t="shared" si="4"/>
        <v>10.012799999999999</v>
      </c>
    </row>
    <row r="11" spans="2:17">
      <c r="B11" s="64" t="s">
        <v>84</v>
      </c>
      <c r="C11" s="64" t="s">
        <v>87</v>
      </c>
      <c r="D11" s="212">
        <v>3</v>
      </c>
      <c r="E11" s="25" t="s">
        <v>85</v>
      </c>
      <c r="F11" s="25" t="s">
        <v>86</v>
      </c>
      <c r="G11" s="24">
        <v>40.659999999999997</v>
      </c>
      <c r="H11" s="24">
        <v>0.79999999999999993</v>
      </c>
      <c r="I11" s="26">
        <f t="shared" si="0"/>
        <v>32.527999999999992</v>
      </c>
      <c r="J11" s="24">
        <f t="shared" si="5"/>
        <v>0.18</v>
      </c>
      <c r="K11" s="26">
        <f t="shared" si="1"/>
        <v>5.855039999999998</v>
      </c>
      <c r="L11" s="24">
        <f t="shared" si="6"/>
        <v>0.15</v>
      </c>
      <c r="M11" s="26">
        <f t="shared" si="2"/>
        <v>4.8791999999999982</v>
      </c>
      <c r="N11" s="24">
        <f t="shared" si="7"/>
        <v>0.15</v>
      </c>
      <c r="O11" s="26">
        <f t="shared" si="3"/>
        <v>4.8791999999999982</v>
      </c>
      <c r="P11" s="24">
        <f t="shared" si="8"/>
        <v>0.2</v>
      </c>
      <c r="Q11" s="26">
        <f t="shared" si="4"/>
        <v>6.5055999999999985</v>
      </c>
    </row>
    <row r="12" spans="2:17">
      <c r="B12" s="64" t="s">
        <v>88</v>
      </c>
      <c r="C12" s="64" t="s">
        <v>89</v>
      </c>
      <c r="D12" s="213">
        <v>1</v>
      </c>
      <c r="E12" s="25" t="s">
        <v>90</v>
      </c>
      <c r="F12" s="25" t="s">
        <v>91</v>
      </c>
      <c r="G12" s="24">
        <v>44.82</v>
      </c>
      <c r="H12" s="24">
        <v>0.79999999999999993</v>
      </c>
      <c r="I12" s="26">
        <f t="shared" si="0"/>
        <v>35.855999999999995</v>
      </c>
      <c r="J12" s="24">
        <f t="shared" si="5"/>
        <v>0.18</v>
      </c>
      <c r="K12" s="26">
        <f t="shared" si="1"/>
        <v>6.4540799999999985</v>
      </c>
      <c r="L12" s="24">
        <f t="shared" si="6"/>
        <v>0.15</v>
      </c>
      <c r="M12" s="26">
        <f t="shared" si="2"/>
        <v>5.3783999999999992</v>
      </c>
      <c r="N12" s="24">
        <f t="shared" si="7"/>
        <v>0.15</v>
      </c>
      <c r="O12" s="26">
        <f t="shared" si="3"/>
        <v>5.3783999999999992</v>
      </c>
      <c r="P12" s="24">
        <f t="shared" si="8"/>
        <v>0.2</v>
      </c>
      <c r="Q12" s="26">
        <f t="shared" si="4"/>
        <v>7.1711999999999989</v>
      </c>
    </row>
    <row r="13" spans="2:17">
      <c r="B13" s="64" t="s">
        <v>92</v>
      </c>
      <c r="C13" s="64" t="s">
        <v>93</v>
      </c>
      <c r="D13" s="214">
        <v>12</v>
      </c>
      <c r="E13" s="25" t="s">
        <v>94</v>
      </c>
      <c r="F13" s="25" t="s">
        <v>95</v>
      </c>
      <c r="G13" s="24">
        <v>88.19</v>
      </c>
      <c r="H13" s="24">
        <v>0.79999999999999993</v>
      </c>
      <c r="I13" s="26">
        <f t="shared" si="0"/>
        <v>70.551999999999992</v>
      </c>
      <c r="J13" s="24">
        <f t="shared" si="5"/>
        <v>0.18</v>
      </c>
      <c r="K13" s="26">
        <f t="shared" si="1"/>
        <v>12.699359999999999</v>
      </c>
      <c r="L13" s="24">
        <f t="shared" si="6"/>
        <v>0.15</v>
      </c>
      <c r="M13" s="26">
        <f t="shared" si="2"/>
        <v>10.582799999999999</v>
      </c>
      <c r="N13" s="24">
        <f t="shared" si="7"/>
        <v>0.15</v>
      </c>
      <c r="O13" s="26">
        <f t="shared" si="3"/>
        <v>10.582799999999999</v>
      </c>
      <c r="P13" s="24">
        <f t="shared" si="8"/>
        <v>0.2</v>
      </c>
      <c r="Q13" s="26">
        <f t="shared" si="4"/>
        <v>14.110399999999998</v>
      </c>
    </row>
    <row r="14" spans="2:17">
      <c r="B14" s="64" t="s">
        <v>93</v>
      </c>
      <c r="C14" s="64" t="s">
        <v>89</v>
      </c>
      <c r="D14" s="214">
        <v>12</v>
      </c>
      <c r="E14" s="25" t="s">
        <v>94</v>
      </c>
      <c r="F14" s="25" t="s">
        <v>95</v>
      </c>
      <c r="G14" s="24">
        <v>29.53</v>
      </c>
      <c r="H14" s="24">
        <v>0.79999999999999993</v>
      </c>
      <c r="I14" s="26">
        <f t="shared" si="0"/>
        <v>23.623999999999999</v>
      </c>
      <c r="J14" s="24">
        <f t="shared" si="5"/>
        <v>0.18</v>
      </c>
      <c r="K14" s="26">
        <f t="shared" si="1"/>
        <v>4.2523199999999992</v>
      </c>
      <c r="L14" s="24">
        <f t="shared" si="6"/>
        <v>0.15</v>
      </c>
      <c r="M14" s="26">
        <f t="shared" si="2"/>
        <v>3.5435999999999996</v>
      </c>
      <c r="N14" s="24">
        <f t="shared" si="7"/>
        <v>0.15</v>
      </c>
      <c r="O14" s="26">
        <f t="shared" si="3"/>
        <v>3.5435999999999996</v>
      </c>
      <c r="P14" s="24">
        <f t="shared" si="8"/>
        <v>0.2</v>
      </c>
      <c r="Q14" s="26">
        <f t="shared" si="4"/>
        <v>4.7248000000000001</v>
      </c>
    </row>
    <row r="15" spans="2:17">
      <c r="B15" s="64" t="s">
        <v>89</v>
      </c>
      <c r="C15" s="64" t="s">
        <v>87</v>
      </c>
      <c r="D15" s="215">
        <v>2</v>
      </c>
      <c r="E15" s="25" t="s">
        <v>96</v>
      </c>
      <c r="F15" s="25" t="s">
        <v>97</v>
      </c>
      <c r="G15" s="24">
        <v>99.69</v>
      </c>
      <c r="H15" s="24">
        <v>1.1000000000000001</v>
      </c>
      <c r="I15" s="26">
        <f t="shared" si="0"/>
        <v>109.65900000000001</v>
      </c>
      <c r="J15" s="24">
        <f t="shared" si="5"/>
        <v>0.18</v>
      </c>
      <c r="K15" s="26">
        <f t="shared" si="1"/>
        <v>19.738620000000001</v>
      </c>
      <c r="L15" s="24">
        <f t="shared" si="6"/>
        <v>0.15</v>
      </c>
      <c r="M15" s="26">
        <f t="shared" si="2"/>
        <v>16.44885</v>
      </c>
      <c r="N15" s="24">
        <f t="shared" si="7"/>
        <v>0.15</v>
      </c>
      <c r="O15" s="26">
        <f t="shared" si="3"/>
        <v>16.44885</v>
      </c>
      <c r="P15" s="24">
        <f t="shared" si="8"/>
        <v>0.2</v>
      </c>
      <c r="Q15" s="26">
        <f t="shared" si="4"/>
        <v>21.931800000000003</v>
      </c>
    </row>
    <row r="16" spans="2:17">
      <c r="B16" s="64" t="s">
        <v>98</v>
      </c>
      <c r="C16" s="64" t="s">
        <v>99</v>
      </c>
      <c r="D16" s="216">
        <v>9</v>
      </c>
      <c r="E16" s="25" t="s">
        <v>100</v>
      </c>
      <c r="F16" s="25" t="s">
        <v>101</v>
      </c>
      <c r="G16" s="24">
        <v>103.81</v>
      </c>
      <c r="H16" s="24">
        <v>0.79999999999999993</v>
      </c>
      <c r="I16" s="26">
        <f t="shared" si="0"/>
        <v>83.048000000000002</v>
      </c>
      <c r="J16" s="24">
        <f t="shared" si="5"/>
        <v>0.18</v>
      </c>
      <c r="K16" s="26">
        <f t="shared" si="1"/>
        <v>14.948639999999999</v>
      </c>
      <c r="L16" s="24">
        <f t="shared" si="6"/>
        <v>0.15</v>
      </c>
      <c r="M16" s="26">
        <f t="shared" si="2"/>
        <v>12.4572</v>
      </c>
      <c r="N16" s="24">
        <f t="shared" si="7"/>
        <v>0.15</v>
      </c>
      <c r="O16" s="26">
        <f t="shared" si="3"/>
        <v>12.4572</v>
      </c>
      <c r="P16" s="24">
        <f t="shared" si="8"/>
        <v>0.2</v>
      </c>
      <c r="Q16" s="26">
        <f t="shared" si="4"/>
        <v>16.6096</v>
      </c>
    </row>
    <row r="17" spans="2:17">
      <c r="B17" s="64" t="s">
        <v>79</v>
      </c>
      <c r="C17" s="64" t="s">
        <v>102</v>
      </c>
      <c r="D17" s="211">
        <v>5</v>
      </c>
      <c r="E17" s="25" t="s">
        <v>81</v>
      </c>
      <c r="F17" s="25" t="s">
        <v>82</v>
      </c>
      <c r="G17" s="24">
        <v>15.39</v>
      </c>
      <c r="H17" s="24">
        <v>0.9</v>
      </c>
      <c r="I17" s="26">
        <f t="shared" si="0"/>
        <v>13.851000000000001</v>
      </c>
      <c r="J17" s="24">
        <f t="shared" si="5"/>
        <v>0.18</v>
      </c>
      <c r="K17" s="26">
        <f t="shared" si="1"/>
        <v>2.4931800000000002</v>
      </c>
      <c r="L17" s="24">
        <f t="shared" si="6"/>
        <v>0.15</v>
      </c>
      <c r="M17" s="26">
        <f t="shared" si="2"/>
        <v>2.0776500000000002</v>
      </c>
      <c r="N17" s="24">
        <f t="shared" si="7"/>
        <v>0.15</v>
      </c>
      <c r="O17" s="26">
        <f t="shared" si="3"/>
        <v>2.0776500000000002</v>
      </c>
      <c r="P17" s="24">
        <f t="shared" si="8"/>
        <v>0.2</v>
      </c>
      <c r="Q17" s="26">
        <f t="shared" si="4"/>
        <v>2.7702000000000004</v>
      </c>
    </row>
    <row r="18" spans="2:17">
      <c r="B18" s="64" t="s">
        <v>102</v>
      </c>
      <c r="C18" s="64" t="s">
        <v>103</v>
      </c>
      <c r="D18" s="211">
        <v>5</v>
      </c>
      <c r="E18" s="25" t="s">
        <v>81</v>
      </c>
      <c r="F18" s="25" t="s">
        <v>82</v>
      </c>
      <c r="G18" s="24">
        <v>41.52</v>
      </c>
      <c r="H18" s="24">
        <v>1</v>
      </c>
      <c r="I18" s="26">
        <f t="shared" si="0"/>
        <v>41.52</v>
      </c>
      <c r="J18" s="24">
        <f t="shared" si="5"/>
        <v>0.18</v>
      </c>
      <c r="K18" s="26">
        <f t="shared" si="1"/>
        <v>7.4736000000000002</v>
      </c>
      <c r="L18" s="24">
        <f t="shared" si="6"/>
        <v>0.15</v>
      </c>
      <c r="M18" s="26">
        <f t="shared" si="2"/>
        <v>6.2280000000000006</v>
      </c>
      <c r="N18" s="24">
        <f t="shared" si="7"/>
        <v>0.15</v>
      </c>
      <c r="O18" s="26">
        <f t="shared" si="3"/>
        <v>6.2280000000000006</v>
      </c>
      <c r="P18" s="24">
        <f t="shared" si="8"/>
        <v>0.2</v>
      </c>
      <c r="Q18" s="26">
        <f t="shared" si="4"/>
        <v>8.3040000000000003</v>
      </c>
    </row>
    <row r="19" spans="2:17">
      <c r="B19" s="64" t="s">
        <v>104</v>
      </c>
      <c r="C19" s="64" t="s">
        <v>105</v>
      </c>
      <c r="D19" s="217">
        <v>4</v>
      </c>
      <c r="E19" s="25" t="s">
        <v>106</v>
      </c>
      <c r="F19" s="25" t="s">
        <v>107</v>
      </c>
      <c r="G19" s="24">
        <v>31.99</v>
      </c>
      <c r="H19" s="24">
        <v>0.79999999999999993</v>
      </c>
      <c r="I19" s="26">
        <f t="shared" si="0"/>
        <v>25.591999999999995</v>
      </c>
      <c r="J19" s="24">
        <f t="shared" si="5"/>
        <v>0.18</v>
      </c>
      <c r="K19" s="26">
        <f t="shared" si="1"/>
        <v>4.6065599999999991</v>
      </c>
      <c r="L19" s="24">
        <f t="shared" si="6"/>
        <v>0.15</v>
      </c>
      <c r="M19" s="26">
        <f t="shared" si="2"/>
        <v>3.8387999999999991</v>
      </c>
      <c r="N19" s="24">
        <f t="shared" si="7"/>
        <v>0.15</v>
      </c>
      <c r="O19" s="26">
        <f t="shared" si="3"/>
        <v>3.8387999999999991</v>
      </c>
      <c r="P19" s="24">
        <f t="shared" si="8"/>
        <v>0.2</v>
      </c>
      <c r="Q19" s="26">
        <f t="shared" si="4"/>
        <v>5.1183999999999994</v>
      </c>
    </row>
    <row r="20" spans="2:17">
      <c r="B20" s="64" t="s">
        <v>105</v>
      </c>
      <c r="C20" s="64" t="s">
        <v>108</v>
      </c>
      <c r="D20" s="217">
        <v>4</v>
      </c>
      <c r="E20" s="25" t="s">
        <v>106</v>
      </c>
      <c r="F20" s="25" t="s">
        <v>107</v>
      </c>
      <c r="G20" s="24">
        <v>69.48</v>
      </c>
      <c r="H20" s="24">
        <v>0.79999999999999993</v>
      </c>
      <c r="I20" s="26">
        <f t="shared" si="0"/>
        <v>55.583999999999996</v>
      </c>
      <c r="J20" s="24">
        <f t="shared" si="5"/>
        <v>0.18</v>
      </c>
      <c r="K20" s="26">
        <f t="shared" si="1"/>
        <v>10.00512</v>
      </c>
      <c r="L20" s="24">
        <f t="shared" si="6"/>
        <v>0.15</v>
      </c>
      <c r="M20" s="26">
        <f t="shared" si="2"/>
        <v>8.3375999999999983</v>
      </c>
      <c r="N20" s="24">
        <f t="shared" si="7"/>
        <v>0.15</v>
      </c>
      <c r="O20" s="26">
        <f t="shared" si="3"/>
        <v>8.3375999999999983</v>
      </c>
      <c r="P20" s="24">
        <f t="shared" si="8"/>
        <v>0.2</v>
      </c>
      <c r="Q20" s="26">
        <f t="shared" si="4"/>
        <v>11.1168</v>
      </c>
    </row>
    <row r="21" spans="2:17">
      <c r="B21" s="64" t="s">
        <v>109</v>
      </c>
      <c r="C21" s="64" t="s">
        <v>98</v>
      </c>
      <c r="D21" s="218">
        <v>8</v>
      </c>
      <c r="E21" s="25" t="s">
        <v>110</v>
      </c>
      <c r="F21" s="25" t="s">
        <v>111</v>
      </c>
      <c r="G21" s="24">
        <v>86.38</v>
      </c>
      <c r="H21" s="24">
        <v>0.79999999999999993</v>
      </c>
      <c r="I21" s="26">
        <f t="shared" si="0"/>
        <v>69.103999999999985</v>
      </c>
      <c r="J21" s="24">
        <f t="shared" si="5"/>
        <v>0.18</v>
      </c>
      <c r="K21" s="26">
        <f t="shared" si="1"/>
        <v>12.438719999999996</v>
      </c>
      <c r="L21" s="24">
        <f t="shared" si="6"/>
        <v>0.15</v>
      </c>
      <c r="M21" s="26">
        <f t="shared" si="2"/>
        <v>10.365599999999997</v>
      </c>
      <c r="N21" s="24">
        <f t="shared" si="7"/>
        <v>0.15</v>
      </c>
      <c r="O21" s="26">
        <f t="shared" si="3"/>
        <v>10.365599999999997</v>
      </c>
      <c r="P21" s="24">
        <f t="shared" si="8"/>
        <v>0.2</v>
      </c>
      <c r="Q21" s="26">
        <f t="shared" si="4"/>
        <v>13.820799999999998</v>
      </c>
    </row>
    <row r="22" spans="2:17">
      <c r="B22" s="64" t="s">
        <v>112</v>
      </c>
      <c r="C22" s="64" t="s">
        <v>113</v>
      </c>
      <c r="D22" s="219">
        <v>10</v>
      </c>
      <c r="E22" s="25" t="s">
        <v>114</v>
      </c>
      <c r="F22" s="25" t="s">
        <v>115</v>
      </c>
      <c r="G22" s="24">
        <v>30.61</v>
      </c>
      <c r="H22" s="24">
        <v>0.79999999999999993</v>
      </c>
      <c r="I22" s="26">
        <f t="shared" si="0"/>
        <v>24.487999999999996</v>
      </c>
      <c r="J22" s="24">
        <f t="shared" si="5"/>
        <v>0.18</v>
      </c>
      <c r="K22" s="26">
        <f t="shared" si="1"/>
        <v>4.4078399999999993</v>
      </c>
      <c r="L22" s="24">
        <f t="shared" si="6"/>
        <v>0.15</v>
      </c>
      <c r="M22" s="26">
        <f t="shared" si="2"/>
        <v>3.6731999999999991</v>
      </c>
      <c r="N22" s="24">
        <f t="shared" si="7"/>
        <v>0.15</v>
      </c>
      <c r="O22" s="26">
        <f t="shared" si="3"/>
        <v>3.6731999999999991</v>
      </c>
      <c r="P22" s="24">
        <f t="shared" si="8"/>
        <v>0.2</v>
      </c>
      <c r="Q22" s="26">
        <f t="shared" si="4"/>
        <v>4.8975999999999997</v>
      </c>
    </row>
    <row r="23" spans="2:17">
      <c r="B23" s="64" t="s">
        <v>113</v>
      </c>
      <c r="C23" s="64" t="s">
        <v>116</v>
      </c>
      <c r="D23" s="219">
        <v>10</v>
      </c>
      <c r="E23" s="25" t="s">
        <v>114</v>
      </c>
      <c r="F23" s="25" t="s">
        <v>115</v>
      </c>
      <c r="G23" s="24">
        <v>17.53</v>
      </c>
      <c r="H23" s="24">
        <v>0.79999999999999993</v>
      </c>
      <c r="I23" s="26">
        <f t="shared" si="0"/>
        <v>14.023999999999999</v>
      </c>
      <c r="J23" s="24">
        <f t="shared" si="5"/>
        <v>0.18</v>
      </c>
      <c r="K23" s="26">
        <f t="shared" si="1"/>
        <v>2.5243199999999999</v>
      </c>
      <c r="L23" s="24">
        <f t="shared" si="6"/>
        <v>0.15</v>
      </c>
      <c r="M23" s="26">
        <f t="shared" si="2"/>
        <v>2.1035999999999997</v>
      </c>
      <c r="N23" s="24">
        <f t="shared" si="7"/>
        <v>0.15</v>
      </c>
      <c r="O23" s="26">
        <f t="shared" si="3"/>
        <v>2.1035999999999997</v>
      </c>
      <c r="P23" s="24">
        <f t="shared" si="8"/>
        <v>0.2</v>
      </c>
      <c r="Q23" s="26">
        <f t="shared" si="4"/>
        <v>2.8048000000000002</v>
      </c>
    </row>
    <row r="24" spans="2:17">
      <c r="B24" s="64" t="s">
        <v>116</v>
      </c>
      <c r="C24" s="64" t="s">
        <v>117</v>
      </c>
      <c r="D24" s="219">
        <v>10</v>
      </c>
      <c r="E24" s="25" t="s">
        <v>114</v>
      </c>
      <c r="F24" s="25" t="s">
        <v>115</v>
      </c>
      <c r="G24" s="24">
        <v>46.98</v>
      </c>
      <c r="H24" s="24">
        <v>0.79999999999999993</v>
      </c>
      <c r="I24" s="26">
        <f t="shared" si="0"/>
        <v>37.583999999999996</v>
      </c>
      <c r="J24" s="24">
        <f t="shared" si="5"/>
        <v>0.18</v>
      </c>
      <c r="K24" s="26">
        <f t="shared" si="1"/>
        <v>6.7651199999999987</v>
      </c>
      <c r="L24" s="24">
        <f t="shared" si="6"/>
        <v>0.15</v>
      </c>
      <c r="M24" s="26">
        <f t="shared" si="2"/>
        <v>5.6375999999999991</v>
      </c>
      <c r="N24" s="24">
        <f t="shared" si="7"/>
        <v>0.15</v>
      </c>
      <c r="O24" s="26">
        <f t="shared" si="3"/>
        <v>5.6375999999999991</v>
      </c>
      <c r="P24" s="24">
        <f t="shared" si="8"/>
        <v>0.2</v>
      </c>
      <c r="Q24" s="26">
        <f t="shared" si="4"/>
        <v>7.5167999999999999</v>
      </c>
    </row>
    <row r="25" spans="2:17">
      <c r="B25" s="64" t="s">
        <v>117</v>
      </c>
      <c r="C25" s="64" t="s">
        <v>92</v>
      </c>
      <c r="D25" s="220">
        <v>11</v>
      </c>
      <c r="E25" s="25" t="s">
        <v>118</v>
      </c>
      <c r="F25" s="25" t="s">
        <v>115</v>
      </c>
      <c r="G25" s="24">
        <v>89.23</v>
      </c>
      <c r="H25" s="24">
        <v>0.79999999999999993</v>
      </c>
      <c r="I25" s="26">
        <f t="shared" si="0"/>
        <v>71.384</v>
      </c>
      <c r="J25" s="24">
        <f t="shared" si="5"/>
        <v>0.18</v>
      </c>
      <c r="K25" s="26">
        <f t="shared" si="1"/>
        <v>12.849119999999999</v>
      </c>
      <c r="L25" s="24">
        <f t="shared" si="6"/>
        <v>0.15</v>
      </c>
      <c r="M25" s="26">
        <f t="shared" si="2"/>
        <v>10.707599999999999</v>
      </c>
      <c r="N25" s="24">
        <f t="shared" si="7"/>
        <v>0.15</v>
      </c>
      <c r="O25" s="26">
        <f t="shared" si="3"/>
        <v>10.707599999999999</v>
      </c>
      <c r="P25" s="24">
        <f t="shared" si="8"/>
        <v>0.2</v>
      </c>
      <c r="Q25" s="26">
        <f t="shared" si="4"/>
        <v>14.276800000000001</v>
      </c>
    </row>
    <row r="26" spans="2:17">
      <c r="B26" s="64" t="s">
        <v>92</v>
      </c>
      <c r="C26" s="64" t="s">
        <v>108</v>
      </c>
      <c r="D26" s="221">
        <v>13</v>
      </c>
      <c r="E26" s="25" t="s">
        <v>119</v>
      </c>
      <c r="F26" s="25" t="s">
        <v>120</v>
      </c>
      <c r="G26" s="24">
        <v>100.41</v>
      </c>
      <c r="H26" s="24">
        <v>0.9</v>
      </c>
      <c r="I26" s="26">
        <f t="shared" si="0"/>
        <v>90.369</v>
      </c>
      <c r="J26" s="24">
        <f t="shared" si="5"/>
        <v>0.18</v>
      </c>
      <c r="K26" s="26">
        <f t="shared" si="1"/>
        <v>16.26642</v>
      </c>
      <c r="L26" s="24">
        <f t="shared" si="6"/>
        <v>0.15</v>
      </c>
      <c r="M26" s="26">
        <f t="shared" si="2"/>
        <v>13.555349999999999</v>
      </c>
      <c r="N26" s="24">
        <f t="shared" si="7"/>
        <v>0.15</v>
      </c>
      <c r="O26" s="26">
        <f t="shared" si="3"/>
        <v>13.555349999999999</v>
      </c>
      <c r="P26" s="24">
        <f t="shared" si="8"/>
        <v>0.2</v>
      </c>
      <c r="Q26" s="26">
        <f t="shared" si="4"/>
        <v>18.073800000000002</v>
      </c>
    </row>
    <row r="27" spans="2:17">
      <c r="B27" s="209"/>
      <c r="C27" s="209"/>
      <c r="D27" s="205"/>
      <c r="E27" s="222" t="s">
        <v>121</v>
      </c>
      <c r="F27" s="654">
        <v>394</v>
      </c>
      <c r="G27" s="24">
        <f>3.5*F27</f>
        <v>1379</v>
      </c>
      <c r="H27" s="24">
        <v>0.7</v>
      </c>
      <c r="I27" s="26">
        <f t="shared" si="0"/>
        <v>965.3</v>
      </c>
      <c r="J27" s="24">
        <f t="shared" si="5"/>
        <v>0.18</v>
      </c>
      <c r="K27" s="26">
        <f t="shared" si="1"/>
        <v>173.75399999999999</v>
      </c>
      <c r="L27" s="24">
        <f t="shared" si="6"/>
        <v>0.15</v>
      </c>
      <c r="M27" s="26">
        <f t="shared" si="2"/>
        <v>144.79499999999999</v>
      </c>
      <c r="N27" s="24">
        <f t="shared" si="7"/>
        <v>0.15</v>
      </c>
      <c r="O27" s="26">
        <f t="shared" si="3"/>
        <v>144.79499999999999</v>
      </c>
      <c r="P27" s="24">
        <f t="shared" si="8"/>
        <v>0.2</v>
      </c>
      <c r="Q27" s="26">
        <f t="shared" si="4"/>
        <v>193.06</v>
      </c>
    </row>
    <row r="28" spans="2:17">
      <c r="G28" s="208">
        <f>SUM(G7:G27)</f>
        <v>2619.12</v>
      </c>
      <c r="I28" s="1249">
        <f>SUM(I7:I27)</f>
        <v>2007.1869999999997</v>
      </c>
      <c r="K28" s="1249">
        <f>SUM(K7:K27)</f>
        <v>361.29365999999993</v>
      </c>
      <c r="M28" s="1249">
        <f>SUM(M7:M27)</f>
        <v>301.07804999999996</v>
      </c>
      <c r="O28" s="208">
        <f>SUM(O7:O27)</f>
        <v>301.07804999999996</v>
      </c>
      <c r="Q28" s="1249">
        <f>SUM(Q7:Q27)</f>
        <v>401.43740000000003</v>
      </c>
    </row>
    <row r="29" spans="2:17">
      <c r="G29" s="29"/>
      <c r="H29" s="29"/>
      <c r="I29" s="29"/>
      <c r="J29" s="29"/>
      <c r="K29" s="29"/>
      <c r="L29" s="29"/>
      <c r="M29" s="29"/>
      <c r="N29" s="29"/>
      <c r="O29" s="29"/>
      <c r="P29" s="29"/>
      <c r="Q29" s="29"/>
    </row>
    <row r="31" spans="2:17" ht="30" customHeight="1">
      <c r="B31" s="1582" t="s">
        <v>122</v>
      </c>
      <c r="C31" s="1582"/>
      <c r="D31" s="1582"/>
      <c r="E31" s="1582"/>
      <c r="F31" s="1582"/>
      <c r="G31" s="1582"/>
      <c r="H31" s="1582"/>
      <c r="I31" s="1582"/>
      <c r="J31" s="1582"/>
      <c r="K31" s="1582"/>
      <c r="L31" s="1582"/>
      <c r="M31" s="1582"/>
      <c r="N31" s="1582"/>
      <c r="O31" s="1582"/>
      <c r="P31" s="1582"/>
      <c r="Q31" s="1582"/>
    </row>
    <row r="32" spans="2:17" ht="15" customHeight="1">
      <c r="B32" s="1578" t="s">
        <v>55</v>
      </c>
      <c r="C32" s="1579"/>
      <c r="D32" s="1580" t="s">
        <v>56</v>
      </c>
      <c r="E32" s="1580" t="s">
        <v>57</v>
      </c>
      <c r="F32" s="1580" t="s">
        <v>58</v>
      </c>
      <c r="G32" s="1580" t="s">
        <v>59</v>
      </c>
      <c r="H32" s="1580" t="s">
        <v>60</v>
      </c>
      <c r="I32" s="1580" t="s">
        <v>61</v>
      </c>
      <c r="J32" s="1580" t="s">
        <v>62</v>
      </c>
      <c r="K32" s="1580" t="s">
        <v>63</v>
      </c>
      <c r="L32" s="1580" t="s">
        <v>64</v>
      </c>
      <c r="M32" s="1580" t="s">
        <v>65</v>
      </c>
      <c r="N32" s="1580" t="s">
        <v>66</v>
      </c>
      <c r="O32" s="1580" t="s">
        <v>67</v>
      </c>
      <c r="P32" s="1580" t="s">
        <v>68</v>
      </c>
      <c r="Q32" s="1580" t="s">
        <v>69</v>
      </c>
    </row>
    <row r="33" spans="2:17">
      <c r="B33" s="1579"/>
      <c r="C33" s="1579"/>
      <c r="D33" s="1580"/>
      <c r="E33" s="1580"/>
      <c r="F33" s="1580"/>
      <c r="G33" s="1580"/>
      <c r="H33" s="1580"/>
      <c r="I33" s="1580"/>
      <c r="J33" s="1580"/>
      <c r="K33" s="1580"/>
      <c r="L33" s="1580"/>
      <c r="M33" s="1580"/>
      <c r="N33" s="1580"/>
      <c r="O33" s="1580"/>
      <c r="P33" s="1580"/>
      <c r="Q33" s="1580"/>
    </row>
    <row r="34" spans="2:17">
      <c r="B34" s="1579"/>
      <c r="C34" s="1579"/>
      <c r="D34" s="1580"/>
      <c r="E34" s="1580"/>
      <c r="F34" s="1580"/>
      <c r="G34" s="1580"/>
      <c r="H34" s="1580"/>
      <c r="I34" s="1580"/>
      <c r="J34" s="1580"/>
      <c r="K34" s="1580"/>
      <c r="L34" s="1580"/>
      <c r="M34" s="1580"/>
      <c r="N34" s="1580"/>
      <c r="O34" s="1580"/>
      <c r="P34" s="1580"/>
      <c r="Q34" s="1580"/>
    </row>
    <row r="35" spans="2:17">
      <c r="B35" s="78" t="s">
        <v>123</v>
      </c>
      <c r="C35" s="78" t="s">
        <v>124</v>
      </c>
      <c r="D35" s="1580"/>
      <c r="E35" s="1580"/>
      <c r="F35" s="1580"/>
      <c r="G35" s="1580"/>
      <c r="H35" s="1580"/>
      <c r="I35" s="1580"/>
      <c r="J35" s="1580"/>
      <c r="K35" s="1580"/>
      <c r="L35" s="1580"/>
      <c r="M35" s="1580"/>
      <c r="N35" s="1580"/>
      <c r="O35" s="1580"/>
      <c r="P35" s="1580"/>
      <c r="Q35" s="1580"/>
    </row>
    <row r="36" spans="2:17">
      <c r="B36" s="64" t="s">
        <v>125</v>
      </c>
      <c r="C36" s="64" t="s">
        <v>126</v>
      </c>
      <c r="D36" s="213">
        <v>1</v>
      </c>
      <c r="E36" s="25" t="s">
        <v>90</v>
      </c>
      <c r="F36" s="25" t="s">
        <v>91</v>
      </c>
      <c r="G36" s="24">
        <v>41.445217202953593</v>
      </c>
      <c r="H36" s="24">
        <v>0.6</v>
      </c>
      <c r="I36" s="26">
        <f>G36*H36</f>
        <v>24.867130321772155</v>
      </c>
      <c r="J36" s="24">
        <v>0.18</v>
      </c>
      <c r="K36" s="26">
        <f>I36*J36</f>
        <v>4.4760834579189881</v>
      </c>
      <c r="L36" s="24">
        <v>0.15</v>
      </c>
      <c r="M36" s="26">
        <f>I36*L36</f>
        <v>3.7300695482658233</v>
      </c>
      <c r="N36" s="24">
        <v>0.15</v>
      </c>
      <c r="O36" s="26">
        <f>I36*N36</f>
        <v>3.7300695482658233</v>
      </c>
      <c r="P36" s="24">
        <v>0.2</v>
      </c>
      <c r="Q36" s="26">
        <f>I36*P36</f>
        <v>4.973426064354431</v>
      </c>
    </row>
    <row r="37" spans="2:17">
      <c r="B37" s="64" t="s">
        <v>127</v>
      </c>
      <c r="C37" s="64" t="s">
        <v>128</v>
      </c>
      <c r="D37" s="213">
        <v>1</v>
      </c>
      <c r="E37" s="25" t="s">
        <v>90</v>
      </c>
      <c r="F37" s="25" t="s">
        <v>91</v>
      </c>
      <c r="G37" s="24">
        <v>6.3107923432798811</v>
      </c>
      <c r="H37" s="24">
        <v>0.6</v>
      </c>
      <c r="I37" s="26">
        <f t="shared" ref="I37" si="9">G37*H37</f>
        <v>3.7864754059679284</v>
      </c>
      <c r="J37" s="24">
        <f>$J$36</f>
        <v>0.18</v>
      </c>
      <c r="K37" s="26">
        <f t="shared" ref="K37" si="10">I37*J37</f>
        <v>0.68156557307422705</v>
      </c>
      <c r="L37" s="24">
        <f>$L$36</f>
        <v>0.15</v>
      </c>
      <c r="M37" s="26">
        <f t="shared" ref="M37" si="11">I37*L37</f>
        <v>0.56797131089518926</v>
      </c>
      <c r="N37" s="24">
        <f>$N$36</f>
        <v>0.15</v>
      </c>
      <c r="O37" s="26">
        <f t="shared" ref="O37" si="12">I37*N37</f>
        <v>0.56797131089518926</v>
      </c>
      <c r="P37" s="24">
        <f>$P$36</f>
        <v>0.2</v>
      </c>
      <c r="Q37" s="26">
        <f t="shared" ref="Q37" si="13">I37*P37</f>
        <v>0.75729508119358568</v>
      </c>
    </row>
    <row r="38" spans="2:17">
      <c r="B38" s="64" t="s">
        <v>129</v>
      </c>
      <c r="C38" s="64" t="s">
        <v>127</v>
      </c>
      <c r="D38" s="214">
        <v>12</v>
      </c>
      <c r="E38" s="25" t="s">
        <v>94</v>
      </c>
      <c r="F38" s="25" t="s">
        <v>95</v>
      </c>
      <c r="G38" s="24">
        <v>112.69024626825518</v>
      </c>
      <c r="H38" s="24">
        <v>0.6</v>
      </c>
      <c r="I38" s="26">
        <f t="shared" ref="I38:I72" si="14">G38*H38</f>
        <v>67.614147760953102</v>
      </c>
      <c r="J38" s="24">
        <f t="shared" ref="J38:J73" si="15">$J$36</f>
        <v>0.18</v>
      </c>
      <c r="K38" s="26">
        <f t="shared" ref="K38:K72" si="16">I38*J38</f>
        <v>12.170546596971558</v>
      </c>
      <c r="L38" s="24">
        <f t="shared" ref="L38:L73" si="17">$L$36</f>
        <v>0.15</v>
      </c>
      <c r="M38" s="26">
        <f t="shared" ref="M38:M72" si="18">I38*L38</f>
        <v>10.142122164142965</v>
      </c>
      <c r="N38" s="24">
        <f t="shared" ref="N38:N73" si="19">$N$36</f>
        <v>0.15</v>
      </c>
      <c r="O38" s="26">
        <f t="shared" ref="O38:O72" si="20">I38*N38</f>
        <v>10.142122164142965</v>
      </c>
      <c r="P38" s="24">
        <f t="shared" ref="P38:P73" si="21">$P$36</f>
        <v>0.2</v>
      </c>
      <c r="Q38" s="26">
        <f t="shared" ref="Q38:Q72" si="22">I38*P38</f>
        <v>13.522829552190622</v>
      </c>
    </row>
    <row r="39" spans="2:17">
      <c r="B39" s="64" t="s">
        <v>130</v>
      </c>
      <c r="C39" s="64" t="s">
        <v>131</v>
      </c>
      <c r="D39" s="214">
        <v>12</v>
      </c>
      <c r="E39" s="25" t="s">
        <v>94</v>
      </c>
      <c r="F39" s="25" t="s">
        <v>95</v>
      </c>
      <c r="G39" s="24">
        <v>3.2262052011612683</v>
      </c>
      <c r="H39" s="24">
        <v>0.6</v>
      </c>
      <c r="I39" s="26">
        <f t="shared" si="14"/>
        <v>1.9357231206967609</v>
      </c>
      <c r="J39" s="24">
        <f t="shared" si="15"/>
        <v>0.18</v>
      </c>
      <c r="K39" s="26">
        <f t="shared" si="16"/>
        <v>0.34843016172541696</v>
      </c>
      <c r="L39" s="24">
        <f t="shared" si="17"/>
        <v>0.15</v>
      </c>
      <c r="M39" s="26">
        <f t="shared" si="18"/>
        <v>0.2903584681045141</v>
      </c>
      <c r="N39" s="24">
        <f t="shared" si="19"/>
        <v>0.15</v>
      </c>
      <c r="O39" s="26">
        <f t="shared" si="20"/>
        <v>0.2903584681045141</v>
      </c>
      <c r="P39" s="24">
        <f t="shared" si="21"/>
        <v>0.2</v>
      </c>
      <c r="Q39" s="26">
        <f t="shared" si="22"/>
        <v>0.38714462413935219</v>
      </c>
    </row>
    <row r="40" spans="2:17">
      <c r="B40" s="64" t="s">
        <v>130</v>
      </c>
      <c r="C40" s="64" t="s">
        <v>132</v>
      </c>
      <c r="D40" s="220">
        <v>11</v>
      </c>
      <c r="E40" s="25" t="s">
        <v>118</v>
      </c>
      <c r="F40" s="25" t="s">
        <v>115</v>
      </c>
      <c r="G40" s="24">
        <v>6.3131057333138321</v>
      </c>
      <c r="H40" s="24">
        <v>0.6</v>
      </c>
      <c r="I40" s="26">
        <f t="shared" si="14"/>
        <v>3.7878634399882989</v>
      </c>
      <c r="J40" s="24">
        <f t="shared" si="15"/>
        <v>0.18</v>
      </c>
      <c r="K40" s="26">
        <f t="shared" si="16"/>
        <v>0.68181541919789379</v>
      </c>
      <c r="L40" s="24">
        <f t="shared" si="17"/>
        <v>0.15</v>
      </c>
      <c r="M40" s="26">
        <f t="shared" si="18"/>
        <v>0.56817951599824479</v>
      </c>
      <c r="N40" s="24">
        <f t="shared" si="19"/>
        <v>0.15</v>
      </c>
      <c r="O40" s="26">
        <f t="shared" si="20"/>
        <v>0.56817951599824479</v>
      </c>
      <c r="P40" s="24">
        <f t="shared" si="21"/>
        <v>0.2</v>
      </c>
      <c r="Q40" s="26">
        <f t="shared" si="22"/>
        <v>0.75757268799765987</v>
      </c>
    </row>
    <row r="41" spans="2:17">
      <c r="B41" s="64" t="s">
        <v>133</v>
      </c>
      <c r="C41" s="64" t="s">
        <v>134</v>
      </c>
      <c r="D41" s="220">
        <v>11</v>
      </c>
      <c r="E41" s="25" t="s">
        <v>118</v>
      </c>
      <c r="F41" s="25" t="s">
        <v>115</v>
      </c>
      <c r="G41" s="24">
        <v>84.070620843431385</v>
      </c>
      <c r="H41" s="24">
        <v>0.6</v>
      </c>
      <c r="I41" s="26">
        <f t="shared" si="14"/>
        <v>50.442372506058831</v>
      </c>
      <c r="J41" s="24">
        <f t="shared" si="15"/>
        <v>0.18</v>
      </c>
      <c r="K41" s="26">
        <f t="shared" si="16"/>
        <v>9.0796270510905899</v>
      </c>
      <c r="L41" s="24">
        <f t="shared" si="17"/>
        <v>0.15</v>
      </c>
      <c r="M41" s="26">
        <f t="shared" si="18"/>
        <v>7.5663558759088243</v>
      </c>
      <c r="N41" s="24">
        <f t="shared" si="19"/>
        <v>0.15</v>
      </c>
      <c r="O41" s="26">
        <f t="shared" si="20"/>
        <v>7.5663558759088243</v>
      </c>
      <c r="P41" s="24">
        <f t="shared" si="21"/>
        <v>0.2</v>
      </c>
      <c r="Q41" s="26">
        <f t="shared" si="22"/>
        <v>10.088474501211767</v>
      </c>
    </row>
    <row r="42" spans="2:17">
      <c r="B42" s="64" t="s">
        <v>134</v>
      </c>
      <c r="C42" s="64" t="s">
        <v>135</v>
      </c>
      <c r="D42" s="219">
        <v>10</v>
      </c>
      <c r="E42" s="25" t="s">
        <v>114</v>
      </c>
      <c r="F42" s="25" t="s">
        <v>115</v>
      </c>
      <c r="G42" s="24">
        <v>44.723163841570958</v>
      </c>
      <c r="H42" s="24">
        <v>0.6</v>
      </c>
      <c r="I42" s="26">
        <f t="shared" si="14"/>
        <v>26.833898304942576</v>
      </c>
      <c r="J42" s="24">
        <f t="shared" si="15"/>
        <v>0.18</v>
      </c>
      <c r="K42" s="26">
        <f t="shared" si="16"/>
        <v>4.8301016948896631</v>
      </c>
      <c r="L42" s="24">
        <f t="shared" si="17"/>
        <v>0.15</v>
      </c>
      <c r="M42" s="26">
        <f t="shared" si="18"/>
        <v>4.0250847457413865</v>
      </c>
      <c r="N42" s="24">
        <f t="shared" si="19"/>
        <v>0.15</v>
      </c>
      <c r="O42" s="26">
        <f t="shared" si="20"/>
        <v>4.0250847457413865</v>
      </c>
      <c r="P42" s="24">
        <f t="shared" si="21"/>
        <v>0.2</v>
      </c>
      <c r="Q42" s="26">
        <f t="shared" si="22"/>
        <v>5.3667796609885157</v>
      </c>
    </row>
    <row r="43" spans="2:17">
      <c r="B43" s="64" t="s">
        <v>136</v>
      </c>
      <c r="C43" s="64" t="s">
        <v>137</v>
      </c>
      <c r="D43" s="219">
        <v>10</v>
      </c>
      <c r="E43" s="25" t="s">
        <v>114</v>
      </c>
      <c r="F43" s="25" t="s">
        <v>115</v>
      </c>
      <c r="G43" s="24">
        <v>2.3721087664776261</v>
      </c>
      <c r="H43" s="24">
        <v>0.6</v>
      </c>
      <c r="I43" s="26">
        <f t="shared" si="14"/>
        <v>1.4232652598865756</v>
      </c>
      <c r="J43" s="24">
        <f t="shared" si="15"/>
        <v>0.18</v>
      </c>
      <c r="K43" s="26">
        <f t="shared" si="16"/>
        <v>0.25618774677958361</v>
      </c>
      <c r="L43" s="24">
        <f t="shared" si="17"/>
        <v>0.15</v>
      </c>
      <c r="M43" s="26">
        <f t="shared" si="18"/>
        <v>0.21348978898298634</v>
      </c>
      <c r="N43" s="24">
        <f t="shared" si="19"/>
        <v>0.15</v>
      </c>
      <c r="O43" s="26">
        <f t="shared" si="20"/>
        <v>0.21348978898298634</v>
      </c>
      <c r="P43" s="24">
        <f t="shared" si="21"/>
        <v>0.2</v>
      </c>
      <c r="Q43" s="26">
        <f t="shared" si="22"/>
        <v>0.28465305197731511</v>
      </c>
    </row>
    <row r="44" spans="2:17">
      <c r="B44" s="64" t="s">
        <v>137</v>
      </c>
      <c r="C44" s="64" t="s">
        <v>138</v>
      </c>
      <c r="D44" s="219">
        <v>10</v>
      </c>
      <c r="E44" s="25" t="s">
        <v>114</v>
      </c>
      <c r="F44" s="25" t="s">
        <v>115</v>
      </c>
      <c r="G44" s="24">
        <v>50.508859777270757</v>
      </c>
      <c r="H44" s="24">
        <v>0.6</v>
      </c>
      <c r="I44" s="26">
        <f t="shared" si="14"/>
        <v>30.305315866362452</v>
      </c>
      <c r="J44" s="24">
        <f t="shared" si="15"/>
        <v>0.18</v>
      </c>
      <c r="K44" s="26">
        <f t="shared" si="16"/>
        <v>5.454956855945241</v>
      </c>
      <c r="L44" s="24">
        <f t="shared" si="17"/>
        <v>0.15</v>
      </c>
      <c r="M44" s="26">
        <f t="shared" si="18"/>
        <v>4.5457973799543678</v>
      </c>
      <c r="N44" s="24">
        <f t="shared" si="19"/>
        <v>0.15</v>
      </c>
      <c r="O44" s="26">
        <f t="shared" si="20"/>
        <v>4.5457973799543678</v>
      </c>
      <c r="P44" s="24">
        <f t="shared" si="21"/>
        <v>0.2</v>
      </c>
      <c r="Q44" s="26">
        <f t="shared" si="22"/>
        <v>6.0610631732724904</v>
      </c>
    </row>
    <row r="45" spans="2:17">
      <c r="B45" s="64" t="s">
        <v>138</v>
      </c>
      <c r="C45" s="64" t="s">
        <v>139</v>
      </c>
      <c r="D45" s="216">
        <v>9</v>
      </c>
      <c r="E45" s="25" t="s">
        <v>100</v>
      </c>
      <c r="F45" s="25" t="s">
        <v>101</v>
      </c>
      <c r="G45" s="24">
        <v>105.60350554787469</v>
      </c>
      <c r="H45" s="24">
        <v>0.6</v>
      </c>
      <c r="I45" s="26">
        <f t="shared" si="14"/>
        <v>63.362103328724814</v>
      </c>
      <c r="J45" s="24">
        <f t="shared" si="15"/>
        <v>0.18</v>
      </c>
      <c r="K45" s="26">
        <f t="shared" si="16"/>
        <v>11.405178599170466</v>
      </c>
      <c r="L45" s="24">
        <f t="shared" si="17"/>
        <v>0.15</v>
      </c>
      <c r="M45" s="26">
        <f t="shared" si="18"/>
        <v>9.5043154993087224</v>
      </c>
      <c r="N45" s="24">
        <f t="shared" si="19"/>
        <v>0.15</v>
      </c>
      <c r="O45" s="26">
        <f t="shared" si="20"/>
        <v>9.5043154993087224</v>
      </c>
      <c r="P45" s="24">
        <f t="shared" si="21"/>
        <v>0.2</v>
      </c>
      <c r="Q45" s="26">
        <f t="shared" si="22"/>
        <v>12.672420665744964</v>
      </c>
    </row>
    <row r="46" spans="2:17">
      <c r="B46" s="64" t="s">
        <v>140</v>
      </c>
      <c r="C46" s="64" t="s">
        <v>141</v>
      </c>
      <c r="D46" s="216">
        <v>9</v>
      </c>
      <c r="E46" s="25" t="s">
        <v>100</v>
      </c>
      <c r="F46" s="25" t="s">
        <v>101</v>
      </c>
      <c r="G46" s="24">
        <v>1.4634206503941389</v>
      </c>
      <c r="H46" s="24">
        <v>0.6</v>
      </c>
      <c r="I46" s="26">
        <f t="shared" si="14"/>
        <v>0.87805239023648329</v>
      </c>
      <c r="J46" s="24">
        <f t="shared" si="15"/>
        <v>0.18</v>
      </c>
      <c r="K46" s="26">
        <f t="shared" si="16"/>
        <v>0.15804943024256699</v>
      </c>
      <c r="L46" s="24">
        <f t="shared" si="17"/>
        <v>0.15</v>
      </c>
      <c r="M46" s="26">
        <f t="shared" si="18"/>
        <v>0.13170785853547248</v>
      </c>
      <c r="N46" s="24">
        <f t="shared" si="19"/>
        <v>0.15</v>
      </c>
      <c r="O46" s="26">
        <f t="shared" si="20"/>
        <v>0.13170785853547248</v>
      </c>
      <c r="P46" s="24">
        <f t="shared" si="21"/>
        <v>0.2</v>
      </c>
      <c r="Q46" s="26">
        <f t="shared" si="22"/>
        <v>0.17561047804729668</v>
      </c>
    </row>
    <row r="47" spans="2:17">
      <c r="B47" s="64" t="s">
        <v>141</v>
      </c>
      <c r="C47" s="64" t="s">
        <v>142</v>
      </c>
      <c r="D47" s="218">
        <v>8</v>
      </c>
      <c r="E47" s="25" t="s">
        <v>110</v>
      </c>
      <c r="F47" s="25" t="s">
        <v>111</v>
      </c>
      <c r="G47" s="24">
        <v>0.51931108210783328</v>
      </c>
      <c r="H47" s="24">
        <v>0.6</v>
      </c>
      <c r="I47" s="26">
        <f t="shared" si="14"/>
        <v>0.31158664926469998</v>
      </c>
      <c r="J47" s="24">
        <f t="shared" si="15"/>
        <v>0.18</v>
      </c>
      <c r="K47" s="26">
        <f t="shared" si="16"/>
        <v>5.6085596867645991E-2</v>
      </c>
      <c r="L47" s="24">
        <f t="shared" si="17"/>
        <v>0.15</v>
      </c>
      <c r="M47" s="26">
        <f t="shared" si="18"/>
        <v>4.6737997389704994E-2</v>
      </c>
      <c r="N47" s="24">
        <f t="shared" si="19"/>
        <v>0.15</v>
      </c>
      <c r="O47" s="26">
        <f t="shared" si="20"/>
        <v>4.6737997389704994E-2</v>
      </c>
      <c r="P47" s="24">
        <f t="shared" si="21"/>
        <v>0.2</v>
      </c>
      <c r="Q47" s="26">
        <f t="shared" si="22"/>
        <v>6.2317329852940001E-2</v>
      </c>
    </row>
    <row r="48" spans="2:17">
      <c r="B48" s="64" t="s">
        <v>142</v>
      </c>
      <c r="C48" s="64" t="s">
        <v>143</v>
      </c>
      <c r="D48" s="218">
        <v>8</v>
      </c>
      <c r="E48" s="25" t="s">
        <v>110</v>
      </c>
      <c r="F48" s="25" t="s">
        <v>111</v>
      </c>
      <c r="G48" s="24">
        <v>82.715138783659171</v>
      </c>
      <c r="H48" s="24">
        <v>0.6</v>
      </c>
      <c r="I48" s="26">
        <f t="shared" si="14"/>
        <v>49.629083270195501</v>
      </c>
      <c r="J48" s="24">
        <f t="shared" si="15"/>
        <v>0.18</v>
      </c>
      <c r="K48" s="26">
        <f t="shared" si="16"/>
        <v>8.9332349886351903</v>
      </c>
      <c r="L48" s="24">
        <f t="shared" si="17"/>
        <v>0.15</v>
      </c>
      <c r="M48" s="26">
        <f t="shared" si="18"/>
        <v>7.4443624905293246</v>
      </c>
      <c r="N48" s="24">
        <f t="shared" si="19"/>
        <v>0.15</v>
      </c>
      <c r="O48" s="26">
        <f t="shared" si="20"/>
        <v>7.4443624905293246</v>
      </c>
      <c r="P48" s="24">
        <f t="shared" si="21"/>
        <v>0.2</v>
      </c>
      <c r="Q48" s="26">
        <f t="shared" si="22"/>
        <v>9.9258166540391013</v>
      </c>
    </row>
    <row r="49" spans="2:17">
      <c r="B49" s="64" t="s">
        <v>144</v>
      </c>
      <c r="C49" s="64" t="s">
        <v>145</v>
      </c>
      <c r="D49" s="218">
        <v>8</v>
      </c>
      <c r="E49" s="25" t="s">
        <v>110</v>
      </c>
      <c r="F49" s="25" t="s">
        <v>111</v>
      </c>
      <c r="G49" s="24">
        <v>3.0516389039334264</v>
      </c>
      <c r="H49" s="24">
        <v>0.6</v>
      </c>
      <c r="I49" s="26">
        <f t="shared" si="14"/>
        <v>1.8309833423600557</v>
      </c>
      <c r="J49" s="24">
        <f t="shared" si="15"/>
        <v>0.18</v>
      </c>
      <c r="K49" s="26">
        <f t="shared" si="16"/>
        <v>0.32957700162481002</v>
      </c>
      <c r="L49" s="24">
        <f t="shared" si="17"/>
        <v>0.15</v>
      </c>
      <c r="M49" s="26">
        <f t="shared" si="18"/>
        <v>0.27464750135400834</v>
      </c>
      <c r="N49" s="24">
        <f t="shared" si="19"/>
        <v>0.15</v>
      </c>
      <c r="O49" s="26">
        <f t="shared" si="20"/>
        <v>0.27464750135400834</v>
      </c>
      <c r="P49" s="24">
        <f t="shared" si="21"/>
        <v>0.2</v>
      </c>
      <c r="Q49" s="26">
        <f t="shared" si="22"/>
        <v>0.36619666847201116</v>
      </c>
    </row>
    <row r="50" spans="2:17">
      <c r="B50" s="64" t="s">
        <v>127</v>
      </c>
      <c r="C50" s="64" t="s">
        <v>146</v>
      </c>
      <c r="D50" s="215">
        <v>2</v>
      </c>
      <c r="E50" s="25" t="s">
        <v>96</v>
      </c>
      <c r="F50" s="25" t="s">
        <v>97</v>
      </c>
      <c r="G50" s="24">
        <v>89.442979042516242</v>
      </c>
      <c r="H50" s="24">
        <v>0.6</v>
      </c>
      <c r="I50" s="26">
        <f t="shared" si="14"/>
        <v>53.665787425509741</v>
      </c>
      <c r="J50" s="24">
        <f t="shared" si="15"/>
        <v>0.18</v>
      </c>
      <c r="K50" s="26">
        <f t="shared" si="16"/>
        <v>9.659841736591753</v>
      </c>
      <c r="L50" s="24">
        <f t="shared" si="17"/>
        <v>0.15</v>
      </c>
      <c r="M50" s="26">
        <f t="shared" si="18"/>
        <v>8.0498681138264612</v>
      </c>
      <c r="N50" s="24">
        <f t="shared" si="19"/>
        <v>0.15</v>
      </c>
      <c r="O50" s="26">
        <f t="shared" si="20"/>
        <v>8.0498681138264612</v>
      </c>
      <c r="P50" s="24">
        <f t="shared" si="21"/>
        <v>0.2</v>
      </c>
      <c r="Q50" s="26">
        <f t="shared" si="22"/>
        <v>10.733157485101948</v>
      </c>
    </row>
    <row r="51" spans="2:17">
      <c r="B51" s="64" t="s">
        <v>146</v>
      </c>
      <c r="C51" s="64" t="s">
        <v>147</v>
      </c>
      <c r="D51" s="215">
        <v>2</v>
      </c>
      <c r="E51" s="25" t="s">
        <v>96</v>
      </c>
      <c r="F51" s="25" t="s">
        <v>97</v>
      </c>
      <c r="G51" s="24">
        <v>5.0415747539831237</v>
      </c>
      <c r="H51" s="24">
        <v>0.6</v>
      </c>
      <c r="I51" s="26">
        <f t="shared" si="14"/>
        <v>3.0249448523898743</v>
      </c>
      <c r="J51" s="24">
        <f t="shared" si="15"/>
        <v>0.18</v>
      </c>
      <c r="K51" s="26">
        <f t="shared" si="16"/>
        <v>0.5444900734301773</v>
      </c>
      <c r="L51" s="24">
        <f t="shared" si="17"/>
        <v>0.15</v>
      </c>
      <c r="M51" s="26">
        <f t="shared" si="18"/>
        <v>0.4537417278584811</v>
      </c>
      <c r="N51" s="24">
        <f t="shared" si="19"/>
        <v>0.15</v>
      </c>
      <c r="O51" s="26">
        <f t="shared" si="20"/>
        <v>0.4537417278584811</v>
      </c>
      <c r="P51" s="24">
        <f t="shared" si="21"/>
        <v>0.2</v>
      </c>
      <c r="Q51" s="26">
        <f t="shared" si="22"/>
        <v>0.60498897047797495</v>
      </c>
    </row>
    <row r="52" spans="2:17">
      <c r="B52" s="64" t="s">
        <v>148</v>
      </c>
      <c r="C52" s="64" t="s">
        <v>149</v>
      </c>
      <c r="D52" s="215">
        <v>2</v>
      </c>
      <c r="E52" s="25" t="s">
        <v>96</v>
      </c>
      <c r="F52" s="25" t="s">
        <v>97</v>
      </c>
      <c r="G52" s="24">
        <v>4.5502747169813826</v>
      </c>
      <c r="H52" s="24">
        <v>0.6</v>
      </c>
      <c r="I52" s="26">
        <f t="shared" si="14"/>
        <v>2.7301648301888295</v>
      </c>
      <c r="J52" s="24">
        <f t="shared" si="15"/>
        <v>0.18</v>
      </c>
      <c r="K52" s="26">
        <f t="shared" si="16"/>
        <v>0.4914296694339893</v>
      </c>
      <c r="L52" s="24">
        <f t="shared" si="17"/>
        <v>0.15</v>
      </c>
      <c r="M52" s="26">
        <f t="shared" si="18"/>
        <v>0.40952472452832439</v>
      </c>
      <c r="N52" s="24">
        <f t="shared" si="19"/>
        <v>0.15</v>
      </c>
      <c r="O52" s="26">
        <f t="shared" si="20"/>
        <v>0.40952472452832439</v>
      </c>
      <c r="P52" s="24">
        <f t="shared" si="21"/>
        <v>0.2</v>
      </c>
      <c r="Q52" s="26">
        <f t="shared" si="22"/>
        <v>0.54603296603776597</v>
      </c>
    </row>
    <row r="53" spans="2:17">
      <c r="B53" s="64" t="s">
        <v>149</v>
      </c>
      <c r="C53" s="64" t="s">
        <v>150</v>
      </c>
      <c r="D53" s="212">
        <v>3</v>
      </c>
      <c r="E53" s="25" t="s">
        <v>85</v>
      </c>
      <c r="F53" s="25" t="s">
        <v>86</v>
      </c>
      <c r="G53" s="24">
        <v>100.01741498359173</v>
      </c>
      <c r="H53" s="24">
        <v>0.6</v>
      </c>
      <c r="I53" s="26">
        <f t="shared" si="14"/>
        <v>60.010448990155041</v>
      </c>
      <c r="J53" s="24">
        <f t="shared" si="15"/>
        <v>0.18</v>
      </c>
      <c r="K53" s="26">
        <f t="shared" si="16"/>
        <v>10.801880818227907</v>
      </c>
      <c r="L53" s="24">
        <f t="shared" si="17"/>
        <v>0.15</v>
      </c>
      <c r="M53" s="26">
        <f t="shared" si="18"/>
        <v>9.0015673485232561</v>
      </c>
      <c r="N53" s="24">
        <f t="shared" si="19"/>
        <v>0.15</v>
      </c>
      <c r="O53" s="26">
        <f t="shared" si="20"/>
        <v>9.0015673485232561</v>
      </c>
      <c r="P53" s="24">
        <f t="shared" si="21"/>
        <v>0.2</v>
      </c>
      <c r="Q53" s="26">
        <f t="shared" si="22"/>
        <v>12.002089798031008</v>
      </c>
    </row>
    <row r="54" spans="2:17">
      <c r="B54" s="64" t="s">
        <v>151</v>
      </c>
      <c r="C54" s="64" t="s">
        <v>152</v>
      </c>
      <c r="D54" s="212">
        <v>3</v>
      </c>
      <c r="E54" s="25" t="s">
        <v>85</v>
      </c>
      <c r="F54" s="25" t="s">
        <v>86</v>
      </c>
      <c r="G54" s="24">
        <v>4.0049968789001591</v>
      </c>
      <c r="H54" s="24">
        <v>0.6</v>
      </c>
      <c r="I54" s="26">
        <f t="shared" si="14"/>
        <v>2.4029981273400955</v>
      </c>
      <c r="J54" s="24">
        <f t="shared" si="15"/>
        <v>0.18</v>
      </c>
      <c r="K54" s="26">
        <f t="shared" si="16"/>
        <v>0.43253966292121721</v>
      </c>
      <c r="L54" s="24">
        <f t="shared" si="17"/>
        <v>0.15</v>
      </c>
      <c r="M54" s="26">
        <f t="shared" si="18"/>
        <v>0.36044971910101431</v>
      </c>
      <c r="N54" s="24">
        <f t="shared" si="19"/>
        <v>0.15</v>
      </c>
      <c r="O54" s="26">
        <f t="shared" si="20"/>
        <v>0.36044971910101431</v>
      </c>
      <c r="P54" s="24">
        <f t="shared" si="21"/>
        <v>0.2</v>
      </c>
      <c r="Q54" s="26">
        <f t="shared" si="22"/>
        <v>0.48059962546801915</v>
      </c>
    </row>
    <row r="55" spans="2:17">
      <c r="B55" s="64" t="s">
        <v>130</v>
      </c>
      <c r="C55" s="64" t="s">
        <v>153</v>
      </c>
      <c r="D55" s="221">
        <v>13</v>
      </c>
      <c r="E55" s="25" t="s">
        <v>119</v>
      </c>
      <c r="F55" s="25" t="s">
        <v>120</v>
      </c>
      <c r="G55" s="24">
        <v>95.038595745360212</v>
      </c>
      <c r="H55" s="24">
        <v>0.6</v>
      </c>
      <c r="I55" s="26">
        <f t="shared" si="14"/>
        <v>57.023157447216128</v>
      </c>
      <c r="J55" s="24">
        <f t="shared" si="15"/>
        <v>0.18</v>
      </c>
      <c r="K55" s="26">
        <f t="shared" si="16"/>
        <v>10.264168340498903</v>
      </c>
      <c r="L55" s="24">
        <f t="shared" si="17"/>
        <v>0.15</v>
      </c>
      <c r="M55" s="26">
        <f t="shared" si="18"/>
        <v>8.5534736170824193</v>
      </c>
      <c r="N55" s="24">
        <f t="shared" si="19"/>
        <v>0.15</v>
      </c>
      <c r="O55" s="26">
        <f t="shared" si="20"/>
        <v>8.5534736170824193</v>
      </c>
      <c r="P55" s="24">
        <f t="shared" si="21"/>
        <v>0.2</v>
      </c>
      <c r="Q55" s="26">
        <f t="shared" si="22"/>
        <v>11.404631489443226</v>
      </c>
    </row>
    <row r="56" spans="2:17">
      <c r="B56" s="64" t="s">
        <v>154</v>
      </c>
      <c r="C56" s="64" t="s">
        <v>155</v>
      </c>
      <c r="D56" s="221">
        <v>13</v>
      </c>
      <c r="E56" s="25" t="s">
        <v>119</v>
      </c>
      <c r="F56" s="25" t="s">
        <v>120</v>
      </c>
      <c r="G56" s="24">
        <v>5.2710760049538266</v>
      </c>
      <c r="H56" s="24">
        <v>0.6</v>
      </c>
      <c r="I56" s="26">
        <f t="shared" si="14"/>
        <v>3.162645602972296</v>
      </c>
      <c r="J56" s="24">
        <f t="shared" si="15"/>
        <v>0.18</v>
      </c>
      <c r="K56" s="26">
        <f t="shared" si="16"/>
        <v>0.56927620853501326</v>
      </c>
      <c r="L56" s="24">
        <f t="shared" si="17"/>
        <v>0.15</v>
      </c>
      <c r="M56" s="26">
        <f t="shared" si="18"/>
        <v>0.4743968404458444</v>
      </c>
      <c r="N56" s="24">
        <f t="shared" si="19"/>
        <v>0.15</v>
      </c>
      <c r="O56" s="26">
        <f t="shared" si="20"/>
        <v>0.4743968404458444</v>
      </c>
      <c r="P56" s="24">
        <f t="shared" si="21"/>
        <v>0.2</v>
      </c>
      <c r="Q56" s="26">
        <f t="shared" si="22"/>
        <v>0.6325291205944592</v>
      </c>
    </row>
    <row r="57" spans="2:17">
      <c r="B57" s="64" t="s">
        <v>155</v>
      </c>
      <c r="C57" s="64" t="s">
        <v>156</v>
      </c>
      <c r="D57" s="217">
        <v>4</v>
      </c>
      <c r="E57" s="25" t="s">
        <v>106</v>
      </c>
      <c r="F57" s="25" t="s">
        <v>107</v>
      </c>
      <c r="G57" s="24">
        <v>101.27332918394656</v>
      </c>
      <c r="H57" s="24">
        <v>0.6</v>
      </c>
      <c r="I57" s="26">
        <f t="shared" si="14"/>
        <v>60.763997510367929</v>
      </c>
      <c r="J57" s="24">
        <f t="shared" si="15"/>
        <v>0.18</v>
      </c>
      <c r="K57" s="26">
        <f t="shared" si="16"/>
        <v>10.937519551866227</v>
      </c>
      <c r="L57" s="24">
        <f t="shared" si="17"/>
        <v>0.15</v>
      </c>
      <c r="M57" s="26">
        <f t="shared" si="18"/>
        <v>9.1145996265551883</v>
      </c>
      <c r="N57" s="24">
        <f t="shared" si="19"/>
        <v>0.15</v>
      </c>
      <c r="O57" s="26">
        <f t="shared" si="20"/>
        <v>9.1145996265551883</v>
      </c>
      <c r="P57" s="24">
        <f t="shared" si="21"/>
        <v>0.2</v>
      </c>
      <c r="Q57" s="26">
        <f t="shared" si="22"/>
        <v>12.152799502073586</v>
      </c>
    </row>
    <row r="58" spans="2:17">
      <c r="B58" s="64" t="s">
        <v>157</v>
      </c>
      <c r="C58" s="64" t="s">
        <v>158</v>
      </c>
      <c r="D58" s="217">
        <v>4</v>
      </c>
      <c r="E58" s="25" t="s">
        <v>106</v>
      </c>
      <c r="F58" s="25" t="s">
        <v>107</v>
      </c>
      <c r="G58" s="24">
        <v>1.2340583454602063</v>
      </c>
      <c r="H58" s="24">
        <v>0.6</v>
      </c>
      <c r="I58" s="26">
        <f t="shared" si="14"/>
        <v>0.74043500727612377</v>
      </c>
      <c r="J58" s="24">
        <f t="shared" si="15"/>
        <v>0.18</v>
      </c>
      <c r="K58" s="26">
        <f t="shared" si="16"/>
        <v>0.13327830130970228</v>
      </c>
      <c r="L58" s="24">
        <f t="shared" si="17"/>
        <v>0.15</v>
      </c>
      <c r="M58" s="26">
        <f t="shared" si="18"/>
        <v>0.11106525109141856</v>
      </c>
      <c r="N58" s="24">
        <f t="shared" si="19"/>
        <v>0.15</v>
      </c>
      <c r="O58" s="26">
        <f t="shared" si="20"/>
        <v>0.11106525109141856</v>
      </c>
      <c r="P58" s="24">
        <f t="shared" si="21"/>
        <v>0.2</v>
      </c>
      <c r="Q58" s="26">
        <f t="shared" si="22"/>
        <v>0.14808700145522477</v>
      </c>
    </row>
    <row r="59" spans="2:17">
      <c r="B59" s="64" t="s">
        <v>159</v>
      </c>
      <c r="C59" s="64" t="s">
        <v>160</v>
      </c>
      <c r="D59" s="211">
        <v>5</v>
      </c>
      <c r="E59" s="25" t="s">
        <v>81</v>
      </c>
      <c r="F59" s="25" t="s">
        <v>82</v>
      </c>
      <c r="G59" s="24">
        <v>4.6563450258759849</v>
      </c>
      <c r="H59" s="24">
        <v>0.6</v>
      </c>
      <c r="I59" s="26">
        <f t="shared" si="14"/>
        <v>2.7938070155255907</v>
      </c>
      <c r="J59" s="24">
        <f t="shared" si="15"/>
        <v>0.18</v>
      </c>
      <c r="K59" s="26">
        <f t="shared" si="16"/>
        <v>0.50288526279460632</v>
      </c>
      <c r="L59" s="24">
        <f t="shared" si="17"/>
        <v>0.15</v>
      </c>
      <c r="M59" s="26">
        <f t="shared" si="18"/>
        <v>0.41907105232883862</v>
      </c>
      <c r="N59" s="24">
        <f t="shared" si="19"/>
        <v>0.15</v>
      </c>
      <c r="O59" s="26">
        <f t="shared" si="20"/>
        <v>0.41907105232883862</v>
      </c>
      <c r="P59" s="24">
        <f t="shared" si="21"/>
        <v>0.2</v>
      </c>
      <c r="Q59" s="26">
        <f t="shared" si="22"/>
        <v>0.55876140310511813</v>
      </c>
    </row>
    <row r="60" spans="2:17">
      <c r="B60" s="64" t="s">
        <v>161</v>
      </c>
      <c r="C60" s="64" t="s">
        <v>162</v>
      </c>
      <c r="D60" s="211">
        <v>5</v>
      </c>
      <c r="E60" s="25" t="s">
        <v>81</v>
      </c>
      <c r="F60" s="25" t="s">
        <v>82</v>
      </c>
      <c r="G60" s="24">
        <v>1.1100000000000001</v>
      </c>
      <c r="H60" s="24">
        <v>0.6</v>
      </c>
      <c r="I60" s="26">
        <f t="shared" si="14"/>
        <v>0.66600000000000004</v>
      </c>
      <c r="J60" s="24">
        <f t="shared" si="15"/>
        <v>0.18</v>
      </c>
      <c r="K60" s="26">
        <f t="shared" si="16"/>
        <v>0.11988</v>
      </c>
      <c r="L60" s="24">
        <f t="shared" si="17"/>
        <v>0.15</v>
      </c>
      <c r="M60" s="26">
        <f t="shared" si="18"/>
        <v>9.9900000000000003E-2</v>
      </c>
      <c r="N60" s="24">
        <f t="shared" si="19"/>
        <v>0.15</v>
      </c>
      <c r="O60" s="26">
        <f t="shared" si="20"/>
        <v>9.9900000000000003E-2</v>
      </c>
      <c r="P60" s="24">
        <f t="shared" si="21"/>
        <v>0.2</v>
      </c>
      <c r="Q60" s="26">
        <f t="shared" si="22"/>
        <v>0.13320000000000001</v>
      </c>
    </row>
    <row r="61" spans="2:17">
      <c r="B61" s="64" t="s">
        <v>163</v>
      </c>
      <c r="C61" s="64" t="s">
        <v>161</v>
      </c>
      <c r="D61" s="211">
        <v>5</v>
      </c>
      <c r="E61" s="25" t="s">
        <v>81</v>
      </c>
      <c r="F61" s="25" t="s">
        <v>82</v>
      </c>
      <c r="G61" s="24">
        <v>50.421578961789763</v>
      </c>
      <c r="H61" s="24">
        <v>0.6</v>
      </c>
      <c r="I61" s="26">
        <f t="shared" si="14"/>
        <v>30.252947377073856</v>
      </c>
      <c r="J61" s="24">
        <f t="shared" si="15"/>
        <v>0.18</v>
      </c>
      <c r="K61" s="26">
        <f t="shared" si="16"/>
        <v>5.4455305278732942</v>
      </c>
      <c r="L61" s="24">
        <f t="shared" si="17"/>
        <v>0.15</v>
      </c>
      <c r="M61" s="26">
        <f t="shared" si="18"/>
        <v>4.5379421065610783</v>
      </c>
      <c r="N61" s="24">
        <f t="shared" si="19"/>
        <v>0.15</v>
      </c>
      <c r="O61" s="26">
        <f t="shared" si="20"/>
        <v>4.5379421065610783</v>
      </c>
      <c r="P61" s="24">
        <f t="shared" si="21"/>
        <v>0.2</v>
      </c>
      <c r="Q61" s="26">
        <f t="shared" si="22"/>
        <v>6.0505894754147711</v>
      </c>
    </row>
    <row r="62" spans="2:17">
      <c r="B62" s="64" t="s">
        <v>164</v>
      </c>
      <c r="C62" s="64" t="s">
        <v>163</v>
      </c>
      <c r="D62" s="211">
        <v>5</v>
      </c>
      <c r="E62" s="25" t="s">
        <v>81</v>
      </c>
      <c r="F62" s="25" t="s">
        <v>82</v>
      </c>
      <c r="G62" s="24">
        <v>44.000884547926987</v>
      </c>
      <c r="H62" s="24">
        <v>0.6</v>
      </c>
      <c r="I62" s="26">
        <f t="shared" si="14"/>
        <v>26.400530728756191</v>
      </c>
      <c r="J62" s="24">
        <f t="shared" si="15"/>
        <v>0.18</v>
      </c>
      <c r="K62" s="26">
        <f t="shared" si="16"/>
        <v>4.7520955311761144</v>
      </c>
      <c r="L62" s="24">
        <f t="shared" si="17"/>
        <v>0.15</v>
      </c>
      <c r="M62" s="26">
        <f t="shared" si="18"/>
        <v>3.9600796093134285</v>
      </c>
      <c r="N62" s="24">
        <f t="shared" si="19"/>
        <v>0.15</v>
      </c>
      <c r="O62" s="26">
        <f t="shared" si="20"/>
        <v>3.9600796093134285</v>
      </c>
      <c r="P62" s="24">
        <f t="shared" si="21"/>
        <v>0.2</v>
      </c>
      <c r="Q62" s="26">
        <f t="shared" si="22"/>
        <v>5.2801061457512386</v>
      </c>
    </row>
    <row r="63" spans="2:17">
      <c r="B63" s="64" t="s">
        <v>165</v>
      </c>
      <c r="C63" s="64" t="s">
        <v>166</v>
      </c>
      <c r="D63" s="81">
        <v>6</v>
      </c>
      <c r="E63" s="25" t="s">
        <v>74</v>
      </c>
      <c r="F63" s="25" t="s">
        <v>75</v>
      </c>
      <c r="G63" s="24">
        <v>99.91202354571746</v>
      </c>
      <c r="H63" s="24">
        <v>0.6</v>
      </c>
      <c r="I63" s="26">
        <f t="shared" si="14"/>
        <v>59.94721412743047</v>
      </c>
      <c r="J63" s="24">
        <f t="shared" si="15"/>
        <v>0.18</v>
      </c>
      <c r="K63" s="26">
        <f t="shared" si="16"/>
        <v>10.790498542937485</v>
      </c>
      <c r="L63" s="24">
        <f t="shared" si="17"/>
        <v>0.15</v>
      </c>
      <c r="M63" s="26">
        <f t="shared" si="18"/>
        <v>8.9920821191145706</v>
      </c>
      <c r="N63" s="24">
        <f t="shared" si="19"/>
        <v>0.15</v>
      </c>
      <c r="O63" s="26">
        <f t="shared" si="20"/>
        <v>8.9920821191145706</v>
      </c>
      <c r="P63" s="24">
        <f t="shared" si="21"/>
        <v>0.2</v>
      </c>
      <c r="Q63" s="26">
        <f t="shared" si="22"/>
        <v>11.989442825486094</v>
      </c>
    </row>
    <row r="64" spans="2:17">
      <c r="B64" s="64" t="s">
        <v>167</v>
      </c>
      <c r="C64" s="64" t="s">
        <v>165</v>
      </c>
      <c r="D64" s="81">
        <v>6</v>
      </c>
      <c r="E64" s="25" t="s">
        <v>74</v>
      </c>
      <c r="F64" s="25" t="s">
        <v>75</v>
      </c>
      <c r="G64" s="24">
        <v>2.6600828934452396</v>
      </c>
      <c r="H64" s="24">
        <v>0.6</v>
      </c>
      <c r="I64" s="26">
        <f t="shared" si="14"/>
        <v>1.5960497360671437</v>
      </c>
      <c r="J64" s="24">
        <f t="shared" si="15"/>
        <v>0.18</v>
      </c>
      <c r="K64" s="26">
        <f t="shared" si="16"/>
        <v>0.28728895249208586</v>
      </c>
      <c r="L64" s="24">
        <f t="shared" si="17"/>
        <v>0.15</v>
      </c>
      <c r="M64" s="26">
        <f t="shared" si="18"/>
        <v>0.23940746041007155</v>
      </c>
      <c r="N64" s="24">
        <f t="shared" si="19"/>
        <v>0.15</v>
      </c>
      <c r="O64" s="26">
        <f t="shared" si="20"/>
        <v>0.23940746041007155</v>
      </c>
      <c r="P64" s="24">
        <f t="shared" si="21"/>
        <v>0.2</v>
      </c>
      <c r="Q64" s="26">
        <f t="shared" si="22"/>
        <v>0.31920994721342877</v>
      </c>
    </row>
    <row r="65" spans="2:17">
      <c r="B65" s="64" t="s">
        <v>167</v>
      </c>
      <c r="C65" s="64" t="s">
        <v>168</v>
      </c>
      <c r="D65" s="210">
        <v>7</v>
      </c>
      <c r="E65" s="25" t="s">
        <v>77</v>
      </c>
      <c r="F65" s="25" t="s">
        <v>78</v>
      </c>
      <c r="G65" s="24">
        <v>7.6006578662639459</v>
      </c>
      <c r="H65" s="24">
        <v>0.6</v>
      </c>
      <c r="I65" s="26">
        <f t="shared" si="14"/>
        <v>4.5603947197583672</v>
      </c>
      <c r="J65" s="24">
        <f t="shared" si="15"/>
        <v>0.18</v>
      </c>
      <c r="K65" s="26">
        <f t="shared" si="16"/>
        <v>0.82087104955650603</v>
      </c>
      <c r="L65" s="24">
        <f t="shared" si="17"/>
        <v>0.15</v>
      </c>
      <c r="M65" s="26">
        <f t="shared" si="18"/>
        <v>0.68405920796375508</v>
      </c>
      <c r="N65" s="24">
        <f t="shared" si="19"/>
        <v>0.15</v>
      </c>
      <c r="O65" s="26">
        <f t="shared" si="20"/>
        <v>0.68405920796375508</v>
      </c>
      <c r="P65" s="24">
        <f t="shared" si="21"/>
        <v>0.2</v>
      </c>
      <c r="Q65" s="26">
        <f t="shared" si="22"/>
        <v>0.91207894395167344</v>
      </c>
    </row>
    <row r="66" spans="2:17">
      <c r="B66" s="64" t="s">
        <v>169</v>
      </c>
      <c r="C66" s="64" t="s">
        <v>170</v>
      </c>
      <c r="D66" s="210">
        <v>7</v>
      </c>
      <c r="E66" s="25" t="s">
        <v>77</v>
      </c>
      <c r="F66" s="25" t="s">
        <v>78</v>
      </c>
      <c r="G66" s="24">
        <v>97.489673960886734</v>
      </c>
      <c r="H66" s="24">
        <v>0.6</v>
      </c>
      <c r="I66" s="26">
        <f t="shared" si="14"/>
        <v>58.49380437653204</v>
      </c>
      <c r="J66" s="24">
        <f t="shared" si="15"/>
        <v>0.18</v>
      </c>
      <c r="K66" s="26">
        <f t="shared" si="16"/>
        <v>10.528884787775766</v>
      </c>
      <c r="L66" s="24">
        <f t="shared" si="17"/>
        <v>0.15</v>
      </c>
      <c r="M66" s="26">
        <f t="shared" si="18"/>
        <v>8.7740706564798057</v>
      </c>
      <c r="N66" s="24">
        <f t="shared" si="19"/>
        <v>0.15</v>
      </c>
      <c r="O66" s="26">
        <f t="shared" si="20"/>
        <v>8.7740706564798057</v>
      </c>
      <c r="P66" s="24">
        <f t="shared" si="21"/>
        <v>0.2</v>
      </c>
      <c r="Q66" s="26">
        <f t="shared" si="22"/>
        <v>11.698760875306409</v>
      </c>
    </row>
    <row r="67" spans="2:17">
      <c r="B67" s="64" t="s">
        <v>171</v>
      </c>
      <c r="C67" s="64" t="s">
        <v>172</v>
      </c>
      <c r="D67" s="210">
        <v>7</v>
      </c>
      <c r="E67" s="25" t="s">
        <v>77</v>
      </c>
      <c r="F67" s="25" t="s">
        <v>78</v>
      </c>
      <c r="G67" s="24">
        <v>1.86</v>
      </c>
      <c r="H67" s="24">
        <v>0.6</v>
      </c>
      <c r="I67" s="26">
        <f t="shared" si="14"/>
        <v>1.1160000000000001</v>
      </c>
      <c r="J67" s="24">
        <f t="shared" si="15"/>
        <v>0.18</v>
      </c>
      <c r="K67" s="26">
        <f t="shared" si="16"/>
        <v>0.20088</v>
      </c>
      <c r="L67" s="24">
        <f t="shared" si="17"/>
        <v>0.15</v>
      </c>
      <c r="M67" s="26">
        <f t="shared" si="18"/>
        <v>0.16740000000000002</v>
      </c>
      <c r="N67" s="24">
        <f t="shared" si="19"/>
        <v>0.15</v>
      </c>
      <c r="O67" s="26">
        <f t="shared" si="20"/>
        <v>0.16740000000000002</v>
      </c>
      <c r="P67" s="24">
        <f t="shared" si="21"/>
        <v>0.2</v>
      </c>
      <c r="Q67" s="26">
        <f t="shared" si="22"/>
        <v>0.22320000000000004</v>
      </c>
    </row>
    <row r="68" spans="2:17">
      <c r="B68" s="64" t="s">
        <v>173</v>
      </c>
      <c r="C68" s="64" t="s">
        <v>130</v>
      </c>
      <c r="D68" s="214">
        <v>12</v>
      </c>
      <c r="E68" s="25" t="s">
        <v>94</v>
      </c>
      <c r="F68" s="25" t="s">
        <v>95</v>
      </c>
      <c r="G68" s="24">
        <v>0.92086915465770547</v>
      </c>
      <c r="H68" s="24">
        <v>0.6</v>
      </c>
      <c r="I68" s="26">
        <f t="shared" si="14"/>
        <v>0.55252149279462326</v>
      </c>
      <c r="J68" s="24">
        <f t="shared" si="15"/>
        <v>0.18</v>
      </c>
      <c r="K68" s="26">
        <f t="shared" si="16"/>
        <v>9.9453868703032189E-2</v>
      </c>
      <c r="L68" s="24">
        <f t="shared" si="17"/>
        <v>0.15</v>
      </c>
      <c r="M68" s="26">
        <f t="shared" si="18"/>
        <v>8.2878223919193486E-2</v>
      </c>
      <c r="N68" s="24">
        <f t="shared" si="19"/>
        <v>0.15</v>
      </c>
      <c r="O68" s="26">
        <f t="shared" si="20"/>
        <v>8.2878223919193486E-2</v>
      </c>
      <c r="P68" s="24">
        <f t="shared" si="21"/>
        <v>0.2</v>
      </c>
      <c r="Q68" s="26">
        <f t="shared" si="22"/>
        <v>0.11050429855892466</v>
      </c>
    </row>
    <row r="69" spans="2:17">
      <c r="B69" s="64" t="s">
        <v>146</v>
      </c>
      <c r="C69" s="64" t="s">
        <v>174</v>
      </c>
      <c r="D69" s="215">
        <v>2</v>
      </c>
      <c r="E69" s="25" t="s">
        <v>96</v>
      </c>
      <c r="F69" s="25" t="s">
        <v>97</v>
      </c>
      <c r="G69" s="24">
        <v>4.0012498047485119</v>
      </c>
      <c r="H69" s="24">
        <v>0.6</v>
      </c>
      <c r="I69" s="26">
        <f t="shared" si="14"/>
        <v>2.400749882849107</v>
      </c>
      <c r="J69" s="24">
        <f t="shared" si="15"/>
        <v>0.18</v>
      </c>
      <c r="K69" s="26">
        <f t="shared" si="16"/>
        <v>0.43213497891283925</v>
      </c>
      <c r="L69" s="24">
        <f t="shared" si="17"/>
        <v>0.15</v>
      </c>
      <c r="M69" s="26">
        <f t="shared" si="18"/>
        <v>0.36011248242736604</v>
      </c>
      <c r="N69" s="24">
        <f t="shared" si="19"/>
        <v>0.15</v>
      </c>
      <c r="O69" s="26">
        <f t="shared" si="20"/>
        <v>0.36011248242736604</v>
      </c>
      <c r="P69" s="24">
        <f t="shared" si="21"/>
        <v>0.2</v>
      </c>
      <c r="Q69" s="26">
        <f t="shared" si="22"/>
        <v>0.48014997656982139</v>
      </c>
    </row>
    <row r="70" spans="2:17">
      <c r="B70" s="64" t="s">
        <v>142</v>
      </c>
      <c r="C70" s="64" t="s">
        <v>175</v>
      </c>
      <c r="D70" s="218">
        <v>8</v>
      </c>
      <c r="E70" s="25" t="s">
        <v>110</v>
      </c>
      <c r="F70" s="25" t="s">
        <v>111</v>
      </c>
      <c r="G70" s="24">
        <v>4.0012498047485119</v>
      </c>
      <c r="H70" s="24">
        <v>0.6</v>
      </c>
      <c r="I70" s="26">
        <f t="shared" si="14"/>
        <v>2.400749882849107</v>
      </c>
      <c r="J70" s="24">
        <f t="shared" si="15"/>
        <v>0.18</v>
      </c>
      <c r="K70" s="26">
        <f t="shared" si="16"/>
        <v>0.43213497891283925</v>
      </c>
      <c r="L70" s="24">
        <f t="shared" si="17"/>
        <v>0.15</v>
      </c>
      <c r="M70" s="26">
        <f t="shared" si="18"/>
        <v>0.36011248242736604</v>
      </c>
      <c r="N70" s="24">
        <f t="shared" si="19"/>
        <v>0.15</v>
      </c>
      <c r="O70" s="26">
        <f t="shared" si="20"/>
        <v>0.36011248242736604</v>
      </c>
      <c r="P70" s="24">
        <f t="shared" si="21"/>
        <v>0.2</v>
      </c>
      <c r="Q70" s="26">
        <f t="shared" si="22"/>
        <v>0.48014997656982139</v>
      </c>
    </row>
    <row r="71" spans="2:17">
      <c r="B71" s="64" t="s">
        <v>161</v>
      </c>
      <c r="C71" s="64" t="s">
        <v>176</v>
      </c>
      <c r="D71" s="211">
        <v>5</v>
      </c>
      <c r="E71" s="25" t="s">
        <v>81</v>
      </c>
      <c r="F71" s="25" t="s">
        <v>82</v>
      </c>
      <c r="G71" s="24">
        <v>2.0024984394500795</v>
      </c>
      <c r="H71" s="24">
        <v>0.6</v>
      </c>
      <c r="I71" s="26">
        <f t="shared" si="14"/>
        <v>1.2014990636700478</v>
      </c>
      <c r="J71" s="24">
        <f t="shared" si="15"/>
        <v>0.18</v>
      </c>
      <c r="K71" s="26">
        <f t="shared" si="16"/>
        <v>0.2162698314606086</v>
      </c>
      <c r="L71" s="24">
        <f t="shared" si="17"/>
        <v>0.15</v>
      </c>
      <c r="M71" s="26">
        <f t="shared" si="18"/>
        <v>0.18022485955050715</v>
      </c>
      <c r="N71" s="24">
        <f t="shared" si="19"/>
        <v>0.15</v>
      </c>
      <c r="O71" s="26">
        <f t="shared" si="20"/>
        <v>0.18022485955050715</v>
      </c>
      <c r="P71" s="24">
        <f t="shared" si="21"/>
        <v>0.2</v>
      </c>
      <c r="Q71" s="26">
        <f t="shared" si="22"/>
        <v>0.24029981273400958</v>
      </c>
    </row>
    <row r="72" spans="2:17">
      <c r="B72" s="64" t="s">
        <v>165</v>
      </c>
      <c r="C72" s="64" t="s">
        <v>177</v>
      </c>
      <c r="D72" s="81">
        <v>6</v>
      </c>
      <c r="E72" s="25" t="s">
        <v>74</v>
      </c>
      <c r="F72" s="25" t="s">
        <v>75</v>
      </c>
      <c r="G72" s="24">
        <v>5.0009999000199929</v>
      </c>
      <c r="H72" s="24">
        <v>0.6</v>
      </c>
      <c r="I72" s="26">
        <f t="shared" si="14"/>
        <v>3.0005999400119956</v>
      </c>
      <c r="J72" s="24">
        <f t="shared" si="15"/>
        <v>0.18</v>
      </c>
      <c r="K72" s="26">
        <f t="shared" si="16"/>
        <v>0.54010798920215919</v>
      </c>
      <c r="L72" s="24">
        <f t="shared" si="17"/>
        <v>0.15</v>
      </c>
      <c r="M72" s="26">
        <f t="shared" si="18"/>
        <v>0.45008999100179931</v>
      </c>
      <c r="N72" s="24">
        <f t="shared" si="19"/>
        <v>0.15</v>
      </c>
      <c r="O72" s="26">
        <f t="shared" si="20"/>
        <v>0.45008999100179931</v>
      </c>
      <c r="P72" s="24">
        <f t="shared" si="21"/>
        <v>0.2</v>
      </c>
      <c r="Q72" s="26">
        <f t="shared" si="22"/>
        <v>0.60011998800239919</v>
      </c>
    </row>
    <row r="73" spans="2:17">
      <c r="B73" s="209"/>
      <c r="C73" s="209"/>
      <c r="D73" s="205"/>
      <c r="E73" s="222" t="s">
        <v>178</v>
      </c>
      <c r="F73" s="654">
        <v>391</v>
      </c>
      <c r="G73" s="24">
        <f>(F73/2)*5+(F73/2)*0.5</f>
        <v>1075.25</v>
      </c>
      <c r="H73" s="24">
        <v>0.6</v>
      </c>
      <c r="I73" s="26">
        <f t="shared" ref="I73" si="23">G73*H73</f>
        <v>645.15</v>
      </c>
      <c r="J73" s="24">
        <f t="shared" si="15"/>
        <v>0.18</v>
      </c>
      <c r="K73" s="26">
        <f t="shared" ref="K73" si="24">I73*J73</f>
        <v>116.127</v>
      </c>
      <c r="L73" s="24">
        <f t="shared" si="17"/>
        <v>0.15</v>
      </c>
      <c r="M73" s="26">
        <f t="shared" ref="M73" si="25">I73*L73</f>
        <v>96.772499999999994</v>
      </c>
      <c r="N73" s="24">
        <f t="shared" si="19"/>
        <v>0.15</v>
      </c>
      <c r="O73" s="26">
        <f t="shared" ref="O73" si="26">I73*N73</f>
        <v>96.772499999999994</v>
      </c>
      <c r="P73" s="24">
        <f t="shared" si="21"/>
        <v>0.2</v>
      </c>
      <c r="Q73" s="26">
        <f t="shared" ref="Q73" si="27">I73*P73</f>
        <v>129.03</v>
      </c>
    </row>
    <row r="74" spans="2:17">
      <c r="G74" s="208">
        <f>SUM(G36:G73)</f>
        <v>2351.7757485069078</v>
      </c>
      <c r="I74" s="1249">
        <f>SUM(I36:I73)</f>
        <v>1411.0654491041448</v>
      </c>
      <c r="K74" s="1249">
        <f>SUM(K36:K73)</f>
        <v>253.99178083874602</v>
      </c>
      <c r="M74" s="1249">
        <f>SUM(M36:M73)</f>
        <v>211.65981736562173</v>
      </c>
      <c r="O74" s="208">
        <f>SUM(O36:O73)</f>
        <v>211.65981736562173</v>
      </c>
      <c r="Q74" s="1249">
        <f>SUM(Q36:Q73)</f>
        <v>282.21308982082905</v>
      </c>
    </row>
  </sheetData>
  <mergeCells count="32">
    <mergeCell ref="E3:E6"/>
    <mergeCell ref="F3:F6"/>
    <mergeCell ref="G3:G6"/>
    <mergeCell ref="H3:H6"/>
    <mergeCell ref="B3:C5"/>
    <mergeCell ref="D3:D6"/>
    <mergeCell ref="J3:J6"/>
    <mergeCell ref="K3:K6"/>
    <mergeCell ref="L3:L6"/>
    <mergeCell ref="M3:M6"/>
    <mergeCell ref="N3:N6"/>
    <mergeCell ref="P32:P35"/>
    <mergeCell ref="Q32:Q35"/>
    <mergeCell ref="B2:Q2"/>
    <mergeCell ref="B31:Q31"/>
    <mergeCell ref="G32:G35"/>
    <mergeCell ref="H32:H35"/>
    <mergeCell ref="I32:I35"/>
    <mergeCell ref="J32:J35"/>
    <mergeCell ref="K32:K35"/>
    <mergeCell ref="D32:D35"/>
    <mergeCell ref="E32:E35"/>
    <mergeCell ref="F32:F35"/>
    <mergeCell ref="O3:O6"/>
    <mergeCell ref="P3:P6"/>
    <mergeCell ref="Q3:Q6"/>
    <mergeCell ref="I3:I6"/>
    <mergeCell ref="B32:C34"/>
    <mergeCell ref="L32:L35"/>
    <mergeCell ref="M32:M35"/>
    <mergeCell ref="N32:N35"/>
    <mergeCell ref="O32:O35"/>
  </mergeCells>
  <conditionalFormatting sqref="I7:I27 K7:K27 M7:M27 O7:O27 Q7:Q27">
    <cfRule type="cellIs" dxfId="140" priority="19" operator="equal">
      <formula>0</formula>
    </cfRule>
    <cfRule type="cellIs" dxfId="139" priority="20" operator="greaterThan">
      <formula>0</formula>
    </cfRule>
  </conditionalFormatting>
  <conditionalFormatting sqref="I36:I73 K36:K73 M36:M73 O36:O73 Q36:Q73">
    <cfRule type="cellIs" dxfId="138" priority="3" operator="equal">
      <formula>0</formula>
    </cfRule>
    <cfRule type="cellIs" dxfId="137" priority="4" operator="greaterThan">
      <formula>0</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70C0"/>
  </sheetPr>
  <dimension ref="A1:XFD1198"/>
  <sheetViews>
    <sheetView topLeftCell="A7" workbookViewId="0"/>
  </sheetViews>
  <sheetFormatPr baseColWidth="10" defaultColWidth="11.5703125" defaultRowHeight="11.25"/>
  <cols>
    <col min="1" max="1" width="8.42578125" style="256" customWidth="1"/>
    <col min="2" max="2" width="8.5703125" style="256" customWidth="1"/>
    <col min="3" max="3" width="20" style="273" customWidth="1"/>
    <col min="4" max="4" width="10.7109375" style="273" customWidth="1"/>
    <col min="5" max="5" width="9.28515625" style="256" customWidth="1"/>
    <col min="6" max="6" width="7.7109375" style="256" customWidth="1"/>
    <col min="7" max="7" width="9.7109375" style="273" customWidth="1"/>
    <col min="8" max="8" width="13.140625" style="256" customWidth="1"/>
    <col min="9" max="9" width="9.7109375" style="256" customWidth="1"/>
    <col min="10" max="10" width="11.7109375" style="256" customWidth="1"/>
    <col min="11" max="11" width="12.42578125" style="256" customWidth="1"/>
    <col min="12" max="12" width="9.28515625" style="256" customWidth="1"/>
    <col min="13" max="13" width="9.42578125" style="346" customWidth="1"/>
    <col min="14" max="14" width="8.7109375" style="346" customWidth="1"/>
    <col min="15" max="16" width="7.5703125" style="346" customWidth="1"/>
    <col min="17" max="17" width="10.28515625" style="347" customWidth="1"/>
    <col min="18" max="20" width="7.5703125" style="346" customWidth="1"/>
    <col min="21" max="21" width="7.42578125" style="256" customWidth="1"/>
    <col min="22" max="22" width="5.7109375" style="256" customWidth="1"/>
    <col min="23" max="23" width="9.42578125" style="256" customWidth="1"/>
    <col min="24" max="24" width="8.28515625" style="256" customWidth="1"/>
    <col min="25" max="25" width="10.140625" style="256" customWidth="1"/>
    <col min="26" max="26" width="15.42578125" style="256" customWidth="1"/>
    <col min="27" max="27" width="11.140625" style="256" customWidth="1"/>
    <col min="28" max="28" width="8.7109375" style="342" customWidth="1"/>
    <col min="29" max="29" width="10.42578125" style="256" customWidth="1"/>
    <col min="30" max="30" width="8.28515625" style="256" customWidth="1"/>
    <col min="31" max="31" width="7.42578125" style="256" bestFit="1" customWidth="1"/>
    <col min="32" max="32" width="11" style="256" customWidth="1"/>
    <col min="33" max="33" width="13.42578125" style="256" customWidth="1"/>
    <col min="34" max="34" width="9.42578125" style="256" customWidth="1"/>
    <col min="35" max="35" width="10.140625" style="256" customWidth="1"/>
    <col min="36" max="36" width="8" style="262" customWidth="1"/>
    <col min="37" max="37" width="10.5703125" style="223" customWidth="1"/>
    <col min="38" max="38" width="10.140625" style="223" customWidth="1"/>
    <col min="39" max="39" width="7.42578125" style="256" customWidth="1"/>
    <col min="40" max="41" width="6.42578125" style="256" customWidth="1"/>
    <col min="42" max="42" width="12.85546875" style="256" customWidth="1"/>
    <col min="43" max="43" width="12.7109375" style="264" customWidth="1"/>
    <col min="44" max="44" width="9.7109375" style="265" customWidth="1"/>
    <col min="45" max="45" width="6.28515625" style="256" customWidth="1"/>
    <col min="46" max="46" width="10.28515625" style="256" customWidth="1"/>
    <col min="47" max="47" width="9.7109375" style="256" customWidth="1"/>
    <col min="48" max="48" width="7.7109375" style="268" customWidth="1"/>
    <col min="49" max="49" width="10.42578125" style="256" customWidth="1"/>
    <col min="50" max="50" width="9.7109375" style="256" customWidth="1"/>
    <col min="51" max="51" width="10.42578125" style="256" customWidth="1"/>
    <col min="52" max="52" width="12.85546875" style="256" customWidth="1"/>
    <col min="53" max="53" width="13.28515625" style="256" customWidth="1"/>
    <col min="54" max="54" width="9.7109375" style="256" customWidth="1"/>
    <col min="55" max="55" width="9.28515625" style="256" customWidth="1"/>
    <col min="56" max="56" width="7.42578125" style="256" customWidth="1"/>
    <col min="57" max="59" width="7.5703125" style="256" customWidth="1"/>
    <col min="60" max="60" width="9.140625" style="256" customWidth="1"/>
    <col min="61" max="61" width="10.28515625" style="256" customWidth="1"/>
    <col min="62" max="62" width="6.5703125" style="256" customWidth="1"/>
    <col min="63" max="63" width="7.5703125" style="256" customWidth="1"/>
    <col min="64" max="65" width="5.5703125" style="256" customWidth="1"/>
    <col min="66" max="66" width="8.7109375" style="256" customWidth="1"/>
    <col min="67" max="67" width="9.28515625" style="256" customWidth="1"/>
    <col min="68" max="68" width="9.7109375" style="256" customWidth="1"/>
    <col min="69" max="69" width="11.42578125" style="256" customWidth="1"/>
    <col min="70" max="70" width="6.7109375" style="256" customWidth="1"/>
    <col min="71" max="71" width="7.28515625" style="256" customWidth="1"/>
    <col min="72" max="72" width="11.28515625" style="256" customWidth="1"/>
    <col min="73" max="73" width="9.28515625" style="256" customWidth="1"/>
    <col min="74" max="74" width="10.7109375" style="256" customWidth="1"/>
    <col min="75" max="75" width="10.42578125" style="256" customWidth="1"/>
    <col min="76" max="76" width="9.28515625" style="256" customWidth="1"/>
    <col min="77" max="77" width="12" style="256" customWidth="1"/>
    <col min="78" max="78" width="9" style="256" customWidth="1"/>
    <col min="79" max="79" width="6.28515625" style="256" customWidth="1"/>
    <col min="80" max="80" width="6.7109375" style="256" customWidth="1"/>
    <col min="81" max="83" width="5.7109375" style="256" customWidth="1"/>
    <col min="84" max="84" width="11.42578125" style="256" customWidth="1"/>
    <col min="85" max="85" width="11.7109375" style="256" customWidth="1"/>
    <col min="86" max="87" width="9.28515625" style="256" customWidth="1"/>
    <col min="88" max="88" width="13.42578125" style="268" customWidth="1"/>
    <col min="89" max="90" width="6.28515625" style="256" customWidth="1"/>
    <col min="91" max="91" width="5.28515625" style="256" customWidth="1"/>
    <col min="92" max="94" width="9.28515625" style="256" customWidth="1"/>
    <col min="95" max="95" width="11.5703125" style="256" customWidth="1"/>
    <col min="96" max="97" width="10.7109375" style="256" customWidth="1"/>
    <col min="98" max="98" width="11.7109375" style="256" customWidth="1"/>
    <col min="99" max="99" width="11.7109375" style="268" customWidth="1"/>
    <col min="100" max="112" width="11.5703125" style="256"/>
    <col min="113" max="113" width="9.42578125" style="275" customWidth="1"/>
    <col min="114" max="114" width="9.42578125" style="256" customWidth="1"/>
    <col min="115" max="115" width="13" style="268" customWidth="1"/>
    <col min="116" max="119" width="16" style="256" customWidth="1"/>
    <col min="120" max="120" width="11.28515625" style="256" customWidth="1"/>
    <col min="121" max="121" width="10.7109375" style="256" customWidth="1"/>
    <col min="122" max="122" width="9.5703125" style="256" customWidth="1"/>
    <col min="123" max="123" width="7.7109375" style="223" bestFit="1" customWidth="1"/>
    <col min="124" max="124" width="7.7109375" style="223" customWidth="1"/>
    <col min="125" max="138" width="11.5703125" style="256"/>
    <col min="139" max="139" width="6.42578125" style="256" customWidth="1"/>
    <col min="140" max="140" width="16.28515625" style="256" customWidth="1"/>
    <col min="141" max="16384" width="11.5703125" style="256"/>
  </cols>
  <sheetData>
    <row r="1" spans="1:140" s="1383" customFormat="1" ht="26.25" hidden="1" customHeight="1">
      <c r="C1" s="1405"/>
      <c r="J1" s="1410"/>
      <c r="K1" s="1412"/>
      <c r="L1" s="1385"/>
      <c r="M1" s="1385"/>
      <c r="N1" s="1410"/>
      <c r="O1" s="1385"/>
      <c r="P1" s="1385"/>
      <c r="Q1" s="1387"/>
      <c r="R1" s="1385"/>
      <c r="S1" s="1385"/>
      <c r="T1" s="1385"/>
      <c r="U1" s="1385"/>
      <c r="V1" s="1405" t="s">
        <v>179</v>
      </c>
      <c r="W1" s="1385"/>
      <c r="X1" s="1385"/>
      <c r="Y1" s="1385"/>
      <c r="Z1" s="1385"/>
      <c r="AA1" s="1385"/>
      <c r="AB1" s="1387"/>
      <c r="AC1" s="1385"/>
      <c r="AD1" s="1385"/>
      <c r="AE1" s="1385"/>
      <c r="AF1" s="1406"/>
      <c r="AG1" s="1385"/>
      <c r="AH1" s="1405"/>
      <c r="AI1" s="1407"/>
      <c r="AJ1" s="1385"/>
      <c r="AK1" s="1384"/>
      <c r="AL1" s="1363"/>
      <c r="AM1" s="1406"/>
      <c r="AN1" s="1411"/>
      <c r="AO1" s="1406"/>
      <c r="AP1" s="1406"/>
      <c r="AQ1" s="1391"/>
      <c r="AR1" s="1397"/>
      <c r="AV1" s="1386"/>
      <c r="AZ1" s="1405"/>
      <c r="BA1" s="1409" t="str">
        <f>V1</f>
        <v>PROYECTO:  PLAN MAESTRO DE ALCANTARILLADO VEGACHI-ANTIOQUIA</v>
      </c>
      <c r="BH1" s="1385"/>
      <c r="CJ1" s="1388"/>
      <c r="CU1" s="1388"/>
      <c r="DI1" s="1387"/>
      <c r="DJ1" s="1385"/>
      <c r="DK1" s="1386"/>
      <c r="DL1" s="1385"/>
      <c r="DM1" s="1385"/>
      <c r="DN1" s="1385"/>
      <c r="DO1" s="1385"/>
      <c r="DP1" s="1385"/>
      <c r="DQ1" s="1385"/>
      <c r="DR1" s="1385"/>
      <c r="DS1" s="1384"/>
      <c r="DT1" s="1363"/>
    </row>
    <row r="2" spans="1:140" s="1383" customFormat="1" ht="26.25" hidden="1" customHeight="1">
      <c r="C2" s="1405"/>
      <c r="J2" s="1410"/>
      <c r="L2" s="1385"/>
      <c r="M2" s="1385"/>
      <c r="N2" s="1410"/>
      <c r="O2" s="1385"/>
      <c r="P2" s="1385"/>
      <c r="Q2" s="1387"/>
      <c r="R2" s="1385"/>
      <c r="S2" s="1385"/>
      <c r="T2" s="1385"/>
      <c r="U2" s="1405"/>
      <c r="V2" s="1405" t="s">
        <v>180</v>
      </c>
      <c r="W2" s="1385"/>
      <c r="X2" s="1385"/>
      <c r="Y2" s="1385"/>
      <c r="Z2" s="1385"/>
      <c r="AA2" s="1385"/>
      <c r="AB2" s="1387"/>
      <c r="AC2" s="1385"/>
      <c r="AD2" s="1385"/>
      <c r="AE2" s="1385"/>
      <c r="AF2" s="1385"/>
      <c r="AG2" s="1385"/>
      <c r="AH2" s="1405"/>
      <c r="AI2" s="1407"/>
      <c r="AJ2" s="1385"/>
      <c r="AK2" s="1384"/>
      <c r="AL2" s="1363"/>
      <c r="AM2" s="1406"/>
      <c r="AN2" s="1406"/>
      <c r="AO2" s="1406"/>
      <c r="AP2" s="1406"/>
      <c r="AQ2" s="1391"/>
      <c r="AR2" s="1397"/>
      <c r="AV2" s="1386"/>
      <c r="AZ2" s="1405"/>
      <c r="BA2" s="1409" t="str">
        <f>V2</f>
        <v>ALCANTARILLADO COMBINADO</v>
      </c>
      <c r="BB2" s="1405"/>
      <c r="BH2" s="1385"/>
      <c r="CJ2" s="1388"/>
      <c r="CU2" s="1388"/>
      <c r="DI2" s="1387"/>
      <c r="DJ2" s="1385"/>
      <c r="DK2" s="1386"/>
      <c r="DL2" s="1385"/>
      <c r="DM2" s="1385"/>
      <c r="DN2" s="1385"/>
      <c r="DO2" s="1385"/>
      <c r="DP2" s="1385"/>
      <c r="DQ2" s="1385"/>
      <c r="DR2" s="1385"/>
      <c r="DS2" s="1384"/>
      <c r="DT2" s="1363"/>
    </row>
    <row r="3" spans="1:140" s="1383" customFormat="1" ht="26.25" hidden="1" customHeight="1">
      <c r="C3" s="1405"/>
      <c r="J3" s="1408"/>
      <c r="L3" s="1385"/>
      <c r="M3" s="1385"/>
      <c r="N3" s="1408"/>
      <c r="O3" s="1385"/>
      <c r="P3" s="1385"/>
      <c r="Q3" s="1387"/>
      <c r="R3" s="1385"/>
      <c r="S3" s="1385"/>
      <c r="T3" s="1385"/>
      <c r="U3" s="1385"/>
      <c r="V3" s="1405"/>
      <c r="W3" s="1385"/>
      <c r="X3" s="1385"/>
      <c r="Y3" s="1385"/>
      <c r="Z3" s="1385"/>
      <c r="AA3" s="1385"/>
      <c r="AB3" s="1387"/>
      <c r="AC3" s="1385"/>
      <c r="AD3" s="1385"/>
      <c r="AE3" s="1385"/>
      <c r="AF3" s="1385"/>
      <c r="AG3" s="1385"/>
      <c r="AH3" s="1405"/>
      <c r="AI3" s="1407"/>
      <c r="AJ3" s="1385"/>
      <c r="AK3" s="1384"/>
      <c r="AL3" s="1363"/>
      <c r="AM3" s="1385"/>
      <c r="AN3" s="1385"/>
      <c r="AO3" s="1406"/>
      <c r="AP3" s="1406"/>
      <c r="AQ3" s="1391"/>
      <c r="AR3" s="1397"/>
      <c r="AV3" s="1386"/>
      <c r="AZ3" s="1405"/>
      <c r="BA3" s="1405"/>
      <c r="BH3" s="1385"/>
      <c r="CJ3" s="1388"/>
      <c r="CU3" s="1388"/>
      <c r="DI3" s="1387"/>
      <c r="DJ3" s="1385"/>
      <c r="DK3" s="1386"/>
      <c r="DL3" s="1385"/>
      <c r="DM3" s="1385"/>
      <c r="DN3" s="1385"/>
      <c r="DO3" s="1385"/>
      <c r="DP3" s="1385"/>
      <c r="DQ3" s="1385"/>
      <c r="DR3" s="1385"/>
      <c r="DS3" s="1384"/>
      <c r="DT3" s="1363"/>
    </row>
    <row r="4" spans="1:140" s="1383" customFormat="1" ht="15.75" hidden="1" customHeight="1">
      <c r="D4" s="1403"/>
      <c r="E4" s="1403"/>
      <c r="H4" s="1403"/>
      <c r="L4" s="1385"/>
      <c r="M4" s="1389"/>
      <c r="N4" s="1385"/>
      <c r="O4" s="1385"/>
      <c r="P4" s="1385"/>
      <c r="Q4" s="1387"/>
      <c r="R4" s="1385"/>
      <c r="S4" s="1385"/>
      <c r="T4" s="1385"/>
      <c r="U4" s="1402"/>
      <c r="V4" s="1405"/>
      <c r="W4" s="1385"/>
      <c r="X4" s="1385"/>
      <c r="Y4" s="1385"/>
      <c r="Z4" s="1385"/>
      <c r="AA4" s="1385"/>
      <c r="AB4" s="1387"/>
      <c r="AC4" s="1385"/>
      <c r="AD4" s="1404"/>
      <c r="AE4" s="1385"/>
      <c r="AF4" s="1385"/>
      <c r="AG4" s="1385"/>
      <c r="AH4" s="1385"/>
      <c r="AI4" s="1385"/>
      <c r="AJ4" s="1385"/>
      <c r="AK4" s="1394"/>
      <c r="AL4" s="1394"/>
      <c r="AM4" s="1402"/>
      <c r="AN4" s="1385"/>
      <c r="AO4" s="1385"/>
      <c r="AP4" s="1385"/>
      <c r="AQ4" s="1391"/>
      <c r="AR4" s="1397"/>
      <c r="AT4" s="1403"/>
      <c r="AV4" s="1388"/>
      <c r="AZ4" s="1402"/>
      <c r="BA4" s="1401">
        <f>V4</f>
        <v>0</v>
      </c>
      <c r="CJ4" s="1388"/>
      <c r="CU4" s="1388"/>
      <c r="DI4" s="1387"/>
      <c r="DJ4" s="1385"/>
      <c r="DK4" s="1386"/>
      <c r="DL4" s="1385"/>
      <c r="DM4" s="1385"/>
      <c r="DN4" s="1385"/>
      <c r="DO4" s="1385"/>
      <c r="DP4" s="1385"/>
      <c r="DQ4" s="1385"/>
      <c r="DR4" s="1385"/>
      <c r="DS4" s="1394"/>
      <c r="DT4" s="1394"/>
    </row>
    <row r="5" spans="1:140" s="1393" customFormat="1" ht="22.5" hidden="1" customHeight="1">
      <c r="C5" s="1400"/>
      <c r="D5" s="1396"/>
      <c r="E5" s="1396"/>
      <c r="H5" s="1396"/>
      <c r="I5" s="1399"/>
      <c r="L5" s="1384"/>
      <c r="M5" s="1384"/>
      <c r="N5" s="1398"/>
      <c r="O5" s="1384"/>
      <c r="P5" s="1384"/>
      <c r="Q5" s="1387"/>
      <c r="R5" s="1384"/>
      <c r="S5" s="1384"/>
      <c r="T5" s="1384"/>
      <c r="U5" s="1394" t="s">
        <v>181</v>
      </c>
      <c r="V5" s="223"/>
      <c r="W5" s="1384"/>
      <c r="X5" s="1384"/>
      <c r="Y5" s="1384"/>
      <c r="Z5" s="1384"/>
      <c r="AA5" s="1384"/>
      <c r="AB5" s="1387"/>
      <c r="AC5" s="1384"/>
      <c r="AD5" s="1384"/>
      <c r="AE5" s="1384"/>
      <c r="AF5" s="1384"/>
      <c r="AG5" s="1384"/>
      <c r="AH5" s="1384"/>
      <c r="AI5" s="1384"/>
      <c r="AJ5" s="1384"/>
      <c r="AK5" s="1394"/>
      <c r="AL5" s="1394"/>
      <c r="AM5" s="1384"/>
      <c r="AN5" s="1384"/>
      <c r="AO5" s="1384"/>
      <c r="AP5" s="1384"/>
      <c r="AQ5" s="1391"/>
      <c r="AR5" s="1397"/>
      <c r="AT5" s="1396"/>
      <c r="AV5" s="1388"/>
      <c r="BA5" s="1395" t="str">
        <f>U5</f>
        <v>CANTIDAD OBRA RED</v>
      </c>
      <c r="CJ5" s="1388"/>
      <c r="CU5" s="1388"/>
      <c r="DI5" s="1387"/>
      <c r="DJ5" s="1384"/>
      <c r="DK5" s="1386"/>
      <c r="DL5" s="1384"/>
      <c r="DM5" s="1384"/>
      <c r="DN5" s="1384"/>
      <c r="DO5" s="1384"/>
      <c r="DP5" s="1384"/>
      <c r="DQ5" s="1384"/>
      <c r="DR5" s="1384"/>
      <c r="DS5" s="1394"/>
      <c r="DT5" s="1394"/>
    </row>
    <row r="6" spans="1:140" s="1383" customFormat="1" ht="21.75" hidden="1" customHeight="1">
      <c r="E6" s="1392"/>
      <c r="L6" s="1385"/>
      <c r="M6" s="1385"/>
      <c r="N6" s="1385"/>
      <c r="O6" s="1385"/>
      <c r="P6" s="1385"/>
      <c r="Q6" s="1387"/>
      <c r="R6" s="1385"/>
      <c r="S6" s="1385"/>
      <c r="T6" s="1385"/>
      <c r="U6" s="1385"/>
      <c r="V6" s="1385"/>
      <c r="W6" s="1385"/>
      <c r="X6" s="1385"/>
      <c r="Y6" s="1385"/>
      <c r="Z6" s="1385"/>
      <c r="AA6" s="1385"/>
      <c r="AB6" s="1387"/>
      <c r="AC6" s="1385"/>
      <c r="AD6" s="1385"/>
      <c r="AE6" s="1385"/>
      <c r="AF6" s="1385"/>
      <c r="AG6" s="1385"/>
      <c r="AH6" s="1385"/>
      <c r="AI6" s="1385"/>
      <c r="AJ6" s="1385"/>
      <c r="AK6" s="1384"/>
      <c r="AL6" s="1384"/>
      <c r="AM6" s="1385"/>
      <c r="AN6" s="1385"/>
      <c r="AO6" s="1385"/>
      <c r="AP6" s="1385"/>
      <c r="AQ6" s="1391"/>
      <c r="AR6" s="1390"/>
      <c r="AS6" s="1385"/>
      <c r="AT6" s="1385"/>
      <c r="AV6" s="1388"/>
      <c r="AZ6" s="1389"/>
      <c r="CA6" s="1389"/>
      <c r="CJ6" s="1388"/>
      <c r="CU6" s="1388"/>
      <c r="DI6" s="1387"/>
      <c r="DJ6" s="1385"/>
      <c r="DK6" s="1386"/>
      <c r="DL6" s="1385"/>
      <c r="DM6" s="1385"/>
      <c r="DN6" s="1385"/>
      <c r="DO6" s="1385"/>
      <c r="DP6" s="1385"/>
      <c r="DQ6" s="1385"/>
      <c r="DR6" s="1385"/>
      <c r="DS6" s="1384"/>
      <c r="DT6" s="1384"/>
    </row>
    <row r="7" spans="1:140" s="224" customFormat="1" ht="33.75" customHeight="1">
      <c r="C7" s="224">
        <v>1</v>
      </c>
      <c r="D7" s="224">
        <f>C7+1</f>
        <v>2</v>
      </c>
      <c r="E7" s="224">
        <f>D7+1</f>
        <v>3</v>
      </c>
      <c r="F7" s="224">
        <v>4</v>
      </c>
      <c r="G7" s="224">
        <v>5</v>
      </c>
      <c r="H7" s="224">
        <v>6</v>
      </c>
      <c r="I7" s="224">
        <f>H7+1</f>
        <v>7</v>
      </c>
      <c r="J7" s="224">
        <v>8</v>
      </c>
      <c r="K7" s="224">
        <f>J7+1</f>
        <v>9</v>
      </c>
      <c r="L7" s="224">
        <v>10</v>
      </c>
      <c r="M7" s="225">
        <v>11</v>
      </c>
      <c r="N7" s="225">
        <v>12</v>
      </c>
      <c r="O7" s="225">
        <v>13</v>
      </c>
      <c r="P7" s="225">
        <v>14</v>
      </c>
      <c r="Q7" s="226">
        <v>15</v>
      </c>
      <c r="R7" s="225">
        <v>16</v>
      </c>
      <c r="S7" s="225">
        <v>17</v>
      </c>
      <c r="T7" s="225">
        <v>18</v>
      </c>
      <c r="U7" s="225">
        <v>19</v>
      </c>
      <c r="V7" s="225">
        <v>20</v>
      </c>
      <c r="W7" s="225">
        <v>21</v>
      </c>
      <c r="X7" s="225">
        <v>22</v>
      </c>
      <c r="Y7" s="225">
        <v>23</v>
      </c>
      <c r="Z7" s="225">
        <v>24</v>
      </c>
      <c r="AA7" s="225">
        <v>25</v>
      </c>
      <c r="AB7" s="227">
        <v>26</v>
      </c>
      <c r="AC7" s="228">
        <v>27</v>
      </c>
      <c r="AD7" s="228">
        <v>28</v>
      </c>
      <c r="AE7" s="228">
        <v>29</v>
      </c>
      <c r="AF7" s="228">
        <v>30</v>
      </c>
      <c r="AG7" s="228">
        <v>31</v>
      </c>
      <c r="AH7" s="228">
        <v>32</v>
      </c>
      <c r="AI7" s="228">
        <v>33</v>
      </c>
      <c r="AJ7" s="225">
        <v>34</v>
      </c>
      <c r="AK7" s="229">
        <v>35</v>
      </c>
      <c r="AL7" s="229">
        <v>36</v>
      </c>
      <c r="AM7" s="225">
        <v>37</v>
      </c>
      <c r="AN7" s="225">
        <v>38</v>
      </c>
      <c r="AO7" s="225">
        <v>39</v>
      </c>
      <c r="AP7" s="225">
        <v>40</v>
      </c>
      <c r="AQ7" s="230">
        <v>41</v>
      </c>
      <c r="AR7" s="231">
        <v>42</v>
      </c>
      <c r="AS7" s="225">
        <v>43</v>
      </c>
      <c r="AT7" s="232">
        <v>44</v>
      </c>
      <c r="AU7" s="232">
        <v>45</v>
      </c>
      <c r="AV7" s="233">
        <v>46</v>
      </c>
      <c r="AW7" s="225">
        <v>47</v>
      </c>
      <c r="AX7" s="225">
        <v>48</v>
      </c>
      <c r="AY7" s="225">
        <v>49</v>
      </c>
      <c r="AZ7" s="232">
        <v>50</v>
      </c>
      <c r="BA7" s="232">
        <v>51</v>
      </c>
      <c r="BB7" s="232">
        <v>52</v>
      </c>
      <c r="BC7" s="225">
        <v>53</v>
      </c>
      <c r="BD7" s="225">
        <v>54</v>
      </c>
      <c r="BE7" s="225">
        <v>55</v>
      </c>
      <c r="BF7" s="225">
        <v>56</v>
      </c>
      <c r="BG7" s="225">
        <v>57</v>
      </c>
      <c r="BH7" s="225">
        <v>58</v>
      </c>
      <c r="BI7" s="232">
        <v>59</v>
      </c>
      <c r="BJ7" s="225">
        <v>60</v>
      </c>
      <c r="BK7" s="225">
        <v>61</v>
      </c>
      <c r="BL7" s="225">
        <v>62</v>
      </c>
      <c r="BM7" s="225">
        <v>63</v>
      </c>
      <c r="BN7" s="225">
        <v>64</v>
      </c>
      <c r="BO7" s="225">
        <v>65</v>
      </c>
      <c r="BP7" s="225">
        <v>66</v>
      </c>
      <c r="BQ7" s="225">
        <v>67</v>
      </c>
      <c r="BR7" s="225">
        <v>68</v>
      </c>
      <c r="BS7" s="225">
        <v>69</v>
      </c>
      <c r="BT7" s="225">
        <v>70</v>
      </c>
      <c r="BU7" s="225">
        <v>71</v>
      </c>
      <c r="BV7" s="225">
        <v>72</v>
      </c>
      <c r="BW7" s="225">
        <v>73</v>
      </c>
      <c r="BX7" s="225">
        <v>74</v>
      </c>
      <c r="BY7" s="225">
        <v>75</v>
      </c>
      <c r="BZ7" s="225">
        <v>76</v>
      </c>
      <c r="CA7" s="225">
        <v>77</v>
      </c>
      <c r="CB7" s="225">
        <v>78</v>
      </c>
      <c r="CC7" s="225">
        <v>79</v>
      </c>
      <c r="CD7" s="225">
        <v>80</v>
      </c>
      <c r="CE7" s="225">
        <v>81</v>
      </c>
      <c r="CF7" s="225">
        <v>82</v>
      </c>
      <c r="CG7" s="225">
        <v>83</v>
      </c>
      <c r="CH7" s="225">
        <v>84</v>
      </c>
      <c r="CI7" s="225">
        <v>85</v>
      </c>
      <c r="CJ7" s="233">
        <v>86</v>
      </c>
      <c r="CK7" s="225">
        <v>87</v>
      </c>
      <c r="CL7" s="225">
        <v>88</v>
      </c>
      <c r="CM7" s="225">
        <v>89</v>
      </c>
      <c r="CN7" s="225">
        <v>90</v>
      </c>
      <c r="CO7" s="225">
        <v>91</v>
      </c>
      <c r="CP7" s="225">
        <v>92</v>
      </c>
      <c r="CQ7" s="225"/>
      <c r="CR7" s="225">
        <v>93</v>
      </c>
      <c r="CS7" s="225">
        <v>94</v>
      </c>
      <c r="CT7" s="225">
        <v>95</v>
      </c>
      <c r="CU7" s="233">
        <v>96</v>
      </c>
      <c r="CV7" s="225">
        <v>97</v>
      </c>
      <c r="CW7" s="225">
        <v>98</v>
      </c>
      <c r="CX7" s="225">
        <v>99</v>
      </c>
      <c r="CY7" s="225">
        <v>100</v>
      </c>
      <c r="CZ7" s="225">
        <v>101</v>
      </c>
      <c r="DA7" s="225">
        <v>180</v>
      </c>
      <c r="DB7" s="225">
        <v>181</v>
      </c>
      <c r="DC7" s="225">
        <v>182</v>
      </c>
      <c r="DD7" s="225">
        <v>183</v>
      </c>
      <c r="DE7" s="225">
        <v>184</v>
      </c>
      <c r="DF7" s="225">
        <v>185</v>
      </c>
      <c r="DG7" s="225">
        <v>186</v>
      </c>
      <c r="DH7" s="225" t="s">
        <v>182</v>
      </c>
      <c r="DI7" s="225">
        <v>187</v>
      </c>
      <c r="DJ7" s="225">
        <v>188</v>
      </c>
      <c r="DK7" s="225">
        <v>189</v>
      </c>
      <c r="DL7" s="225">
        <v>190</v>
      </c>
      <c r="DM7" s="225">
        <v>191</v>
      </c>
      <c r="DN7" s="225">
        <v>192</v>
      </c>
      <c r="DO7" s="225">
        <v>193</v>
      </c>
      <c r="DP7" s="225">
        <v>194</v>
      </c>
      <c r="DQ7" s="225">
        <v>195</v>
      </c>
      <c r="DR7" s="225">
        <v>196</v>
      </c>
      <c r="DS7" s="225">
        <v>197</v>
      </c>
      <c r="DT7" s="225">
        <v>198</v>
      </c>
      <c r="DU7" s="225">
        <v>199</v>
      </c>
      <c r="DV7" s="225">
        <v>200</v>
      </c>
      <c r="DW7" s="225">
        <v>201</v>
      </c>
      <c r="DX7" s="225">
        <v>202</v>
      </c>
      <c r="DY7" s="225">
        <v>203</v>
      </c>
      <c r="DZ7" s="225">
        <v>204</v>
      </c>
      <c r="EA7" s="225">
        <v>205</v>
      </c>
      <c r="EB7" s="225">
        <v>206</v>
      </c>
    </row>
    <row r="8" spans="1:140" s="224" customFormat="1" ht="34.15" customHeight="1">
      <c r="A8" s="1583" t="s">
        <v>183</v>
      </c>
      <c r="B8" s="1585" t="s">
        <v>184</v>
      </c>
      <c r="C8" s="1587" t="s">
        <v>185</v>
      </c>
      <c r="D8" s="1588"/>
      <c r="E8" s="1589" t="s">
        <v>186</v>
      </c>
      <c r="F8" s="1583" t="s">
        <v>187</v>
      </c>
      <c r="G8" s="1583" t="s">
        <v>188</v>
      </c>
      <c r="H8" s="1596" t="s">
        <v>189</v>
      </c>
      <c r="I8" s="1596"/>
      <c r="J8" s="1589" t="s">
        <v>190</v>
      </c>
      <c r="K8" s="1589"/>
      <c r="L8" s="234" t="s">
        <v>191</v>
      </c>
      <c r="M8" s="224" t="s">
        <v>192</v>
      </c>
      <c r="N8" s="225" t="s">
        <v>193</v>
      </c>
      <c r="O8" s="224" t="s">
        <v>194</v>
      </c>
      <c r="P8" s="224" t="s">
        <v>194</v>
      </c>
      <c r="Q8" s="1597" t="s">
        <v>195</v>
      </c>
      <c r="R8" s="1587" t="s">
        <v>196</v>
      </c>
      <c r="S8" s="1598"/>
      <c r="T8" s="1588"/>
      <c r="U8" s="1587" t="s">
        <v>197</v>
      </c>
      <c r="V8" s="1598"/>
      <c r="W8" s="1588"/>
      <c r="X8" s="1587" t="s">
        <v>198</v>
      </c>
      <c r="Y8" s="1598"/>
      <c r="Z8" s="1588"/>
      <c r="AA8" s="224" t="s">
        <v>199</v>
      </c>
      <c r="AB8" s="235" t="s">
        <v>200</v>
      </c>
      <c r="AC8" s="1590" t="s">
        <v>201</v>
      </c>
      <c r="AD8" s="1591"/>
      <c r="AE8" s="1592"/>
      <c r="AF8" s="1590" t="s">
        <v>202</v>
      </c>
      <c r="AG8" s="1591"/>
      <c r="AH8" s="1592"/>
      <c r="AI8" s="224" t="s">
        <v>203</v>
      </c>
      <c r="AJ8" s="236" t="s">
        <v>204</v>
      </c>
      <c r="AK8" s="1593" t="s">
        <v>204</v>
      </c>
      <c r="AL8" s="1593"/>
      <c r="AM8" s="238" t="s">
        <v>205</v>
      </c>
      <c r="AN8" s="1596" t="s">
        <v>206</v>
      </c>
      <c r="AO8" s="1596"/>
      <c r="AP8" s="1596"/>
      <c r="AQ8" s="1599" t="s">
        <v>207</v>
      </c>
      <c r="AR8" s="1600"/>
      <c r="AS8" s="1601"/>
      <c r="AT8" s="239" t="s">
        <v>208</v>
      </c>
      <c r="AU8" s="1602" t="s">
        <v>209</v>
      </c>
      <c r="AV8" s="240" t="s">
        <v>210</v>
      </c>
      <c r="AW8" s="224" t="s">
        <v>211</v>
      </c>
      <c r="AX8" s="1585" t="s">
        <v>212</v>
      </c>
      <c r="AY8" s="224" t="s">
        <v>211</v>
      </c>
      <c r="AZ8" s="241" t="s">
        <v>213</v>
      </c>
      <c r="BA8" s="242" t="s">
        <v>213</v>
      </c>
      <c r="BB8" s="242" t="s">
        <v>211</v>
      </c>
      <c r="BC8" s="1589" t="s">
        <v>214</v>
      </c>
      <c r="BD8" s="1589" t="s">
        <v>215</v>
      </c>
      <c r="BE8" s="1589"/>
      <c r="BF8" s="1589"/>
      <c r="BG8" s="1589"/>
      <c r="BH8" s="1589" t="s">
        <v>216</v>
      </c>
      <c r="BI8" s="1604" t="s">
        <v>217</v>
      </c>
      <c r="BJ8" s="1605" t="s">
        <v>218</v>
      </c>
      <c r="BK8" s="1606" t="s">
        <v>219</v>
      </c>
      <c r="BL8" s="1605" t="s">
        <v>220</v>
      </c>
      <c r="BM8" s="1589" t="s">
        <v>221</v>
      </c>
      <c r="BN8" s="1583" t="s">
        <v>222</v>
      </c>
      <c r="BO8" s="1608" t="s">
        <v>223</v>
      </c>
      <c r="BP8" s="244"/>
      <c r="BQ8" s="244"/>
      <c r="BR8" s="244"/>
      <c r="BS8" s="244"/>
      <c r="BT8" s="1609" t="s">
        <v>224</v>
      </c>
      <c r="BU8" s="244"/>
      <c r="BV8" s="1596" t="s">
        <v>225</v>
      </c>
      <c r="BW8" s="1596"/>
      <c r="BX8" s="1596"/>
      <c r="BY8" s="224" t="s">
        <v>226</v>
      </c>
      <c r="BZ8" s="244"/>
      <c r="CA8" s="244"/>
      <c r="CB8" s="244"/>
      <c r="CC8" s="244"/>
      <c r="CD8" s="244"/>
      <c r="CE8" s="244"/>
      <c r="CF8" s="243" t="s">
        <v>227</v>
      </c>
      <c r="CG8" s="1596" t="s">
        <v>228</v>
      </c>
      <c r="CH8" s="1596"/>
      <c r="CI8" s="1596"/>
      <c r="CJ8" s="1612" t="s">
        <v>229</v>
      </c>
      <c r="CK8" s="1608" t="s">
        <v>230</v>
      </c>
      <c r="CL8" s="1608"/>
      <c r="CM8" s="1608"/>
      <c r="CN8" s="1608" t="s">
        <v>231</v>
      </c>
      <c r="CO8" s="1608"/>
      <c r="CP8" s="1608"/>
      <c r="CQ8" s="1608" t="s">
        <v>232</v>
      </c>
      <c r="CR8" s="1608" t="s">
        <v>233</v>
      </c>
      <c r="CS8" s="1611" t="s">
        <v>234</v>
      </c>
      <c r="CT8" s="1613" t="s">
        <v>235</v>
      </c>
      <c r="CU8" s="1614" t="s">
        <v>236</v>
      </c>
      <c r="CV8" s="1615" t="s">
        <v>237</v>
      </c>
      <c r="CW8" s="1616"/>
      <c r="CX8" s="1616"/>
      <c r="CY8" s="1616"/>
      <c r="CZ8" s="1616"/>
      <c r="DA8" s="1616"/>
      <c r="DB8" s="1616"/>
      <c r="DC8" s="1616"/>
      <c r="DD8" s="1616"/>
      <c r="DE8" s="1617"/>
      <c r="DF8" s="245"/>
      <c r="DG8" s="245"/>
      <c r="DH8" s="245"/>
      <c r="DI8" s="1637" t="s">
        <v>238</v>
      </c>
      <c r="DJ8" s="1638"/>
      <c r="DK8" s="1638"/>
      <c r="DL8" s="1638"/>
      <c r="DM8" s="1638"/>
      <c r="DN8" s="1638"/>
      <c r="DO8" s="1638"/>
      <c r="DP8" s="1638"/>
      <c r="DQ8" s="1638"/>
      <c r="DR8" s="1638"/>
      <c r="DS8" s="1638"/>
      <c r="DT8" s="1639"/>
      <c r="DU8" s="1624" t="s">
        <v>239</v>
      </c>
      <c r="DV8" s="1625"/>
      <c r="DW8" s="1625"/>
      <c r="DX8" s="1625"/>
      <c r="DY8" s="1625"/>
      <c r="DZ8" s="1625"/>
      <c r="EA8" s="1625"/>
      <c r="EB8" s="1626"/>
      <c r="EC8" s="1587" t="s">
        <v>240</v>
      </c>
      <c r="ED8" s="1598"/>
      <c r="EE8" s="1598"/>
      <c r="EF8" s="1598"/>
      <c r="EG8" s="1588"/>
    </row>
    <row r="9" spans="1:140" s="224" customFormat="1" ht="67.900000000000006" customHeight="1">
      <c r="A9" s="1584"/>
      <c r="B9" s="1586"/>
      <c r="C9" s="224" t="s">
        <v>70</v>
      </c>
      <c r="D9" s="224" t="s">
        <v>71</v>
      </c>
      <c r="E9" s="1589"/>
      <c r="F9" s="1584"/>
      <c r="G9" s="1584"/>
      <c r="H9" s="224" t="s">
        <v>241</v>
      </c>
      <c r="I9" s="224" t="s">
        <v>242</v>
      </c>
      <c r="J9" s="224" t="s">
        <v>241</v>
      </c>
      <c r="K9" s="224" t="s">
        <v>242</v>
      </c>
      <c r="L9" s="224" t="s">
        <v>243</v>
      </c>
      <c r="M9" s="224" t="s">
        <v>244</v>
      </c>
      <c r="N9" s="225" t="s">
        <v>245</v>
      </c>
      <c r="O9" s="224" t="s">
        <v>246</v>
      </c>
      <c r="P9" s="224" t="s">
        <v>246</v>
      </c>
      <c r="Q9" s="1597"/>
      <c r="R9" s="246" t="s">
        <v>247</v>
      </c>
      <c r="S9" s="246" t="s">
        <v>248</v>
      </c>
      <c r="T9" s="246" t="s">
        <v>249</v>
      </c>
      <c r="U9" s="246" t="s">
        <v>247</v>
      </c>
      <c r="V9" s="246" t="s">
        <v>248</v>
      </c>
      <c r="W9" s="246" t="s">
        <v>249</v>
      </c>
      <c r="X9" s="246" t="s">
        <v>247</v>
      </c>
      <c r="Y9" s="246" t="s">
        <v>248</v>
      </c>
      <c r="Z9" s="246" t="s">
        <v>249</v>
      </c>
      <c r="AA9" s="224" t="s">
        <v>250</v>
      </c>
      <c r="AB9" s="247" t="s">
        <v>251</v>
      </c>
      <c r="AC9" s="224" t="s">
        <v>252</v>
      </c>
      <c r="AD9" s="224" t="s">
        <v>253</v>
      </c>
      <c r="AE9" s="224" t="s">
        <v>254</v>
      </c>
      <c r="AF9" s="224" t="s">
        <v>252</v>
      </c>
      <c r="AG9" s="224" t="s">
        <v>253</v>
      </c>
      <c r="AH9" s="224" t="s">
        <v>255</v>
      </c>
      <c r="AI9" s="224" t="s">
        <v>243</v>
      </c>
      <c r="AJ9" s="248"/>
      <c r="AK9" s="244" t="s">
        <v>256</v>
      </c>
      <c r="AL9" s="237" t="s">
        <v>257</v>
      </c>
      <c r="AM9" s="224" t="s">
        <v>258</v>
      </c>
      <c r="AN9" s="224" t="s">
        <v>259</v>
      </c>
      <c r="AO9" s="224" t="s">
        <v>260</v>
      </c>
      <c r="AP9" s="224" t="s">
        <v>261</v>
      </c>
      <c r="AQ9" s="249" t="s">
        <v>262</v>
      </c>
      <c r="AR9" s="250" t="s">
        <v>260</v>
      </c>
      <c r="AS9" s="224" t="s">
        <v>261</v>
      </c>
      <c r="AT9" s="251" t="s">
        <v>263</v>
      </c>
      <c r="AU9" s="1603"/>
      <c r="AV9" s="252" t="s">
        <v>264</v>
      </c>
      <c r="AW9" s="224" t="s">
        <v>265</v>
      </c>
      <c r="AX9" s="1586"/>
      <c r="AY9" s="224" t="s">
        <v>266</v>
      </c>
      <c r="AZ9" s="242" t="s">
        <v>267</v>
      </c>
      <c r="BA9" s="242" t="s">
        <v>268</v>
      </c>
      <c r="BB9" s="241" t="s">
        <v>269</v>
      </c>
      <c r="BC9" s="1589"/>
      <c r="BD9" s="224" t="s">
        <v>270</v>
      </c>
      <c r="BE9" s="224" t="s">
        <v>271</v>
      </c>
      <c r="BF9" s="238" t="s">
        <v>272</v>
      </c>
      <c r="BG9" s="238" t="s">
        <v>273</v>
      </c>
      <c r="BH9" s="1589"/>
      <c r="BI9" s="1604"/>
      <c r="BJ9" s="1605"/>
      <c r="BK9" s="1607"/>
      <c r="BL9" s="1605"/>
      <c r="BM9" s="1589"/>
      <c r="BN9" s="1584"/>
      <c r="BO9" s="1608"/>
      <c r="BP9" s="244"/>
      <c r="BQ9" s="244"/>
      <c r="BR9" s="244"/>
      <c r="BS9" s="244" t="s">
        <v>274</v>
      </c>
      <c r="BT9" s="1610"/>
      <c r="BU9" s="244" t="s">
        <v>274</v>
      </c>
      <c r="BV9" s="1596"/>
      <c r="BW9" s="1596"/>
      <c r="BX9" s="1596"/>
      <c r="BY9" s="224" t="s">
        <v>13</v>
      </c>
      <c r="BZ9" s="244" t="s">
        <v>275</v>
      </c>
      <c r="CA9" s="244"/>
      <c r="CB9" s="244"/>
      <c r="CC9" s="244" t="s">
        <v>276</v>
      </c>
      <c r="CD9" s="244" t="s">
        <v>220</v>
      </c>
      <c r="CE9" s="244" t="s">
        <v>277</v>
      </c>
      <c r="CF9" s="244"/>
      <c r="CG9" s="1596"/>
      <c r="CH9" s="1596"/>
      <c r="CI9" s="1596"/>
      <c r="CJ9" s="1612"/>
      <c r="CK9" s="1608"/>
      <c r="CL9" s="1608"/>
      <c r="CM9" s="1608"/>
      <c r="CN9" s="1608"/>
      <c r="CO9" s="1608"/>
      <c r="CP9" s="1608"/>
      <c r="CQ9" s="1608"/>
      <c r="CR9" s="1608"/>
      <c r="CS9" s="1611"/>
      <c r="CT9" s="1613"/>
      <c r="CU9" s="1614"/>
      <c r="CV9" s="1618"/>
      <c r="CW9" s="1619"/>
      <c r="CX9" s="1619"/>
      <c r="CY9" s="1619"/>
      <c r="CZ9" s="1619"/>
      <c r="DA9" s="1619"/>
      <c r="DB9" s="1619"/>
      <c r="DC9" s="1619"/>
      <c r="DD9" s="1619"/>
      <c r="DE9" s="1620"/>
      <c r="DF9" s="253"/>
      <c r="DG9" s="253"/>
      <c r="DH9" s="1633" t="s">
        <v>278</v>
      </c>
      <c r="DI9" s="1597" t="s">
        <v>279</v>
      </c>
      <c r="DJ9" s="1634" t="s">
        <v>280</v>
      </c>
      <c r="DK9" s="1612" t="s">
        <v>281</v>
      </c>
      <c r="DL9" s="1636" t="s">
        <v>282</v>
      </c>
      <c r="DM9" s="1636" t="s">
        <v>283</v>
      </c>
      <c r="DN9" s="1636" t="s">
        <v>284</v>
      </c>
      <c r="DO9" s="1636" t="s">
        <v>285</v>
      </c>
      <c r="DP9" s="1636" t="s">
        <v>282</v>
      </c>
      <c r="DQ9" s="1636"/>
      <c r="DR9" s="1636"/>
      <c r="DS9" s="1640" t="s">
        <v>286</v>
      </c>
      <c r="DT9" s="1640"/>
      <c r="DU9" s="1627"/>
      <c r="DV9" s="1628"/>
      <c r="DW9" s="1628"/>
      <c r="DX9" s="1628"/>
      <c r="DY9" s="1628"/>
      <c r="DZ9" s="1628"/>
      <c r="EA9" s="1628"/>
      <c r="EB9" s="1629"/>
      <c r="EC9" s="653" t="s">
        <v>287</v>
      </c>
      <c r="ED9" s="653" t="s">
        <v>288</v>
      </c>
      <c r="EE9" s="653" t="s">
        <v>289</v>
      </c>
      <c r="EF9" s="653" t="s">
        <v>290</v>
      </c>
      <c r="EG9" s="653" t="s">
        <v>291</v>
      </c>
      <c r="EH9" s="224" t="s">
        <v>292</v>
      </c>
      <c r="EJ9" s="239" t="s">
        <v>293</v>
      </c>
    </row>
    <row r="10" spans="1:140" s="224" customFormat="1" ht="15.75" customHeight="1">
      <c r="E10" s="238" t="s">
        <v>294</v>
      </c>
      <c r="F10" s="238" t="s">
        <v>295</v>
      </c>
      <c r="G10" s="1100" t="s">
        <v>296</v>
      </c>
      <c r="H10" s="238" t="s">
        <v>297</v>
      </c>
      <c r="I10" s="238" t="s">
        <v>297</v>
      </c>
      <c r="J10" s="224" t="s">
        <v>298</v>
      </c>
      <c r="K10" s="224" t="s">
        <v>298</v>
      </c>
      <c r="M10" s="224" t="s">
        <v>299</v>
      </c>
      <c r="N10" s="225" t="s">
        <v>299</v>
      </c>
      <c r="O10" s="224" t="s">
        <v>300</v>
      </c>
      <c r="P10" s="238" t="s">
        <v>301</v>
      </c>
      <c r="Q10" s="1597"/>
      <c r="R10" s="224" t="s">
        <v>298</v>
      </c>
      <c r="S10" s="224" t="s">
        <v>298</v>
      </c>
      <c r="T10" s="224" t="s">
        <v>298</v>
      </c>
      <c r="U10" s="224" t="s">
        <v>298</v>
      </c>
      <c r="V10" s="224" t="s">
        <v>298</v>
      </c>
      <c r="W10" s="224" t="s">
        <v>298</v>
      </c>
      <c r="X10" s="224" t="s">
        <v>302</v>
      </c>
      <c r="Y10" s="224" t="s">
        <v>302</v>
      </c>
      <c r="Z10" s="224" t="s">
        <v>302</v>
      </c>
      <c r="AA10" s="224" t="s">
        <v>298</v>
      </c>
      <c r="AB10" s="247"/>
      <c r="AC10" s="224" t="s">
        <v>302</v>
      </c>
      <c r="AD10" s="238" t="s">
        <v>302</v>
      </c>
      <c r="AE10" s="224" t="s">
        <v>303</v>
      </c>
      <c r="AF10" s="224" t="s">
        <v>302</v>
      </c>
      <c r="AG10" s="238" t="s">
        <v>302</v>
      </c>
      <c r="AH10" s="224" t="s">
        <v>303</v>
      </c>
      <c r="AI10" s="224" t="s">
        <v>303</v>
      </c>
      <c r="AJ10" s="248"/>
      <c r="AK10" s="244" t="s">
        <v>304</v>
      </c>
      <c r="AL10" s="244" t="s">
        <v>304</v>
      </c>
      <c r="AM10" s="238" t="s">
        <v>305</v>
      </c>
      <c r="AN10" s="224" t="s">
        <v>298</v>
      </c>
      <c r="AO10" s="224" t="s">
        <v>298</v>
      </c>
      <c r="AP10" s="224" t="s">
        <v>298</v>
      </c>
      <c r="AQ10" s="249" t="s">
        <v>304</v>
      </c>
      <c r="AR10" s="250" t="s">
        <v>304</v>
      </c>
      <c r="AS10" s="224" t="s">
        <v>304</v>
      </c>
      <c r="AT10" s="224" t="s">
        <v>302</v>
      </c>
      <c r="AU10" s="224" t="s">
        <v>302</v>
      </c>
      <c r="AV10" s="252"/>
      <c r="AW10" s="224" t="s">
        <v>303</v>
      </c>
      <c r="AX10" s="224" t="s">
        <v>302</v>
      </c>
      <c r="AY10" s="224" t="s">
        <v>302</v>
      </c>
      <c r="AZ10" s="224" t="s">
        <v>302</v>
      </c>
      <c r="BA10" s="224" t="s">
        <v>302</v>
      </c>
      <c r="BB10" s="224" t="s">
        <v>302</v>
      </c>
      <c r="BC10" s="224" t="s">
        <v>302</v>
      </c>
      <c r="BD10" s="224" t="s">
        <v>298</v>
      </c>
      <c r="BE10" s="224" t="s">
        <v>298</v>
      </c>
      <c r="BF10" s="224" t="s">
        <v>298</v>
      </c>
      <c r="BG10" s="224" t="s">
        <v>298</v>
      </c>
      <c r="BH10" s="224" t="s">
        <v>298</v>
      </c>
      <c r="BI10" s="224" t="s">
        <v>302</v>
      </c>
      <c r="BK10" s="224" t="s">
        <v>299</v>
      </c>
      <c r="BN10" s="224" t="s">
        <v>299</v>
      </c>
      <c r="BO10" s="1608"/>
      <c r="BP10" s="244" t="s">
        <v>306</v>
      </c>
      <c r="BQ10" s="244" t="s">
        <v>307</v>
      </c>
      <c r="BR10" s="244" t="s">
        <v>308</v>
      </c>
      <c r="BS10" s="244" t="s">
        <v>220</v>
      </c>
      <c r="BT10" s="244" t="s">
        <v>309</v>
      </c>
      <c r="BU10" s="244" t="s">
        <v>221</v>
      </c>
      <c r="BV10" s="224" t="s">
        <v>306</v>
      </c>
      <c r="BW10" s="224" t="s">
        <v>307</v>
      </c>
      <c r="BX10" s="224" t="s">
        <v>308</v>
      </c>
      <c r="BY10" s="239" t="s">
        <v>310</v>
      </c>
      <c r="BZ10" s="244"/>
      <c r="CA10" s="244"/>
      <c r="CB10" s="244"/>
      <c r="CC10" s="244"/>
      <c r="CD10" s="244"/>
      <c r="CE10" s="244"/>
      <c r="CF10" s="244"/>
      <c r="CG10" s="224" t="s">
        <v>306</v>
      </c>
      <c r="CH10" s="224" t="s">
        <v>307</v>
      </c>
      <c r="CI10" s="224" t="s">
        <v>308</v>
      </c>
      <c r="CJ10" s="252" t="s">
        <v>311</v>
      </c>
      <c r="CK10" s="239" t="s">
        <v>306</v>
      </c>
      <c r="CL10" s="239" t="s">
        <v>307</v>
      </c>
      <c r="CM10" s="239" t="s">
        <v>308</v>
      </c>
      <c r="CN10" s="224" t="s">
        <v>306</v>
      </c>
      <c r="CO10" s="224" t="s">
        <v>307</v>
      </c>
      <c r="CP10" s="224" t="s">
        <v>308</v>
      </c>
      <c r="CR10" s="224" t="s">
        <v>312</v>
      </c>
      <c r="CS10" s="224" t="s">
        <v>312</v>
      </c>
      <c r="CT10" s="1613"/>
      <c r="CU10" s="252" t="s">
        <v>311</v>
      </c>
      <c r="CV10" s="1621"/>
      <c r="CW10" s="1622"/>
      <c r="CX10" s="1622"/>
      <c r="CY10" s="1622"/>
      <c r="CZ10" s="1622"/>
      <c r="DA10" s="1622"/>
      <c r="DB10" s="1622"/>
      <c r="DC10" s="1622"/>
      <c r="DD10" s="1622"/>
      <c r="DE10" s="1623"/>
      <c r="DF10" s="255"/>
      <c r="DG10" s="255"/>
      <c r="DH10" s="1584"/>
      <c r="DI10" s="1597"/>
      <c r="DJ10" s="1635"/>
      <c r="DK10" s="1612"/>
      <c r="DL10" s="1636"/>
      <c r="DM10" s="1636"/>
      <c r="DN10" s="1636"/>
      <c r="DO10" s="1636"/>
      <c r="DP10" s="254" t="s">
        <v>252</v>
      </c>
      <c r="DQ10" s="254" t="s">
        <v>253</v>
      </c>
      <c r="DR10" s="254" t="s">
        <v>254</v>
      </c>
      <c r="DS10" s="254" t="s">
        <v>313</v>
      </c>
      <c r="DT10" s="254" t="s">
        <v>314</v>
      </c>
      <c r="DU10" s="1630"/>
      <c r="DV10" s="1631"/>
      <c r="DW10" s="1631"/>
      <c r="DX10" s="1631"/>
      <c r="DY10" s="1631"/>
      <c r="DZ10" s="1631"/>
      <c r="EA10" s="1631"/>
      <c r="EB10" s="1632"/>
      <c r="ED10" s="224">
        <v>1</v>
      </c>
      <c r="EE10" s="224">
        <v>0.5</v>
      </c>
      <c r="EF10" s="224">
        <v>0.25</v>
      </c>
    </row>
    <row r="11" spans="1:140">
      <c r="C11" s="1594"/>
      <c r="D11" s="1594"/>
      <c r="F11" s="258"/>
      <c r="G11" s="257"/>
      <c r="H11" s="259"/>
      <c r="I11" s="259"/>
      <c r="J11" s="259"/>
      <c r="K11" s="259"/>
      <c r="L11" s="1466">
        <v>1</v>
      </c>
      <c r="M11" s="258"/>
      <c r="O11" s="260"/>
      <c r="P11" s="260"/>
      <c r="Q11" s="261"/>
      <c r="R11" s="260"/>
      <c r="S11" s="260"/>
      <c r="T11" s="260"/>
      <c r="U11" s="262">
        <v>1</v>
      </c>
      <c r="V11" s="262">
        <v>1</v>
      </c>
      <c r="W11" s="262">
        <v>1</v>
      </c>
      <c r="X11" s="262">
        <v>0.1</v>
      </c>
      <c r="Y11" s="262">
        <v>0.12</v>
      </c>
      <c r="Z11" s="262">
        <v>0.3</v>
      </c>
      <c r="AB11" s="263">
        <v>10</v>
      </c>
      <c r="AN11" s="262">
        <v>0</v>
      </c>
      <c r="AO11" s="262">
        <v>0</v>
      </c>
      <c r="AP11" s="262">
        <v>1</v>
      </c>
      <c r="AT11" s="262"/>
      <c r="AU11" s="266">
        <v>0.4</v>
      </c>
      <c r="AV11" s="1413">
        <v>30</v>
      </c>
      <c r="BV11" s="256" t="s">
        <v>312</v>
      </c>
      <c r="BW11" s="256" t="s">
        <v>312</v>
      </c>
      <c r="BX11" s="256" t="s">
        <v>312</v>
      </c>
      <c r="CV11" s="269" t="s">
        <v>315</v>
      </c>
      <c r="CW11" s="269" t="s">
        <v>316</v>
      </c>
      <c r="CX11" s="269" t="s">
        <v>317</v>
      </c>
      <c r="CY11" s="269" t="s">
        <v>318</v>
      </c>
      <c r="CZ11" s="269" t="s">
        <v>319</v>
      </c>
      <c r="DA11" s="269" t="s">
        <v>320</v>
      </c>
      <c r="DB11" s="269" t="s">
        <v>321</v>
      </c>
      <c r="DC11" s="269" t="s">
        <v>322</v>
      </c>
      <c r="DD11" s="269" t="s">
        <v>323</v>
      </c>
      <c r="DE11" s="269" t="s">
        <v>324</v>
      </c>
      <c r="DF11" s="269" t="s">
        <v>325</v>
      </c>
      <c r="DG11" s="269" t="s">
        <v>326</v>
      </c>
      <c r="DH11" s="269" t="s">
        <v>327</v>
      </c>
      <c r="DI11" s="263"/>
      <c r="DJ11" s="270"/>
      <c r="DK11" s="271"/>
      <c r="DL11" s="270"/>
      <c r="DM11" s="270" t="s">
        <v>328</v>
      </c>
      <c r="DN11" s="270"/>
      <c r="DO11" s="270"/>
      <c r="DP11" s="254" t="s">
        <v>302</v>
      </c>
      <c r="DQ11" s="272" t="s">
        <v>302</v>
      </c>
      <c r="DR11" s="254" t="s">
        <v>303</v>
      </c>
      <c r="DS11" s="254" t="s">
        <v>304</v>
      </c>
      <c r="DT11" s="254" t="s">
        <v>304</v>
      </c>
      <c r="DU11" s="1099">
        <v>182</v>
      </c>
      <c r="DV11" s="1099">
        <v>227</v>
      </c>
      <c r="DW11" s="1099">
        <v>284</v>
      </c>
      <c r="DX11" s="1099">
        <v>327</v>
      </c>
      <c r="DY11" s="1099">
        <v>362</v>
      </c>
      <c r="DZ11" s="1099">
        <v>407</v>
      </c>
      <c r="EA11" s="1099">
        <v>452</v>
      </c>
      <c r="EB11" s="1099">
        <v>595.12</v>
      </c>
    </row>
    <row r="12" spans="1:140">
      <c r="C12" s="1595" t="s">
        <v>329</v>
      </c>
      <c r="D12" s="1595"/>
      <c r="F12" s="258"/>
      <c r="G12" s="257"/>
      <c r="H12" s="259"/>
      <c r="I12" s="259"/>
      <c r="J12" s="259"/>
      <c r="K12" s="259"/>
      <c r="L12" s="259"/>
      <c r="M12" s="258"/>
      <c r="O12" s="260"/>
      <c r="P12" s="260"/>
      <c r="Q12" s="261"/>
      <c r="R12" s="260"/>
      <c r="S12" s="260"/>
      <c r="T12" s="260"/>
      <c r="U12" s="262"/>
      <c r="V12" s="262"/>
      <c r="W12" s="262"/>
      <c r="X12" s="262"/>
      <c r="Y12" s="262"/>
      <c r="Z12" s="262"/>
      <c r="AB12" s="263"/>
      <c r="AN12" s="262"/>
      <c r="AO12" s="262"/>
      <c r="AP12" s="262"/>
      <c r="AT12" s="262"/>
      <c r="AV12" s="267"/>
      <c r="BI12" s="223"/>
      <c r="CU12" s="274"/>
      <c r="CV12" s="269"/>
      <c r="CW12" s="269"/>
      <c r="CX12" s="269"/>
      <c r="CY12" s="269"/>
      <c r="CZ12" s="269"/>
      <c r="DJ12" s="270"/>
      <c r="DL12" s="270"/>
      <c r="DM12" s="270"/>
      <c r="DN12" s="270"/>
      <c r="DO12" s="270"/>
      <c r="DP12" s="270"/>
      <c r="DQ12" s="270"/>
      <c r="DR12" s="270"/>
      <c r="DS12" s="270"/>
      <c r="DT12" s="270"/>
      <c r="DU12" s="270"/>
      <c r="DV12" s="270"/>
      <c r="DW12" s="270"/>
      <c r="DX12" s="270"/>
      <c r="DY12" s="270"/>
      <c r="DZ12" s="270"/>
      <c r="EA12" s="270"/>
      <c r="EB12" s="270"/>
    </row>
    <row r="13" spans="1:140" ht="10.5" hidden="1" customHeight="1">
      <c r="A13" s="1648"/>
      <c r="B13" s="1649"/>
      <c r="C13" s="1649"/>
      <c r="D13" s="1649"/>
      <c r="E13" s="1649"/>
      <c r="F13" s="1649"/>
      <c r="G13" s="1649"/>
      <c r="H13" s="1649"/>
      <c r="I13" s="1649"/>
      <c r="J13" s="1649"/>
      <c r="K13" s="1649"/>
      <c r="L13" s="1649"/>
      <c r="M13" s="1649"/>
      <c r="N13" s="1649"/>
      <c r="O13" s="1649"/>
      <c r="P13" s="1649"/>
      <c r="Q13" s="1649"/>
      <c r="R13" s="1649"/>
      <c r="S13" s="1649"/>
      <c r="T13" s="1649"/>
      <c r="U13" s="1649"/>
      <c r="V13" s="1649"/>
      <c r="W13" s="1649"/>
      <c r="X13" s="1649"/>
      <c r="Y13" s="1649"/>
      <c r="Z13" s="1649"/>
      <c r="AA13" s="1649"/>
      <c r="AB13" s="1649"/>
      <c r="AC13" s="1649"/>
      <c r="AD13" s="1649"/>
      <c r="AE13" s="1649"/>
      <c r="AF13" s="1649"/>
      <c r="AG13" s="1649"/>
      <c r="AH13" s="1649"/>
      <c r="AI13" s="1649"/>
      <c r="AJ13" s="1649"/>
      <c r="AK13" s="1649"/>
      <c r="AL13" s="1649"/>
      <c r="AM13" s="1649"/>
      <c r="AN13" s="1649"/>
      <c r="AO13" s="1649"/>
      <c r="AP13" s="1649"/>
      <c r="AQ13" s="1649"/>
      <c r="AR13" s="1649"/>
      <c r="AS13" s="1649"/>
      <c r="AT13" s="1649"/>
      <c r="AU13" s="1649"/>
      <c r="AV13" s="1649"/>
      <c r="AW13" s="1649"/>
      <c r="AX13" s="1649"/>
      <c r="AY13" s="1649"/>
      <c r="AZ13" s="1649"/>
      <c r="BA13" s="1649"/>
      <c r="BB13" s="1649"/>
      <c r="BC13" s="1649"/>
      <c r="BD13" s="1649"/>
      <c r="BE13" s="1649"/>
      <c r="BF13" s="1649"/>
      <c r="BG13" s="1649"/>
      <c r="BH13" s="1649"/>
      <c r="BI13" s="1649"/>
      <c r="BJ13" s="1649"/>
      <c r="BK13" s="1649"/>
      <c r="BL13" s="1649"/>
      <c r="BM13" s="1649"/>
      <c r="BN13" s="1649"/>
      <c r="BO13" s="1649"/>
      <c r="BP13" s="1649"/>
      <c r="BQ13" s="1649"/>
      <c r="BR13" s="1649"/>
      <c r="BS13" s="1649"/>
      <c r="BT13" s="1649"/>
      <c r="BU13" s="1649"/>
      <c r="BV13" s="1649"/>
      <c r="BW13" s="1649"/>
      <c r="BX13" s="1649"/>
      <c r="BY13" s="1649"/>
      <c r="BZ13" s="1649"/>
      <c r="CA13" s="1649"/>
      <c r="CB13" s="1649"/>
      <c r="CC13" s="1649"/>
      <c r="CD13" s="1649"/>
      <c r="CE13" s="1649"/>
      <c r="CF13" s="1649"/>
      <c r="CG13" s="1649"/>
      <c r="CH13" s="1649"/>
      <c r="CI13" s="1649"/>
      <c r="CJ13" s="1649"/>
      <c r="CK13" s="1649"/>
      <c r="CL13" s="1649"/>
      <c r="CM13" s="1649"/>
      <c r="CN13" s="1649"/>
      <c r="CO13" s="1649"/>
      <c r="CP13" s="1649"/>
      <c r="CQ13" s="1649"/>
      <c r="CR13" s="1649"/>
      <c r="CS13" s="1649"/>
      <c r="CT13" s="1649"/>
      <c r="CU13" s="1649"/>
      <c r="CV13" s="1649"/>
      <c r="CW13" s="1649"/>
      <c r="CX13" s="1649"/>
      <c r="CY13" s="1649"/>
      <c r="CZ13" s="1649"/>
      <c r="DA13" s="1649"/>
      <c r="DB13" s="1649"/>
      <c r="DC13" s="1649"/>
      <c r="DD13" s="1649"/>
      <c r="DE13" s="1649"/>
      <c r="DF13" s="1649"/>
      <c r="DG13" s="1649"/>
      <c r="DH13" s="1649"/>
      <c r="DI13" s="1649"/>
      <c r="DJ13" s="1649"/>
      <c r="DK13" s="1649"/>
      <c r="DL13" s="1649"/>
      <c r="DM13" s="1649"/>
      <c r="DN13" s="1649"/>
      <c r="DO13" s="1649"/>
      <c r="DP13" s="1649"/>
      <c r="DQ13" s="1649"/>
      <c r="DR13" s="1649"/>
      <c r="DS13" s="1649"/>
      <c r="DT13" s="1649"/>
      <c r="DU13" s="1649"/>
      <c r="DV13" s="1649"/>
      <c r="DW13" s="1649"/>
      <c r="DX13" s="1649"/>
      <c r="DY13" s="1649"/>
      <c r="DZ13" s="1649"/>
      <c r="EA13" s="1649"/>
      <c r="EB13" s="1649"/>
      <c r="EC13" s="1649"/>
      <c r="ED13" s="1649"/>
      <c r="EE13" s="1649"/>
      <c r="EF13" s="1649"/>
      <c r="EG13" s="1649"/>
      <c r="EH13" s="1650"/>
    </row>
    <row r="14" spans="1:140" ht="5.25" hidden="1" customHeight="1">
      <c r="A14" s="1651"/>
      <c r="B14" s="1652"/>
      <c r="C14" s="1652"/>
      <c r="D14" s="1652"/>
      <c r="E14" s="1652"/>
      <c r="F14" s="1652"/>
      <c r="G14" s="1652"/>
      <c r="H14" s="1652"/>
      <c r="I14" s="1652"/>
      <c r="J14" s="1652"/>
      <c r="K14" s="1652"/>
      <c r="L14" s="1652"/>
      <c r="M14" s="1652"/>
      <c r="N14" s="1652"/>
      <c r="O14" s="1652"/>
      <c r="P14" s="1652"/>
      <c r="Q14" s="1652"/>
      <c r="R14" s="1652"/>
      <c r="S14" s="1652"/>
      <c r="T14" s="1652"/>
      <c r="U14" s="1652"/>
      <c r="V14" s="1652"/>
      <c r="W14" s="1652"/>
      <c r="X14" s="1652"/>
      <c r="Y14" s="1652"/>
      <c r="Z14" s="1652"/>
      <c r="AA14" s="1652"/>
      <c r="AB14" s="1652"/>
      <c r="AC14" s="1652"/>
      <c r="AD14" s="1652"/>
      <c r="AE14" s="1652"/>
      <c r="AF14" s="1652"/>
      <c r="AG14" s="1652"/>
      <c r="AH14" s="1652"/>
      <c r="AI14" s="1652"/>
      <c r="AJ14" s="1652"/>
      <c r="AK14" s="1652"/>
      <c r="AL14" s="1652"/>
      <c r="AM14" s="1652"/>
      <c r="AN14" s="1652"/>
      <c r="AO14" s="1652"/>
      <c r="AP14" s="1652"/>
      <c r="AQ14" s="1652"/>
      <c r="AR14" s="1652"/>
      <c r="AS14" s="1652"/>
      <c r="AT14" s="1652"/>
      <c r="AU14" s="1652"/>
      <c r="AV14" s="1652"/>
      <c r="AW14" s="1652"/>
      <c r="AX14" s="1652"/>
      <c r="AY14" s="1652"/>
      <c r="AZ14" s="1652"/>
      <c r="BA14" s="1652"/>
      <c r="BB14" s="1652"/>
      <c r="BC14" s="1652"/>
      <c r="BD14" s="1652"/>
      <c r="BE14" s="1652"/>
      <c r="BF14" s="1652"/>
      <c r="BG14" s="1652"/>
      <c r="BH14" s="1652"/>
      <c r="BI14" s="1652"/>
      <c r="BJ14" s="1652"/>
      <c r="BK14" s="1652"/>
      <c r="BL14" s="1652"/>
      <c r="BM14" s="1652"/>
      <c r="BN14" s="1652"/>
      <c r="BO14" s="1652"/>
      <c r="BP14" s="1652"/>
      <c r="BQ14" s="1652"/>
      <c r="BR14" s="1652"/>
      <c r="BS14" s="1652"/>
      <c r="BT14" s="1652"/>
      <c r="BU14" s="1652"/>
      <c r="BV14" s="1652"/>
      <c r="BW14" s="1652"/>
      <c r="BX14" s="1652"/>
      <c r="BY14" s="1652"/>
      <c r="BZ14" s="1652"/>
      <c r="CA14" s="1652"/>
      <c r="CB14" s="1652"/>
      <c r="CC14" s="1652"/>
      <c r="CD14" s="1652"/>
      <c r="CE14" s="1652"/>
      <c r="CF14" s="1652"/>
      <c r="CG14" s="1652"/>
      <c r="CH14" s="1652"/>
      <c r="CI14" s="1652"/>
      <c r="CJ14" s="1652"/>
      <c r="CK14" s="1652"/>
      <c r="CL14" s="1652"/>
      <c r="CM14" s="1652"/>
      <c r="CN14" s="1652"/>
      <c r="CO14" s="1652"/>
      <c r="CP14" s="1652"/>
      <c r="CQ14" s="1652"/>
      <c r="CR14" s="1652"/>
      <c r="CS14" s="1652"/>
      <c r="CT14" s="1652"/>
      <c r="CU14" s="1652"/>
      <c r="CV14" s="1652"/>
      <c r="CW14" s="1652"/>
      <c r="CX14" s="1652"/>
      <c r="CY14" s="1652"/>
      <c r="CZ14" s="1652"/>
      <c r="DA14" s="1652"/>
      <c r="DB14" s="1652"/>
      <c r="DC14" s="1652"/>
      <c r="DD14" s="1652"/>
      <c r="DE14" s="1652"/>
      <c r="DF14" s="1652"/>
      <c r="DG14" s="1652"/>
      <c r="DH14" s="1652"/>
      <c r="DI14" s="1652"/>
      <c r="DJ14" s="1652"/>
      <c r="DK14" s="1652"/>
      <c r="DL14" s="1652"/>
      <c r="DM14" s="1652"/>
      <c r="DN14" s="1652"/>
      <c r="DO14" s="1652"/>
      <c r="DP14" s="1652"/>
      <c r="DQ14" s="1652"/>
      <c r="DR14" s="1652"/>
      <c r="DS14" s="1652"/>
      <c r="DT14" s="1652"/>
      <c r="DU14" s="1652"/>
      <c r="DV14" s="1652"/>
      <c r="DW14" s="1652"/>
      <c r="DX14" s="1652"/>
      <c r="DY14" s="1652"/>
      <c r="DZ14" s="1652"/>
      <c r="EA14" s="1652"/>
      <c r="EB14" s="1652"/>
      <c r="EC14" s="1652"/>
      <c r="ED14" s="1652"/>
      <c r="EE14" s="1652"/>
      <c r="EF14" s="1652"/>
      <c r="EG14" s="1652"/>
      <c r="EH14" s="1653"/>
    </row>
    <row r="15" spans="1:140" ht="10.5" hidden="1" customHeight="1">
      <c r="A15" s="1651"/>
      <c r="B15" s="1652"/>
      <c r="C15" s="1652"/>
      <c r="D15" s="1652"/>
      <c r="E15" s="1652"/>
      <c r="F15" s="1652"/>
      <c r="G15" s="1652"/>
      <c r="H15" s="1652"/>
      <c r="I15" s="1652"/>
      <c r="J15" s="1652"/>
      <c r="K15" s="1652"/>
      <c r="L15" s="1652"/>
      <c r="M15" s="1652"/>
      <c r="N15" s="1652"/>
      <c r="O15" s="1652"/>
      <c r="P15" s="1652"/>
      <c r="Q15" s="1652"/>
      <c r="R15" s="1652"/>
      <c r="S15" s="1652"/>
      <c r="T15" s="1652"/>
      <c r="U15" s="1652"/>
      <c r="V15" s="1652"/>
      <c r="W15" s="1652"/>
      <c r="X15" s="1652"/>
      <c r="Y15" s="1652"/>
      <c r="Z15" s="1652"/>
      <c r="AA15" s="1652"/>
      <c r="AB15" s="1652"/>
      <c r="AC15" s="1652"/>
      <c r="AD15" s="1652"/>
      <c r="AE15" s="1652"/>
      <c r="AF15" s="1652"/>
      <c r="AG15" s="1652"/>
      <c r="AH15" s="1652"/>
      <c r="AI15" s="1652"/>
      <c r="AJ15" s="1652"/>
      <c r="AK15" s="1652"/>
      <c r="AL15" s="1652"/>
      <c r="AM15" s="1652"/>
      <c r="AN15" s="1652"/>
      <c r="AO15" s="1652"/>
      <c r="AP15" s="1652"/>
      <c r="AQ15" s="1652"/>
      <c r="AR15" s="1652"/>
      <c r="AS15" s="1652"/>
      <c r="AT15" s="1652"/>
      <c r="AU15" s="1652"/>
      <c r="AV15" s="1652"/>
      <c r="AW15" s="1652"/>
      <c r="AX15" s="1652"/>
      <c r="AY15" s="1652"/>
      <c r="AZ15" s="1652"/>
      <c r="BA15" s="1652"/>
      <c r="BB15" s="1652"/>
      <c r="BC15" s="1652"/>
      <c r="BD15" s="1652"/>
      <c r="BE15" s="1652"/>
      <c r="BF15" s="1652"/>
      <c r="BG15" s="1652"/>
      <c r="BH15" s="1652"/>
      <c r="BI15" s="1652"/>
      <c r="BJ15" s="1652"/>
      <c r="BK15" s="1652"/>
      <c r="BL15" s="1652"/>
      <c r="BM15" s="1652"/>
      <c r="BN15" s="1652"/>
      <c r="BO15" s="1652"/>
      <c r="BP15" s="1652"/>
      <c r="BQ15" s="1652"/>
      <c r="BR15" s="1652"/>
      <c r="BS15" s="1652"/>
      <c r="BT15" s="1652"/>
      <c r="BU15" s="1652"/>
      <c r="BV15" s="1652"/>
      <c r="BW15" s="1652"/>
      <c r="BX15" s="1652"/>
      <c r="BY15" s="1652"/>
      <c r="BZ15" s="1652"/>
      <c r="CA15" s="1652"/>
      <c r="CB15" s="1652"/>
      <c r="CC15" s="1652"/>
      <c r="CD15" s="1652"/>
      <c r="CE15" s="1652"/>
      <c r="CF15" s="1652"/>
      <c r="CG15" s="1652"/>
      <c r="CH15" s="1652"/>
      <c r="CI15" s="1652"/>
      <c r="CJ15" s="1652"/>
      <c r="CK15" s="1652"/>
      <c r="CL15" s="1652"/>
      <c r="CM15" s="1652"/>
      <c r="CN15" s="1652"/>
      <c r="CO15" s="1652"/>
      <c r="CP15" s="1652"/>
      <c r="CQ15" s="1652"/>
      <c r="CR15" s="1652"/>
      <c r="CS15" s="1652"/>
      <c r="CT15" s="1652"/>
      <c r="CU15" s="1652"/>
      <c r="CV15" s="1652"/>
      <c r="CW15" s="1652"/>
      <c r="CX15" s="1652"/>
      <c r="CY15" s="1652"/>
      <c r="CZ15" s="1652"/>
      <c r="DA15" s="1652"/>
      <c r="DB15" s="1652"/>
      <c r="DC15" s="1652"/>
      <c r="DD15" s="1652"/>
      <c r="DE15" s="1652"/>
      <c r="DF15" s="1652"/>
      <c r="DG15" s="1652"/>
      <c r="DH15" s="1652"/>
      <c r="DI15" s="1652"/>
      <c r="DJ15" s="1652"/>
      <c r="DK15" s="1652"/>
      <c r="DL15" s="1652"/>
      <c r="DM15" s="1652"/>
      <c r="DN15" s="1652"/>
      <c r="DO15" s="1652"/>
      <c r="DP15" s="1652"/>
      <c r="DQ15" s="1652"/>
      <c r="DR15" s="1652"/>
      <c r="DS15" s="1652"/>
      <c r="DT15" s="1652"/>
      <c r="DU15" s="1652"/>
      <c r="DV15" s="1652"/>
      <c r="DW15" s="1652"/>
      <c r="DX15" s="1652"/>
      <c r="DY15" s="1652"/>
      <c r="DZ15" s="1652"/>
      <c r="EA15" s="1652"/>
      <c r="EB15" s="1652"/>
      <c r="EC15" s="1652"/>
      <c r="ED15" s="1652"/>
      <c r="EE15" s="1652"/>
      <c r="EF15" s="1652"/>
      <c r="EG15" s="1652"/>
      <c r="EH15" s="1653"/>
    </row>
    <row r="16" spans="1:140" ht="10.5" hidden="1" customHeight="1">
      <c r="A16" s="1651"/>
      <c r="B16" s="1652"/>
      <c r="C16" s="1652"/>
      <c r="D16" s="1652"/>
      <c r="E16" s="1652"/>
      <c r="F16" s="1652"/>
      <c r="G16" s="1652"/>
      <c r="H16" s="1652"/>
      <c r="I16" s="1652"/>
      <c r="J16" s="1652"/>
      <c r="K16" s="1652"/>
      <c r="L16" s="1652"/>
      <c r="M16" s="1652"/>
      <c r="N16" s="1652"/>
      <c r="O16" s="1652"/>
      <c r="P16" s="1652"/>
      <c r="Q16" s="1652"/>
      <c r="R16" s="1652"/>
      <c r="S16" s="1652"/>
      <c r="T16" s="1652"/>
      <c r="U16" s="1652"/>
      <c r="V16" s="1652"/>
      <c r="W16" s="1652"/>
      <c r="X16" s="1652"/>
      <c r="Y16" s="1652"/>
      <c r="Z16" s="1652"/>
      <c r="AA16" s="1652"/>
      <c r="AB16" s="1652"/>
      <c r="AC16" s="1652"/>
      <c r="AD16" s="1652"/>
      <c r="AE16" s="1652"/>
      <c r="AF16" s="1652"/>
      <c r="AG16" s="1652"/>
      <c r="AH16" s="1652"/>
      <c r="AI16" s="1652"/>
      <c r="AJ16" s="1652"/>
      <c r="AK16" s="1652"/>
      <c r="AL16" s="1652"/>
      <c r="AM16" s="1652"/>
      <c r="AN16" s="1652"/>
      <c r="AO16" s="1652"/>
      <c r="AP16" s="1652"/>
      <c r="AQ16" s="1652"/>
      <c r="AR16" s="1652"/>
      <c r="AS16" s="1652"/>
      <c r="AT16" s="1652"/>
      <c r="AU16" s="1652"/>
      <c r="AV16" s="1652"/>
      <c r="AW16" s="1652"/>
      <c r="AX16" s="1652"/>
      <c r="AY16" s="1652"/>
      <c r="AZ16" s="1652"/>
      <c r="BA16" s="1652"/>
      <c r="BB16" s="1652"/>
      <c r="BC16" s="1652"/>
      <c r="BD16" s="1652"/>
      <c r="BE16" s="1652"/>
      <c r="BF16" s="1652"/>
      <c r="BG16" s="1652"/>
      <c r="BH16" s="1652"/>
      <c r="BI16" s="1652"/>
      <c r="BJ16" s="1652"/>
      <c r="BK16" s="1652"/>
      <c r="BL16" s="1652"/>
      <c r="BM16" s="1652"/>
      <c r="BN16" s="1652"/>
      <c r="BO16" s="1652"/>
      <c r="BP16" s="1652"/>
      <c r="BQ16" s="1652"/>
      <c r="BR16" s="1652"/>
      <c r="BS16" s="1652"/>
      <c r="BT16" s="1652"/>
      <c r="BU16" s="1652"/>
      <c r="BV16" s="1652"/>
      <c r="BW16" s="1652"/>
      <c r="BX16" s="1652"/>
      <c r="BY16" s="1652"/>
      <c r="BZ16" s="1652"/>
      <c r="CA16" s="1652"/>
      <c r="CB16" s="1652"/>
      <c r="CC16" s="1652"/>
      <c r="CD16" s="1652"/>
      <c r="CE16" s="1652"/>
      <c r="CF16" s="1652"/>
      <c r="CG16" s="1652"/>
      <c r="CH16" s="1652"/>
      <c r="CI16" s="1652"/>
      <c r="CJ16" s="1652"/>
      <c r="CK16" s="1652"/>
      <c r="CL16" s="1652"/>
      <c r="CM16" s="1652"/>
      <c r="CN16" s="1652"/>
      <c r="CO16" s="1652"/>
      <c r="CP16" s="1652"/>
      <c r="CQ16" s="1652"/>
      <c r="CR16" s="1652"/>
      <c r="CS16" s="1652"/>
      <c r="CT16" s="1652"/>
      <c r="CU16" s="1652"/>
      <c r="CV16" s="1652"/>
      <c r="CW16" s="1652"/>
      <c r="CX16" s="1652"/>
      <c r="CY16" s="1652"/>
      <c r="CZ16" s="1652"/>
      <c r="DA16" s="1652"/>
      <c r="DB16" s="1652"/>
      <c r="DC16" s="1652"/>
      <c r="DD16" s="1652"/>
      <c r="DE16" s="1652"/>
      <c r="DF16" s="1652"/>
      <c r="DG16" s="1652"/>
      <c r="DH16" s="1652"/>
      <c r="DI16" s="1652"/>
      <c r="DJ16" s="1652"/>
      <c r="DK16" s="1652"/>
      <c r="DL16" s="1652"/>
      <c r="DM16" s="1652"/>
      <c r="DN16" s="1652"/>
      <c r="DO16" s="1652"/>
      <c r="DP16" s="1652"/>
      <c r="DQ16" s="1652"/>
      <c r="DR16" s="1652"/>
      <c r="DS16" s="1652"/>
      <c r="DT16" s="1652"/>
      <c r="DU16" s="1652"/>
      <c r="DV16" s="1652"/>
      <c r="DW16" s="1652"/>
      <c r="DX16" s="1652"/>
      <c r="DY16" s="1652"/>
      <c r="DZ16" s="1652"/>
      <c r="EA16" s="1652"/>
      <c r="EB16" s="1652"/>
      <c r="EC16" s="1652"/>
      <c r="ED16" s="1652"/>
      <c r="EE16" s="1652"/>
      <c r="EF16" s="1652"/>
      <c r="EG16" s="1652"/>
      <c r="EH16" s="1653"/>
    </row>
    <row r="17" spans="1:177" ht="10.5" hidden="1" customHeight="1">
      <c r="A17" s="1651"/>
      <c r="B17" s="1652"/>
      <c r="C17" s="1652"/>
      <c r="D17" s="1652"/>
      <c r="E17" s="1652"/>
      <c r="F17" s="1652"/>
      <c r="G17" s="1652"/>
      <c r="H17" s="1652"/>
      <c r="I17" s="1652"/>
      <c r="J17" s="1652"/>
      <c r="K17" s="1652"/>
      <c r="L17" s="1652"/>
      <c r="M17" s="1652"/>
      <c r="N17" s="1652"/>
      <c r="O17" s="1652"/>
      <c r="P17" s="1652"/>
      <c r="Q17" s="1652"/>
      <c r="R17" s="1652"/>
      <c r="S17" s="1652"/>
      <c r="T17" s="1652"/>
      <c r="U17" s="1652"/>
      <c r="V17" s="1652"/>
      <c r="W17" s="1652"/>
      <c r="X17" s="1652"/>
      <c r="Y17" s="1652"/>
      <c r="Z17" s="1652"/>
      <c r="AA17" s="1652"/>
      <c r="AB17" s="1652"/>
      <c r="AC17" s="1652"/>
      <c r="AD17" s="1652"/>
      <c r="AE17" s="1652"/>
      <c r="AF17" s="1652"/>
      <c r="AG17" s="1652"/>
      <c r="AH17" s="1652"/>
      <c r="AI17" s="1652"/>
      <c r="AJ17" s="1652"/>
      <c r="AK17" s="1652"/>
      <c r="AL17" s="1652"/>
      <c r="AM17" s="1652"/>
      <c r="AN17" s="1652"/>
      <c r="AO17" s="1652"/>
      <c r="AP17" s="1652"/>
      <c r="AQ17" s="1652"/>
      <c r="AR17" s="1652"/>
      <c r="AS17" s="1652"/>
      <c r="AT17" s="1652"/>
      <c r="AU17" s="1652"/>
      <c r="AV17" s="1652"/>
      <c r="AW17" s="1652"/>
      <c r="AX17" s="1652"/>
      <c r="AY17" s="1652"/>
      <c r="AZ17" s="1652"/>
      <c r="BA17" s="1652"/>
      <c r="BB17" s="1652"/>
      <c r="BC17" s="1652"/>
      <c r="BD17" s="1652"/>
      <c r="BE17" s="1652"/>
      <c r="BF17" s="1652"/>
      <c r="BG17" s="1652"/>
      <c r="BH17" s="1652"/>
      <c r="BI17" s="1652"/>
      <c r="BJ17" s="1652"/>
      <c r="BK17" s="1652"/>
      <c r="BL17" s="1652"/>
      <c r="BM17" s="1652"/>
      <c r="BN17" s="1652"/>
      <c r="BO17" s="1652"/>
      <c r="BP17" s="1652"/>
      <c r="BQ17" s="1652"/>
      <c r="BR17" s="1652"/>
      <c r="BS17" s="1652"/>
      <c r="BT17" s="1652"/>
      <c r="BU17" s="1652"/>
      <c r="BV17" s="1652"/>
      <c r="BW17" s="1652"/>
      <c r="BX17" s="1652"/>
      <c r="BY17" s="1652"/>
      <c r="BZ17" s="1652"/>
      <c r="CA17" s="1652"/>
      <c r="CB17" s="1652"/>
      <c r="CC17" s="1652"/>
      <c r="CD17" s="1652"/>
      <c r="CE17" s="1652"/>
      <c r="CF17" s="1652"/>
      <c r="CG17" s="1652"/>
      <c r="CH17" s="1652"/>
      <c r="CI17" s="1652"/>
      <c r="CJ17" s="1652"/>
      <c r="CK17" s="1652"/>
      <c r="CL17" s="1652"/>
      <c r="CM17" s="1652"/>
      <c r="CN17" s="1652"/>
      <c r="CO17" s="1652"/>
      <c r="CP17" s="1652"/>
      <c r="CQ17" s="1652"/>
      <c r="CR17" s="1652"/>
      <c r="CS17" s="1652"/>
      <c r="CT17" s="1652"/>
      <c r="CU17" s="1652"/>
      <c r="CV17" s="1652"/>
      <c r="CW17" s="1652"/>
      <c r="CX17" s="1652"/>
      <c r="CY17" s="1652"/>
      <c r="CZ17" s="1652"/>
      <c r="DA17" s="1652"/>
      <c r="DB17" s="1652"/>
      <c r="DC17" s="1652"/>
      <c r="DD17" s="1652"/>
      <c r="DE17" s="1652"/>
      <c r="DF17" s="1652"/>
      <c r="DG17" s="1652"/>
      <c r="DH17" s="1652"/>
      <c r="DI17" s="1652"/>
      <c r="DJ17" s="1652"/>
      <c r="DK17" s="1652"/>
      <c r="DL17" s="1652"/>
      <c r="DM17" s="1652"/>
      <c r="DN17" s="1652"/>
      <c r="DO17" s="1652"/>
      <c r="DP17" s="1652"/>
      <c r="DQ17" s="1652"/>
      <c r="DR17" s="1652"/>
      <c r="DS17" s="1652"/>
      <c r="DT17" s="1652"/>
      <c r="DU17" s="1652"/>
      <c r="DV17" s="1652"/>
      <c r="DW17" s="1652"/>
      <c r="DX17" s="1652"/>
      <c r="DY17" s="1652"/>
      <c r="DZ17" s="1652"/>
      <c r="EA17" s="1652"/>
      <c r="EB17" s="1652"/>
      <c r="EC17" s="1652"/>
      <c r="ED17" s="1652"/>
      <c r="EE17" s="1652"/>
      <c r="EF17" s="1652"/>
      <c r="EG17" s="1652"/>
      <c r="EH17" s="1653"/>
    </row>
    <row r="18" spans="1:177" ht="10.5" hidden="1" customHeight="1">
      <c r="A18" s="1651"/>
      <c r="B18" s="1652"/>
      <c r="C18" s="1652"/>
      <c r="D18" s="1652"/>
      <c r="E18" s="1652"/>
      <c r="F18" s="1652"/>
      <c r="G18" s="1652"/>
      <c r="H18" s="1652"/>
      <c r="I18" s="1652"/>
      <c r="J18" s="1652"/>
      <c r="K18" s="1652"/>
      <c r="L18" s="1652"/>
      <c r="M18" s="1652"/>
      <c r="N18" s="1652"/>
      <c r="O18" s="1652"/>
      <c r="P18" s="1652"/>
      <c r="Q18" s="1652"/>
      <c r="R18" s="1652"/>
      <c r="S18" s="1652"/>
      <c r="T18" s="1652"/>
      <c r="U18" s="1652"/>
      <c r="V18" s="1652"/>
      <c r="W18" s="1652"/>
      <c r="X18" s="1652"/>
      <c r="Y18" s="1652"/>
      <c r="Z18" s="1652"/>
      <c r="AA18" s="1652"/>
      <c r="AB18" s="1652"/>
      <c r="AC18" s="1652"/>
      <c r="AD18" s="1652"/>
      <c r="AE18" s="1652"/>
      <c r="AF18" s="1652"/>
      <c r="AG18" s="1652"/>
      <c r="AH18" s="1652"/>
      <c r="AI18" s="1652"/>
      <c r="AJ18" s="1652"/>
      <c r="AK18" s="1652"/>
      <c r="AL18" s="1652"/>
      <c r="AM18" s="1652"/>
      <c r="AN18" s="1652"/>
      <c r="AO18" s="1652"/>
      <c r="AP18" s="1652"/>
      <c r="AQ18" s="1652"/>
      <c r="AR18" s="1652"/>
      <c r="AS18" s="1652"/>
      <c r="AT18" s="1652"/>
      <c r="AU18" s="1652"/>
      <c r="AV18" s="1652"/>
      <c r="AW18" s="1652"/>
      <c r="AX18" s="1652"/>
      <c r="AY18" s="1652"/>
      <c r="AZ18" s="1652"/>
      <c r="BA18" s="1652"/>
      <c r="BB18" s="1652"/>
      <c r="BC18" s="1652"/>
      <c r="BD18" s="1652"/>
      <c r="BE18" s="1652"/>
      <c r="BF18" s="1652"/>
      <c r="BG18" s="1652"/>
      <c r="BH18" s="1652"/>
      <c r="BI18" s="1652"/>
      <c r="BJ18" s="1652"/>
      <c r="BK18" s="1652"/>
      <c r="BL18" s="1652"/>
      <c r="BM18" s="1652"/>
      <c r="BN18" s="1652"/>
      <c r="BO18" s="1652"/>
      <c r="BP18" s="1652"/>
      <c r="BQ18" s="1652"/>
      <c r="BR18" s="1652"/>
      <c r="BS18" s="1652"/>
      <c r="BT18" s="1652"/>
      <c r="BU18" s="1652"/>
      <c r="BV18" s="1652"/>
      <c r="BW18" s="1652"/>
      <c r="BX18" s="1652"/>
      <c r="BY18" s="1652"/>
      <c r="BZ18" s="1652"/>
      <c r="CA18" s="1652"/>
      <c r="CB18" s="1652"/>
      <c r="CC18" s="1652"/>
      <c r="CD18" s="1652"/>
      <c r="CE18" s="1652"/>
      <c r="CF18" s="1652"/>
      <c r="CG18" s="1652"/>
      <c r="CH18" s="1652"/>
      <c r="CI18" s="1652"/>
      <c r="CJ18" s="1652"/>
      <c r="CK18" s="1652"/>
      <c r="CL18" s="1652"/>
      <c r="CM18" s="1652"/>
      <c r="CN18" s="1652"/>
      <c r="CO18" s="1652"/>
      <c r="CP18" s="1652"/>
      <c r="CQ18" s="1652"/>
      <c r="CR18" s="1652"/>
      <c r="CS18" s="1652"/>
      <c r="CT18" s="1652"/>
      <c r="CU18" s="1652"/>
      <c r="CV18" s="1652"/>
      <c r="CW18" s="1652"/>
      <c r="CX18" s="1652"/>
      <c r="CY18" s="1652"/>
      <c r="CZ18" s="1652"/>
      <c r="DA18" s="1652"/>
      <c r="DB18" s="1652"/>
      <c r="DC18" s="1652"/>
      <c r="DD18" s="1652"/>
      <c r="DE18" s="1652"/>
      <c r="DF18" s="1652"/>
      <c r="DG18" s="1652"/>
      <c r="DH18" s="1652"/>
      <c r="DI18" s="1652"/>
      <c r="DJ18" s="1652"/>
      <c r="DK18" s="1652"/>
      <c r="DL18" s="1652"/>
      <c r="DM18" s="1652"/>
      <c r="DN18" s="1652"/>
      <c r="DO18" s="1652"/>
      <c r="DP18" s="1652"/>
      <c r="DQ18" s="1652"/>
      <c r="DR18" s="1652"/>
      <c r="DS18" s="1652"/>
      <c r="DT18" s="1652"/>
      <c r="DU18" s="1652"/>
      <c r="DV18" s="1652"/>
      <c r="DW18" s="1652"/>
      <c r="DX18" s="1652"/>
      <c r="DY18" s="1652"/>
      <c r="DZ18" s="1652"/>
      <c r="EA18" s="1652"/>
      <c r="EB18" s="1652"/>
      <c r="EC18" s="1652"/>
      <c r="ED18" s="1652"/>
      <c r="EE18" s="1652"/>
      <c r="EF18" s="1652"/>
      <c r="EG18" s="1652"/>
      <c r="EH18" s="1653"/>
    </row>
    <row r="19" spans="1:177" ht="10.5" hidden="1" customHeight="1">
      <c r="A19" s="1651"/>
      <c r="B19" s="1652"/>
      <c r="C19" s="1652"/>
      <c r="D19" s="1652"/>
      <c r="E19" s="1652"/>
      <c r="F19" s="1652"/>
      <c r="G19" s="1652"/>
      <c r="H19" s="1652"/>
      <c r="I19" s="1652"/>
      <c r="J19" s="1652"/>
      <c r="K19" s="1652"/>
      <c r="L19" s="1652"/>
      <c r="M19" s="1652"/>
      <c r="N19" s="1652"/>
      <c r="O19" s="1652"/>
      <c r="P19" s="1652"/>
      <c r="Q19" s="1652"/>
      <c r="R19" s="1652"/>
      <c r="S19" s="1652"/>
      <c r="T19" s="1652"/>
      <c r="U19" s="1652"/>
      <c r="V19" s="1652"/>
      <c r="W19" s="1652"/>
      <c r="X19" s="1652"/>
      <c r="Y19" s="1652"/>
      <c r="Z19" s="1652"/>
      <c r="AA19" s="1652"/>
      <c r="AB19" s="1652"/>
      <c r="AC19" s="1652"/>
      <c r="AD19" s="1652"/>
      <c r="AE19" s="1652"/>
      <c r="AF19" s="1652"/>
      <c r="AG19" s="1652"/>
      <c r="AH19" s="1652"/>
      <c r="AI19" s="1652"/>
      <c r="AJ19" s="1652"/>
      <c r="AK19" s="1652"/>
      <c r="AL19" s="1652"/>
      <c r="AM19" s="1652"/>
      <c r="AN19" s="1652"/>
      <c r="AO19" s="1652"/>
      <c r="AP19" s="1652"/>
      <c r="AQ19" s="1652"/>
      <c r="AR19" s="1652"/>
      <c r="AS19" s="1652"/>
      <c r="AT19" s="1652"/>
      <c r="AU19" s="1652"/>
      <c r="AV19" s="1652"/>
      <c r="AW19" s="1652"/>
      <c r="AX19" s="1652"/>
      <c r="AY19" s="1652"/>
      <c r="AZ19" s="1652"/>
      <c r="BA19" s="1652"/>
      <c r="BB19" s="1652"/>
      <c r="BC19" s="1652"/>
      <c r="BD19" s="1652"/>
      <c r="BE19" s="1652"/>
      <c r="BF19" s="1652"/>
      <c r="BG19" s="1652"/>
      <c r="BH19" s="1652"/>
      <c r="BI19" s="1652"/>
      <c r="BJ19" s="1652"/>
      <c r="BK19" s="1652"/>
      <c r="BL19" s="1652"/>
      <c r="BM19" s="1652"/>
      <c r="BN19" s="1652"/>
      <c r="BO19" s="1652"/>
      <c r="BP19" s="1652"/>
      <c r="BQ19" s="1652"/>
      <c r="BR19" s="1652"/>
      <c r="BS19" s="1652"/>
      <c r="BT19" s="1652"/>
      <c r="BU19" s="1652"/>
      <c r="BV19" s="1652"/>
      <c r="BW19" s="1652"/>
      <c r="BX19" s="1652"/>
      <c r="BY19" s="1652"/>
      <c r="BZ19" s="1652"/>
      <c r="CA19" s="1652"/>
      <c r="CB19" s="1652"/>
      <c r="CC19" s="1652"/>
      <c r="CD19" s="1652"/>
      <c r="CE19" s="1652"/>
      <c r="CF19" s="1652"/>
      <c r="CG19" s="1652"/>
      <c r="CH19" s="1652"/>
      <c r="CI19" s="1652"/>
      <c r="CJ19" s="1652"/>
      <c r="CK19" s="1652"/>
      <c r="CL19" s="1652"/>
      <c r="CM19" s="1652"/>
      <c r="CN19" s="1652"/>
      <c r="CO19" s="1652"/>
      <c r="CP19" s="1652"/>
      <c r="CQ19" s="1652"/>
      <c r="CR19" s="1652"/>
      <c r="CS19" s="1652"/>
      <c r="CT19" s="1652"/>
      <c r="CU19" s="1652"/>
      <c r="CV19" s="1652"/>
      <c r="CW19" s="1652"/>
      <c r="CX19" s="1652"/>
      <c r="CY19" s="1652"/>
      <c r="CZ19" s="1652"/>
      <c r="DA19" s="1652"/>
      <c r="DB19" s="1652"/>
      <c r="DC19" s="1652"/>
      <c r="DD19" s="1652"/>
      <c r="DE19" s="1652"/>
      <c r="DF19" s="1652"/>
      <c r="DG19" s="1652"/>
      <c r="DH19" s="1652"/>
      <c r="DI19" s="1652"/>
      <c r="DJ19" s="1652"/>
      <c r="DK19" s="1652"/>
      <c r="DL19" s="1652"/>
      <c r="DM19" s="1652"/>
      <c r="DN19" s="1652"/>
      <c r="DO19" s="1652"/>
      <c r="DP19" s="1652"/>
      <c r="DQ19" s="1652"/>
      <c r="DR19" s="1652"/>
      <c r="DS19" s="1652"/>
      <c r="DT19" s="1652"/>
      <c r="DU19" s="1652"/>
      <c r="DV19" s="1652"/>
      <c r="DW19" s="1652"/>
      <c r="DX19" s="1652"/>
      <c r="DY19" s="1652"/>
      <c r="DZ19" s="1652"/>
      <c r="EA19" s="1652"/>
      <c r="EB19" s="1652"/>
      <c r="EC19" s="1652"/>
      <c r="ED19" s="1652"/>
      <c r="EE19" s="1652"/>
      <c r="EF19" s="1652"/>
      <c r="EG19" s="1652"/>
      <c r="EH19" s="1653"/>
    </row>
    <row r="20" spans="1:177" ht="10.5" hidden="1" customHeight="1">
      <c r="A20" s="1654"/>
      <c r="B20" s="1655"/>
      <c r="C20" s="1655"/>
      <c r="D20" s="1655"/>
      <c r="E20" s="1655"/>
      <c r="F20" s="1655"/>
      <c r="G20" s="1655"/>
      <c r="H20" s="1655"/>
      <c r="I20" s="1655"/>
      <c r="J20" s="1655"/>
      <c r="K20" s="1655"/>
      <c r="L20" s="1655"/>
      <c r="M20" s="1655"/>
      <c r="N20" s="1655"/>
      <c r="O20" s="1655"/>
      <c r="P20" s="1655"/>
      <c r="Q20" s="1655"/>
      <c r="R20" s="1655"/>
      <c r="S20" s="1655"/>
      <c r="T20" s="1655"/>
      <c r="U20" s="1655"/>
      <c r="V20" s="1655"/>
      <c r="W20" s="1655"/>
      <c r="X20" s="1655"/>
      <c r="Y20" s="1655"/>
      <c r="Z20" s="1655"/>
      <c r="AA20" s="1655"/>
      <c r="AB20" s="1655"/>
      <c r="AC20" s="1655"/>
      <c r="AD20" s="1655"/>
      <c r="AE20" s="1655"/>
      <c r="AF20" s="1655"/>
      <c r="AG20" s="1655"/>
      <c r="AH20" s="1655"/>
      <c r="AI20" s="1655"/>
      <c r="AJ20" s="1655"/>
      <c r="AK20" s="1655"/>
      <c r="AL20" s="1655"/>
      <c r="AM20" s="1655"/>
      <c r="AN20" s="1655"/>
      <c r="AO20" s="1655"/>
      <c r="AP20" s="1655"/>
      <c r="AQ20" s="1655"/>
      <c r="AR20" s="1655"/>
      <c r="AS20" s="1655"/>
      <c r="AT20" s="1655"/>
      <c r="AU20" s="1655"/>
      <c r="AV20" s="1655"/>
      <c r="AW20" s="1655"/>
      <c r="AX20" s="1655"/>
      <c r="AY20" s="1655"/>
      <c r="AZ20" s="1655"/>
      <c r="BA20" s="1655"/>
      <c r="BB20" s="1655"/>
      <c r="BC20" s="1655"/>
      <c r="BD20" s="1655"/>
      <c r="BE20" s="1655"/>
      <c r="BF20" s="1655"/>
      <c r="BG20" s="1655"/>
      <c r="BH20" s="1655"/>
      <c r="BI20" s="1655"/>
      <c r="BJ20" s="1655"/>
      <c r="BK20" s="1655"/>
      <c r="BL20" s="1655"/>
      <c r="BM20" s="1655"/>
      <c r="BN20" s="1655"/>
      <c r="BO20" s="1655"/>
      <c r="BP20" s="1655"/>
      <c r="BQ20" s="1655"/>
      <c r="BR20" s="1655"/>
      <c r="BS20" s="1655"/>
      <c r="BT20" s="1655"/>
      <c r="BU20" s="1655"/>
      <c r="BV20" s="1655"/>
      <c r="BW20" s="1655"/>
      <c r="BX20" s="1655"/>
      <c r="BY20" s="1655"/>
      <c r="BZ20" s="1655"/>
      <c r="CA20" s="1655"/>
      <c r="CB20" s="1655"/>
      <c r="CC20" s="1655"/>
      <c r="CD20" s="1655"/>
      <c r="CE20" s="1655"/>
      <c r="CF20" s="1655"/>
      <c r="CG20" s="1655"/>
      <c r="CH20" s="1655"/>
      <c r="CI20" s="1655"/>
      <c r="CJ20" s="1655"/>
      <c r="CK20" s="1655"/>
      <c r="CL20" s="1655"/>
      <c r="CM20" s="1655"/>
      <c r="CN20" s="1655"/>
      <c r="CO20" s="1655"/>
      <c r="CP20" s="1655"/>
      <c r="CQ20" s="1655"/>
      <c r="CR20" s="1655"/>
      <c r="CS20" s="1655"/>
      <c r="CT20" s="1655"/>
      <c r="CU20" s="1655"/>
      <c r="CV20" s="1655"/>
      <c r="CW20" s="1655"/>
      <c r="CX20" s="1655"/>
      <c r="CY20" s="1655"/>
      <c r="CZ20" s="1655"/>
      <c r="DA20" s="1655"/>
      <c r="DB20" s="1655"/>
      <c r="DC20" s="1655"/>
      <c r="DD20" s="1655"/>
      <c r="DE20" s="1655"/>
      <c r="DF20" s="1655"/>
      <c r="DG20" s="1655"/>
      <c r="DH20" s="1655"/>
      <c r="DI20" s="1655"/>
      <c r="DJ20" s="1655"/>
      <c r="DK20" s="1655"/>
      <c r="DL20" s="1655"/>
      <c r="DM20" s="1655"/>
      <c r="DN20" s="1655"/>
      <c r="DO20" s="1655"/>
      <c r="DP20" s="1655"/>
      <c r="DQ20" s="1655"/>
      <c r="DR20" s="1655"/>
      <c r="DS20" s="1655"/>
      <c r="DT20" s="1655"/>
      <c r="DU20" s="1655"/>
      <c r="DV20" s="1655"/>
      <c r="DW20" s="1655"/>
      <c r="DX20" s="1655"/>
      <c r="DY20" s="1655"/>
      <c r="DZ20" s="1655"/>
      <c r="EA20" s="1655"/>
      <c r="EB20" s="1655"/>
      <c r="EC20" s="1655"/>
      <c r="ED20" s="1655"/>
      <c r="EE20" s="1655"/>
      <c r="EF20" s="1655"/>
      <c r="EG20" s="1655"/>
      <c r="EH20" s="1656"/>
    </row>
    <row r="21" spans="1:177" hidden="1">
      <c r="C21" s="276"/>
      <c r="D21" s="276"/>
      <c r="E21" s="276"/>
      <c r="F21" s="276"/>
      <c r="G21" s="276"/>
      <c r="H21" s="276"/>
      <c r="I21" s="276"/>
      <c r="J21" s="276"/>
      <c r="K21" s="276"/>
      <c r="L21" s="277"/>
      <c r="M21" s="256"/>
      <c r="N21" s="256"/>
      <c r="O21" s="256"/>
      <c r="P21" s="256"/>
      <c r="Q21" s="278"/>
      <c r="R21" s="279"/>
      <c r="S21" s="279"/>
      <c r="T21" s="279"/>
      <c r="AB21" s="280"/>
      <c r="AC21" s="223"/>
      <c r="AD21" s="223"/>
      <c r="AE21" s="223"/>
      <c r="AF21" s="281"/>
      <c r="AG21" s="281"/>
      <c r="AH21" s="281"/>
      <c r="AI21" s="258"/>
      <c r="AJ21" s="258"/>
      <c r="AS21" s="282"/>
      <c r="AT21" s="283"/>
      <c r="AU21" s="282"/>
      <c r="AV21" s="284"/>
      <c r="AX21" s="285"/>
      <c r="AY21" s="285"/>
      <c r="BD21" s="234"/>
      <c r="BE21" s="234"/>
      <c r="BF21" s="234"/>
      <c r="BG21" s="234"/>
      <c r="BH21" s="277"/>
      <c r="BK21" s="276"/>
      <c r="BL21" s="276"/>
      <c r="BM21" s="276"/>
      <c r="BN21" s="276"/>
      <c r="BO21" s="223"/>
      <c r="BP21" s="258"/>
      <c r="CC21" s="234"/>
      <c r="CG21" s="258"/>
      <c r="CH21" s="258"/>
      <c r="CI21" s="258"/>
      <c r="CJ21" s="256"/>
      <c r="CK21" s="258"/>
      <c r="CL21" s="258"/>
      <c r="CM21" s="258"/>
      <c r="CN21" s="258"/>
      <c r="CO21" s="258"/>
      <c r="CP21" s="258"/>
      <c r="CQ21" s="258"/>
      <c r="CR21" s="281"/>
      <c r="CS21" s="258"/>
      <c r="CT21" s="258"/>
      <c r="CU21" s="286"/>
      <c r="DH21" s="278"/>
      <c r="DJ21" s="270"/>
      <c r="DK21" s="1098"/>
      <c r="DL21" s="270"/>
      <c r="DM21" s="270"/>
      <c r="DN21" s="287"/>
      <c r="DO21" s="287"/>
      <c r="DP21" s="270"/>
      <c r="DQ21" s="270"/>
      <c r="DR21" s="270"/>
      <c r="DS21" s="270"/>
      <c r="DT21" s="270"/>
      <c r="DU21" s="1098"/>
      <c r="DV21" s="1098"/>
      <c r="DW21" s="1098"/>
      <c r="DX21" s="1098"/>
      <c r="DY21" s="1098"/>
      <c r="DZ21" s="1098"/>
      <c r="EA21" s="1098"/>
      <c r="EB21" s="1098"/>
      <c r="ED21" s="277"/>
      <c r="EE21" s="277"/>
      <c r="EF21" s="277"/>
      <c r="EH21" s="277"/>
    </row>
    <row r="22" spans="1:177" hidden="1">
      <c r="C22" s="276"/>
      <c r="D22" s="276"/>
      <c r="E22" s="276"/>
      <c r="F22" s="276"/>
      <c r="G22" s="276"/>
      <c r="H22" s="276"/>
      <c r="I22" s="276"/>
      <c r="J22" s="276"/>
      <c r="K22" s="276"/>
      <c r="L22" s="277"/>
      <c r="M22" s="256"/>
      <c r="N22" s="256"/>
      <c r="O22" s="256"/>
      <c r="P22" s="256"/>
      <c r="Q22" s="278"/>
      <c r="R22" s="279"/>
      <c r="S22" s="279"/>
      <c r="T22" s="279"/>
      <c r="AB22" s="280"/>
      <c r="AC22" s="223"/>
      <c r="AD22" s="223"/>
      <c r="AE22" s="223"/>
      <c r="AF22" s="281"/>
      <c r="AG22" s="281"/>
      <c r="AH22" s="281"/>
      <c r="AI22" s="258"/>
      <c r="AJ22" s="258"/>
      <c r="AS22" s="282"/>
      <c r="AT22" s="283"/>
      <c r="AU22" s="282"/>
      <c r="AV22" s="284"/>
      <c r="AX22" s="285"/>
      <c r="AY22" s="285"/>
      <c r="BD22" s="234"/>
      <c r="BE22" s="234"/>
      <c r="BF22" s="234"/>
      <c r="BG22" s="234"/>
      <c r="BH22" s="277"/>
      <c r="BK22" s="276"/>
      <c r="BL22" s="276"/>
      <c r="BM22" s="276"/>
      <c r="BN22" s="276"/>
      <c r="BO22" s="223"/>
      <c r="BP22" s="258"/>
      <c r="CC22" s="234"/>
      <c r="CG22" s="258"/>
      <c r="CH22" s="258"/>
      <c r="CI22" s="258"/>
      <c r="CJ22" s="256"/>
      <c r="CK22" s="258"/>
      <c r="CL22" s="258"/>
      <c r="CM22" s="258"/>
      <c r="CN22" s="258"/>
      <c r="CO22" s="258"/>
      <c r="CP22" s="258"/>
      <c r="CQ22" s="258"/>
      <c r="CR22" s="281"/>
      <c r="CS22" s="258"/>
      <c r="CT22" s="258"/>
      <c r="CU22" s="286"/>
      <c r="DH22" s="278"/>
      <c r="DJ22" s="270"/>
      <c r="DK22" s="1098"/>
      <c r="DL22" s="270"/>
      <c r="DM22" s="270"/>
      <c r="DN22" s="287"/>
      <c r="DO22" s="287"/>
      <c r="DP22" s="270"/>
      <c r="DQ22" s="270"/>
      <c r="DR22" s="270"/>
      <c r="DS22" s="270"/>
      <c r="DT22" s="270"/>
      <c r="DU22" s="1098"/>
      <c r="DV22" s="1098"/>
      <c r="DW22" s="1098"/>
      <c r="DX22" s="1098"/>
      <c r="DY22" s="1098"/>
      <c r="DZ22" s="1098"/>
      <c r="EA22" s="1098"/>
      <c r="EB22" s="1098"/>
      <c r="ED22" s="277"/>
      <c r="EE22" s="277"/>
      <c r="EF22" s="277"/>
      <c r="EH22" s="277"/>
    </row>
    <row r="23" spans="1:177" hidden="1">
      <c r="C23" s="276"/>
      <c r="D23" s="276"/>
      <c r="E23" s="276"/>
      <c r="F23" s="276"/>
      <c r="G23" s="276"/>
      <c r="H23" s="276"/>
      <c r="I23" s="276"/>
      <c r="J23" s="276"/>
      <c r="K23" s="276"/>
      <c r="L23" s="277"/>
      <c r="M23" s="256"/>
      <c r="N23" s="256"/>
      <c r="O23" s="256"/>
      <c r="P23" s="256"/>
      <c r="Q23" s="278"/>
      <c r="R23" s="279"/>
      <c r="S23" s="279"/>
      <c r="T23" s="279"/>
      <c r="AB23" s="280"/>
      <c r="AC23" s="223"/>
      <c r="AD23" s="223"/>
      <c r="AE23" s="223"/>
      <c r="AF23" s="281"/>
      <c r="AG23" s="281"/>
      <c r="AH23" s="281"/>
      <c r="AI23" s="258"/>
      <c r="AJ23" s="258"/>
      <c r="AS23" s="282"/>
      <c r="AT23" s="283"/>
      <c r="AU23" s="282"/>
      <c r="AV23" s="284"/>
      <c r="AX23" s="285"/>
      <c r="AY23" s="285"/>
      <c r="BD23" s="234"/>
      <c r="BE23" s="234"/>
      <c r="BF23" s="234"/>
      <c r="BG23" s="234"/>
      <c r="BH23" s="277"/>
      <c r="BK23" s="276"/>
      <c r="BL23" s="276"/>
      <c r="BM23" s="276"/>
      <c r="BN23" s="276"/>
      <c r="BO23" s="223"/>
      <c r="BP23" s="258"/>
      <c r="CC23" s="234"/>
      <c r="CG23" s="258"/>
      <c r="CH23" s="258"/>
      <c r="CI23" s="258"/>
      <c r="CJ23" s="256"/>
      <c r="CK23" s="258"/>
      <c r="CL23" s="258"/>
      <c r="CM23" s="258"/>
      <c r="CN23" s="258"/>
      <c r="CO23" s="258"/>
      <c r="CP23" s="258"/>
      <c r="CQ23" s="258"/>
      <c r="CR23" s="281"/>
      <c r="CS23" s="258"/>
      <c r="CT23" s="258"/>
      <c r="CU23" s="286"/>
      <c r="DH23" s="278"/>
      <c r="DJ23" s="270"/>
      <c r="DK23" s="1098"/>
      <c r="DL23" s="270"/>
      <c r="DM23" s="270"/>
      <c r="DN23" s="287"/>
      <c r="DO23" s="287"/>
      <c r="DP23" s="270"/>
      <c r="DQ23" s="270"/>
      <c r="DR23" s="270"/>
      <c r="DS23" s="270"/>
      <c r="DT23" s="270"/>
      <c r="DU23" s="1098"/>
      <c r="DV23" s="1098"/>
      <c r="DW23" s="1098"/>
      <c r="DX23" s="1098"/>
      <c r="DY23" s="1098"/>
      <c r="DZ23" s="1098"/>
      <c r="EA23" s="1098"/>
      <c r="EB23" s="1098"/>
      <c r="ED23" s="277"/>
      <c r="EE23" s="277"/>
      <c r="EF23" s="277"/>
      <c r="EH23" s="277"/>
    </row>
    <row r="24" spans="1:177" s="288" customFormat="1" hidden="1">
      <c r="A24" s="256"/>
      <c r="B24" s="256"/>
      <c r="C24" s="276"/>
      <c r="D24" s="276"/>
      <c r="E24" s="276"/>
      <c r="F24" s="276"/>
      <c r="G24" s="276"/>
      <c r="H24" s="276"/>
      <c r="I24" s="276"/>
      <c r="J24" s="276"/>
      <c r="K24" s="276"/>
      <c r="L24" s="277"/>
      <c r="M24" s="256"/>
      <c r="N24" s="256"/>
      <c r="O24" s="256"/>
      <c r="P24" s="256"/>
      <c r="Q24" s="278"/>
      <c r="R24" s="279"/>
      <c r="S24" s="279"/>
      <c r="T24" s="279"/>
      <c r="U24" s="256"/>
      <c r="V24" s="256"/>
      <c r="W24" s="256"/>
      <c r="X24" s="256"/>
      <c r="Y24" s="256"/>
      <c r="Z24" s="256"/>
      <c r="AA24" s="256"/>
      <c r="AB24" s="280"/>
      <c r="AC24" s="223"/>
      <c r="AD24" s="223"/>
      <c r="AE24" s="223"/>
      <c r="AF24" s="281"/>
      <c r="AG24" s="281"/>
      <c r="AH24" s="281"/>
      <c r="AI24" s="258"/>
      <c r="AJ24" s="258"/>
      <c r="AK24" s="223"/>
      <c r="AL24" s="223"/>
      <c r="AM24" s="256"/>
      <c r="AN24" s="256"/>
      <c r="AO24" s="256"/>
      <c r="AP24" s="256"/>
      <c r="AQ24" s="264"/>
      <c r="AR24" s="265"/>
      <c r="AS24" s="282"/>
      <c r="AT24" s="283"/>
      <c r="AU24" s="282"/>
      <c r="AV24" s="284"/>
      <c r="AW24" s="256"/>
      <c r="AX24" s="285"/>
      <c r="AY24" s="285"/>
      <c r="AZ24" s="256"/>
      <c r="BA24" s="256"/>
      <c r="BB24" s="256"/>
      <c r="BC24" s="256"/>
      <c r="BD24" s="234"/>
      <c r="BE24" s="234"/>
      <c r="BF24" s="234"/>
      <c r="BG24" s="234"/>
      <c r="BH24" s="277"/>
      <c r="BI24" s="256"/>
      <c r="BJ24" s="256"/>
      <c r="BK24" s="276"/>
      <c r="BL24" s="276"/>
      <c r="BM24" s="276"/>
      <c r="BN24" s="276"/>
      <c r="BO24" s="223"/>
      <c r="BP24" s="258"/>
      <c r="BQ24" s="256"/>
      <c r="BR24" s="256"/>
      <c r="BS24" s="256"/>
      <c r="BT24" s="256"/>
      <c r="BU24" s="256"/>
      <c r="BV24" s="256"/>
      <c r="BW24" s="256"/>
      <c r="BX24" s="256"/>
      <c r="BY24" s="256"/>
      <c r="BZ24" s="256"/>
      <c r="CA24" s="256"/>
      <c r="CB24" s="256"/>
      <c r="CC24" s="234"/>
      <c r="CD24" s="256"/>
      <c r="CE24" s="256"/>
      <c r="CF24" s="256"/>
      <c r="CG24" s="258"/>
      <c r="CH24" s="258"/>
      <c r="CI24" s="258"/>
      <c r="CJ24" s="256"/>
      <c r="CK24" s="258"/>
      <c r="CL24" s="258"/>
      <c r="CM24" s="258"/>
      <c r="CN24" s="258"/>
      <c r="CO24" s="258"/>
      <c r="CP24" s="258"/>
      <c r="CQ24" s="258"/>
      <c r="CR24" s="281"/>
      <c r="CS24" s="258"/>
      <c r="CT24" s="258"/>
      <c r="CU24" s="286"/>
      <c r="CV24" s="256"/>
      <c r="CW24" s="256"/>
      <c r="CX24" s="256"/>
      <c r="CY24" s="256"/>
      <c r="CZ24" s="256"/>
      <c r="DA24" s="256"/>
      <c r="DB24" s="256"/>
      <c r="DC24" s="256"/>
      <c r="DD24" s="256"/>
      <c r="DE24" s="256"/>
      <c r="DF24" s="256"/>
      <c r="DG24" s="256"/>
      <c r="DH24" s="278"/>
      <c r="DI24" s="275"/>
      <c r="DJ24" s="270"/>
      <c r="DK24" s="1098"/>
      <c r="DL24" s="270"/>
      <c r="DM24" s="270"/>
      <c r="DN24" s="287"/>
      <c r="DO24" s="287"/>
      <c r="DP24" s="270"/>
      <c r="DQ24" s="270"/>
      <c r="DR24" s="270"/>
      <c r="DS24" s="270"/>
      <c r="DT24" s="270"/>
      <c r="DU24" s="1098"/>
      <c r="DV24" s="1098"/>
      <c r="DW24" s="1098"/>
      <c r="DX24" s="1098"/>
      <c r="DY24" s="1098"/>
      <c r="DZ24" s="1098"/>
      <c r="EA24" s="1098"/>
      <c r="EB24" s="1098"/>
      <c r="EC24" s="256"/>
      <c r="ED24" s="277"/>
      <c r="EE24" s="277"/>
      <c r="EF24" s="277"/>
      <c r="EG24" s="256"/>
      <c r="EH24" s="277"/>
      <c r="EI24" s="256"/>
      <c r="EJ24" s="256"/>
      <c r="EK24" s="256"/>
      <c r="EL24" s="256"/>
      <c r="EM24" s="256"/>
      <c r="EN24" s="256"/>
      <c r="EO24" s="256"/>
      <c r="EP24" s="256"/>
      <c r="EQ24" s="256"/>
      <c r="ER24" s="256"/>
      <c r="ES24" s="256"/>
      <c r="ET24" s="256"/>
      <c r="EU24" s="256"/>
      <c r="EV24" s="256"/>
      <c r="EW24" s="256"/>
      <c r="EX24" s="256"/>
      <c r="EY24" s="256"/>
      <c r="EZ24" s="256"/>
      <c r="FA24" s="256"/>
      <c r="FB24" s="256"/>
      <c r="FC24" s="256"/>
      <c r="FD24" s="256"/>
      <c r="FE24" s="256"/>
      <c r="FF24" s="256"/>
      <c r="FG24" s="256"/>
      <c r="FH24" s="256"/>
      <c r="FI24" s="256"/>
      <c r="FJ24" s="256"/>
      <c r="FK24" s="256"/>
      <c r="FL24" s="256"/>
      <c r="FM24" s="256"/>
      <c r="FN24" s="256"/>
      <c r="FO24" s="256"/>
      <c r="FP24" s="256"/>
      <c r="FQ24" s="256"/>
      <c r="FR24" s="256"/>
      <c r="FS24" s="256"/>
      <c r="FT24" s="256"/>
      <c r="FU24" s="256"/>
    </row>
    <row r="25" spans="1:177" hidden="1">
      <c r="C25" s="276"/>
      <c r="D25" s="276"/>
      <c r="E25" s="276"/>
      <c r="F25" s="276"/>
      <c r="G25" s="276"/>
      <c r="H25" s="276"/>
      <c r="I25" s="276"/>
      <c r="J25" s="276"/>
      <c r="K25" s="276"/>
      <c r="L25" s="277"/>
      <c r="M25" s="256"/>
      <c r="N25" s="256"/>
      <c r="O25" s="256"/>
      <c r="P25" s="256"/>
      <c r="Q25" s="278"/>
      <c r="R25" s="279"/>
      <c r="S25" s="279"/>
      <c r="T25" s="279"/>
      <c r="AB25" s="280"/>
      <c r="AC25" s="223"/>
      <c r="AD25" s="223"/>
      <c r="AE25" s="223"/>
      <c r="AF25" s="281"/>
      <c r="AG25" s="281"/>
      <c r="AH25" s="281"/>
      <c r="AI25" s="258"/>
      <c r="AJ25" s="258"/>
      <c r="AS25" s="282"/>
      <c r="AT25" s="283"/>
      <c r="AU25" s="282"/>
      <c r="AV25" s="284"/>
      <c r="AX25" s="285"/>
      <c r="AY25" s="285"/>
      <c r="BD25" s="234"/>
      <c r="BE25" s="234"/>
      <c r="BF25" s="234"/>
      <c r="BG25" s="234"/>
      <c r="BH25" s="277"/>
      <c r="BK25" s="276"/>
      <c r="BL25" s="276"/>
      <c r="BM25" s="276"/>
      <c r="BN25" s="276"/>
      <c r="BO25" s="223"/>
      <c r="BP25" s="258"/>
      <c r="CC25" s="234"/>
      <c r="CG25" s="258"/>
      <c r="CH25" s="258"/>
      <c r="CI25" s="258"/>
      <c r="CJ25" s="256"/>
      <c r="CK25" s="258"/>
      <c r="CL25" s="258"/>
      <c r="CM25" s="258"/>
      <c r="CN25" s="258"/>
      <c r="CO25" s="258"/>
      <c r="CP25" s="258"/>
      <c r="CQ25" s="258"/>
      <c r="CR25" s="281"/>
      <c r="CS25" s="258"/>
      <c r="CT25" s="258"/>
      <c r="CU25" s="286"/>
      <c r="DH25" s="278"/>
      <c r="DJ25" s="270"/>
      <c r="DK25" s="1098"/>
      <c r="DL25" s="270"/>
      <c r="DM25" s="270"/>
      <c r="DN25" s="287"/>
      <c r="DO25" s="287"/>
      <c r="DP25" s="270"/>
      <c r="DQ25" s="270"/>
      <c r="DR25" s="270"/>
      <c r="DS25" s="270"/>
      <c r="DT25" s="270"/>
      <c r="DU25" s="1098"/>
      <c r="DV25" s="1098"/>
      <c r="DW25" s="1098"/>
      <c r="DX25" s="1098"/>
      <c r="DY25" s="1098"/>
      <c r="DZ25" s="1098"/>
      <c r="EA25" s="1098"/>
      <c r="EB25" s="1098"/>
      <c r="ED25" s="277"/>
      <c r="EE25" s="277"/>
      <c r="EF25" s="277"/>
      <c r="EH25" s="277"/>
    </row>
    <row r="26" spans="1:177" hidden="1">
      <c r="C26" s="276"/>
      <c r="D26" s="276"/>
      <c r="E26" s="276"/>
      <c r="F26" s="276"/>
      <c r="G26" s="276"/>
      <c r="H26" s="276"/>
      <c r="I26" s="276"/>
      <c r="J26" s="276"/>
      <c r="K26" s="276"/>
      <c r="L26" s="277"/>
      <c r="M26" s="256"/>
      <c r="N26" s="256"/>
      <c r="O26" s="256"/>
      <c r="P26" s="256"/>
      <c r="Q26" s="278"/>
      <c r="R26" s="279"/>
      <c r="S26" s="279"/>
      <c r="T26" s="279"/>
      <c r="AB26" s="280"/>
      <c r="AC26" s="223"/>
      <c r="AD26" s="223"/>
      <c r="AE26" s="223"/>
      <c r="AF26" s="281"/>
      <c r="AG26" s="281"/>
      <c r="AH26" s="281"/>
      <c r="AI26" s="258"/>
      <c r="AJ26" s="258"/>
      <c r="AS26" s="282"/>
      <c r="AT26" s="283"/>
      <c r="AU26" s="282"/>
      <c r="AV26" s="284"/>
      <c r="AX26" s="285"/>
      <c r="AY26" s="285"/>
      <c r="BD26" s="234"/>
      <c r="BE26" s="234"/>
      <c r="BF26" s="234"/>
      <c r="BG26" s="234"/>
      <c r="BH26" s="277"/>
      <c r="BK26" s="276"/>
      <c r="BL26" s="276"/>
      <c r="BM26" s="276"/>
      <c r="BN26" s="276"/>
      <c r="BO26" s="223"/>
      <c r="BP26" s="258"/>
      <c r="CC26" s="234"/>
      <c r="CG26" s="258"/>
      <c r="CH26" s="258"/>
      <c r="CI26" s="258"/>
      <c r="CJ26" s="256"/>
      <c r="CK26" s="258"/>
      <c r="CL26" s="258"/>
      <c r="CM26" s="258"/>
      <c r="CN26" s="258"/>
      <c r="CO26" s="258"/>
      <c r="CP26" s="258"/>
      <c r="CQ26" s="258"/>
      <c r="CR26" s="281"/>
      <c r="CS26" s="258"/>
      <c r="CT26" s="258"/>
      <c r="CU26" s="286"/>
      <c r="DH26" s="278"/>
      <c r="DJ26" s="270"/>
      <c r="DK26" s="1098"/>
      <c r="DL26" s="270"/>
      <c r="DM26" s="270"/>
      <c r="DN26" s="287"/>
      <c r="DO26" s="287"/>
      <c r="DP26" s="270"/>
      <c r="DQ26" s="270"/>
      <c r="DR26" s="270"/>
      <c r="DS26" s="270"/>
      <c r="DT26" s="270"/>
      <c r="DU26" s="1098"/>
      <c r="DV26" s="1098"/>
      <c r="DW26" s="1098"/>
      <c r="DX26" s="1098"/>
      <c r="DY26" s="1098"/>
      <c r="DZ26" s="1098"/>
      <c r="EA26" s="1098"/>
      <c r="EB26" s="1098"/>
      <c r="ED26" s="277"/>
      <c r="EE26" s="277"/>
      <c r="EF26" s="277"/>
      <c r="EH26" s="277"/>
    </row>
    <row r="27" spans="1:177" hidden="1">
      <c r="C27" s="276"/>
      <c r="D27" s="276"/>
      <c r="E27" s="276"/>
      <c r="F27" s="276"/>
      <c r="G27" s="276"/>
      <c r="H27" s="276"/>
      <c r="I27" s="276"/>
      <c r="J27" s="276"/>
      <c r="K27" s="276"/>
      <c r="L27" s="277"/>
      <c r="M27" s="256"/>
      <c r="N27" s="256"/>
      <c r="O27" s="256"/>
      <c r="P27" s="256"/>
      <c r="Q27" s="278"/>
      <c r="R27" s="279"/>
      <c r="S27" s="279"/>
      <c r="T27" s="279"/>
      <c r="AB27" s="280"/>
      <c r="AC27" s="223"/>
      <c r="AD27" s="223"/>
      <c r="AE27" s="223"/>
      <c r="AF27" s="281"/>
      <c r="AG27" s="281"/>
      <c r="AH27" s="281"/>
      <c r="AI27" s="258"/>
      <c r="AJ27" s="258"/>
      <c r="AS27" s="282"/>
      <c r="AT27" s="283"/>
      <c r="AU27" s="282"/>
      <c r="AV27" s="284"/>
      <c r="AX27" s="285"/>
      <c r="AY27" s="285"/>
      <c r="BD27" s="234"/>
      <c r="BE27" s="234"/>
      <c r="BF27" s="234"/>
      <c r="BG27" s="234"/>
      <c r="BH27" s="277"/>
      <c r="BK27" s="276"/>
      <c r="BL27" s="276"/>
      <c r="BM27" s="276"/>
      <c r="BN27" s="276"/>
      <c r="BO27" s="223"/>
      <c r="BP27" s="258"/>
      <c r="CC27" s="234"/>
      <c r="CG27" s="258"/>
      <c r="CH27" s="258"/>
      <c r="CI27" s="258"/>
      <c r="CJ27" s="256"/>
      <c r="CK27" s="258"/>
      <c r="CL27" s="258"/>
      <c r="CM27" s="258"/>
      <c r="CN27" s="258"/>
      <c r="CO27" s="258"/>
      <c r="CP27" s="258"/>
      <c r="CQ27" s="258"/>
      <c r="CR27" s="281"/>
      <c r="CS27" s="258"/>
      <c r="CT27" s="258"/>
      <c r="CU27" s="286"/>
      <c r="DH27" s="278"/>
      <c r="DJ27" s="270"/>
      <c r="DK27" s="1098"/>
      <c r="DL27" s="270"/>
      <c r="DM27" s="270"/>
      <c r="DN27" s="287"/>
      <c r="DO27" s="287"/>
      <c r="DP27" s="270"/>
      <c r="DQ27" s="270"/>
      <c r="DR27" s="270"/>
      <c r="DS27" s="270"/>
      <c r="DT27" s="270"/>
      <c r="DU27" s="1098"/>
      <c r="DV27" s="1098"/>
      <c r="DW27" s="1098"/>
      <c r="DX27" s="1098"/>
      <c r="DY27" s="1098"/>
      <c r="DZ27" s="1098"/>
      <c r="EA27" s="1098"/>
      <c r="EB27" s="1098"/>
      <c r="ED27" s="277"/>
      <c r="EE27" s="277"/>
      <c r="EF27" s="277"/>
      <c r="EH27" s="277"/>
    </row>
    <row r="28" spans="1:177" hidden="1">
      <c r="C28" s="276"/>
      <c r="D28" s="276"/>
      <c r="E28" s="276"/>
      <c r="F28" s="276"/>
      <c r="G28" s="276"/>
      <c r="H28" s="276"/>
      <c r="I28" s="276"/>
      <c r="J28" s="276"/>
      <c r="K28" s="276"/>
      <c r="L28" s="277"/>
      <c r="M28" s="256"/>
      <c r="N28" s="256"/>
      <c r="O28" s="256"/>
      <c r="P28" s="256"/>
      <c r="Q28" s="278"/>
      <c r="R28" s="279"/>
      <c r="S28" s="279"/>
      <c r="T28" s="279"/>
      <c r="AB28" s="280"/>
      <c r="AC28" s="223"/>
      <c r="AD28" s="223"/>
      <c r="AE28" s="223"/>
      <c r="AF28" s="281"/>
      <c r="AG28" s="281"/>
      <c r="AH28" s="281"/>
      <c r="AI28" s="258"/>
      <c r="AJ28" s="258"/>
      <c r="AS28" s="282"/>
      <c r="AT28" s="283"/>
      <c r="AU28" s="282"/>
      <c r="AV28" s="284"/>
      <c r="AX28" s="285"/>
      <c r="AY28" s="285"/>
      <c r="BD28" s="234"/>
      <c r="BE28" s="234"/>
      <c r="BF28" s="234"/>
      <c r="BG28" s="234"/>
      <c r="BH28" s="277"/>
      <c r="BK28" s="276"/>
      <c r="BL28" s="276"/>
      <c r="BM28" s="276"/>
      <c r="BN28" s="276"/>
      <c r="BO28" s="223"/>
      <c r="BP28" s="258"/>
      <c r="CC28" s="234"/>
      <c r="CG28" s="258"/>
      <c r="CH28" s="258"/>
      <c r="CI28" s="258"/>
      <c r="CJ28" s="256"/>
      <c r="CK28" s="258"/>
      <c r="CL28" s="258"/>
      <c r="CM28" s="258"/>
      <c r="CN28" s="258"/>
      <c r="CO28" s="258"/>
      <c r="CP28" s="258"/>
      <c r="CQ28" s="258"/>
      <c r="CR28" s="281"/>
      <c r="CS28" s="258"/>
      <c r="CT28" s="258"/>
      <c r="CU28" s="286"/>
      <c r="DH28" s="278"/>
      <c r="DJ28" s="270"/>
      <c r="DK28" s="1098"/>
      <c r="DL28" s="270"/>
      <c r="DM28" s="270"/>
      <c r="DN28" s="287"/>
      <c r="DO28" s="287"/>
      <c r="DP28" s="270"/>
      <c r="DQ28" s="270"/>
      <c r="DR28" s="270"/>
      <c r="DS28" s="270"/>
      <c r="DT28" s="270"/>
      <c r="DU28" s="1098"/>
      <c r="DV28" s="1098"/>
      <c r="DW28" s="1098"/>
      <c r="DX28" s="1098"/>
      <c r="DY28" s="1098"/>
      <c r="DZ28" s="1098"/>
      <c r="EA28" s="1098"/>
      <c r="EB28" s="1098"/>
      <c r="ED28" s="277"/>
      <c r="EE28" s="277"/>
      <c r="EF28" s="277"/>
      <c r="EH28" s="277"/>
    </row>
    <row r="29" spans="1:177" hidden="1">
      <c r="C29" s="276"/>
      <c r="D29" s="276"/>
      <c r="E29" s="276"/>
      <c r="F29" s="276"/>
      <c r="G29" s="276"/>
      <c r="H29" s="276"/>
      <c r="I29" s="276"/>
      <c r="J29" s="276"/>
      <c r="K29" s="276"/>
      <c r="L29" s="277"/>
      <c r="M29" s="256"/>
      <c r="N29" s="256"/>
      <c r="O29" s="256"/>
      <c r="P29" s="256"/>
      <c r="Q29" s="278"/>
      <c r="R29" s="279"/>
      <c r="S29" s="279"/>
      <c r="T29" s="279"/>
      <c r="AB29" s="280"/>
      <c r="AC29" s="223"/>
      <c r="AD29" s="223"/>
      <c r="AE29" s="223"/>
      <c r="AF29" s="281"/>
      <c r="AG29" s="281"/>
      <c r="AH29" s="281"/>
      <c r="AI29" s="258"/>
      <c r="AJ29" s="258"/>
      <c r="AS29" s="282"/>
      <c r="AT29" s="283"/>
      <c r="AU29" s="282"/>
      <c r="AV29" s="284"/>
      <c r="AX29" s="285"/>
      <c r="AY29" s="285"/>
      <c r="BD29" s="234"/>
      <c r="BE29" s="234"/>
      <c r="BF29" s="234"/>
      <c r="BG29" s="234"/>
      <c r="BH29" s="277"/>
      <c r="BK29" s="276"/>
      <c r="BL29" s="276"/>
      <c r="BM29" s="276"/>
      <c r="BN29" s="276"/>
      <c r="BO29" s="223"/>
      <c r="BP29" s="258"/>
      <c r="CC29" s="234"/>
      <c r="CG29" s="258"/>
      <c r="CH29" s="258"/>
      <c r="CI29" s="258"/>
      <c r="CJ29" s="256"/>
      <c r="CK29" s="258"/>
      <c r="CL29" s="258"/>
      <c r="CM29" s="258"/>
      <c r="CN29" s="258"/>
      <c r="CO29" s="258"/>
      <c r="CP29" s="258"/>
      <c r="CQ29" s="258"/>
      <c r="CR29" s="281"/>
      <c r="CS29" s="258"/>
      <c r="CT29" s="258"/>
      <c r="CU29" s="286"/>
      <c r="DH29" s="278"/>
      <c r="DJ29" s="270"/>
      <c r="DK29" s="1098"/>
      <c r="DL29" s="270"/>
      <c r="DM29" s="270"/>
      <c r="DN29" s="287"/>
      <c r="DO29" s="287"/>
      <c r="DP29" s="270"/>
      <c r="DQ29" s="270"/>
      <c r="DR29" s="270"/>
      <c r="DS29" s="270"/>
      <c r="DT29" s="270"/>
      <c r="DU29" s="1098"/>
      <c r="DV29" s="1098"/>
      <c r="DW29" s="1098"/>
      <c r="DX29" s="1098"/>
      <c r="DY29" s="1098"/>
      <c r="DZ29" s="1098"/>
      <c r="EA29" s="1098"/>
      <c r="EB29" s="1098"/>
      <c r="ED29" s="277"/>
      <c r="EE29" s="277"/>
      <c r="EF29" s="277"/>
      <c r="EH29" s="277"/>
    </row>
    <row r="30" spans="1:177" hidden="1">
      <c r="C30" s="276"/>
      <c r="D30" s="276"/>
      <c r="E30" s="276"/>
      <c r="F30" s="276"/>
      <c r="G30" s="276"/>
      <c r="H30" s="276"/>
      <c r="I30" s="276"/>
      <c r="J30" s="276"/>
      <c r="K30" s="276"/>
      <c r="L30" s="277"/>
      <c r="M30" s="256"/>
      <c r="N30" s="256"/>
      <c r="O30" s="256"/>
      <c r="P30" s="256"/>
      <c r="Q30" s="278"/>
      <c r="R30" s="279"/>
      <c r="S30" s="279"/>
      <c r="T30" s="279"/>
      <c r="AB30" s="280"/>
      <c r="AC30" s="223"/>
      <c r="AD30" s="223"/>
      <c r="AE30" s="223"/>
      <c r="AF30" s="281"/>
      <c r="AG30" s="281"/>
      <c r="AH30" s="281"/>
      <c r="AI30" s="258"/>
      <c r="AJ30" s="258"/>
      <c r="AS30" s="282"/>
      <c r="AT30" s="283"/>
      <c r="AU30" s="282"/>
      <c r="AV30" s="284"/>
      <c r="AX30" s="285"/>
      <c r="AY30" s="285"/>
      <c r="BD30" s="234"/>
      <c r="BE30" s="234"/>
      <c r="BF30" s="234"/>
      <c r="BG30" s="234"/>
      <c r="BH30" s="277"/>
      <c r="BK30" s="276"/>
      <c r="BL30" s="276"/>
      <c r="BM30" s="276"/>
      <c r="BN30" s="276"/>
      <c r="BO30" s="223"/>
      <c r="BP30" s="258"/>
      <c r="CC30" s="234"/>
      <c r="CG30" s="258"/>
      <c r="CH30" s="258"/>
      <c r="CI30" s="258"/>
      <c r="CJ30" s="256"/>
      <c r="CK30" s="258"/>
      <c r="CL30" s="258"/>
      <c r="CM30" s="258"/>
      <c r="CN30" s="258"/>
      <c r="CO30" s="258"/>
      <c r="CP30" s="258"/>
      <c r="CQ30" s="258"/>
      <c r="CR30" s="281"/>
      <c r="CS30" s="258"/>
      <c r="CT30" s="258"/>
      <c r="CU30" s="286"/>
      <c r="DH30" s="278"/>
      <c r="DJ30" s="270"/>
      <c r="DK30" s="1098"/>
      <c r="DL30" s="270"/>
      <c r="DM30" s="270"/>
      <c r="DN30" s="287"/>
      <c r="DO30" s="287"/>
      <c r="DP30" s="270"/>
      <c r="DQ30" s="270"/>
      <c r="DR30" s="270"/>
      <c r="DS30" s="270"/>
      <c r="DT30" s="270"/>
      <c r="DU30" s="1098"/>
      <c r="DV30" s="1098"/>
      <c r="DW30" s="1098"/>
      <c r="DX30" s="1098"/>
      <c r="DY30" s="1098"/>
      <c r="DZ30" s="1098"/>
      <c r="EA30" s="1098"/>
      <c r="EB30" s="1098"/>
      <c r="ED30" s="277"/>
      <c r="EE30" s="277"/>
      <c r="EF30" s="277"/>
      <c r="EH30" s="277"/>
    </row>
    <row r="31" spans="1:177" hidden="1">
      <c r="C31" s="276"/>
      <c r="D31" s="276"/>
      <c r="E31" s="276"/>
      <c r="F31" s="276"/>
      <c r="G31" s="276"/>
      <c r="H31" s="276"/>
      <c r="I31" s="276"/>
      <c r="J31" s="276"/>
      <c r="K31" s="276"/>
      <c r="L31" s="277"/>
      <c r="M31" s="256"/>
      <c r="N31" s="256"/>
      <c r="O31" s="256"/>
      <c r="P31" s="256"/>
      <c r="Q31" s="278"/>
      <c r="R31" s="279"/>
      <c r="S31" s="279"/>
      <c r="T31" s="279"/>
      <c r="AB31" s="280"/>
      <c r="AC31" s="223"/>
      <c r="AD31" s="223"/>
      <c r="AE31" s="223"/>
      <c r="AF31" s="281"/>
      <c r="AG31" s="281"/>
      <c r="AH31" s="281"/>
      <c r="AI31" s="258"/>
      <c r="AJ31" s="258"/>
      <c r="AS31" s="282"/>
      <c r="AT31" s="283"/>
      <c r="AU31" s="282"/>
      <c r="AV31" s="284"/>
      <c r="AX31" s="285"/>
      <c r="AY31" s="285"/>
      <c r="BD31" s="234"/>
      <c r="BE31" s="234"/>
      <c r="BF31" s="234"/>
      <c r="BG31" s="234"/>
      <c r="BH31" s="277"/>
      <c r="BK31" s="276"/>
      <c r="BL31" s="276"/>
      <c r="BM31" s="276"/>
      <c r="BN31" s="276"/>
      <c r="BO31" s="223"/>
      <c r="BP31" s="258"/>
      <c r="CC31" s="234"/>
      <c r="CG31" s="258"/>
      <c r="CH31" s="258"/>
      <c r="CI31" s="258"/>
      <c r="CJ31" s="256"/>
      <c r="CK31" s="258"/>
      <c r="CL31" s="258"/>
      <c r="CM31" s="258"/>
      <c r="CN31" s="258"/>
      <c r="CO31" s="258"/>
      <c r="CP31" s="258"/>
      <c r="CQ31" s="258"/>
      <c r="CR31" s="281"/>
      <c r="CS31" s="258"/>
      <c r="CT31" s="258"/>
      <c r="CU31" s="286"/>
      <c r="DH31" s="278"/>
      <c r="DJ31" s="270"/>
      <c r="DK31" s="1098"/>
      <c r="DL31" s="270"/>
      <c r="DM31" s="270"/>
      <c r="DN31" s="287"/>
      <c r="DO31" s="287"/>
      <c r="DP31" s="270"/>
      <c r="DQ31" s="270"/>
      <c r="DR31" s="270"/>
      <c r="DS31" s="270"/>
      <c r="DT31" s="270"/>
      <c r="DU31" s="1098"/>
      <c r="DV31" s="1098"/>
      <c r="DW31" s="1098"/>
      <c r="DX31" s="1098"/>
      <c r="DY31" s="1098"/>
      <c r="DZ31" s="1098"/>
      <c r="EA31" s="1098"/>
      <c r="EB31" s="1098"/>
      <c r="ED31" s="277"/>
      <c r="EE31" s="277"/>
      <c r="EF31" s="277"/>
      <c r="EH31" s="277"/>
    </row>
    <row r="32" spans="1:177" hidden="1">
      <c r="C32" s="276"/>
      <c r="D32" s="276"/>
      <c r="E32" s="276"/>
      <c r="F32" s="276"/>
      <c r="G32" s="276"/>
      <c r="H32" s="276"/>
      <c r="I32" s="276"/>
      <c r="J32" s="276"/>
      <c r="K32" s="276"/>
      <c r="L32" s="277"/>
      <c r="M32" s="256"/>
      <c r="N32" s="256"/>
      <c r="O32" s="256"/>
      <c r="P32" s="256"/>
      <c r="Q32" s="278"/>
      <c r="R32" s="279"/>
      <c r="S32" s="279"/>
      <c r="T32" s="279"/>
      <c r="AB32" s="280"/>
      <c r="AC32" s="223"/>
      <c r="AD32" s="223"/>
      <c r="AE32" s="223"/>
      <c r="AF32" s="281"/>
      <c r="AG32" s="281"/>
      <c r="AH32" s="281"/>
      <c r="AI32" s="258"/>
      <c r="AJ32" s="258"/>
      <c r="AS32" s="282"/>
      <c r="AT32" s="283"/>
      <c r="AU32" s="282"/>
      <c r="AV32" s="284"/>
      <c r="AX32" s="285"/>
      <c r="AY32" s="285"/>
      <c r="BD32" s="234"/>
      <c r="BE32" s="234"/>
      <c r="BF32" s="234"/>
      <c r="BG32" s="234"/>
      <c r="BH32" s="277"/>
      <c r="BK32" s="276"/>
      <c r="BL32" s="276"/>
      <c r="BM32" s="276"/>
      <c r="BN32" s="276"/>
      <c r="BO32" s="223"/>
      <c r="BP32" s="258"/>
      <c r="CC32" s="234"/>
      <c r="CG32" s="258"/>
      <c r="CH32" s="258"/>
      <c r="CI32" s="258"/>
      <c r="CJ32" s="256"/>
      <c r="CK32" s="258"/>
      <c r="CL32" s="258"/>
      <c r="CM32" s="258"/>
      <c r="CN32" s="258"/>
      <c r="CO32" s="258"/>
      <c r="CP32" s="258"/>
      <c r="CQ32" s="258"/>
      <c r="CR32" s="281"/>
      <c r="CS32" s="258"/>
      <c r="CT32" s="258"/>
      <c r="CU32" s="286"/>
      <c r="DH32" s="278"/>
      <c r="DJ32" s="270"/>
      <c r="DK32" s="1098"/>
      <c r="DL32" s="270"/>
      <c r="DM32" s="270"/>
      <c r="DN32" s="287"/>
      <c r="DO32" s="287"/>
      <c r="DP32" s="270"/>
      <c r="DQ32" s="270"/>
      <c r="DR32" s="270"/>
      <c r="DS32" s="270"/>
      <c r="DT32" s="270"/>
      <c r="DU32" s="1098"/>
      <c r="DV32" s="1098"/>
      <c r="DW32" s="1098"/>
      <c r="DX32" s="1098"/>
      <c r="DY32" s="1098"/>
      <c r="DZ32" s="1098"/>
      <c r="EA32" s="1098"/>
      <c r="EB32" s="1098"/>
      <c r="ED32" s="277"/>
      <c r="EE32" s="277"/>
      <c r="EF32" s="277"/>
      <c r="EH32" s="277"/>
    </row>
    <row r="33" spans="3:138" hidden="1">
      <c r="C33" s="276"/>
      <c r="D33" s="276"/>
      <c r="E33" s="276"/>
      <c r="F33" s="276"/>
      <c r="G33" s="276"/>
      <c r="H33" s="276"/>
      <c r="I33" s="276"/>
      <c r="J33" s="276"/>
      <c r="K33" s="276"/>
      <c r="L33" s="277"/>
      <c r="M33" s="256"/>
      <c r="N33" s="256"/>
      <c r="O33" s="256"/>
      <c r="P33" s="256"/>
      <c r="Q33" s="278"/>
      <c r="R33" s="279"/>
      <c r="S33" s="279"/>
      <c r="T33" s="279"/>
      <c r="AB33" s="280"/>
      <c r="AC33" s="223"/>
      <c r="AD33" s="223"/>
      <c r="AE33" s="223"/>
      <c r="AF33" s="281"/>
      <c r="AG33" s="281"/>
      <c r="AH33" s="281"/>
      <c r="AI33" s="258"/>
      <c r="AJ33" s="258"/>
      <c r="AS33" s="282"/>
      <c r="AT33" s="283"/>
      <c r="AU33" s="282"/>
      <c r="AV33" s="284"/>
      <c r="AX33" s="285"/>
      <c r="AY33" s="285"/>
      <c r="BD33" s="234"/>
      <c r="BE33" s="234"/>
      <c r="BF33" s="234"/>
      <c r="BG33" s="234"/>
      <c r="BH33" s="277"/>
      <c r="BK33" s="276"/>
      <c r="BL33" s="276"/>
      <c r="BM33" s="276"/>
      <c r="BN33" s="276"/>
      <c r="BO33" s="223"/>
      <c r="BP33" s="258"/>
      <c r="CC33" s="234"/>
      <c r="CG33" s="258"/>
      <c r="CH33" s="258"/>
      <c r="CI33" s="258"/>
      <c r="CJ33" s="256"/>
      <c r="CK33" s="258"/>
      <c r="CL33" s="258"/>
      <c r="CM33" s="258"/>
      <c r="CN33" s="258"/>
      <c r="CO33" s="258"/>
      <c r="CP33" s="258"/>
      <c r="CQ33" s="258"/>
      <c r="CR33" s="281"/>
      <c r="CS33" s="258"/>
      <c r="CT33" s="258"/>
      <c r="CU33" s="286"/>
      <c r="DH33" s="278"/>
      <c r="DJ33" s="270"/>
      <c r="DK33" s="1098"/>
      <c r="DL33" s="270"/>
      <c r="DM33" s="270"/>
      <c r="DN33" s="287"/>
      <c r="DO33" s="287"/>
      <c r="DP33" s="270"/>
      <c r="DQ33" s="270"/>
      <c r="DR33" s="270"/>
      <c r="DS33" s="270"/>
      <c r="DT33" s="270"/>
      <c r="DU33" s="1098"/>
      <c r="DV33" s="1098"/>
      <c r="DW33" s="1098"/>
      <c r="DX33" s="1098"/>
      <c r="DY33" s="1098"/>
      <c r="DZ33" s="1098"/>
      <c r="EA33" s="1098"/>
      <c r="EB33" s="1098"/>
      <c r="ED33" s="277"/>
      <c r="EE33" s="277"/>
      <c r="EF33" s="277"/>
      <c r="EH33" s="277"/>
    </row>
    <row r="34" spans="3:138" hidden="1">
      <c r="C34" s="276"/>
      <c r="D34" s="276"/>
      <c r="E34" s="276"/>
      <c r="F34" s="276"/>
      <c r="G34" s="276"/>
      <c r="H34" s="276"/>
      <c r="I34" s="276"/>
      <c r="J34" s="276"/>
      <c r="K34" s="276"/>
      <c r="L34" s="277"/>
      <c r="M34" s="256"/>
      <c r="N34" s="256"/>
      <c r="O34" s="256"/>
      <c r="P34" s="256"/>
      <c r="Q34" s="278"/>
      <c r="R34" s="279"/>
      <c r="S34" s="279"/>
      <c r="T34" s="279"/>
      <c r="AB34" s="280"/>
      <c r="AC34" s="223"/>
      <c r="AD34" s="223"/>
      <c r="AE34" s="223"/>
      <c r="AF34" s="281"/>
      <c r="AG34" s="281"/>
      <c r="AH34" s="281"/>
      <c r="AI34" s="258"/>
      <c r="AJ34" s="258"/>
      <c r="AS34" s="282"/>
      <c r="AT34" s="283"/>
      <c r="AU34" s="282"/>
      <c r="AV34" s="284"/>
      <c r="AX34" s="285"/>
      <c r="AY34" s="285"/>
      <c r="BD34" s="234"/>
      <c r="BE34" s="234"/>
      <c r="BF34" s="234"/>
      <c r="BG34" s="234"/>
      <c r="BH34" s="277"/>
      <c r="BK34" s="276"/>
      <c r="BL34" s="276"/>
      <c r="BM34" s="276"/>
      <c r="BN34" s="276"/>
      <c r="BO34" s="223"/>
      <c r="BP34" s="258"/>
      <c r="CC34" s="234"/>
      <c r="CG34" s="258"/>
      <c r="CH34" s="258"/>
      <c r="CI34" s="258"/>
      <c r="CJ34" s="256"/>
      <c r="CK34" s="258"/>
      <c r="CL34" s="258"/>
      <c r="CM34" s="258"/>
      <c r="CN34" s="258"/>
      <c r="CO34" s="258"/>
      <c r="CP34" s="258"/>
      <c r="CQ34" s="258"/>
      <c r="CR34" s="281"/>
      <c r="CS34" s="258"/>
      <c r="CT34" s="258"/>
      <c r="CU34" s="286"/>
      <c r="DH34" s="278"/>
      <c r="DJ34" s="270"/>
      <c r="DK34" s="1098"/>
      <c r="DL34" s="270"/>
      <c r="DM34" s="270"/>
      <c r="DN34" s="287"/>
      <c r="DO34" s="287"/>
      <c r="DP34" s="270"/>
      <c r="DQ34" s="270"/>
      <c r="DR34" s="270"/>
      <c r="DS34" s="270"/>
      <c r="DT34" s="270"/>
      <c r="DU34" s="1098"/>
      <c r="DV34" s="1098"/>
      <c r="DW34" s="1098"/>
      <c r="DX34" s="1098"/>
      <c r="DY34" s="1098"/>
      <c r="DZ34" s="1098"/>
      <c r="EA34" s="1098"/>
      <c r="EB34" s="1098"/>
      <c r="ED34" s="277"/>
      <c r="EE34" s="277"/>
      <c r="EF34" s="277"/>
      <c r="EH34" s="277"/>
    </row>
    <row r="35" spans="3:138" hidden="1">
      <c r="C35" s="276"/>
      <c r="D35" s="276"/>
      <c r="E35" s="276"/>
      <c r="F35" s="276"/>
      <c r="G35" s="276"/>
      <c r="H35" s="276"/>
      <c r="I35" s="276"/>
      <c r="J35" s="276"/>
      <c r="K35" s="276"/>
      <c r="L35" s="277"/>
      <c r="M35" s="256"/>
      <c r="N35" s="256"/>
      <c r="O35" s="256"/>
      <c r="P35" s="256"/>
      <c r="Q35" s="278"/>
      <c r="R35" s="279"/>
      <c r="S35" s="279"/>
      <c r="T35" s="279"/>
      <c r="AB35" s="280"/>
      <c r="AC35" s="223"/>
      <c r="AD35" s="223"/>
      <c r="AE35" s="223"/>
      <c r="AF35" s="281"/>
      <c r="AG35" s="281"/>
      <c r="AH35" s="281"/>
      <c r="AI35" s="258"/>
      <c r="AJ35" s="258"/>
      <c r="AS35" s="282"/>
      <c r="AT35" s="283"/>
      <c r="AU35" s="282"/>
      <c r="AV35" s="284"/>
      <c r="AX35" s="285"/>
      <c r="AY35" s="285"/>
      <c r="BD35" s="234"/>
      <c r="BE35" s="234"/>
      <c r="BF35" s="234"/>
      <c r="BG35" s="234"/>
      <c r="BH35" s="277"/>
      <c r="BK35" s="276"/>
      <c r="BL35" s="276"/>
      <c r="BM35" s="276"/>
      <c r="BN35" s="276"/>
      <c r="BO35" s="223"/>
      <c r="BP35" s="258"/>
      <c r="CC35" s="234"/>
      <c r="CG35" s="258"/>
      <c r="CH35" s="258"/>
      <c r="CI35" s="258"/>
      <c r="CJ35" s="256"/>
      <c r="CK35" s="258"/>
      <c r="CL35" s="258"/>
      <c r="CM35" s="258"/>
      <c r="CN35" s="258"/>
      <c r="CO35" s="258"/>
      <c r="CP35" s="258"/>
      <c r="CQ35" s="258"/>
      <c r="CR35" s="281"/>
      <c r="CS35" s="258"/>
      <c r="CT35" s="258"/>
      <c r="CU35" s="286"/>
      <c r="DH35" s="278"/>
      <c r="DJ35" s="270"/>
      <c r="DK35" s="1098"/>
      <c r="DL35" s="270"/>
      <c r="DM35" s="270"/>
      <c r="DN35" s="287"/>
      <c r="DO35" s="287"/>
      <c r="DP35" s="270"/>
      <c r="DQ35" s="270"/>
      <c r="DR35" s="270"/>
      <c r="DS35" s="270"/>
      <c r="DT35" s="270"/>
      <c r="DU35" s="1098"/>
      <c r="DV35" s="1098"/>
      <c r="DW35" s="1098"/>
      <c r="DX35" s="1098"/>
      <c r="DY35" s="1098"/>
      <c r="DZ35" s="1098"/>
      <c r="EA35" s="1098"/>
      <c r="EB35" s="1098"/>
      <c r="ED35" s="277"/>
      <c r="EE35" s="277"/>
      <c r="EF35" s="277"/>
      <c r="EH35" s="277"/>
    </row>
    <row r="36" spans="3:138" hidden="1">
      <c r="C36" s="276"/>
      <c r="D36" s="276"/>
      <c r="E36" s="276"/>
      <c r="F36" s="276"/>
      <c r="G36" s="276"/>
      <c r="H36" s="276"/>
      <c r="I36" s="276"/>
      <c r="J36" s="276"/>
      <c r="K36" s="276"/>
      <c r="L36" s="277"/>
      <c r="M36" s="256"/>
      <c r="N36" s="256"/>
      <c r="O36" s="256"/>
      <c r="P36" s="256"/>
      <c r="Q36" s="278"/>
      <c r="R36" s="279"/>
      <c r="S36" s="279"/>
      <c r="T36" s="279"/>
      <c r="AB36" s="280"/>
      <c r="AC36" s="223"/>
      <c r="AD36" s="223"/>
      <c r="AE36" s="223"/>
      <c r="AF36" s="281"/>
      <c r="AG36" s="281"/>
      <c r="AH36" s="281"/>
      <c r="AI36" s="258"/>
      <c r="AJ36" s="258"/>
      <c r="AS36" s="282"/>
      <c r="AT36" s="283"/>
      <c r="AU36" s="282"/>
      <c r="AV36" s="284"/>
      <c r="AX36" s="285"/>
      <c r="AY36" s="285"/>
      <c r="BD36" s="234"/>
      <c r="BE36" s="234"/>
      <c r="BF36" s="234"/>
      <c r="BG36" s="234"/>
      <c r="BH36" s="277"/>
      <c r="BK36" s="276"/>
      <c r="BL36" s="276"/>
      <c r="BM36" s="276"/>
      <c r="BN36" s="276"/>
      <c r="BO36" s="223"/>
      <c r="BP36" s="258"/>
      <c r="CC36" s="234"/>
      <c r="CG36" s="258"/>
      <c r="CH36" s="258"/>
      <c r="CI36" s="258"/>
      <c r="CJ36" s="256"/>
      <c r="CK36" s="258"/>
      <c r="CL36" s="258"/>
      <c r="CM36" s="258"/>
      <c r="CN36" s="258"/>
      <c r="CO36" s="258"/>
      <c r="CP36" s="258"/>
      <c r="CQ36" s="258"/>
      <c r="CR36" s="281"/>
      <c r="CS36" s="258"/>
      <c r="CT36" s="258"/>
      <c r="CU36" s="286"/>
      <c r="DH36" s="278"/>
      <c r="DJ36" s="270"/>
      <c r="DK36" s="1098"/>
      <c r="DL36" s="270"/>
      <c r="DM36" s="270"/>
      <c r="DN36" s="287"/>
      <c r="DO36" s="287"/>
      <c r="DP36" s="270"/>
      <c r="DQ36" s="270"/>
      <c r="DR36" s="270"/>
      <c r="DS36" s="270"/>
      <c r="DT36" s="270"/>
      <c r="DU36" s="1098"/>
      <c r="DV36" s="1098"/>
      <c r="DW36" s="1098"/>
      <c r="DX36" s="1098"/>
      <c r="DY36" s="1098"/>
      <c r="DZ36" s="1098"/>
      <c r="EA36" s="1098"/>
      <c r="EB36" s="1098"/>
      <c r="ED36" s="277"/>
      <c r="EE36" s="277"/>
      <c r="EF36" s="277"/>
      <c r="EH36" s="277"/>
    </row>
    <row r="37" spans="3:138" hidden="1">
      <c r="C37" s="276"/>
      <c r="D37" s="276"/>
      <c r="E37" s="276"/>
      <c r="F37" s="276"/>
      <c r="G37" s="276"/>
      <c r="H37" s="276"/>
      <c r="I37" s="276"/>
      <c r="J37" s="276"/>
      <c r="K37" s="276"/>
      <c r="L37" s="277"/>
      <c r="M37" s="256"/>
      <c r="N37" s="256"/>
      <c r="O37" s="256"/>
      <c r="P37" s="256"/>
      <c r="Q37" s="278"/>
      <c r="R37" s="279"/>
      <c r="S37" s="279"/>
      <c r="T37" s="279"/>
      <c r="AB37" s="280"/>
      <c r="AC37" s="223"/>
      <c r="AD37" s="223"/>
      <c r="AE37" s="223"/>
      <c r="AF37" s="281"/>
      <c r="AG37" s="281"/>
      <c r="AH37" s="281"/>
      <c r="AI37" s="258"/>
      <c r="AJ37" s="258"/>
      <c r="AS37" s="282"/>
      <c r="AT37" s="283"/>
      <c r="AU37" s="282"/>
      <c r="AV37" s="284"/>
      <c r="AX37" s="285"/>
      <c r="AY37" s="285"/>
      <c r="BD37" s="234"/>
      <c r="BE37" s="234"/>
      <c r="BF37" s="234"/>
      <c r="BG37" s="234"/>
      <c r="BH37" s="277"/>
      <c r="BK37" s="276"/>
      <c r="BL37" s="276"/>
      <c r="BM37" s="276"/>
      <c r="BN37" s="276"/>
      <c r="BO37" s="223"/>
      <c r="BP37" s="258"/>
      <c r="CC37" s="234"/>
      <c r="CG37" s="258"/>
      <c r="CH37" s="258"/>
      <c r="CI37" s="258"/>
      <c r="CJ37" s="256"/>
      <c r="CK37" s="258"/>
      <c r="CL37" s="258"/>
      <c r="CM37" s="258"/>
      <c r="CN37" s="258"/>
      <c r="CO37" s="258"/>
      <c r="CP37" s="258"/>
      <c r="CQ37" s="258"/>
      <c r="CR37" s="281"/>
      <c r="CS37" s="258"/>
      <c r="CT37" s="258"/>
      <c r="CU37" s="286"/>
      <c r="DH37" s="278"/>
      <c r="DJ37" s="270"/>
      <c r="DK37" s="1098"/>
      <c r="DL37" s="270"/>
      <c r="DM37" s="270"/>
      <c r="DN37" s="287"/>
      <c r="DO37" s="287"/>
      <c r="DP37" s="270"/>
      <c r="DQ37" s="270"/>
      <c r="DR37" s="270"/>
      <c r="DS37" s="270"/>
      <c r="DT37" s="270"/>
      <c r="DU37" s="1098"/>
      <c r="DV37" s="1098"/>
      <c r="DW37" s="1098"/>
      <c r="DX37" s="1098"/>
      <c r="DY37" s="1098"/>
      <c r="DZ37" s="1098"/>
      <c r="EA37" s="1098"/>
      <c r="EB37" s="1098"/>
      <c r="ED37" s="277"/>
      <c r="EE37" s="277"/>
      <c r="EF37" s="277"/>
      <c r="EH37" s="277"/>
    </row>
    <row r="38" spans="3:138" hidden="1">
      <c r="C38" s="276"/>
      <c r="D38" s="276"/>
      <c r="E38" s="276"/>
      <c r="F38" s="276"/>
      <c r="G38" s="276"/>
      <c r="H38" s="276"/>
      <c r="I38" s="276"/>
      <c r="J38" s="276"/>
      <c r="K38" s="276"/>
      <c r="L38" s="277"/>
      <c r="M38" s="256"/>
      <c r="N38" s="256"/>
      <c r="O38" s="256"/>
      <c r="P38" s="256"/>
      <c r="Q38" s="278"/>
      <c r="R38" s="279"/>
      <c r="S38" s="279"/>
      <c r="T38" s="279"/>
      <c r="AB38" s="280"/>
      <c r="AC38" s="223"/>
      <c r="AD38" s="223"/>
      <c r="AE38" s="223"/>
      <c r="AF38" s="281"/>
      <c r="AG38" s="281"/>
      <c r="AH38" s="281"/>
      <c r="AI38" s="258"/>
      <c r="AJ38" s="258"/>
      <c r="AS38" s="282"/>
      <c r="AT38" s="283"/>
      <c r="AU38" s="282"/>
      <c r="AV38" s="284"/>
      <c r="AX38" s="285"/>
      <c r="AY38" s="285"/>
      <c r="BD38" s="234"/>
      <c r="BE38" s="234"/>
      <c r="BF38" s="234"/>
      <c r="BG38" s="234"/>
      <c r="BH38" s="277"/>
      <c r="BK38" s="276"/>
      <c r="BL38" s="276"/>
      <c r="BM38" s="276"/>
      <c r="BN38" s="276"/>
      <c r="BO38" s="223"/>
      <c r="BP38" s="258"/>
      <c r="CC38" s="234"/>
      <c r="CG38" s="258"/>
      <c r="CH38" s="258"/>
      <c r="CI38" s="258"/>
      <c r="CJ38" s="256"/>
      <c r="CK38" s="258"/>
      <c r="CL38" s="258"/>
      <c r="CM38" s="258"/>
      <c r="CN38" s="258"/>
      <c r="CO38" s="258"/>
      <c r="CP38" s="258"/>
      <c r="CQ38" s="258"/>
      <c r="CR38" s="281"/>
      <c r="CS38" s="258"/>
      <c r="CT38" s="258"/>
      <c r="CU38" s="286"/>
      <c r="DH38" s="278"/>
      <c r="DJ38" s="270"/>
      <c r="DK38" s="1098"/>
      <c r="DL38" s="270"/>
      <c r="DM38" s="270"/>
      <c r="DN38" s="287"/>
      <c r="DO38" s="287"/>
      <c r="DP38" s="270"/>
      <c r="DQ38" s="270"/>
      <c r="DR38" s="270"/>
      <c r="DS38" s="270"/>
      <c r="DT38" s="270"/>
      <c r="DU38" s="1098"/>
      <c r="DV38" s="1098"/>
      <c r="DW38" s="1098"/>
      <c r="DX38" s="1098"/>
      <c r="DY38" s="1098"/>
      <c r="DZ38" s="1098"/>
      <c r="EA38" s="1098"/>
      <c r="EB38" s="1098"/>
      <c r="ED38" s="277"/>
      <c r="EE38" s="277"/>
      <c r="EF38" s="277"/>
      <c r="EH38" s="277"/>
    </row>
    <row r="39" spans="3:138" hidden="1">
      <c r="C39" s="276"/>
      <c r="D39" s="276"/>
      <c r="E39" s="276"/>
      <c r="F39" s="276"/>
      <c r="G39" s="276"/>
      <c r="H39" s="276"/>
      <c r="I39" s="276"/>
      <c r="J39" s="276"/>
      <c r="K39" s="276"/>
      <c r="L39" s="277"/>
      <c r="M39" s="256"/>
      <c r="N39" s="256"/>
      <c r="O39" s="256"/>
      <c r="P39" s="256"/>
      <c r="Q39" s="278"/>
      <c r="R39" s="279"/>
      <c r="S39" s="279"/>
      <c r="T39" s="279"/>
      <c r="AB39" s="280"/>
      <c r="AC39" s="223"/>
      <c r="AD39" s="223"/>
      <c r="AE39" s="223"/>
      <c r="AF39" s="281"/>
      <c r="AG39" s="281"/>
      <c r="AH39" s="281"/>
      <c r="AI39" s="258"/>
      <c r="AJ39" s="258"/>
      <c r="AS39" s="282"/>
      <c r="AT39" s="283"/>
      <c r="AU39" s="282"/>
      <c r="AV39" s="284"/>
      <c r="AX39" s="285"/>
      <c r="AY39" s="285"/>
      <c r="BD39" s="234"/>
      <c r="BE39" s="234"/>
      <c r="BF39" s="234"/>
      <c r="BG39" s="234"/>
      <c r="BH39" s="277"/>
      <c r="BK39" s="276"/>
      <c r="BL39" s="276"/>
      <c r="BM39" s="276"/>
      <c r="BN39" s="276"/>
      <c r="BO39" s="223"/>
      <c r="BP39" s="258"/>
      <c r="CC39" s="234"/>
      <c r="CG39" s="258"/>
      <c r="CH39" s="258"/>
      <c r="CI39" s="258"/>
      <c r="CJ39" s="256"/>
      <c r="CK39" s="258"/>
      <c r="CL39" s="258"/>
      <c r="CM39" s="258"/>
      <c r="CN39" s="258"/>
      <c r="CO39" s="258"/>
      <c r="CP39" s="258"/>
      <c r="CQ39" s="258"/>
      <c r="CR39" s="281"/>
      <c r="CS39" s="258"/>
      <c r="CT39" s="258"/>
      <c r="CU39" s="286"/>
      <c r="DH39" s="278"/>
      <c r="DJ39" s="270"/>
      <c r="DK39" s="1098"/>
      <c r="DL39" s="270"/>
      <c r="DM39" s="270"/>
      <c r="DN39" s="287"/>
      <c r="DO39" s="287"/>
      <c r="DP39" s="270"/>
      <c r="DQ39" s="270"/>
      <c r="DR39" s="270"/>
      <c r="DS39" s="270"/>
      <c r="DT39" s="270"/>
      <c r="DU39" s="1098"/>
      <c r="DV39" s="1098"/>
      <c r="DW39" s="1098"/>
      <c r="DX39" s="1098"/>
      <c r="DY39" s="1098"/>
      <c r="DZ39" s="1098"/>
      <c r="EA39" s="1098"/>
      <c r="EB39" s="1098"/>
      <c r="ED39" s="277"/>
      <c r="EE39" s="277"/>
      <c r="EF39" s="277"/>
      <c r="EH39" s="277"/>
    </row>
    <row r="40" spans="3:138" hidden="1">
      <c r="C40" s="276"/>
      <c r="D40" s="276"/>
      <c r="E40" s="276"/>
      <c r="F40" s="276"/>
      <c r="G40" s="276"/>
      <c r="H40" s="276"/>
      <c r="I40" s="276"/>
      <c r="J40" s="276"/>
      <c r="K40" s="276"/>
      <c r="L40" s="277"/>
      <c r="M40" s="256"/>
      <c r="N40" s="256"/>
      <c r="O40" s="256"/>
      <c r="P40" s="256"/>
      <c r="Q40" s="278"/>
      <c r="R40" s="279"/>
      <c r="S40" s="279"/>
      <c r="T40" s="279"/>
      <c r="AB40" s="280"/>
      <c r="AC40" s="223"/>
      <c r="AD40" s="223"/>
      <c r="AE40" s="223"/>
      <c r="AF40" s="281"/>
      <c r="AG40" s="281"/>
      <c r="AH40" s="281"/>
      <c r="AI40" s="258"/>
      <c r="AJ40" s="258"/>
      <c r="AS40" s="282"/>
      <c r="AT40" s="283"/>
      <c r="AU40" s="282"/>
      <c r="AV40" s="284"/>
      <c r="AX40" s="285"/>
      <c r="AY40" s="285"/>
      <c r="BD40" s="234"/>
      <c r="BE40" s="234"/>
      <c r="BF40" s="234"/>
      <c r="BG40" s="234"/>
      <c r="BH40" s="277"/>
      <c r="BK40" s="276"/>
      <c r="BL40" s="276"/>
      <c r="BM40" s="276"/>
      <c r="BN40" s="276"/>
      <c r="BO40" s="223"/>
      <c r="BP40" s="258"/>
      <c r="CC40" s="234"/>
      <c r="CG40" s="258"/>
      <c r="CH40" s="258"/>
      <c r="CI40" s="258"/>
      <c r="CJ40" s="256"/>
      <c r="CK40" s="258"/>
      <c r="CL40" s="258"/>
      <c r="CM40" s="258"/>
      <c r="CN40" s="258"/>
      <c r="CO40" s="258"/>
      <c r="CP40" s="258"/>
      <c r="CQ40" s="258"/>
      <c r="CR40" s="281"/>
      <c r="CS40" s="258"/>
      <c r="CT40" s="258"/>
      <c r="CU40" s="286"/>
      <c r="DH40" s="278"/>
      <c r="DJ40" s="270"/>
      <c r="DK40" s="1098"/>
      <c r="DL40" s="270"/>
      <c r="DM40" s="270"/>
      <c r="DN40" s="287"/>
      <c r="DO40" s="287"/>
      <c r="DP40" s="270"/>
      <c r="DQ40" s="270"/>
      <c r="DR40" s="270"/>
      <c r="DS40" s="270"/>
      <c r="DT40" s="270"/>
      <c r="DU40" s="1098"/>
      <c r="DV40" s="1098"/>
      <c r="DW40" s="1098"/>
      <c r="DX40" s="1098"/>
      <c r="DY40" s="1098"/>
      <c r="DZ40" s="1098"/>
      <c r="EA40" s="1098"/>
      <c r="EB40" s="1098"/>
      <c r="ED40" s="277"/>
      <c r="EE40" s="277"/>
      <c r="EF40" s="277"/>
      <c r="EH40" s="277"/>
    </row>
    <row r="41" spans="3:138" hidden="1">
      <c r="C41" s="276"/>
      <c r="D41" s="276"/>
      <c r="E41" s="276"/>
      <c r="F41" s="276"/>
      <c r="G41" s="276"/>
      <c r="H41" s="276"/>
      <c r="I41" s="276"/>
      <c r="J41" s="276"/>
      <c r="K41" s="276"/>
      <c r="L41" s="277"/>
      <c r="M41" s="256"/>
      <c r="N41" s="256"/>
      <c r="O41" s="256"/>
      <c r="P41" s="256"/>
      <c r="Q41" s="278"/>
      <c r="R41" s="279"/>
      <c r="S41" s="279"/>
      <c r="T41" s="279"/>
      <c r="AB41" s="280"/>
      <c r="AC41" s="223"/>
      <c r="AD41" s="223"/>
      <c r="AE41" s="223"/>
      <c r="AF41" s="281"/>
      <c r="AG41" s="281"/>
      <c r="AH41" s="281"/>
      <c r="AI41" s="258"/>
      <c r="AJ41" s="258"/>
      <c r="AS41" s="282"/>
      <c r="AT41" s="283"/>
      <c r="AU41" s="282"/>
      <c r="AV41" s="284"/>
      <c r="AX41" s="285"/>
      <c r="AY41" s="285"/>
      <c r="BD41" s="234"/>
      <c r="BE41" s="234"/>
      <c r="BF41" s="234"/>
      <c r="BG41" s="234"/>
      <c r="BH41" s="277"/>
      <c r="BK41" s="276"/>
      <c r="BL41" s="276"/>
      <c r="BM41" s="276"/>
      <c r="BN41" s="276"/>
      <c r="BO41" s="223"/>
      <c r="BP41" s="258"/>
      <c r="CC41" s="234"/>
      <c r="CG41" s="258"/>
      <c r="CH41" s="258"/>
      <c r="CI41" s="258"/>
      <c r="CJ41" s="256"/>
      <c r="CK41" s="258"/>
      <c r="CL41" s="258"/>
      <c r="CM41" s="258"/>
      <c r="CN41" s="258"/>
      <c r="CO41" s="258"/>
      <c r="CP41" s="258"/>
      <c r="CQ41" s="258"/>
      <c r="CR41" s="281"/>
      <c r="CS41" s="258"/>
      <c r="CT41" s="258"/>
      <c r="CU41" s="286"/>
      <c r="DH41" s="278"/>
      <c r="DJ41" s="270"/>
      <c r="DK41" s="1098"/>
      <c r="DL41" s="270"/>
      <c r="DM41" s="270"/>
      <c r="DN41" s="287"/>
      <c r="DO41" s="287"/>
      <c r="DP41" s="270"/>
      <c r="DQ41" s="270"/>
      <c r="DR41" s="270"/>
      <c r="DS41" s="270"/>
      <c r="DT41" s="270"/>
      <c r="DU41" s="1098"/>
      <c r="DV41" s="1098"/>
      <c r="DW41" s="1098"/>
      <c r="DX41" s="1098"/>
      <c r="DY41" s="1098"/>
      <c r="DZ41" s="1098"/>
      <c r="EA41" s="1098"/>
      <c r="EB41" s="1098"/>
      <c r="ED41" s="277"/>
      <c r="EE41" s="277"/>
      <c r="EF41" s="277"/>
      <c r="EH41" s="277"/>
    </row>
    <row r="42" spans="3:138" hidden="1">
      <c r="C42" s="276"/>
      <c r="D42" s="276"/>
      <c r="E42" s="276"/>
      <c r="F42" s="276"/>
      <c r="G42" s="276"/>
      <c r="H42" s="276"/>
      <c r="I42" s="276"/>
      <c r="J42" s="276"/>
      <c r="K42" s="276"/>
      <c r="L42" s="277"/>
      <c r="M42" s="256"/>
      <c r="N42" s="256"/>
      <c r="O42" s="256"/>
      <c r="P42" s="256"/>
      <c r="Q42" s="278"/>
      <c r="R42" s="279"/>
      <c r="S42" s="279"/>
      <c r="T42" s="279"/>
      <c r="AB42" s="280"/>
      <c r="AC42" s="223"/>
      <c r="AD42" s="223"/>
      <c r="AE42" s="223"/>
      <c r="AF42" s="281"/>
      <c r="AG42" s="281"/>
      <c r="AH42" s="281"/>
      <c r="AI42" s="258"/>
      <c r="AJ42" s="258"/>
      <c r="AS42" s="282"/>
      <c r="AT42" s="283"/>
      <c r="AU42" s="282"/>
      <c r="AV42" s="284"/>
      <c r="AX42" s="285"/>
      <c r="AY42" s="285"/>
      <c r="BD42" s="234"/>
      <c r="BE42" s="234"/>
      <c r="BF42" s="234"/>
      <c r="BG42" s="234"/>
      <c r="BH42" s="277"/>
      <c r="BK42" s="276"/>
      <c r="BL42" s="276"/>
      <c r="BM42" s="276"/>
      <c r="BN42" s="276"/>
      <c r="BO42" s="223"/>
      <c r="BP42" s="258"/>
      <c r="CC42" s="234"/>
      <c r="CG42" s="258"/>
      <c r="CH42" s="258"/>
      <c r="CI42" s="258"/>
      <c r="CJ42" s="256"/>
      <c r="CK42" s="258"/>
      <c r="CL42" s="258"/>
      <c r="CM42" s="258"/>
      <c r="CN42" s="258"/>
      <c r="CO42" s="258"/>
      <c r="CP42" s="258"/>
      <c r="CQ42" s="258"/>
      <c r="CR42" s="281"/>
      <c r="CS42" s="258"/>
      <c r="CT42" s="258"/>
      <c r="CU42" s="286"/>
      <c r="DH42" s="278"/>
      <c r="DJ42" s="270"/>
      <c r="DK42" s="1098"/>
      <c r="DL42" s="270"/>
      <c r="DM42" s="270"/>
      <c r="DN42" s="287"/>
      <c r="DO42" s="287"/>
      <c r="DP42" s="270"/>
      <c r="DQ42" s="270"/>
      <c r="DR42" s="270"/>
      <c r="DS42" s="270"/>
      <c r="DT42" s="270"/>
      <c r="DU42" s="1098"/>
      <c r="DV42" s="1098"/>
      <c r="DW42" s="1098"/>
      <c r="DX42" s="1098"/>
      <c r="DY42" s="1098"/>
      <c r="DZ42" s="1098"/>
      <c r="EA42" s="1098"/>
      <c r="EB42" s="1098"/>
      <c r="ED42" s="277"/>
      <c r="EE42" s="277"/>
      <c r="EF42" s="277"/>
      <c r="EH42" s="277"/>
    </row>
    <row r="43" spans="3:138" hidden="1">
      <c r="C43" s="276"/>
      <c r="D43" s="276"/>
      <c r="E43" s="276"/>
      <c r="F43" s="276"/>
      <c r="G43" s="276"/>
      <c r="H43" s="276"/>
      <c r="I43" s="276"/>
      <c r="J43" s="276"/>
      <c r="K43" s="276"/>
      <c r="L43" s="277"/>
      <c r="M43" s="256"/>
      <c r="N43" s="256"/>
      <c r="O43" s="256"/>
      <c r="P43" s="256"/>
      <c r="Q43" s="278"/>
      <c r="R43" s="279"/>
      <c r="S43" s="279"/>
      <c r="T43" s="279"/>
      <c r="AB43" s="280"/>
      <c r="AC43" s="223"/>
      <c r="AD43" s="223"/>
      <c r="AE43" s="223"/>
      <c r="AF43" s="281"/>
      <c r="AG43" s="281"/>
      <c r="AH43" s="281"/>
      <c r="AI43" s="258"/>
      <c r="AJ43" s="258"/>
      <c r="AS43" s="282"/>
      <c r="AT43" s="283"/>
      <c r="AU43" s="282"/>
      <c r="AV43" s="284"/>
      <c r="AX43" s="285"/>
      <c r="AY43" s="285"/>
      <c r="BD43" s="234"/>
      <c r="BE43" s="234"/>
      <c r="BF43" s="234"/>
      <c r="BG43" s="234"/>
      <c r="BH43" s="277"/>
      <c r="BK43" s="276"/>
      <c r="BL43" s="276"/>
      <c r="BM43" s="276"/>
      <c r="BN43" s="276"/>
      <c r="BO43" s="223"/>
      <c r="BP43" s="258"/>
      <c r="CC43" s="234"/>
      <c r="CG43" s="258"/>
      <c r="CH43" s="258"/>
      <c r="CI43" s="258"/>
      <c r="CJ43" s="256"/>
      <c r="CK43" s="258"/>
      <c r="CL43" s="258"/>
      <c r="CM43" s="258"/>
      <c r="CN43" s="258"/>
      <c r="CO43" s="258"/>
      <c r="CP43" s="258"/>
      <c r="CQ43" s="258"/>
      <c r="CR43" s="281"/>
      <c r="CS43" s="258"/>
      <c r="CT43" s="258"/>
      <c r="CU43" s="286"/>
      <c r="DH43" s="278"/>
      <c r="DJ43" s="270"/>
      <c r="DK43" s="1098"/>
      <c r="DL43" s="270"/>
      <c r="DM43" s="270"/>
      <c r="DN43" s="287"/>
      <c r="DO43" s="287"/>
      <c r="DP43" s="270"/>
      <c r="DQ43" s="270"/>
      <c r="DR43" s="270"/>
      <c r="DS43" s="270"/>
      <c r="DT43" s="270"/>
      <c r="DU43" s="1098"/>
      <c r="DV43" s="1098"/>
      <c r="DW43" s="1098"/>
      <c r="DX43" s="1098"/>
      <c r="DY43" s="1098"/>
      <c r="DZ43" s="1098"/>
      <c r="EA43" s="1098"/>
      <c r="EB43" s="1098"/>
      <c r="ED43" s="277"/>
      <c r="EE43" s="277"/>
      <c r="EF43" s="277"/>
      <c r="EH43" s="277"/>
    </row>
    <row r="44" spans="3:138" hidden="1">
      <c r="C44" s="276"/>
      <c r="D44" s="276"/>
      <c r="E44" s="276"/>
      <c r="F44" s="276"/>
      <c r="G44" s="276"/>
      <c r="H44" s="276"/>
      <c r="I44" s="276"/>
      <c r="J44" s="276"/>
      <c r="K44" s="276"/>
      <c r="L44" s="277"/>
      <c r="M44" s="256"/>
      <c r="N44" s="256"/>
      <c r="O44" s="256"/>
      <c r="P44" s="256"/>
      <c r="Q44" s="278"/>
      <c r="R44" s="279"/>
      <c r="S44" s="279"/>
      <c r="T44" s="279"/>
      <c r="AB44" s="280"/>
      <c r="AC44" s="223"/>
      <c r="AD44" s="223"/>
      <c r="AE44" s="223"/>
      <c r="AF44" s="281"/>
      <c r="AG44" s="281"/>
      <c r="AH44" s="281"/>
      <c r="AI44" s="258"/>
      <c r="AJ44" s="258"/>
      <c r="AS44" s="282"/>
      <c r="AT44" s="283"/>
      <c r="AU44" s="282"/>
      <c r="AV44" s="284"/>
      <c r="AX44" s="285"/>
      <c r="AY44" s="285"/>
      <c r="BD44" s="234"/>
      <c r="BE44" s="234"/>
      <c r="BF44" s="234"/>
      <c r="BG44" s="234"/>
      <c r="BH44" s="277"/>
      <c r="BK44" s="276"/>
      <c r="BL44" s="276"/>
      <c r="BM44" s="276"/>
      <c r="BN44" s="276"/>
      <c r="BO44" s="223"/>
      <c r="BP44" s="258"/>
      <c r="CC44" s="234"/>
      <c r="CG44" s="258"/>
      <c r="CH44" s="258"/>
      <c r="CI44" s="258"/>
      <c r="CJ44" s="256"/>
      <c r="CK44" s="258"/>
      <c r="CL44" s="258"/>
      <c r="CM44" s="258"/>
      <c r="CN44" s="258"/>
      <c r="CO44" s="258"/>
      <c r="CP44" s="258"/>
      <c r="CQ44" s="258"/>
      <c r="CR44" s="281"/>
      <c r="CS44" s="258"/>
      <c r="CT44" s="258"/>
      <c r="CU44" s="286"/>
      <c r="DH44" s="278"/>
      <c r="DJ44" s="270"/>
      <c r="DK44" s="1098"/>
      <c r="DL44" s="270"/>
      <c r="DM44" s="270"/>
      <c r="DN44" s="287"/>
      <c r="DO44" s="287"/>
      <c r="DP44" s="270"/>
      <c r="DQ44" s="270"/>
      <c r="DR44" s="270"/>
      <c r="DS44" s="270"/>
      <c r="DT44" s="270"/>
      <c r="DU44" s="1098"/>
      <c r="DV44" s="1098"/>
      <c r="DW44" s="1098"/>
      <c r="DX44" s="1098"/>
      <c r="DY44" s="1098"/>
      <c r="DZ44" s="1098"/>
      <c r="EA44" s="1098"/>
      <c r="EB44" s="1098"/>
      <c r="ED44" s="277"/>
      <c r="EE44" s="277"/>
      <c r="EF44" s="277"/>
      <c r="EH44" s="277"/>
    </row>
    <row r="45" spans="3:138" hidden="1">
      <c r="C45" s="276"/>
      <c r="D45" s="276"/>
      <c r="E45" s="276"/>
      <c r="F45" s="276"/>
      <c r="G45" s="276"/>
      <c r="H45" s="276"/>
      <c r="I45" s="276"/>
      <c r="J45" s="276"/>
      <c r="K45" s="276"/>
      <c r="L45" s="277"/>
      <c r="M45" s="256"/>
      <c r="N45" s="256"/>
      <c r="O45" s="256"/>
      <c r="P45" s="256"/>
      <c r="Q45" s="278"/>
      <c r="R45" s="279"/>
      <c r="S45" s="279"/>
      <c r="T45" s="279"/>
      <c r="AB45" s="280"/>
      <c r="AC45" s="223"/>
      <c r="AD45" s="223"/>
      <c r="AE45" s="223"/>
      <c r="AF45" s="281"/>
      <c r="AG45" s="281"/>
      <c r="AH45" s="281"/>
      <c r="AI45" s="258"/>
      <c r="AJ45" s="258"/>
      <c r="AS45" s="282"/>
      <c r="AT45" s="283"/>
      <c r="AU45" s="282"/>
      <c r="AV45" s="284"/>
      <c r="AX45" s="285"/>
      <c r="AY45" s="285"/>
      <c r="BD45" s="234"/>
      <c r="BE45" s="234"/>
      <c r="BF45" s="234"/>
      <c r="BG45" s="234"/>
      <c r="BH45" s="277"/>
      <c r="BK45" s="276"/>
      <c r="BL45" s="276"/>
      <c r="BM45" s="276"/>
      <c r="BN45" s="276"/>
      <c r="BO45" s="223"/>
      <c r="BP45" s="258"/>
      <c r="CC45" s="234"/>
      <c r="CG45" s="258"/>
      <c r="CH45" s="258"/>
      <c r="CI45" s="258"/>
      <c r="CJ45" s="256"/>
      <c r="CK45" s="258"/>
      <c r="CL45" s="258"/>
      <c r="CM45" s="258"/>
      <c r="CN45" s="258"/>
      <c r="CO45" s="258"/>
      <c r="CP45" s="258"/>
      <c r="CQ45" s="258"/>
      <c r="CR45" s="281"/>
      <c r="CS45" s="258"/>
      <c r="CT45" s="258"/>
      <c r="CU45" s="286"/>
      <c r="DH45" s="278"/>
      <c r="DJ45" s="270"/>
      <c r="DK45" s="1098"/>
      <c r="DL45" s="270"/>
      <c r="DM45" s="270"/>
      <c r="DN45" s="287"/>
      <c r="DO45" s="287"/>
      <c r="DP45" s="270"/>
      <c r="DQ45" s="270"/>
      <c r="DR45" s="270"/>
      <c r="DS45" s="270"/>
      <c r="DT45" s="270"/>
      <c r="DU45" s="1098"/>
      <c r="DV45" s="1098"/>
      <c r="DW45" s="1098"/>
      <c r="DX45" s="1098"/>
      <c r="DY45" s="1098"/>
      <c r="DZ45" s="1098"/>
      <c r="EA45" s="1098"/>
      <c r="EB45" s="1098"/>
      <c r="ED45" s="277"/>
      <c r="EE45" s="277"/>
      <c r="EF45" s="277"/>
      <c r="EH45" s="277"/>
    </row>
    <row r="46" spans="3:138" hidden="1">
      <c r="C46" s="276"/>
      <c r="D46" s="276"/>
      <c r="E46" s="276"/>
      <c r="F46" s="276"/>
      <c r="G46" s="276"/>
      <c r="H46" s="276"/>
      <c r="I46" s="276"/>
      <c r="J46" s="276"/>
      <c r="K46" s="276"/>
      <c r="L46" s="277"/>
      <c r="M46" s="256"/>
      <c r="N46" s="256"/>
      <c r="O46" s="256"/>
      <c r="P46" s="256"/>
      <c r="Q46" s="278"/>
      <c r="R46" s="279"/>
      <c r="S46" s="279"/>
      <c r="T46" s="279"/>
      <c r="AB46" s="280"/>
      <c r="AC46" s="223"/>
      <c r="AD46" s="223"/>
      <c r="AE46" s="223"/>
      <c r="AF46" s="281"/>
      <c r="AG46" s="281"/>
      <c r="AH46" s="281"/>
      <c r="AI46" s="258"/>
      <c r="AJ46" s="258"/>
      <c r="AS46" s="282"/>
      <c r="AT46" s="283"/>
      <c r="AU46" s="282"/>
      <c r="AV46" s="284"/>
      <c r="AX46" s="285"/>
      <c r="AY46" s="285"/>
      <c r="BD46" s="234"/>
      <c r="BE46" s="234"/>
      <c r="BF46" s="234"/>
      <c r="BG46" s="234"/>
      <c r="BH46" s="277"/>
      <c r="BK46" s="276"/>
      <c r="BL46" s="276"/>
      <c r="BM46" s="276"/>
      <c r="BN46" s="276"/>
      <c r="BO46" s="223"/>
      <c r="BP46" s="258"/>
      <c r="CC46" s="234"/>
      <c r="CG46" s="258"/>
      <c r="CH46" s="258"/>
      <c r="CI46" s="258"/>
      <c r="CJ46" s="256"/>
      <c r="CK46" s="258"/>
      <c r="CL46" s="258"/>
      <c r="CM46" s="258"/>
      <c r="CN46" s="258"/>
      <c r="CO46" s="258"/>
      <c r="CP46" s="258"/>
      <c r="CQ46" s="258"/>
      <c r="CR46" s="281"/>
      <c r="CS46" s="258"/>
      <c r="CT46" s="258"/>
      <c r="CU46" s="286"/>
      <c r="DH46" s="278"/>
      <c r="DJ46" s="270"/>
      <c r="DK46" s="1098"/>
      <c r="DL46" s="270"/>
      <c r="DM46" s="270"/>
      <c r="DN46" s="287"/>
      <c r="DO46" s="287"/>
      <c r="DP46" s="270"/>
      <c r="DQ46" s="270"/>
      <c r="DR46" s="270"/>
      <c r="DS46" s="270"/>
      <c r="DT46" s="270"/>
      <c r="DU46" s="1098"/>
      <c r="DV46" s="1098"/>
      <c r="DW46" s="1098"/>
      <c r="DX46" s="1098"/>
      <c r="DY46" s="1098"/>
      <c r="DZ46" s="1098"/>
      <c r="EA46" s="1098"/>
      <c r="EB46" s="1098"/>
      <c r="ED46" s="277"/>
      <c r="EE46" s="277"/>
      <c r="EF46" s="277"/>
      <c r="EH46" s="277"/>
    </row>
    <row r="47" spans="3:138" hidden="1">
      <c r="C47" s="276"/>
      <c r="D47" s="276"/>
      <c r="E47" s="276"/>
      <c r="F47" s="276"/>
      <c r="G47" s="276"/>
      <c r="H47" s="276"/>
      <c r="I47" s="276"/>
      <c r="J47" s="276"/>
      <c r="K47" s="276"/>
      <c r="L47" s="277"/>
      <c r="M47" s="256"/>
      <c r="N47" s="256"/>
      <c r="O47" s="256"/>
      <c r="P47" s="256"/>
      <c r="Q47" s="278"/>
      <c r="R47" s="279"/>
      <c r="S47" s="279"/>
      <c r="T47" s="279"/>
      <c r="AB47" s="280"/>
      <c r="AC47" s="223"/>
      <c r="AD47" s="223"/>
      <c r="AE47" s="223"/>
      <c r="AF47" s="281"/>
      <c r="AG47" s="281"/>
      <c r="AH47" s="281"/>
      <c r="AI47" s="258"/>
      <c r="AJ47" s="258"/>
      <c r="AS47" s="282"/>
      <c r="AT47" s="283"/>
      <c r="AU47" s="282"/>
      <c r="AV47" s="284"/>
      <c r="AX47" s="285"/>
      <c r="AY47" s="285"/>
      <c r="BD47" s="234"/>
      <c r="BE47" s="234"/>
      <c r="BF47" s="234"/>
      <c r="BG47" s="234"/>
      <c r="BH47" s="277"/>
      <c r="BK47" s="276"/>
      <c r="BL47" s="276"/>
      <c r="BM47" s="276"/>
      <c r="BN47" s="276"/>
      <c r="BO47" s="223"/>
      <c r="BP47" s="258"/>
      <c r="CC47" s="234"/>
      <c r="CG47" s="258"/>
      <c r="CH47" s="258"/>
      <c r="CI47" s="258"/>
      <c r="CJ47" s="256"/>
      <c r="CK47" s="258"/>
      <c r="CL47" s="258"/>
      <c r="CM47" s="258"/>
      <c r="CN47" s="258"/>
      <c r="CO47" s="258"/>
      <c r="CP47" s="258"/>
      <c r="CQ47" s="258"/>
      <c r="CR47" s="281"/>
      <c r="CS47" s="258"/>
      <c r="CT47" s="258"/>
      <c r="CU47" s="286"/>
      <c r="DH47" s="278"/>
      <c r="DJ47" s="270"/>
      <c r="DK47" s="1098"/>
      <c r="DL47" s="270"/>
      <c r="DM47" s="270"/>
      <c r="DN47" s="287"/>
      <c r="DO47" s="287"/>
      <c r="DP47" s="270"/>
      <c r="DQ47" s="270"/>
      <c r="DR47" s="270"/>
      <c r="DS47" s="270"/>
      <c r="DT47" s="270"/>
      <c r="DU47" s="1098"/>
      <c r="DV47" s="1098"/>
      <c r="DW47" s="1098"/>
      <c r="DX47" s="1098"/>
      <c r="DY47" s="1098"/>
      <c r="DZ47" s="1098"/>
      <c r="EA47" s="1098"/>
      <c r="EB47" s="1098"/>
      <c r="ED47" s="277"/>
      <c r="EE47" s="277"/>
      <c r="EF47" s="277"/>
      <c r="EH47" s="277"/>
    </row>
    <row r="48" spans="3:138" hidden="1">
      <c r="C48" s="276"/>
      <c r="D48" s="276"/>
      <c r="E48" s="276"/>
      <c r="F48" s="276"/>
      <c r="G48" s="276"/>
      <c r="H48" s="276"/>
      <c r="I48" s="276"/>
      <c r="J48" s="276"/>
      <c r="K48" s="276"/>
      <c r="L48" s="277"/>
      <c r="M48" s="256"/>
      <c r="N48" s="256"/>
      <c r="O48" s="256"/>
      <c r="P48" s="256"/>
      <c r="Q48" s="278"/>
      <c r="R48" s="279"/>
      <c r="S48" s="279"/>
      <c r="T48" s="279"/>
      <c r="AB48" s="280"/>
      <c r="AC48" s="223"/>
      <c r="AD48" s="223"/>
      <c r="AE48" s="223"/>
      <c r="AF48" s="281"/>
      <c r="AG48" s="281"/>
      <c r="AH48" s="281"/>
      <c r="AI48" s="258"/>
      <c r="AJ48" s="258"/>
      <c r="AS48" s="282"/>
      <c r="AT48" s="283"/>
      <c r="AU48" s="282"/>
      <c r="AV48" s="284"/>
      <c r="AX48" s="285"/>
      <c r="AY48" s="285"/>
      <c r="BD48" s="234"/>
      <c r="BE48" s="234"/>
      <c r="BF48" s="234"/>
      <c r="BG48" s="234"/>
      <c r="BH48" s="277"/>
      <c r="BK48" s="276"/>
      <c r="BL48" s="276"/>
      <c r="BM48" s="276"/>
      <c r="BN48" s="276"/>
      <c r="BO48" s="223"/>
      <c r="BP48" s="258"/>
      <c r="CC48" s="234"/>
      <c r="CG48" s="258"/>
      <c r="CH48" s="258"/>
      <c r="CI48" s="258"/>
      <c r="CJ48" s="256"/>
      <c r="CK48" s="258"/>
      <c r="CL48" s="258"/>
      <c r="CM48" s="258"/>
      <c r="CN48" s="258"/>
      <c r="CO48" s="258"/>
      <c r="CP48" s="258"/>
      <c r="CQ48" s="258"/>
      <c r="CR48" s="281"/>
      <c r="CS48" s="258"/>
      <c r="CT48" s="258"/>
      <c r="CU48" s="286"/>
      <c r="DH48" s="278"/>
      <c r="DJ48" s="270"/>
      <c r="DK48" s="1098"/>
      <c r="DL48" s="270"/>
      <c r="DM48" s="270"/>
      <c r="DN48" s="287"/>
      <c r="DO48" s="287"/>
      <c r="DP48" s="270"/>
      <c r="DQ48" s="270"/>
      <c r="DR48" s="270"/>
      <c r="DS48" s="270"/>
      <c r="DT48" s="270"/>
      <c r="DU48" s="1098"/>
      <c r="DV48" s="1098"/>
      <c r="DW48" s="1098"/>
      <c r="DX48" s="1098"/>
      <c r="DY48" s="1098"/>
      <c r="DZ48" s="1098"/>
      <c r="EA48" s="1098"/>
      <c r="EB48" s="1098"/>
      <c r="ED48" s="277"/>
      <c r="EE48" s="277"/>
      <c r="EF48" s="277"/>
      <c r="EH48" s="277"/>
    </row>
    <row r="49" spans="1:191" hidden="1">
      <c r="C49" s="276"/>
      <c r="D49" s="276"/>
      <c r="E49" s="276"/>
      <c r="F49" s="276"/>
      <c r="G49" s="276"/>
      <c r="H49" s="276"/>
      <c r="I49" s="276"/>
      <c r="J49" s="276"/>
      <c r="K49" s="276"/>
      <c r="L49" s="277"/>
      <c r="M49" s="256"/>
      <c r="N49" s="256"/>
      <c r="O49" s="256"/>
      <c r="P49" s="256"/>
      <c r="Q49" s="278"/>
      <c r="R49" s="279"/>
      <c r="S49" s="279"/>
      <c r="T49" s="279"/>
      <c r="AB49" s="280"/>
      <c r="AC49" s="223"/>
      <c r="AD49" s="223"/>
      <c r="AE49" s="223"/>
      <c r="AF49" s="281"/>
      <c r="AG49" s="281"/>
      <c r="AH49" s="281"/>
      <c r="AI49" s="258"/>
      <c r="AJ49" s="258"/>
      <c r="AS49" s="282"/>
      <c r="AT49" s="283"/>
      <c r="AU49" s="282"/>
      <c r="AV49" s="284"/>
      <c r="AX49" s="285"/>
      <c r="AY49" s="285"/>
      <c r="BD49" s="234"/>
      <c r="BE49" s="234"/>
      <c r="BF49" s="234"/>
      <c r="BG49" s="234"/>
      <c r="BH49" s="277"/>
      <c r="BK49" s="276"/>
      <c r="BL49" s="276"/>
      <c r="BM49" s="276"/>
      <c r="BN49" s="276"/>
      <c r="BO49" s="223"/>
      <c r="BP49" s="258"/>
      <c r="CC49" s="234"/>
      <c r="CG49" s="258"/>
      <c r="CH49" s="258"/>
      <c r="CI49" s="258"/>
      <c r="CJ49" s="256"/>
      <c r="CK49" s="258"/>
      <c r="CL49" s="258"/>
      <c r="CM49" s="258"/>
      <c r="CN49" s="258"/>
      <c r="CO49" s="258"/>
      <c r="CP49" s="258"/>
      <c r="CQ49" s="258"/>
      <c r="CR49" s="281"/>
      <c r="CS49" s="258"/>
      <c r="CT49" s="258"/>
      <c r="CU49" s="286"/>
      <c r="DH49" s="278"/>
      <c r="DJ49" s="270"/>
      <c r="DK49" s="1098"/>
      <c r="DL49" s="270"/>
      <c r="DM49" s="270"/>
      <c r="DN49" s="287"/>
      <c r="DO49" s="287"/>
      <c r="DP49" s="270"/>
      <c r="DQ49" s="270"/>
      <c r="DR49" s="270"/>
      <c r="DS49" s="270"/>
      <c r="DT49" s="270"/>
      <c r="DU49" s="1098"/>
      <c r="DV49" s="1098"/>
      <c r="DW49" s="1098"/>
      <c r="DX49" s="1098"/>
      <c r="DY49" s="1098"/>
      <c r="DZ49" s="1098"/>
      <c r="EA49" s="1098"/>
      <c r="EB49" s="1098"/>
      <c r="ED49" s="277"/>
      <c r="EE49" s="277"/>
      <c r="EF49" s="277"/>
      <c r="EH49" s="277"/>
    </row>
    <row r="50" spans="1:191" hidden="1">
      <c r="C50" s="276"/>
      <c r="D50" s="276"/>
      <c r="E50" s="276"/>
      <c r="F50" s="276"/>
      <c r="G50" s="276"/>
      <c r="H50" s="276"/>
      <c r="I50" s="276"/>
      <c r="J50" s="276"/>
      <c r="K50" s="276"/>
      <c r="L50" s="277"/>
      <c r="M50" s="256"/>
      <c r="N50" s="256"/>
      <c r="O50" s="256"/>
      <c r="P50" s="256"/>
      <c r="Q50" s="278"/>
      <c r="R50" s="279"/>
      <c r="S50" s="279"/>
      <c r="T50" s="279"/>
      <c r="AB50" s="280"/>
      <c r="AC50" s="223"/>
      <c r="AD50" s="223"/>
      <c r="AE50" s="223"/>
      <c r="AF50" s="281"/>
      <c r="AG50" s="281"/>
      <c r="AH50" s="281"/>
      <c r="AI50" s="258"/>
      <c r="AJ50" s="258"/>
      <c r="AS50" s="282"/>
      <c r="AT50" s="283"/>
      <c r="AU50" s="282"/>
      <c r="AV50" s="284"/>
      <c r="AX50" s="285"/>
      <c r="AY50" s="285"/>
      <c r="BD50" s="234"/>
      <c r="BE50" s="234"/>
      <c r="BF50" s="234"/>
      <c r="BG50" s="234"/>
      <c r="BH50" s="277"/>
      <c r="BK50" s="276"/>
      <c r="BL50" s="276"/>
      <c r="BM50" s="276"/>
      <c r="BN50" s="276"/>
      <c r="BO50" s="223"/>
      <c r="BP50" s="258"/>
      <c r="CC50" s="234"/>
      <c r="CG50" s="258"/>
      <c r="CH50" s="258"/>
      <c r="CI50" s="258"/>
      <c r="CJ50" s="256"/>
      <c r="CK50" s="258"/>
      <c r="CL50" s="258"/>
      <c r="CM50" s="258"/>
      <c r="CN50" s="258"/>
      <c r="CO50" s="258"/>
      <c r="CP50" s="258"/>
      <c r="CQ50" s="258"/>
      <c r="CR50" s="281"/>
      <c r="CS50" s="258"/>
      <c r="CT50" s="258"/>
      <c r="CU50" s="286"/>
      <c r="DH50" s="278"/>
      <c r="DJ50" s="270"/>
      <c r="DK50" s="1098"/>
      <c r="DL50" s="270"/>
      <c r="DM50" s="270"/>
      <c r="DN50" s="287"/>
      <c r="DO50" s="287"/>
      <c r="DP50" s="270"/>
      <c r="DQ50" s="270"/>
      <c r="DR50" s="270"/>
      <c r="DS50" s="270"/>
      <c r="DT50" s="270"/>
      <c r="DU50" s="1098"/>
      <c r="DV50" s="1098"/>
      <c r="DW50" s="1098"/>
      <c r="DX50" s="1098"/>
      <c r="DY50" s="1098"/>
      <c r="DZ50" s="1098"/>
      <c r="EA50" s="1098"/>
      <c r="EB50" s="1098"/>
      <c r="ED50" s="277"/>
      <c r="EE50" s="277"/>
      <c r="EF50" s="277"/>
      <c r="EH50" s="277"/>
    </row>
    <row r="51" spans="1:191" hidden="1">
      <c r="C51" s="276"/>
      <c r="D51" s="276"/>
      <c r="E51" s="276"/>
      <c r="F51" s="276"/>
      <c r="G51" s="276"/>
      <c r="H51" s="276"/>
      <c r="I51" s="276"/>
      <c r="J51" s="276"/>
      <c r="K51" s="276"/>
      <c r="L51" s="277"/>
      <c r="M51" s="256"/>
      <c r="N51" s="256"/>
      <c r="O51" s="256"/>
      <c r="P51" s="256"/>
      <c r="Q51" s="278"/>
      <c r="R51" s="279"/>
      <c r="S51" s="279"/>
      <c r="T51" s="279"/>
      <c r="AB51" s="280"/>
      <c r="AC51" s="223"/>
      <c r="AD51" s="223"/>
      <c r="AE51" s="223"/>
      <c r="AF51" s="281"/>
      <c r="AG51" s="281"/>
      <c r="AH51" s="281"/>
      <c r="AI51" s="258"/>
      <c r="AJ51" s="258"/>
      <c r="AS51" s="282"/>
      <c r="AT51" s="283"/>
      <c r="AU51" s="282"/>
      <c r="AV51" s="284"/>
      <c r="AX51" s="285"/>
      <c r="AY51" s="285"/>
      <c r="BD51" s="234"/>
      <c r="BE51" s="234"/>
      <c r="BF51" s="234"/>
      <c r="BG51" s="234"/>
      <c r="BH51" s="277"/>
      <c r="BK51" s="276"/>
      <c r="BL51" s="276"/>
      <c r="BM51" s="276"/>
      <c r="BN51" s="276"/>
      <c r="BO51" s="223"/>
      <c r="BP51" s="258"/>
      <c r="CC51" s="234"/>
      <c r="CG51" s="258"/>
      <c r="CH51" s="258"/>
      <c r="CI51" s="258"/>
      <c r="CJ51" s="256"/>
      <c r="CK51" s="258"/>
      <c r="CL51" s="258"/>
      <c r="CM51" s="258"/>
      <c r="CN51" s="258"/>
      <c r="CO51" s="258"/>
      <c r="CP51" s="258"/>
      <c r="CQ51" s="258"/>
      <c r="CR51" s="281"/>
      <c r="CS51" s="258"/>
      <c r="CT51" s="258"/>
      <c r="CU51" s="286"/>
      <c r="DH51" s="278"/>
      <c r="DJ51" s="270"/>
      <c r="DK51" s="1098"/>
      <c r="DL51" s="270"/>
      <c r="DM51" s="270"/>
      <c r="DN51" s="287"/>
      <c r="DO51" s="287"/>
      <c r="DP51" s="270"/>
      <c r="DQ51" s="270"/>
      <c r="DR51" s="270"/>
      <c r="DS51" s="270"/>
      <c r="DT51" s="270"/>
      <c r="DU51" s="1098"/>
      <c r="DV51" s="1098"/>
      <c r="DW51" s="1098"/>
      <c r="DX51" s="1098"/>
      <c r="DY51" s="1098"/>
      <c r="DZ51" s="1098"/>
      <c r="EA51" s="1098"/>
      <c r="EB51" s="1098"/>
      <c r="ED51" s="277"/>
      <c r="EE51" s="277"/>
      <c r="EF51" s="277"/>
      <c r="EH51" s="277"/>
    </row>
    <row r="52" spans="1:191" hidden="1">
      <c r="C52" s="276"/>
      <c r="D52" s="276"/>
      <c r="E52" s="276"/>
      <c r="F52" s="276"/>
      <c r="G52" s="276"/>
      <c r="H52" s="276"/>
      <c r="I52" s="276"/>
      <c r="J52" s="276"/>
      <c r="K52" s="276"/>
      <c r="L52" s="277"/>
      <c r="M52" s="256"/>
      <c r="N52" s="256"/>
      <c r="O52" s="256"/>
      <c r="P52" s="256"/>
      <c r="Q52" s="278"/>
      <c r="R52" s="279"/>
      <c r="S52" s="279"/>
      <c r="T52" s="279"/>
      <c r="AB52" s="280"/>
      <c r="AC52" s="223"/>
      <c r="AD52" s="223"/>
      <c r="AE52" s="223"/>
      <c r="AF52" s="281"/>
      <c r="AG52" s="281"/>
      <c r="AH52" s="281"/>
      <c r="AI52" s="258"/>
      <c r="AJ52" s="258"/>
      <c r="AS52" s="282"/>
      <c r="AT52" s="283"/>
      <c r="AU52" s="282"/>
      <c r="AV52" s="284"/>
      <c r="AX52" s="285"/>
      <c r="AY52" s="285"/>
      <c r="BD52" s="234"/>
      <c r="BE52" s="234"/>
      <c r="BF52" s="234"/>
      <c r="BG52" s="234"/>
      <c r="BH52" s="277"/>
      <c r="BK52" s="276"/>
      <c r="BL52" s="276"/>
      <c r="BM52" s="276"/>
      <c r="BN52" s="276"/>
      <c r="BO52" s="223"/>
      <c r="BP52" s="258"/>
      <c r="CC52" s="234"/>
      <c r="CG52" s="258"/>
      <c r="CH52" s="258"/>
      <c r="CI52" s="258"/>
      <c r="CJ52" s="256"/>
      <c r="CK52" s="258"/>
      <c r="CL52" s="258"/>
      <c r="CM52" s="258"/>
      <c r="CN52" s="258"/>
      <c r="CO52" s="258"/>
      <c r="CP52" s="258"/>
      <c r="CQ52" s="258"/>
      <c r="CR52" s="281"/>
      <c r="CS52" s="258"/>
      <c r="CT52" s="258"/>
      <c r="CU52" s="286"/>
      <c r="DH52" s="278"/>
      <c r="DJ52" s="270"/>
      <c r="DK52" s="1098"/>
      <c r="DL52" s="270"/>
      <c r="DM52" s="270"/>
      <c r="DN52" s="287"/>
      <c r="DO52" s="287"/>
      <c r="DP52" s="270"/>
      <c r="DQ52" s="270"/>
      <c r="DR52" s="270"/>
      <c r="DS52" s="270"/>
      <c r="DT52" s="270"/>
      <c r="DU52" s="1098"/>
      <c r="DV52" s="1098"/>
      <c r="DW52" s="1098"/>
      <c r="DX52" s="1098"/>
      <c r="DY52" s="1098"/>
      <c r="DZ52" s="1098"/>
      <c r="EA52" s="1098"/>
      <c r="EB52" s="1098"/>
      <c r="ED52" s="277"/>
      <c r="EE52" s="277"/>
      <c r="EF52" s="277"/>
      <c r="EH52" s="277"/>
    </row>
    <row r="53" spans="1:191" hidden="1">
      <c r="C53" s="276"/>
      <c r="D53" s="276"/>
      <c r="E53" s="276"/>
      <c r="F53" s="276"/>
      <c r="G53" s="276"/>
      <c r="H53" s="276"/>
      <c r="I53" s="276"/>
      <c r="J53" s="276"/>
      <c r="K53" s="276"/>
      <c r="L53" s="277"/>
      <c r="M53" s="256"/>
      <c r="N53" s="256"/>
      <c r="O53" s="256"/>
      <c r="P53" s="256"/>
      <c r="Q53" s="278"/>
      <c r="R53" s="279"/>
      <c r="S53" s="279"/>
      <c r="T53" s="279"/>
      <c r="AB53" s="280"/>
      <c r="AC53" s="223"/>
      <c r="AD53" s="223"/>
      <c r="AE53" s="223"/>
      <c r="AF53" s="281"/>
      <c r="AG53" s="281"/>
      <c r="AH53" s="281"/>
      <c r="AI53" s="258"/>
      <c r="AJ53" s="258"/>
      <c r="AS53" s="282"/>
      <c r="AT53" s="283"/>
      <c r="AU53" s="282"/>
      <c r="AV53" s="284"/>
      <c r="AX53" s="285"/>
      <c r="AY53" s="285"/>
      <c r="BD53" s="234"/>
      <c r="BE53" s="234"/>
      <c r="BF53" s="234"/>
      <c r="BG53" s="234"/>
      <c r="BH53" s="277"/>
      <c r="BK53" s="276"/>
      <c r="BL53" s="276"/>
      <c r="BM53" s="276"/>
      <c r="BN53" s="276"/>
      <c r="BO53" s="223"/>
      <c r="BP53" s="258"/>
      <c r="CC53" s="234"/>
      <c r="CG53" s="258"/>
      <c r="CH53" s="258"/>
      <c r="CI53" s="258"/>
      <c r="CJ53" s="256"/>
      <c r="CK53" s="258"/>
      <c r="CL53" s="258"/>
      <c r="CM53" s="258"/>
      <c r="CN53" s="258"/>
      <c r="CO53" s="258"/>
      <c r="CP53" s="258"/>
      <c r="CQ53" s="258"/>
      <c r="CR53" s="281"/>
      <c r="CS53" s="258"/>
      <c r="CT53" s="258"/>
      <c r="CU53" s="286"/>
      <c r="DH53" s="278"/>
      <c r="DJ53" s="270"/>
      <c r="DK53" s="1098"/>
      <c r="DL53" s="270"/>
      <c r="DM53" s="270"/>
      <c r="DN53" s="287"/>
      <c r="DO53" s="287"/>
      <c r="DP53" s="270"/>
      <c r="DQ53" s="270"/>
      <c r="DR53" s="270"/>
      <c r="DS53" s="270"/>
      <c r="DT53" s="270"/>
      <c r="DU53" s="1098"/>
      <c r="DV53" s="1098"/>
      <c r="DW53" s="1098"/>
      <c r="DX53" s="1098"/>
      <c r="DY53" s="1098"/>
      <c r="DZ53" s="1098"/>
      <c r="EA53" s="1098"/>
      <c r="EB53" s="1098"/>
      <c r="ED53" s="277"/>
      <c r="EE53" s="277"/>
      <c r="EF53" s="277"/>
      <c r="EH53" s="277"/>
    </row>
    <row r="54" spans="1:191" hidden="1">
      <c r="C54" s="276"/>
      <c r="D54" s="276"/>
      <c r="E54" s="276"/>
      <c r="F54" s="276"/>
      <c r="G54" s="276"/>
      <c r="H54" s="276"/>
      <c r="I54" s="276"/>
      <c r="J54" s="276"/>
      <c r="K54" s="276"/>
      <c r="L54" s="277"/>
      <c r="M54" s="256"/>
      <c r="N54" s="256"/>
      <c r="O54" s="256"/>
      <c r="P54" s="256"/>
      <c r="Q54" s="278"/>
      <c r="R54" s="279"/>
      <c r="S54" s="279"/>
      <c r="T54" s="279"/>
      <c r="AB54" s="280"/>
      <c r="AC54" s="223"/>
      <c r="AD54" s="223"/>
      <c r="AE54" s="223"/>
      <c r="AF54" s="281"/>
      <c r="AG54" s="281"/>
      <c r="AH54" s="281"/>
      <c r="AI54" s="258"/>
      <c r="AJ54" s="258"/>
      <c r="AS54" s="282"/>
      <c r="AT54" s="283"/>
      <c r="AU54" s="282"/>
      <c r="AV54" s="284"/>
      <c r="AX54" s="285"/>
      <c r="AY54" s="285"/>
      <c r="BD54" s="234"/>
      <c r="BE54" s="234"/>
      <c r="BF54" s="234"/>
      <c r="BG54" s="234"/>
      <c r="BH54" s="277"/>
      <c r="BK54" s="276"/>
      <c r="BL54" s="276"/>
      <c r="BM54" s="276"/>
      <c r="BN54" s="276"/>
      <c r="BO54" s="223"/>
      <c r="BP54" s="258"/>
      <c r="CC54" s="234"/>
      <c r="CG54" s="258"/>
      <c r="CH54" s="258"/>
      <c r="CI54" s="258"/>
      <c r="CJ54" s="256"/>
      <c r="CK54" s="258"/>
      <c r="CL54" s="258"/>
      <c r="CM54" s="258"/>
      <c r="CN54" s="258"/>
      <c r="CO54" s="258"/>
      <c r="CP54" s="258"/>
      <c r="CQ54" s="258"/>
      <c r="CR54" s="281"/>
      <c r="CS54" s="258"/>
      <c r="CT54" s="258"/>
      <c r="CU54" s="286"/>
      <c r="DH54" s="278"/>
      <c r="DJ54" s="270"/>
      <c r="DK54" s="1098"/>
      <c r="DL54" s="270"/>
      <c r="DM54" s="270"/>
      <c r="DN54" s="287"/>
      <c r="DO54" s="287"/>
      <c r="DP54" s="270"/>
      <c r="DQ54" s="270"/>
      <c r="DR54" s="270"/>
      <c r="DS54" s="270"/>
      <c r="DT54" s="270"/>
      <c r="DU54" s="1098"/>
      <c r="DV54" s="1098"/>
      <c r="DW54" s="1098"/>
      <c r="DX54" s="1098"/>
      <c r="DY54" s="1098"/>
      <c r="DZ54" s="1098"/>
      <c r="EA54" s="1098"/>
      <c r="EB54" s="1098"/>
      <c r="ED54" s="277"/>
      <c r="EE54" s="277"/>
      <c r="EF54" s="277"/>
      <c r="EH54" s="277"/>
    </row>
    <row r="55" spans="1:191" hidden="1">
      <c r="C55" s="276"/>
      <c r="D55" s="276"/>
      <c r="E55" s="276"/>
      <c r="F55" s="276"/>
      <c r="G55" s="276"/>
      <c r="H55" s="276"/>
      <c r="I55" s="276"/>
      <c r="J55" s="276"/>
      <c r="K55" s="276"/>
      <c r="L55" s="277"/>
      <c r="M55" s="256"/>
      <c r="N55" s="256"/>
      <c r="O55" s="256"/>
      <c r="P55" s="256"/>
      <c r="Q55" s="278"/>
      <c r="R55" s="279"/>
      <c r="S55" s="279"/>
      <c r="T55" s="279"/>
      <c r="AB55" s="280"/>
      <c r="AC55" s="223"/>
      <c r="AD55" s="223"/>
      <c r="AE55" s="223"/>
      <c r="AF55" s="281"/>
      <c r="AG55" s="281"/>
      <c r="AH55" s="281"/>
      <c r="AI55" s="258"/>
      <c r="AJ55" s="258"/>
      <c r="AS55" s="282"/>
      <c r="AT55" s="283"/>
      <c r="AU55" s="282"/>
      <c r="AV55" s="284"/>
      <c r="AX55" s="285"/>
      <c r="AY55" s="285"/>
      <c r="BD55" s="234"/>
      <c r="BE55" s="234"/>
      <c r="BF55" s="234"/>
      <c r="BG55" s="234"/>
      <c r="BH55" s="277"/>
      <c r="BK55" s="276"/>
      <c r="BL55" s="276"/>
      <c r="BM55" s="276"/>
      <c r="BN55" s="276"/>
      <c r="BO55" s="223"/>
      <c r="BP55" s="258"/>
      <c r="CC55" s="234"/>
      <c r="CG55" s="258"/>
      <c r="CH55" s="258"/>
      <c r="CI55" s="258"/>
      <c r="CJ55" s="256"/>
      <c r="CK55" s="258"/>
      <c r="CL55" s="258"/>
      <c r="CM55" s="258"/>
      <c r="CN55" s="258"/>
      <c r="CO55" s="258"/>
      <c r="CP55" s="258"/>
      <c r="CQ55" s="258"/>
      <c r="CR55" s="281"/>
      <c r="CS55" s="258"/>
      <c r="CT55" s="258"/>
      <c r="CU55" s="286"/>
      <c r="DH55" s="278"/>
      <c r="DJ55" s="270"/>
      <c r="DK55" s="1098"/>
      <c r="DL55" s="270"/>
      <c r="DM55" s="270"/>
      <c r="DN55" s="287"/>
      <c r="DO55" s="287"/>
      <c r="DP55" s="270"/>
      <c r="DQ55" s="270"/>
      <c r="DR55" s="270"/>
      <c r="DS55" s="270"/>
      <c r="DT55" s="270"/>
      <c r="DU55" s="1098"/>
      <c r="DV55" s="1098"/>
      <c r="DW55" s="1098"/>
      <c r="DX55" s="1098"/>
      <c r="DY55" s="1098"/>
      <c r="DZ55" s="1098"/>
      <c r="EA55" s="1098"/>
      <c r="EB55" s="1098"/>
      <c r="ED55" s="277"/>
      <c r="EE55" s="277"/>
      <c r="EF55" s="277"/>
      <c r="EH55" s="277"/>
    </row>
    <row r="56" spans="1:191" hidden="1">
      <c r="C56" s="276"/>
      <c r="D56" s="276"/>
      <c r="E56" s="276"/>
      <c r="F56" s="276"/>
      <c r="G56" s="276"/>
      <c r="H56" s="276"/>
      <c r="I56" s="276"/>
      <c r="J56" s="276"/>
      <c r="K56" s="276"/>
      <c r="L56" s="277"/>
      <c r="M56" s="256"/>
      <c r="N56" s="256"/>
      <c r="O56" s="256"/>
      <c r="P56" s="256"/>
      <c r="Q56" s="278"/>
      <c r="R56" s="279"/>
      <c r="S56" s="279"/>
      <c r="T56" s="279"/>
      <c r="AB56" s="280"/>
      <c r="AC56" s="223"/>
      <c r="AD56" s="223"/>
      <c r="AE56" s="223"/>
      <c r="AF56" s="281"/>
      <c r="AG56" s="281"/>
      <c r="AH56" s="281"/>
      <c r="AI56" s="258"/>
      <c r="AJ56" s="258"/>
      <c r="AS56" s="282"/>
      <c r="AT56" s="283"/>
      <c r="AU56" s="282"/>
      <c r="AV56" s="284"/>
      <c r="AX56" s="285"/>
      <c r="AY56" s="285"/>
      <c r="BD56" s="234"/>
      <c r="BE56" s="234"/>
      <c r="BF56" s="234"/>
      <c r="BG56" s="234"/>
      <c r="BH56" s="277"/>
      <c r="BK56" s="276"/>
      <c r="BL56" s="276"/>
      <c r="BM56" s="276"/>
      <c r="BN56" s="276"/>
      <c r="BO56" s="223"/>
      <c r="BP56" s="258"/>
      <c r="CC56" s="234"/>
      <c r="CG56" s="258"/>
      <c r="CH56" s="258"/>
      <c r="CI56" s="258"/>
      <c r="CJ56" s="256"/>
      <c r="CK56" s="258"/>
      <c r="CL56" s="258"/>
      <c r="CM56" s="258"/>
      <c r="CN56" s="258"/>
      <c r="CO56" s="258"/>
      <c r="CP56" s="258"/>
      <c r="CQ56" s="258"/>
      <c r="CR56" s="281"/>
      <c r="CS56" s="258"/>
      <c r="CT56" s="258"/>
      <c r="CU56" s="286"/>
      <c r="DH56" s="278"/>
      <c r="DJ56" s="270"/>
      <c r="DK56" s="1098"/>
      <c r="DL56" s="270"/>
      <c r="DM56" s="270"/>
      <c r="DN56" s="287"/>
      <c r="DO56" s="287"/>
      <c r="DP56" s="270"/>
      <c r="DQ56" s="270"/>
      <c r="DR56" s="270"/>
      <c r="DS56" s="270"/>
      <c r="DT56" s="270"/>
      <c r="DU56" s="1098"/>
      <c r="DV56" s="1098"/>
      <c r="DW56" s="1098"/>
      <c r="DX56" s="1098"/>
      <c r="DY56" s="1098"/>
      <c r="DZ56" s="1098"/>
      <c r="EA56" s="1098"/>
      <c r="EB56" s="1098"/>
      <c r="ED56" s="277"/>
      <c r="EE56" s="277"/>
      <c r="EF56" s="277"/>
      <c r="EH56" s="277"/>
    </row>
    <row r="57" spans="1:191" hidden="1">
      <c r="C57" s="276"/>
      <c r="D57" s="276"/>
      <c r="E57" s="276"/>
      <c r="F57" s="276"/>
      <c r="G57" s="276"/>
      <c r="H57" s="276"/>
      <c r="I57" s="276"/>
      <c r="J57" s="276"/>
      <c r="K57" s="276"/>
      <c r="L57" s="277"/>
      <c r="M57" s="256"/>
      <c r="N57" s="256"/>
      <c r="O57" s="256"/>
      <c r="P57" s="256"/>
      <c r="Q57" s="278"/>
      <c r="R57" s="279"/>
      <c r="S57" s="279"/>
      <c r="T57" s="279"/>
      <c r="AB57" s="280"/>
      <c r="AC57" s="223"/>
      <c r="AD57" s="223"/>
      <c r="AE57" s="223"/>
      <c r="AF57" s="281"/>
      <c r="AG57" s="281"/>
      <c r="AH57" s="281"/>
      <c r="AI57" s="258"/>
      <c r="AJ57" s="258"/>
      <c r="AS57" s="282"/>
      <c r="AT57" s="283"/>
      <c r="AU57" s="282"/>
      <c r="AV57" s="284"/>
      <c r="AX57" s="285"/>
      <c r="AY57" s="285"/>
      <c r="BD57" s="234"/>
      <c r="BE57" s="234"/>
      <c r="BF57" s="234"/>
      <c r="BG57" s="234"/>
      <c r="BH57" s="277"/>
      <c r="BK57" s="276"/>
      <c r="BL57" s="276"/>
      <c r="BM57" s="276"/>
      <c r="BN57" s="276"/>
      <c r="BO57" s="223"/>
      <c r="BP57" s="258"/>
      <c r="CC57" s="234"/>
      <c r="CG57" s="258"/>
      <c r="CH57" s="258"/>
      <c r="CI57" s="258"/>
      <c r="CJ57" s="256"/>
      <c r="CK57" s="258"/>
      <c r="CL57" s="258"/>
      <c r="CM57" s="258"/>
      <c r="CN57" s="258"/>
      <c r="CO57" s="258"/>
      <c r="CP57" s="258"/>
      <c r="CQ57" s="258"/>
      <c r="CR57" s="281"/>
      <c r="CS57" s="258"/>
      <c r="CT57" s="258"/>
      <c r="CU57" s="286"/>
      <c r="DH57" s="278"/>
      <c r="DJ57" s="270"/>
      <c r="DK57" s="1098"/>
      <c r="DL57" s="270"/>
      <c r="DM57" s="270"/>
      <c r="DN57" s="287"/>
      <c r="DO57" s="287"/>
      <c r="DP57" s="270"/>
      <c r="DQ57" s="270"/>
      <c r="DR57" s="270"/>
      <c r="DS57" s="270"/>
      <c r="DT57" s="270"/>
      <c r="DU57" s="1098"/>
      <c r="DV57" s="1098"/>
      <c r="DW57" s="1098"/>
      <c r="DX57" s="1098"/>
      <c r="DY57" s="1098"/>
      <c r="DZ57" s="1098"/>
      <c r="EA57" s="1098"/>
      <c r="EB57" s="1098"/>
      <c r="ED57" s="277"/>
      <c r="EE57" s="277"/>
      <c r="EF57" s="277"/>
      <c r="EH57" s="277"/>
    </row>
    <row r="58" spans="1:191" hidden="1">
      <c r="C58" s="276"/>
      <c r="D58" s="276"/>
      <c r="E58" s="276"/>
      <c r="F58" s="276"/>
      <c r="G58" s="276"/>
      <c r="H58" s="276"/>
      <c r="I58" s="276"/>
      <c r="J58" s="276"/>
      <c r="K58" s="276"/>
      <c r="L58" s="277"/>
      <c r="M58" s="256"/>
      <c r="N58" s="256"/>
      <c r="O58" s="256"/>
      <c r="P58" s="256"/>
      <c r="Q58" s="278"/>
      <c r="R58" s="279"/>
      <c r="S58" s="279"/>
      <c r="T58" s="279"/>
      <c r="AB58" s="280"/>
      <c r="AC58" s="223"/>
      <c r="AD58" s="223"/>
      <c r="AE58" s="223"/>
      <c r="AF58" s="281"/>
      <c r="AG58" s="281"/>
      <c r="AH58" s="281"/>
      <c r="AI58" s="258"/>
      <c r="AJ58" s="258"/>
      <c r="AS58" s="282"/>
      <c r="AT58" s="283"/>
      <c r="AU58" s="282"/>
      <c r="AV58" s="284"/>
      <c r="AX58" s="285"/>
      <c r="AY58" s="285"/>
      <c r="BD58" s="234"/>
      <c r="BE58" s="234"/>
      <c r="BF58" s="234"/>
      <c r="BG58" s="234"/>
      <c r="BH58" s="277"/>
      <c r="BK58" s="276"/>
      <c r="BL58" s="276"/>
      <c r="BM58" s="276"/>
      <c r="BN58" s="276"/>
      <c r="BO58" s="223"/>
      <c r="BP58" s="258"/>
      <c r="CC58" s="234"/>
      <c r="CG58" s="258"/>
      <c r="CH58" s="258"/>
      <c r="CI58" s="258"/>
      <c r="CJ58" s="256"/>
      <c r="CK58" s="258"/>
      <c r="CL58" s="258"/>
      <c r="CM58" s="258"/>
      <c r="CN58" s="258"/>
      <c r="CO58" s="258"/>
      <c r="CP58" s="258"/>
      <c r="CQ58" s="258"/>
      <c r="CR58" s="281"/>
      <c r="CS58" s="258"/>
      <c r="CT58" s="258"/>
      <c r="CU58" s="286"/>
      <c r="DH58" s="278"/>
      <c r="DJ58" s="270"/>
      <c r="DK58" s="1098"/>
      <c r="DL58" s="270"/>
      <c r="DM58" s="270"/>
      <c r="DN58" s="287"/>
      <c r="DO58" s="287"/>
      <c r="DP58" s="270"/>
      <c r="DQ58" s="270"/>
      <c r="DR58" s="270"/>
      <c r="DS58" s="270"/>
      <c r="DT58" s="270"/>
      <c r="DU58" s="1098"/>
      <c r="DV58" s="1098"/>
      <c r="DW58" s="1098"/>
      <c r="DX58" s="1098"/>
      <c r="DY58" s="1098"/>
      <c r="DZ58" s="1098"/>
      <c r="EA58" s="1098"/>
      <c r="EB58" s="1098"/>
      <c r="ED58" s="277"/>
      <c r="EE58" s="277"/>
      <c r="EF58" s="277"/>
      <c r="EH58" s="277"/>
    </row>
    <row r="59" spans="1:191" hidden="1">
      <c r="C59" s="276"/>
      <c r="D59" s="276"/>
      <c r="E59" s="276"/>
      <c r="F59" s="276"/>
      <c r="G59" s="276"/>
      <c r="H59" s="276"/>
      <c r="I59" s="276"/>
      <c r="J59" s="276"/>
      <c r="K59" s="276"/>
      <c r="L59" s="277"/>
      <c r="M59" s="256"/>
      <c r="N59" s="256"/>
      <c r="O59" s="256"/>
      <c r="P59" s="256"/>
      <c r="Q59" s="278"/>
      <c r="R59" s="279"/>
      <c r="S59" s="279"/>
      <c r="T59" s="279"/>
      <c r="AB59" s="280"/>
      <c r="AC59" s="223"/>
      <c r="AD59" s="223"/>
      <c r="AE59" s="223"/>
      <c r="AF59" s="281"/>
      <c r="AG59" s="281"/>
      <c r="AH59" s="281"/>
      <c r="AI59" s="258"/>
      <c r="AJ59" s="258"/>
      <c r="AS59" s="282"/>
      <c r="AT59" s="283"/>
      <c r="AU59" s="282"/>
      <c r="AV59" s="284"/>
      <c r="AX59" s="285"/>
      <c r="AY59" s="285"/>
      <c r="BD59" s="234"/>
      <c r="BE59" s="234"/>
      <c r="BF59" s="234"/>
      <c r="BG59" s="234"/>
      <c r="BH59" s="277"/>
      <c r="BK59" s="276"/>
      <c r="BL59" s="276"/>
      <c r="BM59" s="276"/>
      <c r="BN59" s="276"/>
      <c r="BO59" s="223"/>
      <c r="BP59" s="258"/>
      <c r="CC59" s="234"/>
      <c r="CG59" s="258"/>
      <c r="CH59" s="258"/>
      <c r="CI59" s="258"/>
      <c r="CJ59" s="256"/>
      <c r="CK59" s="258"/>
      <c r="CL59" s="258"/>
      <c r="CM59" s="258"/>
      <c r="CN59" s="258"/>
      <c r="CO59" s="258"/>
      <c r="CP59" s="258"/>
      <c r="CQ59" s="258"/>
      <c r="CR59" s="281"/>
      <c r="CS59" s="258"/>
      <c r="CT59" s="258"/>
      <c r="CU59" s="286"/>
      <c r="DH59" s="278"/>
      <c r="DJ59" s="270"/>
      <c r="DK59" s="1098"/>
      <c r="DL59" s="270"/>
      <c r="DM59" s="270"/>
      <c r="DN59" s="287"/>
      <c r="DO59" s="287"/>
      <c r="DP59" s="270"/>
      <c r="DQ59" s="270"/>
      <c r="DR59" s="270"/>
      <c r="DS59" s="270"/>
      <c r="DT59" s="270"/>
      <c r="DU59" s="1098"/>
      <c r="DV59" s="1098"/>
      <c r="DW59" s="1098"/>
      <c r="DX59" s="1098"/>
      <c r="DY59" s="1098"/>
      <c r="DZ59" s="1098"/>
      <c r="EA59" s="1098"/>
      <c r="EB59" s="1098"/>
      <c r="ED59" s="277"/>
      <c r="EE59" s="277"/>
      <c r="EF59" s="277"/>
      <c r="EH59" s="277"/>
    </row>
    <row r="60" spans="1:191" s="289" customFormat="1" hidden="1">
      <c r="C60" s="290"/>
      <c r="D60" s="291"/>
      <c r="E60" s="291"/>
      <c r="F60" s="291"/>
      <c r="G60" s="291"/>
      <c r="H60" s="291"/>
      <c r="I60" s="291"/>
      <c r="J60" s="291"/>
      <c r="K60" s="291"/>
      <c r="L60" s="292"/>
      <c r="Q60" s="291"/>
      <c r="R60" s="293"/>
      <c r="S60" s="293"/>
      <c r="T60" s="293"/>
      <c r="AB60" s="294"/>
      <c r="AF60" s="295"/>
      <c r="AG60" s="295"/>
      <c r="AH60" s="295"/>
      <c r="AI60" s="295"/>
      <c r="AJ60" s="295"/>
      <c r="AS60" s="296"/>
      <c r="AT60" s="297"/>
      <c r="AU60" s="296"/>
      <c r="AV60" s="294"/>
      <c r="AX60" s="207"/>
      <c r="AY60" s="207"/>
      <c r="BD60" s="298"/>
      <c r="BE60" s="298"/>
      <c r="BF60" s="298"/>
      <c r="BG60" s="298"/>
      <c r="BH60" s="292"/>
      <c r="BK60" s="291"/>
      <c r="BL60" s="291"/>
      <c r="BM60" s="291"/>
      <c r="BN60" s="291"/>
      <c r="BP60" s="295"/>
      <c r="CC60" s="298"/>
      <c r="CG60" s="295"/>
      <c r="CH60" s="295"/>
      <c r="CI60" s="295"/>
      <c r="CK60" s="295"/>
      <c r="CL60" s="295"/>
      <c r="CM60" s="295"/>
      <c r="CN60" s="295"/>
      <c r="CO60" s="295"/>
      <c r="CP60" s="295"/>
      <c r="CQ60" s="295"/>
      <c r="CR60" s="295"/>
      <c r="CS60" s="295"/>
      <c r="CT60" s="295"/>
      <c r="CU60" s="291"/>
      <c r="DH60" s="291"/>
      <c r="DK60" s="292"/>
      <c r="DN60" s="207"/>
      <c r="DO60" s="207"/>
      <c r="DU60" s="292"/>
      <c r="DV60" s="292"/>
      <c r="DW60" s="292"/>
      <c r="DX60" s="292"/>
      <c r="DY60" s="292"/>
      <c r="DZ60" s="292"/>
      <c r="EA60" s="292"/>
      <c r="EB60" s="292"/>
      <c r="ED60" s="292"/>
      <c r="EE60" s="292"/>
      <c r="EF60" s="292"/>
      <c r="EH60" s="292"/>
    </row>
    <row r="61" spans="1:191" s="289" customFormat="1" hidden="1">
      <c r="C61" s="291"/>
      <c r="D61" s="291"/>
      <c r="E61" s="291"/>
      <c r="F61" s="291"/>
      <c r="G61" s="291"/>
      <c r="H61" s="291"/>
      <c r="I61" s="291"/>
      <c r="J61" s="291"/>
      <c r="K61" s="291"/>
      <c r="L61" s="292"/>
      <c r="Q61" s="291"/>
      <c r="R61" s="293"/>
      <c r="S61" s="293"/>
      <c r="T61" s="293"/>
      <c r="AB61" s="294"/>
      <c r="AF61" s="295"/>
      <c r="AG61" s="295"/>
      <c r="AH61" s="295"/>
      <c r="AI61" s="295"/>
      <c r="AJ61" s="295"/>
      <c r="AS61" s="296"/>
      <c r="AT61" s="297"/>
      <c r="AU61" s="296"/>
      <c r="AV61" s="294"/>
      <c r="AX61" s="207"/>
      <c r="AY61" s="207"/>
      <c r="BD61" s="298"/>
      <c r="BE61" s="298"/>
      <c r="BF61" s="298"/>
      <c r="BG61" s="298"/>
      <c r="BH61" s="292"/>
      <c r="BK61" s="291"/>
      <c r="BL61" s="291"/>
      <c r="BM61" s="291"/>
      <c r="BN61" s="291"/>
      <c r="BP61" s="295"/>
      <c r="CC61" s="298"/>
      <c r="CG61" s="295"/>
      <c r="CH61" s="295"/>
      <c r="CI61" s="295"/>
      <c r="CK61" s="295"/>
      <c r="CL61" s="295"/>
      <c r="CM61" s="295"/>
      <c r="CN61" s="295"/>
      <c r="CO61" s="295"/>
      <c r="CP61" s="295"/>
      <c r="CQ61" s="295"/>
      <c r="CR61" s="295"/>
      <c r="CS61" s="295"/>
      <c r="CT61" s="295"/>
      <c r="CU61" s="291"/>
      <c r="DH61" s="291"/>
      <c r="DK61" s="292"/>
      <c r="DN61" s="207"/>
      <c r="DO61" s="207"/>
      <c r="DU61" s="292"/>
      <c r="DV61" s="292"/>
      <c r="DW61" s="292"/>
      <c r="DX61" s="292"/>
      <c r="DY61" s="292"/>
      <c r="DZ61" s="292"/>
      <c r="EA61" s="292"/>
      <c r="EB61" s="292"/>
      <c r="ED61" s="292"/>
      <c r="EE61" s="292"/>
      <c r="EF61" s="292"/>
      <c r="EH61" s="292"/>
    </row>
    <row r="62" spans="1:191" s="289" customFormat="1" hidden="1">
      <c r="C62" s="291"/>
      <c r="D62" s="291"/>
      <c r="E62" s="291"/>
      <c r="F62" s="291"/>
      <c r="G62" s="291"/>
      <c r="H62" s="291"/>
      <c r="I62" s="291"/>
      <c r="J62" s="291"/>
      <c r="K62" s="291"/>
      <c r="L62" s="292"/>
      <c r="Q62" s="291"/>
      <c r="R62" s="293"/>
      <c r="S62" s="293"/>
      <c r="T62" s="293"/>
      <c r="AB62" s="294"/>
      <c r="AF62" s="295"/>
      <c r="AG62" s="295"/>
      <c r="AH62" s="295"/>
      <c r="AI62" s="295"/>
      <c r="AJ62" s="295"/>
      <c r="AS62" s="296"/>
      <c r="AT62" s="297"/>
      <c r="AU62" s="296"/>
      <c r="AV62" s="294"/>
      <c r="AX62" s="207"/>
      <c r="AY62" s="207"/>
      <c r="BD62" s="298"/>
      <c r="BE62" s="298"/>
      <c r="BF62" s="298"/>
      <c r="BG62" s="298"/>
      <c r="BH62" s="292"/>
      <c r="BK62" s="291"/>
      <c r="BL62" s="291"/>
      <c r="BM62" s="291"/>
      <c r="BN62" s="291"/>
      <c r="BP62" s="295"/>
      <c r="CC62" s="298"/>
      <c r="CG62" s="295"/>
      <c r="CH62" s="295"/>
      <c r="CI62" s="295"/>
      <c r="CK62" s="295"/>
      <c r="CL62" s="295"/>
      <c r="CM62" s="295"/>
      <c r="CN62" s="295"/>
      <c r="CO62" s="295"/>
      <c r="CP62" s="295"/>
      <c r="CQ62" s="295"/>
      <c r="CR62" s="295"/>
      <c r="CS62" s="295"/>
      <c r="CT62" s="295"/>
      <c r="CU62" s="291"/>
      <c r="DH62" s="291"/>
      <c r="DK62" s="292"/>
      <c r="DN62" s="207"/>
      <c r="DO62" s="207"/>
      <c r="DU62" s="292"/>
      <c r="DV62" s="292"/>
      <c r="DW62" s="292"/>
      <c r="DX62" s="292"/>
      <c r="DY62" s="292"/>
      <c r="DZ62" s="292"/>
      <c r="EA62" s="292"/>
      <c r="EB62" s="292"/>
      <c r="ED62" s="292"/>
      <c r="EE62" s="292"/>
      <c r="EF62" s="292"/>
      <c r="EH62" s="292"/>
    </row>
    <row r="63" spans="1:191" s="289" customFormat="1" hidden="1">
      <c r="C63" s="291"/>
      <c r="D63" s="291"/>
      <c r="E63" s="291"/>
      <c r="F63" s="291"/>
      <c r="G63" s="291"/>
      <c r="H63" s="291"/>
      <c r="I63" s="291"/>
      <c r="J63" s="291"/>
      <c r="K63" s="291"/>
      <c r="L63" s="292"/>
      <c r="Q63" s="291"/>
      <c r="R63" s="293"/>
      <c r="S63" s="293"/>
      <c r="T63" s="293"/>
      <c r="AB63" s="294"/>
      <c r="AF63" s="295"/>
      <c r="AG63" s="295"/>
      <c r="AH63" s="295"/>
      <c r="AI63" s="295"/>
      <c r="AJ63" s="295"/>
      <c r="AS63" s="296"/>
      <c r="AT63" s="297"/>
      <c r="AU63" s="296"/>
      <c r="AV63" s="294"/>
      <c r="AX63" s="207"/>
      <c r="AY63" s="207"/>
      <c r="BD63" s="298"/>
      <c r="BE63" s="298"/>
      <c r="BF63" s="298"/>
      <c r="BG63" s="298"/>
      <c r="BH63" s="292"/>
      <c r="BK63" s="291"/>
      <c r="BL63" s="291"/>
      <c r="BM63" s="291"/>
      <c r="BN63" s="291"/>
      <c r="BP63" s="295"/>
      <c r="CC63" s="298"/>
      <c r="CG63" s="295"/>
      <c r="CH63" s="295"/>
      <c r="CI63" s="295"/>
      <c r="CK63" s="295"/>
      <c r="CL63" s="295"/>
      <c r="CM63" s="295"/>
      <c r="CN63" s="295"/>
      <c r="CO63" s="295"/>
      <c r="CP63" s="295"/>
      <c r="CQ63" s="295"/>
      <c r="CR63" s="295"/>
      <c r="CS63" s="295"/>
      <c r="CT63" s="295"/>
      <c r="CU63" s="291"/>
      <c r="DH63" s="291"/>
      <c r="DK63" s="292"/>
      <c r="DN63" s="207"/>
      <c r="DO63" s="207"/>
      <c r="DU63" s="292"/>
      <c r="DV63" s="292"/>
      <c r="DW63" s="292"/>
      <c r="DX63" s="292"/>
      <c r="DY63" s="292"/>
      <c r="DZ63" s="292"/>
      <c r="EA63" s="292"/>
      <c r="EB63" s="292"/>
      <c r="ED63" s="292"/>
      <c r="EE63" s="292"/>
      <c r="EF63" s="292"/>
      <c r="EH63" s="292"/>
    </row>
    <row r="64" spans="1:191" s="264" customFormat="1" hidden="1">
      <c r="A64" s="289"/>
      <c r="B64" s="289"/>
      <c r="C64" s="291"/>
      <c r="D64" s="291"/>
      <c r="E64" s="291"/>
      <c r="F64" s="291"/>
      <c r="G64" s="291"/>
      <c r="H64" s="291"/>
      <c r="I64" s="291"/>
      <c r="J64" s="291"/>
      <c r="K64" s="291"/>
      <c r="L64" s="292"/>
      <c r="M64" s="289"/>
      <c r="N64" s="289"/>
      <c r="O64" s="289"/>
      <c r="P64" s="289"/>
      <c r="Q64" s="291"/>
      <c r="R64" s="293"/>
      <c r="S64" s="293"/>
      <c r="T64" s="293"/>
      <c r="U64" s="289"/>
      <c r="V64" s="289"/>
      <c r="W64" s="289"/>
      <c r="X64" s="289"/>
      <c r="Y64" s="289"/>
      <c r="Z64" s="289"/>
      <c r="AA64" s="289"/>
      <c r="AB64" s="294"/>
      <c r="AC64" s="289"/>
      <c r="AD64" s="289"/>
      <c r="AE64" s="289"/>
      <c r="AF64" s="295"/>
      <c r="AG64" s="295"/>
      <c r="AH64" s="295"/>
      <c r="AI64" s="295"/>
      <c r="AJ64" s="295"/>
      <c r="AK64" s="289"/>
      <c r="AL64" s="289"/>
      <c r="AM64" s="289"/>
      <c r="AN64" s="289"/>
      <c r="AO64" s="289"/>
      <c r="AP64" s="289"/>
      <c r="AQ64" s="289"/>
      <c r="AR64" s="289"/>
      <c r="AS64" s="296"/>
      <c r="AT64" s="297"/>
      <c r="AU64" s="296"/>
      <c r="AV64" s="294"/>
      <c r="AW64" s="289"/>
      <c r="AX64" s="207"/>
      <c r="AY64" s="207"/>
      <c r="AZ64" s="289"/>
      <c r="BA64" s="289"/>
      <c r="BB64" s="289"/>
      <c r="BC64" s="289"/>
      <c r="BD64" s="298"/>
      <c r="BE64" s="298"/>
      <c r="BF64" s="298"/>
      <c r="BG64" s="298"/>
      <c r="BH64" s="292"/>
      <c r="BI64" s="289"/>
      <c r="BJ64" s="289"/>
      <c r="BK64" s="291"/>
      <c r="BL64" s="291"/>
      <c r="BM64" s="291"/>
      <c r="BN64" s="291"/>
      <c r="BO64" s="289"/>
      <c r="BP64" s="295"/>
      <c r="BQ64" s="289"/>
      <c r="BR64" s="289"/>
      <c r="BS64" s="289"/>
      <c r="BT64" s="289"/>
      <c r="BU64" s="289"/>
      <c r="BV64" s="289"/>
      <c r="BW64" s="289"/>
      <c r="BX64" s="289"/>
      <c r="BY64" s="289"/>
      <c r="BZ64" s="289"/>
      <c r="CA64" s="289"/>
      <c r="CB64" s="289"/>
      <c r="CC64" s="298"/>
      <c r="CD64" s="289"/>
      <c r="CE64" s="289"/>
      <c r="CF64" s="289"/>
      <c r="CG64" s="295"/>
      <c r="CH64" s="295"/>
      <c r="CI64" s="295"/>
      <c r="CJ64" s="289"/>
      <c r="CK64" s="295"/>
      <c r="CL64" s="295"/>
      <c r="CM64" s="295"/>
      <c r="CN64" s="295"/>
      <c r="CO64" s="295"/>
      <c r="CP64" s="295"/>
      <c r="CQ64" s="295"/>
      <c r="CR64" s="295"/>
      <c r="CS64" s="295"/>
      <c r="CT64" s="295"/>
      <c r="CU64" s="291"/>
      <c r="CV64" s="289"/>
      <c r="CW64" s="289"/>
      <c r="CX64" s="289"/>
      <c r="CY64" s="289"/>
      <c r="CZ64" s="289"/>
      <c r="DA64" s="289"/>
      <c r="DB64" s="289"/>
      <c r="DC64" s="289"/>
      <c r="DD64" s="289"/>
      <c r="DE64" s="289"/>
      <c r="DF64" s="289"/>
      <c r="DG64" s="289"/>
      <c r="DH64" s="291"/>
      <c r="DI64" s="289"/>
      <c r="DJ64" s="289"/>
      <c r="DK64" s="292"/>
      <c r="DL64" s="289"/>
      <c r="DM64" s="289"/>
      <c r="DN64" s="207"/>
      <c r="DO64" s="207"/>
      <c r="DP64" s="289"/>
      <c r="DQ64" s="289"/>
      <c r="DR64" s="289"/>
      <c r="DS64" s="289"/>
      <c r="DT64" s="289"/>
      <c r="DU64" s="292"/>
      <c r="DV64" s="292"/>
      <c r="DW64" s="292"/>
      <c r="DX64" s="292"/>
      <c r="DY64" s="292"/>
      <c r="DZ64" s="292"/>
      <c r="EA64" s="292"/>
      <c r="EB64" s="292"/>
      <c r="EC64" s="289"/>
      <c r="ED64" s="292"/>
      <c r="EE64" s="292"/>
      <c r="EF64" s="292"/>
      <c r="EG64" s="289"/>
      <c r="EH64" s="292"/>
      <c r="EI64" s="289"/>
      <c r="EJ64" s="289"/>
      <c r="EK64" s="289"/>
      <c r="EL64" s="289"/>
      <c r="EM64" s="289"/>
      <c r="EN64" s="289"/>
      <c r="EO64" s="289"/>
      <c r="EP64" s="289"/>
      <c r="EQ64" s="289"/>
      <c r="ER64" s="289"/>
      <c r="ES64" s="289"/>
      <c r="ET64" s="289"/>
      <c r="EU64" s="289"/>
      <c r="EV64" s="289"/>
      <c r="EW64" s="289"/>
      <c r="EX64" s="289"/>
      <c r="EY64" s="289"/>
      <c r="EZ64" s="289"/>
      <c r="FA64" s="289"/>
      <c r="FB64" s="289"/>
      <c r="FC64" s="289"/>
      <c r="FD64" s="289"/>
      <c r="FE64" s="289"/>
      <c r="FF64" s="289"/>
      <c r="FG64" s="289"/>
      <c r="FH64" s="289"/>
      <c r="FI64" s="289"/>
      <c r="FJ64" s="289"/>
      <c r="FK64" s="289"/>
      <c r="FL64" s="289"/>
      <c r="FM64" s="289"/>
      <c r="FN64" s="289"/>
      <c r="FO64" s="289"/>
      <c r="FP64" s="289"/>
      <c r="FQ64" s="289"/>
      <c r="FR64" s="289"/>
      <c r="FS64" s="289"/>
      <c r="FT64" s="289"/>
      <c r="FU64" s="289"/>
      <c r="FV64" s="289"/>
      <c r="FW64" s="289"/>
      <c r="FX64" s="289"/>
      <c r="FY64" s="289"/>
      <c r="FZ64" s="289"/>
      <c r="GA64" s="289"/>
      <c r="GB64" s="289"/>
      <c r="GC64" s="289"/>
      <c r="GD64" s="289"/>
      <c r="GE64" s="289"/>
      <c r="GF64" s="289"/>
      <c r="GG64" s="289"/>
      <c r="GH64" s="289"/>
      <c r="GI64" s="289"/>
    </row>
    <row r="65" spans="1:191" s="264" customFormat="1" hidden="1">
      <c r="A65" s="289"/>
      <c r="B65" s="289"/>
      <c r="C65" s="291"/>
      <c r="D65" s="291"/>
      <c r="E65" s="291"/>
      <c r="F65" s="291"/>
      <c r="G65" s="291"/>
      <c r="H65" s="291"/>
      <c r="I65" s="291"/>
      <c r="J65" s="291"/>
      <c r="K65" s="291"/>
      <c r="L65" s="292"/>
      <c r="M65" s="289"/>
      <c r="N65" s="289"/>
      <c r="O65" s="289"/>
      <c r="P65" s="289"/>
      <c r="Q65" s="291"/>
      <c r="R65" s="293"/>
      <c r="S65" s="293"/>
      <c r="T65" s="293"/>
      <c r="U65" s="289"/>
      <c r="V65" s="289"/>
      <c r="W65" s="289"/>
      <c r="X65" s="289"/>
      <c r="Y65" s="289"/>
      <c r="Z65" s="289"/>
      <c r="AA65" s="289"/>
      <c r="AB65" s="294"/>
      <c r="AC65" s="289"/>
      <c r="AD65" s="289"/>
      <c r="AE65" s="289"/>
      <c r="AF65" s="295"/>
      <c r="AG65" s="295"/>
      <c r="AH65" s="295"/>
      <c r="AI65" s="295"/>
      <c r="AJ65" s="295"/>
      <c r="AK65" s="289"/>
      <c r="AL65" s="289"/>
      <c r="AM65" s="289"/>
      <c r="AN65" s="289"/>
      <c r="AO65" s="289"/>
      <c r="AP65" s="289"/>
      <c r="AQ65" s="289"/>
      <c r="AR65" s="289"/>
      <c r="AS65" s="296"/>
      <c r="AT65" s="297"/>
      <c r="AU65" s="296"/>
      <c r="AV65" s="294"/>
      <c r="AW65" s="289"/>
      <c r="AX65" s="207"/>
      <c r="AY65" s="207"/>
      <c r="AZ65" s="289"/>
      <c r="BA65" s="289"/>
      <c r="BB65" s="289"/>
      <c r="BC65" s="289"/>
      <c r="BD65" s="298"/>
      <c r="BE65" s="298"/>
      <c r="BF65" s="298"/>
      <c r="BG65" s="298"/>
      <c r="BH65" s="292"/>
      <c r="BI65" s="289"/>
      <c r="BJ65" s="289"/>
      <c r="BK65" s="291"/>
      <c r="BL65" s="291"/>
      <c r="BM65" s="291"/>
      <c r="BN65" s="291"/>
      <c r="BO65" s="289"/>
      <c r="BP65" s="295"/>
      <c r="BQ65" s="289"/>
      <c r="BR65" s="289"/>
      <c r="BS65" s="289"/>
      <c r="BT65" s="289"/>
      <c r="BU65" s="289"/>
      <c r="BV65" s="289"/>
      <c r="BW65" s="289"/>
      <c r="BX65" s="289"/>
      <c r="BY65" s="289"/>
      <c r="BZ65" s="289"/>
      <c r="CA65" s="289"/>
      <c r="CB65" s="289"/>
      <c r="CC65" s="298"/>
      <c r="CD65" s="289"/>
      <c r="CE65" s="289"/>
      <c r="CF65" s="289"/>
      <c r="CG65" s="295"/>
      <c r="CH65" s="295"/>
      <c r="CI65" s="295"/>
      <c r="CJ65" s="289"/>
      <c r="CK65" s="295"/>
      <c r="CL65" s="295"/>
      <c r="CM65" s="295"/>
      <c r="CN65" s="295"/>
      <c r="CO65" s="295"/>
      <c r="CP65" s="295"/>
      <c r="CQ65" s="295"/>
      <c r="CR65" s="295"/>
      <c r="CS65" s="295"/>
      <c r="CT65" s="295"/>
      <c r="CU65" s="291"/>
      <c r="CV65" s="289"/>
      <c r="CW65" s="289"/>
      <c r="CX65" s="289"/>
      <c r="CY65" s="289"/>
      <c r="CZ65" s="289"/>
      <c r="DA65" s="289"/>
      <c r="DB65" s="289"/>
      <c r="DC65" s="289"/>
      <c r="DD65" s="289"/>
      <c r="DE65" s="289"/>
      <c r="DF65" s="289"/>
      <c r="DG65" s="289"/>
      <c r="DH65" s="291"/>
      <c r="DI65" s="289"/>
      <c r="DJ65" s="289"/>
      <c r="DK65" s="292"/>
      <c r="DL65" s="289"/>
      <c r="DM65" s="289"/>
      <c r="DN65" s="207"/>
      <c r="DO65" s="207"/>
      <c r="DP65" s="289"/>
      <c r="DQ65" s="289"/>
      <c r="DR65" s="289"/>
      <c r="DS65" s="289"/>
      <c r="DT65" s="289"/>
      <c r="DU65" s="292"/>
      <c r="DV65" s="292"/>
      <c r="DW65" s="292"/>
      <c r="DX65" s="292"/>
      <c r="DY65" s="292"/>
      <c r="DZ65" s="292"/>
      <c r="EA65" s="292"/>
      <c r="EB65" s="292"/>
      <c r="EC65" s="289"/>
      <c r="ED65" s="292"/>
      <c r="EE65" s="292"/>
      <c r="EF65" s="292"/>
      <c r="EG65" s="289"/>
      <c r="EH65" s="292"/>
      <c r="EI65" s="289"/>
      <c r="EJ65" s="289"/>
      <c r="EK65" s="289"/>
      <c r="EL65" s="289"/>
      <c r="EM65" s="289"/>
      <c r="EN65" s="289"/>
      <c r="EO65" s="289"/>
      <c r="EP65" s="289"/>
      <c r="EQ65" s="289"/>
      <c r="ER65" s="289"/>
      <c r="ES65" s="289"/>
      <c r="ET65" s="289"/>
      <c r="EU65" s="289"/>
      <c r="EV65" s="289"/>
      <c r="EW65" s="289"/>
      <c r="EX65" s="289"/>
      <c r="EY65" s="289"/>
      <c r="EZ65" s="289"/>
      <c r="FA65" s="289"/>
      <c r="FB65" s="289"/>
      <c r="FC65" s="289"/>
      <c r="FD65" s="289"/>
      <c r="FE65" s="289"/>
      <c r="FF65" s="289"/>
      <c r="FG65" s="289"/>
      <c r="FH65" s="289"/>
      <c r="FI65" s="289"/>
      <c r="FJ65" s="289"/>
      <c r="FK65" s="289"/>
      <c r="FL65" s="289"/>
      <c r="FM65" s="289"/>
      <c r="FN65" s="289"/>
      <c r="FO65" s="289"/>
      <c r="FP65" s="289"/>
      <c r="FQ65" s="289"/>
      <c r="FR65" s="289"/>
      <c r="FS65" s="289"/>
      <c r="FT65" s="289"/>
      <c r="FU65" s="289"/>
      <c r="FV65" s="289"/>
      <c r="FW65" s="289"/>
      <c r="FX65" s="289"/>
      <c r="FY65" s="289"/>
      <c r="FZ65" s="289"/>
      <c r="GA65" s="289"/>
      <c r="GB65" s="289"/>
      <c r="GC65" s="289"/>
      <c r="GD65" s="289"/>
      <c r="GE65" s="289"/>
      <c r="GF65" s="289"/>
      <c r="GG65" s="289"/>
      <c r="GH65" s="289"/>
      <c r="GI65" s="289"/>
    </row>
    <row r="66" spans="1:191" s="264" customFormat="1" hidden="1">
      <c r="A66" s="289"/>
      <c r="B66" s="289"/>
      <c r="C66" s="291"/>
      <c r="D66" s="291"/>
      <c r="E66" s="291"/>
      <c r="F66" s="291"/>
      <c r="G66" s="291"/>
      <c r="H66" s="291"/>
      <c r="I66" s="291"/>
      <c r="J66" s="291"/>
      <c r="K66" s="291"/>
      <c r="L66" s="292"/>
      <c r="M66" s="289"/>
      <c r="N66" s="289"/>
      <c r="O66" s="289"/>
      <c r="P66" s="289"/>
      <c r="Q66" s="291"/>
      <c r="R66" s="293"/>
      <c r="S66" s="293"/>
      <c r="T66" s="293"/>
      <c r="U66" s="289"/>
      <c r="V66" s="289"/>
      <c r="W66" s="289"/>
      <c r="X66" s="289"/>
      <c r="Y66" s="289"/>
      <c r="Z66" s="289"/>
      <c r="AA66" s="289"/>
      <c r="AB66" s="294"/>
      <c r="AC66" s="289"/>
      <c r="AD66" s="289"/>
      <c r="AE66" s="289"/>
      <c r="AF66" s="295"/>
      <c r="AG66" s="295"/>
      <c r="AH66" s="295"/>
      <c r="AI66" s="295"/>
      <c r="AJ66" s="295"/>
      <c r="AK66" s="289"/>
      <c r="AL66" s="289"/>
      <c r="AM66" s="289"/>
      <c r="AN66" s="289"/>
      <c r="AO66" s="289"/>
      <c r="AP66" s="289"/>
      <c r="AQ66" s="289"/>
      <c r="AR66" s="289"/>
      <c r="AS66" s="296"/>
      <c r="AT66" s="297"/>
      <c r="AU66" s="296"/>
      <c r="AV66" s="294"/>
      <c r="AW66" s="289"/>
      <c r="AX66" s="207"/>
      <c r="AY66" s="207"/>
      <c r="AZ66" s="289"/>
      <c r="BA66" s="289"/>
      <c r="BB66" s="289"/>
      <c r="BC66" s="289"/>
      <c r="BD66" s="298"/>
      <c r="BE66" s="298"/>
      <c r="BF66" s="298"/>
      <c r="BG66" s="298"/>
      <c r="BH66" s="292"/>
      <c r="BI66" s="289"/>
      <c r="BJ66" s="289"/>
      <c r="BK66" s="291"/>
      <c r="BL66" s="291"/>
      <c r="BM66" s="291"/>
      <c r="BN66" s="291"/>
      <c r="BO66" s="289"/>
      <c r="BP66" s="295"/>
      <c r="BQ66" s="289"/>
      <c r="BR66" s="289"/>
      <c r="BS66" s="289"/>
      <c r="BT66" s="289"/>
      <c r="BU66" s="289"/>
      <c r="BV66" s="289"/>
      <c r="BW66" s="289"/>
      <c r="BX66" s="289"/>
      <c r="BY66" s="289"/>
      <c r="BZ66" s="289"/>
      <c r="CA66" s="289"/>
      <c r="CB66" s="289"/>
      <c r="CC66" s="298"/>
      <c r="CD66" s="289"/>
      <c r="CE66" s="289"/>
      <c r="CF66" s="289"/>
      <c r="CG66" s="295"/>
      <c r="CH66" s="295"/>
      <c r="CI66" s="295"/>
      <c r="CJ66" s="289"/>
      <c r="CK66" s="295"/>
      <c r="CL66" s="295"/>
      <c r="CM66" s="295"/>
      <c r="CN66" s="295"/>
      <c r="CO66" s="295"/>
      <c r="CP66" s="295"/>
      <c r="CQ66" s="295"/>
      <c r="CR66" s="295"/>
      <c r="CS66" s="295"/>
      <c r="CT66" s="295"/>
      <c r="CU66" s="291"/>
      <c r="CV66" s="289"/>
      <c r="CW66" s="289"/>
      <c r="CX66" s="289"/>
      <c r="CY66" s="289"/>
      <c r="CZ66" s="289"/>
      <c r="DA66" s="289"/>
      <c r="DB66" s="289"/>
      <c r="DC66" s="289"/>
      <c r="DD66" s="289"/>
      <c r="DE66" s="289"/>
      <c r="DF66" s="289"/>
      <c r="DG66" s="289"/>
      <c r="DH66" s="291"/>
      <c r="DI66" s="289"/>
      <c r="DJ66" s="289"/>
      <c r="DK66" s="292"/>
      <c r="DL66" s="289"/>
      <c r="DM66" s="289"/>
      <c r="DN66" s="207"/>
      <c r="DO66" s="207"/>
      <c r="DP66" s="289"/>
      <c r="DQ66" s="289"/>
      <c r="DR66" s="289"/>
      <c r="DS66" s="289"/>
      <c r="DT66" s="289"/>
      <c r="DU66" s="292"/>
      <c r="DV66" s="292"/>
      <c r="DW66" s="292"/>
      <c r="DX66" s="292"/>
      <c r="DY66" s="292"/>
      <c r="DZ66" s="292"/>
      <c r="EA66" s="292"/>
      <c r="EB66" s="292"/>
      <c r="EC66" s="289"/>
      <c r="ED66" s="292"/>
      <c r="EE66" s="292"/>
      <c r="EF66" s="292"/>
      <c r="EG66" s="289"/>
      <c r="EH66" s="292"/>
      <c r="EI66" s="289"/>
      <c r="EJ66" s="289"/>
      <c r="EK66" s="289"/>
      <c r="EL66" s="289"/>
      <c r="EM66" s="289"/>
      <c r="EN66" s="289"/>
      <c r="EO66" s="289"/>
      <c r="EP66" s="289"/>
      <c r="EQ66" s="289"/>
      <c r="ER66" s="289"/>
      <c r="ES66" s="289"/>
      <c r="ET66" s="289"/>
      <c r="EU66" s="289"/>
      <c r="EV66" s="289"/>
      <c r="EW66" s="289"/>
      <c r="EX66" s="289"/>
      <c r="EY66" s="289"/>
      <c r="EZ66" s="289"/>
      <c r="FA66" s="289"/>
      <c r="FB66" s="289"/>
      <c r="FC66" s="289"/>
      <c r="FD66" s="289"/>
      <c r="FE66" s="289"/>
      <c r="FF66" s="289"/>
      <c r="FG66" s="289"/>
      <c r="FH66" s="289"/>
      <c r="FI66" s="289"/>
      <c r="FJ66" s="289"/>
      <c r="FK66" s="289"/>
      <c r="FL66" s="289"/>
      <c r="FM66" s="289"/>
      <c r="FN66" s="289"/>
      <c r="FO66" s="289"/>
      <c r="FP66" s="289"/>
      <c r="FQ66" s="289"/>
      <c r="FR66" s="289"/>
      <c r="FS66" s="289"/>
      <c r="FT66" s="289"/>
      <c r="FU66" s="289"/>
      <c r="FV66" s="289"/>
      <c r="FW66" s="289"/>
      <c r="FX66" s="289"/>
      <c r="FY66" s="289"/>
      <c r="FZ66" s="289"/>
      <c r="GA66" s="289"/>
      <c r="GB66" s="289"/>
      <c r="GC66" s="289"/>
      <c r="GD66" s="289"/>
      <c r="GE66" s="289"/>
      <c r="GF66" s="289"/>
      <c r="GG66" s="289"/>
      <c r="GH66" s="289"/>
      <c r="GI66" s="289"/>
    </row>
    <row r="67" spans="1:191" s="264" customFormat="1" hidden="1">
      <c r="A67" s="289"/>
      <c r="B67" s="289"/>
      <c r="C67" s="291"/>
      <c r="D67" s="291"/>
      <c r="E67" s="291"/>
      <c r="F67" s="291"/>
      <c r="G67" s="291"/>
      <c r="H67" s="291"/>
      <c r="I67" s="291"/>
      <c r="J67" s="291"/>
      <c r="K67" s="291"/>
      <c r="L67" s="292"/>
      <c r="M67" s="289"/>
      <c r="N67" s="289"/>
      <c r="O67" s="289"/>
      <c r="P67" s="289"/>
      <c r="Q67" s="291"/>
      <c r="R67" s="293"/>
      <c r="S67" s="293"/>
      <c r="T67" s="293"/>
      <c r="U67" s="289"/>
      <c r="V67" s="289"/>
      <c r="W67" s="289"/>
      <c r="X67" s="289"/>
      <c r="Y67" s="289"/>
      <c r="Z67" s="289"/>
      <c r="AA67" s="289"/>
      <c r="AB67" s="294"/>
      <c r="AC67" s="289"/>
      <c r="AD67" s="289"/>
      <c r="AE67" s="289"/>
      <c r="AF67" s="295"/>
      <c r="AG67" s="295"/>
      <c r="AH67" s="295"/>
      <c r="AI67" s="295"/>
      <c r="AJ67" s="295"/>
      <c r="AK67" s="289"/>
      <c r="AL67" s="289"/>
      <c r="AM67" s="289"/>
      <c r="AN67" s="289"/>
      <c r="AO67" s="289"/>
      <c r="AP67" s="289"/>
      <c r="AQ67" s="289"/>
      <c r="AR67" s="289"/>
      <c r="AS67" s="296"/>
      <c r="AT67" s="297"/>
      <c r="AU67" s="296"/>
      <c r="AV67" s="294"/>
      <c r="AW67" s="289"/>
      <c r="AX67" s="207"/>
      <c r="AY67" s="207"/>
      <c r="AZ67" s="289"/>
      <c r="BA67" s="289"/>
      <c r="BB67" s="289"/>
      <c r="BC67" s="289"/>
      <c r="BD67" s="298"/>
      <c r="BE67" s="298"/>
      <c r="BF67" s="298"/>
      <c r="BG67" s="298"/>
      <c r="BH67" s="292"/>
      <c r="BI67" s="289"/>
      <c r="BJ67" s="289"/>
      <c r="BK67" s="291"/>
      <c r="BL67" s="291"/>
      <c r="BM67" s="291"/>
      <c r="BN67" s="291"/>
      <c r="BO67" s="289"/>
      <c r="BP67" s="295"/>
      <c r="BQ67" s="289"/>
      <c r="BR67" s="289"/>
      <c r="BS67" s="289"/>
      <c r="BT67" s="289"/>
      <c r="BU67" s="289"/>
      <c r="BV67" s="289"/>
      <c r="BW67" s="289"/>
      <c r="BX67" s="289"/>
      <c r="BY67" s="289"/>
      <c r="BZ67" s="289"/>
      <c r="CA67" s="289"/>
      <c r="CB67" s="289"/>
      <c r="CC67" s="298"/>
      <c r="CD67" s="289"/>
      <c r="CE67" s="289"/>
      <c r="CF67" s="289"/>
      <c r="CG67" s="295"/>
      <c r="CH67" s="295"/>
      <c r="CI67" s="295"/>
      <c r="CJ67" s="289"/>
      <c r="CK67" s="295"/>
      <c r="CL67" s="295"/>
      <c r="CM67" s="295"/>
      <c r="CN67" s="295"/>
      <c r="CO67" s="295"/>
      <c r="CP67" s="295"/>
      <c r="CQ67" s="295"/>
      <c r="CR67" s="295"/>
      <c r="CS67" s="295"/>
      <c r="CT67" s="295"/>
      <c r="CU67" s="291"/>
      <c r="CV67" s="289"/>
      <c r="CW67" s="289"/>
      <c r="CX67" s="289"/>
      <c r="CY67" s="289"/>
      <c r="CZ67" s="289"/>
      <c r="DA67" s="289"/>
      <c r="DB67" s="289"/>
      <c r="DC67" s="289"/>
      <c r="DD67" s="289"/>
      <c r="DE67" s="289"/>
      <c r="DF67" s="289"/>
      <c r="DG67" s="289"/>
      <c r="DH67" s="291"/>
      <c r="DI67" s="289"/>
      <c r="DJ67" s="289"/>
      <c r="DK67" s="292"/>
      <c r="DL67" s="289"/>
      <c r="DM67" s="289"/>
      <c r="DN67" s="207"/>
      <c r="DO67" s="207"/>
      <c r="DP67" s="289"/>
      <c r="DQ67" s="289"/>
      <c r="DR67" s="289"/>
      <c r="DS67" s="289"/>
      <c r="DT67" s="289"/>
      <c r="DU67" s="292"/>
      <c r="DV67" s="292"/>
      <c r="DW67" s="292"/>
      <c r="DX67" s="292"/>
      <c r="DY67" s="292"/>
      <c r="DZ67" s="292"/>
      <c r="EA67" s="292"/>
      <c r="EB67" s="292"/>
      <c r="EC67" s="289"/>
      <c r="ED67" s="292"/>
      <c r="EE67" s="292"/>
      <c r="EF67" s="292"/>
      <c r="EG67" s="289"/>
      <c r="EH67" s="292"/>
      <c r="EI67" s="289"/>
      <c r="EJ67" s="289"/>
      <c r="EK67" s="289"/>
      <c r="EL67" s="289"/>
      <c r="EM67" s="289"/>
      <c r="EN67" s="289"/>
      <c r="EO67" s="289"/>
      <c r="EP67" s="289"/>
      <c r="EQ67" s="289"/>
      <c r="ER67" s="289"/>
      <c r="ES67" s="289"/>
      <c r="ET67" s="289"/>
      <c r="EU67" s="289"/>
      <c r="EV67" s="289"/>
      <c r="EW67" s="289"/>
      <c r="EX67" s="289"/>
      <c r="EY67" s="289"/>
      <c r="EZ67" s="289"/>
      <c r="FA67" s="289"/>
      <c r="FB67" s="289"/>
      <c r="FC67" s="289"/>
      <c r="FD67" s="289"/>
      <c r="FE67" s="289"/>
      <c r="FF67" s="289"/>
      <c r="FG67" s="289"/>
      <c r="FH67" s="289"/>
      <c r="FI67" s="289"/>
      <c r="FJ67" s="289"/>
      <c r="FK67" s="289"/>
      <c r="FL67" s="289"/>
      <c r="FM67" s="289"/>
      <c r="FN67" s="289"/>
      <c r="FO67" s="289"/>
      <c r="FP67" s="289"/>
      <c r="FQ67" s="289"/>
      <c r="FR67" s="289"/>
      <c r="FS67" s="289"/>
      <c r="FT67" s="289"/>
      <c r="FU67" s="289"/>
      <c r="FV67" s="289"/>
      <c r="FW67" s="289"/>
      <c r="FX67" s="289"/>
      <c r="FY67" s="289"/>
      <c r="FZ67" s="289"/>
      <c r="GA67" s="289"/>
      <c r="GB67" s="289"/>
      <c r="GC67" s="289"/>
      <c r="GD67" s="289"/>
      <c r="GE67" s="289"/>
      <c r="GF67" s="289"/>
      <c r="GG67" s="289"/>
      <c r="GH67" s="289"/>
      <c r="GI67" s="289"/>
    </row>
    <row r="68" spans="1:191" s="264" customFormat="1" hidden="1">
      <c r="A68" s="289"/>
      <c r="B68" s="289"/>
      <c r="C68" s="291"/>
      <c r="D68" s="291"/>
      <c r="E68" s="291"/>
      <c r="F68" s="291"/>
      <c r="G68" s="291"/>
      <c r="H68" s="291"/>
      <c r="I68" s="291"/>
      <c r="J68" s="291"/>
      <c r="K68" s="291"/>
      <c r="L68" s="292"/>
      <c r="M68" s="289"/>
      <c r="N68" s="289"/>
      <c r="O68" s="289"/>
      <c r="P68" s="289"/>
      <c r="Q68" s="291"/>
      <c r="R68" s="293"/>
      <c r="S68" s="293"/>
      <c r="T68" s="293"/>
      <c r="U68" s="289"/>
      <c r="V68" s="289"/>
      <c r="W68" s="289"/>
      <c r="X68" s="289"/>
      <c r="Y68" s="289"/>
      <c r="Z68" s="289"/>
      <c r="AA68" s="289"/>
      <c r="AB68" s="294"/>
      <c r="AC68" s="289"/>
      <c r="AD68" s="289"/>
      <c r="AE68" s="289"/>
      <c r="AF68" s="295"/>
      <c r="AG68" s="295"/>
      <c r="AH68" s="295"/>
      <c r="AI68" s="295"/>
      <c r="AJ68" s="295"/>
      <c r="AK68" s="289"/>
      <c r="AL68" s="289"/>
      <c r="AM68" s="289"/>
      <c r="AN68" s="289"/>
      <c r="AO68" s="289"/>
      <c r="AP68" s="289"/>
      <c r="AQ68" s="289"/>
      <c r="AR68" s="289"/>
      <c r="AS68" s="296"/>
      <c r="AT68" s="297"/>
      <c r="AU68" s="296"/>
      <c r="AV68" s="294"/>
      <c r="AW68" s="289"/>
      <c r="AX68" s="207"/>
      <c r="AY68" s="207"/>
      <c r="AZ68" s="289"/>
      <c r="BA68" s="289"/>
      <c r="BB68" s="289"/>
      <c r="BC68" s="289"/>
      <c r="BD68" s="298"/>
      <c r="BE68" s="298"/>
      <c r="BF68" s="298"/>
      <c r="BG68" s="298"/>
      <c r="BH68" s="292"/>
      <c r="BI68" s="289"/>
      <c r="BJ68" s="289"/>
      <c r="BK68" s="291"/>
      <c r="BL68" s="291"/>
      <c r="BM68" s="291"/>
      <c r="BN68" s="291"/>
      <c r="BO68" s="289"/>
      <c r="BP68" s="295"/>
      <c r="BQ68" s="289"/>
      <c r="BR68" s="289"/>
      <c r="BS68" s="289"/>
      <c r="BT68" s="289"/>
      <c r="BU68" s="289"/>
      <c r="BV68" s="289"/>
      <c r="BW68" s="289"/>
      <c r="BX68" s="289"/>
      <c r="BY68" s="289"/>
      <c r="BZ68" s="289"/>
      <c r="CA68" s="289"/>
      <c r="CB68" s="289"/>
      <c r="CC68" s="298"/>
      <c r="CD68" s="289"/>
      <c r="CE68" s="289"/>
      <c r="CF68" s="289"/>
      <c r="CG68" s="295"/>
      <c r="CH68" s="295"/>
      <c r="CI68" s="295"/>
      <c r="CJ68" s="289"/>
      <c r="CK68" s="295"/>
      <c r="CL68" s="295"/>
      <c r="CM68" s="295"/>
      <c r="CN68" s="295"/>
      <c r="CO68" s="295"/>
      <c r="CP68" s="295"/>
      <c r="CQ68" s="295"/>
      <c r="CR68" s="295"/>
      <c r="CS68" s="295"/>
      <c r="CT68" s="295"/>
      <c r="CU68" s="291"/>
      <c r="CV68" s="289"/>
      <c r="CW68" s="289"/>
      <c r="CX68" s="289"/>
      <c r="CY68" s="289"/>
      <c r="CZ68" s="289"/>
      <c r="DA68" s="289"/>
      <c r="DB68" s="289"/>
      <c r="DC68" s="289"/>
      <c r="DD68" s="289"/>
      <c r="DE68" s="289"/>
      <c r="DF68" s="289"/>
      <c r="DG68" s="289"/>
      <c r="DH68" s="291"/>
      <c r="DI68" s="289"/>
      <c r="DJ68" s="289"/>
      <c r="DK68" s="292"/>
      <c r="DL68" s="289"/>
      <c r="DM68" s="289"/>
      <c r="DN68" s="207"/>
      <c r="DO68" s="207"/>
      <c r="DP68" s="289"/>
      <c r="DQ68" s="289"/>
      <c r="DR68" s="289"/>
      <c r="DS68" s="289"/>
      <c r="DT68" s="289"/>
      <c r="DU68" s="292"/>
      <c r="DV68" s="292"/>
      <c r="DW68" s="292"/>
      <c r="DX68" s="292"/>
      <c r="DY68" s="292"/>
      <c r="DZ68" s="292"/>
      <c r="EA68" s="292"/>
      <c r="EB68" s="292"/>
      <c r="EC68" s="289"/>
      <c r="ED68" s="292"/>
      <c r="EE68" s="292"/>
      <c r="EF68" s="292"/>
      <c r="EG68" s="289"/>
      <c r="EH68" s="292"/>
      <c r="EI68" s="289"/>
      <c r="EJ68" s="289"/>
      <c r="EK68" s="289"/>
      <c r="EL68" s="289"/>
      <c r="EM68" s="289"/>
      <c r="EN68" s="289"/>
      <c r="EO68" s="289"/>
      <c r="EP68" s="289"/>
      <c r="EQ68" s="289"/>
      <c r="ER68" s="289"/>
      <c r="ES68" s="289"/>
      <c r="ET68" s="289"/>
      <c r="EU68" s="289"/>
      <c r="EV68" s="289"/>
      <c r="EW68" s="289"/>
      <c r="EX68" s="289"/>
      <c r="EY68" s="289"/>
      <c r="EZ68" s="289"/>
      <c r="FA68" s="289"/>
      <c r="FB68" s="289"/>
      <c r="FC68" s="289"/>
      <c r="FD68" s="289"/>
      <c r="FE68" s="289"/>
      <c r="FF68" s="289"/>
      <c r="FG68" s="289"/>
      <c r="FH68" s="289"/>
      <c r="FI68" s="289"/>
      <c r="FJ68" s="289"/>
      <c r="FK68" s="289"/>
      <c r="FL68" s="289"/>
      <c r="FM68" s="289"/>
      <c r="FN68" s="289"/>
      <c r="FO68" s="289"/>
      <c r="FP68" s="289"/>
      <c r="FQ68" s="289"/>
      <c r="FR68" s="289"/>
      <c r="FS68" s="289"/>
      <c r="FT68" s="289"/>
      <c r="FU68" s="289"/>
      <c r="FV68" s="289"/>
      <c r="FW68" s="289"/>
      <c r="FX68" s="289"/>
      <c r="FY68" s="289"/>
      <c r="FZ68" s="289"/>
      <c r="GA68" s="289"/>
      <c r="GB68" s="289"/>
      <c r="GC68" s="289"/>
      <c r="GD68" s="289"/>
      <c r="GE68" s="289"/>
      <c r="GF68" s="289"/>
      <c r="GG68" s="289"/>
      <c r="GH68" s="289"/>
      <c r="GI68" s="289"/>
    </row>
    <row r="69" spans="1:191" s="264" customFormat="1" hidden="1">
      <c r="A69" s="289"/>
      <c r="B69" s="289"/>
      <c r="C69" s="291"/>
      <c r="D69" s="291"/>
      <c r="E69" s="291"/>
      <c r="F69" s="291"/>
      <c r="G69" s="291"/>
      <c r="H69" s="291"/>
      <c r="I69" s="291"/>
      <c r="J69" s="291"/>
      <c r="K69" s="291"/>
      <c r="L69" s="292"/>
      <c r="M69" s="289"/>
      <c r="N69" s="289"/>
      <c r="O69" s="289"/>
      <c r="P69" s="289"/>
      <c r="Q69" s="291"/>
      <c r="R69" s="293"/>
      <c r="S69" s="293"/>
      <c r="T69" s="293"/>
      <c r="U69" s="289"/>
      <c r="V69" s="289"/>
      <c r="W69" s="289"/>
      <c r="X69" s="289"/>
      <c r="Y69" s="289"/>
      <c r="Z69" s="289"/>
      <c r="AA69" s="289"/>
      <c r="AB69" s="294"/>
      <c r="AC69" s="289"/>
      <c r="AD69" s="289"/>
      <c r="AE69" s="289"/>
      <c r="AF69" s="295"/>
      <c r="AG69" s="295"/>
      <c r="AH69" s="295"/>
      <c r="AI69" s="295"/>
      <c r="AJ69" s="295"/>
      <c r="AK69" s="289"/>
      <c r="AL69" s="289"/>
      <c r="AM69" s="289"/>
      <c r="AN69" s="289"/>
      <c r="AO69" s="289"/>
      <c r="AP69" s="289"/>
      <c r="AQ69" s="289"/>
      <c r="AR69" s="289"/>
      <c r="AS69" s="296"/>
      <c r="AT69" s="297"/>
      <c r="AU69" s="296"/>
      <c r="AV69" s="294"/>
      <c r="AW69" s="289"/>
      <c r="AX69" s="207"/>
      <c r="AY69" s="207"/>
      <c r="AZ69" s="289"/>
      <c r="BA69" s="289"/>
      <c r="BB69" s="289"/>
      <c r="BC69" s="289"/>
      <c r="BD69" s="298"/>
      <c r="BE69" s="298"/>
      <c r="BF69" s="298"/>
      <c r="BG69" s="298"/>
      <c r="BH69" s="292"/>
      <c r="BI69" s="289"/>
      <c r="BJ69" s="289"/>
      <c r="BK69" s="291"/>
      <c r="BL69" s="291"/>
      <c r="BM69" s="291"/>
      <c r="BN69" s="291"/>
      <c r="BO69" s="289"/>
      <c r="BP69" s="295"/>
      <c r="BQ69" s="289"/>
      <c r="BR69" s="289"/>
      <c r="BS69" s="289"/>
      <c r="BT69" s="289"/>
      <c r="BU69" s="289"/>
      <c r="BV69" s="289"/>
      <c r="BW69" s="289"/>
      <c r="BX69" s="289"/>
      <c r="BY69" s="289"/>
      <c r="BZ69" s="289"/>
      <c r="CA69" s="289"/>
      <c r="CB69" s="289"/>
      <c r="CC69" s="298"/>
      <c r="CD69" s="289"/>
      <c r="CE69" s="289"/>
      <c r="CF69" s="289"/>
      <c r="CG69" s="295"/>
      <c r="CH69" s="295"/>
      <c r="CI69" s="295"/>
      <c r="CJ69" s="289"/>
      <c r="CK69" s="295"/>
      <c r="CL69" s="295"/>
      <c r="CM69" s="295"/>
      <c r="CN69" s="295"/>
      <c r="CO69" s="295"/>
      <c r="CP69" s="295"/>
      <c r="CQ69" s="295"/>
      <c r="CR69" s="295"/>
      <c r="CS69" s="295"/>
      <c r="CT69" s="295"/>
      <c r="CU69" s="291"/>
      <c r="CV69" s="289"/>
      <c r="CW69" s="289"/>
      <c r="CX69" s="289"/>
      <c r="CY69" s="289"/>
      <c r="CZ69" s="289"/>
      <c r="DA69" s="289"/>
      <c r="DB69" s="289"/>
      <c r="DC69" s="289"/>
      <c r="DD69" s="289"/>
      <c r="DE69" s="289"/>
      <c r="DF69" s="289"/>
      <c r="DG69" s="289"/>
      <c r="DH69" s="291"/>
      <c r="DI69" s="289"/>
      <c r="DJ69" s="289"/>
      <c r="DK69" s="292"/>
      <c r="DL69" s="289"/>
      <c r="DM69" s="289"/>
      <c r="DN69" s="207"/>
      <c r="DO69" s="207"/>
      <c r="DP69" s="289"/>
      <c r="DQ69" s="289"/>
      <c r="DR69" s="289"/>
      <c r="DS69" s="289"/>
      <c r="DT69" s="289"/>
      <c r="DU69" s="292"/>
      <c r="DV69" s="292"/>
      <c r="DW69" s="292"/>
      <c r="DX69" s="292"/>
      <c r="DY69" s="292"/>
      <c r="DZ69" s="292"/>
      <c r="EA69" s="292"/>
      <c r="EB69" s="292"/>
      <c r="EC69" s="289"/>
      <c r="ED69" s="292"/>
      <c r="EE69" s="292"/>
      <c r="EF69" s="292"/>
      <c r="EG69" s="289"/>
      <c r="EH69" s="292"/>
      <c r="EI69" s="289"/>
      <c r="EJ69" s="289"/>
      <c r="EK69" s="289"/>
      <c r="EL69" s="289"/>
      <c r="EM69" s="289"/>
      <c r="EN69" s="289"/>
      <c r="EO69" s="289"/>
      <c r="EP69" s="289"/>
      <c r="EQ69" s="289"/>
      <c r="ER69" s="289"/>
      <c r="ES69" s="289"/>
      <c r="ET69" s="289"/>
      <c r="EU69" s="289"/>
      <c r="EV69" s="289"/>
      <c r="EW69" s="289"/>
      <c r="EX69" s="289"/>
      <c r="EY69" s="289"/>
      <c r="EZ69" s="289"/>
      <c r="FA69" s="289"/>
      <c r="FB69" s="289"/>
      <c r="FC69" s="289"/>
      <c r="FD69" s="289"/>
      <c r="FE69" s="289"/>
      <c r="FF69" s="289"/>
      <c r="FG69" s="289"/>
      <c r="FH69" s="289"/>
      <c r="FI69" s="289"/>
      <c r="FJ69" s="289"/>
      <c r="FK69" s="289"/>
      <c r="FL69" s="289"/>
      <c r="FM69" s="289"/>
      <c r="FN69" s="289"/>
      <c r="FO69" s="289"/>
      <c r="FP69" s="289"/>
      <c r="FQ69" s="289"/>
      <c r="FR69" s="289"/>
      <c r="FS69" s="289"/>
      <c r="FT69" s="289"/>
      <c r="FU69" s="289"/>
      <c r="FV69" s="289"/>
      <c r="FW69" s="289"/>
      <c r="FX69" s="289"/>
      <c r="FY69" s="289"/>
      <c r="FZ69" s="289"/>
      <c r="GA69" s="289"/>
      <c r="GB69" s="289"/>
      <c r="GC69" s="289"/>
      <c r="GD69" s="289"/>
      <c r="GE69" s="289"/>
      <c r="GF69" s="289"/>
      <c r="GG69" s="289"/>
      <c r="GH69" s="289"/>
      <c r="GI69" s="289"/>
    </row>
    <row r="70" spans="1:191" s="264" customFormat="1" hidden="1">
      <c r="A70" s="289"/>
      <c r="B70" s="289"/>
      <c r="C70" s="291"/>
      <c r="D70" s="291"/>
      <c r="E70" s="291"/>
      <c r="F70" s="291"/>
      <c r="G70" s="291"/>
      <c r="H70" s="291"/>
      <c r="I70" s="291"/>
      <c r="J70" s="291"/>
      <c r="K70" s="291"/>
      <c r="L70" s="292"/>
      <c r="M70" s="289"/>
      <c r="N70" s="289"/>
      <c r="O70" s="289"/>
      <c r="P70" s="289"/>
      <c r="Q70" s="291"/>
      <c r="R70" s="293"/>
      <c r="S70" s="293"/>
      <c r="T70" s="293"/>
      <c r="U70" s="289"/>
      <c r="V70" s="289"/>
      <c r="W70" s="289"/>
      <c r="X70" s="289"/>
      <c r="Y70" s="289"/>
      <c r="Z70" s="289"/>
      <c r="AA70" s="289"/>
      <c r="AB70" s="294"/>
      <c r="AC70" s="289"/>
      <c r="AD70" s="289"/>
      <c r="AE70" s="289"/>
      <c r="AF70" s="295"/>
      <c r="AG70" s="295"/>
      <c r="AH70" s="295"/>
      <c r="AI70" s="295"/>
      <c r="AJ70" s="295"/>
      <c r="AK70" s="289"/>
      <c r="AL70" s="289"/>
      <c r="AM70" s="289"/>
      <c r="AN70" s="289"/>
      <c r="AO70" s="289"/>
      <c r="AP70" s="289"/>
      <c r="AQ70" s="289"/>
      <c r="AR70" s="289"/>
      <c r="AS70" s="296"/>
      <c r="AT70" s="297"/>
      <c r="AU70" s="296"/>
      <c r="AV70" s="294"/>
      <c r="AW70" s="289"/>
      <c r="AX70" s="207"/>
      <c r="AY70" s="207"/>
      <c r="AZ70" s="289"/>
      <c r="BA70" s="289"/>
      <c r="BB70" s="289"/>
      <c r="BC70" s="289"/>
      <c r="BD70" s="298"/>
      <c r="BE70" s="298"/>
      <c r="BF70" s="298"/>
      <c r="BG70" s="298"/>
      <c r="BH70" s="292"/>
      <c r="BI70" s="289"/>
      <c r="BJ70" s="289"/>
      <c r="BK70" s="291"/>
      <c r="BL70" s="291"/>
      <c r="BM70" s="291"/>
      <c r="BN70" s="291"/>
      <c r="BO70" s="289"/>
      <c r="BP70" s="295"/>
      <c r="BQ70" s="289"/>
      <c r="BR70" s="289"/>
      <c r="BS70" s="289"/>
      <c r="BT70" s="289"/>
      <c r="BU70" s="289"/>
      <c r="BV70" s="289"/>
      <c r="BW70" s="289"/>
      <c r="BX70" s="289"/>
      <c r="BY70" s="289"/>
      <c r="BZ70" s="289"/>
      <c r="CA70" s="289"/>
      <c r="CB70" s="289"/>
      <c r="CC70" s="298"/>
      <c r="CD70" s="289"/>
      <c r="CE70" s="289"/>
      <c r="CF70" s="289"/>
      <c r="CG70" s="295"/>
      <c r="CH70" s="295"/>
      <c r="CI70" s="295"/>
      <c r="CJ70" s="289"/>
      <c r="CK70" s="295"/>
      <c r="CL70" s="295"/>
      <c r="CM70" s="295"/>
      <c r="CN70" s="295"/>
      <c r="CO70" s="295"/>
      <c r="CP70" s="295"/>
      <c r="CQ70" s="295"/>
      <c r="CR70" s="295"/>
      <c r="CS70" s="295"/>
      <c r="CT70" s="295"/>
      <c r="CU70" s="291"/>
      <c r="CV70" s="289"/>
      <c r="CW70" s="289"/>
      <c r="CX70" s="289"/>
      <c r="CY70" s="289"/>
      <c r="CZ70" s="289"/>
      <c r="DA70" s="289"/>
      <c r="DB70" s="289"/>
      <c r="DC70" s="289"/>
      <c r="DD70" s="289"/>
      <c r="DE70" s="289"/>
      <c r="DF70" s="289"/>
      <c r="DG70" s="289"/>
      <c r="DH70" s="291"/>
      <c r="DI70" s="289"/>
      <c r="DJ70" s="289"/>
      <c r="DK70" s="292"/>
      <c r="DL70" s="289"/>
      <c r="DM70" s="289"/>
      <c r="DN70" s="207"/>
      <c r="DO70" s="207"/>
      <c r="DP70" s="289"/>
      <c r="DQ70" s="289"/>
      <c r="DR70" s="289"/>
      <c r="DS70" s="289"/>
      <c r="DT70" s="289"/>
      <c r="DU70" s="292"/>
      <c r="DV70" s="292"/>
      <c r="DW70" s="292"/>
      <c r="DX70" s="292"/>
      <c r="DY70" s="292"/>
      <c r="DZ70" s="292"/>
      <c r="EA70" s="292"/>
      <c r="EB70" s="292"/>
      <c r="EC70" s="289"/>
      <c r="ED70" s="292"/>
      <c r="EE70" s="292"/>
      <c r="EF70" s="292"/>
      <c r="EG70" s="289"/>
      <c r="EH70" s="292"/>
      <c r="EI70" s="289"/>
      <c r="EJ70" s="289"/>
      <c r="EK70" s="289"/>
      <c r="EL70" s="289"/>
      <c r="EM70" s="289"/>
      <c r="EN70" s="289"/>
      <c r="EO70" s="289"/>
      <c r="EP70" s="289"/>
      <c r="EQ70" s="289"/>
      <c r="ER70" s="289"/>
      <c r="ES70" s="289"/>
      <c r="ET70" s="289"/>
      <c r="EU70" s="289"/>
      <c r="EV70" s="289"/>
      <c r="EW70" s="289"/>
      <c r="EX70" s="289"/>
      <c r="EY70" s="289"/>
      <c r="EZ70" s="289"/>
      <c r="FA70" s="289"/>
      <c r="FB70" s="289"/>
      <c r="FC70" s="289"/>
      <c r="FD70" s="289"/>
      <c r="FE70" s="289"/>
      <c r="FF70" s="289"/>
      <c r="FG70" s="289"/>
      <c r="FH70" s="289"/>
      <c r="FI70" s="289"/>
      <c r="FJ70" s="289"/>
      <c r="FK70" s="289"/>
      <c r="FL70" s="289"/>
      <c r="FM70" s="289"/>
      <c r="FN70" s="289"/>
      <c r="FO70" s="289"/>
      <c r="FP70" s="289"/>
      <c r="FQ70" s="289"/>
      <c r="FR70" s="289"/>
      <c r="FS70" s="289"/>
      <c r="FT70" s="289"/>
      <c r="FU70" s="289"/>
      <c r="FV70" s="289"/>
      <c r="FW70" s="289"/>
      <c r="FX70" s="289"/>
      <c r="FY70" s="289"/>
      <c r="FZ70" s="289"/>
      <c r="GA70" s="289"/>
      <c r="GB70" s="289"/>
      <c r="GC70" s="289"/>
      <c r="GD70" s="289"/>
      <c r="GE70" s="289"/>
      <c r="GF70" s="289"/>
      <c r="GG70" s="289"/>
      <c r="GH70" s="289"/>
      <c r="GI70" s="289"/>
    </row>
    <row r="71" spans="1:191" s="264" customFormat="1" hidden="1">
      <c r="A71" s="289"/>
      <c r="B71" s="289"/>
      <c r="C71" s="291"/>
      <c r="D71" s="291"/>
      <c r="E71" s="291"/>
      <c r="F71" s="291"/>
      <c r="G71" s="291"/>
      <c r="H71" s="291"/>
      <c r="I71" s="291"/>
      <c r="J71" s="291"/>
      <c r="K71" s="291"/>
      <c r="L71" s="292"/>
      <c r="M71" s="289"/>
      <c r="N71" s="289"/>
      <c r="O71" s="289"/>
      <c r="P71" s="289"/>
      <c r="Q71" s="291"/>
      <c r="R71" s="293"/>
      <c r="S71" s="293"/>
      <c r="T71" s="293"/>
      <c r="U71" s="289"/>
      <c r="V71" s="289"/>
      <c r="W71" s="289"/>
      <c r="X71" s="289"/>
      <c r="Y71" s="289"/>
      <c r="Z71" s="289"/>
      <c r="AA71" s="289"/>
      <c r="AB71" s="294"/>
      <c r="AC71" s="289"/>
      <c r="AD71" s="289"/>
      <c r="AE71" s="289"/>
      <c r="AF71" s="295"/>
      <c r="AG71" s="295"/>
      <c r="AH71" s="295"/>
      <c r="AI71" s="295"/>
      <c r="AJ71" s="295"/>
      <c r="AK71" s="289"/>
      <c r="AL71" s="289"/>
      <c r="AM71" s="289"/>
      <c r="AN71" s="289"/>
      <c r="AO71" s="289"/>
      <c r="AP71" s="289"/>
      <c r="AQ71" s="289"/>
      <c r="AR71" s="289"/>
      <c r="AS71" s="296"/>
      <c r="AT71" s="297"/>
      <c r="AU71" s="296"/>
      <c r="AV71" s="294"/>
      <c r="AW71" s="289"/>
      <c r="AX71" s="207"/>
      <c r="AY71" s="207"/>
      <c r="AZ71" s="289"/>
      <c r="BA71" s="289"/>
      <c r="BB71" s="289"/>
      <c r="BC71" s="289"/>
      <c r="BD71" s="298"/>
      <c r="BE71" s="298"/>
      <c r="BF71" s="298"/>
      <c r="BG71" s="298"/>
      <c r="BH71" s="292"/>
      <c r="BI71" s="289"/>
      <c r="BJ71" s="289"/>
      <c r="BK71" s="291"/>
      <c r="BL71" s="291"/>
      <c r="BM71" s="291"/>
      <c r="BN71" s="291"/>
      <c r="BO71" s="289"/>
      <c r="BP71" s="295"/>
      <c r="BQ71" s="289"/>
      <c r="BR71" s="289"/>
      <c r="BS71" s="289"/>
      <c r="BT71" s="289"/>
      <c r="BU71" s="289"/>
      <c r="BV71" s="289"/>
      <c r="BW71" s="289"/>
      <c r="BX71" s="289"/>
      <c r="BY71" s="289"/>
      <c r="BZ71" s="289"/>
      <c r="CA71" s="289"/>
      <c r="CB71" s="289"/>
      <c r="CC71" s="298"/>
      <c r="CD71" s="289"/>
      <c r="CE71" s="289"/>
      <c r="CF71" s="289"/>
      <c r="CG71" s="295"/>
      <c r="CH71" s="295"/>
      <c r="CI71" s="295"/>
      <c r="CJ71" s="289"/>
      <c r="CK71" s="295"/>
      <c r="CL71" s="295"/>
      <c r="CM71" s="295"/>
      <c r="CN71" s="295"/>
      <c r="CO71" s="295"/>
      <c r="CP71" s="295"/>
      <c r="CQ71" s="295"/>
      <c r="CR71" s="295"/>
      <c r="CS71" s="295"/>
      <c r="CT71" s="295"/>
      <c r="CU71" s="291"/>
      <c r="CV71" s="289"/>
      <c r="CW71" s="289"/>
      <c r="CX71" s="289"/>
      <c r="CY71" s="289"/>
      <c r="CZ71" s="289"/>
      <c r="DA71" s="289"/>
      <c r="DB71" s="289"/>
      <c r="DC71" s="289"/>
      <c r="DD71" s="289"/>
      <c r="DE71" s="289"/>
      <c r="DF71" s="289"/>
      <c r="DG71" s="289"/>
      <c r="DH71" s="291"/>
      <c r="DI71" s="289"/>
      <c r="DJ71" s="289"/>
      <c r="DK71" s="292"/>
      <c r="DL71" s="289"/>
      <c r="DM71" s="289"/>
      <c r="DN71" s="207"/>
      <c r="DO71" s="207"/>
      <c r="DP71" s="289"/>
      <c r="DQ71" s="289"/>
      <c r="DR71" s="289"/>
      <c r="DS71" s="289"/>
      <c r="DT71" s="289"/>
      <c r="DU71" s="292"/>
      <c r="DV71" s="292"/>
      <c r="DW71" s="292"/>
      <c r="DX71" s="292"/>
      <c r="DY71" s="292"/>
      <c r="DZ71" s="292"/>
      <c r="EA71" s="292"/>
      <c r="EB71" s="292"/>
      <c r="EC71" s="289"/>
      <c r="ED71" s="292"/>
      <c r="EE71" s="292"/>
      <c r="EF71" s="292"/>
      <c r="EG71" s="289"/>
      <c r="EH71" s="292"/>
      <c r="EI71" s="289"/>
      <c r="EJ71" s="289"/>
      <c r="EK71" s="289"/>
      <c r="EL71" s="289"/>
      <c r="EM71" s="289"/>
      <c r="EN71" s="289"/>
      <c r="EO71" s="289"/>
      <c r="EP71" s="289"/>
      <c r="EQ71" s="289"/>
      <c r="ER71" s="289"/>
      <c r="ES71" s="289"/>
      <c r="ET71" s="289"/>
      <c r="EU71" s="289"/>
      <c r="EV71" s="289"/>
      <c r="EW71" s="289"/>
      <c r="EX71" s="289"/>
      <c r="EY71" s="289"/>
      <c r="EZ71" s="289"/>
      <c r="FA71" s="289"/>
      <c r="FB71" s="289"/>
      <c r="FC71" s="289"/>
      <c r="FD71" s="289"/>
      <c r="FE71" s="289"/>
      <c r="FF71" s="289"/>
      <c r="FG71" s="289"/>
      <c r="FH71" s="289"/>
      <c r="FI71" s="289"/>
      <c r="FJ71" s="289"/>
      <c r="FK71" s="289"/>
      <c r="FL71" s="289"/>
      <c r="FM71" s="289"/>
      <c r="FN71" s="289"/>
      <c r="FO71" s="289"/>
      <c r="FP71" s="289"/>
      <c r="FQ71" s="289"/>
      <c r="FR71" s="289"/>
      <c r="FS71" s="289"/>
      <c r="FT71" s="289"/>
      <c r="FU71" s="289"/>
      <c r="FV71" s="289"/>
      <c r="FW71" s="289"/>
      <c r="FX71" s="289"/>
      <c r="FY71" s="289"/>
      <c r="FZ71" s="289"/>
      <c r="GA71" s="289"/>
      <c r="GB71" s="289"/>
      <c r="GC71" s="289"/>
      <c r="GD71" s="289"/>
      <c r="GE71" s="289"/>
      <c r="GF71" s="289"/>
      <c r="GG71" s="289"/>
      <c r="GH71" s="289"/>
      <c r="GI71" s="289"/>
    </row>
    <row r="72" spans="1:191" s="264" customFormat="1" hidden="1">
      <c r="A72" s="289"/>
      <c r="B72" s="289"/>
      <c r="C72" s="291"/>
      <c r="D72" s="291"/>
      <c r="E72" s="291"/>
      <c r="F72" s="291"/>
      <c r="G72" s="291"/>
      <c r="H72" s="291"/>
      <c r="I72" s="291"/>
      <c r="J72" s="291"/>
      <c r="K72" s="291"/>
      <c r="L72" s="292"/>
      <c r="M72" s="289"/>
      <c r="N72" s="289"/>
      <c r="O72" s="289"/>
      <c r="P72" s="289"/>
      <c r="Q72" s="291"/>
      <c r="R72" s="293"/>
      <c r="S72" s="293"/>
      <c r="T72" s="293"/>
      <c r="U72" s="289"/>
      <c r="V72" s="289"/>
      <c r="W72" s="289"/>
      <c r="X72" s="289"/>
      <c r="Y72" s="289"/>
      <c r="Z72" s="289"/>
      <c r="AA72" s="289"/>
      <c r="AB72" s="294"/>
      <c r="AC72" s="289"/>
      <c r="AD72" s="289"/>
      <c r="AE72" s="289"/>
      <c r="AF72" s="295"/>
      <c r="AG72" s="295"/>
      <c r="AH72" s="295"/>
      <c r="AI72" s="295"/>
      <c r="AJ72" s="295"/>
      <c r="AK72" s="289"/>
      <c r="AL72" s="289"/>
      <c r="AM72" s="289"/>
      <c r="AN72" s="289"/>
      <c r="AO72" s="289"/>
      <c r="AP72" s="289"/>
      <c r="AQ72" s="289"/>
      <c r="AR72" s="289"/>
      <c r="AS72" s="296"/>
      <c r="AT72" s="297"/>
      <c r="AU72" s="296"/>
      <c r="AV72" s="294"/>
      <c r="AW72" s="289"/>
      <c r="AX72" s="207"/>
      <c r="AY72" s="207"/>
      <c r="AZ72" s="289"/>
      <c r="BA72" s="289"/>
      <c r="BB72" s="289"/>
      <c r="BC72" s="289"/>
      <c r="BD72" s="298"/>
      <c r="BE72" s="298"/>
      <c r="BF72" s="298"/>
      <c r="BG72" s="298"/>
      <c r="BH72" s="292"/>
      <c r="BI72" s="289"/>
      <c r="BJ72" s="289"/>
      <c r="BK72" s="291"/>
      <c r="BL72" s="291"/>
      <c r="BM72" s="291"/>
      <c r="BN72" s="291"/>
      <c r="BO72" s="289"/>
      <c r="BP72" s="295"/>
      <c r="BQ72" s="289"/>
      <c r="BR72" s="289"/>
      <c r="BS72" s="289"/>
      <c r="BT72" s="289"/>
      <c r="BU72" s="289"/>
      <c r="BV72" s="289"/>
      <c r="BW72" s="289"/>
      <c r="BX72" s="289"/>
      <c r="BY72" s="289"/>
      <c r="BZ72" s="289"/>
      <c r="CA72" s="289"/>
      <c r="CB72" s="289"/>
      <c r="CC72" s="298"/>
      <c r="CD72" s="289"/>
      <c r="CE72" s="289"/>
      <c r="CF72" s="289"/>
      <c r="CG72" s="295"/>
      <c r="CH72" s="295"/>
      <c r="CI72" s="295"/>
      <c r="CJ72" s="289"/>
      <c r="CK72" s="295"/>
      <c r="CL72" s="295"/>
      <c r="CM72" s="295"/>
      <c r="CN72" s="295"/>
      <c r="CO72" s="295"/>
      <c r="CP72" s="295"/>
      <c r="CQ72" s="295"/>
      <c r="CR72" s="295"/>
      <c r="CS72" s="295"/>
      <c r="CT72" s="295"/>
      <c r="CU72" s="291"/>
      <c r="CV72" s="289"/>
      <c r="CW72" s="289"/>
      <c r="CX72" s="289"/>
      <c r="CY72" s="289"/>
      <c r="CZ72" s="289"/>
      <c r="DA72" s="289"/>
      <c r="DB72" s="289"/>
      <c r="DC72" s="289"/>
      <c r="DD72" s="289"/>
      <c r="DE72" s="289"/>
      <c r="DF72" s="289"/>
      <c r="DG72" s="289"/>
      <c r="DH72" s="291"/>
      <c r="DI72" s="289"/>
      <c r="DJ72" s="289"/>
      <c r="DK72" s="292"/>
      <c r="DL72" s="289"/>
      <c r="DM72" s="289"/>
      <c r="DN72" s="207"/>
      <c r="DO72" s="207"/>
      <c r="DP72" s="289"/>
      <c r="DQ72" s="289"/>
      <c r="DR72" s="289"/>
      <c r="DS72" s="289"/>
      <c r="DT72" s="289"/>
      <c r="DU72" s="292"/>
      <c r="DV72" s="292"/>
      <c r="DW72" s="292"/>
      <c r="DX72" s="292"/>
      <c r="DY72" s="292"/>
      <c r="DZ72" s="292"/>
      <c r="EA72" s="292"/>
      <c r="EB72" s="292"/>
      <c r="EC72" s="289"/>
      <c r="ED72" s="292"/>
      <c r="EE72" s="292"/>
      <c r="EF72" s="292"/>
      <c r="EG72" s="289"/>
      <c r="EH72" s="292"/>
      <c r="EI72" s="289"/>
      <c r="EJ72" s="289"/>
      <c r="EK72" s="289"/>
      <c r="EL72" s="289"/>
      <c r="EM72" s="289"/>
      <c r="EN72" s="289"/>
      <c r="EO72" s="289"/>
      <c r="EP72" s="289"/>
      <c r="EQ72" s="289"/>
      <c r="ER72" s="289"/>
      <c r="ES72" s="289"/>
      <c r="ET72" s="289"/>
      <c r="EU72" s="289"/>
      <c r="EV72" s="289"/>
      <c r="EW72" s="289"/>
      <c r="EX72" s="289"/>
      <c r="EY72" s="289"/>
      <c r="EZ72" s="289"/>
      <c r="FA72" s="289"/>
      <c r="FB72" s="289"/>
      <c r="FC72" s="289"/>
      <c r="FD72" s="289"/>
      <c r="FE72" s="289"/>
      <c r="FF72" s="289"/>
      <c r="FG72" s="289"/>
      <c r="FH72" s="289"/>
      <c r="FI72" s="289"/>
      <c r="FJ72" s="289"/>
      <c r="FK72" s="289"/>
      <c r="FL72" s="289"/>
      <c r="FM72" s="289"/>
      <c r="FN72" s="289"/>
      <c r="FO72" s="289"/>
      <c r="FP72" s="289"/>
      <c r="FQ72" s="289"/>
      <c r="FR72" s="289"/>
      <c r="FS72" s="289"/>
      <c r="FT72" s="289"/>
      <c r="FU72" s="289"/>
      <c r="FV72" s="289"/>
      <c r="FW72" s="289"/>
      <c r="FX72" s="289"/>
      <c r="FY72" s="289"/>
      <c r="FZ72" s="289"/>
      <c r="GA72" s="289"/>
      <c r="GB72" s="289"/>
      <c r="GC72" s="289"/>
      <c r="GD72" s="289"/>
      <c r="GE72" s="289"/>
      <c r="GF72" s="289"/>
      <c r="GG72" s="289"/>
      <c r="GH72" s="289"/>
      <c r="GI72" s="289"/>
    </row>
    <row r="73" spans="1:191" s="264" customFormat="1" hidden="1">
      <c r="A73" s="289"/>
      <c r="B73" s="289"/>
      <c r="C73" s="291"/>
      <c r="D73" s="291"/>
      <c r="E73" s="291"/>
      <c r="F73" s="291"/>
      <c r="G73" s="291"/>
      <c r="H73" s="291"/>
      <c r="I73" s="291"/>
      <c r="J73" s="291"/>
      <c r="K73" s="291"/>
      <c r="L73" s="292"/>
      <c r="M73" s="289"/>
      <c r="N73" s="289"/>
      <c r="O73" s="289"/>
      <c r="P73" s="289"/>
      <c r="Q73" s="291"/>
      <c r="R73" s="293"/>
      <c r="S73" s="293"/>
      <c r="T73" s="293"/>
      <c r="U73" s="289"/>
      <c r="V73" s="289"/>
      <c r="W73" s="289"/>
      <c r="X73" s="289"/>
      <c r="Y73" s="289"/>
      <c r="Z73" s="289"/>
      <c r="AA73" s="289"/>
      <c r="AB73" s="294"/>
      <c r="AC73" s="289"/>
      <c r="AD73" s="289"/>
      <c r="AE73" s="289"/>
      <c r="AF73" s="295"/>
      <c r="AG73" s="295"/>
      <c r="AH73" s="295"/>
      <c r="AI73" s="295"/>
      <c r="AJ73" s="295"/>
      <c r="AK73" s="289"/>
      <c r="AL73" s="289"/>
      <c r="AM73" s="289"/>
      <c r="AN73" s="289"/>
      <c r="AO73" s="289"/>
      <c r="AP73" s="289"/>
      <c r="AQ73" s="289"/>
      <c r="AR73" s="289"/>
      <c r="AS73" s="296"/>
      <c r="AT73" s="297"/>
      <c r="AU73" s="296"/>
      <c r="AV73" s="294"/>
      <c r="AW73" s="289"/>
      <c r="AX73" s="207"/>
      <c r="AY73" s="207"/>
      <c r="AZ73" s="289"/>
      <c r="BA73" s="289"/>
      <c r="BB73" s="289"/>
      <c r="BC73" s="289"/>
      <c r="BD73" s="298"/>
      <c r="BE73" s="298"/>
      <c r="BF73" s="298"/>
      <c r="BG73" s="298"/>
      <c r="BH73" s="292"/>
      <c r="BI73" s="289"/>
      <c r="BJ73" s="289"/>
      <c r="BK73" s="291"/>
      <c r="BL73" s="291"/>
      <c r="BM73" s="291"/>
      <c r="BN73" s="291"/>
      <c r="BO73" s="289"/>
      <c r="BP73" s="295"/>
      <c r="BQ73" s="289"/>
      <c r="BR73" s="289"/>
      <c r="BS73" s="289"/>
      <c r="BT73" s="289"/>
      <c r="BU73" s="289"/>
      <c r="BV73" s="289"/>
      <c r="BW73" s="289"/>
      <c r="BX73" s="289"/>
      <c r="BY73" s="289"/>
      <c r="BZ73" s="289"/>
      <c r="CA73" s="289"/>
      <c r="CB73" s="289"/>
      <c r="CC73" s="298"/>
      <c r="CD73" s="289"/>
      <c r="CE73" s="289"/>
      <c r="CF73" s="289"/>
      <c r="CG73" s="295"/>
      <c r="CH73" s="295"/>
      <c r="CI73" s="295"/>
      <c r="CJ73" s="289"/>
      <c r="CK73" s="295"/>
      <c r="CL73" s="295"/>
      <c r="CM73" s="295"/>
      <c r="CN73" s="295"/>
      <c r="CO73" s="295"/>
      <c r="CP73" s="295"/>
      <c r="CQ73" s="295"/>
      <c r="CR73" s="295"/>
      <c r="CS73" s="295"/>
      <c r="CT73" s="295"/>
      <c r="CU73" s="291"/>
      <c r="CV73" s="289"/>
      <c r="CW73" s="289"/>
      <c r="CX73" s="289"/>
      <c r="CY73" s="289"/>
      <c r="CZ73" s="289"/>
      <c r="DA73" s="289"/>
      <c r="DB73" s="289"/>
      <c r="DC73" s="289"/>
      <c r="DD73" s="289"/>
      <c r="DE73" s="289"/>
      <c r="DF73" s="289"/>
      <c r="DG73" s="289"/>
      <c r="DH73" s="291"/>
      <c r="DI73" s="289"/>
      <c r="DJ73" s="289"/>
      <c r="DK73" s="292"/>
      <c r="DL73" s="289"/>
      <c r="DM73" s="289"/>
      <c r="DN73" s="207"/>
      <c r="DO73" s="207"/>
      <c r="DP73" s="289"/>
      <c r="DQ73" s="289"/>
      <c r="DR73" s="289"/>
      <c r="DS73" s="289"/>
      <c r="DT73" s="289"/>
      <c r="DU73" s="292"/>
      <c r="DV73" s="292"/>
      <c r="DW73" s="292"/>
      <c r="DX73" s="292"/>
      <c r="DY73" s="292"/>
      <c r="DZ73" s="292"/>
      <c r="EA73" s="292"/>
      <c r="EB73" s="292"/>
      <c r="EC73" s="289"/>
      <c r="ED73" s="292"/>
      <c r="EE73" s="292"/>
      <c r="EF73" s="292"/>
      <c r="EG73" s="289"/>
      <c r="EH73" s="292"/>
      <c r="EI73" s="289"/>
      <c r="EJ73" s="289"/>
      <c r="EK73" s="289"/>
      <c r="EL73" s="289"/>
      <c r="EM73" s="289"/>
      <c r="EN73" s="289"/>
      <c r="EO73" s="289"/>
      <c r="EP73" s="289"/>
      <c r="EQ73" s="289"/>
      <c r="ER73" s="289"/>
      <c r="ES73" s="289"/>
      <c r="ET73" s="289"/>
      <c r="EU73" s="289"/>
      <c r="EV73" s="289"/>
      <c r="EW73" s="289"/>
      <c r="EX73" s="289"/>
      <c r="EY73" s="289"/>
      <c r="EZ73" s="289"/>
      <c r="FA73" s="289"/>
      <c r="FB73" s="289"/>
      <c r="FC73" s="289"/>
      <c r="FD73" s="289"/>
      <c r="FE73" s="289"/>
      <c r="FF73" s="289"/>
      <c r="FG73" s="289"/>
      <c r="FH73" s="289"/>
      <c r="FI73" s="289"/>
      <c r="FJ73" s="289"/>
      <c r="FK73" s="289"/>
      <c r="FL73" s="289"/>
      <c r="FM73" s="289"/>
      <c r="FN73" s="289"/>
      <c r="FO73" s="289"/>
      <c r="FP73" s="289"/>
      <c r="FQ73" s="289"/>
      <c r="FR73" s="289"/>
      <c r="FS73" s="289"/>
      <c r="FT73" s="289"/>
      <c r="FU73" s="289"/>
      <c r="FV73" s="289"/>
      <c r="FW73" s="289"/>
      <c r="FX73" s="289"/>
      <c r="FY73" s="289"/>
      <c r="FZ73" s="289"/>
      <c r="GA73" s="289"/>
      <c r="GB73" s="289"/>
      <c r="GC73" s="289"/>
      <c r="GD73" s="289"/>
      <c r="GE73" s="289"/>
      <c r="GF73" s="289"/>
      <c r="GG73" s="289"/>
      <c r="GH73" s="289"/>
      <c r="GI73" s="289"/>
    </row>
    <row r="74" spans="1:191" s="264" customFormat="1" hidden="1">
      <c r="A74" s="289"/>
      <c r="B74" s="289"/>
      <c r="C74" s="291"/>
      <c r="D74" s="291"/>
      <c r="E74" s="291"/>
      <c r="F74" s="291"/>
      <c r="G74" s="291"/>
      <c r="H74" s="291"/>
      <c r="I74" s="291"/>
      <c r="J74" s="291"/>
      <c r="K74" s="291"/>
      <c r="L74" s="292"/>
      <c r="M74" s="289"/>
      <c r="N74" s="289"/>
      <c r="O74" s="289"/>
      <c r="P74" s="289"/>
      <c r="Q74" s="291"/>
      <c r="R74" s="293"/>
      <c r="S74" s="293"/>
      <c r="T74" s="293"/>
      <c r="U74" s="289"/>
      <c r="V74" s="289"/>
      <c r="W74" s="289"/>
      <c r="X74" s="289"/>
      <c r="Y74" s="289"/>
      <c r="Z74" s="289"/>
      <c r="AA74" s="289"/>
      <c r="AB74" s="294"/>
      <c r="AC74" s="289"/>
      <c r="AD74" s="289"/>
      <c r="AE74" s="289"/>
      <c r="AF74" s="295"/>
      <c r="AG74" s="295"/>
      <c r="AH74" s="295"/>
      <c r="AI74" s="295"/>
      <c r="AJ74" s="295"/>
      <c r="AK74" s="289"/>
      <c r="AL74" s="289"/>
      <c r="AM74" s="289"/>
      <c r="AN74" s="289"/>
      <c r="AO74" s="289"/>
      <c r="AP74" s="289"/>
      <c r="AQ74" s="289"/>
      <c r="AR74" s="289"/>
      <c r="AS74" s="296"/>
      <c r="AT74" s="297"/>
      <c r="AU74" s="296"/>
      <c r="AV74" s="294"/>
      <c r="AW74" s="289"/>
      <c r="AX74" s="207"/>
      <c r="AY74" s="207"/>
      <c r="AZ74" s="289"/>
      <c r="BA74" s="289"/>
      <c r="BB74" s="289"/>
      <c r="BC74" s="289"/>
      <c r="BD74" s="298"/>
      <c r="BE74" s="298"/>
      <c r="BF74" s="298"/>
      <c r="BG74" s="298"/>
      <c r="BH74" s="292"/>
      <c r="BI74" s="289"/>
      <c r="BJ74" s="289"/>
      <c r="BK74" s="291"/>
      <c r="BL74" s="291"/>
      <c r="BM74" s="291"/>
      <c r="BN74" s="291"/>
      <c r="BO74" s="289"/>
      <c r="BP74" s="295"/>
      <c r="BQ74" s="289"/>
      <c r="BR74" s="289"/>
      <c r="BS74" s="289"/>
      <c r="BT74" s="289"/>
      <c r="BU74" s="289"/>
      <c r="BV74" s="289"/>
      <c r="BW74" s="289"/>
      <c r="BX74" s="289"/>
      <c r="BY74" s="289"/>
      <c r="BZ74" s="289"/>
      <c r="CA74" s="289"/>
      <c r="CB74" s="289"/>
      <c r="CC74" s="298"/>
      <c r="CD74" s="289"/>
      <c r="CE74" s="289"/>
      <c r="CF74" s="289"/>
      <c r="CG74" s="295"/>
      <c r="CH74" s="295"/>
      <c r="CI74" s="295"/>
      <c r="CJ74" s="289"/>
      <c r="CK74" s="295"/>
      <c r="CL74" s="295"/>
      <c r="CM74" s="295"/>
      <c r="CN74" s="295"/>
      <c r="CO74" s="295"/>
      <c r="CP74" s="295"/>
      <c r="CQ74" s="295"/>
      <c r="CR74" s="295"/>
      <c r="CS74" s="295"/>
      <c r="CT74" s="295"/>
      <c r="CU74" s="291"/>
      <c r="CV74" s="289"/>
      <c r="CW74" s="289"/>
      <c r="CX74" s="289"/>
      <c r="CY74" s="289"/>
      <c r="CZ74" s="289"/>
      <c r="DA74" s="289"/>
      <c r="DB74" s="289"/>
      <c r="DC74" s="289"/>
      <c r="DD74" s="289"/>
      <c r="DE74" s="289"/>
      <c r="DF74" s="289"/>
      <c r="DG74" s="289"/>
      <c r="DH74" s="291"/>
      <c r="DI74" s="289"/>
      <c r="DJ74" s="289"/>
      <c r="DK74" s="292"/>
      <c r="DL74" s="289"/>
      <c r="DM74" s="289"/>
      <c r="DN74" s="207"/>
      <c r="DO74" s="207"/>
      <c r="DP74" s="289"/>
      <c r="DQ74" s="289"/>
      <c r="DR74" s="289"/>
      <c r="DS74" s="289"/>
      <c r="DT74" s="289"/>
      <c r="DU74" s="292"/>
      <c r="DV74" s="292"/>
      <c r="DW74" s="292"/>
      <c r="DX74" s="292"/>
      <c r="DY74" s="292"/>
      <c r="DZ74" s="292"/>
      <c r="EA74" s="292"/>
      <c r="EB74" s="292"/>
      <c r="EC74" s="289"/>
      <c r="ED74" s="292"/>
      <c r="EE74" s="292"/>
      <c r="EF74" s="292"/>
      <c r="EG74" s="289"/>
      <c r="EH74" s="292"/>
      <c r="EI74" s="289"/>
      <c r="EJ74" s="289"/>
      <c r="EK74" s="289"/>
      <c r="EL74" s="289"/>
      <c r="EM74" s="289"/>
      <c r="EN74" s="289"/>
      <c r="EO74" s="289"/>
      <c r="EP74" s="289"/>
      <c r="EQ74" s="289"/>
      <c r="ER74" s="289"/>
      <c r="ES74" s="289"/>
      <c r="ET74" s="289"/>
      <c r="EU74" s="289"/>
      <c r="EV74" s="289"/>
      <c r="EW74" s="289"/>
      <c r="EX74" s="289"/>
      <c r="EY74" s="289"/>
      <c r="EZ74" s="289"/>
      <c r="FA74" s="289"/>
      <c r="FB74" s="289"/>
      <c r="FC74" s="289"/>
      <c r="FD74" s="289"/>
      <c r="FE74" s="289"/>
      <c r="FF74" s="289"/>
      <c r="FG74" s="289"/>
      <c r="FH74" s="289"/>
      <c r="FI74" s="289"/>
      <c r="FJ74" s="289"/>
      <c r="FK74" s="289"/>
      <c r="FL74" s="289"/>
      <c r="FM74" s="289"/>
      <c r="FN74" s="289"/>
      <c r="FO74" s="289"/>
      <c r="FP74" s="289"/>
      <c r="FQ74" s="289"/>
      <c r="FR74" s="289"/>
      <c r="FS74" s="289"/>
      <c r="FT74" s="289"/>
      <c r="FU74" s="289"/>
      <c r="FV74" s="289"/>
      <c r="FW74" s="289"/>
      <c r="FX74" s="289"/>
      <c r="FY74" s="289"/>
      <c r="FZ74" s="289"/>
      <c r="GA74" s="289"/>
      <c r="GB74" s="289"/>
      <c r="GC74" s="289"/>
      <c r="GD74" s="289"/>
      <c r="GE74" s="289"/>
      <c r="GF74" s="289"/>
      <c r="GG74" s="289"/>
      <c r="GH74" s="289"/>
      <c r="GI74" s="289"/>
    </row>
    <row r="75" spans="1:191" s="264" customFormat="1" hidden="1">
      <c r="A75" s="289"/>
      <c r="B75" s="289"/>
      <c r="C75" s="291"/>
      <c r="D75" s="291"/>
      <c r="E75" s="291"/>
      <c r="F75" s="291"/>
      <c r="G75" s="291"/>
      <c r="H75" s="291"/>
      <c r="I75" s="291"/>
      <c r="J75" s="291"/>
      <c r="K75" s="291"/>
      <c r="L75" s="292"/>
      <c r="M75" s="289"/>
      <c r="N75" s="289"/>
      <c r="O75" s="289"/>
      <c r="P75" s="289"/>
      <c r="Q75" s="291"/>
      <c r="R75" s="293"/>
      <c r="S75" s="293"/>
      <c r="T75" s="293"/>
      <c r="U75" s="289"/>
      <c r="V75" s="289"/>
      <c r="W75" s="289"/>
      <c r="X75" s="289"/>
      <c r="Y75" s="289"/>
      <c r="Z75" s="289"/>
      <c r="AA75" s="289"/>
      <c r="AB75" s="294"/>
      <c r="AC75" s="289"/>
      <c r="AD75" s="289"/>
      <c r="AE75" s="289"/>
      <c r="AF75" s="295"/>
      <c r="AG75" s="295"/>
      <c r="AH75" s="295"/>
      <c r="AI75" s="295"/>
      <c r="AJ75" s="295"/>
      <c r="AK75" s="289"/>
      <c r="AL75" s="289"/>
      <c r="AM75" s="289"/>
      <c r="AN75" s="289"/>
      <c r="AO75" s="289"/>
      <c r="AP75" s="289"/>
      <c r="AQ75" s="289"/>
      <c r="AR75" s="289"/>
      <c r="AS75" s="296"/>
      <c r="AT75" s="297"/>
      <c r="AU75" s="296"/>
      <c r="AV75" s="294"/>
      <c r="AW75" s="289"/>
      <c r="AX75" s="207"/>
      <c r="AY75" s="207"/>
      <c r="AZ75" s="289"/>
      <c r="BA75" s="289"/>
      <c r="BB75" s="289"/>
      <c r="BC75" s="289"/>
      <c r="BD75" s="298"/>
      <c r="BE75" s="298"/>
      <c r="BF75" s="298"/>
      <c r="BG75" s="298"/>
      <c r="BH75" s="292"/>
      <c r="BI75" s="289"/>
      <c r="BJ75" s="289"/>
      <c r="BK75" s="291"/>
      <c r="BL75" s="291"/>
      <c r="BM75" s="291"/>
      <c r="BN75" s="291"/>
      <c r="BO75" s="289"/>
      <c r="BP75" s="295"/>
      <c r="BQ75" s="289"/>
      <c r="BR75" s="289"/>
      <c r="BS75" s="289"/>
      <c r="BT75" s="289"/>
      <c r="BU75" s="289"/>
      <c r="BV75" s="289"/>
      <c r="BW75" s="289"/>
      <c r="BX75" s="289"/>
      <c r="BY75" s="289"/>
      <c r="BZ75" s="289"/>
      <c r="CA75" s="289"/>
      <c r="CB75" s="289"/>
      <c r="CC75" s="298"/>
      <c r="CD75" s="289"/>
      <c r="CE75" s="289"/>
      <c r="CF75" s="289"/>
      <c r="CG75" s="295"/>
      <c r="CH75" s="295"/>
      <c r="CI75" s="295"/>
      <c r="CJ75" s="289"/>
      <c r="CK75" s="295"/>
      <c r="CL75" s="295"/>
      <c r="CM75" s="295"/>
      <c r="CN75" s="295"/>
      <c r="CO75" s="295"/>
      <c r="CP75" s="295"/>
      <c r="CQ75" s="295"/>
      <c r="CR75" s="295"/>
      <c r="CS75" s="295"/>
      <c r="CT75" s="295"/>
      <c r="CU75" s="291"/>
      <c r="CV75" s="289"/>
      <c r="CW75" s="289"/>
      <c r="CX75" s="289"/>
      <c r="CY75" s="289"/>
      <c r="CZ75" s="289"/>
      <c r="DA75" s="289"/>
      <c r="DB75" s="289"/>
      <c r="DC75" s="289"/>
      <c r="DD75" s="289"/>
      <c r="DE75" s="289"/>
      <c r="DF75" s="289"/>
      <c r="DG75" s="289"/>
      <c r="DH75" s="291"/>
      <c r="DI75" s="289"/>
      <c r="DJ75" s="289"/>
      <c r="DK75" s="292"/>
      <c r="DL75" s="289"/>
      <c r="DM75" s="289"/>
      <c r="DN75" s="207"/>
      <c r="DO75" s="207"/>
      <c r="DP75" s="289"/>
      <c r="DQ75" s="289"/>
      <c r="DR75" s="289"/>
      <c r="DS75" s="289"/>
      <c r="DT75" s="289"/>
      <c r="DU75" s="292"/>
      <c r="DV75" s="292"/>
      <c r="DW75" s="292"/>
      <c r="DX75" s="292"/>
      <c r="DY75" s="292"/>
      <c r="DZ75" s="292"/>
      <c r="EA75" s="292"/>
      <c r="EB75" s="292"/>
      <c r="EC75" s="289"/>
      <c r="ED75" s="292"/>
      <c r="EE75" s="292"/>
      <c r="EF75" s="292"/>
      <c r="EG75" s="289"/>
      <c r="EH75" s="292"/>
      <c r="EI75" s="289"/>
      <c r="EJ75" s="289"/>
      <c r="EK75" s="289"/>
      <c r="EL75" s="289"/>
      <c r="EM75" s="289"/>
      <c r="EN75" s="289"/>
      <c r="EO75" s="289"/>
      <c r="EP75" s="289"/>
      <c r="EQ75" s="289"/>
      <c r="ER75" s="289"/>
      <c r="ES75" s="289"/>
      <c r="ET75" s="289"/>
      <c r="EU75" s="289"/>
      <c r="EV75" s="289"/>
      <c r="EW75" s="289"/>
      <c r="EX75" s="289"/>
      <c r="EY75" s="289"/>
      <c r="EZ75" s="289"/>
      <c r="FA75" s="289"/>
      <c r="FB75" s="289"/>
      <c r="FC75" s="289"/>
      <c r="FD75" s="289"/>
      <c r="FE75" s="289"/>
      <c r="FF75" s="289"/>
      <c r="FG75" s="289"/>
      <c r="FH75" s="289"/>
      <c r="FI75" s="289"/>
      <c r="FJ75" s="289"/>
      <c r="FK75" s="289"/>
      <c r="FL75" s="289"/>
      <c r="FM75" s="289"/>
      <c r="FN75" s="289"/>
      <c r="FO75" s="289"/>
      <c r="FP75" s="289"/>
      <c r="FQ75" s="289"/>
      <c r="FR75" s="289"/>
      <c r="FS75" s="289"/>
      <c r="FT75" s="289"/>
      <c r="FU75" s="289"/>
      <c r="FV75" s="289"/>
      <c r="FW75" s="289"/>
      <c r="FX75" s="289"/>
      <c r="FY75" s="289"/>
      <c r="FZ75" s="289"/>
      <c r="GA75" s="289"/>
      <c r="GB75" s="289"/>
      <c r="GC75" s="289"/>
      <c r="GD75" s="289"/>
      <c r="GE75" s="289"/>
      <c r="GF75" s="289"/>
      <c r="GG75" s="289"/>
      <c r="GH75" s="289"/>
      <c r="GI75" s="289"/>
    </row>
    <row r="76" spans="1:191" s="264" customFormat="1" hidden="1">
      <c r="A76" s="289"/>
      <c r="B76" s="289"/>
      <c r="C76" s="291"/>
      <c r="D76" s="291"/>
      <c r="E76" s="291"/>
      <c r="F76" s="291"/>
      <c r="G76" s="291"/>
      <c r="H76" s="291"/>
      <c r="I76" s="291"/>
      <c r="J76" s="291"/>
      <c r="K76" s="291"/>
      <c r="L76" s="292"/>
      <c r="M76" s="289"/>
      <c r="N76" s="289"/>
      <c r="O76" s="289"/>
      <c r="P76" s="289"/>
      <c r="Q76" s="291"/>
      <c r="R76" s="293"/>
      <c r="S76" s="293"/>
      <c r="T76" s="293"/>
      <c r="U76" s="289"/>
      <c r="V76" s="289"/>
      <c r="W76" s="289"/>
      <c r="X76" s="289"/>
      <c r="Y76" s="289"/>
      <c r="Z76" s="289"/>
      <c r="AA76" s="289"/>
      <c r="AB76" s="294"/>
      <c r="AC76" s="289"/>
      <c r="AD76" s="289"/>
      <c r="AE76" s="289"/>
      <c r="AF76" s="295"/>
      <c r="AG76" s="295"/>
      <c r="AH76" s="295"/>
      <c r="AI76" s="295"/>
      <c r="AJ76" s="295"/>
      <c r="AK76" s="289"/>
      <c r="AL76" s="289"/>
      <c r="AM76" s="289"/>
      <c r="AN76" s="289"/>
      <c r="AO76" s="289"/>
      <c r="AP76" s="289"/>
      <c r="AQ76" s="289"/>
      <c r="AR76" s="289"/>
      <c r="AS76" s="296"/>
      <c r="AT76" s="297"/>
      <c r="AU76" s="296"/>
      <c r="AV76" s="294"/>
      <c r="AW76" s="289"/>
      <c r="AX76" s="207"/>
      <c r="AY76" s="207"/>
      <c r="AZ76" s="289"/>
      <c r="BA76" s="289"/>
      <c r="BB76" s="289"/>
      <c r="BC76" s="289"/>
      <c r="BD76" s="298"/>
      <c r="BE76" s="298"/>
      <c r="BF76" s="298"/>
      <c r="BG76" s="298"/>
      <c r="BH76" s="292"/>
      <c r="BI76" s="289"/>
      <c r="BJ76" s="289"/>
      <c r="BK76" s="291"/>
      <c r="BL76" s="291"/>
      <c r="BM76" s="291"/>
      <c r="BN76" s="291"/>
      <c r="BO76" s="289"/>
      <c r="BP76" s="295"/>
      <c r="BQ76" s="289"/>
      <c r="BR76" s="289"/>
      <c r="BS76" s="289"/>
      <c r="BT76" s="289"/>
      <c r="BU76" s="289"/>
      <c r="BV76" s="289"/>
      <c r="BW76" s="289"/>
      <c r="BX76" s="289"/>
      <c r="BY76" s="289"/>
      <c r="BZ76" s="289"/>
      <c r="CA76" s="289"/>
      <c r="CB76" s="289"/>
      <c r="CC76" s="298"/>
      <c r="CD76" s="289"/>
      <c r="CE76" s="289"/>
      <c r="CF76" s="289"/>
      <c r="CG76" s="295"/>
      <c r="CH76" s="295"/>
      <c r="CI76" s="295"/>
      <c r="CJ76" s="289"/>
      <c r="CK76" s="295"/>
      <c r="CL76" s="295"/>
      <c r="CM76" s="295"/>
      <c r="CN76" s="295"/>
      <c r="CO76" s="295"/>
      <c r="CP76" s="295"/>
      <c r="CQ76" s="295"/>
      <c r="CR76" s="295"/>
      <c r="CS76" s="295"/>
      <c r="CT76" s="295"/>
      <c r="CU76" s="291"/>
      <c r="CV76" s="289"/>
      <c r="CW76" s="289"/>
      <c r="CX76" s="289"/>
      <c r="CY76" s="289"/>
      <c r="CZ76" s="289"/>
      <c r="DA76" s="289"/>
      <c r="DB76" s="289"/>
      <c r="DC76" s="289"/>
      <c r="DD76" s="289"/>
      <c r="DE76" s="289"/>
      <c r="DF76" s="289"/>
      <c r="DG76" s="289"/>
      <c r="DH76" s="291"/>
      <c r="DI76" s="289"/>
      <c r="DJ76" s="289"/>
      <c r="DK76" s="292"/>
      <c r="DL76" s="289"/>
      <c r="DM76" s="289"/>
      <c r="DN76" s="207"/>
      <c r="DO76" s="207"/>
      <c r="DP76" s="289"/>
      <c r="DQ76" s="289"/>
      <c r="DR76" s="289"/>
      <c r="DS76" s="289"/>
      <c r="DT76" s="289"/>
      <c r="DU76" s="292"/>
      <c r="DV76" s="292"/>
      <c r="DW76" s="292"/>
      <c r="DX76" s="292"/>
      <c r="DY76" s="292"/>
      <c r="DZ76" s="292"/>
      <c r="EA76" s="292"/>
      <c r="EB76" s="292"/>
      <c r="EC76" s="289"/>
      <c r="ED76" s="292"/>
      <c r="EE76" s="292"/>
      <c r="EF76" s="292"/>
      <c r="EG76" s="289"/>
      <c r="EH76" s="292"/>
      <c r="EI76" s="289"/>
      <c r="EJ76" s="289"/>
      <c r="EK76" s="289"/>
      <c r="EL76" s="289"/>
      <c r="EM76" s="289"/>
      <c r="EN76" s="289"/>
      <c r="EO76" s="289"/>
      <c r="EP76" s="289"/>
      <c r="EQ76" s="289"/>
      <c r="ER76" s="289"/>
      <c r="ES76" s="289"/>
      <c r="ET76" s="289"/>
      <c r="EU76" s="289"/>
      <c r="EV76" s="289"/>
      <c r="EW76" s="289"/>
      <c r="EX76" s="289"/>
      <c r="EY76" s="289"/>
      <c r="EZ76" s="289"/>
      <c r="FA76" s="289"/>
      <c r="FB76" s="289"/>
      <c r="FC76" s="289"/>
      <c r="FD76" s="289"/>
      <c r="FE76" s="289"/>
      <c r="FF76" s="289"/>
      <c r="FG76" s="289"/>
      <c r="FH76" s="289"/>
      <c r="FI76" s="289"/>
      <c r="FJ76" s="289"/>
      <c r="FK76" s="289"/>
      <c r="FL76" s="289"/>
      <c r="FM76" s="289"/>
      <c r="FN76" s="289"/>
      <c r="FO76" s="289"/>
      <c r="FP76" s="289"/>
      <c r="FQ76" s="289"/>
      <c r="FR76" s="289"/>
      <c r="FS76" s="289"/>
      <c r="FT76" s="289"/>
      <c r="FU76" s="289"/>
      <c r="FV76" s="289"/>
      <c r="FW76" s="289"/>
      <c r="FX76" s="289"/>
      <c r="FY76" s="289"/>
      <c r="FZ76" s="289"/>
      <c r="GA76" s="289"/>
      <c r="GB76" s="289"/>
      <c r="GC76" s="289"/>
      <c r="GD76" s="289"/>
      <c r="GE76" s="289"/>
      <c r="GF76" s="289"/>
      <c r="GG76" s="289"/>
      <c r="GH76" s="289"/>
      <c r="GI76" s="289"/>
    </row>
    <row r="77" spans="1:191" s="264" customFormat="1" hidden="1">
      <c r="A77" s="289"/>
      <c r="B77" s="289"/>
      <c r="C77" s="291"/>
      <c r="D77" s="291"/>
      <c r="E77" s="291"/>
      <c r="F77" s="291"/>
      <c r="G77" s="291"/>
      <c r="H77" s="291"/>
      <c r="I77" s="291"/>
      <c r="J77" s="291"/>
      <c r="K77" s="291"/>
      <c r="L77" s="292"/>
      <c r="M77" s="289"/>
      <c r="N77" s="289"/>
      <c r="O77" s="289"/>
      <c r="P77" s="289"/>
      <c r="Q77" s="291"/>
      <c r="R77" s="293"/>
      <c r="S77" s="293"/>
      <c r="T77" s="293"/>
      <c r="U77" s="289"/>
      <c r="V77" s="289"/>
      <c r="W77" s="289"/>
      <c r="X77" s="289"/>
      <c r="Y77" s="289"/>
      <c r="Z77" s="289"/>
      <c r="AA77" s="289"/>
      <c r="AB77" s="294"/>
      <c r="AC77" s="289"/>
      <c r="AD77" s="289"/>
      <c r="AE77" s="289"/>
      <c r="AF77" s="295"/>
      <c r="AG77" s="295"/>
      <c r="AH77" s="295"/>
      <c r="AI77" s="295"/>
      <c r="AJ77" s="295"/>
      <c r="AK77" s="289"/>
      <c r="AL77" s="289"/>
      <c r="AM77" s="289"/>
      <c r="AN77" s="289"/>
      <c r="AO77" s="289"/>
      <c r="AP77" s="289"/>
      <c r="AQ77" s="289"/>
      <c r="AR77" s="289"/>
      <c r="AS77" s="296"/>
      <c r="AT77" s="297"/>
      <c r="AU77" s="296"/>
      <c r="AV77" s="294"/>
      <c r="AW77" s="289"/>
      <c r="AX77" s="207"/>
      <c r="AY77" s="207"/>
      <c r="AZ77" s="289"/>
      <c r="BA77" s="289"/>
      <c r="BB77" s="289"/>
      <c r="BC77" s="289"/>
      <c r="BD77" s="298"/>
      <c r="BE77" s="298"/>
      <c r="BF77" s="298"/>
      <c r="BG77" s="298"/>
      <c r="BH77" s="292"/>
      <c r="BI77" s="289"/>
      <c r="BJ77" s="289"/>
      <c r="BK77" s="291"/>
      <c r="BL77" s="291"/>
      <c r="BM77" s="291"/>
      <c r="BN77" s="291"/>
      <c r="BO77" s="289"/>
      <c r="BP77" s="295"/>
      <c r="BQ77" s="289"/>
      <c r="BR77" s="289"/>
      <c r="BS77" s="289"/>
      <c r="BT77" s="289"/>
      <c r="BU77" s="289"/>
      <c r="BV77" s="289"/>
      <c r="BW77" s="289"/>
      <c r="BX77" s="289"/>
      <c r="BY77" s="289"/>
      <c r="BZ77" s="289"/>
      <c r="CA77" s="289"/>
      <c r="CB77" s="289"/>
      <c r="CC77" s="298"/>
      <c r="CD77" s="289"/>
      <c r="CE77" s="289"/>
      <c r="CF77" s="289"/>
      <c r="CG77" s="295"/>
      <c r="CH77" s="295"/>
      <c r="CI77" s="295"/>
      <c r="CJ77" s="289"/>
      <c r="CK77" s="295"/>
      <c r="CL77" s="295"/>
      <c r="CM77" s="295"/>
      <c r="CN77" s="295"/>
      <c r="CO77" s="295"/>
      <c r="CP77" s="295"/>
      <c r="CQ77" s="295"/>
      <c r="CR77" s="295"/>
      <c r="CS77" s="295"/>
      <c r="CT77" s="295"/>
      <c r="CU77" s="291"/>
      <c r="CV77" s="289"/>
      <c r="CW77" s="289"/>
      <c r="CX77" s="289"/>
      <c r="CY77" s="289"/>
      <c r="CZ77" s="289"/>
      <c r="DA77" s="289"/>
      <c r="DB77" s="289"/>
      <c r="DC77" s="289"/>
      <c r="DD77" s="289"/>
      <c r="DE77" s="289"/>
      <c r="DF77" s="289"/>
      <c r="DG77" s="289"/>
      <c r="DH77" s="291"/>
      <c r="DI77" s="289"/>
      <c r="DJ77" s="289"/>
      <c r="DK77" s="292"/>
      <c r="DL77" s="289"/>
      <c r="DM77" s="289"/>
      <c r="DN77" s="207"/>
      <c r="DO77" s="207"/>
      <c r="DP77" s="289"/>
      <c r="DQ77" s="289"/>
      <c r="DR77" s="289"/>
      <c r="DS77" s="289"/>
      <c r="DT77" s="289"/>
      <c r="DU77" s="292"/>
      <c r="DV77" s="292"/>
      <c r="DW77" s="292"/>
      <c r="DX77" s="292"/>
      <c r="DY77" s="292"/>
      <c r="DZ77" s="292"/>
      <c r="EA77" s="292"/>
      <c r="EB77" s="292"/>
      <c r="EC77" s="289"/>
      <c r="ED77" s="292"/>
      <c r="EE77" s="292"/>
      <c r="EF77" s="292"/>
      <c r="EG77" s="289"/>
      <c r="EH77" s="292"/>
      <c r="EI77" s="289"/>
      <c r="EJ77" s="289"/>
      <c r="EK77" s="289"/>
      <c r="EL77" s="289"/>
      <c r="EM77" s="289"/>
      <c r="EN77" s="289"/>
      <c r="EO77" s="289"/>
      <c r="EP77" s="289"/>
      <c r="EQ77" s="289"/>
      <c r="ER77" s="289"/>
      <c r="ES77" s="289"/>
      <c r="ET77" s="289"/>
      <c r="EU77" s="289"/>
      <c r="EV77" s="289"/>
      <c r="EW77" s="289"/>
      <c r="EX77" s="289"/>
      <c r="EY77" s="289"/>
      <c r="EZ77" s="289"/>
      <c r="FA77" s="289"/>
      <c r="FB77" s="289"/>
      <c r="FC77" s="289"/>
      <c r="FD77" s="289"/>
      <c r="FE77" s="289"/>
      <c r="FF77" s="289"/>
      <c r="FG77" s="289"/>
      <c r="FH77" s="289"/>
      <c r="FI77" s="289"/>
      <c r="FJ77" s="289"/>
      <c r="FK77" s="289"/>
      <c r="FL77" s="289"/>
      <c r="FM77" s="289"/>
      <c r="FN77" s="289"/>
      <c r="FO77" s="289"/>
      <c r="FP77" s="289"/>
      <c r="FQ77" s="289"/>
      <c r="FR77" s="289"/>
      <c r="FS77" s="289"/>
      <c r="FT77" s="289"/>
      <c r="FU77" s="289"/>
      <c r="FV77" s="289"/>
      <c r="FW77" s="289"/>
      <c r="FX77" s="289"/>
      <c r="FY77" s="289"/>
      <c r="FZ77" s="289"/>
      <c r="GA77" s="289"/>
      <c r="GB77" s="289"/>
      <c r="GC77" s="289"/>
      <c r="GD77" s="289"/>
      <c r="GE77" s="289"/>
      <c r="GF77" s="289"/>
      <c r="GG77" s="289"/>
      <c r="GH77" s="289"/>
      <c r="GI77" s="289"/>
    </row>
    <row r="78" spans="1:191" s="264" customFormat="1" hidden="1">
      <c r="A78" s="289"/>
      <c r="B78" s="289"/>
      <c r="C78" s="291"/>
      <c r="D78" s="291"/>
      <c r="E78" s="291"/>
      <c r="F78" s="291"/>
      <c r="G78" s="291"/>
      <c r="H78" s="291"/>
      <c r="I78" s="291"/>
      <c r="J78" s="291"/>
      <c r="K78" s="291"/>
      <c r="L78" s="292"/>
      <c r="M78" s="289"/>
      <c r="N78" s="289"/>
      <c r="O78" s="289"/>
      <c r="P78" s="289"/>
      <c r="Q78" s="291"/>
      <c r="R78" s="293"/>
      <c r="S78" s="293"/>
      <c r="T78" s="293"/>
      <c r="U78" s="289"/>
      <c r="V78" s="289"/>
      <c r="W78" s="289"/>
      <c r="X78" s="289"/>
      <c r="Y78" s="289"/>
      <c r="Z78" s="289"/>
      <c r="AA78" s="289"/>
      <c r="AB78" s="294"/>
      <c r="AC78" s="289"/>
      <c r="AD78" s="289"/>
      <c r="AE78" s="289"/>
      <c r="AF78" s="295"/>
      <c r="AG78" s="295"/>
      <c r="AH78" s="295"/>
      <c r="AI78" s="295"/>
      <c r="AJ78" s="295"/>
      <c r="AK78" s="289"/>
      <c r="AL78" s="289"/>
      <c r="AM78" s="289"/>
      <c r="AN78" s="289"/>
      <c r="AO78" s="289"/>
      <c r="AP78" s="289"/>
      <c r="AQ78" s="289"/>
      <c r="AR78" s="289"/>
      <c r="AS78" s="296"/>
      <c r="AT78" s="297"/>
      <c r="AU78" s="296"/>
      <c r="AV78" s="294"/>
      <c r="AW78" s="289"/>
      <c r="AX78" s="207"/>
      <c r="AY78" s="207"/>
      <c r="AZ78" s="289"/>
      <c r="BA78" s="289"/>
      <c r="BB78" s="289"/>
      <c r="BC78" s="289"/>
      <c r="BD78" s="298"/>
      <c r="BE78" s="298"/>
      <c r="BF78" s="298"/>
      <c r="BG78" s="298"/>
      <c r="BH78" s="292"/>
      <c r="BI78" s="289"/>
      <c r="BJ78" s="289"/>
      <c r="BK78" s="291"/>
      <c r="BL78" s="291"/>
      <c r="BM78" s="291"/>
      <c r="BN78" s="291"/>
      <c r="BO78" s="289"/>
      <c r="BP78" s="295"/>
      <c r="BQ78" s="289"/>
      <c r="BR78" s="289"/>
      <c r="BS78" s="289"/>
      <c r="BT78" s="289"/>
      <c r="BU78" s="289"/>
      <c r="BV78" s="289"/>
      <c r="BW78" s="289"/>
      <c r="BX78" s="289"/>
      <c r="BY78" s="289"/>
      <c r="BZ78" s="289"/>
      <c r="CA78" s="289"/>
      <c r="CB78" s="289"/>
      <c r="CC78" s="298"/>
      <c r="CD78" s="289"/>
      <c r="CE78" s="289"/>
      <c r="CF78" s="289"/>
      <c r="CG78" s="295"/>
      <c r="CH78" s="295"/>
      <c r="CI78" s="295"/>
      <c r="CJ78" s="289"/>
      <c r="CK78" s="295"/>
      <c r="CL78" s="295"/>
      <c r="CM78" s="295"/>
      <c r="CN78" s="295"/>
      <c r="CO78" s="295"/>
      <c r="CP78" s="295"/>
      <c r="CQ78" s="295"/>
      <c r="CR78" s="295"/>
      <c r="CS78" s="295"/>
      <c r="CT78" s="295"/>
      <c r="CU78" s="291"/>
      <c r="CV78" s="289"/>
      <c r="CW78" s="289"/>
      <c r="CX78" s="289"/>
      <c r="CY78" s="289"/>
      <c r="CZ78" s="289"/>
      <c r="DA78" s="289"/>
      <c r="DB78" s="289"/>
      <c r="DC78" s="289"/>
      <c r="DD78" s="289"/>
      <c r="DE78" s="289"/>
      <c r="DF78" s="289"/>
      <c r="DG78" s="289"/>
      <c r="DH78" s="291"/>
      <c r="DI78" s="289"/>
      <c r="DJ78" s="289"/>
      <c r="DK78" s="292"/>
      <c r="DL78" s="289"/>
      <c r="DM78" s="289"/>
      <c r="DN78" s="207"/>
      <c r="DO78" s="207"/>
      <c r="DP78" s="289"/>
      <c r="DQ78" s="289"/>
      <c r="DR78" s="289"/>
      <c r="DS78" s="289"/>
      <c r="DT78" s="289"/>
      <c r="DU78" s="292"/>
      <c r="DV78" s="292"/>
      <c r="DW78" s="292"/>
      <c r="DX78" s="292"/>
      <c r="DY78" s="292"/>
      <c r="DZ78" s="292"/>
      <c r="EA78" s="292"/>
      <c r="EB78" s="292"/>
      <c r="EC78" s="289"/>
      <c r="ED78" s="292"/>
      <c r="EE78" s="292"/>
      <c r="EF78" s="292"/>
      <c r="EG78" s="289"/>
      <c r="EH78" s="292"/>
      <c r="EI78" s="289"/>
      <c r="EJ78" s="289"/>
      <c r="EK78" s="289"/>
      <c r="EL78" s="289"/>
      <c r="EM78" s="289"/>
      <c r="EN78" s="289"/>
      <c r="EO78" s="289"/>
      <c r="EP78" s="289"/>
      <c r="EQ78" s="289"/>
      <c r="ER78" s="289"/>
      <c r="ES78" s="289"/>
      <c r="ET78" s="289"/>
      <c r="EU78" s="289"/>
      <c r="EV78" s="289"/>
      <c r="EW78" s="289"/>
      <c r="EX78" s="289"/>
      <c r="EY78" s="289"/>
      <c r="EZ78" s="289"/>
      <c r="FA78" s="289"/>
      <c r="FB78" s="289"/>
      <c r="FC78" s="289"/>
      <c r="FD78" s="289"/>
      <c r="FE78" s="289"/>
      <c r="FF78" s="289"/>
      <c r="FG78" s="289"/>
      <c r="FH78" s="289"/>
      <c r="FI78" s="289"/>
      <c r="FJ78" s="289"/>
      <c r="FK78" s="289"/>
      <c r="FL78" s="289"/>
      <c r="FM78" s="289"/>
      <c r="FN78" s="289"/>
      <c r="FO78" s="289"/>
      <c r="FP78" s="289"/>
      <c r="FQ78" s="289"/>
      <c r="FR78" s="289"/>
      <c r="FS78" s="289"/>
      <c r="FT78" s="289"/>
      <c r="FU78" s="289"/>
      <c r="FV78" s="289"/>
      <c r="FW78" s="289"/>
      <c r="FX78" s="289"/>
      <c r="FY78" s="289"/>
      <c r="FZ78" s="289"/>
      <c r="GA78" s="289"/>
      <c r="GB78" s="289"/>
      <c r="GC78" s="289"/>
      <c r="GD78" s="289"/>
      <c r="GE78" s="289"/>
      <c r="GF78" s="289"/>
      <c r="GG78" s="289"/>
      <c r="GH78" s="289"/>
      <c r="GI78" s="289"/>
    </row>
    <row r="79" spans="1:191" s="264" customFormat="1" hidden="1">
      <c r="A79" s="289"/>
      <c r="B79" s="289"/>
      <c r="C79" s="291"/>
      <c r="D79" s="291"/>
      <c r="E79" s="291"/>
      <c r="F79" s="291"/>
      <c r="G79" s="291"/>
      <c r="H79" s="291"/>
      <c r="I79" s="291"/>
      <c r="J79" s="291"/>
      <c r="K79" s="291"/>
      <c r="L79" s="292"/>
      <c r="M79" s="289"/>
      <c r="N79" s="289"/>
      <c r="O79" s="289"/>
      <c r="P79" s="289"/>
      <c r="Q79" s="291"/>
      <c r="R79" s="293"/>
      <c r="S79" s="293"/>
      <c r="T79" s="293"/>
      <c r="U79" s="289"/>
      <c r="V79" s="289"/>
      <c r="W79" s="289"/>
      <c r="X79" s="289"/>
      <c r="Y79" s="289"/>
      <c r="Z79" s="289"/>
      <c r="AA79" s="289"/>
      <c r="AB79" s="294"/>
      <c r="AC79" s="289"/>
      <c r="AD79" s="289"/>
      <c r="AE79" s="289"/>
      <c r="AF79" s="295"/>
      <c r="AG79" s="295"/>
      <c r="AH79" s="295"/>
      <c r="AI79" s="295"/>
      <c r="AJ79" s="295"/>
      <c r="AK79" s="289"/>
      <c r="AL79" s="289"/>
      <c r="AM79" s="289"/>
      <c r="AN79" s="289"/>
      <c r="AO79" s="289"/>
      <c r="AP79" s="289"/>
      <c r="AQ79" s="289"/>
      <c r="AR79" s="289"/>
      <c r="AS79" s="296"/>
      <c r="AT79" s="297"/>
      <c r="AU79" s="296"/>
      <c r="AV79" s="294"/>
      <c r="AW79" s="289"/>
      <c r="AX79" s="207"/>
      <c r="AY79" s="207"/>
      <c r="AZ79" s="289"/>
      <c r="BA79" s="289"/>
      <c r="BB79" s="289"/>
      <c r="BC79" s="289"/>
      <c r="BD79" s="298"/>
      <c r="BE79" s="298"/>
      <c r="BF79" s="298"/>
      <c r="BG79" s="298"/>
      <c r="BH79" s="292"/>
      <c r="BI79" s="289"/>
      <c r="BJ79" s="289"/>
      <c r="BK79" s="291"/>
      <c r="BL79" s="291"/>
      <c r="BM79" s="291"/>
      <c r="BN79" s="291"/>
      <c r="BO79" s="289"/>
      <c r="BP79" s="295"/>
      <c r="BQ79" s="289"/>
      <c r="BR79" s="289"/>
      <c r="BS79" s="289"/>
      <c r="BT79" s="289"/>
      <c r="BU79" s="289"/>
      <c r="BV79" s="289"/>
      <c r="BW79" s="289"/>
      <c r="BX79" s="289"/>
      <c r="BY79" s="289"/>
      <c r="BZ79" s="289"/>
      <c r="CA79" s="289"/>
      <c r="CB79" s="289"/>
      <c r="CC79" s="298"/>
      <c r="CD79" s="289"/>
      <c r="CE79" s="289"/>
      <c r="CF79" s="289"/>
      <c r="CG79" s="295"/>
      <c r="CH79" s="295"/>
      <c r="CI79" s="295"/>
      <c r="CJ79" s="289"/>
      <c r="CK79" s="295"/>
      <c r="CL79" s="295"/>
      <c r="CM79" s="295"/>
      <c r="CN79" s="295"/>
      <c r="CO79" s="295"/>
      <c r="CP79" s="295"/>
      <c r="CQ79" s="295"/>
      <c r="CR79" s="295"/>
      <c r="CS79" s="295"/>
      <c r="CT79" s="295"/>
      <c r="CU79" s="291"/>
      <c r="CV79" s="289"/>
      <c r="CW79" s="289"/>
      <c r="CX79" s="289"/>
      <c r="CY79" s="289"/>
      <c r="CZ79" s="289"/>
      <c r="DA79" s="289"/>
      <c r="DB79" s="289"/>
      <c r="DC79" s="289"/>
      <c r="DD79" s="289"/>
      <c r="DE79" s="289"/>
      <c r="DF79" s="289"/>
      <c r="DG79" s="289"/>
      <c r="DH79" s="291"/>
      <c r="DI79" s="289"/>
      <c r="DJ79" s="289"/>
      <c r="DK79" s="292"/>
      <c r="DL79" s="289"/>
      <c r="DM79" s="289"/>
      <c r="DN79" s="207"/>
      <c r="DO79" s="207"/>
      <c r="DP79" s="289"/>
      <c r="DQ79" s="289"/>
      <c r="DR79" s="289"/>
      <c r="DS79" s="289"/>
      <c r="DT79" s="289"/>
      <c r="DU79" s="292"/>
      <c r="DV79" s="292"/>
      <c r="DW79" s="292"/>
      <c r="DX79" s="292"/>
      <c r="DY79" s="292"/>
      <c r="DZ79" s="292"/>
      <c r="EA79" s="292"/>
      <c r="EB79" s="292"/>
      <c r="EC79" s="289"/>
      <c r="ED79" s="292"/>
      <c r="EE79" s="292"/>
      <c r="EF79" s="292"/>
      <c r="EG79" s="289"/>
      <c r="EH79" s="292"/>
      <c r="EI79" s="289"/>
      <c r="EJ79" s="289"/>
      <c r="EK79" s="289"/>
      <c r="EL79" s="289"/>
      <c r="EM79" s="289"/>
      <c r="EN79" s="289"/>
      <c r="EO79" s="289"/>
      <c r="EP79" s="289"/>
      <c r="EQ79" s="289"/>
      <c r="ER79" s="289"/>
      <c r="ES79" s="289"/>
      <c r="ET79" s="289"/>
      <c r="EU79" s="289"/>
      <c r="EV79" s="289"/>
      <c r="EW79" s="289"/>
      <c r="EX79" s="289"/>
      <c r="EY79" s="289"/>
      <c r="EZ79" s="289"/>
      <c r="FA79" s="289"/>
      <c r="FB79" s="289"/>
      <c r="FC79" s="289"/>
      <c r="FD79" s="289"/>
      <c r="FE79" s="289"/>
      <c r="FF79" s="289"/>
      <c r="FG79" s="289"/>
      <c r="FH79" s="289"/>
      <c r="FI79" s="289"/>
      <c r="FJ79" s="289"/>
      <c r="FK79" s="289"/>
      <c r="FL79" s="289"/>
      <c r="FM79" s="289"/>
      <c r="FN79" s="289"/>
      <c r="FO79" s="289"/>
      <c r="FP79" s="289"/>
      <c r="FQ79" s="289"/>
      <c r="FR79" s="289"/>
      <c r="FS79" s="289"/>
      <c r="FT79" s="289"/>
      <c r="FU79" s="289"/>
      <c r="FV79" s="289"/>
      <c r="FW79" s="289"/>
      <c r="FX79" s="289"/>
      <c r="FY79" s="289"/>
      <c r="FZ79" s="289"/>
      <c r="GA79" s="289"/>
      <c r="GB79" s="289"/>
      <c r="GC79" s="289"/>
      <c r="GD79" s="289"/>
      <c r="GE79" s="289"/>
      <c r="GF79" s="289"/>
      <c r="GG79" s="289"/>
      <c r="GH79" s="289"/>
      <c r="GI79" s="289"/>
    </row>
    <row r="80" spans="1:191" s="264" customFormat="1" hidden="1">
      <c r="A80" s="289"/>
      <c r="B80" s="289"/>
      <c r="C80" s="291"/>
      <c r="D80" s="291"/>
      <c r="E80" s="291"/>
      <c r="F80" s="291"/>
      <c r="G80" s="291"/>
      <c r="H80" s="291"/>
      <c r="I80" s="291"/>
      <c r="J80" s="291"/>
      <c r="K80" s="291"/>
      <c r="L80" s="292"/>
      <c r="M80" s="289"/>
      <c r="N80" s="289"/>
      <c r="O80" s="289"/>
      <c r="P80" s="289"/>
      <c r="Q80" s="291"/>
      <c r="R80" s="293"/>
      <c r="S80" s="293"/>
      <c r="T80" s="293"/>
      <c r="U80" s="289"/>
      <c r="V80" s="289"/>
      <c r="W80" s="289"/>
      <c r="X80" s="289"/>
      <c r="Y80" s="289"/>
      <c r="Z80" s="289"/>
      <c r="AA80" s="289"/>
      <c r="AB80" s="294"/>
      <c r="AC80" s="289"/>
      <c r="AD80" s="289"/>
      <c r="AE80" s="289"/>
      <c r="AF80" s="295"/>
      <c r="AG80" s="295"/>
      <c r="AH80" s="295"/>
      <c r="AI80" s="295"/>
      <c r="AJ80" s="295"/>
      <c r="AK80" s="289"/>
      <c r="AL80" s="289"/>
      <c r="AM80" s="289"/>
      <c r="AN80" s="289"/>
      <c r="AO80" s="289"/>
      <c r="AP80" s="289"/>
      <c r="AQ80" s="289"/>
      <c r="AR80" s="289"/>
      <c r="AS80" s="296"/>
      <c r="AT80" s="297"/>
      <c r="AU80" s="296"/>
      <c r="AV80" s="294"/>
      <c r="AW80" s="289"/>
      <c r="AX80" s="207"/>
      <c r="AY80" s="207"/>
      <c r="AZ80" s="289"/>
      <c r="BA80" s="289"/>
      <c r="BB80" s="289"/>
      <c r="BC80" s="289"/>
      <c r="BD80" s="298"/>
      <c r="BE80" s="298"/>
      <c r="BF80" s="298"/>
      <c r="BG80" s="298"/>
      <c r="BH80" s="292"/>
      <c r="BI80" s="289"/>
      <c r="BJ80" s="289"/>
      <c r="BK80" s="291"/>
      <c r="BL80" s="291"/>
      <c r="BM80" s="291"/>
      <c r="BN80" s="291"/>
      <c r="BO80" s="289"/>
      <c r="BP80" s="295"/>
      <c r="BQ80" s="289"/>
      <c r="BR80" s="289"/>
      <c r="BS80" s="289"/>
      <c r="BT80" s="289"/>
      <c r="BU80" s="289"/>
      <c r="BV80" s="289"/>
      <c r="BW80" s="289"/>
      <c r="BX80" s="289"/>
      <c r="BY80" s="289"/>
      <c r="BZ80" s="289"/>
      <c r="CA80" s="289"/>
      <c r="CB80" s="289"/>
      <c r="CC80" s="298"/>
      <c r="CD80" s="289"/>
      <c r="CE80" s="289"/>
      <c r="CF80" s="289"/>
      <c r="CG80" s="295"/>
      <c r="CH80" s="295"/>
      <c r="CI80" s="295"/>
      <c r="CJ80" s="289"/>
      <c r="CK80" s="295"/>
      <c r="CL80" s="295"/>
      <c r="CM80" s="295"/>
      <c r="CN80" s="295"/>
      <c r="CO80" s="295"/>
      <c r="CP80" s="295"/>
      <c r="CQ80" s="295"/>
      <c r="CR80" s="295"/>
      <c r="CS80" s="295"/>
      <c r="CT80" s="295"/>
      <c r="CU80" s="291"/>
      <c r="CV80" s="289"/>
      <c r="CW80" s="289"/>
      <c r="CX80" s="289"/>
      <c r="CY80" s="289"/>
      <c r="CZ80" s="289"/>
      <c r="DA80" s="289"/>
      <c r="DB80" s="289"/>
      <c r="DC80" s="289"/>
      <c r="DD80" s="289"/>
      <c r="DE80" s="289"/>
      <c r="DF80" s="289"/>
      <c r="DG80" s="289"/>
      <c r="DH80" s="291"/>
      <c r="DI80" s="289"/>
      <c r="DJ80" s="289"/>
      <c r="DK80" s="292"/>
      <c r="DL80" s="289"/>
      <c r="DM80" s="289"/>
      <c r="DN80" s="207"/>
      <c r="DO80" s="207"/>
      <c r="DP80" s="289"/>
      <c r="DQ80" s="289"/>
      <c r="DR80" s="289"/>
      <c r="DS80" s="289"/>
      <c r="DT80" s="289"/>
      <c r="DU80" s="292"/>
      <c r="DV80" s="292"/>
      <c r="DW80" s="292"/>
      <c r="DX80" s="292"/>
      <c r="DY80" s="292"/>
      <c r="DZ80" s="292"/>
      <c r="EA80" s="292"/>
      <c r="EB80" s="292"/>
      <c r="EC80" s="289"/>
      <c r="ED80" s="292"/>
      <c r="EE80" s="292"/>
      <c r="EF80" s="292"/>
      <c r="EG80" s="289"/>
      <c r="EH80" s="292"/>
      <c r="EI80" s="289"/>
      <c r="EJ80" s="289"/>
      <c r="EK80" s="289"/>
      <c r="EL80" s="289"/>
      <c r="EM80" s="289"/>
      <c r="EN80" s="289"/>
      <c r="EO80" s="289"/>
      <c r="EP80" s="289"/>
      <c r="EQ80" s="289"/>
      <c r="ER80" s="289"/>
      <c r="ES80" s="289"/>
      <c r="ET80" s="289"/>
      <c r="EU80" s="289"/>
      <c r="EV80" s="289"/>
      <c r="EW80" s="289"/>
      <c r="EX80" s="289"/>
      <c r="EY80" s="289"/>
      <c r="EZ80" s="289"/>
      <c r="FA80" s="289"/>
      <c r="FB80" s="289"/>
      <c r="FC80" s="289"/>
      <c r="FD80" s="289"/>
      <c r="FE80" s="289"/>
      <c r="FF80" s="289"/>
      <c r="FG80" s="289"/>
      <c r="FH80" s="289"/>
      <c r="FI80" s="289"/>
      <c r="FJ80" s="289"/>
      <c r="FK80" s="289"/>
      <c r="FL80" s="289"/>
      <c r="FM80" s="289"/>
      <c r="FN80" s="289"/>
      <c r="FO80" s="289"/>
      <c r="FP80" s="289"/>
      <c r="FQ80" s="289"/>
      <c r="FR80" s="289"/>
      <c r="FS80" s="289"/>
      <c r="FT80" s="289"/>
      <c r="FU80" s="289"/>
      <c r="FV80" s="289"/>
      <c r="FW80" s="289"/>
      <c r="FX80" s="289"/>
      <c r="FY80" s="289"/>
      <c r="FZ80" s="289"/>
      <c r="GA80" s="289"/>
      <c r="GB80" s="289"/>
      <c r="GC80" s="289"/>
      <c r="GD80" s="289"/>
      <c r="GE80" s="289"/>
      <c r="GF80" s="289"/>
      <c r="GG80" s="289"/>
      <c r="GH80" s="289"/>
      <c r="GI80" s="289"/>
    </row>
    <row r="81" spans="1:191" s="264" customFormat="1" hidden="1">
      <c r="A81" s="289"/>
      <c r="B81" s="289"/>
      <c r="C81" s="291"/>
      <c r="D81" s="291"/>
      <c r="E81" s="291"/>
      <c r="F81" s="291"/>
      <c r="G81" s="291"/>
      <c r="H81" s="291"/>
      <c r="I81" s="291"/>
      <c r="J81" s="291"/>
      <c r="K81" s="291"/>
      <c r="L81" s="292"/>
      <c r="M81" s="289"/>
      <c r="N81" s="289"/>
      <c r="O81" s="289"/>
      <c r="P81" s="289"/>
      <c r="Q81" s="291"/>
      <c r="R81" s="293"/>
      <c r="S81" s="293"/>
      <c r="T81" s="293"/>
      <c r="U81" s="289"/>
      <c r="V81" s="289"/>
      <c r="W81" s="289"/>
      <c r="X81" s="289"/>
      <c r="Y81" s="289"/>
      <c r="Z81" s="289"/>
      <c r="AA81" s="289"/>
      <c r="AB81" s="294"/>
      <c r="AC81" s="289"/>
      <c r="AD81" s="289"/>
      <c r="AE81" s="289"/>
      <c r="AF81" s="295"/>
      <c r="AG81" s="295"/>
      <c r="AH81" s="295"/>
      <c r="AI81" s="295"/>
      <c r="AJ81" s="295"/>
      <c r="AK81" s="289"/>
      <c r="AL81" s="289"/>
      <c r="AM81" s="289"/>
      <c r="AN81" s="289"/>
      <c r="AO81" s="289"/>
      <c r="AP81" s="289"/>
      <c r="AQ81" s="289"/>
      <c r="AR81" s="289"/>
      <c r="AS81" s="296"/>
      <c r="AT81" s="297"/>
      <c r="AU81" s="296"/>
      <c r="AV81" s="294"/>
      <c r="AW81" s="289"/>
      <c r="AX81" s="207"/>
      <c r="AY81" s="207"/>
      <c r="AZ81" s="289"/>
      <c r="BA81" s="289"/>
      <c r="BB81" s="289"/>
      <c r="BC81" s="289"/>
      <c r="BD81" s="298"/>
      <c r="BE81" s="298"/>
      <c r="BF81" s="298"/>
      <c r="BG81" s="298"/>
      <c r="BH81" s="292"/>
      <c r="BI81" s="289"/>
      <c r="BJ81" s="289"/>
      <c r="BK81" s="291"/>
      <c r="BL81" s="291"/>
      <c r="BM81" s="291"/>
      <c r="BN81" s="291"/>
      <c r="BO81" s="289"/>
      <c r="BP81" s="295"/>
      <c r="BQ81" s="289"/>
      <c r="BR81" s="289"/>
      <c r="BS81" s="289"/>
      <c r="BT81" s="289"/>
      <c r="BU81" s="289"/>
      <c r="BV81" s="289"/>
      <c r="BW81" s="289"/>
      <c r="BX81" s="289"/>
      <c r="BY81" s="289"/>
      <c r="BZ81" s="289"/>
      <c r="CA81" s="289"/>
      <c r="CB81" s="289"/>
      <c r="CC81" s="298"/>
      <c r="CD81" s="289"/>
      <c r="CE81" s="289"/>
      <c r="CF81" s="289"/>
      <c r="CG81" s="295"/>
      <c r="CH81" s="295"/>
      <c r="CI81" s="295"/>
      <c r="CJ81" s="289"/>
      <c r="CK81" s="295"/>
      <c r="CL81" s="295"/>
      <c r="CM81" s="295"/>
      <c r="CN81" s="295"/>
      <c r="CO81" s="295"/>
      <c r="CP81" s="295"/>
      <c r="CQ81" s="295"/>
      <c r="CR81" s="295"/>
      <c r="CS81" s="295"/>
      <c r="CT81" s="295"/>
      <c r="CU81" s="291"/>
      <c r="CV81" s="289"/>
      <c r="CW81" s="289"/>
      <c r="CX81" s="289"/>
      <c r="CY81" s="289"/>
      <c r="CZ81" s="289"/>
      <c r="DA81" s="289"/>
      <c r="DB81" s="289"/>
      <c r="DC81" s="289"/>
      <c r="DD81" s="289"/>
      <c r="DE81" s="289"/>
      <c r="DF81" s="289"/>
      <c r="DG81" s="289"/>
      <c r="DH81" s="291"/>
      <c r="DI81" s="289"/>
      <c r="DJ81" s="289"/>
      <c r="DK81" s="292"/>
      <c r="DL81" s="289"/>
      <c r="DM81" s="289"/>
      <c r="DN81" s="207"/>
      <c r="DO81" s="207"/>
      <c r="DP81" s="289"/>
      <c r="DQ81" s="289"/>
      <c r="DR81" s="289"/>
      <c r="DS81" s="289"/>
      <c r="DT81" s="289"/>
      <c r="DU81" s="292"/>
      <c r="DV81" s="292"/>
      <c r="DW81" s="292"/>
      <c r="DX81" s="292"/>
      <c r="DY81" s="292"/>
      <c r="DZ81" s="292"/>
      <c r="EA81" s="292"/>
      <c r="EB81" s="292"/>
      <c r="EC81" s="289"/>
      <c r="ED81" s="292"/>
      <c r="EE81" s="292"/>
      <c r="EF81" s="292"/>
      <c r="EG81" s="289"/>
      <c r="EH81" s="292"/>
      <c r="EI81" s="289"/>
      <c r="EJ81" s="289"/>
      <c r="EK81" s="289"/>
      <c r="EL81" s="289"/>
      <c r="EM81" s="289"/>
      <c r="EN81" s="289"/>
      <c r="EO81" s="289"/>
      <c r="EP81" s="289"/>
      <c r="EQ81" s="289"/>
      <c r="ER81" s="289"/>
      <c r="ES81" s="289"/>
      <c r="ET81" s="289"/>
      <c r="EU81" s="289"/>
      <c r="EV81" s="289"/>
      <c r="EW81" s="289"/>
      <c r="EX81" s="289"/>
      <c r="EY81" s="289"/>
      <c r="EZ81" s="289"/>
      <c r="FA81" s="289"/>
      <c r="FB81" s="289"/>
      <c r="FC81" s="289"/>
      <c r="FD81" s="289"/>
      <c r="FE81" s="289"/>
      <c r="FF81" s="289"/>
      <c r="FG81" s="289"/>
      <c r="FH81" s="289"/>
      <c r="FI81" s="289"/>
      <c r="FJ81" s="289"/>
      <c r="FK81" s="289"/>
      <c r="FL81" s="289"/>
      <c r="FM81" s="289"/>
      <c r="FN81" s="289"/>
      <c r="FO81" s="289"/>
      <c r="FP81" s="289"/>
      <c r="FQ81" s="289"/>
      <c r="FR81" s="289"/>
      <c r="FS81" s="289"/>
      <c r="FT81" s="289"/>
      <c r="FU81" s="289"/>
      <c r="FV81" s="289"/>
      <c r="FW81" s="289"/>
      <c r="FX81" s="289"/>
      <c r="FY81" s="289"/>
      <c r="FZ81" s="289"/>
      <c r="GA81" s="289"/>
      <c r="GB81" s="289"/>
      <c r="GC81" s="289"/>
      <c r="GD81" s="289"/>
      <c r="GE81" s="289"/>
      <c r="GF81" s="289"/>
      <c r="GG81" s="289"/>
      <c r="GH81" s="289"/>
      <c r="GI81" s="289"/>
    </row>
    <row r="82" spans="1:191" s="264" customFormat="1" hidden="1">
      <c r="A82" s="289"/>
      <c r="B82" s="289"/>
      <c r="C82" s="291"/>
      <c r="D82" s="291"/>
      <c r="E82" s="291"/>
      <c r="F82" s="291"/>
      <c r="G82" s="291"/>
      <c r="H82" s="291"/>
      <c r="I82" s="291"/>
      <c r="J82" s="291"/>
      <c r="K82" s="291"/>
      <c r="L82" s="292"/>
      <c r="M82" s="289"/>
      <c r="N82" s="289"/>
      <c r="O82" s="289"/>
      <c r="P82" s="289"/>
      <c r="Q82" s="291"/>
      <c r="R82" s="293"/>
      <c r="S82" s="293"/>
      <c r="T82" s="293"/>
      <c r="U82" s="289"/>
      <c r="V82" s="289"/>
      <c r="W82" s="289"/>
      <c r="X82" s="289"/>
      <c r="Y82" s="289"/>
      <c r="Z82" s="289"/>
      <c r="AA82" s="289"/>
      <c r="AB82" s="294"/>
      <c r="AC82" s="289"/>
      <c r="AD82" s="289"/>
      <c r="AE82" s="289"/>
      <c r="AF82" s="295"/>
      <c r="AG82" s="295"/>
      <c r="AH82" s="295"/>
      <c r="AI82" s="295"/>
      <c r="AJ82" s="295"/>
      <c r="AK82" s="289"/>
      <c r="AL82" s="289"/>
      <c r="AM82" s="289"/>
      <c r="AN82" s="289"/>
      <c r="AO82" s="289"/>
      <c r="AP82" s="289"/>
      <c r="AQ82" s="289"/>
      <c r="AR82" s="289"/>
      <c r="AS82" s="296"/>
      <c r="AT82" s="297"/>
      <c r="AU82" s="296"/>
      <c r="AV82" s="294"/>
      <c r="AW82" s="289"/>
      <c r="AX82" s="207"/>
      <c r="AY82" s="207"/>
      <c r="AZ82" s="289"/>
      <c r="BA82" s="289"/>
      <c r="BB82" s="289"/>
      <c r="BC82" s="289"/>
      <c r="BD82" s="298"/>
      <c r="BE82" s="298"/>
      <c r="BF82" s="298"/>
      <c r="BG82" s="298"/>
      <c r="BH82" s="292"/>
      <c r="BI82" s="289"/>
      <c r="BJ82" s="289"/>
      <c r="BK82" s="291"/>
      <c r="BL82" s="291"/>
      <c r="BM82" s="291"/>
      <c r="BN82" s="291"/>
      <c r="BO82" s="289"/>
      <c r="BP82" s="295"/>
      <c r="BQ82" s="289"/>
      <c r="BR82" s="289"/>
      <c r="BS82" s="289"/>
      <c r="BT82" s="289"/>
      <c r="BU82" s="289"/>
      <c r="BV82" s="289"/>
      <c r="BW82" s="289"/>
      <c r="BX82" s="289"/>
      <c r="BY82" s="289"/>
      <c r="BZ82" s="289"/>
      <c r="CA82" s="289"/>
      <c r="CB82" s="289"/>
      <c r="CC82" s="298"/>
      <c r="CD82" s="289"/>
      <c r="CE82" s="289"/>
      <c r="CF82" s="289"/>
      <c r="CG82" s="295"/>
      <c r="CH82" s="295"/>
      <c r="CI82" s="295"/>
      <c r="CJ82" s="289"/>
      <c r="CK82" s="295"/>
      <c r="CL82" s="295"/>
      <c r="CM82" s="295"/>
      <c r="CN82" s="295"/>
      <c r="CO82" s="295"/>
      <c r="CP82" s="295"/>
      <c r="CQ82" s="295"/>
      <c r="CR82" s="295"/>
      <c r="CS82" s="295"/>
      <c r="CT82" s="295"/>
      <c r="CU82" s="291"/>
      <c r="CV82" s="289"/>
      <c r="CW82" s="289"/>
      <c r="CX82" s="289"/>
      <c r="CY82" s="289"/>
      <c r="CZ82" s="289"/>
      <c r="DA82" s="289"/>
      <c r="DB82" s="289"/>
      <c r="DC82" s="289"/>
      <c r="DD82" s="289"/>
      <c r="DE82" s="289"/>
      <c r="DF82" s="289"/>
      <c r="DG82" s="289"/>
      <c r="DH82" s="291"/>
      <c r="DI82" s="289"/>
      <c r="DJ82" s="289"/>
      <c r="DK82" s="292"/>
      <c r="DL82" s="289"/>
      <c r="DM82" s="289"/>
      <c r="DN82" s="207"/>
      <c r="DO82" s="207"/>
      <c r="DP82" s="289"/>
      <c r="DQ82" s="289"/>
      <c r="DR82" s="289"/>
      <c r="DS82" s="289"/>
      <c r="DT82" s="289"/>
      <c r="DU82" s="292"/>
      <c r="DV82" s="292"/>
      <c r="DW82" s="292"/>
      <c r="DX82" s="292"/>
      <c r="DY82" s="292"/>
      <c r="DZ82" s="292"/>
      <c r="EA82" s="292"/>
      <c r="EB82" s="292"/>
      <c r="EC82" s="289"/>
      <c r="ED82" s="292"/>
      <c r="EE82" s="292"/>
      <c r="EF82" s="292"/>
      <c r="EG82" s="289"/>
      <c r="EH82" s="292"/>
      <c r="EI82" s="289"/>
      <c r="EJ82" s="289"/>
      <c r="EK82" s="289"/>
      <c r="EL82" s="289"/>
      <c r="EM82" s="289"/>
      <c r="EN82" s="289"/>
      <c r="EO82" s="289"/>
      <c r="EP82" s="289"/>
      <c r="EQ82" s="289"/>
      <c r="ER82" s="289"/>
      <c r="ES82" s="289"/>
      <c r="ET82" s="289"/>
      <c r="EU82" s="289"/>
      <c r="EV82" s="289"/>
      <c r="EW82" s="289"/>
      <c r="EX82" s="289"/>
      <c r="EY82" s="289"/>
      <c r="EZ82" s="289"/>
      <c r="FA82" s="289"/>
      <c r="FB82" s="289"/>
      <c r="FC82" s="289"/>
      <c r="FD82" s="289"/>
      <c r="FE82" s="289"/>
      <c r="FF82" s="289"/>
      <c r="FG82" s="289"/>
      <c r="FH82" s="289"/>
      <c r="FI82" s="289"/>
      <c r="FJ82" s="289"/>
      <c r="FK82" s="289"/>
      <c r="FL82" s="289"/>
      <c r="FM82" s="289"/>
      <c r="FN82" s="289"/>
      <c r="FO82" s="289"/>
      <c r="FP82" s="289"/>
      <c r="FQ82" s="289"/>
      <c r="FR82" s="289"/>
      <c r="FS82" s="289"/>
      <c r="FT82" s="289"/>
      <c r="FU82" s="289"/>
      <c r="FV82" s="289"/>
      <c r="FW82" s="289"/>
      <c r="FX82" s="289"/>
      <c r="FY82" s="289"/>
      <c r="FZ82" s="289"/>
      <c r="GA82" s="289"/>
      <c r="GB82" s="289"/>
      <c r="GC82" s="289"/>
      <c r="GD82" s="289"/>
      <c r="GE82" s="289"/>
      <c r="GF82" s="289"/>
      <c r="GG82" s="289"/>
      <c r="GH82" s="289"/>
      <c r="GI82" s="289"/>
    </row>
    <row r="83" spans="1:191" s="264" customFormat="1" hidden="1">
      <c r="A83" s="289"/>
      <c r="B83" s="289"/>
      <c r="C83" s="291"/>
      <c r="D83" s="291"/>
      <c r="E83" s="291"/>
      <c r="F83" s="291"/>
      <c r="G83" s="291"/>
      <c r="H83" s="291"/>
      <c r="I83" s="291"/>
      <c r="J83" s="291"/>
      <c r="K83" s="291"/>
      <c r="L83" s="292"/>
      <c r="M83" s="289"/>
      <c r="N83" s="289"/>
      <c r="O83" s="289"/>
      <c r="P83" s="289"/>
      <c r="Q83" s="291"/>
      <c r="R83" s="293"/>
      <c r="S83" s="293"/>
      <c r="T83" s="293"/>
      <c r="U83" s="289"/>
      <c r="V83" s="289"/>
      <c r="W83" s="289"/>
      <c r="X83" s="289"/>
      <c r="Y83" s="289"/>
      <c r="Z83" s="289"/>
      <c r="AA83" s="289"/>
      <c r="AB83" s="294"/>
      <c r="AC83" s="289"/>
      <c r="AD83" s="289"/>
      <c r="AE83" s="289"/>
      <c r="AF83" s="295"/>
      <c r="AG83" s="295"/>
      <c r="AH83" s="295"/>
      <c r="AI83" s="295"/>
      <c r="AJ83" s="295"/>
      <c r="AK83" s="289"/>
      <c r="AL83" s="289"/>
      <c r="AM83" s="289"/>
      <c r="AN83" s="289"/>
      <c r="AO83" s="289"/>
      <c r="AP83" s="289"/>
      <c r="AQ83" s="289"/>
      <c r="AR83" s="289"/>
      <c r="AS83" s="296"/>
      <c r="AT83" s="297"/>
      <c r="AU83" s="296"/>
      <c r="AV83" s="294"/>
      <c r="AW83" s="289"/>
      <c r="AX83" s="207"/>
      <c r="AY83" s="207"/>
      <c r="AZ83" s="289"/>
      <c r="BA83" s="289"/>
      <c r="BB83" s="289"/>
      <c r="BC83" s="289"/>
      <c r="BD83" s="298"/>
      <c r="BE83" s="298"/>
      <c r="BF83" s="298"/>
      <c r="BG83" s="298"/>
      <c r="BH83" s="292"/>
      <c r="BI83" s="289"/>
      <c r="BJ83" s="289"/>
      <c r="BK83" s="291"/>
      <c r="BL83" s="291"/>
      <c r="BM83" s="291"/>
      <c r="BN83" s="291"/>
      <c r="BO83" s="289"/>
      <c r="BP83" s="295"/>
      <c r="BQ83" s="289"/>
      <c r="BR83" s="289"/>
      <c r="BS83" s="289"/>
      <c r="BT83" s="289"/>
      <c r="BU83" s="289"/>
      <c r="BV83" s="289"/>
      <c r="BW83" s="289"/>
      <c r="BX83" s="289"/>
      <c r="BY83" s="289"/>
      <c r="BZ83" s="289"/>
      <c r="CA83" s="289"/>
      <c r="CB83" s="289"/>
      <c r="CC83" s="298"/>
      <c r="CD83" s="289"/>
      <c r="CE83" s="289"/>
      <c r="CF83" s="289"/>
      <c r="CG83" s="295"/>
      <c r="CH83" s="295"/>
      <c r="CI83" s="295"/>
      <c r="CJ83" s="289"/>
      <c r="CK83" s="295"/>
      <c r="CL83" s="295"/>
      <c r="CM83" s="295"/>
      <c r="CN83" s="295"/>
      <c r="CO83" s="295"/>
      <c r="CP83" s="295"/>
      <c r="CQ83" s="295"/>
      <c r="CR83" s="295"/>
      <c r="CS83" s="295"/>
      <c r="CT83" s="295"/>
      <c r="CU83" s="291"/>
      <c r="CV83" s="289"/>
      <c r="CW83" s="289"/>
      <c r="CX83" s="289"/>
      <c r="CY83" s="289"/>
      <c r="CZ83" s="289"/>
      <c r="DA83" s="289"/>
      <c r="DB83" s="289"/>
      <c r="DC83" s="289"/>
      <c r="DD83" s="289"/>
      <c r="DE83" s="289"/>
      <c r="DF83" s="289"/>
      <c r="DG83" s="289"/>
      <c r="DH83" s="291"/>
      <c r="DI83" s="289"/>
      <c r="DJ83" s="289"/>
      <c r="DK83" s="292"/>
      <c r="DL83" s="289"/>
      <c r="DM83" s="289"/>
      <c r="DN83" s="207"/>
      <c r="DO83" s="207"/>
      <c r="DP83" s="289"/>
      <c r="DQ83" s="289"/>
      <c r="DR83" s="289"/>
      <c r="DS83" s="289"/>
      <c r="DT83" s="289"/>
      <c r="DU83" s="292"/>
      <c r="DV83" s="292"/>
      <c r="DW83" s="292"/>
      <c r="DX83" s="292"/>
      <c r="DY83" s="292"/>
      <c r="DZ83" s="292"/>
      <c r="EA83" s="292"/>
      <c r="EB83" s="292"/>
      <c r="EC83" s="289"/>
      <c r="ED83" s="292"/>
      <c r="EE83" s="292"/>
      <c r="EF83" s="292"/>
      <c r="EG83" s="289"/>
      <c r="EH83" s="292"/>
      <c r="EI83" s="289"/>
      <c r="EJ83" s="289"/>
      <c r="EK83" s="289"/>
      <c r="EL83" s="289"/>
      <c r="EM83" s="289"/>
      <c r="EN83" s="289"/>
      <c r="EO83" s="289"/>
      <c r="EP83" s="289"/>
      <c r="EQ83" s="289"/>
      <c r="ER83" s="289"/>
      <c r="ES83" s="289"/>
      <c r="ET83" s="289"/>
      <c r="EU83" s="289"/>
      <c r="EV83" s="289"/>
      <c r="EW83" s="289"/>
      <c r="EX83" s="289"/>
      <c r="EY83" s="289"/>
      <c r="EZ83" s="289"/>
      <c r="FA83" s="289"/>
      <c r="FB83" s="289"/>
      <c r="FC83" s="289"/>
      <c r="FD83" s="289"/>
      <c r="FE83" s="289"/>
      <c r="FF83" s="289"/>
      <c r="FG83" s="289"/>
      <c r="FH83" s="289"/>
      <c r="FI83" s="289"/>
      <c r="FJ83" s="289"/>
      <c r="FK83" s="289"/>
      <c r="FL83" s="289"/>
      <c r="FM83" s="289"/>
      <c r="FN83" s="289"/>
      <c r="FO83" s="289"/>
      <c r="FP83" s="289"/>
      <c r="FQ83" s="289"/>
      <c r="FR83" s="289"/>
      <c r="FS83" s="289"/>
      <c r="FT83" s="289"/>
      <c r="FU83" s="289"/>
      <c r="FV83" s="289"/>
      <c r="FW83" s="289"/>
      <c r="FX83" s="289"/>
      <c r="FY83" s="289"/>
      <c r="FZ83" s="289"/>
      <c r="GA83" s="289"/>
      <c r="GB83" s="289"/>
      <c r="GC83" s="289"/>
      <c r="GD83" s="289"/>
      <c r="GE83" s="289"/>
      <c r="GF83" s="289"/>
      <c r="GG83" s="289"/>
      <c r="GH83" s="289"/>
      <c r="GI83" s="289"/>
    </row>
    <row r="84" spans="1:191" s="264" customFormat="1" hidden="1">
      <c r="A84" s="289"/>
      <c r="B84" s="289"/>
      <c r="C84" s="291"/>
      <c r="D84" s="291"/>
      <c r="E84" s="291"/>
      <c r="F84" s="291"/>
      <c r="G84" s="291"/>
      <c r="H84" s="291"/>
      <c r="I84" s="291"/>
      <c r="J84" s="291"/>
      <c r="K84" s="291"/>
      <c r="L84" s="292"/>
      <c r="M84" s="289"/>
      <c r="N84" s="289"/>
      <c r="O84" s="289"/>
      <c r="P84" s="289"/>
      <c r="Q84" s="291"/>
      <c r="R84" s="293"/>
      <c r="S84" s="293"/>
      <c r="T84" s="293"/>
      <c r="U84" s="289"/>
      <c r="V84" s="289"/>
      <c r="W84" s="289"/>
      <c r="X84" s="289"/>
      <c r="Y84" s="289"/>
      <c r="Z84" s="289"/>
      <c r="AA84" s="289"/>
      <c r="AB84" s="294"/>
      <c r="AC84" s="289"/>
      <c r="AD84" s="289"/>
      <c r="AE84" s="289"/>
      <c r="AF84" s="295"/>
      <c r="AG84" s="295"/>
      <c r="AH84" s="295"/>
      <c r="AI84" s="295"/>
      <c r="AJ84" s="295"/>
      <c r="AK84" s="289"/>
      <c r="AL84" s="289"/>
      <c r="AM84" s="289"/>
      <c r="AN84" s="289"/>
      <c r="AO84" s="289"/>
      <c r="AP84" s="289"/>
      <c r="AQ84" s="289"/>
      <c r="AR84" s="289"/>
      <c r="AS84" s="296"/>
      <c r="AT84" s="297"/>
      <c r="AU84" s="296"/>
      <c r="AV84" s="294"/>
      <c r="AW84" s="289"/>
      <c r="AX84" s="207"/>
      <c r="AY84" s="207"/>
      <c r="AZ84" s="289"/>
      <c r="BA84" s="289"/>
      <c r="BB84" s="289"/>
      <c r="BC84" s="289"/>
      <c r="BD84" s="298"/>
      <c r="BE84" s="298"/>
      <c r="BF84" s="298"/>
      <c r="BG84" s="298"/>
      <c r="BH84" s="292"/>
      <c r="BI84" s="289"/>
      <c r="BJ84" s="289"/>
      <c r="BK84" s="291"/>
      <c r="BL84" s="291"/>
      <c r="BM84" s="291"/>
      <c r="BN84" s="291"/>
      <c r="BO84" s="289"/>
      <c r="BP84" s="295"/>
      <c r="BQ84" s="289"/>
      <c r="BR84" s="289"/>
      <c r="BS84" s="289"/>
      <c r="BT84" s="289"/>
      <c r="BU84" s="289"/>
      <c r="BV84" s="289"/>
      <c r="BW84" s="289"/>
      <c r="BX84" s="289"/>
      <c r="BY84" s="289"/>
      <c r="BZ84" s="289"/>
      <c r="CA84" s="289"/>
      <c r="CB84" s="289"/>
      <c r="CC84" s="298"/>
      <c r="CD84" s="289"/>
      <c r="CE84" s="289"/>
      <c r="CF84" s="289"/>
      <c r="CG84" s="295"/>
      <c r="CH84" s="295"/>
      <c r="CI84" s="295"/>
      <c r="CJ84" s="289"/>
      <c r="CK84" s="295"/>
      <c r="CL84" s="295"/>
      <c r="CM84" s="295"/>
      <c r="CN84" s="295"/>
      <c r="CO84" s="295"/>
      <c r="CP84" s="295"/>
      <c r="CQ84" s="295"/>
      <c r="CR84" s="295"/>
      <c r="CS84" s="295"/>
      <c r="CT84" s="295"/>
      <c r="CU84" s="291"/>
      <c r="CV84" s="289"/>
      <c r="CW84" s="289"/>
      <c r="CX84" s="289"/>
      <c r="CY84" s="289"/>
      <c r="CZ84" s="289"/>
      <c r="DA84" s="289"/>
      <c r="DB84" s="289"/>
      <c r="DC84" s="289"/>
      <c r="DD84" s="289"/>
      <c r="DE84" s="289"/>
      <c r="DF84" s="289"/>
      <c r="DG84" s="289"/>
      <c r="DH84" s="291"/>
      <c r="DI84" s="289"/>
      <c r="DJ84" s="289"/>
      <c r="DK84" s="292"/>
      <c r="DL84" s="289"/>
      <c r="DM84" s="289"/>
      <c r="DN84" s="207"/>
      <c r="DO84" s="207"/>
      <c r="DP84" s="289"/>
      <c r="DQ84" s="289"/>
      <c r="DR84" s="289"/>
      <c r="DS84" s="289"/>
      <c r="DT84" s="289"/>
      <c r="DU84" s="292"/>
      <c r="DV84" s="292"/>
      <c r="DW84" s="292"/>
      <c r="DX84" s="292"/>
      <c r="DY84" s="292"/>
      <c r="DZ84" s="292"/>
      <c r="EA84" s="292"/>
      <c r="EB84" s="292"/>
      <c r="EC84" s="289"/>
      <c r="ED84" s="292"/>
      <c r="EE84" s="292"/>
      <c r="EF84" s="292"/>
      <c r="EG84" s="289"/>
      <c r="EH84" s="292"/>
      <c r="EI84" s="289"/>
      <c r="EJ84" s="289"/>
      <c r="EK84" s="289"/>
      <c r="EL84" s="289"/>
      <c r="EM84" s="289"/>
      <c r="EN84" s="289"/>
      <c r="EO84" s="289"/>
      <c r="EP84" s="289"/>
      <c r="EQ84" s="289"/>
      <c r="ER84" s="289"/>
      <c r="ES84" s="289"/>
      <c r="ET84" s="289"/>
      <c r="EU84" s="289"/>
      <c r="EV84" s="289"/>
      <c r="EW84" s="289"/>
      <c r="EX84" s="289"/>
      <c r="EY84" s="289"/>
      <c r="EZ84" s="289"/>
      <c r="FA84" s="289"/>
      <c r="FB84" s="289"/>
      <c r="FC84" s="289"/>
      <c r="FD84" s="289"/>
      <c r="FE84" s="289"/>
      <c r="FF84" s="289"/>
      <c r="FG84" s="289"/>
      <c r="FH84" s="289"/>
      <c r="FI84" s="289"/>
      <c r="FJ84" s="289"/>
      <c r="FK84" s="289"/>
      <c r="FL84" s="289"/>
      <c r="FM84" s="289"/>
      <c r="FN84" s="289"/>
      <c r="FO84" s="289"/>
      <c r="FP84" s="289"/>
      <c r="FQ84" s="289"/>
      <c r="FR84" s="289"/>
      <c r="FS84" s="289"/>
      <c r="FT84" s="289"/>
      <c r="FU84" s="289"/>
      <c r="FV84" s="289"/>
      <c r="FW84" s="289"/>
      <c r="FX84" s="289"/>
      <c r="FY84" s="289"/>
      <c r="FZ84" s="289"/>
      <c r="GA84" s="289"/>
      <c r="GB84" s="289"/>
      <c r="GC84" s="289"/>
      <c r="GD84" s="289"/>
      <c r="GE84" s="289"/>
      <c r="GF84" s="289"/>
      <c r="GG84" s="289"/>
      <c r="GH84" s="289"/>
      <c r="GI84" s="289"/>
    </row>
    <row r="85" spans="1:191" s="264" customFormat="1" hidden="1">
      <c r="A85" s="289"/>
      <c r="B85" s="289"/>
      <c r="C85" s="291"/>
      <c r="D85" s="291"/>
      <c r="E85" s="291"/>
      <c r="F85" s="291"/>
      <c r="G85" s="291"/>
      <c r="H85" s="291"/>
      <c r="I85" s="291"/>
      <c r="J85" s="291"/>
      <c r="K85" s="291"/>
      <c r="L85" s="292"/>
      <c r="M85" s="289"/>
      <c r="N85" s="289"/>
      <c r="O85" s="289"/>
      <c r="P85" s="289"/>
      <c r="Q85" s="291"/>
      <c r="R85" s="293"/>
      <c r="S85" s="293"/>
      <c r="T85" s="293"/>
      <c r="U85" s="289"/>
      <c r="V85" s="289"/>
      <c r="W85" s="289"/>
      <c r="X85" s="289"/>
      <c r="Y85" s="289"/>
      <c r="Z85" s="289"/>
      <c r="AA85" s="289"/>
      <c r="AB85" s="294"/>
      <c r="AC85" s="289"/>
      <c r="AD85" s="289"/>
      <c r="AE85" s="289"/>
      <c r="AF85" s="295"/>
      <c r="AG85" s="295"/>
      <c r="AH85" s="295"/>
      <c r="AI85" s="295"/>
      <c r="AJ85" s="295"/>
      <c r="AK85" s="289"/>
      <c r="AL85" s="289"/>
      <c r="AM85" s="289"/>
      <c r="AN85" s="289"/>
      <c r="AO85" s="289"/>
      <c r="AP85" s="289"/>
      <c r="AQ85" s="289"/>
      <c r="AR85" s="289"/>
      <c r="AS85" s="296"/>
      <c r="AT85" s="297"/>
      <c r="AU85" s="296"/>
      <c r="AV85" s="294"/>
      <c r="AW85" s="289"/>
      <c r="AX85" s="207"/>
      <c r="AY85" s="207"/>
      <c r="AZ85" s="289"/>
      <c r="BA85" s="289"/>
      <c r="BB85" s="289"/>
      <c r="BC85" s="289"/>
      <c r="BD85" s="298"/>
      <c r="BE85" s="298"/>
      <c r="BF85" s="298"/>
      <c r="BG85" s="298"/>
      <c r="BH85" s="292"/>
      <c r="BI85" s="289"/>
      <c r="BJ85" s="289"/>
      <c r="BK85" s="291"/>
      <c r="BL85" s="291"/>
      <c r="BM85" s="291"/>
      <c r="BN85" s="291"/>
      <c r="BO85" s="289"/>
      <c r="BP85" s="295"/>
      <c r="BQ85" s="289"/>
      <c r="BR85" s="289"/>
      <c r="BS85" s="289"/>
      <c r="BT85" s="289"/>
      <c r="BU85" s="289"/>
      <c r="BV85" s="289"/>
      <c r="BW85" s="289"/>
      <c r="BX85" s="289"/>
      <c r="BY85" s="289"/>
      <c r="BZ85" s="289"/>
      <c r="CA85" s="289"/>
      <c r="CB85" s="289"/>
      <c r="CC85" s="298"/>
      <c r="CD85" s="289"/>
      <c r="CE85" s="289"/>
      <c r="CF85" s="289"/>
      <c r="CG85" s="295"/>
      <c r="CH85" s="295"/>
      <c r="CI85" s="295"/>
      <c r="CJ85" s="289"/>
      <c r="CK85" s="295"/>
      <c r="CL85" s="295"/>
      <c r="CM85" s="295"/>
      <c r="CN85" s="295"/>
      <c r="CO85" s="295"/>
      <c r="CP85" s="295"/>
      <c r="CQ85" s="295"/>
      <c r="CR85" s="295"/>
      <c r="CS85" s="295"/>
      <c r="CT85" s="295"/>
      <c r="CU85" s="291"/>
      <c r="CV85" s="289"/>
      <c r="CW85" s="289"/>
      <c r="CX85" s="289"/>
      <c r="CY85" s="289"/>
      <c r="CZ85" s="289"/>
      <c r="DA85" s="289"/>
      <c r="DB85" s="289"/>
      <c r="DC85" s="289"/>
      <c r="DD85" s="289"/>
      <c r="DE85" s="289"/>
      <c r="DF85" s="289"/>
      <c r="DG85" s="289"/>
      <c r="DH85" s="291"/>
      <c r="DI85" s="289"/>
      <c r="DJ85" s="289"/>
      <c r="DK85" s="292"/>
      <c r="DL85" s="289"/>
      <c r="DM85" s="289"/>
      <c r="DN85" s="207"/>
      <c r="DO85" s="207"/>
      <c r="DP85" s="289"/>
      <c r="DQ85" s="289"/>
      <c r="DR85" s="289"/>
      <c r="DS85" s="289"/>
      <c r="DT85" s="289"/>
      <c r="DU85" s="292"/>
      <c r="DV85" s="292"/>
      <c r="DW85" s="292"/>
      <c r="DX85" s="292"/>
      <c r="DY85" s="292"/>
      <c r="DZ85" s="292"/>
      <c r="EA85" s="292"/>
      <c r="EB85" s="292"/>
      <c r="EC85" s="289"/>
      <c r="ED85" s="292"/>
      <c r="EE85" s="292"/>
      <c r="EF85" s="292"/>
      <c r="EG85" s="289"/>
      <c r="EH85" s="292"/>
      <c r="EI85" s="289"/>
      <c r="EJ85" s="289"/>
      <c r="EK85" s="289"/>
      <c r="EL85" s="289"/>
      <c r="EM85" s="289"/>
      <c r="EN85" s="289"/>
      <c r="EO85" s="289"/>
      <c r="EP85" s="289"/>
      <c r="EQ85" s="289"/>
      <c r="ER85" s="289"/>
      <c r="ES85" s="289"/>
      <c r="ET85" s="289"/>
      <c r="EU85" s="289"/>
      <c r="EV85" s="289"/>
      <c r="EW85" s="289"/>
      <c r="EX85" s="289"/>
      <c r="EY85" s="289"/>
      <c r="EZ85" s="289"/>
      <c r="FA85" s="289"/>
      <c r="FB85" s="289"/>
      <c r="FC85" s="289"/>
      <c r="FD85" s="289"/>
      <c r="FE85" s="289"/>
      <c r="FF85" s="289"/>
      <c r="FG85" s="289"/>
      <c r="FH85" s="289"/>
      <c r="FI85" s="289"/>
      <c r="FJ85" s="289"/>
      <c r="FK85" s="289"/>
      <c r="FL85" s="289"/>
      <c r="FM85" s="289"/>
      <c r="FN85" s="289"/>
      <c r="FO85" s="289"/>
      <c r="FP85" s="289"/>
      <c r="FQ85" s="289"/>
      <c r="FR85" s="289"/>
      <c r="FS85" s="289"/>
      <c r="FT85" s="289"/>
      <c r="FU85" s="289"/>
      <c r="FV85" s="289"/>
      <c r="FW85" s="289"/>
      <c r="FX85" s="289"/>
      <c r="FY85" s="289"/>
      <c r="FZ85" s="289"/>
      <c r="GA85" s="289"/>
      <c r="GB85" s="289"/>
      <c r="GC85" s="289"/>
      <c r="GD85" s="289"/>
      <c r="GE85" s="289"/>
      <c r="GF85" s="289"/>
      <c r="GG85" s="289"/>
      <c r="GH85" s="289"/>
      <c r="GI85" s="289"/>
    </row>
    <row r="86" spans="1:191" s="264" customFormat="1" hidden="1">
      <c r="A86" s="289"/>
      <c r="B86" s="289"/>
      <c r="C86" s="291"/>
      <c r="D86" s="291"/>
      <c r="E86" s="291"/>
      <c r="F86" s="291"/>
      <c r="G86" s="291"/>
      <c r="H86" s="291"/>
      <c r="I86" s="291"/>
      <c r="J86" s="291"/>
      <c r="K86" s="291"/>
      <c r="L86" s="292"/>
      <c r="M86" s="289"/>
      <c r="N86" s="289"/>
      <c r="O86" s="289"/>
      <c r="P86" s="289"/>
      <c r="Q86" s="291"/>
      <c r="R86" s="293"/>
      <c r="S86" s="293"/>
      <c r="T86" s="293"/>
      <c r="U86" s="289"/>
      <c r="V86" s="289"/>
      <c r="W86" s="289"/>
      <c r="X86" s="289"/>
      <c r="Y86" s="289"/>
      <c r="Z86" s="289"/>
      <c r="AA86" s="289"/>
      <c r="AB86" s="294"/>
      <c r="AC86" s="289"/>
      <c r="AD86" s="289"/>
      <c r="AE86" s="289"/>
      <c r="AF86" s="295"/>
      <c r="AG86" s="295"/>
      <c r="AH86" s="295"/>
      <c r="AI86" s="295"/>
      <c r="AJ86" s="295"/>
      <c r="AK86" s="289"/>
      <c r="AL86" s="289"/>
      <c r="AM86" s="289"/>
      <c r="AN86" s="289"/>
      <c r="AO86" s="289"/>
      <c r="AP86" s="289"/>
      <c r="AQ86" s="289"/>
      <c r="AR86" s="289"/>
      <c r="AS86" s="296"/>
      <c r="AT86" s="297"/>
      <c r="AU86" s="296"/>
      <c r="AV86" s="294"/>
      <c r="AW86" s="289"/>
      <c r="AX86" s="207"/>
      <c r="AY86" s="207"/>
      <c r="AZ86" s="289"/>
      <c r="BA86" s="289"/>
      <c r="BB86" s="289"/>
      <c r="BC86" s="289"/>
      <c r="BD86" s="298"/>
      <c r="BE86" s="298"/>
      <c r="BF86" s="298"/>
      <c r="BG86" s="298"/>
      <c r="BH86" s="292"/>
      <c r="BI86" s="289"/>
      <c r="BJ86" s="289"/>
      <c r="BK86" s="291"/>
      <c r="BL86" s="291"/>
      <c r="BM86" s="291"/>
      <c r="BN86" s="291"/>
      <c r="BO86" s="289"/>
      <c r="BP86" s="295"/>
      <c r="BQ86" s="289"/>
      <c r="BR86" s="289"/>
      <c r="BS86" s="289"/>
      <c r="BT86" s="289"/>
      <c r="BU86" s="289"/>
      <c r="BV86" s="289"/>
      <c r="BW86" s="289"/>
      <c r="BX86" s="289"/>
      <c r="BY86" s="289"/>
      <c r="BZ86" s="289"/>
      <c r="CA86" s="289"/>
      <c r="CB86" s="289"/>
      <c r="CC86" s="298"/>
      <c r="CD86" s="289"/>
      <c r="CE86" s="289"/>
      <c r="CF86" s="289"/>
      <c r="CG86" s="295"/>
      <c r="CH86" s="295"/>
      <c r="CI86" s="295"/>
      <c r="CJ86" s="289"/>
      <c r="CK86" s="295"/>
      <c r="CL86" s="295"/>
      <c r="CM86" s="295"/>
      <c r="CN86" s="295"/>
      <c r="CO86" s="295"/>
      <c r="CP86" s="295"/>
      <c r="CQ86" s="295"/>
      <c r="CR86" s="295"/>
      <c r="CS86" s="295"/>
      <c r="CT86" s="295"/>
      <c r="CU86" s="291"/>
      <c r="CV86" s="289"/>
      <c r="CW86" s="289"/>
      <c r="CX86" s="289"/>
      <c r="CY86" s="289"/>
      <c r="CZ86" s="289"/>
      <c r="DA86" s="289"/>
      <c r="DB86" s="289"/>
      <c r="DC86" s="289"/>
      <c r="DD86" s="289"/>
      <c r="DE86" s="289"/>
      <c r="DF86" s="289"/>
      <c r="DG86" s="289"/>
      <c r="DH86" s="291"/>
      <c r="DI86" s="289"/>
      <c r="DJ86" s="289"/>
      <c r="DK86" s="292"/>
      <c r="DL86" s="289"/>
      <c r="DM86" s="289"/>
      <c r="DN86" s="207"/>
      <c r="DO86" s="207"/>
      <c r="DP86" s="289"/>
      <c r="DQ86" s="289"/>
      <c r="DR86" s="289"/>
      <c r="DS86" s="289"/>
      <c r="DT86" s="289"/>
      <c r="DU86" s="292"/>
      <c r="DV86" s="292"/>
      <c r="DW86" s="292"/>
      <c r="DX86" s="292"/>
      <c r="DY86" s="292"/>
      <c r="DZ86" s="292"/>
      <c r="EA86" s="292"/>
      <c r="EB86" s="292"/>
      <c r="EC86" s="289"/>
      <c r="ED86" s="292"/>
      <c r="EE86" s="292"/>
      <c r="EF86" s="292"/>
      <c r="EG86" s="289"/>
      <c r="EH86" s="292"/>
      <c r="EI86" s="289"/>
      <c r="EJ86" s="289"/>
      <c r="EK86" s="289"/>
      <c r="EL86" s="289"/>
      <c r="EM86" s="289"/>
      <c r="EN86" s="289"/>
      <c r="EO86" s="289"/>
      <c r="EP86" s="289"/>
      <c r="EQ86" s="289"/>
      <c r="ER86" s="289"/>
      <c r="ES86" s="289"/>
      <c r="ET86" s="289"/>
      <c r="EU86" s="289"/>
      <c r="EV86" s="289"/>
      <c r="EW86" s="289"/>
      <c r="EX86" s="289"/>
      <c r="EY86" s="289"/>
      <c r="EZ86" s="289"/>
      <c r="FA86" s="289"/>
      <c r="FB86" s="289"/>
      <c r="FC86" s="289"/>
      <c r="FD86" s="289"/>
      <c r="FE86" s="289"/>
      <c r="FF86" s="289"/>
      <c r="FG86" s="289"/>
      <c r="FH86" s="289"/>
      <c r="FI86" s="289"/>
      <c r="FJ86" s="289"/>
      <c r="FK86" s="289"/>
      <c r="FL86" s="289"/>
      <c r="FM86" s="289"/>
      <c r="FN86" s="289"/>
      <c r="FO86" s="289"/>
      <c r="FP86" s="289"/>
      <c r="FQ86" s="289"/>
      <c r="FR86" s="289"/>
      <c r="FS86" s="289"/>
      <c r="FT86" s="289"/>
      <c r="FU86" s="289"/>
      <c r="FV86" s="289"/>
      <c r="FW86" s="289"/>
      <c r="FX86" s="289"/>
      <c r="FY86" s="289"/>
      <c r="FZ86" s="289"/>
      <c r="GA86" s="289"/>
      <c r="GB86" s="289"/>
      <c r="GC86" s="289"/>
      <c r="GD86" s="289"/>
      <c r="GE86" s="289"/>
      <c r="GF86" s="289"/>
      <c r="GG86" s="289"/>
      <c r="GH86" s="289"/>
      <c r="GI86" s="289"/>
    </row>
    <row r="87" spans="1:191" s="264" customFormat="1" hidden="1">
      <c r="A87" s="289"/>
      <c r="B87" s="289"/>
      <c r="C87" s="291"/>
      <c r="D87" s="291"/>
      <c r="E87" s="291"/>
      <c r="F87" s="291"/>
      <c r="G87" s="291"/>
      <c r="H87" s="291"/>
      <c r="I87" s="291"/>
      <c r="J87" s="291"/>
      <c r="K87" s="291"/>
      <c r="L87" s="292"/>
      <c r="M87" s="289"/>
      <c r="N87" s="289"/>
      <c r="O87" s="289"/>
      <c r="P87" s="289"/>
      <c r="Q87" s="291"/>
      <c r="R87" s="293"/>
      <c r="S87" s="293"/>
      <c r="T87" s="293"/>
      <c r="U87" s="289"/>
      <c r="V87" s="289"/>
      <c r="W87" s="289"/>
      <c r="X87" s="289"/>
      <c r="Y87" s="289"/>
      <c r="Z87" s="289"/>
      <c r="AA87" s="289"/>
      <c r="AB87" s="294"/>
      <c r="AC87" s="289"/>
      <c r="AD87" s="289"/>
      <c r="AE87" s="289"/>
      <c r="AF87" s="295"/>
      <c r="AG87" s="295"/>
      <c r="AH87" s="295"/>
      <c r="AI87" s="295"/>
      <c r="AJ87" s="295"/>
      <c r="AK87" s="289"/>
      <c r="AL87" s="289"/>
      <c r="AM87" s="289"/>
      <c r="AN87" s="289"/>
      <c r="AO87" s="289"/>
      <c r="AP87" s="289"/>
      <c r="AQ87" s="289"/>
      <c r="AR87" s="289"/>
      <c r="AS87" s="296"/>
      <c r="AT87" s="297"/>
      <c r="AU87" s="296"/>
      <c r="AV87" s="294"/>
      <c r="AW87" s="289"/>
      <c r="AX87" s="207"/>
      <c r="AY87" s="207"/>
      <c r="AZ87" s="289"/>
      <c r="BA87" s="289"/>
      <c r="BB87" s="289"/>
      <c r="BC87" s="289"/>
      <c r="BD87" s="298"/>
      <c r="BE87" s="298"/>
      <c r="BF87" s="298"/>
      <c r="BG87" s="298"/>
      <c r="BH87" s="292"/>
      <c r="BI87" s="289"/>
      <c r="BJ87" s="289"/>
      <c r="BK87" s="291"/>
      <c r="BL87" s="291"/>
      <c r="BM87" s="291"/>
      <c r="BN87" s="291"/>
      <c r="BO87" s="289"/>
      <c r="BP87" s="295"/>
      <c r="BQ87" s="289"/>
      <c r="BR87" s="289"/>
      <c r="BS87" s="289"/>
      <c r="BT87" s="289"/>
      <c r="BU87" s="289"/>
      <c r="BV87" s="289"/>
      <c r="BW87" s="289"/>
      <c r="BX87" s="289"/>
      <c r="BY87" s="289"/>
      <c r="BZ87" s="289"/>
      <c r="CA87" s="289"/>
      <c r="CB87" s="289"/>
      <c r="CC87" s="298"/>
      <c r="CD87" s="289"/>
      <c r="CE87" s="289"/>
      <c r="CF87" s="289"/>
      <c r="CG87" s="295"/>
      <c r="CH87" s="295"/>
      <c r="CI87" s="295"/>
      <c r="CJ87" s="289"/>
      <c r="CK87" s="295"/>
      <c r="CL87" s="295"/>
      <c r="CM87" s="295"/>
      <c r="CN87" s="295"/>
      <c r="CO87" s="295"/>
      <c r="CP87" s="295"/>
      <c r="CQ87" s="295"/>
      <c r="CR87" s="295"/>
      <c r="CS87" s="295"/>
      <c r="CT87" s="295"/>
      <c r="CU87" s="291"/>
      <c r="CV87" s="289"/>
      <c r="CW87" s="289"/>
      <c r="CX87" s="289"/>
      <c r="CY87" s="289"/>
      <c r="CZ87" s="289"/>
      <c r="DA87" s="289"/>
      <c r="DB87" s="289"/>
      <c r="DC87" s="289"/>
      <c r="DD87" s="289"/>
      <c r="DE87" s="289"/>
      <c r="DF87" s="289"/>
      <c r="DG87" s="289"/>
      <c r="DH87" s="291"/>
      <c r="DI87" s="289"/>
      <c r="DJ87" s="289"/>
      <c r="DK87" s="292"/>
      <c r="DL87" s="289"/>
      <c r="DM87" s="289"/>
      <c r="DN87" s="207"/>
      <c r="DO87" s="207"/>
      <c r="DP87" s="289"/>
      <c r="DQ87" s="289"/>
      <c r="DR87" s="289"/>
      <c r="DS87" s="289"/>
      <c r="DT87" s="289"/>
      <c r="DU87" s="292"/>
      <c r="DV87" s="292"/>
      <c r="DW87" s="292"/>
      <c r="DX87" s="292"/>
      <c r="DY87" s="292"/>
      <c r="DZ87" s="292"/>
      <c r="EA87" s="292"/>
      <c r="EB87" s="292"/>
      <c r="EC87" s="289"/>
      <c r="ED87" s="292"/>
      <c r="EE87" s="292"/>
      <c r="EF87" s="292"/>
      <c r="EG87" s="289"/>
      <c r="EH87" s="292"/>
      <c r="EI87" s="289"/>
      <c r="EJ87" s="289"/>
      <c r="EK87" s="289"/>
      <c r="EL87" s="289"/>
      <c r="EM87" s="289"/>
      <c r="EN87" s="289"/>
      <c r="EO87" s="289"/>
      <c r="EP87" s="289"/>
      <c r="EQ87" s="289"/>
      <c r="ER87" s="289"/>
      <c r="ES87" s="289"/>
      <c r="ET87" s="289"/>
      <c r="EU87" s="289"/>
      <c r="EV87" s="289"/>
      <c r="EW87" s="289"/>
      <c r="EX87" s="289"/>
      <c r="EY87" s="289"/>
      <c r="EZ87" s="289"/>
      <c r="FA87" s="289"/>
      <c r="FB87" s="289"/>
      <c r="FC87" s="289"/>
      <c r="FD87" s="289"/>
      <c r="FE87" s="289"/>
      <c r="FF87" s="289"/>
      <c r="FG87" s="289"/>
      <c r="FH87" s="289"/>
      <c r="FI87" s="289"/>
      <c r="FJ87" s="289"/>
      <c r="FK87" s="289"/>
      <c r="FL87" s="289"/>
      <c r="FM87" s="289"/>
      <c r="FN87" s="289"/>
      <c r="FO87" s="289"/>
      <c r="FP87" s="289"/>
      <c r="FQ87" s="289"/>
      <c r="FR87" s="289"/>
      <c r="FS87" s="289"/>
      <c r="FT87" s="289"/>
      <c r="FU87" s="289"/>
      <c r="FV87" s="289"/>
      <c r="FW87" s="289"/>
      <c r="FX87" s="289"/>
      <c r="FY87" s="289"/>
      <c r="FZ87" s="289"/>
      <c r="GA87" s="289"/>
      <c r="GB87" s="289"/>
      <c r="GC87" s="289"/>
      <c r="GD87" s="289"/>
      <c r="GE87" s="289"/>
      <c r="GF87" s="289"/>
      <c r="GG87" s="289"/>
      <c r="GH87" s="289"/>
      <c r="GI87" s="289"/>
    </row>
    <row r="88" spans="1:191" s="264" customFormat="1" hidden="1">
      <c r="A88" s="289"/>
      <c r="B88" s="289"/>
      <c r="C88" s="291"/>
      <c r="D88" s="291"/>
      <c r="E88" s="291"/>
      <c r="F88" s="291"/>
      <c r="G88" s="291"/>
      <c r="H88" s="291"/>
      <c r="I88" s="291"/>
      <c r="J88" s="291"/>
      <c r="K88" s="291"/>
      <c r="L88" s="292"/>
      <c r="M88" s="289"/>
      <c r="N88" s="289"/>
      <c r="O88" s="289"/>
      <c r="P88" s="289"/>
      <c r="Q88" s="291"/>
      <c r="R88" s="293"/>
      <c r="S88" s="293"/>
      <c r="T88" s="293"/>
      <c r="U88" s="289"/>
      <c r="V88" s="289"/>
      <c r="W88" s="289"/>
      <c r="X88" s="289"/>
      <c r="Y88" s="289"/>
      <c r="Z88" s="289"/>
      <c r="AA88" s="289"/>
      <c r="AB88" s="294"/>
      <c r="AC88" s="289"/>
      <c r="AD88" s="289"/>
      <c r="AE88" s="289"/>
      <c r="AF88" s="295"/>
      <c r="AG88" s="295"/>
      <c r="AH88" s="295"/>
      <c r="AI88" s="295"/>
      <c r="AJ88" s="295"/>
      <c r="AK88" s="289"/>
      <c r="AL88" s="289"/>
      <c r="AM88" s="289"/>
      <c r="AN88" s="289"/>
      <c r="AO88" s="289"/>
      <c r="AP88" s="289"/>
      <c r="AQ88" s="289"/>
      <c r="AR88" s="289"/>
      <c r="AS88" s="296"/>
      <c r="AT88" s="297"/>
      <c r="AU88" s="296"/>
      <c r="AV88" s="294"/>
      <c r="AW88" s="289"/>
      <c r="AX88" s="207"/>
      <c r="AY88" s="207"/>
      <c r="AZ88" s="289"/>
      <c r="BA88" s="289"/>
      <c r="BB88" s="289"/>
      <c r="BC88" s="289"/>
      <c r="BD88" s="298"/>
      <c r="BE88" s="298"/>
      <c r="BF88" s="298"/>
      <c r="BG88" s="298"/>
      <c r="BH88" s="292"/>
      <c r="BI88" s="289"/>
      <c r="BJ88" s="289"/>
      <c r="BK88" s="291"/>
      <c r="BL88" s="291"/>
      <c r="BM88" s="291"/>
      <c r="BN88" s="291"/>
      <c r="BO88" s="289"/>
      <c r="BP88" s="295"/>
      <c r="BQ88" s="289"/>
      <c r="BR88" s="289"/>
      <c r="BS88" s="289"/>
      <c r="BT88" s="289"/>
      <c r="BU88" s="289"/>
      <c r="BV88" s="289"/>
      <c r="BW88" s="289"/>
      <c r="BX88" s="289"/>
      <c r="BY88" s="289"/>
      <c r="BZ88" s="289"/>
      <c r="CA88" s="289"/>
      <c r="CB88" s="289"/>
      <c r="CC88" s="298"/>
      <c r="CD88" s="289"/>
      <c r="CE88" s="289"/>
      <c r="CF88" s="289"/>
      <c r="CG88" s="295"/>
      <c r="CH88" s="295"/>
      <c r="CI88" s="295"/>
      <c r="CJ88" s="289"/>
      <c r="CK88" s="295"/>
      <c r="CL88" s="295"/>
      <c r="CM88" s="295"/>
      <c r="CN88" s="295"/>
      <c r="CO88" s="295"/>
      <c r="CP88" s="295"/>
      <c r="CQ88" s="295"/>
      <c r="CR88" s="295"/>
      <c r="CS88" s="295"/>
      <c r="CT88" s="295"/>
      <c r="CU88" s="291"/>
      <c r="CV88" s="289"/>
      <c r="CW88" s="289"/>
      <c r="CX88" s="289"/>
      <c r="CY88" s="289"/>
      <c r="CZ88" s="289"/>
      <c r="DA88" s="289"/>
      <c r="DB88" s="289"/>
      <c r="DC88" s="289"/>
      <c r="DD88" s="289"/>
      <c r="DE88" s="289"/>
      <c r="DF88" s="289"/>
      <c r="DG88" s="289"/>
      <c r="DH88" s="291"/>
      <c r="DI88" s="289"/>
      <c r="DJ88" s="289"/>
      <c r="DK88" s="292"/>
      <c r="DL88" s="289"/>
      <c r="DM88" s="289"/>
      <c r="DN88" s="207"/>
      <c r="DO88" s="207"/>
      <c r="DP88" s="289"/>
      <c r="DQ88" s="289"/>
      <c r="DR88" s="289"/>
      <c r="DS88" s="289"/>
      <c r="DT88" s="289"/>
      <c r="DU88" s="292"/>
      <c r="DV88" s="292"/>
      <c r="DW88" s="292"/>
      <c r="DX88" s="292"/>
      <c r="DY88" s="292"/>
      <c r="DZ88" s="292"/>
      <c r="EA88" s="292"/>
      <c r="EB88" s="292"/>
      <c r="EC88" s="289"/>
      <c r="ED88" s="292"/>
      <c r="EE88" s="292"/>
      <c r="EF88" s="292"/>
      <c r="EG88" s="289"/>
      <c r="EH88" s="292"/>
      <c r="EI88" s="289"/>
      <c r="EJ88" s="289"/>
      <c r="EK88" s="289"/>
      <c r="EL88" s="289"/>
      <c r="EM88" s="289"/>
      <c r="EN88" s="289"/>
      <c r="EO88" s="289"/>
      <c r="EP88" s="289"/>
      <c r="EQ88" s="289"/>
      <c r="ER88" s="289"/>
      <c r="ES88" s="289"/>
      <c r="ET88" s="289"/>
      <c r="EU88" s="289"/>
      <c r="EV88" s="289"/>
      <c r="EW88" s="289"/>
      <c r="EX88" s="289"/>
      <c r="EY88" s="289"/>
      <c r="EZ88" s="289"/>
      <c r="FA88" s="289"/>
      <c r="FB88" s="289"/>
      <c r="FC88" s="289"/>
      <c r="FD88" s="289"/>
      <c r="FE88" s="289"/>
      <c r="FF88" s="289"/>
      <c r="FG88" s="289"/>
      <c r="FH88" s="289"/>
      <c r="FI88" s="289"/>
      <c r="FJ88" s="289"/>
      <c r="FK88" s="289"/>
      <c r="FL88" s="289"/>
      <c r="FM88" s="289"/>
      <c r="FN88" s="289"/>
      <c r="FO88" s="289"/>
      <c r="FP88" s="289"/>
      <c r="FQ88" s="289"/>
      <c r="FR88" s="289"/>
      <c r="FS88" s="289"/>
      <c r="FT88" s="289"/>
      <c r="FU88" s="289"/>
      <c r="FV88" s="289"/>
      <c r="FW88" s="289"/>
      <c r="FX88" s="289"/>
      <c r="FY88" s="289"/>
      <c r="FZ88" s="289"/>
      <c r="GA88" s="289"/>
      <c r="GB88" s="289"/>
      <c r="GC88" s="289"/>
      <c r="GD88" s="289"/>
      <c r="GE88" s="289"/>
      <c r="GF88" s="289"/>
      <c r="GG88" s="289"/>
      <c r="GH88" s="289"/>
      <c r="GI88" s="289"/>
    </row>
    <row r="89" spans="1:191" s="264" customFormat="1" hidden="1">
      <c r="A89" s="289"/>
      <c r="B89" s="289"/>
      <c r="C89" s="291"/>
      <c r="D89" s="291"/>
      <c r="E89" s="291"/>
      <c r="F89" s="291"/>
      <c r="G89" s="291"/>
      <c r="H89" s="291"/>
      <c r="I89" s="291"/>
      <c r="J89" s="291"/>
      <c r="K89" s="291"/>
      <c r="L89" s="292"/>
      <c r="M89" s="289"/>
      <c r="N89" s="289"/>
      <c r="O89" s="289"/>
      <c r="P89" s="289"/>
      <c r="Q89" s="291"/>
      <c r="R89" s="293"/>
      <c r="S89" s="293"/>
      <c r="T89" s="293"/>
      <c r="U89" s="289"/>
      <c r="V89" s="289"/>
      <c r="W89" s="289"/>
      <c r="X89" s="289"/>
      <c r="Y89" s="289"/>
      <c r="Z89" s="289"/>
      <c r="AA89" s="289"/>
      <c r="AB89" s="294"/>
      <c r="AC89" s="289"/>
      <c r="AD89" s="289"/>
      <c r="AE89" s="289"/>
      <c r="AF89" s="295"/>
      <c r="AG89" s="295"/>
      <c r="AH89" s="295"/>
      <c r="AI89" s="295"/>
      <c r="AJ89" s="295"/>
      <c r="AK89" s="289"/>
      <c r="AL89" s="289"/>
      <c r="AM89" s="289"/>
      <c r="AN89" s="289"/>
      <c r="AO89" s="289"/>
      <c r="AP89" s="289"/>
      <c r="AQ89" s="289"/>
      <c r="AR89" s="289"/>
      <c r="AS89" s="296"/>
      <c r="AT89" s="297"/>
      <c r="AU89" s="296"/>
      <c r="AV89" s="294"/>
      <c r="AW89" s="289"/>
      <c r="AX89" s="207"/>
      <c r="AY89" s="207"/>
      <c r="AZ89" s="289"/>
      <c r="BA89" s="289"/>
      <c r="BB89" s="289"/>
      <c r="BC89" s="289"/>
      <c r="BD89" s="298"/>
      <c r="BE89" s="298"/>
      <c r="BF89" s="298"/>
      <c r="BG89" s="298"/>
      <c r="BH89" s="292"/>
      <c r="BI89" s="289"/>
      <c r="BJ89" s="289"/>
      <c r="BK89" s="291"/>
      <c r="BL89" s="291"/>
      <c r="BM89" s="291"/>
      <c r="BN89" s="291"/>
      <c r="BO89" s="289"/>
      <c r="BP89" s="295"/>
      <c r="BQ89" s="289"/>
      <c r="BR89" s="289"/>
      <c r="BS89" s="289"/>
      <c r="BT89" s="289"/>
      <c r="BU89" s="289"/>
      <c r="BV89" s="289"/>
      <c r="BW89" s="289"/>
      <c r="BX89" s="289"/>
      <c r="BY89" s="289"/>
      <c r="BZ89" s="289"/>
      <c r="CA89" s="289"/>
      <c r="CB89" s="289"/>
      <c r="CC89" s="298"/>
      <c r="CD89" s="289"/>
      <c r="CE89" s="289"/>
      <c r="CF89" s="289"/>
      <c r="CG89" s="295"/>
      <c r="CH89" s="295"/>
      <c r="CI89" s="295"/>
      <c r="CJ89" s="289"/>
      <c r="CK89" s="295"/>
      <c r="CL89" s="295"/>
      <c r="CM89" s="295"/>
      <c r="CN89" s="295"/>
      <c r="CO89" s="295"/>
      <c r="CP89" s="295"/>
      <c r="CQ89" s="295"/>
      <c r="CR89" s="295"/>
      <c r="CS89" s="295"/>
      <c r="CT89" s="295"/>
      <c r="CU89" s="291"/>
      <c r="CV89" s="289"/>
      <c r="CW89" s="289"/>
      <c r="CX89" s="289"/>
      <c r="CY89" s="289"/>
      <c r="CZ89" s="289"/>
      <c r="DA89" s="289"/>
      <c r="DB89" s="289"/>
      <c r="DC89" s="289"/>
      <c r="DD89" s="289"/>
      <c r="DE89" s="289"/>
      <c r="DF89" s="289"/>
      <c r="DG89" s="289"/>
      <c r="DH89" s="291"/>
      <c r="DI89" s="289"/>
      <c r="DJ89" s="289"/>
      <c r="DK89" s="292"/>
      <c r="DL89" s="289"/>
      <c r="DM89" s="289"/>
      <c r="DN89" s="207"/>
      <c r="DO89" s="207"/>
      <c r="DP89" s="289"/>
      <c r="DQ89" s="289"/>
      <c r="DR89" s="289"/>
      <c r="DS89" s="289"/>
      <c r="DT89" s="289"/>
      <c r="DU89" s="292"/>
      <c r="DV89" s="292"/>
      <c r="DW89" s="292"/>
      <c r="DX89" s="292"/>
      <c r="DY89" s="292"/>
      <c r="DZ89" s="292"/>
      <c r="EA89" s="292"/>
      <c r="EB89" s="292"/>
      <c r="EC89" s="289"/>
      <c r="ED89" s="292"/>
      <c r="EE89" s="292"/>
      <c r="EF89" s="292"/>
      <c r="EG89" s="289"/>
      <c r="EH89" s="292"/>
      <c r="EI89" s="289"/>
      <c r="EJ89" s="289"/>
      <c r="EK89" s="289"/>
      <c r="EL89" s="289"/>
      <c r="EM89" s="289"/>
      <c r="EN89" s="289"/>
      <c r="EO89" s="289"/>
      <c r="EP89" s="289"/>
      <c r="EQ89" s="289"/>
      <c r="ER89" s="289"/>
      <c r="ES89" s="289"/>
      <c r="ET89" s="289"/>
      <c r="EU89" s="289"/>
      <c r="EV89" s="289"/>
      <c r="EW89" s="289"/>
      <c r="EX89" s="289"/>
      <c r="EY89" s="289"/>
      <c r="EZ89" s="289"/>
      <c r="FA89" s="289"/>
      <c r="FB89" s="289"/>
      <c r="FC89" s="289"/>
      <c r="FD89" s="289"/>
      <c r="FE89" s="289"/>
      <c r="FF89" s="289"/>
      <c r="FG89" s="289"/>
      <c r="FH89" s="289"/>
      <c r="FI89" s="289"/>
      <c r="FJ89" s="289"/>
      <c r="FK89" s="289"/>
      <c r="FL89" s="289"/>
      <c r="FM89" s="289"/>
      <c r="FN89" s="289"/>
      <c r="FO89" s="289"/>
      <c r="FP89" s="289"/>
      <c r="FQ89" s="289"/>
      <c r="FR89" s="289"/>
      <c r="FS89" s="289"/>
      <c r="FT89" s="289"/>
      <c r="FU89" s="289"/>
      <c r="FV89" s="289"/>
      <c r="FW89" s="289"/>
      <c r="FX89" s="289"/>
      <c r="FY89" s="289"/>
      <c r="FZ89" s="289"/>
      <c r="GA89" s="289"/>
      <c r="GB89" s="289"/>
      <c r="GC89" s="289"/>
      <c r="GD89" s="289"/>
      <c r="GE89" s="289"/>
      <c r="GF89" s="289"/>
      <c r="GG89" s="289"/>
      <c r="GH89" s="289"/>
      <c r="GI89" s="289"/>
    </row>
    <row r="90" spans="1:191" s="264" customFormat="1" hidden="1">
      <c r="A90" s="289"/>
      <c r="B90" s="289"/>
      <c r="C90" s="291"/>
      <c r="D90" s="291"/>
      <c r="E90" s="291"/>
      <c r="F90" s="291"/>
      <c r="G90" s="291"/>
      <c r="H90" s="291"/>
      <c r="I90" s="291"/>
      <c r="J90" s="291"/>
      <c r="K90" s="291"/>
      <c r="L90" s="292"/>
      <c r="M90" s="289"/>
      <c r="N90" s="289"/>
      <c r="O90" s="289"/>
      <c r="P90" s="289"/>
      <c r="Q90" s="291"/>
      <c r="R90" s="293"/>
      <c r="S90" s="293"/>
      <c r="T90" s="293"/>
      <c r="U90" s="289"/>
      <c r="V90" s="289"/>
      <c r="W90" s="289"/>
      <c r="X90" s="289"/>
      <c r="Y90" s="289"/>
      <c r="Z90" s="289"/>
      <c r="AA90" s="289"/>
      <c r="AB90" s="294"/>
      <c r="AC90" s="289"/>
      <c r="AD90" s="289"/>
      <c r="AE90" s="289"/>
      <c r="AF90" s="295"/>
      <c r="AG90" s="295"/>
      <c r="AH90" s="295"/>
      <c r="AI90" s="295"/>
      <c r="AJ90" s="295"/>
      <c r="AK90" s="289"/>
      <c r="AL90" s="289"/>
      <c r="AM90" s="289"/>
      <c r="AN90" s="289"/>
      <c r="AO90" s="289"/>
      <c r="AP90" s="289"/>
      <c r="AQ90" s="289"/>
      <c r="AR90" s="289"/>
      <c r="AS90" s="296"/>
      <c r="AT90" s="297"/>
      <c r="AU90" s="296"/>
      <c r="AV90" s="294"/>
      <c r="AW90" s="289"/>
      <c r="AX90" s="207"/>
      <c r="AY90" s="207"/>
      <c r="AZ90" s="289"/>
      <c r="BA90" s="289"/>
      <c r="BB90" s="289"/>
      <c r="BC90" s="289"/>
      <c r="BD90" s="298"/>
      <c r="BE90" s="298"/>
      <c r="BF90" s="298"/>
      <c r="BG90" s="298"/>
      <c r="BH90" s="292"/>
      <c r="BI90" s="289"/>
      <c r="BJ90" s="289"/>
      <c r="BK90" s="291"/>
      <c r="BL90" s="291"/>
      <c r="BM90" s="291"/>
      <c r="BN90" s="291"/>
      <c r="BO90" s="289"/>
      <c r="BP90" s="295"/>
      <c r="BQ90" s="289"/>
      <c r="BR90" s="289"/>
      <c r="BS90" s="289"/>
      <c r="BT90" s="289"/>
      <c r="BU90" s="289"/>
      <c r="BV90" s="289"/>
      <c r="BW90" s="289"/>
      <c r="BX90" s="289"/>
      <c r="BY90" s="289"/>
      <c r="BZ90" s="289"/>
      <c r="CA90" s="289"/>
      <c r="CB90" s="289"/>
      <c r="CC90" s="298"/>
      <c r="CD90" s="289"/>
      <c r="CE90" s="289"/>
      <c r="CF90" s="289"/>
      <c r="CG90" s="295"/>
      <c r="CH90" s="295"/>
      <c r="CI90" s="295"/>
      <c r="CJ90" s="289"/>
      <c r="CK90" s="295"/>
      <c r="CL90" s="295"/>
      <c r="CM90" s="295"/>
      <c r="CN90" s="295"/>
      <c r="CO90" s="295"/>
      <c r="CP90" s="295"/>
      <c r="CQ90" s="295"/>
      <c r="CR90" s="295"/>
      <c r="CS90" s="295"/>
      <c r="CT90" s="295"/>
      <c r="CU90" s="291"/>
      <c r="CV90" s="289"/>
      <c r="CW90" s="289"/>
      <c r="CX90" s="289"/>
      <c r="CY90" s="289"/>
      <c r="CZ90" s="289"/>
      <c r="DA90" s="289"/>
      <c r="DB90" s="289"/>
      <c r="DC90" s="289"/>
      <c r="DD90" s="289"/>
      <c r="DE90" s="289"/>
      <c r="DF90" s="289"/>
      <c r="DG90" s="289"/>
      <c r="DH90" s="291"/>
      <c r="DI90" s="289"/>
      <c r="DJ90" s="289"/>
      <c r="DK90" s="292"/>
      <c r="DL90" s="289"/>
      <c r="DM90" s="289"/>
      <c r="DN90" s="207"/>
      <c r="DO90" s="207"/>
      <c r="DP90" s="289"/>
      <c r="DQ90" s="289"/>
      <c r="DR90" s="289"/>
      <c r="DS90" s="289"/>
      <c r="DT90" s="289"/>
      <c r="DU90" s="292"/>
      <c r="DV90" s="292"/>
      <c r="DW90" s="292"/>
      <c r="DX90" s="292"/>
      <c r="DY90" s="292"/>
      <c r="DZ90" s="292"/>
      <c r="EA90" s="292"/>
      <c r="EB90" s="292"/>
      <c r="EC90" s="289"/>
      <c r="ED90" s="292"/>
      <c r="EE90" s="292"/>
      <c r="EF90" s="292"/>
      <c r="EG90" s="289"/>
      <c r="EH90" s="292"/>
      <c r="EI90" s="289"/>
      <c r="EJ90" s="289"/>
      <c r="EK90" s="289"/>
      <c r="EL90" s="289"/>
      <c r="EM90" s="289"/>
      <c r="EN90" s="289"/>
      <c r="EO90" s="289"/>
      <c r="EP90" s="289"/>
      <c r="EQ90" s="289"/>
      <c r="ER90" s="289"/>
      <c r="ES90" s="289"/>
      <c r="ET90" s="289"/>
      <c r="EU90" s="289"/>
      <c r="EV90" s="289"/>
      <c r="EW90" s="289"/>
      <c r="EX90" s="289"/>
      <c r="EY90" s="289"/>
      <c r="EZ90" s="289"/>
      <c r="FA90" s="289"/>
      <c r="FB90" s="289"/>
      <c r="FC90" s="289"/>
      <c r="FD90" s="289"/>
      <c r="FE90" s="289"/>
      <c r="FF90" s="289"/>
      <c r="FG90" s="289"/>
      <c r="FH90" s="289"/>
      <c r="FI90" s="289"/>
      <c r="FJ90" s="289"/>
      <c r="FK90" s="289"/>
      <c r="FL90" s="289"/>
      <c r="FM90" s="289"/>
      <c r="FN90" s="289"/>
      <c r="FO90" s="289"/>
      <c r="FP90" s="289"/>
      <c r="FQ90" s="289"/>
      <c r="FR90" s="289"/>
      <c r="FS90" s="289"/>
      <c r="FT90" s="289"/>
      <c r="FU90" s="289"/>
      <c r="FV90" s="289"/>
      <c r="FW90" s="289"/>
      <c r="FX90" s="289"/>
      <c r="FY90" s="289"/>
      <c r="FZ90" s="289"/>
      <c r="GA90" s="289"/>
      <c r="GB90" s="289"/>
      <c r="GC90" s="289"/>
      <c r="GD90" s="289"/>
      <c r="GE90" s="289"/>
      <c r="GF90" s="289"/>
      <c r="GG90" s="289"/>
      <c r="GH90" s="289"/>
      <c r="GI90" s="289"/>
    </row>
    <row r="91" spans="1:191" s="264" customFormat="1" hidden="1">
      <c r="A91" s="289"/>
      <c r="B91" s="289"/>
      <c r="C91" s="291"/>
      <c r="D91" s="291"/>
      <c r="E91" s="291"/>
      <c r="F91" s="291"/>
      <c r="G91" s="291"/>
      <c r="H91" s="291"/>
      <c r="I91" s="291"/>
      <c r="J91" s="291"/>
      <c r="K91" s="291"/>
      <c r="L91" s="292"/>
      <c r="M91" s="289"/>
      <c r="N91" s="289"/>
      <c r="O91" s="289"/>
      <c r="P91" s="289"/>
      <c r="Q91" s="291"/>
      <c r="R91" s="293"/>
      <c r="S91" s="293"/>
      <c r="T91" s="293"/>
      <c r="U91" s="289"/>
      <c r="V91" s="289"/>
      <c r="W91" s="289"/>
      <c r="X91" s="289"/>
      <c r="Y91" s="289"/>
      <c r="Z91" s="289"/>
      <c r="AA91" s="289"/>
      <c r="AB91" s="294"/>
      <c r="AC91" s="289"/>
      <c r="AD91" s="289"/>
      <c r="AE91" s="289"/>
      <c r="AF91" s="295"/>
      <c r="AG91" s="295"/>
      <c r="AH91" s="295"/>
      <c r="AI91" s="295"/>
      <c r="AJ91" s="295"/>
      <c r="AK91" s="289"/>
      <c r="AL91" s="289"/>
      <c r="AM91" s="289"/>
      <c r="AN91" s="289"/>
      <c r="AO91" s="289"/>
      <c r="AP91" s="289"/>
      <c r="AQ91" s="289"/>
      <c r="AR91" s="289"/>
      <c r="AS91" s="296"/>
      <c r="AT91" s="297"/>
      <c r="AU91" s="296"/>
      <c r="AV91" s="294"/>
      <c r="AW91" s="289"/>
      <c r="AX91" s="207"/>
      <c r="AY91" s="207"/>
      <c r="AZ91" s="289"/>
      <c r="BA91" s="289"/>
      <c r="BB91" s="289"/>
      <c r="BC91" s="289"/>
      <c r="BD91" s="298"/>
      <c r="BE91" s="298"/>
      <c r="BF91" s="298"/>
      <c r="BG91" s="298"/>
      <c r="BH91" s="292"/>
      <c r="BI91" s="289"/>
      <c r="BJ91" s="289"/>
      <c r="BK91" s="291"/>
      <c r="BL91" s="291"/>
      <c r="BM91" s="291"/>
      <c r="BN91" s="291"/>
      <c r="BO91" s="289"/>
      <c r="BP91" s="295"/>
      <c r="BQ91" s="289"/>
      <c r="BR91" s="289"/>
      <c r="BS91" s="289"/>
      <c r="BT91" s="289"/>
      <c r="BU91" s="289"/>
      <c r="BV91" s="289"/>
      <c r="BW91" s="289"/>
      <c r="BX91" s="289"/>
      <c r="BY91" s="289"/>
      <c r="BZ91" s="289"/>
      <c r="CA91" s="289"/>
      <c r="CB91" s="289"/>
      <c r="CC91" s="298"/>
      <c r="CD91" s="289"/>
      <c r="CE91" s="289"/>
      <c r="CF91" s="289"/>
      <c r="CG91" s="295"/>
      <c r="CH91" s="295"/>
      <c r="CI91" s="295"/>
      <c r="CJ91" s="289"/>
      <c r="CK91" s="295"/>
      <c r="CL91" s="295"/>
      <c r="CM91" s="295"/>
      <c r="CN91" s="295"/>
      <c r="CO91" s="295"/>
      <c r="CP91" s="295"/>
      <c r="CQ91" s="295"/>
      <c r="CR91" s="295"/>
      <c r="CS91" s="295"/>
      <c r="CT91" s="295"/>
      <c r="CU91" s="291"/>
      <c r="CV91" s="289"/>
      <c r="CW91" s="289"/>
      <c r="CX91" s="289"/>
      <c r="CY91" s="289"/>
      <c r="CZ91" s="289"/>
      <c r="DA91" s="289"/>
      <c r="DB91" s="289"/>
      <c r="DC91" s="289"/>
      <c r="DD91" s="289"/>
      <c r="DE91" s="289"/>
      <c r="DF91" s="289"/>
      <c r="DG91" s="289"/>
      <c r="DH91" s="291"/>
      <c r="DI91" s="289"/>
      <c r="DJ91" s="289"/>
      <c r="DK91" s="292"/>
      <c r="DL91" s="289"/>
      <c r="DM91" s="289"/>
      <c r="DN91" s="207"/>
      <c r="DO91" s="207"/>
      <c r="DP91" s="289"/>
      <c r="DQ91" s="289"/>
      <c r="DR91" s="289"/>
      <c r="DS91" s="289"/>
      <c r="DT91" s="289"/>
      <c r="DU91" s="292"/>
      <c r="DV91" s="292"/>
      <c r="DW91" s="292"/>
      <c r="DX91" s="292"/>
      <c r="DY91" s="292"/>
      <c r="DZ91" s="292"/>
      <c r="EA91" s="292"/>
      <c r="EB91" s="292"/>
      <c r="EC91" s="289"/>
      <c r="ED91" s="292"/>
      <c r="EE91" s="292"/>
      <c r="EF91" s="292"/>
      <c r="EG91" s="289"/>
      <c r="EH91" s="292"/>
      <c r="EI91" s="289"/>
      <c r="EJ91" s="289"/>
      <c r="EK91" s="289"/>
      <c r="EL91" s="289"/>
      <c r="EM91" s="289"/>
      <c r="EN91" s="289"/>
      <c r="EO91" s="289"/>
      <c r="EP91" s="289"/>
      <c r="EQ91" s="289"/>
      <c r="ER91" s="289"/>
      <c r="ES91" s="289"/>
      <c r="ET91" s="289"/>
      <c r="EU91" s="289"/>
      <c r="EV91" s="289"/>
      <c r="EW91" s="289"/>
      <c r="EX91" s="289"/>
      <c r="EY91" s="289"/>
      <c r="EZ91" s="289"/>
      <c r="FA91" s="289"/>
      <c r="FB91" s="289"/>
      <c r="FC91" s="289"/>
      <c r="FD91" s="289"/>
      <c r="FE91" s="289"/>
      <c r="FF91" s="289"/>
      <c r="FG91" s="289"/>
      <c r="FH91" s="289"/>
      <c r="FI91" s="289"/>
      <c r="FJ91" s="289"/>
      <c r="FK91" s="289"/>
      <c r="FL91" s="289"/>
      <c r="FM91" s="289"/>
      <c r="FN91" s="289"/>
      <c r="FO91" s="289"/>
      <c r="FP91" s="289"/>
      <c r="FQ91" s="289"/>
      <c r="FR91" s="289"/>
      <c r="FS91" s="289"/>
      <c r="FT91" s="289"/>
      <c r="FU91" s="289"/>
      <c r="FV91" s="289"/>
      <c r="FW91" s="289"/>
      <c r="FX91" s="289"/>
      <c r="FY91" s="289"/>
      <c r="FZ91" s="289"/>
      <c r="GA91" s="289"/>
      <c r="GB91" s="289"/>
      <c r="GC91" s="289"/>
      <c r="GD91" s="289"/>
      <c r="GE91" s="289"/>
      <c r="GF91" s="289"/>
      <c r="GG91" s="289"/>
      <c r="GH91" s="289"/>
      <c r="GI91" s="289"/>
    </row>
    <row r="92" spans="1:191" s="264" customFormat="1" hidden="1">
      <c r="A92" s="289"/>
      <c r="B92" s="289"/>
      <c r="C92" s="291"/>
      <c r="D92" s="291"/>
      <c r="E92" s="291"/>
      <c r="F92" s="291"/>
      <c r="G92" s="291"/>
      <c r="H92" s="291"/>
      <c r="I92" s="291"/>
      <c r="J92" s="291"/>
      <c r="K92" s="291"/>
      <c r="L92" s="292"/>
      <c r="M92" s="289"/>
      <c r="N92" s="289"/>
      <c r="O92" s="289"/>
      <c r="P92" s="289"/>
      <c r="Q92" s="291"/>
      <c r="R92" s="293"/>
      <c r="S92" s="293"/>
      <c r="T92" s="293"/>
      <c r="U92" s="289"/>
      <c r="V92" s="289"/>
      <c r="W92" s="289"/>
      <c r="X92" s="289"/>
      <c r="Y92" s="289"/>
      <c r="Z92" s="289"/>
      <c r="AA92" s="289"/>
      <c r="AB92" s="294"/>
      <c r="AC92" s="289"/>
      <c r="AD92" s="289"/>
      <c r="AE92" s="289"/>
      <c r="AF92" s="295"/>
      <c r="AG92" s="295"/>
      <c r="AH92" s="295"/>
      <c r="AI92" s="295"/>
      <c r="AJ92" s="295"/>
      <c r="AK92" s="289"/>
      <c r="AL92" s="289"/>
      <c r="AM92" s="289"/>
      <c r="AN92" s="289"/>
      <c r="AO92" s="289"/>
      <c r="AP92" s="289"/>
      <c r="AQ92" s="289"/>
      <c r="AR92" s="289"/>
      <c r="AS92" s="296"/>
      <c r="AT92" s="297"/>
      <c r="AU92" s="296"/>
      <c r="AV92" s="294"/>
      <c r="AW92" s="289"/>
      <c r="AX92" s="207"/>
      <c r="AY92" s="207"/>
      <c r="AZ92" s="289"/>
      <c r="BA92" s="289"/>
      <c r="BB92" s="289"/>
      <c r="BC92" s="289"/>
      <c r="BD92" s="298"/>
      <c r="BE92" s="298"/>
      <c r="BF92" s="298"/>
      <c r="BG92" s="298"/>
      <c r="BH92" s="292"/>
      <c r="BI92" s="289"/>
      <c r="BJ92" s="289"/>
      <c r="BK92" s="291"/>
      <c r="BL92" s="291"/>
      <c r="BM92" s="291"/>
      <c r="BN92" s="291"/>
      <c r="BO92" s="289"/>
      <c r="BP92" s="295"/>
      <c r="BQ92" s="289"/>
      <c r="BR92" s="289"/>
      <c r="BS92" s="289"/>
      <c r="BT92" s="289"/>
      <c r="BU92" s="289"/>
      <c r="BV92" s="289"/>
      <c r="BW92" s="289"/>
      <c r="BX92" s="289"/>
      <c r="BY92" s="289"/>
      <c r="BZ92" s="289"/>
      <c r="CA92" s="289"/>
      <c r="CB92" s="289"/>
      <c r="CC92" s="298"/>
      <c r="CD92" s="289"/>
      <c r="CE92" s="289"/>
      <c r="CF92" s="289"/>
      <c r="CG92" s="295"/>
      <c r="CH92" s="295"/>
      <c r="CI92" s="295"/>
      <c r="CJ92" s="289"/>
      <c r="CK92" s="295"/>
      <c r="CL92" s="295"/>
      <c r="CM92" s="295"/>
      <c r="CN92" s="295"/>
      <c r="CO92" s="295"/>
      <c r="CP92" s="295"/>
      <c r="CQ92" s="295"/>
      <c r="CR92" s="295"/>
      <c r="CS92" s="295"/>
      <c r="CT92" s="295"/>
      <c r="CU92" s="291"/>
      <c r="CV92" s="289"/>
      <c r="CW92" s="289"/>
      <c r="CX92" s="289"/>
      <c r="CY92" s="289"/>
      <c r="CZ92" s="289"/>
      <c r="DA92" s="289"/>
      <c r="DB92" s="289"/>
      <c r="DC92" s="289"/>
      <c r="DD92" s="289"/>
      <c r="DE92" s="289"/>
      <c r="DF92" s="289"/>
      <c r="DG92" s="289"/>
      <c r="DH92" s="291"/>
      <c r="DI92" s="289"/>
      <c r="DJ92" s="289"/>
      <c r="DK92" s="292"/>
      <c r="DL92" s="289"/>
      <c r="DM92" s="289"/>
      <c r="DN92" s="207"/>
      <c r="DO92" s="207"/>
      <c r="DP92" s="289"/>
      <c r="DQ92" s="289"/>
      <c r="DR92" s="289"/>
      <c r="DS92" s="289"/>
      <c r="DT92" s="289"/>
      <c r="DU92" s="292"/>
      <c r="DV92" s="292"/>
      <c r="DW92" s="292"/>
      <c r="DX92" s="292"/>
      <c r="DY92" s="292"/>
      <c r="DZ92" s="292"/>
      <c r="EA92" s="292"/>
      <c r="EB92" s="292"/>
      <c r="EC92" s="289"/>
      <c r="ED92" s="292"/>
      <c r="EE92" s="292"/>
      <c r="EF92" s="292"/>
      <c r="EG92" s="289"/>
      <c r="EH92" s="292"/>
      <c r="EI92" s="289"/>
      <c r="EJ92" s="289"/>
      <c r="EK92" s="289"/>
      <c r="EL92" s="289"/>
      <c r="EM92" s="289"/>
      <c r="EN92" s="289"/>
      <c r="EO92" s="289"/>
      <c r="EP92" s="289"/>
      <c r="EQ92" s="289"/>
      <c r="ER92" s="289"/>
      <c r="ES92" s="289"/>
      <c r="ET92" s="289"/>
      <c r="EU92" s="289"/>
      <c r="EV92" s="289"/>
      <c r="EW92" s="289"/>
      <c r="EX92" s="289"/>
      <c r="EY92" s="289"/>
      <c r="EZ92" s="289"/>
      <c r="FA92" s="289"/>
      <c r="FB92" s="289"/>
      <c r="FC92" s="289"/>
      <c r="FD92" s="289"/>
      <c r="FE92" s="289"/>
      <c r="FF92" s="289"/>
      <c r="FG92" s="289"/>
      <c r="FH92" s="289"/>
      <c r="FI92" s="289"/>
      <c r="FJ92" s="289"/>
      <c r="FK92" s="289"/>
      <c r="FL92" s="289"/>
      <c r="FM92" s="289"/>
      <c r="FN92" s="289"/>
      <c r="FO92" s="289"/>
      <c r="FP92" s="289"/>
      <c r="FQ92" s="289"/>
      <c r="FR92" s="289"/>
      <c r="FS92" s="289"/>
      <c r="FT92" s="289"/>
      <c r="FU92" s="289"/>
      <c r="FV92" s="289"/>
      <c r="FW92" s="289"/>
      <c r="FX92" s="289"/>
      <c r="FY92" s="289"/>
      <c r="FZ92" s="289"/>
      <c r="GA92" s="289"/>
      <c r="GB92" s="289"/>
      <c r="GC92" s="289"/>
      <c r="GD92" s="289"/>
      <c r="GE92" s="289"/>
      <c r="GF92" s="289"/>
      <c r="GG92" s="289"/>
      <c r="GH92" s="289"/>
      <c r="GI92" s="289"/>
    </row>
    <row r="93" spans="1:191" s="264" customFormat="1" hidden="1">
      <c r="A93" s="289"/>
      <c r="B93" s="289"/>
      <c r="C93" s="291"/>
      <c r="D93" s="291"/>
      <c r="E93" s="291"/>
      <c r="F93" s="291"/>
      <c r="G93" s="291"/>
      <c r="H93" s="291"/>
      <c r="I93" s="291"/>
      <c r="J93" s="291"/>
      <c r="K93" s="291"/>
      <c r="L93" s="292"/>
      <c r="M93" s="289"/>
      <c r="N93" s="289"/>
      <c r="O93" s="289"/>
      <c r="P93" s="289"/>
      <c r="Q93" s="291"/>
      <c r="R93" s="293"/>
      <c r="S93" s="293"/>
      <c r="T93" s="293"/>
      <c r="U93" s="289"/>
      <c r="V93" s="289"/>
      <c r="W93" s="289"/>
      <c r="X93" s="289"/>
      <c r="Y93" s="289"/>
      <c r="Z93" s="289"/>
      <c r="AA93" s="289"/>
      <c r="AB93" s="294"/>
      <c r="AC93" s="289"/>
      <c r="AD93" s="289"/>
      <c r="AE93" s="289"/>
      <c r="AF93" s="295"/>
      <c r="AG93" s="295"/>
      <c r="AH93" s="295"/>
      <c r="AI93" s="295"/>
      <c r="AJ93" s="295"/>
      <c r="AK93" s="289"/>
      <c r="AL93" s="289"/>
      <c r="AM93" s="289"/>
      <c r="AN93" s="289"/>
      <c r="AO93" s="289"/>
      <c r="AP93" s="289"/>
      <c r="AQ93" s="289"/>
      <c r="AR93" s="289"/>
      <c r="AS93" s="296"/>
      <c r="AT93" s="297"/>
      <c r="AU93" s="296"/>
      <c r="AV93" s="294"/>
      <c r="AW93" s="289"/>
      <c r="AX93" s="207"/>
      <c r="AY93" s="207"/>
      <c r="AZ93" s="289"/>
      <c r="BA93" s="289"/>
      <c r="BB93" s="289"/>
      <c r="BC93" s="289"/>
      <c r="BD93" s="298"/>
      <c r="BE93" s="298"/>
      <c r="BF93" s="298"/>
      <c r="BG93" s="298"/>
      <c r="BH93" s="292"/>
      <c r="BI93" s="289"/>
      <c r="BJ93" s="289"/>
      <c r="BK93" s="291"/>
      <c r="BL93" s="291"/>
      <c r="BM93" s="291"/>
      <c r="BN93" s="291"/>
      <c r="BO93" s="289"/>
      <c r="BP93" s="295"/>
      <c r="BQ93" s="289"/>
      <c r="BR93" s="289"/>
      <c r="BS93" s="289"/>
      <c r="BT93" s="289"/>
      <c r="BU93" s="289"/>
      <c r="BV93" s="289"/>
      <c r="BW93" s="289"/>
      <c r="BX93" s="289"/>
      <c r="BY93" s="289"/>
      <c r="BZ93" s="289"/>
      <c r="CA93" s="289"/>
      <c r="CB93" s="289"/>
      <c r="CC93" s="298"/>
      <c r="CD93" s="289"/>
      <c r="CE93" s="289"/>
      <c r="CF93" s="289"/>
      <c r="CG93" s="295"/>
      <c r="CH93" s="295"/>
      <c r="CI93" s="295"/>
      <c r="CJ93" s="289"/>
      <c r="CK93" s="295"/>
      <c r="CL93" s="295"/>
      <c r="CM93" s="295"/>
      <c r="CN93" s="295"/>
      <c r="CO93" s="295"/>
      <c r="CP93" s="295"/>
      <c r="CQ93" s="295"/>
      <c r="CR93" s="295"/>
      <c r="CS93" s="295"/>
      <c r="CT93" s="295"/>
      <c r="CU93" s="291"/>
      <c r="CV93" s="289"/>
      <c r="CW93" s="289"/>
      <c r="CX93" s="289"/>
      <c r="CY93" s="289"/>
      <c r="CZ93" s="289"/>
      <c r="DA93" s="289"/>
      <c r="DB93" s="289"/>
      <c r="DC93" s="289"/>
      <c r="DD93" s="289"/>
      <c r="DE93" s="289"/>
      <c r="DF93" s="289"/>
      <c r="DG93" s="289"/>
      <c r="DH93" s="291"/>
      <c r="DI93" s="289"/>
      <c r="DJ93" s="289"/>
      <c r="DK93" s="292"/>
      <c r="DL93" s="289"/>
      <c r="DM93" s="289"/>
      <c r="DN93" s="207"/>
      <c r="DO93" s="207"/>
      <c r="DP93" s="289"/>
      <c r="DQ93" s="289"/>
      <c r="DR93" s="289"/>
      <c r="DS93" s="289"/>
      <c r="DT93" s="289"/>
      <c r="DU93" s="292"/>
      <c r="DV93" s="292"/>
      <c r="DW93" s="292"/>
      <c r="DX93" s="292"/>
      <c r="DY93" s="292"/>
      <c r="DZ93" s="292"/>
      <c r="EA93" s="292"/>
      <c r="EB93" s="292"/>
      <c r="EC93" s="289"/>
      <c r="ED93" s="292"/>
      <c r="EE93" s="292"/>
      <c r="EF93" s="292"/>
      <c r="EG93" s="289"/>
      <c r="EH93" s="292"/>
      <c r="EI93" s="289"/>
      <c r="EJ93" s="289"/>
      <c r="EK93" s="289"/>
      <c r="EL93" s="289"/>
      <c r="EM93" s="289"/>
      <c r="EN93" s="289"/>
      <c r="EO93" s="289"/>
      <c r="EP93" s="289"/>
      <c r="EQ93" s="289"/>
      <c r="ER93" s="289"/>
      <c r="ES93" s="289"/>
      <c r="ET93" s="289"/>
      <c r="EU93" s="289"/>
      <c r="EV93" s="289"/>
      <c r="EW93" s="289"/>
      <c r="EX93" s="289"/>
      <c r="EY93" s="289"/>
      <c r="EZ93" s="289"/>
      <c r="FA93" s="289"/>
      <c r="FB93" s="289"/>
      <c r="FC93" s="289"/>
      <c r="FD93" s="289"/>
      <c r="FE93" s="289"/>
      <c r="FF93" s="289"/>
      <c r="FG93" s="289"/>
      <c r="FH93" s="289"/>
      <c r="FI93" s="289"/>
      <c r="FJ93" s="289"/>
      <c r="FK93" s="289"/>
      <c r="FL93" s="289"/>
      <c r="FM93" s="289"/>
      <c r="FN93" s="289"/>
      <c r="FO93" s="289"/>
      <c r="FP93" s="289"/>
      <c r="FQ93" s="289"/>
      <c r="FR93" s="289"/>
      <c r="FS93" s="289"/>
      <c r="FT93" s="289"/>
      <c r="FU93" s="289"/>
      <c r="FV93" s="289"/>
      <c r="FW93" s="289"/>
      <c r="FX93" s="289"/>
      <c r="FY93" s="289"/>
      <c r="FZ93" s="289"/>
      <c r="GA93" s="289"/>
      <c r="GB93" s="289"/>
      <c r="GC93" s="289"/>
      <c r="GD93" s="289"/>
      <c r="GE93" s="289"/>
      <c r="GF93" s="289"/>
      <c r="GG93" s="289"/>
      <c r="GH93" s="289"/>
      <c r="GI93" s="289"/>
    </row>
    <row r="94" spans="1:191" s="264" customFormat="1" hidden="1">
      <c r="A94" s="289"/>
      <c r="B94" s="289"/>
      <c r="C94" s="291"/>
      <c r="D94" s="291"/>
      <c r="E94" s="291"/>
      <c r="F94" s="291"/>
      <c r="G94" s="291"/>
      <c r="H94" s="291"/>
      <c r="I94" s="291"/>
      <c r="J94" s="291"/>
      <c r="K94" s="291"/>
      <c r="L94" s="292"/>
      <c r="M94" s="289"/>
      <c r="N94" s="289"/>
      <c r="O94" s="289"/>
      <c r="P94" s="289"/>
      <c r="Q94" s="291"/>
      <c r="R94" s="293"/>
      <c r="S94" s="293"/>
      <c r="T94" s="293"/>
      <c r="U94" s="289"/>
      <c r="V94" s="289"/>
      <c r="W94" s="289"/>
      <c r="X94" s="289"/>
      <c r="Y94" s="289"/>
      <c r="Z94" s="289"/>
      <c r="AA94" s="289"/>
      <c r="AB94" s="294"/>
      <c r="AC94" s="289"/>
      <c r="AD94" s="289"/>
      <c r="AE94" s="289"/>
      <c r="AF94" s="295"/>
      <c r="AG94" s="295"/>
      <c r="AH94" s="295"/>
      <c r="AI94" s="295"/>
      <c r="AJ94" s="295"/>
      <c r="AK94" s="289"/>
      <c r="AL94" s="289"/>
      <c r="AM94" s="289"/>
      <c r="AN94" s="289"/>
      <c r="AO94" s="289"/>
      <c r="AP94" s="289"/>
      <c r="AQ94" s="289"/>
      <c r="AR94" s="289"/>
      <c r="AS94" s="296"/>
      <c r="AT94" s="297"/>
      <c r="AU94" s="296"/>
      <c r="AV94" s="294"/>
      <c r="AW94" s="289"/>
      <c r="AX94" s="207"/>
      <c r="AY94" s="207"/>
      <c r="AZ94" s="289"/>
      <c r="BA94" s="289"/>
      <c r="BB94" s="289"/>
      <c r="BC94" s="289"/>
      <c r="BD94" s="298"/>
      <c r="BE94" s="298"/>
      <c r="BF94" s="298"/>
      <c r="BG94" s="298"/>
      <c r="BH94" s="292"/>
      <c r="BI94" s="289"/>
      <c r="BJ94" s="289"/>
      <c r="BK94" s="291"/>
      <c r="BL94" s="291"/>
      <c r="BM94" s="291"/>
      <c r="BN94" s="291"/>
      <c r="BO94" s="289"/>
      <c r="BP94" s="295"/>
      <c r="BQ94" s="289"/>
      <c r="BR94" s="289"/>
      <c r="BS94" s="289"/>
      <c r="BT94" s="289"/>
      <c r="BU94" s="289"/>
      <c r="BV94" s="289"/>
      <c r="BW94" s="289"/>
      <c r="BX94" s="289"/>
      <c r="BY94" s="289"/>
      <c r="BZ94" s="289"/>
      <c r="CA94" s="289"/>
      <c r="CB94" s="289"/>
      <c r="CC94" s="298"/>
      <c r="CD94" s="289"/>
      <c r="CE94" s="289"/>
      <c r="CF94" s="289"/>
      <c r="CG94" s="295"/>
      <c r="CH94" s="295"/>
      <c r="CI94" s="295"/>
      <c r="CJ94" s="289"/>
      <c r="CK94" s="295"/>
      <c r="CL94" s="295"/>
      <c r="CM94" s="295"/>
      <c r="CN94" s="295"/>
      <c r="CO94" s="295"/>
      <c r="CP94" s="295"/>
      <c r="CQ94" s="295"/>
      <c r="CR94" s="295"/>
      <c r="CS94" s="295"/>
      <c r="CT94" s="295"/>
      <c r="CU94" s="291"/>
      <c r="CV94" s="289"/>
      <c r="CW94" s="289"/>
      <c r="CX94" s="289"/>
      <c r="CY94" s="289"/>
      <c r="CZ94" s="289"/>
      <c r="DA94" s="289"/>
      <c r="DB94" s="289"/>
      <c r="DC94" s="289"/>
      <c r="DD94" s="289"/>
      <c r="DE94" s="289"/>
      <c r="DF94" s="289"/>
      <c r="DG94" s="289"/>
      <c r="DH94" s="291"/>
      <c r="DI94" s="289"/>
      <c r="DJ94" s="289"/>
      <c r="DK94" s="292"/>
      <c r="DL94" s="289"/>
      <c r="DM94" s="289"/>
      <c r="DN94" s="207"/>
      <c r="DO94" s="207"/>
      <c r="DP94" s="289"/>
      <c r="DQ94" s="289"/>
      <c r="DR94" s="289"/>
      <c r="DS94" s="289"/>
      <c r="DT94" s="289"/>
      <c r="DU94" s="292"/>
      <c r="DV94" s="292"/>
      <c r="DW94" s="292"/>
      <c r="DX94" s="292"/>
      <c r="DY94" s="292"/>
      <c r="DZ94" s="292"/>
      <c r="EA94" s="292"/>
      <c r="EB94" s="292"/>
      <c r="EC94" s="289"/>
      <c r="ED94" s="292"/>
      <c r="EE94" s="292"/>
      <c r="EF94" s="292"/>
      <c r="EG94" s="289"/>
      <c r="EH94" s="292"/>
      <c r="EI94" s="289"/>
      <c r="EJ94" s="289"/>
      <c r="EK94" s="289"/>
      <c r="EL94" s="289"/>
      <c r="EM94" s="289"/>
      <c r="EN94" s="289"/>
      <c r="EO94" s="289"/>
      <c r="EP94" s="289"/>
      <c r="EQ94" s="289"/>
      <c r="ER94" s="289"/>
      <c r="ES94" s="289"/>
      <c r="ET94" s="289"/>
      <c r="EU94" s="289"/>
      <c r="EV94" s="289"/>
      <c r="EW94" s="289"/>
      <c r="EX94" s="289"/>
      <c r="EY94" s="289"/>
      <c r="EZ94" s="289"/>
      <c r="FA94" s="289"/>
      <c r="FB94" s="289"/>
      <c r="FC94" s="289"/>
      <c r="FD94" s="289"/>
      <c r="FE94" s="289"/>
      <c r="FF94" s="289"/>
      <c r="FG94" s="289"/>
      <c r="FH94" s="289"/>
      <c r="FI94" s="289"/>
      <c r="FJ94" s="289"/>
      <c r="FK94" s="289"/>
      <c r="FL94" s="289"/>
      <c r="FM94" s="289"/>
      <c r="FN94" s="289"/>
      <c r="FO94" s="289"/>
      <c r="FP94" s="289"/>
      <c r="FQ94" s="289"/>
      <c r="FR94" s="289"/>
      <c r="FS94" s="289"/>
      <c r="FT94" s="289"/>
      <c r="FU94" s="289"/>
      <c r="FV94" s="289"/>
      <c r="FW94" s="289"/>
      <c r="FX94" s="289"/>
      <c r="FY94" s="289"/>
      <c r="FZ94" s="289"/>
      <c r="GA94" s="289"/>
      <c r="GB94" s="289"/>
      <c r="GC94" s="289"/>
      <c r="GD94" s="289"/>
      <c r="GE94" s="289"/>
      <c r="GF94" s="289"/>
      <c r="GG94" s="289"/>
      <c r="GH94" s="289"/>
      <c r="GI94" s="289"/>
    </row>
    <row r="95" spans="1:191" s="264" customFormat="1" hidden="1">
      <c r="A95" s="289"/>
      <c r="B95" s="289"/>
      <c r="C95" s="291"/>
      <c r="D95" s="291"/>
      <c r="E95" s="291"/>
      <c r="F95" s="291"/>
      <c r="G95" s="291"/>
      <c r="H95" s="291"/>
      <c r="I95" s="291"/>
      <c r="J95" s="291"/>
      <c r="K95" s="291"/>
      <c r="L95" s="292"/>
      <c r="M95" s="289"/>
      <c r="N95" s="289"/>
      <c r="O95" s="289"/>
      <c r="P95" s="289"/>
      <c r="Q95" s="291"/>
      <c r="R95" s="293"/>
      <c r="S95" s="293"/>
      <c r="T95" s="293"/>
      <c r="U95" s="289"/>
      <c r="V95" s="289"/>
      <c r="W95" s="289"/>
      <c r="X95" s="289"/>
      <c r="Y95" s="289"/>
      <c r="Z95" s="289"/>
      <c r="AA95" s="289"/>
      <c r="AB95" s="294"/>
      <c r="AC95" s="289"/>
      <c r="AD95" s="289"/>
      <c r="AE95" s="289"/>
      <c r="AF95" s="295"/>
      <c r="AG95" s="295"/>
      <c r="AH95" s="295"/>
      <c r="AI95" s="295"/>
      <c r="AJ95" s="295"/>
      <c r="AK95" s="289"/>
      <c r="AL95" s="289"/>
      <c r="AM95" s="289"/>
      <c r="AN95" s="289"/>
      <c r="AO95" s="289"/>
      <c r="AP95" s="289"/>
      <c r="AQ95" s="289"/>
      <c r="AR95" s="289"/>
      <c r="AS95" s="296"/>
      <c r="AT95" s="297"/>
      <c r="AU95" s="296"/>
      <c r="AV95" s="294"/>
      <c r="AW95" s="289"/>
      <c r="AX95" s="207"/>
      <c r="AY95" s="207"/>
      <c r="AZ95" s="289"/>
      <c r="BA95" s="289"/>
      <c r="BB95" s="289"/>
      <c r="BC95" s="289"/>
      <c r="BD95" s="298"/>
      <c r="BE95" s="298"/>
      <c r="BF95" s="298"/>
      <c r="BG95" s="298"/>
      <c r="BH95" s="292"/>
      <c r="BI95" s="289"/>
      <c r="BJ95" s="289"/>
      <c r="BK95" s="291"/>
      <c r="BL95" s="291"/>
      <c r="BM95" s="291"/>
      <c r="BN95" s="291"/>
      <c r="BO95" s="289"/>
      <c r="BP95" s="295"/>
      <c r="BQ95" s="289"/>
      <c r="BR95" s="289"/>
      <c r="BS95" s="289"/>
      <c r="BT95" s="289"/>
      <c r="BU95" s="289"/>
      <c r="BV95" s="289"/>
      <c r="BW95" s="289"/>
      <c r="BX95" s="289"/>
      <c r="BY95" s="289"/>
      <c r="BZ95" s="289"/>
      <c r="CA95" s="289"/>
      <c r="CB95" s="289"/>
      <c r="CC95" s="298"/>
      <c r="CD95" s="289"/>
      <c r="CE95" s="289"/>
      <c r="CF95" s="289"/>
      <c r="CG95" s="295"/>
      <c r="CH95" s="295"/>
      <c r="CI95" s="295"/>
      <c r="CJ95" s="289"/>
      <c r="CK95" s="295"/>
      <c r="CL95" s="295"/>
      <c r="CM95" s="295"/>
      <c r="CN95" s="295"/>
      <c r="CO95" s="295"/>
      <c r="CP95" s="295"/>
      <c r="CQ95" s="295"/>
      <c r="CR95" s="295"/>
      <c r="CS95" s="295"/>
      <c r="CT95" s="295"/>
      <c r="CU95" s="291"/>
      <c r="CV95" s="289"/>
      <c r="CW95" s="289"/>
      <c r="CX95" s="289"/>
      <c r="CY95" s="289"/>
      <c r="CZ95" s="289"/>
      <c r="DA95" s="289"/>
      <c r="DB95" s="289"/>
      <c r="DC95" s="289"/>
      <c r="DD95" s="289"/>
      <c r="DE95" s="289"/>
      <c r="DF95" s="289"/>
      <c r="DG95" s="289"/>
      <c r="DH95" s="291"/>
      <c r="DI95" s="289"/>
      <c r="DJ95" s="289"/>
      <c r="DK95" s="292"/>
      <c r="DL95" s="289"/>
      <c r="DM95" s="289"/>
      <c r="DN95" s="207"/>
      <c r="DO95" s="207"/>
      <c r="DP95" s="289"/>
      <c r="DQ95" s="289"/>
      <c r="DR95" s="289"/>
      <c r="DS95" s="289"/>
      <c r="DT95" s="289"/>
      <c r="DU95" s="292"/>
      <c r="DV95" s="292"/>
      <c r="DW95" s="292"/>
      <c r="DX95" s="292"/>
      <c r="DY95" s="292"/>
      <c r="DZ95" s="292"/>
      <c r="EA95" s="292"/>
      <c r="EB95" s="292"/>
      <c r="EC95" s="289"/>
      <c r="ED95" s="292"/>
      <c r="EE95" s="292"/>
      <c r="EF95" s="292"/>
      <c r="EG95" s="289"/>
      <c r="EH95" s="292"/>
      <c r="EI95" s="289"/>
      <c r="EJ95" s="289"/>
      <c r="EK95" s="289"/>
      <c r="EL95" s="289"/>
      <c r="EM95" s="289"/>
      <c r="EN95" s="289"/>
      <c r="EO95" s="289"/>
      <c r="EP95" s="289"/>
      <c r="EQ95" s="289"/>
      <c r="ER95" s="289"/>
      <c r="ES95" s="289"/>
      <c r="ET95" s="289"/>
      <c r="EU95" s="289"/>
      <c r="EV95" s="289"/>
      <c r="EW95" s="289"/>
      <c r="EX95" s="289"/>
      <c r="EY95" s="289"/>
      <c r="EZ95" s="289"/>
      <c r="FA95" s="289"/>
      <c r="FB95" s="289"/>
      <c r="FC95" s="289"/>
      <c r="FD95" s="289"/>
      <c r="FE95" s="289"/>
      <c r="FF95" s="289"/>
      <c r="FG95" s="289"/>
      <c r="FH95" s="289"/>
      <c r="FI95" s="289"/>
      <c r="FJ95" s="289"/>
      <c r="FK95" s="289"/>
      <c r="FL95" s="289"/>
      <c r="FM95" s="289"/>
      <c r="FN95" s="289"/>
      <c r="FO95" s="289"/>
      <c r="FP95" s="289"/>
      <c r="FQ95" s="289"/>
      <c r="FR95" s="289"/>
      <c r="FS95" s="289"/>
      <c r="FT95" s="289"/>
      <c r="FU95" s="289"/>
      <c r="FV95" s="289"/>
      <c r="FW95" s="289"/>
      <c r="FX95" s="289"/>
      <c r="FY95" s="289"/>
      <c r="FZ95" s="289"/>
      <c r="GA95" s="289"/>
      <c r="GB95" s="289"/>
      <c r="GC95" s="289"/>
      <c r="GD95" s="289"/>
      <c r="GE95" s="289"/>
      <c r="GF95" s="289"/>
      <c r="GG95" s="289"/>
      <c r="GH95" s="289"/>
      <c r="GI95" s="289"/>
    </row>
    <row r="96" spans="1:191" s="264" customFormat="1" hidden="1">
      <c r="A96" s="289"/>
      <c r="B96" s="289"/>
      <c r="C96" s="291"/>
      <c r="D96" s="291"/>
      <c r="E96" s="291"/>
      <c r="F96" s="291"/>
      <c r="G96" s="291"/>
      <c r="H96" s="291"/>
      <c r="I96" s="291"/>
      <c r="J96" s="291"/>
      <c r="K96" s="291"/>
      <c r="L96" s="292"/>
      <c r="M96" s="289"/>
      <c r="N96" s="289"/>
      <c r="O96" s="289"/>
      <c r="P96" s="289"/>
      <c r="Q96" s="291"/>
      <c r="R96" s="293"/>
      <c r="S96" s="293"/>
      <c r="T96" s="293"/>
      <c r="U96" s="289"/>
      <c r="V96" s="289"/>
      <c r="W96" s="289"/>
      <c r="X96" s="289"/>
      <c r="Y96" s="289"/>
      <c r="Z96" s="289"/>
      <c r="AA96" s="289"/>
      <c r="AB96" s="294"/>
      <c r="AC96" s="289"/>
      <c r="AD96" s="289"/>
      <c r="AE96" s="289"/>
      <c r="AF96" s="295"/>
      <c r="AG96" s="295"/>
      <c r="AH96" s="295"/>
      <c r="AI96" s="295"/>
      <c r="AJ96" s="295"/>
      <c r="AK96" s="289"/>
      <c r="AL96" s="289"/>
      <c r="AM96" s="289"/>
      <c r="AN96" s="289"/>
      <c r="AO96" s="289"/>
      <c r="AP96" s="289"/>
      <c r="AQ96" s="289"/>
      <c r="AR96" s="289"/>
      <c r="AS96" s="296"/>
      <c r="AT96" s="297"/>
      <c r="AU96" s="296"/>
      <c r="AV96" s="294"/>
      <c r="AW96" s="289"/>
      <c r="AX96" s="207"/>
      <c r="AY96" s="207"/>
      <c r="AZ96" s="289"/>
      <c r="BA96" s="289"/>
      <c r="BB96" s="289"/>
      <c r="BC96" s="289"/>
      <c r="BD96" s="298"/>
      <c r="BE96" s="298"/>
      <c r="BF96" s="298"/>
      <c r="BG96" s="298"/>
      <c r="BH96" s="292"/>
      <c r="BI96" s="289"/>
      <c r="BJ96" s="289"/>
      <c r="BK96" s="291"/>
      <c r="BL96" s="291"/>
      <c r="BM96" s="291"/>
      <c r="BN96" s="291"/>
      <c r="BO96" s="289"/>
      <c r="BP96" s="295"/>
      <c r="BQ96" s="289"/>
      <c r="BR96" s="289"/>
      <c r="BS96" s="289"/>
      <c r="BT96" s="289"/>
      <c r="BU96" s="289"/>
      <c r="BV96" s="289"/>
      <c r="BW96" s="289"/>
      <c r="BX96" s="289"/>
      <c r="BY96" s="289"/>
      <c r="BZ96" s="289"/>
      <c r="CA96" s="289"/>
      <c r="CB96" s="289"/>
      <c r="CC96" s="298"/>
      <c r="CD96" s="289"/>
      <c r="CE96" s="289"/>
      <c r="CF96" s="289"/>
      <c r="CG96" s="295"/>
      <c r="CH96" s="295"/>
      <c r="CI96" s="295"/>
      <c r="CJ96" s="289"/>
      <c r="CK96" s="295"/>
      <c r="CL96" s="295"/>
      <c r="CM96" s="295"/>
      <c r="CN96" s="295"/>
      <c r="CO96" s="295"/>
      <c r="CP96" s="295"/>
      <c r="CQ96" s="295"/>
      <c r="CR96" s="295"/>
      <c r="CS96" s="295"/>
      <c r="CT96" s="295"/>
      <c r="CU96" s="291"/>
      <c r="CV96" s="289"/>
      <c r="CW96" s="289"/>
      <c r="CX96" s="289"/>
      <c r="CY96" s="289"/>
      <c r="CZ96" s="289"/>
      <c r="DA96" s="289"/>
      <c r="DB96" s="289"/>
      <c r="DC96" s="289"/>
      <c r="DD96" s="289"/>
      <c r="DE96" s="289"/>
      <c r="DF96" s="289"/>
      <c r="DG96" s="289"/>
      <c r="DH96" s="291"/>
      <c r="DI96" s="289"/>
      <c r="DJ96" s="289"/>
      <c r="DK96" s="292"/>
      <c r="DL96" s="289"/>
      <c r="DM96" s="289"/>
      <c r="DN96" s="207"/>
      <c r="DO96" s="207"/>
      <c r="DP96" s="289"/>
      <c r="DQ96" s="289"/>
      <c r="DR96" s="289"/>
      <c r="DS96" s="289"/>
      <c r="DT96" s="289"/>
      <c r="DU96" s="292"/>
      <c r="DV96" s="292"/>
      <c r="DW96" s="292"/>
      <c r="DX96" s="292"/>
      <c r="DY96" s="292"/>
      <c r="DZ96" s="292"/>
      <c r="EA96" s="292"/>
      <c r="EB96" s="292"/>
      <c r="EC96" s="289"/>
      <c r="ED96" s="292"/>
      <c r="EE96" s="292"/>
      <c r="EF96" s="292"/>
      <c r="EG96" s="289"/>
      <c r="EH96" s="292"/>
      <c r="EI96" s="289"/>
      <c r="EJ96" s="289"/>
      <c r="EK96" s="289"/>
      <c r="EL96" s="289"/>
      <c r="EM96" s="289"/>
      <c r="EN96" s="289"/>
      <c r="EO96" s="289"/>
      <c r="EP96" s="289"/>
      <c r="EQ96" s="289"/>
      <c r="ER96" s="289"/>
      <c r="ES96" s="289"/>
      <c r="ET96" s="289"/>
      <c r="EU96" s="289"/>
      <c r="EV96" s="289"/>
      <c r="EW96" s="289"/>
      <c r="EX96" s="289"/>
      <c r="EY96" s="289"/>
      <c r="EZ96" s="289"/>
      <c r="FA96" s="289"/>
      <c r="FB96" s="289"/>
      <c r="FC96" s="289"/>
      <c r="FD96" s="289"/>
      <c r="FE96" s="289"/>
      <c r="FF96" s="289"/>
      <c r="FG96" s="289"/>
      <c r="FH96" s="289"/>
      <c r="FI96" s="289"/>
      <c r="FJ96" s="289"/>
      <c r="FK96" s="289"/>
      <c r="FL96" s="289"/>
      <c r="FM96" s="289"/>
      <c r="FN96" s="289"/>
      <c r="FO96" s="289"/>
      <c r="FP96" s="289"/>
      <c r="FQ96" s="289"/>
      <c r="FR96" s="289"/>
      <c r="FS96" s="289"/>
      <c r="FT96" s="289"/>
      <c r="FU96" s="289"/>
      <c r="FV96" s="289"/>
      <c r="FW96" s="289"/>
      <c r="FX96" s="289"/>
      <c r="FY96" s="289"/>
      <c r="FZ96" s="289"/>
      <c r="GA96" s="289"/>
      <c r="GB96" s="289"/>
      <c r="GC96" s="289"/>
      <c r="GD96" s="289"/>
      <c r="GE96" s="289"/>
      <c r="GF96" s="289"/>
      <c r="GG96" s="289"/>
      <c r="GH96" s="289"/>
      <c r="GI96" s="289"/>
    </row>
    <row r="97" spans="1:216" s="264" customFormat="1" hidden="1">
      <c r="A97" s="289"/>
      <c r="B97" s="289"/>
      <c r="C97" s="291"/>
      <c r="D97" s="291"/>
      <c r="E97" s="291"/>
      <c r="F97" s="291"/>
      <c r="G97" s="291"/>
      <c r="H97" s="291"/>
      <c r="I97" s="291"/>
      <c r="J97" s="291"/>
      <c r="K97" s="291"/>
      <c r="L97" s="292"/>
      <c r="M97" s="289"/>
      <c r="N97" s="289"/>
      <c r="O97" s="289"/>
      <c r="P97" s="289"/>
      <c r="Q97" s="291"/>
      <c r="R97" s="293"/>
      <c r="S97" s="293"/>
      <c r="T97" s="293"/>
      <c r="U97" s="289"/>
      <c r="V97" s="289"/>
      <c r="W97" s="289"/>
      <c r="X97" s="289"/>
      <c r="Y97" s="289"/>
      <c r="Z97" s="289"/>
      <c r="AA97" s="289"/>
      <c r="AB97" s="294"/>
      <c r="AC97" s="289"/>
      <c r="AD97" s="289"/>
      <c r="AE97" s="289"/>
      <c r="AF97" s="295"/>
      <c r="AG97" s="295"/>
      <c r="AH97" s="295"/>
      <c r="AI97" s="295"/>
      <c r="AJ97" s="295"/>
      <c r="AK97" s="289"/>
      <c r="AL97" s="289"/>
      <c r="AM97" s="289"/>
      <c r="AN97" s="289"/>
      <c r="AO97" s="289"/>
      <c r="AP97" s="289"/>
      <c r="AQ97" s="289"/>
      <c r="AR97" s="289"/>
      <c r="AS97" s="296"/>
      <c r="AT97" s="297"/>
      <c r="AU97" s="296"/>
      <c r="AV97" s="294"/>
      <c r="AW97" s="289"/>
      <c r="AX97" s="207"/>
      <c r="AY97" s="207"/>
      <c r="AZ97" s="289"/>
      <c r="BA97" s="289"/>
      <c r="BB97" s="289"/>
      <c r="BC97" s="289"/>
      <c r="BD97" s="298"/>
      <c r="BE97" s="298"/>
      <c r="BF97" s="298"/>
      <c r="BG97" s="298"/>
      <c r="BH97" s="292"/>
      <c r="BI97" s="289"/>
      <c r="BJ97" s="289"/>
      <c r="BK97" s="291"/>
      <c r="BL97" s="291"/>
      <c r="BM97" s="291"/>
      <c r="BN97" s="291"/>
      <c r="BO97" s="289"/>
      <c r="BP97" s="295"/>
      <c r="BQ97" s="289"/>
      <c r="BR97" s="289"/>
      <c r="BS97" s="289"/>
      <c r="BT97" s="289"/>
      <c r="BU97" s="289"/>
      <c r="BV97" s="289"/>
      <c r="BW97" s="289"/>
      <c r="BX97" s="289"/>
      <c r="BY97" s="289"/>
      <c r="BZ97" s="289"/>
      <c r="CA97" s="289"/>
      <c r="CB97" s="289"/>
      <c r="CC97" s="298"/>
      <c r="CD97" s="289"/>
      <c r="CE97" s="289"/>
      <c r="CF97" s="289"/>
      <c r="CG97" s="295"/>
      <c r="CH97" s="295"/>
      <c r="CI97" s="295"/>
      <c r="CJ97" s="289"/>
      <c r="CK97" s="295"/>
      <c r="CL97" s="295"/>
      <c r="CM97" s="295"/>
      <c r="CN97" s="295"/>
      <c r="CO97" s="295"/>
      <c r="CP97" s="295"/>
      <c r="CQ97" s="295"/>
      <c r="CR97" s="295"/>
      <c r="CS97" s="295"/>
      <c r="CT97" s="295"/>
      <c r="CU97" s="291"/>
      <c r="CV97" s="289"/>
      <c r="CW97" s="289"/>
      <c r="CX97" s="289"/>
      <c r="CY97" s="289"/>
      <c r="CZ97" s="289"/>
      <c r="DA97" s="289"/>
      <c r="DB97" s="289"/>
      <c r="DC97" s="289"/>
      <c r="DD97" s="289"/>
      <c r="DE97" s="289"/>
      <c r="DF97" s="289"/>
      <c r="DG97" s="289"/>
      <c r="DH97" s="291"/>
      <c r="DI97" s="289"/>
      <c r="DJ97" s="289"/>
      <c r="DK97" s="292"/>
      <c r="DL97" s="289"/>
      <c r="DM97" s="289"/>
      <c r="DN97" s="207"/>
      <c r="DO97" s="207"/>
      <c r="DP97" s="289"/>
      <c r="DQ97" s="289"/>
      <c r="DR97" s="289"/>
      <c r="DS97" s="289"/>
      <c r="DT97" s="289"/>
      <c r="DU97" s="292"/>
      <c r="DV97" s="292"/>
      <c r="DW97" s="292"/>
      <c r="DX97" s="292"/>
      <c r="DY97" s="292"/>
      <c r="DZ97" s="292"/>
      <c r="EA97" s="292"/>
      <c r="EB97" s="292"/>
      <c r="EC97" s="289"/>
      <c r="ED97" s="292"/>
      <c r="EE97" s="292"/>
      <c r="EF97" s="292"/>
      <c r="EG97" s="289"/>
      <c r="EH97" s="292"/>
      <c r="EI97" s="289"/>
      <c r="EJ97" s="289"/>
      <c r="EK97" s="289"/>
      <c r="EL97" s="289"/>
      <c r="EM97" s="289"/>
      <c r="EN97" s="289"/>
      <c r="EO97" s="289"/>
      <c r="EP97" s="289"/>
      <c r="EQ97" s="289"/>
      <c r="ER97" s="289"/>
      <c r="ES97" s="289"/>
      <c r="ET97" s="289"/>
      <c r="EU97" s="289"/>
      <c r="EV97" s="289"/>
      <c r="EW97" s="289"/>
      <c r="EX97" s="289"/>
      <c r="EY97" s="289"/>
      <c r="EZ97" s="289"/>
      <c r="FA97" s="289"/>
      <c r="FB97" s="289"/>
      <c r="FC97" s="289"/>
      <c r="FD97" s="289"/>
      <c r="FE97" s="289"/>
      <c r="FF97" s="289"/>
      <c r="FG97" s="289"/>
      <c r="FH97" s="289"/>
      <c r="FI97" s="289"/>
      <c r="FJ97" s="289"/>
      <c r="FK97" s="289"/>
      <c r="FL97" s="289"/>
      <c r="FM97" s="289"/>
      <c r="FN97" s="289"/>
      <c r="FO97" s="289"/>
      <c r="FP97" s="289"/>
      <c r="FQ97" s="289"/>
      <c r="FR97" s="289"/>
      <c r="FS97" s="289"/>
      <c r="FT97" s="289"/>
      <c r="FU97" s="289"/>
      <c r="FV97" s="289"/>
      <c r="FW97" s="289"/>
      <c r="FX97" s="289"/>
      <c r="FY97" s="289"/>
      <c r="FZ97" s="289"/>
      <c r="GA97" s="289"/>
      <c r="GB97" s="289"/>
      <c r="GC97" s="289"/>
      <c r="GD97" s="289"/>
      <c r="GE97" s="289"/>
      <c r="GF97" s="289"/>
      <c r="GG97" s="289"/>
      <c r="GH97" s="289"/>
      <c r="GI97" s="289"/>
    </row>
    <row r="98" spans="1:216" s="264" customFormat="1" hidden="1">
      <c r="A98" s="289"/>
      <c r="B98" s="289"/>
      <c r="C98" s="291"/>
      <c r="D98" s="291"/>
      <c r="E98" s="291"/>
      <c r="F98" s="291"/>
      <c r="G98" s="291"/>
      <c r="H98" s="291"/>
      <c r="I98" s="291"/>
      <c r="J98" s="291"/>
      <c r="K98" s="291"/>
      <c r="L98" s="292"/>
      <c r="M98" s="289"/>
      <c r="N98" s="289"/>
      <c r="O98" s="289"/>
      <c r="P98" s="289"/>
      <c r="Q98" s="291"/>
      <c r="R98" s="293"/>
      <c r="S98" s="293"/>
      <c r="T98" s="293"/>
      <c r="U98" s="289"/>
      <c r="V98" s="289"/>
      <c r="W98" s="289"/>
      <c r="X98" s="289"/>
      <c r="Y98" s="289"/>
      <c r="Z98" s="289"/>
      <c r="AA98" s="289"/>
      <c r="AB98" s="294"/>
      <c r="AC98" s="289"/>
      <c r="AD98" s="289"/>
      <c r="AE98" s="289"/>
      <c r="AF98" s="295"/>
      <c r="AG98" s="295"/>
      <c r="AH98" s="295"/>
      <c r="AI98" s="295"/>
      <c r="AJ98" s="295"/>
      <c r="AK98" s="289"/>
      <c r="AL98" s="289"/>
      <c r="AM98" s="289"/>
      <c r="AN98" s="289"/>
      <c r="AO98" s="289"/>
      <c r="AP98" s="289"/>
      <c r="AQ98" s="289"/>
      <c r="AR98" s="289"/>
      <c r="AS98" s="296"/>
      <c r="AT98" s="297"/>
      <c r="AU98" s="296"/>
      <c r="AV98" s="294"/>
      <c r="AW98" s="289"/>
      <c r="AX98" s="207"/>
      <c r="AY98" s="207"/>
      <c r="AZ98" s="289"/>
      <c r="BA98" s="289"/>
      <c r="BB98" s="289"/>
      <c r="BC98" s="289"/>
      <c r="BD98" s="298"/>
      <c r="BE98" s="298"/>
      <c r="BF98" s="298"/>
      <c r="BG98" s="298"/>
      <c r="BH98" s="292"/>
      <c r="BI98" s="289"/>
      <c r="BJ98" s="289"/>
      <c r="BK98" s="291"/>
      <c r="BL98" s="291"/>
      <c r="BM98" s="291"/>
      <c r="BN98" s="291"/>
      <c r="BO98" s="289"/>
      <c r="BP98" s="295"/>
      <c r="BQ98" s="289"/>
      <c r="BR98" s="289"/>
      <c r="BS98" s="289"/>
      <c r="BT98" s="289"/>
      <c r="BU98" s="289"/>
      <c r="BV98" s="289"/>
      <c r="BW98" s="289"/>
      <c r="BX98" s="289"/>
      <c r="BY98" s="289"/>
      <c r="BZ98" s="289"/>
      <c r="CA98" s="289"/>
      <c r="CB98" s="289"/>
      <c r="CC98" s="298"/>
      <c r="CD98" s="289"/>
      <c r="CE98" s="289"/>
      <c r="CF98" s="289"/>
      <c r="CG98" s="295"/>
      <c r="CH98" s="295"/>
      <c r="CI98" s="295"/>
      <c r="CJ98" s="289"/>
      <c r="CK98" s="295"/>
      <c r="CL98" s="295"/>
      <c r="CM98" s="295"/>
      <c r="CN98" s="295"/>
      <c r="CO98" s="295"/>
      <c r="CP98" s="295"/>
      <c r="CQ98" s="295"/>
      <c r="CR98" s="295"/>
      <c r="CS98" s="295"/>
      <c r="CT98" s="295"/>
      <c r="CU98" s="291"/>
      <c r="CV98" s="289"/>
      <c r="CW98" s="289"/>
      <c r="CX98" s="289"/>
      <c r="CY98" s="289"/>
      <c r="CZ98" s="289"/>
      <c r="DA98" s="289"/>
      <c r="DB98" s="289"/>
      <c r="DC98" s="289"/>
      <c r="DD98" s="289"/>
      <c r="DE98" s="289"/>
      <c r="DF98" s="289"/>
      <c r="DG98" s="289"/>
      <c r="DH98" s="291"/>
      <c r="DI98" s="289"/>
      <c r="DJ98" s="289"/>
      <c r="DK98" s="292"/>
      <c r="DL98" s="289"/>
      <c r="DM98" s="289"/>
      <c r="DN98" s="207"/>
      <c r="DO98" s="207"/>
      <c r="DP98" s="289"/>
      <c r="DQ98" s="289"/>
      <c r="DR98" s="289"/>
      <c r="DS98" s="289"/>
      <c r="DT98" s="289"/>
      <c r="DU98" s="292"/>
      <c r="DV98" s="292"/>
      <c r="DW98" s="292"/>
      <c r="DX98" s="292"/>
      <c r="DY98" s="292"/>
      <c r="DZ98" s="292"/>
      <c r="EA98" s="292"/>
      <c r="EB98" s="292"/>
      <c r="EC98" s="289"/>
      <c r="ED98" s="292"/>
      <c r="EE98" s="292"/>
      <c r="EF98" s="292"/>
      <c r="EG98" s="289"/>
      <c r="EH98" s="292"/>
      <c r="EI98" s="289"/>
      <c r="EJ98" s="289"/>
      <c r="EK98" s="289"/>
      <c r="EL98" s="289"/>
      <c r="EM98" s="289"/>
      <c r="EN98" s="289"/>
      <c r="EO98" s="289"/>
      <c r="EP98" s="289"/>
      <c r="EQ98" s="289"/>
      <c r="ER98" s="289"/>
      <c r="ES98" s="289"/>
      <c r="ET98" s="289"/>
      <c r="EU98" s="289"/>
      <c r="EV98" s="289"/>
      <c r="EW98" s="289"/>
      <c r="EX98" s="289"/>
      <c r="EY98" s="289"/>
      <c r="EZ98" s="289"/>
      <c r="FA98" s="289"/>
      <c r="FB98" s="289"/>
      <c r="FC98" s="289"/>
      <c r="FD98" s="289"/>
      <c r="FE98" s="289"/>
      <c r="FF98" s="289"/>
      <c r="FG98" s="289"/>
      <c r="FH98" s="289"/>
      <c r="FI98" s="289"/>
      <c r="FJ98" s="289"/>
      <c r="FK98" s="289"/>
      <c r="FL98" s="289"/>
      <c r="FM98" s="289"/>
      <c r="FN98" s="289"/>
      <c r="FO98" s="289"/>
      <c r="FP98" s="289"/>
      <c r="FQ98" s="289"/>
      <c r="FR98" s="289"/>
      <c r="FS98" s="289"/>
      <c r="FT98" s="289"/>
      <c r="FU98" s="289"/>
      <c r="FV98" s="289"/>
      <c r="FW98" s="289"/>
      <c r="FX98" s="289"/>
      <c r="FY98" s="289"/>
      <c r="FZ98" s="289"/>
      <c r="GA98" s="289"/>
      <c r="GB98" s="289"/>
      <c r="GC98" s="289"/>
      <c r="GD98" s="289"/>
      <c r="GE98" s="289"/>
      <c r="GF98" s="289"/>
      <c r="GG98" s="289"/>
      <c r="GH98" s="289"/>
      <c r="GI98" s="289"/>
    </row>
    <row r="99" spans="1:216" s="264" customFormat="1" hidden="1">
      <c r="A99" s="289"/>
      <c r="B99" s="289"/>
      <c r="C99" s="291"/>
      <c r="D99" s="291"/>
      <c r="E99" s="291"/>
      <c r="F99" s="291"/>
      <c r="G99" s="291"/>
      <c r="H99" s="291"/>
      <c r="I99" s="291"/>
      <c r="J99" s="291"/>
      <c r="K99" s="291"/>
      <c r="L99" s="292"/>
      <c r="M99" s="289"/>
      <c r="N99" s="289"/>
      <c r="O99" s="289"/>
      <c r="P99" s="289"/>
      <c r="Q99" s="291"/>
      <c r="R99" s="293"/>
      <c r="S99" s="293"/>
      <c r="T99" s="293"/>
      <c r="U99" s="289"/>
      <c r="V99" s="289"/>
      <c r="W99" s="289"/>
      <c r="X99" s="289"/>
      <c r="Y99" s="289"/>
      <c r="Z99" s="289"/>
      <c r="AA99" s="289"/>
      <c r="AB99" s="294"/>
      <c r="AC99" s="289"/>
      <c r="AD99" s="289"/>
      <c r="AE99" s="289"/>
      <c r="AF99" s="295"/>
      <c r="AG99" s="295"/>
      <c r="AH99" s="295"/>
      <c r="AI99" s="295"/>
      <c r="AJ99" s="295"/>
      <c r="AK99" s="289"/>
      <c r="AL99" s="289"/>
      <c r="AM99" s="289"/>
      <c r="AN99" s="289"/>
      <c r="AO99" s="289"/>
      <c r="AP99" s="289"/>
      <c r="AQ99" s="289"/>
      <c r="AR99" s="289"/>
      <c r="AS99" s="296"/>
      <c r="AT99" s="297"/>
      <c r="AU99" s="296"/>
      <c r="AV99" s="294"/>
      <c r="AW99" s="289"/>
      <c r="AX99" s="207"/>
      <c r="AY99" s="207"/>
      <c r="AZ99" s="289"/>
      <c r="BA99" s="289"/>
      <c r="BB99" s="289"/>
      <c r="BC99" s="289"/>
      <c r="BD99" s="298"/>
      <c r="BE99" s="298"/>
      <c r="BF99" s="298"/>
      <c r="BG99" s="298"/>
      <c r="BH99" s="292"/>
      <c r="BI99" s="289"/>
      <c r="BJ99" s="289"/>
      <c r="BK99" s="291"/>
      <c r="BL99" s="291"/>
      <c r="BM99" s="291"/>
      <c r="BN99" s="291"/>
      <c r="BO99" s="289"/>
      <c r="BP99" s="295"/>
      <c r="BQ99" s="289"/>
      <c r="BR99" s="289"/>
      <c r="BS99" s="289"/>
      <c r="BT99" s="289"/>
      <c r="BU99" s="289"/>
      <c r="BV99" s="289"/>
      <c r="BW99" s="289"/>
      <c r="BX99" s="289"/>
      <c r="BY99" s="289"/>
      <c r="BZ99" s="289"/>
      <c r="CA99" s="289"/>
      <c r="CB99" s="289"/>
      <c r="CC99" s="298"/>
      <c r="CD99" s="289"/>
      <c r="CE99" s="289"/>
      <c r="CF99" s="289"/>
      <c r="CG99" s="295"/>
      <c r="CH99" s="295"/>
      <c r="CI99" s="295"/>
      <c r="CJ99" s="289"/>
      <c r="CK99" s="295"/>
      <c r="CL99" s="295"/>
      <c r="CM99" s="295"/>
      <c r="CN99" s="295"/>
      <c r="CO99" s="295"/>
      <c r="CP99" s="295"/>
      <c r="CQ99" s="295"/>
      <c r="CR99" s="295"/>
      <c r="CS99" s="295"/>
      <c r="CT99" s="295"/>
      <c r="CU99" s="291"/>
      <c r="CV99" s="289"/>
      <c r="CW99" s="289"/>
      <c r="CX99" s="289"/>
      <c r="CY99" s="289"/>
      <c r="CZ99" s="289"/>
      <c r="DA99" s="289"/>
      <c r="DB99" s="289"/>
      <c r="DC99" s="289"/>
      <c r="DD99" s="289"/>
      <c r="DE99" s="289"/>
      <c r="DF99" s="289"/>
      <c r="DG99" s="289"/>
      <c r="DH99" s="291"/>
      <c r="DI99" s="289"/>
      <c r="DJ99" s="289"/>
      <c r="DK99" s="292"/>
      <c r="DL99" s="289"/>
      <c r="DM99" s="289"/>
      <c r="DN99" s="207"/>
      <c r="DO99" s="207"/>
      <c r="DP99" s="289"/>
      <c r="DQ99" s="289"/>
      <c r="DR99" s="289"/>
      <c r="DS99" s="289"/>
      <c r="DT99" s="289"/>
      <c r="DU99" s="292"/>
      <c r="DV99" s="292"/>
      <c r="DW99" s="292"/>
      <c r="DX99" s="292"/>
      <c r="DY99" s="292"/>
      <c r="DZ99" s="292"/>
      <c r="EA99" s="292"/>
      <c r="EB99" s="292"/>
      <c r="EC99" s="289"/>
      <c r="ED99" s="292"/>
      <c r="EE99" s="292"/>
      <c r="EF99" s="292"/>
      <c r="EG99" s="289"/>
      <c r="EH99" s="292"/>
      <c r="EI99" s="289"/>
      <c r="EJ99" s="289"/>
      <c r="EK99" s="289"/>
      <c r="EL99" s="289"/>
      <c r="EM99" s="289"/>
      <c r="EN99" s="289"/>
      <c r="EO99" s="289"/>
      <c r="EP99" s="289"/>
      <c r="EQ99" s="289"/>
      <c r="ER99" s="289"/>
      <c r="ES99" s="289"/>
      <c r="ET99" s="289"/>
      <c r="EU99" s="289"/>
      <c r="EV99" s="289"/>
      <c r="EW99" s="289"/>
      <c r="EX99" s="289"/>
      <c r="EY99" s="289"/>
      <c r="EZ99" s="289"/>
      <c r="FA99" s="289"/>
      <c r="FB99" s="289"/>
      <c r="FC99" s="289"/>
      <c r="FD99" s="289"/>
      <c r="FE99" s="289"/>
      <c r="FF99" s="289"/>
      <c r="FG99" s="289"/>
      <c r="FH99" s="289"/>
      <c r="FI99" s="289"/>
      <c r="FJ99" s="289"/>
      <c r="FK99" s="289"/>
      <c r="FL99" s="289"/>
      <c r="FM99" s="289"/>
      <c r="FN99" s="289"/>
      <c r="FO99" s="289"/>
      <c r="FP99" s="289"/>
      <c r="FQ99" s="289"/>
      <c r="FR99" s="289"/>
      <c r="FS99" s="289"/>
      <c r="FT99" s="289"/>
      <c r="FU99" s="289"/>
      <c r="FV99" s="289"/>
      <c r="FW99" s="289"/>
      <c r="FX99" s="289"/>
      <c r="FY99" s="289"/>
      <c r="FZ99" s="289"/>
      <c r="GA99" s="289"/>
      <c r="GB99" s="289"/>
      <c r="GC99" s="289"/>
      <c r="GD99" s="289"/>
      <c r="GE99" s="289"/>
      <c r="GF99" s="289"/>
      <c r="GG99" s="289"/>
      <c r="GH99" s="289"/>
      <c r="GI99" s="289"/>
    </row>
    <row r="100" spans="1:216" s="264" customFormat="1" hidden="1">
      <c r="A100" s="289"/>
      <c r="B100" s="289"/>
      <c r="C100" s="291"/>
      <c r="D100" s="291"/>
      <c r="E100" s="291"/>
      <c r="F100" s="291"/>
      <c r="G100" s="291"/>
      <c r="H100" s="291"/>
      <c r="I100" s="291"/>
      <c r="J100" s="291"/>
      <c r="K100" s="291"/>
      <c r="L100" s="292"/>
      <c r="M100" s="289"/>
      <c r="N100" s="289"/>
      <c r="O100" s="289"/>
      <c r="P100" s="289"/>
      <c r="Q100" s="291"/>
      <c r="R100" s="293"/>
      <c r="S100" s="293"/>
      <c r="T100" s="293"/>
      <c r="U100" s="289"/>
      <c r="V100" s="289"/>
      <c r="W100" s="289"/>
      <c r="X100" s="289"/>
      <c r="Y100" s="289"/>
      <c r="Z100" s="289"/>
      <c r="AA100" s="289"/>
      <c r="AB100" s="294"/>
      <c r="AC100" s="289"/>
      <c r="AD100" s="289"/>
      <c r="AE100" s="289"/>
      <c r="AF100" s="295"/>
      <c r="AG100" s="295"/>
      <c r="AH100" s="295"/>
      <c r="AI100" s="295"/>
      <c r="AJ100" s="295"/>
      <c r="AK100" s="289"/>
      <c r="AL100" s="289"/>
      <c r="AM100" s="289"/>
      <c r="AN100" s="289"/>
      <c r="AO100" s="289"/>
      <c r="AP100" s="289"/>
      <c r="AQ100" s="289"/>
      <c r="AR100" s="289"/>
      <c r="AS100" s="296"/>
      <c r="AT100" s="297"/>
      <c r="AU100" s="296"/>
      <c r="AV100" s="294"/>
      <c r="AW100" s="289"/>
      <c r="AX100" s="207"/>
      <c r="AY100" s="207"/>
      <c r="AZ100" s="289"/>
      <c r="BA100" s="289"/>
      <c r="BB100" s="289"/>
      <c r="BC100" s="289"/>
      <c r="BD100" s="298"/>
      <c r="BE100" s="298"/>
      <c r="BF100" s="298"/>
      <c r="BG100" s="298"/>
      <c r="BH100" s="292"/>
      <c r="BI100" s="289"/>
      <c r="BJ100" s="289"/>
      <c r="BK100" s="291"/>
      <c r="BL100" s="291"/>
      <c r="BM100" s="291"/>
      <c r="BN100" s="291"/>
      <c r="BO100" s="289"/>
      <c r="BP100" s="295"/>
      <c r="BQ100" s="289"/>
      <c r="BR100" s="289"/>
      <c r="BS100" s="289"/>
      <c r="BT100" s="289"/>
      <c r="BU100" s="289"/>
      <c r="BV100" s="289"/>
      <c r="BW100" s="289"/>
      <c r="BX100" s="289"/>
      <c r="BY100" s="289"/>
      <c r="BZ100" s="289"/>
      <c r="CA100" s="289"/>
      <c r="CB100" s="289"/>
      <c r="CC100" s="298"/>
      <c r="CD100" s="289"/>
      <c r="CE100" s="289"/>
      <c r="CF100" s="289"/>
      <c r="CG100" s="295"/>
      <c r="CH100" s="295"/>
      <c r="CI100" s="295"/>
      <c r="CJ100" s="289"/>
      <c r="CK100" s="295"/>
      <c r="CL100" s="295"/>
      <c r="CM100" s="295"/>
      <c r="CN100" s="295"/>
      <c r="CO100" s="295"/>
      <c r="CP100" s="295"/>
      <c r="CQ100" s="295"/>
      <c r="CR100" s="295"/>
      <c r="CS100" s="295"/>
      <c r="CT100" s="295"/>
      <c r="CU100" s="291"/>
      <c r="CV100" s="289"/>
      <c r="CW100" s="289"/>
      <c r="CX100" s="289"/>
      <c r="CY100" s="289"/>
      <c r="CZ100" s="289"/>
      <c r="DA100" s="289"/>
      <c r="DB100" s="289"/>
      <c r="DC100" s="289"/>
      <c r="DD100" s="289"/>
      <c r="DE100" s="289"/>
      <c r="DF100" s="289"/>
      <c r="DG100" s="289"/>
      <c r="DH100" s="291"/>
      <c r="DI100" s="289"/>
      <c r="DJ100" s="289"/>
      <c r="DK100" s="292"/>
      <c r="DL100" s="289"/>
      <c r="DM100" s="289"/>
      <c r="DN100" s="207"/>
      <c r="DO100" s="207"/>
      <c r="DP100" s="289"/>
      <c r="DQ100" s="289"/>
      <c r="DR100" s="289"/>
      <c r="DS100" s="289"/>
      <c r="DT100" s="289"/>
      <c r="DU100" s="292"/>
      <c r="DV100" s="292"/>
      <c r="DW100" s="292"/>
      <c r="DX100" s="292"/>
      <c r="DY100" s="292"/>
      <c r="DZ100" s="292"/>
      <c r="EA100" s="292"/>
      <c r="EB100" s="292"/>
      <c r="EC100" s="289"/>
      <c r="ED100" s="292"/>
      <c r="EE100" s="292"/>
      <c r="EF100" s="292"/>
      <c r="EG100" s="289"/>
      <c r="EH100" s="292"/>
      <c r="EI100" s="289"/>
      <c r="EJ100" s="289"/>
      <c r="EK100" s="289"/>
      <c r="EL100" s="289"/>
      <c r="EM100" s="289"/>
      <c r="EN100" s="289"/>
      <c r="EO100" s="289"/>
      <c r="EP100" s="289"/>
      <c r="EQ100" s="289"/>
      <c r="ER100" s="289"/>
      <c r="ES100" s="289"/>
      <c r="ET100" s="289"/>
      <c r="EU100" s="289"/>
      <c r="EV100" s="289"/>
      <c r="EW100" s="289"/>
      <c r="EX100" s="289"/>
      <c r="EY100" s="289"/>
      <c r="EZ100" s="289"/>
      <c r="FA100" s="289"/>
      <c r="FB100" s="289"/>
      <c r="FC100" s="289"/>
      <c r="FD100" s="289"/>
      <c r="FE100" s="289"/>
      <c r="FF100" s="289"/>
      <c r="FG100" s="289"/>
      <c r="FH100" s="289"/>
      <c r="FI100" s="289"/>
      <c r="FJ100" s="289"/>
      <c r="FK100" s="289"/>
      <c r="FL100" s="289"/>
      <c r="FM100" s="289"/>
      <c r="FN100" s="289"/>
      <c r="FO100" s="289"/>
      <c r="FP100" s="289"/>
      <c r="FQ100" s="289"/>
      <c r="FR100" s="289"/>
      <c r="FS100" s="289"/>
      <c r="FT100" s="289"/>
      <c r="FU100" s="289"/>
      <c r="FV100" s="289"/>
      <c r="FW100" s="289"/>
      <c r="FX100" s="289"/>
      <c r="FY100" s="289"/>
      <c r="FZ100" s="289"/>
      <c r="GA100" s="289"/>
      <c r="GB100" s="289"/>
      <c r="GC100" s="289"/>
      <c r="GD100" s="289"/>
      <c r="GE100" s="289"/>
      <c r="GF100" s="289"/>
      <c r="GG100" s="289"/>
      <c r="GH100" s="289"/>
      <c r="GI100" s="289"/>
    </row>
    <row r="101" spans="1:216" s="264" customFormat="1" hidden="1">
      <c r="A101" s="289"/>
      <c r="B101" s="289"/>
      <c r="C101" s="291"/>
      <c r="D101" s="291"/>
      <c r="E101" s="291"/>
      <c r="F101" s="291"/>
      <c r="G101" s="291"/>
      <c r="H101" s="291"/>
      <c r="I101" s="291"/>
      <c r="J101" s="291"/>
      <c r="K101" s="291"/>
      <c r="L101" s="292"/>
      <c r="M101" s="289"/>
      <c r="N101" s="289"/>
      <c r="O101" s="289"/>
      <c r="P101" s="289"/>
      <c r="Q101" s="291"/>
      <c r="R101" s="293"/>
      <c r="S101" s="293"/>
      <c r="T101" s="293"/>
      <c r="U101" s="289"/>
      <c r="V101" s="289"/>
      <c r="W101" s="289"/>
      <c r="X101" s="289"/>
      <c r="Y101" s="289"/>
      <c r="Z101" s="289"/>
      <c r="AA101" s="289"/>
      <c r="AB101" s="294"/>
      <c r="AC101" s="289"/>
      <c r="AD101" s="289"/>
      <c r="AE101" s="289"/>
      <c r="AF101" s="295"/>
      <c r="AG101" s="295"/>
      <c r="AH101" s="295"/>
      <c r="AI101" s="295"/>
      <c r="AJ101" s="295"/>
      <c r="AK101" s="289"/>
      <c r="AL101" s="289"/>
      <c r="AM101" s="289"/>
      <c r="AN101" s="289"/>
      <c r="AO101" s="289"/>
      <c r="AP101" s="289"/>
      <c r="AQ101" s="289"/>
      <c r="AR101" s="289"/>
      <c r="AS101" s="296"/>
      <c r="AT101" s="297"/>
      <c r="AU101" s="296"/>
      <c r="AV101" s="294"/>
      <c r="AW101" s="289"/>
      <c r="AX101" s="207"/>
      <c r="AY101" s="207"/>
      <c r="AZ101" s="289"/>
      <c r="BA101" s="289"/>
      <c r="BB101" s="289"/>
      <c r="BC101" s="289"/>
      <c r="BD101" s="298"/>
      <c r="BE101" s="298"/>
      <c r="BF101" s="298"/>
      <c r="BG101" s="298"/>
      <c r="BH101" s="292"/>
      <c r="BI101" s="289"/>
      <c r="BJ101" s="289"/>
      <c r="BK101" s="291"/>
      <c r="BL101" s="291"/>
      <c r="BM101" s="291"/>
      <c r="BN101" s="291"/>
      <c r="BO101" s="289"/>
      <c r="BP101" s="295"/>
      <c r="BQ101" s="289"/>
      <c r="BR101" s="289"/>
      <c r="BS101" s="289"/>
      <c r="BT101" s="289"/>
      <c r="BU101" s="289"/>
      <c r="BV101" s="289"/>
      <c r="BW101" s="289"/>
      <c r="BX101" s="289"/>
      <c r="BY101" s="289"/>
      <c r="BZ101" s="289"/>
      <c r="CA101" s="289"/>
      <c r="CB101" s="289"/>
      <c r="CC101" s="298"/>
      <c r="CD101" s="289"/>
      <c r="CE101" s="289"/>
      <c r="CF101" s="289"/>
      <c r="CG101" s="295"/>
      <c r="CH101" s="295"/>
      <c r="CI101" s="295"/>
      <c r="CJ101" s="289"/>
      <c r="CK101" s="295"/>
      <c r="CL101" s="295"/>
      <c r="CM101" s="295"/>
      <c r="CN101" s="295"/>
      <c r="CO101" s="295"/>
      <c r="CP101" s="295"/>
      <c r="CQ101" s="295"/>
      <c r="CR101" s="295"/>
      <c r="CS101" s="295"/>
      <c r="CT101" s="295"/>
      <c r="CU101" s="291"/>
      <c r="CV101" s="289"/>
      <c r="CW101" s="289"/>
      <c r="CX101" s="289"/>
      <c r="CY101" s="289"/>
      <c r="CZ101" s="289"/>
      <c r="DA101" s="289"/>
      <c r="DB101" s="289"/>
      <c r="DC101" s="289"/>
      <c r="DD101" s="289"/>
      <c r="DE101" s="289"/>
      <c r="DF101" s="289"/>
      <c r="DG101" s="289"/>
      <c r="DH101" s="291"/>
      <c r="DI101" s="289"/>
      <c r="DJ101" s="289"/>
      <c r="DK101" s="292"/>
      <c r="DL101" s="289"/>
      <c r="DM101" s="289"/>
      <c r="DN101" s="207"/>
      <c r="DO101" s="207"/>
      <c r="DP101" s="289"/>
      <c r="DQ101" s="289"/>
      <c r="DR101" s="289"/>
      <c r="DS101" s="289"/>
      <c r="DT101" s="289"/>
      <c r="DU101" s="292"/>
      <c r="DV101" s="292"/>
      <c r="DW101" s="292"/>
      <c r="DX101" s="292"/>
      <c r="DY101" s="292"/>
      <c r="DZ101" s="292"/>
      <c r="EA101" s="292"/>
      <c r="EB101" s="292"/>
      <c r="EC101" s="289"/>
      <c r="ED101" s="292"/>
      <c r="EE101" s="292"/>
      <c r="EF101" s="292"/>
      <c r="EG101" s="289"/>
      <c r="EH101" s="292"/>
      <c r="EI101" s="289"/>
      <c r="EJ101" s="289"/>
      <c r="EK101" s="289"/>
      <c r="EL101" s="289"/>
      <c r="EM101" s="289"/>
      <c r="EN101" s="289"/>
      <c r="EO101" s="289"/>
      <c r="EP101" s="289"/>
      <c r="EQ101" s="289"/>
      <c r="ER101" s="289"/>
      <c r="ES101" s="289"/>
      <c r="ET101" s="289"/>
      <c r="EU101" s="289"/>
      <c r="EV101" s="289"/>
      <c r="EW101" s="289"/>
      <c r="EX101" s="289"/>
      <c r="EY101" s="289"/>
      <c r="EZ101" s="289"/>
      <c r="FA101" s="289"/>
      <c r="FB101" s="289"/>
      <c r="FC101" s="289"/>
      <c r="FD101" s="289"/>
      <c r="FE101" s="289"/>
      <c r="FF101" s="289"/>
      <c r="FG101" s="289"/>
      <c r="FH101" s="289"/>
      <c r="FI101" s="289"/>
      <c r="FJ101" s="289"/>
      <c r="FK101" s="289"/>
      <c r="FL101" s="289"/>
      <c r="FM101" s="289"/>
      <c r="FN101" s="289"/>
      <c r="FO101" s="289"/>
      <c r="FP101" s="289"/>
      <c r="FQ101" s="289"/>
      <c r="FR101" s="289"/>
      <c r="FS101" s="289"/>
      <c r="FT101" s="289"/>
      <c r="FU101" s="289"/>
      <c r="FV101" s="289"/>
      <c r="FW101" s="289"/>
      <c r="FX101" s="289"/>
      <c r="FY101" s="289"/>
      <c r="FZ101" s="289"/>
      <c r="GA101" s="289"/>
      <c r="GB101" s="289"/>
      <c r="GC101" s="289"/>
      <c r="GD101" s="289"/>
      <c r="GE101" s="289"/>
      <c r="GF101" s="289"/>
      <c r="GG101" s="289"/>
      <c r="GH101" s="289"/>
      <c r="GI101" s="289"/>
    </row>
    <row r="102" spans="1:216" s="264" customFormat="1" hidden="1">
      <c r="A102" s="289"/>
      <c r="B102" s="289"/>
      <c r="C102" s="291"/>
      <c r="D102" s="291"/>
      <c r="E102" s="291"/>
      <c r="F102" s="291"/>
      <c r="G102" s="291"/>
      <c r="H102" s="291"/>
      <c r="I102" s="291"/>
      <c r="J102" s="291"/>
      <c r="K102" s="291"/>
      <c r="L102" s="292"/>
      <c r="M102" s="289"/>
      <c r="N102" s="289"/>
      <c r="O102" s="289"/>
      <c r="P102" s="289"/>
      <c r="Q102" s="291"/>
      <c r="R102" s="293"/>
      <c r="S102" s="293"/>
      <c r="T102" s="293"/>
      <c r="U102" s="289"/>
      <c r="V102" s="289"/>
      <c r="W102" s="289"/>
      <c r="X102" s="289"/>
      <c r="Y102" s="289"/>
      <c r="Z102" s="289"/>
      <c r="AA102" s="289"/>
      <c r="AB102" s="294"/>
      <c r="AC102" s="289"/>
      <c r="AD102" s="289"/>
      <c r="AE102" s="289"/>
      <c r="AF102" s="295"/>
      <c r="AG102" s="295"/>
      <c r="AH102" s="295"/>
      <c r="AI102" s="295"/>
      <c r="AJ102" s="295"/>
      <c r="AK102" s="289"/>
      <c r="AL102" s="289"/>
      <c r="AM102" s="289"/>
      <c r="AN102" s="289"/>
      <c r="AO102" s="289"/>
      <c r="AP102" s="289"/>
      <c r="AQ102" s="289"/>
      <c r="AR102" s="289"/>
      <c r="AS102" s="296"/>
      <c r="AT102" s="297"/>
      <c r="AU102" s="296"/>
      <c r="AV102" s="294"/>
      <c r="AW102" s="289"/>
      <c r="AX102" s="207"/>
      <c r="AY102" s="207"/>
      <c r="AZ102" s="289"/>
      <c r="BA102" s="289"/>
      <c r="BB102" s="289"/>
      <c r="BC102" s="289"/>
      <c r="BD102" s="298"/>
      <c r="BE102" s="298"/>
      <c r="BF102" s="298"/>
      <c r="BG102" s="298"/>
      <c r="BH102" s="292"/>
      <c r="BI102" s="289"/>
      <c r="BJ102" s="289"/>
      <c r="BK102" s="291"/>
      <c r="BL102" s="291"/>
      <c r="BM102" s="291"/>
      <c r="BN102" s="291"/>
      <c r="BO102" s="289"/>
      <c r="BP102" s="295"/>
      <c r="BQ102" s="289"/>
      <c r="BR102" s="289"/>
      <c r="BS102" s="289"/>
      <c r="BT102" s="289"/>
      <c r="BU102" s="289"/>
      <c r="BV102" s="289"/>
      <c r="BW102" s="289"/>
      <c r="BX102" s="289"/>
      <c r="BY102" s="289"/>
      <c r="BZ102" s="289"/>
      <c r="CA102" s="289"/>
      <c r="CB102" s="289"/>
      <c r="CC102" s="298"/>
      <c r="CD102" s="289"/>
      <c r="CE102" s="289"/>
      <c r="CF102" s="289"/>
      <c r="CG102" s="295"/>
      <c r="CH102" s="295"/>
      <c r="CI102" s="295"/>
      <c r="CJ102" s="289"/>
      <c r="CK102" s="295"/>
      <c r="CL102" s="295"/>
      <c r="CM102" s="295"/>
      <c r="CN102" s="295"/>
      <c r="CO102" s="295"/>
      <c r="CP102" s="295"/>
      <c r="CQ102" s="295"/>
      <c r="CR102" s="295"/>
      <c r="CS102" s="295"/>
      <c r="CT102" s="295"/>
      <c r="CU102" s="291"/>
      <c r="CV102" s="289"/>
      <c r="CW102" s="289"/>
      <c r="CX102" s="289"/>
      <c r="CY102" s="289"/>
      <c r="CZ102" s="289"/>
      <c r="DA102" s="289"/>
      <c r="DB102" s="289"/>
      <c r="DC102" s="289"/>
      <c r="DD102" s="289"/>
      <c r="DE102" s="289"/>
      <c r="DF102" s="289"/>
      <c r="DG102" s="289"/>
      <c r="DH102" s="291"/>
      <c r="DI102" s="289"/>
      <c r="DJ102" s="289"/>
      <c r="DK102" s="292"/>
      <c r="DL102" s="289"/>
      <c r="DM102" s="289"/>
      <c r="DN102" s="207"/>
      <c r="DO102" s="207"/>
      <c r="DP102" s="289"/>
      <c r="DQ102" s="289"/>
      <c r="DR102" s="289"/>
      <c r="DS102" s="289"/>
      <c r="DT102" s="289"/>
      <c r="DU102" s="292"/>
      <c r="DV102" s="292"/>
      <c r="DW102" s="292"/>
      <c r="DX102" s="292"/>
      <c r="DY102" s="292"/>
      <c r="DZ102" s="292"/>
      <c r="EA102" s="292"/>
      <c r="EB102" s="292"/>
      <c r="EC102" s="289"/>
      <c r="ED102" s="292"/>
      <c r="EE102" s="292"/>
      <c r="EF102" s="292"/>
      <c r="EG102" s="289"/>
      <c r="EH102" s="292"/>
      <c r="EI102" s="289"/>
      <c r="EJ102" s="289"/>
      <c r="EK102" s="289"/>
      <c r="EL102" s="289"/>
      <c r="EM102" s="289"/>
      <c r="EN102" s="289"/>
      <c r="EO102" s="289"/>
      <c r="EP102" s="289"/>
      <c r="EQ102" s="289"/>
      <c r="ER102" s="289"/>
      <c r="ES102" s="289"/>
      <c r="ET102" s="289"/>
      <c r="EU102" s="289"/>
      <c r="EV102" s="289"/>
      <c r="EW102" s="289"/>
      <c r="EX102" s="289"/>
      <c r="EY102" s="289"/>
      <c r="EZ102" s="289"/>
      <c r="FA102" s="289"/>
      <c r="FB102" s="289"/>
      <c r="FC102" s="289"/>
      <c r="FD102" s="289"/>
      <c r="FE102" s="289"/>
      <c r="FF102" s="289"/>
      <c r="FG102" s="289"/>
      <c r="FH102" s="289"/>
      <c r="FI102" s="289"/>
      <c r="FJ102" s="289"/>
      <c r="FK102" s="289"/>
      <c r="FL102" s="289"/>
      <c r="FM102" s="289"/>
      <c r="FN102" s="289"/>
      <c r="FO102" s="289"/>
      <c r="FP102" s="289"/>
      <c r="FQ102" s="289"/>
      <c r="FR102" s="289"/>
      <c r="FS102" s="289"/>
      <c r="FT102" s="289"/>
      <c r="FU102" s="289"/>
      <c r="FV102" s="289"/>
      <c r="FW102" s="289"/>
      <c r="FX102" s="289"/>
      <c r="FY102" s="289"/>
      <c r="FZ102" s="289"/>
      <c r="GA102" s="289"/>
      <c r="GB102" s="289"/>
      <c r="GC102" s="289"/>
      <c r="GD102" s="289"/>
      <c r="GE102" s="289"/>
      <c r="GF102" s="289"/>
      <c r="GG102" s="289"/>
      <c r="GH102" s="289"/>
      <c r="GI102" s="289"/>
    </row>
    <row r="103" spans="1:216" s="264" customFormat="1" hidden="1">
      <c r="A103" s="289"/>
      <c r="B103" s="289"/>
      <c r="C103" s="291"/>
      <c r="D103" s="291"/>
      <c r="E103" s="291"/>
      <c r="F103" s="291"/>
      <c r="G103" s="291"/>
      <c r="H103" s="291"/>
      <c r="I103" s="291"/>
      <c r="J103" s="291"/>
      <c r="K103" s="291"/>
      <c r="L103" s="292"/>
      <c r="M103" s="289"/>
      <c r="N103" s="289"/>
      <c r="O103" s="289"/>
      <c r="P103" s="289"/>
      <c r="Q103" s="291"/>
      <c r="R103" s="293"/>
      <c r="S103" s="293"/>
      <c r="T103" s="293"/>
      <c r="U103" s="289"/>
      <c r="V103" s="289"/>
      <c r="W103" s="289"/>
      <c r="X103" s="289"/>
      <c r="Y103" s="289"/>
      <c r="Z103" s="289"/>
      <c r="AA103" s="289"/>
      <c r="AB103" s="294"/>
      <c r="AC103" s="289"/>
      <c r="AD103" s="289"/>
      <c r="AE103" s="289"/>
      <c r="AF103" s="295"/>
      <c r="AG103" s="295"/>
      <c r="AH103" s="295"/>
      <c r="AI103" s="295"/>
      <c r="AJ103" s="295"/>
      <c r="AK103" s="289"/>
      <c r="AL103" s="289"/>
      <c r="AM103" s="289"/>
      <c r="AN103" s="289"/>
      <c r="AO103" s="289"/>
      <c r="AP103" s="289"/>
      <c r="AQ103" s="289"/>
      <c r="AR103" s="289"/>
      <c r="AS103" s="296"/>
      <c r="AT103" s="297"/>
      <c r="AU103" s="296"/>
      <c r="AV103" s="294"/>
      <c r="AW103" s="289"/>
      <c r="AX103" s="207"/>
      <c r="AY103" s="207"/>
      <c r="AZ103" s="289"/>
      <c r="BA103" s="289"/>
      <c r="BB103" s="289"/>
      <c r="BC103" s="289"/>
      <c r="BD103" s="298"/>
      <c r="BE103" s="298"/>
      <c r="BF103" s="298"/>
      <c r="BG103" s="298"/>
      <c r="BH103" s="292"/>
      <c r="BI103" s="289"/>
      <c r="BJ103" s="289"/>
      <c r="BK103" s="291"/>
      <c r="BL103" s="291"/>
      <c r="BM103" s="291"/>
      <c r="BN103" s="291"/>
      <c r="BO103" s="289"/>
      <c r="BP103" s="295"/>
      <c r="BQ103" s="289"/>
      <c r="BR103" s="289"/>
      <c r="BS103" s="289"/>
      <c r="BT103" s="289"/>
      <c r="BU103" s="289"/>
      <c r="BV103" s="289"/>
      <c r="BW103" s="289"/>
      <c r="BX103" s="289"/>
      <c r="BY103" s="289"/>
      <c r="BZ103" s="289"/>
      <c r="CA103" s="289"/>
      <c r="CB103" s="289"/>
      <c r="CC103" s="298"/>
      <c r="CD103" s="289"/>
      <c r="CE103" s="289"/>
      <c r="CF103" s="289"/>
      <c r="CG103" s="295"/>
      <c r="CH103" s="295"/>
      <c r="CI103" s="295"/>
      <c r="CJ103" s="289"/>
      <c r="CK103" s="295"/>
      <c r="CL103" s="295"/>
      <c r="CM103" s="295"/>
      <c r="CN103" s="295"/>
      <c r="CO103" s="295"/>
      <c r="CP103" s="295"/>
      <c r="CQ103" s="295"/>
      <c r="CR103" s="295"/>
      <c r="CS103" s="295"/>
      <c r="CT103" s="295"/>
      <c r="CU103" s="291"/>
      <c r="CV103" s="289"/>
      <c r="CW103" s="289"/>
      <c r="CX103" s="289"/>
      <c r="CY103" s="289"/>
      <c r="CZ103" s="289"/>
      <c r="DA103" s="289"/>
      <c r="DB103" s="289"/>
      <c r="DC103" s="289"/>
      <c r="DD103" s="289"/>
      <c r="DE103" s="289"/>
      <c r="DF103" s="289"/>
      <c r="DG103" s="289"/>
      <c r="DH103" s="291"/>
      <c r="DI103" s="289"/>
      <c r="DJ103" s="289"/>
      <c r="DK103" s="292"/>
      <c r="DL103" s="289"/>
      <c r="DM103" s="289"/>
      <c r="DN103" s="207"/>
      <c r="DO103" s="207"/>
      <c r="DP103" s="289"/>
      <c r="DQ103" s="289"/>
      <c r="DR103" s="289"/>
      <c r="DS103" s="289"/>
      <c r="DT103" s="289"/>
      <c r="DU103" s="292"/>
      <c r="DV103" s="292"/>
      <c r="DW103" s="292"/>
      <c r="DX103" s="292"/>
      <c r="DY103" s="292"/>
      <c r="DZ103" s="292"/>
      <c r="EA103" s="292"/>
      <c r="EB103" s="292"/>
      <c r="EC103" s="289"/>
      <c r="ED103" s="292"/>
      <c r="EE103" s="292"/>
      <c r="EF103" s="292"/>
      <c r="EG103" s="289"/>
      <c r="EH103" s="292"/>
      <c r="EI103" s="289"/>
      <c r="EJ103" s="289"/>
      <c r="EK103" s="289"/>
      <c r="EL103" s="289"/>
      <c r="EM103" s="289"/>
      <c r="EN103" s="289"/>
      <c r="EO103" s="289"/>
      <c r="EP103" s="289"/>
      <c r="EQ103" s="289"/>
      <c r="ER103" s="289"/>
      <c r="ES103" s="289"/>
      <c r="ET103" s="289"/>
      <c r="EU103" s="289"/>
      <c r="EV103" s="289"/>
      <c r="EW103" s="289"/>
      <c r="EX103" s="289"/>
      <c r="EY103" s="289"/>
      <c r="EZ103" s="289"/>
      <c r="FA103" s="289"/>
      <c r="FB103" s="289"/>
      <c r="FC103" s="289"/>
      <c r="FD103" s="289"/>
      <c r="FE103" s="289"/>
      <c r="FF103" s="289"/>
      <c r="FG103" s="289"/>
      <c r="FH103" s="289"/>
      <c r="FI103" s="289"/>
      <c r="FJ103" s="289"/>
      <c r="FK103" s="289"/>
      <c r="FL103" s="289"/>
      <c r="FM103" s="289"/>
      <c r="FN103" s="289"/>
      <c r="FO103" s="289"/>
      <c r="FP103" s="289"/>
      <c r="FQ103" s="289"/>
      <c r="FR103" s="289"/>
      <c r="FS103" s="289"/>
      <c r="FT103" s="289"/>
      <c r="FU103" s="289"/>
      <c r="FV103" s="289"/>
      <c r="FW103" s="289"/>
      <c r="FX103" s="289"/>
      <c r="FY103" s="289"/>
      <c r="FZ103" s="289"/>
      <c r="GA103" s="289"/>
      <c r="GB103" s="289"/>
      <c r="GC103" s="289"/>
      <c r="GD103" s="289"/>
      <c r="GE103" s="289"/>
      <c r="GF103" s="289"/>
      <c r="GG103" s="289"/>
      <c r="GH103" s="289"/>
      <c r="GI103" s="289"/>
    </row>
    <row r="104" spans="1:216" s="264" customFormat="1" hidden="1">
      <c r="A104" s="289"/>
      <c r="B104" s="289"/>
      <c r="C104" s="291"/>
      <c r="D104" s="291"/>
      <c r="E104" s="291"/>
      <c r="F104" s="291"/>
      <c r="G104" s="291"/>
      <c r="H104" s="291"/>
      <c r="I104" s="291"/>
      <c r="J104" s="291"/>
      <c r="K104" s="291"/>
      <c r="L104" s="292"/>
      <c r="M104" s="289"/>
      <c r="N104" s="289"/>
      <c r="O104" s="289"/>
      <c r="P104" s="289"/>
      <c r="Q104" s="291"/>
      <c r="R104" s="293"/>
      <c r="S104" s="293"/>
      <c r="T104" s="293"/>
      <c r="U104" s="289"/>
      <c r="V104" s="289"/>
      <c r="W104" s="289"/>
      <c r="X104" s="289"/>
      <c r="Y104" s="289"/>
      <c r="Z104" s="289"/>
      <c r="AA104" s="289"/>
      <c r="AB104" s="294"/>
      <c r="AC104" s="289"/>
      <c r="AD104" s="289"/>
      <c r="AE104" s="289"/>
      <c r="AF104" s="295"/>
      <c r="AG104" s="295"/>
      <c r="AH104" s="295"/>
      <c r="AI104" s="295"/>
      <c r="AJ104" s="295"/>
      <c r="AK104" s="289"/>
      <c r="AL104" s="289"/>
      <c r="AM104" s="289"/>
      <c r="AN104" s="289"/>
      <c r="AO104" s="289"/>
      <c r="AP104" s="289"/>
      <c r="AQ104" s="289"/>
      <c r="AR104" s="289"/>
      <c r="AS104" s="296"/>
      <c r="AT104" s="297"/>
      <c r="AU104" s="296"/>
      <c r="AV104" s="294"/>
      <c r="AW104" s="289"/>
      <c r="AX104" s="207"/>
      <c r="AY104" s="207"/>
      <c r="AZ104" s="289"/>
      <c r="BA104" s="289"/>
      <c r="BB104" s="289"/>
      <c r="BC104" s="289"/>
      <c r="BD104" s="298"/>
      <c r="BE104" s="298"/>
      <c r="BF104" s="298"/>
      <c r="BG104" s="298"/>
      <c r="BH104" s="292"/>
      <c r="BI104" s="289"/>
      <c r="BJ104" s="289"/>
      <c r="BK104" s="291"/>
      <c r="BL104" s="291"/>
      <c r="BM104" s="291"/>
      <c r="BN104" s="291"/>
      <c r="BO104" s="289"/>
      <c r="BP104" s="295"/>
      <c r="BQ104" s="289"/>
      <c r="BR104" s="289"/>
      <c r="BS104" s="289"/>
      <c r="BT104" s="289"/>
      <c r="BU104" s="289"/>
      <c r="BV104" s="289"/>
      <c r="BW104" s="289"/>
      <c r="BX104" s="289"/>
      <c r="BY104" s="289"/>
      <c r="BZ104" s="289"/>
      <c r="CA104" s="289"/>
      <c r="CB104" s="289"/>
      <c r="CC104" s="298"/>
      <c r="CD104" s="289"/>
      <c r="CE104" s="289"/>
      <c r="CF104" s="289"/>
      <c r="CG104" s="295"/>
      <c r="CH104" s="295"/>
      <c r="CI104" s="295"/>
      <c r="CJ104" s="289"/>
      <c r="CK104" s="295"/>
      <c r="CL104" s="295"/>
      <c r="CM104" s="295"/>
      <c r="CN104" s="295"/>
      <c r="CO104" s="295"/>
      <c r="CP104" s="295"/>
      <c r="CQ104" s="295"/>
      <c r="CR104" s="295"/>
      <c r="CS104" s="295"/>
      <c r="CT104" s="295"/>
      <c r="CU104" s="291"/>
      <c r="CV104" s="289"/>
      <c r="CW104" s="289"/>
      <c r="CX104" s="289"/>
      <c r="CY104" s="289"/>
      <c r="CZ104" s="289"/>
      <c r="DA104" s="289"/>
      <c r="DB104" s="289"/>
      <c r="DC104" s="289"/>
      <c r="DD104" s="289"/>
      <c r="DE104" s="289"/>
      <c r="DF104" s="289"/>
      <c r="DG104" s="289"/>
      <c r="DH104" s="291"/>
      <c r="DI104" s="289"/>
      <c r="DJ104" s="289"/>
      <c r="DK104" s="292"/>
      <c r="DL104" s="289"/>
      <c r="DM104" s="289"/>
      <c r="DN104" s="207"/>
      <c r="DO104" s="207"/>
      <c r="DP104" s="289"/>
      <c r="DQ104" s="289"/>
      <c r="DR104" s="289"/>
      <c r="DS104" s="289"/>
      <c r="DT104" s="289"/>
      <c r="DU104" s="292"/>
      <c r="DV104" s="292"/>
      <c r="DW104" s="292"/>
      <c r="DX104" s="292"/>
      <c r="DY104" s="292"/>
      <c r="DZ104" s="292"/>
      <c r="EA104" s="292"/>
      <c r="EB104" s="292"/>
      <c r="EC104" s="289"/>
      <c r="ED104" s="292"/>
      <c r="EE104" s="292"/>
      <c r="EF104" s="292"/>
      <c r="EG104" s="289"/>
      <c r="EH104" s="292"/>
      <c r="EI104" s="289"/>
      <c r="EJ104" s="289"/>
      <c r="EK104" s="289"/>
      <c r="EL104" s="289"/>
      <c r="EM104" s="289"/>
      <c r="EN104" s="289"/>
      <c r="EO104" s="289"/>
      <c r="EP104" s="289"/>
      <c r="EQ104" s="289"/>
      <c r="ER104" s="289"/>
      <c r="ES104" s="289"/>
      <c r="ET104" s="289"/>
      <c r="EU104" s="289"/>
      <c r="EV104" s="289"/>
      <c r="EW104" s="289"/>
      <c r="EX104" s="289"/>
      <c r="EY104" s="289"/>
      <c r="EZ104" s="289"/>
      <c r="FA104" s="289"/>
      <c r="FB104" s="289"/>
      <c r="FC104" s="289"/>
      <c r="FD104" s="289"/>
      <c r="FE104" s="289"/>
      <c r="FF104" s="289"/>
      <c r="FG104" s="289"/>
      <c r="FH104" s="289"/>
      <c r="FI104" s="289"/>
      <c r="FJ104" s="289"/>
      <c r="FK104" s="289"/>
      <c r="FL104" s="289"/>
      <c r="FM104" s="289"/>
      <c r="FN104" s="289"/>
      <c r="FO104" s="289"/>
      <c r="FP104" s="289"/>
      <c r="FQ104" s="289"/>
      <c r="FR104" s="289"/>
      <c r="FS104" s="289"/>
      <c r="FT104" s="289"/>
      <c r="FU104" s="289"/>
      <c r="FV104" s="289"/>
      <c r="FW104" s="289"/>
      <c r="FX104" s="289"/>
      <c r="FY104" s="289"/>
      <c r="FZ104" s="289"/>
      <c r="GA104" s="289"/>
      <c r="GB104" s="289"/>
      <c r="GC104" s="289"/>
      <c r="GD104" s="289"/>
      <c r="GE104" s="289"/>
      <c r="GF104" s="289"/>
      <c r="GG104" s="289"/>
      <c r="GH104" s="289"/>
      <c r="GI104" s="289"/>
    </row>
    <row r="105" spans="1:216" s="264" customFormat="1" hidden="1">
      <c r="A105" s="289"/>
      <c r="B105" s="289"/>
      <c r="C105" s="291"/>
      <c r="D105" s="291"/>
      <c r="E105" s="291"/>
      <c r="F105" s="291"/>
      <c r="G105" s="291"/>
      <c r="H105" s="291"/>
      <c r="I105" s="291"/>
      <c r="J105" s="291"/>
      <c r="K105" s="291"/>
      <c r="L105" s="292"/>
      <c r="M105" s="289"/>
      <c r="N105" s="289"/>
      <c r="O105" s="289"/>
      <c r="P105" s="289"/>
      <c r="Q105" s="291"/>
      <c r="R105" s="293"/>
      <c r="S105" s="293"/>
      <c r="T105" s="293"/>
      <c r="U105" s="289"/>
      <c r="V105" s="289"/>
      <c r="W105" s="289"/>
      <c r="X105" s="289"/>
      <c r="Y105" s="289"/>
      <c r="Z105" s="289"/>
      <c r="AA105" s="289"/>
      <c r="AB105" s="294"/>
      <c r="AC105" s="289"/>
      <c r="AD105" s="289"/>
      <c r="AE105" s="289"/>
      <c r="AF105" s="295"/>
      <c r="AG105" s="295"/>
      <c r="AH105" s="295"/>
      <c r="AI105" s="295"/>
      <c r="AJ105" s="295"/>
      <c r="AK105" s="289"/>
      <c r="AL105" s="289"/>
      <c r="AM105" s="289"/>
      <c r="AN105" s="289"/>
      <c r="AO105" s="289"/>
      <c r="AP105" s="289"/>
      <c r="AQ105" s="289"/>
      <c r="AR105" s="289"/>
      <c r="AS105" s="296"/>
      <c r="AT105" s="297"/>
      <c r="AU105" s="296"/>
      <c r="AV105" s="294"/>
      <c r="AW105" s="289"/>
      <c r="AX105" s="207"/>
      <c r="AY105" s="207"/>
      <c r="AZ105" s="289"/>
      <c r="BA105" s="289"/>
      <c r="BB105" s="289"/>
      <c r="BC105" s="289"/>
      <c r="BD105" s="298"/>
      <c r="BE105" s="298"/>
      <c r="BF105" s="298"/>
      <c r="BG105" s="298"/>
      <c r="BH105" s="292"/>
      <c r="BI105" s="289"/>
      <c r="BJ105" s="289"/>
      <c r="BK105" s="291"/>
      <c r="BL105" s="291"/>
      <c r="BM105" s="291"/>
      <c r="BN105" s="291"/>
      <c r="BO105" s="289"/>
      <c r="BP105" s="295"/>
      <c r="BQ105" s="289"/>
      <c r="BR105" s="289"/>
      <c r="BS105" s="289"/>
      <c r="BT105" s="289"/>
      <c r="BU105" s="289"/>
      <c r="BV105" s="289"/>
      <c r="BW105" s="289"/>
      <c r="BX105" s="289"/>
      <c r="BY105" s="289"/>
      <c r="BZ105" s="289"/>
      <c r="CA105" s="289"/>
      <c r="CB105" s="289"/>
      <c r="CC105" s="298"/>
      <c r="CD105" s="289"/>
      <c r="CE105" s="289"/>
      <c r="CF105" s="289"/>
      <c r="CG105" s="295"/>
      <c r="CH105" s="295"/>
      <c r="CI105" s="295"/>
      <c r="CJ105" s="289"/>
      <c r="CK105" s="295"/>
      <c r="CL105" s="295"/>
      <c r="CM105" s="295"/>
      <c r="CN105" s="295"/>
      <c r="CO105" s="295"/>
      <c r="CP105" s="295"/>
      <c r="CQ105" s="295"/>
      <c r="CR105" s="295"/>
      <c r="CS105" s="295"/>
      <c r="CT105" s="295"/>
      <c r="CU105" s="291"/>
      <c r="CV105" s="289"/>
      <c r="CW105" s="289"/>
      <c r="CX105" s="289"/>
      <c r="CY105" s="289"/>
      <c r="CZ105" s="289"/>
      <c r="DA105" s="289"/>
      <c r="DB105" s="289"/>
      <c r="DC105" s="289"/>
      <c r="DD105" s="289"/>
      <c r="DE105" s="289"/>
      <c r="DF105" s="289"/>
      <c r="DG105" s="289"/>
      <c r="DH105" s="291"/>
      <c r="DI105" s="289"/>
      <c r="DJ105" s="289"/>
      <c r="DK105" s="292"/>
      <c r="DL105" s="289"/>
      <c r="DM105" s="289"/>
      <c r="DN105" s="207"/>
      <c r="DO105" s="207"/>
      <c r="DP105" s="289"/>
      <c r="DQ105" s="289"/>
      <c r="DR105" s="289"/>
      <c r="DS105" s="289"/>
      <c r="DT105" s="289"/>
      <c r="DU105" s="292"/>
      <c r="DV105" s="292"/>
      <c r="DW105" s="292"/>
      <c r="DX105" s="292"/>
      <c r="DY105" s="292"/>
      <c r="DZ105" s="292"/>
      <c r="EA105" s="292"/>
      <c r="EB105" s="292"/>
      <c r="EC105" s="289"/>
      <c r="ED105" s="292"/>
      <c r="EE105" s="292"/>
      <c r="EF105" s="292"/>
      <c r="EG105" s="289"/>
      <c r="EH105" s="292"/>
      <c r="EI105" s="289"/>
      <c r="EJ105" s="289"/>
      <c r="EK105" s="289"/>
      <c r="EL105" s="289"/>
      <c r="EM105" s="289"/>
      <c r="EN105" s="289"/>
      <c r="EO105" s="289"/>
      <c r="EP105" s="289"/>
      <c r="EQ105" s="289"/>
      <c r="ER105" s="289"/>
      <c r="ES105" s="289"/>
      <c r="ET105" s="289"/>
      <c r="EU105" s="289"/>
      <c r="EV105" s="289"/>
      <c r="EW105" s="289"/>
      <c r="EX105" s="289"/>
      <c r="EY105" s="289"/>
      <c r="EZ105" s="289"/>
      <c r="FA105" s="289"/>
      <c r="FB105" s="289"/>
      <c r="FC105" s="289"/>
      <c r="FD105" s="289"/>
      <c r="FE105" s="289"/>
      <c r="FF105" s="289"/>
      <c r="FG105" s="289"/>
      <c r="FH105" s="289"/>
      <c r="FI105" s="289"/>
      <c r="FJ105" s="289"/>
      <c r="FK105" s="289"/>
      <c r="FL105" s="289"/>
      <c r="FM105" s="289"/>
      <c r="FN105" s="289"/>
      <c r="FO105" s="289"/>
      <c r="FP105" s="289"/>
      <c r="FQ105" s="289"/>
      <c r="FR105" s="289"/>
      <c r="FS105" s="289"/>
      <c r="FT105" s="289"/>
      <c r="FU105" s="289"/>
      <c r="FV105" s="289"/>
      <c r="FW105" s="289"/>
      <c r="FX105" s="289"/>
      <c r="FY105" s="289"/>
      <c r="FZ105" s="289"/>
      <c r="GA105" s="289"/>
      <c r="GB105" s="289"/>
      <c r="GC105" s="289"/>
      <c r="GD105" s="289"/>
      <c r="GE105" s="289"/>
      <c r="GF105" s="289"/>
      <c r="GG105" s="289"/>
      <c r="GH105" s="289"/>
      <c r="GI105" s="289"/>
    </row>
    <row r="106" spans="1:216" s="264" customFormat="1" hidden="1">
      <c r="A106" s="299"/>
      <c r="B106" s="299"/>
      <c r="C106" s="300"/>
      <c r="D106" s="300"/>
      <c r="E106" s="300"/>
      <c r="F106" s="300"/>
      <c r="G106" s="300"/>
      <c r="H106" s="300"/>
      <c r="I106" s="300"/>
      <c r="J106" s="300"/>
      <c r="K106" s="300"/>
      <c r="L106" s="301"/>
      <c r="M106" s="299"/>
      <c r="N106" s="299"/>
      <c r="O106" s="299"/>
      <c r="P106" s="299"/>
      <c r="Q106" s="300"/>
      <c r="R106" s="302"/>
      <c r="S106" s="302"/>
      <c r="T106" s="302"/>
      <c r="U106" s="299"/>
      <c r="V106" s="299"/>
      <c r="W106" s="299"/>
      <c r="X106" s="299"/>
      <c r="Y106" s="299"/>
      <c r="Z106" s="299"/>
      <c r="AA106" s="299"/>
      <c r="AB106" s="303"/>
      <c r="AC106" s="299"/>
      <c r="AD106" s="299"/>
      <c r="AE106" s="299"/>
      <c r="AF106" s="304"/>
      <c r="AG106" s="304"/>
      <c r="AH106" s="304"/>
      <c r="AI106" s="304"/>
      <c r="AJ106" s="304"/>
      <c r="AK106" s="299"/>
      <c r="AL106" s="299"/>
      <c r="AM106" s="299"/>
      <c r="AN106" s="299"/>
      <c r="AO106" s="299"/>
      <c r="AP106" s="299"/>
      <c r="AQ106" s="299"/>
      <c r="AR106" s="299"/>
      <c r="AS106" s="305"/>
      <c r="AT106" s="306"/>
      <c r="AU106" s="305"/>
      <c r="AV106" s="303"/>
      <c r="AW106" s="299"/>
      <c r="AX106" s="307"/>
      <c r="AY106" s="307"/>
      <c r="AZ106" s="299"/>
      <c r="BA106" s="299"/>
      <c r="BB106" s="299"/>
      <c r="BC106" s="299"/>
      <c r="BD106" s="308"/>
      <c r="BE106" s="308"/>
      <c r="BF106" s="308"/>
      <c r="BG106" s="308"/>
      <c r="BH106" s="301"/>
      <c r="BI106" s="299"/>
      <c r="BJ106" s="299"/>
      <c r="BK106" s="300"/>
      <c r="BL106" s="300"/>
      <c r="BM106" s="300"/>
      <c r="BN106" s="300"/>
      <c r="BO106" s="299"/>
      <c r="BP106" s="304"/>
      <c r="BQ106" s="299"/>
      <c r="BR106" s="299"/>
      <c r="BS106" s="299"/>
      <c r="BT106" s="299"/>
      <c r="BU106" s="299"/>
      <c r="BV106" s="299"/>
      <c r="BW106" s="299"/>
      <c r="BX106" s="299"/>
      <c r="BY106" s="299"/>
      <c r="BZ106" s="299"/>
      <c r="CA106" s="299"/>
      <c r="CB106" s="299"/>
      <c r="CC106" s="308"/>
      <c r="CD106" s="299"/>
      <c r="CE106" s="299"/>
      <c r="CF106" s="299"/>
      <c r="CG106" s="304"/>
      <c r="CH106" s="304"/>
      <c r="CI106" s="304"/>
      <c r="CJ106" s="299"/>
      <c r="CK106" s="304"/>
      <c r="CL106" s="304"/>
      <c r="CM106" s="304"/>
      <c r="CN106" s="304"/>
      <c r="CO106" s="304"/>
      <c r="CP106" s="304"/>
      <c r="CQ106" s="304"/>
      <c r="CR106" s="304"/>
      <c r="CS106" s="304"/>
      <c r="CT106" s="304"/>
      <c r="CU106" s="300"/>
      <c r="CV106" s="299"/>
      <c r="CW106" s="299"/>
      <c r="CX106" s="299"/>
      <c r="CY106" s="299"/>
      <c r="CZ106" s="299"/>
      <c r="DA106" s="299"/>
      <c r="DB106" s="299"/>
      <c r="DC106" s="299"/>
      <c r="DD106" s="299"/>
      <c r="DE106" s="299"/>
      <c r="DF106" s="299"/>
      <c r="DG106" s="299"/>
      <c r="DH106" s="300"/>
      <c r="DI106" s="299"/>
      <c r="DJ106" s="299"/>
      <c r="DK106" s="301"/>
      <c r="DL106" s="299"/>
      <c r="DM106" s="299"/>
      <c r="DN106" s="307"/>
      <c r="DO106" s="307"/>
      <c r="DP106" s="299"/>
      <c r="DQ106" s="299"/>
      <c r="DR106" s="299"/>
      <c r="DS106" s="299"/>
      <c r="DT106" s="299"/>
      <c r="DU106" s="301"/>
      <c r="DV106" s="301"/>
      <c r="DW106" s="301"/>
      <c r="DX106" s="301"/>
      <c r="DY106" s="301"/>
      <c r="DZ106" s="301"/>
      <c r="EA106" s="301"/>
      <c r="EB106" s="301"/>
      <c r="EC106" s="299"/>
      <c r="ED106" s="301"/>
      <c r="EE106" s="301"/>
      <c r="EF106" s="301"/>
      <c r="EG106" s="299"/>
      <c r="EH106" s="301"/>
      <c r="EI106" s="299"/>
      <c r="EJ106" s="299"/>
      <c r="EK106" s="299"/>
      <c r="EL106" s="299"/>
      <c r="EM106" s="299"/>
      <c r="EN106" s="299"/>
      <c r="EO106" s="299"/>
      <c r="EP106" s="299"/>
      <c r="EQ106" s="299"/>
      <c r="ER106" s="299"/>
      <c r="ES106" s="299"/>
      <c r="ET106" s="299"/>
      <c r="EU106" s="299"/>
      <c r="EV106" s="299"/>
      <c r="EW106" s="299"/>
      <c r="EX106" s="299"/>
      <c r="EY106" s="299"/>
      <c r="EZ106" s="299"/>
      <c r="FA106" s="299"/>
      <c r="FB106" s="299"/>
      <c r="FC106" s="299"/>
      <c r="FD106" s="299"/>
      <c r="FE106" s="299"/>
      <c r="FF106" s="299"/>
      <c r="FG106" s="299"/>
      <c r="FH106" s="299"/>
      <c r="FI106" s="299"/>
      <c r="FJ106" s="299"/>
      <c r="FK106" s="299"/>
      <c r="FL106" s="299"/>
      <c r="FM106" s="299"/>
      <c r="FN106" s="299"/>
      <c r="FO106" s="299"/>
      <c r="FP106" s="299"/>
      <c r="FQ106" s="299"/>
      <c r="FR106" s="299"/>
      <c r="FS106" s="299"/>
      <c r="FT106" s="299"/>
      <c r="FU106" s="299"/>
      <c r="FV106" s="299"/>
      <c r="FW106" s="299"/>
      <c r="FX106" s="299"/>
      <c r="FY106" s="299"/>
      <c r="FZ106" s="299"/>
      <c r="GA106" s="299"/>
      <c r="GB106" s="299"/>
      <c r="GC106" s="299"/>
      <c r="GD106" s="299"/>
      <c r="GE106" s="299"/>
      <c r="GF106" s="299"/>
      <c r="GG106" s="299"/>
      <c r="GH106" s="299"/>
      <c r="GI106" s="299"/>
      <c r="GJ106" s="299"/>
      <c r="GK106" s="299"/>
      <c r="GL106" s="299"/>
      <c r="GM106" s="299"/>
      <c r="GN106" s="299"/>
      <c r="GO106" s="299"/>
      <c r="GP106" s="299"/>
      <c r="GQ106" s="299"/>
      <c r="GR106" s="299"/>
      <c r="GS106" s="299"/>
      <c r="GT106" s="299"/>
      <c r="GU106" s="299"/>
      <c r="GV106" s="299"/>
      <c r="GW106" s="299"/>
      <c r="GX106" s="299"/>
      <c r="GY106" s="299"/>
      <c r="GZ106" s="299"/>
      <c r="HA106" s="299"/>
      <c r="HB106" s="299"/>
      <c r="HC106" s="299"/>
      <c r="HD106" s="299"/>
      <c r="HE106" s="299"/>
      <c r="HF106" s="299"/>
      <c r="HG106" s="299"/>
      <c r="HH106" s="299"/>
    </row>
    <row r="107" spans="1:216" s="264" customFormat="1" hidden="1">
      <c r="A107" s="299"/>
      <c r="B107" s="299"/>
      <c r="C107" s="300"/>
      <c r="D107" s="300"/>
      <c r="E107" s="300"/>
      <c r="F107" s="300"/>
      <c r="G107" s="300"/>
      <c r="H107" s="300"/>
      <c r="I107" s="300"/>
      <c r="J107" s="300"/>
      <c r="K107" s="300"/>
      <c r="L107" s="301"/>
      <c r="M107" s="299"/>
      <c r="N107" s="299"/>
      <c r="O107" s="299"/>
      <c r="P107" s="299"/>
      <c r="Q107" s="300"/>
      <c r="R107" s="302"/>
      <c r="S107" s="302"/>
      <c r="T107" s="302"/>
      <c r="U107" s="299"/>
      <c r="V107" s="299"/>
      <c r="W107" s="299"/>
      <c r="X107" s="299"/>
      <c r="Y107" s="299"/>
      <c r="Z107" s="299"/>
      <c r="AA107" s="299"/>
      <c r="AB107" s="303"/>
      <c r="AC107" s="299"/>
      <c r="AD107" s="299"/>
      <c r="AE107" s="299"/>
      <c r="AF107" s="304"/>
      <c r="AG107" s="304"/>
      <c r="AH107" s="304"/>
      <c r="AI107" s="304"/>
      <c r="AJ107" s="304"/>
      <c r="AK107" s="299"/>
      <c r="AL107" s="299"/>
      <c r="AM107" s="299"/>
      <c r="AN107" s="299"/>
      <c r="AO107" s="299"/>
      <c r="AP107" s="299"/>
      <c r="AQ107" s="299"/>
      <c r="AR107" s="299"/>
      <c r="AS107" s="305"/>
      <c r="AT107" s="306"/>
      <c r="AU107" s="305"/>
      <c r="AV107" s="303"/>
      <c r="AW107" s="299"/>
      <c r="AX107" s="307"/>
      <c r="AY107" s="307"/>
      <c r="AZ107" s="299"/>
      <c r="BA107" s="299"/>
      <c r="BB107" s="299"/>
      <c r="BC107" s="299"/>
      <c r="BD107" s="308"/>
      <c r="BE107" s="308"/>
      <c r="BF107" s="308"/>
      <c r="BG107" s="308"/>
      <c r="BH107" s="301"/>
      <c r="BI107" s="299"/>
      <c r="BJ107" s="299"/>
      <c r="BK107" s="300"/>
      <c r="BL107" s="300"/>
      <c r="BM107" s="300"/>
      <c r="BN107" s="300"/>
      <c r="BO107" s="299"/>
      <c r="BP107" s="304"/>
      <c r="BQ107" s="299"/>
      <c r="BR107" s="299"/>
      <c r="BS107" s="299"/>
      <c r="BT107" s="299"/>
      <c r="BU107" s="299"/>
      <c r="BV107" s="299"/>
      <c r="BW107" s="299"/>
      <c r="BX107" s="299"/>
      <c r="BY107" s="299"/>
      <c r="BZ107" s="299"/>
      <c r="CA107" s="299"/>
      <c r="CB107" s="299"/>
      <c r="CC107" s="308"/>
      <c r="CD107" s="299"/>
      <c r="CE107" s="299"/>
      <c r="CF107" s="299"/>
      <c r="CG107" s="304"/>
      <c r="CH107" s="304"/>
      <c r="CI107" s="304"/>
      <c r="CJ107" s="299"/>
      <c r="CK107" s="304"/>
      <c r="CL107" s="304"/>
      <c r="CM107" s="304"/>
      <c r="CN107" s="304"/>
      <c r="CO107" s="304"/>
      <c r="CP107" s="304"/>
      <c r="CQ107" s="304"/>
      <c r="CR107" s="304"/>
      <c r="CS107" s="304"/>
      <c r="CT107" s="304"/>
      <c r="CU107" s="300"/>
      <c r="CV107" s="299"/>
      <c r="CW107" s="299"/>
      <c r="CX107" s="299"/>
      <c r="CY107" s="299"/>
      <c r="CZ107" s="299"/>
      <c r="DA107" s="299"/>
      <c r="DB107" s="299"/>
      <c r="DC107" s="299"/>
      <c r="DD107" s="299"/>
      <c r="DE107" s="299"/>
      <c r="DF107" s="299"/>
      <c r="DG107" s="299"/>
      <c r="DH107" s="300"/>
      <c r="DI107" s="299"/>
      <c r="DJ107" s="299"/>
      <c r="DK107" s="301"/>
      <c r="DL107" s="299"/>
      <c r="DM107" s="299"/>
      <c r="DN107" s="307"/>
      <c r="DO107" s="307"/>
      <c r="DP107" s="299"/>
      <c r="DQ107" s="299"/>
      <c r="DR107" s="299"/>
      <c r="DS107" s="299"/>
      <c r="DT107" s="299"/>
      <c r="DU107" s="301"/>
      <c r="DV107" s="301"/>
      <c r="DW107" s="301"/>
      <c r="DX107" s="301"/>
      <c r="DY107" s="301"/>
      <c r="DZ107" s="301"/>
      <c r="EA107" s="301"/>
      <c r="EB107" s="301"/>
      <c r="EC107" s="299"/>
      <c r="ED107" s="301"/>
      <c r="EE107" s="301"/>
      <c r="EF107" s="301"/>
      <c r="EG107" s="299"/>
      <c r="EH107" s="301"/>
      <c r="EI107" s="299"/>
      <c r="EJ107" s="299"/>
      <c r="EK107" s="299"/>
      <c r="EL107" s="299"/>
      <c r="EM107" s="299"/>
      <c r="EN107" s="299"/>
      <c r="EO107" s="299"/>
      <c r="EP107" s="299"/>
      <c r="EQ107" s="299"/>
      <c r="ER107" s="299"/>
      <c r="ES107" s="299"/>
      <c r="ET107" s="299"/>
      <c r="EU107" s="299"/>
      <c r="EV107" s="299"/>
      <c r="EW107" s="299"/>
      <c r="EX107" s="299"/>
      <c r="EY107" s="299"/>
      <c r="EZ107" s="299"/>
      <c r="FA107" s="299"/>
      <c r="FB107" s="299"/>
      <c r="FC107" s="299"/>
      <c r="FD107" s="299"/>
      <c r="FE107" s="299"/>
      <c r="FF107" s="299"/>
      <c r="FG107" s="299"/>
      <c r="FH107" s="299"/>
      <c r="FI107" s="299"/>
      <c r="FJ107" s="299"/>
      <c r="FK107" s="299"/>
      <c r="FL107" s="299"/>
      <c r="FM107" s="299"/>
      <c r="FN107" s="299"/>
      <c r="FO107" s="299"/>
      <c r="FP107" s="299"/>
      <c r="FQ107" s="299"/>
      <c r="FR107" s="299"/>
      <c r="FS107" s="299"/>
      <c r="FT107" s="299"/>
      <c r="FU107" s="299"/>
      <c r="FV107" s="299"/>
      <c r="FW107" s="299"/>
      <c r="FX107" s="299"/>
      <c r="FY107" s="299"/>
      <c r="FZ107" s="299"/>
      <c r="GA107" s="299"/>
      <c r="GB107" s="299"/>
      <c r="GC107" s="299"/>
      <c r="GD107" s="299"/>
      <c r="GE107" s="299"/>
      <c r="GF107" s="299"/>
      <c r="GG107" s="299"/>
      <c r="GH107" s="299"/>
      <c r="GI107" s="299"/>
      <c r="GJ107" s="299"/>
      <c r="GK107" s="299"/>
      <c r="GL107" s="299"/>
      <c r="GM107" s="299"/>
      <c r="GN107" s="299"/>
      <c r="GO107" s="299"/>
      <c r="GP107" s="299"/>
      <c r="GQ107" s="299"/>
      <c r="GR107" s="299"/>
      <c r="GS107" s="299"/>
      <c r="GT107" s="299"/>
      <c r="GU107" s="299"/>
      <c r="GV107" s="299"/>
      <c r="GW107" s="299"/>
      <c r="GX107" s="299"/>
      <c r="GY107" s="299"/>
      <c r="GZ107" s="299"/>
      <c r="HA107" s="299"/>
      <c r="HB107" s="299"/>
      <c r="HC107" s="299"/>
      <c r="HD107" s="299"/>
      <c r="HE107" s="299"/>
      <c r="HF107" s="299"/>
      <c r="HG107" s="299"/>
      <c r="HH107" s="299"/>
    </row>
    <row r="108" spans="1:216" s="264" customFormat="1" hidden="1">
      <c r="A108" s="299"/>
      <c r="B108" s="299"/>
      <c r="C108" s="300"/>
      <c r="D108" s="300"/>
      <c r="E108" s="300"/>
      <c r="F108" s="300"/>
      <c r="G108" s="300"/>
      <c r="H108" s="300"/>
      <c r="I108" s="300"/>
      <c r="J108" s="300"/>
      <c r="K108" s="300"/>
      <c r="L108" s="301"/>
      <c r="M108" s="299"/>
      <c r="N108" s="299"/>
      <c r="O108" s="299"/>
      <c r="P108" s="299"/>
      <c r="Q108" s="300"/>
      <c r="R108" s="302"/>
      <c r="S108" s="302"/>
      <c r="T108" s="302"/>
      <c r="U108" s="299"/>
      <c r="V108" s="299"/>
      <c r="W108" s="299"/>
      <c r="X108" s="299"/>
      <c r="Y108" s="299"/>
      <c r="Z108" s="299"/>
      <c r="AA108" s="299"/>
      <c r="AB108" s="303"/>
      <c r="AC108" s="299"/>
      <c r="AD108" s="299"/>
      <c r="AE108" s="299"/>
      <c r="AF108" s="304"/>
      <c r="AG108" s="304"/>
      <c r="AH108" s="304"/>
      <c r="AI108" s="304"/>
      <c r="AJ108" s="304"/>
      <c r="AK108" s="299"/>
      <c r="AL108" s="299"/>
      <c r="AM108" s="299"/>
      <c r="AN108" s="299"/>
      <c r="AO108" s="299"/>
      <c r="AP108" s="299"/>
      <c r="AQ108" s="299"/>
      <c r="AR108" s="299"/>
      <c r="AS108" s="305"/>
      <c r="AT108" s="306"/>
      <c r="AU108" s="305"/>
      <c r="AV108" s="303"/>
      <c r="AW108" s="299"/>
      <c r="AX108" s="307"/>
      <c r="AY108" s="307"/>
      <c r="AZ108" s="299"/>
      <c r="BA108" s="299"/>
      <c r="BB108" s="299"/>
      <c r="BC108" s="299"/>
      <c r="BD108" s="308"/>
      <c r="BE108" s="308"/>
      <c r="BF108" s="308"/>
      <c r="BG108" s="308"/>
      <c r="BH108" s="301"/>
      <c r="BI108" s="299"/>
      <c r="BJ108" s="299"/>
      <c r="BK108" s="300"/>
      <c r="BL108" s="300"/>
      <c r="BM108" s="300"/>
      <c r="BN108" s="300"/>
      <c r="BO108" s="299"/>
      <c r="BP108" s="304"/>
      <c r="BQ108" s="299"/>
      <c r="BR108" s="299"/>
      <c r="BS108" s="299"/>
      <c r="BT108" s="299"/>
      <c r="BU108" s="299"/>
      <c r="BV108" s="299"/>
      <c r="BW108" s="299"/>
      <c r="BX108" s="299"/>
      <c r="BY108" s="299"/>
      <c r="BZ108" s="299"/>
      <c r="CA108" s="299"/>
      <c r="CB108" s="299"/>
      <c r="CC108" s="308"/>
      <c r="CD108" s="299"/>
      <c r="CE108" s="299"/>
      <c r="CF108" s="299"/>
      <c r="CG108" s="304"/>
      <c r="CH108" s="304"/>
      <c r="CI108" s="304"/>
      <c r="CJ108" s="299"/>
      <c r="CK108" s="304"/>
      <c r="CL108" s="304"/>
      <c r="CM108" s="304"/>
      <c r="CN108" s="304"/>
      <c r="CO108" s="304"/>
      <c r="CP108" s="304"/>
      <c r="CQ108" s="304"/>
      <c r="CR108" s="304"/>
      <c r="CS108" s="304"/>
      <c r="CT108" s="304"/>
      <c r="CU108" s="300"/>
      <c r="CV108" s="299"/>
      <c r="CW108" s="299"/>
      <c r="CX108" s="299"/>
      <c r="CY108" s="299"/>
      <c r="CZ108" s="299"/>
      <c r="DA108" s="299"/>
      <c r="DB108" s="299"/>
      <c r="DC108" s="299"/>
      <c r="DD108" s="299"/>
      <c r="DE108" s="299"/>
      <c r="DF108" s="299"/>
      <c r="DG108" s="299"/>
      <c r="DH108" s="300"/>
      <c r="DI108" s="299"/>
      <c r="DJ108" s="299"/>
      <c r="DK108" s="301"/>
      <c r="DL108" s="299"/>
      <c r="DM108" s="299"/>
      <c r="DN108" s="307"/>
      <c r="DO108" s="307"/>
      <c r="DP108" s="299"/>
      <c r="DQ108" s="299"/>
      <c r="DR108" s="299"/>
      <c r="DS108" s="299"/>
      <c r="DT108" s="299"/>
      <c r="DU108" s="301"/>
      <c r="DV108" s="301"/>
      <c r="DW108" s="301"/>
      <c r="DX108" s="301"/>
      <c r="DY108" s="301"/>
      <c r="DZ108" s="301"/>
      <c r="EA108" s="301"/>
      <c r="EB108" s="301"/>
      <c r="EC108" s="299"/>
      <c r="ED108" s="301"/>
      <c r="EE108" s="301"/>
      <c r="EF108" s="301"/>
      <c r="EG108" s="299"/>
      <c r="EH108" s="301"/>
      <c r="EI108" s="299"/>
      <c r="EJ108" s="299"/>
      <c r="EK108" s="299"/>
      <c r="EL108" s="299"/>
      <c r="EM108" s="299"/>
      <c r="EN108" s="299"/>
      <c r="EO108" s="299"/>
      <c r="EP108" s="299"/>
      <c r="EQ108" s="299"/>
      <c r="ER108" s="299"/>
      <c r="ES108" s="299"/>
      <c r="ET108" s="299"/>
      <c r="EU108" s="299"/>
      <c r="EV108" s="299"/>
      <c r="EW108" s="299"/>
      <c r="EX108" s="299"/>
      <c r="EY108" s="299"/>
      <c r="EZ108" s="299"/>
      <c r="FA108" s="299"/>
      <c r="FB108" s="299"/>
      <c r="FC108" s="299"/>
      <c r="FD108" s="299"/>
      <c r="FE108" s="299"/>
      <c r="FF108" s="299"/>
      <c r="FG108" s="299"/>
      <c r="FH108" s="299"/>
      <c r="FI108" s="299"/>
      <c r="FJ108" s="299"/>
      <c r="FK108" s="299"/>
      <c r="FL108" s="299"/>
      <c r="FM108" s="299"/>
      <c r="FN108" s="299"/>
      <c r="FO108" s="299"/>
      <c r="FP108" s="299"/>
      <c r="FQ108" s="299"/>
      <c r="FR108" s="299"/>
      <c r="FS108" s="299"/>
      <c r="FT108" s="299"/>
      <c r="FU108" s="299"/>
      <c r="FV108" s="299"/>
      <c r="FW108" s="299"/>
      <c r="FX108" s="299"/>
      <c r="FY108" s="299"/>
      <c r="FZ108" s="299"/>
      <c r="GA108" s="299"/>
      <c r="GB108" s="299"/>
      <c r="GC108" s="299"/>
      <c r="GD108" s="299"/>
      <c r="GE108" s="299"/>
      <c r="GF108" s="299"/>
      <c r="GG108" s="299"/>
      <c r="GH108" s="299"/>
      <c r="GI108" s="299"/>
      <c r="GJ108" s="299"/>
      <c r="GK108" s="299"/>
      <c r="GL108" s="299"/>
      <c r="GM108" s="299"/>
      <c r="GN108" s="299"/>
      <c r="GO108" s="299"/>
      <c r="GP108" s="299"/>
      <c r="GQ108" s="299"/>
      <c r="GR108" s="299"/>
      <c r="GS108" s="299"/>
      <c r="GT108" s="299"/>
      <c r="GU108" s="299"/>
      <c r="GV108" s="299"/>
      <c r="GW108" s="299"/>
      <c r="GX108" s="299"/>
      <c r="GY108" s="299"/>
      <c r="GZ108" s="299"/>
      <c r="HA108" s="299"/>
      <c r="HB108" s="299"/>
      <c r="HC108" s="299"/>
      <c r="HD108" s="299"/>
      <c r="HE108" s="299"/>
      <c r="HF108" s="299"/>
      <c r="HG108" s="299"/>
      <c r="HH108" s="299"/>
    </row>
    <row r="109" spans="1:216" s="264" customFormat="1" hidden="1">
      <c r="A109" s="299"/>
      <c r="B109" s="299"/>
      <c r="C109" s="300"/>
      <c r="D109" s="300"/>
      <c r="E109" s="300"/>
      <c r="F109" s="300"/>
      <c r="G109" s="300"/>
      <c r="H109" s="300"/>
      <c r="I109" s="300"/>
      <c r="J109" s="300"/>
      <c r="K109" s="300"/>
      <c r="L109" s="301"/>
      <c r="M109" s="299"/>
      <c r="N109" s="299"/>
      <c r="O109" s="299"/>
      <c r="P109" s="299"/>
      <c r="Q109" s="300"/>
      <c r="R109" s="302"/>
      <c r="S109" s="302"/>
      <c r="T109" s="302"/>
      <c r="U109" s="299"/>
      <c r="V109" s="299"/>
      <c r="W109" s="299"/>
      <c r="X109" s="299"/>
      <c r="Y109" s="299"/>
      <c r="Z109" s="299"/>
      <c r="AA109" s="299"/>
      <c r="AB109" s="303"/>
      <c r="AC109" s="299"/>
      <c r="AD109" s="299"/>
      <c r="AE109" s="299"/>
      <c r="AF109" s="304"/>
      <c r="AG109" s="304"/>
      <c r="AH109" s="304"/>
      <c r="AI109" s="304"/>
      <c r="AJ109" s="304"/>
      <c r="AK109" s="299"/>
      <c r="AL109" s="299"/>
      <c r="AM109" s="299"/>
      <c r="AN109" s="299"/>
      <c r="AO109" s="299"/>
      <c r="AP109" s="299"/>
      <c r="AQ109" s="299"/>
      <c r="AR109" s="299"/>
      <c r="AS109" s="305"/>
      <c r="AT109" s="306"/>
      <c r="AU109" s="305"/>
      <c r="AV109" s="303"/>
      <c r="AW109" s="299"/>
      <c r="AX109" s="307"/>
      <c r="AY109" s="307"/>
      <c r="AZ109" s="299"/>
      <c r="BA109" s="299"/>
      <c r="BB109" s="299"/>
      <c r="BC109" s="299"/>
      <c r="BD109" s="308"/>
      <c r="BE109" s="308"/>
      <c r="BF109" s="308"/>
      <c r="BG109" s="308"/>
      <c r="BH109" s="301"/>
      <c r="BI109" s="299"/>
      <c r="BJ109" s="299"/>
      <c r="BK109" s="300"/>
      <c r="BL109" s="300"/>
      <c r="BM109" s="300"/>
      <c r="BN109" s="300"/>
      <c r="BO109" s="299"/>
      <c r="BP109" s="304"/>
      <c r="BQ109" s="299"/>
      <c r="BR109" s="299"/>
      <c r="BS109" s="299"/>
      <c r="BT109" s="299"/>
      <c r="BU109" s="299"/>
      <c r="BV109" s="299"/>
      <c r="BW109" s="299"/>
      <c r="BX109" s="299"/>
      <c r="BY109" s="299"/>
      <c r="BZ109" s="299"/>
      <c r="CA109" s="299"/>
      <c r="CB109" s="299"/>
      <c r="CC109" s="308"/>
      <c r="CD109" s="299"/>
      <c r="CE109" s="299"/>
      <c r="CF109" s="299"/>
      <c r="CG109" s="304"/>
      <c r="CH109" s="304"/>
      <c r="CI109" s="304"/>
      <c r="CJ109" s="299"/>
      <c r="CK109" s="304"/>
      <c r="CL109" s="304"/>
      <c r="CM109" s="304"/>
      <c r="CN109" s="304"/>
      <c r="CO109" s="304"/>
      <c r="CP109" s="304"/>
      <c r="CQ109" s="304"/>
      <c r="CR109" s="304"/>
      <c r="CS109" s="304"/>
      <c r="CT109" s="304"/>
      <c r="CU109" s="300"/>
      <c r="CV109" s="299"/>
      <c r="CW109" s="299"/>
      <c r="CX109" s="299"/>
      <c r="CY109" s="299"/>
      <c r="CZ109" s="299"/>
      <c r="DA109" s="299"/>
      <c r="DB109" s="299"/>
      <c r="DC109" s="299"/>
      <c r="DD109" s="299"/>
      <c r="DE109" s="299"/>
      <c r="DF109" s="299"/>
      <c r="DG109" s="299"/>
      <c r="DH109" s="300"/>
      <c r="DI109" s="299"/>
      <c r="DJ109" s="299"/>
      <c r="DK109" s="301"/>
      <c r="DL109" s="299"/>
      <c r="DM109" s="299"/>
      <c r="DN109" s="307"/>
      <c r="DO109" s="307"/>
      <c r="DP109" s="299"/>
      <c r="DQ109" s="299"/>
      <c r="DR109" s="299"/>
      <c r="DS109" s="299"/>
      <c r="DT109" s="299"/>
      <c r="DU109" s="301"/>
      <c r="DV109" s="301"/>
      <c r="DW109" s="301"/>
      <c r="DX109" s="301"/>
      <c r="DY109" s="301"/>
      <c r="DZ109" s="301"/>
      <c r="EA109" s="301"/>
      <c r="EB109" s="301"/>
      <c r="EC109" s="299"/>
      <c r="ED109" s="301"/>
      <c r="EE109" s="301"/>
      <c r="EF109" s="301"/>
      <c r="EG109" s="299"/>
      <c r="EH109" s="301"/>
      <c r="EI109" s="299"/>
      <c r="EJ109" s="299"/>
      <c r="EK109" s="299"/>
      <c r="EL109" s="299"/>
      <c r="EM109" s="299"/>
      <c r="EN109" s="299"/>
      <c r="EO109" s="299"/>
      <c r="EP109" s="299"/>
      <c r="EQ109" s="299"/>
      <c r="ER109" s="299"/>
      <c r="ES109" s="299"/>
      <c r="ET109" s="299"/>
      <c r="EU109" s="299"/>
      <c r="EV109" s="299"/>
      <c r="EW109" s="299"/>
      <c r="EX109" s="299"/>
      <c r="EY109" s="299"/>
      <c r="EZ109" s="299"/>
      <c r="FA109" s="299"/>
      <c r="FB109" s="299"/>
      <c r="FC109" s="299"/>
      <c r="FD109" s="299"/>
      <c r="FE109" s="299"/>
      <c r="FF109" s="299"/>
      <c r="FG109" s="299"/>
      <c r="FH109" s="299"/>
      <c r="FI109" s="299"/>
      <c r="FJ109" s="299"/>
      <c r="FK109" s="299"/>
      <c r="FL109" s="299"/>
      <c r="FM109" s="299"/>
      <c r="FN109" s="299"/>
      <c r="FO109" s="299"/>
      <c r="FP109" s="299"/>
      <c r="FQ109" s="299"/>
      <c r="FR109" s="299"/>
      <c r="FS109" s="299"/>
      <c r="FT109" s="299"/>
      <c r="FU109" s="299"/>
      <c r="FV109" s="299"/>
      <c r="FW109" s="299"/>
      <c r="FX109" s="299"/>
      <c r="FY109" s="299"/>
      <c r="FZ109" s="299"/>
      <c r="GA109" s="299"/>
      <c r="GB109" s="299"/>
      <c r="GC109" s="299"/>
      <c r="GD109" s="299"/>
      <c r="GE109" s="299"/>
      <c r="GF109" s="299"/>
      <c r="GG109" s="299"/>
      <c r="GH109" s="299"/>
      <c r="GI109" s="299"/>
      <c r="GJ109" s="299"/>
      <c r="GK109" s="299"/>
      <c r="GL109" s="299"/>
      <c r="GM109" s="299"/>
      <c r="GN109" s="299"/>
      <c r="GO109" s="299"/>
      <c r="GP109" s="299"/>
      <c r="GQ109" s="299"/>
      <c r="GR109" s="299"/>
      <c r="GS109" s="299"/>
      <c r="GT109" s="299"/>
      <c r="GU109" s="299"/>
      <c r="GV109" s="299"/>
      <c r="GW109" s="299"/>
      <c r="GX109" s="299"/>
      <c r="GY109" s="299"/>
      <c r="GZ109" s="299"/>
      <c r="HA109" s="299"/>
      <c r="HB109" s="299"/>
      <c r="HC109" s="299"/>
      <c r="HD109" s="299"/>
      <c r="HE109" s="299"/>
      <c r="HF109" s="299"/>
      <c r="HG109" s="299"/>
      <c r="HH109" s="299"/>
    </row>
    <row r="110" spans="1:216" s="264" customFormat="1" hidden="1">
      <c r="A110" s="299"/>
      <c r="B110" s="299"/>
      <c r="C110" s="300"/>
      <c r="D110" s="300"/>
      <c r="E110" s="300"/>
      <c r="F110" s="300"/>
      <c r="G110" s="300"/>
      <c r="H110" s="300"/>
      <c r="I110" s="300"/>
      <c r="J110" s="300"/>
      <c r="K110" s="300"/>
      <c r="L110" s="301"/>
      <c r="M110" s="299"/>
      <c r="N110" s="299"/>
      <c r="O110" s="299"/>
      <c r="P110" s="299"/>
      <c r="Q110" s="300"/>
      <c r="R110" s="302"/>
      <c r="S110" s="302"/>
      <c r="T110" s="302"/>
      <c r="U110" s="299"/>
      <c r="V110" s="299"/>
      <c r="W110" s="299"/>
      <c r="X110" s="299"/>
      <c r="Y110" s="299"/>
      <c r="Z110" s="299"/>
      <c r="AA110" s="299"/>
      <c r="AB110" s="303"/>
      <c r="AC110" s="299"/>
      <c r="AD110" s="299"/>
      <c r="AE110" s="299"/>
      <c r="AF110" s="304"/>
      <c r="AG110" s="304"/>
      <c r="AH110" s="304"/>
      <c r="AI110" s="304"/>
      <c r="AJ110" s="304"/>
      <c r="AK110" s="299"/>
      <c r="AL110" s="299"/>
      <c r="AM110" s="299"/>
      <c r="AN110" s="299"/>
      <c r="AO110" s="299"/>
      <c r="AP110" s="299"/>
      <c r="AQ110" s="299"/>
      <c r="AR110" s="299"/>
      <c r="AS110" s="305"/>
      <c r="AT110" s="306"/>
      <c r="AU110" s="305"/>
      <c r="AV110" s="303"/>
      <c r="AW110" s="299"/>
      <c r="AX110" s="307"/>
      <c r="AY110" s="307"/>
      <c r="AZ110" s="299"/>
      <c r="BA110" s="299"/>
      <c r="BB110" s="299"/>
      <c r="BC110" s="299"/>
      <c r="BD110" s="308"/>
      <c r="BE110" s="308"/>
      <c r="BF110" s="308"/>
      <c r="BG110" s="308"/>
      <c r="BH110" s="301"/>
      <c r="BI110" s="299"/>
      <c r="BJ110" s="299"/>
      <c r="BK110" s="300"/>
      <c r="BL110" s="300"/>
      <c r="BM110" s="300"/>
      <c r="BN110" s="300"/>
      <c r="BO110" s="299"/>
      <c r="BP110" s="304"/>
      <c r="BQ110" s="299"/>
      <c r="BR110" s="299"/>
      <c r="BS110" s="299"/>
      <c r="BT110" s="299"/>
      <c r="BU110" s="299"/>
      <c r="BV110" s="299"/>
      <c r="BW110" s="299"/>
      <c r="BX110" s="299"/>
      <c r="BY110" s="299"/>
      <c r="BZ110" s="299"/>
      <c r="CA110" s="299"/>
      <c r="CB110" s="299"/>
      <c r="CC110" s="308"/>
      <c r="CD110" s="299"/>
      <c r="CE110" s="299"/>
      <c r="CF110" s="299"/>
      <c r="CG110" s="304"/>
      <c r="CH110" s="304"/>
      <c r="CI110" s="304"/>
      <c r="CJ110" s="299"/>
      <c r="CK110" s="304"/>
      <c r="CL110" s="304"/>
      <c r="CM110" s="304"/>
      <c r="CN110" s="304"/>
      <c r="CO110" s="304"/>
      <c r="CP110" s="304"/>
      <c r="CQ110" s="304"/>
      <c r="CR110" s="304"/>
      <c r="CS110" s="304"/>
      <c r="CT110" s="304"/>
      <c r="CU110" s="300"/>
      <c r="CV110" s="299"/>
      <c r="CW110" s="299"/>
      <c r="CX110" s="299"/>
      <c r="CY110" s="299"/>
      <c r="CZ110" s="299"/>
      <c r="DA110" s="299"/>
      <c r="DB110" s="299"/>
      <c r="DC110" s="299"/>
      <c r="DD110" s="299"/>
      <c r="DE110" s="299"/>
      <c r="DF110" s="299"/>
      <c r="DG110" s="299"/>
      <c r="DH110" s="300"/>
      <c r="DI110" s="299"/>
      <c r="DJ110" s="299"/>
      <c r="DK110" s="301"/>
      <c r="DL110" s="299"/>
      <c r="DM110" s="299"/>
      <c r="DN110" s="307"/>
      <c r="DO110" s="307"/>
      <c r="DP110" s="299"/>
      <c r="DQ110" s="299"/>
      <c r="DR110" s="299"/>
      <c r="DS110" s="299"/>
      <c r="DT110" s="299"/>
      <c r="DU110" s="301"/>
      <c r="DV110" s="301"/>
      <c r="DW110" s="301"/>
      <c r="DX110" s="301"/>
      <c r="DY110" s="301"/>
      <c r="DZ110" s="301"/>
      <c r="EA110" s="301"/>
      <c r="EB110" s="301"/>
      <c r="EC110" s="299"/>
      <c r="ED110" s="301"/>
      <c r="EE110" s="301"/>
      <c r="EF110" s="301"/>
      <c r="EG110" s="299"/>
      <c r="EH110" s="301"/>
      <c r="EI110" s="299"/>
      <c r="EJ110" s="299"/>
      <c r="EK110" s="299"/>
      <c r="EL110" s="299"/>
      <c r="EM110" s="299"/>
      <c r="EN110" s="299"/>
      <c r="EO110" s="299"/>
      <c r="EP110" s="299"/>
      <c r="EQ110" s="299"/>
      <c r="ER110" s="299"/>
      <c r="ES110" s="299"/>
      <c r="ET110" s="299"/>
      <c r="EU110" s="299"/>
      <c r="EV110" s="299"/>
      <c r="EW110" s="299"/>
      <c r="EX110" s="299"/>
      <c r="EY110" s="299"/>
      <c r="EZ110" s="299"/>
      <c r="FA110" s="299"/>
      <c r="FB110" s="299"/>
      <c r="FC110" s="299"/>
      <c r="FD110" s="299"/>
      <c r="FE110" s="299"/>
      <c r="FF110" s="299"/>
      <c r="FG110" s="299"/>
      <c r="FH110" s="299"/>
      <c r="FI110" s="299"/>
      <c r="FJ110" s="299"/>
      <c r="FK110" s="299"/>
      <c r="FL110" s="299"/>
      <c r="FM110" s="299"/>
      <c r="FN110" s="299"/>
      <c r="FO110" s="299"/>
      <c r="FP110" s="299"/>
      <c r="FQ110" s="299"/>
      <c r="FR110" s="299"/>
      <c r="FS110" s="299"/>
      <c r="FT110" s="299"/>
      <c r="FU110" s="299"/>
      <c r="FV110" s="299"/>
      <c r="FW110" s="299"/>
      <c r="FX110" s="299"/>
      <c r="FY110" s="299"/>
      <c r="FZ110" s="299"/>
      <c r="GA110" s="299"/>
      <c r="GB110" s="299"/>
      <c r="GC110" s="299"/>
      <c r="GD110" s="299"/>
      <c r="GE110" s="299"/>
      <c r="GF110" s="299"/>
      <c r="GG110" s="299"/>
      <c r="GH110" s="299"/>
      <c r="GI110" s="299"/>
      <c r="GJ110" s="299"/>
      <c r="GK110" s="299"/>
      <c r="GL110" s="299"/>
      <c r="GM110" s="299"/>
      <c r="GN110" s="299"/>
      <c r="GO110" s="299"/>
      <c r="GP110" s="299"/>
      <c r="GQ110" s="299"/>
      <c r="GR110" s="299"/>
      <c r="GS110" s="299"/>
      <c r="GT110" s="299"/>
      <c r="GU110" s="299"/>
      <c r="GV110" s="299"/>
      <c r="GW110" s="299"/>
      <c r="GX110" s="299"/>
      <c r="GY110" s="299"/>
      <c r="GZ110" s="299"/>
      <c r="HA110" s="299"/>
      <c r="HB110" s="299"/>
      <c r="HC110" s="299"/>
      <c r="HD110" s="299"/>
      <c r="HE110" s="299"/>
      <c r="HF110" s="299"/>
      <c r="HG110" s="299"/>
      <c r="HH110" s="299"/>
    </row>
    <row r="111" spans="1:216" s="264" customFormat="1" hidden="1">
      <c r="A111" s="299"/>
      <c r="B111" s="299"/>
      <c r="C111" s="300"/>
      <c r="D111" s="300"/>
      <c r="E111" s="300"/>
      <c r="F111" s="300"/>
      <c r="G111" s="300"/>
      <c r="H111" s="300"/>
      <c r="I111" s="300"/>
      <c r="J111" s="300"/>
      <c r="K111" s="300"/>
      <c r="L111" s="301"/>
      <c r="M111" s="299"/>
      <c r="N111" s="299"/>
      <c r="O111" s="299"/>
      <c r="P111" s="299"/>
      <c r="Q111" s="300"/>
      <c r="R111" s="302"/>
      <c r="S111" s="302"/>
      <c r="T111" s="302"/>
      <c r="U111" s="299"/>
      <c r="V111" s="299"/>
      <c r="W111" s="299"/>
      <c r="X111" s="299"/>
      <c r="Y111" s="299"/>
      <c r="Z111" s="299"/>
      <c r="AA111" s="299"/>
      <c r="AB111" s="303"/>
      <c r="AC111" s="299"/>
      <c r="AD111" s="299"/>
      <c r="AE111" s="299"/>
      <c r="AF111" s="304"/>
      <c r="AG111" s="304"/>
      <c r="AH111" s="304"/>
      <c r="AI111" s="304"/>
      <c r="AJ111" s="304"/>
      <c r="AK111" s="299"/>
      <c r="AL111" s="299"/>
      <c r="AM111" s="299"/>
      <c r="AN111" s="299"/>
      <c r="AO111" s="299"/>
      <c r="AP111" s="299"/>
      <c r="AQ111" s="299"/>
      <c r="AR111" s="299"/>
      <c r="AS111" s="305"/>
      <c r="AT111" s="306"/>
      <c r="AU111" s="305"/>
      <c r="AV111" s="303"/>
      <c r="AW111" s="299"/>
      <c r="AX111" s="307"/>
      <c r="AY111" s="307"/>
      <c r="AZ111" s="299"/>
      <c r="BA111" s="299"/>
      <c r="BB111" s="299"/>
      <c r="BC111" s="299"/>
      <c r="BD111" s="308"/>
      <c r="BE111" s="308"/>
      <c r="BF111" s="308"/>
      <c r="BG111" s="308"/>
      <c r="BH111" s="301"/>
      <c r="BI111" s="299"/>
      <c r="BJ111" s="299"/>
      <c r="BK111" s="300"/>
      <c r="BL111" s="300"/>
      <c r="BM111" s="300"/>
      <c r="BN111" s="300"/>
      <c r="BO111" s="299"/>
      <c r="BP111" s="304"/>
      <c r="BQ111" s="299"/>
      <c r="BR111" s="299"/>
      <c r="BS111" s="299"/>
      <c r="BT111" s="299"/>
      <c r="BU111" s="299"/>
      <c r="BV111" s="299"/>
      <c r="BW111" s="299"/>
      <c r="BX111" s="299"/>
      <c r="BY111" s="299"/>
      <c r="BZ111" s="299"/>
      <c r="CA111" s="299"/>
      <c r="CB111" s="299"/>
      <c r="CC111" s="308"/>
      <c r="CD111" s="299"/>
      <c r="CE111" s="299"/>
      <c r="CF111" s="299"/>
      <c r="CG111" s="304"/>
      <c r="CH111" s="304"/>
      <c r="CI111" s="304"/>
      <c r="CJ111" s="299"/>
      <c r="CK111" s="304"/>
      <c r="CL111" s="304"/>
      <c r="CM111" s="304"/>
      <c r="CN111" s="304"/>
      <c r="CO111" s="304"/>
      <c r="CP111" s="304"/>
      <c r="CQ111" s="304"/>
      <c r="CR111" s="304"/>
      <c r="CS111" s="304"/>
      <c r="CT111" s="304"/>
      <c r="CU111" s="300"/>
      <c r="CV111" s="299"/>
      <c r="CW111" s="299"/>
      <c r="CX111" s="299"/>
      <c r="CY111" s="299"/>
      <c r="CZ111" s="299"/>
      <c r="DA111" s="299"/>
      <c r="DB111" s="299"/>
      <c r="DC111" s="299"/>
      <c r="DD111" s="299"/>
      <c r="DE111" s="299"/>
      <c r="DF111" s="299"/>
      <c r="DG111" s="299"/>
      <c r="DH111" s="300"/>
      <c r="DI111" s="299"/>
      <c r="DJ111" s="299"/>
      <c r="DK111" s="301"/>
      <c r="DL111" s="299"/>
      <c r="DM111" s="299"/>
      <c r="DN111" s="307"/>
      <c r="DO111" s="307"/>
      <c r="DP111" s="299"/>
      <c r="DQ111" s="299"/>
      <c r="DR111" s="299"/>
      <c r="DS111" s="299"/>
      <c r="DT111" s="299"/>
      <c r="DU111" s="301"/>
      <c r="DV111" s="301"/>
      <c r="DW111" s="301"/>
      <c r="DX111" s="301"/>
      <c r="DY111" s="301"/>
      <c r="DZ111" s="301"/>
      <c r="EA111" s="301"/>
      <c r="EB111" s="301"/>
      <c r="EC111" s="299"/>
      <c r="ED111" s="301"/>
      <c r="EE111" s="301"/>
      <c r="EF111" s="301"/>
      <c r="EG111" s="299"/>
      <c r="EH111" s="301"/>
      <c r="EI111" s="299"/>
      <c r="EJ111" s="299"/>
      <c r="EK111" s="299"/>
      <c r="EL111" s="299"/>
      <c r="EM111" s="299"/>
      <c r="EN111" s="299"/>
      <c r="EO111" s="299"/>
      <c r="EP111" s="299"/>
      <c r="EQ111" s="299"/>
      <c r="ER111" s="299"/>
      <c r="ES111" s="299"/>
      <c r="ET111" s="299"/>
      <c r="EU111" s="299"/>
      <c r="EV111" s="299"/>
      <c r="EW111" s="299"/>
      <c r="EX111" s="299"/>
      <c r="EY111" s="299"/>
      <c r="EZ111" s="299"/>
      <c r="FA111" s="299"/>
      <c r="FB111" s="299"/>
      <c r="FC111" s="299"/>
      <c r="FD111" s="299"/>
      <c r="FE111" s="299"/>
      <c r="FF111" s="299"/>
      <c r="FG111" s="299"/>
      <c r="FH111" s="299"/>
      <c r="FI111" s="299"/>
      <c r="FJ111" s="299"/>
      <c r="FK111" s="299"/>
      <c r="FL111" s="299"/>
      <c r="FM111" s="299"/>
      <c r="FN111" s="299"/>
      <c r="FO111" s="299"/>
      <c r="FP111" s="299"/>
      <c r="FQ111" s="299"/>
      <c r="FR111" s="299"/>
      <c r="FS111" s="299"/>
      <c r="FT111" s="299"/>
      <c r="FU111" s="299"/>
      <c r="FV111" s="299"/>
      <c r="FW111" s="299"/>
      <c r="FX111" s="299"/>
      <c r="FY111" s="299"/>
      <c r="FZ111" s="299"/>
      <c r="GA111" s="299"/>
      <c r="GB111" s="299"/>
      <c r="GC111" s="299"/>
      <c r="GD111" s="299"/>
      <c r="GE111" s="299"/>
      <c r="GF111" s="299"/>
      <c r="GG111" s="299"/>
      <c r="GH111" s="299"/>
      <c r="GI111" s="299"/>
      <c r="GJ111" s="299"/>
      <c r="GK111" s="299"/>
      <c r="GL111" s="299"/>
      <c r="GM111" s="299"/>
      <c r="GN111" s="299"/>
      <c r="GO111" s="299"/>
      <c r="GP111" s="299"/>
      <c r="GQ111" s="299"/>
      <c r="GR111" s="299"/>
      <c r="GS111" s="299"/>
      <c r="GT111" s="299"/>
      <c r="GU111" s="299"/>
      <c r="GV111" s="299"/>
      <c r="GW111" s="299"/>
      <c r="GX111" s="299"/>
      <c r="GY111" s="299"/>
      <c r="GZ111" s="299"/>
      <c r="HA111" s="299"/>
      <c r="HB111" s="299"/>
      <c r="HC111" s="299"/>
      <c r="HD111" s="299"/>
      <c r="HE111" s="299"/>
      <c r="HF111" s="299"/>
      <c r="HG111" s="299"/>
      <c r="HH111" s="299"/>
    </row>
    <row r="112" spans="1:216" s="264" customFormat="1" hidden="1">
      <c r="A112" s="299"/>
      <c r="B112" s="299"/>
      <c r="C112" s="300"/>
      <c r="D112" s="300"/>
      <c r="E112" s="300"/>
      <c r="F112" s="300"/>
      <c r="G112" s="300"/>
      <c r="H112" s="300"/>
      <c r="I112" s="300"/>
      <c r="J112" s="300"/>
      <c r="K112" s="300"/>
      <c r="L112" s="301"/>
      <c r="M112" s="299"/>
      <c r="N112" s="299"/>
      <c r="O112" s="299"/>
      <c r="P112" s="299"/>
      <c r="Q112" s="300"/>
      <c r="R112" s="302"/>
      <c r="S112" s="302"/>
      <c r="T112" s="302"/>
      <c r="U112" s="299"/>
      <c r="V112" s="299"/>
      <c r="W112" s="299"/>
      <c r="X112" s="299"/>
      <c r="Y112" s="299"/>
      <c r="Z112" s="299"/>
      <c r="AA112" s="299"/>
      <c r="AB112" s="303"/>
      <c r="AC112" s="299"/>
      <c r="AD112" s="299"/>
      <c r="AE112" s="299"/>
      <c r="AF112" s="304"/>
      <c r="AG112" s="304"/>
      <c r="AH112" s="304"/>
      <c r="AI112" s="304"/>
      <c r="AJ112" s="304"/>
      <c r="AK112" s="299"/>
      <c r="AL112" s="299"/>
      <c r="AM112" s="299"/>
      <c r="AN112" s="299"/>
      <c r="AO112" s="299"/>
      <c r="AP112" s="299"/>
      <c r="AQ112" s="299"/>
      <c r="AR112" s="299"/>
      <c r="AS112" s="305"/>
      <c r="AT112" s="306"/>
      <c r="AU112" s="305"/>
      <c r="AV112" s="303"/>
      <c r="AW112" s="299"/>
      <c r="AX112" s="307"/>
      <c r="AY112" s="307"/>
      <c r="AZ112" s="299"/>
      <c r="BA112" s="299"/>
      <c r="BB112" s="299"/>
      <c r="BC112" s="299"/>
      <c r="BD112" s="308"/>
      <c r="BE112" s="308"/>
      <c r="BF112" s="308"/>
      <c r="BG112" s="308"/>
      <c r="BH112" s="301"/>
      <c r="BI112" s="299"/>
      <c r="BJ112" s="299"/>
      <c r="BK112" s="300"/>
      <c r="BL112" s="300"/>
      <c r="BM112" s="300"/>
      <c r="BN112" s="300"/>
      <c r="BO112" s="299"/>
      <c r="BP112" s="304"/>
      <c r="BQ112" s="299"/>
      <c r="BR112" s="299"/>
      <c r="BS112" s="299"/>
      <c r="BT112" s="299"/>
      <c r="BU112" s="299"/>
      <c r="BV112" s="299"/>
      <c r="BW112" s="299"/>
      <c r="BX112" s="299"/>
      <c r="BY112" s="299"/>
      <c r="BZ112" s="299"/>
      <c r="CA112" s="299"/>
      <c r="CB112" s="299"/>
      <c r="CC112" s="308"/>
      <c r="CD112" s="299"/>
      <c r="CE112" s="299"/>
      <c r="CF112" s="299"/>
      <c r="CG112" s="304"/>
      <c r="CH112" s="304"/>
      <c r="CI112" s="304"/>
      <c r="CJ112" s="299"/>
      <c r="CK112" s="304"/>
      <c r="CL112" s="304"/>
      <c r="CM112" s="304"/>
      <c r="CN112" s="304"/>
      <c r="CO112" s="304"/>
      <c r="CP112" s="304"/>
      <c r="CQ112" s="304"/>
      <c r="CR112" s="304"/>
      <c r="CS112" s="304"/>
      <c r="CT112" s="304"/>
      <c r="CU112" s="300"/>
      <c r="CV112" s="299"/>
      <c r="CW112" s="299"/>
      <c r="CX112" s="299"/>
      <c r="CY112" s="299"/>
      <c r="CZ112" s="299"/>
      <c r="DA112" s="299"/>
      <c r="DB112" s="299"/>
      <c r="DC112" s="299"/>
      <c r="DD112" s="299"/>
      <c r="DE112" s="299"/>
      <c r="DF112" s="299"/>
      <c r="DG112" s="299"/>
      <c r="DH112" s="300"/>
      <c r="DI112" s="299"/>
      <c r="DJ112" s="299"/>
      <c r="DK112" s="301"/>
      <c r="DL112" s="299"/>
      <c r="DM112" s="299"/>
      <c r="DN112" s="307"/>
      <c r="DO112" s="307"/>
      <c r="DP112" s="299"/>
      <c r="DQ112" s="299"/>
      <c r="DR112" s="299"/>
      <c r="DS112" s="299"/>
      <c r="DT112" s="299"/>
      <c r="DU112" s="301"/>
      <c r="DV112" s="301"/>
      <c r="DW112" s="301"/>
      <c r="DX112" s="301"/>
      <c r="DY112" s="301"/>
      <c r="DZ112" s="301"/>
      <c r="EA112" s="301"/>
      <c r="EB112" s="301"/>
      <c r="EC112" s="299"/>
      <c r="ED112" s="301"/>
      <c r="EE112" s="301"/>
      <c r="EF112" s="301"/>
      <c r="EG112" s="299"/>
      <c r="EH112" s="301"/>
      <c r="EI112" s="299"/>
      <c r="EJ112" s="299"/>
      <c r="EK112" s="299"/>
      <c r="EL112" s="299"/>
      <c r="EM112" s="299"/>
      <c r="EN112" s="299"/>
      <c r="EO112" s="299"/>
      <c r="EP112" s="299"/>
      <c r="EQ112" s="299"/>
      <c r="ER112" s="299"/>
      <c r="ES112" s="299"/>
      <c r="ET112" s="299"/>
      <c r="EU112" s="299"/>
      <c r="EV112" s="299"/>
      <c r="EW112" s="299"/>
      <c r="EX112" s="299"/>
      <c r="EY112" s="299"/>
      <c r="EZ112" s="299"/>
      <c r="FA112" s="299"/>
      <c r="FB112" s="299"/>
      <c r="FC112" s="299"/>
      <c r="FD112" s="299"/>
      <c r="FE112" s="299"/>
      <c r="FF112" s="299"/>
      <c r="FG112" s="299"/>
      <c r="FH112" s="299"/>
      <c r="FI112" s="299"/>
      <c r="FJ112" s="299"/>
      <c r="FK112" s="299"/>
      <c r="FL112" s="299"/>
      <c r="FM112" s="299"/>
      <c r="FN112" s="299"/>
      <c r="FO112" s="299"/>
      <c r="FP112" s="299"/>
      <c r="FQ112" s="299"/>
      <c r="FR112" s="299"/>
      <c r="FS112" s="299"/>
      <c r="FT112" s="299"/>
      <c r="FU112" s="299"/>
      <c r="FV112" s="299"/>
      <c r="FW112" s="299"/>
      <c r="FX112" s="299"/>
      <c r="FY112" s="299"/>
      <c r="FZ112" s="299"/>
      <c r="GA112" s="299"/>
      <c r="GB112" s="299"/>
      <c r="GC112" s="299"/>
      <c r="GD112" s="299"/>
      <c r="GE112" s="299"/>
      <c r="GF112" s="299"/>
      <c r="GG112" s="299"/>
      <c r="GH112" s="299"/>
      <c r="GI112" s="299"/>
      <c r="GJ112" s="299"/>
      <c r="GK112" s="299"/>
      <c r="GL112" s="299"/>
      <c r="GM112" s="299"/>
      <c r="GN112" s="299"/>
      <c r="GO112" s="299"/>
      <c r="GP112" s="299"/>
      <c r="GQ112" s="299"/>
      <c r="GR112" s="299"/>
      <c r="GS112" s="299"/>
      <c r="GT112" s="299"/>
      <c r="GU112" s="299"/>
      <c r="GV112" s="299"/>
      <c r="GW112" s="299"/>
      <c r="GX112" s="299"/>
      <c r="GY112" s="299"/>
      <c r="GZ112" s="299"/>
      <c r="HA112" s="299"/>
      <c r="HB112" s="299"/>
      <c r="HC112" s="299"/>
      <c r="HD112" s="299"/>
      <c r="HE112" s="299"/>
      <c r="HF112" s="299"/>
      <c r="HG112" s="299"/>
      <c r="HH112" s="299"/>
    </row>
    <row r="113" spans="1:216" s="264" customFormat="1" hidden="1">
      <c r="A113" s="299"/>
      <c r="B113" s="299"/>
      <c r="C113" s="300"/>
      <c r="D113" s="300"/>
      <c r="E113" s="300"/>
      <c r="F113" s="300"/>
      <c r="G113" s="300"/>
      <c r="H113" s="300"/>
      <c r="I113" s="300"/>
      <c r="J113" s="300"/>
      <c r="K113" s="300"/>
      <c r="L113" s="301"/>
      <c r="M113" s="299"/>
      <c r="N113" s="299"/>
      <c r="O113" s="299"/>
      <c r="P113" s="299"/>
      <c r="Q113" s="300"/>
      <c r="R113" s="302"/>
      <c r="S113" s="302"/>
      <c r="T113" s="302"/>
      <c r="U113" s="299"/>
      <c r="V113" s="299"/>
      <c r="W113" s="299"/>
      <c r="X113" s="299"/>
      <c r="Y113" s="299"/>
      <c r="Z113" s="299"/>
      <c r="AA113" s="299"/>
      <c r="AB113" s="303"/>
      <c r="AC113" s="299"/>
      <c r="AD113" s="299"/>
      <c r="AE113" s="299"/>
      <c r="AF113" s="304"/>
      <c r="AG113" s="304"/>
      <c r="AH113" s="304"/>
      <c r="AI113" s="304"/>
      <c r="AJ113" s="304"/>
      <c r="AK113" s="299"/>
      <c r="AL113" s="299"/>
      <c r="AM113" s="299"/>
      <c r="AN113" s="299"/>
      <c r="AO113" s="299"/>
      <c r="AP113" s="299"/>
      <c r="AQ113" s="299"/>
      <c r="AR113" s="299"/>
      <c r="AS113" s="305"/>
      <c r="AT113" s="306"/>
      <c r="AU113" s="305"/>
      <c r="AV113" s="303"/>
      <c r="AW113" s="299"/>
      <c r="AX113" s="307"/>
      <c r="AY113" s="307"/>
      <c r="AZ113" s="299"/>
      <c r="BA113" s="299"/>
      <c r="BB113" s="299"/>
      <c r="BC113" s="299"/>
      <c r="BD113" s="308"/>
      <c r="BE113" s="308"/>
      <c r="BF113" s="308"/>
      <c r="BG113" s="308"/>
      <c r="BH113" s="301"/>
      <c r="BI113" s="299"/>
      <c r="BJ113" s="299"/>
      <c r="BK113" s="300"/>
      <c r="BL113" s="300"/>
      <c r="BM113" s="300"/>
      <c r="BN113" s="300"/>
      <c r="BO113" s="299"/>
      <c r="BP113" s="304"/>
      <c r="BQ113" s="299"/>
      <c r="BR113" s="299"/>
      <c r="BS113" s="299"/>
      <c r="BT113" s="299"/>
      <c r="BU113" s="299"/>
      <c r="BV113" s="299"/>
      <c r="BW113" s="299"/>
      <c r="BX113" s="299"/>
      <c r="BY113" s="299"/>
      <c r="BZ113" s="299"/>
      <c r="CA113" s="299"/>
      <c r="CB113" s="299"/>
      <c r="CC113" s="308"/>
      <c r="CD113" s="299"/>
      <c r="CE113" s="299"/>
      <c r="CF113" s="299"/>
      <c r="CG113" s="304"/>
      <c r="CH113" s="304"/>
      <c r="CI113" s="304"/>
      <c r="CJ113" s="299"/>
      <c r="CK113" s="304"/>
      <c r="CL113" s="304"/>
      <c r="CM113" s="304"/>
      <c r="CN113" s="304"/>
      <c r="CO113" s="304"/>
      <c r="CP113" s="304"/>
      <c r="CQ113" s="304"/>
      <c r="CR113" s="304"/>
      <c r="CS113" s="304"/>
      <c r="CT113" s="304"/>
      <c r="CU113" s="300"/>
      <c r="CV113" s="299"/>
      <c r="CW113" s="299"/>
      <c r="CX113" s="299"/>
      <c r="CY113" s="299"/>
      <c r="CZ113" s="299"/>
      <c r="DA113" s="299"/>
      <c r="DB113" s="299"/>
      <c r="DC113" s="299"/>
      <c r="DD113" s="299"/>
      <c r="DE113" s="299"/>
      <c r="DF113" s="299"/>
      <c r="DG113" s="299"/>
      <c r="DH113" s="300"/>
      <c r="DI113" s="299"/>
      <c r="DJ113" s="299"/>
      <c r="DK113" s="301"/>
      <c r="DL113" s="299"/>
      <c r="DM113" s="299"/>
      <c r="DN113" s="307"/>
      <c r="DO113" s="307"/>
      <c r="DP113" s="299"/>
      <c r="DQ113" s="299"/>
      <c r="DR113" s="299"/>
      <c r="DS113" s="299"/>
      <c r="DT113" s="299"/>
      <c r="DU113" s="301"/>
      <c r="DV113" s="301"/>
      <c r="DW113" s="301"/>
      <c r="DX113" s="301"/>
      <c r="DY113" s="301"/>
      <c r="DZ113" s="301"/>
      <c r="EA113" s="301"/>
      <c r="EB113" s="301"/>
      <c r="EC113" s="299"/>
      <c r="ED113" s="301"/>
      <c r="EE113" s="301"/>
      <c r="EF113" s="301"/>
      <c r="EG113" s="299"/>
      <c r="EH113" s="301"/>
      <c r="EI113" s="299"/>
      <c r="EJ113" s="299"/>
      <c r="EK113" s="299"/>
      <c r="EL113" s="299"/>
      <c r="EM113" s="299"/>
      <c r="EN113" s="299"/>
      <c r="EO113" s="299"/>
      <c r="EP113" s="299"/>
      <c r="EQ113" s="299"/>
      <c r="ER113" s="299"/>
      <c r="ES113" s="299"/>
      <c r="ET113" s="299"/>
      <c r="EU113" s="299"/>
      <c r="EV113" s="299"/>
      <c r="EW113" s="299"/>
      <c r="EX113" s="299"/>
      <c r="EY113" s="299"/>
      <c r="EZ113" s="299"/>
      <c r="FA113" s="299"/>
      <c r="FB113" s="299"/>
      <c r="FC113" s="299"/>
      <c r="FD113" s="299"/>
      <c r="FE113" s="299"/>
      <c r="FF113" s="299"/>
      <c r="FG113" s="299"/>
      <c r="FH113" s="299"/>
      <c r="FI113" s="299"/>
      <c r="FJ113" s="299"/>
      <c r="FK113" s="299"/>
      <c r="FL113" s="299"/>
      <c r="FM113" s="299"/>
      <c r="FN113" s="299"/>
      <c r="FO113" s="299"/>
      <c r="FP113" s="299"/>
      <c r="FQ113" s="299"/>
      <c r="FR113" s="299"/>
      <c r="FS113" s="299"/>
      <c r="FT113" s="299"/>
      <c r="FU113" s="299"/>
      <c r="FV113" s="299"/>
      <c r="FW113" s="299"/>
      <c r="FX113" s="299"/>
      <c r="FY113" s="299"/>
      <c r="FZ113" s="299"/>
      <c r="GA113" s="299"/>
      <c r="GB113" s="299"/>
      <c r="GC113" s="299"/>
      <c r="GD113" s="299"/>
      <c r="GE113" s="299"/>
      <c r="GF113" s="299"/>
      <c r="GG113" s="299"/>
      <c r="GH113" s="299"/>
      <c r="GI113" s="299"/>
      <c r="GJ113" s="299"/>
      <c r="GK113" s="299"/>
      <c r="GL113" s="299"/>
      <c r="GM113" s="299"/>
      <c r="GN113" s="299"/>
      <c r="GO113" s="299"/>
      <c r="GP113" s="299"/>
      <c r="GQ113" s="299"/>
      <c r="GR113" s="299"/>
      <c r="GS113" s="299"/>
      <c r="GT113" s="299"/>
      <c r="GU113" s="299"/>
      <c r="GV113" s="299"/>
      <c r="GW113" s="299"/>
      <c r="GX113" s="299"/>
      <c r="GY113" s="299"/>
      <c r="GZ113" s="299"/>
      <c r="HA113" s="299"/>
      <c r="HB113" s="299"/>
      <c r="HC113" s="299"/>
      <c r="HD113" s="299"/>
      <c r="HE113" s="299"/>
      <c r="HF113" s="299"/>
      <c r="HG113" s="299"/>
      <c r="HH113" s="299"/>
    </row>
    <row r="114" spans="1:216" s="264" customFormat="1" hidden="1">
      <c r="A114" s="299"/>
      <c r="B114" s="299"/>
      <c r="C114" s="300"/>
      <c r="D114" s="300"/>
      <c r="E114" s="300"/>
      <c r="F114" s="300"/>
      <c r="G114" s="300"/>
      <c r="H114" s="300"/>
      <c r="I114" s="300"/>
      <c r="J114" s="300"/>
      <c r="K114" s="300"/>
      <c r="L114" s="301"/>
      <c r="M114" s="299"/>
      <c r="N114" s="299"/>
      <c r="O114" s="299"/>
      <c r="P114" s="299"/>
      <c r="Q114" s="300"/>
      <c r="R114" s="302"/>
      <c r="S114" s="302"/>
      <c r="T114" s="302"/>
      <c r="U114" s="299"/>
      <c r="V114" s="299"/>
      <c r="W114" s="299"/>
      <c r="X114" s="299"/>
      <c r="Y114" s="299"/>
      <c r="Z114" s="299"/>
      <c r="AA114" s="299"/>
      <c r="AB114" s="303"/>
      <c r="AC114" s="299"/>
      <c r="AD114" s="299"/>
      <c r="AE114" s="299"/>
      <c r="AF114" s="304"/>
      <c r="AG114" s="304"/>
      <c r="AH114" s="304"/>
      <c r="AI114" s="304"/>
      <c r="AJ114" s="304"/>
      <c r="AK114" s="299"/>
      <c r="AL114" s="299"/>
      <c r="AM114" s="299"/>
      <c r="AN114" s="299"/>
      <c r="AO114" s="299"/>
      <c r="AP114" s="299"/>
      <c r="AQ114" s="299"/>
      <c r="AR114" s="299"/>
      <c r="AS114" s="305"/>
      <c r="AT114" s="306"/>
      <c r="AU114" s="305"/>
      <c r="AV114" s="303"/>
      <c r="AW114" s="299"/>
      <c r="AX114" s="307"/>
      <c r="AY114" s="307"/>
      <c r="AZ114" s="299"/>
      <c r="BA114" s="299"/>
      <c r="BB114" s="299"/>
      <c r="BC114" s="299"/>
      <c r="BD114" s="308"/>
      <c r="BE114" s="308"/>
      <c r="BF114" s="308"/>
      <c r="BG114" s="308"/>
      <c r="BH114" s="301"/>
      <c r="BI114" s="299"/>
      <c r="BJ114" s="299"/>
      <c r="BK114" s="300"/>
      <c r="BL114" s="300"/>
      <c r="BM114" s="300"/>
      <c r="BN114" s="300"/>
      <c r="BO114" s="299"/>
      <c r="BP114" s="304"/>
      <c r="BQ114" s="299"/>
      <c r="BR114" s="299"/>
      <c r="BS114" s="299"/>
      <c r="BT114" s="299"/>
      <c r="BU114" s="299"/>
      <c r="BV114" s="299"/>
      <c r="BW114" s="299"/>
      <c r="BX114" s="299"/>
      <c r="BY114" s="299"/>
      <c r="BZ114" s="299"/>
      <c r="CA114" s="299"/>
      <c r="CB114" s="299"/>
      <c r="CC114" s="308"/>
      <c r="CD114" s="299"/>
      <c r="CE114" s="299"/>
      <c r="CF114" s="299"/>
      <c r="CG114" s="304"/>
      <c r="CH114" s="304"/>
      <c r="CI114" s="304"/>
      <c r="CJ114" s="299"/>
      <c r="CK114" s="304"/>
      <c r="CL114" s="304"/>
      <c r="CM114" s="304"/>
      <c r="CN114" s="304"/>
      <c r="CO114" s="304"/>
      <c r="CP114" s="304"/>
      <c r="CQ114" s="304"/>
      <c r="CR114" s="304"/>
      <c r="CS114" s="304"/>
      <c r="CT114" s="304"/>
      <c r="CU114" s="300"/>
      <c r="CV114" s="299"/>
      <c r="CW114" s="299"/>
      <c r="CX114" s="299"/>
      <c r="CY114" s="299"/>
      <c r="CZ114" s="299"/>
      <c r="DA114" s="299"/>
      <c r="DB114" s="299"/>
      <c r="DC114" s="299"/>
      <c r="DD114" s="299"/>
      <c r="DE114" s="299"/>
      <c r="DF114" s="299"/>
      <c r="DG114" s="299"/>
      <c r="DH114" s="300"/>
      <c r="DI114" s="299"/>
      <c r="DJ114" s="299"/>
      <c r="DK114" s="301"/>
      <c r="DL114" s="299"/>
      <c r="DM114" s="299"/>
      <c r="DN114" s="307"/>
      <c r="DO114" s="307"/>
      <c r="DP114" s="299"/>
      <c r="DQ114" s="299"/>
      <c r="DR114" s="299"/>
      <c r="DS114" s="299"/>
      <c r="DT114" s="299"/>
      <c r="DU114" s="301"/>
      <c r="DV114" s="301"/>
      <c r="DW114" s="301"/>
      <c r="DX114" s="301"/>
      <c r="DY114" s="301"/>
      <c r="DZ114" s="301"/>
      <c r="EA114" s="301"/>
      <c r="EB114" s="301"/>
      <c r="EC114" s="299"/>
      <c r="ED114" s="301"/>
      <c r="EE114" s="301"/>
      <c r="EF114" s="301"/>
      <c r="EG114" s="299"/>
      <c r="EH114" s="301"/>
      <c r="EI114" s="299"/>
      <c r="EJ114" s="299"/>
      <c r="EK114" s="299"/>
      <c r="EL114" s="299"/>
      <c r="EM114" s="299"/>
      <c r="EN114" s="299"/>
      <c r="EO114" s="299"/>
      <c r="EP114" s="299"/>
      <c r="EQ114" s="299"/>
      <c r="ER114" s="299"/>
      <c r="ES114" s="299"/>
      <c r="ET114" s="299"/>
      <c r="EU114" s="299"/>
      <c r="EV114" s="299"/>
      <c r="EW114" s="299"/>
      <c r="EX114" s="299"/>
      <c r="EY114" s="299"/>
      <c r="EZ114" s="299"/>
      <c r="FA114" s="299"/>
      <c r="FB114" s="299"/>
      <c r="FC114" s="299"/>
      <c r="FD114" s="299"/>
      <c r="FE114" s="299"/>
      <c r="FF114" s="299"/>
      <c r="FG114" s="299"/>
      <c r="FH114" s="299"/>
      <c r="FI114" s="299"/>
      <c r="FJ114" s="299"/>
      <c r="FK114" s="299"/>
      <c r="FL114" s="299"/>
      <c r="FM114" s="299"/>
      <c r="FN114" s="299"/>
      <c r="FO114" s="299"/>
      <c r="FP114" s="299"/>
      <c r="FQ114" s="299"/>
      <c r="FR114" s="299"/>
      <c r="FS114" s="299"/>
      <c r="FT114" s="299"/>
      <c r="FU114" s="299"/>
      <c r="FV114" s="299"/>
      <c r="FW114" s="299"/>
      <c r="FX114" s="299"/>
      <c r="FY114" s="299"/>
      <c r="FZ114" s="299"/>
      <c r="GA114" s="299"/>
      <c r="GB114" s="299"/>
      <c r="GC114" s="299"/>
      <c r="GD114" s="299"/>
      <c r="GE114" s="299"/>
      <c r="GF114" s="299"/>
      <c r="GG114" s="299"/>
      <c r="GH114" s="299"/>
      <c r="GI114" s="299"/>
      <c r="GJ114" s="299"/>
      <c r="GK114" s="299"/>
      <c r="GL114" s="299"/>
      <c r="GM114" s="299"/>
      <c r="GN114" s="299"/>
      <c r="GO114" s="299"/>
      <c r="GP114" s="299"/>
      <c r="GQ114" s="299"/>
      <c r="GR114" s="299"/>
      <c r="GS114" s="299"/>
      <c r="GT114" s="299"/>
      <c r="GU114" s="299"/>
      <c r="GV114" s="299"/>
      <c r="GW114" s="299"/>
      <c r="GX114" s="299"/>
      <c r="GY114" s="299"/>
      <c r="GZ114" s="299"/>
      <c r="HA114" s="299"/>
      <c r="HB114" s="299"/>
      <c r="HC114" s="299"/>
      <c r="HD114" s="299"/>
      <c r="HE114" s="299"/>
      <c r="HF114" s="299"/>
      <c r="HG114" s="299"/>
      <c r="HH114" s="299"/>
    </row>
    <row r="115" spans="1:216" s="264" customFormat="1" hidden="1">
      <c r="A115" s="299"/>
      <c r="B115" s="299"/>
      <c r="C115" s="300"/>
      <c r="D115" s="300"/>
      <c r="E115" s="300"/>
      <c r="F115" s="300"/>
      <c r="G115" s="300"/>
      <c r="H115" s="300"/>
      <c r="I115" s="300"/>
      <c r="J115" s="300"/>
      <c r="K115" s="300"/>
      <c r="L115" s="301"/>
      <c r="M115" s="299"/>
      <c r="N115" s="299"/>
      <c r="O115" s="299"/>
      <c r="P115" s="299"/>
      <c r="Q115" s="300"/>
      <c r="R115" s="302"/>
      <c r="S115" s="302"/>
      <c r="T115" s="302"/>
      <c r="U115" s="299"/>
      <c r="V115" s="299"/>
      <c r="W115" s="299"/>
      <c r="X115" s="299"/>
      <c r="Y115" s="299"/>
      <c r="Z115" s="299"/>
      <c r="AA115" s="299"/>
      <c r="AB115" s="303"/>
      <c r="AC115" s="299"/>
      <c r="AD115" s="299"/>
      <c r="AE115" s="299"/>
      <c r="AF115" s="304"/>
      <c r="AG115" s="304"/>
      <c r="AH115" s="304"/>
      <c r="AI115" s="304"/>
      <c r="AJ115" s="304"/>
      <c r="AK115" s="299"/>
      <c r="AL115" s="299"/>
      <c r="AM115" s="299"/>
      <c r="AN115" s="299"/>
      <c r="AO115" s="299"/>
      <c r="AP115" s="299"/>
      <c r="AQ115" s="299"/>
      <c r="AR115" s="299"/>
      <c r="AS115" s="305"/>
      <c r="AT115" s="306"/>
      <c r="AU115" s="305"/>
      <c r="AV115" s="303"/>
      <c r="AW115" s="299"/>
      <c r="AX115" s="307"/>
      <c r="AY115" s="307"/>
      <c r="AZ115" s="299"/>
      <c r="BA115" s="299"/>
      <c r="BB115" s="299"/>
      <c r="BC115" s="299"/>
      <c r="BD115" s="308"/>
      <c r="BE115" s="308"/>
      <c r="BF115" s="308"/>
      <c r="BG115" s="308"/>
      <c r="BH115" s="301"/>
      <c r="BI115" s="299"/>
      <c r="BJ115" s="299"/>
      <c r="BK115" s="300"/>
      <c r="BL115" s="300"/>
      <c r="BM115" s="300"/>
      <c r="BN115" s="300"/>
      <c r="BO115" s="299"/>
      <c r="BP115" s="304"/>
      <c r="BQ115" s="299"/>
      <c r="BR115" s="299"/>
      <c r="BS115" s="299"/>
      <c r="BT115" s="299"/>
      <c r="BU115" s="299"/>
      <c r="BV115" s="299"/>
      <c r="BW115" s="299"/>
      <c r="BX115" s="299"/>
      <c r="BY115" s="299"/>
      <c r="BZ115" s="299"/>
      <c r="CA115" s="299"/>
      <c r="CB115" s="299"/>
      <c r="CC115" s="308"/>
      <c r="CD115" s="299"/>
      <c r="CE115" s="299"/>
      <c r="CF115" s="299"/>
      <c r="CG115" s="304"/>
      <c r="CH115" s="304"/>
      <c r="CI115" s="304"/>
      <c r="CJ115" s="299"/>
      <c r="CK115" s="304"/>
      <c r="CL115" s="304"/>
      <c r="CM115" s="304"/>
      <c r="CN115" s="304"/>
      <c r="CO115" s="304"/>
      <c r="CP115" s="304"/>
      <c r="CQ115" s="304"/>
      <c r="CR115" s="304"/>
      <c r="CS115" s="304"/>
      <c r="CT115" s="304"/>
      <c r="CU115" s="300"/>
      <c r="CV115" s="299"/>
      <c r="CW115" s="299"/>
      <c r="CX115" s="299"/>
      <c r="CY115" s="299"/>
      <c r="CZ115" s="299"/>
      <c r="DA115" s="299"/>
      <c r="DB115" s="299"/>
      <c r="DC115" s="299"/>
      <c r="DD115" s="299"/>
      <c r="DE115" s="299"/>
      <c r="DF115" s="299"/>
      <c r="DG115" s="299"/>
      <c r="DH115" s="300"/>
      <c r="DI115" s="299"/>
      <c r="DJ115" s="299"/>
      <c r="DK115" s="301"/>
      <c r="DL115" s="299"/>
      <c r="DM115" s="299"/>
      <c r="DN115" s="307"/>
      <c r="DO115" s="307"/>
      <c r="DP115" s="299"/>
      <c r="DQ115" s="299"/>
      <c r="DR115" s="299"/>
      <c r="DS115" s="299"/>
      <c r="DT115" s="299"/>
      <c r="DU115" s="301"/>
      <c r="DV115" s="301"/>
      <c r="DW115" s="301"/>
      <c r="DX115" s="301"/>
      <c r="DY115" s="301"/>
      <c r="DZ115" s="301"/>
      <c r="EA115" s="301"/>
      <c r="EB115" s="301"/>
      <c r="EC115" s="299"/>
      <c r="ED115" s="301"/>
      <c r="EE115" s="301"/>
      <c r="EF115" s="301"/>
      <c r="EG115" s="299"/>
      <c r="EH115" s="301"/>
      <c r="EI115" s="299"/>
      <c r="EJ115" s="299"/>
      <c r="EK115" s="299"/>
      <c r="EL115" s="299"/>
      <c r="EM115" s="299"/>
      <c r="EN115" s="299"/>
      <c r="EO115" s="299"/>
      <c r="EP115" s="299"/>
      <c r="EQ115" s="299"/>
      <c r="ER115" s="299"/>
      <c r="ES115" s="299"/>
      <c r="ET115" s="299"/>
      <c r="EU115" s="299"/>
      <c r="EV115" s="299"/>
      <c r="EW115" s="299"/>
      <c r="EX115" s="299"/>
      <c r="EY115" s="299"/>
      <c r="EZ115" s="299"/>
      <c r="FA115" s="299"/>
      <c r="FB115" s="299"/>
      <c r="FC115" s="299"/>
      <c r="FD115" s="299"/>
      <c r="FE115" s="299"/>
      <c r="FF115" s="299"/>
      <c r="FG115" s="299"/>
      <c r="FH115" s="299"/>
      <c r="FI115" s="299"/>
      <c r="FJ115" s="299"/>
      <c r="FK115" s="299"/>
      <c r="FL115" s="299"/>
      <c r="FM115" s="299"/>
      <c r="FN115" s="299"/>
      <c r="FO115" s="299"/>
      <c r="FP115" s="299"/>
      <c r="FQ115" s="299"/>
      <c r="FR115" s="299"/>
      <c r="FS115" s="299"/>
      <c r="FT115" s="299"/>
      <c r="FU115" s="299"/>
      <c r="FV115" s="299"/>
      <c r="FW115" s="299"/>
      <c r="FX115" s="299"/>
      <c r="FY115" s="299"/>
      <c r="FZ115" s="299"/>
      <c r="GA115" s="299"/>
      <c r="GB115" s="299"/>
      <c r="GC115" s="299"/>
      <c r="GD115" s="299"/>
      <c r="GE115" s="299"/>
      <c r="GF115" s="299"/>
      <c r="GG115" s="299"/>
      <c r="GH115" s="299"/>
      <c r="GI115" s="299"/>
      <c r="GJ115" s="299"/>
      <c r="GK115" s="299"/>
      <c r="GL115" s="299"/>
      <c r="GM115" s="299"/>
      <c r="GN115" s="299"/>
      <c r="GO115" s="299"/>
      <c r="GP115" s="299"/>
      <c r="GQ115" s="299"/>
      <c r="GR115" s="299"/>
      <c r="GS115" s="299"/>
      <c r="GT115" s="299"/>
      <c r="GU115" s="299"/>
      <c r="GV115" s="299"/>
      <c r="GW115" s="299"/>
      <c r="GX115" s="299"/>
      <c r="GY115" s="299"/>
      <c r="GZ115" s="299"/>
      <c r="HA115" s="299"/>
      <c r="HB115" s="299"/>
      <c r="HC115" s="299"/>
      <c r="HD115" s="299"/>
      <c r="HE115" s="299"/>
      <c r="HF115" s="299"/>
      <c r="HG115" s="299"/>
      <c r="HH115" s="299"/>
    </row>
    <row r="116" spans="1:216" s="264" customFormat="1" hidden="1">
      <c r="A116" s="299"/>
      <c r="B116" s="299"/>
      <c r="C116" s="300"/>
      <c r="D116" s="300"/>
      <c r="E116" s="300"/>
      <c r="F116" s="300"/>
      <c r="G116" s="300"/>
      <c r="H116" s="300"/>
      <c r="I116" s="300"/>
      <c r="J116" s="300"/>
      <c r="K116" s="300"/>
      <c r="L116" s="301"/>
      <c r="M116" s="299"/>
      <c r="N116" s="299"/>
      <c r="O116" s="299"/>
      <c r="P116" s="299"/>
      <c r="Q116" s="300"/>
      <c r="R116" s="302"/>
      <c r="S116" s="302"/>
      <c r="T116" s="302"/>
      <c r="U116" s="299"/>
      <c r="V116" s="299"/>
      <c r="W116" s="299"/>
      <c r="X116" s="299"/>
      <c r="Y116" s="299"/>
      <c r="Z116" s="299"/>
      <c r="AA116" s="299"/>
      <c r="AB116" s="303"/>
      <c r="AC116" s="299"/>
      <c r="AD116" s="299"/>
      <c r="AE116" s="299"/>
      <c r="AF116" s="304"/>
      <c r="AG116" s="304"/>
      <c r="AH116" s="304"/>
      <c r="AI116" s="304"/>
      <c r="AJ116" s="304"/>
      <c r="AK116" s="299"/>
      <c r="AL116" s="299"/>
      <c r="AM116" s="299"/>
      <c r="AN116" s="299"/>
      <c r="AO116" s="299"/>
      <c r="AP116" s="299"/>
      <c r="AQ116" s="299"/>
      <c r="AR116" s="299"/>
      <c r="AS116" s="305"/>
      <c r="AT116" s="306"/>
      <c r="AU116" s="305"/>
      <c r="AV116" s="303"/>
      <c r="AW116" s="299"/>
      <c r="AX116" s="307"/>
      <c r="AY116" s="307"/>
      <c r="AZ116" s="299"/>
      <c r="BA116" s="299"/>
      <c r="BB116" s="299"/>
      <c r="BC116" s="299"/>
      <c r="BD116" s="308"/>
      <c r="BE116" s="308"/>
      <c r="BF116" s="308"/>
      <c r="BG116" s="308"/>
      <c r="BH116" s="301"/>
      <c r="BI116" s="299"/>
      <c r="BJ116" s="299"/>
      <c r="BK116" s="300"/>
      <c r="BL116" s="300"/>
      <c r="BM116" s="300"/>
      <c r="BN116" s="300"/>
      <c r="BO116" s="299"/>
      <c r="BP116" s="304"/>
      <c r="BQ116" s="299"/>
      <c r="BR116" s="299"/>
      <c r="BS116" s="299"/>
      <c r="BT116" s="299"/>
      <c r="BU116" s="299"/>
      <c r="BV116" s="299"/>
      <c r="BW116" s="299"/>
      <c r="BX116" s="299"/>
      <c r="BY116" s="299"/>
      <c r="BZ116" s="299"/>
      <c r="CA116" s="299"/>
      <c r="CB116" s="299"/>
      <c r="CC116" s="308"/>
      <c r="CD116" s="299"/>
      <c r="CE116" s="299"/>
      <c r="CF116" s="299"/>
      <c r="CG116" s="304"/>
      <c r="CH116" s="304"/>
      <c r="CI116" s="304"/>
      <c r="CJ116" s="299"/>
      <c r="CK116" s="304"/>
      <c r="CL116" s="304"/>
      <c r="CM116" s="304"/>
      <c r="CN116" s="304"/>
      <c r="CO116" s="304"/>
      <c r="CP116" s="304"/>
      <c r="CQ116" s="304"/>
      <c r="CR116" s="304"/>
      <c r="CS116" s="304"/>
      <c r="CT116" s="304"/>
      <c r="CU116" s="300"/>
      <c r="CV116" s="299"/>
      <c r="CW116" s="299"/>
      <c r="CX116" s="299"/>
      <c r="CY116" s="299"/>
      <c r="CZ116" s="299"/>
      <c r="DA116" s="299"/>
      <c r="DB116" s="299"/>
      <c r="DC116" s="299"/>
      <c r="DD116" s="299"/>
      <c r="DE116" s="299"/>
      <c r="DF116" s="299"/>
      <c r="DG116" s="299"/>
      <c r="DH116" s="300"/>
      <c r="DI116" s="299"/>
      <c r="DJ116" s="299"/>
      <c r="DK116" s="301"/>
      <c r="DL116" s="299"/>
      <c r="DM116" s="299"/>
      <c r="DN116" s="307"/>
      <c r="DO116" s="307"/>
      <c r="DP116" s="299"/>
      <c r="DQ116" s="299"/>
      <c r="DR116" s="299"/>
      <c r="DS116" s="299"/>
      <c r="DT116" s="299"/>
      <c r="DU116" s="301"/>
      <c r="DV116" s="301"/>
      <c r="DW116" s="301"/>
      <c r="DX116" s="301"/>
      <c r="DY116" s="301"/>
      <c r="DZ116" s="301"/>
      <c r="EA116" s="301"/>
      <c r="EB116" s="301"/>
      <c r="EC116" s="299"/>
      <c r="ED116" s="301"/>
      <c r="EE116" s="301"/>
      <c r="EF116" s="301"/>
      <c r="EG116" s="299"/>
      <c r="EH116" s="301"/>
      <c r="EI116" s="299"/>
      <c r="EJ116" s="299"/>
      <c r="EK116" s="299"/>
      <c r="EL116" s="299"/>
      <c r="EM116" s="299"/>
      <c r="EN116" s="299"/>
      <c r="EO116" s="299"/>
      <c r="EP116" s="299"/>
      <c r="EQ116" s="299"/>
      <c r="ER116" s="299"/>
      <c r="ES116" s="299"/>
      <c r="ET116" s="299"/>
      <c r="EU116" s="299"/>
      <c r="EV116" s="299"/>
      <c r="EW116" s="299"/>
      <c r="EX116" s="299"/>
      <c r="EY116" s="299"/>
      <c r="EZ116" s="299"/>
      <c r="FA116" s="299"/>
      <c r="FB116" s="299"/>
      <c r="FC116" s="299"/>
      <c r="FD116" s="299"/>
      <c r="FE116" s="299"/>
      <c r="FF116" s="299"/>
      <c r="FG116" s="299"/>
      <c r="FH116" s="299"/>
      <c r="FI116" s="299"/>
      <c r="FJ116" s="299"/>
      <c r="FK116" s="299"/>
      <c r="FL116" s="299"/>
      <c r="FM116" s="299"/>
      <c r="FN116" s="299"/>
      <c r="FO116" s="299"/>
      <c r="FP116" s="299"/>
      <c r="FQ116" s="299"/>
      <c r="FR116" s="299"/>
      <c r="FS116" s="299"/>
      <c r="FT116" s="299"/>
      <c r="FU116" s="299"/>
      <c r="FV116" s="299"/>
      <c r="FW116" s="299"/>
      <c r="FX116" s="299"/>
      <c r="FY116" s="299"/>
      <c r="FZ116" s="299"/>
      <c r="GA116" s="299"/>
      <c r="GB116" s="299"/>
      <c r="GC116" s="299"/>
      <c r="GD116" s="299"/>
      <c r="GE116" s="299"/>
      <c r="GF116" s="299"/>
      <c r="GG116" s="299"/>
      <c r="GH116" s="299"/>
      <c r="GI116" s="299"/>
      <c r="GJ116" s="299"/>
      <c r="GK116" s="299"/>
      <c r="GL116" s="299"/>
      <c r="GM116" s="299"/>
      <c r="GN116" s="299"/>
      <c r="GO116" s="299"/>
      <c r="GP116" s="299"/>
      <c r="GQ116" s="299"/>
      <c r="GR116" s="299"/>
      <c r="GS116" s="299"/>
      <c r="GT116" s="299"/>
      <c r="GU116" s="299"/>
      <c r="GV116" s="299"/>
      <c r="GW116" s="299"/>
      <c r="GX116" s="299"/>
      <c r="GY116" s="299"/>
      <c r="GZ116" s="299"/>
      <c r="HA116" s="299"/>
      <c r="HB116" s="299"/>
      <c r="HC116" s="299"/>
      <c r="HD116" s="299"/>
      <c r="HE116" s="299"/>
      <c r="HF116" s="299"/>
      <c r="HG116" s="299"/>
      <c r="HH116" s="299"/>
    </row>
    <row r="117" spans="1:216" s="264" customFormat="1" hidden="1">
      <c r="A117" s="299"/>
      <c r="B117" s="299"/>
      <c r="C117" s="300"/>
      <c r="D117" s="300"/>
      <c r="E117" s="300"/>
      <c r="F117" s="300"/>
      <c r="G117" s="300"/>
      <c r="H117" s="300"/>
      <c r="I117" s="300"/>
      <c r="J117" s="300"/>
      <c r="K117" s="300"/>
      <c r="L117" s="301"/>
      <c r="M117" s="299"/>
      <c r="N117" s="299"/>
      <c r="O117" s="299"/>
      <c r="P117" s="299"/>
      <c r="Q117" s="300"/>
      <c r="R117" s="302"/>
      <c r="S117" s="302"/>
      <c r="T117" s="302"/>
      <c r="U117" s="299"/>
      <c r="V117" s="299"/>
      <c r="W117" s="299"/>
      <c r="X117" s="299"/>
      <c r="Y117" s="299"/>
      <c r="Z117" s="299"/>
      <c r="AA117" s="299"/>
      <c r="AB117" s="303"/>
      <c r="AC117" s="299"/>
      <c r="AD117" s="299"/>
      <c r="AE117" s="299"/>
      <c r="AF117" s="304"/>
      <c r="AG117" s="304"/>
      <c r="AH117" s="304"/>
      <c r="AI117" s="304"/>
      <c r="AJ117" s="304"/>
      <c r="AK117" s="299"/>
      <c r="AL117" s="299"/>
      <c r="AM117" s="299"/>
      <c r="AN117" s="299"/>
      <c r="AO117" s="299"/>
      <c r="AP117" s="299"/>
      <c r="AQ117" s="299"/>
      <c r="AR117" s="299"/>
      <c r="AS117" s="305"/>
      <c r="AT117" s="306"/>
      <c r="AU117" s="305"/>
      <c r="AV117" s="303"/>
      <c r="AW117" s="299"/>
      <c r="AX117" s="307"/>
      <c r="AY117" s="307"/>
      <c r="AZ117" s="299"/>
      <c r="BA117" s="299"/>
      <c r="BB117" s="299"/>
      <c r="BC117" s="299"/>
      <c r="BD117" s="308"/>
      <c r="BE117" s="308"/>
      <c r="BF117" s="308"/>
      <c r="BG117" s="308"/>
      <c r="BH117" s="301"/>
      <c r="BI117" s="299"/>
      <c r="BJ117" s="299"/>
      <c r="BK117" s="300"/>
      <c r="BL117" s="300"/>
      <c r="BM117" s="300"/>
      <c r="BN117" s="300"/>
      <c r="BO117" s="299"/>
      <c r="BP117" s="304"/>
      <c r="BQ117" s="299"/>
      <c r="BR117" s="299"/>
      <c r="BS117" s="299"/>
      <c r="BT117" s="299"/>
      <c r="BU117" s="299"/>
      <c r="BV117" s="299"/>
      <c r="BW117" s="299"/>
      <c r="BX117" s="299"/>
      <c r="BY117" s="299"/>
      <c r="BZ117" s="299"/>
      <c r="CA117" s="299"/>
      <c r="CB117" s="299"/>
      <c r="CC117" s="308"/>
      <c r="CD117" s="299"/>
      <c r="CE117" s="299"/>
      <c r="CF117" s="299"/>
      <c r="CG117" s="304"/>
      <c r="CH117" s="304"/>
      <c r="CI117" s="304"/>
      <c r="CJ117" s="299"/>
      <c r="CK117" s="304"/>
      <c r="CL117" s="304"/>
      <c r="CM117" s="304"/>
      <c r="CN117" s="304"/>
      <c r="CO117" s="304"/>
      <c r="CP117" s="304"/>
      <c r="CQ117" s="304"/>
      <c r="CR117" s="304"/>
      <c r="CS117" s="304"/>
      <c r="CT117" s="304"/>
      <c r="CU117" s="300"/>
      <c r="CV117" s="299"/>
      <c r="CW117" s="299"/>
      <c r="CX117" s="299"/>
      <c r="CY117" s="299"/>
      <c r="CZ117" s="299"/>
      <c r="DA117" s="299"/>
      <c r="DB117" s="299"/>
      <c r="DC117" s="299"/>
      <c r="DD117" s="299"/>
      <c r="DE117" s="299"/>
      <c r="DF117" s="299"/>
      <c r="DG117" s="299"/>
      <c r="DH117" s="300"/>
      <c r="DI117" s="299"/>
      <c r="DJ117" s="299"/>
      <c r="DK117" s="301"/>
      <c r="DL117" s="299"/>
      <c r="DM117" s="299"/>
      <c r="DN117" s="307"/>
      <c r="DO117" s="307"/>
      <c r="DP117" s="299"/>
      <c r="DQ117" s="299"/>
      <c r="DR117" s="299"/>
      <c r="DS117" s="299"/>
      <c r="DT117" s="299"/>
      <c r="DU117" s="301"/>
      <c r="DV117" s="301"/>
      <c r="DW117" s="301"/>
      <c r="DX117" s="301"/>
      <c r="DY117" s="301"/>
      <c r="DZ117" s="301"/>
      <c r="EA117" s="301"/>
      <c r="EB117" s="301"/>
      <c r="EC117" s="299"/>
      <c r="ED117" s="301"/>
      <c r="EE117" s="301"/>
      <c r="EF117" s="301"/>
      <c r="EG117" s="299"/>
      <c r="EH117" s="301"/>
      <c r="EI117" s="299"/>
      <c r="EJ117" s="299"/>
      <c r="EK117" s="299"/>
      <c r="EL117" s="299"/>
      <c r="EM117" s="299"/>
      <c r="EN117" s="299"/>
      <c r="EO117" s="299"/>
      <c r="EP117" s="299"/>
      <c r="EQ117" s="299"/>
      <c r="ER117" s="299"/>
      <c r="ES117" s="299"/>
      <c r="ET117" s="299"/>
      <c r="EU117" s="299"/>
      <c r="EV117" s="299"/>
      <c r="EW117" s="299"/>
      <c r="EX117" s="299"/>
      <c r="EY117" s="299"/>
      <c r="EZ117" s="299"/>
      <c r="FA117" s="299"/>
      <c r="FB117" s="299"/>
      <c r="FC117" s="299"/>
      <c r="FD117" s="299"/>
      <c r="FE117" s="299"/>
      <c r="FF117" s="299"/>
      <c r="FG117" s="299"/>
      <c r="FH117" s="299"/>
      <c r="FI117" s="299"/>
      <c r="FJ117" s="299"/>
      <c r="FK117" s="299"/>
      <c r="FL117" s="299"/>
      <c r="FM117" s="299"/>
      <c r="FN117" s="299"/>
      <c r="FO117" s="299"/>
      <c r="FP117" s="299"/>
      <c r="FQ117" s="299"/>
      <c r="FR117" s="299"/>
      <c r="FS117" s="299"/>
      <c r="FT117" s="299"/>
      <c r="FU117" s="299"/>
      <c r="FV117" s="299"/>
      <c r="FW117" s="299"/>
      <c r="FX117" s="299"/>
      <c r="FY117" s="299"/>
      <c r="FZ117" s="299"/>
      <c r="GA117" s="299"/>
      <c r="GB117" s="299"/>
      <c r="GC117" s="299"/>
      <c r="GD117" s="299"/>
      <c r="GE117" s="299"/>
      <c r="GF117" s="299"/>
      <c r="GG117" s="299"/>
      <c r="GH117" s="299"/>
      <c r="GI117" s="299"/>
      <c r="GJ117" s="299"/>
      <c r="GK117" s="299"/>
      <c r="GL117" s="299"/>
      <c r="GM117" s="299"/>
      <c r="GN117" s="299"/>
      <c r="GO117" s="299"/>
      <c r="GP117" s="299"/>
      <c r="GQ117" s="299"/>
      <c r="GR117" s="299"/>
      <c r="GS117" s="299"/>
      <c r="GT117" s="299"/>
      <c r="GU117" s="299"/>
      <c r="GV117" s="299"/>
      <c r="GW117" s="299"/>
      <c r="GX117" s="299"/>
      <c r="GY117" s="299"/>
      <c r="GZ117" s="299"/>
      <c r="HA117" s="299"/>
      <c r="HB117" s="299"/>
      <c r="HC117" s="299"/>
      <c r="HD117" s="299"/>
      <c r="HE117" s="299"/>
      <c r="HF117" s="299"/>
      <c r="HG117" s="299"/>
      <c r="HH117" s="299"/>
    </row>
    <row r="118" spans="1:216" s="264" customFormat="1" hidden="1">
      <c r="A118" s="299"/>
      <c r="B118" s="299"/>
      <c r="C118" s="300"/>
      <c r="D118" s="300"/>
      <c r="E118" s="300"/>
      <c r="F118" s="300"/>
      <c r="G118" s="300"/>
      <c r="H118" s="300"/>
      <c r="I118" s="300"/>
      <c r="J118" s="300"/>
      <c r="K118" s="300"/>
      <c r="L118" s="301"/>
      <c r="M118" s="299"/>
      <c r="N118" s="299"/>
      <c r="O118" s="299"/>
      <c r="P118" s="299"/>
      <c r="Q118" s="300"/>
      <c r="R118" s="302"/>
      <c r="S118" s="302"/>
      <c r="T118" s="302"/>
      <c r="U118" s="299"/>
      <c r="V118" s="299"/>
      <c r="W118" s="299"/>
      <c r="X118" s="299"/>
      <c r="Y118" s="299"/>
      <c r="Z118" s="299"/>
      <c r="AA118" s="299"/>
      <c r="AB118" s="303"/>
      <c r="AC118" s="299"/>
      <c r="AD118" s="299"/>
      <c r="AE118" s="299"/>
      <c r="AF118" s="304"/>
      <c r="AG118" s="304"/>
      <c r="AH118" s="304"/>
      <c r="AI118" s="304"/>
      <c r="AJ118" s="304"/>
      <c r="AK118" s="299"/>
      <c r="AL118" s="299"/>
      <c r="AM118" s="299"/>
      <c r="AN118" s="299"/>
      <c r="AO118" s="299"/>
      <c r="AP118" s="299"/>
      <c r="AQ118" s="299"/>
      <c r="AR118" s="299"/>
      <c r="AS118" s="305"/>
      <c r="AT118" s="306"/>
      <c r="AU118" s="305"/>
      <c r="AV118" s="303"/>
      <c r="AW118" s="299"/>
      <c r="AX118" s="307"/>
      <c r="AY118" s="307"/>
      <c r="AZ118" s="299"/>
      <c r="BA118" s="299"/>
      <c r="BB118" s="299"/>
      <c r="BC118" s="299"/>
      <c r="BD118" s="308"/>
      <c r="BE118" s="308"/>
      <c r="BF118" s="308"/>
      <c r="BG118" s="308"/>
      <c r="BH118" s="301"/>
      <c r="BI118" s="299"/>
      <c r="BJ118" s="299"/>
      <c r="BK118" s="300"/>
      <c r="BL118" s="300"/>
      <c r="BM118" s="300"/>
      <c r="BN118" s="300"/>
      <c r="BO118" s="299"/>
      <c r="BP118" s="304"/>
      <c r="BQ118" s="299"/>
      <c r="BR118" s="299"/>
      <c r="BS118" s="299"/>
      <c r="BT118" s="299"/>
      <c r="BU118" s="299"/>
      <c r="BV118" s="299"/>
      <c r="BW118" s="299"/>
      <c r="BX118" s="299"/>
      <c r="BY118" s="299"/>
      <c r="BZ118" s="299"/>
      <c r="CA118" s="299"/>
      <c r="CB118" s="299"/>
      <c r="CC118" s="308"/>
      <c r="CD118" s="299"/>
      <c r="CE118" s="299"/>
      <c r="CF118" s="299"/>
      <c r="CG118" s="304"/>
      <c r="CH118" s="304"/>
      <c r="CI118" s="304"/>
      <c r="CJ118" s="299"/>
      <c r="CK118" s="304"/>
      <c r="CL118" s="304"/>
      <c r="CM118" s="304"/>
      <c r="CN118" s="304"/>
      <c r="CO118" s="304"/>
      <c r="CP118" s="304"/>
      <c r="CQ118" s="304"/>
      <c r="CR118" s="304"/>
      <c r="CS118" s="304"/>
      <c r="CT118" s="304"/>
      <c r="CU118" s="300"/>
      <c r="CV118" s="299"/>
      <c r="CW118" s="299"/>
      <c r="CX118" s="299"/>
      <c r="CY118" s="299"/>
      <c r="CZ118" s="299"/>
      <c r="DA118" s="299"/>
      <c r="DB118" s="299"/>
      <c r="DC118" s="299"/>
      <c r="DD118" s="299"/>
      <c r="DE118" s="299"/>
      <c r="DF118" s="299"/>
      <c r="DG118" s="299"/>
      <c r="DH118" s="300"/>
      <c r="DI118" s="299"/>
      <c r="DJ118" s="299"/>
      <c r="DK118" s="301"/>
      <c r="DL118" s="299"/>
      <c r="DM118" s="299"/>
      <c r="DN118" s="307"/>
      <c r="DO118" s="307"/>
      <c r="DP118" s="299"/>
      <c r="DQ118" s="299"/>
      <c r="DR118" s="299"/>
      <c r="DS118" s="299"/>
      <c r="DT118" s="299"/>
      <c r="DU118" s="301"/>
      <c r="DV118" s="301"/>
      <c r="DW118" s="301"/>
      <c r="DX118" s="301"/>
      <c r="DY118" s="301"/>
      <c r="DZ118" s="301"/>
      <c r="EA118" s="301"/>
      <c r="EB118" s="301"/>
      <c r="EC118" s="299"/>
      <c r="ED118" s="301"/>
      <c r="EE118" s="301"/>
      <c r="EF118" s="301"/>
      <c r="EG118" s="299"/>
      <c r="EH118" s="301"/>
      <c r="EI118" s="299"/>
      <c r="EJ118" s="299"/>
      <c r="EK118" s="299"/>
      <c r="EL118" s="299"/>
      <c r="EM118" s="299"/>
      <c r="EN118" s="299"/>
      <c r="EO118" s="299"/>
      <c r="EP118" s="299"/>
      <c r="EQ118" s="299"/>
      <c r="ER118" s="299"/>
      <c r="ES118" s="299"/>
      <c r="ET118" s="299"/>
      <c r="EU118" s="299"/>
      <c r="EV118" s="299"/>
      <c r="EW118" s="299"/>
      <c r="EX118" s="299"/>
      <c r="EY118" s="299"/>
      <c r="EZ118" s="299"/>
      <c r="FA118" s="299"/>
      <c r="FB118" s="299"/>
      <c r="FC118" s="299"/>
      <c r="FD118" s="299"/>
      <c r="FE118" s="299"/>
      <c r="FF118" s="299"/>
      <c r="FG118" s="299"/>
      <c r="FH118" s="299"/>
      <c r="FI118" s="299"/>
      <c r="FJ118" s="299"/>
      <c r="FK118" s="299"/>
      <c r="FL118" s="299"/>
      <c r="FM118" s="299"/>
      <c r="FN118" s="299"/>
      <c r="FO118" s="299"/>
      <c r="FP118" s="299"/>
      <c r="FQ118" s="299"/>
      <c r="FR118" s="299"/>
      <c r="FS118" s="299"/>
      <c r="FT118" s="299"/>
      <c r="FU118" s="299"/>
      <c r="FV118" s="299"/>
      <c r="FW118" s="299"/>
      <c r="FX118" s="299"/>
      <c r="FY118" s="299"/>
      <c r="FZ118" s="299"/>
      <c r="GA118" s="299"/>
      <c r="GB118" s="299"/>
      <c r="GC118" s="299"/>
      <c r="GD118" s="299"/>
      <c r="GE118" s="299"/>
      <c r="GF118" s="299"/>
      <c r="GG118" s="299"/>
      <c r="GH118" s="299"/>
      <c r="GI118" s="299"/>
      <c r="GJ118" s="299"/>
      <c r="GK118" s="299"/>
      <c r="GL118" s="299"/>
      <c r="GM118" s="299"/>
      <c r="GN118" s="299"/>
      <c r="GO118" s="299"/>
      <c r="GP118" s="299"/>
      <c r="GQ118" s="299"/>
      <c r="GR118" s="299"/>
      <c r="GS118" s="299"/>
      <c r="GT118" s="299"/>
      <c r="GU118" s="299"/>
      <c r="GV118" s="299"/>
      <c r="GW118" s="299"/>
      <c r="GX118" s="299"/>
      <c r="GY118" s="299"/>
      <c r="GZ118" s="299"/>
      <c r="HA118" s="299"/>
      <c r="HB118" s="299"/>
      <c r="HC118" s="299"/>
      <c r="HD118" s="299"/>
      <c r="HE118" s="299"/>
      <c r="HF118" s="299"/>
      <c r="HG118" s="299"/>
      <c r="HH118" s="299"/>
    </row>
    <row r="119" spans="1:216" s="264" customFormat="1" hidden="1">
      <c r="A119" s="299"/>
      <c r="B119" s="299"/>
      <c r="C119" s="300"/>
      <c r="D119" s="300"/>
      <c r="E119" s="300"/>
      <c r="F119" s="300"/>
      <c r="G119" s="300"/>
      <c r="H119" s="300"/>
      <c r="I119" s="300"/>
      <c r="J119" s="300"/>
      <c r="K119" s="300"/>
      <c r="L119" s="301"/>
      <c r="M119" s="299"/>
      <c r="N119" s="299"/>
      <c r="O119" s="299"/>
      <c r="P119" s="299"/>
      <c r="Q119" s="300"/>
      <c r="R119" s="302"/>
      <c r="S119" s="302"/>
      <c r="T119" s="302"/>
      <c r="U119" s="299"/>
      <c r="V119" s="299"/>
      <c r="W119" s="299"/>
      <c r="X119" s="299"/>
      <c r="Y119" s="299"/>
      <c r="Z119" s="299"/>
      <c r="AA119" s="299"/>
      <c r="AB119" s="303"/>
      <c r="AC119" s="299"/>
      <c r="AD119" s="299"/>
      <c r="AE119" s="299"/>
      <c r="AF119" s="304"/>
      <c r="AG119" s="304"/>
      <c r="AH119" s="304"/>
      <c r="AI119" s="304"/>
      <c r="AJ119" s="304"/>
      <c r="AK119" s="299"/>
      <c r="AL119" s="299"/>
      <c r="AM119" s="299"/>
      <c r="AN119" s="299"/>
      <c r="AO119" s="299"/>
      <c r="AP119" s="299"/>
      <c r="AQ119" s="299"/>
      <c r="AR119" s="299"/>
      <c r="AS119" s="305"/>
      <c r="AT119" s="306"/>
      <c r="AU119" s="305"/>
      <c r="AV119" s="303"/>
      <c r="AW119" s="299"/>
      <c r="AX119" s="307"/>
      <c r="AY119" s="307"/>
      <c r="AZ119" s="299"/>
      <c r="BA119" s="299"/>
      <c r="BB119" s="299"/>
      <c r="BC119" s="299"/>
      <c r="BD119" s="308"/>
      <c r="BE119" s="308"/>
      <c r="BF119" s="308"/>
      <c r="BG119" s="308"/>
      <c r="BH119" s="301"/>
      <c r="BI119" s="299"/>
      <c r="BJ119" s="299"/>
      <c r="BK119" s="300"/>
      <c r="BL119" s="300"/>
      <c r="BM119" s="300"/>
      <c r="BN119" s="300"/>
      <c r="BO119" s="299"/>
      <c r="BP119" s="304"/>
      <c r="BQ119" s="299"/>
      <c r="BR119" s="299"/>
      <c r="BS119" s="299"/>
      <c r="BT119" s="299"/>
      <c r="BU119" s="299"/>
      <c r="BV119" s="299"/>
      <c r="BW119" s="299"/>
      <c r="BX119" s="299"/>
      <c r="BY119" s="299"/>
      <c r="BZ119" s="299"/>
      <c r="CA119" s="299"/>
      <c r="CB119" s="299"/>
      <c r="CC119" s="308"/>
      <c r="CD119" s="299"/>
      <c r="CE119" s="299"/>
      <c r="CF119" s="299"/>
      <c r="CG119" s="304"/>
      <c r="CH119" s="304"/>
      <c r="CI119" s="304"/>
      <c r="CJ119" s="299"/>
      <c r="CK119" s="304"/>
      <c r="CL119" s="304"/>
      <c r="CM119" s="304"/>
      <c r="CN119" s="304"/>
      <c r="CO119" s="304"/>
      <c r="CP119" s="304"/>
      <c r="CQ119" s="304"/>
      <c r="CR119" s="304"/>
      <c r="CS119" s="304"/>
      <c r="CT119" s="304"/>
      <c r="CU119" s="300"/>
      <c r="CV119" s="299"/>
      <c r="CW119" s="299"/>
      <c r="CX119" s="299"/>
      <c r="CY119" s="299"/>
      <c r="CZ119" s="299"/>
      <c r="DA119" s="299"/>
      <c r="DB119" s="299"/>
      <c r="DC119" s="299"/>
      <c r="DD119" s="299"/>
      <c r="DE119" s="299"/>
      <c r="DF119" s="299"/>
      <c r="DG119" s="299"/>
      <c r="DH119" s="300"/>
      <c r="DI119" s="299"/>
      <c r="DJ119" s="299"/>
      <c r="DK119" s="301"/>
      <c r="DL119" s="299"/>
      <c r="DM119" s="299"/>
      <c r="DN119" s="307"/>
      <c r="DO119" s="307"/>
      <c r="DP119" s="299"/>
      <c r="DQ119" s="299"/>
      <c r="DR119" s="299"/>
      <c r="DS119" s="299"/>
      <c r="DT119" s="299"/>
      <c r="DU119" s="301"/>
      <c r="DV119" s="301"/>
      <c r="DW119" s="301"/>
      <c r="DX119" s="301"/>
      <c r="DY119" s="301"/>
      <c r="DZ119" s="301"/>
      <c r="EA119" s="301"/>
      <c r="EB119" s="301"/>
      <c r="EC119" s="299"/>
      <c r="ED119" s="301"/>
      <c r="EE119" s="301"/>
      <c r="EF119" s="301"/>
      <c r="EG119" s="299"/>
      <c r="EH119" s="301"/>
      <c r="EI119" s="299"/>
      <c r="EJ119" s="299"/>
      <c r="EK119" s="299"/>
      <c r="EL119" s="299"/>
      <c r="EM119" s="299"/>
      <c r="EN119" s="299"/>
      <c r="EO119" s="299"/>
      <c r="EP119" s="299"/>
      <c r="EQ119" s="299"/>
      <c r="ER119" s="299"/>
      <c r="ES119" s="299"/>
      <c r="ET119" s="299"/>
      <c r="EU119" s="299"/>
      <c r="EV119" s="299"/>
      <c r="EW119" s="299"/>
      <c r="EX119" s="299"/>
      <c r="EY119" s="299"/>
      <c r="EZ119" s="299"/>
      <c r="FA119" s="299"/>
      <c r="FB119" s="299"/>
      <c r="FC119" s="299"/>
      <c r="FD119" s="299"/>
      <c r="FE119" s="299"/>
      <c r="FF119" s="299"/>
      <c r="FG119" s="299"/>
      <c r="FH119" s="299"/>
      <c r="FI119" s="299"/>
      <c r="FJ119" s="299"/>
      <c r="FK119" s="299"/>
      <c r="FL119" s="299"/>
      <c r="FM119" s="299"/>
      <c r="FN119" s="299"/>
      <c r="FO119" s="299"/>
      <c r="FP119" s="299"/>
      <c r="FQ119" s="299"/>
      <c r="FR119" s="299"/>
      <c r="FS119" s="299"/>
      <c r="FT119" s="299"/>
      <c r="FU119" s="299"/>
      <c r="FV119" s="299"/>
      <c r="FW119" s="299"/>
      <c r="FX119" s="299"/>
      <c r="FY119" s="299"/>
      <c r="FZ119" s="299"/>
      <c r="GA119" s="299"/>
      <c r="GB119" s="299"/>
      <c r="GC119" s="299"/>
      <c r="GD119" s="299"/>
      <c r="GE119" s="299"/>
      <c r="GF119" s="299"/>
      <c r="GG119" s="299"/>
      <c r="GH119" s="299"/>
      <c r="GI119" s="299"/>
      <c r="GJ119" s="299"/>
      <c r="GK119" s="299"/>
      <c r="GL119" s="299"/>
      <c r="GM119" s="299"/>
      <c r="GN119" s="299"/>
      <c r="GO119" s="299"/>
      <c r="GP119" s="299"/>
      <c r="GQ119" s="299"/>
      <c r="GR119" s="299"/>
      <c r="GS119" s="299"/>
      <c r="GT119" s="299"/>
      <c r="GU119" s="299"/>
      <c r="GV119" s="299"/>
      <c r="GW119" s="299"/>
      <c r="GX119" s="299"/>
      <c r="GY119" s="299"/>
      <c r="GZ119" s="299"/>
      <c r="HA119" s="299"/>
      <c r="HB119" s="299"/>
      <c r="HC119" s="299"/>
      <c r="HD119" s="299"/>
      <c r="HE119" s="299"/>
      <c r="HF119" s="299"/>
      <c r="HG119" s="299"/>
      <c r="HH119" s="299"/>
    </row>
    <row r="120" spans="1:216" s="264" customFormat="1" hidden="1">
      <c r="A120" s="299"/>
      <c r="B120" s="299"/>
      <c r="C120" s="300"/>
      <c r="D120" s="300"/>
      <c r="E120" s="300"/>
      <c r="F120" s="300"/>
      <c r="G120" s="300"/>
      <c r="H120" s="300"/>
      <c r="I120" s="300"/>
      <c r="J120" s="300"/>
      <c r="K120" s="300"/>
      <c r="L120" s="301"/>
      <c r="M120" s="299"/>
      <c r="N120" s="299"/>
      <c r="O120" s="299"/>
      <c r="P120" s="299"/>
      <c r="Q120" s="300"/>
      <c r="R120" s="302"/>
      <c r="S120" s="302"/>
      <c r="T120" s="302"/>
      <c r="U120" s="299"/>
      <c r="V120" s="299"/>
      <c r="W120" s="299"/>
      <c r="X120" s="299"/>
      <c r="Y120" s="299"/>
      <c r="Z120" s="299"/>
      <c r="AA120" s="299"/>
      <c r="AB120" s="303"/>
      <c r="AC120" s="299"/>
      <c r="AD120" s="299"/>
      <c r="AE120" s="299"/>
      <c r="AF120" s="304"/>
      <c r="AG120" s="304"/>
      <c r="AH120" s="304"/>
      <c r="AI120" s="304"/>
      <c r="AJ120" s="304"/>
      <c r="AK120" s="299"/>
      <c r="AL120" s="299"/>
      <c r="AM120" s="299"/>
      <c r="AN120" s="299"/>
      <c r="AO120" s="299"/>
      <c r="AP120" s="299"/>
      <c r="AQ120" s="299"/>
      <c r="AR120" s="299"/>
      <c r="AS120" s="305"/>
      <c r="AT120" s="306"/>
      <c r="AU120" s="305"/>
      <c r="AV120" s="303"/>
      <c r="AW120" s="299"/>
      <c r="AX120" s="307"/>
      <c r="AY120" s="307"/>
      <c r="AZ120" s="299"/>
      <c r="BA120" s="299"/>
      <c r="BB120" s="299"/>
      <c r="BC120" s="299"/>
      <c r="BD120" s="308"/>
      <c r="BE120" s="308"/>
      <c r="BF120" s="308"/>
      <c r="BG120" s="308"/>
      <c r="BH120" s="301"/>
      <c r="BI120" s="299"/>
      <c r="BJ120" s="299"/>
      <c r="BK120" s="300"/>
      <c r="BL120" s="300"/>
      <c r="BM120" s="300"/>
      <c r="BN120" s="300"/>
      <c r="BO120" s="299"/>
      <c r="BP120" s="304"/>
      <c r="BQ120" s="299"/>
      <c r="BR120" s="299"/>
      <c r="BS120" s="299"/>
      <c r="BT120" s="299"/>
      <c r="BU120" s="299"/>
      <c r="BV120" s="299"/>
      <c r="BW120" s="299"/>
      <c r="BX120" s="299"/>
      <c r="BY120" s="299"/>
      <c r="BZ120" s="299"/>
      <c r="CA120" s="299"/>
      <c r="CB120" s="299"/>
      <c r="CC120" s="308"/>
      <c r="CD120" s="299"/>
      <c r="CE120" s="299"/>
      <c r="CF120" s="299"/>
      <c r="CG120" s="304"/>
      <c r="CH120" s="304"/>
      <c r="CI120" s="304"/>
      <c r="CJ120" s="299"/>
      <c r="CK120" s="304"/>
      <c r="CL120" s="304"/>
      <c r="CM120" s="304"/>
      <c r="CN120" s="304"/>
      <c r="CO120" s="304"/>
      <c r="CP120" s="304"/>
      <c r="CQ120" s="304"/>
      <c r="CR120" s="304"/>
      <c r="CS120" s="304"/>
      <c r="CT120" s="304"/>
      <c r="CU120" s="300"/>
      <c r="CV120" s="299"/>
      <c r="CW120" s="299"/>
      <c r="CX120" s="299"/>
      <c r="CY120" s="299"/>
      <c r="CZ120" s="299"/>
      <c r="DA120" s="299"/>
      <c r="DB120" s="299"/>
      <c r="DC120" s="299"/>
      <c r="DD120" s="299"/>
      <c r="DE120" s="299"/>
      <c r="DF120" s="299"/>
      <c r="DG120" s="299"/>
      <c r="DH120" s="300"/>
      <c r="DI120" s="299"/>
      <c r="DJ120" s="299"/>
      <c r="DK120" s="301"/>
      <c r="DL120" s="299"/>
      <c r="DM120" s="299"/>
      <c r="DN120" s="307"/>
      <c r="DO120" s="307"/>
      <c r="DP120" s="299"/>
      <c r="DQ120" s="299"/>
      <c r="DR120" s="299"/>
      <c r="DS120" s="299"/>
      <c r="DT120" s="299"/>
      <c r="DU120" s="301"/>
      <c r="DV120" s="301"/>
      <c r="DW120" s="301"/>
      <c r="DX120" s="301"/>
      <c r="DY120" s="301"/>
      <c r="DZ120" s="301"/>
      <c r="EA120" s="301"/>
      <c r="EB120" s="301"/>
      <c r="EC120" s="299"/>
      <c r="ED120" s="301"/>
      <c r="EE120" s="301"/>
      <c r="EF120" s="301"/>
      <c r="EG120" s="299"/>
      <c r="EH120" s="301"/>
      <c r="EI120" s="299"/>
      <c r="EJ120" s="299"/>
      <c r="EK120" s="299"/>
      <c r="EL120" s="299"/>
      <c r="EM120" s="299"/>
      <c r="EN120" s="299"/>
      <c r="EO120" s="299"/>
      <c r="EP120" s="299"/>
      <c r="EQ120" s="299"/>
      <c r="ER120" s="299"/>
      <c r="ES120" s="299"/>
      <c r="ET120" s="299"/>
      <c r="EU120" s="299"/>
      <c r="EV120" s="299"/>
      <c r="EW120" s="299"/>
      <c r="EX120" s="299"/>
      <c r="EY120" s="299"/>
      <c r="EZ120" s="299"/>
      <c r="FA120" s="299"/>
      <c r="FB120" s="299"/>
      <c r="FC120" s="299"/>
      <c r="FD120" s="299"/>
      <c r="FE120" s="299"/>
      <c r="FF120" s="299"/>
      <c r="FG120" s="299"/>
      <c r="FH120" s="299"/>
      <c r="FI120" s="299"/>
      <c r="FJ120" s="299"/>
      <c r="FK120" s="299"/>
      <c r="FL120" s="299"/>
      <c r="FM120" s="299"/>
      <c r="FN120" s="299"/>
      <c r="FO120" s="299"/>
      <c r="FP120" s="299"/>
      <c r="FQ120" s="299"/>
      <c r="FR120" s="299"/>
      <c r="FS120" s="299"/>
      <c r="FT120" s="299"/>
      <c r="FU120" s="299"/>
      <c r="FV120" s="299"/>
      <c r="FW120" s="299"/>
      <c r="FX120" s="299"/>
      <c r="FY120" s="299"/>
      <c r="FZ120" s="299"/>
      <c r="GA120" s="299"/>
      <c r="GB120" s="299"/>
      <c r="GC120" s="299"/>
      <c r="GD120" s="299"/>
      <c r="GE120" s="299"/>
      <c r="GF120" s="299"/>
      <c r="GG120" s="299"/>
      <c r="GH120" s="299"/>
      <c r="GI120" s="299"/>
      <c r="GJ120" s="299"/>
      <c r="GK120" s="299"/>
      <c r="GL120" s="299"/>
      <c r="GM120" s="299"/>
      <c r="GN120" s="299"/>
      <c r="GO120" s="299"/>
      <c r="GP120" s="299"/>
      <c r="GQ120" s="299"/>
      <c r="GR120" s="299"/>
      <c r="GS120" s="299"/>
      <c r="GT120" s="299"/>
      <c r="GU120" s="299"/>
      <c r="GV120" s="299"/>
      <c r="GW120" s="299"/>
      <c r="GX120" s="299"/>
      <c r="GY120" s="299"/>
      <c r="GZ120" s="299"/>
      <c r="HA120" s="299"/>
      <c r="HB120" s="299"/>
      <c r="HC120" s="299"/>
      <c r="HD120" s="299"/>
      <c r="HE120" s="299"/>
      <c r="HF120" s="299"/>
      <c r="HG120" s="299"/>
      <c r="HH120" s="299"/>
    </row>
    <row r="121" spans="1:216" s="264" customFormat="1" hidden="1">
      <c r="A121" s="299"/>
      <c r="B121" s="299"/>
      <c r="C121" s="300"/>
      <c r="D121" s="300"/>
      <c r="E121" s="300"/>
      <c r="F121" s="300"/>
      <c r="G121" s="300"/>
      <c r="H121" s="300"/>
      <c r="I121" s="300"/>
      <c r="J121" s="300"/>
      <c r="K121" s="300"/>
      <c r="L121" s="301"/>
      <c r="M121" s="299"/>
      <c r="N121" s="299"/>
      <c r="O121" s="299"/>
      <c r="P121" s="299"/>
      <c r="Q121" s="300"/>
      <c r="R121" s="302"/>
      <c r="S121" s="302"/>
      <c r="T121" s="302"/>
      <c r="U121" s="299"/>
      <c r="V121" s="299"/>
      <c r="W121" s="299"/>
      <c r="X121" s="299"/>
      <c r="Y121" s="299"/>
      <c r="Z121" s="299"/>
      <c r="AA121" s="299"/>
      <c r="AB121" s="303"/>
      <c r="AC121" s="299"/>
      <c r="AD121" s="299"/>
      <c r="AE121" s="299"/>
      <c r="AF121" s="304"/>
      <c r="AG121" s="304"/>
      <c r="AH121" s="304"/>
      <c r="AI121" s="304"/>
      <c r="AJ121" s="304"/>
      <c r="AK121" s="299"/>
      <c r="AL121" s="299"/>
      <c r="AM121" s="299"/>
      <c r="AN121" s="299"/>
      <c r="AO121" s="299"/>
      <c r="AP121" s="299"/>
      <c r="AQ121" s="299"/>
      <c r="AR121" s="299"/>
      <c r="AS121" s="305"/>
      <c r="AT121" s="306"/>
      <c r="AU121" s="305"/>
      <c r="AV121" s="303"/>
      <c r="AW121" s="299"/>
      <c r="AX121" s="307"/>
      <c r="AY121" s="307"/>
      <c r="AZ121" s="299"/>
      <c r="BA121" s="299"/>
      <c r="BB121" s="299"/>
      <c r="BC121" s="299"/>
      <c r="BD121" s="308"/>
      <c r="BE121" s="308"/>
      <c r="BF121" s="308"/>
      <c r="BG121" s="308"/>
      <c r="BH121" s="301"/>
      <c r="BI121" s="299"/>
      <c r="BJ121" s="299"/>
      <c r="BK121" s="300"/>
      <c r="BL121" s="300"/>
      <c r="BM121" s="300"/>
      <c r="BN121" s="300"/>
      <c r="BO121" s="299"/>
      <c r="BP121" s="304"/>
      <c r="BQ121" s="299"/>
      <c r="BR121" s="299"/>
      <c r="BS121" s="299"/>
      <c r="BT121" s="299"/>
      <c r="BU121" s="299"/>
      <c r="BV121" s="299"/>
      <c r="BW121" s="299"/>
      <c r="BX121" s="299"/>
      <c r="BY121" s="299"/>
      <c r="BZ121" s="299"/>
      <c r="CA121" s="299"/>
      <c r="CB121" s="299"/>
      <c r="CC121" s="308"/>
      <c r="CD121" s="299"/>
      <c r="CE121" s="299"/>
      <c r="CF121" s="299"/>
      <c r="CG121" s="304"/>
      <c r="CH121" s="304"/>
      <c r="CI121" s="304"/>
      <c r="CJ121" s="299"/>
      <c r="CK121" s="304"/>
      <c r="CL121" s="304"/>
      <c r="CM121" s="304"/>
      <c r="CN121" s="304"/>
      <c r="CO121" s="304"/>
      <c r="CP121" s="304"/>
      <c r="CQ121" s="304"/>
      <c r="CR121" s="304"/>
      <c r="CS121" s="304"/>
      <c r="CT121" s="304"/>
      <c r="CU121" s="300"/>
      <c r="CV121" s="299"/>
      <c r="CW121" s="299"/>
      <c r="CX121" s="299"/>
      <c r="CY121" s="299"/>
      <c r="CZ121" s="299"/>
      <c r="DA121" s="299"/>
      <c r="DB121" s="299"/>
      <c r="DC121" s="299"/>
      <c r="DD121" s="299"/>
      <c r="DE121" s="299"/>
      <c r="DF121" s="299"/>
      <c r="DG121" s="299"/>
      <c r="DH121" s="300"/>
      <c r="DI121" s="299"/>
      <c r="DJ121" s="299"/>
      <c r="DK121" s="301"/>
      <c r="DL121" s="299"/>
      <c r="DM121" s="299"/>
      <c r="DN121" s="307"/>
      <c r="DO121" s="307"/>
      <c r="DP121" s="299"/>
      <c r="DQ121" s="299"/>
      <c r="DR121" s="299"/>
      <c r="DS121" s="299"/>
      <c r="DT121" s="299"/>
      <c r="DU121" s="301"/>
      <c r="DV121" s="301"/>
      <c r="DW121" s="301"/>
      <c r="DX121" s="301"/>
      <c r="DY121" s="301"/>
      <c r="DZ121" s="301"/>
      <c r="EA121" s="301"/>
      <c r="EB121" s="301"/>
      <c r="EC121" s="299"/>
      <c r="ED121" s="301"/>
      <c r="EE121" s="301"/>
      <c r="EF121" s="301"/>
      <c r="EG121" s="299"/>
      <c r="EH121" s="301"/>
      <c r="EI121" s="299"/>
      <c r="EJ121" s="299"/>
      <c r="EK121" s="299"/>
      <c r="EL121" s="299"/>
      <c r="EM121" s="299"/>
      <c r="EN121" s="299"/>
      <c r="EO121" s="299"/>
      <c r="EP121" s="299"/>
      <c r="EQ121" s="299"/>
      <c r="ER121" s="299"/>
      <c r="ES121" s="299"/>
      <c r="ET121" s="299"/>
      <c r="EU121" s="299"/>
      <c r="EV121" s="299"/>
      <c r="EW121" s="299"/>
      <c r="EX121" s="299"/>
      <c r="EY121" s="299"/>
      <c r="EZ121" s="299"/>
      <c r="FA121" s="299"/>
      <c r="FB121" s="299"/>
      <c r="FC121" s="299"/>
      <c r="FD121" s="299"/>
      <c r="FE121" s="299"/>
      <c r="FF121" s="299"/>
      <c r="FG121" s="299"/>
      <c r="FH121" s="299"/>
      <c r="FI121" s="299"/>
      <c r="FJ121" s="299"/>
      <c r="FK121" s="299"/>
      <c r="FL121" s="299"/>
      <c r="FM121" s="299"/>
      <c r="FN121" s="299"/>
      <c r="FO121" s="299"/>
      <c r="FP121" s="299"/>
      <c r="FQ121" s="299"/>
      <c r="FR121" s="299"/>
      <c r="FS121" s="299"/>
      <c r="FT121" s="299"/>
      <c r="FU121" s="299"/>
      <c r="FV121" s="299"/>
      <c r="FW121" s="299"/>
      <c r="FX121" s="299"/>
      <c r="FY121" s="299"/>
      <c r="FZ121" s="299"/>
      <c r="GA121" s="299"/>
      <c r="GB121" s="299"/>
      <c r="GC121" s="299"/>
      <c r="GD121" s="299"/>
      <c r="GE121" s="299"/>
      <c r="GF121" s="299"/>
      <c r="GG121" s="299"/>
      <c r="GH121" s="299"/>
      <c r="GI121" s="299"/>
      <c r="GJ121" s="299"/>
      <c r="GK121" s="299"/>
      <c r="GL121" s="299"/>
      <c r="GM121" s="299"/>
      <c r="GN121" s="299"/>
      <c r="GO121" s="299"/>
      <c r="GP121" s="299"/>
      <c r="GQ121" s="299"/>
      <c r="GR121" s="299"/>
      <c r="GS121" s="299"/>
      <c r="GT121" s="299"/>
      <c r="GU121" s="299"/>
      <c r="GV121" s="299"/>
      <c r="GW121" s="299"/>
      <c r="GX121" s="299"/>
      <c r="GY121" s="299"/>
      <c r="GZ121" s="299"/>
      <c r="HA121" s="299"/>
      <c r="HB121" s="299"/>
      <c r="HC121" s="299"/>
      <c r="HD121" s="299"/>
      <c r="HE121" s="299"/>
      <c r="HF121" s="299"/>
      <c r="HG121" s="299"/>
      <c r="HH121" s="299"/>
    </row>
    <row r="122" spans="1:216" s="264" customFormat="1" hidden="1">
      <c r="A122" s="299"/>
      <c r="B122" s="299"/>
      <c r="C122" s="300"/>
      <c r="D122" s="300"/>
      <c r="E122" s="300"/>
      <c r="F122" s="300"/>
      <c r="G122" s="300"/>
      <c r="H122" s="300"/>
      <c r="I122" s="300"/>
      <c r="J122" s="300"/>
      <c r="K122" s="300"/>
      <c r="L122" s="301"/>
      <c r="M122" s="299"/>
      <c r="N122" s="299"/>
      <c r="O122" s="299"/>
      <c r="P122" s="299"/>
      <c r="Q122" s="300"/>
      <c r="R122" s="302"/>
      <c r="S122" s="302"/>
      <c r="T122" s="302"/>
      <c r="U122" s="299"/>
      <c r="V122" s="299"/>
      <c r="W122" s="299"/>
      <c r="X122" s="299"/>
      <c r="Y122" s="299"/>
      <c r="Z122" s="299"/>
      <c r="AA122" s="299"/>
      <c r="AB122" s="303"/>
      <c r="AC122" s="299"/>
      <c r="AD122" s="299"/>
      <c r="AE122" s="299"/>
      <c r="AF122" s="304"/>
      <c r="AG122" s="304"/>
      <c r="AH122" s="304"/>
      <c r="AI122" s="304"/>
      <c r="AJ122" s="304"/>
      <c r="AK122" s="299"/>
      <c r="AL122" s="299"/>
      <c r="AM122" s="299"/>
      <c r="AN122" s="299"/>
      <c r="AO122" s="299"/>
      <c r="AP122" s="299"/>
      <c r="AQ122" s="299"/>
      <c r="AR122" s="299"/>
      <c r="AS122" s="305"/>
      <c r="AT122" s="306"/>
      <c r="AU122" s="305"/>
      <c r="AV122" s="303"/>
      <c r="AW122" s="299"/>
      <c r="AX122" s="307"/>
      <c r="AY122" s="307"/>
      <c r="AZ122" s="299"/>
      <c r="BA122" s="299"/>
      <c r="BB122" s="299"/>
      <c r="BC122" s="299"/>
      <c r="BD122" s="308"/>
      <c r="BE122" s="308"/>
      <c r="BF122" s="308"/>
      <c r="BG122" s="308"/>
      <c r="BH122" s="301"/>
      <c r="BI122" s="299"/>
      <c r="BJ122" s="299"/>
      <c r="BK122" s="300"/>
      <c r="BL122" s="300"/>
      <c r="BM122" s="300"/>
      <c r="BN122" s="300"/>
      <c r="BO122" s="299"/>
      <c r="BP122" s="304"/>
      <c r="BQ122" s="299"/>
      <c r="BR122" s="299"/>
      <c r="BS122" s="299"/>
      <c r="BT122" s="299"/>
      <c r="BU122" s="299"/>
      <c r="BV122" s="299"/>
      <c r="BW122" s="299"/>
      <c r="BX122" s="299"/>
      <c r="BY122" s="299"/>
      <c r="BZ122" s="299"/>
      <c r="CA122" s="299"/>
      <c r="CB122" s="299"/>
      <c r="CC122" s="308"/>
      <c r="CD122" s="299"/>
      <c r="CE122" s="299"/>
      <c r="CF122" s="299"/>
      <c r="CG122" s="304"/>
      <c r="CH122" s="304"/>
      <c r="CI122" s="304"/>
      <c r="CJ122" s="299"/>
      <c r="CK122" s="304"/>
      <c r="CL122" s="304"/>
      <c r="CM122" s="304"/>
      <c r="CN122" s="304"/>
      <c r="CO122" s="304"/>
      <c r="CP122" s="304"/>
      <c r="CQ122" s="304"/>
      <c r="CR122" s="304"/>
      <c r="CS122" s="304"/>
      <c r="CT122" s="304"/>
      <c r="CU122" s="300"/>
      <c r="CV122" s="299"/>
      <c r="CW122" s="299"/>
      <c r="CX122" s="299"/>
      <c r="CY122" s="299"/>
      <c r="CZ122" s="299"/>
      <c r="DA122" s="299"/>
      <c r="DB122" s="299"/>
      <c r="DC122" s="299"/>
      <c r="DD122" s="299"/>
      <c r="DE122" s="299"/>
      <c r="DF122" s="299"/>
      <c r="DG122" s="299"/>
      <c r="DH122" s="300"/>
      <c r="DI122" s="299"/>
      <c r="DJ122" s="299"/>
      <c r="DK122" s="301"/>
      <c r="DL122" s="299"/>
      <c r="DM122" s="299"/>
      <c r="DN122" s="307"/>
      <c r="DO122" s="307"/>
      <c r="DP122" s="299"/>
      <c r="DQ122" s="299"/>
      <c r="DR122" s="299"/>
      <c r="DS122" s="299"/>
      <c r="DT122" s="299"/>
      <c r="DU122" s="301"/>
      <c r="DV122" s="301"/>
      <c r="DW122" s="301"/>
      <c r="DX122" s="301"/>
      <c r="DY122" s="301"/>
      <c r="DZ122" s="301"/>
      <c r="EA122" s="301"/>
      <c r="EB122" s="301"/>
      <c r="EC122" s="299"/>
      <c r="ED122" s="301"/>
      <c r="EE122" s="301"/>
      <c r="EF122" s="301"/>
      <c r="EG122" s="299"/>
      <c r="EH122" s="301"/>
      <c r="EI122" s="299"/>
      <c r="EJ122" s="299"/>
      <c r="EK122" s="299"/>
      <c r="EL122" s="299"/>
      <c r="EM122" s="299"/>
      <c r="EN122" s="299"/>
      <c r="EO122" s="299"/>
      <c r="EP122" s="299"/>
      <c r="EQ122" s="299"/>
      <c r="ER122" s="299"/>
      <c r="ES122" s="299"/>
      <c r="ET122" s="299"/>
      <c r="EU122" s="299"/>
      <c r="EV122" s="299"/>
      <c r="EW122" s="299"/>
      <c r="EX122" s="299"/>
      <c r="EY122" s="299"/>
      <c r="EZ122" s="299"/>
      <c r="FA122" s="299"/>
      <c r="FB122" s="299"/>
      <c r="FC122" s="299"/>
      <c r="FD122" s="299"/>
      <c r="FE122" s="299"/>
      <c r="FF122" s="299"/>
      <c r="FG122" s="299"/>
      <c r="FH122" s="299"/>
      <c r="FI122" s="299"/>
      <c r="FJ122" s="299"/>
      <c r="FK122" s="299"/>
      <c r="FL122" s="299"/>
      <c r="FM122" s="299"/>
      <c r="FN122" s="299"/>
      <c r="FO122" s="299"/>
      <c r="FP122" s="299"/>
      <c r="FQ122" s="299"/>
      <c r="FR122" s="299"/>
      <c r="FS122" s="299"/>
      <c r="FT122" s="299"/>
      <c r="FU122" s="299"/>
      <c r="FV122" s="299"/>
      <c r="FW122" s="299"/>
      <c r="FX122" s="299"/>
      <c r="FY122" s="299"/>
      <c r="FZ122" s="299"/>
      <c r="GA122" s="299"/>
      <c r="GB122" s="299"/>
      <c r="GC122" s="299"/>
      <c r="GD122" s="299"/>
      <c r="GE122" s="299"/>
      <c r="GF122" s="299"/>
      <c r="GG122" s="299"/>
      <c r="GH122" s="299"/>
      <c r="GI122" s="299"/>
      <c r="GJ122" s="299"/>
      <c r="GK122" s="299"/>
      <c r="GL122" s="299"/>
      <c r="GM122" s="299"/>
      <c r="GN122" s="299"/>
      <c r="GO122" s="299"/>
      <c r="GP122" s="299"/>
      <c r="GQ122" s="299"/>
      <c r="GR122" s="299"/>
      <c r="GS122" s="299"/>
      <c r="GT122" s="299"/>
      <c r="GU122" s="299"/>
      <c r="GV122" s="299"/>
      <c r="GW122" s="299"/>
      <c r="GX122" s="299"/>
      <c r="GY122" s="299"/>
      <c r="GZ122" s="299"/>
      <c r="HA122" s="299"/>
      <c r="HB122" s="299"/>
      <c r="HC122" s="299"/>
      <c r="HD122" s="299"/>
      <c r="HE122" s="299"/>
      <c r="HF122" s="299"/>
      <c r="HG122" s="299"/>
      <c r="HH122" s="299"/>
    </row>
    <row r="123" spans="1:216" s="264" customFormat="1" hidden="1">
      <c r="A123" s="299"/>
      <c r="B123" s="299"/>
      <c r="C123" s="300"/>
      <c r="D123" s="300"/>
      <c r="E123" s="300"/>
      <c r="F123" s="300"/>
      <c r="G123" s="300"/>
      <c r="H123" s="300"/>
      <c r="I123" s="300"/>
      <c r="J123" s="300"/>
      <c r="K123" s="300"/>
      <c r="L123" s="301"/>
      <c r="M123" s="299"/>
      <c r="N123" s="299"/>
      <c r="O123" s="299"/>
      <c r="P123" s="299"/>
      <c r="Q123" s="300"/>
      <c r="R123" s="302"/>
      <c r="S123" s="302"/>
      <c r="T123" s="302"/>
      <c r="U123" s="299"/>
      <c r="V123" s="299"/>
      <c r="W123" s="299"/>
      <c r="X123" s="299"/>
      <c r="Y123" s="299"/>
      <c r="Z123" s="299"/>
      <c r="AA123" s="299"/>
      <c r="AB123" s="303"/>
      <c r="AC123" s="299"/>
      <c r="AD123" s="299"/>
      <c r="AE123" s="299"/>
      <c r="AF123" s="304"/>
      <c r="AG123" s="304"/>
      <c r="AH123" s="304"/>
      <c r="AI123" s="304"/>
      <c r="AJ123" s="304"/>
      <c r="AK123" s="299"/>
      <c r="AL123" s="299"/>
      <c r="AM123" s="299"/>
      <c r="AN123" s="299"/>
      <c r="AO123" s="299"/>
      <c r="AP123" s="299"/>
      <c r="AQ123" s="299"/>
      <c r="AR123" s="299"/>
      <c r="AS123" s="305"/>
      <c r="AT123" s="306"/>
      <c r="AU123" s="305"/>
      <c r="AV123" s="303"/>
      <c r="AW123" s="299"/>
      <c r="AX123" s="307"/>
      <c r="AY123" s="307"/>
      <c r="AZ123" s="299"/>
      <c r="BA123" s="299"/>
      <c r="BB123" s="299"/>
      <c r="BC123" s="299"/>
      <c r="BD123" s="308"/>
      <c r="BE123" s="308"/>
      <c r="BF123" s="308"/>
      <c r="BG123" s="308"/>
      <c r="BH123" s="301"/>
      <c r="BI123" s="299"/>
      <c r="BJ123" s="299"/>
      <c r="BK123" s="300"/>
      <c r="BL123" s="300"/>
      <c r="BM123" s="300"/>
      <c r="BN123" s="300"/>
      <c r="BO123" s="299"/>
      <c r="BP123" s="304"/>
      <c r="BQ123" s="299"/>
      <c r="BR123" s="299"/>
      <c r="BS123" s="299"/>
      <c r="BT123" s="299"/>
      <c r="BU123" s="299"/>
      <c r="BV123" s="299"/>
      <c r="BW123" s="299"/>
      <c r="BX123" s="299"/>
      <c r="BY123" s="299"/>
      <c r="BZ123" s="299"/>
      <c r="CA123" s="299"/>
      <c r="CB123" s="299"/>
      <c r="CC123" s="308"/>
      <c r="CD123" s="299"/>
      <c r="CE123" s="299"/>
      <c r="CF123" s="299"/>
      <c r="CG123" s="304"/>
      <c r="CH123" s="304"/>
      <c r="CI123" s="304"/>
      <c r="CJ123" s="299"/>
      <c r="CK123" s="304"/>
      <c r="CL123" s="304"/>
      <c r="CM123" s="304"/>
      <c r="CN123" s="304"/>
      <c r="CO123" s="304"/>
      <c r="CP123" s="304"/>
      <c r="CQ123" s="304"/>
      <c r="CR123" s="304"/>
      <c r="CS123" s="304"/>
      <c r="CT123" s="304"/>
      <c r="CU123" s="300"/>
      <c r="CV123" s="299"/>
      <c r="CW123" s="299"/>
      <c r="CX123" s="299"/>
      <c r="CY123" s="299"/>
      <c r="CZ123" s="299"/>
      <c r="DA123" s="299"/>
      <c r="DB123" s="299"/>
      <c r="DC123" s="299"/>
      <c r="DD123" s="299"/>
      <c r="DE123" s="299"/>
      <c r="DF123" s="299"/>
      <c r="DG123" s="299"/>
      <c r="DH123" s="300"/>
      <c r="DI123" s="299"/>
      <c r="DJ123" s="299"/>
      <c r="DK123" s="301"/>
      <c r="DL123" s="299"/>
      <c r="DM123" s="299"/>
      <c r="DN123" s="307"/>
      <c r="DO123" s="307"/>
      <c r="DP123" s="299"/>
      <c r="DQ123" s="299"/>
      <c r="DR123" s="299"/>
      <c r="DS123" s="299"/>
      <c r="DT123" s="299"/>
      <c r="DU123" s="301"/>
      <c r="DV123" s="301"/>
      <c r="DW123" s="301"/>
      <c r="DX123" s="301"/>
      <c r="DY123" s="301"/>
      <c r="DZ123" s="301"/>
      <c r="EA123" s="301"/>
      <c r="EB123" s="301"/>
      <c r="EC123" s="299"/>
      <c r="ED123" s="301"/>
      <c r="EE123" s="301"/>
      <c r="EF123" s="301"/>
      <c r="EG123" s="299"/>
      <c r="EH123" s="301"/>
      <c r="EI123" s="299"/>
      <c r="EJ123" s="299"/>
      <c r="EK123" s="299"/>
      <c r="EL123" s="299"/>
      <c r="EM123" s="299"/>
      <c r="EN123" s="299"/>
      <c r="EO123" s="299"/>
      <c r="EP123" s="299"/>
      <c r="EQ123" s="299"/>
      <c r="ER123" s="299"/>
      <c r="ES123" s="299"/>
      <c r="ET123" s="299"/>
      <c r="EU123" s="299"/>
      <c r="EV123" s="299"/>
      <c r="EW123" s="299"/>
      <c r="EX123" s="299"/>
      <c r="EY123" s="299"/>
      <c r="EZ123" s="299"/>
      <c r="FA123" s="299"/>
      <c r="FB123" s="299"/>
      <c r="FC123" s="299"/>
      <c r="FD123" s="299"/>
      <c r="FE123" s="299"/>
      <c r="FF123" s="299"/>
      <c r="FG123" s="299"/>
      <c r="FH123" s="299"/>
      <c r="FI123" s="299"/>
      <c r="FJ123" s="299"/>
      <c r="FK123" s="299"/>
      <c r="FL123" s="299"/>
      <c r="FM123" s="299"/>
      <c r="FN123" s="299"/>
      <c r="FO123" s="299"/>
      <c r="FP123" s="299"/>
      <c r="FQ123" s="299"/>
      <c r="FR123" s="299"/>
      <c r="FS123" s="299"/>
      <c r="FT123" s="299"/>
      <c r="FU123" s="299"/>
      <c r="FV123" s="299"/>
      <c r="FW123" s="299"/>
      <c r="FX123" s="299"/>
      <c r="FY123" s="299"/>
      <c r="FZ123" s="299"/>
      <c r="GA123" s="299"/>
      <c r="GB123" s="299"/>
      <c r="GC123" s="299"/>
      <c r="GD123" s="299"/>
      <c r="GE123" s="299"/>
      <c r="GF123" s="299"/>
      <c r="GG123" s="299"/>
      <c r="GH123" s="299"/>
      <c r="GI123" s="299"/>
      <c r="GJ123" s="299"/>
      <c r="GK123" s="299"/>
      <c r="GL123" s="299"/>
      <c r="GM123" s="299"/>
      <c r="GN123" s="299"/>
      <c r="GO123" s="299"/>
      <c r="GP123" s="299"/>
      <c r="GQ123" s="299"/>
      <c r="GR123" s="299"/>
      <c r="GS123" s="299"/>
      <c r="GT123" s="299"/>
      <c r="GU123" s="299"/>
      <c r="GV123" s="299"/>
      <c r="GW123" s="299"/>
      <c r="GX123" s="299"/>
      <c r="GY123" s="299"/>
      <c r="GZ123" s="299"/>
      <c r="HA123" s="299"/>
      <c r="HB123" s="299"/>
      <c r="HC123" s="299"/>
      <c r="HD123" s="299"/>
      <c r="HE123" s="299"/>
      <c r="HF123" s="299"/>
      <c r="HG123" s="299"/>
      <c r="HH123" s="299"/>
    </row>
    <row r="124" spans="1:216" s="264" customFormat="1" hidden="1">
      <c r="A124" s="299"/>
      <c r="B124" s="299"/>
      <c r="C124" s="300"/>
      <c r="D124" s="300"/>
      <c r="E124" s="300"/>
      <c r="F124" s="300"/>
      <c r="G124" s="300"/>
      <c r="H124" s="300"/>
      <c r="I124" s="300"/>
      <c r="J124" s="300"/>
      <c r="K124" s="300"/>
      <c r="L124" s="301"/>
      <c r="M124" s="299"/>
      <c r="N124" s="299"/>
      <c r="O124" s="299"/>
      <c r="P124" s="299"/>
      <c r="Q124" s="300"/>
      <c r="R124" s="302"/>
      <c r="S124" s="302"/>
      <c r="T124" s="302"/>
      <c r="U124" s="299"/>
      <c r="V124" s="299"/>
      <c r="W124" s="299"/>
      <c r="X124" s="299"/>
      <c r="Y124" s="299"/>
      <c r="Z124" s="299"/>
      <c r="AA124" s="299"/>
      <c r="AB124" s="303"/>
      <c r="AC124" s="299"/>
      <c r="AD124" s="299"/>
      <c r="AE124" s="299"/>
      <c r="AF124" s="304"/>
      <c r="AG124" s="304"/>
      <c r="AH124" s="304"/>
      <c r="AI124" s="304"/>
      <c r="AJ124" s="304"/>
      <c r="AK124" s="299"/>
      <c r="AL124" s="299"/>
      <c r="AM124" s="299"/>
      <c r="AN124" s="299"/>
      <c r="AO124" s="299"/>
      <c r="AP124" s="299"/>
      <c r="AQ124" s="299"/>
      <c r="AR124" s="299"/>
      <c r="AS124" s="305"/>
      <c r="AT124" s="306"/>
      <c r="AU124" s="305"/>
      <c r="AV124" s="303"/>
      <c r="AW124" s="299"/>
      <c r="AX124" s="307"/>
      <c r="AY124" s="307"/>
      <c r="AZ124" s="299"/>
      <c r="BA124" s="299"/>
      <c r="BB124" s="299"/>
      <c r="BC124" s="299"/>
      <c r="BD124" s="308"/>
      <c r="BE124" s="308"/>
      <c r="BF124" s="308"/>
      <c r="BG124" s="308"/>
      <c r="BH124" s="301"/>
      <c r="BI124" s="299"/>
      <c r="BJ124" s="299"/>
      <c r="BK124" s="300"/>
      <c r="BL124" s="300"/>
      <c r="BM124" s="300"/>
      <c r="BN124" s="300"/>
      <c r="BO124" s="299"/>
      <c r="BP124" s="304"/>
      <c r="BQ124" s="299"/>
      <c r="BR124" s="299"/>
      <c r="BS124" s="299"/>
      <c r="BT124" s="299"/>
      <c r="BU124" s="299"/>
      <c r="BV124" s="299"/>
      <c r="BW124" s="299"/>
      <c r="BX124" s="299"/>
      <c r="BY124" s="299"/>
      <c r="BZ124" s="299"/>
      <c r="CA124" s="299"/>
      <c r="CB124" s="299"/>
      <c r="CC124" s="308"/>
      <c r="CD124" s="299"/>
      <c r="CE124" s="299"/>
      <c r="CF124" s="299"/>
      <c r="CG124" s="304"/>
      <c r="CH124" s="304"/>
      <c r="CI124" s="304"/>
      <c r="CJ124" s="299"/>
      <c r="CK124" s="304"/>
      <c r="CL124" s="304"/>
      <c r="CM124" s="304"/>
      <c r="CN124" s="304"/>
      <c r="CO124" s="304"/>
      <c r="CP124" s="304"/>
      <c r="CQ124" s="304"/>
      <c r="CR124" s="304"/>
      <c r="CS124" s="304"/>
      <c r="CT124" s="304"/>
      <c r="CU124" s="300"/>
      <c r="CV124" s="299"/>
      <c r="CW124" s="299"/>
      <c r="CX124" s="299"/>
      <c r="CY124" s="299"/>
      <c r="CZ124" s="299"/>
      <c r="DA124" s="299"/>
      <c r="DB124" s="299"/>
      <c r="DC124" s="299"/>
      <c r="DD124" s="299"/>
      <c r="DE124" s="299"/>
      <c r="DF124" s="299"/>
      <c r="DG124" s="299"/>
      <c r="DH124" s="300"/>
      <c r="DI124" s="299"/>
      <c r="DJ124" s="299"/>
      <c r="DK124" s="301"/>
      <c r="DL124" s="299"/>
      <c r="DM124" s="299"/>
      <c r="DN124" s="307"/>
      <c r="DO124" s="307"/>
      <c r="DP124" s="299"/>
      <c r="DQ124" s="299"/>
      <c r="DR124" s="299"/>
      <c r="DS124" s="299"/>
      <c r="DT124" s="299"/>
      <c r="DU124" s="301"/>
      <c r="DV124" s="301"/>
      <c r="DW124" s="301"/>
      <c r="DX124" s="301"/>
      <c r="DY124" s="301"/>
      <c r="DZ124" s="301"/>
      <c r="EA124" s="301"/>
      <c r="EB124" s="301"/>
      <c r="EC124" s="299"/>
      <c r="ED124" s="301"/>
      <c r="EE124" s="301"/>
      <c r="EF124" s="301"/>
      <c r="EG124" s="299"/>
      <c r="EH124" s="301"/>
      <c r="EI124" s="299"/>
      <c r="EJ124" s="299"/>
      <c r="EK124" s="299"/>
      <c r="EL124" s="299"/>
      <c r="EM124" s="299"/>
      <c r="EN124" s="299"/>
      <c r="EO124" s="299"/>
      <c r="EP124" s="299"/>
      <c r="EQ124" s="299"/>
      <c r="ER124" s="299"/>
      <c r="ES124" s="299"/>
      <c r="ET124" s="299"/>
      <c r="EU124" s="299"/>
      <c r="EV124" s="299"/>
      <c r="EW124" s="299"/>
      <c r="EX124" s="299"/>
      <c r="EY124" s="299"/>
      <c r="EZ124" s="299"/>
      <c r="FA124" s="299"/>
      <c r="FB124" s="299"/>
      <c r="FC124" s="299"/>
      <c r="FD124" s="299"/>
      <c r="FE124" s="299"/>
      <c r="FF124" s="299"/>
      <c r="FG124" s="299"/>
      <c r="FH124" s="299"/>
      <c r="FI124" s="299"/>
      <c r="FJ124" s="299"/>
      <c r="FK124" s="299"/>
      <c r="FL124" s="299"/>
      <c r="FM124" s="299"/>
      <c r="FN124" s="299"/>
      <c r="FO124" s="299"/>
      <c r="FP124" s="299"/>
      <c r="FQ124" s="299"/>
      <c r="FR124" s="299"/>
      <c r="FS124" s="299"/>
      <c r="FT124" s="299"/>
      <c r="FU124" s="299"/>
      <c r="FV124" s="299"/>
      <c r="FW124" s="299"/>
      <c r="FX124" s="299"/>
      <c r="FY124" s="299"/>
      <c r="FZ124" s="299"/>
      <c r="GA124" s="299"/>
      <c r="GB124" s="299"/>
      <c r="GC124" s="299"/>
      <c r="GD124" s="299"/>
      <c r="GE124" s="299"/>
      <c r="GF124" s="299"/>
      <c r="GG124" s="299"/>
      <c r="GH124" s="299"/>
      <c r="GI124" s="299"/>
      <c r="GJ124" s="299"/>
      <c r="GK124" s="299"/>
      <c r="GL124" s="299"/>
      <c r="GM124" s="299"/>
      <c r="GN124" s="299"/>
      <c r="GO124" s="299"/>
      <c r="GP124" s="299"/>
      <c r="GQ124" s="299"/>
      <c r="GR124" s="299"/>
      <c r="GS124" s="299"/>
      <c r="GT124" s="299"/>
      <c r="GU124" s="299"/>
      <c r="GV124" s="299"/>
      <c r="GW124" s="299"/>
      <c r="GX124" s="299"/>
      <c r="GY124" s="299"/>
      <c r="GZ124" s="299"/>
      <c r="HA124" s="299"/>
      <c r="HB124" s="299"/>
      <c r="HC124" s="299"/>
      <c r="HD124" s="299"/>
      <c r="HE124" s="299"/>
      <c r="HF124" s="299"/>
      <c r="HG124" s="299"/>
      <c r="HH124" s="299"/>
    </row>
    <row r="125" spans="1:216" s="264" customFormat="1" hidden="1">
      <c r="A125" s="299"/>
      <c r="B125" s="299"/>
      <c r="C125" s="300"/>
      <c r="D125" s="300"/>
      <c r="E125" s="300"/>
      <c r="F125" s="300"/>
      <c r="G125" s="300"/>
      <c r="H125" s="300"/>
      <c r="I125" s="300"/>
      <c r="J125" s="300"/>
      <c r="K125" s="300"/>
      <c r="L125" s="301"/>
      <c r="M125" s="299"/>
      <c r="N125" s="299"/>
      <c r="O125" s="299"/>
      <c r="P125" s="299"/>
      <c r="Q125" s="300"/>
      <c r="R125" s="302"/>
      <c r="S125" s="302"/>
      <c r="T125" s="302"/>
      <c r="U125" s="299"/>
      <c r="V125" s="299"/>
      <c r="W125" s="299"/>
      <c r="X125" s="299"/>
      <c r="Y125" s="299"/>
      <c r="Z125" s="299"/>
      <c r="AA125" s="299"/>
      <c r="AB125" s="303"/>
      <c r="AC125" s="299"/>
      <c r="AD125" s="299"/>
      <c r="AE125" s="299"/>
      <c r="AF125" s="304"/>
      <c r="AG125" s="304"/>
      <c r="AH125" s="304"/>
      <c r="AI125" s="304"/>
      <c r="AJ125" s="304"/>
      <c r="AK125" s="299"/>
      <c r="AL125" s="299"/>
      <c r="AM125" s="299"/>
      <c r="AN125" s="299"/>
      <c r="AO125" s="299"/>
      <c r="AP125" s="299"/>
      <c r="AQ125" s="299"/>
      <c r="AR125" s="299"/>
      <c r="AS125" s="305"/>
      <c r="AT125" s="306"/>
      <c r="AU125" s="305"/>
      <c r="AV125" s="303"/>
      <c r="AW125" s="299"/>
      <c r="AX125" s="307"/>
      <c r="AY125" s="307"/>
      <c r="AZ125" s="299"/>
      <c r="BA125" s="299"/>
      <c r="BB125" s="299"/>
      <c r="BC125" s="299"/>
      <c r="BD125" s="308"/>
      <c r="BE125" s="308"/>
      <c r="BF125" s="308"/>
      <c r="BG125" s="308"/>
      <c r="BH125" s="301"/>
      <c r="BI125" s="299"/>
      <c r="BJ125" s="299"/>
      <c r="BK125" s="300"/>
      <c r="BL125" s="300"/>
      <c r="BM125" s="300"/>
      <c r="BN125" s="300"/>
      <c r="BO125" s="299"/>
      <c r="BP125" s="304"/>
      <c r="BQ125" s="299"/>
      <c r="BR125" s="299"/>
      <c r="BS125" s="299"/>
      <c r="BT125" s="299"/>
      <c r="BU125" s="299"/>
      <c r="BV125" s="299"/>
      <c r="BW125" s="299"/>
      <c r="BX125" s="299"/>
      <c r="BY125" s="299"/>
      <c r="BZ125" s="299"/>
      <c r="CA125" s="299"/>
      <c r="CB125" s="299"/>
      <c r="CC125" s="308"/>
      <c r="CD125" s="299"/>
      <c r="CE125" s="299"/>
      <c r="CF125" s="299"/>
      <c r="CG125" s="304"/>
      <c r="CH125" s="304"/>
      <c r="CI125" s="304"/>
      <c r="CJ125" s="299"/>
      <c r="CK125" s="304"/>
      <c r="CL125" s="304"/>
      <c r="CM125" s="304"/>
      <c r="CN125" s="304"/>
      <c r="CO125" s="304"/>
      <c r="CP125" s="304"/>
      <c r="CQ125" s="304"/>
      <c r="CR125" s="304"/>
      <c r="CS125" s="304"/>
      <c r="CT125" s="304"/>
      <c r="CU125" s="300"/>
      <c r="CV125" s="299"/>
      <c r="CW125" s="299"/>
      <c r="CX125" s="299"/>
      <c r="CY125" s="299"/>
      <c r="CZ125" s="299"/>
      <c r="DA125" s="299"/>
      <c r="DB125" s="299"/>
      <c r="DC125" s="299"/>
      <c r="DD125" s="299"/>
      <c r="DE125" s="299"/>
      <c r="DF125" s="299"/>
      <c r="DG125" s="299"/>
      <c r="DH125" s="300"/>
      <c r="DI125" s="299"/>
      <c r="DJ125" s="299"/>
      <c r="DK125" s="301"/>
      <c r="DL125" s="299"/>
      <c r="DM125" s="299"/>
      <c r="DN125" s="307"/>
      <c r="DO125" s="307"/>
      <c r="DP125" s="299"/>
      <c r="DQ125" s="299"/>
      <c r="DR125" s="299"/>
      <c r="DS125" s="299"/>
      <c r="DT125" s="299"/>
      <c r="DU125" s="301"/>
      <c r="DV125" s="301"/>
      <c r="DW125" s="301"/>
      <c r="DX125" s="301"/>
      <c r="DY125" s="301"/>
      <c r="DZ125" s="301"/>
      <c r="EA125" s="301"/>
      <c r="EB125" s="301"/>
      <c r="EC125" s="299"/>
      <c r="ED125" s="301"/>
      <c r="EE125" s="301"/>
      <c r="EF125" s="301"/>
      <c r="EG125" s="299"/>
      <c r="EH125" s="301"/>
      <c r="EI125" s="299"/>
      <c r="EJ125" s="299"/>
      <c r="EK125" s="299"/>
      <c r="EL125" s="299"/>
      <c r="EM125" s="299"/>
      <c r="EN125" s="299"/>
      <c r="EO125" s="299"/>
      <c r="EP125" s="299"/>
      <c r="EQ125" s="299"/>
      <c r="ER125" s="299"/>
      <c r="ES125" s="299"/>
      <c r="ET125" s="299"/>
      <c r="EU125" s="299"/>
      <c r="EV125" s="299"/>
      <c r="EW125" s="299"/>
      <c r="EX125" s="299"/>
      <c r="EY125" s="299"/>
      <c r="EZ125" s="299"/>
      <c r="FA125" s="299"/>
      <c r="FB125" s="299"/>
      <c r="FC125" s="299"/>
      <c r="FD125" s="299"/>
      <c r="FE125" s="299"/>
      <c r="FF125" s="299"/>
      <c r="FG125" s="299"/>
      <c r="FH125" s="299"/>
      <c r="FI125" s="299"/>
      <c r="FJ125" s="299"/>
      <c r="FK125" s="299"/>
      <c r="FL125" s="299"/>
      <c r="FM125" s="299"/>
      <c r="FN125" s="299"/>
      <c r="FO125" s="299"/>
      <c r="FP125" s="299"/>
      <c r="FQ125" s="299"/>
      <c r="FR125" s="299"/>
      <c r="FS125" s="299"/>
      <c r="FT125" s="299"/>
      <c r="FU125" s="299"/>
      <c r="FV125" s="299"/>
      <c r="FW125" s="299"/>
      <c r="FX125" s="299"/>
      <c r="FY125" s="299"/>
      <c r="FZ125" s="299"/>
      <c r="GA125" s="299"/>
      <c r="GB125" s="299"/>
      <c r="GC125" s="299"/>
      <c r="GD125" s="299"/>
      <c r="GE125" s="299"/>
      <c r="GF125" s="299"/>
      <c r="GG125" s="299"/>
      <c r="GH125" s="299"/>
      <c r="GI125" s="299"/>
      <c r="GJ125" s="299"/>
      <c r="GK125" s="299"/>
      <c r="GL125" s="299"/>
      <c r="GM125" s="299"/>
      <c r="GN125" s="299"/>
      <c r="GO125" s="299"/>
      <c r="GP125" s="299"/>
      <c r="GQ125" s="299"/>
      <c r="GR125" s="299"/>
      <c r="GS125" s="299"/>
      <c r="GT125" s="299"/>
      <c r="GU125" s="299"/>
      <c r="GV125" s="299"/>
      <c r="GW125" s="299"/>
      <c r="GX125" s="299"/>
      <c r="GY125" s="299"/>
      <c r="GZ125" s="299"/>
      <c r="HA125" s="299"/>
      <c r="HB125" s="299"/>
      <c r="HC125" s="299"/>
      <c r="HD125" s="299"/>
      <c r="HE125" s="299"/>
      <c r="HF125" s="299"/>
      <c r="HG125" s="299"/>
      <c r="HH125" s="299"/>
    </row>
    <row r="126" spans="1:216" s="264" customFormat="1" hidden="1">
      <c r="A126" s="299"/>
      <c r="B126" s="299"/>
      <c r="C126" s="300"/>
      <c r="D126" s="300"/>
      <c r="E126" s="300"/>
      <c r="F126" s="300"/>
      <c r="G126" s="300"/>
      <c r="H126" s="300"/>
      <c r="I126" s="300"/>
      <c r="J126" s="300"/>
      <c r="K126" s="300"/>
      <c r="L126" s="301"/>
      <c r="M126" s="299"/>
      <c r="N126" s="299"/>
      <c r="O126" s="299"/>
      <c r="P126" s="299"/>
      <c r="Q126" s="300"/>
      <c r="R126" s="302"/>
      <c r="S126" s="302"/>
      <c r="T126" s="302"/>
      <c r="U126" s="299"/>
      <c r="V126" s="299"/>
      <c r="W126" s="299"/>
      <c r="X126" s="299"/>
      <c r="Y126" s="299"/>
      <c r="Z126" s="299"/>
      <c r="AA126" s="299"/>
      <c r="AB126" s="303"/>
      <c r="AC126" s="299"/>
      <c r="AD126" s="299"/>
      <c r="AE126" s="299"/>
      <c r="AF126" s="304"/>
      <c r="AG126" s="304"/>
      <c r="AH126" s="304"/>
      <c r="AI126" s="304"/>
      <c r="AJ126" s="304"/>
      <c r="AK126" s="299"/>
      <c r="AL126" s="299"/>
      <c r="AM126" s="299"/>
      <c r="AN126" s="299"/>
      <c r="AO126" s="299"/>
      <c r="AP126" s="299"/>
      <c r="AQ126" s="299"/>
      <c r="AR126" s="299"/>
      <c r="AS126" s="305"/>
      <c r="AT126" s="306"/>
      <c r="AU126" s="305"/>
      <c r="AV126" s="303"/>
      <c r="AW126" s="299"/>
      <c r="AX126" s="307"/>
      <c r="AY126" s="307"/>
      <c r="AZ126" s="299"/>
      <c r="BA126" s="299"/>
      <c r="BB126" s="299"/>
      <c r="BC126" s="299"/>
      <c r="BD126" s="308"/>
      <c r="BE126" s="308"/>
      <c r="BF126" s="308"/>
      <c r="BG126" s="308"/>
      <c r="BH126" s="301"/>
      <c r="BI126" s="299"/>
      <c r="BJ126" s="299"/>
      <c r="BK126" s="300"/>
      <c r="BL126" s="300"/>
      <c r="BM126" s="300"/>
      <c r="BN126" s="300"/>
      <c r="BO126" s="299"/>
      <c r="BP126" s="304"/>
      <c r="BQ126" s="299"/>
      <c r="BR126" s="299"/>
      <c r="BS126" s="299"/>
      <c r="BT126" s="299"/>
      <c r="BU126" s="299"/>
      <c r="BV126" s="299"/>
      <c r="BW126" s="299"/>
      <c r="BX126" s="299"/>
      <c r="BY126" s="299"/>
      <c r="BZ126" s="299"/>
      <c r="CA126" s="299"/>
      <c r="CB126" s="299"/>
      <c r="CC126" s="308"/>
      <c r="CD126" s="299"/>
      <c r="CE126" s="299"/>
      <c r="CF126" s="299"/>
      <c r="CG126" s="304"/>
      <c r="CH126" s="304"/>
      <c r="CI126" s="304"/>
      <c r="CJ126" s="299"/>
      <c r="CK126" s="304"/>
      <c r="CL126" s="304"/>
      <c r="CM126" s="304"/>
      <c r="CN126" s="304"/>
      <c r="CO126" s="304"/>
      <c r="CP126" s="304"/>
      <c r="CQ126" s="304"/>
      <c r="CR126" s="304"/>
      <c r="CS126" s="304"/>
      <c r="CT126" s="304"/>
      <c r="CU126" s="300"/>
      <c r="CV126" s="299"/>
      <c r="CW126" s="299"/>
      <c r="CX126" s="299"/>
      <c r="CY126" s="299"/>
      <c r="CZ126" s="299"/>
      <c r="DA126" s="299"/>
      <c r="DB126" s="299"/>
      <c r="DC126" s="299"/>
      <c r="DD126" s="299"/>
      <c r="DE126" s="299"/>
      <c r="DF126" s="299"/>
      <c r="DG126" s="299"/>
      <c r="DH126" s="300"/>
      <c r="DI126" s="299"/>
      <c r="DJ126" s="299"/>
      <c r="DK126" s="301"/>
      <c r="DL126" s="299"/>
      <c r="DM126" s="299"/>
      <c r="DN126" s="307"/>
      <c r="DO126" s="307"/>
      <c r="DP126" s="299"/>
      <c r="DQ126" s="299"/>
      <c r="DR126" s="299"/>
      <c r="DS126" s="299"/>
      <c r="DT126" s="299"/>
      <c r="DU126" s="301"/>
      <c r="DV126" s="301"/>
      <c r="DW126" s="301"/>
      <c r="DX126" s="301"/>
      <c r="DY126" s="301"/>
      <c r="DZ126" s="301"/>
      <c r="EA126" s="301"/>
      <c r="EB126" s="301"/>
      <c r="EC126" s="299"/>
      <c r="ED126" s="301"/>
      <c r="EE126" s="301"/>
      <c r="EF126" s="301"/>
      <c r="EG126" s="299"/>
      <c r="EH126" s="301"/>
      <c r="EI126" s="299"/>
      <c r="EJ126" s="299"/>
      <c r="EK126" s="299"/>
      <c r="EL126" s="299"/>
      <c r="EM126" s="299"/>
      <c r="EN126" s="299"/>
      <c r="EO126" s="299"/>
      <c r="EP126" s="299"/>
      <c r="EQ126" s="299"/>
      <c r="ER126" s="299"/>
      <c r="ES126" s="299"/>
      <c r="ET126" s="299"/>
      <c r="EU126" s="299"/>
      <c r="EV126" s="299"/>
      <c r="EW126" s="299"/>
      <c r="EX126" s="299"/>
      <c r="EY126" s="299"/>
      <c r="EZ126" s="299"/>
      <c r="FA126" s="299"/>
      <c r="FB126" s="299"/>
      <c r="FC126" s="299"/>
      <c r="FD126" s="299"/>
      <c r="FE126" s="299"/>
      <c r="FF126" s="299"/>
      <c r="FG126" s="299"/>
      <c r="FH126" s="299"/>
      <c r="FI126" s="299"/>
      <c r="FJ126" s="299"/>
      <c r="FK126" s="299"/>
      <c r="FL126" s="299"/>
      <c r="FM126" s="299"/>
      <c r="FN126" s="299"/>
      <c r="FO126" s="299"/>
      <c r="FP126" s="299"/>
      <c r="FQ126" s="299"/>
      <c r="FR126" s="299"/>
      <c r="FS126" s="299"/>
      <c r="FT126" s="299"/>
      <c r="FU126" s="299"/>
      <c r="FV126" s="299"/>
      <c r="FW126" s="299"/>
      <c r="FX126" s="299"/>
      <c r="FY126" s="299"/>
      <c r="FZ126" s="299"/>
      <c r="GA126" s="299"/>
      <c r="GB126" s="299"/>
      <c r="GC126" s="299"/>
      <c r="GD126" s="299"/>
      <c r="GE126" s="299"/>
      <c r="GF126" s="299"/>
      <c r="GG126" s="299"/>
      <c r="GH126" s="299"/>
      <c r="GI126" s="299"/>
      <c r="GJ126" s="299"/>
      <c r="GK126" s="299"/>
      <c r="GL126" s="299"/>
      <c r="GM126" s="299"/>
      <c r="GN126" s="299"/>
      <c r="GO126" s="299"/>
      <c r="GP126" s="299"/>
      <c r="GQ126" s="299"/>
      <c r="GR126" s="299"/>
      <c r="GS126" s="299"/>
      <c r="GT126" s="299"/>
      <c r="GU126" s="299"/>
      <c r="GV126" s="299"/>
      <c r="GW126" s="299"/>
      <c r="GX126" s="299"/>
      <c r="GY126" s="299"/>
      <c r="GZ126" s="299"/>
      <c r="HA126" s="299"/>
      <c r="HB126" s="299"/>
      <c r="HC126" s="299"/>
      <c r="HD126" s="299"/>
      <c r="HE126" s="299"/>
      <c r="HF126" s="299"/>
      <c r="HG126" s="299"/>
      <c r="HH126" s="299"/>
    </row>
    <row r="127" spans="1:216" s="264" customFormat="1" hidden="1">
      <c r="A127" s="299"/>
      <c r="B127" s="299"/>
      <c r="C127" s="300"/>
      <c r="D127" s="300"/>
      <c r="E127" s="300"/>
      <c r="F127" s="300"/>
      <c r="G127" s="300"/>
      <c r="H127" s="300"/>
      <c r="I127" s="300"/>
      <c r="J127" s="300"/>
      <c r="K127" s="300"/>
      <c r="L127" s="301"/>
      <c r="M127" s="299"/>
      <c r="N127" s="299"/>
      <c r="O127" s="299"/>
      <c r="P127" s="299"/>
      <c r="Q127" s="300"/>
      <c r="R127" s="302"/>
      <c r="S127" s="302"/>
      <c r="T127" s="302"/>
      <c r="U127" s="299"/>
      <c r="V127" s="299"/>
      <c r="W127" s="299"/>
      <c r="X127" s="299"/>
      <c r="Y127" s="299"/>
      <c r="Z127" s="299"/>
      <c r="AA127" s="299"/>
      <c r="AB127" s="303"/>
      <c r="AC127" s="299"/>
      <c r="AD127" s="299"/>
      <c r="AE127" s="299"/>
      <c r="AF127" s="304"/>
      <c r="AG127" s="304"/>
      <c r="AH127" s="304"/>
      <c r="AI127" s="304"/>
      <c r="AJ127" s="304"/>
      <c r="AK127" s="299"/>
      <c r="AL127" s="299"/>
      <c r="AM127" s="299"/>
      <c r="AN127" s="299"/>
      <c r="AO127" s="299"/>
      <c r="AP127" s="299"/>
      <c r="AQ127" s="299"/>
      <c r="AR127" s="299"/>
      <c r="AS127" s="305"/>
      <c r="AT127" s="306"/>
      <c r="AU127" s="305"/>
      <c r="AV127" s="303"/>
      <c r="AW127" s="299"/>
      <c r="AX127" s="307"/>
      <c r="AY127" s="307"/>
      <c r="AZ127" s="299"/>
      <c r="BA127" s="299"/>
      <c r="BB127" s="299"/>
      <c r="BC127" s="299"/>
      <c r="BD127" s="308"/>
      <c r="BE127" s="308"/>
      <c r="BF127" s="308"/>
      <c r="BG127" s="308"/>
      <c r="BH127" s="301"/>
      <c r="BI127" s="299"/>
      <c r="BJ127" s="299"/>
      <c r="BK127" s="300"/>
      <c r="BL127" s="300"/>
      <c r="BM127" s="300"/>
      <c r="BN127" s="300"/>
      <c r="BO127" s="299"/>
      <c r="BP127" s="304"/>
      <c r="BQ127" s="299"/>
      <c r="BR127" s="299"/>
      <c r="BS127" s="299"/>
      <c r="BT127" s="299"/>
      <c r="BU127" s="299"/>
      <c r="BV127" s="299"/>
      <c r="BW127" s="299"/>
      <c r="BX127" s="299"/>
      <c r="BY127" s="299"/>
      <c r="BZ127" s="299"/>
      <c r="CA127" s="299"/>
      <c r="CB127" s="299"/>
      <c r="CC127" s="308"/>
      <c r="CD127" s="299"/>
      <c r="CE127" s="299"/>
      <c r="CF127" s="299"/>
      <c r="CG127" s="304"/>
      <c r="CH127" s="304"/>
      <c r="CI127" s="304"/>
      <c r="CJ127" s="299"/>
      <c r="CK127" s="304"/>
      <c r="CL127" s="304"/>
      <c r="CM127" s="304"/>
      <c r="CN127" s="304"/>
      <c r="CO127" s="304"/>
      <c r="CP127" s="304"/>
      <c r="CQ127" s="304"/>
      <c r="CR127" s="304"/>
      <c r="CS127" s="304"/>
      <c r="CT127" s="304"/>
      <c r="CU127" s="300"/>
      <c r="CV127" s="299"/>
      <c r="CW127" s="299"/>
      <c r="CX127" s="299"/>
      <c r="CY127" s="299"/>
      <c r="CZ127" s="299"/>
      <c r="DA127" s="299"/>
      <c r="DB127" s="299"/>
      <c r="DC127" s="299"/>
      <c r="DD127" s="299"/>
      <c r="DE127" s="299"/>
      <c r="DF127" s="299"/>
      <c r="DG127" s="299"/>
      <c r="DH127" s="300"/>
      <c r="DI127" s="299"/>
      <c r="DJ127" s="299"/>
      <c r="DK127" s="301"/>
      <c r="DL127" s="299"/>
      <c r="DM127" s="299"/>
      <c r="DN127" s="307"/>
      <c r="DO127" s="307"/>
      <c r="DP127" s="299"/>
      <c r="DQ127" s="299"/>
      <c r="DR127" s="299"/>
      <c r="DS127" s="299"/>
      <c r="DT127" s="299"/>
      <c r="DU127" s="301"/>
      <c r="DV127" s="301"/>
      <c r="DW127" s="301"/>
      <c r="DX127" s="301"/>
      <c r="DY127" s="301"/>
      <c r="DZ127" s="301"/>
      <c r="EA127" s="301"/>
      <c r="EB127" s="301"/>
      <c r="EC127" s="299"/>
      <c r="ED127" s="301"/>
      <c r="EE127" s="301"/>
      <c r="EF127" s="301"/>
      <c r="EG127" s="299"/>
      <c r="EH127" s="301"/>
      <c r="EI127" s="299"/>
      <c r="EJ127" s="299"/>
      <c r="EK127" s="299"/>
      <c r="EL127" s="299"/>
      <c r="EM127" s="299"/>
      <c r="EN127" s="299"/>
      <c r="EO127" s="299"/>
      <c r="EP127" s="299"/>
      <c r="EQ127" s="299"/>
      <c r="ER127" s="299"/>
      <c r="ES127" s="299"/>
      <c r="ET127" s="299"/>
      <c r="EU127" s="299"/>
      <c r="EV127" s="299"/>
      <c r="EW127" s="299"/>
      <c r="EX127" s="299"/>
      <c r="EY127" s="299"/>
      <c r="EZ127" s="299"/>
      <c r="FA127" s="299"/>
      <c r="FB127" s="299"/>
      <c r="FC127" s="299"/>
      <c r="FD127" s="299"/>
      <c r="FE127" s="299"/>
      <c r="FF127" s="299"/>
      <c r="FG127" s="299"/>
      <c r="FH127" s="299"/>
      <c r="FI127" s="299"/>
      <c r="FJ127" s="299"/>
      <c r="FK127" s="299"/>
      <c r="FL127" s="299"/>
      <c r="FM127" s="299"/>
      <c r="FN127" s="299"/>
      <c r="FO127" s="299"/>
      <c r="FP127" s="299"/>
      <c r="FQ127" s="299"/>
      <c r="FR127" s="299"/>
      <c r="FS127" s="299"/>
      <c r="FT127" s="299"/>
      <c r="FU127" s="299"/>
      <c r="FV127" s="299"/>
      <c r="FW127" s="299"/>
      <c r="FX127" s="299"/>
      <c r="FY127" s="299"/>
      <c r="FZ127" s="299"/>
      <c r="GA127" s="299"/>
      <c r="GB127" s="299"/>
      <c r="GC127" s="299"/>
      <c r="GD127" s="299"/>
      <c r="GE127" s="299"/>
      <c r="GF127" s="299"/>
      <c r="GG127" s="299"/>
      <c r="GH127" s="299"/>
      <c r="GI127" s="299"/>
      <c r="GJ127" s="299"/>
      <c r="GK127" s="299"/>
      <c r="GL127" s="299"/>
      <c r="GM127" s="299"/>
      <c r="GN127" s="299"/>
      <c r="GO127" s="299"/>
      <c r="GP127" s="299"/>
      <c r="GQ127" s="299"/>
      <c r="GR127" s="299"/>
      <c r="GS127" s="299"/>
      <c r="GT127" s="299"/>
      <c r="GU127" s="299"/>
      <c r="GV127" s="299"/>
      <c r="GW127" s="299"/>
      <c r="GX127" s="299"/>
      <c r="GY127" s="299"/>
      <c r="GZ127" s="299"/>
      <c r="HA127" s="299"/>
      <c r="HB127" s="299"/>
      <c r="HC127" s="299"/>
      <c r="HD127" s="299"/>
      <c r="HE127" s="299"/>
      <c r="HF127" s="299"/>
      <c r="HG127" s="299"/>
      <c r="HH127" s="299"/>
    </row>
    <row r="128" spans="1:216" s="264" customFormat="1" hidden="1">
      <c r="A128" s="299"/>
      <c r="B128" s="299"/>
      <c r="C128" s="300"/>
      <c r="D128" s="300"/>
      <c r="E128" s="300"/>
      <c r="F128" s="300"/>
      <c r="G128" s="300"/>
      <c r="H128" s="300"/>
      <c r="I128" s="300"/>
      <c r="J128" s="300"/>
      <c r="K128" s="300"/>
      <c r="L128" s="301"/>
      <c r="M128" s="299"/>
      <c r="N128" s="299"/>
      <c r="O128" s="299"/>
      <c r="P128" s="299"/>
      <c r="Q128" s="300"/>
      <c r="R128" s="302"/>
      <c r="S128" s="302"/>
      <c r="T128" s="302"/>
      <c r="U128" s="299"/>
      <c r="V128" s="299"/>
      <c r="W128" s="299"/>
      <c r="X128" s="299"/>
      <c r="Y128" s="299"/>
      <c r="Z128" s="299"/>
      <c r="AA128" s="299"/>
      <c r="AB128" s="303"/>
      <c r="AC128" s="299"/>
      <c r="AD128" s="299"/>
      <c r="AE128" s="299"/>
      <c r="AF128" s="304"/>
      <c r="AG128" s="304"/>
      <c r="AH128" s="304"/>
      <c r="AI128" s="304"/>
      <c r="AJ128" s="304"/>
      <c r="AK128" s="299"/>
      <c r="AL128" s="299"/>
      <c r="AM128" s="299"/>
      <c r="AN128" s="299"/>
      <c r="AO128" s="299"/>
      <c r="AP128" s="299"/>
      <c r="AQ128" s="299"/>
      <c r="AR128" s="299"/>
      <c r="AS128" s="305"/>
      <c r="AT128" s="306"/>
      <c r="AU128" s="305"/>
      <c r="AV128" s="303"/>
      <c r="AW128" s="299"/>
      <c r="AX128" s="307"/>
      <c r="AY128" s="307"/>
      <c r="AZ128" s="299"/>
      <c r="BA128" s="299"/>
      <c r="BB128" s="299"/>
      <c r="BC128" s="299"/>
      <c r="BD128" s="308"/>
      <c r="BE128" s="308"/>
      <c r="BF128" s="308"/>
      <c r="BG128" s="308"/>
      <c r="BH128" s="301"/>
      <c r="BI128" s="299"/>
      <c r="BJ128" s="299"/>
      <c r="BK128" s="300"/>
      <c r="BL128" s="300"/>
      <c r="BM128" s="300"/>
      <c r="BN128" s="300"/>
      <c r="BO128" s="299"/>
      <c r="BP128" s="304"/>
      <c r="BQ128" s="299"/>
      <c r="BR128" s="299"/>
      <c r="BS128" s="299"/>
      <c r="BT128" s="299"/>
      <c r="BU128" s="299"/>
      <c r="BV128" s="299"/>
      <c r="BW128" s="299"/>
      <c r="BX128" s="299"/>
      <c r="BY128" s="299"/>
      <c r="BZ128" s="299"/>
      <c r="CA128" s="299"/>
      <c r="CB128" s="299"/>
      <c r="CC128" s="308"/>
      <c r="CD128" s="299"/>
      <c r="CE128" s="299"/>
      <c r="CF128" s="299"/>
      <c r="CG128" s="304"/>
      <c r="CH128" s="304"/>
      <c r="CI128" s="304"/>
      <c r="CJ128" s="299"/>
      <c r="CK128" s="304"/>
      <c r="CL128" s="304"/>
      <c r="CM128" s="304"/>
      <c r="CN128" s="304"/>
      <c r="CO128" s="304"/>
      <c r="CP128" s="304"/>
      <c r="CQ128" s="304"/>
      <c r="CR128" s="304"/>
      <c r="CS128" s="304"/>
      <c r="CT128" s="304"/>
      <c r="CU128" s="300"/>
      <c r="CV128" s="299"/>
      <c r="CW128" s="299"/>
      <c r="CX128" s="299"/>
      <c r="CY128" s="299"/>
      <c r="CZ128" s="299"/>
      <c r="DA128" s="299"/>
      <c r="DB128" s="299"/>
      <c r="DC128" s="299"/>
      <c r="DD128" s="299"/>
      <c r="DE128" s="299"/>
      <c r="DF128" s="299"/>
      <c r="DG128" s="299"/>
      <c r="DH128" s="300"/>
      <c r="DI128" s="299"/>
      <c r="DJ128" s="299"/>
      <c r="DK128" s="301"/>
      <c r="DL128" s="299"/>
      <c r="DM128" s="299"/>
      <c r="DN128" s="307"/>
      <c r="DO128" s="307"/>
      <c r="DP128" s="299"/>
      <c r="DQ128" s="299"/>
      <c r="DR128" s="299"/>
      <c r="DS128" s="299"/>
      <c r="DT128" s="299"/>
      <c r="DU128" s="301"/>
      <c r="DV128" s="301"/>
      <c r="DW128" s="301"/>
      <c r="DX128" s="301"/>
      <c r="DY128" s="301"/>
      <c r="DZ128" s="301"/>
      <c r="EA128" s="301"/>
      <c r="EB128" s="301"/>
      <c r="EC128" s="299"/>
      <c r="ED128" s="301"/>
      <c r="EE128" s="301"/>
      <c r="EF128" s="301"/>
      <c r="EG128" s="299"/>
      <c r="EH128" s="301"/>
      <c r="EI128" s="299"/>
      <c r="EJ128" s="299"/>
      <c r="EK128" s="299"/>
      <c r="EL128" s="299"/>
      <c r="EM128" s="299"/>
      <c r="EN128" s="299"/>
      <c r="EO128" s="299"/>
      <c r="EP128" s="299"/>
      <c r="EQ128" s="299"/>
      <c r="ER128" s="299"/>
      <c r="ES128" s="299"/>
      <c r="ET128" s="299"/>
      <c r="EU128" s="299"/>
      <c r="EV128" s="299"/>
      <c r="EW128" s="299"/>
      <c r="EX128" s="299"/>
      <c r="EY128" s="299"/>
      <c r="EZ128" s="299"/>
      <c r="FA128" s="299"/>
      <c r="FB128" s="299"/>
      <c r="FC128" s="299"/>
      <c r="FD128" s="299"/>
      <c r="FE128" s="299"/>
      <c r="FF128" s="299"/>
      <c r="FG128" s="299"/>
      <c r="FH128" s="299"/>
      <c r="FI128" s="299"/>
      <c r="FJ128" s="299"/>
      <c r="FK128" s="299"/>
      <c r="FL128" s="299"/>
      <c r="FM128" s="299"/>
      <c r="FN128" s="299"/>
      <c r="FO128" s="299"/>
      <c r="FP128" s="299"/>
      <c r="FQ128" s="299"/>
      <c r="FR128" s="299"/>
      <c r="FS128" s="299"/>
      <c r="FT128" s="299"/>
      <c r="FU128" s="299"/>
      <c r="FV128" s="299"/>
      <c r="FW128" s="299"/>
      <c r="FX128" s="299"/>
      <c r="FY128" s="299"/>
      <c r="FZ128" s="299"/>
      <c r="GA128" s="299"/>
      <c r="GB128" s="299"/>
      <c r="GC128" s="299"/>
      <c r="GD128" s="299"/>
      <c r="GE128" s="299"/>
      <c r="GF128" s="299"/>
      <c r="GG128" s="299"/>
      <c r="GH128" s="299"/>
      <c r="GI128" s="299"/>
      <c r="GJ128" s="299"/>
      <c r="GK128" s="299"/>
      <c r="GL128" s="299"/>
      <c r="GM128" s="299"/>
      <c r="GN128" s="299"/>
      <c r="GO128" s="299"/>
      <c r="GP128" s="299"/>
      <c r="GQ128" s="299"/>
      <c r="GR128" s="299"/>
      <c r="GS128" s="299"/>
      <c r="GT128" s="299"/>
      <c r="GU128" s="299"/>
      <c r="GV128" s="299"/>
      <c r="GW128" s="299"/>
      <c r="GX128" s="299"/>
      <c r="GY128" s="299"/>
      <c r="GZ128" s="299"/>
      <c r="HA128" s="299"/>
      <c r="HB128" s="299"/>
      <c r="HC128" s="299"/>
      <c r="HD128" s="299"/>
      <c r="HE128" s="299"/>
      <c r="HF128" s="299"/>
      <c r="HG128" s="299"/>
      <c r="HH128" s="299"/>
    </row>
    <row r="129" spans="1:216" s="264" customFormat="1" hidden="1">
      <c r="A129" s="299"/>
      <c r="B129" s="299"/>
      <c r="C129" s="300"/>
      <c r="D129" s="300"/>
      <c r="E129" s="300"/>
      <c r="F129" s="300"/>
      <c r="G129" s="300"/>
      <c r="H129" s="300"/>
      <c r="I129" s="300"/>
      <c r="J129" s="300"/>
      <c r="K129" s="300"/>
      <c r="L129" s="301"/>
      <c r="M129" s="299"/>
      <c r="N129" s="299"/>
      <c r="O129" s="299"/>
      <c r="P129" s="299"/>
      <c r="Q129" s="300"/>
      <c r="R129" s="302"/>
      <c r="S129" s="302"/>
      <c r="T129" s="302"/>
      <c r="U129" s="299"/>
      <c r="V129" s="299"/>
      <c r="W129" s="299"/>
      <c r="X129" s="299"/>
      <c r="Y129" s="299"/>
      <c r="Z129" s="299"/>
      <c r="AA129" s="299"/>
      <c r="AB129" s="303"/>
      <c r="AC129" s="299"/>
      <c r="AD129" s="299"/>
      <c r="AE129" s="299"/>
      <c r="AF129" s="304"/>
      <c r="AG129" s="304"/>
      <c r="AH129" s="304"/>
      <c r="AI129" s="304"/>
      <c r="AJ129" s="304"/>
      <c r="AK129" s="299"/>
      <c r="AL129" s="299"/>
      <c r="AM129" s="299"/>
      <c r="AN129" s="299"/>
      <c r="AO129" s="299"/>
      <c r="AP129" s="299"/>
      <c r="AQ129" s="299"/>
      <c r="AR129" s="299"/>
      <c r="AS129" s="305"/>
      <c r="AT129" s="306"/>
      <c r="AU129" s="305"/>
      <c r="AV129" s="303"/>
      <c r="AW129" s="299"/>
      <c r="AX129" s="307"/>
      <c r="AY129" s="307"/>
      <c r="AZ129" s="299"/>
      <c r="BA129" s="299"/>
      <c r="BB129" s="299"/>
      <c r="BC129" s="299"/>
      <c r="BD129" s="308"/>
      <c r="BE129" s="308"/>
      <c r="BF129" s="308"/>
      <c r="BG129" s="308"/>
      <c r="BH129" s="301"/>
      <c r="BI129" s="299"/>
      <c r="BJ129" s="299"/>
      <c r="BK129" s="300"/>
      <c r="BL129" s="300"/>
      <c r="BM129" s="300"/>
      <c r="BN129" s="300"/>
      <c r="BO129" s="299"/>
      <c r="BP129" s="304"/>
      <c r="BQ129" s="299"/>
      <c r="BR129" s="299"/>
      <c r="BS129" s="299"/>
      <c r="BT129" s="299"/>
      <c r="BU129" s="299"/>
      <c r="BV129" s="299"/>
      <c r="BW129" s="299"/>
      <c r="BX129" s="299"/>
      <c r="BY129" s="299"/>
      <c r="BZ129" s="299"/>
      <c r="CA129" s="299"/>
      <c r="CB129" s="299"/>
      <c r="CC129" s="308"/>
      <c r="CD129" s="299"/>
      <c r="CE129" s="299"/>
      <c r="CF129" s="299"/>
      <c r="CG129" s="304"/>
      <c r="CH129" s="304"/>
      <c r="CI129" s="304"/>
      <c r="CJ129" s="299"/>
      <c r="CK129" s="304"/>
      <c r="CL129" s="304"/>
      <c r="CM129" s="304"/>
      <c r="CN129" s="304"/>
      <c r="CO129" s="304"/>
      <c r="CP129" s="304"/>
      <c r="CQ129" s="304"/>
      <c r="CR129" s="304"/>
      <c r="CS129" s="304"/>
      <c r="CT129" s="304"/>
      <c r="CU129" s="300"/>
      <c r="CV129" s="299"/>
      <c r="CW129" s="299"/>
      <c r="CX129" s="299"/>
      <c r="CY129" s="299"/>
      <c r="CZ129" s="299"/>
      <c r="DA129" s="299"/>
      <c r="DB129" s="299"/>
      <c r="DC129" s="299"/>
      <c r="DD129" s="299"/>
      <c r="DE129" s="299"/>
      <c r="DF129" s="299"/>
      <c r="DG129" s="299"/>
      <c r="DH129" s="300"/>
      <c r="DI129" s="299"/>
      <c r="DJ129" s="299"/>
      <c r="DK129" s="301"/>
      <c r="DL129" s="299"/>
      <c r="DM129" s="299"/>
      <c r="DN129" s="307"/>
      <c r="DO129" s="307"/>
      <c r="DP129" s="299"/>
      <c r="DQ129" s="299"/>
      <c r="DR129" s="299"/>
      <c r="DS129" s="299"/>
      <c r="DT129" s="299"/>
      <c r="DU129" s="301"/>
      <c r="DV129" s="301"/>
      <c r="DW129" s="301"/>
      <c r="DX129" s="301"/>
      <c r="DY129" s="301"/>
      <c r="DZ129" s="301"/>
      <c r="EA129" s="301"/>
      <c r="EB129" s="301"/>
      <c r="EC129" s="299"/>
      <c r="ED129" s="301"/>
      <c r="EE129" s="301"/>
      <c r="EF129" s="301"/>
      <c r="EG129" s="299"/>
      <c r="EH129" s="301"/>
      <c r="EI129" s="299"/>
      <c r="EJ129" s="299"/>
      <c r="EK129" s="299"/>
      <c r="EL129" s="299"/>
      <c r="EM129" s="299"/>
      <c r="EN129" s="299"/>
      <c r="EO129" s="299"/>
      <c r="EP129" s="299"/>
      <c r="EQ129" s="299"/>
      <c r="ER129" s="299"/>
      <c r="ES129" s="299"/>
      <c r="ET129" s="299"/>
      <c r="EU129" s="299"/>
      <c r="EV129" s="299"/>
      <c r="EW129" s="299"/>
      <c r="EX129" s="299"/>
      <c r="EY129" s="299"/>
      <c r="EZ129" s="299"/>
      <c r="FA129" s="299"/>
      <c r="FB129" s="299"/>
      <c r="FC129" s="299"/>
      <c r="FD129" s="299"/>
      <c r="FE129" s="299"/>
      <c r="FF129" s="299"/>
      <c r="FG129" s="299"/>
      <c r="FH129" s="299"/>
      <c r="FI129" s="299"/>
      <c r="FJ129" s="299"/>
      <c r="FK129" s="299"/>
      <c r="FL129" s="299"/>
      <c r="FM129" s="299"/>
      <c r="FN129" s="299"/>
      <c r="FO129" s="299"/>
      <c r="FP129" s="299"/>
      <c r="FQ129" s="299"/>
      <c r="FR129" s="299"/>
      <c r="FS129" s="299"/>
      <c r="FT129" s="299"/>
      <c r="FU129" s="299"/>
      <c r="FV129" s="299"/>
      <c r="FW129" s="299"/>
      <c r="FX129" s="299"/>
      <c r="FY129" s="299"/>
      <c r="FZ129" s="299"/>
      <c r="GA129" s="299"/>
      <c r="GB129" s="299"/>
      <c r="GC129" s="299"/>
      <c r="GD129" s="299"/>
      <c r="GE129" s="299"/>
      <c r="GF129" s="299"/>
      <c r="GG129" s="299"/>
      <c r="GH129" s="299"/>
      <c r="GI129" s="299"/>
      <c r="GJ129" s="299"/>
      <c r="GK129" s="299"/>
      <c r="GL129" s="299"/>
      <c r="GM129" s="299"/>
      <c r="GN129" s="299"/>
      <c r="GO129" s="299"/>
      <c r="GP129" s="299"/>
      <c r="GQ129" s="299"/>
      <c r="GR129" s="299"/>
      <c r="GS129" s="299"/>
      <c r="GT129" s="299"/>
      <c r="GU129" s="299"/>
      <c r="GV129" s="299"/>
      <c r="GW129" s="299"/>
      <c r="GX129" s="299"/>
      <c r="GY129" s="299"/>
      <c r="GZ129" s="299"/>
      <c r="HA129" s="299"/>
      <c r="HB129" s="299"/>
      <c r="HC129" s="299"/>
      <c r="HD129" s="299"/>
      <c r="HE129" s="299"/>
      <c r="HF129" s="299"/>
      <c r="HG129" s="299"/>
      <c r="HH129" s="299"/>
    </row>
    <row r="130" spans="1:216" s="264" customFormat="1" hidden="1">
      <c r="A130" s="299"/>
      <c r="B130" s="299"/>
      <c r="C130" s="300"/>
      <c r="D130" s="300"/>
      <c r="E130" s="300"/>
      <c r="F130" s="300"/>
      <c r="G130" s="300"/>
      <c r="H130" s="300"/>
      <c r="I130" s="300"/>
      <c r="J130" s="300"/>
      <c r="K130" s="300"/>
      <c r="L130" s="301"/>
      <c r="M130" s="299"/>
      <c r="N130" s="299"/>
      <c r="O130" s="299"/>
      <c r="P130" s="299"/>
      <c r="Q130" s="300"/>
      <c r="R130" s="302"/>
      <c r="S130" s="302"/>
      <c r="T130" s="302"/>
      <c r="U130" s="299"/>
      <c r="V130" s="299"/>
      <c r="W130" s="299"/>
      <c r="X130" s="299"/>
      <c r="Y130" s="299"/>
      <c r="Z130" s="299"/>
      <c r="AA130" s="299"/>
      <c r="AB130" s="303"/>
      <c r="AC130" s="299"/>
      <c r="AD130" s="299"/>
      <c r="AE130" s="299"/>
      <c r="AF130" s="304"/>
      <c r="AG130" s="304"/>
      <c r="AH130" s="304"/>
      <c r="AI130" s="304"/>
      <c r="AJ130" s="304"/>
      <c r="AK130" s="299"/>
      <c r="AL130" s="299"/>
      <c r="AM130" s="299"/>
      <c r="AN130" s="299"/>
      <c r="AO130" s="299"/>
      <c r="AP130" s="299"/>
      <c r="AQ130" s="299"/>
      <c r="AR130" s="299"/>
      <c r="AS130" s="305"/>
      <c r="AT130" s="306"/>
      <c r="AU130" s="305"/>
      <c r="AV130" s="303"/>
      <c r="AW130" s="299"/>
      <c r="AX130" s="307"/>
      <c r="AY130" s="307"/>
      <c r="AZ130" s="299"/>
      <c r="BA130" s="299"/>
      <c r="BB130" s="299"/>
      <c r="BC130" s="299"/>
      <c r="BD130" s="308"/>
      <c r="BE130" s="308"/>
      <c r="BF130" s="308"/>
      <c r="BG130" s="308"/>
      <c r="BH130" s="301"/>
      <c r="BI130" s="299"/>
      <c r="BJ130" s="299"/>
      <c r="BK130" s="300"/>
      <c r="BL130" s="300"/>
      <c r="BM130" s="300"/>
      <c r="BN130" s="300"/>
      <c r="BO130" s="299"/>
      <c r="BP130" s="304"/>
      <c r="BQ130" s="299"/>
      <c r="BR130" s="299"/>
      <c r="BS130" s="299"/>
      <c r="BT130" s="299"/>
      <c r="BU130" s="299"/>
      <c r="BV130" s="299"/>
      <c r="BW130" s="299"/>
      <c r="BX130" s="299"/>
      <c r="BY130" s="299"/>
      <c r="BZ130" s="299"/>
      <c r="CA130" s="299"/>
      <c r="CB130" s="299"/>
      <c r="CC130" s="308"/>
      <c r="CD130" s="299"/>
      <c r="CE130" s="299"/>
      <c r="CF130" s="299"/>
      <c r="CG130" s="304"/>
      <c r="CH130" s="304"/>
      <c r="CI130" s="304"/>
      <c r="CJ130" s="299"/>
      <c r="CK130" s="304"/>
      <c r="CL130" s="304"/>
      <c r="CM130" s="304"/>
      <c r="CN130" s="304"/>
      <c r="CO130" s="304"/>
      <c r="CP130" s="304"/>
      <c r="CQ130" s="304"/>
      <c r="CR130" s="304"/>
      <c r="CS130" s="304"/>
      <c r="CT130" s="304"/>
      <c r="CU130" s="300"/>
      <c r="CV130" s="299"/>
      <c r="CW130" s="299"/>
      <c r="CX130" s="299"/>
      <c r="CY130" s="299"/>
      <c r="CZ130" s="299"/>
      <c r="DA130" s="299"/>
      <c r="DB130" s="299"/>
      <c r="DC130" s="299"/>
      <c r="DD130" s="299"/>
      <c r="DE130" s="299"/>
      <c r="DF130" s="299"/>
      <c r="DG130" s="299"/>
      <c r="DH130" s="300"/>
      <c r="DI130" s="299"/>
      <c r="DJ130" s="299"/>
      <c r="DK130" s="301"/>
      <c r="DL130" s="299"/>
      <c r="DM130" s="299"/>
      <c r="DN130" s="307"/>
      <c r="DO130" s="307"/>
      <c r="DP130" s="299"/>
      <c r="DQ130" s="299"/>
      <c r="DR130" s="299"/>
      <c r="DS130" s="299"/>
      <c r="DT130" s="299"/>
      <c r="DU130" s="301"/>
      <c r="DV130" s="301"/>
      <c r="DW130" s="301"/>
      <c r="DX130" s="301"/>
      <c r="DY130" s="301"/>
      <c r="DZ130" s="301"/>
      <c r="EA130" s="301"/>
      <c r="EB130" s="301"/>
      <c r="EC130" s="299"/>
      <c r="ED130" s="301"/>
      <c r="EE130" s="301"/>
      <c r="EF130" s="301"/>
      <c r="EG130" s="299"/>
      <c r="EH130" s="301"/>
      <c r="EI130" s="299"/>
      <c r="EJ130" s="299"/>
      <c r="EK130" s="299"/>
      <c r="EL130" s="299"/>
      <c r="EM130" s="299"/>
      <c r="EN130" s="299"/>
      <c r="EO130" s="299"/>
      <c r="EP130" s="299"/>
      <c r="EQ130" s="299"/>
      <c r="ER130" s="299"/>
      <c r="ES130" s="299"/>
      <c r="ET130" s="299"/>
      <c r="EU130" s="299"/>
      <c r="EV130" s="299"/>
      <c r="EW130" s="299"/>
      <c r="EX130" s="299"/>
      <c r="EY130" s="299"/>
      <c r="EZ130" s="299"/>
      <c r="FA130" s="299"/>
      <c r="FB130" s="299"/>
      <c r="FC130" s="299"/>
      <c r="FD130" s="299"/>
      <c r="FE130" s="299"/>
      <c r="FF130" s="299"/>
      <c r="FG130" s="299"/>
      <c r="FH130" s="299"/>
      <c r="FI130" s="299"/>
      <c r="FJ130" s="299"/>
      <c r="FK130" s="299"/>
      <c r="FL130" s="299"/>
      <c r="FM130" s="299"/>
      <c r="FN130" s="299"/>
      <c r="FO130" s="299"/>
      <c r="FP130" s="299"/>
      <c r="FQ130" s="299"/>
      <c r="FR130" s="299"/>
      <c r="FS130" s="299"/>
      <c r="FT130" s="299"/>
      <c r="FU130" s="299"/>
      <c r="FV130" s="299"/>
      <c r="FW130" s="299"/>
      <c r="FX130" s="299"/>
      <c r="FY130" s="299"/>
      <c r="FZ130" s="299"/>
      <c r="GA130" s="299"/>
      <c r="GB130" s="299"/>
      <c r="GC130" s="299"/>
      <c r="GD130" s="299"/>
      <c r="GE130" s="299"/>
      <c r="GF130" s="299"/>
      <c r="GG130" s="299"/>
      <c r="GH130" s="299"/>
      <c r="GI130" s="299"/>
      <c r="GJ130" s="299"/>
      <c r="GK130" s="299"/>
      <c r="GL130" s="299"/>
      <c r="GM130" s="299"/>
      <c r="GN130" s="299"/>
      <c r="GO130" s="299"/>
      <c r="GP130" s="299"/>
      <c r="GQ130" s="299"/>
      <c r="GR130" s="299"/>
      <c r="GS130" s="299"/>
      <c r="GT130" s="299"/>
      <c r="GU130" s="299"/>
      <c r="GV130" s="299"/>
      <c r="GW130" s="299"/>
      <c r="GX130" s="299"/>
      <c r="GY130" s="299"/>
      <c r="GZ130" s="299"/>
      <c r="HA130" s="299"/>
      <c r="HB130" s="299"/>
      <c r="HC130" s="299"/>
      <c r="HD130" s="299"/>
      <c r="HE130" s="299"/>
      <c r="HF130" s="299"/>
      <c r="HG130" s="299"/>
      <c r="HH130" s="299"/>
    </row>
    <row r="131" spans="1:216" s="264" customFormat="1" hidden="1">
      <c r="A131" s="299"/>
      <c r="B131" s="299"/>
      <c r="C131" s="300"/>
      <c r="D131" s="300"/>
      <c r="E131" s="300"/>
      <c r="F131" s="300"/>
      <c r="G131" s="300"/>
      <c r="H131" s="300"/>
      <c r="I131" s="300"/>
      <c r="J131" s="300"/>
      <c r="K131" s="300"/>
      <c r="L131" s="301"/>
      <c r="M131" s="299"/>
      <c r="N131" s="299"/>
      <c r="O131" s="299"/>
      <c r="P131" s="299"/>
      <c r="Q131" s="300"/>
      <c r="R131" s="302"/>
      <c r="S131" s="302"/>
      <c r="T131" s="302"/>
      <c r="U131" s="299"/>
      <c r="V131" s="299"/>
      <c r="W131" s="299"/>
      <c r="X131" s="299"/>
      <c r="Y131" s="299"/>
      <c r="Z131" s="299"/>
      <c r="AA131" s="299"/>
      <c r="AB131" s="303"/>
      <c r="AC131" s="299"/>
      <c r="AD131" s="299"/>
      <c r="AE131" s="299"/>
      <c r="AF131" s="304"/>
      <c r="AG131" s="304"/>
      <c r="AH131" s="304"/>
      <c r="AI131" s="304"/>
      <c r="AJ131" s="304"/>
      <c r="AK131" s="299"/>
      <c r="AL131" s="299"/>
      <c r="AM131" s="299"/>
      <c r="AN131" s="299"/>
      <c r="AO131" s="299"/>
      <c r="AP131" s="299"/>
      <c r="AQ131" s="299"/>
      <c r="AR131" s="299"/>
      <c r="AS131" s="305"/>
      <c r="AT131" s="306"/>
      <c r="AU131" s="305"/>
      <c r="AV131" s="303"/>
      <c r="AW131" s="299"/>
      <c r="AX131" s="307"/>
      <c r="AY131" s="307"/>
      <c r="AZ131" s="299"/>
      <c r="BA131" s="299"/>
      <c r="BB131" s="299"/>
      <c r="BC131" s="299"/>
      <c r="BD131" s="308"/>
      <c r="BE131" s="308"/>
      <c r="BF131" s="308"/>
      <c r="BG131" s="308"/>
      <c r="BH131" s="301"/>
      <c r="BI131" s="299"/>
      <c r="BJ131" s="299"/>
      <c r="BK131" s="300"/>
      <c r="BL131" s="300"/>
      <c r="BM131" s="300"/>
      <c r="BN131" s="300"/>
      <c r="BO131" s="299"/>
      <c r="BP131" s="304"/>
      <c r="BQ131" s="299"/>
      <c r="BR131" s="299"/>
      <c r="BS131" s="299"/>
      <c r="BT131" s="299"/>
      <c r="BU131" s="299"/>
      <c r="BV131" s="299"/>
      <c r="BW131" s="299"/>
      <c r="BX131" s="299"/>
      <c r="BY131" s="299"/>
      <c r="BZ131" s="299"/>
      <c r="CA131" s="299"/>
      <c r="CB131" s="299"/>
      <c r="CC131" s="308"/>
      <c r="CD131" s="299"/>
      <c r="CE131" s="299"/>
      <c r="CF131" s="299"/>
      <c r="CG131" s="304"/>
      <c r="CH131" s="304"/>
      <c r="CI131" s="304"/>
      <c r="CJ131" s="299"/>
      <c r="CK131" s="304"/>
      <c r="CL131" s="304"/>
      <c r="CM131" s="304"/>
      <c r="CN131" s="304"/>
      <c r="CO131" s="304"/>
      <c r="CP131" s="304"/>
      <c r="CQ131" s="304"/>
      <c r="CR131" s="304"/>
      <c r="CS131" s="304"/>
      <c r="CT131" s="304"/>
      <c r="CU131" s="300"/>
      <c r="CV131" s="299"/>
      <c r="CW131" s="299"/>
      <c r="CX131" s="299"/>
      <c r="CY131" s="299"/>
      <c r="CZ131" s="299"/>
      <c r="DA131" s="299"/>
      <c r="DB131" s="299"/>
      <c r="DC131" s="299"/>
      <c r="DD131" s="299"/>
      <c r="DE131" s="299"/>
      <c r="DF131" s="299"/>
      <c r="DG131" s="299"/>
      <c r="DH131" s="300"/>
      <c r="DI131" s="299"/>
      <c r="DJ131" s="299"/>
      <c r="DK131" s="301"/>
      <c r="DL131" s="299"/>
      <c r="DM131" s="299"/>
      <c r="DN131" s="307"/>
      <c r="DO131" s="307"/>
      <c r="DP131" s="299"/>
      <c r="DQ131" s="299"/>
      <c r="DR131" s="299"/>
      <c r="DS131" s="299"/>
      <c r="DT131" s="299"/>
      <c r="DU131" s="301"/>
      <c r="DV131" s="301"/>
      <c r="DW131" s="301"/>
      <c r="DX131" s="301"/>
      <c r="DY131" s="301"/>
      <c r="DZ131" s="301"/>
      <c r="EA131" s="301"/>
      <c r="EB131" s="301"/>
      <c r="EC131" s="299"/>
      <c r="ED131" s="301"/>
      <c r="EE131" s="301"/>
      <c r="EF131" s="301"/>
      <c r="EG131" s="299"/>
      <c r="EH131" s="301"/>
      <c r="EI131" s="299"/>
      <c r="EJ131" s="299"/>
      <c r="EK131" s="299"/>
      <c r="EL131" s="299"/>
      <c r="EM131" s="299"/>
      <c r="EN131" s="299"/>
      <c r="EO131" s="299"/>
      <c r="EP131" s="299"/>
      <c r="EQ131" s="299"/>
      <c r="ER131" s="299"/>
      <c r="ES131" s="299"/>
      <c r="ET131" s="299"/>
      <c r="EU131" s="299"/>
      <c r="EV131" s="299"/>
      <c r="EW131" s="299"/>
      <c r="EX131" s="299"/>
      <c r="EY131" s="299"/>
      <c r="EZ131" s="299"/>
      <c r="FA131" s="299"/>
      <c r="FB131" s="299"/>
      <c r="FC131" s="299"/>
      <c r="FD131" s="299"/>
      <c r="FE131" s="299"/>
      <c r="FF131" s="299"/>
      <c r="FG131" s="299"/>
      <c r="FH131" s="299"/>
      <c r="FI131" s="299"/>
      <c r="FJ131" s="299"/>
      <c r="FK131" s="299"/>
      <c r="FL131" s="299"/>
      <c r="FM131" s="299"/>
      <c r="FN131" s="299"/>
      <c r="FO131" s="299"/>
      <c r="FP131" s="299"/>
      <c r="FQ131" s="299"/>
      <c r="FR131" s="299"/>
      <c r="FS131" s="299"/>
      <c r="FT131" s="299"/>
      <c r="FU131" s="299"/>
      <c r="FV131" s="299"/>
      <c r="FW131" s="299"/>
      <c r="FX131" s="299"/>
      <c r="FY131" s="299"/>
      <c r="FZ131" s="299"/>
      <c r="GA131" s="299"/>
      <c r="GB131" s="299"/>
      <c r="GC131" s="299"/>
      <c r="GD131" s="299"/>
      <c r="GE131" s="299"/>
      <c r="GF131" s="299"/>
      <c r="GG131" s="299"/>
      <c r="GH131" s="299"/>
      <c r="GI131" s="299"/>
      <c r="GJ131" s="299"/>
      <c r="GK131" s="299"/>
      <c r="GL131" s="299"/>
      <c r="GM131" s="299"/>
      <c r="GN131" s="299"/>
      <c r="GO131" s="299"/>
      <c r="GP131" s="299"/>
      <c r="GQ131" s="299"/>
      <c r="GR131" s="299"/>
      <c r="GS131" s="299"/>
      <c r="GT131" s="299"/>
      <c r="GU131" s="299"/>
      <c r="GV131" s="299"/>
      <c r="GW131" s="299"/>
      <c r="GX131" s="299"/>
      <c r="GY131" s="299"/>
      <c r="GZ131" s="299"/>
      <c r="HA131" s="299"/>
      <c r="HB131" s="299"/>
      <c r="HC131" s="299"/>
      <c r="HD131" s="299"/>
      <c r="HE131" s="299"/>
      <c r="HF131" s="299"/>
      <c r="HG131" s="299"/>
      <c r="HH131" s="299"/>
    </row>
    <row r="132" spans="1:216" s="264" customFormat="1" hidden="1">
      <c r="A132" s="299"/>
      <c r="B132" s="299"/>
      <c r="C132" s="300"/>
      <c r="D132" s="300"/>
      <c r="E132" s="300"/>
      <c r="F132" s="300"/>
      <c r="G132" s="300"/>
      <c r="H132" s="300"/>
      <c r="I132" s="300"/>
      <c r="J132" s="300"/>
      <c r="K132" s="300"/>
      <c r="L132" s="301"/>
      <c r="M132" s="299"/>
      <c r="N132" s="299"/>
      <c r="O132" s="299"/>
      <c r="P132" s="299"/>
      <c r="Q132" s="300"/>
      <c r="R132" s="302"/>
      <c r="S132" s="302"/>
      <c r="T132" s="302"/>
      <c r="U132" s="299"/>
      <c r="V132" s="299"/>
      <c r="W132" s="299"/>
      <c r="X132" s="299"/>
      <c r="Y132" s="299"/>
      <c r="Z132" s="299"/>
      <c r="AA132" s="299"/>
      <c r="AB132" s="303"/>
      <c r="AC132" s="299"/>
      <c r="AD132" s="299"/>
      <c r="AE132" s="299"/>
      <c r="AF132" s="304"/>
      <c r="AG132" s="304"/>
      <c r="AH132" s="304"/>
      <c r="AI132" s="304"/>
      <c r="AJ132" s="304"/>
      <c r="AK132" s="299"/>
      <c r="AL132" s="299"/>
      <c r="AM132" s="299"/>
      <c r="AN132" s="299"/>
      <c r="AO132" s="299"/>
      <c r="AP132" s="299"/>
      <c r="AQ132" s="299"/>
      <c r="AR132" s="299"/>
      <c r="AS132" s="305"/>
      <c r="AT132" s="306"/>
      <c r="AU132" s="305"/>
      <c r="AV132" s="303"/>
      <c r="AW132" s="299"/>
      <c r="AX132" s="307"/>
      <c r="AY132" s="307"/>
      <c r="AZ132" s="299"/>
      <c r="BA132" s="299"/>
      <c r="BB132" s="299"/>
      <c r="BC132" s="299"/>
      <c r="BD132" s="308"/>
      <c r="BE132" s="308"/>
      <c r="BF132" s="308"/>
      <c r="BG132" s="308"/>
      <c r="BH132" s="301"/>
      <c r="BI132" s="299"/>
      <c r="BJ132" s="299"/>
      <c r="BK132" s="300"/>
      <c r="BL132" s="300"/>
      <c r="BM132" s="300"/>
      <c r="BN132" s="300"/>
      <c r="BO132" s="299"/>
      <c r="BP132" s="304"/>
      <c r="BQ132" s="299"/>
      <c r="BR132" s="299"/>
      <c r="BS132" s="299"/>
      <c r="BT132" s="299"/>
      <c r="BU132" s="299"/>
      <c r="BV132" s="299"/>
      <c r="BW132" s="299"/>
      <c r="BX132" s="299"/>
      <c r="BY132" s="299"/>
      <c r="BZ132" s="299"/>
      <c r="CA132" s="299"/>
      <c r="CB132" s="299"/>
      <c r="CC132" s="308"/>
      <c r="CD132" s="299"/>
      <c r="CE132" s="299"/>
      <c r="CF132" s="299"/>
      <c r="CG132" s="304"/>
      <c r="CH132" s="304"/>
      <c r="CI132" s="304"/>
      <c r="CJ132" s="299"/>
      <c r="CK132" s="304"/>
      <c r="CL132" s="304"/>
      <c r="CM132" s="304"/>
      <c r="CN132" s="304"/>
      <c r="CO132" s="304"/>
      <c r="CP132" s="304"/>
      <c r="CQ132" s="304"/>
      <c r="CR132" s="304"/>
      <c r="CS132" s="304"/>
      <c r="CT132" s="304"/>
      <c r="CU132" s="300"/>
      <c r="CV132" s="299"/>
      <c r="CW132" s="299"/>
      <c r="CX132" s="299"/>
      <c r="CY132" s="299"/>
      <c r="CZ132" s="299"/>
      <c r="DA132" s="299"/>
      <c r="DB132" s="299"/>
      <c r="DC132" s="299"/>
      <c r="DD132" s="299"/>
      <c r="DE132" s="299"/>
      <c r="DF132" s="299"/>
      <c r="DG132" s="299"/>
      <c r="DH132" s="300"/>
      <c r="DI132" s="299"/>
      <c r="DJ132" s="299"/>
      <c r="DK132" s="301"/>
      <c r="DL132" s="299"/>
      <c r="DM132" s="299"/>
      <c r="DN132" s="307"/>
      <c r="DO132" s="307"/>
      <c r="DP132" s="299"/>
      <c r="DQ132" s="299"/>
      <c r="DR132" s="299"/>
      <c r="DS132" s="299"/>
      <c r="DT132" s="299"/>
      <c r="DU132" s="301"/>
      <c r="DV132" s="301"/>
      <c r="DW132" s="301"/>
      <c r="DX132" s="301"/>
      <c r="DY132" s="301"/>
      <c r="DZ132" s="301"/>
      <c r="EA132" s="301"/>
      <c r="EB132" s="301"/>
      <c r="EC132" s="299"/>
      <c r="ED132" s="301"/>
      <c r="EE132" s="301"/>
      <c r="EF132" s="301"/>
      <c r="EG132" s="299"/>
      <c r="EH132" s="301"/>
      <c r="EI132" s="299"/>
      <c r="EJ132" s="299"/>
      <c r="EK132" s="299"/>
      <c r="EL132" s="299"/>
      <c r="EM132" s="299"/>
      <c r="EN132" s="299"/>
      <c r="EO132" s="299"/>
      <c r="EP132" s="299"/>
      <c r="EQ132" s="299"/>
      <c r="ER132" s="299"/>
      <c r="ES132" s="299"/>
      <c r="ET132" s="299"/>
      <c r="EU132" s="299"/>
      <c r="EV132" s="299"/>
      <c r="EW132" s="299"/>
      <c r="EX132" s="299"/>
      <c r="EY132" s="299"/>
      <c r="EZ132" s="299"/>
      <c r="FA132" s="299"/>
      <c r="FB132" s="299"/>
      <c r="FC132" s="299"/>
      <c r="FD132" s="299"/>
      <c r="FE132" s="299"/>
      <c r="FF132" s="299"/>
      <c r="FG132" s="299"/>
      <c r="FH132" s="299"/>
      <c r="FI132" s="299"/>
      <c r="FJ132" s="299"/>
      <c r="FK132" s="299"/>
      <c r="FL132" s="299"/>
      <c r="FM132" s="299"/>
      <c r="FN132" s="299"/>
      <c r="FO132" s="299"/>
      <c r="FP132" s="299"/>
      <c r="FQ132" s="299"/>
      <c r="FR132" s="299"/>
      <c r="FS132" s="299"/>
      <c r="FT132" s="299"/>
      <c r="FU132" s="299"/>
      <c r="FV132" s="299"/>
      <c r="FW132" s="299"/>
      <c r="FX132" s="299"/>
      <c r="FY132" s="299"/>
      <c r="FZ132" s="299"/>
      <c r="GA132" s="299"/>
      <c r="GB132" s="299"/>
      <c r="GC132" s="299"/>
      <c r="GD132" s="299"/>
      <c r="GE132" s="299"/>
      <c r="GF132" s="299"/>
      <c r="GG132" s="299"/>
      <c r="GH132" s="299"/>
      <c r="GI132" s="299"/>
      <c r="GJ132" s="299"/>
      <c r="GK132" s="299"/>
      <c r="GL132" s="299"/>
      <c r="GM132" s="299"/>
      <c r="GN132" s="299"/>
      <c r="GO132" s="299"/>
      <c r="GP132" s="299"/>
      <c r="GQ132" s="299"/>
      <c r="GR132" s="299"/>
      <c r="GS132" s="299"/>
      <c r="GT132" s="299"/>
      <c r="GU132" s="299"/>
      <c r="GV132" s="299"/>
      <c r="GW132" s="299"/>
      <c r="GX132" s="299"/>
      <c r="GY132" s="299"/>
      <c r="GZ132" s="299"/>
      <c r="HA132" s="299"/>
      <c r="HB132" s="299"/>
      <c r="HC132" s="299"/>
      <c r="HD132" s="299"/>
      <c r="HE132" s="299"/>
      <c r="HF132" s="299"/>
      <c r="HG132" s="299"/>
      <c r="HH132" s="299"/>
    </row>
    <row r="133" spans="1:216" s="299" customFormat="1" hidden="1">
      <c r="C133" s="300"/>
      <c r="D133" s="300"/>
      <c r="E133" s="300"/>
      <c r="F133" s="300"/>
      <c r="G133" s="300"/>
      <c r="H133" s="300"/>
      <c r="I133" s="300"/>
      <c r="J133" s="300"/>
      <c r="K133" s="300"/>
      <c r="L133" s="301"/>
      <c r="Q133" s="300"/>
      <c r="R133" s="302"/>
      <c r="S133" s="302"/>
      <c r="T133" s="302"/>
      <c r="AB133" s="303"/>
      <c r="AF133" s="304"/>
      <c r="AG133" s="304"/>
      <c r="AH133" s="304"/>
      <c r="AI133" s="304"/>
      <c r="AJ133" s="304"/>
      <c r="AS133" s="305"/>
      <c r="AT133" s="306"/>
      <c r="AU133" s="305"/>
      <c r="AV133" s="303"/>
      <c r="AX133" s="307"/>
      <c r="AY133" s="307"/>
      <c r="BD133" s="308"/>
      <c r="BE133" s="308"/>
      <c r="BF133" s="308"/>
      <c r="BG133" s="308"/>
      <c r="BH133" s="301"/>
      <c r="BK133" s="300"/>
      <c r="BL133" s="300"/>
      <c r="BM133" s="300"/>
      <c r="BN133" s="300"/>
      <c r="BP133" s="304"/>
      <c r="CC133" s="308"/>
      <c r="CG133" s="304"/>
      <c r="CH133" s="304"/>
      <c r="CI133" s="304"/>
      <c r="CK133" s="304"/>
      <c r="CL133" s="304"/>
      <c r="CM133" s="304"/>
      <c r="CN133" s="304"/>
      <c r="CO133" s="304"/>
      <c r="CP133" s="304"/>
      <c r="CQ133" s="304"/>
      <c r="CR133" s="304"/>
      <c r="CS133" s="304"/>
      <c r="CT133" s="304"/>
      <c r="CU133" s="300"/>
      <c r="DH133" s="300"/>
      <c r="DK133" s="301"/>
      <c r="DN133" s="307"/>
      <c r="DO133" s="307"/>
      <c r="DU133" s="301"/>
      <c r="DV133" s="301"/>
      <c r="DW133" s="301"/>
      <c r="DX133" s="301"/>
      <c r="DY133" s="301"/>
      <c r="DZ133" s="301"/>
      <c r="EA133" s="301"/>
      <c r="EB133" s="301"/>
      <c r="ED133" s="301"/>
      <c r="EE133" s="301"/>
      <c r="EF133" s="301"/>
      <c r="EH133" s="301"/>
    </row>
    <row r="134" spans="1:216" s="288" customFormat="1" ht="11.45" customHeight="1">
      <c r="A134" s="288" t="s">
        <v>330</v>
      </c>
      <c r="B134" s="288" t="str">
        <f>A134</f>
        <v>S</v>
      </c>
      <c r="C134" s="309" t="str">
        <f>IF(A134="S",'Cálculo_Diseño  (2)'!C135," ")</f>
        <v>C327</v>
      </c>
      <c r="D134" s="309" t="str">
        <f>IF(A134="S",'Cálculo_Diseño  (2)'!D135," ")</f>
        <v>C191</v>
      </c>
      <c r="E134" s="309">
        <f>IF(B134="S",'Cálculo_Diseño  (2)'!AX135," ")</f>
        <v>101.87</v>
      </c>
      <c r="F134" s="309">
        <f>IF(B134="S",'Cálculo_Diseño  (2)'!BL135," ")</f>
        <v>4.0855992932167666</v>
      </c>
      <c r="G134" s="309">
        <f>IF(B134="S",'Cálculo_Diseño  (2)'!AZ135," ")</f>
        <v>284</v>
      </c>
      <c r="H134" s="309">
        <f>IF(B134="S",'Cálculo_Diseño  (2)'!BB135," ")</f>
        <v>988.5</v>
      </c>
      <c r="I134" s="309">
        <f>IF(B134="S",'Cálculo_Diseño  (2)'!BC135," ")</f>
        <v>984.78800000000001</v>
      </c>
      <c r="J134" s="309">
        <f>IF(B134="S",'Cálculo_Diseño  (2)'!BH135," ")</f>
        <v>986.67</v>
      </c>
      <c r="K134" s="309">
        <f>IF(B134="S",'Cálculo_Diseño  (2)'!BI135," ")</f>
        <v>982.50800000000004</v>
      </c>
      <c r="L134" s="315">
        <f>IF(B134="S",+$L$11,"")</f>
        <v>1</v>
      </c>
      <c r="M134" s="288">
        <f>IF(B134="S",(E134^2+(J134-K134)^2)^0.5," ")</f>
        <v>101.95498587121671</v>
      </c>
      <c r="N134" s="288">
        <f>IF(AJ134="S",BK134+0.1,BK134)</f>
        <v>0.79999999999999993</v>
      </c>
      <c r="O134" s="288">
        <f>IF(B134="S",(IF(G134&lt;=500,1.2,1.5)),"")</f>
        <v>1.2</v>
      </c>
      <c r="P134" s="288">
        <f>IF(B134="S",(IF(G134&lt;=500,1.2,1.5)),"")</f>
        <v>1.2</v>
      </c>
      <c r="Q134" s="309" t="s">
        <v>331</v>
      </c>
      <c r="R134" s="311" t="str">
        <f>+IF(B134="S",(IF(Q134="FLEXIBLE","S","N")),"")</f>
        <v>N</v>
      </c>
      <c r="S134" s="311" t="str">
        <f>+IF(B134="S",(IF(Q134="ADOQUIN","S","N")),"")</f>
        <v>N</v>
      </c>
      <c r="T134" s="311" t="str">
        <f>+IF(B134="S",(IF(Q134="CONCRETO","S","N")),"")</f>
        <v>S</v>
      </c>
      <c r="U134" s="288">
        <f>IF(B134="S",(IF(R134="S",(((((H134-I134)^2)+(E134^2))^0.5)-CA134-CB134)*$U$11,0)),"")</f>
        <v>0</v>
      </c>
      <c r="V134" s="288">
        <f>IF(B134="S",(IF(S134="S",(((((H134-I134)^2)+(E134^2))^0.5)-CA134-CB134)*$V$11,0)),"")</f>
        <v>0</v>
      </c>
      <c r="W134" s="288">
        <f>IF(B134="S",(IF(T134="S",(((((H134-I134)^2)+(E134^2))^0.5)-CA134-CB134)*$W$11,0)),"")</f>
        <v>100.73760760386719</v>
      </c>
      <c r="X134" s="288">
        <f>IF(B134="S",(U134*(N134+0.2)*$X$11),"")</f>
        <v>0</v>
      </c>
      <c r="Y134" s="288">
        <f>IF(B134="S",(V134*(N134+0.2)*$Y$11),"")</f>
        <v>0</v>
      </c>
      <c r="Z134" s="288">
        <f>IF(B134="S",(W134*(N134+0.2)*$Z$11+IF(Q134="CONCRETO",PI()/4*0.2*(O134+0.2*2+0.1*2)^2)),"")</f>
        <v>30.730220291041704</v>
      </c>
      <c r="AA134" s="288">
        <f>IF(B134="S",(((H134-J134)+(I134-K134))/2+BM134),"")</f>
        <v>2.1550000000000069</v>
      </c>
      <c r="AB134" s="312">
        <f>IF(B134="S",($AB$11),"")</f>
        <v>10</v>
      </c>
      <c r="AC134" s="288">
        <f>IF(B134="S",(IF(CG134="","",(CG134*(AB134/100))*$I$527)),"")</f>
        <v>15.131758625866125</v>
      </c>
      <c r="AD134" s="288">
        <f>IF(B134="S",(IF(CH134="","",(CH134*AB134/100)*$I$527)),"")</f>
        <v>3.1532230210307053</v>
      </c>
      <c r="AE134" s="288" t="str">
        <f>IF(B134="S",(IF(CI134="","",(CI134*AB134/100)*$I$527)),"")</f>
        <v/>
      </c>
      <c r="AF134" s="313">
        <f>IF(B134="S",(IF(CG134="","",(CG134*$I$527)-AC134)),"")</f>
        <v>136.18582763279511</v>
      </c>
      <c r="AG134" s="313">
        <f>IF(B134="S",(IF(CH134="","",(CH134*$I$527)-AD134)),"")</f>
        <v>28.379007189276344</v>
      </c>
      <c r="AH134" s="313" t="str">
        <f>IF(B134="S",(IF(CI134="","",(CI134*$I$527)-AE134)),"")</f>
        <v/>
      </c>
      <c r="AI134" s="313">
        <f>IF(B134="S",((BY134*(L134/100))*1.1),"")</f>
        <v>1.8469678431208918</v>
      </c>
      <c r="AJ134" s="313" t="str">
        <f>IF(B134="S",(IF(AA134&lt;1,"N","S")),"")</f>
        <v>S</v>
      </c>
      <c r="AK134" s="288">
        <f>IF(B134="S",(IF(AJ134="S",(E134*AA134*0.7*2),0)),"")</f>
        <v>307.34179000000097</v>
      </c>
      <c r="AL134" s="288">
        <f>IF(B134="S",(IF(AJ134="S",(E134*AA134*0.3*2),0)),"")</f>
        <v>131.71791000000042</v>
      </c>
      <c r="AM134" s="288">
        <f>IF(B134="S",(IF(F134&gt;20,N134*(M134/10)*AA134,0)),"")</f>
        <v>0</v>
      </c>
      <c r="AN134" s="288">
        <f>IF(B134="S",((M134-0.4)*$AN$11),"")</f>
        <v>0</v>
      </c>
      <c r="AO134" s="288">
        <f>IF(B134="S",((M134-0.4)*$AO$11),"")</f>
        <v>0</v>
      </c>
      <c r="AP134" s="288">
        <f>IF(B134="S",((M134-(O134/2)-(P134/2))*$AP$11),"")</f>
        <v>100.75498587121672</v>
      </c>
      <c r="AQ134" s="288">
        <f>+SUM(AC134:AI134)</f>
        <v>184.69678431208916</v>
      </c>
      <c r="AR134" s="288">
        <f>+AT134+AU134+AZ134+BA134+BB134+BI134</f>
        <v>184.69678431208919</v>
      </c>
      <c r="AS134" s="314">
        <f>IF(B134="S",((N134*(0.4+G134/1000))-((G134/1000)^2*PI()/4)),"")</f>
        <v>0.4838529257330153</v>
      </c>
      <c r="AT134" s="315">
        <f>IF(B134="S",(AS134*AP134)-IF(BI134&gt;0,BI134,0),"")</f>
        <v>48.750594695976829</v>
      </c>
      <c r="AU134" s="314">
        <f>IF(B134="S",IF(Q134="NATURAL",0,(($AU$11*N134*AP134))),"")</f>
        <v>32.24159547878935</v>
      </c>
      <c r="AV134" s="312">
        <f>IF(B134="S",$AV$11,"")</f>
        <v>30</v>
      </c>
      <c r="AW134" s="288">
        <f>IF(B134="S",(BY134*1.1-(AT134+BI134)-AU134-BB134-AX134-AY134),"")</f>
        <v>97.251427681745284</v>
      </c>
      <c r="AX134" s="206"/>
      <c r="AY134" s="206"/>
      <c r="AZ134" s="288">
        <f>IF(B134="S",((BY134*1.1-BB134-(AT134+BI134)-AU134-AX134-AY134)*AV134/100),"")</f>
        <v>29.175428304523578</v>
      </c>
      <c r="BA134" s="288">
        <f>IF(B134="S",(IF(AW134&gt;AZ134,AW134-AZ134,0)),"")</f>
        <v>68.075999377221706</v>
      </c>
      <c r="BB134" s="288">
        <f>IF(B134="S",((((G134/1000)^2)/4*PI())*E134),"")</f>
        <v>6.4531664555777191</v>
      </c>
      <c r="BC134" s="288">
        <f>IF(B134="S",(BY134*1.1-AZ134),"")</f>
        <v>155.5213560075656</v>
      </c>
      <c r="BE134" s="316" t="b">
        <f>IF(B134="S",(IF(O134=1.5,IF(H134-J134&lt;=1,0,H134-J134-1))),"")</f>
        <v>0</v>
      </c>
      <c r="BF134" s="316" t="b">
        <f>IF(B134="S",(IF(O134&lt;=0.8,IF(H134-J134&lt;=1,0,H134-J134))),"")</f>
        <v>0</v>
      </c>
      <c r="BG134" s="316" t="b">
        <f>IF(B134="S",(IF(O134&lt;=0.6,IF(H134-J134&lt;=1,H134-J134,0))),"")</f>
        <v>0</v>
      </c>
      <c r="BH134" s="310" t="str">
        <f>IF(B134="S",(IF(BD134="","",IF(BD134="FALSO","",1))),"")</f>
        <v/>
      </c>
      <c r="BI134" s="288">
        <f>IF(B134="S",(IF(F134&gt;=15,N134*((G134/1000)+0.3)*0.2,0)*(E134/5+1)),"")</f>
        <v>0</v>
      </c>
      <c r="BJ134" s="288">
        <f xml:space="preserve"> IF(B134="S",(BN134+BM134+0.3),"")</f>
        <v>0.76</v>
      </c>
      <c r="BK134" s="309">
        <f>IF(B134="S",(VLOOKUP('Cálculo_Diseño  (2)'!AY135,'TABLA (2)'!$H$102:'TABLA (2)'!$U$135,3)),"")</f>
        <v>0.7</v>
      </c>
      <c r="BL134" s="309">
        <f>IF(B134="S",(VLOOKUP('Cálculo_Diseño  (2)'!AY135,'TABLA (2)'!$H$102:'TABLA (2)'!$U$135,10)),"")</f>
        <v>0.55000000000000004</v>
      </c>
      <c r="BM134" s="309">
        <f>IF(B134="S",(VLOOKUP('Cálculo_Diseño  (2)'!AY135,'TABLA (2)'!$H$102:'TABLA (2)'!$U$135,11)),"")</f>
        <v>0.1</v>
      </c>
      <c r="BN134" s="309">
        <f>IF(B134="S",(VLOOKUP('Cálculo_Diseño  (2)'!AY135,'TABLA (2)'!$H$102:'TABLA (2)'!$U$135,12)),"")</f>
        <v>0.36</v>
      </c>
      <c r="BO134" s="288">
        <f>V134</f>
        <v>0</v>
      </c>
      <c r="BP134" s="313">
        <f>+IF(B134="S",(IF((1.8-AA134)&gt;=0,AA134+0.2,2)),"")</f>
        <v>2</v>
      </c>
      <c r="BQ134" s="288">
        <f>+IF(B134="S",(IF(BP134=2,IF((3.8-AA134)&gt;=0,(AA134+0.2-2),2),0)),"")</f>
        <v>0.35500000000000709</v>
      </c>
      <c r="BR134" s="288">
        <f>+IF(B134="S",(IF(BQ134=2,AA134+0.2-4,0)),"")</f>
        <v>0</v>
      </c>
      <c r="BS134" s="288">
        <f>IF(B134="S",((N134*(0.3+BN134/2)-0.392699*BN134*BN134)*AO134),"")</f>
        <v>0</v>
      </c>
      <c r="BU134" s="288">
        <f>IF(B134="S",((N134*(0.3+5*BN134/6)-0.699815*BN134*BN134)*AP134),"")</f>
        <v>39.224316601488489</v>
      </c>
      <c r="BV134" s="288">
        <f>IF(B134="S",(IF(BP134=0,"",(BP134)*(M134)*N134-(U134*$X$11+V134*$Y$11+W134*$Z$11)*N134)),"")</f>
        <v>138.95095156901857</v>
      </c>
      <c r="BW134" s="288">
        <f>IF(B134="S",(IF(BQ134=0,"",(M134)*BQ134*N134)),"")</f>
        <v>28.955215987426122</v>
      </c>
      <c r="BX134" s="288" t="str">
        <f>IF(B134="S",(IF(BR134=0,"",(M134)*BR134*N134)),"")</f>
        <v/>
      </c>
      <c r="BY134" s="288">
        <f>IF(B134="S",((AA134+0.2)*N134*(M134)-(U134*$X$11+V134*$Y$11+W134*$Z$11)*N134),"")</f>
        <v>167.9061675564447</v>
      </c>
      <c r="BZ134" s="288">
        <f>IF(B134="S",((N134*(0.3+BN134/2)-0.392699*BN134*BN134)*AN134),"")</f>
        <v>0</v>
      </c>
      <c r="CA134" s="288">
        <f>IF(B134="S",(IF(O134=1.2,(O134/2),IF(O134=0.8,O134/2,IF(O134=1.5,O134/2,IF(O134=0.6,O134/2,"IDIOT"))))),"")</f>
        <v>0.6</v>
      </c>
      <c r="CB134" s="288">
        <f>IF(B134="S",(IF(P134=1.2,(P134/2),IF(P134=0.8,P134/2,IF(P134=1.5,P134/2,IF(P134=0.6,P134/2,"IDIOT"))))),"")</f>
        <v>0.6</v>
      </c>
      <c r="CC134" s="316">
        <f>IF(B134="S",((BN134/2+0.1)*N134),"")</f>
        <v>0.224</v>
      </c>
      <c r="CD134" s="288">
        <f>IF(B134="S",((BN134/2+BN134/4)*N134),"")</f>
        <v>0.216</v>
      </c>
      <c r="CE134" s="288">
        <f>IF(B134="S",(0.392699*BN134*BN134),"")</f>
        <v>5.0893790399999993E-2</v>
      </c>
      <c r="CF134" s="288" t="str">
        <f>+IF(B134="S",(IF(((H134-J134)-(G134/1000))&lt;=0.9,"E1",IF(((H134-J134)-(G134/1000))&lt;=2.5,"E2","E3"))),"")</f>
        <v>E2</v>
      </c>
      <c r="CG134" s="313">
        <f>IF(B134="S",(IF(BV134="","",BV134-(BV134*L134/100))),"")</f>
        <v>137.56144205332839</v>
      </c>
      <c r="CH134" s="313">
        <f>IF(B134="S",(IF(BW134="","",BW134-(BW134*L134/100))),"")</f>
        <v>28.66566382755186</v>
      </c>
      <c r="CI134" s="313" t="str">
        <f>IF(C134="S",(IF(BX134="","",BX134-(BX134*M134/100))),"")</f>
        <v/>
      </c>
      <c r="CJ134" s="288">
        <f>'Cálculo_Diseño  (2)'!BD135</f>
        <v>1.5305</v>
      </c>
      <c r="CK134" s="313">
        <f>+IF(B134="S",(IF((CJ134+CU134)&gt;2,2,CJ134+CU134)),"")</f>
        <v>2</v>
      </c>
      <c r="CL134" s="313">
        <f>+IF(B134="S",(IF((CJ134+CU134)&gt;4,2,IF(AND((CJ134+CU134)&lt;=4,(CJ134+CU134)&gt;=2),((CJ134+CU134)-CK134),0))),"")</f>
        <v>1.0609999999999999</v>
      </c>
      <c r="CM134" s="313">
        <f>+IF(B134="S",(IF((CJ134+CU134)&gt;4,((CJ134+CU134)-(CK134+CL134)),0)),"")</f>
        <v>0</v>
      </c>
      <c r="CN134" s="313">
        <f>IF(B134="S",IF((CJ134+CU134)&lt;1.5,(ROUND(CJ134*PI()/4*(2.2)^2+CU134*(PI()/4*(2.2)^2 -PI()/4*(1.6)^2),2)),IF((CJ134+CU134)&lt;=2,(ROUND(((PI()*2.2^2)/4)*0.95-(((1/3)*PI()*0.95*(0.45^2+0.7^2+0.45*0.7)))+(CJ134*PI()/4*(2.2)^2)+(((((CU134)-0.95)*PI()*2.2^2)/4))-((((CU134)-0.95)*PI()*1.6^2)/4),2)),IF((CJ134+CU134)&gt;2,(ROUND(IF(CU134&lt;2,((PI()*2.2^2)/4)*0.95-(((1/3)*PI()*0.95*(0.45^2+0.7^2+0.45*0.7)))+((CU134-0.95)*(PI()/4*(2.2)^2 -PI()/4*(1.6)^2))+(2-CU134)*PI()/4*(2.2)^2,((PI()*2.2^2)/4)*0.95-(((1/3)*PI()*0.95*(0.45^2+0.7^2+0.45*0.7)))+((2-0.95)*(PI()/4*(2.2)^2 -PI()/4*(1.6)^2))),2))))),"")</f>
        <v>5.43</v>
      </c>
      <c r="CO134" s="313">
        <f>IF(B134="S",ROUND(IF(CL134&lt;=0,0,IF(AND(CL134&gt;0,CU134&lt;=0),CL134*PI()/4*2.2^(2),IF(AND(CL134&gt;0,CU134&gt;=4),CL134*(PI()/4*2.2^2-PI()/4*1.6^2),IF(AND(CL134&gt;0,CU134&gt;2,CU134&lt;4,CJ134&gt;0),(CU134-2)*(PI()/4*2.2^(2)-PI()/4*1.6^(2))+IF((CU134+CJ134)&gt;4,(4-CU134)*(PI()/4*2.2^(2)),(CJ134)*PI()/4*(2.2^2)),IF(AND(CL134&gt;0,CU134&lt;=2),(CL134*PI()/4*2.2^2)))))),2),"")</f>
        <v>4.03</v>
      </c>
      <c r="CP134" s="313">
        <f>IF(B134="S",(ROUND(IF(CM134&lt;=0,0,IF(AND(CM134&gt;0,CU134&lt;=0),CM134*PI()/4*2.2^(2),IF(AND(CM134&gt;0,CU134&gt;4,CJ134&lt;=0),CM134*(PI()/4*2.2^2-PI()/4*1.6^2),IF(AND(CM134&gt;0,CU134&lt;=4),CM134*PI()/4*2.2^2)))),2)),"")</f>
        <v>0</v>
      </c>
      <c r="CQ134" s="313">
        <f>IF(B134="S",IF(CK134&gt;1.5,(2*PI()*(0.9)*(CJ134+CU134)),0),"")</f>
        <v>17.309547202749041</v>
      </c>
      <c r="CR134" s="313">
        <f>IF(B134="S",(ROUND(IF(CN134&gt;0,CN134+CO134+CP134-CS134,0),2)),"")</f>
        <v>3.07</v>
      </c>
      <c r="CS134" s="313">
        <f>IF(B134="S",(IF(CJ134=0,0,IF(AND((H134-J134)&lt;1.5,CU134&gt;0),ROUND(CU134*(PI()/4*(2.2)^2 -PI()/4*(1.6)^2),2),(ROUND(((PI()*2.2^2)/4)*0.95-(((1/3)*PI()*0.95*(0.45^2+0.7^2+0.45*0.7)))+(((((CJ134+CU134)-0.95)*PI()*2.2^2)/4))-((((CJ134+CU134)-0.95)*PI()*1.6^2)/4),2))))),"")</f>
        <v>6.39</v>
      </c>
      <c r="CT134" s="313" t="str">
        <f>IF(B134="S",(IF(CN134&gt;=0,IF(CN134+CO134+CP134=(CR134+CS134),"OK","VERIFICAR"),0)),"")</f>
        <v>OK</v>
      </c>
      <c r="CU134" s="309">
        <f>'Cálculo_Diseño  (2)'!BD135</f>
        <v>1.5305</v>
      </c>
      <c r="CV134" s="288" t="str">
        <f>IF(G134=182,M134-(O134/2)-(P134/2),"")</f>
        <v/>
      </c>
      <c r="CW134" s="288" t="str">
        <f>IF(G134=227,M134-(O134/2)-(P134/2),"")</f>
        <v/>
      </c>
      <c r="CX134" s="288">
        <f>IF(G134=284,M134-(O134/2)-(P134/2),"")</f>
        <v>100.75498587121672</v>
      </c>
      <c r="CY134" s="288" t="str">
        <f>IF(G134=327,M134-(O134/2)-(P134/2),"")</f>
        <v/>
      </c>
      <c r="CZ134" s="288" t="str">
        <f>IF(G134=362,M134-(O134/2)-(P134/2),"")</f>
        <v/>
      </c>
      <c r="DA134" s="288" t="str">
        <f>IF(G134=407,M134-(O134/2)-(P134/2),"")</f>
        <v/>
      </c>
      <c r="DB134" s="288" t="str">
        <f>IF(G134=452,M134-(O134/2)-(P134/2),"")</f>
        <v/>
      </c>
      <c r="DC134" s="288" t="str">
        <f>IF(G134=595.12,M134-(O134/2)-(P134/2),"")</f>
        <v/>
      </c>
      <c r="DD134" s="288" t="str">
        <f>IF(G134=670,M134-(O134/2)-(P134/2),"")</f>
        <v/>
      </c>
      <c r="DE134" s="288" t="str">
        <f>IF(G134=747,M134-(O134/2)-(P134/2),"")</f>
        <v/>
      </c>
      <c r="DF134" s="288" t="str">
        <f>IF(G134=823.09,M134-(O134/2)-(P134/2),"")</f>
        <v/>
      </c>
      <c r="DG134" s="288" t="str">
        <f>IF(G134=899.03,M134-(O134/2)-(P134/2),"")</f>
        <v/>
      </c>
      <c r="DH134" s="309"/>
      <c r="DI134" s="288" t="str">
        <f>+IF(B134="S",B134,"N")</f>
        <v>S</v>
      </c>
      <c r="DJ134" s="288">
        <f>+IF(DI134="S",E134,"")</f>
        <v>101.87</v>
      </c>
      <c r="DK134" s="310">
        <v>36</v>
      </c>
      <c r="DL134" s="288">
        <f>IF(DI134="S",((((AA134+1)*6)/2)*0.7*DK134),"")</f>
        <v>238.51800000000054</v>
      </c>
      <c r="DM134" s="288">
        <f>IF(DI134="S",(ATAN(6/(AA134-1))*180/PI()),"")</f>
        <v>79.103847858858813</v>
      </c>
      <c r="DN134" s="206">
        <f>IF(DI134="S",(TAN(DM134*PI()/180)*(AA134-2)),"")</f>
        <v>0.80519480519483699</v>
      </c>
      <c r="DO134" s="206">
        <f>IF(DI134="S",(TAN(DM134*PI()/180)*(AA134-4)),"")</f>
        <v>-9.584415584415499</v>
      </c>
      <c r="DP134" s="288">
        <f>IF(DI134="S",(IF(AA134&lt;=2,((((AA134+1)*6)/2)*0.7*DK134),IF(AND(AA134&gt;2,AA134&lt;=4),((((AA134+1)*6)/2)*0.7*DK134)-(((AA134-2)*DN134)/2*0.7*DK134),IF(AND(AA134&gt;4,AA134&lt;=6),((((AA134+1)*6)/2)*0.7*DK134)-(((AA134-2)*DN134)/2*0.7*DK134),0)))),"")</f>
        <v>236.94545454545496</v>
      </c>
      <c r="DQ134" s="288">
        <f>IF(DI134="S",(IF(AND(AA134&gt;2,AA134&lt;=4),(((AA134-2)*DN134)/2*0.7*DK134),IF(AND(AA134&gt;4,AA134&lt;=6),(((AA134-2)*DN134)/2*0.7*DK134)-((AA134-4)*DO134/2*0.7*DK134),0))),"")</f>
        <v>1.5725454545455868</v>
      </c>
      <c r="DR134" s="288">
        <f>IF(DI134="S",(IF(AND(AA134&gt;4,AA134&lt;=6),((AA134-4)*DO134/2*0.7*DK134),IF(AA134&lt;4,0,"REVISAR"))),"")</f>
        <v>0</v>
      </c>
      <c r="DS134" s="288">
        <f t="shared" ref="DS134:DS165" si="0">IF(DI134="S",(IF(AA134&gt;1.5,(3*AA134*0.7*DK134*2),0)),"")</f>
        <v>325.83600000000104</v>
      </c>
      <c r="DT134" s="288">
        <f t="shared" ref="DT134:DT165" si="1">IF(DI134="S",(IF(AA134&gt;1.5,(3*AA134*0.3*DK134*2),0)),"")</f>
        <v>139.64400000000046</v>
      </c>
      <c r="DU134" s="310" t="str">
        <f>IF(B134="S",(IF(DI134="S",IF(G134=$DU$11,DK134,""),"")),"")</f>
        <v/>
      </c>
      <c r="DV134" s="310" t="str">
        <f>IF(B134="S",(IF(DI134="S",IF(G134=$DV$11,DK134,""),"")),"")</f>
        <v/>
      </c>
      <c r="DW134" s="310">
        <f>IF(B134="S",(IF(DI134="S",IF(G134=$DW$11,DK134,""),"")),"")</f>
        <v>36</v>
      </c>
      <c r="DX134" s="310" t="str">
        <f>IF(B134="S",(IF(DI134="S",IF(G134=$DX$11,DK134,""),"")),"")</f>
        <v/>
      </c>
      <c r="DY134" s="310" t="str">
        <f>IF(B134="S",(IF(DI134="S",IF(G134=$DY$11,DK134,""),"")),"")</f>
        <v/>
      </c>
      <c r="DZ134" s="310" t="str">
        <f>IF(B134="S",(IF(DI134="S",IF(G134=$DZ$11,DK134,""),"")),"")</f>
        <v/>
      </c>
      <c r="EA134" s="310" t="str">
        <f>IF(B134="S",(IF(DI134="S",IF(G134=$EA$11,DK134,""),"")),"")</f>
        <v/>
      </c>
      <c r="EB134" s="310" t="str">
        <f>IF(B134="S",(IF(DI134="S",IF(G134=$EB$11,DK134,""),"")),"")</f>
        <v/>
      </c>
      <c r="EC134" s="288">
        <f>IF(B134="S",0.95,"")</f>
        <v>0.95</v>
      </c>
      <c r="ED134" s="310"/>
      <c r="EE134" s="310"/>
      <c r="EF134" s="310"/>
      <c r="EH134" s="310">
        <f>+IF(EC134=0.95,2+((ED134+EE134+EF134)-1),"")</f>
        <v>1</v>
      </c>
    </row>
    <row r="135" spans="1:216" s="288" customFormat="1" hidden="1">
      <c r="C135" s="309"/>
      <c r="D135" s="309"/>
      <c r="E135" s="309"/>
      <c r="F135" s="309"/>
      <c r="G135" s="309"/>
      <c r="H135" s="309"/>
      <c r="I135" s="309"/>
      <c r="J135" s="309"/>
      <c r="K135" s="309"/>
      <c r="L135" s="315"/>
      <c r="Q135" s="309"/>
      <c r="R135" s="311"/>
      <c r="S135" s="311"/>
      <c r="T135" s="311"/>
      <c r="AB135" s="312"/>
      <c r="AF135" s="313"/>
      <c r="AG135" s="313"/>
      <c r="AH135" s="313"/>
      <c r="AI135" s="313"/>
      <c r="AJ135" s="313"/>
      <c r="AS135" s="314"/>
      <c r="AT135" s="315"/>
      <c r="AU135" s="314"/>
      <c r="AV135" s="312"/>
      <c r="AX135" s="206"/>
      <c r="AY135" s="206"/>
      <c r="BE135" s="316"/>
      <c r="BF135" s="316"/>
      <c r="BG135" s="316"/>
      <c r="BH135" s="310"/>
      <c r="BK135" s="309"/>
      <c r="BL135" s="309"/>
      <c r="BM135" s="309"/>
      <c r="BN135" s="309"/>
      <c r="BP135" s="313"/>
      <c r="CC135" s="316"/>
      <c r="CG135" s="313"/>
      <c r="CH135" s="313"/>
      <c r="CI135" s="313"/>
      <c r="CK135" s="313"/>
      <c r="CL135" s="313"/>
      <c r="CM135" s="313"/>
      <c r="CN135" s="313"/>
      <c r="CO135" s="313"/>
      <c r="CP135" s="313"/>
      <c r="CQ135" s="313"/>
      <c r="CR135" s="313"/>
      <c r="CS135" s="313"/>
      <c r="CT135" s="313"/>
      <c r="CU135" s="309"/>
      <c r="DH135" s="309"/>
      <c r="DK135" s="310"/>
      <c r="DN135" s="206"/>
      <c r="DO135" s="206"/>
      <c r="DS135" s="288" t="str">
        <f t="shared" si="0"/>
        <v/>
      </c>
      <c r="DT135" s="288" t="str">
        <f t="shared" si="1"/>
        <v/>
      </c>
      <c r="DU135" s="310"/>
      <c r="DV135" s="310"/>
      <c r="DW135" s="310"/>
      <c r="DX135" s="310"/>
      <c r="DY135" s="310"/>
      <c r="DZ135" s="310"/>
      <c r="EA135" s="310"/>
      <c r="EB135" s="310"/>
      <c r="ED135" s="310"/>
      <c r="EE135" s="310"/>
      <c r="EF135" s="310"/>
      <c r="EH135" s="310"/>
    </row>
    <row r="136" spans="1:216" s="288" customFormat="1">
      <c r="A136" s="288" t="s">
        <v>330</v>
      </c>
      <c r="B136" s="288" t="str">
        <f>A136</f>
        <v>S</v>
      </c>
      <c r="C136" s="309" t="str">
        <f>IF(A136="S",'Cálculo_Diseño  (2)'!C137," ")</f>
        <v>C373</v>
      </c>
      <c r="D136" s="309" t="str">
        <f>IF(A136="S",'Cálculo_Diseño  (2)'!D137," ")</f>
        <v>C191</v>
      </c>
      <c r="E136" s="309">
        <f>IF(B136="S",'Cálculo_Diseño  (2)'!AX137," ")</f>
        <v>95.98</v>
      </c>
      <c r="F136" s="309">
        <f>IF(B136="S",'Cálculo_Diseño  (2)'!BL137," ")</f>
        <v>5.2927693269431559</v>
      </c>
      <c r="G136" s="309">
        <f>IF(B136="S",'Cálculo_Diseño  (2)'!AZ137," ")</f>
        <v>284</v>
      </c>
      <c r="H136" s="309">
        <f>IF(B136="S",'Cálculo_Diseño  (2)'!BB137," ")</f>
        <v>989.33799999999997</v>
      </c>
      <c r="I136" s="309">
        <f>IF(B136="S",'Cálculo_Diseño  (2)'!BC137," ")</f>
        <v>984.78800000000001</v>
      </c>
      <c r="J136" s="309">
        <f>IF(B136="S",'Cálculo_Diseño  (2)'!BH137," ")</f>
        <v>987.52800000000002</v>
      </c>
      <c r="K136" s="309">
        <f>IF(B136="S",'Cálculo_Diseño  (2)'!BI137," ")</f>
        <v>982.44799999999998</v>
      </c>
      <c r="L136" s="315">
        <f>IF(B136="S",+$L$11,"")</f>
        <v>1</v>
      </c>
      <c r="M136" s="288">
        <f>IF(B136="S",(E136^2+(J136-K136)^2)^0.5," ")</f>
        <v>96.114342322048913</v>
      </c>
      <c r="N136" s="288">
        <f>IF(AJ136="S",BK136+0.1,BK136)</f>
        <v>0.79999999999999993</v>
      </c>
      <c r="O136" s="288">
        <f>IF(B136="S",(IF(G136&lt;=500,1.2,1.5)),"")</f>
        <v>1.2</v>
      </c>
      <c r="P136" s="288">
        <f>IF(B136="S",(IF(G136&lt;=500,1.2,1.5)),"")</f>
        <v>1.2</v>
      </c>
      <c r="Q136" s="309" t="s">
        <v>331</v>
      </c>
      <c r="R136" s="311" t="str">
        <f>+IF(B136="S",(IF(Q136="FLEXIBLE","S","N")),"")</f>
        <v>N</v>
      </c>
      <c r="S136" s="311" t="str">
        <f>+IF(B136="S",(IF(Q136="ADOQUIN","S","N")),"")</f>
        <v>N</v>
      </c>
      <c r="T136" s="311" t="str">
        <f>+IF(B136="S",(IF(Q136="CONCRETO","S","N")),"")</f>
        <v>S</v>
      </c>
      <c r="U136" s="288">
        <f>IF(B136="S",(IF(R136="S",(((((H136-I136)^2)+(E136^2))^0.5)-CA136-CB136)*$U$11,0)),"")</f>
        <v>0</v>
      </c>
      <c r="V136" s="288">
        <f>IF(B136="S",(IF(S136="S",(((((H136-I136)^2)+(E136^2))^0.5)-CA136-CB136)*$V$11,0)),"")</f>
        <v>0</v>
      </c>
      <c r="W136" s="288">
        <f>IF(B136="S",(IF(T136="S",(((((H136-I136)^2)+(E136^2))^0.5)-CA136-CB136)*$W$11,0)),"")</f>
        <v>94.887787465421439</v>
      </c>
      <c r="X136" s="288">
        <f>IF(B136="S",(U136*(N136+0.2)*$X$11),"")</f>
        <v>0</v>
      </c>
      <c r="Y136" s="288">
        <f>IF(B136="S",(V136*(N136+0.2)*$Y$11),"")</f>
        <v>0</v>
      </c>
      <c r="Z136" s="288">
        <f>IF(B136="S",(W136*(N136+0.2)*$Z$11+IF(Q136="CONCRETO",PI()/4*0.2*(O136+0.2*2+0.1*2)^2)),"")</f>
        <v>28.975274249507979</v>
      </c>
      <c r="AA136" s="288">
        <f>IF(B136="S",(((H136-J136)+(I136-K136))/2+BM136),"")</f>
        <v>2.1749999999999887</v>
      </c>
      <c r="AB136" s="312">
        <f>IF(B136="S",($AB$11),"")</f>
        <v>10</v>
      </c>
      <c r="AC136" s="288">
        <f>IF(B136="S",(IF(CG136="","",(CG136*(AB136/100))*$I$527)),"")</f>
        <v>14.266975792997549</v>
      </c>
      <c r="AD136" s="288">
        <f>IF(B136="S",(IF(CH136="","",(CH136*AB136/100)*$I$527)),"")</f>
        <v>3.1400555636612451</v>
      </c>
      <c r="AE136" s="288" t="str">
        <f>IF(B136="S",(IF(CI136="","",(CI136*AB136/100)*$I$527)),"")</f>
        <v/>
      </c>
      <c r="AF136" s="313">
        <f>IF(B136="S",(IF(CG136="","",(CG136*$I$527)-AC136)),"")</f>
        <v>128.40278213697795</v>
      </c>
      <c r="AG136" s="313">
        <f>IF(B136="S",(IF(CH136="","",(CH136*$I$527)-AD136)),"")</f>
        <v>28.260500072951203</v>
      </c>
      <c r="AH136" s="313" t="str">
        <f>IF(B136="S",(IF(CI136="","",(CI136*$I$527)-AE136)),"")</f>
        <v/>
      </c>
      <c r="AI136" s="313">
        <f>IF(B136="S",((BY136*(L136/100))*1.1),"")</f>
        <v>1.7582859956221002</v>
      </c>
      <c r="AJ136" s="313" t="str">
        <f>IF(B136="S",(IF(AA136&lt;1,"N","S")),"")</f>
        <v>S</v>
      </c>
      <c r="AK136" s="288">
        <f>IF(B136="S",(IF(AJ136="S",(E136*AA136*0.7*2),0)),"")</f>
        <v>292.25909999999851</v>
      </c>
      <c r="AL136" s="288">
        <f>IF(B136="S",(IF(AJ136="S",(E136*AA136*0.3*2),0)),"")</f>
        <v>125.25389999999936</v>
      </c>
      <c r="AM136" s="288">
        <f>IF(B136="S",(IF(F136&gt;20,N136*(M136/10)*AA136,0)),"")</f>
        <v>0</v>
      </c>
      <c r="AN136" s="288">
        <f>IF(B136="S",((M136-0.4)*$AN$11),"")</f>
        <v>0</v>
      </c>
      <c r="AO136" s="288">
        <f>IF(B136="S",((M136-0.4)*$AO$11),"")</f>
        <v>0</v>
      </c>
      <c r="AP136" s="288">
        <f>IF(B136="S",((M136-(O136/2)-(P136/2))*$AP$11),"")</f>
        <v>94.914342322048924</v>
      </c>
      <c r="AQ136" s="288">
        <f>+SUM(AC136:AI136)</f>
        <v>175.82859956221003</v>
      </c>
      <c r="AR136" s="288">
        <f>+AT136+AU136+AZ136+BA136+BB136+BI136</f>
        <v>175.82859956221003</v>
      </c>
      <c r="AS136" s="314">
        <f>IF(B136="S",((N136*(0.4+G136/1000))-((G136/1000)^2*PI()/4)),"")</f>
        <v>0.4838529257330153</v>
      </c>
      <c r="AT136" s="315">
        <f>IF(B136="S",(AS136*AP136)-IF(BI136&gt;0,BI136,0),"")</f>
        <v>45.924582226548331</v>
      </c>
      <c r="AU136" s="314">
        <f>IF(B136="S",IF(Q136="NATURAL",0,(($AU$11*N136*AP136))),"")</f>
        <v>30.372589543055657</v>
      </c>
      <c r="AV136" s="312">
        <f>IF(B136="S",$AV$11,"")</f>
        <v>30</v>
      </c>
      <c r="AW136" s="288">
        <f>IF(B136="S",(BY136*1.1-(AT136+BI136)-AU136-BB136-AX136-AY136),"")</f>
        <v>93.451375604460878</v>
      </c>
      <c r="AX136" s="206"/>
      <c r="AY136" s="206"/>
      <c r="AZ136" s="288">
        <f>IF(B136="S",((BY136*1.1-BB136-(AT136+BI136)-AU136-AX136-AY136)*AV136/100),"")</f>
        <v>28.035412681338261</v>
      </c>
      <c r="BA136" s="288">
        <f>IF(B136="S",(IF(AW136&gt;AZ136,AW136-AZ136,0)),"")</f>
        <v>65.415962923122621</v>
      </c>
      <c r="BB136" s="288">
        <f>IF(B136="S",((((G136/1000)^2)/4*PI())*E136),"")</f>
        <v>6.0800521881451797</v>
      </c>
      <c r="BC136" s="288">
        <f>IF(B136="S",(BY136*1.1-AZ136),"")</f>
        <v>147.79318688087176</v>
      </c>
      <c r="BD136" s="288">
        <f>IF(B136="S",(IF(O136=1.2,IF((H136-J136)&lt;=1.2,H136-J136,H136-J136-0.95))),"")</f>
        <v>0.85999999999994547</v>
      </c>
      <c r="BE136" s="316" t="b">
        <f>IF(B136="S",(IF(O136=1.5,IF(H136-J136&lt;=1,0,H136-J136-1))),"")</f>
        <v>0</v>
      </c>
      <c r="BF136" s="316" t="b">
        <f>IF(B136="S",(IF(O136&lt;=0.8,IF(H136-J136&lt;=1,0,H136-J136))),"")</f>
        <v>0</v>
      </c>
      <c r="BG136" s="316" t="b">
        <f>IF(B136="S",(IF(O136&lt;=0.6,IF(H136-J136&lt;=1,H136-J136,0))),"")</f>
        <v>0</v>
      </c>
      <c r="BH136" s="310">
        <f>IF(B136="S",(IF(BD136="","",IF(BD136="FALSO","",1))),"")</f>
        <v>1</v>
      </c>
      <c r="BI136" s="288">
        <f>IF(B136="S",(IF(F136&gt;=15,N136*((G136/1000)+0.3)*0.2,0)*(E136/5+1)),"")</f>
        <v>0</v>
      </c>
      <c r="BJ136" s="288">
        <f xml:space="preserve"> IF(B136="S",(BN136+BM136+0.3),"")</f>
        <v>0.76</v>
      </c>
      <c r="BK136" s="309">
        <f>IF(B136="S",(VLOOKUP('Cálculo_Diseño  (2)'!AY137,'TABLA (2)'!$H$102:'TABLA (2)'!$U$135,3)),"")</f>
        <v>0.7</v>
      </c>
      <c r="BL136" s="309">
        <f>IF(B136="S",(VLOOKUP('Cálculo_Diseño  (2)'!AY137,'TABLA (2)'!$H$102:'TABLA (2)'!$U$135,10)),"")</f>
        <v>0.55000000000000004</v>
      </c>
      <c r="BM136" s="309">
        <f>IF(B136="S",(VLOOKUP('Cálculo_Diseño  (2)'!AY137,'TABLA (2)'!$H$102:'TABLA (2)'!$U$135,11)),"")</f>
        <v>0.1</v>
      </c>
      <c r="BN136" s="309">
        <f>IF(B136="S",(VLOOKUP('Cálculo_Diseño  (2)'!AY137,'TABLA (2)'!$H$102:'TABLA (2)'!$U$135,12)),"")</f>
        <v>0.36</v>
      </c>
      <c r="BO136" s="288">
        <f>V136</f>
        <v>0</v>
      </c>
      <c r="BP136" s="313">
        <f>+IF(B136="S",(IF((1.8-AA136)&gt;=0,AA136+0.2,2)),"")</f>
        <v>2</v>
      </c>
      <c r="BQ136" s="288">
        <f>+IF(B136="S",(IF(BP136=2,IF((3.8-AA136)&gt;=0,(AA136+0.2-2),2),0)),"")</f>
        <v>0.3749999999999889</v>
      </c>
      <c r="BR136" s="288">
        <f>+IF(B136="S",(IF(BQ136=2,AA136+0.2-4,0)),"")</f>
        <v>0</v>
      </c>
      <c r="BS136" s="288">
        <f>IF(B136="S",((N136*(0.3+BN136/2)-0.392699*BN136*BN136)*AO136),"")</f>
        <v>0</v>
      </c>
      <c r="BU136" s="288">
        <f>IF(B136="S",((N136*(0.3+5*BN136/6)-0.699815*BN136*BN136)*AP136),"")</f>
        <v>36.95053084539871</v>
      </c>
      <c r="BV136" s="288">
        <f>IF(B136="S",(IF(BP136=0,"",(BP136)*(M136)*N136-(U136*$X$11+V136*$Y$11+W136*$Z$11)*N136)),"")</f>
        <v>131.00987872357712</v>
      </c>
      <c r="BW136" s="288">
        <f>IF(B136="S",(IF(BQ136=0,"",(M136)*BQ136*N136)),"")</f>
        <v>28.834302696613818</v>
      </c>
      <c r="BX136" s="288" t="str">
        <f>IF(B136="S",(IF(BR136=0,"",(M136)*BR136*N136)),"")</f>
        <v/>
      </c>
      <c r="BY136" s="288">
        <f>IF(B136="S",((AA136+0.2)*N136*(M136)-(U136*$X$11+V136*$Y$11+W136*$Z$11)*N136),"")</f>
        <v>159.84418142019092</v>
      </c>
      <c r="BZ136" s="288">
        <f>IF(B136="S",((N136*(0.3+BN136/2)-0.392699*BN136*BN136)*AN136),"")</f>
        <v>0</v>
      </c>
      <c r="CA136" s="288">
        <f>IF(B136="S",(IF(O136=1.2,(O136/2),IF(O136=0.8,O136/2,IF(O136=1.5,O136/2,IF(O136=0.6,O136/2,"IDIOT"))))),"")</f>
        <v>0.6</v>
      </c>
      <c r="CB136" s="288">
        <f>IF(B136="S",(IF(P136=1.2,(P136/2),IF(P136=0.8,P136/2,IF(P136=1.5,P136/2,IF(P136=0.6,P136/2,"IDIOT"))))),"")</f>
        <v>0.6</v>
      </c>
      <c r="CC136" s="316">
        <f>IF(B136="S",((BN136/2+0.1)*N136),"")</f>
        <v>0.224</v>
      </c>
      <c r="CD136" s="288">
        <f>IF(B136="S",((BN136/2+BN136/4)*N136),"")</f>
        <v>0.216</v>
      </c>
      <c r="CE136" s="288">
        <f>IF(B136="S",(0.392699*BN136*BN136),"")</f>
        <v>5.0893790399999993E-2</v>
      </c>
      <c r="CF136" s="288" t="str">
        <f>+IF(B136="S",(IF(((H136-J136)-(G136/1000))&lt;=0.9,"E1",IF(((H136-J136)-(G136/1000))&lt;=2.5,"E2","E3"))),"")</f>
        <v>E2</v>
      </c>
      <c r="CG136" s="313">
        <f>IF(B136="S",(IF(BV136="","",BV136-(BV136*L136/100))),"")</f>
        <v>129.69977993634134</v>
      </c>
      <c r="CH136" s="313">
        <f>IF(B136="S",(IF(BW136="","",BW136-(BW136*L136/100))),"")</f>
        <v>28.545959669647679</v>
      </c>
      <c r="CI136" s="313" t="str">
        <f>IF(C136="S",(IF(BX136="","",BX136-(BX136*M136/100))),"")</f>
        <v/>
      </c>
      <c r="CJ136" s="288">
        <f>'Cálculo_Diseño  (2)'!BD137</f>
        <v>1.5105</v>
      </c>
      <c r="CK136" s="313">
        <f>+IF(B136="S",(IF((CJ136+CU136)&gt;2,2,CJ136+CU136)),"")</f>
        <v>2</v>
      </c>
      <c r="CL136" s="313">
        <f>+IF(B136="S",(IF((CJ136+CU136)&gt;4,2,IF(AND((CJ136+CU136)&lt;=4,(CJ136+CU136)&gt;=2),((CJ136+CU136)-CK136),0))),"")</f>
        <v>1.0209999999999999</v>
      </c>
      <c r="CM136" s="313">
        <f>+IF(B136="S",(IF((CJ136+CU136)&gt;4,((CJ136+CU136)-(CK136+CL136)),0)),"")</f>
        <v>0</v>
      </c>
      <c r="CN136" s="313">
        <f>IF(B136="S",IF((CJ136+CU136)&lt;1.5,(ROUND(CJ136*PI()/4*(2.2)^2+CU136*(PI()/4*(2.2)^2 -PI()/4*(1.6)^2),2)),IF((CJ136+CU136)&lt;=2,(ROUND(((PI()*2.2^2)/4)*0.95-(((1/3)*PI()*0.95*(0.45^2+0.7^2+0.45*0.7)))+(CJ136*PI()/4*(2.2)^2)+(((((CU136)-0.95)*PI()*2.2^2)/4))-((((CU136)-0.95)*PI()*1.6^2)/4),2)),IF((CJ136+CU136)&gt;2,(ROUND(IF(CU136&lt;2,((PI()*2.2^2)/4)*0.95-(((1/3)*PI()*0.95*(0.45^2+0.7^2+0.45*0.7)))+((CU136-0.95)*(PI()/4*(2.2)^2 -PI()/4*(1.6)^2))+(2-CU136)*PI()/4*(2.2)^2,((PI()*2.2^2)/4)*0.95-(((1/3)*PI()*0.95*(0.45^2+0.7^2+0.45*0.7)))+((2-0.95)*(PI()/4*(2.2)^2 -PI()/4*(1.6)^2))),2))))),"")</f>
        <v>5.47</v>
      </c>
      <c r="CO136" s="313">
        <f>IF(B136="S",ROUND(IF(CL136&lt;=0,0,IF(AND(CL136&gt;0,CU136&lt;=0),CL136*PI()/4*2.2^(2),IF(AND(CL136&gt;0,CU136&gt;=4),CL136*(PI()/4*2.2^2-PI()/4*1.6^2),IF(AND(CL136&gt;0,CU136&gt;2,CU136&lt;4,CJ136&gt;0),(CU136-2)*(PI()/4*2.2^(2)-PI()/4*1.6^(2))+IF((CU136+CJ136)&gt;4,(4-CU136)*(PI()/4*2.2^(2)),(CJ136)*PI()/4*(2.2^2)),IF(AND(CL136&gt;0,CU136&lt;=2),(CL136*PI()/4*2.2^2)))))),2),"")</f>
        <v>3.88</v>
      </c>
      <c r="CP136" s="313">
        <f>IF(B136="S",(ROUND(IF(CM136&lt;=0,0,IF(AND(CM136&gt;0,CU136&lt;=0),CM136*PI()/4*2.2^(2),IF(AND(CM136&gt;0,CU136&gt;4,CJ136&lt;=0),CM136*(PI()/4*2.2^2-PI()/4*1.6^2),IF(AND(CM136&gt;0,CU136&lt;=4),CM136*PI()/4*2.2^2)))),2)),"")</f>
        <v>0</v>
      </c>
      <c r="CQ136" s="313">
        <f>IF(B136="S",IF(CK136&gt;1.5,(2*PI()*(0.9)*(CJ136+CU136)),0),"")</f>
        <v>17.083352531690576</v>
      </c>
      <c r="CR136" s="313">
        <f>IF(B136="S",(ROUND(IF(CN136&gt;0,CN136+CO136+CP136-CS136,0),2)),"")</f>
        <v>3.03</v>
      </c>
      <c r="CS136" s="313">
        <f>IF(B136="S",(IF(CJ136=0,0,IF(AND((H136-J136)&lt;1.5,CU136&gt;0),ROUND(CU136*(PI()/4*(2.2)^2 -PI()/4*(1.6)^2),2),(ROUND(((PI()*2.2^2)/4)*0.95-(((1/3)*PI()*0.95*(0.45^2+0.7^2+0.45*0.7)))+(((((CJ136+CU136)-0.95)*PI()*2.2^2)/4))-((((CJ136+CU136)-0.95)*PI()*1.6^2)/4),2))))),"")</f>
        <v>6.32</v>
      </c>
      <c r="CT136" s="313" t="str">
        <f>IF(B136="S",(IF(CN136&gt;=0,IF(CN136+CO136+CP136=(CR136+CS136),"OK","VERIFICAR"),0)),"")</f>
        <v>OK</v>
      </c>
      <c r="CU136" s="309">
        <f>'Cálculo_Diseño  (2)'!BD137</f>
        <v>1.5105</v>
      </c>
      <c r="CV136" s="288" t="str">
        <f>IF(G136=182,M136-(O136/2)-(P136/2),"")</f>
        <v/>
      </c>
      <c r="CW136" s="288" t="str">
        <f>IF(G136=227,M136-(O136/2)-(P136/2),"")</f>
        <v/>
      </c>
      <c r="CX136" s="288">
        <f>IF(G136=284,M136-(O136/2)-(P136/2),"")</f>
        <v>94.914342322048924</v>
      </c>
      <c r="CY136" s="288" t="str">
        <f>IF(G136=327,M136-(O136/2)-(P136/2),"")</f>
        <v/>
      </c>
      <c r="CZ136" s="288" t="str">
        <f>IF(G136=362,M136-(O136/2)-(P136/2),"")</f>
        <v/>
      </c>
      <c r="DA136" s="288" t="str">
        <f>IF(G136=407,M136-(O136/2)-(P136/2),"")</f>
        <v/>
      </c>
      <c r="DB136" s="288" t="str">
        <f>IF(G136=452,M136-(O136/2)-(P136/2),"")</f>
        <v/>
      </c>
      <c r="DC136" s="288" t="str">
        <f>IF(G136=595.12,M136-(O136/2)-(P136/2),"")</f>
        <v/>
      </c>
      <c r="DD136" s="288" t="str">
        <f>IF(G136=670,M136-(O136/2)-(P136/2),"")</f>
        <v/>
      </c>
      <c r="DE136" s="288" t="str">
        <f>IF(G136=747,M136-(O136/2)-(P136/2),"")</f>
        <v/>
      </c>
      <c r="DF136" s="288" t="str">
        <f>IF(G136=823.09,M136-(O136/2)-(P136/2),"")</f>
        <v/>
      </c>
      <c r="DG136" s="288" t="str">
        <f>IF(G136=899.03,M136-(O136/2)-(P136/2),"")</f>
        <v/>
      </c>
      <c r="DH136" s="309"/>
      <c r="DI136" s="288" t="str">
        <f>+IF(B136="S",B136,"N")</f>
        <v>S</v>
      </c>
      <c r="DJ136" s="288">
        <f>+IF(DI136="S",E136,"")</f>
        <v>95.98</v>
      </c>
      <c r="DK136" s="310">
        <v>24</v>
      </c>
      <c r="DL136" s="288">
        <f>IF(DI136="S",((((AA136+1)*6)/2)*0.7*DK136),"")</f>
        <v>160.01999999999944</v>
      </c>
      <c r="DM136" s="288">
        <f>IF(DI136="S",(ATAN(6/(AA136-1))*180/PI()),"")</f>
        <v>78.919800775645029</v>
      </c>
      <c r="DN136" s="206">
        <f>IF(DI136="S",(TAN(DM136*PI()/180)*(AA136-2)),"")</f>
        <v>0.89361702127654663</v>
      </c>
      <c r="DO136" s="206">
        <f>IF(DI136="S",(TAN(DM136*PI()/180)*(AA136-4)),"")</f>
        <v>-9.3191489361703592</v>
      </c>
      <c r="DP136" s="288">
        <f>IF(DI136="S",(IF(AA136&lt;=2,((((AA136+1)*6)/2)*0.7*DK136),IF(AND(AA136&gt;2,AA136&lt;=4),((((AA136+1)*6)/2)*0.7*DK136)-(((AA136-2)*DN136)/2*0.7*DK136),IF(AND(AA136&gt;4,AA136&lt;=6),((((AA136+1)*6)/2)*0.7*DK136)-(((AA136-2)*DN136)/2*0.7*DK136),0)))),"")</f>
        <v>158.70638297872301</v>
      </c>
      <c r="DQ136" s="288">
        <f>IF(DI136="S",(IF(AND(AA136&gt;2,AA136&lt;=4),(((AA136-2)*DN136)/2*0.7*DK136),IF(AND(AA136&gt;4,AA136&lt;=6),(((AA136-2)*DN136)/2*0.7*DK136)-((AA136-4)*DO136/2*0.7*DK136),0))),"")</f>
        <v>1.3136170212764386</v>
      </c>
      <c r="DR136" s="288">
        <f>IF(DI136="S",(IF(AND(AA136&gt;4,AA136&lt;=6),((AA136-4)*DO136/2*0.7*DK136),IF(AA136&lt;4,0,"REVISAR"))),"")</f>
        <v>0</v>
      </c>
      <c r="DS136" s="288">
        <f t="shared" si="0"/>
        <v>219.23999999999884</v>
      </c>
      <c r="DT136" s="288">
        <f t="shared" si="1"/>
        <v>93.959999999999511</v>
      </c>
      <c r="DU136" s="310" t="str">
        <f>IF(B136="S",(IF(DI136="S",IF(G136=$DU$11,DK136,""),"")),"")</f>
        <v/>
      </c>
      <c r="DV136" s="310" t="str">
        <f>IF(B136="S",(IF(DI136="S",IF(G136=$DV$11,DK136,""),"")),"")</f>
        <v/>
      </c>
      <c r="DW136" s="310">
        <f>IF(B136="S",(IF(DI136="S",IF(G136=$DW$11,DK136,""),"")),"")</f>
        <v>24</v>
      </c>
      <c r="DX136" s="310" t="str">
        <f>IF(B136="S",(IF(DI136="S",IF(G136=$DX$11,DK136,""),"")),"")</f>
        <v/>
      </c>
      <c r="DY136" s="310" t="str">
        <f>IF(B136="S",(IF(DI136="S",IF(G136=$DY$11,DK136,""),"")),"")</f>
        <v/>
      </c>
      <c r="DZ136" s="310" t="str">
        <f>IF(B136="S",(IF(DI136="S",IF(G136=$DZ$11,DK136,""),"")),"")</f>
        <v/>
      </c>
      <c r="EA136" s="310" t="str">
        <f>IF(B136="S",(IF(DI136="S",IF(G136=$EA$11,DK136,""),"")),"")</f>
        <v/>
      </c>
      <c r="EB136" s="310" t="str">
        <f>IF(B136="S",(IF(DI136="S",IF(G136=$EB$11,DK136,""),"")),"")</f>
        <v/>
      </c>
      <c r="EC136" s="288">
        <f>IF(B136="S",0.95,"")</f>
        <v>0.95</v>
      </c>
      <c r="ED136" s="310"/>
      <c r="EE136" s="310"/>
      <c r="EF136" s="310"/>
      <c r="EH136" s="310">
        <f>+IF(EC136=0.95,2+((ED136+EE136+EF136)-1),"")</f>
        <v>1</v>
      </c>
    </row>
    <row r="137" spans="1:216" s="288" customFormat="1" hidden="1">
      <c r="C137" s="309"/>
      <c r="D137" s="309"/>
      <c r="E137" s="309"/>
      <c r="F137" s="309"/>
      <c r="G137" s="309"/>
      <c r="H137" s="309"/>
      <c r="I137" s="309"/>
      <c r="J137" s="309"/>
      <c r="K137" s="309"/>
      <c r="L137" s="315"/>
      <c r="Q137" s="309"/>
      <c r="R137" s="311"/>
      <c r="S137" s="311"/>
      <c r="T137" s="311"/>
      <c r="AB137" s="312"/>
      <c r="AF137" s="313"/>
      <c r="AG137" s="313"/>
      <c r="AH137" s="313"/>
      <c r="AI137" s="313"/>
      <c r="AJ137" s="313"/>
      <c r="AS137" s="314"/>
      <c r="AT137" s="315"/>
      <c r="AU137" s="314"/>
      <c r="AV137" s="312"/>
      <c r="AX137" s="206"/>
      <c r="AY137" s="206"/>
      <c r="BD137" s="288" t="str">
        <f>IF(B137="S",(IF(O137=1.2,IF((H137-J137)&lt;=1.2,H137-J137,H137-J137-0.95))),"")</f>
        <v/>
      </c>
      <c r="BE137" s="316"/>
      <c r="BF137" s="316"/>
      <c r="BG137" s="316"/>
      <c r="BH137" s="310"/>
      <c r="BK137" s="309"/>
      <c r="BL137" s="309"/>
      <c r="BM137" s="309"/>
      <c r="BN137" s="309"/>
      <c r="BP137" s="313"/>
      <c r="CC137" s="316"/>
      <c r="CG137" s="313"/>
      <c r="CH137" s="313"/>
      <c r="CI137" s="313"/>
      <c r="CK137" s="313"/>
      <c r="CL137" s="313"/>
      <c r="CM137" s="313"/>
      <c r="CN137" s="313"/>
      <c r="CO137" s="313"/>
      <c r="CP137" s="313"/>
      <c r="CQ137" s="313"/>
      <c r="CR137" s="313"/>
      <c r="CS137" s="313"/>
      <c r="CT137" s="313"/>
      <c r="CU137" s="309"/>
      <c r="DH137" s="309"/>
      <c r="DK137" s="310"/>
      <c r="DN137" s="206"/>
      <c r="DO137" s="206"/>
      <c r="DS137" s="288" t="str">
        <f t="shared" si="0"/>
        <v/>
      </c>
      <c r="DT137" s="288" t="str">
        <f t="shared" si="1"/>
        <v/>
      </c>
      <c r="DU137" s="310"/>
      <c r="DV137" s="310"/>
      <c r="DW137" s="310"/>
      <c r="DX137" s="310"/>
      <c r="DY137" s="310"/>
      <c r="DZ137" s="310"/>
      <c r="EA137" s="310"/>
      <c r="EB137" s="310"/>
      <c r="ED137" s="310"/>
      <c r="EE137" s="310"/>
      <c r="EF137" s="310"/>
      <c r="EH137" s="310"/>
    </row>
    <row r="138" spans="1:216" s="288" customFormat="1" hidden="1">
      <c r="C138" s="309"/>
      <c r="D138" s="309"/>
      <c r="E138" s="309"/>
      <c r="F138" s="309"/>
      <c r="G138" s="309"/>
      <c r="H138" s="309"/>
      <c r="I138" s="309"/>
      <c r="J138" s="309"/>
      <c r="K138" s="309"/>
      <c r="L138" s="315"/>
      <c r="Q138" s="309"/>
      <c r="R138" s="311"/>
      <c r="S138" s="311"/>
      <c r="T138" s="311"/>
      <c r="AB138" s="312"/>
      <c r="AF138" s="313"/>
      <c r="AG138" s="313"/>
      <c r="AH138" s="313"/>
      <c r="AI138" s="313"/>
      <c r="AJ138" s="313"/>
      <c r="AS138" s="314"/>
      <c r="AT138" s="315"/>
      <c r="AU138" s="314"/>
      <c r="AV138" s="312"/>
      <c r="AX138" s="206"/>
      <c r="AY138" s="206"/>
      <c r="BD138" s="288" t="str">
        <f>IF(B138="S",(IF(O138=1.2,IF((H138-J138)&lt;=1.2,H138-J138,H138-J138-0.95))),"")</f>
        <v/>
      </c>
      <c r="BE138" s="316"/>
      <c r="BF138" s="316"/>
      <c r="BG138" s="316"/>
      <c r="BH138" s="310"/>
      <c r="BK138" s="309"/>
      <c r="BL138" s="309"/>
      <c r="BM138" s="309"/>
      <c r="BN138" s="309"/>
      <c r="BP138" s="313"/>
      <c r="CC138" s="316"/>
      <c r="CG138" s="313"/>
      <c r="CH138" s="313"/>
      <c r="CI138" s="313"/>
      <c r="CK138" s="313"/>
      <c r="CL138" s="313"/>
      <c r="CM138" s="313"/>
      <c r="CN138" s="313"/>
      <c r="CO138" s="313"/>
      <c r="CP138" s="313"/>
      <c r="CQ138" s="313"/>
      <c r="CR138" s="313"/>
      <c r="CS138" s="313"/>
      <c r="CT138" s="313"/>
      <c r="CU138" s="309"/>
      <c r="DH138" s="309"/>
      <c r="DK138" s="310"/>
      <c r="DN138" s="206"/>
      <c r="DO138" s="206"/>
      <c r="DS138" s="288" t="str">
        <f t="shared" si="0"/>
        <v/>
      </c>
      <c r="DT138" s="288" t="str">
        <f t="shared" si="1"/>
        <v/>
      </c>
      <c r="DU138" s="310"/>
      <c r="DV138" s="310"/>
      <c r="DW138" s="310"/>
      <c r="DX138" s="310"/>
      <c r="DY138" s="310"/>
      <c r="DZ138" s="310"/>
      <c r="EA138" s="310"/>
      <c r="EB138" s="310"/>
      <c r="ED138" s="310"/>
      <c r="EE138" s="310"/>
      <c r="EF138" s="310"/>
      <c r="EH138" s="310"/>
    </row>
    <row r="139" spans="1:216" s="288" customFormat="1" hidden="1">
      <c r="C139" s="309"/>
      <c r="D139" s="309"/>
      <c r="E139" s="309"/>
      <c r="F139" s="309"/>
      <c r="G139" s="309"/>
      <c r="H139" s="309"/>
      <c r="I139" s="309"/>
      <c r="J139" s="309"/>
      <c r="K139" s="309"/>
      <c r="L139" s="315"/>
      <c r="Q139" s="309"/>
      <c r="R139" s="311"/>
      <c r="S139" s="311"/>
      <c r="T139" s="311"/>
      <c r="AB139" s="312"/>
      <c r="AF139" s="313"/>
      <c r="AG139" s="313"/>
      <c r="AH139" s="313"/>
      <c r="AI139" s="313"/>
      <c r="AJ139" s="313"/>
      <c r="AS139" s="314"/>
      <c r="AT139" s="315"/>
      <c r="AU139" s="314"/>
      <c r="AV139" s="312"/>
      <c r="AX139" s="206"/>
      <c r="AY139" s="206"/>
      <c r="BD139" s="288" t="str">
        <f>IF(B139="S",(IF(O139=1.2,IF((H139-J139)&lt;=1.2,H139-J139,H139-J139-0.95))),"")</f>
        <v/>
      </c>
      <c r="BE139" s="316"/>
      <c r="BF139" s="316"/>
      <c r="BG139" s="316"/>
      <c r="BH139" s="310"/>
      <c r="BK139" s="309"/>
      <c r="BL139" s="309"/>
      <c r="BM139" s="309"/>
      <c r="BN139" s="309"/>
      <c r="BP139" s="313"/>
      <c r="CC139" s="316"/>
      <c r="CG139" s="313"/>
      <c r="CH139" s="313"/>
      <c r="CI139" s="313"/>
      <c r="CK139" s="313"/>
      <c r="CL139" s="313"/>
      <c r="CM139" s="313"/>
      <c r="CN139" s="313"/>
      <c r="CO139" s="313"/>
      <c r="CP139" s="313"/>
      <c r="CQ139" s="313"/>
      <c r="CR139" s="313"/>
      <c r="CS139" s="313"/>
      <c r="CT139" s="313"/>
      <c r="CU139" s="309"/>
      <c r="DH139" s="309"/>
      <c r="DK139" s="310"/>
      <c r="DN139" s="206"/>
      <c r="DO139" s="206"/>
      <c r="DS139" s="288" t="str">
        <f t="shared" si="0"/>
        <v/>
      </c>
      <c r="DT139" s="288" t="str">
        <f t="shared" si="1"/>
        <v/>
      </c>
      <c r="DU139" s="310"/>
      <c r="DV139" s="310"/>
      <c r="DW139" s="310"/>
      <c r="DX139" s="310"/>
      <c r="DY139" s="310"/>
      <c r="DZ139" s="310"/>
      <c r="EA139" s="310"/>
      <c r="EB139" s="310"/>
      <c r="ED139" s="310"/>
      <c r="EE139" s="310"/>
      <c r="EF139" s="310"/>
      <c r="EH139" s="310"/>
    </row>
    <row r="140" spans="1:216" s="288" customFormat="1">
      <c r="A140" s="288" t="s">
        <v>330</v>
      </c>
      <c r="B140" s="288" t="str">
        <f>A140</f>
        <v>S</v>
      </c>
      <c r="C140" s="309" t="str">
        <f>IF(A140="S",'Cálculo_Diseño  (2)'!C141," ")</f>
        <v>C191A</v>
      </c>
      <c r="D140" s="309" t="str">
        <f>IF(A140="S",'Cálculo_Diseño  (2)'!D141," ")</f>
        <v>C183</v>
      </c>
      <c r="E140" s="309">
        <f>IF(B140="S",'Cálculo_Diseño  (2)'!AX141," ")</f>
        <v>43.47</v>
      </c>
      <c r="F140" s="309">
        <f>IF(B140="S",'Cálculo_Diseño  (2)'!BL141," ")</f>
        <v>6.3054980446284468</v>
      </c>
      <c r="G140" s="309">
        <f>IF(B140="S",'Cálculo_Diseño  (2)'!AZ141," ")</f>
        <v>284</v>
      </c>
      <c r="H140" s="309">
        <f>IF(B140="S",'Cálculo_Diseño  (2)'!BB141," ")</f>
        <v>985.74300000000005</v>
      </c>
      <c r="I140" s="309">
        <f>IF(B140="S",'Cálculo_Diseño  (2)'!BC141," ")</f>
        <v>986.02200000000005</v>
      </c>
      <c r="J140" s="309">
        <f>IF(B140="S",'Cálculo_Diseño  (2)'!BH141," ")</f>
        <v>984.59300000000007</v>
      </c>
      <c r="K140" s="309">
        <f>IF(B140="S",'Cálculo_Diseño  (2)'!BI141," ")</f>
        <v>981.85200000000009</v>
      </c>
      <c r="L140" s="315">
        <f>IF(B140="S",+$L$11,"")</f>
        <v>1</v>
      </c>
      <c r="M140" s="288">
        <f>IF(B140="S",(E140^2+(J140-K140)^2)^0.5," ")</f>
        <v>43.55633112418905</v>
      </c>
      <c r="N140" s="288">
        <f>IF(AJ140="S",BK140+0.1,BK140)</f>
        <v>0.79999999999999993</v>
      </c>
      <c r="O140" s="288">
        <f>IF(B140="S",(IF(G140&lt;=500,1.2,1.5)),"")</f>
        <v>1.2</v>
      </c>
      <c r="P140" s="288">
        <f>IF(B140="S",(IF(G140&lt;=500,1.2,1.5)),"")</f>
        <v>1.2</v>
      </c>
      <c r="Q140" s="309" t="s">
        <v>331</v>
      </c>
      <c r="R140" s="311" t="str">
        <f>+IF(B140="S",(IF(Q140="FLEXIBLE","S","N")),"")</f>
        <v>N</v>
      </c>
      <c r="S140" s="311" t="str">
        <f>+IF(B140="S",(IF(Q140="ADOQUIN","S","N")),"")</f>
        <v>N</v>
      </c>
      <c r="T140" s="311" t="str">
        <f>+IF(B140="S",(IF(Q140="CONCRETO","S","N")),"")</f>
        <v>S</v>
      </c>
      <c r="U140" s="288">
        <f>IF(B140="S",(IF(R140="S",(((((H140-I140)^2)+(E140^2))^0.5)-CA140-CB140)*$U$11,0)),"")</f>
        <v>0</v>
      </c>
      <c r="V140" s="288">
        <f>IF(B140="S",(IF(S140="S",(((((H140-I140)^2)+(E140^2))^0.5)-CA140-CB140)*$V$11,0)),"")</f>
        <v>0</v>
      </c>
      <c r="W140" s="288">
        <f>IF(B140="S",(IF(T140="S",(((((H140-I140)^2)+(E140^2))^0.5)-CA140-CB140)*$W$11,0)),"")</f>
        <v>42.270895332394517</v>
      </c>
      <c r="X140" s="288">
        <f>IF(B140="S",(U140*(N140+0.2)*$X$11),"")</f>
        <v>0</v>
      </c>
      <c r="Y140" s="288">
        <f>IF(B140="S",(V140*(N140+0.2)*$Y$11),"")</f>
        <v>0</v>
      </c>
      <c r="Z140" s="288">
        <f>IF(B140="S",(W140*(N140+0.2)*$Z$11+IF(Q140="CONCRETO",PI()/4*0.2*(O140+0.2*2+0.1*2)^2)),"")</f>
        <v>13.190206609599901</v>
      </c>
      <c r="AA140" s="288">
        <f>IF(B140="S",(((H140-J140)+(I140-K140))/2+BM140),"")</f>
        <v>2.7599999999999683</v>
      </c>
      <c r="AB140" s="312">
        <f>IF(B140="S",($AB$11),"")</f>
        <v>10</v>
      </c>
      <c r="AC140" s="288">
        <f>IF(B140="S",(IF(CG140="","",(CG140*(AB140/100))*$I$527)),"")</f>
        <v>6.4844630146712374</v>
      </c>
      <c r="AD140" s="288">
        <f>IF(B140="S",(IF(CH140="","",(CH140*AB140/100)*$I$527)),"")</f>
        <v>3.6428424648376567</v>
      </c>
      <c r="AE140" s="288" t="str">
        <f>IF(B140="S",(IF(CI140="","",(CI140*AB140/100)*$I$527)),"")</f>
        <v/>
      </c>
      <c r="AF140" s="313">
        <f>IF(B140="S",(IF(CG140="","",(CG140*$I$527)-AC140)),"")</f>
        <v>58.360167132041127</v>
      </c>
      <c r="AG140" s="313">
        <f>IF(B140="S",(IF(CH140="","",(CH140*$I$527)-AD140)),"")</f>
        <v>32.785582183538914</v>
      </c>
      <c r="AH140" s="313" t="str">
        <f>IF(B140="S",(IF(CI140="","",(CI140*$I$527)-AE140)),"")</f>
        <v/>
      </c>
      <c r="AI140" s="313">
        <f>IF(B140="S",((BY140*(L140/100))*1.1),"")</f>
        <v>1.0229601494453429</v>
      </c>
      <c r="AJ140" s="313" t="str">
        <f>IF(B140="S",(IF(AA140&lt;1,"N","S")),"")</f>
        <v>S</v>
      </c>
      <c r="AK140" s="288">
        <f>IF(B140="S",(IF(AJ140="S",(E140*AA140*0.7*2),0)),"")</f>
        <v>167.96807999999805</v>
      </c>
      <c r="AL140" s="288">
        <f>IF(B140="S",(IF(AJ140="S",(E140*AA140*0.3*2),0)),"")</f>
        <v>71.986319999999168</v>
      </c>
      <c r="AM140" s="288">
        <f>IF(B140="S",(IF(F140&gt;20,N140*(M140/10)*AA140,0)),"")</f>
        <v>0</v>
      </c>
      <c r="AN140" s="288">
        <f>IF(B140="S",((M140-0.4)*$AN$11),"")</f>
        <v>0</v>
      </c>
      <c r="AO140" s="288">
        <f>IF(B140="S",((M140-0.4)*$AO$11),"")</f>
        <v>0</v>
      </c>
      <c r="AP140" s="288">
        <f>IF(B140="S",((M140-(O140/2)-(P140/2))*$AP$11),"")</f>
        <v>42.356331124189047</v>
      </c>
      <c r="AQ140" s="288">
        <f>+SUM(AC140:AI140)</f>
        <v>102.29601494453428</v>
      </c>
      <c r="AR140" s="288">
        <f>+AT140+AU140+AZ140+BA140+BB140+BI140</f>
        <v>102.29601494453429</v>
      </c>
      <c r="AS140" s="314">
        <f>IF(B140="S",((N140*(0.4+G140/1000))-((G140/1000)^2*PI()/4)),"")</f>
        <v>0.4838529257330153</v>
      </c>
      <c r="AT140" s="315">
        <f>IF(B140="S",(AS140*AP140)-IF(BI140&gt;0,BI140,0),"")</f>
        <v>20.494234737755249</v>
      </c>
      <c r="AU140" s="314">
        <f>IF(B140="S",IF(Q140="NATURAL",0,(($AU$11*N140*AP140))),"")</f>
        <v>13.554025959740496</v>
      </c>
      <c r="AV140" s="312">
        <f>IF(B140="S",$AV$11,"")</f>
        <v>30</v>
      </c>
      <c r="AW140" s="288">
        <f>IF(B140="S",(BY140*1.1-(AT140+BI140)-AU140-BB140-AX140-AY140),"")</f>
        <v>65.494056928652725</v>
      </c>
      <c r="AX140" s="206"/>
      <c r="AY140" s="206"/>
      <c r="AZ140" s="288">
        <f>IF(B140="S",((BY140*1.1-BB140-(AT140+BI140)-AU140-AX140-AY140)*AV140/100),"")</f>
        <v>19.648217078595817</v>
      </c>
      <c r="BA140" s="288">
        <f>IF(B140="S",(IF(AW140&gt;AZ140,AW140-AZ140,0)),"")</f>
        <v>45.845839850056905</v>
      </c>
      <c r="BB140" s="288">
        <f>IF(B140="S",((((G140/1000)^2)/4*PI())*E140),"")</f>
        <v>2.7536973183858193</v>
      </c>
      <c r="BC140" s="288">
        <f>IF(B140="S",(BY140*1.1-AZ140),"")</f>
        <v>82.647797865938472</v>
      </c>
      <c r="BD140" s="288">
        <f>IF(B140="S",(IF(O140=1.2,IF((H140-J140)&lt;=1.2,H140-J140,H140-J140-0.95))),"")</f>
        <v>1.1499999999999773</v>
      </c>
      <c r="BE140" s="316" t="b">
        <f>IF(B140="S",(IF(O140=1.5,IF(H140-J140&lt;=1,0,H140-J140-1))),"")</f>
        <v>0</v>
      </c>
      <c r="BF140" s="316" t="b">
        <f>IF(B140="S",(IF(O140&lt;=0.8,IF(H140-J140&lt;=1,0,H140-J140))),"")</f>
        <v>0</v>
      </c>
      <c r="BG140" s="316" t="b">
        <f>IF(B140="S",(IF(O140&lt;=0.6,IF(H140-J140&lt;=1,H140-J140,0))),"")</f>
        <v>0</v>
      </c>
      <c r="BH140" s="310">
        <f>IF(B140="S",(IF(BD140="","",IF(BD140="FALSO","",1))),"")</f>
        <v>1</v>
      </c>
      <c r="BI140" s="288">
        <f>IF(B140="S",(IF(F140&gt;=15,N140*((G140/1000)+0.3)*0.2,0)*(E140/5+1)),"")</f>
        <v>0</v>
      </c>
      <c r="BJ140" s="288">
        <f xml:space="preserve"> IF(B140="S",(BN140+BM140+0.3),"")</f>
        <v>0.76</v>
      </c>
      <c r="BK140" s="309">
        <f>IF(B140="S",(VLOOKUP('Cálculo_Diseño  (2)'!AY141,'TABLA (2)'!$H$102:'TABLA (2)'!$U$135,3)),"")</f>
        <v>0.7</v>
      </c>
      <c r="BL140" s="309">
        <f>IF(B140="S",(VLOOKUP('Cálculo_Diseño  (2)'!AY141,'TABLA (2)'!$H$102:'TABLA (2)'!$U$135,10)),"")</f>
        <v>0.55000000000000004</v>
      </c>
      <c r="BM140" s="309">
        <f>IF(B140="S",(VLOOKUP('Cálculo_Diseño  (2)'!AY141,'TABLA (2)'!$H$102:'TABLA (2)'!$U$135,11)),"")</f>
        <v>0.1</v>
      </c>
      <c r="BN140" s="309">
        <f>IF(B140="S",(VLOOKUP('Cálculo_Diseño  (2)'!AY141,'TABLA (2)'!$H$102:'TABLA (2)'!$U$135,12)),"")</f>
        <v>0.36</v>
      </c>
      <c r="BO140" s="288">
        <f>V140</f>
        <v>0</v>
      </c>
      <c r="BP140" s="313">
        <f>+IF(B140="S",(IF((1.8-AA140)&gt;=0,AA140+0.2,2)),"")</f>
        <v>2</v>
      </c>
      <c r="BQ140" s="288">
        <f>+IF(B140="S",(IF(BP140=2,IF((3.8-AA140)&gt;=0,(AA140+0.2-2),2),0)),"")</f>
        <v>0.95999999999996843</v>
      </c>
      <c r="BR140" s="288">
        <f>+IF(B140="S",(IF(BQ140=2,AA140+0.2-4,0)),"")</f>
        <v>0</v>
      </c>
      <c r="BS140" s="288">
        <f>IF(B140="S",((N140*(0.3+BN140/2)-0.392699*BN140*BN140)*AO140),"")</f>
        <v>0</v>
      </c>
      <c r="BU140" s="288">
        <f>IF(B140="S",((N140*(0.3+5*BN140/6)-0.699815*BN140*BN140)*AP140),"")</f>
        <v>16.489488115419345</v>
      </c>
      <c r="BV140" s="288">
        <f>IF(B140="S",(IF(BP140=0,"",(BP140)*(M140)*N140-(U140*$X$11+V140*$Y$11+W140*$Z$11)*N140)),"")</f>
        <v>59.545114918927787</v>
      </c>
      <c r="BW140" s="288">
        <f>IF(B140="S",(IF(BQ140=0,"",(M140)*BQ140*N140)),"")</f>
        <v>33.45126230337609</v>
      </c>
      <c r="BX140" s="288" t="str">
        <f>IF(B140="S",(IF(BR140=0,"",(M140)*BR140*N140)),"")</f>
        <v/>
      </c>
      <c r="BY140" s="288">
        <f>IF(B140="S",((AA140+0.2)*N140*(M140)-(U140*$X$11+V140*$Y$11+W140*$Z$11)*N140),"")</f>
        <v>92.996377222303892</v>
      </c>
      <c r="BZ140" s="288">
        <f>IF(B140="S",((N140*(0.3+BN140/2)-0.392699*BN140*BN140)*AN140),"")</f>
        <v>0</v>
      </c>
      <c r="CA140" s="288">
        <f>IF(B140="S",(IF(O140=1.2,(O140/2),IF(O140=0.8,O140/2,IF(O140=1.5,O140/2,IF(O140=0.6,O140/2,"IDIOT"))))),"")</f>
        <v>0.6</v>
      </c>
      <c r="CB140" s="288">
        <f>IF(B140="S",(IF(P140=1.2,(P140/2),IF(P140=0.8,P140/2,IF(P140=1.5,P140/2,IF(P140=0.6,P140/2,"IDIOT"))))),"")</f>
        <v>0.6</v>
      </c>
      <c r="CC140" s="316">
        <f>IF(B140="S",((BN140/2+0.1)*N140),"")</f>
        <v>0.224</v>
      </c>
      <c r="CD140" s="288">
        <f>IF(B140="S",((BN140/2+BN140/4)*N140),"")</f>
        <v>0.216</v>
      </c>
      <c r="CE140" s="288">
        <f>IF(B140="S",(0.392699*BN140*BN140),"")</f>
        <v>5.0893790399999993E-2</v>
      </c>
      <c r="CF140" s="288" t="str">
        <f>+IF(B140="S",(IF(((H140-J140)-(G140/1000))&lt;=0.9,"E1",IF(((H140-J140)-(G140/1000))&lt;=2.5,"E2","E3"))),"")</f>
        <v>E1</v>
      </c>
      <c r="CG140" s="313">
        <f>IF(B140="S",(IF(BV140="","",BV140-(BV140*L140/100))),"")</f>
        <v>58.949663769738507</v>
      </c>
      <c r="CH140" s="313">
        <f>IF(B140="S",(IF(BW140="","",BW140-(BW140*L140/100))),"")</f>
        <v>33.11674968034233</v>
      </c>
      <c r="CI140" s="313" t="str">
        <f>IF(C140="S",(IF(BX140="","",BX140-(BX140*M140/100))),"")</f>
        <v/>
      </c>
      <c r="CJ140" s="288">
        <f>'Cálculo_Diseño  (2)'!BD141</f>
        <v>0.85049999999999992</v>
      </c>
      <c r="CK140" s="313">
        <f>+IF(B140="S",(IF((CJ140+CU140)&gt;2,2,CJ140+CU140)),"")</f>
        <v>1.7009999999999998</v>
      </c>
      <c r="CL140" s="313">
        <f>+IF(B140="S",(IF((CJ140+CU140)&gt;4,2,IF(AND((CJ140+CU140)&lt;=4,(CJ140+CU140)&gt;=2),((CJ140+CU140)-CK140),0))),"")</f>
        <v>0</v>
      </c>
      <c r="CM140" s="313">
        <f>+IF(B140="S",(IF((CJ140+CU140)&gt;4,((CJ140+CU140)-(CK140+CL140)),0)),"")</f>
        <v>0</v>
      </c>
      <c r="CN140" s="313">
        <f>IF(B140="S",IF((CJ140+CU140)&lt;1.5,(ROUND(CJ140*PI()/4*(2.2)^2+CU140*(PI()/4*(2.2)^2 -PI()/4*(1.6)^2),2)),IF((CJ140+CU140)&lt;=2,(ROUND(((PI()*2.2^2)/4)*0.95-(((1/3)*PI()*0.95*(0.45^2+0.7^2+0.45*0.7)))+(CJ140*PI()/4*(2.2)^2)+(((((CU140)-0.95)*PI()*2.2^2)/4))-((((CU140)-0.95)*PI()*1.6^2)/4),2)),IF((CJ140+CU140)&gt;2,(ROUND(IF(CU140&lt;2,((PI()*2.2^2)/4)*0.95-(((1/3)*PI()*0.95*(0.45^2+0.7^2+0.45*0.7)))+((CU140-0.95)*(PI()/4*(2.2)^2 -PI()/4*(1.6)^2))+(2-CU140)*PI()/4*(2.2)^2,((PI()*2.2^2)/4)*0.95-(((1/3)*PI()*0.95*(0.45^2+0.7^2+0.45*0.7)))+((2-0.95)*(PI()/4*(2.2)^2 -PI()/4*(1.6)^2))),2))))),"")</f>
        <v>5.66</v>
      </c>
      <c r="CO140" s="313">
        <f>IF(B140="S",ROUND(IF(CL140&lt;=0,0,IF(AND(CL140&gt;0,CU140&lt;=0),CL140*PI()/4*2.2^(2),IF(AND(CL140&gt;0,CU140&gt;=4),CL140*(PI()/4*2.2^2-PI()/4*1.6^2),IF(AND(CL140&gt;0,CU140&gt;2,CU140&lt;4,CJ140&gt;0),(CU140-2)*(PI()/4*2.2^(2)-PI()/4*1.6^(2))+IF((CU140+CJ140)&gt;4,(4-CU140)*(PI()/4*2.2^(2)),(CJ140)*PI()/4*(2.2^2)),IF(AND(CL140&gt;0,CU140&lt;=2),(CL140*PI()/4*2.2^2)))))),2),"")</f>
        <v>0</v>
      </c>
      <c r="CP140" s="313">
        <f>IF(B140="S",(ROUND(IF(CM140&lt;=0,0,IF(AND(CM140&gt;0,CU140&lt;=0),CM140*PI()/4*2.2^(2),IF(AND(CM140&gt;0,CU140&gt;4,CJ140&lt;=0),CM140*(PI()/4*2.2^2-PI()/4*1.6^2),IF(AND(CM140&gt;0,CU140&lt;=4),CM140*PI()/4*2.2^2)))),2)),"")</f>
        <v>0</v>
      </c>
      <c r="CQ140" s="313">
        <f>IF(B140="S",IF(CK140&gt;1.5,(2*PI()*(0.9)*(CJ140+CU140)),0),"")</f>
        <v>9.6189283867612279</v>
      </c>
      <c r="CR140" s="313">
        <f>IF(B140="S",(ROUND(IF(CN140&gt;0,CN140+CO140+CP140-CS140,0),2)),"")</f>
        <v>4.1399999999999997</v>
      </c>
      <c r="CS140" s="313">
        <f>IF(B140="S",(IF(CJ140=0,0,IF(AND((H140-J140)&lt;1.5,CU140&gt;0),ROUND(CU140*(PI()/4*(2.2)^2 -PI()/4*(1.6)^2),2),(ROUND(((PI()*2.2^2)/4)*0.95-(((1/3)*PI()*0.95*(0.45^2+0.7^2+0.45*0.7)))+(((((CJ140+CU140)-0.95)*PI()*2.2^2)/4))-((((CJ140+CU140)-0.95)*PI()*1.6^2)/4),2))))),"")</f>
        <v>1.52</v>
      </c>
      <c r="CT140" s="313" t="str">
        <f>IF(B140="S",(IF(CN140&gt;=0,IF(CN140+CO140+CP140=(CR140+CS140),"OK","VERIFICAR"),0)),"")</f>
        <v>OK</v>
      </c>
      <c r="CU140" s="309">
        <f>'Cálculo_Diseño  (2)'!BD141</f>
        <v>0.85049999999999992</v>
      </c>
      <c r="CV140" s="288" t="str">
        <f>IF(G140=182,M140-(O140/2)-(P140/2),"")</f>
        <v/>
      </c>
      <c r="CW140" s="288" t="str">
        <f>IF(G140=227,M140-(O140/2)-(P140/2),"")</f>
        <v/>
      </c>
      <c r="CX140" s="288">
        <f>IF(G140=284,M140-(O140/2)-(P140/2),"")</f>
        <v>42.356331124189047</v>
      </c>
      <c r="CY140" s="288" t="str">
        <f>IF(G140=327,M140-(O140/2)-(P140/2),"")</f>
        <v/>
      </c>
      <c r="CZ140" s="288" t="str">
        <f>IF(G140=362,M140-(O140/2)-(P140/2),"")</f>
        <v/>
      </c>
      <c r="DA140" s="288" t="str">
        <f>IF(G140=407,M140-(O140/2)-(P140/2),"")</f>
        <v/>
      </c>
      <c r="DB140" s="288" t="str">
        <f>IF(G140=452,M140-(O140/2)-(P140/2),"")</f>
        <v/>
      </c>
      <c r="DC140" s="288" t="str">
        <f>IF(G140=595.12,M140-(O140/2)-(P140/2),"")</f>
        <v/>
      </c>
      <c r="DD140" s="288" t="str">
        <f>IF(G140=670,M140-(O140/2)-(P140/2),"")</f>
        <v/>
      </c>
      <c r="DE140" s="288" t="str">
        <f>IF(G140=747,M140-(O140/2)-(P140/2),"")</f>
        <v/>
      </c>
      <c r="DF140" s="288" t="str">
        <f>IF(G140=823.09,M140-(O140/2)-(P140/2),"")</f>
        <v/>
      </c>
      <c r="DG140" s="288" t="str">
        <f>IF(G140=899.03,M140-(O140/2)-(P140/2),"")</f>
        <v/>
      </c>
      <c r="DH140" s="309"/>
      <c r="DI140" s="288" t="str">
        <f>+IF(B140="S",B140,"N")</f>
        <v>S</v>
      </c>
      <c r="DJ140" s="288">
        <f>+IF(DI140="S",E140,"")</f>
        <v>43.47</v>
      </c>
      <c r="DK140" s="310">
        <v>10</v>
      </c>
      <c r="DL140" s="288">
        <f>IF(DI140="S",((((AA140+1)*6)/2)*0.7*DK140),"")</f>
        <v>78.959999999999326</v>
      </c>
      <c r="DM140" s="288">
        <f>IF(DI140="S",(ATAN(6/(AA140-1))*180/PI()),"")</f>
        <v>73.651828452649042</v>
      </c>
      <c r="DN140" s="206">
        <f>IF(DI140="S",(TAN(DM140*PI()/180)*(AA140-2)),"")</f>
        <v>2.5909090909090295</v>
      </c>
      <c r="DO140" s="206">
        <f>IF(DI140="S",(TAN(DM140*PI()/180)*(AA140-4)),"")</f>
        <v>-4.2272727272729123</v>
      </c>
      <c r="DP140" s="288">
        <f>IF(DI140="S",(IF(AA140&lt;=2,((((AA140+1)*6)/2)*0.7*DK140),IF(AND(AA140&gt;2,AA140&lt;=4),((((AA140+1)*6)/2)*0.7*DK140)-(((AA140-2)*DN140)/2*0.7*DK140),IF(AND(AA140&gt;4,AA140&lt;=6),((((AA140+1)*6)/2)*0.7*DK140)-(((AA140-2)*DN140)/2*0.7*DK140),0)))),"")</f>
        <v>72.0681818181816</v>
      </c>
      <c r="DQ140" s="288">
        <f>IF(DI140="S",(IF(AND(AA140&gt;2,AA140&lt;=4),(((AA140-2)*DN140)/2*0.7*DK140),IF(AND(AA140&gt;4,AA140&lt;=6),(((AA140-2)*DN140)/2*0.7*DK140)-((AA140-4)*DO140/2*0.7*DK140),0))),"")</f>
        <v>6.8918181818177304</v>
      </c>
      <c r="DR140" s="288">
        <f>IF(DI140="S",(IF(AND(AA140&gt;4,AA140&lt;=6),((AA140-4)*DO140/2*0.7*DK140),IF(AA140&lt;4,0,"REVISAR"))),"")</f>
        <v>0</v>
      </c>
      <c r="DS140" s="288">
        <f t="shared" si="0"/>
        <v>115.91999999999868</v>
      </c>
      <c r="DT140" s="288">
        <f t="shared" si="1"/>
        <v>49.679999999999431</v>
      </c>
      <c r="DU140" s="310" t="str">
        <f>IF(B140="S",(IF(DI140="S",IF(G140=$DU$11,DK140,""),"")),"")</f>
        <v/>
      </c>
      <c r="DV140" s="310" t="str">
        <f>IF(B140="S",(IF(DI140="S",IF(G140=$DV$11,DK140,""),"")),"")</f>
        <v/>
      </c>
      <c r="DW140" s="310">
        <f>IF(B140="S",(IF(DI140="S",IF(G140=$DW$11,DK140,""),"")),"")</f>
        <v>10</v>
      </c>
      <c r="DX140" s="310" t="str">
        <f>IF(B140="S",(IF(DI140="S",IF(G140=$DX$11,DK140,""),"")),"")</f>
        <v/>
      </c>
      <c r="DY140" s="310" t="str">
        <f>IF(B140="S",(IF(DI140="S",IF(G140=$DY$11,DK140,""),"")),"")</f>
        <v/>
      </c>
      <c r="DZ140" s="310" t="str">
        <f>IF(B140="S",(IF(DI140="S",IF(G140=$DZ$11,DK140,""),"")),"")</f>
        <v/>
      </c>
      <c r="EA140" s="310" t="str">
        <f>IF(B140="S",(IF(DI140="S",IF(G140=$EA$11,DK140,""),"")),"")</f>
        <v/>
      </c>
      <c r="EB140" s="310" t="str">
        <f>IF(B140="S",(IF(DI140="S",IF(G140=$EB$11,DK140,""),"")),"")</f>
        <v/>
      </c>
      <c r="EC140" s="288">
        <f>IF(B140="S",0.95,"")</f>
        <v>0.95</v>
      </c>
      <c r="ED140" s="310"/>
      <c r="EE140" s="310"/>
      <c r="EF140" s="310"/>
      <c r="EH140" s="310">
        <f>+IF(EC140=0.95,2+((ED140+EE140+EF140)-1),"")</f>
        <v>1</v>
      </c>
    </row>
    <row r="141" spans="1:216" s="288" customFormat="1" hidden="1">
      <c r="C141" s="309"/>
      <c r="D141" s="309"/>
      <c r="E141" s="309"/>
      <c r="F141" s="309"/>
      <c r="G141" s="309"/>
      <c r="H141" s="309"/>
      <c r="I141" s="309"/>
      <c r="J141" s="309"/>
      <c r="K141" s="309"/>
      <c r="L141" s="315"/>
      <c r="Q141" s="309"/>
      <c r="R141" s="311"/>
      <c r="S141" s="311"/>
      <c r="T141" s="311"/>
      <c r="AB141" s="312"/>
      <c r="AF141" s="313"/>
      <c r="AG141" s="313"/>
      <c r="AH141" s="313"/>
      <c r="AI141" s="313"/>
      <c r="AJ141" s="313"/>
      <c r="AS141" s="314"/>
      <c r="AT141" s="315"/>
      <c r="AU141" s="314"/>
      <c r="AV141" s="312"/>
      <c r="AX141" s="206"/>
      <c r="AY141" s="206"/>
      <c r="BE141" s="316"/>
      <c r="BF141" s="316"/>
      <c r="BG141" s="316"/>
      <c r="BH141" s="310"/>
      <c r="BK141" s="309"/>
      <c r="BL141" s="309"/>
      <c r="BM141" s="309"/>
      <c r="BN141" s="309"/>
      <c r="BP141" s="313"/>
      <c r="CC141" s="316"/>
      <c r="CG141" s="313"/>
      <c r="CH141" s="313"/>
      <c r="CI141" s="313"/>
      <c r="CK141" s="313"/>
      <c r="CL141" s="313"/>
      <c r="CM141" s="313"/>
      <c r="CN141" s="313"/>
      <c r="CO141" s="313"/>
      <c r="CP141" s="313"/>
      <c r="CQ141" s="313"/>
      <c r="CR141" s="313"/>
      <c r="CS141" s="313"/>
      <c r="CT141" s="313"/>
      <c r="CU141" s="309"/>
      <c r="DH141" s="309"/>
      <c r="DK141" s="310"/>
      <c r="DN141" s="206"/>
      <c r="DO141" s="206"/>
      <c r="DS141" s="288" t="str">
        <f t="shared" si="0"/>
        <v/>
      </c>
      <c r="DT141" s="288" t="str">
        <f t="shared" si="1"/>
        <v/>
      </c>
      <c r="DU141" s="310"/>
      <c r="DV141" s="310"/>
      <c r="DW141" s="310"/>
      <c r="DX141" s="310"/>
      <c r="DY141" s="310"/>
      <c r="DZ141" s="310"/>
      <c r="EA141" s="310"/>
      <c r="EB141" s="310"/>
      <c r="ED141" s="310"/>
      <c r="EE141" s="310"/>
      <c r="EF141" s="310"/>
      <c r="EH141" s="310"/>
    </row>
    <row r="142" spans="1:216" s="288" customFormat="1" hidden="1">
      <c r="C142" s="309"/>
      <c r="D142" s="309"/>
      <c r="E142" s="309"/>
      <c r="F142" s="309"/>
      <c r="G142" s="309"/>
      <c r="H142" s="309"/>
      <c r="I142" s="309"/>
      <c r="J142" s="309"/>
      <c r="K142" s="309"/>
      <c r="L142" s="315"/>
      <c r="Q142" s="309"/>
      <c r="R142" s="311"/>
      <c r="S142" s="311"/>
      <c r="T142" s="311"/>
      <c r="AB142" s="312"/>
      <c r="AF142" s="313"/>
      <c r="AG142" s="313"/>
      <c r="AH142" s="313"/>
      <c r="AI142" s="313"/>
      <c r="AJ142" s="313"/>
      <c r="AS142" s="314"/>
      <c r="AT142" s="315"/>
      <c r="AU142" s="314"/>
      <c r="AV142" s="312"/>
      <c r="AX142" s="206"/>
      <c r="AY142" s="206"/>
      <c r="BE142" s="316"/>
      <c r="BF142" s="316"/>
      <c r="BG142" s="316"/>
      <c r="BH142" s="310"/>
      <c r="BK142" s="309"/>
      <c r="BL142" s="309"/>
      <c r="BM142" s="309"/>
      <c r="BN142" s="309"/>
      <c r="BP142" s="313"/>
      <c r="CC142" s="316"/>
      <c r="CG142" s="313"/>
      <c r="CH142" s="313"/>
      <c r="CI142" s="313"/>
      <c r="CK142" s="313"/>
      <c r="CL142" s="313"/>
      <c r="CM142" s="313"/>
      <c r="CN142" s="313"/>
      <c r="CO142" s="313"/>
      <c r="CP142" s="313"/>
      <c r="CQ142" s="313"/>
      <c r="CR142" s="313"/>
      <c r="CS142" s="313"/>
      <c r="CT142" s="313"/>
      <c r="CU142" s="309"/>
      <c r="DH142" s="309"/>
      <c r="DK142" s="310"/>
      <c r="DN142" s="206"/>
      <c r="DO142" s="206"/>
      <c r="DS142" s="288" t="str">
        <f t="shared" si="0"/>
        <v/>
      </c>
      <c r="DT142" s="288" t="str">
        <f t="shared" si="1"/>
        <v/>
      </c>
      <c r="DU142" s="310"/>
      <c r="DV142" s="310"/>
      <c r="DW142" s="310"/>
      <c r="DX142" s="310"/>
      <c r="DY142" s="310"/>
      <c r="DZ142" s="310"/>
      <c r="EA142" s="310"/>
      <c r="EB142" s="310"/>
      <c r="ED142" s="310"/>
      <c r="EE142" s="310"/>
      <c r="EF142" s="310"/>
      <c r="EH142" s="310"/>
    </row>
    <row r="143" spans="1:216" s="288" customFormat="1" hidden="1">
      <c r="C143" s="309"/>
      <c r="D143" s="309"/>
      <c r="E143" s="309"/>
      <c r="F143" s="309"/>
      <c r="G143" s="309"/>
      <c r="H143" s="309"/>
      <c r="I143" s="309"/>
      <c r="J143" s="309"/>
      <c r="K143" s="309"/>
      <c r="L143" s="315"/>
      <c r="Q143" s="309"/>
      <c r="R143" s="311"/>
      <c r="S143" s="311"/>
      <c r="T143" s="311"/>
      <c r="AB143" s="312"/>
      <c r="AF143" s="313"/>
      <c r="AG143" s="313"/>
      <c r="AH143" s="313"/>
      <c r="AI143" s="313"/>
      <c r="AJ143" s="313"/>
      <c r="AS143" s="314"/>
      <c r="AT143" s="315"/>
      <c r="AU143" s="314"/>
      <c r="AV143" s="312"/>
      <c r="AX143" s="206"/>
      <c r="AY143" s="206"/>
      <c r="BE143" s="316"/>
      <c r="BF143" s="316"/>
      <c r="BG143" s="316"/>
      <c r="BH143" s="310"/>
      <c r="BK143" s="309"/>
      <c r="BL143" s="309"/>
      <c r="BM143" s="309"/>
      <c r="BN143" s="309"/>
      <c r="BP143" s="313"/>
      <c r="CC143" s="316"/>
      <c r="CG143" s="313"/>
      <c r="CH143" s="313"/>
      <c r="CI143" s="313"/>
      <c r="CK143" s="313"/>
      <c r="CL143" s="313"/>
      <c r="CM143" s="313"/>
      <c r="CN143" s="313"/>
      <c r="CO143" s="313"/>
      <c r="CP143" s="313"/>
      <c r="CQ143" s="313"/>
      <c r="CR143" s="313"/>
      <c r="CS143" s="313"/>
      <c r="CT143" s="313"/>
      <c r="CU143" s="309"/>
      <c r="DH143" s="309"/>
      <c r="DK143" s="310"/>
      <c r="DN143" s="206"/>
      <c r="DO143" s="206"/>
      <c r="DS143" s="288" t="str">
        <f t="shared" si="0"/>
        <v/>
      </c>
      <c r="DT143" s="288" t="str">
        <f t="shared" si="1"/>
        <v/>
      </c>
      <c r="DU143" s="310"/>
      <c r="DV143" s="310"/>
      <c r="DW143" s="310"/>
      <c r="DX143" s="310"/>
      <c r="DY143" s="310"/>
      <c r="DZ143" s="310"/>
      <c r="EA143" s="310"/>
      <c r="EB143" s="310"/>
      <c r="ED143" s="310"/>
      <c r="EE143" s="310"/>
      <c r="EF143" s="310"/>
      <c r="EH143" s="310"/>
    </row>
    <row r="144" spans="1:216" s="288" customFormat="1" hidden="1">
      <c r="C144" s="309"/>
      <c r="D144" s="309"/>
      <c r="E144" s="309"/>
      <c r="F144" s="309"/>
      <c r="G144" s="309"/>
      <c r="H144" s="309"/>
      <c r="I144" s="309"/>
      <c r="J144" s="309"/>
      <c r="K144" s="309"/>
      <c r="L144" s="315"/>
      <c r="Q144" s="309"/>
      <c r="R144" s="311"/>
      <c r="S144" s="311"/>
      <c r="T144" s="311"/>
      <c r="AB144" s="312"/>
      <c r="AF144" s="313"/>
      <c r="AG144" s="313"/>
      <c r="AH144" s="313"/>
      <c r="AI144" s="313"/>
      <c r="AJ144" s="313"/>
      <c r="AS144" s="314"/>
      <c r="AT144" s="315"/>
      <c r="AU144" s="314"/>
      <c r="AV144" s="312"/>
      <c r="AX144" s="206"/>
      <c r="AY144" s="206"/>
      <c r="BE144" s="316"/>
      <c r="BF144" s="316"/>
      <c r="BG144" s="316"/>
      <c r="BH144" s="310"/>
      <c r="BK144" s="309"/>
      <c r="BL144" s="309"/>
      <c r="BM144" s="309"/>
      <c r="BN144" s="309"/>
      <c r="BP144" s="313"/>
      <c r="CC144" s="316"/>
      <c r="CG144" s="313"/>
      <c r="CH144" s="313"/>
      <c r="CI144" s="313"/>
      <c r="CK144" s="313"/>
      <c r="CL144" s="313"/>
      <c r="CM144" s="313"/>
      <c r="CN144" s="313"/>
      <c r="CO144" s="313"/>
      <c r="CP144" s="313"/>
      <c r="CQ144" s="313"/>
      <c r="CR144" s="313"/>
      <c r="CS144" s="313"/>
      <c r="CT144" s="313"/>
      <c r="CU144" s="309"/>
      <c r="DH144" s="309"/>
      <c r="DK144" s="310"/>
      <c r="DN144" s="206"/>
      <c r="DO144" s="206"/>
      <c r="DS144" s="288" t="str">
        <f t="shared" si="0"/>
        <v/>
      </c>
      <c r="DT144" s="288" t="str">
        <f t="shared" si="1"/>
        <v/>
      </c>
      <c r="DU144" s="310"/>
      <c r="DV144" s="310"/>
      <c r="DW144" s="310"/>
      <c r="DX144" s="310"/>
      <c r="DY144" s="310"/>
      <c r="DZ144" s="310"/>
      <c r="EA144" s="310"/>
      <c r="EB144" s="310"/>
      <c r="ED144" s="310"/>
      <c r="EE144" s="310"/>
      <c r="EF144" s="310"/>
      <c r="EH144" s="310"/>
    </row>
    <row r="145" spans="1:138" s="288" customFormat="1" hidden="1">
      <c r="C145" s="309"/>
      <c r="D145" s="309"/>
      <c r="E145" s="309"/>
      <c r="F145" s="309"/>
      <c r="G145" s="309"/>
      <c r="H145" s="309"/>
      <c r="I145" s="309"/>
      <c r="J145" s="309"/>
      <c r="K145" s="309"/>
      <c r="L145" s="315"/>
      <c r="Q145" s="309"/>
      <c r="R145" s="311"/>
      <c r="S145" s="311"/>
      <c r="T145" s="311"/>
      <c r="AB145" s="312"/>
      <c r="AF145" s="313"/>
      <c r="AG145" s="313"/>
      <c r="AH145" s="313"/>
      <c r="AI145" s="313"/>
      <c r="AJ145" s="313"/>
      <c r="AS145" s="314"/>
      <c r="AT145" s="315"/>
      <c r="AU145" s="314"/>
      <c r="AV145" s="312"/>
      <c r="AX145" s="206"/>
      <c r="AY145" s="206"/>
      <c r="BE145" s="316"/>
      <c r="BF145" s="316"/>
      <c r="BG145" s="316"/>
      <c r="BH145" s="310"/>
      <c r="BK145" s="309"/>
      <c r="BL145" s="309"/>
      <c r="BM145" s="309"/>
      <c r="BN145" s="309"/>
      <c r="BP145" s="313"/>
      <c r="CC145" s="316"/>
      <c r="CG145" s="313"/>
      <c r="CH145" s="313"/>
      <c r="CI145" s="313"/>
      <c r="CK145" s="313"/>
      <c r="CL145" s="313"/>
      <c r="CM145" s="313"/>
      <c r="CN145" s="313"/>
      <c r="CO145" s="313"/>
      <c r="CP145" s="313"/>
      <c r="CQ145" s="313"/>
      <c r="CR145" s="313"/>
      <c r="CS145" s="313"/>
      <c r="CT145" s="313"/>
      <c r="CU145" s="309"/>
      <c r="DH145" s="309"/>
      <c r="DK145" s="310"/>
      <c r="DN145" s="206"/>
      <c r="DO145" s="206"/>
      <c r="DS145" s="288" t="str">
        <f t="shared" si="0"/>
        <v/>
      </c>
      <c r="DT145" s="288" t="str">
        <f t="shared" si="1"/>
        <v/>
      </c>
      <c r="DU145" s="310"/>
      <c r="DV145" s="310"/>
      <c r="DW145" s="310"/>
      <c r="DX145" s="310"/>
      <c r="DY145" s="310"/>
      <c r="DZ145" s="310"/>
      <c r="EA145" s="310"/>
      <c r="EB145" s="310"/>
      <c r="ED145" s="310"/>
      <c r="EE145" s="310"/>
      <c r="EF145" s="310"/>
      <c r="EH145" s="310"/>
    </row>
    <row r="146" spans="1:138" s="288" customFormat="1" hidden="1">
      <c r="C146" s="309"/>
      <c r="D146" s="309"/>
      <c r="E146" s="309"/>
      <c r="F146" s="309"/>
      <c r="G146" s="309"/>
      <c r="H146" s="309"/>
      <c r="I146" s="309"/>
      <c r="J146" s="309"/>
      <c r="K146" s="309"/>
      <c r="L146" s="315"/>
      <c r="Q146" s="309"/>
      <c r="R146" s="311"/>
      <c r="S146" s="311"/>
      <c r="T146" s="311"/>
      <c r="AB146" s="312"/>
      <c r="AF146" s="313"/>
      <c r="AG146" s="313"/>
      <c r="AH146" s="313"/>
      <c r="AI146" s="313"/>
      <c r="AJ146" s="313"/>
      <c r="AS146" s="314"/>
      <c r="AT146" s="315"/>
      <c r="AU146" s="314"/>
      <c r="AV146" s="312"/>
      <c r="AX146" s="206"/>
      <c r="AY146" s="206"/>
      <c r="BE146" s="316"/>
      <c r="BF146" s="316"/>
      <c r="BG146" s="316"/>
      <c r="BH146" s="310"/>
      <c r="BK146" s="309"/>
      <c r="BL146" s="309"/>
      <c r="BM146" s="309"/>
      <c r="BN146" s="309"/>
      <c r="BP146" s="313"/>
      <c r="CC146" s="316"/>
      <c r="CG146" s="313"/>
      <c r="CH146" s="313"/>
      <c r="CI146" s="313"/>
      <c r="CK146" s="313"/>
      <c r="CL146" s="313"/>
      <c r="CM146" s="313"/>
      <c r="CN146" s="313"/>
      <c r="CO146" s="313"/>
      <c r="CP146" s="313"/>
      <c r="CQ146" s="313"/>
      <c r="CR146" s="313"/>
      <c r="CS146" s="313"/>
      <c r="CT146" s="313"/>
      <c r="CU146" s="309"/>
      <c r="DH146" s="309"/>
      <c r="DK146" s="310"/>
      <c r="DN146" s="206"/>
      <c r="DO146" s="206"/>
      <c r="DS146" s="288" t="str">
        <f t="shared" si="0"/>
        <v/>
      </c>
      <c r="DT146" s="288" t="str">
        <f t="shared" si="1"/>
        <v/>
      </c>
      <c r="DU146" s="310"/>
      <c r="DV146" s="310"/>
      <c r="DW146" s="310"/>
      <c r="DX146" s="310"/>
      <c r="DY146" s="310"/>
      <c r="DZ146" s="310"/>
      <c r="EA146" s="310"/>
      <c r="EB146" s="310"/>
      <c r="ED146" s="310"/>
      <c r="EE146" s="310"/>
      <c r="EF146" s="310"/>
      <c r="EH146" s="310"/>
    </row>
    <row r="147" spans="1:138" s="288" customFormat="1">
      <c r="A147" s="288" t="s">
        <v>330</v>
      </c>
      <c r="B147" s="288" t="str">
        <f>A147</f>
        <v>S</v>
      </c>
      <c r="C147" s="309" t="str">
        <f>IF(A147="S",'Cálculo_Diseño  (2)'!C148," ")</f>
        <v>C289</v>
      </c>
      <c r="D147" s="309" t="str">
        <f>IF(A147="S",'Cálculo_Diseño  (2)'!D148," ")</f>
        <v>C305</v>
      </c>
      <c r="E147" s="309">
        <f>IF(B147="S",'Cálculo_Diseño  (2)'!AX148," ")</f>
        <v>62.58</v>
      </c>
      <c r="F147" s="309">
        <f>IF(B147="S",'Cálculo_Diseño  (2)'!BL148," ")</f>
        <v>8.8830297219560297</v>
      </c>
      <c r="G147" s="309">
        <f>IF(B147="S",'Cálculo_Diseño  (2)'!AZ148," ")</f>
        <v>284</v>
      </c>
      <c r="H147" s="309">
        <f>IF(B147="S",'Cálculo_Diseño  (2)'!BB148," ")</f>
        <v>988.67200000000003</v>
      </c>
      <c r="I147" s="309">
        <f>IF(B147="S",'Cálculo_Diseño  (2)'!BC148," ")</f>
        <v>983.59299999999996</v>
      </c>
      <c r="J147" s="309">
        <f>IF(B147="S",'Cálculo_Diseño  (2)'!BH148," ")</f>
        <v>987.06200000000001</v>
      </c>
      <c r="K147" s="309">
        <f>IF(B147="S",'Cálculo_Diseño  (2)'!BI148," ")</f>
        <v>981.50299999999993</v>
      </c>
      <c r="L147" s="315">
        <f>IF(B147="S",+$L$11,"")</f>
        <v>1</v>
      </c>
      <c r="M147" s="288">
        <f>IF(B147="S",(E147^2+(J147-K147)^2)^0.5," ")</f>
        <v>62.826418654893907</v>
      </c>
      <c r="N147" s="288">
        <f>IF(AJ147="S",BK147+0.1,BK147)</f>
        <v>0.79999999999999993</v>
      </c>
      <c r="O147" s="288">
        <f>IF(B147="S",(IF(G147&lt;=500,1.2,1.5)),"")</f>
        <v>1.2</v>
      </c>
      <c r="P147" s="288">
        <f>IF(B147="S",(IF(G147&lt;=500,1.2,1.5)),"")</f>
        <v>1.2</v>
      </c>
      <c r="Q147" s="309" t="s">
        <v>331</v>
      </c>
      <c r="R147" s="311" t="str">
        <f>+IF(B147="S",(IF(Q147="FLEXIBLE","S","N")),"")</f>
        <v>N</v>
      </c>
      <c r="S147" s="311" t="str">
        <f>+IF(B147="S",(IF(Q147="ADOQUIN","S","N")),"")</f>
        <v>N</v>
      </c>
      <c r="T147" s="311" t="str">
        <f>+IF(B147="S",(IF(Q147="CONCRETO","S","N")),"")</f>
        <v>S</v>
      </c>
      <c r="U147" s="288">
        <f>IF(B147="S",(IF(R147="S",(((((H147-I147)^2)+(E147^2))^0.5)-CA147-CB147)*$U$11,0)),"")</f>
        <v>0</v>
      </c>
      <c r="V147" s="288">
        <f>IF(B147="S",(IF(S147="S",(((((H147-I147)^2)+(E147^2))^0.5)-CA147-CB147)*$V$11,0)),"")</f>
        <v>0</v>
      </c>
      <c r="W147" s="288">
        <f>IF(B147="S",(IF(T147="S",(((((H147-I147)^2)+(E147^2))^0.5)-CA147-CB147)*$W$11,0)),"")</f>
        <v>61.585767822015207</v>
      </c>
      <c r="X147" s="288">
        <f>IF(B147="S",(U147*(N147+0.2)*$X$11),"")</f>
        <v>0</v>
      </c>
      <c r="Y147" s="288">
        <f>IF(B147="S",(V147*(N147+0.2)*$Y$11),"")</f>
        <v>0</v>
      </c>
      <c r="Z147" s="288">
        <f>IF(B147="S",(W147*(N147+0.2)*$Z$11+IF(Q147="CONCRETO",PI()/4*0.2*(O147+0.2*2+0.1*2)^2)),"")</f>
        <v>18.984668356486107</v>
      </c>
      <c r="AA147" s="288">
        <f>IF(B147="S",(((H147-J147)+(I147-K147))/2+BM147),"")</f>
        <v>1.9500000000000228</v>
      </c>
      <c r="AB147" s="312">
        <f>IF(B147="S",($AB$11),"")</f>
        <v>10</v>
      </c>
      <c r="AC147" s="288">
        <f>IF(B147="S",(IF(CG147="","",(CG147*(AB147/100))*$I$527)),"")</f>
        <v>9.3372695586325261</v>
      </c>
      <c r="AD147" s="288">
        <f>IF(B147="S",(IF(CH147="","",(CH147*AB147/100)*$I$527)),"")</f>
        <v>0.82101563898227947</v>
      </c>
      <c r="AE147" s="288" t="str">
        <f>IF(B147="S",(IF(CI147="","",(CI147*AB147/100)*$I$527)),"")</f>
        <v/>
      </c>
      <c r="AF147" s="313">
        <f>IF(B147="S",(IF(CG147="","",(CG147*$I$527)-AC147)),"")</f>
        <v>84.035426027692722</v>
      </c>
      <c r="AG147" s="313">
        <f>IF(B147="S",(IF(CH147="","",(CH147*$I$527)-AD147)),"")</f>
        <v>7.3891407508405145</v>
      </c>
      <c r="AH147" s="313" t="str">
        <f>IF(B147="S",(IF(CI147="","",(CI147*$I$527)-AE147)),"")</f>
        <v/>
      </c>
      <c r="AI147" s="313">
        <f>IF(B147="S",((BY147*(L147/100))*1.1),"")</f>
        <v>1.0260894139004852</v>
      </c>
      <c r="AJ147" s="313" t="str">
        <f>IF(B147="S",(IF(AA147&lt;1,"N","S")),"")</f>
        <v>S</v>
      </c>
      <c r="AK147" s="288">
        <f>IF(B147="S",(IF(AJ147="S",(E147*AA147*0.7*2),0)),"")</f>
        <v>170.84340000000199</v>
      </c>
      <c r="AL147" s="288">
        <f>IF(B147="S",(IF(AJ147="S",(E147*AA147*0.3*2),0)),"")</f>
        <v>73.218600000000848</v>
      </c>
      <c r="AM147" s="288">
        <f>IF(B147="S",(IF(F147&gt;20,N147*(M147/10)*AA147,0)),"")</f>
        <v>0</v>
      </c>
      <c r="AN147" s="288">
        <f>IF(B147="S",((M147-0.4)*$AN$11),"")</f>
        <v>0</v>
      </c>
      <c r="AO147" s="288">
        <f>IF(B147="S",((M147-0.4)*$AO$11),"")</f>
        <v>0</v>
      </c>
      <c r="AP147" s="288">
        <f>IF(B147="S",((M147-(O147/2)-(P147/2))*$AP$11),"")</f>
        <v>61.626418654893904</v>
      </c>
      <c r="AQ147" s="288">
        <f>+SUM(AC147:AI147)</f>
        <v>102.60894139004851</v>
      </c>
      <c r="AR147" s="288">
        <f>+AT147+AU147+AZ147+BA147+BB147+BI147</f>
        <v>102.60894139004851</v>
      </c>
      <c r="AS147" s="314">
        <f>IF(B147="S",((N147*(0.4+G147/1000))-((G147/1000)^2*PI()/4)),"")</f>
        <v>0.4838529257330153</v>
      </c>
      <c r="AT147" s="315">
        <f>IF(B147="S",(AS147*AP147)-IF(BI147&gt;0,BI147,0),"")</f>
        <v>29.818122968618088</v>
      </c>
      <c r="AU147" s="314">
        <f>IF(B147="S",IF(Q147="NATURAL",0,(($AU$11*N147*AP147))),"")</f>
        <v>19.720453969566048</v>
      </c>
      <c r="AV147" s="312">
        <f>IF(B147="S",$AV$11,"")</f>
        <v>30</v>
      </c>
      <c r="AW147" s="288">
        <f>IF(B147="S",(BY147*1.1-(AT147+BI147)-AU147-BB147-AX147-AY147),"")</f>
        <v>49.106104544236487</v>
      </c>
      <c r="AX147" s="206"/>
      <c r="AY147" s="206"/>
      <c r="AZ147" s="288">
        <f>IF(B147="S",((BY147*1.1-BB147-(AT147+BI147)-AU147-AX147-AY147)*AV147/100),"")</f>
        <v>14.731831363270947</v>
      </c>
      <c r="BA147" s="288">
        <f>IF(B147="S",(IF(AW147&gt;AZ147,AW147-AZ147,0)),"")</f>
        <v>34.374273180965538</v>
      </c>
      <c r="BB147" s="288">
        <f>IF(B147="S",((((G147/1000)^2)/4*PI())*E147),"")</f>
        <v>3.9642599076278948</v>
      </c>
      <c r="BC147" s="288">
        <f>IF(B147="S",(BY147*1.1-AZ147),"")</f>
        <v>87.877110026777572</v>
      </c>
      <c r="BE147" s="316" t="b">
        <f>IF(B147="S",(IF(O147=1.5,IF(H147-J147&lt;=1,0,H147-J147-1))),"")</f>
        <v>0</v>
      </c>
      <c r="BF147" s="316" t="b">
        <f>IF(B147="S",(IF(O147&lt;=0.8,IF(H147-J147&lt;=1,0,H147-J147))),"")</f>
        <v>0</v>
      </c>
      <c r="BG147" s="316" t="b">
        <f>IF(B147="S",(IF(O147&lt;=0.6,IF(H147-J147&lt;=1,H147-J147,0))),"")</f>
        <v>0</v>
      </c>
      <c r="BH147" s="310" t="str">
        <f>IF(B147="S",(IF(BD147="","",IF(BD147="FALSO","",1))),"")</f>
        <v/>
      </c>
      <c r="BI147" s="288">
        <f>IF(B147="S",(IF(F147&gt;=15,N147*((G147/1000)+0.3)*0.2,0)*(E147/5+1)),"")</f>
        <v>0</v>
      </c>
      <c r="BJ147" s="288">
        <f xml:space="preserve"> IF(B147="S",(BN147+BM147+0.3),"")</f>
        <v>0.76</v>
      </c>
      <c r="BK147" s="309">
        <f>IF(B147="S",(VLOOKUP('Cálculo_Diseño  (2)'!AY148,'TABLA (2)'!$H$102:'TABLA (2)'!$U$135,3)),"")</f>
        <v>0.7</v>
      </c>
      <c r="BL147" s="309">
        <f>IF(B147="S",(VLOOKUP('Cálculo_Diseño  (2)'!AY148,'TABLA (2)'!$H$102:'TABLA (2)'!$U$135,10)),"")</f>
        <v>0.55000000000000004</v>
      </c>
      <c r="BM147" s="309">
        <f>IF(B147="S",(VLOOKUP('Cálculo_Diseño  (2)'!AY148,'TABLA (2)'!$H$102:'TABLA (2)'!$U$135,11)),"")</f>
        <v>0.1</v>
      </c>
      <c r="BN147" s="309">
        <f>IF(B147="S",(VLOOKUP('Cálculo_Diseño  (2)'!AY148,'TABLA (2)'!$H$102:'TABLA (2)'!$U$135,12)),"")</f>
        <v>0.36</v>
      </c>
      <c r="BO147" s="288">
        <f>V147</f>
        <v>0</v>
      </c>
      <c r="BP147" s="313">
        <f>+IF(B147="S",(IF((1.8-AA147)&gt;=0,AA147+0.2,2)),"")</f>
        <v>2</v>
      </c>
      <c r="BQ147" s="288">
        <f>+IF(B147="S",(IF(BP147=2,IF((3.8-AA147)&gt;=0,(AA147+0.2-2),2),0)),"")</f>
        <v>0.150000000000023</v>
      </c>
      <c r="BR147" s="288">
        <f>+IF(B147="S",(IF(BQ147=2,AA147+0.2-4,0)),"")</f>
        <v>0</v>
      </c>
      <c r="BS147" s="288">
        <f>IF(B147="S",((N147*(0.3+BN147/2)-0.392699*BN147*BN147)*AO147),"")</f>
        <v>0</v>
      </c>
      <c r="BU147" s="288">
        <f>IF(B147="S",((N147*(0.3+5*BN147/6)-0.699815*BN147*BN147)*AP147),"")</f>
        <v>23.991409808990763</v>
      </c>
      <c r="BV147" s="288">
        <f>IF(B147="S",(IF(BP147=0,"",(BP147)*(M147)*N147-(U147*$X$11+V147*$Y$11+W147*$Z$11)*N147)),"")</f>
        <v>85.741685570546593</v>
      </c>
      <c r="BW147" s="288">
        <f>IF(B147="S",(IF(BQ147=0,"",(M147)*BQ147*N147)),"")</f>
        <v>7.5391702385884241</v>
      </c>
      <c r="BX147" s="288" t="str">
        <f>IF(B147="S",(IF(BR147=0,"",(M147)*BR147*N147)),"")</f>
        <v/>
      </c>
      <c r="BY147" s="288">
        <f>IF(B147="S",((AA147+0.2)*N147*(M147)-(U147*$X$11+V147*$Y$11+W147*$Z$11)*N147),"")</f>
        <v>93.280855809135005</v>
      </c>
      <c r="BZ147" s="288">
        <f>IF(B147="S",((N147*(0.3+BN147/2)-0.392699*BN147*BN147)*AN147),"")</f>
        <v>0</v>
      </c>
      <c r="CA147" s="288">
        <f>IF(B147="S",(IF(O147=1.2,(O147/2),IF(O147=0.8,O147/2,IF(O147=1.5,O147/2,IF(O147=0.6,O147/2,"IDIOT"))))),"")</f>
        <v>0.6</v>
      </c>
      <c r="CB147" s="288">
        <f>IF(B147="S",(IF(P147=1.2,(P147/2),IF(P147=0.8,P147/2,IF(P147=1.5,P147/2,IF(P147=0.6,P147/2,"IDIOT"))))),"")</f>
        <v>0.6</v>
      </c>
      <c r="CC147" s="316">
        <f>IF(B147="S",((BN147/2+0.1)*N147),"")</f>
        <v>0.224</v>
      </c>
      <c r="CD147" s="288">
        <f>IF(B147="S",((BN147/2+BN147/4)*N147),"")</f>
        <v>0.216</v>
      </c>
      <c r="CE147" s="288">
        <f>IF(B147="S",(0.392699*BN147*BN147),"")</f>
        <v>5.0893790399999993E-2</v>
      </c>
      <c r="CF147" s="288" t="str">
        <f>+IF(B147="S",(IF(((H147-J147)-(G147/1000))&lt;=0.9,"E1",IF(((H147-J147)-(G147/1000))&lt;=2.5,"E2","E3"))),"")</f>
        <v>E2</v>
      </c>
      <c r="CG147" s="313">
        <f>IF(B147="S",(IF(BV147="","",BV147-(BV147*L147/100))),"")</f>
        <v>84.884268714841127</v>
      </c>
      <c r="CH147" s="313">
        <f>IF(B147="S",(IF(BW147="","",BW147-(BW147*L147/100))),"")</f>
        <v>7.4637785362025397</v>
      </c>
      <c r="CI147" s="313" t="str">
        <f>IF(C147="S",(IF(BX147="","",BX147-(BX147*M147/100))),"")</f>
        <v/>
      </c>
      <c r="CJ147" s="288">
        <f>'Cálculo_Diseño  (2)'!BD148</f>
        <v>1.3105000000000002</v>
      </c>
      <c r="CK147" s="313">
        <f>+IF(B147="S",(IF((CJ147+CU147)&gt;2,2,CJ147+CU147)),"")</f>
        <v>2</v>
      </c>
      <c r="CL147" s="313">
        <f>+IF(B147="S",(IF((CJ147+CU147)&gt;4,2,IF(AND((CJ147+CU147)&lt;=4,(CJ147+CU147)&gt;=2),((CJ147+CU147)-CK147),0))),"")</f>
        <v>0.62100000000000044</v>
      </c>
      <c r="CM147" s="313">
        <f>+IF(B147="S",(IF((CJ147+CU147)&gt;4,((CJ147+CU147)-(CK147+CL147)),0)),"")</f>
        <v>0</v>
      </c>
      <c r="CN147" s="313">
        <f>IF(B147="S",IF((CJ147+CU147)&lt;1.5,(ROUND(CJ147*PI()/4*(2.2)^2+CU147*(PI()/4*(2.2)^2 -PI()/4*(1.6)^2),2)),IF((CJ147+CU147)&lt;=2,(ROUND(((PI()*2.2^2)/4)*0.95-(((1/3)*PI()*0.95*(0.45^2+0.7^2+0.45*0.7)))+(CJ147*PI()/4*(2.2)^2)+(((((CU147)-0.95)*PI()*2.2^2)/4))-((((CU147)-0.95)*PI()*1.6^2)/4),2)),IF((CJ147+CU147)&gt;2,(ROUND(IF(CU147&lt;2,((PI()*2.2^2)/4)*0.95-(((1/3)*PI()*0.95*(0.45^2+0.7^2+0.45*0.7)))+((CU147-0.95)*(PI()/4*(2.2)^2 -PI()/4*(1.6)^2))+(2-CU147)*PI()/4*(2.2)^2,((PI()*2.2^2)/4)*0.95-(((1/3)*PI()*0.95*(0.45^2+0.7^2+0.45*0.7)))+((2-0.95)*(PI()/4*(2.2)^2 -PI()/4*(1.6)^2))),2))))),"")</f>
        <v>5.88</v>
      </c>
      <c r="CO147" s="313">
        <f>IF(B147="S",ROUND(IF(CL147&lt;=0,0,IF(AND(CL147&gt;0,CU147&lt;=0),CL147*PI()/4*2.2^(2),IF(AND(CL147&gt;0,CU147&gt;=4),CL147*(PI()/4*2.2^2-PI()/4*1.6^2),IF(AND(CL147&gt;0,CU147&gt;2,CU147&lt;4,CJ147&gt;0),(CU147-2)*(PI()/4*2.2^(2)-PI()/4*1.6^(2))+IF((CU147+CJ147)&gt;4,(4-CU147)*(PI()/4*2.2^(2)),(CJ147)*PI()/4*(2.2^2)),IF(AND(CL147&gt;0,CU147&lt;=2),(CL147*PI()/4*2.2^2)))))),2),"")</f>
        <v>2.36</v>
      </c>
      <c r="CP147" s="313">
        <f>IF(B147="S",(ROUND(IF(CM147&lt;=0,0,IF(AND(CM147&gt;0,CU147&lt;=0),CM147*PI()/4*2.2^(2),IF(AND(CM147&gt;0,CU147&gt;4,CJ147&lt;=0),CM147*(PI()/4*2.2^2-PI()/4*1.6^2),IF(AND(CM147&gt;0,CU147&lt;=4),CM147*PI()/4*2.2^2)))),2)),"")</f>
        <v>0</v>
      </c>
      <c r="CQ147" s="313">
        <f>IF(B147="S",IF(CK147&gt;1.5,(2*PI()*(0.9)*(CJ147+CU147)),0),"")</f>
        <v>14.821405821105929</v>
      </c>
      <c r="CR147" s="313">
        <f>IF(B147="S",(ROUND(IF(CN147&gt;0,CN147+CO147+CP147-CS147,0),2)),"")</f>
        <v>2.64</v>
      </c>
      <c r="CS147" s="313">
        <f>IF(B147="S",(IF(CJ147=0,0,IF(AND((H147-J147)&lt;1.5,CU147&gt;0),ROUND(CU147*(PI()/4*(2.2)^2 -PI()/4*(1.6)^2),2),(ROUND(((PI()*2.2^2)/4)*0.95-(((1/3)*PI()*0.95*(0.45^2+0.7^2+0.45*0.7)))+(((((CJ147+CU147)-0.95)*PI()*2.2^2)/4))-((((CJ147+CU147)-0.95)*PI()*1.6^2)/4),2))))),"")</f>
        <v>5.6</v>
      </c>
      <c r="CT147" s="313" t="str">
        <f>IF(B147="S",(IF(CN147&gt;=0,IF(CN147+CO147+CP147=(CR147+CS147),"OK","VERIFICAR"),0)),"")</f>
        <v>OK</v>
      </c>
      <c r="CU147" s="309">
        <f>'Cálculo_Diseño  (2)'!BD148</f>
        <v>1.3105000000000002</v>
      </c>
      <c r="CV147" s="288" t="str">
        <f>IF(G147=182,M147-(O147/2)-(P147/2),"")</f>
        <v/>
      </c>
      <c r="CW147" s="288" t="str">
        <f>IF(G147=227,M147-(O147/2)-(P147/2),"")</f>
        <v/>
      </c>
      <c r="CX147" s="288">
        <f>IF(G147=284,M147-(O147/2)-(P147/2),"")</f>
        <v>61.626418654893904</v>
      </c>
      <c r="CY147" s="288" t="str">
        <f>IF(G147=327,M147-(O147/2)-(P147/2),"")</f>
        <v/>
      </c>
      <c r="CZ147" s="288" t="str">
        <f>IF(G147=362,M147-(O147/2)-(P147/2),"")</f>
        <v/>
      </c>
      <c r="DA147" s="288" t="str">
        <f>IF(G147=407,M147-(O147/2)-(P147/2),"")</f>
        <v/>
      </c>
      <c r="DB147" s="288" t="str">
        <f>IF(G147=452,M147-(O147/2)-(P147/2),"")</f>
        <v/>
      </c>
      <c r="DC147" s="288" t="str">
        <f>IF(G147=595.12,M147-(O147/2)-(P147/2),"")</f>
        <v/>
      </c>
      <c r="DD147" s="288" t="str">
        <f>IF(G147=670,M147-(O147/2)-(P147/2),"")</f>
        <v/>
      </c>
      <c r="DE147" s="288" t="str">
        <f>IF(G147=747,M147-(O147/2)-(P147/2),"")</f>
        <v/>
      </c>
      <c r="DF147" s="288" t="str">
        <f>IF(G147=823.09,M147-(O147/2)-(P147/2),"")</f>
        <v/>
      </c>
      <c r="DG147" s="288" t="str">
        <f>IF(G147=899.03,M147-(O147/2)-(P147/2),"")</f>
        <v/>
      </c>
      <c r="DH147" s="309"/>
      <c r="DI147" s="288" t="str">
        <f>+IF(B147="S",B147,"N")</f>
        <v>S</v>
      </c>
      <c r="DJ147" s="288">
        <f>+IF(DI147="S",E147,"")</f>
        <v>62.58</v>
      </c>
      <c r="DK147" s="310">
        <v>15</v>
      </c>
      <c r="DL147" s="288">
        <f>IF(DI147="S",((((AA147+1)*6)/2)*0.7*DK147),"")</f>
        <v>92.925000000000722</v>
      </c>
      <c r="DM147" s="288">
        <f>IF(DI147="S",(ATAN(6/(AA147-1))*180/PI()),"")</f>
        <v>81.002856578934725</v>
      </c>
      <c r="DN147" s="206">
        <f>IF(DI147="S",(TAN(DM147*PI()/180)*(AA147-2)),"")</f>
        <v>-0.31578947368405857</v>
      </c>
      <c r="DO147" s="206">
        <f>IF(DI147="S",(TAN(DM147*PI()/180)*(AA147-4)),"")</f>
        <v>-12.947368421052166</v>
      </c>
      <c r="DP147" s="288">
        <f>IF(DI147="S",(IF(AA147&lt;=2,((((AA147+1)*6)/2)*0.7*DK147),IF(AND(AA147&gt;2,AA147&lt;=4),((((AA147+1)*6)/2)*0.7*DK147)-(((AA147-2)*DN147)/2*0.7*DK147),IF(AND(AA147&gt;4,AA147&lt;=6),((((AA147+1)*6)/2)*0.7*DK147)-(((AA147-2)*DN147)/2*0.7*DK147),0)))),"")</f>
        <v>92.925000000000722</v>
      </c>
      <c r="DQ147" s="288">
        <f>IF(DI147="S",(IF(AND(AA147&gt;2,AA147&lt;=4),(((AA147-2)*DN147)/2*0.7*DK147),IF(AND(AA147&gt;4,AA147&lt;=6),(((AA147-2)*DN147)/2*0.7*DK147)-((AA147-4)*DO147/2*0.7*DK147),0))),"")</f>
        <v>0</v>
      </c>
      <c r="DR147" s="288">
        <f>IF(DI147="S",(IF(AND(AA147&gt;4,AA147&lt;=6),((AA147-4)*DO147/2*0.7*DK147),IF(AA147&lt;4,0,"REVISAR"))),"")</f>
        <v>0</v>
      </c>
      <c r="DS147" s="288">
        <f t="shared" si="0"/>
        <v>122.85000000000143</v>
      </c>
      <c r="DT147" s="288">
        <f t="shared" si="1"/>
        <v>52.650000000000617</v>
      </c>
      <c r="DU147" s="310" t="str">
        <f>IF(B147="S",(IF(DI147="S",IF(G147=$DU$11,DK147,""),"")),"")</f>
        <v/>
      </c>
      <c r="DV147" s="310" t="str">
        <f>IF(B147="S",(IF(DI147="S",IF(G147=$DV$11,DK147,""),"")),"")</f>
        <v/>
      </c>
      <c r="DW147" s="310">
        <f>IF(B147="S",(IF(DI147="S",IF(G147=$DW$11,DK147,""),"")),"")</f>
        <v>15</v>
      </c>
      <c r="DX147" s="310" t="str">
        <f>IF(B147="S",(IF(DI147="S",IF(G147=$DX$11,DK147,""),"")),"")</f>
        <v/>
      </c>
      <c r="DY147" s="310" t="str">
        <f>IF(B147="S",(IF(DI147="S",IF(G147=$DY$11,DK147,""),"")),"")</f>
        <v/>
      </c>
      <c r="DZ147" s="310" t="str">
        <f>IF(B147="S",(IF(DI147="S",IF(G147=$DZ$11,DK147,""),"")),"")</f>
        <v/>
      </c>
      <c r="EA147" s="310" t="str">
        <f>IF(B147="S",(IF(DI147="S",IF(G147=$EA$11,DK147,""),"")),"")</f>
        <v/>
      </c>
      <c r="EB147" s="310" t="str">
        <f>IF(B147="S",(IF(DI147="S",IF(G147=$EB$11,DK147,""),"")),"")</f>
        <v/>
      </c>
      <c r="EC147" s="288">
        <f>IF(B147="S",0.95,"")</f>
        <v>0.95</v>
      </c>
      <c r="ED147" s="310"/>
      <c r="EE147" s="310"/>
      <c r="EF147" s="310"/>
      <c r="EH147" s="310">
        <f>+IF(EC147=0.95,2+((ED147+EE147+EF147)-1),"")</f>
        <v>1</v>
      </c>
    </row>
    <row r="148" spans="1:138" s="288" customFormat="1">
      <c r="A148" s="288" t="s">
        <v>330</v>
      </c>
      <c r="B148" s="288" t="str">
        <f>A148</f>
        <v>S</v>
      </c>
      <c r="C148" s="309" t="str">
        <f>IF(A148="S",'Cálculo_Diseño  (2)'!C149," ")</f>
        <v>C305</v>
      </c>
      <c r="D148" s="309" t="str">
        <f>IF(A148="S",'Cálculo_Diseño  (2)'!D149," ")</f>
        <v>C167</v>
      </c>
      <c r="E148" s="309">
        <f>IF(B148="S",'Cálculo_Diseño  (2)'!AX149," ")</f>
        <v>40.659999999999997</v>
      </c>
      <c r="F148" s="309">
        <f>IF(B148="S",'Cálculo_Diseño  (2)'!BL149," ")</f>
        <v>4.0359075258240935</v>
      </c>
      <c r="G148" s="309">
        <f>IF(B148="S",'Cálculo_Diseño  (2)'!AZ149," ")</f>
        <v>284</v>
      </c>
      <c r="H148" s="309">
        <f>IF(B148="S",'Cálculo_Diseño  (2)'!BB149," ")</f>
        <v>983.59299999999996</v>
      </c>
      <c r="I148" s="309">
        <f>IF(B148="S",'Cálculo_Diseño  (2)'!BC149," ")</f>
        <v>982.35199999999998</v>
      </c>
      <c r="J148" s="309">
        <f>IF(B148="S",'Cálculo_Diseño  (2)'!BH149," ")</f>
        <v>981.423</v>
      </c>
      <c r="K148" s="309">
        <f>IF(B148="S",'Cálculo_Diseño  (2)'!BI149," ")</f>
        <v>979.78199999999993</v>
      </c>
      <c r="L148" s="315">
        <f>IF(B148="S",+$L$11,"")</f>
        <v>1</v>
      </c>
      <c r="M148" s="288">
        <f>IF(B148="S",(E148^2+(J148-K148)^2)^0.5," ")</f>
        <v>40.693101147491817</v>
      </c>
      <c r="N148" s="288">
        <f>IF(AJ148="S",BK148+0.1,BK148)</f>
        <v>0.79999999999999993</v>
      </c>
      <c r="O148" s="288">
        <f>IF(B148="S",(IF(G148&lt;=500,1.2,1.5)),"")</f>
        <v>1.2</v>
      </c>
      <c r="P148" s="288">
        <f>IF(B148="S",(IF(G148&lt;=500,1.2,1.5)),"")</f>
        <v>1.2</v>
      </c>
      <c r="Q148" s="309" t="s">
        <v>331</v>
      </c>
      <c r="R148" s="311" t="str">
        <f>+IF(B148="S",(IF(Q148="FLEXIBLE","S","N")),"")</f>
        <v>N</v>
      </c>
      <c r="S148" s="311" t="str">
        <f>+IF(B148="S",(IF(Q148="ADOQUIN","S","N")),"")</f>
        <v>N</v>
      </c>
      <c r="T148" s="311" t="str">
        <f>+IF(B148="S",(IF(Q148="CONCRETO","S","N")),"")</f>
        <v>S</v>
      </c>
      <c r="U148" s="288">
        <f>IF(B148="S",(IF(R148="S",(((((H148-I148)^2)+(E148^2))^0.5)-CA148-CB148)*$U$11,0)),"")</f>
        <v>0</v>
      </c>
      <c r="V148" s="288">
        <f>IF(B148="S",(IF(S148="S",(((((H148-I148)^2)+(E148^2))^0.5)-CA148-CB148)*$V$11,0)),"")</f>
        <v>0</v>
      </c>
      <c r="W148" s="288">
        <f>IF(B148="S",(IF(T148="S",(((((H148-I148)^2)+(E148^2))^0.5)-CA148-CB148)*$W$11,0)),"")</f>
        <v>39.478934118287803</v>
      </c>
      <c r="X148" s="288">
        <f>IF(B148="S",(U148*(N148+0.2)*$X$11),"")</f>
        <v>0</v>
      </c>
      <c r="Y148" s="288">
        <f>IF(B148="S",(V148*(N148+0.2)*$Y$11),"")</f>
        <v>0</v>
      </c>
      <c r="Z148" s="288">
        <f>IF(B148="S",(W148*(N148+0.2)*$Z$11+IF(Q148="CONCRETO",PI()/4*0.2*(O148+0.2*2+0.1*2)^2)),"")</f>
        <v>12.352618245367887</v>
      </c>
      <c r="AA148" s="288">
        <f>IF(B148="S",(((H148-J148)+(I148-K148))/2+BM148),"")</f>
        <v>2.4700000000000046</v>
      </c>
      <c r="AB148" s="312">
        <f>IF(B148="S",($AB$11),"")</f>
        <v>10</v>
      </c>
      <c r="AC148" s="288">
        <f>IF(B148="S",(IF(CG148="","",(CG148*(AB148/100))*$I$527)),"")</f>
        <v>6.0585445218234044</v>
      </c>
      <c r="AD148" s="288">
        <f>IF(B148="S",(IF(CH148="","",(CH148*AB148/100)*$I$527)),"")</f>
        <v>2.3752725912195736</v>
      </c>
      <c r="AE148" s="288" t="str">
        <f>IF(B148="S",(IF(CI148="","",(CI148*AB148/100)*$I$527)),"")</f>
        <v/>
      </c>
      <c r="AF148" s="313">
        <f>IF(B148="S",(IF(CG148="","",(CG148*$I$527)-AC148)),"")</f>
        <v>54.526900696410635</v>
      </c>
      <c r="AG148" s="313">
        <f>IF(B148="S",(IF(CH148="","",(CH148*$I$527)-AD148)),"")</f>
        <v>21.377453320976162</v>
      </c>
      <c r="AH148" s="313" t="str">
        <f>IF(B148="S",(IF(CI148="","",(CI148*$I$527)-AE148)),"")</f>
        <v/>
      </c>
      <c r="AI148" s="313">
        <f>IF(B148="S",((BY148*(L148/100))*1.1),"")</f>
        <v>0.85190071848918969</v>
      </c>
      <c r="AJ148" s="313" t="str">
        <f>IF(B148="S",(IF(AA148&lt;1,"N","S")),"")</f>
        <v>S</v>
      </c>
      <c r="AK148" s="288">
        <f>IF(B148="S",(IF(AJ148="S",(E148*AA148*0.7*2),0)),"")</f>
        <v>140.60228000000023</v>
      </c>
      <c r="AL148" s="288">
        <f>IF(B148="S",(IF(AJ148="S",(E148*AA148*0.3*2),0)),"")</f>
        <v>60.258120000000105</v>
      </c>
      <c r="AM148" s="288">
        <f>IF(B148="S",(IF(F148&gt;20,N148*(M148/10)*AA148,0)),"")</f>
        <v>0</v>
      </c>
      <c r="AN148" s="288">
        <f>IF(B148="S",((M148-0.4)*$AN$11),"")</f>
        <v>0</v>
      </c>
      <c r="AO148" s="288">
        <f>IF(B148="S",((M148-0.4)*$AO$11),"")</f>
        <v>0</v>
      </c>
      <c r="AP148" s="288">
        <f>IF(B148="S",((M148-(O148/2)-(P148/2))*$AP$11),"")</f>
        <v>39.493101147491814</v>
      </c>
      <c r="AQ148" s="288">
        <f>+SUM(AC148:AI148)</f>
        <v>85.190071848918961</v>
      </c>
      <c r="AR148" s="288">
        <f>+AT148+AU148+AZ148+BA148+BB148+BI148</f>
        <v>85.190071848918961</v>
      </c>
      <c r="AS148" s="314">
        <f>IF(B148="S",((N148*(0.4+G148/1000))-((G148/1000)^2*PI()/4)),"")</f>
        <v>0.4838529257330153</v>
      </c>
      <c r="AT148" s="315">
        <f>IF(B148="S",(AS148*AP148)-IF(BI148&gt;0,BI148,0),"")</f>
        <v>19.10885253648382</v>
      </c>
      <c r="AU148" s="314">
        <f>IF(B148="S",IF(Q148="NATURAL",0,(($AU$11*N148*AP148))),"")</f>
        <v>12.637792367197381</v>
      </c>
      <c r="AV148" s="312">
        <f>IF(B148="S",$AV$11,"")</f>
        <v>30</v>
      </c>
      <c r="AW148" s="288">
        <f>IF(B148="S",(BY148*1.1-(AT148+BI148)-AU148-BB148-AX148-AY148),"")</f>
        <v>50.867734905542164</v>
      </c>
      <c r="AX148" s="206"/>
      <c r="AY148" s="206"/>
      <c r="AZ148" s="288">
        <f>IF(B148="S",((BY148*1.1-BB148-(AT148+BI148)-AU148-AX148-AY148)*AV148/100),"")</f>
        <v>15.260320471662649</v>
      </c>
      <c r="BA148" s="288">
        <f>IF(B148="S",(IF(AW148&gt;AZ148,AW148-AZ148,0)),"")</f>
        <v>35.607414433879512</v>
      </c>
      <c r="BB148" s="288">
        <f>IF(B148="S",((((G148/1000)^2)/4*PI())*E148),"")</f>
        <v>2.5756920396955927</v>
      </c>
      <c r="BC148" s="288">
        <f>IF(B148="S",(BY148*1.1-AZ148),"")</f>
        <v>69.929751377256309</v>
      </c>
      <c r="BD148" s="288">
        <f>IF(B148="S",(IF(O148=1.2,IF((H148-J148)&lt;=1.2,H148-J148,H148-J148-0.95))),"")</f>
        <v>1.2199999999999591</v>
      </c>
      <c r="BE148" s="316" t="b">
        <f>IF(B148="S",(IF(O148=1.5,IF(H148-J148&lt;=1,0,H148-J148-1))),"")</f>
        <v>0</v>
      </c>
      <c r="BF148" s="316" t="b">
        <f>IF(B148="S",(IF(O148&lt;=0.8,IF(H148-J148&lt;=1,0,H148-J148))),"")</f>
        <v>0</v>
      </c>
      <c r="BG148" s="316" t="b">
        <f>IF(B148="S",(IF(O148&lt;=0.6,IF(H148-J148&lt;=1,H148-J148,0))),"")</f>
        <v>0</v>
      </c>
      <c r="BH148" s="310">
        <f>IF(B148="S",(IF(BD148="","",IF(BD148="FALSO","",1))),"")</f>
        <v>1</v>
      </c>
      <c r="BI148" s="288">
        <f>IF(B148="S",(IF(F148&gt;=15,N148*((G148/1000)+0.3)*0.2,0)*(E148/5+1)),"")</f>
        <v>0</v>
      </c>
      <c r="BJ148" s="288">
        <f xml:space="preserve"> IF(B148="S",(BN148+BM148+0.3),"")</f>
        <v>0.76</v>
      </c>
      <c r="BK148" s="309">
        <f>IF(B148="S",(VLOOKUP('Cálculo_Diseño  (2)'!AY149,'TABLA (2)'!$H$102:'TABLA (2)'!$U$135,3)),"")</f>
        <v>0.7</v>
      </c>
      <c r="BL148" s="309">
        <f>IF(B148="S",(VLOOKUP('Cálculo_Diseño  (2)'!AY149,'TABLA (2)'!$H$102:'TABLA (2)'!$U$135,10)),"")</f>
        <v>0.55000000000000004</v>
      </c>
      <c r="BM148" s="309">
        <f>IF(B148="S",(VLOOKUP('Cálculo_Diseño  (2)'!AY149,'TABLA (2)'!$H$102:'TABLA (2)'!$U$135,11)),"")</f>
        <v>0.1</v>
      </c>
      <c r="BN148" s="309">
        <f>IF(B148="S",(VLOOKUP('Cálculo_Diseño  (2)'!AY149,'TABLA (2)'!$H$102:'TABLA (2)'!$U$135,12)),"")</f>
        <v>0.36</v>
      </c>
      <c r="BO148" s="288">
        <f>V148</f>
        <v>0</v>
      </c>
      <c r="BP148" s="313">
        <f>+IF(B148="S",(IF((1.8-AA148)&gt;=0,AA148+0.2,2)),"")</f>
        <v>2</v>
      </c>
      <c r="BQ148" s="288">
        <f>+IF(B148="S",(IF(BP148=2,IF((3.8-AA148)&gt;=0,(AA148+0.2-2),2),0)),"")</f>
        <v>0.67000000000000481</v>
      </c>
      <c r="BR148" s="288">
        <f>+IF(B148="S",(IF(BQ148=2,AA148+0.2-4,0)),"")</f>
        <v>0</v>
      </c>
      <c r="BS148" s="288">
        <f>IF(B148="S",((N148*(0.3+BN148/2)-0.392699*BN148*BN148)*AO148),"")</f>
        <v>0</v>
      </c>
      <c r="BU148" s="288">
        <f>IF(B148="S",((N148*(0.3+5*BN148/6)-0.699815*BN148*BN148)*AP148),"")</f>
        <v>15.374821301288723</v>
      </c>
      <c r="BV148" s="288">
        <f>IF(B148="S",(IF(BP148=0,"",(BP148)*(M148)*N148-(U148*$X$11+V148*$Y$11+W148*$Z$11)*N148)),"")</f>
        <v>55.63401764759783</v>
      </c>
      <c r="BW148" s="288">
        <f>IF(B148="S",(IF(BQ148=0,"",(M148)*BQ148*N148)),"")</f>
        <v>21.811502215055768</v>
      </c>
      <c r="BX148" s="288" t="str">
        <f>IF(B148="S",(IF(BR148=0,"",(M148)*BR148*N148)),"")</f>
        <v/>
      </c>
      <c r="BY148" s="288">
        <f>IF(B148="S",((AA148+0.2)*N148*(M148)-(U148*$X$11+V148*$Y$11+W148*$Z$11)*N148),"")</f>
        <v>77.445519862653597</v>
      </c>
      <c r="BZ148" s="288">
        <f>IF(B148="S",((N148*(0.3+BN148/2)-0.392699*BN148*BN148)*AN148),"")</f>
        <v>0</v>
      </c>
      <c r="CA148" s="288">
        <f>IF(B148="S",(IF(O148=1.2,(O148/2),IF(O148=0.8,O148/2,IF(O148=1.5,O148/2,IF(O148=0.6,O148/2,"IDIOT"))))),"")</f>
        <v>0.6</v>
      </c>
      <c r="CB148" s="288">
        <f>IF(B148="S",(IF(P148=1.2,(P148/2),IF(P148=0.8,P148/2,IF(P148=1.5,P148/2,IF(P148=0.6,P148/2,"IDIOT"))))),"")</f>
        <v>0.6</v>
      </c>
      <c r="CC148" s="316">
        <f>IF(B148="S",((BN148/2+0.1)*N148),"")</f>
        <v>0.224</v>
      </c>
      <c r="CD148" s="288">
        <f>IF(B148="S",((BN148/2+BN148/4)*N148),"")</f>
        <v>0.216</v>
      </c>
      <c r="CE148" s="288">
        <f>IF(B148="S",(0.392699*BN148*BN148),"")</f>
        <v>5.0893790399999993E-2</v>
      </c>
      <c r="CF148" s="288" t="str">
        <f>+IF(B148="S",(IF(((H148-J148)-(G148/1000))&lt;=0.9,"E1",IF(((H148-J148)-(G148/1000))&lt;=2.5,"E2","E3"))),"")</f>
        <v>E2</v>
      </c>
      <c r="CG148" s="313">
        <f>IF(B148="S",(IF(BV148="","",BV148-(BV148*L148/100))),"")</f>
        <v>55.077677471121852</v>
      </c>
      <c r="CH148" s="313">
        <f>IF(B148="S",(IF(BW148="","",BW148-(BW148*L148/100))),"")</f>
        <v>21.593387192905212</v>
      </c>
      <c r="CI148" s="313" t="str">
        <f>IF(C148="S",(IF(BX148="","",BX148-(BX148*M148/100))),"")</f>
        <v/>
      </c>
      <c r="CJ148" s="288">
        <f>'Cálculo_Diseño  (2)'!BD149</f>
        <v>1.8704999999999998</v>
      </c>
      <c r="CK148" s="313">
        <f>+IF(B148="S",(IF((CJ148+CU148)&gt;2,2,CJ148+CU148)),"")</f>
        <v>2</v>
      </c>
      <c r="CL148" s="313">
        <f>+IF(B148="S",(IF((CJ148+CU148)&gt;4,2,IF(AND((CJ148+CU148)&lt;=4,(CJ148+CU148)&gt;=2),((CJ148+CU148)-CK148),0))),"")</f>
        <v>1.7409999999999997</v>
      </c>
      <c r="CM148" s="313">
        <f>+IF(B148="S",(IF((CJ148+CU148)&gt;4,((CJ148+CU148)-(CK148+CL148)),0)),"")</f>
        <v>0</v>
      </c>
      <c r="CN148" s="313">
        <f>IF(B148="S",IF((CJ148+CU148)&lt;1.5,(ROUND(CJ148*PI()/4*(2.2)^2+CU148*(PI()/4*(2.2)^2 -PI()/4*(1.6)^2),2)),IF((CJ148+CU148)&lt;=2,(ROUND(((PI()*2.2^2)/4)*0.95-(((1/3)*PI()*0.95*(0.45^2+0.7^2+0.45*0.7)))+(CJ148*PI()/4*(2.2)^2)+(((((CU148)-0.95)*PI()*2.2^2)/4))-((((CU148)-0.95)*PI()*1.6^2)/4),2)),IF((CJ148+CU148)&gt;2,(ROUND(IF(CU148&lt;2,((PI()*2.2^2)/4)*0.95-(((1/3)*PI()*0.95*(0.45^2+0.7^2+0.45*0.7)))+((CU148-0.95)*(PI()/4*(2.2)^2 -PI()/4*(1.6)^2))+(2-CU148)*PI()/4*(2.2)^2,((PI()*2.2^2)/4)*0.95-(((1/3)*PI()*0.95*(0.45^2+0.7^2+0.45*0.7)))+((2-0.95)*(PI()/4*(2.2)^2 -PI()/4*(1.6)^2))),2))))),"")</f>
        <v>4.75</v>
      </c>
      <c r="CO148" s="313">
        <f>IF(B148="S",ROUND(IF(CL148&lt;=0,0,IF(AND(CL148&gt;0,CU148&lt;=0),CL148*PI()/4*2.2^(2),IF(AND(CL148&gt;0,CU148&gt;=4),CL148*(PI()/4*2.2^2-PI()/4*1.6^2),IF(AND(CL148&gt;0,CU148&gt;2,CU148&lt;4,CJ148&gt;0),(CU148-2)*(PI()/4*2.2^(2)-PI()/4*1.6^(2))+IF((CU148+CJ148)&gt;4,(4-CU148)*(PI()/4*2.2^(2)),(CJ148)*PI()/4*(2.2^2)),IF(AND(CL148&gt;0,CU148&lt;=2),(CL148*PI()/4*2.2^2)))))),2),"")</f>
        <v>6.62</v>
      </c>
      <c r="CP148" s="313">
        <f>IF(B148="S",(ROUND(IF(CM148&lt;=0,0,IF(AND(CM148&gt;0,CU148&lt;=0),CM148*PI()/4*2.2^(2),IF(AND(CM148&gt;0,CU148&gt;4,CJ148&lt;=0),CM148*(PI()/4*2.2^2-PI()/4*1.6^2),IF(AND(CM148&gt;0,CU148&lt;=4),CM148*PI()/4*2.2^2)))),2)),"")</f>
        <v>0</v>
      </c>
      <c r="CQ148" s="313">
        <f>IF(B148="S",IF(CK148&gt;1.5,(2*PI()*(0.9)*(CJ148+CU148)),0),"")</f>
        <v>21.154856610742947</v>
      </c>
      <c r="CR148" s="313">
        <f>IF(B148="S",(ROUND(IF(CN148&gt;0,CN148+CO148+CP148-CS148,0),2)),"")</f>
        <v>3.76</v>
      </c>
      <c r="CS148" s="313">
        <f>IF(B148="S",(IF(CJ148=0,0,IF(AND((H148-J148)&lt;1.5,CU148&gt;0),ROUND(CU148*(PI()/4*(2.2)^2 -PI()/4*(1.6)^2),2),(ROUND(((PI()*2.2^2)/4)*0.95-(((1/3)*PI()*0.95*(0.45^2+0.7^2+0.45*0.7)))+(((((CJ148+CU148)-0.95)*PI()*2.2^2)/4))-((((CJ148+CU148)-0.95)*PI()*1.6^2)/4),2))))),"")</f>
        <v>7.61</v>
      </c>
      <c r="CT148" s="313" t="str">
        <f>IF(B148="S",(IF(CN148&gt;=0,IF(CN148+CO148+CP148=(CR148+CS148),"OK","VERIFICAR"),0)),"")</f>
        <v>OK</v>
      </c>
      <c r="CU148" s="309">
        <f>'Cálculo_Diseño  (2)'!BD149</f>
        <v>1.8704999999999998</v>
      </c>
      <c r="CV148" s="288" t="str">
        <f>IF(G148=182,M148-(O148/2)-(P148/2),"")</f>
        <v/>
      </c>
      <c r="CW148" s="288" t="str">
        <f>IF(G148=227,M148-(O148/2)-(P148/2),"")</f>
        <v/>
      </c>
      <c r="CX148" s="288">
        <f>IF(G148=284,M148-(O148/2)-(P148/2),"")</f>
        <v>39.493101147491814</v>
      </c>
      <c r="CY148" s="288" t="str">
        <f>IF(G148=327,M148-(O148/2)-(P148/2),"")</f>
        <v/>
      </c>
      <c r="CZ148" s="288" t="str">
        <f>IF(G148=362,M148-(O148/2)-(P148/2),"")</f>
        <v/>
      </c>
      <c r="DA148" s="288" t="str">
        <f>IF(G148=407,M148-(O148/2)-(P148/2),"")</f>
        <v/>
      </c>
      <c r="DB148" s="288" t="str">
        <f>IF(G148=452,M148-(O148/2)-(P148/2),"")</f>
        <v/>
      </c>
      <c r="DC148" s="288" t="str">
        <f>IF(G148=595.12,M148-(O148/2)-(P148/2),"")</f>
        <v/>
      </c>
      <c r="DD148" s="288" t="str">
        <f>IF(G148=670,M148-(O148/2)-(P148/2),"")</f>
        <v/>
      </c>
      <c r="DE148" s="288" t="str">
        <f>IF(G148=747,M148-(O148/2)-(P148/2),"")</f>
        <v/>
      </c>
      <c r="DF148" s="288" t="str">
        <f>IF(G148=823.09,M148-(O148/2)-(P148/2),"")</f>
        <v/>
      </c>
      <c r="DG148" s="288" t="str">
        <f>IF(G148=899.03,M148-(O148/2)-(P148/2),"")</f>
        <v/>
      </c>
      <c r="DH148" s="309"/>
      <c r="DI148" s="288" t="str">
        <f>+IF(B148="S",B148,"N")</f>
        <v>S</v>
      </c>
      <c r="DJ148" s="288">
        <f>+IF(DI148="S",E148,"")</f>
        <v>40.659999999999997</v>
      </c>
      <c r="DK148" s="310">
        <v>8</v>
      </c>
      <c r="DL148" s="288">
        <f>IF(DI148="S",((((AA148+1)*6)/2)*0.7*DK148),"")</f>
        <v>58.296000000000078</v>
      </c>
      <c r="DM148" s="288">
        <f>IF(DI148="S",(ATAN(6/(AA148-1))*180/PI()),"")</f>
        <v>76.233699314533709</v>
      </c>
      <c r="DN148" s="206">
        <f>IF(DI148="S",(TAN(DM148*PI()/180)*(AA148-2)),"")</f>
        <v>1.9183673469387883</v>
      </c>
      <c r="DO148" s="206">
        <f>IF(DI148="S",(TAN(DM148*PI()/180)*(AA148-4)),"")</f>
        <v>-6.2448979591836347</v>
      </c>
      <c r="DP148" s="288">
        <f>IF(DI148="S",(IF(AA148&lt;=2,((((AA148+1)*6)/2)*0.7*DK148),IF(AND(AA148&gt;2,AA148&lt;=4),((((AA148+1)*6)/2)*0.7*DK148)-(((AA148-2)*DN148)/2*0.7*DK148),IF(AND(AA148&gt;4,AA148&lt;=6),((((AA148+1)*6)/2)*0.7*DK148)-(((AA148-2)*DN148)/2*0.7*DK148),0)))),"")</f>
        <v>55.771428571428608</v>
      </c>
      <c r="DQ148" s="288">
        <f>IF(DI148="S",(IF(AND(AA148&gt;2,AA148&lt;=4),(((AA148-2)*DN148)/2*0.7*DK148),IF(AND(AA148&gt;4,AA148&lt;=6),(((AA148-2)*DN148)/2*0.7*DK148)-((AA148-4)*DO148/2*0.7*DK148),0))),"")</f>
        <v>2.5245714285714702</v>
      </c>
      <c r="DR148" s="288">
        <f>IF(DI148="S",(IF(AND(AA148&gt;4,AA148&lt;=6),((AA148-4)*DO148/2*0.7*DK148),IF(AA148&lt;4,0,"REVISAR"))),"")</f>
        <v>0</v>
      </c>
      <c r="DS148" s="288">
        <f t="shared" si="0"/>
        <v>82.992000000000161</v>
      </c>
      <c r="DT148" s="288">
        <f t="shared" si="1"/>
        <v>35.568000000000069</v>
      </c>
      <c r="DU148" s="310" t="str">
        <f>IF(B148="S",(IF(DI148="S",IF(G148=$DU$11,DK148,""),"")),"")</f>
        <v/>
      </c>
      <c r="DV148" s="310" t="str">
        <f>IF(B148="S",(IF(DI148="S",IF(G148=$DV$11,DK148,""),"")),"")</f>
        <v/>
      </c>
      <c r="DW148" s="310">
        <f>IF(B148="S",(IF(DI148="S",IF(G148=$DW$11,DK148,""),"")),"")</f>
        <v>8</v>
      </c>
      <c r="DX148" s="310" t="str">
        <f>IF(B148="S",(IF(DI148="S",IF(G148=$DX$11,DK148,""),"")),"")</f>
        <v/>
      </c>
      <c r="DY148" s="310" t="str">
        <f>IF(B148="S",(IF(DI148="S",IF(G148=$DY$11,DK148,""),"")),"")</f>
        <v/>
      </c>
      <c r="DZ148" s="310" t="str">
        <f>IF(B148="S",(IF(DI148="S",IF(G148=$DZ$11,DK148,""),"")),"")</f>
        <v/>
      </c>
      <c r="EA148" s="310" t="str">
        <f>IF(B148="S",(IF(DI148="S",IF(G148=$EA$11,DK148,""),"")),"")</f>
        <v/>
      </c>
      <c r="EB148" s="310" t="str">
        <f>IF(B148="S",(IF(DI148="S",IF(G148=$EB$11,DK148,""),"")),"")</f>
        <v/>
      </c>
      <c r="EC148" s="288">
        <f>IF(B148="S",0.95,"")</f>
        <v>0.95</v>
      </c>
      <c r="ED148" s="310"/>
      <c r="EE148" s="310"/>
      <c r="EF148" s="310"/>
      <c r="EH148" s="310">
        <f>+IF(EC148=0.95,2+((ED148+EE148+EF148)-1),"")</f>
        <v>1</v>
      </c>
    </row>
    <row r="149" spans="1:138" s="288" customFormat="1" hidden="1">
      <c r="C149" s="309"/>
      <c r="D149" s="309"/>
      <c r="E149" s="309"/>
      <c r="F149" s="309"/>
      <c r="G149" s="309"/>
      <c r="H149" s="309"/>
      <c r="I149" s="309"/>
      <c r="J149" s="309"/>
      <c r="K149" s="309"/>
      <c r="L149" s="315"/>
      <c r="Q149" s="309"/>
      <c r="R149" s="311"/>
      <c r="S149" s="311"/>
      <c r="T149" s="311"/>
      <c r="AB149" s="312"/>
      <c r="AF149" s="313"/>
      <c r="AG149" s="313"/>
      <c r="AH149" s="313"/>
      <c r="AI149" s="313"/>
      <c r="AJ149" s="313"/>
      <c r="AS149" s="314"/>
      <c r="AT149" s="315"/>
      <c r="AU149" s="314"/>
      <c r="AV149" s="312"/>
      <c r="AX149" s="206"/>
      <c r="AY149" s="206"/>
      <c r="BE149" s="316"/>
      <c r="BF149" s="316"/>
      <c r="BG149" s="316"/>
      <c r="BH149" s="310"/>
      <c r="BK149" s="309"/>
      <c r="BL149" s="309"/>
      <c r="BM149" s="309"/>
      <c r="BN149" s="309"/>
      <c r="BP149" s="313"/>
      <c r="CC149" s="316"/>
      <c r="CG149" s="313"/>
      <c r="CH149" s="313"/>
      <c r="CI149" s="313"/>
      <c r="CK149" s="313"/>
      <c r="CL149" s="313"/>
      <c r="CM149" s="313"/>
      <c r="CN149" s="313"/>
      <c r="CO149" s="313"/>
      <c r="CP149" s="313"/>
      <c r="CQ149" s="313"/>
      <c r="CR149" s="313"/>
      <c r="CS149" s="313"/>
      <c r="CT149" s="313"/>
      <c r="CU149" s="309"/>
      <c r="DH149" s="309"/>
      <c r="DK149" s="310"/>
      <c r="DN149" s="206"/>
      <c r="DO149" s="206"/>
      <c r="DS149" s="288" t="str">
        <f t="shared" si="0"/>
        <v/>
      </c>
      <c r="DT149" s="288" t="str">
        <f t="shared" si="1"/>
        <v/>
      </c>
      <c r="DU149" s="310"/>
      <c r="DV149" s="310"/>
      <c r="DW149" s="310"/>
      <c r="DX149" s="310"/>
      <c r="DY149" s="310"/>
      <c r="DZ149" s="310"/>
      <c r="EA149" s="310"/>
      <c r="EB149" s="310"/>
      <c r="ED149" s="310"/>
      <c r="EE149" s="310"/>
      <c r="EF149" s="310"/>
      <c r="EH149" s="310"/>
    </row>
    <row r="150" spans="1:138" s="288" customFormat="1" hidden="1">
      <c r="C150" s="309"/>
      <c r="D150" s="309"/>
      <c r="E150" s="309"/>
      <c r="F150" s="309"/>
      <c r="G150" s="309"/>
      <c r="H150" s="309"/>
      <c r="I150" s="309"/>
      <c r="J150" s="309"/>
      <c r="K150" s="309"/>
      <c r="L150" s="315"/>
      <c r="Q150" s="309"/>
      <c r="R150" s="311"/>
      <c r="S150" s="311"/>
      <c r="T150" s="311"/>
      <c r="AB150" s="312"/>
      <c r="AF150" s="313"/>
      <c r="AG150" s="313"/>
      <c r="AH150" s="313"/>
      <c r="AI150" s="313"/>
      <c r="AJ150" s="313"/>
      <c r="AS150" s="314"/>
      <c r="AT150" s="315"/>
      <c r="AU150" s="314"/>
      <c r="AV150" s="312"/>
      <c r="AX150" s="206"/>
      <c r="AY150" s="206"/>
      <c r="BE150" s="316"/>
      <c r="BF150" s="316"/>
      <c r="BG150" s="316"/>
      <c r="BH150" s="310"/>
      <c r="BK150" s="309"/>
      <c r="BL150" s="309"/>
      <c r="BM150" s="309"/>
      <c r="BN150" s="309"/>
      <c r="BP150" s="313"/>
      <c r="CC150" s="316"/>
      <c r="CG150" s="313"/>
      <c r="CH150" s="313"/>
      <c r="CI150" s="313"/>
      <c r="CK150" s="313"/>
      <c r="CL150" s="313"/>
      <c r="CM150" s="313"/>
      <c r="CN150" s="313"/>
      <c r="CO150" s="313"/>
      <c r="CP150" s="313"/>
      <c r="CQ150" s="313"/>
      <c r="CR150" s="313"/>
      <c r="CS150" s="313"/>
      <c r="CT150" s="313"/>
      <c r="CU150" s="309"/>
      <c r="DH150" s="309"/>
      <c r="DK150" s="310"/>
      <c r="DN150" s="206"/>
      <c r="DO150" s="206"/>
      <c r="DS150" s="288" t="str">
        <f t="shared" si="0"/>
        <v/>
      </c>
      <c r="DT150" s="288" t="str">
        <f t="shared" si="1"/>
        <v/>
      </c>
      <c r="DU150" s="310"/>
      <c r="DV150" s="310"/>
      <c r="DW150" s="310"/>
      <c r="DX150" s="310"/>
      <c r="DY150" s="310"/>
      <c r="DZ150" s="310"/>
      <c r="EA150" s="310"/>
      <c r="EB150" s="310"/>
      <c r="ED150" s="310"/>
      <c r="EE150" s="310"/>
      <c r="EF150" s="310"/>
      <c r="EH150" s="310"/>
    </row>
    <row r="151" spans="1:138" s="288" customFormat="1" hidden="1">
      <c r="C151" s="309"/>
      <c r="D151" s="309"/>
      <c r="E151" s="309"/>
      <c r="F151" s="309"/>
      <c r="G151" s="309"/>
      <c r="H151" s="309"/>
      <c r="I151" s="309"/>
      <c r="J151" s="309"/>
      <c r="K151" s="309"/>
      <c r="L151" s="315"/>
      <c r="Q151" s="309"/>
      <c r="R151" s="311"/>
      <c r="S151" s="311"/>
      <c r="T151" s="311"/>
      <c r="AB151" s="312"/>
      <c r="AF151" s="313"/>
      <c r="AG151" s="313"/>
      <c r="AH151" s="313"/>
      <c r="AI151" s="313"/>
      <c r="AJ151" s="313"/>
      <c r="AS151" s="314"/>
      <c r="AT151" s="315"/>
      <c r="AU151" s="314"/>
      <c r="AV151" s="312"/>
      <c r="AX151" s="206"/>
      <c r="AY151" s="206"/>
      <c r="BE151" s="316"/>
      <c r="BF151" s="316"/>
      <c r="BG151" s="316"/>
      <c r="BH151" s="310"/>
      <c r="BK151" s="309"/>
      <c r="BL151" s="309"/>
      <c r="BM151" s="309"/>
      <c r="BN151" s="309"/>
      <c r="BP151" s="313"/>
      <c r="CC151" s="316"/>
      <c r="CG151" s="313"/>
      <c r="CH151" s="313"/>
      <c r="CI151" s="313"/>
      <c r="CK151" s="313"/>
      <c r="CL151" s="313"/>
      <c r="CM151" s="313"/>
      <c r="CN151" s="313"/>
      <c r="CO151" s="313"/>
      <c r="CP151" s="313"/>
      <c r="CQ151" s="313"/>
      <c r="CR151" s="313"/>
      <c r="CS151" s="313"/>
      <c r="CT151" s="313"/>
      <c r="CU151" s="309"/>
      <c r="DH151" s="309"/>
      <c r="DK151" s="310"/>
      <c r="DN151" s="206"/>
      <c r="DO151" s="206"/>
      <c r="DS151" s="288" t="str">
        <f t="shared" si="0"/>
        <v/>
      </c>
      <c r="DT151" s="288" t="str">
        <f t="shared" si="1"/>
        <v/>
      </c>
      <c r="DU151" s="310"/>
      <c r="DV151" s="310"/>
      <c r="DW151" s="310"/>
      <c r="DX151" s="310"/>
      <c r="DY151" s="310"/>
      <c r="DZ151" s="310"/>
      <c r="EA151" s="310"/>
      <c r="EB151" s="310"/>
      <c r="ED151" s="310"/>
      <c r="EE151" s="310"/>
      <c r="EF151" s="310"/>
      <c r="EH151" s="310"/>
    </row>
    <row r="152" spans="1:138" s="288" customFormat="1" hidden="1">
      <c r="C152" s="309"/>
      <c r="D152" s="309"/>
      <c r="E152" s="309"/>
      <c r="F152" s="309"/>
      <c r="G152" s="309"/>
      <c r="H152" s="309"/>
      <c r="I152" s="309"/>
      <c r="J152" s="309"/>
      <c r="K152" s="309"/>
      <c r="L152" s="315"/>
      <c r="Q152" s="309"/>
      <c r="R152" s="311"/>
      <c r="S152" s="311"/>
      <c r="T152" s="311"/>
      <c r="AB152" s="312"/>
      <c r="AF152" s="313"/>
      <c r="AG152" s="313"/>
      <c r="AH152" s="313"/>
      <c r="AI152" s="313"/>
      <c r="AJ152" s="313"/>
      <c r="AS152" s="314"/>
      <c r="AT152" s="315"/>
      <c r="AU152" s="314"/>
      <c r="AV152" s="312"/>
      <c r="AX152" s="206"/>
      <c r="AY152" s="206"/>
      <c r="BE152" s="316"/>
      <c r="BF152" s="316"/>
      <c r="BG152" s="316"/>
      <c r="BH152" s="310"/>
      <c r="BK152" s="309"/>
      <c r="BL152" s="309"/>
      <c r="BM152" s="309"/>
      <c r="BN152" s="309"/>
      <c r="BP152" s="313"/>
      <c r="CC152" s="316"/>
      <c r="CG152" s="313"/>
      <c r="CH152" s="313"/>
      <c r="CI152" s="313"/>
      <c r="CK152" s="313"/>
      <c r="CL152" s="313"/>
      <c r="CM152" s="313"/>
      <c r="CN152" s="313"/>
      <c r="CO152" s="313"/>
      <c r="CP152" s="313"/>
      <c r="CQ152" s="313"/>
      <c r="CR152" s="313"/>
      <c r="CS152" s="313"/>
      <c r="CT152" s="313"/>
      <c r="CU152" s="309"/>
      <c r="DH152" s="309"/>
      <c r="DK152" s="310"/>
      <c r="DN152" s="206"/>
      <c r="DO152" s="206"/>
      <c r="DS152" s="288" t="str">
        <f t="shared" si="0"/>
        <v/>
      </c>
      <c r="DT152" s="288" t="str">
        <f t="shared" si="1"/>
        <v/>
      </c>
      <c r="DU152" s="310"/>
      <c r="DV152" s="310"/>
      <c r="DW152" s="310"/>
      <c r="DX152" s="310"/>
      <c r="DY152" s="310"/>
      <c r="DZ152" s="310"/>
      <c r="EA152" s="310"/>
      <c r="EB152" s="310"/>
      <c r="ED152" s="310"/>
      <c r="EE152" s="310"/>
      <c r="EF152" s="310"/>
      <c r="EH152" s="310"/>
    </row>
    <row r="153" spans="1:138" s="288" customFormat="1" hidden="1">
      <c r="C153" s="309"/>
      <c r="D153" s="309"/>
      <c r="E153" s="309"/>
      <c r="F153" s="309"/>
      <c r="G153" s="309"/>
      <c r="H153" s="309"/>
      <c r="I153" s="309"/>
      <c r="J153" s="309"/>
      <c r="K153" s="309"/>
      <c r="L153" s="315"/>
      <c r="Q153" s="309"/>
      <c r="R153" s="311"/>
      <c r="S153" s="311"/>
      <c r="T153" s="311"/>
      <c r="AB153" s="312"/>
      <c r="AF153" s="313"/>
      <c r="AG153" s="313"/>
      <c r="AH153" s="313"/>
      <c r="AI153" s="313"/>
      <c r="AJ153" s="313"/>
      <c r="AS153" s="314"/>
      <c r="AT153" s="315"/>
      <c r="AU153" s="314"/>
      <c r="AV153" s="312"/>
      <c r="AX153" s="206"/>
      <c r="AY153" s="206"/>
      <c r="BE153" s="316"/>
      <c r="BF153" s="316"/>
      <c r="BG153" s="316"/>
      <c r="BH153" s="310"/>
      <c r="BK153" s="309"/>
      <c r="BL153" s="309"/>
      <c r="BM153" s="309"/>
      <c r="BN153" s="309"/>
      <c r="BP153" s="313"/>
      <c r="CC153" s="316"/>
      <c r="CG153" s="313"/>
      <c r="CH153" s="313"/>
      <c r="CI153" s="313"/>
      <c r="CK153" s="313"/>
      <c r="CL153" s="313"/>
      <c r="CM153" s="313"/>
      <c r="CN153" s="313"/>
      <c r="CO153" s="313"/>
      <c r="CP153" s="313"/>
      <c r="CQ153" s="313"/>
      <c r="CR153" s="313"/>
      <c r="CS153" s="313"/>
      <c r="CT153" s="313"/>
      <c r="CU153" s="309"/>
      <c r="DH153" s="309"/>
      <c r="DK153" s="310"/>
      <c r="DN153" s="206"/>
      <c r="DO153" s="206"/>
      <c r="DS153" s="288" t="str">
        <f t="shared" si="0"/>
        <v/>
      </c>
      <c r="DT153" s="288" t="str">
        <f t="shared" si="1"/>
        <v/>
      </c>
      <c r="DU153" s="310"/>
      <c r="DV153" s="310"/>
      <c r="DW153" s="310"/>
      <c r="DX153" s="310"/>
      <c r="DY153" s="310"/>
      <c r="DZ153" s="310"/>
      <c r="EA153" s="310"/>
      <c r="EB153" s="310"/>
      <c r="ED153" s="310"/>
      <c r="EE153" s="310"/>
      <c r="EF153" s="310"/>
      <c r="EH153" s="310"/>
    </row>
    <row r="154" spans="1:138" s="288" customFormat="1" hidden="1">
      <c r="C154" s="309"/>
      <c r="D154" s="309"/>
      <c r="E154" s="309"/>
      <c r="F154" s="309"/>
      <c r="G154" s="309"/>
      <c r="H154" s="309"/>
      <c r="I154" s="309"/>
      <c r="J154" s="309"/>
      <c r="K154" s="309"/>
      <c r="L154" s="315"/>
      <c r="Q154" s="309"/>
      <c r="R154" s="311"/>
      <c r="S154" s="311"/>
      <c r="T154" s="311"/>
      <c r="AB154" s="312"/>
      <c r="AF154" s="313"/>
      <c r="AG154" s="313"/>
      <c r="AH154" s="313"/>
      <c r="AI154" s="313"/>
      <c r="AJ154" s="313"/>
      <c r="AS154" s="314"/>
      <c r="AT154" s="315"/>
      <c r="AU154" s="314"/>
      <c r="AV154" s="312"/>
      <c r="AX154" s="206"/>
      <c r="AY154" s="206"/>
      <c r="BE154" s="316"/>
      <c r="BF154" s="316"/>
      <c r="BG154" s="316"/>
      <c r="BH154" s="310"/>
      <c r="BK154" s="309"/>
      <c r="BL154" s="309"/>
      <c r="BM154" s="309"/>
      <c r="BN154" s="309"/>
      <c r="BP154" s="313"/>
      <c r="CC154" s="316"/>
      <c r="CG154" s="313"/>
      <c r="CH154" s="313"/>
      <c r="CI154" s="313"/>
      <c r="CK154" s="313"/>
      <c r="CL154" s="313"/>
      <c r="CM154" s="313"/>
      <c r="CN154" s="313"/>
      <c r="CO154" s="313"/>
      <c r="CP154" s="313"/>
      <c r="CQ154" s="313"/>
      <c r="CR154" s="313"/>
      <c r="CS154" s="313"/>
      <c r="CT154" s="313"/>
      <c r="CU154" s="309"/>
      <c r="DH154" s="309"/>
      <c r="DK154" s="310"/>
      <c r="DN154" s="206"/>
      <c r="DO154" s="206"/>
      <c r="DS154" s="288" t="str">
        <f t="shared" si="0"/>
        <v/>
      </c>
      <c r="DT154" s="288" t="str">
        <f t="shared" si="1"/>
        <v/>
      </c>
      <c r="DU154" s="310"/>
      <c r="DV154" s="310"/>
      <c r="DW154" s="310"/>
      <c r="DX154" s="310"/>
      <c r="DY154" s="310"/>
      <c r="DZ154" s="310"/>
      <c r="EA154" s="310"/>
      <c r="EB154" s="310"/>
      <c r="ED154" s="310"/>
      <c r="EE154" s="310"/>
      <c r="EF154" s="310"/>
      <c r="EH154" s="310"/>
    </row>
    <row r="155" spans="1:138" s="288" customFormat="1">
      <c r="A155" s="288" t="s">
        <v>330</v>
      </c>
      <c r="B155" s="288" t="str">
        <f>A155</f>
        <v>S</v>
      </c>
      <c r="C155" s="309" t="str">
        <f>IF(A155="S",'Cálculo_Diseño  (2)'!C156," ")</f>
        <v>C239</v>
      </c>
      <c r="D155" s="309" t="str">
        <f>IF(A155="S",'Cálculo_Diseño  (2)'!D156," ")</f>
        <v>C241</v>
      </c>
      <c r="E155" s="309">
        <f>IF(B155="S",'Cálculo_Diseño  (2)'!AX156," ")</f>
        <v>44.82</v>
      </c>
      <c r="F155" s="309">
        <f>IF(B155="S",'Cálculo_Diseño  (2)'!BL156," ")</f>
        <v>2.5948237394020768</v>
      </c>
      <c r="G155" s="309">
        <f ca="1">IF(B155="S",'Cálculo_Diseño  (2)'!AZ156," ")</f>
        <v>284</v>
      </c>
      <c r="H155" s="309">
        <f>IF(B155="S",'Cálculo_Diseño  (2)'!BB156," ")</f>
        <v>984.48099999999999</v>
      </c>
      <c r="I155" s="309">
        <f>IF(B155="S",'Cálculo_Diseño  (2)'!BC156," ")</f>
        <v>983.25800000000004</v>
      </c>
      <c r="J155" s="309">
        <f>IF(B155="S",'Cálculo_Diseño  (2)'!BH156," ")</f>
        <v>982.73099999999999</v>
      </c>
      <c r="K155" s="309">
        <f>IF(B155="S",'Cálculo_Diseño  (2)'!BI156," ")</f>
        <v>981.56799999999998</v>
      </c>
      <c r="L155" s="315">
        <f>IF(B155="S",+$L$11,"")</f>
        <v>1</v>
      </c>
      <c r="M155" s="288">
        <f>IF(B155="S",(E155^2+(J155-K155)^2)^0.5," ")</f>
        <v>44.835086361018647</v>
      </c>
      <c r="N155" s="288">
        <f>IF(AJ155="S",BK155+0.1,BK155)</f>
        <v>0.79999999999999993</v>
      </c>
      <c r="O155" s="288">
        <f ca="1">IF(B155="S",(IF(G155&lt;=500,1.2,1.5)),"")</f>
        <v>1.2</v>
      </c>
      <c r="P155" s="288">
        <f ca="1">IF(B155="S",(IF(G155&lt;=500,1.2,1.5)),"")</f>
        <v>1.2</v>
      </c>
      <c r="Q155" s="309" t="s">
        <v>331</v>
      </c>
      <c r="R155" s="311" t="str">
        <f>+IF(B155="S",(IF(Q155="FLEXIBLE","S","N")),"")</f>
        <v>N</v>
      </c>
      <c r="S155" s="311" t="str">
        <f>+IF(B155="S",(IF(Q155="ADOQUIN","S","N")),"")</f>
        <v>N</v>
      </c>
      <c r="T155" s="311" t="str">
        <f>+IF(B155="S",(IF(Q155="CONCRETO","S","N")),"")</f>
        <v>S</v>
      </c>
      <c r="U155" s="288">
        <f>IF(B155="S",(IF(R155="S",(((((H155-I155)^2)+(E155^2))^0.5)-CA155-CB155)*$U$11,0)),"")</f>
        <v>0</v>
      </c>
      <c r="V155" s="288">
        <f>IF(B155="S",(IF(S155="S",(((((H155-I155)^2)+(E155^2))^0.5)-CA155-CB155)*$V$11,0)),"")</f>
        <v>0</v>
      </c>
      <c r="W155" s="288">
        <f ca="1">IF(B155="S",(IF(T155="S",(((((H155-I155)^2)+(E155^2))^0.5)-CA155-CB155)*$W$11,0)),"")</f>
        <v>43.636682850094964</v>
      </c>
      <c r="X155" s="288">
        <f>IF(B155="S",(U155*(N155+0.2)*$X$11),"")</f>
        <v>0</v>
      </c>
      <c r="Y155" s="288">
        <f>IF(B155="S",(V155*(N155+0.2)*$Y$11),"")</f>
        <v>0</v>
      </c>
      <c r="Z155" s="288">
        <f ca="1">IF(B155="S",(W155*(N155+0.2)*$Z$11+IF(Q155="CONCRETO",PI()/4*0.2*(O155+0.2*2+0.1*2)^2)),"")</f>
        <v>13.599942864910036</v>
      </c>
      <c r="AA155" s="288">
        <f>IF(B155="S",(((H155-J155)+(I155-K155))/2+BM155),"")</f>
        <v>1.8200000000000274</v>
      </c>
      <c r="AB155" s="312">
        <f>IF(B155="S",($AB$11),"")</f>
        <v>10</v>
      </c>
      <c r="AC155" s="288">
        <f ca="1">IF(B155="S",(IF(CG155="","",(CG155*(AB155/100))*$I$527)),"")</f>
        <v>6.6715771045738075</v>
      </c>
      <c r="AD155" s="288">
        <f>IF(B155="S",(IF(CH155="","",(CH155*AB155/100)*$I$527)),"")</f>
        <v>7.8120654475546503E-2</v>
      </c>
      <c r="AE155" s="288" t="str">
        <f>IF(B155="S",(IF(CI155="","",(CI155*AB155/100)*$I$527)),"")</f>
        <v/>
      </c>
      <c r="AF155" s="313">
        <f ca="1">IF(B155="S",(IF(CG155="","",(CG155*$I$527)-AC155)),"")</f>
        <v>60.044193941164259</v>
      </c>
      <c r="AG155" s="313">
        <f>IF(B155="S",(IF(CH155="","",(CH155*$I$527)-AD155)),"")</f>
        <v>0.70308589027991863</v>
      </c>
      <c r="AH155" s="313" t="str">
        <f>IF(B155="S",(IF(CI155="","",(CI155*$I$527)-AE155)),"")</f>
        <v/>
      </c>
      <c r="AI155" s="313">
        <f ca="1">IF(B155="S",((BY155*(L155/100))*1.1),"")</f>
        <v>0.68178765242922756</v>
      </c>
      <c r="AJ155" s="313" t="str">
        <f>IF(B155="S",(IF(AA155&lt;1,"N","S")),"")</f>
        <v>S</v>
      </c>
      <c r="AK155" s="288">
        <f>IF(B155="S",(IF(AJ155="S",(E155*AA155*0.7*2),0)),"")</f>
        <v>114.2013600000017</v>
      </c>
      <c r="AL155" s="288">
        <f>IF(B155="S",(IF(AJ155="S",(E155*AA155*0.3*2),0)),"")</f>
        <v>48.943440000000734</v>
      </c>
      <c r="AM155" s="288">
        <f>IF(B155="S",(IF(F155&gt;20,N155*(M155/10)*AA155,0)),"")</f>
        <v>0</v>
      </c>
      <c r="AN155" s="288">
        <f>IF(B155="S",((M155-0.4)*$AN$11),"")</f>
        <v>0</v>
      </c>
      <c r="AO155" s="288">
        <f>IF(B155="S",((M155-0.4)*$AO$11),"")</f>
        <v>0</v>
      </c>
      <c r="AP155" s="288">
        <f ca="1">IF(B155="S",((M155-(O155/2)-(P155/2))*$AP$11),"")</f>
        <v>43.635086361018644</v>
      </c>
      <c r="AQ155" s="288">
        <f ca="1">+SUM(AC155:AI155)</f>
        <v>68.178765242922751</v>
      </c>
      <c r="AR155" s="288">
        <f ca="1">+AT155+AU155+AZ155+BA155+BB155+BI155</f>
        <v>68.178765242922751</v>
      </c>
      <c r="AS155" s="314">
        <f ca="1">IF(B155="S",((N155*(0.4+G155/1000))-((G155/1000)^2*PI()/4)),"")</f>
        <v>0.4838529257330153</v>
      </c>
      <c r="AT155" s="315">
        <f ca="1">IF(B155="S",(AS155*AP155)-IF(BI155&gt;0,BI155,0),"")</f>
        <v>21.112964200391662</v>
      </c>
      <c r="AU155" s="314">
        <f ca="1">IF(B155="S",IF(Q155="NATURAL",0,(($AU$11*N155*AP155))),"")</f>
        <v>13.963227635525966</v>
      </c>
      <c r="AV155" s="312">
        <f>IF(B155="S",$AV$11,"")</f>
        <v>30</v>
      </c>
      <c r="AW155" s="288">
        <f ca="1">IF(B155="S",(BY155*1.1-(AT155+BI155)-AU155-BB155-AX155-AY155),"")</f>
        <v>30.263357538358875</v>
      </c>
      <c r="AX155" s="206"/>
      <c r="AY155" s="206"/>
      <c r="AZ155" s="288">
        <f ca="1">IF(B155="S",((BY155*1.1-BB155-(AT155+BI155)-AU155-AX155-AY155)*AV155/100),"")</f>
        <v>9.0790072615076625</v>
      </c>
      <c r="BA155" s="288">
        <f ca="1">IF(B155="S",(IF(AW155&gt;AZ155,AW155-AZ155,0)),"")</f>
        <v>21.184350276851212</v>
      </c>
      <c r="BB155" s="288">
        <f ca="1">IF(B155="S",((((G155/1000)^2)/4*PI())*E155),"")</f>
        <v>2.8392158686462485</v>
      </c>
      <c r="BC155" s="288">
        <f ca="1">IF(B155="S",(BY155*1.1-AZ155),"")</f>
        <v>59.099757981415088</v>
      </c>
      <c r="BD155" s="288">
        <f ca="1">IF(B155="S",(IF(O155=1.2,IF((H155-J155)&lt;=1.2,H155-J155,H155-J155-0.95))),"")</f>
        <v>0.8</v>
      </c>
      <c r="BE155" s="316" t="b">
        <f ca="1">IF(B155="S",(IF(O155=1.5,IF(H155-J155&lt;=1,0,H155-J155-1))),"")</f>
        <v>0</v>
      </c>
      <c r="BF155" s="316" t="b">
        <f ca="1">IF(B155="S",(IF(O155&lt;=0.8,IF(H155-J155&lt;=1,0,H155-J155))),"")</f>
        <v>0</v>
      </c>
      <c r="BG155" s="316" t="b">
        <f ca="1">IF(B155="S",(IF(O155&lt;=0.6,IF(H155-J155&lt;=1,H155-J155,0))),"")</f>
        <v>0</v>
      </c>
      <c r="BH155" s="310">
        <f ca="1">IF(B155="S",(IF(BD155="","",IF(BD155="FALSO","",1))),"")</f>
        <v>1</v>
      </c>
      <c r="BI155" s="288">
        <f>IF(B155="S",(IF(F155&gt;=15,N155*((G155/1000)+0.3)*0.2,0)*(E155/5+1)),"")</f>
        <v>0</v>
      </c>
      <c r="BJ155" s="288">
        <f xml:space="preserve"> IF(B155="S",(BN155+BM155+0.3),"")</f>
        <v>0.76</v>
      </c>
      <c r="BK155" s="309">
        <f>IF(B155="S",(VLOOKUP('Cálculo_Diseño  (2)'!AY156,'TABLA (2)'!$H$102:'TABLA (2)'!$U$135,3)),"")</f>
        <v>0.7</v>
      </c>
      <c r="BL155" s="309">
        <f>IF(B155="S",(VLOOKUP('Cálculo_Diseño  (2)'!AY156,'TABLA (2)'!$H$102:'TABLA (2)'!$U$135,10)),"")</f>
        <v>0.55000000000000004</v>
      </c>
      <c r="BM155" s="309">
        <f>IF(B155="S",(VLOOKUP('Cálculo_Diseño  (2)'!AY156,'TABLA (2)'!$H$102:'TABLA (2)'!$U$135,11)),"")</f>
        <v>0.1</v>
      </c>
      <c r="BN155" s="309">
        <f>IF(B155="S",(VLOOKUP('Cálculo_Diseño  (2)'!AY156,'TABLA (2)'!$H$102:'TABLA (2)'!$U$135,12)),"")</f>
        <v>0.36</v>
      </c>
      <c r="BO155" s="288">
        <f>V155</f>
        <v>0</v>
      </c>
      <c r="BP155" s="313">
        <f>+IF(B155="S",(IF((1.8-AA155)&gt;=0,AA155+0.2,2)),"")</f>
        <v>2</v>
      </c>
      <c r="BQ155" s="288">
        <f>+IF(B155="S",(IF(BP155=2,IF((3.8-AA155)&gt;=0,(AA155+0.2-2),2),0)),"")</f>
        <v>2.0000000000027551E-2</v>
      </c>
      <c r="BR155" s="288">
        <f>+IF(B155="S",(IF(BQ155=2,AA155+0.2-4,0)),"")</f>
        <v>0</v>
      </c>
      <c r="BS155" s="288">
        <f>IF(B155="S",((N155*(0.3+BN155/2)-0.392699*BN155*BN155)*AO155),"")</f>
        <v>0</v>
      </c>
      <c r="BU155" s="288">
        <f ca="1">IF(B155="S",((N155*(0.3+5*BN155/6)-0.699815*BN155*BN155)*AP155),"")</f>
        <v>16.987312613447926</v>
      </c>
      <c r="BV155" s="288">
        <f ca="1">IF(B155="S",(IF(BP155=0,"",(BP155)*(M155)*N155-(U155*$X$11+V155*$Y$11+W155*$Z$11)*N155)),"")</f>
        <v>61.263334293607038</v>
      </c>
      <c r="BW155" s="288">
        <f>IF(B155="S",(IF(BQ155=0,"",(M155)*BQ155*N155)),"")</f>
        <v>0.71736138177728648</v>
      </c>
      <c r="BX155" s="288" t="str">
        <f>IF(B155="S",(IF(BR155=0,"",(M155)*BR155*N155)),"")</f>
        <v/>
      </c>
      <c r="BY155" s="288">
        <f ca="1">IF(B155="S",((AA155+0.2)*N155*(M155)-(U155*$X$11+V155*$Y$11+W155*$Z$11)*N155),"")</f>
        <v>61.980695675384318</v>
      </c>
      <c r="BZ155" s="288">
        <f>IF(B155="S",((N155*(0.3+BN155/2)-0.392699*BN155*BN155)*AN155),"")</f>
        <v>0</v>
      </c>
      <c r="CA155" s="288">
        <f ca="1">IF(B155="S",(IF(O155=1.2,(O155/2),IF(O155=0.8,O155/2,IF(O155=1.5,O155/2,IF(O155=0.6,O155/2,"IDIOT"))))),"")</f>
        <v>0.6</v>
      </c>
      <c r="CB155" s="288">
        <f ca="1">IF(B155="S",(IF(P155=1.2,(P155/2),IF(P155=0.8,P155/2,IF(P155=1.5,P155/2,IF(P155=0.6,P155/2,"IDIOT"))))),"")</f>
        <v>0.6</v>
      </c>
      <c r="CC155" s="316">
        <f>IF(B155="S",((BN155/2+0.1)*N155),"")</f>
        <v>0.224</v>
      </c>
      <c r="CD155" s="288">
        <f>IF(B155="S",((BN155/2+BN155/4)*N155),"")</f>
        <v>0.216</v>
      </c>
      <c r="CE155" s="288">
        <f>IF(B155="S",(0.392699*BN155*BN155),"")</f>
        <v>5.0893790399999993E-2</v>
      </c>
      <c r="CF155" s="288" t="str">
        <f ca="1">+IF(B155="S",(IF(((H155-J155)-(G155/1000))&lt;=0.9,"E1",IF(((H155-J155)-(G155/1000))&lt;=2.5,"E2","E3"))),"")</f>
        <v>E2</v>
      </c>
      <c r="CG155" s="313">
        <f ca="1">IF(B155="S",(IF(BV155="","",BV155-(BV155*L155/100))),"")</f>
        <v>60.650700950670966</v>
      </c>
      <c r="CH155" s="313">
        <f>IF(B155="S",(IF(BW155="","",BW155-(BW155*L155/100))),"")</f>
        <v>0.71018776795951366</v>
      </c>
      <c r="CI155" s="313" t="str">
        <f>IF(C155="S",(IF(BX155="","",BX155-(BX155*M155/100))),"")</f>
        <v/>
      </c>
      <c r="CJ155" s="288">
        <f ca="1">'Cálculo_Diseño  (2)'!BD156</f>
        <v>1.4504999999999999</v>
      </c>
      <c r="CK155" s="313">
        <f ca="1">+IF(B155="S",(IF((CJ155+CU155)&gt;2,2,CJ155+CU155)),"")</f>
        <v>2</v>
      </c>
      <c r="CL155" s="313">
        <f ca="1">+IF(B155="S",(IF((CJ155+CU155)&gt;4,2,IF(AND((CJ155+CU155)&lt;=4,(CJ155+CU155)&gt;=2),((CJ155+CU155)-CK155),0))),"")</f>
        <v>0.9009999999999998</v>
      </c>
      <c r="CM155" s="313">
        <f ca="1">+IF(B155="S",(IF((CJ155+CU155)&gt;4,((CJ155+CU155)-(CK155+CL155)),0)),"")</f>
        <v>0</v>
      </c>
      <c r="CN155" s="313">
        <f ca="1">IF(B155="S",IF((CJ155+CU155)&lt;1.5,(ROUND(CJ155*PI()/4*(2.2)^2+CU155*(PI()/4*(2.2)^2 -PI()/4*(1.6)^2),2)),IF((CJ155+CU155)&lt;=2,(ROUND(((PI()*2.2^2)/4)*0.95-(((1/3)*PI()*0.95*(0.45^2+0.7^2+0.45*0.7)))+(CJ155*PI()/4*(2.2)^2)+(((((CU155)-0.95)*PI()*2.2^2)/4))-((((CU155)-0.95)*PI()*1.6^2)/4),2)),IF((CJ155+CU155)&gt;2,(ROUND(IF(CU155&lt;2,((PI()*2.2^2)/4)*0.95-(((1/3)*PI()*0.95*(0.45^2+0.7^2+0.45*0.7)))+((CU155-0.95)*(PI()/4*(2.2)^2 -PI()/4*(1.6)^2))+(2-CU155)*PI()/4*(2.2)^2,((PI()*2.2^2)/4)*0.95-(((1/3)*PI()*0.95*(0.45^2+0.7^2+0.45*0.7)))+((2-0.95)*(PI()/4*(2.2)^2 -PI()/4*(1.6)^2))),2))))),"")</f>
        <v>5.59</v>
      </c>
      <c r="CO155" s="313">
        <f ca="1">IF(B155="S",ROUND(IF(CL155&lt;=0,0,IF(AND(CL155&gt;0,CU155&lt;=0),CL155*PI()/4*2.2^(2),IF(AND(CL155&gt;0,CU155&gt;=4),CL155*(PI()/4*2.2^2-PI()/4*1.6^2),IF(AND(CL155&gt;0,CU155&gt;2,CU155&lt;4,CJ155&gt;0),(CU155-2)*(PI()/4*2.2^(2)-PI()/4*1.6^(2))+IF((CU155+CJ155)&gt;4,(4-CU155)*(PI()/4*2.2^(2)),(CJ155)*PI()/4*(2.2^2)),IF(AND(CL155&gt;0,CU155&lt;=2),(CL155*PI()/4*2.2^2)))))),2),"")</f>
        <v>3.42</v>
      </c>
      <c r="CP155" s="313">
        <f ca="1">IF(B155="S",(ROUND(IF(CM155&lt;=0,0,IF(AND(CM155&gt;0,CU155&lt;=0),CM155*PI()/4*2.2^(2),IF(AND(CM155&gt;0,CU155&gt;4,CJ155&lt;=0),CM155*(PI()/4*2.2^2-PI()/4*1.6^2),IF(AND(CM155&gt;0,CU155&lt;=4),CM155*PI()/4*2.2^2)))),2)),"")</f>
        <v>0</v>
      </c>
      <c r="CQ155" s="313">
        <f ca="1">IF(B155="S",IF(CK155&gt;1.5,(2*PI()*(0.9)*(CJ155+CU155)),0),"")</f>
        <v>16.40476851851518</v>
      </c>
      <c r="CR155" s="313">
        <f ca="1">IF(B155="S",(ROUND(IF(CN155&gt;0,CN155+CO155+CP155-CS155,0),2)),"")</f>
        <v>2.91</v>
      </c>
      <c r="CS155" s="313">
        <f ca="1">IF(B155="S",(IF(CJ155=0,0,IF(AND((H155-J155)&lt;1.5,CU155&gt;0),ROUND(CU155*(PI()/4*(2.2)^2 -PI()/4*(1.6)^2),2),(ROUND(((PI()*2.2^2)/4)*0.95-(((1/3)*PI()*0.95*(0.45^2+0.7^2+0.45*0.7)))+(((((CJ155+CU155)-0.95)*PI()*2.2^2)/4))-((((CJ155+CU155)-0.95)*PI()*1.6^2)/4),2))))),"")</f>
        <v>6.1</v>
      </c>
      <c r="CT155" s="313" t="str">
        <f ca="1">IF(B155="S",(IF(CN155&gt;=0,IF(CN155+CO155+CP155=(CR155+CS155),"OK","VERIFICAR"),0)),"")</f>
        <v>OK</v>
      </c>
      <c r="CU155" s="309">
        <f ca="1">'Cálculo_Diseño  (2)'!BD156</f>
        <v>1.4504999999999999</v>
      </c>
      <c r="CV155" s="288" t="str">
        <f ca="1">IF(G155=182,M155-(O155/2)-(P155/2),"")</f>
        <v/>
      </c>
      <c r="CW155" s="288" t="str">
        <f ca="1">IF(G155=227,M155-(O155/2)-(P155/2),"")</f>
        <v/>
      </c>
      <c r="CX155" s="288">
        <f ca="1">IF(G155=284,M155-(O155/2)-(P155/2),"")</f>
        <v>43.635086361018644</v>
      </c>
      <c r="CY155" s="288" t="str">
        <f ca="1">IF(G155=327,M155-(O155/2)-(P155/2),"")</f>
        <v/>
      </c>
      <c r="CZ155" s="288" t="str">
        <f ca="1">IF(G155=362,M155-(O155/2)-(P155/2),"")</f>
        <v/>
      </c>
      <c r="DA155" s="288" t="str">
        <f ca="1">IF(G155=407,M155-(O155/2)-(P155/2),"")</f>
        <v/>
      </c>
      <c r="DB155" s="288" t="str">
        <f ca="1">IF(G155=452,M155-(O155/2)-(P155/2),"")</f>
        <v/>
      </c>
      <c r="DC155" s="288" t="str">
        <f ca="1">IF(G155=595.12,M155-(O155/2)-(P155/2),"")</f>
        <v/>
      </c>
      <c r="DD155" s="288" t="str">
        <f ca="1">IF(G155=670,M155-(O155/2)-(P155/2),"")</f>
        <v/>
      </c>
      <c r="DE155" s="288" t="str">
        <f ca="1">IF(G155=747,M155-(O155/2)-(P155/2),"")</f>
        <v/>
      </c>
      <c r="DF155" s="288" t="str">
        <f ca="1">IF(G155=823.09,M155-(O155/2)-(P155/2),"")</f>
        <v/>
      </c>
      <c r="DG155" s="288" t="str">
        <f ca="1">IF(G155=899.03,M155-(O155/2)-(P155/2),"")</f>
        <v/>
      </c>
      <c r="DH155" s="309"/>
      <c r="DI155" s="288" t="str">
        <f>+IF(B155="S",B155,"N")</f>
        <v>S</v>
      </c>
      <c r="DJ155" s="288">
        <f>+IF(DI155="S",E155,"")</f>
        <v>44.82</v>
      </c>
      <c r="DK155" s="310">
        <v>16</v>
      </c>
      <c r="DL155" s="288">
        <f>IF(DI155="S",((((AA155+1)*6)/2)*0.7*DK155),"")</f>
        <v>94.752000000000919</v>
      </c>
      <c r="DM155" s="288">
        <f>IF(DI155="S",(ATAN(6/(AA155-1))*180/PI()),"")</f>
        <v>82.21778927598973</v>
      </c>
      <c r="DN155" s="206">
        <f>IF(DI155="S",(TAN(DM155*PI()/180)*(AA155-2)),"")</f>
        <v>-1.3170731707314622</v>
      </c>
      <c r="DO155" s="206">
        <f>IF(DI155="S",(TAN(DM155*PI()/180)*(AA155-4)),"")</f>
        <v>-15.951219512194378</v>
      </c>
      <c r="DP155" s="288">
        <f>IF(DI155="S",(IF(AA155&lt;=2,((((AA155+1)*6)/2)*0.7*DK155),IF(AND(AA155&gt;2,AA155&lt;=4),((((AA155+1)*6)/2)*0.7*DK155)-(((AA155-2)*DN155)/2*0.7*DK155),IF(AND(AA155&gt;4,AA155&lt;=6),((((AA155+1)*6)/2)*0.7*DK155)-(((AA155-2)*DN155)/2*0.7*DK155),0)))),"")</f>
        <v>94.752000000000919</v>
      </c>
      <c r="DQ155" s="288">
        <f>IF(DI155="S",(IF(AND(AA155&gt;2,AA155&lt;=4),(((AA155-2)*DN155)/2*0.7*DK155),IF(AND(AA155&gt;4,AA155&lt;=6),(((AA155-2)*DN155)/2*0.7*DK155)-((AA155-4)*DO155/2*0.7*DK155),0))),"")</f>
        <v>0</v>
      </c>
      <c r="DR155" s="288">
        <f>IF(DI155="S",(IF(AND(AA155&gt;4,AA155&lt;=6),((AA155-4)*DO155/2*0.7*DK155),IF(AA155&lt;4,0,"REVISAR"))),"")</f>
        <v>0</v>
      </c>
      <c r="DS155" s="288">
        <f t="shared" si="0"/>
        <v>122.30400000000184</v>
      </c>
      <c r="DT155" s="288">
        <f t="shared" si="1"/>
        <v>52.416000000000793</v>
      </c>
      <c r="DU155" s="310" t="str">
        <f ca="1">IF(B155="S",(IF(DI155="S",IF(G155=$DU$11,DK155,""),"")),"")</f>
        <v/>
      </c>
      <c r="DV155" s="310" t="str">
        <f ca="1">IF(B155="S",(IF(DI155="S",IF(G155=$DV$11,DK155,""),"")),"")</f>
        <v/>
      </c>
      <c r="DW155" s="310">
        <f ca="1">IF(B155="S",(IF(DI155="S",IF(G155=$DW$11,DK155,""),"")),"")</f>
        <v>16</v>
      </c>
      <c r="DX155" s="310" t="str">
        <f ca="1">IF(B155="S",(IF(DI155="S",IF(G155=$DX$11,DK155,""),"")),"")</f>
        <v/>
      </c>
      <c r="DY155" s="310" t="str">
        <f ca="1">IF(B155="S",(IF(DI155="S",IF(G155=$DY$11,DK155,""),"")),"")</f>
        <v/>
      </c>
      <c r="DZ155" s="310" t="str">
        <f ca="1">IF(B155="S",(IF(DI155="S",IF(G155=$DZ$11,DK155,""),"")),"")</f>
        <v/>
      </c>
      <c r="EA155" s="310" t="str">
        <f ca="1">IF(B155="S",(IF(DI155="S",IF(G155=$EA$11,DK155,""),"")),"")</f>
        <v/>
      </c>
      <c r="EB155" s="310" t="str">
        <f ca="1">IF(B155="S",(IF(DI155="S",IF(G155=$EB$11,DK155,""),"")),"")</f>
        <v/>
      </c>
      <c r="EC155" s="288">
        <f>IF(B155="S",0.95,"")</f>
        <v>0.95</v>
      </c>
      <c r="ED155" s="310"/>
      <c r="EE155" s="310"/>
      <c r="EF155" s="310"/>
      <c r="EH155" s="310">
        <f>+IF(EC155=0.95,2+((ED155+EE155+EF155)-1),"")</f>
        <v>1</v>
      </c>
    </row>
    <row r="156" spans="1:138" s="288" customFormat="1" hidden="1">
      <c r="C156" s="309"/>
      <c r="D156" s="309"/>
      <c r="E156" s="309"/>
      <c r="F156" s="309"/>
      <c r="G156" s="309"/>
      <c r="H156" s="309"/>
      <c r="I156" s="309"/>
      <c r="J156" s="309"/>
      <c r="K156" s="309"/>
      <c r="L156" s="315"/>
      <c r="Q156" s="309"/>
      <c r="R156" s="311"/>
      <c r="S156" s="311"/>
      <c r="T156" s="311"/>
      <c r="AB156" s="312"/>
      <c r="AF156" s="313"/>
      <c r="AG156" s="313"/>
      <c r="AH156" s="313"/>
      <c r="AI156" s="313"/>
      <c r="AJ156" s="313"/>
      <c r="AS156" s="314"/>
      <c r="AT156" s="315"/>
      <c r="AU156" s="314"/>
      <c r="AV156" s="312"/>
      <c r="AX156" s="206"/>
      <c r="AY156" s="206"/>
      <c r="BE156" s="316"/>
      <c r="BF156" s="316"/>
      <c r="BG156" s="316"/>
      <c r="BH156" s="310"/>
      <c r="BK156" s="309"/>
      <c r="BL156" s="309"/>
      <c r="BM156" s="309"/>
      <c r="BN156" s="309"/>
      <c r="BP156" s="313"/>
      <c r="CC156" s="316"/>
      <c r="CG156" s="313"/>
      <c r="CH156" s="313"/>
      <c r="CI156" s="313"/>
      <c r="CK156" s="313"/>
      <c r="CL156" s="313"/>
      <c r="CM156" s="313"/>
      <c r="CN156" s="313"/>
      <c r="CO156" s="313"/>
      <c r="CP156" s="313"/>
      <c r="CQ156" s="313"/>
      <c r="CR156" s="313"/>
      <c r="CS156" s="313"/>
      <c r="CT156" s="313"/>
      <c r="CU156" s="309"/>
      <c r="DH156" s="309"/>
      <c r="DK156" s="310"/>
      <c r="DN156" s="206"/>
      <c r="DO156" s="206"/>
      <c r="DS156" s="288" t="str">
        <f t="shared" si="0"/>
        <v/>
      </c>
      <c r="DT156" s="288" t="str">
        <f t="shared" si="1"/>
        <v/>
      </c>
      <c r="DU156" s="310"/>
      <c r="DV156" s="310"/>
      <c r="DW156" s="310"/>
      <c r="DX156" s="310"/>
      <c r="DY156" s="310"/>
      <c r="DZ156" s="310"/>
      <c r="EA156" s="310"/>
      <c r="EB156" s="310"/>
      <c r="ED156" s="310"/>
      <c r="EE156" s="310"/>
      <c r="EF156" s="310"/>
      <c r="EH156" s="310"/>
    </row>
    <row r="157" spans="1:138" s="288" customFormat="1" hidden="1">
      <c r="C157" s="309"/>
      <c r="D157" s="309"/>
      <c r="E157" s="309"/>
      <c r="F157" s="309"/>
      <c r="G157" s="309"/>
      <c r="H157" s="309"/>
      <c r="I157" s="309"/>
      <c r="J157" s="309"/>
      <c r="K157" s="309"/>
      <c r="L157" s="315"/>
      <c r="Q157" s="309"/>
      <c r="R157" s="311"/>
      <c r="S157" s="311"/>
      <c r="T157" s="311"/>
      <c r="AB157" s="312"/>
      <c r="AF157" s="313"/>
      <c r="AG157" s="313"/>
      <c r="AH157" s="313"/>
      <c r="AI157" s="313"/>
      <c r="AJ157" s="313"/>
      <c r="AS157" s="314"/>
      <c r="AT157" s="315"/>
      <c r="AU157" s="314"/>
      <c r="AV157" s="312"/>
      <c r="AX157" s="206"/>
      <c r="AY157" s="206"/>
      <c r="BE157" s="316"/>
      <c r="BF157" s="316"/>
      <c r="BG157" s="316"/>
      <c r="BH157" s="310"/>
      <c r="BK157" s="309"/>
      <c r="BL157" s="309"/>
      <c r="BM157" s="309"/>
      <c r="BN157" s="309"/>
      <c r="BP157" s="313"/>
      <c r="CC157" s="316"/>
      <c r="CG157" s="313"/>
      <c r="CH157" s="313"/>
      <c r="CI157" s="313"/>
      <c r="CK157" s="313"/>
      <c r="CL157" s="313"/>
      <c r="CM157" s="313"/>
      <c r="CN157" s="313"/>
      <c r="CO157" s="313"/>
      <c r="CP157" s="313"/>
      <c r="CQ157" s="313"/>
      <c r="CR157" s="313"/>
      <c r="CS157" s="313"/>
      <c r="CT157" s="313"/>
      <c r="CU157" s="309"/>
      <c r="DH157" s="309"/>
      <c r="DK157" s="310"/>
      <c r="DN157" s="206"/>
      <c r="DO157" s="206"/>
      <c r="DS157" s="288" t="str">
        <f t="shared" si="0"/>
        <v/>
      </c>
      <c r="DT157" s="288" t="str">
        <f t="shared" si="1"/>
        <v/>
      </c>
      <c r="DU157" s="310"/>
      <c r="DV157" s="310"/>
      <c r="DW157" s="310"/>
      <c r="DX157" s="310"/>
      <c r="DY157" s="310"/>
      <c r="DZ157" s="310"/>
      <c r="EA157" s="310"/>
      <c r="EB157" s="310"/>
      <c r="ED157" s="310"/>
      <c r="EE157" s="310"/>
      <c r="EF157" s="310"/>
      <c r="EH157" s="310"/>
    </row>
    <row r="158" spans="1:138" s="288" customFormat="1" hidden="1">
      <c r="C158" s="309"/>
      <c r="D158" s="309"/>
      <c r="E158" s="309"/>
      <c r="F158" s="309"/>
      <c r="G158" s="309"/>
      <c r="H158" s="309"/>
      <c r="I158" s="309"/>
      <c r="J158" s="309"/>
      <c r="K158" s="309"/>
      <c r="L158" s="315"/>
      <c r="Q158" s="309"/>
      <c r="R158" s="311"/>
      <c r="S158" s="311"/>
      <c r="T158" s="311"/>
      <c r="AB158" s="312"/>
      <c r="AF158" s="313"/>
      <c r="AG158" s="313"/>
      <c r="AH158" s="313"/>
      <c r="AI158" s="313"/>
      <c r="AJ158" s="313"/>
      <c r="AS158" s="314"/>
      <c r="AT158" s="315"/>
      <c r="AU158" s="314"/>
      <c r="AV158" s="312"/>
      <c r="AX158" s="206"/>
      <c r="AY158" s="206"/>
      <c r="BE158" s="316"/>
      <c r="BF158" s="316"/>
      <c r="BG158" s="316"/>
      <c r="BH158" s="310"/>
      <c r="BK158" s="309"/>
      <c r="BL158" s="309"/>
      <c r="BM158" s="309"/>
      <c r="BN158" s="309"/>
      <c r="BP158" s="313"/>
      <c r="CC158" s="316"/>
      <c r="CG158" s="313"/>
      <c r="CH158" s="313"/>
      <c r="CI158" s="313"/>
      <c r="CK158" s="313"/>
      <c r="CL158" s="313"/>
      <c r="CM158" s="313"/>
      <c r="CN158" s="313"/>
      <c r="CO158" s="313"/>
      <c r="CP158" s="313"/>
      <c r="CQ158" s="313"/>
      <c r="CR158" s="313"/>
      <c r="CS158" s="313"/>
      <c r="CT158" s="313"/>
      <c r="CU158" s="309"/>
      <c r="DH158" s="309"/>
      <c r="DK158" s="310"/>
      <c r="DN158" s="206"/>
      <c r="DO158" s="206"/>
      <c r="DS158" s="288" t="str">
        <f t="shared" si="0"/>
        <v/>
      </c>
      <c r="DT158" s="288" t="str">
        <f t="shared" si="1"/>
        <v/>
      </c>
      <c r="DU158" s="310"/>
      <c r="DV158" s="310"/>
      <c r="DW158" s="310"/>
      <c r="DX158" s="310"/>
      <c r="DY158" s="310"/>
      <c r="DZ158" s="310"/>
      <c r="EA158" s="310"/>
      <c r="EB158" s="310"/>
      <c r="ED158" s="310"/>
      <c r="EE158" s="310"/>
      <c r="EF158" s="310"/>
      <c r="EH158" s="310"/>
    </row>
    <row r="159" spans="1:138" s="288" customFormat="1" hidden="1">
      <c r="C159" s="309"/>
      <c r="D159" s="309"/>
      <c r="E159" s="309"/>
      <c r="F159" s="309"/>
      <c r="G159" s="309"/>
      <c r="H159" s="309"/>
      <c r="I159" s="309"/>
      <c r="J159" s="309"/>
      <c r="K159" s="309"/>
      <c r="L159" s="315"/>
      <c r="Q159" s="309"/>
      <c r="R159" s="311"/>
      <c r="S159" s="311"/>
      <c r="T159" s="311"/>
      <c r="AB159" s="312"/>
      <c r="AF159" s="313"/>
      <c r="AG159" s="313"/>
      <c r="AH159" s="313"/>
      <c r="AI159" s="313"/>
      <c r="AJ159" s="313"/>
      <c r="AS159" s="314"/>
      <c r="AT159" s="315"/>
      <c r="AU159" s="314"/>
      <c r="AV159" s="312"/>
      <c r="AX159" s="206"/>
      <c r="AY159" s="206"/>
      <c r="BE159" s="316"/>
      <c r="BF159" s="316"/>
      <c r="BG159" s="316"/>
      <c r="BH159" s="310"/>
      <c r="BK159" s="309"/>
      <c r="BL159" s="309"/>
      <c r="BM159" s="309"/>
      <c r="BN159" s="309"/>
      <c r="BP159" s="313"/>
      <c r="CC159" s="316"/>
      <c r="CG159" s="313"/>
      <c r="CH159" s="313"/>
      <c r="CI159" s="313"/>
      <c r="CK159" s="313"/>
      <c r="CL159" s="313"/>
      <c r="CM159" s="313"/>
      <c r="CN159" s="313"/>
      <c r="CO159" s="313"/>
      <c r="CP159" s="313"/>
      <c r="CQ159" s="313"/>
      <c r="CR159" s="313"/>
      <c r="CS159" s="313"/>
      <c r="CT159" s="313"/>
      <c r="CU159" s="309"/>
      <c r="DH159" s="309"/>
      <c r="DK159" s="310"/>
      <c r="DN159" s="206"/>
      <c r="DO159" s="206"/>
      <c r="DS159" s="288" t="str">
        <f t="shared" si="0"/>
        <v/>
      </c>
      <c r="DT159" s="288" t="str">
        <f t="shared" si="1"/>
        <v/>
      </c>
      <c r="DU159" s="310"/>
      <c r="DV159" s="310"/>
      <c r="DW159" s="310"/>
      <c r="DX159" s="310"/>
      <c r="DY159" s="310"/>
      <c r="DZ159" s="310"/>
      <c r="EA159" s="310"/>
      <c r="EB159" s="310"/>
      <c r="ED159" s="310"/>
      <c r="EE159" s="310"/>
      <c r="EF159" s="310"/>
      <c r="EH159" s="310"/>
    </row>
    <row r="160" spans="1:138" s="288" customFormat="1" hidden="1">
      <c r="C160" s="309"/>
      <c r="D160" s="309"/>
      <c r="E160" s="309"/>
      <c r="F160" s="309"/>
      <c r="G160" s="309"/>
      <c r="H160" s="309"/>
      <c r="I160" s="309"/>
      <c r="J160" s="309"/>
      <c r="K160" s="309"/>
      <c r="L160" s="315"/>
      <c r="Q160" s="309"/>
      <c r="R160" s="311"/>
      <c r="S160" s="311"/>
      <c r="T160" s="311"/>
      <c r="AB160" s="312"/>
      <c r="AF160" s="313"/>
      <c r="AG160" s="313"/>
      <c r="AH160" s="313"/>
      <c r="AI160" s="313"/>
      <c r="AJ160" s="313"/>
      <c r="AS160" s="314"/>
      <c r="AT160" s="315"/>
      <c r="AU160" s="314"/>
      <c r="AV160" s="312"/>
      <c r="AX160" s="206"/>
      <c r="AY160" s="206"/>
      <c r="BE160" s="316"/>
      <c r="BF160" s="316"/>
      <c r="BG160" s="316"/>
      <c r="BH160" s="310"/>
      <c r="BK160" s="309"/>
      <c r="BL160" s="309"/>
      <c r="BM160" s="309"/>
      <c r="BN160" s="309"/>
      <c r="BP160" s="313"/>
      <c r="CC160" s="316"/>
      <c r="CG160" s="313"/>
      <c r="CH160" s="313"/>
      <c r="CI160" s="313"/>
      <c r="CK160" s="313"/>
      <c r="CL160" s="313"/>
      <c r="CM160" s="313"/>
      <c r="CN160" s="313"/>
      <c r="CO160" s="313"/>
      <c r="CP160" s="313"/>
      <c r="CQ160" s="313"/>
      <c r="CR160" s="313"/>
      <c r="CS160" s="313"/>
      <c r="CT160" s="313"/>
      <c r="CU160" s="309"/>
      <c r="DH160" s="309"/>
      <c r="DK160" s="310"/>
      <c r="DN160" s="206"/>
      <c r="DO160" s="206"/>
      <c r="DS160" s="288" t="str">
        <f t="shared" si="0"/>
        <v/>
      </c>
      <c r="DT160" s="288" t="str">
        <f t="shared" si="1"/>
        <v/>
      </c>
      <c r="DU160" s="310"/>
      <c r="DV160" s="310"/>
      <c r="DW160" s="310"/>
      <c r="DX160" s="310"/>
      <c r="DY160" s="310"/>
      <c r="DZ160" s="310"/>
      <c r="EA160" s="310"/>
      <c r="EB160" s="310"/>
      <c r="ED160" s="310"/>
      <c r="EE160" s="310"/>
      <c r="EF160" s="310"/>
      <c r="EH160" s="310"/>
    </row>
    <row r="161" spans="1:138" s="288" customFormat="1">
      <c r="A161" s="288" t="s">
        <v>330</v>
      </c>
      <c r="B161" s="288" t="str">
        <f>A161</f>
        <v>S</v>
      </c>
      <c r="C161" s="309" t="str">
        <f>IF(A161="S",'Cálculo_Diseño  (2)'!C162," ")</f>
        <v>C227</v>
      </c>
      <c r="D161" s="309" t="str">
        <f>IF(A161="S",'Cálculo_Diseño  (2)'!D162," ")</f>
        <v>C243</v>
      </c>
      <c r="E161" s="309">
        <f>IF(B161="S",'Cálculo_Diseño  (2)'!AX162," ")</f>
        <v>88.19</v>
      </c>
      <c r="F161" s="309">
        <f>IF(B161="S",'Cálculo_Diseño  (2)'!BL162," ")</f>
        <v>4.9858260573761743</v>
      </c>
      <c r="G161" s="309">
        <f>IF(B161="S",'Cálculo_Diseño  (2)'!AZ162," ")</f>
        <v>284</v>
      </c>
      <c r="H161" s="309">
        <f>IF(B161="S",'Cálculo_Diseño  (2)'!BB162," ")</f>
        <v>987.71</v>
      </c>
      <c r="I161" s="309">
        <f>IF(B161="S",'Cálculo_Diseño  (2)'!BC162," ")</f>
        <v>983.58299999999997</v>
      </c>
      <c r="J161" s="309">
        <f>IF(B161="S",'Cálculo_Diseño  (2)'!BH162," ")</f>
        <v>986.31000000000006</v>
      </c>
      <c r="K161" s="309">
        <f>IF(B161="S",'Cálculo_Diseño  (2)'!BI162," ")</f>
        <v>981.91300000000001</v>
      </c>
      <c r="L161" s="315">
        <f>IF(B161="S",+$L$11,"")</f>
        <v>1</v>
      </c>
      <c r="M161" s="288">
        <f>IF(B161="S",(E161^2+(J161-K161)^2)^0.5," ")</f>
        <v>88.299545349905401</v>
      </c>
      <c r="N161" s="288">
        <f>IF(AJ161="S",BK161+0.1,BK161)</f>
        <v>0.79999999999999993</v>
      </c>
      <c r="O161" s="288">
        <f>IF(B161="S",(IF(G161&lt;=500,1.2,1.5)),"")</f>
        <v>1.2</v>
      </c>
      <c r="P161" s="288">
        <f>IF(B161="S",(IF(G161&lt;=500,1.2,1.5)),"")</f>
        <v>1.2</v>
      </c>
      <c r="Q161" s="309" t="s">
        <v>331</v>
      </c>
      <c r="R161" s="311" t="str">
        <f>+IF(B161="S",(IF(Q161="FLEXIBLE","S","N")),"")</f>
        <v>N</v>
      </c>
      <c r="S161" s="311" t="str">
        <f>+IF(B161="S",(IF(Q161="ADOQUIN","S","N")),"")</f>
        <v>N</v>
      </c>
      <c r="T161" s="311" t="str">
        <f>+IF(B161="S",(IF(Q161="CONCRETO","S","N")),"")</f>
        <v>S</v>
      </c>
      <c r="U161" s="288">
        <f>IF(B161="S",(IF(R161="S",(((((H161-I161)^2)+(E161^2))^0.5)-CA161-CB161)*$U$11,0)),"")</f>
        <v>0</v>
      </c>
      <c r="V161" s="288">
        <f>IF(B161="S",(IF(S161="S",(((((H161-I161)^2)+(E161^2))^0.5)-CA161-CB161)*$V$11,0)),"")</f>
        <v>0</v>
      </c>
      <c r="W161" s="288">
        <f>IF(B161="S",(IF(T161="S",(((((H161-I161)^2)+(E161^2))^0.5)-CA161-CB161)*$W$11,0)),"")</f>
        <v>87.086512157860227</v>
      </c>
      <c r="X161" s="288">
        <f>IF(B161="S",(U161*(N161+0.2)*$X$11),"")</f>
        <v>0</v>
      </c>
      <c r="Y161" s="288">
        <f>IF(B161="S",(V161*(N161+0.2)*$Y$11),"")</f>
        <v>0</v>
      </c>
      <c r="Z161" s="288">
        <f>IF(B161="S",(W161*(N161+0.2)*$Z$11+IF(Q161="CONCRETO",PI()/4*0.2*(O161+0.2*2+0.1*2)^2)),"")</f>
        <v>26.634891657239613</v>
      </c>
      <c r="AA161" s="288">
        <f>IF(B161="S",(((H161-J161)+(I161-K161))/2+BM161),"")</f>
        <v>1.6349999999999683</v>
      </c>
      <c r="AB161" s="312">
        <f>IF(B161="S",($AB$11),"")</f>
        <v>10</v>
      </c>
      <c r="AC161" s="288">
        <f>IF(B161="S",(IF(CG161="","",(CG161*(AB161/100))*$I$527)),"")</f>
        <v>11.839931395513618</v>
      </c>
      <c r="AD161" s="288" t="str">
        <f>IF(B161="S",(IF(CH161="","",(CH161*AB161/100)*$I$527)),"")</f>
        <v/>
      </c>
      <c r="AE161" s="288" t="str">
        <f>IF(B161="S",(IF(CI161="","",(CI161*AB161/100)*$I$527)),"")</f>
        <v/>
      </c>
      <c r="AF161" s="313">
        <f>IF(B161="S",(IF(CG161="","",(CG161*$I$527)-AC161)),"")</f>
        <v>106.55938255962256</v>
      </c>
      <c r="AG161" s="313" t="str">
        <f>IF(B161="S",(IF(CH161="","",(CH161*$I$527)-AD161)),"")</f>
        <v/>
      </c>
      <c r="AH161" s="313" t="str">
        <f>IF(B161="S",(IF(CI161="","",(CI161*$I$527)-AE161)),"")</f>
        <v/>
      </c>
      <c r="AI161" s="313">
        <f>IF(B161="S",((BY161*(L161/100))*1.1),"")</f>
        <v>1.1959526662134969</v>
      </c>
      <c r="AJ161" s="313" t="str">
        <f>IF(B161="S",(IF(AA161&lt;1,"N","S")),"")</f>
        <v>S</v>
      </c>
      <c r="AK161" s="288">
        <f>IF(B161="S",(IF(AJ161="S",(E161*AA161*0.7*2),0)),"")</f>
        <v>201.86690999999607</v>
      </c>
      <c r="AL161" s="288">
        <f>IF(B161="S",(IF(AJ161="S",(E161*AA161*0.3*2),0)),"")</f>
        <v>86.514389999998315</v>
      </c>
      <c r="AM161" s="288">
        <f>IF(B161="S",(IF(F161&gt;20,N161*(M161/10)*AA161,0)),"")</f>
        <v>0</v>
      </c>
      <c r="AN161" s="288">
        <f>IF(B161="S",((M161-0.4)*$AN$11),"")</f>
        <v>0</v>
      </c>
      <c r="AO161" s="288">
        <f>IF(B161="S",((M161-0.4)*$AO$11),"")</f>
        <v>0</v>
      </c>
      <c r="AP161" s="288">
        <f>IF(B161="S",((M161-(O161/2)-(P161/2))*$AP$11),"")</f>
        <v>87.099545349905412</v>
      </c>
      <c r="AQ161" s="288">
        <f>+SUM(AC161:AI161)</f>
        <v>119.59526662134968</v>
      </c>
      <c r="AR161" s="288">
        <f>+AT161+AU161+AZ161+BA161+BB161+BI161</f>
        <v>119.59526662134967</v>
      </c>
      <c r="AS161" s="314">
        <f>IF(B161="S",((N161*(0.4+G161/1000))-((G161/1000)^2*PI()/4)),"")</f>
        <v>0.4838529257330153</v>
      </c>
      <c r="AT161" s="315">
        <f>IF(B161="S",(AS161*AP161)-IF(BI161&gt;0,BI161,0),"")</f>
        <v>42.143369847567179</v>
      </c>
      <c r="AU161" s="314">
        <f>IF(B161="S",IF(Q161="NATURAL",0,(($AU$11*N161*AP161))),"")</f>
        <v>27.871854511969733</v>
      </c>
      <c r="AV161" s="312">
        <f>IF(B161="S",$AV$11,"")</f>
        <v>30</v>
      </c>
      <c r="AW161" s="288">
        <f>IF(B161="S",(BY161*1.1-(AT161+BI161)-AU161-BB161-AX161-AY161),"")</f>
        <v>43.993463782207392</v>
      </c>
      <c r="AX161" s="206"/>
      <c r="AY161" s="206"/>
      <c r="AZ161" s="288">
        <f>IF(B161="S",((BY161*1.1-BB161-(AT161+BI161)-AU161-AX161-AY161)*AV161/100),"")</f>
        <v>13.198039134662224</v>
      </c>
      <c r="BA161" s="288">
        <f>IF(B161="S",(IF(AW161&gt;AZ161,AW161-AZ161,0)),"")</f>
        <v>30.795424647545168</v>
      </c>
      <c r="BB161" s="288">
        <f>IF(B161="S",((((G161/1000)^2)/4*PI())*E161),"")</f>
        <v>5.5865784796053699</v>
      </c>
      <c r="BC161" s="288">
        <f>IF(B161="S",(BY161*1.1-AZ161),"")</f>
        <v>106.39722748668746</v>
      </c>
      <c r="BE161" s="316" t="b">
        <f>IF(B161="S",(IF(O161=1.5,IF(H161-J161&lt;=1,0,H161-J161-1))),"")</f>
        <v>0</v>
      </c>
      <c r="BF161" s="316" t="b">
        <f>IF(B161="S",(IF(O161&lt;=0.8,IF(H161-J161&lt;=1,0,H161-J161))),"")</f>
        <v>0</v>
      </c>
      <c r="BG161" s="316" t="b">
        <f>IF(B161="S",(IF(O161&lt;=0.6,IF(H161-J161&lt;=1,H161-J161,0))),"")</f>
        <v>0</v>
      </c>
      <c r="BH161" s="310" t="str">
        <f>IF(B161="S",(IF(BD161="","",IF(BD161="FALSO","",1))),"")</f>
        <v/>
      </c>
      <c r="BI161" s="288">
        <f>IF(B161="S",(IF(F161&gt;=15,N161*((G161/1000)+0.3)*0.2,0)*(E161/5+1)),"")</f>
        <v>0</v>
      </c>
      <c r="BJ161" s="288">
        <f xml:space="preserve"> IF(B161="S",(BN161+BM161+0.3),"")</f>
        <v>0.76</v>
      </c>
      <c r="BK161" s="309">
        <f>IF(B161="S",(VLOOKUP('Cálculo_Diseño  (2)'!AY162,'TABLA (2)'!$H$102:'TABLA (2)'!$U$135,3)),"")</f>
        <v>0.7</v>
      </c>
      <c r="BL161" s="309">
        <f>IF(B161="S",(VLOOKUP('Cálculo_Diseño  (2)'!AY162,'TABLA (2)'!$H$102:'TABLA (2)'!$U$135,10)),"")</f>
        <v>0.55000000000000004</v>
      </c>
      <c r="BM161" s="309">
        <f>IF(B161="S",(VLOOKUP('Cálculo_Diseño  (2)'!AY162,'TABLA (2)'!$H$102:'TABLA (2)'!$U$135,11)),"")</f>
        <v>0.1</v>
      </c>
      <c r="BN161" s="309">
        <f>IF(B161="S",(VLOOKUP('Cálculo_Diseño  (2)'!AY162,'TABLA (2)'!$H$102:'TABLA (2)'!$U$135,12)),"")</f>
        <v>0.36</v>
      </c>
      <c r="BO161" s="288">
        <f>V161</f>
        <v>0</v>
      </c>
      <c r="BP161" s="313">
        <f>+IF(B161="S",(IF((1.8-AA161)&gt;=0,AA161+0.2,2)),"")</f>
        <v>1.8349999999999682</v>
      </c>
      <c r="BQ161" s="288">
        <f>+IF(B161="S",(IF(BP161=2,IF((3.8-AA161)&gt;=0,(AA161+0.2-2),2),0)),"")</f>
        <v>0</v>
      </c>
      <c r="BR161" s="288">
        <f>+IF(B161="S",(IF(BQ161=2,AA161+0.2-4,0)),"")</f>
        <v>0</v>
      </c>
      <c r="BS161" s="288">
        <f>IF(B161="S",((N161*(0.3+BN161/2)-0.392699*BN161*BN161)*AO161),"")</f>
        <v>0</v>
      </c>
      <c r="BU161" s="288">
        <f>IF(B161="S",((N161*(0.3+5*BN161/6)-0.699815*BN161*BN161)*AP161),"")</f>
        <v>33.908199312510483</v>
      </c>
      <c r="BV161" s="288">
        <f>IF(B161="S",(IF(BP161=0,"",(BP161)*(M161)*N161-(U161*$X$11+V161*$Y$11+W161*$Z$11)*N161)),"")</f>
        <v>108.72296965577243</v>
      </c>
      <c r="BW161" s="288" t="str">
        <f>IF(B161="S",(IF(BQ161=0,"",(M161)*BQ161*N161)),"")</f>
        <v/>
      </c>
      <c r="BX161" s="288" t="str">
        <f>IF(B161="S",(IF(BR161=0,"",(M161)*BR161*N161)),"")</f>
        <v/>
      </c>
      <c r="BY161" s="288">
        <f>IF(B161="S",((AA161+0.2)*N161*(M161)-(U161*$X$11+V161*$Y$11+W161*$Z$11)*N161),"")</f>
        <v>108.72296965577243</v>
      </c>
      <c r="BZ161" s="288">
        <f>IF(B161="S",((N161*(0.3+BN161/2)-0.392699*BN161*BN161)*AN161),"")</f>
        <v>0</v>
      </c>
      <c r="CA161" s="288">
        <f>IF(B161="S",(IF(O161=1.2,(O161/2),IF(O161=0.8,O161/2,IF(O161=1.5,O161/2,IF(O161=0.6,O161/2,"IDIOT"))))),"")</f>
        <v>0.6</v>
      </c>
      <c r="CB161" s="288">
        <f>IF(B161="S",(IF(P161=1.2,(P161/2),IF(P161=0.8,P161/2,IF(P161=1.5,P161/2,IF(P161=0.6,P161/2,"IDIOT"))))),"")</f>
        <v>0.6</v>
      </c>
      <c r="CC161" s="316">
        <f>IF(B161="S",((BN161/2+0.1)*N161),"")</f>
        <v>0.224</v>
      </c>
      <c r="CD161" s="288">
        <f>IF(B161="S",((BN161/2+BN161/4)*N161),"")</f>
        <v>0.216</v>
      </c>
      <c r="CE161" s="288">
        <f>IF(B161="S",(0.392699*BN161*BN161),"")</f>
        <v>5.0893790399999993E-2</v>
      </c>
      <c r="CF161" s="288" t="str">
        <f>+IF(B161="S",(IF(((H161-J161)-(G161/1000))&lt;=0.9,"E1",IF(((H161-J161)-(G161/1000))&lt;=2.5,"E2","E3"))),"")</f>
        <v>E2</v>
      </c>
      <c r="CG161" s="313">
        <f>IF(B161="S",(IF(BV161="","",BV161-(BV161*L161/100))),"")</f>
        <v>107.6357399592147</v>
      </c>
      <c r="CH161" s="313" t="str">
        <f t="shared" ref="CH161:CI163" si="2">IF(B161="S",(IF(BW161="","",BW161-(BW161*L161/100))),"")</f>
        <v/>
      </c>
      <c r="CI161" s="313" t="str">
        <f t="shared" si="2"/>
        <v/>
      </c>
      <c r="CJ161" s="288">
        <f>'Cálculo_Diseño  (2)'!BD162</f>
        <v>1.1004999999999772</v>
      </c>
      <c r="CK161" s="313">
        <f>+IF(B161="S",(IF((CJ161+CU161)&gt;2,2,CJ161+CU161)),"")</f>
        <v>2</v>
      </c>
      <c r="CL161" s="313">
        <f>+IF(B161="S",(IF((CJ161+CU161)&gt;4,2,IF(AND((CJ161+CU161)&lt;=4,(CJ161+CU161)&gt;=2),((CJ161+CU161)-CK161),0))),"")</f>
        <v>0.20099999999995433</v>
      </c>
      <c r="CM161" s="313">
        <f>+IF(B161="S",(IF((CJ161+CU161)&gt;4,((CJ161+CU161)-(CK161+CL161)),0)),"")</f>
        <v>0</v>
      </c>
      <c r="CN161" s="313">
        <f>IF(B161="S",IF((CJ161+CU161)&lt;1.5,(ROUND(CJ161*PI()/4*(2.2)^2+CU161*(PI()/4*(2.2)^2 -PI()/4*(1.6)^2),2)),IF((CJ161+CU161)&lt;=2,(ROUND(((PI()*2.2^2)/4)*0.95-(((1/3)*PI()*0.95*(0.45^2+0.7^2+0.45*0.7)))+(CJ161*PI()/4*(2.2)^2)+(((((CU161)-0.95)*PI()*2.2^2)/4))-((((CU161)-0.95)*PI()*1.6^2)/4),2)),IF((CJ161+CU161)&gt;2,(ROUND(IF(CU161&lt;2,((PI()*2.2^2)/4)*0.95-(((1/3)*PI()*0.95*(0.45^2+0.7^2+0.45*0.7)))+((CU161-0.95)*(PI()/4*(2.2)^2 -PI()/4*(1.6)^2))+(2-CU161)*PI()/4*(2.2)^2,((PI()*2.2^2)/4)*0.95-(((1/3)*PI()*0.95*(0.45^2+0.7^2+0.45*0.7)))+((2-0.95)*(PI()/4*(2.2)^2 -PI()/4*(1.6)^2))),2))))),"")</f>
        <v>6.3</v>
      </c>
      <c r="CO161" s="313">
        <f>IF(B161="S",ROUND(IF(CL161&lt;=0,0,IF(AND(CL161&gt;0,CU161&lt;=0),CL161*PI()/4*2.2^(2),IF(AND(CL161&gt;0,CU161&gt;=4),CL161*(PI()/4*2.2^2-PI()/4*1.6^2),IF(AND(CL161&gt;0,CU161&gt;2,CU161&lt;4,CJ161&gt;0),(CU161-2)*(PI()/4*2.2^(2)-PI()/4*1.6^(2))+IF((CU161+CJ161)&gt;4,(4-CU161)*(PI()/4*2.2^(2)),(CJ161)*PI()/4*(2.2^2)),IF(AND(CL161&gt;0,CU161&lt;=2),(CL161*PI()/4*2.2^2)))))),2),"")</f>
        <v>0.76</v>
      </c>
      <c r="CP161" s="313">
        <f>IF(B161="S",(ROUND(IF(CM161&lt;=0,0,IF(AND(CM161&gt;0,CU161&lt;=0),CM161*PI()/4*2.2^(2),IF(AND(CM161&gt;0,CU161&gt;4,CJ161&lt;=0),CM161*(PI()/4*2.2^2-PI()/4*1.6^2),IF(AND(CM161&gt;0,CU161&lt;=4),CM161*PI()/4*2.2^2)))),2)),"")</f>
        <v>0</v>
      </c>
      <c r="CQ161" s="313">
        <f>IF(B161="S",IF(CK161&gt;1.5,(2*PI()*(0.9)*(CJ161+CU161)),0),"")</f>
        <v>12.446361774991784</v>
      </c>
      <c r="CR161" s="313">
        <f>IF(B161="S",(ROUND(IF(CN161&gt;0,CN161+CO161+CP161-CS161,0),2)),"")</f>
        <v>5.09</v>
      </c>
      <c r="CS161" s="313">
        <f>IF(B161="S",(IF(CJ161=0,0,IF(AND((H161-J161)&lt;1.5,CU161&gt;0),ROUND(CU161*(PI()/4*(2.2)^2 -PI()/4*(1.6)^2),2),(ROUND(((PI()*2.2^2)/4)*0.95-(((1/3)*PI()*0.95*(0.45^2+0.7^2+0.45*0.7)))+(((((CJ161+CU161)-0.95)*PI()*2.2^2)/4))-((((CJ161+CU161)-0.95)*PI()*1.6^2)/4),2))))),"")</f>
        <v>1.97</v>
      </c>
      <c r="CT161" s="313" t="str">
        <f>IF(B161="S",(IF(CN161&gt;=0,IF(CN161+CO161+CP161=(CR161+CS161),"OK","VERIFICAR"),0)),"")</f>
        <v>OK</v>
      </c>
      <c r="CU161" s="309">
        <f>'Cálculo_Diseño  (2)'!BD162</f>
        <v>1.1004999999999772</v>
      </c>
      <c r="CV161" s="288" t="str">
        <f>IF(G161=182,M161-(O161/2)-(P161/2),"")</f>
        <v/>
      </c>
      <c r="CW161" s="288" t="str">
        <f>IF(G161=227,M161-(O161/2)-(P161/2),"")</f>
        <v/>
      </c>
      <c r="CX161" s="288">
        <f>IF(G161=284,M161-(O161/2)-(P161/2),"")</f>
        <v>87.099545349905412</v>
      </c>
      <c r="CY161" s="288" t="str">
        <f>IF(G161=327,M161-(O161/2)-(P161/2),"")</f>
        <v/>
      </c>
      <c r="CZ161" s="288" t="str">
        <f>IF(G161=362,M161-(O161/2)-(P161/2),"")</f>
        <v/>
      </c>
      <c r="DA161" s="288" t="str">
        <f>IF(G161=407,M161-(O161/2)-(P161/2),"")</f>
        <v/>
      </c>
      <c r="DB161" s="288" t="str">
        <f>IF(G161=452,M161-(O161/2)-(P161/2),"")</f>
        <v/>
      </c>
      <c r="DC161" s="288" t="str">
        <f>IF(G161=595.12,M161-(O161/2)-(P161/2),"")</f>
        <v/>
      </c>
      <c r="DD161" s="288" t="str">
        <f>IF(G161=670,M161-(O161/2)-(P161/2),"")</f>
        <v/>
      </c>
      <c r="DE161" s="288" t="str">
        <f>IF(G161=747,M161-(O161/2)-(P161/2),"")</f>
        <v/>
      </c>
      <c r="DF161" s="288" t="str">
        <f>IF(G161=823.09,M161-(O161/2)-(P161/2),"")</f>
        <v/>
      </c>
      <c r="DG161" s="288" t="str">
        <f>IF(G161=899.03,M161-(O161/2)-(P161/2),"")</f>
        <v/>
      </c>
      <c r="DH161" s="309"/>
      <c r="DI161" s="288" t="str">
        <f>+IF(B161="S",B161,"N")</f>
        <v>S</v>
      </c>
      <c r="DJ161" s="288">
        <f>+IF(DI161="S",E161,"")</f>
        <v>88.19</v>
      </c>
      <c r="DK161" s="310">
        <v>21</v>
      </c>
      <c r="DL161" s="288">
        <f>IF(DI161="S",((((AA161+1)*6)/2)*0.7*DK161),"")</f>
        <v>116.2034999999986</v>
      </c>
      <c r="DM161" s="288">
        <f>IF(DI161="S",(ATAN(6/(AA161-1))*180/PI()),"")</f>
        <v>83.958685330146864</v>
      </c>
      <c r="DN161" s="206">
        <f>IF(DI161="S",(TAN(DM161*PI()/180)*(AA161-2)),"")</f>
        <v>-3.4488188976382643</v>
      </c>
      <c r="DO161" s="206">
        <f>IF(DI161="S",(TAN(DM161*PI()/180)*(AA161-4)),"")</f>
        <v>-22.346456692914781</v>
      </c>
      <c r="DP161" s="288">
        <f>IF(DI161="S",(IF(AA161&lt;=2,((((AA161+1)*6)/2)*0.7*DK161),IF(AND(AA161&gt;2,AA161&lt;=4),((((AA161+1)*6)/2)*0.7*DK161)-(((AA161-2)*DN161)/2*0.7*DK161),IF(AND(AA161&gt;4,AA161&lt;=6),((((AA161+1)*6)/2)*0.7*DK161)-(((AA161-2)*DN161)/2*0.7*DK161),0)))),"")</f>
        <v>116.2034999999986</v>
      </c>
      <c r="DQ161" s="288">
        <f>IF(DI161="S",(IF(AND(AA161&gt;2,AA161&lt;=4),(((AA161-2)*DN161)/2*0.7*DK161),IF(AND(AA161&gt;4,AA161&lt;=6),(((AA161-2)*DN161)/2*0.7*DK161)-((AA161-4)*DO161/2*0.7*DK161),0))),"")</f>
        <v>0</v>
      </c>
      <c r="DR161" s="288">
        <f>IF(DI161="S",(IF(AND(AA161&gt;4,AA161&lt;=6),((AA161-4)*DO161/2*0.7*DK161),IF(AA161&lt;4,0,"REVISAR"))),"")</f>
        <v>0</v>
      </c>
      <c r="DS161" s="288">
        <f t="shared" si="0"/>
        <v>144.20699999999721</v>
      </c>
      <c r="DT161" s="288">
        <f t="shared" si="1"/>
        <v>61.802999999998811</v>
      </c>
      <c r="DU161" s="310" t="str">
        <f>IF(B161="S",(IF(DI161="S",IF(G161=$DU$11,DK161,""),"")),"")</f>
        <v/>
      </c>
      <c r="DV161" s="310" t="str">
        <f>IF(B161="S",(IF(DI161="S",IF(G161=$DV$11,DK161,""),"")),"")</f>
        <v/>
      </c>
      <c r="DW161" s="310">
        <f>IF(B161="S",(IF(DI161="S",IF(G161=$DW$11,DK161,""),"")),"")</f>
        <v>21</v>
      </c>
      <c r="DX161" s="310" t="str">
        <f>IF(B161="S",(IF(DI161="S",IF(G161=$DX$11,DK161,""),"")),"")</f>
        <v/>
      </c>
      <c r="DY161" s="310" t="str">
        <f>IF(B161="S",(IF(DI161="S",IF(G161=$DY$11,DK161,""),"")),"")</f>
        <v/>
      </c>
      <c r="DZ161" s="310" t="str">
        <f>IF(B161="S",(IF(DI161="S",IF(G161=$DZ$11,DK161,""),"")),"")</f>
        <v/>
      </c>
      <c r="EA161" s="310" t="str">
        <f>IF(B161="S",(IF(DI161="S",IF(G161=$EA$11,DK161,""),"")),"")</f>
        <v/>
      </c>
      <c r="EB161" s="310" t="str">
        <f>IF(B161="S",(IF(DI161="S",IF(G161=$EB$11,DK161,""),"")),"")</f>
        <v/>
      </c>
      <c r="EC161" s="288">
        <f>IF(B161="S",0.95,"")</f>
        <v>0.95</v>
      </c>
      <c r="ED161" s="310"/>
      <c r="EE161" s="310"/>
      <c r="EF161" s="310"/>
      <c r="EH161" s="310">
        <f>+IF(EC161=0.95,2+((ED161+EE161+EF161)-1),"")</f>
        <v>1</v>
      </c>
    </row>
    <row r="162" spans="1:138" s="288" customFormat="1">
      <c r="A162" s="288" t="s">
        <v>330</v>
      </c>
      <c r="B162" s="288" t="str">
        <f>A162</f>
        <v>S</v>
      </c>
      <c r="C162" s="309" t="str">
        <f>IF(A162="S",'Cálculo_Diseño  (2)'!C163," ")</f>
        <v>C243</v>
      </c>
      <c r="D162" s="309" t="str">
        <f>IF(A162="S",'Cálculo_Diseño  (2)'!D163," ")</f>
        <v>C241</v>
      </c>
      <c r="E162" s="309">
        <f>IF(B162="S",'Cálculo_Diseño  (2)'!AX163," ")</f>
        <v>29.53</v>
      </c>
      <c r="F162" s="309">
        <f>IF(B162="S",'Cálculo_Diseño  (2)'!BL163," ")</f>
        <v>1.2021672875039096</v>
      </c>
      <c r="G162" s="309">
        <f ca="1">IF(B162="S",'Cálculo_Diseño  (2)'!AZ163," ")</f>
        <v>284</v>
      </c>
      <c r="H162" s="309">
        <f>IF(B162="S",'Cálculo_Diseño  (2)'!BB163," ")</f>
        <v>983.58299999999997</v>
      </c>
      <c r="I162" s="309">
        <f>IF(B162="S",'Cálculo_Diseño  (2)'!BC163," ")</f>
        <v>983.25800000000004</v>
      </c>
      <c r="J162" s="309">
        <f>IF(B162="S",'Cálculo_Diseño  (2)'!BH163," ")</f>
        <v>981.88299999999992</v>
      </c>
      <c r="K162" s="309">
        <f>IF(B162="S",'Cálculo_Diseño  (2)'!BI163," ")</f>
        <v>981.52800000000002</v>
      </c>
      <c r="L162" s="315">
        <f>IF(B162="S",+$L$11,"")</f>
        <v>1</v>
      </c>
      <c r="M162" s="288">
        <f>IF(B162="S",(E162^2+(J162-K162)^2)^0.5," ")</f>
        <v>29.53213376984467</v>
      </c>
      <c r="N162" s="288">
        <f>IF(AJ162="S",BK162+0.1,BK162)</f>
        <v>0.79999999999999993</v>
      </c>
      <c r="O162" s="288">
        <f ca="1">IF(B162="S",(IF(G162&lt;=500,1.2,1.5)),"")</f>
        <v>1.2</v>
      </c>
      <c r="P162" s="288">
        <f ca="1">IF(B162="S",(IF(G162&lt;=500,1.2,1.5)),"")</f>
        <v>1.2</v>
      </c>
      <c r="Q162" s="309" t="s">
        <v>331</v>
      </c>
      <c r="R162" s="311" t="str">
        <f>+IF(B162="S",(IF(Q162="FLEXIBLE","S","N")),"")</f>
        <v>N</v>
      </c>
      <c r="S162" s="311" t="str">
        <f>+IF(B162="S",(IF(Q162="ADOQUIN","S","N")),"")</f>
        <v>N</v>
      </c>
      <c r="T162" s="311" t="str">
        <f>+IF(B162="S",(IF(Q162="CONCRETO","S","N")),"")</f>
        <v>S</v>
      </c>
      <c r="U162" s="288">
        <f>IF(B162="S",(IF(R162="S",(((((H162-I162)^2)+(E162^2))^0.5)-CA162-CB162)*$U$11,0)),"")</f>
        <v>0</v>
      </c>
      <c r="V162" s="288">
        <f>IF(B162="S",(IF(S162="S",(((((H162-I162)^2)+(E162^2))^0.5)-CA162-CB162)*$V$11,0)),"")</f>
        <v>0</v>
      </c>
      <c r="W162" s="288">
        <f ca="1">IF(B162="S",(IF(T162="S",(((((H162-I162)^2)+(E162^2))^0.5)-CA162-CB162)*$W$11,0)),"")</f>
        <v>28.331788381335794</v>
      </c>
      <c r="X162" s="288">
        <f>IF(B162="S",(U162*(N162+0.2)*$X$11),"")</f>
        <v>0</v>
      </c>
      <c r="Y162" s="288">
        <f>IF(B162="S",(V162*(N162+0.2)*$Y$11),"")</f>
        <v>0</v>
      </c>
      <c r="Z162" s="288">
        <f ca="1">IF(B162="S",(W162*(N162+0.2)*$Z$11+IF(Q162="CONCRETO",PI()/4*0.2*(O162+0.2*2+0.1*2)^2)),"")</f>
        <v>9.0084745242822848</v>
      </c>
      <c r="AA162" s="288">
        <f>IF(B162="S",(((H162-J162)+(I162-K162))/2+BM162),"")</f>
        <v>1.8150000000000319</v>
      </c>
      <c r="AB162" s="312">
        <f>IF(B162="S",($AB$11),"")</f>
        <v>10</v>
      </c>
      <c r="AC162" s="288">
        <f ca="1">IF(B162="S",(IF(CG162="","",(CG162*(AB162/100))*$I$527)),"")</f>
        <v>4.4051993669231431</v>
      </c>
      <c r="AD162" s="288">
        <f>IF(B162="S",(IF(CH162="","",(CH162*AB162/100)*$I$527)),"")</f>
        <v>3.8592592410515596E-2</v>
      </c>
      <c r="AE162" s="288" t="str">
        <f>IF(B162="S",(IF(CI162="","",(CI162*AB162/100)*$I$527)),"")</f>
        <v/>
      </c>
      <c r="AF162" s="313">
        <f ca="1">IF(B162="S",(IF(CG162="","",(CG162*$I$527)-AC162)),"")</f>
        <v>39.646794302308287</v>
      </c>
      <c r="AG162" s="313">
        <f>IF(B162="S",(IF(CH162="","",(CH162*$I$527)-AD162)),"")</f>
        <v>0.34733333169464037</v>
      </c>
      <c r="AH162" s="313" t="str">
        <f>IF(B162="S",(IF(CI162="","",(CI162*$I$527)-AE162)),"")</f>
        <v/>
      </c>
      <c r="AI162" s="313">
        <f ca="1">IF(B162="S",((BY162*(L162/100))*1.1),"")</f>
        <v>0.44886787468016753</v>
      </c>
      <c r="AJ162" s="313" t="str">
        <f>IF(B162="S",(IF(AA162&lt;1,"N","S")),"")</f>
        <v>S</v>
      </c>
      <c r="AK162" s="288">
        <f>IF(B162="S",(IF(AJ162="S",(E162*AA162*0.7*2),0)),"")</f>
        <v>75.035730000001323</v>
      </c>
      <c r="AL162" s="288">
        <f>IF(B162="S",(IF(AJ162="S",(E162*AA162*0.3*2),0)),"")</f>
        <v>32.158170000000567</v>
      </c>
      <c r="AM162" s="288">
        <f>IF(B162="S",(IF(F162&gt;20,N162*(M162/10)*AA162,0)),"")</f>
        <v>0</v>
      </c>
      <c r="AN162" s="288">
        <f>IF(B162="S",((M162-0.4)*$AN$11),"")</f>
        <v>0</v>
      </c>
      <c r="AO162" s="288">
        <f>IF(B162="S",((M162-0.4)*$AO$11),"")</f>
        <v>0</v>
      </c>
      <c r="AP162" s="288">
        <f ca="1">IF(B162="S",((M162-(O162/2)-(P162/2))*$AP$11),"")</f>
        <v>28.332133769844667</v>
      </c>
      <c r="AQ162" s="288">
        <f ca="1">+SUM(AC162:AI162)</f>
        <v>44.886787468016756</v>
      </c>
      <c r="AR162" s="288">
        <f ca="1">+AT162+AU162+AZ162+BA162+BB162+BI162</f>
        <v>44.886787468016756</v>
      </c>
      <c r="AS162" s="314">
        <f ca="1">IF(B162="S",((N162*(0.4+G162/1000))-((G162/1000)^2*PI()/4)),"")</f>
        <v>0.4838529257330153</v>
      </c>
      <c r="AT162" s="315">
        <f ca="1">IF(B162="S",(AS162*AP162)-IF(BI162&gt;0,BI162,0),"")</f>
        <v>13.708585816798507</v>
      </c>
      <c r="AU162" s="314">
        <f ca="1">IF(B162="S",IF(Q162="NATURAL",0,(($AU$11*N162*AP162))),"")</f>
        <v>9.0662828063502943</v>
      </c>
      <c r="AV162" s="312">
        <f>IF(B162="S",$AV$11,"")</f>
        <v>30</v>
      </c>
      <c r="AW162" s="288">
        <f ca="1">IF(B162="S",(BY162*1.1-(AT162+BI162)-AU162-BB162-AX162-AY162),"")</f>
        <v>20.241279741763901</v>
      </c>
      <c r="AX162" s="206"/>
      <c r="AY162" s="206"/>
      <c r="AZ162" s="288">
        <f ca="1">IF(B162="S",((BY162*1.1-BB162-(AT162+BI162)-AU162-AX162-AY162)*AV162/100),"")</f>
        <v>6.0723839225291707</v>
      </c>
      <c r="BA162" s="288">
        <f ca="1">IF(B162="S",(IF(AW162&gt;AZ162,AW162-AZ162,0)),"")</f>
        <v>14.168895819234731</v>
      </c>
      <c r="BB162" s="288">
        <f ca="1">IF(B162="S",((((G162/1000)^2)/4*PI())*E162),"")</f>
        <v>1.8706391031040546</v>
      </c>
      <c r="BC162" s="288">
        <f ca="1">IF(B162="S",(BY162*1.1-AZ162),"")</f>
        <v>38.814403545487586</v>
      </c>
      <c r="BD162" s="288">
        <f ca="1">IF(B162="S",(IF(O162=1.2,IF((H162-J162)&lt;=1.2,H162-J162,H162-J162-0.95))),"")</f>
        <v>0.75000000000004552</v>
      </c>
      <c r="BE162" s="316" t="b">
        <f ca="1">IF(B162="S",(IF(O162=1.5,IF(H162-J162&lt;=1,0,H162-J162-1))),"")</f>
        <v>0</v>
      </c>
      <c r="BF162" s="316" t="b">
        <f ca="1">IF(B162="S",(IF(O162&lt;=0.8,IF(H162-J162&lt;=1,0,H162-J162))),"")</f>
        <v>0</v>
      </c>
      <c r="BG162" s="316" t="b">
        <f ca="1">IF(B162="S",(IF(O162&lt;=0.6,IF(H162-J162&lt;=1,H162-J162,0))),"")</f>
        <v>0</v>
      </c>
      <c r="BH162" s="310">
        <f ca="1">IF(B162="S",(IF(BD162="","",IF(BD162="FALSO","",1))),"")</f>
        <v>1</v>
      </c>
      <c r="BI162" s="288">
        <f>IF(B162="S",(IF(F162&gt;=15,N162*((G162/1000)+0.3)*0.2,0)*(E162/5+1)),"")</f>
        <v>0</v>
      </c>
      <c r="BJ162" s="288">
        <f xml:space="preserve"> IF(B162="S",(BN162+BM162+0.3),"")</f>
        <v>0.76</v>
      </c>
      <c r="BK162" s="309">
        <f>IF(B162="S",(VLOOKUP('Cálculo_Diseño  (2)'!AY163,'TABLA (2)'!$H$102:'TABLA (2)'!$U$135,3)),"")</f>
        <v>0.7</v>
      </c>
      <c r="BL162" s="309">
        <f>IF(B162="S",(VLOOKUP('Cálculo_Diseño  (2)'!AY163,'TABLA (2)'!$H$102:'TABLA (2)'!$U$135,10)),"")</f>
        <v>0.55000000000000004</v>
      </c>
      <c r="BM162" s="309">
        <f>IF(B162="S",(VLOOKUP('Cálculo_Diseño  (2)'!AY163,'TABLA (2)'!$H$102:'TABLA (2)'!$U$135,11)),"")</f>
        <v>0.1</v>
      </c>
      <c r="BN162" s="309">
        <f>IF(B162="S",(VLOOKUP('Cálculo_Diseño  (2)'!AY163,'TABLA (2)'!$H$102:'TABLA (2)'!$U$135,12)),"")</f>
        <v>0.36</v>
      </c>
      <c r="BO162" s="288">
        <f>V162</f>
        <v>0</v>
      </c>
      <c r="BP162" s="313">
        <f>+IF(B162="S",(IF((1.8-AA162)&gt;=0,AA162+0.2,2)),"")</f>
        <v>2</v>
      </c>
      <c r="BQ162" s="288">
        <f>+IF(B162="S",(IF(BP162=2,IF((3.8-AA162)&gt;=0,(AA162+0.2-2),2),0)),"")</f>
        <v>1.5000000000032099E-2</v>
      </c>
      <c r="BR162" s="288">
        <f>+IF(B162="S",(IF(BQ162=2,AA162+0.2-4,0)),"")</f>
        <v>0</v>
      </c>
      <c r="BS162" s="288">
        <f>IF(B162="S",((N162*(0.3+BN162/2)-0.392699*BN162*BN162)*AO162),"")</f>
        <v>0</v>
      </c>
      <c r="BU162" s="288">
        <f ca="1">IF(B162="S",((N162*(0.3+5*BN162/6)-0.699815*BN162*BN162)*AP162),"")</f>
        <v>11.029812325164396</v>
      </c>
      <c r="BV162" s="288">
        <f ca="1">IF(B162="S",(IF(BP162=0,"",(BP162)*(M162)*N162-(U162*$X$11+V162*$Y$11+W162*$Z$11)*N162)),"")</f>
        <v>40.451784820230877</v>
      </c>
      <c r="BW162" s="288">
        <f>IF(B162="S",(IF(BQ162=0,"",(M162)*BQ162*N162)),"")</f>
        <v>0.35438560523889434</v>
      </c>
      <c r="BX162" s="288" t="str">
        <f>IF(B162="S",(IF(BR162=0,"",(M162)*BR162*N162)),"")</f>
        <v/>
      </c>
      <c r="BY162" s="288">
        <f ca="1">IF(B162="S",((AA162+0.2)*N162*(M162)-(U162*$X$11+V162*$Y$11+W162*$Z$11)*N162),"")</f>
        <v>40.806170425469773</v>
      </c>
      <c r="BZ162" s="288">
        <f>IF(B162="S",((N162*(0.3+BN162/2)-0.392699*BN162*BN162)*AN162),"")</f>
        <v>0</v>
      </c>
      <c r="CA162" s="288">
        <f ca="1">IF(B162="S",(IF(O162=1.2,(O162/2),IF(O162=0.8,O162/2,IF(O162=1.5,O162/2,IF(O162=0.6,O162/2,"IDIOT"))))),"")</f>
        <v>0.6</v>
      </c>
      <c r="CB162" s="288">
        <f ca="1">IF(B162="S",(IF(P162=1.2,(P162/2),IF(P162=0.8,P162/2,IF(P162=1.5,P162/2,IF(P162=0.6,P162/2,"IDIOT"))))),"")</f>
        <v>0.6</v>
      </c>
      <c r="CC162" s="316">
        <f>IF(B162="S",((BN162/2+0.1)*N162),"")</f>
        <v>0.224</v>
      </c>
      <c r="CD162" s="288">
        <f>IF(B162="S",((BN162/2+BN162/4)*N162),"")</f>
        <v>0.216</v>
      </c>
      <c r="CE162" s="288">
        <f>IF(B162="S",(0.392699*BN162*BN162),"")</f>
        <v>5.0893790399999993E-2</v>
      </c>
      <c r="CF162" s="288" t="str">
        <f ca="1">+IF(B162="S",(IF(((H162-J162)-(G162/1000))&lt;=0.9,"E1",IF(((H162-J162)-(G162/1000))&lt;=2.5,"E2","E3"))),"")</f>
        <v>E2</v>
      </c>
      <c r="CG162" s="313">
        <f ca="1">IF(B162="S",(IF(BV162="","",BV162-(BV162*L162/100))),"")</f>
        <v>40.047266972028567</v>
      </c>
      <c r="CH162" s="313">
        <f t="shared" si="2"/>
        <v>0.3508417491865054</v>
      </c>
      <c r="CI162" s="313" t="str">
        <f t="shared" si="2"/>
        <v/>
      </c>
      <c r="CJ162" s="288">
        <f ca="1">'Cálculo_Diseño  (2)'!BD163</f>
        <v>1.4005000000000001</v>
      </c>
      <c r="CK162" s="313">
        <f ca="1">+IF(B162="S",(IF((CJ162+CU162)&gt;2,2,CJ162+CU162)),"")</f>
        <v>2</v>
      </c>
      <c r="CL162" s="313">
        <f ca="1">+IF(B162="S",(IF((CJ162+CU162)&gt;4,2,IF(AND((CJ162+CU162)&lt;=4,(CJ162+CU162)&gt;=2),((CJ162+CU162)-CK162),0))),"")</f>
        <v>0.80100000000000016</v>
      </c>
      <c r="CM162" s="313">
        <f ca="1">+IF(B162="S",(IF((CJ162+CU162)&gt;4,((CJ162+CU162)-(CK162+CL162)),0)),"")</f>
        <v>0</v>
      </c>
      <c r="CN162" s="313">
        <f ca="1">IF(B162="S",IF((CJ162+CU162)&lt;1.5,(ROUND(CJ162*PI()/4*(2.2)^2+CU162*(PI()/4*(2.2)^2 -PI()/4*(1.6)^2),2)),IF((CJ162+CU162)&lt;=2,(ROUND(((PI()*2.2^2)/4)*0.95-(((1/3)*PI()*0.95*(0.45^2+0.7^2+0.45*0.7)))+(CJ162*PI()/4*(2.2)^2)+(((((CU162)-0.95)*PI()*2.2^2)/4))-((((CU162)-0.95)*PI()*1.6^2)/4),2)),IF((CJ162+CU162)&gt;2,(ROUND(IF(CU162&lt;2,((PI()*2.2^2)/4)*0.95-(((1/3)*PI()*0.95*(0.45^2+0.7^2+0.45*0.7)))+((CU162-0.95)*(PI()/4*(2.2)^2 -PI()/4*(1.6)^2))+(2-CU162)*PI()/4*(2.2)^2,((PI()*2.2^2)/4)*0.95-(((1/3)*PI()*0.95*(0.45^2+0.7^2+0.45*0.7)))+((2-0.95)*(PI()/4*(2.2)^2 -PI()/4*(1.6)^2))),2))))),"")</f>
        <v>5.69</v>
      </c>
      <c r="CO162" s="313">
        <f ca="1">IF(B162="S",ROUND(IF(CL162&lt;=0,0,IF(AND(CL162&gt;0,CU162&lt;=0),CL162*PI()/4*2.2^(2),IF(AND(CL162&gt;0,CU162&gt;=4),CL162*(PI()/4*2.2^2-PI()/4*1.6^2),IF(AND(CL162&gt;0,CU162&gt;2,CU162&lt;4,CJ162&gt;0),(CU162-2)*(PI()/4*2.2^(2)-PI()/4*1.6^(2))+IF((CU162+CJ162)&gt;4,(4-CU162)*(PI()/4*2.2^(2)),(CJ162)*PI()/4*(2.2^2)),IF(AND(CL162&gt;0,CU162&lt;=2),(CL162*PI()/4*2.2^2)))))),2),"")</f>
        <v>3.04</v>
      </c>
      <c r="CP162" s="313">
        <f ca="1">IF(B162="S",(ROUND(IF(CM162&lt;=0,0,IF(AND(CM162&gt;0,CU162&lt;=0),CM162*PI()/4*2.2^(2),IF(AND(CM162&gt;0,CU162&gt;4,CJ162&lt;=0),CM162*(PI()/4*2.2^2-PI()/4*1.6^2),IF(AND(CM162&gt;0,CU162&lt;=4),CM162*PI()/4*2.2^2)))),2)),"")</f>
        <v>0</v>
      </c>
      <c r="CQ162" s="313">
        <f ca="1">IF(B162="S",IF(CK162&gt;1.5,(2*PI()*(0.9)*(CJ162+CU162)),0),"")</f>
        <v>15.83928184086902</v>
      </c>
      <c r="CR162" s="313">
        <f ca="1">IF(B162="S",(ROUND(IF(CN162&gt;0,CN162+CO162+CP162-CS162,0),2)),"")</f>
        <v>2.81</v>
      </c>
      <c r="CS162" s="313">
        <f ca="1">IF(B162="S",(IF(CJ162=0,0,IF(AND((H162-J162)&lt;1.5,CU162&gt;0),ROUND(CU162*(PI()/4*(2.2)^2 -PI()/4*(1.6)^2),2),(ROUND(((PI()*2.2^2)/4)*0.95-(((1/3)*PI()*0.95*(0.45^2+0.7^2+0.45*0.7)))+(((((CJ162+CU162)-0.95)*PI()*2.2^2)/4))-((((CJ162+CU162)-0.95)*PI()*1.6^2)/4),2))))),"")</f>
        <v>5.92</v>
      </c>
      <c r="CT162" s="313" t="str">
        <f ca="1">IF(B162="S",(IF(CN162&gt;=0,IF(CN162+CO162+CP162=(CR162+CS162),"OK","VERIFICAR"),0)),"")</f>
        <v>OK</v>
      </c>
      <c r="CU162" s="309">
        <f ca="1">'Cálculo_Diseño  (2)'!BD163</f>
        <v>1.4005000000000001</v>
      </c>
      <c r="CV162" s="288" t="str">
        <f ca="1">IF(G162=182,M162-(O162/2)-(P162/2),"")</f>
        <v/>
      </c>
      <c r="CW162" s="288" t="str">
        <f ca="1">IF(G162=227,M162-(O162/2)-(P162/2),"")</f>
        <v/>
      </c>
      <c r="CX162" s="288">
        <f ca="1">IF(G162=284,M162-(O162/2)-(P162/2),"")</f>
        <v>28.332133769844667</v>
      </c>
      <c r="CY162" s="288" t="str">
        <f ca="1">IF(G162=327,M162-(O162/2)-(P162/2),"")</f>
        <v/>
      </c>
      <c r="CZ162" s="288" t="str">
        <f ca="1">IF(G162=362,M162-(O162/2)-(P162/2),"")</f>
        <v/>
      </c>
      <c r="DA162" s="288" t="str">
        <f ca="1">IF(G162=407,M162-(O162/2)-(P162/2),"")</f>
        <v/>
      </c>
      <c r="DB162" s="288" t="str">
        <f ca="1">IF(G162=452,M162-(O162/2)-(P162/2),"")</f>
        <v/>
      </c>
      <c r="DC162" s="288" t="str">
        <f ca="1">IF(G162=595.12,M162-(O162/2)-(P162/2),"")</f>
        <v/>
      </c>
      <c r="DD162" s="288" t="str">
        <f ca="1">IF(G162=670,M162-(O162/2)-(P162/2),"")</f>
        <v/>
      </c>
      <c r="DE162" s="288" t="str">
        <f ca="1">IF(G162=747,M162-(O162/2)-(P162/2),"")</f>
        <v/>
      </c>
      <c r="DF162" s="288" t="str">
        <f ca="1">IF(G162=823.09,M162-(O162/2)-(P162/2),"")</f>
        <v/>
      </c>
      <c r="DG162" s="288" t="str">
        <f ca="1">IF(G162=899.03,M162-(O162/2)-(P162/2),"")</f>
        <v/>
      </c>
      <c r="DH162" s="309"/>
      <c r="DI162" s="288" t="str">
        <f>+IF(B162="S",B162,"N")</f>
        <v>S</v>
      </c>
      <c r="DJ162" s="288">
        <f>+IF(DI162="S",E162,"")</f>
        <v>29.53</v>
      </c>
      <c r="DK162" s="310">
        <v>5</v>
      </c>
      <c r="DL162" s="288">
        <f>IF(DI162="S",((((AA162+1)*6)/2)*0.7*DK162),"")</f>
        <v>29.557500000000335</v>
      </c>
      <c r="DM162" s="288">
        <f>IF(DI162="S",(ATAN(6/(AA162-1))*180/PI()),"")</f>
        <v>82.264665542461728</v>
      </c>
      <c r="DN162" s="206">
        <f>IF(DI162="S",(TAN(DM162*PI()/180)*(AA162-2)),"")</f>
        <v>-1.3619631901837603</v>
      </c>
      <c r="DO162" s="206">
        <f>IF(DI162="S",(TAN(DM162*PI()/180)*(AA162-4)),"")</f>
        <v>-16.085889570551277</v>
      </c>
      <c r="DP162" s="288">
        <f>IF(DI162="S",(IF(AA162&lt;=2,((((AA162+1)*6)/2)*0.7*DK162),IF(AND(AA162&gt;2,AA162&lt;=4),((((AA162+1)*6)/2)*0.7*DK162)-(((AA162-2)*DN162)/2*0.7*DK162),IF(AND(AA162&gt;4,AA162&lt;=6),((((AA162+1)*6)/2)*0.7*DK162)-(((AA162-2)*DN162)/2*0.7*DK162),0)))),"")</f>
        <v>29.557500000000335</v>
      </c>
      <c r="DQ162" s="288">
        <f>IF(DI162="S",(IF(AND(AA162&gt;2,AA162&lt;=4),(((AA162-2)*DN162)/2*0.7*DK162),IF(AND(AA162&gt;4,AA162&lt;=6),(((AA162-2)*DN162)/2*0.7*DK162)-((AA162-4)*DO162/2*0.7*DK162),0))),"")</f>
        <v>0</v>
      </c>
      <c r="DR162" s="288">
        <f>IF(DI162="S",(IF(AND(AA162&gt;4,AA162&lt;=6),((AA162-4)*DO162/2*0.7*DK162),IF(AA162&lt;4,0,"REVISAR"))),"")</f>
        <v>0</v>
      </c>
      <c r="DS162" s="288">
        <f t="shared" si="0"/>
        <v>38.11500000000067</v>
      </c>
      <c r="DT162" s="288">
        <f t="shared" si="1"/>
        <v>16.335000000000289</v>
      </c>
      <c r="DU162" s="310" t="str">
        <f ca="1">IF(B162="S",(IF(DI162="S",IF(G162=$DU$11,DK162,""),"")),"")</f>
        <v/>
      </c>
      <c r="DV162" s="310" t="str">
        <f ca="1">IF(B162="S",(IF(DI162="S",IF(G162=$DV$11,DK162,""),"")),"")</f>
        <v/>
      </c>
      <c r="DW162" s="310">
        <f ca="1">IF(B162="S",(IF(DI162="S",IF(G162=$DW$11,DK162,""),"")),"")</f>
        <v>5</v>
      </c>
      <c r="DX162" s="310" t="str">
        <f ca="1">IF(B162="S",(IF(DI162="S",IF(G162=$DX$11,DK162,""),"")),"")</f>
        <v/>
      </c>
      <c r="DY162" s="310" t="str">
        <f ca="1">IF(B162="S",(IF(DI162="S",IF(G162=$DY$11,DK162,""),"")),"")</f>
        <v/>
      </c>
      <c r="DZ162" s="310" t="str">
        <f ca="1">IF(B162="S",(IF(DI162="S",IF(G162=$DZ$11,DK162,""),"")),"")</f>
        <v/>
      </c>
      <c r="EA162" s="310" t="str">
        <f ca="1">IF(B162="S",(IF(DI162="S",IF(G162=$EA$11,DK162,""),"")),"")</f>
        <v/>
      </c>
      <c r="EB162" s="310" t="str">
        <f ca="1">IF(B162="S",(IF(DI162="S",IF(G162=$EB$11,DK162,""),"")),"")</f>
        <v/>
      </c>
      <c r="EC162" s="288">
        <f>IF(B162="S",0.95,"")</f>
        <v>0.95</v>
      </c>
      <c r="ED162" s="310"/>
      <c r="EE162" s="310"/>
      <c r="EF162" s="310"/>
      <c r="EH162" s="310">
        <f>+IF(EC162=0.95,2+((ED162+EE162+EF162)-1),"")</f>
        <v>1</v>
      </c>
    </row>
    <row r="163" spans="1:138" s="288" customFormat="1">
      <c r="A163" s="288" t="s">
        <v>330</v>
      </c>
      <c r="B163" s="288" t="str">
        <f>A163</f>
        <v>S</v>
      </c>
      <c r="C163" s="309" t="str">
        <f>IF(A163="S",'Cálculo_Diseño  (2)'!C164," ")</f>
        <v>C241</v>
      </c>
      <c r="D163" s="309" t="str">
        <f>IF(A163="S",'Cálculo_Diseño  (2)'!D164," ")</f>
        <v>C167</v>
      </c>
      <c r="E163" s="309">
        <f>IF(B163="S",'Cálculo_Diseño  (2)'!AX164," ")</f>
        <v>99.69</v>
      </c>
      <c r="F163" s="309">
        <f>IF(B163="S",'Cálculo_Diseño  (2)'!BL164," ")</f>
        <v>1.2548901594945232</v>
      </c>
      <c r="G163" s="309">
        <f ca="1">IF(B163="S",'Cálculo_Diseño  (2)'!AZ164," ")</f>
        <v>452</v>
      </c>
      <c r="H163" s="309">
        <f>IF(B163="S",'Cálculo_Diseño  (2)'!BB164," ")</f>
        <v>983.25800000000004</v>
      </c>
      <c r="I163" s="309">
        <f>IF(B163="S",'Cálculo_Diseño  (2)'!BC164," ")</f>
        <v>982.35199999999998</v>
      </c>
      <c r="J163" s="309">
        <f>IF(B163="S",'Cálculo_Diseño  (2)'!BH164," ")</f>
        <v>981.49800000000005</v>
      </c>
      <c r="K163" s="309">
        <f>IF(B163="S",'Cálculo_Diseño  (2)'!BI164," ")</f>
        <v>980.24699999999996</v>
      </c>
      <c r="L163" s="315">
        <f>IF(B163="S",+$L$11,"")</f>
        <v>1</v>
      </c>
      <c r="M163" s="288">
        <f>IF(B163="S",(E163^2+(J163-K163)^2)^0.5," ")</f>
        <v>99.69784902895347</v>
      </c>
      <c r="N163" s="288">
        <f>IF(AJ163="S",BK163+0.1,BK163)</f>
        <v>1.1000000000000001</v>
      </c>
      <c r="O163" s="288">
        <f ca="1">IF(B163="S",(IF(G163&lt;=500,1.2,1.5)),"")</f>
        <v>1.2</v>
      </c>
      <c r="P163" s="288">
        <f ca="1">IF(B163="S",(IF(G163&lt;=500,1.2,1.5)),"")</f>
        <v>1.2</v>
      </c>
      <c r="Q163" s="309" t="s">
        <v>331</v>
      </c>
      <c r="R163" s="311" t="str">
        <f>+IF(B163="S",(IF(Q163="FLEXIBLE","S","N")),"")</f>
        <v>N</v>
      </c>
      <c r="S163" s="311" t="str">
        <f>+IF(B163="S",(IF(Q163="ADOQUIN","S","N")),"")</f>
        <v>N</v>
      </c>
      <c r="T163" s="311" t="str">
        <f>+IF(B163="S",(IF(Q163="CONCRETO","S","N")),"")</f>
        <v>S</v>
      </c>
      <c r="U163" s="288">
        <f>IF(B163="S",(IF(R163="S",(((((H163-I163)^2)+(E163^2))^0.5)-CA163-CB163)*$U$11,0)),"")</f>
        <v>0</v>
      </c>
      <c r="V163" s="288">
        <f>IF(B163="S",(IF(S163="S",(((((H163-I163)^2)+(E163^2))^0.5)-CA163-CB163)*$V$11,0)),"")</f>
        <v>0</v>
      </c>
      <c r="W163" s="288">
        <f ca="1">IF(B163="S",(IF(T163="S",(((((H163-I163)^2)+(E163^2))^0.5)-CA163-CB163)*$W$11,0)),"")</f>
        <v>98.494116857515735</v>
      </c>
      <c r="X163" s="288">
        <f>IF(B163="S",(U163*(N163+0.2)*$X$11),"")</f>
        <v>0</v>
      </c>
      <c r="Y163" s="288">
        <f>IF(B163="S",(V163*(N163+0.2)*$Y$11),"")</f>
        <v>0</v>
      </c>
      <c r="Z163" s="288">
        <f ca="1">IF(B163="S",(W163*(N163+0.2)*$Z$11+IF(Q163="CONCRETO",PI()/4*0.2*(O163+0.2*2+0.1*2)^2)),"")</f>
        <v>38.921643584312683</v>
      </c>
      <c r="AA163" s="288">
        <f>IF(B163="S",(((H163-J163)+(I163-K163))/2+BM163),"")</f>
        <v>2.0325000000000046</v>
      </c>
      <c r="AB163" s="312">
        <f>IF(B163="S",($AB$11),"")</f>
        <v>10</v>
      </c>
      <c r="AC163" s="288">
        <f ca="1">IF(B163="S",(IF(CG163="","",(CG163*(AB163/100))*$I$527)),"")</f>
        <v>20.346027592848134</v>
      </c>
      <c r="AD163" s="288">
        <f>IF(B163="S",(IF(CH163="","",(CH163*AB163/100)*$I$527)),"")</f>
        <v>2.7767022404290214</v>
      </c>
      <c r="AE163" s="288" t="str">
        <f>IF(B163="S",(IF(CI163="","",(CI163*AB163/100)*$I$527)),"")</f>
        <v/>
      </c>
      <c r="AF163" s="313">
        <f ca="1">IF(B163="S",(IF(CG163="","",(CG163*$I$527)-AC163)),"")</f>
        <v>183.11424833563319</v>
      </c>
      <c r="AG163" s="313">
        <f>IF(B163="S",(IF(CH163="","",(CH163*$I$527)-AD163)),"")</f>
        <v>24.990320163861192</v>
      </c>
      <c r="AH163" s="313" t="str">
        <f>IF(B163="S",(IF(CI163="","",(CI163*$I$527)-AE163)),"")</f>
        <v/>
      </c>
      <c r="AI163" s="313">
        <f ca="1">IF(B163="S",((BY163*(L163/100))*1.1),"")</f>
        <v>2.3356292760886013</v>
      </c>
      <c r="AJ163" s="313" t="str">
        <f>IF(B163="S",(IF(AA163&lt;1,"N","S")),"")</f>
        <v>S</v>
      </c>
      <c r="AK163" s="288">
        <f>IF(B163="S",(IF(AJ163="S",(E163*AA163*0.7*2),0)),"")</f>
        <v>283.66789500000061</v>
      </c>
      <c r="AL163" s="288">
        <f>IF(B163="S",(IF(AJ163="S",(E163*AA163*0.3*2),0)),"")</f>
        <v>121.57195500000026</v>
      </c>
      <c r="AM163" s="288">
        <f>IF(B163="S",(IF(F163&gt;20,N163*(M163/10)*AA163,0)),"")</f>
        <v>0</v>
      </c>
      <c r="AN163" s="288">
        <f>IF(B163="S",((M163-0.4)*$AN$11),"")</f>
        <v>0</v>
      </c>
      <c r="AO163" s="288">
        <f>IF(B163="S",((M163-0.4)*$AO$11),"")</f>
        <v>0</v>
      </c>
      <c r="AP163" s="288">
        <f ca="1">IF(B163="S",((M163-(O163/2)-(P163/2))*$AP$11),"")</f>
        <v>98.497849028953482</v>
      </c>
      <c r="AQ163" s="288">
        <f ca="1">+SUM(AC163:AI163)</f>
        <v>233.56292760886015</v>
      </c>
      <c r="AR163" s="288">
        <f ca="1">+AT163+AU163+AZ163+BA163+BB163+BI163</f>
        <v>233.56292760886009</v>
      </c>
      <c r="AS163" s="314">
        <f ca="1">IF(B163="S",((N163*(0.4+G163/1000))-((G163/1000)^2*PI()/4)),"")</f>
        <v>0.7767400136252478</v>
      </c>
      <c r="AT163" s="315">
        <f ca="1">IF(B163="S",(AS163*AP163)-IF(BI163&gt;0,BI163,0),"")</f>
        <v>76.507220596806931</v>
      </c>
      <c r="AU163" s="314">
        <f ca="1">IF(B163="S",IF(Q163="NATURAL",0,(($AU$11*N163*AP163))),"")</f>
        <v>43.339053572739537</v>
      </c>
      <c r="AV163" s="312">
        <f>IF(B163="S",$AV$11,"")</f>
        <v>30</v>
      </c>
      <c r="AW163" s="288">
        <f ca="1">IF(B163="S",(BY163*1.1-(AT163+BI163)-AU163-BB163-AX163-AY163),"")</f>
        <v>97.720397397614576</v>
      </c>
      <c r="AX163" s="206"/>
      <c r="AY163" s="206"/>
      <c r="AZ163" s="288">
        <f ca="1">IF(B163="S",((BY163*1.1-BB163-(AT163+BI163)-AU163-AX163-AY163)*AV163/100),"")</f>
        <v>29.316119219284378</v>
      </c>
      <c r="BA163" s="288">
        <f ca="1">IF(B163="S",(IF(AW163&gt;AZ163,AW163-AZ163,0)),"")</f>
        <v>68.404278178330202</v>
      </c>
      <c r="BB163" s="288">
        <f ca="1">IF(B163="S",((((G163/1000)^2)/4*PI())*E163),"")</f>
        <v>15.996256041699056</v>
      </c>
      <c r="BC163" s="288">
        <f ca="1">IF(B163="S",(BY163*1.1-AZ163),"")</f>
        <v>204.24680838957573</v>
      </c>
      <c r="BD163" s="288">
        <f ca="1">IF(B163="S",(IF(O163=1.2,IF((H163-J163)&lt;=1.2,H163-J163,H163-J163-0.95))),"")</f>
        <v>0.80999999999999095</v>
      </c>
      <c r="BE163" s="316" t="b">
        <f ca="1">IF(B163="S",(IF(O163=1.5,IF(H163-J163&lt;=1,0,H163-J163-1))),"")</f>
        <v>0</v>
      </c>
      <c r="BF163" s="316" t="b">
        <f ca="1">IF(B163="S",(IF(O163&lt;=0.8,IF(H163-J163&lt;=1,0,H163-J163))),"")</f>
        <v>0</v>
      </c>
      <c r="BG163" s="316" t="b">
        <f ca="1">IF(B163="S",(IF(O163&lt;=0.6,IF(H163-J163&lt;=1,H163-J163,0))),"")</f>
        <v>0</v>
      </c>
      <c r="BH163" s="310">
        <f ca="1">IF(B163="S",(IF(BD163="","",IF(BD163="FALSO","",1))),"")</f>
        <v>1</v>
      </c>
      <c r="BI163" s="288">
        <f>IF(B163="S",(IF(F163&gt;=15,N163*((G163/1000)+0.3)*0.2,0)*(E163/5+1)),"")</f>
        <v>0</v>
      </c>
      <c r="BJ163" s="288">
        <f xml:space="preserve"> IF(B163="S",(BN163+BM163+0.3),"")</f>
        <v>1.03</v>
      </c>
      <c r="BK163" s="309">
        <f>IF(B163="S",(VLOOKUP('Cálculo_Diseño  (2)'!AY164,'TABLA (2)'!$H$102:'TABLA (2)'!$U$135,3)),"")</f>
        <v>1</v>
      </c>
      <c r="BL163" s="309">
        <f>IF(B163="S",(VLOOKUP('Cálculo_Diseño  (2)'!AY164,'TABLA (2)'!$H$102:'TABLA (2)'!$U$135,10)),"")</f>
        <v>0.9</v>
      </c>
      <c r="BM163" s="309">
        <f>IF(B163="S",(VLOOKUP('Cálculo_Diseño  (2)'!AY164,'TABLA (2)'!$H$102:'TABLA (2)'!$U$135,11)),"")</f>
        <v>0.1</v>
      </c>
      <c r="BN163" s="309">
        <f>IF(B163="S",(VLOOKUP('Cálculo_Diseño  (2)'!AY164,'TABLA (2)'!$H$102:'TABLA (2)'!$U$135,12)),"")</f>
        <v>0.63</v>
      </c>
      <c r="BO163" s="288">
        <f>V163</f>
        <v>0</v>
      </c>
      <c r="BP163" s="313">
        <f>+IF(B163="S",(IF((1.8-AA163)&gt;=0,AA163+0.2,2)),"")</f>
        <v>2</v>
      </c>
      <c r="BQ163" s="288">
        <f>+IF(B163="S",(IF(BP163=2,IF((3.8-AA163)&gt;=0,(AA163+0.2-2),2),0)),"")</f>
        <v>0.23250000000000481</v>
      </c>
      <c r="BR163" s="288">
        <f>+IF(B163="S",(IF(BQ163=2,AA163+0.2-4,0)),"")</f>
        <v>0</v>
      </c>
      <c r="BS163" s="288">
        <f>IF(B163="S",((N163*(0.3+BN163/2)-0.392699*BN163*BN163)*AO163),"")</f>
        <v>0</v>
      </c>
      <c r="BU163" s="288">
        <f ca="1">IF(B163="S",((N163*(0.3+5*BN163/6)-0.699815*BN163*BN163)*AP163),"")</f>
        <v>62.028372950372855</v>
      </c>
      <c r="BV163" s="288">
        <f ca="1">IF(B163="S",(IF(BP163=0,"",(BP163)*(M163)*N163-(U163*$X$11+V163*$Y$11+W163*$Z$11)*N163)),"")</f>
        <v>186.83220930071747</v>
      </c>
      <c r="BW163" s="288">
        <f>IF(B163="S",(IF(BQ163=0,"",(M163)*BQ163*N163)),"")</f>
        <v>25.497724889155382</v>
      </c>
      <c r="BX163" s="288" t="str">
        <f>IF(B163="S",(IF(BR163=0,"",(M163)*BR163*N163)),"")</f>
        <v/>
      </c>
      <c r="BY163" s="288">
        <f ca="1">IF(B163="S",((AA163+0.2)*N163*(M163)-(U163*$X$11+V163*$Y$11+W163*$Z$11)*N163),"")</f>
        <v>212.32993418987283</v>
      </c>
      <c r="BZ163" s="288">
        <f>IF(B163="S",((N163*(0.3+BN163/2)-0.392699*BN163*BN163)*AN163),"")</f>
        <v>0</v>
      </c>
      <c r="CA163" s="288">
        <f ca="1">IF(B163="S",(IF(O163=1.2,(O163/2),IF(O163=0.8,O163/2,IF(O163=1.5,O163/2,IF(O163=0.6,O163/2,"IDIOT"))))),"")</f>
        <v>0.6</v>
      </c>
      <c r="CB163" s="288">
        <f ca="1">IF(B163="S",(IF(P163=1.2,(P163/2),IF(P163=0.8,P163/2,IF(P163=1.5,P163/2,IF(P163=0.6,P163/2,"IDIOT"))))),"")</f>
        <v>0.6</v>
      </c>
      <c r="CC163" s="316">
        <f>IF(B163="S",((BN163/2+0.1)*N163),"")</f>
        <v>0.45650000000000007</v>
      </c>
      <c r="CD163" s="288">
        <f>IF(B163="S",((BN163/2+BN163/4)*N163),"")</f>
        <v>0.51975000000000005</v>
      </c>
      <c r="CE163" s="288">
        <f>IF(B163="S",(0.392699*BN163*BN163),"")</f>
        <v>0.1558622331</v>
      </c>
      <c r="CF163" s="288" t="str">
        <f ca="1">+IF(B163="S",(IF(((H163-J163)-(G163/1000))&lt;=0.9,"E1",IF(((H163-J163)-(G163/1000))&lt;=2.5,"E2","E3"))),"")</f>
        <v>E2</v>
      </c>
      <c r="CG163" s="313">
        <f ca="1">IF(B163="S",(IF(BV163="","",BV163-(BV163*L163/100))),"")</f>
        <v>184.96388720771029</v>
      </c>
      <c r="CH163" s="313">
        <f t="shared" si="2"/>
        <v>25.242747640263829</v>
      </c>
      <c r="CI163" s="313" t="str">
        <f t="shared" si="2"/>
        <v/>
      </c>
      <c r="CJ163" s="288">
        <f ca="1">'Cálculo_Diseño  (2)'!BD164</f>
        <v>1.284</v>
      </c>
      <c r="CK163" s="313">
        <f ca="1">+IF(B163="S",(IF((CJ163+CU163)&gt;2,2,CJ163+CU163)),"")</f>
        <v>2</v>
      </c>
      <c r="CL163" s="313">
        <f ca="1">+IF(B163="S",(IF((CJ163+CU163)&gt;4,2,IF(AND((CJ163+CU163)&lt;=4,(CJ163+CU163)&gt;=2),((CJ163+CU163)-CK163),0))),"")</f>
        <v>0.56800000000000006</v>
      </c>
      <c r="CM163" s="313">
        <f ca="1">+IF(B163="S",(IF((CJ163+CU163)&gt;4,((CJ163+CU163)-(CK163+CL163)),0)),"")</f>
        <v>0</v>
      </c>
      <c r="CN163" s="313">
        <f ca="1">IF(B163="S",IF((CJ163+CU163)&lt;1.5,(ROUND(CJ163*PI()/4*(2.2)^2+CU163*(PI()/4*(2.2)^2 -PI()/4*(1.6)^2),2)),IF((CJ163+CU163)&lt;=2,(ROUND(((PI()*2.2^2)/4)*0.95-(((1/3)*PI()*0.95*(0.45^2+0.7^2+0.45*0.7)))+(CJ163*PI()/4*(2.2)^2)+(((((CU163)-0.95)*PI()*2.2^2)/4))-((((CU163)-0.95)*PI()*1.6^2)/4),2)),IF((CJ163+CU163)&gt;2,(ROUND(IF(CU163&lt;2,((PI()*2.2^2)/4)*0.95-(((1/3)*PI()*0.95*(0.45^2+0.7^2+0.45*0.7)))+((CU163-0.95)*(PI()/4*(2.2)^2 -PI()/4*(1.6)^2))+(2-CU163)*PI()/4*(2.2)^2,((PI()*2.2^2)/4)*0.95-(((1/3)*PI()*0.95*(0.45^2+0.7^2+0.45*0.7)))+((2-0.95)*(PI()/4*(2.2)^2 -PI()/4*(1.6)^2))),2))))),"")</f>
        <v>5.93</v>
      </c>
      <c r="CO163" s="313">
        <f ca="1">IF(B163="S",ROUND(IF(CL163&lt;=0,0,IF(AND(CL163&gt;0,CU163&lt;=0),CL163*PI()/4*2.2^(2),IF(AND(CL163&gt;0,CU163&gt;=4),CL163*(PI()/4*2.2^2-PI()/4*1.6^2),IF(AND(CL163&gt;0,CU163&gt;2,CU163&lt;4,CJ163&gt;0),(CU163-2)*(PI()/4*2.2^(2)-PI()/4*1.6^(2))+IF((CU163+CJ163)&gt;4,(4-CU163)*(PI()/4*2.2^(2)),(CJ163)*PI()/4*(2.2^2)),IF(AND(CL163&gt;0,CU163&lt;=2),(CL163*PI()/4*2.2^2)))))),2),"")</f>
        <v>2.16</v>
      </c>
      <c r="CP163" s="313">
        <f ca="1">IF(B163="S",(ROUND(IF(CM163&lt;=0,0,IF(AND(CM163&gt;0,CU163&lt;=0),CM163*PI()/4*2.2^(2),IF(AND(CM163&gt;0,CU163&gt;4,CJ163&lt;=0),CM163*(PI()/4*2.2^2-PI()/4*1.6^2),IF(AND(CM163&gt;0,CU163&lt;=4),CM163*PI()/4*2.2^2)))),2)),"")</f>
        <v>0</v>
      </c>
      <c r="CQ163" s="313">
        <f ca="1">IF(B163="S",IF(CK163&gt;1.5,(2*PI()*(0.9)*(CJ163+CU163)),0),"")</f>
        <v>14.521697881953459</v>
      </c>
      <c r="CR163" s="313">
        <f ca="1">IF(B163="S",(ROUND(IF(CN163&gt;0,CN163+CO163+CP163-CS163,0),2)),"")</f>
        <v>2.58</v>
      </c>
      <c r="CS163" s="313">
        <f ca="1">IF(B163="S",(IF(CJ163=0,0,IF(AND((H163-J163)&lt;1.5,CU163&gt;0),ROUND(CU163*(PI()/4*(2.2)^2 -PI()/4*(1.6)^2),2),(ROUND(((PI()*2.2^2)/4)*0.95-(((1/3)*PI()*0.95*(0.45^2+0.7^2+0.45*0.7)))+(((((CJ163+CU163)-0.95)*PI()*2.2^2)/4))-((((CJ163+CU163)-0.95)*PI()*1.6^2)/4),2))))),"")</f>
        <v>5.51</v>
      </c>
      <c r="CT163" s="313" t="str">
        <f ca="1">IF(B163="S",(IF(CN163&gt;=0,IF(CN163+CO163+CP163=(CR163+CS163),"OK","VERIFICAR"),0)),"")</f>
        <v>OK</v>
      </c>
      <c r="CU163" s="309">
        <f ca="1">'Cálculo_Diseño  (2)'!BD164</f>
        <v>1.284</v>
      </c>
      <c r="CV163" s="288" t="str">
        <f ca="1">IF(G163=182,M163-(O163/2)-(P163/2),"")</f>
        <v/>
      </c>
      <c r="CW163" s="288" t="str">
        <f ca="1">IF(G163=227,M163-(O163/2)-(P163/2),"")</f>
        <v/>
      </c>
      <c r="CX163" s="288" t="str">
        <f ca="1">IF(G163=284,M163-(O163/2)-(P163/2),"")</f>
        <v/>
      </c>
      <c r="CY163" s="288" t="str">
        <f ca="1">IF(G163=327,M163-(O163/2)-(P163/2),"")</f>
        <v/>
      </c>
      <c r="CZ163" s="288" t="str">
        <f ca="1">IF(G163=362,M163-(O163/2)-(P163/2),"")</f>
        <v/>
      </c>
      <c r="DA163" s="288" t="str">
        <f ca="1">IF(G163=407,M163-(O163/2)-(P163/2),"")</f>
        <v/>
      </c>
      <c r="DB163" s="288">
        <f ca="1">IF(G163=452,M163-(O163/2)-(P163/2),"")</f>
        <v>98.497849028953482</v>
      </c>
      <c r="DC163" s="288" t="str">
        <f ca="1">IF(G163=595.12,M163-(O163/2)-(P163/2),"")</f>
        <v/>
      </c>
      <c r="DD163" s="288" t="str">
        <f ca="1">IF(G163=670,M163-(O163/2)-(P163/2),"")</f>
        <v/>
      </c>
      <c r="DE163" s="288" t="str">
        <f ca="1">IF(G163=747,M163-(O163/2)-(P163/2),"")</f>
        <v/>
      </c>
      <c r="DF163" s="288" t="str">
        <f ca="1">IF(G163=823.09,M163-(O163/2)-(P163/2),"")</f>
        <v/>
      </c>
      <c r="DG163" s="288" t="str">
        <f ca="1">IF(G163=899.03,M163-(O163/2)-(P163/2),"")</f>
        <v/>
      </c>
      <c r="DH163" s="309"/>
      <c r="DI163" s="288" t="str">
        <f>+IF(B163="S",B163,"N")</f>
        <v>S</v>
      </c>
      <c r="DJ163" s="288">
        <f>+IF(DI163="S",E163,"")</f>
        <v>99.69</v>
      </c>
      <c r="DK163" s="310">
        <v>19</v>
      </c>
      <c r="DL163" s="288">
        <f>IF(DI163="S",((((AA163+1)*6)/2)*0.7*DK163),"")</f>
        <v>120.99675000000018</v>
      </c>
      <c r="DM163" s="288">
        <f>IF(DI163="S",(ATAN(6/(AA163-1))*180/PI()),"")</f>
        <v>80.235981343041715</v>
      </c>
      <c r="DN163" s="206">
        <f>IF(DI163="S",(TAN(DM163*PI()/180)*(AA163-2)),"")</f>
        <v>0.18886198547218114</v>
      </c>
      <c r="DO163" s="206">
        <f>IF(DI163="S",(TAN(DM163*PI()/180)*(AA163-4)),"")</f>
        <v>-11.433414043583461</v>
      </c>
      <c r="DP163" s="288">
        <f>IF(DI163="S",(IF(AA163&lt;=2,((((AA163+1)*6)/2)*0.7*DK163),IF(AND(AA163&gt;2,AA163&lt;=4),((((AA163+1)*6)/2)*0.7*DK163)-(((AA163-2)*DN163)/2*0.7*DK163),IF(AND(AA163&gt;4,AA163&lt;=6),((((AA163+1)*6)/2)*0.7*DK163)-(((AA163-2)*DN163)/2*0.7*DK163),0)))),"")</f>
        <v>120.95593220338999</v>
      </c>
      <c r="DQ163" s="288">
        <f>IF(DI163="S",(IF(AND(AA163&gt;2,AA163&lt;=4),(((AA163-2)*DN163)/2*0.7*DK163),IF(AND(AA163&gt;4,AA163&lt;=6),(((AA163-2)*DN163)/2*0.7*DK163)-((AA163-4)*DO163/2*0.7*DK163),0))),"")</f>
        <v>4.0817796610180965E-2</v>
      </c>
      <c r="DR163" s="288">
        <f>IF(DI163="S",(IF(AND(AA163&gt;4,AA163&lt;=6),((AA163-4)*DO163/2*0.7*DK163),IF(AA163&lt;4,0,"REVISAR"))),"")</f>
        <v>0</v>
      </c>
      <c r="DS163" s="288">
        <f t="shared" si="0"/>
        <v>162.19350000000037</v>
      </c>
      <c r="DT163" s="288">
        <f t="shared" si="1"/>
        <v>69.511500000000169</v>
      </c>
      <c r="DU163" s="310" t="str">
        <f ca="1">IF(B163="S",(IF(DI163="S",IF(G163=$DU$11,DK163,""),"")),"")</f>
        <v/>
      </c>
      <c r="DV163" s="310" t="str">
        <f ca="1">IF(B163="S",(IF(DI163="S",IF(G163=$DV$11,DK163,""),"")),"")</f>
        <v/>
      </c>
      <c r="DW163" s="310" t="str">
        <f ca="1">IF(B163="S",(IF(DI163="S",IF(G163=$DW$11,DK163,""),"")),"")</f>
        <v/>
      </c>
      <c r="DX163" s="310" t="str">
        <f ca="1">IF(B163="S",(IF(DI163="S",IF(G163=$DX$11,DK163,""),"")),"")</f>
        <v/>
      </c>
      <c r="DY163" s="310" t="str">
        <f ca="1">IF(B163="S",(IF(DI163="S",IF(G163=$DY$11,DK163,""),"")),"")</f>
        <v/>
      </c>
      <c r="DZ163" s="310" t="str">
        <f ca="1">IF(B163="S",(IF(DI163="S",IF(G163=$DZ$11,DK163,""),"")),"")</f>
        <v/>
      </c>
      <c r="EA163" s="310">
        <f ca="1">IF(B163="S",(IF(DI163="S",IF(G163=$EA$11,DK163,""),"")),"")</f>
        <v>19</v>
      </c>
      <c r="EB163" s="310" t="str">
        <f ca="1">IF(B163="S",(IF(DI163="S",IF(G163=$EB$11,DK163,""),"")),"")</f>
        <v/>
      </c>
      <c r="EC163" s="288">
        <f>IF(B163="S",0.95,"")</f>
        <v>0.95</v>
      </c>
      <c r="ED163" s="310"/>
      <c r="EE163" s="310"/>
      <c r="EF163" s="310"/>
      <c r="EH163" s="310">
        <f>+IF(EC163=0.95,2+((ED163+EE163+EF163)-1),"")</f>
        <v>1</v>
      </c>
    </row>
    <row r="164" spans="1:138" s="288" customFormat="1" hidden="1">
      <c r="C164" s="309"/>
      <c r="D164" s="309"/>
      <c r="E164" s="309"/>
      <c r="F164" s="309"/>
      <c r="G164" s="309"/>
      <c r="H164" s="309"/>
      <c r="I164" s="309"/>
      <c r="J164" s="309"/>
      <c r="K164" s="309"/>
      <c r="L164" s="315"/>
      <c r="Q164" s="309"/>
      <c r="R164" s="311"/>
      <c r="S164" s="311"/>
      <c r="T164" s="311"/>
      <c r="AB164" s="312"/>
      <c r="AF164" s="313"/>
      <c r="AG164" s="313"/>
      <c r="AH164" s="313"/>
      <c r="AI164" s="313"/>
      <c r="AJ164" s="313"/>
      <c r="AS164" s="314"/>
      <c r="AT164" s="315"/>
      <c r="AU164" s="314"/>
      <c r="AV164" s="312"/>
      <c r="AX164" s="206"/>
      <c r="AY164" s="206"/>
      <c r="BE164" s="316"/>
      <c r="BF164" s="316"/>
      <c r="BG164" s="316"/>
      <c r="BH164" s="310"/>
      <c r="BK164" s="309"/>
      <c r="BL164" s="309"/>
      <c r="BM164" s="309"/>
      <c r="BN164" s="309"/>
      <c r="BP164" s="313"/>
      <c r="CC164" s="316"/>
      <c r="CG164" s="313"/>
      <c r="CH164" s="313"/>
      <c r="CI164" s="313"/>
      <c r="CK164" s="313"/>
      <c r="CL164" s="313"/>
      <c r="CM164" s="313"/>
      <c r="CN164" s="313"/>
      <c r="CO164" s="313"/>
      <c r="CP164" s="313"/>
      <c r="CQ164" s="313"/>
      <c r="CR164" s="313"/>
      <c r="CS164" s="313"/>
      <c r="CT164" s="313"/>
      <c r="CU164" s="309"/>
      <c r="DH164" s="309"/>
      <c r="DK164" s="310"/>
      <c r="DN164" s="206"/>
      <c r="DO164" s="206"/>
      <c r="DS164" s="288" t="str">
        <f t="shared" si="0"/>
        <v/>
      </c>
      <c r="DT164" s="288" t="str">
        <f t="shared" si="1"/>
        <v/>
      </c>
      <c r="DU164" s="310"/>
      <c r="DV164" s="310"/>
      <c r="DW164" s="310"/>
      <c r="DX164" s="310"/>
      <c r="DY164" s="310"/>
      <c r="DZ164" s="310"/>
      <c r="EA164" s="310"/>
      <c r="EB164" s="310"/>
      <c r="ED164" s="310"/>
      <c r="EE164" s="310"/>
      <c r="EF164" s="310"/>
      <c r="EH164" s="310"/>
    </row>
    <row r="165" spans="1:138" s="288" customFormat="1" hidden="1">
      <c r="C165" s="309"/>
      <c r="D165" s="309"/>
      <c r="E165" s="309"/>
      <c r="F165" s="309"/>
      <c r="G165" s="309"/>
      <c r="H165" s="309"/>
      <c r="I165" s="309"/>
      <c r="J165" s="309"/>
      <c r="K165" s="309"/>
      <c r="L165" s="315"/>
      <c r="Q165" s="309"/>
      <c r="R165" s="311"/>
      <c r="S165" s="311"/>
      <c r="T165" s="311"/>
      <c r="AB165" s="312"/>
      <c r="AF165" s="313"/>
      <c r="AG165" s="313"/>
      <c r="AH165" s="313"/>
      <c r="AI165" s="313"/>
      <c r="AJ165" s="313"/>
      <c r="AS165" s="314"/>
      <c r="AT165" s="315"/>
      <c r="AU165" s="314"/>
      <c r="AV165" s="312"/>
      <c r="AX165" s="206"/>
      <c r="AY165" s="206"/>
      <c r="BE165" s="316"/>
      <c r="BF165" s="316"/>
      <c r="BG165" s="316"/>
      <c r="BH165" s="310"/>
      <c r="BK165" s="309"/>
      <c r="BL165" s="309"/>
      <c r="BM165" s="309"/>
      <c r="BN165" s="309"/>
      <c r="BP165" s="313"/>
      <c r="CC165" s="316"/>
      <c r="CG165" s="313"/>
      <c r="CH165" s="313"/>
      <c r="CI165" s="313"/>
      <c r="CK165" s="313"/>
      <c r="CL165" s="313"/>
      <c r="CM165" s="313"/>
      <c r="CN165" s="313"/>
      <c r="CO165" s="313"/>
      <c r="CP165" s="313"/>
      <c r="CQ165" s="313"/>
      <c r="CR165" s="313"/>
      <c r="CS165" s="313"/>
      <c r="CT165" s="313"/>
      <c r="CU165" s="309"/>
      <c r="DH165" s="309"/>
      <c r="DK165" s="310"/>
      <c r="DN165" s="206"/>
      <c r="DO165" s="206"/>
      <c r="DS165" s="288" t="str">
        <f t="shared" si="0"/>
        <v/>
      </c>
      <c r="DT165" s="288" t="str">
        <f t="shared" si="1"/>
        <v/>
      </c>
      <c r="DU165" s="310"/>
      <c r="DV165" s="310"/>
      <c r="DW165" s="310"/>
      <c r="DX165" s="310"/>
      <c r="DY165" s="310"/>
      <c r="DZ165" s="310"/>
      <c r="EA165" s="310"/>
      <c r="EB165" s="310"/>
      <c r="ED165" s="310"/>
      <c r="EE165" s="310"/>
      <c r="EF165" s="310"/>
      <c r="EH165" s="310"/>
    </row>
    <row r="166" spans="1:138" s="288" customFormat="1" hidden="1">
      <c r="C166" s="309"/>
      <c r="D166" s="309"/>
      <c r="E166" s="309"/>
      <c r="F166" s="309"/>
      <c r="G166" s="309"/>
      <c r="H166" s="309"/>
      <c r="I166" s="309"/>
      <c r="J166" s="309"/>
      <c r="K166" s="309"/>
      <c r="L166" s="315"/>
      <c r="Q166" s="309"/>
      <c r="R166" s="311"/>
      <c r="S166" s="311"/>
      <c r="T166" s="311"/>
      <c r="AB166" s="312"/>
      <c r="AF166" s="313"/>
      <c r="AG166" s="313"/>
      <c r="AH166" s="313"/>
      <c r="AI166" s="313"/>
      <c r="AJ166" s="313"/>
      <c r="AS166" s="314"/>
      <c r="AT166" s="315"/>
      <c r="AU166" s="314"/>
      <c r="AV166" s="312"/>
      <c r="AX166" s="206"/>
      <c r="AY166" s="206"/>
      <c r="BE166" s="316"/>
      <c r="BF166" s="316"/>
      <c r="BG166" s="316"/>
      <c r="BH166" s="310"/>
      <c r="BK166" s="309"/>
      <c r="BL166" s="309"/>
      <c r="BM166" s="309"/>
      <c r="BN166" s="309"/>
      <c r="BP166" s="313"/>
      <c r="CC166" s="316"/>
      <c r="CG166" s="313"/>
      <c r="CH166" s="313"/>
      <c r="CI166" s="313"/>
      <c r="CK166" s="313"/>
      <c r="CL166" s="313"/>
      <c r="CM166" s="313"/>
      <c r="CN166" s="313"/>
      <c r="CO166" s="313"/>
      <c r="CP166" s="313"/>
      <c r="CQ166" s="313"/>
      <c r="CR166" s="313"/>
      <c r="CS166" s="313"/>
      <c r="CT166" s="313"/>
      <c r="CU166" s="309"/>
      <c r="DH166" s="309"/>
      <c r="DK166" s="310"/>
      <c r="DN166" s="206"/>
      <c r="DO166" s="206"/>
      <c r="DS166" s="288" t="str">
        <f t="shared" ref="DS166:DS197" si="3">IF(DI166="S",(IF(AA166&gt;1.5,(3*AA166*0.7*DK166*2),0)),"")</f>
        <v/>
      </c>
      <c r="DT166" s="288" t="str">
        <f t="shared" ref="DT166:DT197" si="4">IF(DI166="S",(IF(AA166&gt;1.5,(3*AA166*0.3*DK166*2),0)),"")</f>
        <v/>
      </c>
      <c r="DU166" s="310"/>
      <c r="DV166" s="310"/>
      <c r="DW166" s="310"/>
      <c r="DX166" s="310"/>
      <c r="DY166" s="310"/>
      <c r="DZ166" s="310"/>
      <c r="EA166" s="310"/>
      <c r="EB166" s="310"/>
      <c r="ED166" s="310"/>
      <c r="EE166" s="310"/>
      <c r="EF166" s="310"/>
      <c r="EH166" s="310"/>
    </row>
    <row r="167" spans="1:138" s="288" customFormat="1" hidden="1">
      <c r="C167" s="309"/>
      <c r="D167" s="309"/>
      <c r="E167" s="309"/>
      <c r="F167" s="309"/>
      <c r="G167" s="309"/>
      <c r="H167" s="309"/>
      <c r="I167" s="309"/>
      <c r="J167" s="309"/>
      <c r="K167" s="309"/>
      <c r="L167" s="315"/>
      <c r="Q167" s="309"/>
      <c r="R167" s="311"/>
      <c r="S167" s="311"/>
      <c r="T167" s="311"/>
      <c r="AB167" s="312"/>
      <c r="AF167" s="313"/>
      <c r="AG167" s="313"/>
      <c r="AH167" s="313"/>
      <c r="AI167" s="313"/>
      <c r="AJ167" s="313"/>
      <c r="AS167" s="314"/>
      <c r="AT167" s="315"/>
      <c r="AU167" s="314"/>
      <c r="AV167" s="312"/>
      <c r="AX167" s="206"/>
      <c r="AY167" s="206"/>
      <c r="BE167" s="316"/>
      <c r="BF167" s="316"/>
      <c r="BG167" s="316"/>
      <c r="BH167" s="310"/>
      <c r="BK167" s="309"/>
      <c r="BL167" s="309"/>
      <c r="BM167" s="309"/>
      <c r="BN167" s="309"/>
      <c r="BP167" s="313"/>
      <c r="CC167" s="316"/>
      <c r="CG167" s="313"/>
      <c r="CH167" s="313"/>
      <c r="CI167" s="313"/>
      <c r="CK167" s="313"/>
      <c r="CL167" s="313"/>
      <c r="CM167" s="313"/>
      <c r="CN167" s="313"/>
      <c r="CO167" s="313"/>
      <c r="CP167" s="313"/>
      <c r="CQ167" s="313"/>
      <c r="CR167" s="313"/>
      <c r="CS167" s="313"/>
      <c r="CT167" s="313"/>
      <c r="CU167" s="309"/>
      <c r="DH167" s="309"/>
      <c r="DK167" s="310"/>
      <c r="DN167" s="206"/>
      <c r="DO167" s="206"/>
      <c r="DS167" s="288" t="str">
        <f t="shared" si="3"/>
        <v/>
      </c>
      <c r="DT167" s="288" t="str">
        <f t="shared" si="4"/>
        <v/>
      </c>
      <c r="DU167" s="310"/>
      <c r="DV167" s="310"/>
      <c r="DW167" s="310"/>
      <c r="DX167" s="310"/>
      <c r="DY167" s="310"/>
      <c r="DZ167" s="310"/>
      <c r="EA167" s="310"/>
      <c r="EB167" s="310"/>
      <c r="ED167" s="310"/>
      <c r="EE167" s="310"/>
      <c r="EF167" s="310"/>
      <c r="EH167" s="310"/>
    </row>
    <row r="168" spans="1:138" s="288" customFormat="1" hidden="1">
      <c r="C168" s="309"/>
      <c r="D168" s="309"/>
      <c r="E168" s="309"/>
      <c r="F168" s="309"/>
      <c r="G168" s="309"/>
      <c r="H168" s="309"/>
      <c r="I168" s="309"/>
      <c r="J168" s="309"/>
      <c r="K168" s="309"/>
      <c r="L168" s="315"/>
      <c r="Q168" s="309"/>
      <c r="R168" s="311"/>
      <c r="S168" s="311"/>
      <c r="T168" s="311"/>
      <c r="AB168" s="312"/>
      <c r="AF168" s="313"/>
      <c r="AG168" s="313"/>
      <c r="AH168" s="313"/>
      <c r="AI168" s="313"/>
      <c r="AJ168" s="313"/>
      <c r="AS168" s="314"/>
      <c r="AT168" s="315"/>
      <c r="AU168" s="314"/>
      <c r="AV168" s="312"/>
      <c r="AX168" s="206"/>
      <c r="AY168" s="206"/>
      <c r="BE168" s="316"/>
      <c r="BF168" s="316"/>
      <c r="BG168" s="316"/>
      <c r="BH168" s="310"/>
      <c r="BK168" s="309"/>
      <c r="BL168" s="309"/>
      <c r="BM168" s="309"/>
      <c r="BN168" s="309"/>
      <c r="BP168" s="313"/>
      <c r="CC168" s="316"/>
      <c r="CG168" s="313"/>
      <c r="CH168" s="313"/>
      <c r="CI168" s="313"/>
      <c r="CK168" s="313"/>
      <c r="CL168" s="313"/>
      <c r="CM168" s="313"/>
      <c r="CN168" s="313"/>
      <c r="CO168" s="313"/>
      <c r="CP168" s="313"/>
      <c r="CQ168" s="313"/>
      <c r="CR168" s="313"/>
      <c r="CS168" s="313"/>
      <c r="CT168" s="313"/>
      <c r="CU168" s="309"/>
      <c r="DH168" s="309"/>
      <c r="DK168" s="310"/>
      <c r="DN168" s="206"/>
      <c r="DO168" s="206"/>
      <c r="DS168" s="288" t="str">
        <f t="shared" si="3"/>
        <v/>
      </c>
      <c r="DT168" s="288" t="str">
        <f t="shared" si="4"/>
        <v/>
      </c>
      <c r="DU168" s="310"/>
      <c r="DV168" s="310"/>
      <c r="DW168" s="310"/>
      <c r="DX168" s="310"/>
      <c r="DY168" s="310"/>
      <c r="DZ168" s="310"/>
      <c r="EA168" s="310"/>
      <c r="EB168" s="310"/>
      <c r="ED168" s="310"/>
      <c r="EE168" s="310"/>
      <c r="EF168" s="310"/>
      <c r="EH168" s="310"/>
    </row>
    <row r="169" spans="1:138" s="288" customFormat="1" hidden="1">
      <c r="C169" s="309"/>
      <c r="D169" s="309"/>
      <c r="E169" s="309"/>
      <c r="F169" s="309"/>
      <c r="G169" s="309"/>
      <c r="H169" s="309"/>
      <c r="I169" s="309"/>
      <c r="J169" s="309"/>
      <c r="K169" s="309"/>
      <c r="L169" s="315"/>
      <c r="Q169" s="309"/>
      <c r="R169" s="311"/>
      <c r="S169" s="311"/>
      <c r="T169" s="311"/>
      <c r="AB169" s="312"/>
      <c r="AF169" s="313"/>
      <c r="AG169" s="313"/>
      <c r="AH169" s="313"/>
      <c r="AI169" s="313"/>
      <c r="AJ169" s="313"/>
      <c r="AS169" s="314"/>
      <c r="AT169" s="315"/>
      <c r="AU169" s="314"/>
      <c r="AV169" s="312"/>
      <c r="AX169" s="206"/>
      <c r="AY169" s="206"/>
      <c r="BE169" s="316"/>
      <c r="BF169" s="316"/>
      <c r="BG169" s="316"/>
      <c r="BH169" s="310"/>
      <c r="BK169" s="309"/>
      <c r="BL169" s="309"/>
      <c r="BM169" s="309"/>
      <c r="BN169" s="309"/>
      <c r="BP169" s="313"/>
      <c r="CC169" s="316"/>
      <c r="CG169" s="313"/>
      <c r="CH169" s="313"/>
      <c r="CI169" s="313"/>
      <c r="CK169" s="313"/>
      <c r="CL169" s="313"/>
      <c r="CM169" s="313"/>
      <c r="CN169" s="313"/>
      <c r="CO169" s="313"/>
      <c r="CP169" s="313"/>
      <c r="CQ169" s="313"/>
      <c r="CR169" s="313"/>
      <c r="CS169" s="313"/>
      <c r="CT169" s="313"/>
      <c r="CU169" s="309"/>
      <c r="DH169" s="309"/>
      <c r="DK169" s="310"/>
      <c r="DN169" s="206"/>
      <c r="DO169" s="206"/>
      <c r="DS169" s="288" t="str">
        <f t="shared" si="3"/>
        <v/>
      </c>
      <c r="DT169" s="288" t="str">
        <f t="shared" si="4"/>
        <v/>
      </c>
      <c r="DU169" s="310"/>
      <c r="DV169" s="310"/>
      <c r="DW169" s="310"/>
      <c r="DX169" s="310"/>
      <c r="DY169" s="310"/>
      <c r="DZ169" s="310"/>
      <c r="EA169" s="310"/>
      <c r="EB169" s="310"/>
      <c r="ED169" s="310"/>
      <c r="EE169" s="310"/>
      <c r="EF169" s="310"/>
      <c r="EH169" s="310"/>
    </row>
    <row r="170" spans="1:138" s="288" customFormat="1" hidden="1">
      <c r="C170" s="309"/>
      <c r="D170" s="309"/>
      <c r="E170" s="309"/>
      <c r="F170" s="309"/>
      <c r="G170" s="309"/>
      <c r="H170" s="309"/>
      <c r="I170" s="309"/>
      <c r="J170" s="309"/>
      <c r="K170" s="309"/>
      <c r="L170" s="315"/>
      <c r="Q170" s="309"/>
      <c r="R170" s="311"/>
      <c r="S170" s="311"/>
      <c r="T170" s="311"/>
      <c r="AB170" s="312"/>
      <c r="AF170" s="313"/>
      <c r="AG170" s="313"/>
      <c r="AH170" s="313"/>
      <c r="AI170" s="313"/>
      <c r="AJ170" s="313"/>
      <c r="AS170" s="314"/>
      <c r="AT170" s="315"/>
      <c r="AU170" s="314"/>
      <c r="AV170" s="312"/>
      <c r="AX170" s="206"/>
      <c r="AY170" s="206"/>
      <c r="BE170" s="316"/>
      <c r="BF170" s="316"/>
      <c r="BG170" s="316"/>
      <c r="BH170" s="310"/>
      <c r="BK170" s="309"/>
      <c r="BL170" s="309"/>
      <c r="BM170" s="309"/>
      <c r="BN170" s="309"/>
      <c r="BP170" s="313"/>
      <c r="CC170" s="316"/>
      <c r="CG170" s="313"/>
      <c r="CH170" s="313"/>
      <c r="CI170" s="313"/>
      <c r="CK170" s="313"/>
      <c r="CL170" s="313"/>
      <c r="CM170" s="313"/>
      <c r="CN170" s="313"/>
      <c r="CO170" s="313"/>
      <c r="CP170" s="313"/>
      <c r="CQ170" s="313"/>
      <c r="CR170" s="313"/>
      <c r="CS170" s="313"/>
      <c r="CT170" s="313"/>
      <c r="CU170" s="309"/>
      <c r="DH170" s="309"/>
      <c r="DK170" s="310"/>
      <c r="DN170" s="206"/>
      <c r="DO170" s="206"/>
      <c r="DS170" s="288" t="str">
        <f t="shared" si="3"/>
        <v/>
      </c>
      <c r="DT170" s="288" t="str">
        <f t="shared" si="4"/>
        <v/>
      </c>
      <c r="DU170" s="310"/>
      <c r="DV170" s="310"/>
      <c r="DW170" s="310"/>
      <c r="DX170" s="310"/>
      <c r="DY170" s="310"/>
      <c r="DZ170" s="310"/>
      <c r="EA170" s="310"/>
      <c r="EB170" s="310"/>
      <c r="ED170" s="310"/>
      <c r="EE170" s="310"/>
      <c r="EF170" s="310"/>
      <c r="EH170" s="310"/>
    </row>
    <row r="171" spans="1:138" s="288" customFormat="1" hidden="1">
      <c r="C171" s="309"/>
      <c r="D171" s="309"/>
      <c r="E171" s="309"/>
      <c r="F171" s="309"/>
      <c r="G171" s="309"/>
      <c r="H171" s="309"/>
      <c r="I171" s="309"/>
      <c r="J171" s="309"/>
      <c r="K171" s="309"/>
      <c r="L171" s="315"/>
      <c r="Q171" s="309"/>
      <c r="R171" s="311"/>
      <c r="S171" s="311"/>
      <c r="T171" s="311"/>
      <c r="AB171" s="312"/>
      <c r="AF171" s="313"/>
      <c r="AG171" s="313"/>
      <c r="AH171" s="313"/>
      <c r="AI171" s="313"/>
      <c r="AJ171" s="313"/>
      <c r="AS171" s="314"/>
      <c r="AT171" s="315"/>
      <c r="AU171" s="314"/>
      <c r="AV171" s="312"/>
      <c r="AX171" s="206"/>
      <c r="AY171" s="206"/>
      <c r="BE171" s="316"/>
      <c r="BF171" s="316"/>
      <c r="BG171" s="316"/>
      <c r="BH171" s="310"/>
      <c r="BK171" s="309"/>
      <c r="BL171" s="309"/>
      <c r="BM171" s="309"/>
      <c r="BN171" s="309"/>
      <c r="BP171" s="313"/>
      <c r="CC171" s="316"/>
      <c r="CG171" s="313"/>
      <c r="CH171" s="313"/>
      <c r="CI171" s="313"/>
      <c r="CK171" s="313"/>
      <c r="CL171" s="313"/>
      <c r="CM171" s="313"/>
      <c r="CN171" s="313"/>
      <c r="CO171" s="313"/>
      <c r="CP171" s="313"/>
      <c r="CQ171" s="313"/>
      <c r="CR171" s="313"/>
      <c r="CS171" s="313"/>
      <c r="CT171" s="313"/>
      <c r="CU171" s="309"/>
      <c r="DH171" s="309"/>
      <c r="DK171" s="310"/>
      <c r="DN171" s="206"/>
      <c r="DO171" s="206"/>
      <c r="DS171" s="288" t="str">
        <f t="shared" si="3"/>
        <v/>
      </c>
      <c r="DT171" s="288" t="str">
        <f t="shared" si="4"/>
        <v/>
      </c>
      <c r="DU171" s="310"/>
      <c r="DV171" s="310"/>
      <c r="DW171" s="310"/>
      <c r="DX171" s="310"/>
      <c r="DY171" s="310"/>
      <c r="DZ171" s="310"/>
      <c r="EA171" s="310"/>
      <c r="EB171" s="310"/>
      <c r="ED171" s="310"/>
      <c r="EE171" s="310"/>
      <c r="EF171" s="310"/>
      <c r="EH171" s="310"/>
    </row>
    <row r="172" spans="1:138" s="288" customFormat="1" hidden="1">
      <c r="C172" s="309"/>
      <c r="D172" s="309"/>
      <c r="E172" s="309"/>
      <c r="F172" s="309"/>
      <c r="G172" s="309"/>
      <c r="H172" s="309"/>
      <c r="I172" s="309"/>
      <c r="J172" s="309"/>
      <c r="K172" s="309"/>
      <c r="L172" s="315"/>
      <c r="Q172" s="309"/>
      <c r="R172" s="311"/>
      <c r="S172" s="311"/>
      <c r="T172" s="311"/>
      <c r="AB172" s="312"/>
      <c r="AF172" s="313"/>
      <c r="AG172" s="313"/>
      <c r="AH172" s="313"/>
      <c r="AI172" s="313"/>
      <c r="AJ172" s="313"/>
      <c r="AS172" s="314"/>
      <c r="AT172" s="315"/>
      <c r="AU172" s="314"/>
      <c r="AV172" s="312"/>
      <c r="AX172" s="206"/>
      <c r="AY172" s="206"/>
      <c r="BE172" s="316"/>
      <c r="BF172" s="316"/>
      <c r="BG172" s="316"/>
      <c r="BH172" s="310"/>
      <c r="BK172" s="309"/>
      <c r="BL172" s="309"/>
      <c r="BM172" s="309"/>
      <c r="BN172" s="309"/>
      <c r="BP172" s="313"/>
      <c r="CC172" s="316"/>
      <c r="CG172" s="313"/>
      <c r="CH172" s="313"/>
      <c r="CI172" s="313"/>
      <c r="CK172" s="313"/>
      <c r="CL172" s="313"/>
      <c r="CM172" s="313"/>
      <c r="CN172" s="313"/>
      <c r="CO172" s="313"/>
      <c r="CP172" s="313"/>
      <c r="CQ172" s="313"/>
      <c r="CR172" s="313"/>
      <c r="CS172" s="313"/>
      <c r="CT172" s="313"/>
      <c r="CU172" s="309"/>
      <c r="DH172" s="309"/>
      <c r="DK172" s="310"/>
      <c r="DN172" s="206"/>
      <c r="DO172" s="206"/>
      <c r="DS172" s="288" t="str">
        <f t="shared" si="3"/>
        <v/>
      </c>
      <c r="DT172" s="288" t="str">
        <f t="shared" si="4"/>
        <v/>
      </c>
      <c r="DU172" s="310"/>
      <c r="DV172" s="310"/>
      <c r="DW172" s="310"/>
      <c r="DX172" s="310"/>
      <c r="DY172" s="310"/>
      <c r="DZ172" s="310"/>
      <c r="EA172" s="310"/>
      <c r="EB172" s="310"/>
      <c r="ED172" s="310"/>
      <c r="EE172" s="310"/>
      <c r="EF172" s="310"/>
      <c r="EH172" s="310"/>
    </row>
    <row r="173" spans="1:138" s="288" customFormat="1" hidden="1">
      <c r="C173" s="309"/>
      <c r="D173" s="309"/>
      <c r="E173" s="309"/>
      <c r="F173" s="309"/>
      <c r="G173" s="309"/>
      <c r="H173" s="309"/>
      <c r="I173" s="309"/>
      <c r="J173" s="309"/>
      <c r="K173" s="309"/>
      <c r="L173" s="315"/>
      <c r="Q173" s="309"/>
      <c r="R173" s="311"/>
      <c r="S173" s="311"/>
      <c r="T173" s="311"/>
      <c r="AB173" s="312"/>
      <c r="AF173" s="313"/>
      <c r="AG173" s="313"/>
      <c r="AH173" s="313"/>
      <c r="AI173" s="313"/>
      <c r="AJ173" s="313"/>
      <c r="AS173" s="314"/>
      <c r="AT173" s="315"/>
      <c r="AU173" s="314"/>
      <c r="AV173" s="312"/>
      <c r="AX173" s="206"/>
      <c r="AY173" s="206"/>
      <c r="BE173" s="316"/>
      <c r="BF173" s="316"/>
      <c r="BG173" s="316"/>
      <c r="BH173" s="310"/>
      <c r="BK173" s="309"/>
      <c r="BL173" s="309"/>
      <c r="BM173" s="309"/>
      <c r="BN173" s="309"/>
      <c r="BP173" s="313"/>
      <c r="CC173" s="316"/>
      <c r="CG173" s="313"/>
      <c r="CH173" s="313"/>
      <c r="CI173" s="313"/>
      <c r="CK173" s="313"/>
      <c r="CL173" s="313"/>
      <c r="CM173" s="313"/>
      <c r="CN173" s="313"/>
      <c r="CO173" s="313"/>
      <c r="CP173" s="313"/>
      <c r="CQ173" s="313"/>
      <c r="CR173" s="313"/>
      <c r="CS173" s="313"/>
      <c r="CT173" s="313"/>
      <c r="CU173" s="309"/>
      <c r="DH173" s="309"/>
      <c r="DK173" s="310"/>
      <c r="DN173" s="206"/>
      <c r="DO173" s="206"/>
      <c r="DS173" s="288" t="str">
        <f t="shared" si="3"/>
        <v/>
      </c>
      <c r="DT173" s="288" t="str">
        <f t="shared" si="4"/>
        <v/>
      </c>
      <c r="DU173" s="310"/>
      <c r="DV173" s="310"/>
      <c r="DW173" s="310"/>
      <c r="DX173" s="310"/>
      <c r="DY173" s="310"/>
      <c r="DZ173" s="310"/>
      <c r="EA173" s="310"/>
      <c r="EB173" s="310"/>
      <c r="ED173" s="310"/>
      <c r="EE173" s="310"/>
      <c r="EF173" s="310"/>
      <c r="EH173" s="310"/>
    </row>
    <row r="174" spans="1:138" s="288" customFormat="1" hidden="1">
      <c r="C174" s="309"/>
      <c r="D174" s="309"/>
      <c r="E174" s="309"/>
      <c r="F174" s="309"/>
      <c r="G174" s="309"/>
      <c r="H174" s="309"/>
      <c r="I174" s="309"/>
      <c r="J174" s="309"/>
      <c r="K174" s="309"/>
      <c r="L174" s="315"/>
      <c r="Q174" s="309"/>
      <c r="R174" s="311"/>
      <c r="S174" s="311"/>
      <c r="T174" s="311"/>
      <c r="AB174" s="312"/>
      <c r="AF174" s="313"/>
      <c r="AG174" s="313"/>
      <c r="AH174" s="313"/>
      <c r="AI174" s="313"/>
      <c r="AJ174" s="313"/>
      <c r="AS174" s="314"/>
      <c r="AT174" s="315"/>
      <c r="AU174" s="314"/>
      <c r="AV174" s="312"/>
      <c r="AX174" s="206"/>
      <c r="AY174" s="206"/>
      <c r="BE174" s="316"/>
      <c r="BF174" s="316"/>
      <c r="BG174" s="316"/>
      <c r="BH174" s="310"/>
      <c r="BK174" s="309"/>
      <c r="BL174" s="309"/>
      <c r="BM174" s="309"/>
      <c r="BN174" s="309"/>
      <c r="BP174" s="313"/>
      <c r="CC174" s="316"/>
      <c r="CG174" s="313"/>
      <c r="CH174" s="313"/>
      <c r="CI174" s="313"/>
      <c r="CK174" s="313"/>
      <c r="CL174" s="313"/>
      <c r="CM174" s="313"/>
      <c r="CN174" s="313"/>
      <c r="CO174" s="313"/>
      <c r="CP174" s="313"/>
      <c r="CQ174" s="313"/>
      <c r="CR174" s="313"/>
      <c r="CS174" s="313"/>
      <c r="CT174" s="313"/>
      <c r="CU174" s="309"/>
      <c r="DH174" s="309"/>
      <c r="DK174" s="310"/>
      <c r="DN174" s="206"/>
      <c r="DO174" s="206"/>
      <c r="DS174" s="288" t="str">
        <f t="shared" si="3"/>
        <v/>
      </c>
      <c r="DT174" s="288" t="str">
        <f t="shared" si="4"/>
        <v/>
      </c>
      <c r="DU174" s="310"/>
      <c r="DV174" s="310"/>
      <c r="DW174" s="310"/>
      <c r="DX174" s="310"/>
      <c r="DY174" s="310"/>
      <c r="DZ174" s="310"/>
      <c r="EA174" s="310"/>
      <c r="EB174" s="310"/>
      <c r="ED174" s="310"/>
      <c r="EE174" s="310"/>
      <c r="EF174" s="310"/>
      <c r="EH174" s="310"/>
    </row>
    <row r="175" spans="1:138" s="288" customFormat="1" hidden="1">
      <c r="C175" s="309"/>
      <c r="D175" s="309"/>
      <c r="E175" s="309"/>
      <c r="F175" s="309"/>
      <c r="G175" s="309"/>
      <c r="H175" s="309"/>
      <c r="I175" s="309"/>
      <c r="J175" s="309"/>
      <c r="K175" s="309"/>
      <c r="L175" s="315"/>
      <c r="Q175" s="309"/>
      <c r="R175" s="311"/>
      <c r="S175" s="311"/>
      <c r="T175" s="311"/>
      <c r="AB175" s="312"/>
      <c r="AF175" s="313"/>
      <c r="AG175" s="313"/>
      <c r="AH175" s="313"/>
      <c r="AI175" s="313"/>
      <c r="AJ175" s="313"/>
      <c r="AS175" s="314"/>
      <c r="AT175" s="315"/>
      <c r="AU175" s="314"/>
      <c r="AV175" s="312"/>
      <c r="AX175" s="206"/>
      <c r="AY175" s="206"/>
      <c r="BE175" s="316"/>
      <c r="BF175" s="316"/>
      <c r="BG175" s="316"/>
      <c r="BH175" s="310"/>
      <c r="BK175" s="309"/>
      <c r="BL175" s="309"/>
      <c r="BM175" s="309"/>
      <c r="BN175" s="309"/>
      <c r="BP175" s="313"/>
      <c r="CC175" s="316"/>
      <c r="CG175" s="313"/>
      <c r="CH175" s="313"/>
      <c r="CI175" s="313"/>
      <c r="CK175" s="313"/>
      <c r="CL175" s="313"/>
      <c r="CM175" s="313"/>
      <c r="CN175" s="313"/>
      <c r="CO175" s="313"/>
      <c r="CP175" s="313"/>
      <c r="CQ175" s="313"/>
      <c r="CR175" s="313"/>
      <c r="CS175" s="313"/>
      <c r="CT175" s="313"/>
      <c r="CU175" s="309"/>
      <c r="DH175" s="309"/>
      <c r="DK175" s="310"/>
      <c r="DN175" s="206"/>
      <c r="DO175" s="206"/>
      <c r="DS175" s="288" t="str">
        <f t="shared" si="3"/>
        <v/>
      </c>
      <c r="DT175" s="288" t="str">
        <f t="shared" si="4"/>
        <v/>
      </c>
      <c r="DU175" s="310"/>
      <c r="DV175" s="310"/>
      <c r="DW175" s="310"/>
      <c r="DX175" s="310"/>
      <c r="DY175" s="310"/>
      <c r="DZ175" s="310"/>
      <c r="EA175" s="310"/>
      <c r="EB175" s="310"/>
      <c r="ED175" s="310"/>
      <c r="EE175" s="310"/>
      <c r="EF175" s="310"/>
      <c r="EH175" s="310"/>
    </row>
    <row r="176" spans="1:138" s="288" customFormat="1" hidden="1">
      <c r="C176" s="309"/>
      <c r="D176" s="309"/>
      <c r="E176" s="309"/>
      <c r="F176" s="309"/>
      <c r="G176" s="309"/>
      <c r="H176" s="309"/>
      <c r="I176" s="309"/>
      <c r="J176" s="309"/>
      <c r="K176" s="309"/>
      <c r="L176" s="315"/>
      <c r="Q176" s="309"/>
      <c r="R176" s="311"/>
      <c r="S176" s="311"/>
      <c r="T176" s="311"/>
      <c r="AB176" s="312"/>
      <c r="AF176" s="313"/>
      <c r="AG176" s="313"/>
      <c r="AH176" s="313"/>
      <c r="AI176" s="313"/>
      <c r="AJ176" s="313"/>
      <c r="AS176" s="314"/>
      <c r="AT176" s="315"/>
      <c r="AU176" s="314"/>
      <c r="AV176" s="312"/>
      <c r="AX176" s="206"/>
      <c r="AY176" s="206"/>
      <c r="BE176" s="316"/>
      <c r="BF176" s="316"/>
      <c r="BG176" s="316"/>
      <c r="BH176" s="310"/>
      <c r="BK176" s="309"/>
      <c r="BL176" s="309"/>
      <c r="BM176" s="309"/>
      <c r="BN176" s="309"/>
      <c r="BP176" s="313"/>
      <c r="CC176" s="316"/>
      <c r="CG176" s="313"/>
      <c r="CH176" s="313"/>
      <c r="CI176" s="313"/>
      <c r="CK176" s="313"/>
      <c r="CL176" s="313"/>
      <c r="CM176" s="313"/>
      <c r="CN176" s="313"/>
      <c r="CO176" s="313"/>
      <c r="CP176" s="313"/>
      <c r="CQ176" s="313"/>
      <c r="CR176" s="313"/>
      <c r="CS176" s="313"/>
      <c r="CT176" s="313"/>
      <c r="CU176" s="309"/>
      <c r="DH176" s="309"/>
      <c r="DK176" s="310"/>
      <c r="DN176" s="206"/>
      <c r="DO176" s="206"/>
      <c r="DS176" s="288" t="str">
        <f t="shared" si="3"/>
        <v/>
      </c>
      <c r="DT176" s="288" t="str">
        <f t="shared" si="4"/>
        <v/>
      </c>
      <c r="DU176" s="310"/>
      <c r="DV176" s="310"/>
      <c r="DW176" s="310"/>
      <c r="DX176" s="310"/>
      <c r="DY176" s="310"/>
      <c r="DZ176" s="310"/>
      <c r="EA176" s="310"/>
      <c r="EB176" s="310"/>
      <c r="ED176" s="310"/>
      <c r="EE176" s="310"/>
      <c r="EF176" s="310"/>
      <c r="EH176" s="310"/>
    </row>
    <row r="177" spans="3:138" s="288" customFormat="1" hidden="1">
      <c r="C177" s="309"/>
      <c r="D177" s="309"/>
      <c r="E177" s="309"/>
      <c r="F177" s="309"/>
      <c r="G177" s="309"/>
      <c r="H177" s="309"/>
      <c r="I177" s="309"/>
      <c r="J177" s="309"/>
      <c r="K177" s="309"/>
      <c r="L177" s="315"/>
      <c r="Q177" s="309"/>
      <c r="R177" s="311"/>
      <c r="S177" s="311"/>
      <c r="T177" s="311"/>
      <c r="AB177" s="312"/>
      <c r="AF177" s="313"/>
      <c r="AG177" s="313"/>
      <c r="AH177" s="313"/>
      <c r="AI177" s="313"/>
      <c r="AJ177" s="313"/>
      <c r="AS177" s="314"/>
      <c r="AT177" s="315"/>
      <c r="AU177" s="314"/>
      <c r="AV177" s="312"/>
      <c r="AX177" s="206"/>
      <c r="AY177" s="206"/>
      <c r="BE177" s="316"/>
      <c r="BF177" s="316"/>
      <c r="BG177" s="316"/>
      <c r="BH177" s="310"/>
      <c r="BK177" s="309"/>
      <c r="BL177" s="309"/>
      <c r="BM177" s="309"/>
      <c r="BN177" s="309"/>
      <c r="BP177" s="313"/>
      <c r="CC177" s="316"/>
      <c r="CG177" s="313"/>
      <c r="CH177" s="313"/>
      <c r="CI177" s="313"/>
      <c r="CK177" s="313"/>
      <c r="CL177" s="313"/>
      <c r="CM177" s="313"/>
      <c r="CN177" s="313"/>
      <c r="CO177" s="313"/>
      <c r="CP177" s="313"/>
      <c r="CQ177" s="313"/>
      <c r="CR177" s="313"/>
      <c r="CS177" s="313"/>
      <c r="CT177" s="313"/>
      <c r="CU177" s="309"/>
      <c r="DH177" s="309"/>
      <c r="DK177" s="310"/>
      <c r="DN177" s="206"/>
      <c r="DO177" s="206"/>
      <c r="DS177" s="288" t="str">
        <f t="shared" si="3"/>
        <v/>
      </c>
      <c r="DT177" s="288" t="str">
        <f t="shared" si="4"/>
        <v/>
      </c>
      <c r="DU177" s="310"/>
      <c r="DV177" s="310"/>
      <c r="DW177" s="310"/>
      <c r="DX177" s="310"/>
      <c r="DY177" s="310"/>
      <c r="DZ177" s="310"/>
      <c r="EA177" s="310"/>
      <c r="EB177" s="310"/>
      <c r="ED177" s="310"/>
      <c r="EE177" s="310"/>
      <c r="EF177" s="310"/>
      <c r="EH177" s="310"/>
    </row>
    <row r="178" spans="3:138" s="288" customFormat="1" hidden="1">
      <c r="C178" s="309"/>
      <c r="D178" s="309"/>
      <c r="E178" s="309"/>
      <c r="F178" s="309"/>
      <c r="G178" s="309"/>
      <c r="H178" s="309"/>
      <c r="I178" s="309"/>
      <c r="J178" s="309"/>
      <c r="K178" s="309"/>
      <c r="L178" s="315"/>
      <c r="Q178" s="309"/>
      <c r="R178" s="311"/>
      <c r="S178" s="311"/>
      <c r="T178" s="311"/>
      <c r="AB178" s="312"/>
      <c r="AF178" s="313"/>
      <c r="AG178" s="313"/>
      <c r="AH178" s="313"/>
      <c r="AI178" s="313"/>
      <c r="AJ178" s="313"/>
      <c r="AS178" s="314"/>
      <c r="AT178" s="315"/>
      <c r="AU178" s="314"/>
      <c r="AV178" s="312"/>
      <c r="AX178" s="206"/>
      <c r="AY178" s="206"/>
      <c r="BE178" s="316"/>
      <c r="BF178" s="316"/>
      <c r="BG178" s="316"/>
      <c r="BH178" s="310"/>
      <c r="BK178" s="309"/>
      <c r="BL178" s="309"/>
      <c r="BM178" s="309"/>
      <c r="BN178" s="309"/>
      <c r="BP178" s="313"/>
      <c r="CC178" s="316"/>
      <c r="CG178" s="313"/>
      <c r="CH178" s="313"/>
      <c r="CI178" s="313"/>
      <c r="CK178" s="313"/>
      <c r="CL178" s="313"/>
      <c r="CM178" s="313"/>
      <c r="CN178" s="313"/>
      <c r="CO178" s="313"/>
      <c r="CP178" s="313"/>
      <c r="CQ178" s="313"/>
      <c r="CR178" s="313"/>
      <c r="CS178" s="313"/>
      <c r="CT178" s="313"/>
      <c r="CU178" s="309"/>
      <c r="DH178" s="309"/>
      <c r="DK178" s="310"/>
      <c r="DN178" s="206"/>
      <c r="DO178" s="206"/>
      <c r="DS178" s="288" t="str">
        <f t="shared" si="3"/>
        <v/>
      </c>
      <c r="DT178" s="288" t="str">
        <f t="shared" si="4"/>
        <v/>
      </c>
      <c r="DU178" s="310"/>
      <c r="DV178" s="310"/>
      <c r="DW178" s="310"/>
      <c r="DX178" s="310"/>
      <c r="DY178" s="310"/>
      <c r="DZ178" s="310"/>
      <c r="EA178" s="310"/>
      <c r="EB178" s="310"/>
      <c r="ED178" s="310"/>
      <c r="EE178" s="310"/>
      <c r="EF178" s="310"/>
      <c r="EH178" s="310"/>
    </row>
    <row r="179" spans="3:138" s="288" customFormat="1" hidden="1">
      <c r="C179" s="309"/>
      <c r="D179" s="309"/>
      <c r="E179" s="309"/>
      <c r="F179" s="309"/>
      <c r="G179" s="309"/>
      <c r="H179" s="309"/>
      <c r="I179" s="309"/>
      <c r="J179" s="309"/>
      <c r="K179" s="309"/>
      <c r="L179" s="315"/>
      <c r="Q179" s="309"/>
      <c r="R179" s="311"/>
      <c r="S179" s="311"/>
      <c r="T179" s="311"/>
      <c r="AB179" s="312"/>
      <c r="AF179" s="313"/>
      <c r="AG179" s="313"/>
      <c r="AH179" s="313"/>
      <c r="AI179" s="313"/>
      <c r="AJ179" s="313"/>
      <c r="AS179" s="314"/>
      <c r="AT179" s="315"/>
      <c r="AU179" s="314"/>
      <c r="AV179" s="312"/>
      <c r="AX179" s="206"/>
      <c r="AY179" s="206"/>
      <c r="BE179" s="316"/>
      <c r="BF179" s="316"/>
      <c r="BG179" s="316"/>
      <c r="BH179" s="310"/>
      <c r="BK179" s="309"/>
      <c r="BL179" s="309"/>
      <c r="BM179" s="309"/>
      <c r="BN179" s="309"/>
      <c r="BP179" s="313"/>
      <c r="CC179" s="316"/>
      <c r="CG179" s="313"/>
      <c r="CH179" s="313"/>
      <c r="CI179" s="313"/>
      <c r="CK179" s="313"/>
      <c r="CL179" s="313"/>
      <c r="CM179" s="313"/>
      <c r="CN179" s="313"/>
      <c r="CO179" s="313"/>
      <c r="CP179" s="313"/>
      <c r="CQ179" s="313"/>
      <c r="CR179" s="313"/>
      <c r="CS179" s="313"/>
      <c r="CT179" s="313"/>
      <c r="CU179" s="309"/>
      <c r="DH179" s="309"/>
      <c r="DK179" s="310"/>
      <c r="DN179" s="206"/>
      <c r="DO179" s="206"/>
      <c r="DS179" s="288" t="str">
        <f t="shared" si="3"/>
        <v/>
      </c>
      <c r="DT179" s="288" t="str">
        <f t="shared" si="4"/>
        <v/>
      </c>
      <c r="DU179" s="310"/>
      <c r="DV179" s="310"/>
      <c r="DW179" s="310"/>
      <c r="DX179" s="310"/>
      <c r="DY179" s="310"/>
      <c r="DZ179" s="310"/>
      <c r="EA179" s="310"/>
      <c r="EB179" s="310"/>
      <c r="ED179" s="310"/>
      <c r="EE179" s="310"/>
      <c r="EF179" s="310"/>
      <c r="EH179" s="310"/>
    </row>
    <row r="180" spans="3:138" s="288" customFormat="1" hidden="1">
      <c r="C180" s="309"/>
      <c r="D180" s="309"/>
      <c r="E180" s="309"/>
      <c r="F180" s="309"/>
      <c r="G180" s="309"/>
      <c r="H180" s="309"/>
      <c r="I180" s="309"/>
      <c r="J180" s="309"/>
      <c r="K180" s="309"/>
      <c r="L180" s="315"/>
      <c r="Q180" s="309"/>
      <c r="R180" s="311"/>
      <c r="S180" s="311"/>
      <c r="T180" s="311"/>
      <c r="AB180" s="312"/>
      <c r="AF180" s="313"/>
      <c r="AG180" s="313"/>
      <c r="AH180" s="313"/>
      <c r="AI180" s="313"/>
      <c r="AJ180" s="313"/>
      <c r="AS180" s="314"/>
      <c r="AT180" s="315"/>
      <c r="AU180" s="314"/>
      <c r="AV180" s="312"/>
      <c r="AX180" s="206"/>
      <c r="AY180" s="206"/>
      <c r="BE180" s="316"/>
      <c r="BF180" s="316"/>
      <c r="BG180" s="316"/>
      <c r="BH180" s="310"/>
      <c r="BK180" s="309"/>
      <c r="BL180" s="309"/>
      <c r="BM180" s="309"/>
      <c r="BN180" s="309"/>
      <c r="BP180" s="313"/>
      <c r="CC180" s="316"/>
      <c r="CG180" s="313"/>
      <c r="CH180" s="313"/>
      <c r="CI180" s="313"/>
      <c r="CK180" s="313"/>
      <c r="CL180" s="313"/>
      <c r="CM180" s="313"/>
      <c r="CN180" s="313"/>
      <c r="CO180" s="313"/>
      <c r="CP180" s="313"/>
      <c r="CQ180" s="313"/>
      <c r="CR180" s="313"/>
      <c r="CS180" s="313"/>
      <c r="CT180" s="313"/>
      <c r="CU180" s="309"/>
      <c r="DH180" s="309"/>
      <c r="DK180" s="310"/>
      <c r="DN180" s="206"/>
      <c r="DO180" s="206"/>
      <c r="DS180" s="288" t="str">
        <f t="shared" si="3"/>
        <v/>
      </c>
      <c r="DT180" s="288" t="str">
        <f t="shared" si="4"/>
        <v/>
      </c>
      <c r="DU180" s="310"/>
      <c r="DV180" s="310"/>
      <c r="DW180" s="310"/>
      <c r="DX180" s="310"/>
      <c r="DY180" s="310"/>
      <c r="DZ180" s="310"/>
      <c r="EA180" s="310"/>
      <c r="EB180" s="310"/>
      <c r="ED180" s="310"/>
      <c r="EE180" s="310"/>
      <c r="EF180" s="310"/>
      <c r="EH180" s="310"/>
    </row>
    <row r="181" spans="3:138" s="288" customFormat="1" hidden="1">
      <c r="C181" s="309"/>
      <c r="D181" s="309"/>
      <c r="E181" s="309"/>
      <c r="F181" s="309"/>
      <c r="G181" s="309"/>
      <c r="H181" s="309"/>
      <c r="I181" s="309"/>
      <c r="J181" s="309"/>
      <c r="K181" s="309"/>
      <c r="L181" s="315"/>
      <c r="Q181" s="309"/>
      <c r="R181" s="311"/>
      <c r="S181" s="311"/>
      <c r="T181" s="311"/>
      <c r="AB181" s="312"/>
      <c r="AF181" s="313"/>
      <c r="AG181" s="313"/>
      <c r="AH181" s="313"/>
      <c r="AI181" s="313"/>
      <c r="AJ181" s="313"/>
      <c r="AS181" s="314"/>
      <c r="AT181" s="315"/>
      <c r="AU181" s="314"/>
      <c r="AV181" s="312"/>
      <c r="AX181" s="206"/>
      <c r="AY181" s="206"/>
      <c r="BE181" s="316"/>
      <c r="BF181" s="316"/>
      <c r="BG181" s="316"/>
      <c r="BH181" s="310"/>
      <c r="BK181" s="309"/>
      <c r="BL181" s="309"/>
      <c r="BM181" s="309"/>
      <c r="BN181" s="309"/>
      <c r="BP181" s="313"/>
      <c r="CC181" s="316"/>
      <c r="CG181" s="313"/>
      <c r="CH181" s="313"/>
      <c r="CI181" s="313"/>
      <c r="CK181" s="313"/>
      <c r="CL181" s="313"/>
      <c r="CM181" s="313"/>
      <c r="CN181" s="313"/>
      <c r="CO181" s="313"/>
      <c r="CP181" s="313"/>
      <c r="CQ181" s="313"/>
      <c r="CR181" s="313"/>
      <c r="CS181" s="313"/>
      <c r="CT181" s="313"/>
      <c r="CU181" s="309"/>
      <c r="DH181" s="309"/>
      <c r="DK181" s="310"/>
      <c r="DN181" s="206"/>
      <c r="DO181" s="206"/>
      <c r="DS181" s="288" t="str">
        <f t="shared" si="3"/>
        <v/>
      </c>
      <c r="DT181" s="288" t="str">
        <f t="shared" si="4"/>
        <v/>
      </c>
      <c r="DU181" s="310"/>
      <c r="DV181" s="310"/>
      <c r="DW181" s="310"/>
      <c r="DX181" s="310"/>
      <c r="DY181" s="310"/>
      <c r="DZ181" s="310"/>
      <c r="EA181" s="310"/>
      <c r="EB181" s="310"/>
      <c r="ED181" s="310"/>
      <c r="EE181" s="310"/>
      <c r="EF181" s="310"/>
      <c r="EH181" s="310"/>
    </row>
    <row r="182" spans="3:138" s="288" customFormat="1" hidden="1">
      <c r="C182" s="309"/>
      <c r="D182" s="309"/>
      <c r="E182" s="309"/>
      <c r="F182" s="309"/>
      <c r="G182" s="309"/>
      <c r="H182" s="309"/>
      <c r="I182" s="309"/>
      <c r="J182" s="309"/>
      <c r="K182" s="309"/>
      <c r="L182" s="315"/>
      <c r="Q182" s="309"/>
      <c r="R182" s="311"/>
      <c r="S182" s="311"/>
      <c r="T182" s="311"/>
      <c r="AB182" s="312"/>
      <c r="AF182" s="313"/>
      <c r="AG182" s="313"/>
      <c r="AH182" s="313"/>
      <c r="AI182" s="313"/>
      <c r="AJ182" s="313"/>
      <c r="AS182" s="314"/>
      <c r="AT182" s="315"/>
      <c r="AU182" s="314"/>
      <c r="AV182" s="312"/>
      <c r="AX182" s="206"/>
      <c r="AY182" s="206"/>
      <c r="BE182" s="316"/>
      <c r="BF182" s="316"/>
      <c r="BG182" s="316"/>
      <c r="BH182" s="310"/>
      <c r="BK182" s="309"/>
      <c r="BL182" s="309"/>
      <c r="BM182" s="309"/>
      <c r="BN182" s="309"/>
      <c r="BP182" s="313"/>
      <c r="CC182" s="316"/>
      <c r="CG182" s="313"/>
      <c r="CH182" s="313"/>
      <c r="CI182" s="313"/>
      <c r="CK182" s="313"/>
      <c r="CL182" s="313"/>
      <c r="CM182" s="313"/>
      <c r="CN182" s="313"/>
      <c r="CO182" s="313"/>
      <c r="CP182" s="313"/>
      <c r="CQ182" s="313"/>
      <c r="CR182" s="313"/>
      <c r="CS182" s="313"/>
      <c r="CT182" s="313"/>
      <c r="CU182" s="309"/>
      <c r="DH182" s="309"/>
      <c r="DK182" s="310"/>
      <c r="DN182" s="206"/>
      <c r="DO182" s="206"/>
      <c r="DS182" s="288" t="str">
        <f t="shared" si="3"/>
        <v/>
      </c>
      <c r="DT182" s="288" t="str">
        <f t="shared" si="4"/>
        <v/>
      </c>
      <c r="DU182" s="310"/>
      <c r="DV182" s="310"/>
      <c r="DW182" s="310"/>
      <c r="DX182" s="310"/>
      <c r="DY182" s="310"/>
      <c r="DZ182" s="310"/>
      <c r="EA182" s="310"/>
      <c r="EB182" s="310"/>
      <c r="ED182" s="310"/>
      <c r="EE182" s="310"/>
      <c r="EF182" s="310"/>
      <c r="EH182" s="310"/>
    </row>
    <row r="183" spans="3:138" s="288" customFormat="1" hidden="1">
      <c r="C183" s="309"/>
      <c r="D183" s="309"/>
      <c r="E183" s="309"/>
      <c r="F183" s="309"/>
      <c r="G183" s="309"/>
      <c r="H183" s="309"/>
      <c r="I183" s="309"/>
      <c r="J183" s="309"/>
      <c r="K183" s="309"/>
      <c r="L183" s="315"/>
      <c r="Q183" s="309"/>
      <c r="R183" s="311"/>
      <c r="S183" s="311"/>
      <c r="T183" s="311"/>
      <c r="AB183" s="312"/>
      <c r="AF183" s="313"/>
      <c r="AG183" s="313"/>
      <c r="AH183" s="313"/>
      <c r="AI183" s="313"/>
      <c r="AJ183" s="313"/>
      <c r="AS183" s="314"/>
      <c r="AT183" s="315"/>
      <c r="AU183" s="314"/>
      <c r="AV183" s="312"/>
      <c r="AX183" s="206"/>
      <c r="AY183" s="206"/>
      <c r="BE183" s="316"/>
      <c r="BF183" s="316"/>
      <c r="BG183" s="316"/>
      <c r="BH183" s="310"/>
      <c r="BK183" s="309"/>
      <c r="BL183" s="309"/>
      <c r="BM183" s="309"/>
      <c r="BN183" s="309"/>
      <c r="BP183" s="313"/>
      <c r="CC183" s="316"/>
      <c r="CG183" s="313"/>
      <c r="CH183" s="313"/>
      <c r="CI183" s="313"/>
      <c r="CK183" s="313"/>
      <c r="CL183" s="313"/>
      <c r="CM183" s="313"/>
      <c r="CN183" s="313"/>
      <c r="CO183" s="313"/>
      <c r="CP183" s="313"/>
      <c r="CQ183" s="313"/>
      <c r="CR183" s="313"/>
      <c r="CS183" s="313"/>
      <c r="CT183" s="313"/>
      <c r="CU183" s="309"/>
      <c r="DH183" s="309"/>
      <c r="DK183" s="310"/>
      <c r="DN183" s="206"/>
      <c r="DO183" s="206"/>
      <c r="DS183" s="288" t="str">
        <f t="shared" si="3"/>
        <v/>
      </c>
      <c r="DT183" s="288" t="str">
        <f t="shared" si="4"/>
        <v/>
      </c>
      <c r="DU183" s="310"/>
      <c r="DV183" s="310"/>
      <c r="DW183" s="310"/>
      <c r="DX183" s="310"/>
      <c r="DY183" s="310"/>
      <c r="DZ183" s="310"/>
      <c r="EA183" s="310"/>
      <c r="EB183" s="310"/>
      <c r="ED183" s="310"/>
      <c r="EE183" s="310"/>
      <c r="EF183" s="310"/>
      <c r="EH183" s="310"/>
    </row>
    <row r="184" spans="3:138" s="288" customFormat="1" hidden="1">
      <c r="C184" s="309"/>
      <c r="D184" s="309"/>
      <c r="E184" s="309"/>
      <c r="F184" s="309"/>
      <c r="G184" s="309"/>
      <c r="H184" s="309"/>
      <c r="I184" s="309"/>
      <c r="J184" s="309"/>
      <c r="K184" s="309"/>
      <c r="L184" s="315"/>
      <c r="Q184" s="309"/>
      <c r="R184" s="311"/>
      <c r="S184" s="311"/>
      <c r="T184" s="311"/>
      <c r="AB184" s="312"/>
      <c r="AF184" s="313"/>
      <c r="AG184" s="313"/>
      <c r="AH184" s="313"/>
      <c r="AI184" s="313"/>
      <c r="AJ184" s="313"/>
      <c r="AS184" s="314"/>
      <c r="AT184" s="315"/>
      <c r="AU184" s="314"/>
      <c r="AV184" s="312"/>
      <c r="AX184" s="206"/>
      <c r="AY184" s="206"/>
      <c r="BE184" s="316"/>
      <c r="BF184" s="316"/>
      <c r="BG184" s="316"/>
      <c r="BH184" s="310"/>
      <c r="BK184" s="309"/>
      <c r="BL184" s="309"/>
      <c r="BM184" s="309"/>
      <c r="BN184" s="309"/>
      <c r="BP184" s="313"/>
      <c r="CC184" s="316"/>
      <c r="CG184" s="313"/>
      <c r="CH184" s="313"/>
      <c r="CI184" s="313"/>
      <c r="CK184" s="313"/>
      <c r="CL184" s="313"/>
      <c r="CM184" s="313"/>
      <c r="CN184" s="313"/>
      <c r="CO184" s="313"/>
      <c r="CP184" s="313"/>
      <c r="CQ184" s="313"/>
      <c r="CR184" s="313"/>
      <c r="CS184" s="313"/>
      <c r="CT184" s="313"/>
      <c r="CU184" s="309"/>
      <c r="DH184" s="309"/>
      <c r="DK184" s="310"/>
      <c r="DN184" s="206"/>
      <c r="DO184" s="206"/>
      <c r="DS184" s="288" t="str">
        <f t="shared" si="3"/>
        <v/>
      </c>
      <c r="DT184" s="288" t="str">
        <f t="shared" si="4"/>
        <v/>
      </c>
      <c r="DU184" s="310"/>
      <c r="DV184" s="310"/>
      <c r="DW184" s="310"/>
      <c r="DX184" s="310"/>
      <c r="DY184" s="310"/>
      <c r="DZ184" s="310"/>
      <c r="EA184" s="310"/>
      <c r="EB184" s="310"/>
      <c r="ED184" s="310"/>
      <c r="EE184" s="310"/>
      <c r="EF184" s="310"/>
      <c r="EH184" s="310"/>
    </row>
    <row r="185" spans="3:138" s="288" customFormat="1" hidden="1">
      <c r="C185" s="309"/>
      <c r="D185" s="309"/>
      <c r="E185" s="309"/>
      <c r="F185" s="309"/>
      <c r="G185" s="309"/>
      <c r="H185" s="309"/>
      <c r="I185" s="309"/>
      <c r="J185" s="309"/>
      <c r="K185" s="309"/>
      <c r="L185" s="315"/>
      <c r="Q185" s="309"/>
      <c r="R185" s="311"/>
      <c r="S185" s="311"/>
      <c r="T185" s="311"/>
      <c r="AB185" s="312"/>
      <c r="AF185" s="313"/>
      <c r="AG185" s="313"/>
      <c r="AH185" s="313"/>
      <c r="AI185" s="313"/>
      <c r="AJ185" s="313"/>
      <c r="AS185" s="314"/>
      <c r="AT185" s="315"/>
      <c r="AU185" s="314"/>
      <c r="AV185" s="312"/>
      <c r="AX185" s="206"/>
      <c r="AY185" s="206"/>
      <c r="BE185" s="316"/>
      <c r="BF185" s="316"/>
      <c r="BG185" s="316"/>
      <c r="BH185" s="310"/>
      <c r="BK185" s="309"/>
      <c r="BL185" s="309"/>
      <c r="BM185" s="309"/>
      <c r="BN185" s="309"/>
      <c r="BP185" s="313"/>
      <c r="CC185" s="316"/>
      <c r="CG185" s="313"/>
      <c r="CH185" s="313"/>
      <c r="CI185" s="313"/>
      <c r="CK185" s="313"/>
      <c r="CL185" s="313"/>
      <c r="CM185" s="313"/>
      <c r="CN185" s="313"/>
      <c r="CO185" s="313"/>
      <c r="CP185" s="313"/>
      <c r="CQ185" s="313"/>
      <c r="CR185" s="313"/>
      <c r="CS185" s="313"/>
      <c r="CT185" s="313"/>
      <c r="CU185" s="309"/>
      <c r="DH185" s="309"/>
      <c r="DK185" s="310"/>
      <c r="DN185" s="206"/>
      <c r="DO185" s="206"/>
      <c r="DS185" s="288" t="str">
        <f t="shared" si="3"/>
        <v/>
      </c>
      <c r="DT185" s="288" t="str">
        <f t="shared" si="4"/>
        <v/>
      </c>
      <c r="DU185" s="310"/>
      <c r="DV185" s="310"/>
      <c r="DW185" s="310"/>
      <c r="DX185" s="310"/>
      <c r="DY185" s="310"/>
      <c r="DZ185" s="310"/>
      <c r="EA185" s="310"/>
      <c r="EB185" s="310"/>
      <c r="ED185" s="310"/>
      <c r="EE185" s="310"/>
      <c r="EF185" s="310"/>
      <c r="EH185" s="310"/>
    </row>
    <row r="186" spans="3:138" s="288" customFormat="1" hidden="1">
      <c r="C186" s="309"/>
      <c r="D186" s="309"/>
      <c r="E186" s="309"/>
      <c r="F186" s="309"/>
      <c r="G186" s="309"/>
      <c r="H186" s="309"/>
      <c r="I186" s="309"/>
      <c r="J186" s="309"/>
      <c r="K186" s="309"/>
      <c r="L186" s="315"/>
      <c r="Q186" s="309"/>
      <c r="R186" s="311"/>
      <c r="S186" s="311"/>
      <c r="T186" s="311"/>
      <c r="AB186" s="312"/>
      <c r="AF186" s="313"/>
      <c r="AG186" s="313"/>
      <c r="AH186" s="313"/>
      <c r="AI186" s="313"/>
      <c r="AJ186" s="313"/>
      <c r="AS186" s="314"/>
      <c r="AT186" s="315"/>
      <c r="AU186" s="314"/>
      <c r="AV186" s="312"/>
      <c r="AX186" s="206"/>
      <c r="AY186" s="206"/>
      <c r="BE186" s="316"/>
      <c r="BF186" s="316"/>
      <c r="BG186" s="316"/>
      <c r="BH186" s="310"/>
      <c r="BK186" s="309"/>
      <c r="BL186" s="309"/>
      <c r="BM186" s="309"/>
      <c r="BN186" s="309"/>
      <c r="BP186" s="313"/>
      <c r="CC186" s="316"/>
      <c r="CG186" s="313"/>
      <c r="CH186" s="313"/>
      <c r="CI186" s="313"/>
      <c r="CK186" s="313"/>
      <c r="CL186" s="313"/>
      <c r="CM186" s="313"/>
      <c r="CN186" s="313"/>
      <c r="CO186" s="313"/>
      <c r="CP186" s="313"/>
      <c r="CQ186" s="313"/>
      <c r="CR186" s="313"/>
      <c r="CS186" s="313"/>
      <c r="CT186" s="313"/>
      <c r="CU186" s="309"/>
      <c r="DH186" s="309"/>
      <c r="DK186" s="310"/>
      <c r="DN186" s="206"/>
      <c r="DO186" s="206"/>
      <c r="DS186" s="288" t="str">
        <f t="shared" si="3"/>
        <v/>
      </c>
      <c r="DT186" s="288" t="str">
        <f t="shared" si="4"/>
        <v/>
      </c>
      <c r="DU186" s="310"/>
      <c r="DV186" s="310"/>
      <c r="DW186" s="310"/>
      <c r="DX186" s="310"/>
      <c r="DY186" s="310"/>
      <c r="DZ186" s="310"/>
      <c r="EA186" s="310"/>
      <c r="EB186" s="310"/>
      <c r="ED186" s="310"/>
      <c r="EE186" s="310"/>
      <c r="EF186" s="310"/>
      <c r="EH186" s="310"/>
    </row>
    <row r="187" spans="3:138" s="288" customFormat="1" hidden="1">
      <c r="C187" s="309"/>
      <c r="D187" s="309"/>
      <c r="E187" s="309"/>
      <c r="F187" s="309"/>
      <c r="G187" s="309"/>
      <c r="H187" s="309"/>
      <c r="I187" s="309"/>
      <c r="J187" s="309"/>
      <c r="K187" s="309"/>
      <c r="L187" s="315"/>
      <c r="Q187" s="309"/>
      <c r="R187" s="311"/>
      <c r="S187" s="311"/>
      <c r="T187" s="311"/>
      <c r="AB187" s="312"/>
      <c r="AF187" s="313"/>
      <c r="AG187" s="313"/>
      <c r="AH187" s="313"/>
      <c r="AI187" s="313"/>
      <c r="AJ187" s="313"/>
      <c r="AS187" s="314"/>
      <c r="AT187" s="315"/>
      <c r="AU187" s="314"/>
      <c r="AV187" s="312"/>
      <c r="AX187" s="206"/>
      <c r="AY187" s="206"/>
      <c r="BE187" s="316"/>
      <c r="BF187" s="316"/>
      <c r="BG187" s="316"/>
      <c r="BH187" s="310"/>
      <c r="BK187" s="309"/>
      <c r="BL187" s="309"/>
      <c r="BM187" s="309"/>
      <c r="BN187" s="309"/>
      <c r="BP187" s="313"/>
      <c r="CC187" s="316"/>
      <c r="CG187" s="313"/>
      <c r="CH187" s="313"/>
      <c r="CI187" s="313"/>
      <c r="CK187" s="313"/>
      <c r="CL187" s="313"/>
      <c r="CM187" s="313"/>
      <c r="CN187" s="313"/>
      <c r="CO187" s="313"/>
      <c r="CP187" s="313"/>
      <c r="CQ187" s="313"/>
      <c r="CR187" s="313"/>
      <c r="CS187" s="313"/>
      <c r="CT187" s="313"/>
      <c r="CU187" s="309"/>
      <c r="DH187" s="309"/>
      <c r="DK187" s="310"/>
      <c r="DN187" s="206"/>
      <c r="DO187" s="206"/>
      <c r="DS187" s="288" t="str">
        <f t="shared" si="3"/>
        <v/>
      </c>
      <c r="DT187" s="288" t="str">
        <f t="shared" si="4"/>
        <v/>
      </c>
      <c r="DU187" s="310"/>
      <c r="DV187" s="310"/>
      <c r="DW187" s="310"/>
      <c r="DX187" s="310"/>
      <c r="DY187" s="310"/>
      <c r="DZ187" s="310"/>
      <c r="EA187" s="310"/>
      <c r="EB187" s="310"/>
      <c r="ED187" s="310"/>
      <c r="EE187" s="310"/>
      <c r="EF187" s="310"/>
      <c r="EH187" s="310"/>
    </row>
    <row r="188" spans="3:138" s="288" customFormat="1" hidden="1">
      <c r="C188" s="309"/>
      <c r="D188" s="309"/>
      <c r="E188" s="309"/>
      <c r="F188" s="309"/>
      <c r="G188" s="309"/>
      <c r="H188" s="309"/>
      <c r="I188" s="309"/>
      <c r="J188" s="309"/>
      <c r="K188" s="309"/>
      <c r="L188" s="315"/>
      <c r="Q188" s="309"/>
      <c r="R188" s="311"/>
      <c r="S188" s="311"/>
      <c r="T188" s="311"/>
      <c r="AB188" s="312"/>
      <c r="AF188" s="313"/>
      <c r="AG188" s="313"/>
      <c r="AH188" s="313"/>
      <c r="AI188" s="313"/>
      <c r="AJ188" s="313"/>
      <c r="AS188" s="314"/>
      <c r="AT188" s="315"/>
      <c r="AU188" s="314"/>
      <c r="AV188" s="312"/>
      <c r="AX188" s="206"/>
      <c r="AY188" s="206"/>
      <c r="BE188" s="316"/>
      <c r="BF188" s="316"/>
      <c r="BG188" s="316"/>
      <c r="BH188" s="310"/>
      <c r="BK188" s="309"/>
      <c r="BL188" s="309"/>
      <c r="BM188" s="309"/>
      <c r="BN188" s="309"/>
      <c r="BP188" s="313"/>
      <c r="CC188" s="316"/>
      <c r="CG188" s="313"/>
      <c r="CH188" s="313"/>
      <c r="CI188" s="313"/>
      <c r="CK188" s="313"/>
      <c r="CL188" s="313"/>
      <c r="CM188" s="313"/>
      <c r="CN188" s="313"/>
      <c r="CO188" s="313"/>
      <c r="CP188" s="313"/>
      <c r="CQ188" s="313"/>
      <c r="CR188" s="313"/>
      <c r="CS188" s="313"/>
      <c r="CT188" s="313"/>
      <c r="CU188" s="309"/>
      <c r="DH188" s="309"/>
      <c r="DK188" s="310"/>
      <c r="DN188" s="206"/>
      <c r="DO188" s="206"/>
      <c r="DS188" s="288" t="str">
        <f t="shared" si="3"/>
        <v/>
      </c>
      <c r="DT188" s="288" t="str">
        <f t="shared" si="4"/>
        <v/>
      </c>
      <c r="DU188" s="310"/>
      <c r="DV188" s="310"/>
      <c r="DW188" s="310"/>
      <c r="DX188" s="310"/>
      <c r="DY188" s="310"/>
      <c r="DZ188" s="310"/>
      <c r="EA188" s="310"/>
      <c r="EB188" s="310"/>
      <c r="ED188" s="310"/>
      <c r="EE188" s="310"/>
      <c r="EF188" s="310"/>
      <c r="EH188" s="310"/>
    </row>
    <row r="189" spans="3:138" s="288" customFormat="1" hidden="1">
      <c r="C189" s="309"/>
      <c r="D189" s="309"/>
      <c r="E189" s="309"/>
      <c r="F189" s="309"/>
      <c r="G189" s="309"/>
      <c r="H189" s="309"/>
      <c r="I189" s="309"/>
      <c r="J189" s="309"/>
      <c r="K189" s="309"/>
      <c r="L189" s="315"/>
      <c r="Q189" s="309"/>
      <c r="R189" s="311"/>
      <c r="S189" s="311"/>
      <c r="T189" s="311"/>
      <c r="AB189" s="312"/>
      <c r="AF189" s="313"/>
      <c r="AG189" s="313"/>
      <c r="AH189" s="313"/>
      <c r="AI189" s="313"/>
      <c r="AJ189" s="313"/>
      <c r="AS189" s="314"/>
      <c r="AT189" s="315"/>
      <c r="AU189" s="314"/>
      <c r="AV189" s="312"/>
      <c r="AX189" s="206"/>
      <c r="AY189" s="206"/>
      <c r="BE189" s="316"/>
      <c r="BF189" s="316"/>
      <c r="BG189" s="316"/>
      <c r="BH189" s="310"/>
      <c r="BK189" s="309"/>
      <c r="BL189" s="309"/>
      <c r="BM189" s="309"/>
      <c r="BN189" s="309"/>
      <c r="BP189" s="313"/>
      <c r="CC189" s="316"/>
      <c r="CG189" s="313"/>
      <c r="CH189" s="313"/>
      <c r="CI189" s="313"/>
      <c r="CK189" s="313"/>
      <c r="CL189" s="313"/>
      <c r="CM189" s="313"/>
      <c r="CN189" s="313"/>
      <c r="CO189" s="313"/>
      <c r="CP189" s="313"/>
      <c r="CQ189" s="313"/>
      <c r="CR189" s="313"/>
      <c r="CS189" s="313"/>
      <c r="CT189" s="313"/>
      <c r="CU189" s="309"/>
      <c r="DH189" s="309"/>
      <c r="DK189" s="310"/>
      <c r="DN189" s="206"/>
      <c r="DO189" s="206"/>
      <c r="DS189" s="288" t="str">
        <f t="shared" si="3"/>
        <v/>
      </c>
      <c r="DT189" s="288" t="str">
        <f t="shared" si="4"/>
        <v/>
      </c>
      <c r="DU189" s="310"/>
      <c r="DV189" s="310"/>
      <c r="DW189" s="310"/>
      <c r="DX189" s="310"/>
      <c r="DY189" s="310"/>
      <c r="DZ189" s="310"/>
      <c r="EA189" s="310"/>
      <c r="EB189" s="310"/>
      <c r="ED189" s="310"/>
      <c r="EE189" s="310"/>
      <c r="EF189" s="310"/>
      <c r="EH189" s="310"/>
    </row>
    <row r="190" spans="3:138" s="288" customFormat="1" hidden="1">
      <c r="C190" s="309"/>
      <c r="D190" s="309"/>
      <c r="E190" s="309"/>
      <c r="F190" s="309"/>
      <c r="G190" s="309"/>
      <c r="H190" s="309"/>
      <c r="I190" s="309"/>
      <c r="J190" s="309"/>
      <c r="K190" s="309"/>
      <c r="L190" s="315"/>
      <c r="Q190" s="309"/>
      <c r="R190" s="311"/>
      <c r="S190" s="311"/>
      <c r="T190" s="311"/>
      <c r="AB190" s="312"/>
      <c r="AF190" s="313"/>
      <c r="AG190" s="313"/>
      <c r="AH190" s="313"/>
      <c r="AI190" s="313"/>
      <c r="AJ190" s="313"/>
      <c r="AS190" s="314"/>
      <c r="AT190" s="315"/>
      <c r="AU190" s="314"/>
      <c r="AV190" s="312"/>
      <c r="AX190" s="206"/>
      <c r="AY190" s="206"/>
      <c r="BE190" s="316"/>
      <c r="BF190" s="316"/>
      <c r="BG190" s="316"/>
      <c r="BH190" s="310"/>
      <c r="BK190" s="309"/>
      <c r="BL190" s="309"/>
      <c r="BM190" s="309"/>
      <c r="BN190" s="309"/>
      <c r="BP190" s="313"/>
      <c r="CC190" s="316"/>
      <c r="CG190" s="313"/>
      <c r="CH190" s="313"/>
      <c r="CI190" s="313"/>
      <c r="CK190" s="313"/>
      <c r="CL190" s="313"/>
      <c r="CM190" s="313"/>
      <c r="CN190" s="313"/>
      <c r="CO190" s="313"/>
      <c r="CP190" s="313"/>
      <c r="CQ190" s="313"/>
      <c r="CR190" s="313"/>
      <c r="CS190" s="313"/>
      <c r="CT190" s="313"/>
      <c r="CU190" s="309"/>
      <c r="DH190" s="309"/>
      <c r="DK190" s="310"/>
      <c r="DN190" s="206"/>
      <c r="DO190" s="206"/>
      <c r="DS190" s="288" t="str">
        <f t="shared" si="3"/>
        <v/>
      </c>
      <c r="DT190" s="288" t="str">
        <f t="shared" si="4"/>
        <v/>
      </c>
      <c r="DU190" s="310"/>
      <c r="DV190" s="310"/>
      <c r="DW190" s="310"/>
      <c r="DX190" s="310"/>
      <c r="DY190" s="310"/>
      <c r="DZ190" s="310"/>
      <c r="EA190" s="310"/>
      <c r="EB190" s="310"/>
      <c r="ED190" s="310"/>
      <c r="EE190" s="310"/>
      <c r="EF190" s="310"/>
      <c r="EH190" s="310"/>
    </row>
    <row r="191" spans="3:138" s="288" customFormat="1" hidden="1">
      <c r="C191" s="309"/>
      <c r="D191" s="309"/>
      <c r="E191" s="309"/>
      <c r="F191" s="309"/>
      <c r="G191" s="309"/>
      <c r="H191" s="309"/>
      <c r="I191" s="309"/>
      <c r="J191" s="309"/>
      <c r="K191" s="309"/>
      <c r="L191" s="315"/>
      <c r="Q191" s="309"/>
      <c r="R191" s="311"/>
      <c r="S191" s="311"/>
      <c r="T191" s="311"/>
      <c r="AB191" s="312"/>
      <c r="AF191" s="313"/>
      <c r="AG191" s="313"/>
      <c r="AH191" s="313"/>
      <c r="AI191" s="313"/>
      <c r="AJ191" s="313"/>
      <c r="AS191" s="314"/>
      <c r="AT191" s="315"/>
      <c r="AU191" s="314"/>
      <c r="AV191" s="312"/>
      <c r="AX191" s="206"/>
      <c r="AY191" s="206"/>
      <c r="BE191" s="316"/>
      <c r="BF191" s="316"/>
      <c r="BG191" s="316"/>
      <c r="BH191" s="310"/>
      <c r="BK191" s="309"/>
      <c r="BL191" s="309"/>
      <c r="BM191" s="309"/>
      <c r="BN191" s="309"/>
      <c r="BP191" s="313"/>
      <c r="CC191" s="316"/>
      <c r="CG191" s="313"/>
      <c r="CH191" s="313"/>
      <c r="CI191" s="313"/>
      <c r="CK191" s="313"/>
      <c r="CL191" s="313"/>
      <c r="CM191" s="313"/>
      <c r="CN191" s="313"/>
      <c r="CO191" s="313"/>
      <c r="CP191" s="313"/>
      <c r="CQ191" s="313"/>
      <c r="CR191" s="313"/>
      <c r="CS191" s="313"/>
      <c r="CT191" s="313"/>
      <c r="CU191" s="309"/>
      <c r="DH191" s="309"/>
      <c r="DK191" s="310"/>
      <c r="DN191" s="206"/>
      <c r="DO191" s="206"/>
      <c r="DS191" s="288" t="str">
        <f t="shared" si="3"/>
        <v/>
      </c>
      <c r="DT191" s="288" t="str">
        <f t="shared" si="4"/>
        <v/>
      </c>
      <c r="DU191" s="310"/>
      <c r="DV191" s="310"/>
      <c r="DW191" s="310"/>
      <c r="DX191" s="310"/>
      <c r="DY191" s="310"/>
      <c r="DZ191" s="310"/>
      <c r="EA191" s="310"/>
      <c r="EB191" s="310"/>
      <c r="ED191" s="310"/>
      <c r="EE191" s="310"/>
      <c r="EF191" s="310"/>
      <c r="EH191" s="310"/>
    </row>
    <row r="192" spans="3:138" s="288" customFormat="1" hidden="1">
      <c r="C192" s="309"/>
      <c r="D192" s="309"/>
      <c r="E192" s="309"/>
      <c r="F192" s="309"/>
      <c r="G192" s="309"/>
      <c r="H192" s="309"/>
      <c r="I192" s="309"/>
      <c r="J192" s="309"/>
      <c r="K192" s="309"/>
      <c r="L192" s="315"/>
      <c r="Q192" s="309"/>
      <c r="R192" s="311"/>
      <c r="S192" s="311"/>
      <c r="T192" s="311"/>
      <c r="AB192" s="312"/>
      <c r="AF192" s="313"/>
      <c r="AG192" s="313"/>
      <c r="AH192" s="313"/>
      <c r="AI192" s="313"/>
      <c r="AJ192" s="313"/>
      <c r="AS192" s="314"/>
      <c r="AT192" s="315"/>
      <c r="AU192" s="314"/>
      <c r="AV192" s="312"/>
      <c r="AX192" s="206"/>
      <c r="AY192" s="206"/>
      <c r="BE192" s="316"/>
      <c r="BF192" s="316"/>
      <c r="BG192" s="316"/>
      <c r="BH192" s="310"/>
      <c r="BK192" s="309"/>
      <c r="BL192" s="309"/>
      <c r="BM192" s="309"/>
      <c r="BN192" s="309"/>
      <c r="BP192" s="313"/>
      <c r="CC192" s="316"/>
      <c r="CG192" s="313"/>
      <c r="CH192" s="313"/>
      <c r="CI192" s="313"/>
      <c r="CK192" s="313"/>
      <c r="CL192" s="313"/>
      <c r="CM192" s="313"/>
      <c r="CN192" s="313"/>
      <c r="CO192" s="313"/>
      <c r="CP192" s="313"/>
      <c r="CQ192" s="313"/>
      <c r="CR192" s="313"/>
      <c r="CS192" s="313"/>
      <c r="CT192" s="313"/>
      <c r="CU192" s="309"/>
      <c r="DH192" s="309"/>
      <c r="DK192" s="310"/>
      <c r="DN192" s="206"/>
      <c r="DO192" s="206"/>
      <c r="DS192" s="288" t="str">
        <f t="shared" si="3"/>
        <v/>
      </c>
      <c r="DT192" s="288" t="str">
        <f t="shared" si="4"/>
        <v/>
      </c>
      <c r="DU192" s="310"/>
      <c r="DV192" s="310"/>
      <c r="DW192" s="310"/>
      <c r="DX192" s="310"/>
      <c r="DY192" s="310"/>
      <c r="DZ192" s="310"/>
      <c r="EA192" s="310"/>
      <c r="EB192" s="310"/>
      <c r="ED192" s="310"/>
      <c r="EE192" s="310"/>
      <c r="EF192" s="310"/>
      <c r="EH192" s="310"/>
    </row>
    <row r="193" spans="3:138" s="288" customFormat="1" hidden="1">
      <c r="C193" s="309"/>
      <c r="D193" s="309"/>
      <c r="E193" s="309"/>
      <c r="F193" s="309"/>
      <c r="G193" s="309"/>
      <c r="H193" s="309"/>
      <c r="I193" s="309"/>
      <c r="J193" s="309"/>
      <c r="K193" s="309"/>
      <c r="L193" s="315"/>
      <c r="Q193" s="309"/>
      <c r="R193" s="311"/>
      <c r="S193" s="311"/>
      <c r="T193" s="311"/>
      <c r="AB193" s="312"/>
      <c r="AF193" s="313"/>
      <c r="AG193" s="313"/>
      <c r="AH193" s="313"/>
      <c r="AI193" s="313"/>
      <c r="AJ193" s="313"/>
      <c r="AS193" s="314"/>
      <c r="AT193" s="315"/>
      <c r="AU193" s="314"/>
      <c r="AV193" s="312"/>
      <c r="AX193" s="206"/>
      <c r="AY193" s="206"/>
      <c r="BE193" s="316"/>
      <c r="BF193" s="316"/>
      <c r="BG193" s="316"/>
      <c r="BH193" s="310"/>
      <c r="BK193" s="309"/>
      <c r="BL193" s="309"/>
      <c r="BM193" s="309"/>
      <c r="BN193" s="309"/>
      <c r="BP193" s="313"/>
      <c r="CC193" s="316"/>
      <c r="CG193" s="313"/>
      <c r="CH193" s="313"/>
      <c r="CI193" s="313"/>
      <c r="CK193" s="313"/>
      <c r="CL193" s="313"/>
      <c r="CM193" s="313"/>
      <c r="CN193" s="313"/>
      <c r="CO193" s="313"/>
      <c r="CP193" s="313"/>
      <c r="CQ193" s="313"/>
      <c r="CR193" s="313"/>
      <c r="CS193" s="313"/>
      <c r="CT193" s="313"/>
      <c r="CU193" s="309"/>
      <c r="DH193" s="309"/>
      <c r="DK193" s="310"/>
      <c r="DN193" s="206"/>
      <c r="DO193" s="206"/>
      <c r="DS193" s="288" t="str">
        <f t="shared" si="3"/>
        <v/>
      </c>
      <c r="DT193" s="288" t="str">
        <f t="shared" si="4"/>
        <v/>
      </c>
      <c r="DU193" s="310"/>
      <c r="DV193" s="310"/>
      <c r="DW193" s="310"/>
      <c r="DX193" s="310"/>
      <c r="DY193" s="310"/>
      <c r="DZ193" s="310"/>
      <c r="EA193" s="310"/>
      <c r="EB193" s="310"/>
      <c r="ED193" s="310"/>
      <c r="EE193" s="310"/>
      <c r="EF193" s="310"/>
      <c r="EH193" s="310"/>
    </row>
    <row r="194" spans="3:138" s="288" customFormat="1" hidden="1">
      <c r="C194" s="309"/>
      <c r="D194" s="309"/>
      <c r="E194" s="309"/>
      <c r="F194" s="309"/>
      <c r="G194" s="309"/>
      <c r="H194" s="309"/>
      <c r="I194" s="309"/>
      <c r="J194" s="309"/>
      <c r="K194" s="309"/>
      <c r="L194" s="315"/>
      <c r="Q194" s="309"/>
      <c r="R194" s="311"/>
      <c r="S194" s="311"/>
      <c r="T194" s="311"/>
      <c r="AB194" s="312"/>
      <c r="AF194" s="313"/>
      <c r="AG194" s="313"/>
      <c r="AH194" s="313"/>
      <c r="AI194" s="313"/>
      <c r="AJ194" s="313"/>
      <c r="AS194" s="314"/>
      <c r="AT194" s="315"/>
      <c r="AU194" s="314"/>
      <c r="AV194" s="312"/>
      <c r="AX194" s="206"/>
      <c r="AY194" s="206"/>
      <c r="BE194" s="316"/>
      <c r="BF194" s="316"/>
      <c r="BG194" s="316"/>
      <c r="BH194" s="310"/>
      <c r="BK194" s="309"/>
      <c r="BL194" s="309"/>
      <c r="BM194" s="309"/>
      <c r="BN194" s="309"/>
      <c r="BP194" s="313"/>
      <c r="CC194" s="316"/>
      <c r="CG194" s="313"/>
      <c r="CH194" s="313"/>
      <c r="CI194" s="313"/>
      <c r="CK194" s="313"/>
      <c r="CL194" s="313"/>
      <c r="CM194" s="313"/>
      <c r="CN194" s="313"/>
      <c r="CO194" s="313"/>
      <c r="CP194" s="313"/>
      <c r="CQ194" s="313"/>
      <c r="CR194" s="313"/>
      <c r="CS194" s="313"/>
      <c r="CT194" s="313"/>
      <c r="CU194" s="309"/>
      <c r="DH194" s="309"/>
      <c r="DK194" s="310"/>
      <c r="DN194" s="206"/>
      <c r="DO194" s="206"/>
      <c r="DS194" s="288" t="str">
        <f t="shared" si="3"/>
        <v/>
      </c>
      <c r="DT194" s="288" t="str">
        <f t="shared" si="4"/>
        <v/>
      </c>
      <c r="DU194" s="310"/>
      <c r="DV194" s="310"/>
      <c r="DW194" s="310"/>
      <c r="DX194" s="310"/>
      <c r="DY194" s="310"/>
      <c r="DZ194" s="310"/>
      <c r="EA194" s="310"/>
      <c r="EB194" s="310"/>
      <c r="ED194" s="310"/>
      <c r="EE194" s="310"/>
      <c r="EF194" s="310"/>
      <c r="EH194" s="310"/>
    </row>
    <row r="195" spans="3:138" s="288" customFormat="1" hidden="1">
      <c r="C195" s="309"/>
      <c r="D195" s="309"/>
      <c r="E195" s="309"/>
      <c r="F195" s="309"/>
      <c r="G195" s="309"/>
      <c r="H195" s="309"/>
      <c r="I195" s="309"/>
      <c r="J195" s="309"/>
      <c r="K195" s="309"/>
      <c r="L195" s="315"/>
      <c r="Q195" s="309"/>
      <c r="R195" s="311"/>
      <c r="S195" s="311"/>
      <c r="T195" s="311"/>
      <c r="AB195" s="312"/>
      <c r="AF195" s="313"/>
      <c r="AG195" s="313"/>
      <c r="AH195" s="313"/>
      <c r="AI195" s="313"/>
      <c r="AJ195" s="313"/>
      <c r="AS195" s="314"/>
      <c r="AT195" s="315"/>
      <c r="AU195" s="314"/>
      <c r="AV195" s="312"/>
      <c r="AX195" s="206"/>
      <c r="AY195" s="206"/>
      <c r="BE195" s="316"/>
      <c r="BF195" s="316"/>
      <c r="BG195" s="316"/>
      <c r="BH195" s="310"/>
      <c r="BK195" s="309"/>
      <c r="BL195" s="309"/>
      <c r="BM195" s="309"/>
      <c r="BN195" s="309"/>
      <c r="BP195" s="313"/>
      <c r="CC195" s="316"/>
      <c r="CG195" s="313"/>
      <c r="CH195" s="313"/>
      <c r="CI195" s="313"/>
      <c r="CK195" s="313"/>
      <c r="CL195" s="313"/>
      <c r="CM195" s="313"/>
      <c r="CN195" s="313"/>
      <c r="CO195" s="313"/>
      <c r="CP195" s="313"/>
      <c r="CQ195" s="313"/>
      <c r="CR195" s="313"/>
      <c r="CS195" s="313"/>
      <c r="CT195" s="313"/>
      <c r="CU195" s="309"/>
      <c r="DH195" s="309"/>
      <c r="DK195" s="310"/>
      <c r="DN195" s="206"/>
      <c r="DO195" s="206"/>
      <c r="DS195" s="288" t="str">
        <f t="shared" si="3"/>
        <v/>
      </c>
      <c r="DT195" s="288" t="str">
        <f t="shared" si="4"/>
        <v/>
      </c>
      <c r="DU195" s="310"/>
      <c r="DV195" s="310"/>
      <c r="DW195" s="310"/>
      <c r="DX195" s="310"/>
      <c r="DY195" s="310"/>
      <c r="DZ195" s="310"/>
      <c r="EA195" s="310"/>
      <c r="EB195" s="310"/>
      <c r="ED195" s="310"/>
      <c r="EE195" s="310"/>
      <c r="EF195" s="310"/>
      <c r="EH195" s="310"/>
    </row>
    <row r="196" spans="3:138" s="288" customFormat="1" hidden="1">
      <c r="C196" s="309"/>
      <c r="D196" s="309"/>
      <c r="E196" s="309"/>
      <c r="F196" s="309"/>
      <c r="G196" s="309"/>
      <c r="H196" s="309"/>
      <c r="I196" s="309"/>
      <c r="J196" s="309"/>
      <c r="K196" s="309"/>
      <c r="L196" s="315"/>
      <c r="Q196" s="309"/>
      <c r="R196" s="311"/>
      <c r="S196" s="311"/>
      <c r="T196" s="311"/>
      <c r="AB196" s="312"/>
      <c r="AF196" s="313"/>
      <c r="AG196" s="313"/>
      <c r="AH196" s="313"/>
      <c r="AI196" s="313"/>
      <c r="AJ196" s="313"/>
      <c r="AS196" s="314"/>
      <c r="AT196" s="315"/>
      <c r="AU196" s="314"/>
      <c r="AV196" s="312"/>
      <c r="AX196" s="206"/>
      <c r="AY196" s="206"/>
      <c r="BE196" s="316"/>
      <c r="BF196" s="316"/>
      <c r="BG196" s="316"/>
      <c r="BH196" s="310"/>
      <c r="BK196" s="309"/>
      <c r="BL196" s="309"/>
      <c r="BM196" s="309"/>
      <c r="BN196" s="309"/>
      <c r="BP196" s="313"/>
      <c r="CC196" s="316"/>
      <c r="CG196" s="313"/>
      <c r="CH196" s="313"/>
      <c r="CI196" s="313"/>
      <c r="CK196" s="313"/>
      <c r="CL196" s="313"/>
      <c r="CM196" s="313"/>
      <c r="CN196" s="313"/>
      <c r="CO196" s="313"/>
      <c r="CP196" s="313"/>
      <c r="CQ196" s="313"/>
      <c r="CR196" s="313"/>
      <c r="CS196" s="313"/>
      <c r="CT196" s="313"/>
      <c r="CU196" s="309"/>
      <c r="DH196" s="309"/>
      <c r="DK196" s="310"/>
      <c r="DN196" s="206"/>
      <c r="DO196" s="206"/>
      <c r="DS196" s="288" t="str">
        <f t="shared" si="3"/>
        <v/>
      </c>
      <c r="DT196" s="288" t="str">
        <f t="shared" si="4"/>
        <v/>
      </c>
      <c r="DU196" s="310"/>
      <c r="DV196" s="310"/>
      <c r="DW196" s="310"/>
      <c r="DX196" s="310"/>
      <c r="DY196" s="310"/>
      <c r="DZ196" s="310"/>
      <c r="EA196" s="310"/>
      <c r="EB196" s="310"/>
      <c r="ED196" s="310"/>
      <c r="EE196" s="310"/>
      <c r="EF196" s="310"/>
      <c r="EH196" s="310"/>
    </row>
    <row r="197" spans="3:138" s="288" customFormat="1" hidden="1">
      <c r="C197" s="309"/>
      <c r="D197" s="309"/>
      <c r="E197" s="309"/>
      <c r="F197" s="309"/>
      <c r="G197" s="309"/>
      <c r="H197" s="309"/>
      <c r="I197" s="309"/>
      <c r="J197" s="309"/>
      <c r="K197" s="309"/>
      <c r="L197" s="315"/>
      <c r="Q197" s="309"/>
      <c r="R197" s="311"/>
      <c r="S197" s="311"/>
      <c r="T197" s="311"/>
      <c r="AB197" s="312"/>
      <c r="AF197" s="313"/>
      <c r="AG197" s="313"/>
      <c r="AH197" s="313"/>
      <c r="AI197" s="313"/>
      <c r="AJ197" s="313"/>
      <c r="AS197" s="314"/>
      <c r="AT197" s="315"/>
      <c r="AU197" s="314"/>
      <c r="AV197" s="312"/>
      <c r="AX197" s="206"/>
      <c r="AY197" s="206"/>
      <c r="BE197" s="316"/>
      <c r="BF197" s="316"/>
      <c r="BG197" s="316"/>
      <c r="BH197" s="310"/>
      <c r="BK197" s="309"/>
      <c r="BL197" s="309"/>
      <c r="BM197" s="309"/>
      <c r="BN197" s="309"/>
      <c r="BP197" s="313"/>
      <c r="CC197" s="316"/>
      <c r="CG197" s="313"/>
      <c r="CH197" s="313"/>
      <c r="CI197" s="313"/>
      <c r="CK197" s="313"/>
      <c r="CL197" s="313"/>
      <c r="CM197" s="313"/>
      <c r="CN197" s="313"/>
      <c r="CO197" s="313"/>
      <c r="CP197" s="313"/>
      <c r="CQ197" s="313"/>
      <c r="CR197" s="313"/>
      <c r="CS197" s="313"/>
      <c r="CT197" s="313"/>
      <c r="CU197" s="309"/>
      <c r="DH197" s="309"/>
      <c r="DK197" s="310"/>
      <c r="DN197" s="206"/>
      <c r="DO197" s="206"/>
      <c r="DS197" s="288" t="str">
        <f t="shared" si="3"/>
        <v/>
      </c>
      <c r="DT197" s="288" t="str">
        <f t="shared" si="4"/>
        <v/>
      </c>
      <c r="DU197" s="310"/>
      <c r="DV197" s="310"/>
      <c r="DW197" s="310"/>
      <c r="DX197" s="310"/>
      <c r="DY197" s="310"/>
      <c r="DZ197" s="310"/>
      <c r="EA197" s="310"/>
      <c r="EB197" s="310"/>
      <c r="ED197" s="310"/>
      <c r="EE197" s="310"/>
      <c r="EF197" s="310"/>
      <c r="EH197" s="310"/>
    </row>
    <row r="198" spans="3:138" s="288" customFormat="1" hidden="1">
      <c r="C198" s="309"/>
      <c r="D198" s="309"/>
      <c r="E198" s="309"/>
      <c r="F198" s="309"/>
      <c r="G198" s="309"/>
      <c r="H198" s="309"/>
      <c r="I198" s="309"/>
      <c r="J198" s="309"/>
      <c r="K198" s="309"/>
      <c r="L198" s="315"/>
      <c r="Q198" s="309"/>
      <c r="R198" s="311"/>
      <c r="S198" s="311"/>
      <c r="T198" s="311"/>
      <c r="AB198" s="312"/>
      <c r="AF198" s="313"/>
      <c r="AG198" s="313"/>
      <c r="AH198" s="313"/>
      <c r="AI198" s="313"/>
      <c r="AJ198" s="313"/>
      <c r="AS198" s="314"/>
      <c r="AT198" s="315"/>
      <c r="AU198" s="314"/>
      <c r="AV198" s="312"/>
      <c r="AX198" s="206"/>
      <c r="AY198" s="206"/>
      <c r="BE198" s="316"/>
      <c r="BF198" s="316"/>
      <c r="BG198" s="316"/>
      <c r="BH198" s="310"/>
      <c r="BK198" s="309"/>
      <c r="BL198" s="309"/>
      <c r="BM198" s="309"/>
      <c r="BN198" s="309"/>
      <c r="BP198" s="313"/>
      <c r="CC198" s="316"/>
      <c r="CG198" s="313"/>
      <c r="CH198" s="313"/>
      <c r="CI198" s="313"/>
      <c r="CK198" s="313"/>
      <c r="CL198" s="313"/>
      <c r="CM198" s="313"/>
      <c r="CN198" s="313"/>
      <c r="CO198" s="313"/>
      <c r="CP198" s="313"/>
      <c r="CQ198" s="313"/>
      <c r="CR198" s="313"/>
      <c r="CS198" s="313"/>
      <c r="CT198" s="313"/>
      <c r="CU198" s="309"/>
      <c r="DH198" s="309"/>
      <c r="DK198" s="310"/>
      <c r="DN198" s="206"/>
      <c r="DO198" s="206"/>
      <c r="DS198" s="288" t="str">
        <f t="shared" ref="DS198:DS229" si="5">IF(DI198="S",(IF(AA198&gt;1.5,(3*AA198*0.7*DK198*2),0)),"")</f>
        <v/>
      </c>
      <c r="DT198" s="288" t="str">
        <f t="shared" ref="DT198:DT229" si="6">IF(DI198="S",(IF(AA198&gt;1.5,(3*AA198*0.3*DK198*2),0)),"")</f>
        <v/>
      </c>
      <c r="DU198" s="310"/>
      <c r="DV198" s="310"/>
      <c r="DW198" s="310"/>
      <c r="DX198" s="310"/>
      <c r="DY198" s="310"/>
      <c r="DZ198" s="310"/>
      <c r="EA198" s="310"/>
      <c r="EB198" s="310"/>
      <c r="ED198" s="310"/>
      <c r="EE198" s="310"/>
      <c r="EF198" s="310"/>
      <c r="EH198" s="310"/>
    </row>
    <row r="199" spans="3:138" s="288" customFormat="1" hidden="1">
      <c r="C199" s="309"/>
      <c r="D199" s="309"/>
      <c r="E199" s="309"/>
      <c r="F199" s="309"/>
      <c r="G199" s="309"/>
      <c r="H199" s="309"/>
      <c r="I199" s="309"/>
      <c r="J199" s="309"/>
      <c r="K199" s="309"/>
      <c r="L199" s="315"/>
      <c r="Q199" s="309"/>
      <c r="R199" s="311"/>
      <c r="S199" s="311"/>
      <c r="T199" s="311"/>
      <c r="AB199" s="312"/>
      <c r="AF199" s="313"/>
      <c r="AG199" s="313"/>
      <c r="AH199" s="313"/>
      <c r="AI199" s="313"/>
      <c r="AJ199" s="313"/>
      <c r="AS199" s="314"/>
      <c r="AT199" s="315"/>
      <c r="AU199" s="314"/>
      <c r="AV199" s="312"/>
      <c r="AX199" s="206"/>
      <c r="AY199" s="206"/>
      <c r="BE199" s="316"/>
      <c r="BF199" s="316"/>
      <c r="BG199" s="316"/>
      <c r="BH199" s="310"/>
      <c r="BK199" s="309"/>
      <c r="BL199" s="309"/>
      <c r="BM199" s="309"/>
      <c r="BN199" s="309"/>
      <c r="BP199" s="313"/>
      <c r="CC199" s="316"/>
      <c r="CG199" s="313"/>
      <c r="CH199" s="313"/>
      <c r="CI199" s="313"/>
      <c r="CK199" s="313"/>
      <c r="CL199" s="313"/>
      <c r="CM199" s="313"/>
      <c r="CN199" s="313"/>
      <c r="CO199" s="313"/>
      <c r="CP199" s="313"/>
      <c r="CQ199" s="313"/>
      <c r="CR199" s="313"/>
      <c r="CS199" s="313"/>
      <c r="CT199" s="313"/>
      <c r="CU199" s="309"/>
      <c r="DH199" s="309"/>
      <c r="DK199" s="310"/>
      <c r="DN199" s="206"/>
      <c r="DO199" s="206"/>
      <c r="DS199" s="288" t="str">
        <f t="shared" si="5"/>
        <v/>
      </c>
      <c r="DT199" s="288" t="str">
        <f t="shared" si="6"/>
        <v/>
      </c>
      <c r="DU199" s="310"/>
      <c r="DV199" s="310"/>
      <c r="DW199" s="310"/>
      <c r="DX199" s="310"/>
      <c r="DY199" s="310"/>
      <c r="DZ199" s="310"/>
      <c r="EA199" s="310"/>
      <c r="EB199" s="310"/>
      <c r="ED199" s="310"/>
      <c r="EE199" s="310"/>
      <c r="EF199" s="310"/>
      <c r="EH199" s="310"/>
    </row>
    <row r="200" spans="3:138" s="288" customFormat="1" hidden="1">
      <c r="C200" s="309"/>
      <c r="D200" s="309"/>
      <c r="E200" s="309"/>
      <c r="F200" s="309"/>
      <c r="G200" s="309"/>
      <c r="H200" s="309"/>
      <c r="I200" s="309"/>
      <c r="J200" s="309"/>
      <c r="K200" s="309"/>
      <c r="L200" s="315"/>
      <c r="Q200" s="309"/>
      <c r="R200" s="311"/>
      <c r="S200" s="311"/>
      <c r="T200" s="311"/>
      <c r="AB200" s="312"/>
      <c r="AF200" s="313"/>
      <c r="AG200" s="313"/>
      <c r="AH200" s="313"/>
      <c r="AI200" s="313"/>
      <c r="AJ200" s="313"/>
      <c r="AS200" s="314"/>
      <c r="AT200" s="315"/>
      <c r="AU200" s="314"/>
      <c r="AV200" s="312"/>
      <c r="AX200" s="206"/>
      <c r="AY200" s="206"/>
      <c r="BE200" s="316"/>
      <c r="BF200" s="316"/>
      <c r="BG200" s="316"/>
      <c r="BH200" s="310"/>
      <c r="BK200" s="309"/>
      <c r="BL200" s="309"/>
      <c r="BM200" s="309"/>
      <c r="BN200" s="309"/>
      <c r="BP200" s="313"/>
      <c r="CC200" s="316"/>
      <c r="CG200" s="313"/>
      <c r="CH200" s="313"/>
      <c r="CI200" s="313"/>
      <c r="CK200" s="313"/>
      <c r="CL200" s="313"/>
      <c r="CM200" s="313"/>
      <c r="CN200" s="313"/>
      <c r="CO200" s="313"/>
      <c r="CP200" s="313"/>
      <c r="CQ200" s="313"/>
      <c r="CR200" s="313"/>
      <c r="CS200" s="313"/>
      <c r="CT200" s="313"/>
      <c r="CU200" s="309"/>
      <c r="DH200" s="309"/>
      <c r="DK200" s="310"/>
      <c r="DN200" s="206"/>
      <c r="DO200" s="206"/>
      <c r="DS200" s="288" t="str">
        <f t="shared" si="5"/>
        <v/>
      </c>
      <c r="DT200" s="288" t="str">
        <f t="shared" si="6"/>
        <v/>
      </c>
      <c r="DU200" s="310"/>
      <c r="DV200" s="310"/>
      <c r="DW200" s="310"/>
      <c r="DX200" s="310"/>
      <c r="DY200" s="310"/>
      <c r="DZ200" s="310"/>
      <c r="EA200" s="310"/>
      <c r="EB200" s="310"/>
      <c r="ED200" s="310"/>
      <c r="EE200" s="310"/>
      <c r="EF200" s="310"/>
      <c r="EH200" s="310"/>
    </row>
    <row r="201" spans="3:138" s="288" customFormat="1" hidden="1">
      <c r="C201" s="309"/>
      <c r="D201" s="309"/>
      <c r="E201" s="309"/>
      <c r="F201" s="309"/>
      <c r="G201" s="309"/>
      <c r="H201" s="309"/>
      <c r="I201" s="309"/>
      <c r="J201" s="309"/>
      <c r="K201" s="309"/>
      <c r="L201" s="315"/>
      <c r="Q201" s="309"/>
      <c r="R201" s="311"/>
      <c r="S201" s="311"/>
      <c r="T201" s="311"/>
      <c r="AB201" s="312"/>
      <c r="AF201" s="313"/>
      <c r="AG201" s="313"/>
      <c r="AH201" s="313"/>
      <c r="AI201" s="313"/>
      <c r="AJ201" s="313"/>
      <c r="AS201" s="314"/>
      <c r="AT201" s="315"/>
      <c r="AU201" s="314"/>
      <c r="AV201" s="312"/>
      <c r="AX201" s="206"/>
      <c r="AY201" s="206"/>
      <c r="BE201" s="316"/>
      <c r="BF201" s="316"/>
      <c r="BG201" s="316"/>
      <c r="BH201" s="310"/>
      <c r="BK201" s="309"/>
      <c r="BL201" s="309"/>
      <c r="BM201" s="309"/>
      <c r="BN201" s="309"/>
      <c r="BP201" s="313"/>
      <c r="CC201" s="316"/>
      <c r="CG201" s="313"/>
      <c r="CH201" s="313"/>
      <c r="CI201" s="313"/>
      <c r="CK201" s="313"/>
      <c r="CL201" s="313"/>
      <c r="CM201" s="313"/>
      <c r="CN201" s="313"/>
      <c r="CO201" s="313"/>
      <c r="CP201" s="313"/>
      <c r="CQ201" s="313"/>
      <c r="CR201" s="313"/>
      <c r="CS201" s="313"/>
      <c r="CT201" s="313"/>
      <c r="CU201" s="309"/>
      <c r="DH201" s="309"/>
      <c r="DK201" s="310"/>
      <c r="DN201" s="206"/>
      <c r="DO201" s="206"/>
      <c r="DS201" s="288" t="str">
        <f t="shared" si="5"/>
        <v/>
      </c>
      <c r="DT201" s="288" t="str">
        <f t="shared" si="6"/>
        <v/>
      </c>
      <c r="DU201" s="310"/>
      <c r="DV201" s="310"/>
      <c r="DW201" s="310"/>
      <c r="DX201" s="310"/>
      <c r="DY201" s="310"/>
      <c r="DZ201" s="310"/>
      <c r="EA201" s="310"/>
      <c r="EB201" s="310"/>
      <c r="ED201" s="310"/>
      <c r="EE201" s="310"/>
      <c r="EF201" s="310"/>
      <c r="EH201" s="310"/>
    </row>
    <row r="202" spans="3:138" s="288" customFormat="1" hidden="1">
      <c r="C202" s="309"/>
      <c r="D202" s="309"/>
      <c r="E202" s="309"/>
      <c r="F202" s="309"/>
      <c r="G202" s="309"/>
      <c r="H202" s="309"/>
      <c r="I202" s="309"/>
      <c r="J202" s="309"/>
      <c r="K202" s="309"/>
      <c r="L202" s="315"/>
      <c r="Q202" s="309"/>
      <c r="R202" s="311"/>
      <c r="S202" s="311"/>
      <c r="T202" s="311"/>
      <c r="AB202" s="312"/>
      <c r="AF202" s="313"/>
      <c r="AG202" s="313"/>
      <c r="AH202" s="313"/>
      <c r="AI202" s="313"/>
      <c r="AJ202" s="313"/>
      <c r="AS202" s="314"/>
      <c r="AT202" s="315"/>
      <c r="AU202" s="314"/>
      <c r="AV202" s="312"/>
      <c r="AX202" s="206"/>
      <c r="AY202" s="206"/>
      <c r="BE202" s="316"/>
      <c r="BF202" s="316"/>
      <c r="BG202" s="316"/>
      <c r="BH202" s="310"/>
      <c r="BK202" s="309"/>
      <c r="BL202" s="309"/>
      <c r="BM202" s="309"/>
      <c r="BN202" s="309"/>
      <c r="BP202" s="313"/>
      <c r="CC202" s="316"/>
      <c r="CG202" s="313"/>
      <c r="CH202" s="313"/>
      <c r="CI202" s="313"/>
      <c r="CK202" s="313"/>
      <c r="CL202" s="313"/>
      <c r="CM202" s="313"/>
      <c r="CN202" s="313"/>
      <c r="CO202" s="313"/>
      <c r="CP202" s="313"/>
      <c r="CQ202" s="313"/>
      <c r="CR202" s="313"/>
      <c r="CS202" s="313"/>
      <c r="CT202" s="313"/>
      <c r="CU202" s="309"/>
      <c r="DH202" s="309"/>
      <c r="DK202" s="310"/>
      <c r="DN202" s="206"/>
      <c r="DO202" s="206"/>
      <c r="DS202" s="288" t="str">
        <f t="shared" si="5"/>
        <v/>
      </c>
      <c r="DT202" s="288" t="str">
        <f t="shared" si="6"/>
        <v/>
      </c>
      <c r="DU202" s="310"/>
      <c r="DV202" s="310"/>
      <c r="DW202" s="310"/>
      <c r="DX202" s="310"/>
      <c r="DY202" s="310"/>
      <c r="DZ202" s="310"/>
      <c r="EA202" s="310"/>
      <c r="EB202" s="310"/>
      <c r="ED202" s="310"/>
      <c r="EE202" s="310"/>
      <c r="EF202" s="310"/>
      <c r="EH202" s="310"/>
    </row>
    <row r="203" spans="3:138" s="288" customFormat="1" hidden="1">
      <c r="C203" s="309"/>
      <c r="D203" s="309"/>
      <c r="E203" s="309"/>
      <c r="F203" s="309"/>
      <c r="G203" s="309"/>
      <c r="H203" s="309"/>
      <c r="I203" s="309"/>
      <c r="J203" s="309"/>
      <c r="K203" s="309"/>
      <c r="L203" s="315"/>
      <c r="Q203" s="309"/>
      <c r="R203" s="311"/>
      <c r="S203" s="311"/>
      <c r="T203" s="311"/>
      <c r="AB203" s="312"/>
      <c r="AF203" s="313"/>
      <c r="AG203" s="313"/>
      <c r="AH203" s="313"/>
      <c r="AI203" s="313"/>
      <c r="AJ203" s="313"/>
      <c r="AS203" s="314"/>
      <c r="AT203" s="315"/>
      <c r="AU203" s="314"/>
      <c r="AV203" s="312"/>
      <c r="AX203" s="206"/>
      <c r="AY203" s="206"/>
      <c r="BE203" s="316"/>
      <c r="BF203" s="316"/>
      <c r="BG203" s="316"/>
      <c r="BH203" s="310"/>
      <c r="BK203" s="309"/>
      <c r="BL203" s="309"/>
      <c r="BM203" s="309"/>
      <c r="BN203" s="309"/>
      <c r="BP203" s="313"/>
      <c r="CC203" s="316"/>
      <c r="CG203" s="313"/>
      <c r="CH203" s="313"/>
      <c r="CI203" s="313"/>
      <c r="CK203" s="313"/>
      <c r="CL203" s="313"/>
      <c r="CM203" s="313"/>
      <c r="CN203" s="313"/>
      <c r="CO203" s="313"/>
      <c r="CP203" s="313"/>
      <c r="CQ203" s="313"/>
      <c r="CR203" s="313"/>
      <c r="CS203" s="313"/>
      <c r="CT203" s="313"/>
      <c r="CU203" s="309"/>
      <c r="DH203" s="309"/>
      <c r="DK203" s="310"/>
      <c r="DN203" s="206"/>
      <c r="DO203" s="206"/>
      <c r="DS203" s="288" t="str">
        <f t="shared" si="5"/>
        <v/>
      </c>
      <c r="DT203" s="288" t="str">
        <f t="shared" si="6"/>
        <v/>
      </c>
      <c r="DU203" s="310"/>
      <c r="DV203" s="310"/>
      <c r="DW203" s="310"/>
      <c r="DX203" s="310"/>
      <c r="DY203" s="310"/>
      <c r="DZ203" s="310"/>
      <c r="EA203" s="310"/>
      <c r="EB203" s="310"/>
      <c r="ED203" s="310"/>
      <c r="EE203" s="310"/>
      <c r="EF203" s="310"/>
      <c r="EH203" s="310"/>
    </row>
    <row r="204" spans="3:138" s="288" customFormat="1" hidden="1">
      <c r="C204" s="309"/>
      <c r="D204" s="309"/>
      <c r="E204" s="309"/>
      <c r="F204" s="309"/>
      <c r="G204" s="309"/>
      <c r="H204" s="309"/>
      <c r="I204" s="309"/>
      <c r="J204" s="309"/>
      <c r="K204" s="309"/>
      <c r="L204" s="315"/>
      <c r="Q204" s="309"/>
      <c r="R204" s="311"/>
      <c r="S204" s="311"/>
      <c r="T204" s="311"/>
      <c r="AB204" s="312"/>
      <c r="AF204" s="313"/>
      <c r="AG204" s="313"/>
      <c r="AH204" s="313"/>
      <c r="AI204" s="313"/>
      <c r="AJ204" s="313"/>
      <c r="AS204" s="314"/>
      <c r="AT204" s="315"/>
      <c r="AU204" s="314"/>
      <c r="AV204" s="312"/>
      <c r="AX204" s="206"/>
      <c r="AY204" s="206"/>
      <c r="BE204" s="316"/>
      <c r="BF204" s="316"/>
      <c r="BG204" s="316"/>
      <c r="BH204" s="310"/>
      <c r="BK204" s="309"/>
      <c r="BL204" s="309"/>
      <c r="BM204" s="309"/>
      <c r="BN204" s="309"/>
      <c r="BP204" s="313"/>
      <c r="CC204" s="316"/>
      <c r="CG204" s="313"/>
      <c r="CH204" s="313"/>
      <c r="CI204" s="313"/>
      <c r="CK204" s="313"/>
      <c r="CL204" s="313"/>
      <c r="CM204" s="313"/>
      <c r="CN204" s="313"/>
      <c r="CO204" s="313"/>
      <c r="CP204" s="313"/>
      <c r="CQ204" s="313"/>
      <c r="CR204" s="313"/>
      <c r="CS204" s="313"/>
      <c r="CT204" s="313"/>
      <c r="CU204" s="309"/>
      <c r="DH204" s="309"/>
      <c r="DK204" s="310"/>
      <c r="DN204" s="206"/>
      <c r="DO204" s="206"/>
      <c r="DS204" s="288" t="str">
        <f t="shared" si="5"/>
        <v/>
      </c>
      <c r="DT204" s="288" t="str">
        <f t="shared" si="6"/>
        <v/>
      </c>
      <c r="DU204" s="310"/>
      <c r="DV204" s="310"/>
      <c r="DW204" s="310"/>
      <c r="DX204" s="310"/>
      <c r="DY204" s="310"/>
      <c r="DZ204" s="310"/>
      <c r="EA204" s="310"/>
      <c r="EB204" s="310"/>
      <c r="ED204" s="310"/>
      <c r="EE204" s="310"/>
      <c r="EF204" s="310"/>
      <c r="EH204" s="310"/>
    </row>
    <row r="205" spans="3:138" s="288" customFormat="1" hidden="1">
      <c r="C205" s="309"/>
      <c r="D205" s="309"/>
      <c r="E205" s="309"/>
      <c r="F205" s="309"/>
      <c r="G205" s="309"/>
      <c r="H205" s="309"/>
      <c r="I205" s="309"/>
      <c r="J205" s="309"/>
      <c r="K205" s="309"/>
      <c r="L205" s="315"/>
      <c r="Q205" s="309"/>
      <c r="R205" s="311"/>
      <c r="S205" s="311"/>
      <c r="T205" s="311"/>
      <c r="AB205" s="312"/>
      <c r="AF205" s="313"/>
      <c r="AG205" s="313"/>
      <c r="AH205" s="313"/>
      <c r="AI205" s="313"/>
      <c r="AJ205" s="313"/>
      <c r="AS205" s="314"/>
      <c r="AT205" s="315"/>
      <c r="AU205" s="314"/>
      <c r="AV205" s="312"/>
      <c r="AX205" s="206"/>
      <c r="AY205" s="206"/>
      <c r="BE205" s="316"/>
      <c r="BF205" s="316"/>
      <c r="BG205" s="316"/>
      <c r="BH205" s="310"/>
      <c r="BK205" s="309"/>
      <c r="BL205" s="309"/>
      <c r="BM205" s="309"/>
      <c r="BN205" s="309"/>
      <c r="BP205" s="313"/>
      <c r="CC205" s="316"/>
      <c r="CG205" s="313"/>
      <c r="CH205" s="313"/>
      <c r="CI205" s="313"/>
      <c r="CK205" s="313"/>
      <c r="CL205" s="313"/>
      <c r="CM205" s="313"/>
      <c r="CN205" s="313"/>
      <c r="CO205" s="313"/>
      <c r="CP205" s="313"/>
      <c r="CQ205" s="313"/>
      <c r="CR205" s="313"/>
      <c r="CS205" s="313"/>
      <c r="CT205" s="313"/>
      <c r="CU205" s="309"/>
      <c r="DH205" s="309"/>
      <c r="DK205" s="310"/>
      <c r="DN205" s="206"/>
      <c r="DO205" s="206"/>
      <c r="DS205" s="288" t="str">
        <f t="shared" si="5"/>
        <v/>
      </c>
      <c r="DT205" s="288" t="str">
        <f t="shared" si="6"/>
        <v/>
      </c>
      <c r="DU205" s="310"/>
      <c r="DV205" s="310"/>
      <c r="DW205" s="310"/>
      <c r="DX205" s="310"/>
      <c r="DY205" s="310"/>
      <c r="DZ205" s="310"/>
      <c r="EA205" s="310"/>
      <c r="EB205" s="310"/>
      <c r="ED205" s="310"/>
      <c r="EE205" s="310"/>
      <c r="EF205" s="310"/>
      <c r="EH205" s="310"/>
    </row>
    <row r="206" spans="3:138" s="288" customFormat="1" hidden="1">
      <c r="C206" s="309"/>
      <c r="D206" s="309"/>
      <c r="E206" s="309"/>
      <c r="F206" s="309"/>
      <c r="G206" s="309"/>
      <c r="H206" s="309"/>
      <c r="I206" s="309"/>
      <c r="J206" s="309"/>
      <c r="K206" s="309"/>
      <c r="L206" s="315"/>
      <c r="Q206" s="309"/>
      <c r="R206" s="311"/>
      <c r="S206" s="311"/>
      <c r="T206" s="311"/>
      <c r="AB206" s="312"/>
      <c r="AF206" s="313"/>
      <c r="AG206" s="313"/>
      <c r="AH206" s="313"/>
      <c r="AI206" s="313"/>
      <c r="AJ206" s="313"/>
      <c r="AS206" s="314"/>
      <c r="AT206" s="315"/>
      <c r="AU206" s="314"/>
      <c r="AV206" s="312"/>
      <c r="AX206" s="206"/>
      <c r="AY206" s="206"/>
      <c r="BE206" s="316"/>
      <c r="BF206" s="316"/>
      <c r="BG206" s="316"/>
      <c r="BH206" s="310"/>
      <c r="BK206" s="309"/>
      <c r="BL206" s="309"/>
      <c r="BM206" s="309"/>
      <c r="BN206" s="309"/>
      <c r="BP206" s="313"/>
      <c r="CC206" s="316"/>
      <c r="CG206" s="313"/>
      <c r="CH206" s="313"/>
      <c r="CI206" s="313"/>
      <c r="CK206" s="313"/>
      <c r="CL206" s="313"/>
      <c r="CM206" s="313"/>
      <c r="CN206" s="313"/>
      <c r="CO206" s="313"/>
      <c r="CP206" s="313"/>
      <c r="CQ206" s="313"/>
      <c r="CR206" s="313"/>
      <c r="CS206" s="313"/>
      <c r="CT206" s="313"/>
      <c r="CU206" s="309"/>
      <c r="DH206" s="309"/>
      <c r="DK206" s="310"/>
      <c r="DN206" s="206"/>
      <c r="DO206" s="206"/>
      <c r="DS206" s="288" t="str">
        <f t="shared" si="5"/>
        <v/>
      </c>
      <c r="DT206" s="288" t="str">
        <f t="shared" si="6"/>
        <v/>
      </c>
      <c r="DU206" s="310"/>
      <c r="DV206" s="310"/>
      <c r="DW206" s="310"/>
      <c r="DX206" s="310"/>
      <c r="DY206" s="310"/>
      <c r="DZ206" s="310"/>
      <c r="EA206" s="310"/>
      <c r="EB206" s="310"/>
      <c r="ED206" s="310"/>
      <c r="EE206" s="310"/>
      <c r="EF206" s="310"/>
      <c r="EH206" s="310"/>
    </row>
    <row r="207" spans="3:138" s="288" customFormat="1" hidden="1">
      <c r="C207" s="309"/>
      <c r="D207" s="309"/>
      <c r="E207" s="309"/>
      <c r="F207" s="309"/>
      <c r="G207" s="309"/>
      <c r="H207" s="309"/>
      <c r="I207" s="309"/>
      <c r="J207" s="309"/>
      <c r="K207" s="309"/>
      <c r="L207" s="315"/>
      <c r="Q207" s="309"/>
      <c r="R207" s="311"/>
      <c r="S207" s="311"/>
      <c r="T207" s="311"/>
      <c r="AB207" s="312"/>
      <c r="AF207" s="313"/>
      <c r="AG207" s="313"/>
      <c r="AH207" s="313"/>
      <c r="AI207" s="313"/>
      <c r="AJ207" s="313"/>
      <c r="AS207" s="314"/>
      <c r="AT207" s="315"/>
      <c r="AU207" s="314"/>
      <c r="AV207" s="312"/>
      <c r="AX207" s="206"/>
      <c r="AY207" s="206"/>
      <c r="BE207" s="316"/>
      <c r="BF207" s="316"/>
      <c r="BG207" s="316"/>
      <c r="BH207" s="310"/>
      <c r="BK207" s="309"/>
      <c r="BL207" s="309"/>
      <c r="BM207" s="309"/>
      <c r="BN207" s="309"/>
      <c r="BP207" s="313"/>
      <c r="CC207" s="316"/>
      <c r="CG207" s="313"/>
      <c r="CH207" s="313"/>
      <c r="CI207" s="313"/>
      <c r="CK207" s="313"/>
      <c r="CL207" s="313"/>
      <c r="CM207" s="313"/>
      <c r="CN207" s="313"/>
      <c r="CO207" s="313"/>
      <c r="CP207" s="313"/>
      <c r="CQ207" s="313"/>
      <c r="CR207" s="313"/>
      <c r="CS207" s="313"/>
      <c r="CT207" s="313"/>
      <c r="CU207" s="309"/>
      <c r="DH207" s="309"/>
      <c r="DK207" s="310"/>
      <c r="DN207" s="206"/>
      <c r="DO207" s="206"/>
      <c r="DS207" s="288" t="str">
        <f t="shared" si="5"/>
        <v/>
      </c>
      <c r="DT207" s="288" t="str">
        <f t="shared" si="6"/>
        <v/>
      </c>
      <c r="DU207" s="310"/>
      <c r="DV207" s="310"/>
      <c r="DW207" s="310"/>
      <c r="DX207" s="310"/>
      <c r="DY207" s="310"/>
      <c r="DZ207" s="310"/>
      <c r="EA207" s="310"/>
      <c r="EB207" s="310"/>
      <c r="ED207" s="310"/>
      <c r="EE207" s="310"/>
      <c r="EF207" s="310"/>
      <c r="EH207" s="310"/>
    </row>
    <row r="208" spans="3:138" s="288" customFormat="1" hidden="1">
      <c r="C208" s="309"/>
      <c r="D208" s="309"/>
      <c r="E208" s="309"/>
      <c r="F208" s="309"/>
      <c r="G208" s="309"/>
      <c r="H208" s="309"/>
      <c r="I208" s="309"/>
      <c r="J208" s="309"/>
      <c r="K208" s="309"/>
      <c r="L208" s="315"/>
      <c r="Q208" s="309"/>
      <c r="R208" s="311"/>
      <c r="S208" s="311"/>
      <c r="T208" s="311"/>
      <c r="AB208" s="312"/>
      <c r="AF208" s="313"/>
      <c r="AG208" s="313"/>
      <c r="AH208" s="313"/>
      <c r="AI208" s="313"/>
      <c r="AJ208" s="313"/>
      <c r="AS208" s="314"/>
      <c r="AT208" s="315"/>
      <c r="AU208" s="314"/>
      <c r="AV208" s="312"/>
      <c r="AX208" s="206"/>
      <c r="AY208" s="206"/>
      <c r="BE208" s="316"/>
      <c r="BF208" s="316"/>
      <c r="BG208" s="316"/>
      <c r="BH208" s="310"/>
      <c r="BK208" s="309"/>
      <c r="BL208" s="309"/>
      <c r="BM208" s="309"/>
      <c r="BN208" s="309"/>
      <c r="BP208" s="313"/>
      <c r="CC208" s="316"/>
      <c r="CG208" s="313"/>
      <c r="CH208" s="313"/>
      <c r="CI208" s="313"/>
      <c r="CK208" s="313"/>
      <c r="CL208" s="313"/>
      <c r="CM208" s="313"/>
      <c r="CN208" s="313"/>
      <c r="CO208" s="313"/>
      <c r="CP208" s="313"/>
      <c r="CQ208" s="313"/>
      <c r="CR208" s="313"/>
      <c r="CS208" s="313"/>
      <c r="CT208" s="313"/>
      <c r="CU208" s="309"/>
      <c r="DH208" s="309"/>
      <c r="DK208" s="310"/>
      <c r="DN208" s="206"/>
      <c r="DO208" s="206"/>
      <c r="DS208" s="288" t="str">
        <f t="shared" si="5"/>
        <v/>
      </c>
      <c r="DT208" s="288" t="str">
        <f t="shared" si="6"/>
        <v/>
      </c>
      <c r="DU208" s="310"/>
      <c r="DV208" s="310"/>
      <c r="DW208" s="310"/>
      <c r="DX208" s="310"/>
      <c r="DY208" s="310"/>
      <c r="DZ208" s="310"/>
      <c r="EA208" s="310"/>
      <c r="EB208" s="310"/>
      <c r="ED208" s="310"/>
      <c r="EE208" s="310"/>
      <c r="EF208" s="310"/>
      <c r="EH208" s="310"/>
    </row>
    <row r="209" spans="3:138" s="288" customFormat="1" hidden="1">
      <c r="C209" s="309"/>
      <c r="D209" s="309"/>
      <c r="E209" s="309"/>
      <c r="F209" s="309"/>
      <c r="G209" s="309"/>
      <c r="H209" s="309"/>
      <c r="I209" s="309"/>
      <c r="J209" s="309"/>
      <c r="K209" s="309"/>
      <c r="L209" s="315"/>
      <c r="Q209" s="309"/>
      <c r="R209" s="311"/>
      <c r="S209" s="311"/>
      <c r="T209" s="311"/>
      <c r="AB209" s="312"/>
      <c r="AF209" s="313"/>
      <c r="AG209" s="313"/>
      <c r="AH209" s="313"/>
      <c r="AI209" s="313"/>
      <c r="AJ209" s="313"/>
      <c r="AS209" s="314"/>
      <c r="AT209" s="315"/>
      <c r="AU209" s="314"/>
      <c r="AV209" s="312"/>
      <c r="AX209" s="206"/>
      <c r="AY209" s="206"/>
      <c r="BE209" s="316"/>
      <c r="BF209" s="316"/>
      <c r="BG209" s="316"/>
      <c r="BH209" s="310"/>
      <c r="BK209" s="309"/>
      <c r="BL209" s="309"/>
      <c r="BM209" s="309"/>
      <c r="BN209" s="309"/>
      <c r="BP209" s="313"/>
      <c r="CC209" s="316"/>
      <c r="CG209" s="313"/>
      <c r="CH209" s="313"/>
      <c r="CI209" s="313"/>
      <c r="CK209" s="313"/>
      <c r="CL209" s="313"/>
      <c r="CM209" s="313"/>
      <c r="CN209" s="313"/>
      <c r="CO209" s="313"/>
      <c r="CP209" s="313"/>
      <c r="CQ209" s="313"/>
      <c r="CR209" s="313"/>
      <c r="CS209" s="313"/>
      <c r="CT209" s="313"/>
      <c r="CU209" s="309"/>
      <c r="DH209" s="309"/>
      <c r="DK209" s="310"/>
      <c r="DN209" s="206"/>
      <c r="DO209" s="206"/>
      <c r="DS209" s="288" t="str">
        <f t="shared" si="5"/>
        <v/>
      </c>
      <c r="DT209" s="288" t="str">
        <f t="shared" si="6"/>
        <v/>
      </c>
      <c r="DU209" s="310"/>
      <c r="DV209" s="310"/>
      <c r="DW209" s="310"/>
      <c r="DX209" s="310"/>
      <c r="DY209" s="310"/>
      <c r="DZ209" s="310"/>
      <c r="EA209" s="310"/>
      <c r="EB209" s="310"/>
      <c r="ED209" s="310"/>
      <c r="EE209" s="310"/>
      <c r="EF209" s="310"/>
      <c r="EH209" s="310"/>
    </row>
    <row r="210" spans="3:138" s="288" customFormat="1" hidden="1">
      <c r="C210" s="309"/>
      <c r="D210" s="309"/>
      <c r="E210" s="309"/>
      <c r="F210" s="309"/>
      <c r="G210" s="309"/>
      <c r="H210" s="309"/>
      <c r="I210" s="309"/>
      <c r="J210" s="309"/>
      <c r="K210" s="309"/>
      <c r="L210" s="315"/>
      <c r="Q210" s="309"/>
      <c r="R210" s="311"/>
      <c r="S210" s="311"/>
      <c r="T210" s="311"/>
      <c r="AB210" s="312"/>
      <c r="AF210" s="313"/>
      <c r="AG210" s="313"/>
      <c r="AH210" s="313"/>
      <c r="AI210" s="313"/>
      <c r="AJ210" s="313"/>
      <c r="AS210" s="314"/>
      <c r="AT210" s="315"/>
      <c r="AU210" s="314"/>
      <c r="AV210" s="312"/>
      <c r="AX210" s="206"/>
      <c r="AY210" s="206"/>
      <c r="BE210" s="316"/>
      <c r="BF210" s="316"/>
      <c r="BG210" s="316"/>
      <c r="BH210" s="310"/>
      <c r="BK210" s="309"/>
      <c r="BL210" s="309"/>
      <c r="BM210" s="309"/>
      <c r="BN210" s="309"/>
      <c r="BP210" s="313"/>
      <c r="CC210" s="316"/>
      <c r="CG210" s="313"/>
      <c r="CH210" s="313"/>
      <c r="CI210" s="313"/>
      <c r="CK210" s="313"/>
      <c r="CL210" s="313"/>
      <c r="CM210" s="313"/>
      <c r="CN210" s="313"/>
      <c r="CO210" s="313"/>
      <c r="CP210" s="313"/>
      <c r="CQ210" s="313"/>
      <c r="CR210" s="313"/>
      <c r="CS210" s="313"/>
      <c r="CT210" s="313"/>
      <c r="CU210" s="309"/>
      <c r="DH210" s="309"/>
      <c r="DK210" s="310"/>
      <c r="DN210" s="206"/>
      <c r="DO210" s="206"/>
      <c r="DS210" s="288" t="str">
        <f t="shared" si="5"/>
        <v/>
      </c>
      <c r="DT210" s="288" t="str">
        <f t="shared" si="6"/>
        <v/>
      </c>
      <c r="DU210" s="310"/>
      <c r="DV210" s="310"/>
      <c r="DW210" s="310"/>
      <c r="DX210" s="310"/>
      <c r="DY210" s="310"/>
      <c r="DZ210" s="310"/>
      <c r="EA210" s="310"/>
      <c r="EB210" s="310"/>
      <c r="ED210" s="310"/>
      <c r="EE210" s="310"/>
      <c r="EF210" s="310"/>
      <c r="EH210" s="310"/>
    </row>
    <row r="211" spans="3:138" s="288" customFormat="1" hidden="1">
      <c r="C211" s="309"/>
      <c r="D211" s="309"/>
      <c r="E211" s="309"/>
      <c r="F211" s="309"/>
      <c r="G211" s="309"/>
      <c r="H211" s="309"/>
      <c r="I211" s="309"/>
      <c r="J211" s="309"/>
      <c r="K211" s="309"/>
      <c r="L211" s="315"/>
      <c r="Q211" s="309"/>
      <c r="R211" s="311"/>
      <c r="S211" s="311"/>
      <c r="T211" s="311"/>
      <c r="AB211" s="312"/>
      <c r="AF211" s="313"/>
      <c r="AG211" s="313"/>
      <c r="AH211" s="313"/>
      <c r="AI211" s="313"/>
      <c r="AJ211" s="313"/>
      <c r="AS211" s="314"/>
      <c r="AT211" s="315"/>
      <c r="AU211" s="314"/>
      <c r="AV211" s="312"/>
      <c r="AX211" s="206"/>
      <c r="AY211" s="206"/>
      <c r="BE211" s="316"/>
      <c r="BF211" s="316"/>
      <c r="BG211" s="316"/>
      <c r="BH211" s="310"/>
      <c r="BK211" s="309"/>
      <c r="BL211" s="309"/>
      <c r="BM211" s="309"/>
      <c r="BN211" s="309"/>
      <c r="BP211" s="313"/>
      <c r="CC211" s="316"/>
      <c r="CG211" s="313"/>
      <c r="CH211" s="313"/>
      <c r="CI211" s="313"/>
      <c r="CK211" s="313"/>
      <c r="CL211" s="313"/>
      <c r="CM211" s="313"/>
      <c r="CN211" s="313"/>
      <c r="CO211" s="313"/>
      <c r="CP211" s="313"/>
      <c r="CQ211" s="313"/>
      <c r="CR211" s="313"/>
      <c r="CS211" s="313"/>
      <c r="CT211" s="313"/>
      <c r="CU211" s="309"/>
      <c r="DH211" s="309"/>
      <c r="DK211" s="310"/>
      <c r="DN211" s="206"/>
      <c r="DO211" s="206"/>
      <c r="DS211" s="288" t="str">
        <f t="shared" si="5"/>
        <v/>
      </c>
      <c r="DT211" s="288" t="str">
        <f t="shared" si="6"/>
        <v/>
      </c>
      <c r="DU211" s="310"/>
      <c r="DV211" s="310"/>
      <c r="DW211" s="310"/>
      <c r="DX211" s="310"/>
      <c r="DY211" s="310"/>
      <c r="DZ211" s="310"/>
      <c r="EA211" s="310"/>
      <c r="EB211" s="310"/>
      <c r="ED211" s="310"/>
      <c r="EE211" s="310"/>
      <c r="EF211" s="310"/>
      <c r="EH211" s="310"/>
    </row>
    <row r="212" spans="3:138" s="288" customFormat="1" hidden="1">
      <c r="C212" s="309"/>
      <c r="D212" s="309"/>
      <c r="E212" s="309"/>
      <c r="F212" s="309"/>
      <c r="G212" s="309"/>
      <c r="H212" s="309"/>
      <c r="I212" s="309"/>
      <c r="J212" s="309"/>
      <c r="K212" s="309"/>
      <c r="L212" s="315"/>
      <c r="Q212" s="309"/>
      <c r="R212" s="311"/>
      <c r="S212" s="311"/>
      <c r="T212" s="311"/>
      <c r="AB212" s="312"/>
      <c r="AF212" s="313"/>
      <c r="AG212" s="313"/>
      <c r="AH212" s="313"/>
      <c r="AI212" s="313"/>
      <c r="AJ212" s="313"/>
      <c r="AS212" s="314"/>
      <c r="AT212" s="315"/>
      <c r="AU212" s="314"/>
      <c r="AV212" s="312"/>
      <c r="AX212" s="206"/>
      <c r="AY212" s="206"/>
      <c r="BE212" s="316"/>
      <c r="BF212" s="316"/>
      <c r="BG212" s="316"/>
      <c r="BH212" s="310"/>
      <c r="BK212" s="309"/>
      <c r="BL212" s="309"/>
      <c r="BM212" s="309"/>
      <c r="BN212" s="309"/>
      <c r="BP212" s="313"/>
      <c r="CC212" s="316"/>
      <c r="CG212" s="313"/>
      <c r="CH212" s="313"/>
      <c r="CI212" s="313"/>
      <c r="CK212" s="313"/>
      <c r="CL212" s="313"/>
      <c r="CM212" s="313"/>
      <c r="CN212" s="313"/>
      <c r="CO212" s="313"/>
      <c r="CP212" s="313"/>
      <c r="CQ212" s="313"/>
      <c r="CR212" s="313"/>
      <c r="CS212" s="313"/>
      <c r="CT212" s="313"/>
      <c r="CU212" s="309"/>
      <c r="DH212" s="309"/>
      <c r="DK212" s="310"/>
      <c r="DN212" s="206"/>
      <c r="DO212" s="206"/>
      <c r="DS212" s="288" t="str">
        <f t="shared" si="5"/>
        <v/>
      </c>
      <c r="DT212" s="288" t="str">
        <f t="shared" si="6"/>
        <v/>
      </c>
      <c r="DU212" s="310"/>
      <c r="DV212" s="310"/>
      <c r="DW212" s="310"/>
      <c r="DX212" s="310"/>
      <c r="DY212" s="310"/>
      <c r="DZ212" s="310"/>
      <c r="EA212" s="310"/>
      <c r="EB212" s="310"/>
      <c r="ED212" s="310"/>
      <c r="EE212" s="310"/>
      <c r="EF212" s="310"/>
      <c r="EH212" s="310"/>
    </row>
    <row r="213" spans="3:138" s="288" customFormat="1" hidden="1">
      <c r="C213" s="309"/>
      <c r="D213" s="309"/>
      <c r="E213" s="309"/>
      <c r="F213" s="309"/>
      <c r="G213" s="309"/>
      <c r="H213" s="309"/>
      <c r="I213" s="309"/>
      <c r="J213" s="309"/>
      <c r="K213" s="309"/>
      <c r="L213" s="315"/>
      <c r="Q213" s="309"/>
      <c r="R213" s="311"/>
      <c r="S213" s="311"/>
      <c r="T213" s="311"/>
      <c r="AB213" s="312"/>
      <c r="AF213" s="313"/>
      <c r="AG213" s="313"/>
      <c r="AH213" s="313"/>
      <c r="AI213" s="313"/>
      <c r="AJ213" s="313"/>
      <c r="AS213" s="314"/>
      <c r="AT213" s="315"/>
      <c r="AU213" s="314"/>
      <c r="AV213" s="312"/>
      <c r="AX213" s="206"/>
      <c r="AY213" s="206"/>
      <c r="BE213" s="316"/>
      <c r="BF213" s="316"/>
      <c r="BG213" s="316"/>
      <c r="BH213" s="310"/>
      <c r="BK213" s="309"/>
      <c r="BL213" s="309"/>
      <c r="BM213" s="309"/>
      <c r="BN213" s="309"/>
      <c r="BP213" s="313"/>
      <c r="CC213" s="316"/>
      <c r="CG213" s="313"/>
      <c r="CH213" s="313"/>
      <c r="CI213" s="313"/>
      <c r="CK213" s="313"/>
      <c r="CL213" s="313"/>
      <c r="CM213" s="313"/>
      <c r="CN213" s="313"/>
      <c r="CO213" s="313"/>
      <c r="CP213" s="313"/>
      <c r="CQ213" s="313"/>
      <c r="CR213" s="313"/>
      <c r="CS213" s="313"/>
      <c r="CT213" s="313"/>
      <c r="CU213" s="309"/>
      <c r="DH213" s="309"/>
      <c r="DK213" s="310"/>
      <c r="DN213" s="206"/>
      <c r="DO213" s="206"/>
      <c r="DS213" s="288" t="str">
        <f t="shared" si="5"/>
        <v/>
      </c>
      <c r="DT213" s="288" t="str">
        <f t="shared" si="6"/>
        <v/>
      </c>
      <c r="DU213" s="310"/>
      <c r="DV213" s="310"/>
      <c r="DW213" s="310"/>
      <c r="DX213" s="310"/>
      <c r="DY213" s="310"/>
      <c r="DZ213" s="310"/>
      <c r="EA213" s="310"/>
      <c r="EB213" s="310"/>
      <c r="ED213" s="310"/>
      <c r="EE213" s="310"/>
      <c r="EF213" s="310"/>
      <c r="EH213" s="310"/>
    </row>
    <row r="214" spans="3:138" s="288" customFormat="1" hidden="1">
      <c r="C214" s="309"/>
      <c r="D214" s="309"/>
      <c r="E214" s="309"/>
      <c r="F214" s="309"/>
      <c r="G214" s="309"/>
      <c r="H214" s="309"/>
      <c r="I214" s="309"/>
      <c r="J214" s="309"/>
      <c r="K214" s="309"/>
      <c r="L214" s="315"/>
      <c r="Q214" s="309"/>
      <c r="R214" s="311"/>
      <c r="S214" s="311"/>
      <c r="T214" s="311"/>
      <c r="AB214" s="312"/>
      <c r="AF214" s="313"/>
      <c r="AG214" s="313"/>
      <c r="AH214" s="313"/>
      <c r="AI214" s="313"/>
      <c r="AJ214" s="313"/>
      <c r="AS214" s="314"/>
      <c r="AT214" s="315"/>
      <c r="AU214" s="314"/>
      <c r="AV214" s="312"/>
      <c r="AX214" s="206"/>
      <c r="AY214" s="206"/>
      <c r="BE214" s="316"/>
      <c r="BF214" s="316"/>
      <c r="BG214" s="316"/>
      <c r="BH214" s="310"/>
      <c r="BK214" s="309"/>
      <c r="BL214" s="309"/>
      <c r="BM214" s="309"/>
      <c r="BN214" s="309"/>
      <c r="BP214" s="313"/>
      <c r="CC214" s="316"/>
      <c r="CG214" s="313"/>
      <c r="CH214" s="313"/>
      <c r="CI214" s="313"/>
      <c r="CK214" s="313"/>
      <c r="CL214" s="313"/>
      <c r="CM214" s="313"/>
      <c r="CN214" s="313"/>
      <c r="CO214" s="313"/>
      <c r="CP214" s="313"/>
      <c r="CQ214" s="313"/>
      <c r="CR214" s="313"/>
      <c r="CS214" s="313"/>
      <c r="CT214" s="313"/>
      <c r="CU214" s="309"/>
      <c r="DH214" s="309"/>
      <c r="DK214" s="310"/>
      <c r="DN214" s="206"/>
      <c r="DO214" s="206"/>
      <c r="DS214" s="288" t="str">
        <f t="shared" si="5"/>
        <v/>
      </c>
      <c r="DT214" s="288" t="str">
        <f t="shared" si="6"/>
        <v/>
      </c>
      <c r="DU214" s="310"/>
      <c r="DV214" s="310"/>
      <c r="DW214" s="310"/>
      <c r="DX214" s="310"/>
      <c r="DY214" s="310"/>
      <c r="DZ214" s="310"/>
      <c r="EA214" s="310"/>
      <c r="EB214" s="310"/>
      <c r="ED214" s="310"/>
      <c r="EE214" s="310"/>
      <c r="EF214" s="310"/>
      <c r="EH214" s="310"/>
    </row>
    <row r="215" spans="3:138" s="288" customFormat="1" hidden="1">
      <c r="C215" s="309"/>
      <c r="D215" s="309"/>
      <c r="E215" s="309"/>
      <c r="F215" s="309"/>
      <c r="G215" s="309"/>
      <c r="H215" s="309"/>
      <c r="I215" s="309"/>
      <c r="J215" s="309"/>
      <c r="K215" s="309"/>
      <c r="L215" s="315"/>
      <c r="Q215" s="309"/>
      <c r="R215" s="311"/>
      <c r="S215" s="311"/>
      <c r="T215" s="311"/>
      <c r="AB215" s="312"/>
      <c r="AF215" s="313"/>
      <c r="AG215" s="313"/>
      <c r="AH215" s="313"/>
      <c r="AI215" s="313"/>
      <c r="AJ215" s="313"/>
      <c r="AS215" s="314"/>
      <c r="AT215" s="315"/>
      <c r="AU215" s="314"/>
      <c r="AV215" s="312"/>
      <c r="AX215" s="206"/>
      <c r="AY215" s="206"/>
      <c r="BE215" s="316"/>
      <c r="BF215" s="316"/>
      <c r="BG215" s="316"/>
      <c r="BH215" s="310"/>
      <c r="BK215" s="309"/>
      <c r="BL215" s="309"/>
      <c r="BM215" s="309"/>
      <c r="BN215" s="309"/>
      <c r="BP215" s="313"/>
      <c r="CC215" s="316"/>
      <c r="CG215" s="313"/>
      <c r="CH215" s="313"/>
      <c r="CI215" s="313"/>
      <c r="CK215" s="313"/>
      <c r="CL215" s="313"/>
      <c r="CM215" s="313"/>
      <c r="CN215" s="313"/>
      <c r="CO215" s="313"/>
      <c r="CP215" s="313"/>
      <c r="CQ215" s="313"/>
      <c r="CR215" s="313"/>
      <c r="CS215" s="313"/>
      <c r="CT215" s="313"/>
      <c r="CU215" s="309"/>
      <c r="DH215" s="309"/>
      <c r="DK215" s="310"/>
      <c r="DN215" s="206"/>
      <c r="DO215" s="206"/>
      <c r="DS215" s="288" t="str">
        <f t="shared" si="5"/>
        <v/>
      </c>
      <c r="DT215" s="288" t="str">
        <f t="shared" si="6"/>
        <v/>
      </c>
      <c r="DU215" s="310"/>
      <c r="DV215" s="310"/>
      <c r="DW215" s="310"/>
      <c r="DX215" s="310"/>
      <c r="DY215" s="310"/>
      <c r="DZ215" s="310"/>
      <c r="EA215" s="310"/>
      <c r="EB215" s="310"/>
      <c r="ED215" s="310"/>
      <c r="EE215" s="310"/>
      <c r="EF215" s="310"/>
      <c r="EH215" s="310"/>
    </row>
    <row r="216" spans="3:138" s="288" customFormat="1" hidden="1">
      <c r="C216" s="309"/>
      <c r="D216" s="309"/>
      <c r="E216" s="309"/>
      <c r="F216" s="309"/>
      <c r="G216" s="309"/>
      <c r="H216" s="309"/>
      <c r="I216" s="309"/>
      <c r="J216" s="309"/>
      <c r="K216" s="309"/>
      <c r="L216" s="315"/>
      <c r="Q216" s="309"/>
      <c r="R216" s="311"/>
      <c r="S216" s="311"/>
      <c r="T216" s="311"/>
      <c r="AB216" s="312"/>
      <c r="AF216" s="313"/>
      <c r="AG216" s="313"/>
      <c r="AH216" s="313"/>
      <c r="AI216" s="313"/>
      <c r="AJ216" s="313"/>
      <c r="AS216" s="314"/>
      <c r="AT216" s="315"/>
      <c r="AU216" s="314"/>
      <c r="AV216" s="312"/>
      <c r="AX216" s="206"/>
      <c r="AY216" s="206"/>
      <c r="BE216" s="316"/>
      <c r="BF216" s="316"/>
      <c r="BG216" s="316"/>
      <c r="BH216" s="310"/>
      <c r="BK216" s="309"/>
      <c r="BL216" s="309"/>
      <c r="BM216" s="309"/>
      <c r="BN216" s="309"/>
      <c r="BP216" s="313"/>
      <c r="CC216" s="316"/>
      <c r="CG216" s="313"/>
      <c r="CH216" s="313"/>
      <c r="CI216" s="313"/>
      <c r="CK216" s="313"/>
      <c r="CL216" s="313"/>
      <c r="CM216" s="313"/>
      <c r="CN216" s="313"/>
      <c r="CO216" s="313"/>
      <c r="CP216" s="313"/>
      <c r="CQ216" s="313"/>
      <c r="CR216" s="313"/>
      <c r="CS216" s="313"/>
      <c r="CT216" s="313"/>
      <c r="CU216" s="309"/>
      <c r="DH216" s="309"/>
      <c r="DK216" s="310"/>
      <c r="DN216" s="206"/>
      <c r="DO216" s="206"/>
      <c r="DS216" s="288" t="str">
        <f t="shared" si="5"/>
        <v/>
      </c>
      <c r="DT216" s="288" t="str">
        <f t="shared" si="6"/>
        <v/>
      </c>
      <c r="DU216" s="310"/>
      <c r="DV216" s="310"/>
      <c r="DW216" s="310"/>
      <c r="DX216" s="310"/>
      <c r="DY216" s="310"/>
      <c r="DZ216" s="310"/>
      <c r="EA216" s="310"/>
      <c r="EB216" s="310"/>
      <c r="ED216" s="310"/>
      <c r="EE216" s="310"/>
      <c r="EF216" s="310"/>
      <c r="EH216" s="310"/>
    </row>
    <row r="217" spans="3:138" s="288" customFormat="1" hidden="1">
      <c r="C217" s="309"/>
      <c r="D217" s="309"/>
      <c r="E217" s="309"/>
      <c r="F217" s="309"/>
      <c r="G217" s="309"/>
      <c r="H217" s="309"/>
      <c r="I217" s="309"/>
      <c r="J217" s="309"/>
      <c r="K217" s="309"/>
      <c r="L217" s="315"/>
      <c r="Q217" s="309"/>
      <c r="R217" s="311"/>
      <c r="S217" s="311"/>
      <c r="T217" s="311"/>
      <c r="AB217" s="312"/>
      <c r="AF217" s="313"/>
      <c r="AG217" s="313"/>
      <c r="AH217" s="313"/>
      <c r="AI217" s="313"/>
      <c r="AJ217" s="313"/>
      <c r="AS217" s="314"/>
      <c r="AT217" s="315"/>
      <c r="AU217" s="314"/>
      <c r="AV217" s="312"/>
      <c r="AX217" s="206"/>
      <c r="AY217" s="206"/>
      <c r="BE217" s="316"/>
      <c r="BF217" s="316"/>
      <c r="BG217" s="316"/>
      <c r="BH217" s="310"/>
      <c r="BK217" s="309"/>
      <c r="BL217" s="309"/>
      <c r="BM217" s="309"/>
      <c r="BN217" s="309"/>
      <c r="BP217" s="313"/>
      <c r="CC217" s="316"/>
      <c r="CG217" s="313"/>
      <c r="CH217" s="313"/>
      <c r="CI217" s="313"/>
      <c r="CK217" s="313"/>
      <c r="CL217" s="313"/>
      <c r="CM217" s="313"/>
      <c r="CN217" s="313"/>
      <c r="CO217" s="313"/>
      <c r="CP217" s="313"/>
      <c r="CQ217" s="313"/>
      <c r="CR217" s="313"/>
      <c r="CS217" s="313"/>
      <c r="CT217" s="313"/>
      <c r="CU217" s="309"/>
      <c r="DH217" s="309"/>
      <c r="DK217" s="310"/>
      <c r="DN217" s="206"/>
      <c r="DO217" s="206"/>
      <c r="DS217" s="288" t="str">
        <f t="shared" si="5"/>
        <v/>
      </c>
      <c r="DT217" s="288" t="str">
        <f t="shared" si="6"/>
        <v/>
      </c>
      <c r="DU217" s="310"/>
      <c r="DV217" s="310"/>
      <c r="DW217" s="310"/>
      <c r="DX217" s="310"/>
      <c r="DY217" s="310"/>
      <c r="DZ217" s="310"/>
      <c r="EA217" s="310"/>
      <c r="EB217" s="310"/>
      <c r="ED217" s="310"/>
      <c r="EE217" s="310"/>
      <c r="EF217" s="310"/>
      <c r="EH217" s="310"/>
    </row>
    <row r="218" spans="3:138" s="288" customFormat="1" hidden="1">
      <c r="C218" s="309"/>
      <c r="D218" s="309"/>
      <c r="E218" s="309"/>
      <c r="F218" s="309"/>
      <c r="G218" s="309"/>
      <c r="H218" s="309"/>
      <c r="I218" s="309"/>
      <c r="J218" s="309"/>
      <c r="K218" s="309"/>
      <c r="L218" s="315"/>
      <c r="Q218" s="309"/>
      <c r="R218" s="311"/>
      <c r="S218" s="311"/>
      <c r="T218" s="311"/>
      <c r="AB218" s="312"/>
      <c r="AF218" s="313"/>
      <c r="AG218" s="313"/>
      <c r="AH218" s="313"/>
      <c r="AI218" s="313"/>
      <c r="AJ218" s="313"/>
      <c r="AS218" s="314"/>
      <c r="AT218" s="315"/>
      <c r="AU218" s="314"/>
      <c r="AV218" s="312"/>
      <c r="AX218" s="206"/>
      <c r="AY218" s="206"/>
      <c r="BE218" s="316"/>
      <c r="BF218" s="316"/>
      <c r="BG218" s="316"/>
      <c r="BH218" s="310"/>
      <c r="BK218" s="309"/>
      <c r="BL218" s="309"/>
      <c r="BM218" s="309"/>
      <c r="BN218" s="309"/>
      <c r="BP218" s="313"/>
      <c r="CC218" s="316"/>
      <c r="CG218" s="313"/>
      <c r="CH218" s="313"/>
      <c r="CI218" s="313"/>
      <c r="CK218" s="313"/>
      <c r="CL218" s="313"/>
      <c r="CM218" s="313"/>
      <c r="CN218" s="313"/>
      <c r="CO218" s="313"/>
      <c r="CP218" s="313"/>
      <c r="CQ218" s="313"/>
      <c r="CR218" s="313"/>
      <c r="CS218" s="313"/>
      <c r="CT218" s="313"/>
      <c r="CU218" s="309"/>
      <c r="DH218" s="309"/>
      <c r="DK218" s="310"/>
      <c r="DN218" s="206"/>
      <c r="DO218" s="206"/>
      <c r="DS218" s="288" t="str">
        <f t="shared" si="5"/>
        <v/>
      </c>
      <c r="DT218" s="288" t="str">
        <f t="shared" si="6"/>
        <v/>
      </c>
      <c r="DU218" s="310"/>
      <c r="DV218" s="310"/>
      <c r="DW218" s="310"/>
      <c r="DX218" s="310"/>
      <c r="DY218" s="310"/>
      <c r="DZ218" s="310"/>
      <c r="EA218" s="310"/>
      <c r="EB218" s="310"/>
      <c r="ED218" s="310"/>
      <c r="EE218" s="310"/>
      <c r="EF218" s="310"/>
      <c r="EH218" s="310"/>
    </row>
    <row r="219" spans="3:138" s="288" customFormat="1" hidden="1">
      <c r="C219" s="309"/>
      <c r="D219" s="309"/>
      <c r="E219" s="309"/>
      <c r="F219" s="309"/>
      <c r="G219" s="309"/>
      <c r="H219" s="309"/>
      <c r="I219" s="309"/>
      <c r="J219" s="309"/>
      <c r="K219" s="309"/>
      <c r="L219" s="315"/>
      <c r="Q219" s="309"/>
      <c r="R219" s="311"/>
      <c r="S219" s="311"/>
      <c r="T219" s="311"/>
      <c r="AB219" s="312"/>
      <c r="AF219" s="313"/>
      <c r="AG219" s="313"/>
      <c r="AH219" s="313"/>
      <c r="AI219" s="313"/>
      <c r="AJ219" s="313"/>
      <c r="AS219" s="314"/>
      <c r="AT219" s="315"/>
      <c r="AU219" s="314"/>
      <c r="AV219" s="312"/>
      <c r="AX219" s="206"/>
      <c r="AY219" s="206"/>
      <c r="BE219" s="316"/>
      <c r="BF219" s="316"/>
      <c r="BG219" s="316"/>
      <c r="BH219" s="310"/>
      <c r="BK219" s="309"/>
      <c r="BL219" s="309"/>
      <c r="BM219" s="309"/>
      <c r="BN219" s="309"/>
      <c r="BP219" s="313"/>
      <c r="CC219" s="316"/>
      <c r="CG219" s="313"/>
      <c r="CH219" s="313"/>
      <c r="CI219" s="313"/>
      <c r="CK219" s="313"/>
      <c r="CL219" s="313"/>
      <c r="CM219" s="313"/>
      <c r="CN219" s="313"/>
      <c r="CO219" s="313"/>
      <c r="CP219" s="313"/>
      <c r="CQ219" s="313"/>
      <c r="CR219" s="313"/>
      <c r="CS219" s="313"/>
      <c r="CT219" s="313"/>
      <c r="CU219" s="309"/>
      <c r="DH219" s="309"/>
      <c r="DK219" s="310"/>
      <c r="DN219" s="206"/>
      <c r="DO219" s="206"/>
      <c r="DS219" s="288" t="str">
        <f t="shared" si="5"/>
        <v/>
      </c>
      <c r="DT219" s="288" t="str">
        <f t="shared" si="6"/>
        <v/>
      </c>
      <c r="DU219" s="310"/>
      <c r="DV219" s="310"/>
      <c r="DW219" s="310"/>
      <c r="DX219" s="310"/>
      <c r="DY219" s="310"/>
      <c r="DZ219" s="310"/>
      <c r="EA219" s="310"/>
      <c r="EB219" s="310"/>
      <c r="ED219" s="310"/>
      <c r="EE219" s="310"/>
      <c r="EF219" s="310"/>
      <c r="EH219" s="310"/>
    </row>
    <row r="220" spans="3:138" s="288" customFormat="1" hidden="1">
      <c r="C220" s="309"/>
      <c r="D220" s="309"/>
      <c r="E220" s="309"/>
      <c r="F220" s="309"/>
      <c r="G220" s="309"/>
      <c r="H220" s="309"/>
      <c r="I220" s="309"/>
      <c r="J220" s="309"/>
      <c r="K220" s="309"/>
      <c r="L220" s="315"/>
      <c r="Q220" s="309"/>
      <c r="R220" s="311"/>
      <c r="S220" s="311"/>
      <c r="T220" s="311"/>
      <c r="AB220" s="312"/>
      <c r="AF220" s="313"/>
      <c r="AG220" s="313"/>
      <c r="AH220" s="313"/>
      <c r="AI220" s="313"/>
      <c r="AJ220" s="313"/>
      <c r="AS220" s="314"/>
      <c r="AT220" s="315"/>
      <c r="AU220" s="314"/>
      <c r="AV220" s="312"/>
      <c r="AX220" s="206"/>
      <c r="AY220" s="206"/>
      <c r="BE220" s="316"/>
      <c r="BF220" s="316"/>
      <c r="BG220" s="316"/>
      <c r="BH220" s="310"/>
      <c r="BK220" s="309"/>
      <c r="BL220" s="309"/>
      <c r="BM220" s="309"/>
      <c r="BN220" s="309"/>
      <c r="BP220" s="313"/>
      <c r="CC220" s="316"/>
      <c r="CG220" s="313"/>
      <c r="CH220" s="313"/>
      <c r="CI220" s="313"/>
      <c r="CK220" s="313"/>
      <c r="CL220" s="313"/>
      <c r="CM220" s="313"/>
      <c r="CN220" s="313"/>
      <c r="CO220" s="313"/>
      <c r="CP220" s="313"/>
      <c r="CQ220" s="313"/>
      <c r="CR220" s="313"/>
      <c r="CS220" s="313"/>
      <c r="CT220" s="313"/>
      <c r="CU220" s="309"/>
      <c r="DH220" s="309"/>
      <c r="DK220" s="310"/>
      <c r="DN220" s="206"/>
      <c r="DO220" s="206"/>
      <c r="DS220" s="288" t="str">
        <f t="shared" si="5"/>
        <v/>
      </c>
      <c r="DT220" s="288" t="str">
        <f t="shared" si="6"/>
        <v/>
      </c>
      <c r="DU220" s="310"/>
      <c r="DV220" s="310"/>
      <c r="DW220" s="310"/>
      <c r="DX220" s="310"/>
      <c r="DY220" s="310"/>
      <c r="DZ220" s="310"/>
      <c r="EA220" s="310"/>
      <c r="EB220" s="310"/>
      <c r="ED220" s="310"/>
      <c r="EE220" s="310"/>
      <c r="EF220" s="310"/>
      <c r="EH220" s="310"/>
    </row>
    <row r="221" spans="3:138" s="288" customFormat="1" hidden="1">
      <c r="C221" s="309"/>
      <c r="D221" s="309"/>
      <c r="E221" s="309"/>
      <c r="F221" s="309"/>
      <c r="G221" s="309"/>
      <c r="H221" s="309"/>
      <c r="I221" s="309"/>
      <c r="J221" s="309"/>
      <c r="K221" s="309"/>
      <c r="L221" s="315"/>
      <c r="Q221" s="309"/>
      <c r="R221" s="311"/>
      <c r="S221" s="311"/>
      <c r="T221" s="311"/>
      <c r="AB221" s="312"/>
      <c r="AF221" s="313"/>
      <c r="AG221" s="313"/>
      <c r="AH221" s="313"/>
      <c r="AI221" s="313"/>
      <c r="AJ221" s="313"/>
      <c r="AS221" s="314"/>
      <c r="AT221" s="315"/>
      <c r="AU221" s="314"/>
      <c r="AV221" s="312"/>
      <c r="AX221" s="206"/>
      <c r="AY221" s="206"/>
      <c r="BE221" s="316"/>
      <c r="BF221" s="316"/>
      <c r="BG221" s="316"/>
      <c r="BH221" s="310"/>
      <c r="BK221" s="309"/>
      <c r="BL221" s="309"/>
      <c r="BM221" s="309"/>
      <c r="BN221" s="309"/>
      <c r="BP221" s="313"/>
      <c r="CC221" s="316"/>
      <c r="CG221" s="313"/>
      <c r="CH221" s="313"/>
      <c r="CI221" s="313"/>
      <c r="CK221" s="313"/>
      <c r="CL221" s="313"/>
      <c r="CM221" s="313"/>
      <c r="CN221" s="313"/>
      <c r="CO221" s="313"/>
      <c r="CP221" s="313"/>
      <c r="CQ221" s="313"/>
      <c r="CR221" s="313"/>
      <c r="CS221" s="313"/>
      <c r="CT221" s="313"/>
      <c r="CU221" s="309"/>
      <c r="DH221" s="309"/>
      <c r="DK221" s="310"/>
      <c r="DN221" s="206"/>
      <c r="DO221" s="206"/>
      <c r="DS221" s="288" t="str">
        <f t="shared" si="5"/>
        <v/>
      </c>
      <c r="DT221" s="288" t="str">
        <f t="shared" si="6"/>
        <v/>
      </c>
      <c r="DU221" s="310"/>
      <c r="DV221" s="310"/>
      <c r="DW221" s="310"/>
      <c r="DX221" s="310"/>
      <c r="DY221" s="310"/>
      <c r="DZ221" s="310"/>
      <c r="EA221" s="310"/>
      <c r="EB221" s="310"/>
      <c r="ED221" s="310"/>
      <c r="EE221" s="310"/>
      <c r="EF221" s="310"/>
      <c r="EH221" s="310"/>
    </row>
    <row r="222" spans="3:138" s="288" customFormat="1" hidden="1">
      <c r="C222" s="309"/>
      <c r="D222" s="309"/>
      <c r="E222" s="309"/>
      <c r="F222" s="309"/>
      <c r="G222" s="309"/>
      <c r="H222" s="309"/>
      <c r="I222" s="309"/>
      <c r="J222" s="309"/>
      <c r="K222" s="309"/>
      <c r="L222" s="315"/>
      <c r="Q222" s="309"/>
      <c r="R222" s="311"/>
      <c r="S222" s="311"/>
      <c r="T222" s="311"/>
      <c r="AB222" s="312"/>
      <c r="AF222" s="313"/>
      <c r="AG222" s="313"/>
      <c r="AH222" s="313"/>
      <c r="AI222" s="313"/>
      <c r="AJ222" s="313"/>
      <c r="AS222" s="314"/>
      <c r="AT222" s="315"/>
      <c r="AU222" s="314"/>
      <c r="AV222" s="312"/>
      <c r="AX222" s="206"/>
      <c r="AY222" s="206"/>
      <c r="BE222" s="316"/>
      <c r="BF222" s="316"/>
      <c r="BG222" s="316"/>
      <c r="BH222" s="310"/>
      <c r="BK222" s="309"/>
      <c r="BL222" s="309"/>
      <c r="BM222" s="309"/>
      <c r="BN222" s="309"/>
      <c r="BP222" s="313"/>
      <c r="CC222" s="316"/>
      <c r="CG222" s="313"/>
      <c r="CH222" s="313"/>
      <c r="CI222" s="313"/>
      <c r="CK222" s="313"/>
      <c r="CL222" s="313"/>
      <c r="CM222" s="313"/>
      <c r="CN222" s="313"/>
      <c r="CO222" s="313"/>
      <c r="CP222" s="313"/>
      <c r="CQ222" s="313"/>
      <c r="CR222" s="313"/>
      <c r="CS222" s="313"/>
      <c r="CT222" s="313"/>
      <c r="CU222" s="309"/>
      <c r="DH222" s="309"/>
      <c r="DK222" s="310"/>
      <c r="DN222" s="206"/>
      <c r="DO222" s="206"/>
      <c r="DS222" s="288" t="str">
        <f t="shared" si="5"/>
        <v/>
      </c>
      <c r="DT222" s="288" t="str">
        <f t="shared" si="6"/>
        <v/>
      </c>
      <c r="DU222" s="310"/>
      <c r="DV222" s="310"/>
      <c r="DW222" s="310"/>
      <c r="DX222" s="310"/>
      <c r="DY222" s="310"/>
      <c r="DZ222" s="310"/>
      <c r="EA222" s="310"/>
      <c r="EB222" s="310"/>
      <c r="ED222" s="310"/>
      <c r="EE222" s="310"/>
      <c r="EF222" s="310"/>
      <c r="EH222" s="310"/>
    </row>
    <row r="223" spans="3:138" s="288" customFormat="1" hidden="1">
      <c r="C223" s="309"/>
      <c r="D223" s="309"/>
      <c r="E223" s="309"/>
      <c r="F223" s="309"/>
      <c r="G223" s="309"/>
      <c r="H223" s="309"/>
      <c r="I223" s="309"/>
      <c r="J223" s="309"/>
      <c r="K223" s="309"/>
      <c r="L223" s="315"/>
      <c r="Q223" s="309"/>
      <c r="R223" s="311"/>
      <c r="S223" s="311"/>
      <c r="T223" s="311"/>
      <c r="AB223" s="312"/>
      <c r="AF223" s="313"/>
      <c r="AG223" s="313"/>
      <c r="AH223" s="313"/>
      <c r="AI223" s="313"/>
      <c r="AJ223" s="313"/>
      <c r="AS223" s="314"/>
      <c r="AT223" s="315"/>
      <c r="AU223" s="314"/>
      <c r="AV223" s="312"/>
      <c r="AX223" s="206"/>
      <c r="AY223" s="206"/>
      <c r="BE223" s="316"/>
      <c r="BF223" s="316"/>
      <c r="BG223" s="316"/>
      <c r="BH223" s="310"/>
      <c r="BK223" s="309"/>
      <c r="BL223" s="309"/>
      <c r="BM223" s="309"/>
      <c r="BN223" s="309"/>
      <c r="BP223" s="313"/>
      <c r="CC223" s="316"/>
      <c r="CG223" s="313"/>
      <c r="CH223" s="313"/>
      <c r="CI223" s="313"/>
      <c r="CK223" s="313"/>
      <c r="CL223" s="313"/>
      <c r="CM223" s="313"/>
      <c r="CN223" s="313"/>
      <c r="CO223" s="313"/>
      <c r="CP223" s="313"/>
      <c r="CQ223" s="313"/>
      <c r="CR223" s="313"/>
      <c r="CS223" s="313"/>
      <c r="CT223" s="313"/>
      <c r="CU223" s="309"/>
      <c r="DH223" s="309"/>
      <c r="DK223" s="310"/>
      <c r="DN223" s="206"/>
      <c r="DO223" s="206"/>
      <c r="DS223" s="288" t="str">
        <f t="shared" si="5"/>
        <v/>
      </c>
      <c r="DT223" s="288" t="str">
        <f t="shared" si="6"/>
        <v/>
      </c>
      <c r="DU223" s="310"/>
      <c r="DV223" s="310"/>
      <c r="DW223" s="310"/>
      <c r="DX223" s="310"/>
      <c r="DY223" s="310"/>
      <c r="DZ223" s="310"/>
      <c r="EA223" s="310"/>
      <c r="EB223" s="310"/>
      <c r="ED223" s="310"/>
      <c r="EE223" s="310"/>
      <c r="EF223" s="310"/>
      <c r="EH223" s="310"/>
    </row>
    <row r="224" spans="3:138" s="288" customFormat="1" hidden="1">
      <c r="C224" s="309"/>
      <c r="D224" s="309"/>
      <c r="E224" s="309"/>
      <c r="F224" s="309"/>
      <c r="G224" s="309"/>
      <c r="H224" s="309"/>
      <c r="I224" s="309"/>
      <c r="J224" s="309"/>
      <c r="K224" s="309"/>
      <c r="L224" s="315"/>
      <c r="Q224" s="309"/>
      <c r="R224" s="311"/>
      <c r="S224" s="311"/>
      <c r="T224" s="311"/>
      <c r="AB224" s="312"/>
      <c r="AF224" s="313"/>
      <c r="AG224" s="313"/>
      <c r="AH224" s="313"/>
      <c r="AI224" s="313"/>
      <c r="AJ224" s="313"/>
      <c r="AS224" s="314"/>
      <c r="AT224" s="315"/>
      <c r="AU224" s="314"/>
      <c r="AV224" s="312"/>
      <c r="AX224" s="206"/>
      <c r="AY224" s="206"/>
      <c r="BE224" s="316"/>
      <c r="BF224" s="316"/>
      <c r="BG224" s="316"/>
      <c r="BH224" s="310"/>
      <c r="BK224" s="309"/>
      <c r="BL224" s="309"/>
      <c r="BM224" s="309"/>
      <c r="BN224" s="309"/>
      <c r="BP224" s="313"/>
      <c r="CC224" s="316"/>
      <c r="CG224" s="313"/>
      <c r="CH224" s="313"/>
      <c r="CI224" s="313"/>
      <c r="CK224" s="313"/>
      <c r="CL224" s="313"/>
      <c r="CM224" s="313"/>
      <c r="CN224" s="313"/>
      <c r="CO224" s="313"/>
      <c r="CP224" s="313"/>
      <c r="CQ224" s="313"/>
      <c r="CR224" s="313"/>
      <c r="CS224" s="313"/>
      <c r="CT224" s="313"/>
      <c r="CU224" s="309"/>
      <c r="DH224" s="309"/>
      <c r="DK224" s="310"/>
      <c r="DN224" s="206"/>
      <c r="DO224" s="206"/>
      <c r="DS224" s="288" t="str">
        <f t="shared" si="5"/>
        <v/>
      </c>
      <c r="DT224" s="288" t="str">
        <f t="shared" si="6"/>
        <v/>
      </c>
      <c r="DU224" s="310"/>
      <c r="DV224" s="310"/>
      <c r="DW224" s="310"/>
      <c r="DX224" s="310"/>
      <c r="DY224" s="310"/>
      <c r="DZ224" s="310"/>
      <c r="EA224" s="310"/>
      <c r="EB224" s="310"/>
      <c r="ED224" s="310"/>
      <c r="EE224" s="310"/>
      <c r="EF224" s="310"/>
      <c r="EH224" s="310"/>
    </row>
    <row r="225" spans="1:138" s="288" customFormat="1" hidden="1">
      <c r="C225" s="309"/>
      <c r="D225" s="309"/>
      <c r="E225" s="309"/>
      <c r="F225" s="309"/>
      <c r="G225" s="309"/>
      <c r="H225" s="309"/>
      <c r="I225" s="309"/>
      <c r="J225" s="309"/>
      <c r="K225" s="309"/>
      <c r="L225" s="315"/>
      <c r="Q225" s="309"/>
      <c r="R225" s="311"/>
      <c r="S225" s="311"/>
      <c r="T225" s="311"/>
      <c r="AB225" s="312"/>
      <c r="AF225" s="313"/>
      <c r="AG225" s="313"/>
      <c r="AH225" s="313"/>
      <c r="AI225" s="313"/>
      <c r="AJ225" s="313"/>
      <c r="AS225" s="314"/>
      <c r="AT225" s="315"/>
      <c r="AU225" s="314"/>
      <c r="AV225" s="312"/>
      <c r="AX225" s="206"/>
      <c r="AY225" s="206"/>
      <c r="BE225" s="316"/>
      <c r="BF225" s="316"/>
      <c r="BG225" s="316"/>
      <c r="BH225" s="310"/>
      <c r="BK225" s="309"/>
      <c r="BL225" s="309"/>
      <c r="BM225" s="309"/>
      <c r="BN225" s="309"/>
      <c r="BP225" s="313"/>
      <c r="CC225" s="316"/>
      <c r="CG225" s="313"/>
      <c r="CH225" s="313"/>
      <c r="CI225" s="313"/>
      <c r="CK225" s="313"/>
      <c r="CL225" s="313"/>
      <c r="CM225" s="313"/>
      <c r="CN225" s="313"/>
      <c r="CO225" s="313"/>
      <c r="CP225" s="313"/>
      <c r="CQ225" s="313"/>
      <c r="CR225" s="313"/>
      <c r="CS225" s="313"/>
      <c r="CT225" s="313"/>
      <c r="CU225" s="309"/>
      <c r="DH225" s="309"/>
      <c r="DK225" s="310"/>
      <c r="DN225" s="206"/>
      <c r="DO225" s="206"/>
      <c r="DS225" s="288" t="str">
        <f t="shared" si="5"/>
        <v/>
      </c>
      <c r="DT225" s="288" t="str">
        <f t="shared" si="6"/>
        <v/>
      </c>
      <c r="DU225" s="310"/>
      <c r="DV225" s="310"/>
      <c r="DW225" s="310"/>
      <c r="DX225" s="310"/>
      <c r="DY225" s="310"/>
      <c r="DZ225" s="310"/>
      <c r="EA225" s="310"/>
      <c r="EB225" s="310"/>
      <c r="ED225" s="310"/>
      <c r="EE225" s="310"/>
      <c r="EF225" s="310"/>
      <c r="EH225" s="310"/>
    </row>
    <row r="226" spans="1:138" s="288" customFormat="1" hidden="1">
      <c r="C226" s="309"/>
      <c r="D226" s="309"/>
      <c r="E226" s="309"/>
      <c r="F226" s="309"/>
      <c r="G226" s="309"/>
      <c r="H226" s="309"/>
      <c r="I226" s="309"/>
      <c r="J226" s="309"/>
      <c r="K226" s="309"/>
      <c r="L226" s="315"/>
      <c r="Q226" s="309"/>
      <c r="R226" s="311"/>
      <c r="S226" s="311"/>
      <c r="T226" s="311"/>
      <c r="AB226" s="312"/>
      <c r="AF226" s="313"/>
      <c r="AG226" s="313"/>
      <c r="AH226" s="313"/>
      <c r="AI226" s="313"/>
      <c r="AJ226" s="313"/>
      <c r="AS226" s="314"/>
      <c r="AT226" s="315"/>
      <c r="AU226" s="314"/>
      <c r="AV226" s="312"/>
      <c r="AX226" s="206"/>
      <c r="AY226" s="206"/>
      <c r="BE226" s="316"/>
      <c r="BF226" s="316"/>
      <c r="BG226" s="316"/>
      <c r="BH226" s="310"/>
      <c r="BK226" s="309"/>
      <c r="BL226" s="309"/>
      <c r="BM226" s="309"/>
      <c r="BN226" s="309"/>
      <c r="BP226" s="313"/>
      <c r="CC226" s="316"/>
      <c r="CG226" s="313"/>
      <c r="CH226" s="313"/>
      <c r="CI226" s="313"/>
      <c r="CK226" s="313"/>
      <c r="CL226" s="313"/>
      <c r="CM226" s="313"/>
      <c r="CN226" s="313"/>
      <c r="CO226" s="313"/>
      <c r="CP226" s="313"/>
      <c r="CQ226" s="313"/>
      <c r="CR226" s="313"/>
      <c r="CS226" s="313"/>
      <c r="CT226" s="313"/>
      <c r="CU226" s="309"/>
      <c r="DH226" s="309"/>
      <c r="DK226" s="310"/>
      <c r="DN226" s="206"/>
      <c r="DO226" s="206"/>
      <c r="DS226" s="288" t="str">
        <f t="shared" si="5"/>
        <v/>
      </c>
      <c r="DT226" s="288" t="str">
        <f t="shared" si="6"/>
        <v/>
      </c>
      <c r="DU226" s="310"/>
      <c r="DV226" s="310"/>
      <c r="DW226" s="310"/>
      <c r="DX226" s="310"/>
      <c r="DY226" s="310"/>
      <c r="DZ226" s="310"/>
      <c r="EA226" s="310"/>
      <c r="EB226" s="310"/>
      <c r="ED226" s="310"/>
      <c r="EE226" s="310"/>
      <c r="EF226" s="310"/>
      <c r="EH226" s="310"/>
    </row>
    <row r="227" spans="1:138" s="288" customFormat="1" hidden="1">
      <c r="C227" s="309"/>
      <c r="D227" s="309"/>
      <c r="E227" s="309"/>
      <c r="F227" s="309"/>
      <c r="G227" s="309"/>
      <c r="H227" s="309"/>
      <c r="I227" s="309"/>
      <c r="J227" s="309"/>
      <c r="K227" s="309"/>
      <c r="L227" s="315"/>
      <c r="Q227" s="309"/>
      <c r="R227" s="311"/>
      <c r="S227" s="311"/>
      <c r="T227" s="311"/>
      <c r="AB227" s="312"/>
      <c r="AF227" s="313"/>
      <c r="AG227" s="313"/>
      <c r="AH227" s="313"/>
      <c r="AI227" s="313"/>
      <c r="AJ227" s="313"/>
      <c r="AS227" s="314"/>
      <c r="AT227" s="315"/>
      <c r="AU227" s="314"/>
      <c r="AV227" s="312"/>
      <c r="AX227" s="206"/>
      <c r="AY227" s="206"/>
      <c r="BE227" s="316"/>
      <c r="BF227" s="316"/>
      <c r="BG227" s="316"/>
      <c r="BH227" s="310"/>
      <c r="BK227" s="309"/>
      <c r="BL227" s="309"/>
      <c r="BM227" s="309"/>
      <c r="BN227" s="309"/>
      <c r="BP227" s="313"/>
      <c r="CC227" s="316"/>
      <c r="CG227" s="313"/>
      <c r="CH227" s="313"/>
      <c r="CI227" s="313"/>
      <c r="CK227" s="313"/>
      <c r="CL227" s="313"/>
      <c r="CM227" s="313"/>
      <c r="CN227" s="313"/>
      <c r="CO227" s="313"/>
      <c r="CP227" s="313"/>
      <c r="CQ227" s="313"/>
      <c r="CR227" s="313"/>
      <c r="CS227" s="313"/>
      <c r="CT227" s="313"/>
      <c r="CU227" s="309"/>
      <c r="DH227" s="309"/>
      <c r="DK227" s="310"/>
      <c r="DN227" s="206"/>
      <c r="DO227" s="206"/>
      <c r="DS227" s="288" t="str">
        <f t="shared" si="5"/>
        <v/>
      </c>
      <c r="DT227" s="288" t="str">
        <f t="shared" si="6"/>
        <v/>
      </c>
      <c r="DU227" s="310"/>
      <c r="DV227" s="310"/>
      <c r="DW227" s="310"/>
      <c r="DX227" s="310"/>
      <c r="DY227" s="310"/>
      <c r="DZ227" s="310"/>
      <c r="EA227" s="310"/>
      <c r="EB227" s="310"/>
      <c r="ED227" s="310"/>
      <c r="EE227" s="310"/>
      <c r="EF227" s="310"/>
      <c r="EH227" s="310"/>
    </row>
    <row r="228" spans="1:138" s="288" customFormat="1">
      <c r="A228" s="288" t="s">
        <v>330</v>
      </c>
      <c r="B228" s="288" t="str">
        <f>A228</f>
        <v>S</v>
      </c>
      <c r="C228" s="309" t="str">
        <f>IF(A228="S",'Cálculo_Diseño  (2)'!C229," ")</f>
        <v>C207</v>
      </c>
      <c r="D228" s="309" t="str">
        <f>IF(A228="S",'Cálculo_Diseño  (2)'!D229," ")</f>
        <v>C217</v>
      </c>
      <c r="E228" s="309">
        <f>IF(B228="S",'Cálculo_Diseño  (2)'!AX229," ")</f>
        <v>103.81</v>
      </c>
      <c r="F228" s="309">
        <f>IF(B228="S",'Cálculo_Diseño  (2)'!BL229," ")</f>
        <v>2.8109045371351566</v>
      </c>
      <c r="G228" s="309">
        <f>IF(B228="S",'Cálculo_Diseño  (2)'!AZ229," ")</f>
        <v>284</v>
      </c>
      <c r="H228" s="309">
        <f>IF(B228="S",'Cálculo_Diseño  (2)'!BB229," ")</f>
        <v>995.721</v>
      </c>
      <c r="I228" s="309">
        <f>IF(B228="S",'Cálculo_Diseño  (2)'!BC229," ")</f>
        <v>993.63300000000004</v>
      </c>
      <c r="J228" s="309">
        <f>IF(B228="S",'Cálculo_Diseño  (2)'!BH229," ")</f>
        <v>994.42100000000005</v>
      </c>
      <c r="K228" s="309">
        <f>IF(B228="S",'Cálculo_Diseño  (2)'!BI229," ")</f>
        <v>991.50300000000004</v>
      </c>
      <c r="L228" s="315">
        <f>IF(B228="S",+$L$11,"")</f>
        <v>1</v>
      </c>
      <c r="M228" s="288">
        <f>IF(B228="S",(E228^2+(J228-K228)^2)^0.5," ")</f>
        <v>103.85100299948962</v>
      </c>
      <c r="N228" s="288">
        <f>IF(AJ228="S",BK228+0.1,BK228)</f>
        <v>0.79999999999999993</v>
      </c>
      <c r="O228" s="288">
        <f>IF(B228="S",(IF(G228&lt;=500,1.2,1.5)),"")</f>
        <v>1.2</v>
      </c>
      <c r="P228" s="288">
        <f>IF(B228="S",(IF(G228&lt;=500,1.2,1.5)),"")</f>
        <v>1.2</v>
      </c>
      <c r="Q228" s="309" t="s">
        <v>331</v>
      </c>
      <c r="R228" s="311" t="str">
        <f>+IF(B228="S",(IF(Q228="FLEXIBLE","S","N")),"")</f>
        <v>N</v>
      </c>
      <c r="S228" s="311" t="str">
        <f>+IF(B228="S",(IF(Q228="ADOQUIN","S","N")),"")</f>
        <v>N</v>
      </c>
      <c r="T228" s="311" t="str">
        <f>+IF(B228="S",(IF(Q228="CONCRETO","S","N")),"")</f>
        <v>S</v>
      </c>
      <c r="U228" s="288">
        <f>IF(B228="S",(IF(R228="S",(((((H228-I228)^2)+(E228^2))^0.5)-CA228-CB228)*$U$11,0)),"")</f>
        <v>0</v>
      </c>
      <c r="V228" s="288">
        <f>IF(B228="S",(IF(S228="S",(((((H228-I228)^2)+(E228^2))^0.5)-CA228-CB228)*$V$11,0)),"")</f>
        <v>0</v>
      </c>
      <c r="W228" s="288">
        <f>IF(B228="S",(IF(T228="S",(((((H228-I228)^2)+(E228^2))^0.5)-CA228-CB228)*$W$11,0)),"")</f>
        <v>102.6309965472739</v>
      </c>
      <c r="X228" s="288">
        <f>IF(B228="S",(U228*(N228+0.2)*$X$11),"")</f>
        <v>0</v>
      </c>
      <c r="Y228" s="288">
        <f>IF(B228="S",(V228*(N228+0.2)*$Y$11),"")</f>
        <v>0</v>
      </c>
      <c r="Z228" s="288">
        <f>IF(B228="S",(W228*(N228+0.2)*$Z$11+IF(Q228="CONCRETO",PI()/4*0.2*(O228+0.2*2+0.1*2)^2)),"")</f>
        <v>31.298236974063713</v>
      </c>
      <c r="AA228" s="288">
        <f>IF(B228="S",(((H228-J228)+(I228-K228))/2+BM228),"")</f>
        <v>1.8149999999999751</v>
      </c>
      <c r="AB228" s="312">
        <f>IF(B228="S",($AB$11),"")</f>
        <v>10</v>
      </c>
      <c r="AC228" s="288">
        <f>IF(B228="S",(IF(CG228="","",(CG228*(AB228/100))*$I$527)),"")</f>
        <v>15.412635036871521</v>
      </c>
      <c r="AD228" s="288">
        <f>IF(B228="S",(IF(CH228="","",(CH228*AB228/100)*$I$527)),"")</f>
        <v>0.13571249071950917</v>
      </c>
      <c r="AE228" s="288" t="str">
        <f>IF(B228="S",(IF(CI228="","",(CI228*AB228/100)*$I$527)),"")</f>
        <v/>
      </c>
      <c r="AF228" s="313">
        <f>IF(B228="S",(IF(CG228="","",(CG228*$I$527)-AC228)),"")</f>
        <v>138.71371533184367</v>
      </c>
      <c r="AG228" s="313">
        <f>IF(B228="S",(IF(CH228="","",(CH228*$I$527)-AD228)),"")</f>
        <v>1.2214124164755826</v>
      </c>
      <c r="AH228" s="313" t="str">
        <f>IF(B228="S",(IF(CI228="","",(CI228*$I$527)-AE228)),"")</f>
        <v/>
      </c>
      <c r="AI228" s="313">
        <f>IF(B228="S",((BY228*(L228/100))*1.1),"")</f>
        <v>1.5705401543021242</v>
      </c>
      <c r="AJ228" s="313" t="str">
        <f>IF(B228="S",(IF(AA228&lt;1,"N","S")),"")</f>
        <v>S</v>
      </c>
      <c r="AK228" s="288">
        <f>IF(B228="S",(IF(AJ228="S",(E228*AA228*0.7*2),0)),"")</f>
        <v>263.78120999999641</v>
      </c>
      <c r="AL228" s="288">
        <f>IF(B228="S",(IF(AJ228="S",(E228*AA228*0.3*2),0)),"")</f>
        <v>113.04908999999846</v>
      </c>
      <c r="AM228" s="288">
        <f>IF(B228="S",(IF(F228&gt;20,N228*(M228/10)*AA228,0)),"")</f>
        <v>0</v>
      </c>
      <c r="AN228" s="288">
        <f>IF(B228="S",((M228-0.4)*$AN$11),"")</f>
        <v>0</v>
      </c>
      <c r="AO228" s="288">
        <f>IF(B228="S",((M228-0.4)*$AO$11),"")</f>
        <v>0</v>
      </c>
      <c r="AP228" s="288">
        <f>IF(B228="S",((M228-(O228/2)-(P228/2))*$AP$11),"")</f>
        <v>102.65100299948963</v>
      </c>
      <c r="AQ228" s="288">
        <f>+SUM(AC228:AI228)</f>
        <v>157.05401543021242</v>
      </c>
      <c r="AR228" s="288">
        <f>+AT228+AU228+AZ228+BA228+BB228+BI228</f>
        <v>157.05401543021242</v>
      </c>
      <c r="AS228" s="314">
        <f>IF(B228="S",((N228*(0.4+G228/1000))-((G228/1000)^2*PI()/4)),"")</f>
        <v>0.4838529257330153</v>
      </c>
      <c r="AT228" s="315">
        <f>IF(B228="S",(AS228*AP228)-IF(BI228&gt;0,BI228,0),"")</f>
        <v>49.667988130731587</v>
      </c>
      <c r="AU228" s="314">
        <f>IF(B228="S",IF(Q228="NATURAL",0,(($AU$11*N228*AP228))),"")</f>
        <v>32.848320959836684</v>
      </c>
      <c r="AV228" s="312">
        <f>IF(B228="S",$AV$11,"")</f>
        <v>30</v>
      </c>
      <c r="AW228" s="288">
        <f>IF(B228="S",(BY228*1.1-(AT228+BI228)-AU228-BB228-AX228-AY228),"")</f>
        <v>67.96164655998848</v>
      </c>
      <c r="AX228" s="206"/>
      <c r="AY228" s="206"/>
      <c r="AZ228" s="288">
        <f>IF(B228="S",((BY228*1.1-BB228-(AT228+BI228)-AU228-AX228-AY228)*AV228/100),"")</f>
        <v>20.388493967996538</v>
      </c>
      <c r="BA228" s="288">
        <f>IF(B228="S",(IF(AW228&gt;AZ228,AW228-AZ228,0)),"")</f>
        <v>47.573152591991942</v>
      </c>
      <c r="BB228" s="288">
        <f>IF(B228="S",((((G228/1000)^2)/4*PI())*E228),"")</f>
        <v>6.5760597796556688</v>
      </c>
      <c r="BC228" s="288">
        <f>IF(B228="S",(BY228*1.1-AZ228),"")</f>
        <v>136.66552146221588</v>
      </c>
      <c r="BD228" s="288">
        <f>IF(B228="S",(IF(O228=1.2,IF((H228-J228)&lt;=1.2,H228-J228,H228-J228-0.95))),"")</f>
        <v>0.34999999999995457</v>
      </c>
      <c r="BE228" s="316" t="b">
        <f>IF(B228="S",(IF(O228=1.5,IF(H228-J228&lt;=1,0,H228-J228-1))),"")</f>
        <v>0</v>
      </c>
      <c r="BF228" s="316" t="b">
        <f>IF(B228="S",(IF(O228&lt;=0.8,IF(H228-J228&lt;=1,0,H228-J228))),"")</f>
        <v>0</v>
      </c>
      <c r="BG228" s="316" t="b">
        <f>IF(B228="S",(IF(O228&lt;=0.6,IF(H228-J228&lt;=1,H228-J228,0))),"")</f>
        <v>0</v>
      </c>
      <c r="BH228" s="310">
        <f>IF(B228="S",(IF(BD228="","",IF(BD228="FALSO","",1))),"")</f>
        <v>1</v>
      </c>
      <c r="BI228" s="288">
        <f>IF(B228="S",(IF(F228&gt;=15,N228*((G228/1000)+0.3)*0.2,0)*(E228/5+1)),"")</f>
        <v>0</v>
      </c>
      <c r="BJ228" s="288">
        <f xml:space="preserve"> IF(B228="S",(BN228+BM228+0.3),"")</f>
        <v>0.76</v>
      </c>
      <c r="BK228" s="309">
        <f>IF(B228="S",(VLOOKUP('Cálculo_Diseño  (2)'!AY229,'TABLA (2)'!$H$102:'TABLA (2)'!$U$135,3)),"")</f>
        <v>0.7</v>
      </c>
      <c r="BL228" s="309">
        <f>IF(B228="S",(VLOOKUP('Cálculo_Diseño  (2)'!AY229,'TABLA (2)'!$H$102:'TABLA (2)'!$U$135,10)),"")</f>
        <v>0.55000000000000004</v>
      </c>
      <c r="BM228" s="309">
        <f>IF(B228="S",(VLOOKUP('Cálculo_Diseño  (2)'!AY229,'TABLA (2)'!$H$102:'TABLA (2)'!$U$135,11)),"")</f>
        <v>0.1</v>
      </c>
      <c r="BN228" s="309">
        <f>IF(B228="S",(VLOOKUP('Cálculo_Diseño  (2)'!AY229,'TABLA (2)'!$H$102:'TABLA (2)'!$U$135,12)),"")</f>
        <v>0.36</v>
      </c>
      <c r="BO228" s="288">
        <f>V228</f>
        <v>0</v>
      </c>
      <c r="BP228" s="313">
        <f>+IF(B228="S",(IF((1.8-AA228)&gt;=0,AA228+0.2,2)),"")</f>
        <v>2</v>
      </c>
      <c r="BQ228" s="288">
        <f>+IF(B228="S",(IF(BP228=2,IF((3.8-AA228)&gt;=0,(AA228+0.2-2),2),0)),"")</f>
        <v>1.4999999999975255E-2</v>
      </c>
      <c r="BR228" s="288">
        <f>+IF(B228="S",(IF(BQ228=2,AA228+0.2-4,0)),"")</f>
        <v>0</v>
      </c>
      <c r="BS228" s="288">
        <f>IF(B228="S",((N228*(0.3+BN228/2)-0.392699*BN228*BN228)*AO228),"")</f>
        <v>0</v>
      </c>
      <c r="BU228" s="288">
        <f>IF(B228="S",((N228*(0.3+5*BN228/6)-0.699815*BN228*BN228)*AP228),"")</f>
        <v>39.962443608089238</v>
      </c>
      <c r="BV228" s="288">
        <f>IF(B228="S",(IF(BP228=0,"",(BP228)*(M228)*N228-(U228*$X$11+V228*$Y$11+W228*$Z$11)*N228)),"")</f>
        <v>141.53016562783765</v>
      </c>
      <c r="BW228" s="288">
        <f>IF(B228="S",(IF(BQ228=0,"",(M228)*BQ228*N228)),"")</f>
        <v>1.2462120359918196</v>
      </c>
      <c r="BX228" s="288" t="str">
        <f>IF(B228="S",(IF(BR228=0,"",(M228)*BR228*N228)),"")</f>
        <v/>
      </c>
      <c r="BY228" s="288">
        <f>IF(B228="S",((AA228+0.2)*N228*(M228)-(U228*$X$11+V228*$Y$11+W228*$Z$11)*N228),"")</f>
        <v>142.77637766382946</v>
      </c>
      <c r="BZ228" s="288">
        <f>IF(B228="S",((N228*(0.3+BN228/2)-0.392699*BN228*BN228)*AN228),"")</f>
        <v>0</v>
      </c>
      <c r="CA228" s="288">
        <f>IF(B228="S",(IF(O228=1.2,(O228/2),IF(O228=0.8,O228/2,IF(O228=1.5,O228/2,IF(O228=0.6,O228/2,"IDIOT"))))),"")</f>
        <v>0.6</v>
      </c>
      <c r="CB228" s="288">
        <f>IF(B228="S",(IF(P228=1.2,(P228/2),IF(P228=0.8,P228/2,IF(P228=1.5,P228/2,IF(P228=0.6,P228/2,"IDIOT"))))),"")</f>
        <v>0.6</v>
      </c>
      <c r="CC228" s="316">
        <f>IF(B228="S",((BN228/2+0.1)*N228),"")</f>
        <v>0.224</v>
      </c>
      <c r="CD228" s="288">
        <f>IF(B228="S",((BN228/2+BN228/4)*N228),"")</f>
        <v>0.216</v>
      </c>
      <c r="CE228" s="288">
        <f>IF(B228="S",(0.392699*BN228*BN228),"")</f>
        <v>5.0893790399999993E-2</v>
      </c>
      <c r="CF228" s="288" t="str">
        <f>+IF(B228="S",(IF(((H228-J228)-(G228/1000))&lt;=0.9,"E1",IF(((H228-J228)-(G228/1000))&lt;=2.5,"E2","E3"))),"")</f>
        <v>E2</v>
      </c>
      <c r="CG228" s="313">
        <f>IF(B228="S",(IF(BV228="","",BV228-(BV228*L228/100))),"")</f>
        <v>140.11486397155926</v>
      </c>
      <c r="CH228" s="313">
        <f>IF(B228="S",(IF(BW228="","",BW228-(BW228*L228/100))),"")</f>
        <v>1.2337499156319014</v>
      </c>
      <c r="CI228" s="313" t="str">
        <f>IF(C228="S",(IF(BX228="","",BX228-(BX228*M228/100))),"")</f>
        <v/>
      </c>
      <c r="CJ228" s="288">
        <f>'Cálculo_Diseño  (2)'!BD229</f>
        <v>1.0005000000000002</v>
      </c>
      <c r="CK228" s="313">
        <f>+IF(B228="S",(IF((CJ228+CU228)&gt;2,2,CJ228+CU228)),"")</f>
        <v>2</v>
      </c>
      <c r="CL228" s="313">
        <f>+IF(B228="S",(IF((CJ228+CU228)&gt;4,2,IF(AND((CJ228+CU228)&lt;=4,(CJ228+CU228)&gt;=2),((CJ228+CU228)-CK228),0))),"")</f>
        <v>1.000000000000334E-3</v>
      </c>
      <c r="CM228" s="313">
        <f>+IF(B228="S",(IF((CJ228+CU228)&gt;4,((CJ228+CU228)-(CK228+CL228)),0)),"")</f>
        <v>0</v>
      </c>
      <c r="CN228" s="313">
        <f>IF(B228="S",IF((CJ228+CU228)&lt;1.5,(ROUND(CJ228*PI()/4*(2.2)^2+CU228*(PI()/4*(2.2)^2 -PI()/4*(1.6)^2),2)),IF((CJ228+CU228)&lt;=2,(ROUND(((PI()*2.2^2)/4)*0.95-(((1/3)*PI()*0.95*(0.45^2+0.7^2+0.45*0.7)))+(CJ228*PI()/4*(2.2)^2)+(((((CU228)-0.95)*PI()*2.2^2)/4))-((((CU228)-0.95)*PI()*1.6^2)/4),2)),IF((CJ228+CU228)&gt;2,(ROUND(IF(CU228&lt;2,((PI()*2.2^2)/4)*0.95-(((1/3)*PI()*0.95*(0.45^2+0.7^2+0.45*0.7)))+((CU228-0.95)*(PI()/4*(2.2)^2 -PI()/4*(1.6)^2))+(2-CU228)*PI()/4*(2.2)^2,((PI()*2.2^2)/4)*0.95-(((1/3)*PI()*0.95*(0.45^2+0.7^2+0.45*0.7)))+((2-0.95)*(PI()/4*(2.2)^2 -PI()/4*(1.6)^2))),2))))),"")</f>
        <v>6.5</v>
      </c>
      <c r="CO228" s="313">
        <f>IF(B228="S",ROUND(IF(CL228&lt;=0,0,IF(AND(CL228&gt;0,CU228&lt;=0),CL228*PI()/4*2.2^(2),IF(AND(CL228&gt;0,CU228&gt;=4),CL228*(PI()/4*2.2^2-PI()/4*1.6^2),IF(AND(CL228&gt;0,CU228&gt;2,CU228&lt;4,CJ228&gt;0),(CU228-2)*(PI()/4*2.2^(2)-PI()/4*1.6^(2))+IF((CU228+CJ228)&gt;4,(4-CU228)*(PI()/4*2.2^(2)),(CJ228)*PI()/4*(2.2^2)),IF(AND(CL228&gt;0,CU228&lt;=2),(CL228*PI()/4*2.2^2)))))),2),"")</f>
        <v>0</v>
      </c>
      <c r="CP228" s="313">
        <f>IF(B228="S",(ROUND(IF(CM228&lt;=0,0,IF(AND(CM228&gt;0,CU228&lt;=0),CM228*PI()/4*2.2^(2),IF(AND(CM228&gt;0,CU228&gt;4,CJ228&lt;=0),CM228*(PI()/4*2.2^2-PI()/4*1.6^2),IF(AND(CM228&gt;0,CU228&lt;=4),CM228*PI()/4*2.2^2)))),2)),"")</f>
        <v>0</v>
      </c>
      <c r="CQ228" s="313">
        <f>IF(B228="S",IF(CK228&gt;1.5,(2*PI()*(0.9)*(CJ228+CU228)),0),"")</f>
        <v>11.315388419699719</v>
      </c>
      <c r="CR228" s="313">
        <f>IF(B228="S",(ROUND(IF(CN228&gt;0,CN228+CO228+CP228-CS228,0),2)),"")</f>
        <v>4.71</v>
      </c>
      <c r="CS228" s="313">
        <f>IF(B228="S",(IF(CJ228=0,0,IF(AND((H228-J228)&lt;1.5,CU228&gt;0),ROUND(CU228*(PI()/4*(2.2)^2 -PI()/4*(1.6)^2),2),(ROUND(((PI()*2.2^2)/4)*0.95-(((1/3)*PI()*0.95*(0.45^2+0.7^2+0.45*0.7)))+(((((CJ228+CU228)-0.95)*PI()*2.2^2)/4))-((((CJ228+CU228)-0.95)*PI()*1.6^2)/4),2))))),"")</f>
        <v>1.79</v>
      </c>
      <c r="CT228" s="313" t="str">
        <f>IF(B228="S",(IF(CN228&gt;=0,IF(CN228+CO228+CP228=(CR228+CS228),"OK","VERIFICAR"),0)),"")</f>
        <v>OK</v>
      </c>
      <c r="CU228" s="309">
        <f>'Cálculo_Diseño  (2)'!BD229</f>
        <v>1.0005000000000002</v>
      </c>
      <c r="CV228" s="288" t="str">
        <f>IF(G228=182,M228-(O228/2)-(P228/2),"")</f>
        <v/>
      </c>
      <c r="CW228" s="288" t="str">
        <f>IF(G228=227,M228-(O228/2)-(P228/2),"")</f>
        <v/>
      </c>
      <c r="CX228" s="288">
        <f>IF(G228=284,M228-(O228/2)-(P228/2),"")</f>
        <v>102.65100299948963</v>
      </c>
      <c r="CY228" s="288" t="str">
        <f>IF(G228=327,M228-(O228/2)-(P228/2),"")</f>
        <v/>
      </c>
      <c r="CZ228" s="288" t="str">
        <f>IF(G228=362,M228-(O228/2)-(P228/2),"")</f>
        <v/>
      </c>
      <c r="DA228" s="288" t="str">
        <f>IF(G228=407,M228-(O228/2)-(P228/2),"")</f>
        <v/>
      </c>
      <c r="DB228" s="288" t="str">
        <f>IF(G228=452,M228-(O228/2)-(P228/2),"")</f>
        <v/>
      </c>
      <c r="DC228" s="288" t="str">
        <f>IF(G228=595.12,M228-(O228/2)-(P228/2),"")</f>
        <v/>
      </c>
      <c r="DD228" s="288" t="str">
        <f>IF(G228=670,M228-(O228/2)-(P228/2),"")</f>
        <v/>
      </c>
      <c r="DE228" s="288" t="str">
        <f>IF(G228=747,M228-(O228/2)-(P228/2),"")</f>
        <v/>
      </c>
      <c r="DF228" s="288" t="str">
        <f>IF(G228=823.09,M228-(O228/2)-(P228/2),"")</f>
        <v/>
      </c>
      <c r="DG228" s="288" t="str">
        <f>IF(G228=899.03,M228-(O228/2)-(P228/2),"")</f>
        <v/>
      </c>
      <c r="DH228" s="309"/>
      <c r="DI228" s="288" t="str">
        <f>+IF(B228="S",B228,"N")</f>
        <v>S</v>
      </c>
      <c r="DJ228" s="288">
        <f>+IF(DI228="S",E228,"")</f>
        <v>103.81</v>
      </c>
      <c r="DK228" s="310">
        <v>26</v>
      </c>
      <c r="DL228" s="288">
        <f>IF(DI228="S",((((AA228+1)*6)/2)*0.7*DK228),"")</f>
        <v>153.69899999999865</v>
      </c>
      <c r="DM228" s="288">
        <f>IF(DI228="S",(ATAN(6/(AA228-1))*180/PI()),"")</f>
        <v>82.264665542462268</v>
      </c>
      <c r="DN228" s="206">
        <f>IF(DI228="S",(TAN(DM228*PI()/180)*(AA228-2)),"")</f>
        <v>-1.3619631901842764</v>
      </c>
      <c r="DO228" s="206">
        <f>IF(DI228="S",(TAN(DM228*PI()/180)*(AA228-4)),"")</f>
        <v>-16.085889570552848</v>
      </c>
      <c r="DP228" s="288">
        <f>IF(DI228="S",(IF(AA228&lt;=2,((((AA228+1)*6)/2)*0.7*DK228),IF(AND(AA228&gt;2,AA228&lt;=4),((((AA228+1)*6)/2)*0.7*DK228)-(((AA228-2)*DN228)/2*0.7*DK228),IF(AND(AA228&gt;4,AA228&lt;=6),((((AA228+1)*6)/2)*0.7*DK228)-(((AA228-2)*DN228)/2*0.7*DK228),0)))),"")</f>
        <v>153.69899999999865</v>
      </c>
      <c r="DQ228" s="288">
        <f>IF(DI228="S",(IF(AND(AA228&gt;2,AA228&lt;=4),(((AA228-2)*DN228)/2*0.7*DK228),IF(AND(AA228&gt;4,AA228&lt;=6),(((AA228-2)*DN228)/2*0.7*DK228)-((AA228-4)*DO228/2*0.7*DK228),0))),"")</f>
        <v>0</v>
      </c>
      <c r="DR228" s="288">
        <f>IF(DI228="S",(IF(AND(AA228&gt;4,AA228&lt;=6),((AA228-4)*DO228/2*0.7*DK228),IF(AA228&lt;4,0,"REVISAR"))),"")</f>
        <v>0</v>
      </c>
      <c r="DS228" s="288">
        <f t="shared" si="5"/>
        <v>198.19799999999728</v>
      </c>
      <c r="DT228" s="288">
        <f t="shared" si="6"/>
        <v>84.941999999998842</v>
      </c>
      <c r="DU228" s="310" t="str">
        <f>IF(B228="S",(IF(DI228="S",IF(G228=$DU$11,DK228,""),"")),"")</f>
        <v/>
      </c>
      <c r="DV228" s="310" t="str">
        <f>IF(B228="S",(IF(DI228="S",IF(G228=$DV$11,DK228,""),"")),"")</f>
        <v/>
      </c>
      <c r="DW228" s="310">
        <f>IF(B228="S",(IF(DI228="S",IF(G228=$DW$11,DK228,""),"")),"")</f>
        <v>26</v>
      </c>
      <c r="DX228" s="310" t="str">
        <f>IF(B228="S",(IF(DI228="S",IF(G228=$DX$11,DK228,""),"")),"")</f>
        <v/>
      </c>
      <c r="DY228" s="310" t="str">
        <f>IF(B228="S",(IF(DI228="S",IF(G228=$DY$11,DK228,""),"")),"")</f>
        <v/>
      </c>
      <c r="DZ228" s="310" t="str">
        <f>IF(B228="S",(IF(DI228="S",IF(G228=$DZ$11,DK228,""),"")),"")</f>
        <v/>
      </c>
      <c r="EA228" s="310" t="str">
        <f>IF(B228="S",(IF(DI228="S",IF(G228=$EA$11,DK228,""),"")),"")</f>
        <v/>
      </c>
      <c r="EB228" s="310" t="str">
        <f>IF(B228="S",(IF(DI228="S",IF(G228=$EB$11,DK228,""),"")),"")</f>
        <v/>
      </c>
      <c r="EC228" s="288">
        <f>IF(B228="S",0.95,"")</f>
        <v>0.95</v>
      </c>
      <c r="ED228" s="310"/>
      <c r="EE228" s="310"/>
      <c r="EF228" s="310"/>
      <c r="EH228" s="310">
        <f>+IF(EC228=0.95,2+((ED228+EE228+EF228)-1),"")</f>
        <v>1</v>
      </c>
    </row>
    <row r="229" spans="1:138" s="288" customFormat="1" hidden="1">
      <c r="C229" s="309"/>
      <c r="D229" s="309"/>
      <c r="E229" s="309"/>
      <c r="F229" s="309"/>
      <c r="G229" s="309"/>
      <c r="H229" s="309"/>
      <c r="I229" s="309"/>
      <c r="J229" s="309"/>
      <c r="K229" s="309"/>
      <c r="L229" s="315"/>
      <c r="Q229" s="309"/>
      <c r="R229" s="311"/>
      <c r="S229" s="311"/>
      <c r="T229" s="311"/>
      <c r="AB229" s="312"/>
      <c r="AF229" s="313"/>
      <c r="AG229" s="313"/>
      <c r="AH229" s="313"/>
      <c r="AI229" s="313"/>
      <c r="AJ229" s="313"/>
      <c r="AS229" s="314"/>
      <c r="AT229" s="315"/>
      <c r="AU229" s="314"/>
      <c r="AV229" s="312"/>
      <c r="AX229" s="206"/>
      <c r="AY229" s="206"/>
      <c r="BE229" s="316"/>
      <c r="BF229" s="316"/>
      <c r="BG229" s="316"/>
      <c r="BH229" s="310"/>
      <c r="BK229" s="309"/>
      <c r="BL229" s="309"/>
      <c r="BM229" s="309"/>
      <c r="BN229" s="309"/>
      <c r="BP229" s="313"/>
      <c r="CC229" s="316"/>
      <c r="CG229" s="313"/>
      <c r="CH229" s="313"/>
      <c r="CI229" s="313"/>
      <c r="CK229" s="313"/>
      <c r="CL229" s="313"/>
      <c r="CM229" s="313"/>
      <c r="CN229" s="313"/>
      <c r="CO229" s="313"/>
      <c r="CP229" s="313"/>
      <c r="CQ229" s="313"/>
      <c r="CR229" s="313"/>
      <c r="CS229" s="313"/>
      <c r="CT229" s="313"/>
      <c r="CU229" s="309"/>
      <c r="DH229" s="309"/>
      <c r="DK229" s="310"/>
      <c r="DN229" s="206"/>
      <c r="DO229" s="206"/>
      <c r="DS229" s="288" t="str">
        <f t="shared" si="5"/>
        <v/>
      </c>
      <c r="DT229" s="288" t="str">
        <f t="shared" si="6"/>
        <v/>
      </c>
      <c r="DU229" s="310"/>
      <c r="DV229" s="310"/>
      <c r="DW229" s="310"/>
      <c r="DX229" s="310"/>
      <c r="DY229" s="310"/>
      <c r="DZ229" s="310"/>
      <c r="EA229" s="310"/>
      <c r="EB229" s="310"/>
      <c r="ED229" s="310"/>
      <c r="EE229" s="310"/>
      <c r="EF229" s="310"/>
      <c r="EH229" s="310"/>
    </row>
    <row r="230" spans="1:138" s="288" customFormat="1" hidden="1">
      <c r="C230" s="309"/>
      <c r="D230" s="309"/>
      <c r="E230" s="309"/>
      <c r="F230" s="309"/>
      <c r="G230" s="309"/>
      <c r="H230" s="309"/>
      <c r="I230" s="309"/>
      <c r="J230" s="309"/>
      <c r="K230" s="309"/>
      <c r="L230" s="315"/>
      <c r="Q230" s="309"/>
      <c r="R230" s="311"/>
      <c r="S230" s="311"/>
      <c r="T230" s="311"/>
      <c r="AB230" s="312"/>
      <c r="AF230" s="313"/>
      <c r="AG230" s="313"/>
      <c r="AH230" s="313"/>
      <c r="AI230" s="313"/>
      <c r="AJ230" s="313"/>
      <c r="AS230" s="314"/>
      <c r="AT230" s="315"/>
      <c r="AU230" s="314"/>
      <c r="AV230" s="312"/>
      <c r="AX230" s="206"/>
      <c r="AY230" s="206"/>
      <c r="BE230" s="316"/>
      <c r="BF230" s="316"/>
      <c r="BG230" s="316"/>
      <c r="BH230" s="310"/>
      <c r="BK230" s="309"/>
      <c r="BL230" s="309"/>
      <c r="BM230" s="309"/>
      <c r="BN230" s="309"/>
      <c r="BP230" s="313"/>
      <c r="CC230" s="316"/>
      <c r="CG230" s="313"/>
      <c r="CH230" s="313"/>
      <c r="CI230" s="313"/>
      <c r="CK230" s="313"/>
      <c r="CL230" s="313"/>
      <c r="CM230" s="313"/>
      <c r="CN230" s="313"/>
      <c r="CO230" s="313"/>
      <c r="CP230" s="313"/>
      <c r="CQ230" s="313"/>
      <c r="CR230" s="313"/>
      <c r="CS230" s="313"/>
      <c r="CT230" s="313"/>
      <c r="CU230" s="309"/>
      <c r="DH230" s="309"/>
      <c r="DK230" s="310"/>
      <c r="DN230" s="206"/>
      <c r="DO230" s="206"/>
      <c r="DS230" s="288" t="str">
        <f t="shared" ref="DS230:DS261" si="7">IF(DI230="S",(IF(AA230&gt;1.5,(3*AA230*0.7*DK230*2),0)),"")</f>
        <v/>
      </c>
      <c r="DT230" s="288" t="str">
        <f t="shared" ref="DT230:DT261" si="8">IF(DI230="S",(IF(AA230&gt;1.5,(3*AA230*0.3*DK230*2),0)),"")</f>
        <v/>
      </c>
      <c r="DU230" s="310"/>
      <c r="DV230" s="310"/>
      <c r="DW230" s="310"/>
      <c r="DX230" s="310"/>
      <c r="DY230" s="310"/>
      <c r="DZ230" s="310"/>
      <c r="EA230" s="310"/>
      <c r="EB230" s="310"/>
      <c r="ED230" s="310"/>
      <c r="EE230" s="310"/>
      <c r="EF230" s="310"/>
      <c r="EH230" s="310"/>
    </row>
    <row r="231" spans="1:138" s="288" customFormat="1" hidden="1">
      <c r="C231" s="309"/>
      <c r="D231" s="309"/>
      <c r="E231" s="309"/>
      <c r="F231" s="309"/>
      <c r="G231" s="309"/>
      <c r="H231" s="309"/>
      <c r="I231" s="309"/>
      <c r="J231" s="309"/>
      <c r="K231" s="309"/>
      <c r="L231" s="315"/>
      <c r="Q231" s="309"/>
      <c r="R231" s="311"/>
      <c r="S231" s="311"/>
      <c r="T231" s="311"/>
      <c r="AB231" s="312"/>
      <c r="AF231" s="313"/>
      <c r="AG231" s="313"/>
      <c r="AH231" s="313"/>
      <c r="AI231" s="313"/>
      <c r="AJ231" s="313"/>
      <c r="AS231" s="314"/>
      <c r="AT231" s="315"/>
      <c r="AU231" s="314"/>
      <c r="AV231" s="312"/>
      <c r="AX231" s="206"/>
      <c r="AY231" s="206"/>
      <c r="BE231" s="316"/>
      <c r="BF231" s="316"/>
      <c r="BG231" s="316"/>
      <c r="BH231" s="310"/>
      <c r="BK231" s="309"/>
      <c r="BL231" s="309"/>
      <c r="BM231" s="309"/>
      <c r="BN231" s="309"/>
      <c r="BP231" s="313"/>
      <c r="CC231" s="316"/>
      <c r="CG231" s="313"/>
      <c r="CH231" s="313"/>
      <c r="CI231" s="313"/>
      <c r="CK231" s="313"/>
      <c r="CL231" s="313"/>
      <c r="CM231" s="313"/>
      <c r="CN231" s="313"/>
      <c r="CO231" s="313"/>
      <c r="CP231" s="313"/>
      <c r="CQ231" s="313"/>
      <c r="CR231" s="313"/>
      <c r="CS231" s="313"/>
      <c r="CT231" s="313"/>
      <c r="CU231" s="309"/>
      <c r="DH231" s="309"/>
      <c r="DK231" s="310"/>
      <c r="DN231" s="206"/>
      <c r="DO231" s="206"/>
      <c r="DS231" s="288" t="str">
        <f t="shared" si="7"/>
        <v/>
      </c>
      <c r="DT231" s="288" t="str">
        <f t="shared" si="8"/>
        <v/>
      </c>
      <c r="DU231" s="310"/>
      <c r="DV231" s="310"/>
      <c r="DW231" s="310"/>
      <c r="DX231" s="310"/>
      <c r="DY231" s="310"/>
      <c r="DZ231" s="310"/>
      <c r="EA231" s="310"/>
      <c r="EB231" s="310"/>
      <c r="ED231" s="310"/>
      <c r="EE231" s="310"/>
      <c r="EF231" s="310"/>
      <c r="EH231" s="310"/>
    </row>
    <row r="232" spans="1:138" s="288" customFormat="1" hidden="1">
      <c r="C232" s="309"/>
      <c r="D232" s="309"/>
      <c r="E232" s="309"/>
      <c r="F232" s="309"/>
      <c r="G232" s="309"/>
      <c r="H232" s="309"/>
      <c r="I232" s="309"/>
      <c r="J232" s="309"/>
      <c r="K232" s="309"/>
      <c r="L232" s="315"/>
      <c r="Q232" s="309"/>
      <c r="R232" s="311"/>
      <c r="S232" s="311"/>
      <c r="T232" s="311"/>
      <c r="AB232" s="312"/>
      <c r="AF232" s="313"/>
      <c r="AG232" s="313"/>
      <c r="AH232" s="313"/>
      <c r="AI232" s="313"/>
      <c r="AJ232" s="313"/>
      <c r="AS232" s="314"/>
      <c r="AT232" s="315"/>
      <c r="AU232" s="314"/>
      <c r="AV232" s="312"/>
      <c r="AX232" s="206"/>
      <c r="AY232" s="206"/>
      <c r="BE232" s="316"/>
      <c r="BF232" s="316"/>
      <c r="BG232" s="316"/>
      <c r="BH232" s="310"/>
      <c r="BK232" s="309"/>
      <c r="BL232" s="309"/>
      <c r="BM232" s="309"/>
      <c r="BN232" s="309"/>
      <c r="BP232" s="313"/>
      <c r="CC232" s="316"/>
      <c r="CG232" s="313"/>
      <c r="CH232" s="313"/>
      <c r="CI232" s="313"/>
      <c r="CK232" s="313"/>
      <c r="CL232" s="313"/>
      <c r="CM232" s="313"/>
      <c r="CN232" s="313"/>
      <c r="CO232" s="313"/>
      <c r="CP232" s="313"/>
      <c r="CQ232" s="313"/>
      <c r="CR232" s="313"/>
      <c r="CS232" s="313"/>
      <c r="CT232" s="313"/>
      <c r="CU232" s="309"/>
      <c r="DH232" s="309"/>
      <c r="DK232" s="310"/>
      <c r="DN232" s="206"/>
      <c r="DO232" s="206"/>
      <c r="DS232" s="288" t="str">
        <f t="shared" si="7"/>
        <v/>
      </c>
      <c r="DT232" s="288" t="str">
        <f t="shared" si="8"/>
        <v/>
      </c>
      <c r="DU232" s="310"/>
      <c r="DV232" s="310"/>
      <c r="DW232" s="310"/>
      <c r="DX232" s="310"/>
      <c r="DY232" s="310"/>
      <c r="DZ232" s="310"/>
      <c r="EA232" s="310"/>
      <c r="EB232" s="310"/>
      <c r="ED232" s="310"/>
      <c r="EE232" s="310"/>
      <c r="EF232" s="310"/>
      <c r="EH232" s="310"/>
    </row>
    <row r="233" spans="1:138" s="288" customFormat="1" hidden="1">
      <c r="C233" s="309"/>
      <c r="D233" s="309"/>
      <c r="E233" s="309"/>
      <c r="F233" s="309"/>
      <c r="G233" s="309"/>
      <c r="H233" s="309"/>
      <c r="I233" s="309"/>
      <c r="J233" s="309"/>
      <c r="K233" s="309"/>
      <c r="L233" s="315"/>
      <c r="Q233" s="309"/>
      <c r="R233" s="311"/>
      <c r="S233" s="311"/>
      <c r="T233" s="311"/>
      <c r="AB233" s="312"/>
      <c r="AF233" s="313"/>
      <c r="AG233" s="313"/>
      <c r="AH233" s="313"/>
      <c r="AI233" s="313"/>
      <c r="AJ233" s="313"/>
      <c r="AS233" s="314"/>
      <c r="AT233" s="315"/>
      <c r="AU233" s="314"/>
      <c r="AV233" s="312"/>
      <c r="AX233" s="206"/>
      <c r="AY233" s="206"/>
      <c r="BE233" s="316"/>
      <c r="BF233" s="316"/>
      <c r="BG233" s="316"/>
      <c r="BH233" s="310"/>
      <c r="BK233" s="309"/>
      <c r="BL233" s="309"/>
      <c r="BM233" s="309"/>
      <c r="BN233" s="309"/>
      <c r="BP233" s="313"/>
      <c r="CC233" s="316"/>
      <c r="CG233" s="313"/>
      <c r="CH233" s="313"/>
      <c r="CI233" s="313"/>
      <c r="CK233" s="313"/>
      <c r="CL233" s="313"/>
      <c r="CM233" s="313"/>
      <c r="CN233" s="313"/>
      <c r="CO233" s="313"/>
      <c r="CP233" s="313"/>
      <c r="CQ233" s="313"/>
      <c r="CR233" s="313"/>
      <c r="CS233" s="313"/>
      <c r="CT233" s="313"/>
      <c r="CU233" s="309"/>
      <c r="DH233" s="309"/>
      <c r="DK233" s="310"/>
      <c r="DN233" s="206"/>
      <c r="DO233" s="206"/>
      <c r="DS233" s="288" t="str">
        <f t="shared" si="7"/>
        <v/>
      </c>
      <c r="DT233" s="288" t="str">
        <f t="shared" si="8"/>
        <v/>
      </c>
      <c r="DU233" s="310"/>
      <c r="DV233" s="310"/>
      <c r="DW233" s="310"/>
      <c r="DX233" s="310"/>
      <c r="DY233" s="310"/>
      <c r="DZ233" s="310"/>
      <c r="EA233" s="310"/>
      <c r="EB233" s="310"/>
      <c r="ED233" s="310"/>
      <c r="EE233" s="310"/>
      <c r="EF233" s="310"/>
      <c r="EH233" s="310"/>
    </row>
    <row r="234" spans="1:138" s="288" customFormat="1" ht="14.45" hidden="1" customHeight="1">
      <c r="C234" s="309"/>
      <c r="D234" s="309"/>
      <c r="E234" s="309"/>
      <c r="F234" s="309"/>
      <c r="G234" s="309"/>
      <c r="H234" s="309"/>
      <c r="I234" s="309"/>
      <c r="J234" s="309"/>
      <c r="K234" s="309"/>
      <c r="L234" s="315"/>
      <c r="Q234" s="309"/>
      <c r="R234" s="311"/>
      <c r="S234" s="311"/>
      <c r="T234" s="311"/>
      <c r="AB234" s="312"/>
      <c r="AF234" s="313"/>
      <c r="AG234" s="313"/>
      <c r="AH234" s="313"/>
      <c r="AI234" s="313"/>
      <c r="AJ234" s="313"/>
      <c r="AS234" s="314"/>
      <c r="AT234" s="315"/>
      <c r="AU234" s="314"/>
      <c r="AV234" s="312"/>
      <c r="AX234" s="206"/>
      <c r="AY234" s="206"/>
      <c r="BE234" s="316"/>
      <c r="BF234" s="316"/>
      <c r="BG234" s="316"/>
      <c r="BH234" s="310"/>
      <c r="BK234" s="309"/>
      <c r="BL234" s="309"/>
      <c r="BM234" s="309"/>
      <c r="BN234" s="309"/>
      <c r="BP234" s="313"/>
      <c r="CC234" s="316"/>
      <c r="CG234" s="313"/>
      <c r="CH234" s="313"/>
      <c r="CI234" s="313"/>
      <c r="CK234" s="313"/>
      <c r="CL234" s="313"/>
      <c r="CM234" s="313"/>
      <c r="CN234" s="313"/>
      <c r="CO234" s="313"/>
      <c r="CP234" s="313"/>
      <c r="CQ234" s="313"/>
      <c r="CR234" s="313"/>
      <c r="CS234" s="313"/>
      <c r="CT234" s="313"/>
      <c r="CU234" s="309"/>
      <c r="DH234" s="309"/>
      <c r="DK234" s="310"/>
      <c r="DN234" s="206"/>
      <c r="DO234" s="206"/>
      <c r="DS234" s="288" t="str">
        <f t="shared" si="7"/>
        <v/>
      </c>
      <c r="DT234" s="288" t="str">
        <f t="shared" si="8"/>
        <v/>
      </c>
      <c r="DU234" s="310"/>
      <c r="DV234" s="310"/>
      <c r="DW234" s="310"/>
      <c r="DX234" s="310"/>
      <c r="DY234" s="310"/>
      <c r="DZ234" s="310"/>
      <c r="EA234" s="310"/>
      <c r="EB234" s="310"/>
      <c r="ED234" s="310"/>
      <c r="EE234" s="310"/>
      <c r="EF234" s="310"/>
      <c r="EH234" s="310"/>
    </row>
    <row r="235" spans="1:138" s="288" customFormat="1" hidden="1">
      <c r="C235" s="309"/>
      <c r="D235" s="309"/>
      <c r="E235" s="309"/>
      <c r="F235" s="309"/>
      <c r="G235" s="309"/>
      <c r="H235" s="309"/>
      <c r="I235" s="309"/>
      <c r="J235" s="309"/>
      <c r="K235" s="309"/>
      <c r="L235" s="315"/>
      <c r="Q235" s="309"/>
      <c r="R235" s="311"/>
      <c r="S235" s="311"/>
      <c r="T235" s="311"/>
      <c r="AB235" s="312"/>
      <c r="AF235" s="313"/>
      <c r="AG235" s="313"/>
      <c r="AH235" s="313"/>
      <c r="AI235" s="313"/>
      <c r="AJ235" s="313"/>
      <c r="AS235" s="314"/>
      <c r="AT235" s="315"/>
      <c r="AU235" s="314"/>
      <c r="AV235" s="312"/>
      <c r="AX235" s="206"/>
      <c r="AY235" s="206"/>
      <c r="BE235" s="316"/>
      <c r="BF235" s="316"/>
      <c r="BG235" s="316"/>
      <c r="BH235" s="310"/>
      <c r="BK235" s="309"/>
      <c r="BL235" s="309"/>
      <c r="BM235" s="309"/>
      <c r="BN235" s="309"/>
      <c r="BP235" s="313"/>
      <c r="CC235" s="316"/>
      <c r="CG235" s="313"/>
      <c r="CH235" s="313"/>
      <c r="CI235" s="313"/>
      <c r="CK235" s="313"/>
      <c r="CL235" s="313"/>
      <c r="CM235" s="313"/>
      <c r="CN235" s="313"/>
      <c r="CO235" s="313"/>
      <c r="CP235" s="313"/>
      <c r="CQ235" s="313"/>
      <c r="CR235" s="313"/>
      <c r="CS235" s="313"/>
      <c r="CT235" s="313"/>
      <c r="CU235" s="309"/>
      <c r="DH235" s="309"/>
      <c r="DK235" s="310"/>
      <c r="DN235" s="206"/>
      <c r="DO235" s="206"/>
      <c r="DS235" s="288" t="str">
        <f t="shared" si="7"/>
        <v/>
      </c>
      <c r="DT235" s="288" t="str">
        <f t="shared" si="8"/>
        <v/>
      </c>
      <c r="DU235" s="310"/>
      <c r="DV235" s="310"/>
      <c r="DW235" s="310"/>
      <c r="DX235" s="310"/>
      <c r="DY235" s="310"/>
      <c r="DZ235" s="310"/>
      <c r="EA235" s="310"/>
      <c r="EB235" s="310"/>
      <c r="ED235" s="310"/>
      <c r="EE235" s="310"/>
      <c r="EF235" s="310"/>
      <c r="EH235" s="310"/>
    </row>
    <row r="236" spans="1:138" s="288" customFormat="1" hidden="1">
      <c r="C236" s="309"/>
      <c r="D236" s="309"/>
      <c r="E236" s="309"/>
      <c r="F236" s="309"/>
      <c r="G236" s="309"/>
      <c r="H236" s="309"/>
      <c r="I236" s="309"/>
      <c r="J236" s="309"/>
      <c r="K236" s="309"/>
      <c r="L236" s="315"/>
      <c r="Q236" s="309"/>
      <c r="R236" s="311"/>
      <c r="S236" s="311"/>
      <c r="T236" s="311"/>
      <c r="AB236" s="312"/>
      <c r="AF236" s="313"/>
      <c r="AG236" s="313"/>
      <c r="AH236" s="313"/>
      <c r="AI236" s="313"/>
      <c r="AJ236" s="313"/>
      <c r="AS236" s="314"/>
      <c r="AT236" s="315"/>
      <c r="AU236" s="314"/>
      <c r="AV236" s="312"/>
      <c r="AX236" s="206"/>
      <c r="AY236" s="206"/>
      <c r="BE236" s="316"/>
      <c r="BF236" s="316"/>
      <c r="BG236" s="316"/>
      <c r="BH236" s="310"/>
      <c r="BK236" s="309"/>
      <c r="BL236" s="309"/>
      <c r="BM236" s="309"/>
      <c r="BN236" s="309"/>
      <c r="BP236" s="313"/>
      <c r="CC236" s="316"/>
      <c r="CG236" s="313"/>
      <c r="CH236" s="313"/>
      <c r="CI236" s="313"/>
      <c r="CK236" s="313"/>
      <c r="CL236" s="313"/>
      <c r="CM236" s="313"/>
      <c r="CN236" s="313"/>
      <c r="CO236" s="313"/>
      <c r="CP236" s="313"/>
      <c r="CQ236" s="313"/>
      <c r="CR236" s="313"/>
      <c r="CS236" s="313"/>
      <c r="CT236" s="313"/>
      <c r="CU236" s="309"/>
      <c r="DH236" s="309"/>
      <c r="DK236" s="310"/>
      <c r="DN236" s="206"/>
      <c r="DO236" s="206"/>
      <c r="DS236" s="288" t="str">
        <f t="shared" si="7"/>
        <v/>
      </c>
      <c r="DT236" s="288" t="str">
        <f t="shared" si="8"/>
        <v/>
      </c>
      <c r="DU236" s="310"/>
      <c r="DV236" s="310"/>
      <c r="DW236" s="310"/>
      <c r="DX236" s="310"/>
      <c r="DY236" s="310"/>
      <c r="DZ236" s="310"/>
      <c r="EA236" s="310"/>
      <c r="EB236" s="310"/>
      <c r="ED236" s="310"/>
      <c r="EE236" s="310"/>
      <c r="EF236" s="310"/>
      <c r="EH236" s="310"/>
    </row>
    <row r="237" spans="1:138" s="288" customFormat="1">
      <c r="A237" s="288" t="s">
        <v>330</v>
      </c>
      <c r="B237" s="288" t="str">
        <f>A237</f>
        <v>S</v>
      </c>
      <c r="C237" s="309" t="str">
        <f>IF(A237="S",'Cálculo_Diseño  (2)'!C238," ")</f>
        <v>C191A</v>
      </c>
      <c r="D237" s="309" t="str">
        <f>IF(A237="S",'Cálculo_Diseño  (2)'!D238," ")</f>
        <v>C195</v>
      </c>
      <c r="E237" s="309">
        <f>IF(B237="S",'Cálculo_Diseño  (2)'!AX238," ")</f>
        <v>15.39</v>
      </c>
      <c r="F237" s="309">
        <f>IF(B237="S",'Cálculo_Diseño  (2)'!BL238," ")</f>
        <v>0.669265756984742</v>
      </c>
      <c r="G237" s="309">
        <f>IF(B237="S",'Cálculo_Diseño  (2)'!AZ238," ")</f>
        <v>327</v>
      </c>
      <c r="H237" s="309">
        <f>IF(B237="S",'Cálculo_Diseño  (2)'!BB238," ")</f>
        <v>985.74300000000005</v>
      </c>
      <c r="I237" s="309">
        <f>IF(B237="S",'Cálculo_Diseño  (2)'!BC238," ")</f>
        <v>986.08</v>
      </c>
      <c r="J237" s="309">
        <f>IF(B237="S",'Cálculo_Diseño  (2)'!BH238," ")</f>
        <v>984.63300000000004</v>
      </c>
      <c r="K237" s="309">
        <f>IF(B237="S",'Cálculo_Diseño  (2)'!BI238," ")</f>
        <v>984.53000000000009</v>
      </c>
      <c r="L237" s="315">
        <f>IF(B237="S",+$L$11,"")</f>
        <v>1</v>
      </c>
      <c r="M237" s="288">
        <f>IF(B237="S",(E237^2+(J237-K237)^2)^0.5," ")</f>
        <v>15.390344668005326</v>
      </c>
      <c r="N237" s="288">
        <f>IF(AJ237="S",BK237+0.1,BK237)</f>
        <v>0.9</v>
      </c>
      <c r="O237" s="288">
        <f>IF(B237="S",(IF(G237&lt;=500,1.2,1.5)),"")</f>
        <v>1.2</v>
      </c>
      <c r="P237" s="288">
        <f>IF(B237="S",(IF(G237&lt;=500,1.2,1.5)),"")</f>
        <v>1.2</v>
      </c>
      <c r="Q237" s="309" t="s">
        <v>331</v>
      </c>
      <c r="R237" s="311" t="str">
        <f>+IF(B237="S",(IF(Q237="FLEXIBLE","S","N")),"")</f>
        <v>N</v>
      </c>
      <c r="S237" s="311" t="str">
        <f>+IF(B237="S",(IF(Q237="ADOQUIN","S","N")),"")</f>
        <v>N</v>
      </c>
      <c r="T237" s="311" t="str">
        <f>+IF(B237="S",(IF(Q237="CONCRETO","S","N")),"")</f>
        <v>S</v>
      </c>
      <c r="U237" s="288">
        <f>IF(B237="S",(IF(R237="S",(((((H237-I237)^2)+(E237^2))^0.5)-CA237-CB237)*$U$11,0)),"")</f>
        <v>0</v>
      </c>
      <c r="V237" s="288">
        <f>IF(B237="S",(IF(S237="S",(((((H237-I237)^2)+(E237^2))^0.5)-CA237-CB237)*$V$11,0)),"")</f>
        <v>0</v>
      </c>
      <c r="W237" s="288">
        <f>IF(B237="S",(IF(T237="S",(((((H237-I237)^2)+(E237^2))^0.5)-CA237-CB237)*$W$11,0)),"")</f>
        <v>14.193689258913862</v>
      </c>
      <c r="X237" s="288">
        <f>IF(B237="S",(U237*(N237+0.2)*$X$11),"")</f>
        <v>0</v>
      </c>
      <c r="Y237" s="288">
        <f>IF(B237="S",(V237*(N237+0.2)*$Y$11),"")</f>
        <v>0</v>
      </c>
      <c r="Z237" s="288">
        <f>IF(B237="S",(W237*(N237+0.2)*$Z$11+IF(Q237="CONCRETO",PI()/4*0.2*(O237+0.2*2+0.1*2)^2)),"")</f>
        <v>5.1928554653231211</v>
      </c>
      <c r="AA237" s="288">
        <f>IF(B237="S",(((H237-J237)+(I237-K237))/2+BM237),"")</f>
        <v>1.4299999999999842</v>
      </c>
      <c r="AB237" s="312">
        <f>IF(B237="S",($AB$11),"")</f>
        <v>10</v>
      </c>
      <c r="AC237" s="288">
        <f>IF(B237="S",(IF(CG237="","",(CG237*(AB237/100))*$I$527)),"")</f>
        <v>2.0413674746053916</v>
      </c>
      <c r="AD237" s="288" t="str">
        <f>IF(B237="S",(IF(CH237="","",(CH237*AB237/100)*$I$527)),"")</f>
        <v/>
      </c>
      <c r="AE237" s="288" t="str">
        <f>IF(B237="S",(IF(CI237="","",(CI237*AB237/100)*$I$527)),"")</f>
        <v/>
      </c>
      <c r="AF237" s="313">
        <f>IF(B237="S",(IF(CG237="","",(CG237*$I$527)-AC237)),"")</f>
        <v>18.372307271448527</v>
      </c>
      <c r="AG237" s="313" t="str">
        <f>IF(B237="S",(IF(CH237="","",(CH237*$I$527)-AD237)),"")</f>
        <v/>
      </c>
      <c r="AH237" s="313" t="str">
        <f>IF(B237="S",(IF(CI237="","",(CI237*$I$527)-AE237)),"")</f>
        <v/>
      </c>
      <c r="AI237" s="313">
        <f>IF(B237="S",((BY237*(L237/100))*1.1),"")</f>
        <v>0.20619873480862538</v>
      </c>
      <c r="AJ237" s="313" t="str">
        <f>IF(B237="S",(IF(AA237&lt;1,"N","S")),"")</f>
        <v>S</v>
      </c>
      <c r="AK237" s="288">
        <f>IF(B237="S",(IF(AJ237="S",(E237*AA237*0.7*2),0)),"")</f>
        <v>30.81077999999966</v>
      </c>
      <c r="AL237" s="288">
        <f>IF(B237="S",(IF(AJ237="S",(E237*AA237*0.3*2),0)),"")</f>
        <v>13.204619999999855</v>
      </c>
      <c r="AM237" s="288">
        <f>IF(B237="S",(IF(F237&gt;20,N237*(M237/10)*AA237,0)),"")</f>
        <v>0</v>
      </c>
      <c r="AN237" s="288">
        <f>IF(B237="S",((M237-0.4)*$AN$11),"")</f>
        <v>0</v>
      </c>
      <c r="AO237" s="288">
        <f>IF(B237="S",((M237-0.4)*$AO$11),"")</f>
        <v>0</v>
      </c>
      <c r="AP237" s="288">
        <f>IF(B237="S",((M237-(O237/2)-(P237/2))*$AP$11),"")</f>
        <v>14.190344668005327</v>
      </c>
      <c r="AQ237" s="288">
        <f>+SUM(AC237:AI237)</f>
        <v>20.619873480862545</v>
      </c>
      <c r="AR237" s="288">
        <f>+AT237+AU237+AZ237+BA237+BB237+BI237</f>
        <v>20.619873480862537</v>
      </c>
      <c r="AS237" s="314">
        <f>IF(B237="S",((N237*(0.4+G237/1000))-((G237/1000)^2*PI()/4)),"")</f>
        <v>0.57031815978607436</v>
      </c>
      <c r="AT237" s="315">
        <f>IF(B237="S",(AS237*AP237)-IF(BI237&gt;0,BI237,0),"")</f>
        <v>8.0930112577869302</v>
      </c>
      <c r="AU237" s="314">
        <f>IF(B237="S",IF(Q237="NATURAL",0,(($AU$11*N237*AP237))),"")</f>
        <v>5.1085240804819181</v>
      </c>
      <c r="AV237" s="312">
        <f>IF(B237="S",$AV$11,"")</f>
        <v>30</v>
      </c>
      <c r="AW237" s="288">
        <f>IF(B237="S",(BY237*1.1-(AT237+BI237)-AU237-BB237-AX237-AY237),"")</f>
        <v>6.125857621701372</v>
      </c>
      <c r="AX237" s="206"/>
      <c r="AY237" s="206"/>
      <c r="AZ237" s="288">
        <f>IF(B237="S",((BY237*1.1-BB237-(AT237+BI237)-AU237-AX237-AY237)*AV237/100),"")</f>
        <v>1.837757286510411</v>
      </c>
      <c r="BA237" s="288">
        <f>IF(B237="S",(IF(AW237&gt;AZ237,AW237-AZ237,0)),"")</f>
        <v>4.2881003351909612</v>
      </c>
      <c r="BB237" s="288">
        <f>IF(B237="S",((((G237/1000)^2)/4*PI())*E237),"")</f>
        <v>1.2924805208923174</v>
      </c>
      <c r="BC237" s="288">
        <f>IF(B237="S",(BY237*1.1-AZ237),"")</f>
        <v>18.782116194352128</v>
      </c>
      <c r="BE237" s="1436">
        <v>2.5</v>
      </c>
      <c r="BF237" s="316" t="b">
        <f>IF(B237="S",(IF(O237&lt;=0.8,IF(H237-J237&lt;=1,0,H237-J237))),"")</f>
        <v>0</v>
      </c>
      <c r="BG237" s="316" t="b">
        <f>IF(B237="S",(IF(O237&lt;=0.6,IF(H237-J237&lt;=1,H237-J237,0))),"")</f>
        <v>0</v>
      </c>
      <c r="BH237" s="1435">
        <v>1</v>
      </c>
      <c r="BI237" s="288">
        <f>IF(B237="S",(IF(F237&gt;=15,N237*((G237/1000)+0.3)*0.2,0)*(E237/5+1)),"")</f>
        <v>0</v>
      </c>
      <c r="BJ237" s="288">
        <f xml:space="preserve"> IF(B237="S",(BN237+BM237+0.3),"")</f>
        <v>0.84000000000000008</v>
      </c>
      <c r="BK237" s="309">
        <f>IF(B237="S",(VLOOKUP('Cálculo_Diseño  (2)'!AY238,'TABLA (2)'!$H$102:'TABLA (2)'!$U$135,3)),"")</f>
        <v>0.8</v>
      </c>
      <c r="BL237" s="309">
        <f>IF(B237="S",(VLOOKUP('Cálculo_Diseño  (2)'!AY238,'TABLA (2)'!$H$102:'TABLA (2)'!$U$135,10)),"")</f>
        <v>0.6</v>
      </c>
      <c r="BM237" s="309">
        <f>IF(B237="S",(VLOOKUP('Cálculo_Diseño  (2)'!AY238,'TABLA (2)'!$H$102:'TABLA (2)'!$U$135,11)),"")</f>
        <v>0.1</v>
      </c>
      <c r="BN237" s="309">
        <f>IF(B237="S",(VLOOKUP('Cálculo_Diseño  (2)'!AY238,'TABLA (2)'!$H$102:'TABLA (2)'!$U$135,12)),"")</f>
        <v>0.44</v>
      </c>
      <c r="BO237" s="288">
        <f>V237</f>
        <v>0</v>
      </c>
      <c r="BP237" s="313">
        <f>+IF(B237="S",(IF((1.8-AA237)&gt;=0,AA237+0.2,2)),"")</f>
        <v>1.6299999999999841</v>
      </c>
      <c r="BQ237" s="288">
        <f>+IF(B237="S",(IF(BP237=2,IF((3.8-AA237)&gt;=0,(AA237+0.2-2),2),0)),"")</f>
        <v>0</v>
      </c>
      <c r="BR237" s="288">
        <f>+IF(B237="S",(IF(BQ237=2,AA237+0.2-4,0)),"")</f>
        <v>0</v>
      </c>
      <c r="BS237" s="288">
        <f>IF(B237="S",((N237*(0.3+BN237/2)-0.392699*BN237*BN237)*AO237),"")</f>
        <v>0</v>
      </c>
      <c r="BU237" s="288">
        <f>IF(B237="S",((N237*(0.3+5*BN237/6)-0.699815*BN237*BN237)*AP237),"")</f>
        <v>6.5916395327797446</v>
      </c>
      <c r="BV237" s="288">
        <f>IF(B237="S",(IF(BP237=0,"",(BP237)*(M237)*N237-(U237*$X$11+V237*$Y$11+W237*$Z$11)*N237)),"")</f>
        <v>18.745339528056853</v>
      </c>
      <c r="BW237" s="288" t="str">
        <f>IF(B237="S",(IF(BQ237=0,"",(M237)*BQ237*N237)),"")</f>
        <v/>
      </c>
      <c r="BX237" s="288" t="str">
        <f>IF(B237="S",(IF(BR237=0,"",(M237)*BR237*N237)),"")</f>
        <v/>
      </c>
      <c r="BY237" s="288">
        <f>IF(B237="S",((AA237+0.2)*N237*(M237)-(U237*$X$11+V237*$Y$11+W237*$Z$11)*N237),"")</f>
        <v>18.745339528056849</v>
      </c>
      <c r="BZ237" s="288">
        <f>IF(B237="S",((N237*(0.3+BN237/2)-0.392699*BN237*BN237)*AN237),"")</f>
        <v>0</v>
      </c>
      <c r="CA237" s="288">
        <f>IF(B237="S",(IF(O237=1.2,(O237/2),IF(O237=0.8,O237/2,IF(O237=1.5,O237/2,IF(O237=0.6,O237/2,"IDIOT"))))),"")</f>
        <v>0.6</v>
      </c>
      <c r="CB237" s="288">
        <f>IF(B237="S",(IF(P237=1.2,(P237/2),IF(P237=0.8,P237/2,IF(P237=1.5,P237/2,IF(P237=0.6,P237/2,"IDIOT"))))),"")</f>
        <v>0.6</v>
      </c>
      <c r="CC237" s="316">
        <f>IF(B237="S",((BN237/2+0.1)*N237),"")</f>
        <v>0.28800000000000003</v>
      </c>
      <c r="CD237" s="288">
        <f>IF(B237="S",((BN237/2+BN237/4)*N237),"")</f>
        <v>0.29700000000000004</v>
      </c>
      <c r="CE237" s="288">
        <f>IF(B237="S",(0.392699*BN237*BN237),"")</f>
        <v>7.6026526400000002E-2</v>
      </c>
      <c r="CF237" s="288" t="str">
        <f>+IF(B237="S",(IF(((H237-J237)-(G237/1000))&lt;=0.9,"E1",IF(((H237-J237)-(G237/1000))&lt;=2.5,"E2","E3"))),"")</f>
        <v>E1</v>
      </c>
      <c r="CG237" s="313">
        <f>IF(B237="S",(IF(BV237="","",BV237-(BV237*L237/100))),"")</f>
        <v>18.557886132776286</v>
      </c>
      <c r="CH237" s="313" t="str">
        <f>IF(B237="S",(IF(BW237="","",BW237-(BW237*L237/100))),"")</f>
        <v/>
      </c>
      <c r="CI237" s="313" t="str">
        <f>IF(C237="S",(IF(BX237="","",BX237-(BX237*M237/100))),"")</f>
        <v/>
      </c>
      <c r="CJ237" s="288">
        <f>'Cálculo_Diseño  (2)'!BD238</f>
        <v>0.76900000000000013</v>
      </c>
      <c r="CK237" s="313">
        <f>+IF(B237="S",(IF((CJ237+CU237)&gt;2,2,CJ237+CU237)),"")</f>
        <v>1.5380000000000003</v>
      </c>
      <c r="CL237" s="313">
        <f>+IF(B237="S",(IF((CJ237+CU237)&gt;4,2,IF(AND((CJ237+CU237)&lt;=4,(CJ237+CU237)&gt;=2),((CJ237+CU237)-CK237),0))),"")</f>
        <v>0</v>
      </c>
      <c r="CM237" s="313">
        <f>+IF(B237="S",(IF((CJ237+CU237)&gt;4,((CJ237+CU237)-(CK237+CL237)),0)),"")</f>
        <v>0</v>
      </c>
      <c r="CN237" s="313">
        <f>IF(B237="S",IF((CJ237+CU237)&lt;1.5,(ROUND(CJ237*PI()/4*(2.2)^2+CU237*(PI()/4*(2.2)^2 -PI()/4*(1.6)^2),2)),IF((CJ237+CU237)&lt;=2,(ROUND(((PI()*2.2^2)/4)*0.95-(((1/3)*PI()*0.95*(0.45^2+0.7^2+0.45*0.7)))+(CJ237*PI()/4*(2.2)^2)+(((((CU237)-0.95)*PI()*2.2^2)/4))-((((CU237)-0.95)*PI()*1.6^2)/4),2)),IF((CJ237+CU237)&gt;2,(ROUND(IF(CU237&lt;2,((PI()*2.2^2)/4)*0.95-(((1/3)*PI()*0.95*(0.45^2+0.7^2+0.45*0.7)))+((CU237-0.95)*(PI()/4*(2.2)^2 -PI()/4*(1.6)^2))+(2-CU237)*PI()/4*(2.2)^2,((PI()*2.2^2)/4)*0.95-(((1/3)*PI()*0.95*(0.45^2+0.7^2+0.45*0.7)))+((2-0.95)*(PI()/4*(2.2)^2 -PI()/4*(1.6)^2))),2))))),"")</f>
        <v>5.21</v>
      </c>
      <c r="CO237" s="313">
        <f>IF(B237="S",ROUND(IF(CL237&lt;=0,0,IF(AND(CL237&gt;0,CU237&lt;=0),CL237*PI()/4*2.2^(2),IF(AND(CL237&gt;0,CU237&gt;=4),CL237*(PI()/4*2.2^2-PI()/4*1.6^2),IF(AND(CL237&gt;0,CU237&gt;2,CU237&lt;4,CJ237&gt;0),(CU237-2)*(PI()/4*2.2^(2)-PI()/4*1.6^(2))+IF((CU237+CJ237)&gt;4,(4-CU237)*(PI()/4*2.2^(2)),(CJ237)*PI()/4*(2.2^2)),IF(AND(CL237&gt;0,CU237&lt;=2),(CL237*PI()/4*2.2^2)))))),2),"")</f>
        <v>0</v>
      </c>
      <c r="CP237" s="313">
        <f>IF(B237="S",(ROUND(IF(CM237&lt;=0,0,IF(AND(CM237&gt;0,CU237&lt;=0),CM237*PI()/4*2.2^(2),IF(AND(CM237&gt;0,CU237&gt;4,CJ237&lt;=0),CM237*(PI()/4*2.2^2-PI()/4*1.6^2),IF(AND(CM237&gt;0,CU237&lt;=4),CM237*PI()/4*2.2^2)))),2)),"")</f>
        <v>0</v>
      </c>
      <c r="CQ237" s="313">
        <f>IF(B237="S",IF(CK237&gt;1.5,(2*PI()*(0.9)*(CJ237+CU237)),0),"")</f>
        <v>8.6971851021979845</v>
      </c>
      <c r="CR237" s="313">
        <f>IF(B237="S",(ROUND(IF(CN237&gt;0,CN237+CO237+CP237-CS237,0),2)),"")</f>
        <v>3.83</v>
      </c>
      <c r="CS237" s="313">
        <f>IF(B237="S",(IF(CJ237=0,0,IF(AND((H237-J237)&lt;1.5,CU237&gt;0),ROUND(CU237*(PI()/4*(2.2)^2 -PI()/4*(1.6)^2),2),(ROUND(((PI()*2.2^2)/4)*0.95-(((1/3)*PI()*0.95*(0.45^2+0.7^2+0.45*0.7)))+(((((CJ237+CU237)-0.95)*PI()*2.2^2)/4))-((((CJ237+CU237)-0.95)*PI()*1.6^2)/4),2))))),"")</f>
        <v>1.38</v>
      </c>
      <c r="CT237" s="313" t="str">
        <f>IF(B237="S",(IF(CN237&gt;=0,IF(CN237+CO237+CP237=(CR237+CS237),"OK","VERIFICAR"),0)),"")</f>
        <v>OK</v>
      </c>
      <c r="CU237" s="309">
        <f>'Cálculo_Diseño  (2)'!BD238</f>
        <v>0.76900000000000013</v>
      </c>
      <c r="CV237" s="288" t="str">
        <f>IF(G237=182,M237-(O237/2)-(P237/2),"")</f>
        <v/>
      </c>
      <c r="CW237" s="288" t="str">
        <f>IF(G237=227,M237-(O237/2)-(P237/2),"")</f>
        <v/>
      </c>
      <c r="CX237" s="288" t="str">
        <f>IF(G237=284,M237-(O237/2)-(P237/2),"")</f>
        <v/>
      </c>
      <c r="CY237" s="288">
        <f>IF(G237=327,M237-(O237/2)-(P237/2),"")</f>
        <v>14.190344668005327</v>
      </c>
      <c r="CZ237" s="288" t="str">
        <f>IF(G237=362,M237-(O237/2)-(P237/2),"")</f>
        <v/>
      </c>
      <c r="DA237" s="288" t="str">
        <f>IF(G237=407,M237-(O237/2)-(P237/2),"")</f>
        <v/>
      </c>
      <c r="DB237" s="288" t="str">
        <f>IF(G237=452,M237-(O237/2)-(P237/2),"")</f>
        <v/>
      </c>
      <c r="DC237" s="288" t="str">
        <f>IF(G237=595.12,M237-(O237/2)-(P237/2),"")</f>
        <v/>
      </c>
      <c r="DD237" s="288" t="str">
        <f>IF(G237=670,M237-(O237/2)-(P237/2),"")</f>
        <v/>
      </c>
      <c r="DE237" s="288" t="str">
        <f>IF(G237=747,M237-(O237/2)-(P237/2),"")</f>
        <v/>
      </c>
      <c r="DF237" s="288" t="str">
        <f>IF(G237=823.09,M237-(O237/2)-(P237/2),"")</f>
        <v/>
      </c>
      <c r="DG237" s="288" t="str">
        <f>IF(G237=899.03,M237-(O237/2)-(P237/2),"")</f>
        <v/>
      </c>
      <c r="DH237" s="309"/>
      <c r="DI237" s="288" t="str">
        <f>+IF(B237="S",B237,"N")</f>
        <v>S</v>
      </c>
      <c r="DJ237" s="288">
        <f>+IF(DI237="S",E237,"")</f>
        <v>15.39</v>
      </c>
      <c r="DK237" s="310">
        <v>1</v>
      </c>
      <c r="DL237" s="288">
        <f>IF(DI237="S",((((AA237+1)*6)/2)*0.7*DK237),"")</f>
        <v>5.1029999999999669</v>
      </c>
      <c r="DM237" s="288">
        <f>IF(DI237="S",(ATAN(6/(AA237-1))*180/PI()),"")</f>
        <v>85.900810845646163</v>
      </c>
      <c r="DN237" s="206">
        <f>IF(DI237="S",(TAN(DM237*PI()/180)*(AA237-2)),"")</f>
        <v>-7.9534883720935312</v>
      </c>
      <c r="DO237" s="206">
        <f>IF(DI237="S",(TAN(DM237*PI()/180)*(AA237-4)),"")</f>
        <v>-35.860465116280587</v>
      </c>
      <c r="DP237" s="288">
        <f>IF(DI237="S",(IF(AA237&lt;=2,((((AA237+1)*6)/2)*0.7*DK237),IF(AND(AA237&gt;2,AA237&lt;=4),((((AA237+1)*6)/2)*0.7*DK237)-(((AA237-2)*DN237)/2*0.7*DK237),IF(AND(AA237&gt;4,AA237&lt;=6),((((AA237+1)*6)/2)*0.7*DK237)-(((AA237-2)*DN237)/2*0.7*DK237),0)))),"")</f>
        <v>5.1029999999999669</v>
      </c>
      <c r="DQ237" s="288">
        <f>IF(DI237="S",(IF(AND(AA237&gt;2,AA237&lt;=4),(((AA237-2)*DN237)/2*0.7*DK237),IF(AND(AA237&gt;4,AA237&lt;=6),(((AA237-2)*DN237)/2*0.7*DK237)-((AA237-4)*DO237/2*0.7*DK237),0))),"")</f>
        <v>0</v>
      </c>
      <c r="DR237" s="288">
        <f>IF(DI237="S",(IF(AND(AA237&gt;4,AA237&lt;=6),((AA237-4)*DO237/2*0.7*DK237),IF(AA237&lt;4,0,"REVISAR"))),"")</f>
        <v>0</v>
      </c>
      <c r="DS237" s="288">
        <f t="shared" si="7"/>
        <v>0</v>
      </c>
      <c r="DT237" s="288">
        <f t="shared" si="8"/>
        <v>0</v>
      </c>
      <c r="DU237" s="310" t="str">
        <f>IF(B237="S",(IF(DI237="S",IF(G237=$DU$11,DK237,""),"")),"")</f>
        <v/>
      </c>
      <c r="DV237" s="310" t="str">
        <f>IF(B237="S",(IF(DI237="S",IF(G237=$DV$11,DK237,""),"")),"")</f>
        <v/>
      </c>
      <c r="DW237" s="310" t="str">
        <f>IF(B237="S",(IF(DI237="S",IF(G237=$DW$11,DK237,""),"")),"")</f>
        <v/>
      </c>
      <c r="DX237" s="310">
        <f>IF(B237="S",(IF(DI237="S",IF(G237=$DX$11,DK237,""),"")),"")</f>
        <v>1</v>
      </c>
      <c r="DY237" s="310" t="str">
        <f>IF(B237="S",(IF(DI237="S",IF(G237=$DY$11,DK237,""),"")),"")</f>
        <v/>
      </c>
      <c r="DZ237" s="310" t="str">
        <f>IF(B237="S",(IF(DI237="S",IF(G237=$DZ$11,DK237,""),"")),"")</f>
        <v/>
      </c>
      <c r="EA237" s="310" t="str">
        <f>IF(B237="S",(IF(DI237="S",IF(G237=$EA$11,DK237,""),"")),"")</f>
        <v/>
      </c>
      <c r="EB237" s="310" t="str">
        <f>IF(B237="S",(IF(DI237="S",IF(G237=$EB$11,DK237,""),"")),"")</f>
        <v/>
      </c>
      <c r="EC237" s="288">
        <f>IF(B237="S",0.95,"")</f>
        <v>0.95</v>
      </c>
      <c r="ED237" s="310"/>
      <c r="EE237" s="310"/>
      <c r="EF237" s="310"/>
      <c r="EH237" s="310">
        <f>+IF(EC237=0.95,2+((ED237+EE237+EF237)-1),"")</f>
        <v>1</v>
      </c>
    </row>
    <row r="238" spans="1:138" s="288" customFormat="1">
      <c r="A238" s="288" t="s">
        <v>330</v>
      </c>
      <c r="B238" s="288" t="str">
        <f>A238</f>
        <v>S</v>
      </c>
      <c r="C238" s="309" t="str">
        <f>IF(A238="S",'Cálculo_Diseño  (2)'!C239," ")</f>
        <v>C195</v>
      </c>
      <c r="D238" s="309" t="str">
        <f>IF(A238="S",'Cálculo_Diseño  (2)'!D239," ")</f>
        <v>C197</v>
      </c>
      <c r="E238" s="309">
        <f>IF(B238="S",'Cálculo_Diseño  (2)'!AX239," ")</f>
        <v>41.52</v>
      </c>
      <c r="F238" s="309">
        <f>IF(B238="S",'Cálculo_Diseño  (2)'!BL239," ")</f>
        <v>0.59971098265901646</v>
      </c>
      <c r="G238" s="309">
        <f>IF(B238="S",'Cálculo_Diseño  (2)'!AZ239," ")</f>
        <v>407</v>
      </c>
      <c r="H238" s="309">
        <f>IF(B238="S",'Cálculo_Diseño  (2)'!BB239," ")</f>
        <v>986.08</v>
      </c>
      <c r="I238" s="309">
        <f>IF(B238="S",'Cálculo_Diseño  (2)'!BC239," ")</f>
        <v>987.46100000000001</v>
      </c>
      <c r="J238" s="309">
        <f>IF(B238="S",'Cálculo_Diseño  (2)'!BH239," ")</f>
        <v>984.51</v>
      </c>
      <c r="K238" s="309">
        <f>IF(B238="S",'Cálculo_Diseño  (2)'!BI239," ")</f>
        <v>984.26099999999997</v>
      </c>
      <c r="L238" s="315">
        <f>IF(B238="S",+$L$11,"")</f>
        <v>1</v>
      </c>
      <c r="M238" s="288">
        <f>IF(B238="S",(E238^2+(J238-K238)^2)^0.5," ")</f>
        <v>41.520746633460242</v>
      </c>
      <c r="N238" s="288">
        <f>IF(AJ238="S",BK238+0.1,BK238)</f>
        <v>1</v>
      </c>
      <c r="O238" s="288">
        <f>IF(B238="S",(IF(G238&lt;=500,1.2,1.5)),"")</f>
        <v>1.2</v>
      </c>
      <c r="P238" s="288">
        <f>IF(B238="S",(IF(G238&lt;=500,1.2,1.5)),"")</f>
        <v>1.2</v>
      </c>
      <c r="Q238" s="309" t="s">
        <v>331</v>
      </c>
      <c r="R238" s="311" t="str">
        <f>+IF(B238="S",(IF(Q238="FLEXIBLE","S","N")),"")</f>
        <v>N</v>
      </c>
      <c r="S238" s="311" t="str">
        <f>+IF(B238="S",(IF(Q238="ADOQUIN","S","N")),"")</f>
        <v>N</v>
      </c>
      <c r="T238" s="311" t="str">
        <f>+IF(B238="S",(IF(Q238="CONCRETO","S","N")),"")</f>
        <v>S</v>
      </c>
      <c r="U238" s="288">
        <f>IF(B238="S",(IF(R238="S",(((((H238-I238)^2)+(E238^2))^0.5)-CA238-CB238)*$U$11,0)),"")</f>
        <v>0</v>
      </c>
      <c r="V238" s="288">
        <f>IF(B238="S",(IF(S238="S",(((((H238-I238)^2)+(E238^2))^0.5)-CA238-CB238)*$V$11,0)),"")</f>
        <v>0</v>
      </c>
      <c r="W238" s="288">
        <f>IF(B238="S",(IF(T238="S",(((((H238-I238)^2)+(E238^2))^0.5)-CA238-CB238)*$W$11,0)),"")</f>
        <v>40.342960426527135</v>
      </c>
      <c r="X238" s="288">
        <f>IF(B238="S",(U238*(N238+0.2)*$X$11),"")</f>
        <v>0</v>
      </c>
      <c r="Y238" s="288">
        <f>IF(B238="S",(V238*(N238+0.2)*$Y$11),"")</f>
        <v>0</v>
      </c>
      <c r="Z238" s="288">
        <f>IF(B238="S",(W238*(N238+0.2)*$Z$11+IF(Q238="CONCRETO",PI()/4*0.2*(O238+0.2*2+0.1*2)^2)),"")</f>
        <v>15.032403763431315</v>
      </c>
      <c r="AA238" s="288">
        <f>IF(B238="S",(((H238-J238)+(I238-K238))/2+BM238),"")</f>
        <v>2.4850000000000478</v>
      </c>
      <c r="AB238" s="312">
        <f>IF(B238="S",($AB$11),"")</f>
        <v>10</v>
      </c>
      <c r="AC238" s="288">
        <f>IF(B238="S",(IF(CG238="","",(CG238*(AB238/100))*$I$527)),"")</f>
        <v>7.7252140996329999</v>
      </c>
      <c r="AD238" s="288">
        <f>IF(B238="S",(IF(CH238="","",(CH238*AB238/100)*$I$527)),"")</f>
        <v>3.097302376243134</v>
      </c>
      <c r="AE238" s="288" t="str">
        <f>IF(B238="S",(IF(CI238="","",(CI238*AB238/100)*$I$527)),"")</f>
        <v/>
      </c>
      <c r="AF238" s="313">
        <f>IF(B238="S",(IF(CG238="","",(CG238*$I$527)-AC238)),"")</f>
        <v>69.526926896697006</v>
      </c>
      <c r="AG238" s="313">
        <f>IF(B238="S",(IF(CH238="","",(CH238*$I$527)-AD238)),"")</f>
        <v>27.875721386188207</v>
      </c>
      <c r="AH238" s="313" t="str">
        <f>IF(B238="S",(IF(CI238="","",(CI238*$I$527)-AE238)),"")</f>
        <v/>
      </c>
      <c r="AI238" s="313">
        <f>IF(B238="S",((BY238*(L238/100))*1.1),"")</f>
        <v>1.0931834824117308</v>
      </c>
      <c r="AJ238" s="313" t="str">
        <f>IF(B238="S",(IF(AA238&lt;1,"N","S")),"")</f>
        <v>S</v>
      </c>
      <c r="AK238" s="288">
        <f>IF(B238="S",(IF(AJ238="S",(E238*AA238*0.7*2),0)),"")</f>
        <v>144.44808000000276</v>
      </c>
      <c r="AL238" s="288">
        <f>IF(B238="S",(IF(AJ238="S",(E238*AA238*0.3*2),0)),"")</f>
        <v>61.906320000001188</v>
      </c>
      <c r="AM238" s="288">
        <f>IF(B238="S",(IF(F238&gt;20,N238*(M238/10)*AA238,0)),"")</f>
        <v>0</v>
      </c>
      <c r="AN238" s="288">
        <f>IF(B238="S",((M238-0.4)*$AN$11),"")</f>
        <v>0</v>
      </c>
      <c r="AO238" s="288">
        <f>IF(B238="S",((M238-0.4)*$AO$11),"")</f>
        <v>0</v>
      </c>
      <c r="AP238" s="288">
        <f>IF(B238="S",((M238-(O238/2)-(P238/2))*$AP$11),"")</f>
        <v>40.320746633460239</v>
      </c>
      <c r="AQ238" s="288">
        <f>+SUM(AC238:AI238)</f>
        <v>109.31834824117307</v>
      </c>
      <c r="AR238" s="288">
        <f>+AT238+AU238+AZ238+BA238+BB238+BI238</f>
        <v>109.31834824117308</v>
      </c>
      <c r="AS238" s="314">
        <f>IF(B238="S",((N238*(0.4+G238/1000))-((G238/1000)^2*PI()/4)),"")</f>
        <v>0.67689957963137604</v>
      </c>
      <c r="AT238" s="315">
        <f>IF(B238="S",(AS238*AP238)-IF(BI238&gt;0,BI238,0),"")</f>
        <v>27.293096446612456</v>
      </c>
      <c r="AU238" s="314">
        <f>IF(B238="S",IF(Q238="NATURAL",0,(($AU$11*N238*AP238))),"")</f>
        <v>16.128298653384096</v>
      </c>
      <c r="AV238" s="312">
        <f>IF(B238="S",$AV$11,"")</f>
        <v>30</v>
      </c>
      <c r="AW238" s="288">
        <f>IF(B238="S",(BY238*1.1-(AT238+BI238)-AU238-BB238-AX238-AY238),"")</f>
        <v>60.495183687471261</v>
      </c>
      <c r="AX238" s="206"/>
      <c r="AY238" s="206"/>
      <c r="AZ238" s="288">
        <f>IF(B238="S",((BY238*1.1-BB238-(AT238+BI238)-AU238-AX238-AY238)*AV238/100),"")</f>
        <v>18.148555106241375</v>
      </c>
      <c r="BA238" s="288">
        <f>IF(B238="S",(IF(AW238&gt;AZ238,AW238-AZ238,0)),"")</f>
        <v>42.346628581229886</v>
      </c>
      <c r="BB238" s="288">
        <f>IF(B238="S",((((G238/1000)^2)/4*PI())*E238),"")</f>
        <v>5.4017694537052652</v>
      </c>
      <c r="BC238" s="288">
        <f>IF(B238="S",(BY238*1.1-AZ238),"")</f>
        <v>91.169793134931695</v>
      </c>
      <c r="BD238" s="288">
        <f>IF(B238="S",(IF(O238=1.2,IF((H238-J238)&lt;=1.2,H238-J238,H238-J238-0.95))),"")</f>
        <v>0.62000000000005007</v>
      </c>
      <c r="BE238" s="316" t="b">
        <f>IF(B238="S",(IF(O238=1.5,IF(H238-J238&lt;=1,0,H238-J238-1))),"")</f>
        <v>0</v>
      </c>
      <c r="BF238" s="316" t="b">
        <f>IF(B238="S",(IF(O238&lt;=0.8,IF(H238-J238&lt;=1,0,H238-J238))),"")</f>
        <v>0</v>
      </c>
      <c r="BG238" s="316" t="b">
        <f>IF(B238="S",(IF(O238&lt;=0.6,IF(H238-J238&lt;=1,H238-J238,0))),"")</f>
        <v>0</v>
      </c>
      <c r="BH238" s="310">
        <f>IF(B238="S",(IF(BD238="","",IF(BD238="FALSO","",1))),"")</f>
        <v>1</v>
      </c>
      <c r="BI238" s="288">
        <f>IF(B238="S",(IF(F238&gt;=15,N238*((G238/1000)+0.3)*0.2,0)*(E238/5+1)),"")</f>
        <v>0</v>
      </c>
      <c r="BJ238" s="288">
        <f xml:space="preserve"> IF(B238="S",(BN238+BM238+0.3),"")</f>
        <v>0.96</v>
      </c>
      <c r="BK238" s="309">
        <f>IF(B238="S",(VLOOKUP('Cálculo_Diseño  (2)'!AY239,'TABLA (2)'!$H$102:'TABLA (2)'!$U$135,3)),"")</f>
        <v>0.9</v>
      </c>
      <c r="BL238" s="309">
        <f>IF(B238="S",(VLOOKUP('Cálculo_Diseño  (2)'!AY239,'TABLA (2)'!$H$102:'TABLA (2)'!$U$135,10)),"")</f>
        <v>0.85</v>
      </c>
      <c r="BM238" s="309">
        <f>IF(B238="S",(VLOOKUP('Cálculo_Diseño  (2)'!AY239,'TABLA (2)'!$H$102:'TABLA (2)'!$U$135,11)),"")</f>
        <v>0.1</v>
      </c>
      <c r="BN238" s="309">
        <f>IF(B238="S",(VLOOKUP('Cálculo_Diseño  (2)'!AY239,'TABLA (2)'!$H$102:'TABLA (2)'!$U$135,12)),"")</f>
        <v>0.56000000000000005</v>
      </c>
      <c r="BO238" s="288">
        <f>V238</f>
        <v>0</v>
      </c>
      <c r="BP238" s="313">
        <f>+IF(B238="S",(IF((1.8-AA238)&gt;=0,AA238+0.2,2)),"")</f>
        <v>2</v>
      </c>
      <c r="BQ238" s="288">
        <f>+IF(B238="S",(IF(BP238=2,IF((3.8-AA238)&gt;=0,(AA238+0.2-2),2),0)),"")</f>
        <v>0.68500000000004801</v>
      </c>
      <c r="BR238" s="288">
        <f>+IF(B238="S",(IF(BQ238=2,AA238+0.2-4,0)),"")</f>
        <v>0</v>
      </c>
      <c r="BS238" s="288">
        <f>IF(B238="S",((N238*(0.3+BN238/2)-0.392699*BN238*BN238)*AO238),"")</f>
        <v>0</v>
      </c>
      <c r="BU238" s="288">
        <f>IF(B238="S",((N238*(0.3+5*BN238/6)-0.699815*BN238*BN238)*AP238),"")</f>
        <v>22.063701366445677</v>
      </c>
      <c r="BV238" s="288">
        <f>IF(B238="S",(IF(BP238=0,"",(BP238)*(M238)*N238-(U238*$X$11+V238*$Y$11+W238*$Z$11)*N238)),"")</f>
        <v>70.938605138962345</v>
      </c>
      <c r="BW238" s="288">
        <f>IF(B238="S",(IF(BQ238=0,"",(M238)*BQ238*N238)),"")</f>
        <v>28.441711443922259</v>
      </c>
      <c r="BX238" s="288" t="str">
        <f>IF(B238="S",(IF(BR238=0,"",(M238)*BR238*N238)),"")</f>
        <v/>
      </c>
      <c r="BY238" s="288">
        <f>IF(B238="S",((AA238+0.2)*N238*(M238)-(U238*$X$11+V238*$Y$11+W238*$Z$11)*N238),"")</f>
        <v>99.380316582884603</v>
      </c>
      <c r="BZ238" s="288">
        <f>IF(B238="S",((N238*(0.3+BN238/2)-0.392699*BN238*BN238)*AN238),"")</f>
        <v>0</v>
      </c>
      <c r="CA238" s="288">
        <f>IF(B238="S",(IF(O238=1.2,(O238/2),IF(O238=0.8,O238/2,IF(O238=1.5,O238/2,IF(O238=0.6,O238/2,"IDIOT"))))),"")</f>
        <v>0.6</v>
      </c>
      <c r="CB238" s="288">
        <f>IF(B238="S",(IF(P238=1.2,(P238/2),IF(P238=0.8,P238/2,IF(P238=1.5,P238/2,IF(P238=0.6,P238/2,"IDIOT"))))),"")</f>
        <v>0.6</v>
      </c>
      <c r="CC238" s="316">
        <f>IF(B238="S",((BN238/2+0.1)*N238),"")</f>
        <v>0.38</v>
      </c>
      <c r="CD238" s="288">
        <f>IF(B238="S",((BN238/2+BN238/4)*N238),"")</f>
        <v>0.42000000000000004</v>
      </c>
      <c r="CE238" s="288">
        <f>IF(B238="S",(0.392699*BN238*BN238),"")</f>
        <v>0.12315040640000004</v>
      </c>
      <c r="CF238" s="288" t="str">
        <f>+IF(B238="S",(IF(((H238-J238)-(G238/1000))&lt;=0.9,"E1",IF(((H238-J238)-(G238/1000))&lt;=2.5,"E2","E3"))),"")</f>
        <v>E2</v>
      </c>
      <c r="CG238" s="313">
        <f>IF(B238="S",(IF(BV238="","",BV238-(BV238*L238/100))),"")</f>
        <v>70.229219087572716</v>
      </c>
      <c r="CH238" s="313">
        <f>IF(B238="S",(IF(BW238="","",BW238-(BW238*L238/100))),"")</f>
        <v>28.157294329483037</v>
      </c>
      <c r="CI238" s="313" t="str">
        <f>IF(C238="S",(IF(BX238="","",BX238-(BX238*M238/100))),"")</f>
        <v/>
      </c>
      <c r="CJ238" s="288">
        <f>'Cálculo_Diseño  (2)'!BD239</f>
        <v>1.1415000000000002</v>
      </c>
      <c r="CK238" s="313">
        <f>+IF(B238="S",(IF((CJ238+CU238)&gt;2,2,CJ238+CU238)),"")</f>
        <v>2</v>
      </c>
      <c r="CL238" s="313">
        <f>+IF(B238="S",(IF((CJ238+CU238)&gt;4,2,IF(AND((CJ238+CU238)&lt;=4,(CJ238+CU238)&gt;=2),((CJ238+CU238)-CK238),0))),"")</f>
        <v>0.28300000000000036</v>
      </c>
      <c r="CM238" s="313">
        <f>+IF(B238="S",(IF((CJ238+CU238)&gt;4,((CJ238+CU238)-(CK238+CL238)),0)),"")</f>
        <v>0</v>
      </c>
      <c r="CN238" s="313">
        <f>IF(B238="S",IF((CJ238+CU238)&lt;1.5,(ROUND(CJ238*PI()/4*(2.2)^2+CU238*(PI()/4*(2.2)^2 -PI()/4*(1.6)^2),2)),IF((CJ238+CU238)&lt;=2,(ROUND(((PI()*2.2^2)/4)*0.95-(((1/3)*PI()*0.95*(0.45^2+0.7^2+0.45*0.7)))+(CJ238*PI()/4*(2.2)^2)+(((((CU238)-0.95)*PI()*2.2^2)/4))-((((CU238)-0.95)*PI()*1.6^2)/4),2)),IF((CJ238+CU238)&gt;2,(ROUND(IF(CU238&lt;2,((PI()*2.2^2)/4)*0.95-(((1/3)*PI()*0.95*(0.45^2+0.7^2+0.45*0.7)))+((CU238-0.95)*(PI()/4*(2.2)^2 -PI()/4*(1.6)^2))+(2-CU238)*PI()/4*(2.2)^2,((PI()*2.2^2)/4)*0.95-(((1/3)*PI()*0.95*(0.45^2+0.7^2+0.45*0.7)))+((2-0.95)*(PI()/4*(2.2)^2 -PI()/4*(1.6)^2))),2))))),"")</f>
        <v>6.22</v>
      </c>
      <c r="CO238" s="313">
        <f>IF(B238="S",ROUND(IF(CL238&lt;=0,0,IF(AND(CL238&gt;0,CU238&lt;=0),CL238*PI()/4*2.2^(2),IF(AND(CL238&gt;0,CU238&gt;=4),CL238*(PI()/4*2.2^2-PI()/4*1.6^2),IF(AND(CL238&gt;0,CU238&gt;2,CU238&lt;4,CJ238&gt;0),(CU238-2)*(PI()/4*2.2^(2)-PI()/4*1.6^(2))+IF((CU238+CJ238)&gt;4,(4-CU238)*(PI()/4*2.2^(2)),(CJ238)*PI()/4*(2.2^2)),IF(AND(CL238&gt;0,CU238&lt;=2),(CL238*PI()/4*2.2^2)))))),2),"")</f>
        <v>1.08</v>
      </c>
      <c r="CP238" s="313">
        <f>IF(B238="S",(ROUND(IF(CM238&lt;=0,0,IF(AND(CM238&gt;0,CU238&lt;=0),CM238*PI()/4*2.2^(2),IF(AND(CM238&gt;0,CU238&gt;4,CJ238&lt;=0),CM238*(PI()/4*2.2^2-PI()/4*1.6^2),IF(AND(CM238&gt;0,CU238&lt;=4),CM238*PI()/4*2.2^2)))),2)),"")</f>
        <v>0</v>
      </c>
      <c r="CQ238" s="313">
        <f>IF(B238="S",IF(CK238&gt;1.5,(2*PI()*(0.9)*(CJ238+CU238)),0),"")</f>
        <v>12.910060850661898</v>
      </c>
      <c r="CR238" s="313">
        <f>IF(B238="S",(ROUND(IF(CN238&gt;0,CN238+CO238+CP238-CS238,0),2)),"")</f>
        <v>2.2999999999999998</v>
      </c>
      <c r="CS238" s="313">
        <f>IF(B238="S",(IF(CJ238=0,0,IF(AND((H238-J238)&lt;1.5,CU238&gt;0),ROUND(CU238*(PI()/4*(2.2)^2 -PI()/4*(1.6)^2),2),(ROUND(((PI()*2.2^2)/4)*0.95-(((1/3)*PI()*0.95*(0.45^2+0.7^2+0.45*0.7)))+(((((CJ238+CU238)-0.95)*PI()*2.2^2)/4))-((((CJ238+CU238)-0.95)*PI()*1.6^2)/4),2))))),"")</f>
        <v>5</v>
      </c>
      <c r="CT238" s="313" t="str">
        <f>IF(B238="S",(IF(CN238&gt;=0,IF(CN238+CO238+CP238=(CR238+CS238),"OK","VERIFICAR"),0)),"")</f>
        <v>OK</v>
      </c>
      <c r="CU238" s="309">
        <f>'Cálculo_Diseño  (2)'!BD239</f>
        <v>1.1415000000000002</v>
      </c>
      <c r="CV238" s="288" t="str">
        <f>IF(G238=182,M238-(O238/2)-(P238/2),"")</f>
        <v/>
      </c>
      <c r="CW238" s="288" t="str">
        <f>IF(G238=227,M238-(O238/2)-(P238/2),"")</f>
        <v/>
      </c>
      <c r="CX238" s="288" t="str">
        <f>IF(G238=284,M238-(O238/2)-(P238/2),"")</f>
        <v/>
      </c>
      <c r="CY238" s="288" t="str">
        <f>IF(G238=327,M238-(O238/2)-(P238/2),"")</f>
        <v/>
      </c>
      <c r="CZ238" s="288" t="str">
        <f>IF(G238=362,M238-(O238/2)-(P238/2),"")</f>
        <v/>
      </c>
      <c r="DA238" s="288">
        <f>IF(G238=407,M238-(O238/2)-(P238/2),"")</f>
        <v>40.320746633460239</v>
      </c>
      <c r="DB238" s="288" t="str">
        <f>IF(G238=452,M238-(O238/2)-(P238/2),"")</f>
        <v/>
      </c>
      <c r="DC238" s="288" t="str">
        <f>IF(G238=595.12,M238-(O238/2)-(P238/2),"")</f>
        <v/>
      </c>
      <c r="DD238" s="288" t="str">
        <f>IF(G238=670,M238-(O238/2)-(P238/2),"")</f>
        <v/>
      </c>
      <c r="DE238" s="288" t="str">
        <f>IF(G238=747,M238-(O238/2)-(P238/2),"")</f>
        <v/>
      </c>
      <c r="DF238" s="288" t="str">
        <f>IF(G238=823.09,M238-(O238/2)-(P238/2),"")</f>
        <v/>
      </c>
      <c r="DG238" s="288" t="str">
        <f>IF(G238=899.03,M238-(O238/2)-(P238/2),"")</f>
        <v/>
      </c>
      <c r="DH238" s="309"/>
      <c r="DI238" s="288" t="str">
        <f>+IF(B238="S",B238,"N")</f>
        <v>S</v>
      </c>
      <c r="DJ238" s="288">
        <f>+IF(DI238="S",E238,"")</f>
        <v>41.52</v>
      </c>
      <c r="DK238" s="310">
        <v>18</v>
      </c>
      <c r="DL238" s="288">
        <f>IF(DI238="S",((((AA238+1)*6)/2)*0.7*DK238),"")</f>
        <v>131.73300000000182</v>
      </c>
      <c r="DM238" s="288">
        <f>IF(DI238="S",(ATAN(6/(AA238-1))*180/PI()),"")</f>
        <v>76.098649230490452</v>
      </c>
      <c r="DN238" s="206">
        <f>IF(DI238="S",(TAN(DM238*PI()/180)*(AA238-2)),"")</f>
        <v>1.9595959595960888</v>
      </c>
      <c r="DO238" s="206">
        <f>IF(DI238="S",(TAN(DM238*PI()/180)*(AA238-4)),"")</f>
        <v>-6.1212121212117276</v>
      </c>
      <c r="DP238" s="288">
        <f>IF(DI238="S",(IF(AA238&lt;=2,((((AA238+1)*6)/2)*0.7*DK238),IF(AND(AA238&gt;2,AA238&lt;=4),((((AA238+1)*6)/2)*0.7*DK238)-(((AA238-2)*DN238)/2*0.7*DK238),IF(AND(AA238&gt;4,AA238&lt;=6),((((AA238+1)*6)/2)*0.7*DK238)-(((AA238-2)*DN238)/2*0.7*DK238),0)))),"")</f>
        <v>125.74545454545539</v>
      </c>
      <c r="DQ238" s="288">
        <f>IF(DI238="S",(IF(AND(AA238&gt;2,AA238&lt;=4),(((AA238-2)*DN238)/2*0.7*DK238),IF(AND(AA238&gt;4,AA238&lt;=6),(((AA238-2)*DN238)/2*0.7*DK238)-((AA238-4)*DO238/2*0.7*DK238),0))),"")</f>
        <v>5.9875454545464395</v>
      </c>
      <c r="DR238" s="288">
        <f>IF(DI238="S",(IF(AND(AA238&gt;4,AA238&lt;=6),((AA238-4)*DO238/2*0.7*DK238),IF(AA238&lt;4,0,"REVISAR"))),"")</f>
        <v>0</v>
      </c>
      <c r="DS238" s="288">
        <f t="shared" si="7"/>
        <v>187.8660000000036</v>
      </c>
      <c r="DT238" s="288">
        <f t="shared" si="8"/>
        <v>80.514000000001545</v>
      </c>
      <c r="DU238" s="310" t="str">
        <f>IF(B238="S",(IF(DI238="S",IF(G238=$DU$11,DK238,""),"")),"")</f>
        <v/>
      </c>
      <c r="DV238" s="310" t="str">
        <f>IF(B238="S",(IF(DI238="S",IF(G238=$DV$11,DK238,""),"")),"")</f>
        <v/>
      </c>
      <c r="DW238" s="310" t="str">
        <f>IF(B238="S",(IF(DI238="S",IF(G238=$DW$11,DK238,""),"")),"")</f>
        <v/>
      </c>
      <c r="DX238" s="310" t="str">
        <f>IF(B238="S",(IF(DI238="S",IF(G238=$DX$11,DK238,""),"")),"")</f>
        <v/>
      </c>
      <c r="DY238" s="310" t="str">
        <f>IF(B238="S",(IF(DI238="S",IF(G238=$DY$11,DK238,""),"")),"")</f>
        <v/>
      </c>
      <c r="DZ238" s="310">
        <f>IF(B238="S",(IF(DI238="S",IF(G238=$DZ$11,DK238,""),"")),"")</f>
        <v>18</v>
      </c>
      <c r="EA238" s="310" t="str">
        <f>IF(B238="S",(IF(DI238="S",IF(G238=$EA$11,DK238,""),"")),"")</f>
        <v/>
      </c>
      <c r="EB238" s="310" t="str">
        <f>IF(B238="S",(IF(DI238="S",IF(G238=$EB$11,DK238,""),"")),"")</f>
        <v/>
      </c>
      <c r="EC238" s="288">
        <f>IF(B238="S",0.95,"")</f>
        <v>0.95</v>
      </c>
      <c r="ED238" s="310"/>
      <c r="EE238" s="310"/>
      <c r="EF238" s="310"/>
      <c r="EH238" s="310">
        <f>+IF(EC238=0.95,2+((ED238+EE238+EF238)-1),"")</f>
        <v>1</v>
      </c>
    </row>
    <row r="239" spans="1:138" s="288" customFormat="1" hidden="1">
      <c r="C239" s="309"/>
      <c r="D239" s="309"/>
      <c r="E239" s="309"/>
      <c r="F239" s="309"/>
      <c r="G239" s="309"/>
      <c r="H239" s="309"/>
      <c r="I239" s="309"/>
      <c r="J239" s="309"/>
      <c r="K239" s="309"/>
      <c r="L239" s="315"/>
      <c r="Q239" s="309"/>
      <c r="R239" s="311"/>
      <c r="S239" s="311"/>
      <c r="T239" s="311"/>
      <c r="AB239" s="312"/>
      <c r="AF239" s="313"/>
      <c r="AG239" s="313"/>
      <c r="AH239" s="313"/>
      <c r="AI239" s="313"/>
      <c r="AJ239" s="313"/>
      <c r="AS239" s="314"/>
      <c r="AT239" s="315"/>
      <c r="AU239" s="314"/>
      <c r="AV239" s="312"/>
      <c r="AX239" s="206"/>
      <c r="AY239" s="206"/>
      <c r="BE239" s="316"/>
      <c r="BF239" s="316"/>
      <c r="BG239" s="316"/>
      <c r="BH239" s="310"/>
      <c r="BK239" s="309"/>
      <c r="BL239" s="309"/>
      <c r="BM239" s="309"/>
      <c r="BN239" s="309"/>
      <c r="BP239" s="313"/>
      <c r="CC239" s="316"/>
      <c r="CG239" s="313"/>
      <c r="CH239" s="313"/>
      <c r="CI239" s="313"/>
      <c r="CK239" s="313"/>
      <c r="CL239" s="313"/>
      <c r="CM239" s="313"/>
      <c r="CN239" s="313"/>
      <c r="CO239" s="313"/>
      <c r="CP239" s="313"/>
      <c r="CQ239" s="313"/>
      <c r="CR239" s="313"/>
      <c r="CS239" s="313"/>
      <c r="CT239" s="313"/>
      <c r="CU239" s="309"/>
      <c r="DH239" s="309"/>
      <c r="DK239" s="310"/>
      <c r="DN239" s="206"/>
      <c r="DO239" s="206"/>
      <c r="DS239" s="288" t="str">
        <f t="shared" si="7"/>
        <v/>
      </c>
      <c r="DT239" s="288" t="str">
        <f t="shared" si="8"/>
        <v/>
      </c>
      <c r="DU239" s="310"/>
      <c r="DV239" s="310"/>
      <c r="DW239" s="310"/>
      <c r="DX239" s="310"/>
      <c r="DY239" s="310"/>
      <c r="DZ239" s="310"/>
      <c r="EA239" s="310"/>
      <c r="EB239" s="310"/>
      <c r="ED239" s="310"/>
      <c r="EE239" s="310"/>
      <c r="EF239" s="310"/>
      <c r="EH239" s="310"/>
    </row>
    <row r="240" spans="1:138" s="288" customFormat="1" hidden="1">
      <c r="C240" s="309"/>
      <c r="D240" s="309"/>
      <c r="E240" s="309"/>
      <c r="F240" s="309"/>
      <c r="G240" s="309"/>
      <c r="H240" s="309"/>
      <c r="I240" s="309"/>
      <c r="J240" s="309"/>
      <c r="K240" s="309"/>
      <c r="L240" s="315"/>
      <c r="Q240" s="309"/>
      <c r="R240" s="311"/>
      <c r="S240" s="311"/>
      <c r="T240" s="311"/>
      <c r="AB240" s="312"/>
      <c r="AF240" s="313"/>
      <c r="AG240" s="313"/>
      <c r="AH240" s="313"/>
      <c r="AI240" s="313"/>
      <c r="AJ240" s="313"/>
      <c r="AS240" s="314"/>
      <c r="AT240" s="315"/>
      <c r="AU240" s="314"/>
      <c r="AV240" s="312"/>
      <c r="AX240" s="206"/>
      <c r="AY240" s="206"/>
      <c r="BE240" s="316"/>
      <c r="BF240" s="316"/>
      <c r="BG240" s="316"/>
      <c r="BH240" s="310"/>
      <c r="BK240" s="309"/>
      <c r="BL240" s="309"/>
      <c r="BM240" s="309"/>
      <c r="BN240" s="309"/>
      <c r="BP240" s="313"/>
      <c r="CC240" s="316"/>
      <c r="CG240" s="313"/>
      <c r="CH240" s="313"/>
      <c r="CI240" s="313"/>
      <c r="CK240" s="313"/>
      <c r="CL240" s="313"/>
      <c r="CM240" s="313"/>
      <c r="CN240" s="313"/>
      <c r="CO240" s="313"/>
      <c r="CP240" s="313"/>
      <c r="CQ240" s="313"/>
      <c r="CR240" s="313"/>
      <c r="CS240" s="313"/>
      <c r="CT240" s="313"/>
      <c r="CU240" s="309"/>
      <c r="DH240" s="309"/>
      <c r="DK240" s="310"/>
      <c r="DN240" s="206"/>
      <c r="DO240" s="206"/>
      <c r="DS240" s="288" t="str">
        <f t="shared" si="7"/>
        <v/>
      </c>
      <c r="DT240" s="288" t="str">
        <f t="shared" si="8"/>
        <v/>
      </c>
      <c r="DU240" s="310"/>
      <c r="DV240" s="310"/>
      <c r="DW240" s="310"/>
      <c r="DX240" s="310"/>
      <c r="DY240" s="310"/>
      <c r="DZ240" s="310"/>
      <c r="EA240" s="310"/>
      <c r="EB240" s="310"/>
      <c r="ED240" s="310"/>
      <c r="EE240" s="310"/>
      <c r="EF240" s="310"/>
      <c r="EH240" s="310"/>
    </row>
    <row r="241" spans="3:138" s="288" customFormat="1" hidden="1">
      <c r="C241" s="309"/>
      <c r="D241" s="309"/>
      <c r="E241" s="309"/>
      <c r="F241" s="309"/>
      <c r="G241" s="309"/>
      <c r="H241" s="309"/>
      <c r="I241" s="309"/>
      <c r="J241" s="309"/>
      <c r="K241" s="309"/>
      <c r="L241" s="315"/>
      <c r="Q241" s="309"/>
      <c r="R241" s="311"/>
      <c r="S241" s="311"/>
      <c r="T241" s="311"/>
      <c r="AB241" s="312"/>
      <c r="AF241" s="313"/>
      <c r="AG241" s="313"/>
      <c r="AH241" s="313"/>
      <c r="AI241" s="313"/>
      <c r="AJ241" s="313"/>
      <c r="AS241" s="314"/>
      <c r="AT241" s="315"/>
      <c r="AU241" s="314"/>
      <c r="AV241" s="312"/>
      <c r="AX241" s="206"/>
      <c r="AY241" s="206"/>
      <c r="BE241" s="316"/>
      <c r="BF241" s="316"/>
      <c r="BG241" s="316"/>
      <c r="BH241" s="310"/>
      <c r="BK241" s="309"/>
      <c r="BL241" s="309"/>
      <c r="BM241" s="309"/>
      <c r="BN241" s="309"/>
      <c r="BP241" s="313"/>
      <c r="CC241" s="316"/>
      <c r="CG241" s="313"/>
      <c r="CH241" s="313"/>
      <c r="CI241" s="313"/>
      <c r="CK241" s="313"/>
      <c r="CL241" s="313"/>
      <c r="CM241" s="313"/>
      <c r="CN241" s="313"/>
      <c r="CO241" s="313"/>
      <c r="CP241" s="313"/>
      <c r="CQ241" s="313"/>
      <c r="CR241" s="313"/>
      <c r="CS241" s="313"/>
      <c r="CT241" s="313"/>
      <c r="CU241" s="309"/>
      <c r="DH241" s="309"/>
      <c r="DK241" s="310"/>
      <c r="DN241" s="206"/>
      <c r="DO241" s="206"/>
      <c r="DS241" s="288" t="str">
        <f t="shared" si="7"/>
        <v/>
      </c>
      <c r="DT241" s="288" t="str">
        <f t="shared" si="8"/>
        <v/>
      </c>
      <c r="DU241" s="310"/>
      <c r="DV241" s="310"/>
      <c r="DW241" s="310"/>
      <c r="DX241" s="310"/>
      <c r="DY241" s="310"/>
      <c r="DZ241" s="310"/>
      <c r="EA241" s="310"/>
      <c r="EB241" s="310"/>
      <c r="ED241" s="310"/>
      <c r="EE241" s="310"/>
      <c r="EF241" s="310"/>
      <c r="EH241" s="310"/>
    </row>
    <row r="242" spans="3:138" s="288" customFormat="1" hidden="1">
      <c r="C242" s="309"/>
      <c r="D242" s="309"/>
      <c r="E242" s="309"/>
      <c r="F242" s="309"/>
      <c r="G242" s="309"/>
      <c r="H242" s="309"/>
      <c r="I242" s="309"/>
      <c r="J242" s="309"/>
      <c r="K242" s="309"/>
      <c r="L242" s="315"/>
      <c r="Q242" s="309"/>
      <c r="R242" s="311"/>
      <c r="S242" s="311"/>
      <c r="T242" s="311"/>
      <c r="AB242" s="312"/>
      <c r="AF242" s="313"/>
      <c r="AG242" s="313"/>
      <c r="AH242" s="313"/>
      <c r="AI242" s="313"/>
      <c r="AJ242" s="313"/>
      <c r="AS242" s="314"/>
      <c r="AT242" s="315"/>
      <c r="AU242" s="314"/>
      <c r="AV242" s="312"/>
      <c r="AX242" s="206"/>
      <c r="AY242" s="206"/>
      <c r="BE242" s="316"/>
      <c r="BF242" s="316"/>
      <c r="BG242" s="316"/>
      <c r="BH242" s="310"/>
      <c r="BK242" s="309"/>
      <c r="BL242" s="309"/>
      <c r="BM242" s="309"/>
      <c r="BN242" s="309"/>
      <c r="BP242" s="313"/>
      <c r="CC242" s="316"/>
      <c r="CG242" s="313"/>
      <c r="CH242" s="313"/>
      <c r="CI242" s="313"/>
      <c r="CK242" s="313"/>
      <c r="CL242" s="313"/>
      <c r="CM242" s="313"/>
      <c r="CN242" s="313"/>
      <c r="CO242" s="313"/>
      <c r="CP242" s="313"/>
      <c r="CQ242" s="313"/>
      <c r="CR242" s="313"/>
      <c r="CS242" s="313"/>
      <c r="CT242" s="313"/>
      <c r="CU242" s="309"/>
      <c r="DH242" s="309"/>
      <c r="DK242" s="310"/>
      <c r="DN242" s="206"/>
      <c r="DO242" s="206"/>
      <c r="DS242" s="288" t="str">
        <f t="shared" si="7"/>
        <v/>
      </c>
      <c r="DT242" s="288" t="str">
        <f t="shared" si="8"/>
        <v/>
      </c>
      <c r="DU242" s="310"/>
      <c r="DV242" s="310"/>
      <c r="DW242" s="310"/>
      <c r="DX242" s="310"/>
      <c r="DY242" s="310"/>
      <c r="DZ242" s="310"/>
      <c r="EA242" s="310"/>
      <c r="EB242" s="310"/>
      <c r="ED242" s="310"/>
      <c r="EE242" s="310"/>
      <c r="EF242" s="310"/>
      <c r="EH242" s="310"/>
    </row>
    <row r="243" spans="3:138" s="288" customFormat="1" hidden="1">
      <c r="C243" s="309"/>
      <c r="D243" s="309"/>
      <c r="E243" s="309"/>
      <c r="F243" s="309"/>
      <c r="G243" s="309"/>
      <c r="H243" s="309"/>
      <c r="I243" s="309"/>
      <c r="J243" s="309"/>
      <c r="K243" s="309"/>
      <c r="L243" s="315"/>
      <c r="Q243" s="309"/>
      <c r="R243" s="311"/>
      <c r="S243" s="311"/>
      <c r="T243" s="311"/>
      <c r="AB243" s="312"/>
      <c r="AF243" s="313"/>
      <c r="AG243" s="313"/>
      <c r="AH243" s="313"/>
      <c r="AI243" s="313"/>
      <c r="AJ243" s="313"/>
      <c r="AS243" s="314"/>
      <c r="AT243" s="315"/>
      <c r="AU243" s="314"/>
      <c r="AV243" s="312"/>
      <c r="AX243" s="206"/>
      <c r="AY243" s="206"/>
      <c r="BE243" s="316"/>
      <c r="BF243" s="316"/>
      <c r="BG243" s="316"/>
      <c r="BH243" s="310"/>
      <c r="BK243" s="309"/>
      <c r="BL243" s="309"/>
      <c r="BM243" s="309"/>
      <c r="BN243" s="309"/>
      <c r="BP243" s="313"/>
      <c r="CC243" s="316"/>
      <c r="CG243" s="313"/>
      <c r="CH243" s="313"/>
      <c r="CI243" s="313"/>
      <c r="CK243" s="313"/>
      <c r="CL243" s="313"/>
      <c r="CM243" s="313"/>
      <c r="CN243" s="313"/>
      <c r="CO243" s="313"/>
      <c r="CP243" s="313"/>
      <c r="CQ243" s="313"/>
      <c r="CR243" s="313"/>
      <c r="CS243" s="313"/>
      <c r="CT243" s="313"/>
      <c r="CU243" s="309"/>
      <c r="DH243" s="309"/>
      <c r="DK243" s="310"/>
      <c r="DN243" s="206"/>
      <c r="DO243" s="206"/>
      <c r="DS243" s="288" t="str">
        <f t="shared" si="7"/>
        <v/>
      </c>
      <c r="DT243" s="288" t="str">
        <f t="shared" si="8"/>
        <v/>
      </c>
      <c r="DU243" s="310"/>
      <c r="DV243" s="310"/>
      <c r="DW243" s="310"/>
      <c r="DX243" s="310"/>
      <c r="DY243" s="310"/>
      <c r="DZ243" s="310"/>
      <c r="EA243" s="310"/>
      <c r="EB243" s="310"/>
      <c r="ED243" s="310"/>
      <c r="EE243" s="310"/>
      <c r="EF243" s="310"/>
      <c r="EH243" s="310"/>
    </row>
    <row r="244" spans="3:138" s="288" customFormat="1" hidden="1">
      <c r="C244" s="309"/>
      <c r="D244" s="309"/>
      <c r="E244" s="309"/>
      <c r="F244" s="309"/>
      <c r="G244" s="309"/>
      <c r="H244" s="309"/>
      <c r="I244" s="309"/>
      <c r="J244" s="309"/>
      <c r="K244" s="309"/>
      <c r="L244" s="315"/>
      <c r="Q244" s="309"/>
      <c r="R244" s="311"/>
      <c r="S244" s="311"/>
      <c r="T244" s="311"/>
      <c r="AB244" s="312"/>
      <c r="AF244" s="313"/>
      <c r="AG244" s="313"/>
      <c r="AH244" s="313"/>
      <c r="AI244" s="313"/>
      <c r="AJ244" s="313"/>
      <c r="AS244" s="314"/>
      <c r="AT244" s="315"/>
      <c r="AU244" s="314"/>
      <c r="AV244" s="312"/>
      <c r="AX244" s="206"/>
      <c r="AY244" s="206"/>
      <c r="BE244" s="316"/>
      <c r="BF244" s="316"/>
      <c r="BG244" s="316"/>
      <c r="BH244" s="310"/>
      <c r="BK244" s="309"/>
      <c r="BL244" s="309"/>
      <c r="BM244" s="309"/>
      <c r="BN244" s="309"/>
      <c r="BP244" s="313"/>
      <c r="CC244" s="316"/>
      <c r="CG244" s="313"/>
      <c r="CH244" s="313"/>
      <c r="CI244" s="313"/>
      <c r="CK244" s="313"/>
      <c r="CL244" s="313"/>
      <c r="CM244" s="313"/>
      <c r="CN244" s="313"/>
      <c r="CO244" s="313"/>
      <c r="CP244" s="313"/>
      <c r="CQ244" s="313"/>
      <c r="CR244" s="313"/>
      <c r="CS244" s="313"/>
      <c r="CT244" s="313"/>
      <c r="CU244" s="309"/>
      <c r="DH244" s="309"/>
      <c r="DK244" s="310"/>
      <c r="DN244" s="206"/>
      <c r="DO244" s="206"/>
      <c r="DS244" s="288" t="str">
        <f t="shared" si="7"/>
        <v/>
      </c>
      <c r="DT244" s="288" t="str">
        <f t="shared" si="8"/>
        <v/>
      </c>
      <c r="DU244" s="310"/>
      <c r="DV244" s="310"/>
      <c r="DW244" s="310"/>
      <c r="DX244" s="310"/>
      <c r="DY244" s="310"/>
      <c r="DZ244" s="310"/>
      <c r="EA244" s="310"/>
      <c r="EB244" s="310"/>
      <c r="ED244" s="310"/>
      <c r="EE244" s="310"/>
      <c r="EF244" s="310"/>
      <c r="EH244" s="310"/>
    </row>
    <row r="245" spans="3:138" s="288" customFormat="1" hidden="1">
      <c r="C245" s="309"/>
      <c r="D245" s="309"/>
      <c r="E245" s="309"/>
      <c r="F245" s="309"/>
      <c r="G245" s="309"/>
      <c r="H245" s="309"/>
      <c r="I245" s="309"/>
      <c r="J245" s="309"/>
      <c r="K245" s="309"/>
      <c r="L245" s="315"/>
      <c r="Q245" s="309"/>
      <c r="R245" s="311"/>
      <c r="S245" s="311"/>
      <c r="T245" s="311"/>
      <c r="AB245" s="312"/>
      <c r="AF245" s="313"/>
      <c r="AG245" s="313"/>
      <c r="AH245" s="313"/>
      <c r="AI245" s="313"/>
      <c r="AJ245" s="313"/>
      <c r="AS245" s="314"/>
      <c r="AT245" s="315"/>
      <c r="AU245" s="314"/>
      <c r="AV245" s="312"/>
      <c r="AX245" s="206"/>
      <c r="AY245" s="206"/>
      <c r="BE245" s="316"/>
      <c r="BF245" s="316"/>
      <c r="BG245" s="316"/>
      <c r="BH245" s="310"/>
      <c r="BK245" s="309"/>
      <c r="BL245" s="309"/>
      <c r="BM245" s="309"/>
      <c r="BN245" s="309"/>
      <c r="BP245" s="313"/>
      <c r="CC245" s="316"/>
      <c r="CG245" s="313"/>
      <c r="CH245" s="313"/>
      <c r="CI245" s="313"/>
      <c r="CK245" s="313"/>
      <c r="CL245" s="313"/>
      <c r="CM245" s="313"/>
      <c r="CN245" s="313"/>
      <c r="CO245" s="313"/>
      <c r="CP245" s="313"/>
      <c r="CQ245" s="313"/>
      <c r="CR245" s="313"/>
      <c r="CS245" s="313"/>
      <c r="CT245" s="313"/>
      <c r="CU245" s="309"/>
      <c r="DH245" s="309"/>
      <c r="DK245" s="310"/>
      <c r="DN245" s="206"/>
      <c r="DO245" s="206"/>
      <c r="DS245" s="288" t="str">
        <f t="shared" si="7"/>
        <v/>
      </c>
      <c r="DT245" s="288" t="str">
        <f t="shared" si="8"/>
        <v/>
      </c>
      <c r="DU245" s="310"/>
      <c r="DV245" s="310"/>
      <c r="DW245" s="310"/>
      <c r="DX245" s="310"/>
      <c r="DY245" s="310"/>
      <c r="DZ245" s="310"/>
      <c r="EA245" s="310"/>
      <c r="EB245" s="310"/>
      <c r="ED245" s="310"/>
      <c r="EE245" s="310"/>
      <c r="EF245" s="310"/>
      <c r="EH245" s="310"/>
    </row>
    <row r="246" spans="3:138" s="288" customFormat="1" hidden="1">
      <c r="C246" s="309"/>
      <c r="D246" s="309"/>
      <c r="E246" s="309"/>
      <c r="F246" s="309"/>
      <c r="G246" s="309"/>
      <c r="H246" s="309"/>
      <c r="I246" s="309"/>
      <c r="J246" s="309"/>
      <c r="K246" s="309"/>
      <c r="L246" s="315"/>
      <c r="Q246" s="309"/>
      <c r="R246" s="311"/>
      <c r="S246" s="311"/>
      <c r="T246" s="311"/>
      <c r="AB246" s="312"/>
      <c r="AF246" s="313"/>
      <c r="AG246" s="313"/>
      <c r="AH246" s="313"/>
      <c r="AI246" s="313"/>
      <c r="AJ246" s="313"/>
      <c r="AS246" s="314"/>
      <c r="AT246" s="315"/>
      <c r="AU246" s="314"/>
      <c r="AV246" s="312"/>
      <c r="AX246" s="206"/>
      <c r="AY246" s="206"/>
      <c r="BE246" s="316"/>
      <c r="BF246" s="316"/>
      <c r="BG246" s="316"/>
      <c r="BH246" s="310"/>
      <c r="BK246" s="309"/>
      <c r="BL246" s="309"/>
      <c r="BM246" s="309"/>
      <c r="BN246" s="309"/>
      <c r="BP246" s="313"/>
      <c r="CC246" s="316"/>
      <c r="CG246" s="313"/>
      <c r="CH246" s="313"/>
      <c r="CI246" s="313"/>
      <c r="CK246" s="313"/>
      <c r="CL246" s="313"/>
      <c r="CM246" s="313"/>
      <c r="CN246" s="313"/>
      <c r="CO246" s="313"/>
      <c r="CP246" s="313"/>
      <c r="CQ246" s="313"/>
      <c r="CR246" s="313"/>
      <c r="CS246" s="313"/>
      <c r="CT246" s="313"/>
      <c r="CU246" s="309"/>
      <c r="DH246" s="309"/>
      <c r="DK246" s="310"/>
      <c r="DN246" s="206"/>
      <c r="DO246" s="206"/>
      <c r="DS246" s="288" t="str">
        <f t="shared" si="7"/>
        <v/>
      </c>
      <c r="DT246" s="288" t="str">
        <f t="shared" si="8"/>
        <v/>
      </c>
      <c r="DU246" s="310"/>
      <c r="DV246" s="310"/>
      <c r="DW246" s="310"/>
      <c r="DX246" s="310"/>
      <c r="DY246" s="310"/>
      <c r="DZ246" s="310"/>
      <c r="EA246" s="310"/>
      <c r="EB246" s="310"/>
      <c r="ED246" s="310"/>
      <c r="EE246" s="310"/>
      <c r="EF246" s="310"/>
      <c r="EH246" s="310"/>
    </row>
    <row r="247" spans="3:138" s="288" customFormat="1" hidden="1">
      <c r="C247" s="309"/>
      <c r="D247" s="309"/>
      <c r="E247" s="309"/>
      <c r="F247" s="309"/>
      <c r="G247" s="309"/>
      <c r="H247" s="309"/>
      <c r="I247" s="309"/>
      <c r="J247" s="309"/>
      <c r="K247" s="309"/>
      <c r="L247" s="315"/>
      <c r="Q247" s="309"/>
      <c r="R247" s="311"/>
      <c r="S247" s="311"/>
      <c r="T247" s="311"/>
      <c r="AB247" s="312"/>
      <c r="AF247" s="313"/>
      <c r="AG247" s="313"/>
      <c r="AH247" s="313"/>
      <c r="AI247" s="313"/>
      <c r="AJ247" s="313"/>
      <c r="AS247" s="314"/>
      <c r="AT247" s="315"/>
      <c r="AU247" s="314"/>
      <c r="AV247" s="312"/>
      <c r="AX247" s="206"/>
      <c r="AY247" s="206"/>
      <c r="BE247" s="316"/>
      <c r="BF247" s="316"/>
      <c r="BG247" s="316"/>
      <c r="BH247" s="310"/>
      <c r="BK247" s="309"/>
      <c r="BL247" s="309"/>
      <c r="BM247" s="309"/>
      <c r="BN247" s="309"/>
      <c r="BP247" s="313"/>
      <c r="CC247" s="316"/>
      <c r="CG247" s="313"/>
      <c r="CH247" s="313"/>
      <c r="CI247" s="313"/>
      <c r="CK247" s="313"/>
      <c r="CL247" s="313"/>
      <c r="CM247" s="313"/>
      <c r="CN247" s="313"/>
      <c r="CO247" s="313"/>
      <c r="CP247" s="313"/>
      <c r="CQ247" s="313"/>
      <c r="CR247" s="313"/>
      <c r="CS247" s="313"/>
      <c r="CT247" s="313"/>
      <c r="CU247" s="309"/>
      <c r="DH247" s="309"/>
      <c r="DK247" s="310"/>
      <c r="DN247" s="206"/>
      <c r="DO247" s="206"/>
      <c r="DS247" s="288" t="str">
        <f t="shared" si="7"/>
        <v/>
      </c>
      <c r="DT247" s="288" t="str">
        <f t="shared" si="8"/>
        <v/>
      </c>
      <c r="DU247" s="310"/>
      <c r="DV247" s="310"/>
      <c r="DW247" s="310"/>
      <c r="DX247" s="310"/>
      <c r="DY247" s="310"/>
      <c r="DZ247" s="310"/>
      <c r="EA247" s="310"/>
      <c r="EB247" s="310"/>
      <c r="ED247" s="310"/>
      <c r="EE247" s="310"/>
      <c r="EF247" s="310"/>
      <c r="EH247" s="310"/>
    </row>
    <row r="248" spans="3:138" s="288" customFormat="1" hidden="1">
      <c r="C248" s="309"/>
      <c r="D248" s="309"/>
      <c r="E248" s="309"/>
      <c r="F248" s="309"/>
      <c r="G248" s="309"/>
      <c r="H248" s="309"/>
      <c r="I248" s="309"/>
      <c r="J248" s="309"/>
      <c r="K248" s="309"/>
      <c r="L248" s="315"/>
      <c r="Q248" s="309"/>
      <c r="R248" s="311"/>
      <c r="S248" s="311"/>
      <c r="T248" s="311"/>
      <c r="AB248" s="312"/>
      <c r="AF248" s="313"/>
      <c r="AG248" s="313"/>
      <c r="AH248" s="313"/>
      <c r="AI248" s="313"/>
      <c r="AJ248" s="313"/>
      <c r="AS248" s="314"/>
      <c r="AT248" s="315"/>
      <c r="AU248" s="314"/>
      <c r="AV248" s="312"/>
      <c r="AX248" s="206"/>
      <c r="AY248" s="206"/>
      <c r="BE248" s="316"/>
      <c r="BF248" s="316"/>
      <c r="BG248" s="316"/>
      <c r="BH248" s="310"/>
      <c r="BK248" s="309"/>
      <c r="BL248" s="309"/>
      <c r="BM248" s="309"/>
      <c r="BN248" s="309"/>
      <c r="BP248" s="313"/>
      <c r="CC248" s="316"/>
      <c r="CG248" s="313"/>
      <c r="CH248" s="313"/>
      <c r="CI248" s="313"/>
      <c r="CK248" s="313"/>
      <c r="CL248" s="313"/>
      <c r="CM248" s="313"/>
      <c r="CN248" s="313"/>
      <c r="CO248" s="313"/>
      <c r="CP248" s="313"/>
      <c r="CQ248" s="313"/>
      <c r="CR248" s="313"/>
      <c r="CS248" s="313"/>
      <c r="CT248" s="313"/>
      <c r="CU248" s="309"/>
      <c r="DH248" s="309"/>
      <c r="DK248" s="310"/>
      <c r="DN248" s="206"/>
      <c r="DO248" s="206"/>
      <c r="DS248" s="288" t="str">
        <f t="shared" si="7"/>
        <v/>
      </c>
      <c r="DT248" s="288" t="str">
        <f t="shared" si="8"/>
        <v/>
      </c>
      <c r="DU248" s="310"/>
      <c r="DV248" s="310"/>
      <c r="DW248" s="310"/>
      <c r="DX248" s="310"/>
      <c r="DY248" s="310"/>
      <c r="DZ248" s="310"/>
      <c r="EA248" s="310"/>
      <c r="EB248" s="310"/>
      <c r="ED248" s="310"/>
      <c r="EE248" s="310"/>
      <c r="EF248" s="310"/>
      <c r="EH248" s="310"/>
    </row>
    <row r="249" spans="3:138" s="288" customFormat="1" hidden="1">
      <c r="C249" s="309"/>
      <c r="D249" s="309"/>
      <c r="E249" s="309"/>
      <c r="F249" s="309"/>
      <c r="G249" s="309"/>
      <c r="H249" s="309"/>
      <c r="I249" s="309"/>
      <c r="J249" s="309"/>
      <c r="K249" s="309"/>
      <c r="L249" s="315"/>
      <c r="Q249" s="309"/>
      <c r="R249" s="311"/>
      <c r="S249" s="311"/>
      <c r="T249" s="311"/>
      <c r="AB249" s="312"/>
      <c r="AF249" s="313"/>
      <c r="AG249" s="313"/>
      <c r="AH249" s="313"/>
      <c r="AI249" s="313"/>
      <c r="AJ249" s="313"/>
      <c r="AS249" s="314"/>
      <c r="AT249" s="315"/>
      <c r="AU249" s="314"/>
      <c r="AV249" s="312"/>
      <c r="AX249" s="206"/>
      <c r="AY249" s="206"/>
      <c r="BE249" s="316"/>
      <c r="BF249" s="316"/>
      <c r="BG249" s="316"/>
      <c r="BH249" s="310"/>
      <c r="BK249" s="309"/>
      <c r="BL249" s="309"/>
      <c r="BM249" s="309"/>
      <c r="BN249" s="309"/>
      <c r="BP249" s="313"/>
      <c r="CC249" s="316"/>
      <c r="CG249" s="313"/>
      <c r="CH249" s="313"/>
      <c r="CI249" s="313"/>
      <c r="CK249" s="313"/>
      <c r="CL249" s="313"/>
      <c r="CM249" s="313"/>
      <c r="CN249" s="313"/>
      <c r="CO249" s="313"/>
      <c r="CP249" s="313"/>
      <c r="CQ249" s="313"/>
      <c r="CR249" s="313"/>
      <c r="CS249" s="313"/>
      <c r="CT249" s="313"/>
      <c r="CU249" s="309"/>
      <c r="DH249" s="309"/>
      <c r="DK249" s="310"/>
      <c r="DN249" s="206"/>
      <c r="DO249" s="206"/>
      <c r="DS249" s="288" t="str">
        <f t="shared" si="7"/>
        <v/>
      </c>
      <c r="DT249" s="288" t="str">
        <f t="shared" si="8"/>
        <v/>
      </c>
      <c r="DU249" s="310"/>
      <c r="DV249" s="310"/>
      <c r="DW249" s="310"/>
      <c r="DX249" s="310"/>
      <c r="DY249" s="310"/>
      <c r="DZ249" s="310"/>
      <c r="EA249" s="310"/>
      <c r="EB249" s="310"/>
      <c r="ED249" s="310"/>
      <c r="EE249" s="310"/>
      <c r="EF249" s="310"/>
      <c r="EH249" s="310"/>
    </row>
    <row r="250" spans="3:138" s="288" customFormat="1" hidden="1">
      <c r="C250" s="309"/>
      <c r="D250" s="309"/>
      <c r="E250" s="309"/>
      <c r="F250" s="309"/>
      <c r="G250" s="309"/>
      <c r="H250" s="309"/>
      <c r="I250" s="309"/>
      <c r="J250" s="309"/>
      <c r="K250" s="309"/>
      <c r="L250" s="315"/>
      <c r="Q250" s="309"/>
      <c r="R250" s="311"/>
      <c r="S250" s="311"/>
      <c r="T250" s="311"/>
      <c r="AB250" s="312"/>
      <c r="AF250" s="313"/>
      <c r="AG250" s="313"/>
      <c r="AH250" s="313"/>
      <c r="AI250" s="313"/>
      <c r="AJ250" s="313"/>
      <c r="AS250" s="314"/>
      <c r="AT250" s="315"/>
      <c r="AU250" s="314"/>
      <c r="AV250" s="312"/>
      <c r="AX250" s="206"/>
      <c r="AY250" s="206"/>
      <c r="BE250" s="316"/>
      <c r="BF250" s="316"/>
      <c r="BG250" s="316"/>
      <c r="BH250" s="310"/>
      <c r="BK250" s="309"/>
      <c r="BL250" s="309"/>
      <c r="BM250" s="309"/>
      <c r="BN250" s="309"/>
      <c r="BP250" s="313"/>
      <c r="CC250" s="316"/>
      <c r="CG250" s="313"/>
      <c r="CH250" s="313"/>
      <c r="CI250" s="313"/>
      <c r="CK250" s="313"/>
      <c r="CL250" s="313"/>
      <c r="CM250" s="313"/>
      <c r="CN250" s="313"/>
      <c r="CO250" s="313"/>
      <c r="CP250" s="313"/>
      <c r="CQ250" s="313"/>
      <c r="CR250" s="313"/>
      <c r="CS250" s="313"/>
      <c r="CT250" s="313"/>
      <c r="CU250" s="309"/>
      <c r="DH250" s="309"/>
      <c r="DK250" s="310"/>
      <c r="DN250" s="206"/>
      <c r="DO250" s="206"/>
      <c r="DS250" s="288" t="str">
        <f t="shared" si="7"/>
        <v/>
      </c>
      <c r="DT250" s="288" t="str">
        <f t="shared" si="8"/>
        <v/>
      </c>
      <c r="DU250" s="310"/>
      <c r="DV250" s="310"/>
      <c r="DW250" s="310"/>
      <c r="DX250" s="310"/>
      <c r="DY250" s="310"/>
      <c r="DZ250" s="310"/>
      <c r="EA250" s="310"/>
      <c r="EB250" s="310"/>
      <c r="ED250" s="310"/>
      <c r="EE250" s="310"/>
      <c r="EF250" s="310"/>
      <c r="EH250" s="310"/>
    </row>
    <row r="251" spans="3:138" s="288" customFormat="1" hidden="1">
      <c r="C251" s="309"/>
      <c r="D251" s="309"/>
      <c r="E251" s="309"/>
      <c r="F251" s="309"/>
      <c r="G251" s="309"/>
      <c r="H251" s="309"/>
      <c r="I251" s="309"/>
      <c r="J251" s="309"/>
      <c r="K251" s="309"/>
      <c r="L251" s="315"/>
      <c r="Q251" s="309"/>
      <c r="R251" s="311"/>
      <c r="S251" s="311"/>
      <c r="T251" s="311"/>
      <c r="AB251" s="312"/>
      <c r="AF251" s="313"/>
      <c r="AG251" s="313"/>
      <c r="AH251" s="313"/>
      <c r="AI251" s="313"/>
      <c r="AJ251" s="313"/>
      <c r="AS251" s="314"/>
      <c r="AT251" s="315"/>
      <c r="AU251" s="314"/>
      <c r="AV251" s="312"/>
      <c r="AX251" s="206"/>
      <c r="AY251" s="206"/>
      <c r="BE251" s="316"/>
      <c r="BF251" s="316"/>
      <c r="BG251" s="316"/>
      <c r="BH251" s="310"/>
      <c r="BK251" s="309"/>
      <c r="BL251" s="309"/>
      <c r="BM251" s="309"/>
      <c r="BN251" s="309"/>
      <c r="BP251" s="313"/>
      <c r="CC251" s="316"/>
      <c r="CG251" s="313"/>
      <c r="CH251" s="313"/>
      <c r="CI251" s="313"/>
      <c r="CK251" s="313"/>
      <c r="CL251" s="313"/>
      <c r="CM251" s="313"/>
      <c r="CN251" s="313"/>
      <c r="CO251" s="313"/>
      <c r="CP251" s="313"/>
      <c r="CQ251" s="313"/>
      <c r="CR251" s="313"/>
      <c r="CS251" s="313"/>
      <c r="CT251" s="313"/>
      <c r="CU251" s="309"/>
      <c r="DH251" s="309"/>
      <c r="DK251" s="310"/>
      <c r="DN251" s="206"/>
      <c r="DO251" s="206"/>
      <c r="DS251" s="288" t="str">
        <f t="shared" si="7"/>
        <v/>
      </c>
      <c r="DT251" s="288" t="str">
        <f t="shared" si="8"/>
        <v/>
      </c>
      <c r="DU251" s="310"/>
      <c r="DV251" s="310"/>
      <c r="DW251" s="310"/>
      <c r="DX251" s="310"/>
      <c r="DY251" s="310"/>
      <c r="DZ251" s="310"/>
      <c r="EA251" s="310"/>
      <c r="EB251" s="310"/>
      <c r="ED251" s="310"/>
      <c r="EE251" s="310"/>
      <c r="EF251" s="310"/>
      <c r="EH251" s="310"/>
    </row>
    <row r="252" spans="3:138" s="288" customFormat="1" hidden="1">
      <c r="C252" s="309"/>
      <c r="D252" s="309"/>
      <c r="E252" s="309"/>
      <c r="F252" s="309"/>
      <c r="G252" s="309"/>
      <c r="H252" s="309"/>
      <c r="I252" s="309"/>
      <c r="J252" s="309"/>
      <c r="K252" s="309"/>
      <c r="L252" s="315"/>
      <c r="Q252" s="309"/>
      <c r="R252" s="311"/>
      <c r="S252" s="311"/>
      <c r="T252" s="311"/>
      <c r="AB252" s="312"/>
      <c r="AF252" s="313"/>
      <c r="AG252" s="313"/>
      <c r="AH252" s="313"/>
      <c r="AI252" s="313"/>
      <c r="AJ252" s="313"/>
      <c r="AS252" s="314"/>
      <c r="AT252" s="315"/>
      <c r="AU252" s="314"/>
      <c r="AV252" s="312"/>
      <c r="AX252" s="206"/>
      <c r="AY252" s="206"/>
      <c r="BE252" s="316"/>
      <c r="BF252" s="316"/>
      <c r="BG252" s="316"/>
      <c r="BH252" s="310"/>
      <c r="BK252" s="309"/>
      <c r="BL252" s="309"/>
      <c r="BM252" s="309"/>
      <c r="BN252" s="309"/>
      <c r="BP252" s="313"/>
      <c r="CC252" s="316"/>
      <c r="CG252" s="313"/>
      <c r="CH252" s="313"/>
      <c r="CI252" s="313"/>
      <c r="CK252" s="313"/>
      <c r="CL252" s="313"/>
      <c r="CM252" s="313"/>
      <c r="CN252" s="313"/>
      <c r="CO252" s="313"/>
      <c r="CP252" s="313"/>
      <c r="CQ252" s="313"/>
      <c r="CR252" s="313"/>
      <c r="CS252" s="313"/>
      <c r="CT252" s="313"/>
      <c r="CU252" s="309"/>
      <c r="DH252" s="309"/>
      <c r="DK252" s="310"/>
      <c r="DN252" s="206"/>
      <c r="DO252" s="206"/>
      <c r="DS252" s="288" t="str">
        <f t="shared" si="7"/>
        <v/>
      </c>
      <c r="DT252" s="288" t="str">
        <f t="shared" si="8"/>
        <v/>
      </c>
      <c r="DU252" s="310"/>
      <c r="DV252" s="310"/>
      <c r="DW252" s="310"/>
      <c r="DX252" s="310"/>
      <c r="DY252" s="310"/>
      <c r="DZ252" s="310"/>
      <c r="EA252" s="310"/>
      <c r="EB252" s="310"/>
      <c r="ED252" s="310"/>
      <c r="EE252" s="310"/>
      <c r="EF252" s="310"/>
      <c r="EH252" s="310"/>
    </row>
    <row r="253" spans="3:138" s="288" customFormat="1" hidden="1">
      <c r="C253" s="309"/>
      <c r="D253" s="309"/>
      <c r="E253" s="309"/>
      <c r="F253" s="309"/>
      <c r="G253" s="309"/>
      <c r="H253" s="309"/>
      <c r="I253" s="309"/>
      <c r="J253" s="309"/>
      <c r="K253" s="309"/>
      <c r="L253" s="315"/>
      <c r="Q253" s="309"/>
      <c r="R253" s="311"/>
      <c r="S253" s="311"/>
      <c r="T253" s="311"/>
      <c r="AB253" s="312"/>
      <c r="AF253" s="313"/>
      <c r="AG253" s="313"/>
      <c r="AH253" s="313"/>
      <c r="AI253" s="313"/>
      <c r="AJ253" s="313"/>
      <c r="AS253" s="314"/>
      <c r="AT253" s="315"/>
      <c r="AU253" s="314"/>
      <c r="AV253" s="312"/>
      <c r="AX253" s="206"/>
      <c r="AY253" s="206"/>
      <c r="BE253" s="316"/>
      <c r="BF253" s="316"/>
      <c r="BG253" s="316"/>
      <c r="BH253" s="310"/>
      <c r="BK253" s="309"/>
      <c r="BL253" s="309"/>
      <c r="BM253" s="309"/>
      <c r="BN253" s="309"/>
      <c r="BP253" s="313"/>
      <c r="CC253" s="316"/>
      <c r="CG253" s="313"/>
      <c r="CH253" s="313"/>
      <c r="CI253" s="313"/>
      <c r="CK253" s="313"/>
      <c r="CL253" s="313"/>
      <c r="CM253" s="313"/>
      <c r="CN253" s="313"/>
      <c r="CO253" s="313"/>
      <c r="CP253" s="313"/>
      <c r="CQ253" s="313"/>
      <c r="CR253" s="313"/>
      <c r="CS253" s="313"/>
      <c r="CT253" s="313"/>
      <c r="CU253" s="309"/>
      <c r="DH253" s="309"/>
      <c r="DK253" s="310"/>
      <c r="DN253" s="206"/>
      <c r="DO253" s="206"/>
      <c r="DS253" s="288" t="str">
        <f t="shared" si="7"/>
        <v/>
      </c>
      <c r="DT253" s="288" t="str">
        <f t="shared" si="8"/>
        <v/>
      </c>
      <c r="DU253" s="310"/>
      <c r="DV253" s="310"/>
      <c r="DW253" s="310"/>
      <c r="DX253" s="310"/>
      <c r="DY253" s="310"/>
      <c r="DZ253" s="310"/>
      <c r="EA253" s="310"/>
      <c r="EB253" s="310"/>
      <c r="ED253" s="310"/>
      <c r="EE253" s="310"/>
      <c r="EF253" s="310"/>
      <c r="EH253" s="310"/>
    </row>
    <row r="254" spans="3:138" s="288" customFormat="1" hidden="1">
      <c r="C254" s="309"/>
      <c r="D254" s="309"/>
      <c r="E254" s="309"/>
      <c r="F254" s="309"/>
      <c r="G254" s="309"/>
      <c r="H254" s="309"/>
      <c r="I254" s="309"/>
      <c r="J254" s="309"/>
      <c r="K254" s="309"/>
      <c r="L254" s="315"/>
      <c r="Q254" s="309"/>
      <c r="R254" s="311"/>
      <c r="S254" s="311"/>
      <c r="T254" s="311"/>
      <c r="AB254" s="312"/>
      <c r="AF254" s="313"/>
      <c r="AG254" s="313"/>
      <c r="AH254" s="313"/>
      <c r="AI254" s="313"/>
      <c r="AJ254" s="313"/>
      <c r="AS254" s="314"/>
      <c r="AT254" s="315"/>
      <c r="AU254" s="314"/>
      <c r="AV254" s="312"/>
      <c r="AX254" s="206"/>
      <c r="AY254" s="206"/>
      <c r="BE254" s="316"/>
      <c r="BF254" s="316"/>
      <c r="BG254" s="316"/>
      <c r="BH254" s="310"/>
      <c r="BK254" s="309"/>
      <c r="BL254" s="309"/>
      <c r="BM254" s="309"/>
      <c r="BN254" s="309"/>
      <c r="BP254" s="313"/>
      <c r="CC254" s="316"/>
      <c r="CG254" s="313"/>
      <c r="CH254" s="313"/>
      <c r="CI254" s="313"/>
      <c r="CK254" s="313"/>
      <c r="CL254" s="313"/>
      <c r="CM254" s="313"/>
      <c r="CN254" s="313"/>
      <c r="CO254" s="313"/>
      <c r="CP254" s="313"/>
      <c r="CQ254" s="313"/>
      <c r="CR254" s="313"/>
      <c r="CS254" s="313"/>
      <c r="CT254" s="313"/>
      <c r="CU254" s="309"/>
      <c r="DH254" s="309"/>
      <c r="DK254" s="310"/>
      <c r="DN254" s="206"/>
      <c r="DO254" s="206"/>
      <c r="DS254" s="288" t="str">
        <f t="shared" si="7"/>
        <v/>
      </c>
      <c r="DT254" s="288" t="str">
        <f t="shared" si="8"/>
        <v/>
      </c>
      <c r="DU254" s="310"/>
      <c r="DV254" s="310"/>
      <c r="DW254" s="310"/>
      <c r="DX254" s="310"/>
      <c r="DY254" s="310"/>
      <c r="DZ254" s="310"/>
      <c r="EA254" s="310"/>
      <c r="EB254" s="310"/>
      <c r="ED254" s="310"/>
      <c r="EE254" s="310"/>
      <c r="EF254" s="310"/>
      <c r="EH254" s="310"/>
    </row>
    <row r="255" spans="3:138" s="288" customFormat="1" hidden="1">
      <c r="C255" s="309"/>
      <c r="D255" s="309"/>
      <c r="E255" s="309"/>
      <c r="F255" s="309"/>
      <c r="G255" s="309"/>
      <c r="H255" s="309"/>
      <c r="I255" s="309"/>
      <c r="J255" s="309"/>
      <c r="K255" s="309"/>
      <c r="L255" s="315"/>
      <c r="Q255" s="309"/>
      <c r="R255" s="311"/>
      <c r="S255" s="311"/>
      <c r="T255" s="311"/>
      <c r="AB255" s="312"/>
      <c r="AF255" s="313"/>
      <c r="AG255" s="313"/>
      <c r="AH255" s="313"/>
      <c r="AI255" s="313"/>
      <c r="AJ255" s="313"/>
      <c r="AS255" s="314"/>
      <c r="AT255" s="315"/>
      <c r="AU255" s="314"/>
      <c r="AV255" s="312"/>
      <c r="AX255" s="206"/>
      <c r="AY255" s="206"/>
      <c r="BE255" s="316"/>
      <c r="BF255" s="316"/>
      <c r="BG255" s="316"/>
      <c r="BH255" s="310"/>
      <c r="BK255" s="309"/>
      <c r="BL255" s="309"/>
      <c r="BM255" s="309"/>
      <c r="BN255" s="309"/>
      <c r="BP255" s="313"/>
      <c r="CC255" s="316"/>
      <c r="CG255" s="313"/>
      <c r="CH255" s="313"/>
      <c r="CI255" s="313"/>
      <c r="CK255" s="313"/>
      <c r="CL255" s="313"/>
      <c r="CM255" s="313"/>
      <c r="CN255" s="313"/>
      <c r="CO255" s="313"/>
      <c r="CP255" s="313"/>
      <c r="CQ255" s="313"/>
      <c r="CR255" s="313"/>
      <c r="CS255" s="313"/>
      <c r="CT255" s="313"/>
      <c r="CU255" s="309"/>
      <c r="DH255" s="309"/>
      <c r="DK255" s="310"/>
      <c r="DN255" s="206"/>
      <c r="DO255" s="206"/>
      <c r="DS255" s="288" t="str">
        <f t="shared" si="7"/>
        <v/>
      </c>
      <c r="DT255" s="288" t="str">
        <f t="shared" si="8"/>
        <v/>
      </c>
      <c r="DU255" s="310"/>
      <c r="DV255" s="310"/>
      <c r="DW255" s="310"/>
      <c r="DX255" s="310"/>
      <c r="DY255" s="310"/>
      <c r="DZ255" s="310"/>
      <c r="EA255" s="310"/>
      <c r="EB255" s="310"/>
      <c r="ED255" s="310"/>
      <c r="EE255" s="310"/>
      <c r="EF255" s="310"/>
      <c r="EH255" s="310"/>
    </row>
    <row r="256" spans="3:138" s="288" customFormat="1" hidden="1">
      <c r="C256" s="309"/>
      <c r="D256" s="309"/>
      <c r="E256" s="309"/>
      <c r="F256" s="309"/>
      <c r="G256" s="309"/>
      <c r="H256" s="309"/>
      <c r="I256" s="309"/>
      <c r="J256" s="309"/>
      <c r="K256" s="309"/>
      <c r="L256" s="315"/>
      <c r="Q256" s="309"/>
      <c r="R256" s="311"/>
      <c r="S256" s="311"/>
      <c r="T256" s="311"/>
      <c r="AB256" s="312"/>
      <c r="AF256" s="313"/>
      <c r="AG256" s="313"/>
      <c r="AH256" s="313"/>
      <c r="AI256" s="313"/>
      <c r="AJ256" s="313"/>
      <c r="AS256" s="314"/>
      <c r="AT256" s="315"/>
      <c r="AU256" s="314"/>
      <c r="AV256" s="312"/>
      <c r="AX256" s="206"/>
      <c r="AY256" s="206"/>
      <c r="BE256" s="316"/>
      <c r="BF256" s="316"/>
      <c r="BG256" s="316"/>
      <c r="BH256" s="310"/>
      <c r="BK256" s="309"/>
      <c r="BL256" s="309"/>
      <c r="BM256" s="309"/>
      <c r="BN256" s="309"/>
      <c r="BP256" s="313"/>
      <c r="CC256" s="316"/>
      <c r="CG256" s="313"/>
      <c r="CH256" s="313"/>
      <c r="CI256" s="313"/>
      <c r="CK256" s="313"/>
      <c r="CL256" s="313"/>
      <c r="CM256" s="313"/>
      <c r="CN256" s="313"/>
      <c r="CO256" s="313"/>
      <c r="CP256" s="313"/>
      <c r="CQ256" s="313"/>
      <c r="CR256" s="313"/>
      <c r="CS256" s="313"/>
      <c r="CT256" s="313"/>
      <c r="CU256" s="309"/>
      <c r="DH256" s="309"/>
      <c r="DK256" s="310"/>
      <c r="DN256" s="206"/>
      <c r="DO256" s="206"/>
      <c r="DS256" s="288" t="str">
        <f t="shared" si="7"/>
        <v/>
      </c>
      <c r="DT256" s="288" t="str">
        <f t="shared" si="8"/>
        <v/>
      </c>
      <c r="DU256" s="310"/>
      <c r="DV256" s="310"/>
      <c r="DW256" s="310"/>
      <c r="DX256" s="310"/>
      <c r="DY256" s="310"/>
      <c r="DZ256" s="310"/>
      <c r="EA256" s="310"/>
      <c r="EB256" s="310"/>
      <c r="ED256" s="310"/>
      <c r="EE256" s="310"/>
      <c r="EF256" s="310"/>
      <c r="EH256" s="310"/>
    </row>
    <row r="257" spans="3:138" s="288" customFormat="1" hidden="1">
      <c r="C257" s="309"/>
      <c r="D257" s="309"/>
      <c r="E257" s="309"/>
      <c r="F257" s="309"/>
      <c r="G257" s="309"/>
      <c r="H257" s="309"/>
      <c r="I257" s="309"/>
      <c r="J257" s="309"/>
      <c r="K257" s="309"/>
      <c r="L257" s="315"/>
      <c r="Q257" s="309"/>
      <c r="R257" s="311"/>
      <c r="S257" s="311"/>
      <c r="T257" s="311"/>
      <c r="AB257" s="312"/>
      <c r="AF257" s="313"/>
      <c r="AG257" s="313"/>
      <c r="AH257" s="313"/>
      <c r="AI257" s="313"/>
      <c r="AJ257" s="313"/>
      <c r="AS257" s="314"/>
      <c r="AT257" s="315"/>
      <c r="AU257" s="314"/>
      <c r="AV257" s="312"/>
      <c r="AX257" s="206"/>
      <c r="AY257" s="206"/>
      <c r="BE257" s="316"/>
      <c r="BF257" s="316"/>
      <c r="BG257" s="316"/>
      <c r="BH257" s="310"/>
      <c r="BK257" s="309"/>
      <c r="BL257" s="309"/>
      <c r="BM257" s="309"/>
      <c r="BN257" s="309"/>
      <c r="BP257" s="313"/>
      <c r="CC257" s="316"/>
      <c r="CG257" s="313"/>
      <c r="CH257" s="313"/>
      <c r="CI257" s="313"/>
      <c r="CK257" s="313"/>
      <c r="CL257" s="313"/>
      <c r="CM257" s="313"/>
      <c r="CN257" s="313"/>
      <c r="CO257" s="313"/>
      <c r="CP257" s="313"/>
      <c r="CQ257" s="313"/>
      <c r="CR257" s="313"/>
      <c r="CS257" s="313"/>
      <c r="CT257" s="313"/>
      <c r="CU257" s="309"/>
      <c r="DH257" s="309"/>
      <c r="DK257" s="310"/>
      <c r="DN257" s="206"/>
      <c r="DO257" s="206"/>
      <c r="DS257" s="288" t="str">
        <f t="shared" si="7"/>
        <v/>
      </c>
      <c r="DT257" s="288" t="str">
        <f t="shared" si="8"/>
        <v/>
      </c>
      <c r="DU257" s="310"/>
      <c r="DV257" s="310"/>
      <c r="DW257" s="310"/>
      <c r="DX257" s="310"/>
      <c r="DY257" s="310"/>
      <c r="DZ257" s="310"/>
      <c r="EA257" s="310"/>
      <c r="EB257" s="310"/>
      <c r="ED257" s="310"/>
      <c r="EE257" s="310"/>
      <c r="EF257" s="310"/>
      <c r="EH257" s="310"/>
    </row>
    <row r="258" spans="3:138" s="288" customFormat="1" hidden="1">
      <c r="C258" s="309"/>
      <c r="D258" s="309"/>
      <c r="E258" s="309"/>
      <c r="F258" s="309"/>
      <c r="G258" s="309"/>
      <c r="H258" s="309"/>
      <c r="I258" s="309"/>
      <c r="J258" s="309"/>
      <c r="K258" s="309"/>
      <c r="L258" s="315"/>
      <c r="Q258" s="309"/>
      <c r="R258" s="311"/>
      <c r="S258" s="311"/>
      <c r="T258" s="311"/>
      <c r="AB258" s="312"/>
      <c r="AF258" s="313"/>
      <c r="AG258" s="313"/>
      <c r="AH258" s="313"/>
      <c r="AI258" s="313"/>
      <c r="AJ258" s="313"/>
      <c r="AS258" s="314"/>
      <c r="AT258" s="315"/>
      <c r="AU258" s="314"/>
      <c r="AV258" s="312"/>
      <c r="AX258" s="206"/>
      <c r="AY258" s="206"/>
      <c r="BE258" s="316"/>
      <c r="BF258" s="316"/>
      <c r="BG258" s="316"/>
      <c r="BH258" s="310"/>
      <c r="BK258" s="309"/>
      <c r="BL258" s="309"/>
      <c r="BM258" s="309"/>
      <c r="BN258" s="309"/>
      <c r="BP258" s="313"/>
      <c r="CC258" s="316"/>
      <c r="CG258" s="313"/>
      <c r="CH258" s="313"/>
      <c r="CI258" s="313"/>
      <c r="CK258" s="313"/>
      <c r="CL258" s="313"/>
      <c r="CM258" s="313"/>
      <c r="CN258" s="313"/>
      <c r="CO258" s="313"/>
      <c r="CP258" s="313"/>
      <c r="CQ258" s="313"/>
      <c r="CR258" s="313"/>
      <c r="CS258" s="313"/>
      <c r="CT258" s="313"/>
      <c r="CU258" s="309"/>
      <c r="DH258" s="309"/>
      <c r="DK258" s="310"/>
      <c r="DN258" s="206"/>
      <c r="DO258" s="206"/>
      <c r="DS258" s="288" t="str">
        <f t="shared" si="7"/>
        <v/>
      </c>
      <c r="DT258" s="288" t="str">
        <f t="shared" si="8"/>
        <v/>
      </c>
      <c r="DU258" s="310"/>
      <c r="DV258" s="310"/>
      <c r="DW258" s="310"/>
      <c r="DX258" s="310"/>
      <c r="DY258" s="310"/>
      <c r="DZ258" s="310"/>
      <c r="EA258" s="310"/>
      <c r="EB258" s="310"/>
      <c r="ED258" s="310"/>
      <c r="EE258" s="310"/>
      <c r="EF258" s="310"/>
      <c r="EH258" s="310"/>
    </row>
    <row r="259" spans="3:138" s="288" customFormat="1" hidden="1">
      <c r="C259" s="309"/>
      <c r="D259" s="309"/>
      <c r="E259" s="309"/>
      <c r="F259" s="309"/>
      <c r="G259" s="309"/>
      <c r="H259" s="309"/>
      <c r="I259" s="309"/>
      <c r="J259" s="309"/>
      <c r="K259" s="309"/>
      <c r="L259" s="315"/>
      <c r="Q259" s="309"/>
      <c r="R259" s="311"/>
      <c r="S259" s="311"/>
      <c r="T259" s="311"/>
      <c r="AB259" s="312"/>
      <c r="AF259" s="313"/>
      <c r="AG259" s="313"/>
      <c r="AH259" s="313"/>
      <c r="AI259" s="313"/>
      <c r="AJ259" s="313"/>
      <c r="AS259" s="314"/>
      <c r="AT259" s="315"/>
      <c r="AU259" s="314"/>
      <c r="AV259" s="312"/>
      <c r="AX259" s="206"/>
      <c r="AY259" s="206"/>
      <c r="BE259" s="316"/>
      <c r="BF259" s="316"/>
      <c r="BG259" s="316"/>
      <c r="BH259" s="310"/>
      <c r="BK259" s="309"/>
      <c r="BL259" s="309"/>
      <c r="BM259" s="309"/>
      <c r="BN259" s="309"/>
      <c r="BP259" s="313"/>
      <c r="CC259" s="316"/>
      <c r="CG259" s="313"/>
      <c r="CH259" s="313"/>
      <c r="CI259" s="313"/>
      <c r="CK259" s="313"/>
      <c r="CL259" s="313"/>
      <c r="CM259" s="313"/>
      <c r="CN259" s="313"/>
      <c r="CO259" s="313"/>
      <c r="CP259" s="313"/>
      <c r="CQ259" s="313"/>
      <c r="CR259" s="313"/>
      <c r="CS259" s="313"/>
      <c r="CT259" s="313"/>
      <c r="CU259" s="309"/>
      <c r="DH259" s="309"/>
      <c r="DK259" s="310"/>
      <c r="DN259" s="206"/>
      <c r="DO259" s="206"/>
      <c r="DS259" s="288" t="str">
        <f t="shared" si="7"/>
        <v/>
      </c>
      <c r="DT259" s="288" t="str">
        <f t="shared" si="8"/>
        <v/>
      </c>
      <c r="DU259" s="310"/>
      <c r="DV259" s="310"/>
      <c r="DW259" s="310"/>
      <c r="DX259" s="310"/>
      <c r="DY259" s="310"/>
      <c r="DZ259" s="310"/>
      <c r="EA259" s="310"/>
      <c r="EB259" s="310"/>
      <c r="ED259" s="310"/>
      <c r="EE259" s="310"/>
      <c r="EF259" s="310"/>
      <c r="EH259" s="310"/>
    </row>
    <row r="260" spans="3:138" s="288" customFormat="1" hidden="1">
      <c r="C260" s="309"/>
      <c r="D260" s="309"/>
      <c r="E260" s="309"/>
      <c r="F260" s="309"/>
      <c r="G260" s="309"/>
      <c r="H260" s="309"/>
      <c r="I260" s="309"/>
      <c r="J260" s="309"/>
      <c r="K260" s="309"/>
      <c r="L260" s="315"/>
      <c r="Q260" s="309"/>
      <c r="R260" s="311"/>
      <c r="S260" s="311"/>
      <c r="T260" s="311"/>
      <c r="AB260" s="312"/>
      <c r="AF260" s="313"/>
      <c r="AG260" s="313"/>
      <c r="AH260" s="313"/>
      <c r="AI260" s="313"/>
      <c r="AJ260" s="313"/>
      <c r="AS260" s="314"/>
      <c r="AT260" s="315"/>
      <c r="AU260" s="314"/>
      <c r="AV260" s="312"/>
      <c r="AX260" s="206"/>
      <c r="AY260" s="206"/>
      <c r="BE260" s="316"/>
      <c r="BF260" s="316"/>
      <c r="BG260" s="316"/>
      <c r="BH260" s="310"/>
      <c r="BK260" s="309"/>
      <c r="BL260" s="309"/>
      <c r="BM260" s="309"/>
      <c r="BN260" s="309"/>
      <c r="BP260" s="313"/>
      <c r="CC260" s="316"/>
      <c r="CG260" s="313"/>
      <c r="CH260" s="313"/>
      <c r="CI260" s="313"/>
      <c r="CK260" s="313"/>
      <c r="CL260" s="313"/>
      <c r="CM260" s="313"/>
      <c r="CN260" s="313"/>
      <c r="CO260" s="313"/>
      <c r="CP260" s="313"/>
      <c r="CQ260" s="313"/>
      <c r="CR260" s="313"/>
      <c r="CS260" s="313"/>
      <c r="CT260" s="313"/>
      <c r="CU260" s="309"/>
      <c r="DH260" s="309"/>
      <c r="DK260" s="310"/>
      <c r="DN260" s="206"/>
      <c r="DO260" s="206"/>
      <c r="DS260" s="288" t="str">
        <f t="shared" si="7"/>
        <v/>
      </c>
      <c r="DT260" s="288" t="str">
        <f t="shared" si="8"/>
        <v/>
      </c>
      <c r="DU260" s="310"/>
      <c r="DV260" s="310"/>
      <c r="DW260" s="310"/>
      <c r="DX260" s="310"/>
      <c r="DY260" s="310"/>
      <c r="DZ260" s="310"/>
      <c r="EA260" s="310"/>
      <c r="EB260" s="310"/>
      <c r="ED260" s="310"/>
      <c r="EE260" s="310"/>
      <c r="EF260" s="310"/>
      <c r="EH260" s="310"/>
    </row>
    <row r="261" spans="3:138" s="288" customFormat="1" hidden="1">
      <c r="C261" s="309"/>
      <c r="D261" s="309"/>
      <c r="E261" s="309"/>
      <c r="F261" s="309"/>
      <c r="G261" s="309"/>
      <c r="H261" s="309"/>
      <c r="I261" s="309"/>
      <c r="J261" s="309"/>
      <c r="K261" s="309"/>
      <c r="L261" s="315"/>
      <c r="Q261" s="309"/>
      <c r="R261" s="311"/>
      <c r="S261" s="311"/>
      <c r="T261" s="311"/>
      <c r="AB261" s="312"/>
      <c r="AF261" s="313"/>
      <c r="AG261" s="313"/>
      <c r="AH261" s="313"/>
      <c r="AI261" s="313"/>
      <c r="AJ261" s="313"/>
      <c r="AS261" s="314"/>
      <c r="AT261" s="315"/>
      <c r="AU261" s="314"/>
      <c r="AV261" s="312"/>
      <c r="AX261" s="206"/>
      <c r="AY261" s="206"/>
      <c r="BE261" s="316"/>
      <c r="BF261" s="316"/>
      <c r="BG261" s="316"/>
      <c r="BH261" s="310"/>
      <c r="BK261" s="309"/>
      <c r="BL261" s="309"/>
      <c r="BM261" s="309"/>
      <c r="BN261" s="309"/>
      <c r="BP261" s="313"/>
      <c r="CC261" s="316"/>
      <c r="CG261" s="313"/>
      <c r="CH261" s="313"/>
      <c r="CI261" s="313"/>
      <c r="CK261" s="313"/>
      <c r="CL261" s="313"/>
      <c r="CM261" s="313"/>
      <c r="CN261" s="313"/>
      <c r="CO261" s="313"/>
      <c r="CP261" s="313"/>
      <c r="CQ261" s="313"/>
      <c r="CR261" s="313"/>
      <c r="CS261" s="313"/>
      <c r="CT261" s="313"/>
      <c r="CU261" s="309"/>
      <c r="DH261" s="309"/>
      <c r="DK261" s="310"/>
      <c r="DN261" s="206"/>
      <c r="DO261" s="206"/>
      <c r="DS261" s="288" t="str">
        <f t="shared" si="7"/>
        <v/>
      </c>
      <c r="DT261" s="288" t="str">
        <f t="shared" si="8"/>
        <v/>
      </c>
      <c r="DU261" s="310"/>
      <c r="DV261" s="310"/>
      <c r="DW261" s="310"/>
      <c r="DX261" s="310"/>
      <c r="DY261" s="310"/>
      <c r="DZ261" s="310"/>
      <c r="EA261" s="310"/>
      <c r="EB261" s="310"/>
      <c r="ED261" s="310"/>
      <c r="EE261" s="310"/>
      <c r="EF261" s="310"/>
      <c r="EH261" s="310"/>
    </row>
    <row r="262" spans="3:138" s="288" customFormat="1" hidden="1">
      <c r="C262" s="309"/>
      <c r="D262" s="309"/>
      <c r="E262" s="309"/>
      <c r="F262" s="309"/>
      <c r="G262" s="309"/>
      <c r="H262" s="309"/>
      <c r="I262" s="309"/>
      <c r="J262" s="309"/>
      <c r="K262" s="309"/>
      <c r="L262" s="315"/>
      <c r="Q262" s="309"/>
      <c r="R262" s="311"/>
      <c r="S262" s="311"/>
      <c r="T262" s="311"/>
      <c r="AB262" s="312"/>
      <c r="AF262" s="313"/>
      <c r="AG262" s="313"/>
      <c r="AH262" s="313"/>
      <c r="AI262" s="313"/>
      <c r="AJ262" s="313"/>
      <c r="AS262" s="314"/>
      <c r="AT262" s="315"/>
      <c r="AU262" s="314"/>
      <c r="AV262" s="312"/>
      <c r="AX262" s="206"/>
      <c r="AY262" s="206"/>
      <c r="BE262" s="316"/>
      <c r="BF262" s="316"/>
      <c r="BG262" s="316"/>
      <c r="BH262" s="310"/>
      <c r="BK262" s="309"/>
      <c r="BL262" s="309"/>
      <c r="BM262" s="309"/>
      <c r="BN262" s="309"/>
      <c r="BP262" s="313"/>
      <c r="CC262" s="316"/>
      <c r="CG262" s="313"/>
      <c r="CH262" s="313"/>
      <c r="CI262" s="313"/>
      <c r="CK262" s="313"/>
      <c r="CL262" s="313"/>
      <c r="CM262" s="313"/>
      <c r="CN262" s="313"/>
      <c r="CO262" s="313"/>
      <c r="CP262" s="313"/>
      <c r="CQ262" s="313"/>
      <c r="CR262" s="313"/>
      <c r="CS262" s="313"/>
      <c r="CT262" s="313"/>
      <c r="CU262" s="309"/>
      <c r="DH262" s="309"/>
      <c r="DK262" s="310"/>
      <c r="DN262" s="206"/>
      <c r="DO262" s="206"/>
      <c r="DS262" s="288" t="str">
        <f t="shared" ref="DS262:DS293" si="9">IF(DI262="S",(IF(AA262&gt;1.5,(3*AA262*0.7*DK262*2),0)),"")</f>
        <v/>
      </c>
      <c r="DT262" s="288" t="str">
        <f t="shared" ref="DT262:DT293" si="10">IF(DI262="S",(IF(AA262&gt;1.5,(3*AA262*0.3*DK262*2),0)),"")</f>
        <v/>
      </c>
      <c r="DU262" s="310"/>
      <c r="DV262" s="310"/>
      <c r="DW262" s="310"/>
      <c r="DX262" s="310"/>
      <c r="DY262" s="310"/>
      <c r="DZ262" s="310"/>
      <c r="EA262" s="310"/>
      <c r="EB262" s="310"/>
      <c r="ED262" s="310"/>
      <c r="EE262" s="310"/>
      <c r="EF262" s="310"/>
      <c r="EH262" s="310"/>
    </row>
    <row r="263" spans="3:138" s="288" customFormat="1" hidden="1">
      <c r="C263" s="309"/>
      <c r="D263" s="309"/>
      <c r="E263" s="309"/>
      <c r="F263" s="309"/>
      <c r="G263" s="309"/>
      <c r="H263" s="309"/>
      <c r="I263" s="309"/>
      <c r="J263" s="309"/>
      <c r="K263" s="309"/>
      <c r="L263" s="315"/>
      <c r="Q263" s="309"/>
      <c r="R263" s="311"/>
      <c r="S263" s="311"/>
      <c r="T263" s="311"/>
      <c r="AB263" s="312"/>
      <c r="AF263" s="313"/>
      <c r="AG263" s="313"/>
      <c r="AH263" s="313"/>
      <c r="AI263" s="313"/>
      <c r="AJ263" s="313"/>
      <c r="AS263" s="314"/>
      <c r="AT263" s="315"/>
      <c r="AU263" s="314"/>
      <c r="AV263" s="312"/>
      <c r="AX263" s="206"/>
      <c r="AY263" s="206"/>
      <c r="BE263" s="316"/>
      <c r="BF263" s="316"/>
      <c r="BG263" s="316"/>
      <c r="BH263" s="310"/>
      <c r="BK263" s="309"/>
      <c r="BL263" s="309"/>
      <c r="BM263" s="309"/>
      <c r="BN263" s="309"/>
      <c r="BP263" s="313"/>
      <c r="CC263" s="316"/>
      <c r="CG263" s="313"/>
      <c r="CH263" s="313"/>
      <c r="CI263" s="313"/>
      <c r="CK263" s="313"/>
      <c r="CL263" s="313"/>
      <c r="CM263" s="313"/>
      <c r="CN263" s="313"/>
      <c r="CO263" s="313"/>
      <c r="CP263" s="313"/>
      <c r="CQ263" s="313"/>
      <c r="CR263" s="313"/>
      <c r="CS263" s="313"/>
      <c r="CT263" s="313"/>
      <c r="CU263" s="309"/>
      <c r="DH263" s="309"/>
      <c r="DK263" s="310"/>
      <c r="DN263" s="206"/>
      <c r="DO263" s="206"/>
      <c r="DS263" s="288" t="str">
        <f t="shared" si="9"/>
        <v/>
      </c>
      <c r="DT263" s="288" t="str">
        <f t="shared" si="10"/>
        <v/>
      </c>
      <c r="DU263" s="310"/>
      <c r="DV263" s="310"/>
      <c r="DW263" s="310"/>
      <c r="DX263" s="310"/>
      <c r="DY263" s="310"/>
      <c r="DZ263" s="310"/>
      <c r="EA263" s="310"/>
      <c r="EB263" s="310"/>
      <c r="ED263" s="310"/>
      <c r="EE263" s="310"/>
      <c r="EF263" s="310"/>
      <c r="EH263" s="310"/>
    </row>
    <row r="264" spans="3:138" s="288" customFormat="1" hidden="1">
      <c r="C264" s="309"/>
      <c r="D264" s="309"/>
      <c r="E264" s="309"/>
      <c r="F264" s="309"/>
      <c r="G264" s="309"/>
      <c r="H264" s="309"/>
      <c r="I264" s="309"/>
      <c r="J264" s="309"/>
      <c r="K264" s="309"/>
      <c r="L264" s="315"/>
      <c r="Q264" s="309"/>
      <c r="R264" s="311"/>
      <c r="S264" s="311"/>
      <c r="T264" s="311"/>
      <c r="AB264" s="312"/>
      <c r="AF264" s="313"/>
      <c r="AG264" s="313"/>
      <c r="AH264" s="313"/>
      <c r="AI264" s="313"/>
      <c r="AJ264" s="313"/>
      <c r="AS264" s="314"/>
      <c r="AT264" s="315"/>
      <c r="AU264" s="314"/>
      <c r="AV264" s="312"/>
      <c r="AX264" s="206"/>
      <c r="AY264" s="206"/>
      <c r="BE264" s="316"/>
      <c r="BF264" s="316"/>
      <c r="BG264" s="316"/>
      <c r="BH264" s="310"/>
      <c r="BK264" s="309"/>
      <c r="BL264" s="309"/>
      <c r="BM264" s="309"/>
      <c r="BN264" s="309"/>
      <c r="BP264" s="313"/>
      <c r="CC264" s="316"/>
      <c r="CG264" s="313"/>
      <c r="CH264" s="313"/>
      <c r="CI264" s="313"/>
      <c r="CK264" s="313"/>
      <c r="CL264" s="313"/>
      <c r="CM264" s="313"/>
      <c r="CN264" s="313"/>
      <c r="CO264" s="313"/>
      <c r="CP264" s="313"/>
      <c r="CQ264" s="313"/>
      <c r="CR264" s="313"/>
      <c r="CS264" s="313"/>
      <c r="CT264" s="313"/>
      <c r="CU264" s="309"/>
      <c r="DH264" s="309"/>
      <c r="DK264" s="310"/>
      <c r="DN264" s="206"/>
      <c r="DO264" s="206"/>
      <c r="DS264" s="288" t="str">
        <f t="shared" si="9"/>
        <v/>
      </c>
      <c r="DT264" s="288" t="str">
        <f t="shared" si="10"/>
        <v/>
      </c>
      <c r="DU264" s="310"/>
      <c r="DV264" s="310"/>
      <c r="DW264" s="310"/>
      <c r="DX264" s="310"/>
      <c r="DY264" s="310"/>
      <c r="DZ264" s="310"/>
      <c r="EA264" s="310"/>
      <c r="EB264" s="310"/>
      <c r="ED264" s="310"/>
      <c r="EE264" s="310"/>
      <c r="EF264" s="310"/>
      <c r="EH264" s="310"/>
    </row>
    <row r="265" spans="3:138" s="288" customFormat="1" hidden="1">
      <c r="C265" s="309"/>
      <c r="D265" s="309"/>
      <c r="E265" s="309"/>
      <c r="F265" s="309"/>
      <c r="G265" s="309"/>
      <c r="H265" s="309"/>
      <c r="I265" s="309"/>
      <c r="J265" s="309"/>
      <c r="K265" s="309"/>
      <c r="L265" s="315"/>
      <c r="Q265" s="309"/>
      <c r="R265" s="311"/>
      <c r="S265" s="311"/>
      <c r="T265" s="311"/>
      <c r="AB265" s="312"/>
      <c r="AF265" s="313"/>
      <c r="AG265" s="313"/>
      <c r="AH265" s="313"/>
      <c r="AI265" s="313"/>
      <c r="AJ265" s="313"/>
      <c r="AS265" s="314"/>
      <c r="AT265" s="315"/>
      <c r="AU265" s="314"/>
      <c r="AV265" s="312"/>
      <c r="AX265" s="206"/>
      <c r="AY265" s="206"/>
      <c r="BE265" s="316"/>
      <c r="BF265" s="316"/>
      <c r="BG265" s="316"/>
      <c r="BH265" s="310"/>
      <c r="BK265" s="309"/>
      <c r="BL265" s="309"/>
      <c r="BM265" s="309"/>
      <c r="BN265" s="309"/>
      <c r="BP265" s="313"/>
      <c r="CC265" s="316"/>
      <c r="CG265" s="313"/>
      <c r="CH265" s="313"/>
      <c r="CI265" s="313"/>
      <c r="CK265" s="313"/>
      <c r="CL265" s="313"/>
      <c r="CM265" s="313"/>
      <c r="CN265" s="313"/>
      <c r="CO265" s="313"/>
      <c r="CP265" s="313"/>
      <c r="CQ265" s="313"/>
      <c r="CR265" s="313"/>
      <c r="CS265" s="313"/>
      <c r="CT265" s="313"/>
      <c r="CU265" s="309"/>
      <c r="DH265" s="309"/>
      <c r="DK265" s="310"/>
      <c r="DN265" s="206"/>
      <c r="DO265" s="206"/>
      <c r="DS265" s="288" t="str">
        <f t="shared" si="9"/>
        <v/>
      </c>
      <c r="DT265" s="288" t="str">
        <f t="shared" si="10"/>
        <v/>
      </c>
      <c r="DU265" s="310"/>
      <c r="DV265" s="310"/>
      <c r="DW265" s="310"/>
      <c r="DX265" s="310"/>
      <c r="DY265" s="310"/>
      <c r="DZ265" s="310"/>
      <c r="EA265" s="310"/>
      <c r="EB265" s="310"/>
      <c r="ED265" s="310"/>
      <c r="EE265" s="310"/>
      <c r="EF265" s="310"/>
      <c r="EH265" s="310"/>
    </row>
    <row r="266" spans="3:138" s="288" customFormat="1" hidden="1">
      <c r="C266" s="309"/>
      <c r="D266" s="309"/>
      <c r="E266" s="309"/>
      <c r="F266" s="309"/>
      <c r="G266" s="309"/>
      <c r="H266" s="309"/>
      <c r="I266" s="309"/>
      <c r="J266" s="309"/>
      <c r="K266" s="309"/>
      <c r="L266" s="315"/>
      <c r="Q266" s="309"/>
      <c r="R266" s="311"/>
      <c r="S266" s="311"/>
      <c r="T266" s="311"/>
      <c r="AB266" s="312"/>
      <c r="AF266" s="313"/>
      <c r="AG266" s="313"/>
      <c r="AH266" s="313"/>
      <c r="AI266" s="313"/>
      <c r="AJ266" s="313"/>
      <c r="AS266" s="314"/>
      <c r="AT266" s="315"/>
      <c r="AU266" s="314"/>
      <c r="AV266" s="312"/>
      <c r="AX266" s="206"/>
      <c r="AY266" s="206"/>
      <c r="BE266" s="316"/>
      <c r="BF266" s="316"/>
      <c r="BG266" s="316"/>
      <c r="BH266" s="310"/>
      <c r="BK266" s="309"/>
      <c r="BL266" s="309"/>
      <c r="BM266" s="309"/>
      <c r="BN266" s="309"/>
      <c r="BP266" s="313"/>
      <c r="CC266" s="316"/>
      <c r="CG266" s="313"/>
      <c r="CH266" s="313"/>
      <c r="CI266" s="313"/>
      <c r="CK266" s="313"/>
      <c r="CL266" s="313"/>
      <c r="CM266" s="313"/>
      <c r="CN266" s="313"/>
      <c r="CO266" s="313"/>
      <c r="CP266" s="313"/>
      <c r="CQ266" s="313"/>
      <c r="CR266" s="313"/>
      <c r="CS266" s="313"/>
      <c r="CT266" s="313"/>
      <c r="CU266" s="309"/>
      <c r="DH266" s="309"/>
      <c r="DK266" s="310"/>
      <c r="DN266" s="206"/>
      <c r="DO266" s="206"/>
      <c r="DS266" s="288" t="str">
        <f t="shared" si="9"/>
        <v/>
      </c>
      <c r="DT266" s="288" t="str">
        <f t="shared" si="10"/>
        <v/>
      </c>
      <c r="DU266" s="310"/>
      <c r="DV266" s="310"/>
      <c r="DW266" s="310"/>
      <c r="DX266" s="310"/>
      <c r="DY266" s="310"/>
      <c r="DZ266" s="310"/>
      <c r="EA266" s="310"/>
      <c r="EB266" s="310"/>
      <c r="ED266" s="310"/>
      <c r="EE266" s="310"/>
      <c r="EF266" s="310"/>
      <c r="EH266" s="310"/>
    </row>
    <row r="267" spans="3:138" s="288" customFormat="1" hidden="1">
      <c r="C267" s="309"/>
      <c r="D267" s="309"/>
      <c r="E267" s="309"/>
      <c r="F267" s="309"/>
      <c r="G267" s="309"/>
      <c r="H267" s="309"/>
      <c r="I267" s="309"/>
      <c r="J267" s="309"/>
      <c r="K267" s="309"/>
      <c r="L267" s="315"/>
      <c r="Q267" s="309"/>
      <c r="R267" s="311"/>
      <c r="S267" s="311"/>
      <c r="T267" s="311"/>
      <c r="AB267" s="312"/>
      <c r="AF267" s="313"/>
      <c r="AG267" s="313"/>
      <c r="AH267" s="313"/>
      <c r="AI267" s="313"/>
      <c r="AJ267" s="313"/>
      <c r="AS267" s="314"/>
      <c r="AT267" s="315"/>
      <c r="AU267" s="314"/>
      <c r="AV267" s="312"/>
      <c r="AX267" s="206"/>
      <c r="AY267" s="206"/>
      <c r="BE267" s="316"/>
      <c r="BF267" s="316"/>
      <c r="BG267" s="316"/>
      <c r="BH267" s="310"/>
      <c r="BK267" s="309"/>
      <c r="BL267" s="309"/>
      <c r="BM267" s="309"/>
      <c r="BN267" s="309"/>
      <c r="BP267" s="313"/>
      <c r="CC267" s="316"/>
      <c r="CG267" s="313"/>
      <c r="CH267" s="313"/>
      <c r="CI267" s="313"/>
      <c r="CK267" s="313"/>
      <c r="CL267" s="313"/>
      <c r="CM267" s="313"/>
      <c r="CN267" s="313"/>
      <c r="CO267" s="313"/>
      <c r="CP267" s="313"/>
      <c r="CQ267" s="313"/>
      <c r="CR267" s="313"/>
      <c r="CS267" s="313"/>
      <c r="CT267" s="313"/>
      <c r="CU267" s="309"/>
      <c r="DH267" s="309"/>
      <c r="DK267" s="310"/>
      <c r="DN267" s="206"/>
      <c r="DO267" s="206"/>
      <c r="DS267" s="288" t="str">
        <f t="shared" si="9"/>
        <v/>
      </c>
      <c r="DT267" s="288" t="str">
        <f t="shared" si="10"/>
        <v/>
      </c>
      <c r="DU267" s="310"/>
      <c r="DV267" s="310"/>
      <c r="DW267" s="310"/>
      <c r="DX267" s="310"/>
      <c r="DY267" s="310"/>
      <c r="DZ267" s="310"/>
      <c r="EA267" s="310"/>
      <c r="EB267" s="310"/>
      <c r="ED267" s="310"/>
      <c r="EE267" s="310"/>
      <c r="EF267" s="310"/>
      <c r="EH267" s="310"/>
    </row>
    <row r="268" spans="3:138" s="288" customFormat="1" hidden="1">
      <c r="C268" s="309"/>
      <c r="D268" s="309"/>
      <c r="E268" s="309"/>
      <c r="F268" s="309"/>
      <c r="G268" s="309"/>
      <c r="H268" s="309"/>
      <c r="I268" s="309"/>
      <c r="J268" s="309"/>
      <c r="K268" s="309"/>
      <c r="L268" s="315"/>
      <c r="Q268" s="309"/>
      <c r="R268" s="311"/>
      <c r="S268" s="311"/>
      <c r="T268" s="311"/>
      <c r="AB268" s="312"/>
      <c r="AF268" s="313"/>
      <c r="AG268" s="313"/>
      <c r="AH268" s="313"/>
      <c r="AI268" s="313"/>
      <c r="AJ268" s="313"/>
      <c r="AS268" s="314"/>
      <c r="AT268" s="315"/>
      <c r="AU268" s="314"/>
      <c r="AV268" s="312"/>
      <c r="AX268" s="206"/>
      <c r="AY268" s="206"/>
      <c r="BE268" s="316"/>
      <c r="BF268" s="316"/>
      <c r="BG268" s="316"/>
      <c r="BH268" s="310"/>
      <c r="BK268" s="309"/>
      <c r="BL268" s="309"/>
      <c r="BM268" s="309"/>
      <c r="BN268" s="309"/>
      <c r="BP268" s="313"/>
      <c r="CC268" s="316"/>
      <c r="CG268" s="313"/>
      <c r="CH268" s="313"/>
      <c r="CI268" s="313"/>
      <c r="CK268" s="313"/>
      <c r="CL268" s="313"/>
      <c r="CM268" s="313"/>
      <c r="CN268" s="313"/>
      <c r="CO268" s="313"/>
      <c r="CP268" s="313"/>
      <c r="CQ268" s="313"/>
      <c r="CR268" s="313"/>
      <c r="CS268" s="313"/>
      <c r="CT268" s="313"/>
      <c r="CU268" s="309"/>
      <c r="DH268" s="309"/>
      <c r="DK268" s="310"/>
      <c r="DN268" s="206"/>
      <c r="DO268" s="206"/>
      <c r="DS268" s="288" t="str">
        <f t="shared" si="9"/>
        <v/>
      </c>
      <c r="DT268" s="288" t="str">
        <f t="shared" si="10"/>
        <v/>
      </c>
      <c r="DU268" s="310"/>
      <c r="DV268" s="310"/>
      <c r="DW268" s="310"/>
      <c r="DX268" s="310"/>
      <c r="DY268" s="310"/>
      <c r="DZ268" s="310"/>
      <c r="EA268" s="310"/>
      <c r="EB268" s="310"/>
      <c r="ED268" s="310"/>
      <c r="EE268" s="310"/>
      <c r="EF268" s="310"/>
      <c r="EH268" s="310"/>
    </row>
    <row r="269" spans="3:138" s="288" customFormat="1" hidden="1">
      <c r="C269" s="309"/>
      <c r="D269" s="309"/>
      <c r="E269" s="309"/>
      <c r="F269" s="309"/>
      <c r="G269" s="309"/>
      <c r="H269" s="309"/>
      <c r="I269" s="309"/>
      <c r="J269" s="309"/>
      <c r="K269" s="309"/>
      <c r="L269" s="315"/>
      <c r="Q269" s="309"/>
      <c r="R269" s="311"/>
      <c r="S269" s="311"/>
      <c r="T269" s="311"/>
      <c r="AB269" s="312"/>
      <c r="AF269" s="313"/>
      <c r="AG269" s="313"/>
      <c r="AH269" s="313"/>
      <c r="AI269" s="313"/>
      <c r="AJ269" s="313"/>
      <c r="AS269" s="314"/>
      <c r="AT269" s="315"/>
      <c r="AU269" s="314"/>
      <c r="AV269" s="312"/>
      <c r="AX269" s="206"/>
      <c r="AY269" s="206"/>
      <c r="BE269" s="316"/>
      <c r="BF269" s="316"/>
      <c r="BG269" s="316"/>
      <c r="BH269" s="310"/>
      <c r="BK269" s="309"/>
      <c r="BL269" s="309"/>
      <c r="BM269" s="309"/>
      <c r="BN269" s="309"/>
      <c r="BP269" s="313"/>
      <c r="CC269" s="316"/>
      <c r="CG269" s="313"/>
      <c r="CH269" s="313"/>
      <c r="CI269" s="313"/>
      <c r="CK269" s="313"/>
      <c r="CL269" s="313"/>
      <c r="CM269" s="313"/>
      <c r="CN269" s="313"/>
      <c r="CO269" s="313"/>
      <c r="CP269" s="313"/>
      <c r="CQ269" s="313"/>
      <c r="CR269" s="313"/>
      <c r="CS269" s="313"/>
      <c r="CT269" s="313"/>
      <c r="CU269" s="309"/>
      <c r="DH269" s="309"/>
      <c r="DK269" s="310"/>
      <c r="DN269" s="206"/>
      <c r="DO269" s="206"/>
      <c r="DS269" s="288" t="str">
        <f t="shared" si="9"/>
        <v/>
      </c>
      <c r="DT269" s="288" t="str">
        <f t="shared" si="10"/>
        <v/>
      </c>
      <c r="DU269" s="310"/>
      <c r="DV269" s="310"/>
      <c r="DW269" s="310"/>
      <c r="DX269" s="310"/>
      <c r="DY269" s="310"/>
      <c r="DZ269" s="310"/>
      <c r="EA269" s="310"/>
      <c r="EB269" s="310"/>
      <c r="ED269" s="310"/>
      <c r="EE269" s="310"/>
      <c r="EF269" s="310"/>
      <c r="EH269" s="310"/>
    </row>
    <row r="270" spans="3:138" s="288" customFormat="1" hidden="1">
      <c r="C270" s="309"/>
      <c r="D270" s="309"/>
      <c r="E270" s="309"/>
      <c r="F270" s="309"/>
      <c r="G270" s="309"/>
      <c r="H270" s="309"/>
      <c r="I270" s="309"/>
      <c r="J270" s="309"/>
      <c r="K270" s="309"/>
      <c r="L270" s="315"/>
      <c r="Q270" s="309"/>
      <c r="R270" s="311"/>
      <c r="S270" s="311"/>
      <c r="T270" s="311"/>
      <c r="AB270" s="312"/>
      <c r="AF270" s="313"/>
      <c r="AG270" s="313"/>
      <c r="AH270" s="313"/>
      <c r="AI270" s="313"/>
      <c r="AJ270" s="313"/>
      <c r="AS270" s="314"/>
      <c r="AT270" s="315"/>
      <c r="AU270" s="314"/>
      <c r="AV270" s="312"/>
      <c r="AX270" s="206"/>
      <c r="AY270" s="206"/>
      <c r="BE270" s="316"/>
      <c r="BF270" s="316"/>
      <c r="BG270" s="316"/>
      <c r="BH270" s="310"/>
      <c r="BK270" s="309"/>
      <c r="BL270" s="309"/>
      <c r="BM270" s="309"/>
      <c r="BN270" s="309"/>
      <c r="BP270" s="313"/>
      <c r="CC270" s="316"/>
      <c r="CG270" s="313"/>
      <c r="CH270" s="313"/>
      <c r="CI270" s="313"/>
      <c r="CK270" s="313"/>
      <c r="CL270" s="313"/>
      <c r="CM270" s="313"/>
      <c r="CN270" s="313"/>
      <c r="CO270" s="313"/>
      <c r="CP270" s="313"/>
      <c r="CQ270" s="313"/>
      <c r="CR270" s="313"/>
      <c r="CS270" s="313"/>
      <c r="CT270" s="313"/>
      <c r="CU270" s="309"/>
      <c r="DH270" s="309"/>
      <c r="DK270" s="310"/>
      <c r="DN270" s="206"/>
      <c r="DO270" s="206"/>
      <c r="DS270" s="288" t="str">
        <f t="shared" si="9"/>
        <v/>
      </c>
      <c r="DT270" s="288" t="str">
        <f t="shared" si="10"/>
        <v/>
      </c>
      <c r="DU270" s="310"/>
      <c r="DV270" s="310"/>
      <c r="DW270" s="310"/>
      <c r="DX270" s="310"/>
      <c r="DY270" s="310"/>
      <c r="DZ270" s="310"/>
      <c r="EA270" s="310"/>
      <c r="EB270" s="310"/>
      <c r="ED270" s="310"/>
      <c r="EE270" s="310"/>
      <c r="EF270" s="310"/>
      <c r="EH270" s="310"/>
    </row>
    <row r="271" spans="3:138" s="288" customFormat="1" hidden="1">
      <c r="C271" s="309"/>
      <c r="D271" s="309"/>
      <c r="E271" s="309"/>
      <c r="F271" s="309"/>
      <c r="G271" s="309"/>
      <c r="H271" s="309"/>
      <c r="I271" s="309"/>
      <c r="J271" s="309"/>
      <c r="K271" s="309"/>
      <c r="L271" s="315"/>
      <c r="Q271" s="309"/>
      <c r="R271" s="311"/>
      <c r="S271" s="311"/>
      <c r="T271" s="311"/>
      <c r="AB271" s="312"/>
      <c r="AF271" s="313"/>
      <c r="AG271" s="313"/>
      <c r="AH271" s="313"/>
      <c r="AI271" s="313"/>
      <c r="AJ271" s="313"/>
      <c r="AS271" s="314"/>
      <c r="AT271" s="315"/>
      <c r="AU271" s="314"/>
      <c r="AV271" s="312"/>
      <c r="AX271" s="206"/>
      <c r="AY271" s="206"/>
      <c r="BE271" s="316"/>
      <c r="BF271" s="316"/>
      <c r="BG271" s="316"/>
      <c r="BH271" s="310"/>
      <c r="BK271" s="309"/>
      <c r="BL271" s="309"/>
      <c r="BM271" s="309"/>
      <c r="BN271" s="309"/>
      <c r="BP271" s="313"/>
      <c r="CC271" s="316"/>
      <c r="CG271" s="313"/>
      <c r="CH271" s="313"/>
      <c r="CI271" s="313"/>
      <c r="CK271" s="313"/>
      <c r="CL271" s="313"/>
      <c r="CM271" s="313"/>
      <c r="CN271" s="313"/>
      <c r="CO271" s="313"/>
      <c r="CP271" s="313"/>
      <c r="CQ271" s="313"/>
      <c r="CR271" s="313"/>
      <c r="CS271" s="313"/>
      <c r="CT271" s="313"/>
      <c r="CU271" s="309"/>
      <c r="DH271" s="309"/>
      <c r="DK271" s="310"/>
      <c r="DN271" s="206"/>
      <c r="DO271" s="206"/>
      <c r="DS271" s="288" t="str">
        <f t="shared" si="9"/>
        <v/>
      </c>
      <c r="DT271" s="288" t="str">
        <f t="shared" si="10"/>
        <v/>
      </c>
      <c r="DU271" s="310"/>
      <c r="DV271" s="310"/>
      <c r="DW271" s="310"/>
      <c r="DX271" s="310"/>
      <c r="DY271" s="310"/>
      <c r="DZ271" s="310"/>
      <c r="EA271" s="310"/>
      <c r="EB271" s="310"/>
      <c r="ED271" s="310"/>
      <c r="EE271" s="310"/>
      <c r="EF271" s="310"/>
      <c r="EH271" s="310"/>
    </row>
    <row r="272" spans="3:138" s="288" customFormat="1" hidden="1">
      <c r="C272" s="309"/>
      <c r="D272" s="309"/>
      <c r="E272" s="309"/>
      <c r="F272" s="309"/>
      <c r="G272" s="309"/>
      <c r="H272" s="309"/>
      <c r="I272" s="309"/>
      <c r="J272" s="309"/>
      <c r="K272" s="309"/>
      <c r="L272" s="315"/>
      <c r="Q272" s="309"/>
      <c r="R272" s="311"/>
      <c r="S272" s="311"/>
      <c r="T272" s="311"/>
      <c r="AB272" s="312"/>
      <c r="AF272" s="313"/>
      <c r="AG272" s="313"/>
      <c r="AH272" s="313"/>
      <c r="AI272" s="313"/>
      <c r="AJ272" s="313"/>
      <c r="AS272" s="314"/>
      <c r="AT272" s="315"/>
      <c r="AU272" s="314"/>
      <c r="AV272" s="312"/>
      <c r="AX272" s="206"/>
      <c r="AY272" s="206"/>
      <c r="BE272" s="316"/>
      <c r="BF272" s="316"/>
      <c r="BG272" s="316"/>
      <c r="BH272" s="310"/>
      <c r="BK272" s="309"/>
      <c r="BL272" s="309"/>
      <c r="BM272" s="309"/>
      <c r="BN272" s="309"/>
      <c r="BP272" s="313"/>
      <c r="CC272" s="316"/>
      <c r="CG272" s="313"/>
      <c r="CH272" s="313"/>
      <c r="CI272" s="313"/>
      <c r="CK272" s="313"/>
      <c r="CL272" s="313"/>
      <c r="CM272" s="313"/>
      <c r="CN272" s="313"/>
      <c r="CO272" s="313"/>
      <c r="CP272" s="313"/>
      <c r="CQ272" s="313"/>
      <c r="CR272" s="313"/>
      <c r="CS272" s="313"/>
      <c r="CT272" s="313"/>
      <c r="CU272" s="309"/>
      <c r="DH272" s="309"/>
      <c r="DK272" s="310"/>
      <c r="DN272" s="206"/>
      <c r="DO272" s="206"/>
      <c r="DS272" s="288" t="str">
        <f t="shared" si="9"/>
        <v/>
      </c>
      <c r="DT272" s="288" t="str">
        <f t="shared" si="10"/>
        <v/>
      </c>
      <c r="DU272" s="310"/>
      <c r="DV272" s="310"/>
      <c r="DW272" s="310"/>
      <c r="DX272" s="310"/>
      <c r="DY272" s="310"/>
      <c r="DZ272" s="310"/>
      <c r="EA272" s="310"/>
      <c r="EB272" s="310"/>
      <c r="ED272" s="310"/>
      <c r="EE272" s="310"/>
      <c r="EF272" s="310"/>
      <c r="EH272" s="310"/>
    </row>
    <row r="273" spans="3:138" s="288" customFormat="1" hidden="1">
      <c r="C273" s="309"/>
      <c r="D273" s="309"/>
      <c r="E273" s="309"/>
      <c r="F273" s="309"/>
      <c r="G273" s="309"/>
      <c r="H273" s="309"/>
      <c r="I273" s="309"/>
      <c r="J273" s="309"/>
      <c r="K273" s="309"/>
      <c r="L273" s="315"/>
      <c r="Q273" s="309"/>
      <c r="R273" s="311"/>
      <c r="S273" s="311"/>
      <c r="T273" s="311"/>
      <c r="AB273" s="312"/>
      <c r="AF273" s="313"/>
      <c r="AG273" s="313"/>
      <c r="AH273" s="313"/>
      <c r="AI273" s="313"/>
      <c r="AJ273" s="313"/>
      <c r="AS273" s="314"/>
      <c r="AT273" s="315"/>
      <c r="AU273" s="314"/>
      <c r="AV273" s="312"/>
      <c r="AX273" s="206"/>
      <c r="AY273" s="206"/>
      <c r="BE273" s="316"/>
      <c r="BF273" s="316"/>
      <c r="BG273" s="316"/>
      <c r="BH273" s="310"/>
      <c r="BK273" s="309"/>
      <c r="BL273" s="309"/>
      <c r="BM273" s="309"/>
      <c r="BN273" s="309"/>
      <c r="BP273" s="313"/>
      <c r="CC273" s="316"/>
      <c r="CG273" s="313"/>
      <c r="CH273" s="313"/>
      <c r="CI273" s="313"/>
      <c r="CK273" s="313"/>
      <c r="CL273" s="313"/>
      <c r="CM273" s="313"/>
      <c r="CN273" s="313"/>
      <c r="CO273" s="313"/>
      <c r="CP273" s="313"/>
      <c r="CQ273" s="313"/>
      <c r="CR273" s="313"/>
      <c r="CS273" s="313"/>
      <c r="CT273" s="313"/>
      <c r="CU273" s="309"/>
      <c r="DH273" s="309"/>
      <c r="DK273" s="310"/>
      <c r="DN273" s="206"/>
      <c r="DO273" s="206"/>
      <c r="DS273" s="288" t="str">
        <f t="shared" si="9"/>
        <v/>
      </c>
      <c r="DT273" s="288" t="str">
        <f t="shared" si="10"/>
        <v/>
      </c>
      <c r="DU273" s="310"/>
      <c r="DV273" s="310"/>
      <c r="DW273" s="310"/>
      <c r="DX273" s="310"/>
      <c r="DY273" s="310"/>
      <c r="DZ273" s="310"/>
      <c r="EA273" s="310"/>
      <c r="EB273" s="310"/>
      <c r="ED273" s="310"/>
      <c r="EE273" s="310"/>
      <c r="EF273" s="310"/>
      <c r="EH273" s="310"/>
    </row>
    <row r="274" spans="3:138" s="288" customFormat="1" hidden="1">
      <c r="C274" s="309"/>
      <c r="D274" s="309"/>
      <c r="E274" s="309"/>
      <c r="F274" s="309"/>
      <c r="G274" s="309"/>
      <c r="H274" s="309"/>
      <c r="I274" s="309"/>
      <c r="J274" s="309"/>
      <c r="K274" s="309"/>
      <c r="L274" s="315"/>
      <c r="Q274" s="309"/>
      <c r="R274" s="311"/>
      <c r="S274" s="311"/>
      <c r="T274" s="311"/>
      <c r="AB274" s="312"/>
      <c r="AF274" s="313"/>
      <c r="AG274" s="313"/>
      <c r="AH274" s="313"/>
      <c r="AI274" s="313"/>
      <c r="AJ274" s="313"/>
      <c r="AS274" s="314"/>
      <c r="AT274" s="315"/>
      <c r="AU274" s="314"/>
      <c r="AV274" s="312"/>
      <c r="AX274" s="206"/>
      <c r="AY274" s="206"/>
      <c r="BE274" s="316"/>
      <c r="BF274" s="316"/>
      <c r="BG274" s="316"/>
      <c r="BH274" s="310"/>
      <c r="BK274" s="309"/>
      <c r="BL274" s="309"/>
      <c r="BM274" s="309"/>
      <c r="BN274" s="309"/>
      <c r="BP274" s="313"/>
      <c r="CC274" s="316"/>
      <c r="CG274" s="313"/>
      <c r="CH274" s="313"/>
      <c r="CI274" s="313"/>
      <c r="CK274" s="313"/>
      <c r="CL274" s="313"/>
      <c r="CM274" s="313"/>
      <c r="CN274" s="313"/>
      <c r="CO274" s="313"/>
      <c r="CP274" s="313"/>
      <c r="CQ274" s="313"/>
      <c r="CR274" s="313"/>
      <c r="CS274" s="313"/>
      <c r="CT274" s="313"/>
      <c r="CU274" s="309"/>
      <c r="DH274" s="309"/>
      <c r="DK274" s="310"/>
      <c r="DN274" s="206"/>
      <c r="DO274" s="206"/>
      <c r="DS274" s="288" t="str">
        <f t="shared" si="9"/>
        <v/>
      </c>
      <c r="DT274" s="288" t="str">
        <f t="shared" si="10"/>
        <v/>
      </c>
      <c r="DU274" s="310"/>
      <c r="DV274" s="310"/>
      <c r="DW274" s="310"/>
      <c r="DX274" s="310"/>
      <c r="DY274" s="310"/>
      <c r="DZ274" s="310"/>
      <c r="EA274" s="310"/>
      <c r="EB274" s="310"/>
      <c r="ED274" s="310"/>
      <c r="EE274" s="310"/>
      <c r="EF274" s="310"/>
      <c r="EH274" s="310"/>
    </row>
    <row r="275" spans="3:138" s="288" customFormat="1" hidden="1">
      <c r="C275" s="309"/>
      <c r="D275" s="309"/>
      <c r="E275" s="309"/>
      <c r="F275" s="309"/>
      <c r="G275" s="309"/>
      <c r="H275" s="309"/>
      <c r="I275" s="309"/>
      <c r="J275" s="309"/>
      <c r="K275" s="309"/>
      <c r="L275" s="315"/>
      <c r="Q275" s="309"/>
      <c r="R275" s="311"/>
      <c r="S275" s="311"/>
      <c r="T275" s="311"/>
      <c r="AB275" s="312"/>
      <c r="AF275" s="313"/>
      <c r="AG275" s="313"/>
      <c r="AH275" s="313"/>
      <c r="AI275" s="313"/>
      <c r="AJ275" s="313"/>
      <c r="AS275" s="314"/>
      <c r="AT275" s="315"/>
      <c r="AU275" s="314"/>
      <c r="AV275" s="312"/>
      <c r="AX275" s="206"/>
      <c r="AY275" s="206"/>
      <c r="BE275" s="316"/>
      <c r="BF275" s="316"/>
      <c r="BG275" s="316"/>
      <c r="BH275" s="310"/>
      <c r="BK275" s="309"/>
      <c r="BL275" s="309"/>
      <c r="BM275" s="309"/>
      <c r="BN275" s="309"/>
      <c r="BP275" s="313"/>
      <c r="CC275" s="316"/>
      <c r="CG275" s="313"/>
      <c r="CH275" s="313"/>
      <c r="CI275" s="313"/>
      <c r="CK275" s="313"/>
      <c r="CL275" s="313"/>
      <c r="CM275" s="313"/>
      <c r="CN275" s="313"/>
      <c r="CO275" s="313"/>
      <c r="CP275" s="313"/>
      <c r="CQ275" s="313"/>
      <c r="CR275" s="313"/>
      <c r="CS275" s="313"/>
      <c r="CT275" s="313"/>
      <c r="CU275" s="309"/>
      <c r="DH275" s="309"/>
      <c r="DK275" s="310"/>
      <c r="DN275" s="206"/>
      <c r="DO275" s="206"/>
      <c r="DS275" s="288" t="str">
        <f t="shared" si="9"/>
        <v/>
      </c>
      <c r="DT275" s="288" t="str">
        <f t="shared" si="10"/>
        <v/>
      </c>
      <c r="DU275" s="310"/>
      <c r="DV275" s="310"/>
      <c r="DW275" s="310"/>
      <c r="DX275" s="310"/>
      <c r="DY275" s="310"/>
      <c r="DZ275" s="310"/>
      <c r="EA275" s="310"/>
      <c r="EB275" s="310"/>
      <c r="ED275" s="310"/>
      <c r="EE275" s="310"/>
      <c r="EF275" s="310"/>
      <c r="EH275" s="310"/>
    </row>
    <row r="276" spans="3:138" s="288" customFormat="1" hidden="1">
      <c r="C276" s="309"/>
      <c r="D276" s="309"/>
      <c r="E276" s="309"/>
      <c r="F276" s="309"/>
      <c r="G276" s="309"/>
      <c r="H276" s="309"/>
      <c r="I276" s="309"/>
      <c r="J276" s="309"/>
      <c r="K276" s="309"/>
      <c r="L276" s="315"/>
      <c r="Q276" s="309"/>
      <c r="R276" s="311"/>
      <c r="S276" s="311"/>
      <c r="T276" s="311"/>
      <c r="AB276" s="312"/>
      <c r="AF276" s="313"/>
      <c r="AG276" s="313"/>
      <c r="AH276" s="313"/>
      <c r="AI276" s="313"/>
      <c r="AJ276" s="313"/>
      <c r="AS276" s="314"/>
      <c r="AT276" s="315"/>
      <c r="AU276" s="314"/>
      <c r="AV276" s="312"/>
      <c r="AX276" s="206"/>
      <c r="AY276" s="206"/>
      <c r="BE276" s="316"/>
      <c r="BF276" s="316"/>
      <c r="BG276" s="316"/>
      <c r="BH276" s="310"/>
      <c r="BK276" s="309"/>
      <c r="BL276" s="309"/>
      <c r="BM276" s="309"/>
      <c r="BN276" s="309"/>
      <c r="BP276" s="313"/>
      <c r="CC276" s="316"/>
      <c r="CG276" s="313"/>
      <c r="CH276" s="313"/>
      <c r="CI276" s="313"/>
      <c r="CK276" s="313"/>
      <c r="CL276" s="313"/>
      <c r="CM276" s="313"/>
      <c r="CN276" s="313"/>
      <c r="CO276" s="313"/>
      <c r="CP276" s="313"/>
      <c r="CQ276" s="313"/>
      <c r="CR276" s="313"/>
      <c r="CS276" s="313"/>
      <c r="CT276" s="313"/>
      <c r="CU276" s="309"/>
      <c r="DH276" s="309"/>
      <c r="DK276" s="310"/>
      <c r="DN276" s="206"/>
      <c r="DO276" s="206"/>
      <c r="DS276" s="288" t="str">
        <f t="shared" si="9"/>
        <v/>
      </c>
      <c r="DT276" s="288" t="str">
        <f t="shared" si="10"/>
        <v/>
      </c>
      <c r="DU276" s="310"/>
      <c r="DV276" s="310"/>
      <c r="DW276" s="310"/>
      <c r="DX276" s="310"/>
      <c r="DY276" s="310"/>
      <c r="DZ276" s="310"/>
      <c r="EA276" s="310"/>
      <c r="EB276" s="310"/>
      <c r="ED276" s="310"/>
      <c r="EE276" s="310"/>
      <c r="EF276" s="310"/>
      <c r="EH276" s="310"/>
    </row>
    <row r="277" spans="3:138" s="288" customFormat="1" hidden="1">
      <c r="C277" s="309"/>
      <c r="D277" s="309"/>
      <c r="E277" s="309"/>
      <c r="F277" s="309"/>
      <c r="G277" s="309"/>
      <c r="H277" s="309"/>
      <c r="I277" s="309"/>
      <c r="J277" s="309"/>
      <c r="K277" s="309"/>
      <c r="L277" s="315"/>
      <c r="Q277" s="309"/>
      <c r="R277" s="311"/>
      <c r="S277" s="311"/>
      <c r="T277" s="311"/>
      <c r="AB277" s="312"/>
      <c r="AF277" s="313"/>
      <c r="AG277" s="313"/>
      <c r="AH277" s="313"/>
      <c r="AI277" s="313"/>
      <c r="AJ277" s="313"/>
      <c r="AS277" s="314"/>
      <c r="AT277" s="315"/>
      <c r="AU277" s="314"/>
      <c r="AV277" s="312"/>
      <c r="AX277" s="206"/>
      <c r="AY277" s="206"/>
      <c r="BE277" s="316"/>
      <c r="BF277" s="316"/>
      <c r="BG277" s="316"/>
      <c r="BH277" s="310"/>
      <c r="BK277" s="309"/>
      <c r="BL277" s="309"/>
      <c r="BM277" s="309"/>
      <c r="BN277" s="309"/>
      <c r="BP277" s="313"/>
      <c r="CC277" s="316"/>
      <c r="CG277" s="313"/>
      <c r="CH277" s="313"/>
      <c r="CI277" s="313"/>
      <c r="CK277" s="313"/>
      <c r="CL277" s="313"/>
      <c r="CM277" s="313"/>
      <c r="CN277" s="313"/>
      <c r="CO277" s="313"/>
      <c r="CP277" s="313"/>
      <c r="CQ277" s="313"/>
      <c r="CR277" s="313"/>
      <c r="CS277" s="313"/>
      <c r="CT277" s="313"/>
      <c r="CU277" s="309"/>
      <c r="DH277" s="309"/>
      <c r="DK277" s="310"/>
      <c r="DN277" s="206"/>
      <c r="DO277" s="206"/>
      <c r="DS277" s="288" t="str">
        <f t="shared" si="9"/>
        <v/>
      </c>
      <c r="DT277" s="288" t="str">
        <f t="shared" si="10"/>
        <v/>
      </c>
      <c r="DU277" s="310"/>
      <c r="DV277" s="310"/>
      <c r="DW277" s="310"/>
      <c r="DX277" s="310"/>
      <c r="DY277" s="310"/>
      <c r="DZ277" s="310"/>
      <c r="EA277" s="310"/>
      <c r="EB277" s="310"/>
      <c r="ED277" s="310"/>
      <c r="EE277" s="310"/>
      <c r="EF277" s="310"/>
      <c r="EH277" s="310"/>
    </row>
    <row r="278" spans="3:138" s="288" customFormat="1" hidden="1">
      <c r="C278" s="309"/>
      <c r="D278" s="309"/>
      <c r="E278" s="309"/>
      <c r="F278" s="309"/>
      <c r="G278" s="309"/>
      <c r="H278" s="309"/>
      <c r="I278" s="309"/>
      <c r="J278" s="309"/>
      <c r="K278" s="309"/>
      <c r="L278" s="315"/>
      <c r="Q278" s="309"/>
      <c r="R278" s="311"/>
      <c r="S278" s="311"/>
      <c r="T278" s="311"/>
      <c r="AB278" s="312"/>
      <c r="AF278" s="313"/>
      <c r="AG278" s="313"/>
      <c r="AH278" s="313"/>
      <c r="AI278" s="313"/>
      <c r="AJ278" s="313"/>
      <c r="AS278" s="314"/>
      <c r="AT278" s="315"/>
      <c r="AU278" s="314"/>
      <c r="AV278" s="312"/>
      <c r="AX278" s="206"/>
      <c r="AY278" s="206"/>
      <c r="BE278" s="316"/>
      <c r="BF278" s="316"/>
      <c r="BG278" s="316"/>
      <c r="BH278" s="310"/>
      <c r="BK278" s="309"/>
      <c r="BL278" s="309"/>
      <c r="BM278" s="309"/>
      <c r="BN278" s="309"/>
      <c r="BP278" s="313"/>
      <c r="CC278" s="316"/>
      <c r="CG278" s="313"/>
      <c r="CH278" s="313"/>
      <c r="CI278" s="313"/>
      <c r="CK278" s="313"/>
      <c r="CL278" s="313"/>
      <c r="CM278" s="313"/>
      <c r="CN278" s="313"/>
      <c r="CO278" s="313"/>
      <c r="CP278" s="313"/>
      <c r="CQ278" s="313"/>
      <c r="CR278" s="313"/>
      <c r="CS278" s="313"/>
      <c r="CT278" s="313"/>
      <c r="CU278" s="309"/>
      <c r="DH278" s="309"/>
      <c r="DK278" s="310"/>
      <c r="DN278" s="206"/>
      <c r="DO278" s="206"/>
      <c r="DS278" s="288" t="str">
        <f t="shared" si="9"/>
        <v/>
      </c>
      <c r="DT278" s="288" t="str">
        <f t="shared" si="10"/>
        <v/>
      </c>
      <c r="DU278" s="310"/>
      <c r="DV278" s="310"/>
      <c r="DW278" s="310"/>
      <c r="DX278" s="310"/>
      <c r="DY278" s="310"/>
      <c r="DZ278" s="310"/>
      <c r="EA278" s="310"/>
      <c r="EB278" s="310"/>
      <c r="ED278" s="310"/>
      <c r="EE278" s="310"/>
      <c r="EF278" s="310"/>
      <c r="EH278" s="310"/>
    </row>
    <row r="279" spans="3:138" s="288" customFormat="1" hidden="1">
      <c r="C279" s="309"/>
      <c r="D279" s="309"/>
      <c r="E279" s="309"/>
      <c r="F279" s="309"/>
      <c r="G279" s="309"/>
      <c r="H279" s="309"/>
      <c r="I279" s="309"/>
      <c r="J279" s="309"/>
      <c r="K279" s="309"/>
      <c r="L279" s="315"/>
      <c r="Q279" s="309"/>
      <c r="R279" s="311"/>
      <c r="S279" s="311"/>
      <c r="T279" s="311"/>
      <c r="AB279" s="312"/>
      <c r="AF279" s="313"/>
      <c r="AG279" s="313"/>
      <c r="AH279" s="313"/>
      <c r="AI279" s="313"/>
      <c r="AJ279" s="313"/>
      <c r="AS279" s="314"/>
      <c r="AT279" s="315"/>
      <c r="AU279" s="314"/>
      <c r="AV279" s="312"/>
      <c r="AX279" s="206"/>
      <c r="AY279" s="206"/>
      <c r="BE279" s="316"/>
      <c r="BF279" s="316"/>
      <c r="BG279" s="316"/>
      <c r="BH279" s="310"/>
      <c r="BK279" s="309"/>
      <c r="BL279" s="309"/>
      <c r="BM279" s="309"/>
      <c r="BN279" s="309"/>
      <c r="BP279" s="313"/>
      <c r="CC279" s="316"/>
      <c r="CG279" s="313"/>
      <c r="CH279" s="313"/>
      <c r="CI279" s="313"/>
      <c r="CK279" s="313"/>
      <c r="CL279" s="313"/>
      <c r="CM279" s="313"/>
      <c r="CN279" s="313"/>
      <c r="CO279" s="313"/>
      <c r="CP279" s="313"/>
      <c r="CQ279" s="313"/>
      <c r="CR279" s="313"/>
      <c r="CS279" s="313"/>
      <c r="CT279" s="313"/>
      <c r="CU279" s="309"/>
      <c r="DH279" s="309"/>
      <c r="DK279" s="310"/>
      <c r="DN279" s="206"/>
      <c r="DO279" s="206"/>
      <c r="DS279" s="288" t="str">
        <f t="shared" si="9"/>
        <v/>
      </c>
      <c r="DT279" s="288" t="str">
        <f t="shared" si="10"/>
        <v/>
      </c>
      <c r="DU279" s="310"/>
      <c r="DV279" s="310"/>
      <c r="DW279" s="310"/>
      <c r="DX279" s="310"/>
      <c r="DY279" s="310"/>
      <c r="DZ279" s="310"/>
      <c r="EA279" s="310"/>
      <c r="EB279" s="310"/>
      <c r="ED279" s="310"/>
      <c r="EE279" s="310"/>
      <c r="EF279" s="310"/>
      <c r="EH279" s="310"/>
    </row>
    <row r="280" spans="3:138" s="288" customFormat="1" hidden="1">
      <c r="C280" s="309"/>
      <c r="D280" s="309"/>
      <c r="E280" s="309"/>
      <c r="F280" s="309"/>
      <c r="G280" s="309"/>
      <c r="H280" s="309"/>
      <c r="I280" s="309"/>
      <c r="J280" s="309"/>
      <c r="K280" s="309"/>
      <c r="L280" s="315"/>
      <c r="Q280" s="309"/>
      <c r="R280" s="311"/>
      <c r="S280" s="311"/>
      <c r="T280" s="311"/>
      <c r="AB280" s="312"/>
      <c r="AF280" s="313"/>
      <c r="AG280" s="313"/>
      <c r="AH280" s="313"/>
      <c r="AI280" s="313"/>
      <c r="AJ280" s="313"/>
      <c r="AS280" s="314"/>
      <c r="AT280" s="315"/>
      <c r="AU280" s="314"/>
      <c r="AV280" s="312"/>
      <c r="AX280" s="206"/>
      <c r="AY280" s="206"/>
      <c r="BE280" s="316"/>
      <c r="BF280" s="316"/>
      <c r="BG280" s="316"/>
      <c r="BH280" s="310"/>
      <c r="BK280" s="309"/>
      <c r="BL280" s="309"/>
      <c r="BM280" s="309"/>
      <c r="BN280" s="309"/>
      <c r="BP280" s="313"/>
      <c r="CC280" s="316"/>
      <c r="CG280" s="313"/>
      <c r="CH280" s="313"/>
      <c r="CI280" s="313"/>
      <c r="CK280" s="313"/>
      <c r="CL280" s="313"/>
      <c r="CM280" s="313"/>
      <c r="CN280" s="313"/>
      <c r="CO280" s="313"/>
      <c r="CP280" s="313"/>
      <c r="CQ280" s="313"/>
      <c r="CR280" s="313"/>
      <c r="CS280" s="313"/>
      <c r="CT280" s="313"/>
      <c r="CU280" s="309"/>
      <c r="DH280" s="309"/>
      <c r="DK280" s="310"/>
      <c r="DN280" s="206"/>
      <c r="DO280" s="206"/>
      <c r="DS280" s="288" t="str">
        <f t="shared" si="9"/>
        <v/>
      </c>
      <c r="DT280" s="288" t="str">
        <f t="shared" si="10"/>
        <v/>
      </c>
      <c r="DU280" s="310"/>
      <c r="DV280" s="310"/>
      <c r="DW280" s="310"/>
      <c r="DX280" s="310"/>
      <c r="DY280" s="310"/>
      <c r="DZ280" s="310"/>
      <c r="EA280" s="310"/>
      <c r="EB280" s="310"/>
      <c r="ED280" s="310"/>
      <c r="EE280" s="310"/>
      <c r="EF280" s="310"/>
      <c r="EH280" s="310"/>
    </row>
    <row r="281" spans="3:138" s="288" customFormat="1" hidden="1">
      <c r="C281" s="309"/>
      <c r="D281" s="309"/>
      <c r="E281" s="309"/>
      <c r="F281" s="309"/>
      <c r="G281" s="309"/>
      <c r="H281" s="309"/>
      <c r="I281" s="309"/>
      <c r="J281" s="309"/>
      <c r="K281" s="309"/>
      <c r="L281" s="315"/>
      <c r="Q281" s="309"/>
      <c r="R281" s="311"/>
      <c r="S281" s="311"/>
      <c r="T281" s="311"/>
      <c r="AB281" s="312"/>
      <c r="AF281" s="313"/>
      <c r="AG281" s="313"/>
      <c r="AH281" s="313"/>
      <c r="AI281" s="313"/>
      <c r="AJ281" s="313"/>
      <c r="AS281" s="314"/>
      <c r="AT281" s="315"/>
      <c r="AU281" s="314"/>
      <c r="AV281" s="312"/>
      <c r="AX281" s="206"/>
      <c r="AY281" s="206"/>
      <c r="BE281" s="316"/>
      <c r="BF281" s="316"/>
      <c r="BG281" s="316"/>
      <c r="BH281" s="310"/>
      <c r="BK281" s="309"/>
      <c r="BL281" s="309"/>
      <c r="BM281" s="309"/>
      <c r="BN281" s="309"/>
      <c r="BP281" s="313"/>
      <c r="CC281" s="316"/>
      <c r="CG281" s="313"/>
      <c r="CH281" s="313"/>
      <c r="CI281" s="313"/>
      <c r="CK281" s="313"/>
      <c r="CL281" s="313"/>
      <c r="CM281" s="313"/>
      <c r="CN281" s="313"/>
      <c r="CO281" s="313"/>
      <c r="CP281" s="313"/>
      <c r="CQ281" s="313"/>
      <c r="CR281" s="313"/>
      <c r="CS281" s="313"/>
      <c r="CT281" s="313"/>
      <c r="CU281" s="309"/>
      <c r="DH281" s="309"/>
      <c r="DK281" s="310"/>
      <c r="DN281" s="206"/>
      <c r="DO281" s="206"/>
      <c r="DS281" s="288" t="str">
        <f t="shared" si="9"/>
        <v/>
      </c>
      <c r="DT281" s="288" t="str">
        <f t="shared" si="10"/>
        <v/>
      </c>
      <c r="DU281" s="310"/>
      <c r="DV281" s="310"/>
      <c r="DW281" s="310"/>
      <c r="DX281" s="310"/>
      <c r="DY281" s="310"/>
      <c r="DZ281" s="310"/>
      <c r="EA281" s="310"/>
      <c r="EB281" s="310"/>
      <c r="ED281" s="310"/>
      <c r="EE281" s="310"/>
      <c r="EF281" s="310"/>
      <c r="EH281" s="310"/>
    </row>
    <row r="282" spans="3:138" s="288" customFormat="1" hidden="1">
      <c r="C282" s="309"/>
      <c r="D282" s="309"/>
      <c r="E282" s="309"/>
      <c r="F282" s="309"/>
      <c r="G282" s="309"/>
      <c r="H282" s="309"/>
      <c r="I282" s="309"/>
      <c r="J282" s="309"/>
      <c r="K282" s="309"/>
      <c r="L282" s="315"/>
      <c r="Q282" s="309"/>
      <c r="R282" s="311"/>
      <c r="S282" s="311"/>
      <c r="T282" s="311"/>
      <c r="AB282" s="312"/>
      <c r="AF282" s="313"/>
      <c r="AG282" s="313"/>
      <c r="AH282" s="313"/>
      <c r="AI282" s="313"/>
      <c r="AJ282" s="313"/>
      <c r="AS282" s="314"/>
      <c r="AT282" s="315"/>
      <c r="AU282" s="314"/>
      <c r="AV282" s="312"/>
      <c r="AX282" s="206"/>
      <c r="AY282" s="206"/>
      <c r="BE282" s="316"/>
      <c r="BF282" s="316"/>
      <c r="BG282" s="316"/>
      <c r="BH282" s="310"/>
      <c r="BK282" s="309"/>
      <c r="BL282" s="309"/>
      <c r="BM282" s="309"/>
      <c r="BN282" s="309"/>
      <c r="BP282" s="313"/>
      <c r="CC282" s="316"/>
      <c r="CG282" s="313"/>
      <c r="CH282" s="313"/>
      <c r="CI282" s="313"/>
      <c r="CK282" s="313"/>
      <c r="CL282" s="313"/>
      <c r="CM282" s="313"/>
      <c r="CN282" s="313"/>
      <c r="CO282" s="313"/>
      <c r="CP282" s="313"/>
      <c r="CQ282" s="313"/>
      <c r="CR282" s="313"/>
      <c r="CS282" s="313"/>
      <c r="CT282" s="313"/>
      <c r="CU282" s="309"/>
      <c r="DH282" s="309"/>
      <c r="DK282" s="310"/>
      <c r="DN282" s="206"/>
      <c r="DO282" s="206"/>
      <c r="DS282" s="288" t="str">
        <f t="shared" si="9"/>
        <v/>
      </c>
      <c r="DT282" s="288" t="str">
        <f t="shared" si="10"/>
        <v/>
      </c>
      <c r="DU282" s="310"/>
      <c r="DV282" s="310"/>
      <c r="DW282" s="310"/>
      <c r="DX282" s="310"/>
      <c r="DY282" s="310"/>
      <c r="DZ282" s="310"/>
      <c r="EA282" s="310"/>
      <c r="EB282" s="310"/>
      <c r="ED282" s="310"/>
      <c r="EE282" s="310"/>
      <c r="EF282" s="310"/>
      <c r="EH282" s="310"/>
    </row>
    <row r="283" spans="3:138" s="288" customFormat="1" hidden="1">
      <c r="C283" s="309"/>
      <c r="D283" s="309"/>
      <c r="E283" s="309"/>
      <c r="F283" s="309"/>
      <c r="G283" s="309"/>
      <c r="H283" s="309"/>
      <c r="I283" s="309"/>
      <c r="J283" s="309"/>
      <c r="K283" s="309"/>
      <c r="L283" s="315"/>
      <c r="Q283" s="309"/>
      <c r="R283" s="311"/>
      <c r="S283" s="311"/>
      <c r="T283" s="311"/>
      <c r="AB283" s="312"/>
      <c r="AF283" s="313"/>
      <c r="AG283" s="313"/>
      <c r="AH283" s="313"/>
      <c r="AI283" s="313"/>
      <c r="AJ283" s="313"/>
      <c r="AS283" s="314"/>
      <c r="AT283" s="315"/>
      <c r="AU283" s="314"/>
      <c r="AV283" s="312"/>
      <c r="AX283" s="206"/>
      <c r="AY283" s="206"/>
      <c r="BE283" s="316"/>
      <c r="BF283" s="316"/>
      <c r="BG283" s="316"/>
      <c r="BH283" s="310"/>
      <c r="BK283" s="309"/>
      <c r="BL283" s="309"/>
      <c r="BM283" s="309"/>
      <c r="BN283" s="309"/>
      <c r="BP283" s="313"/>
      <c r="CC283" s="316"/>
      <c r="CG283" s="313"/>
      <c r="CH283" s="313"/>
      <c r="CI283" s="313"/>
      <c r="CK283" s="313"/>
      <c r="CL283" s="313"/>
      <c r="CM283" s="313"/>
      <c r="CN283" s="313"/>
      <c r="CO283" s="313"/>
      <c r="CP283" s="313"/>
      <c r="CQ283" s="313"/>
      <c r="CR283" s="313"/>
      <c r="CS283" s="313"/>
      <c r="CT283" s="313"/>
      <c r="CU283" s="309"/>
      <c r="DH283" s="309"/>
      <c r="DK283" s="310"/>
      <c r="DN283" s="206"/>
      <c r="DO283" s="206"/>
      <c r="DS283" s="288" t="str">
        <f t="shared" si="9"/>
        <v/>
      </c>
      <c r="DT283" s="288" t="str">
        <f t="shared" si="10"/>
        <v/>
      </c>
      <c r="DU283" s="310"/>
      <c r="DV283" s="310"/>
      <c r="DW283" s="310"/>
      <c r="DX283" s="310"/>
      <c r="DY283" s="310"/>
      <c r="DZ283" s="310"/>
      <c r="EA283" s="310"/>
      <c r="EB283" s="310"/>
      <c r="ED283" s="310"/>
      <c r="EE283" s="310"/>
      <c r="EF283" s="310"/>
      <c r="EH283" s="310"/>
    </row>
    <row r="284" spans="3:138" s="288" customFormat="1" hidden="1">
      <c r="C284" s="309"/>
      <c r="D284" s="309"/>
      <c r="E284" s="309"/>
      <c r="F284" s="309"/>
      <c r="G284" s="309"/>
      <c r="H284" s="309"/>
      <c r="I284" s="309"/>
      <c r="J284" s="309"/>
      <c r="K284" s="309"/>
      <c r="L284" s="315"/>
      <c r="Q284" s="309"/>
      <c r="R284" s="311"/>
      <c r="S284" s="311"/>
      <c r="T284" s="311"/>
      <c r="AB284" s="312"/>
      <c r="AF284" s="313"/>
      <c r="AG284" s="313"/>
      <c r="AH284" s="313"/>
      <c r="AI284" s="313"/>
      <c r="AJ284" s="313"/>
      <c r="AS284" s="314"/>
      <c r="AT284" s="315"/>
      <c r="AU284" s="314"/>
      <c r="AV284" s="312"/>
      <c r="AX284" s="206"/>
      <c r="AY284" s="206"/>
      <c r="BE284" s="316"/>
      <c r="BF284" s="316"/>
      <c r="BG284" s="316"/>
      <c r="BH284" s="310"/>
      <c r="BK284" s="309"/>
      <c r="BL284" s="309"/>
      <c r="BM284" s="309"/>
      <c r="BN284" s="309"/>
      <c r="BP284" s="313"/>
      <c r="CC284" s="316"/>
      <c r="CG284" s="313"/>
      <c r="CH284" s="313"/>
      <c r="CI284" s="313"/>
      <c r="CK284" s="313"/>
      <c r="CL284" s="313"/>
      <c r="CM284" s="313"/>
      <c r="CN284" s="313"/>
      <c r="CO284" s="313"/>
      <c r="CP284" s="313"/>
      <c r="CQ284" s="313"/>
      <c r="CR284" s="313"/>
      <c r="CS284" s="313"/>
      <c r="CT284" s="313"/>
      <c r="CU284" s="309"/>
      <c r="DH284" s="309"/>
      <c r="DK284" s="310"/>
      <c r="DN284" s="206"/>
      <c r="DO284" s="206"/>
      <c r="DS284" s="288" t="str">
        <f t="shared" si="9"/>
        <v/>
      </c>
      <c r="DT284" s="288" t="str">
        <f t="shared" si="10"/>
        <v/>
      </c>
      <c r="DU284" s="310"/>
      <c r="DV284" s="310"/>
      <c r="DW284" s="310"/>
      <c r="DX284" s="310"/>
      <c r="DY284" s="310"/>
      <c r="DZ284" s="310"/>
      <c r="EA284" s="310"/>
      <c r="EB284" s="310"/>
      <c r="ED284" s="310"/>
      <c r="EE284" s="310"/>
      <c r="EF284" s="310"/>
      <c r="EH284" s="310"/>
    </row>
    <row r="285" spans="3:138" s="288" customFormat="1" hidden="1">
      <c r="C285" s="309"/>
      <c r="D285" s="309"/>
      <c r="E285" s="309"/>
      <c r="F285" s="309"/>
      <c r="G285" s="309"/>
      <c r="H285" s="309"/>
      <c r="I285" s="309"/>
      <c r="J285" s="309"/>
      <c r="K285" s="309"/>
      <c r="L285" s="315"/>
      <c r="Q285" s="309"/>
      <c r="R285" s="311"/>
      <c r="S285" s="311"/>
      <c r="T285" s="311"/>
      <c r="AB285" s="312"/>
      <c r="AF285" s="313"/>
      <c r="AG285" s="313"/>
      <c r="AH285" s="313"/>
      <c r="AI285" s="313"/>
      <c r="AJ285" s="313"/>
      <c r="AS285" s="314"/>
      <c r="AT285" s="315"/>
      <c r="AU285" s="314"/>
      <c r="AV285" s="312"/>
      <c r="AX285" s="206"/>
      <c r="AY285" s="206"/>
      <c r="BE285" s="316"/>
      <c r="BF285" s="316"/>
      <c r="BG285" s="316"/>
      <c r="BH285" s="310"/>
      <c r="BK285" s="309"/>
      <c r="BL285" s="309"/>
      <c r="BM285" s="309"/>
      <c r="BN285" s="309"/>
      <c r="BP285" s="313"/>
      <c r="CC285" s="316"/>
      <c r="CG285" s="313"/>
      <c r="CH285" s="313"/>
      <c r="CI285" s="313"/>
      <c r="CK285" s="313"/>
      <c r="CL285" s="313"/>
      <c r="CM285" s="313"/>
      <c r="CN285" s="313"/>
      <c r="CO285" s="313"/>
      <c r="CP285" s="313"/>
      <c r="CQ285" s="313"/>
      <c r="CR285" s="313"/>
      <c r="CS285" s="313"/>
      <c r="CT285" s="313"/>
      <c r="CU285" s="309"/>
      <c r="DH285" s="309"/>
      <c r="DK285" s="310"/>
      <c r="DN285" s="206"/>
      <c r="DO285" s="206"/>
      <c r="DS285" s="288" t="str">
        <f t="shared" si="9"/>
        <v/>
      </c>
      <c r="DT285" s="288" t="str">
        <f t="shared" si="10"/>
        <v/>
      </c>
      <c r="DU285" s="310"/>
      <c r="DV285" s="310"/>
      <c r="DW285" s="310"/>
      <c r="DX285" s="310"/>
      <c r="DY285" s="310"/>
      <c r="DZ285" s="310"/>
      <c r="EA285" s="310"/>
      <c r="EB285" s="310"/>
      <c r="ED285" s="310"/>
      <c r="EE285" s="310"/>
      <c r="EF285" s="310"/>
      <c r="EH285" s="310"/>
    </row>
    <row r="286" spans="3:138" s="288" customFormat="1" hidden="1">
      <c r="C286" s="309"/>
      <c r="D286" s="309"/>
      <c r="E286" s="309"/>
      <c r="F286" s="309"/>
      <c r="G286" s="309"/>
      <c r="H286" s="309"/>
      <c r="I286" s="309"/>
      <c r="J286" s="309"/>
      <c r="K286" s="309"/>
      <c r="L286" s="315"/>
      <c r="Q286" s="309"/>
      <c r="R286" s="311"/>
      <c r="S286" s="311"/>
      <c r="T286" s="311"/>
      <c r="AB286" s="312"/>
      <c r="AF286" s="313"/>
      <c r="AG286" s="313"/>
      <c r="AH286" s="313"/>
      <c r="AI286" s="313"/>
      <c r="AJ286" s="313"/>
      <c r="AS286" s="314"/>
      <c r="AT286" s="315"/>
      <c r="AU286" s="314"/>
      <c r="AV286" s="312"/>
      <c r="AX286" s="206"/>
      <c r="AY286" s="206"/>
      <c r="BE286" s="316"/>
      <c r="BF286" s="316"/>
      <c r="BG286" s="316"/>
      <c r="BH286" s="310"/>
      <c r="BK286" s="309"/>
      <c r="BL286" s="309"/>
      <c r="BM286" s="309"/>
      <c r="BN286" s="309"/>
      <c r="BP286" s="313"/>
      <c r="CC286" s="316"/>
      <c r="CG286" s="313"/>
      <c r="CH286" s="313"/>
      <c r="CI286" s="313"/>
      <c r="CK286" s="313"/>
      <c r="CL286" s="313"/>
      <c r="CM286" s="313"/>
      <c r="CN286" s="313"/>
      <c r="CO286" s="313"/>
      <c r="CP286" s="313"/>
      <c r="CQ286" s="313"/>
      <c r="CR286" s="313"/>
      <c r="CS286" s="313"/>
      <c r="CT286" s="313"/>
      <c r="CU286" s="309"/>
      <c r="DH286" s="309"/>
      <c r="DK286" s="310"/>
      <c r="DN286" s="206"/>
      <c r="DO286" s="206"/>
      <c r="DS286" s="288" t="str">
        <f t="shared" si="9"/>
        <v/>
      </c>
      <c r="DT286" s="288" t="str">
        <f t="shared" si="10"/>
        <v/>
      </c>
      <c r="DU286" s="310"/>
      <c r="DV286" s="310"/>
      <c r="DW286" s="310"/>
      <c r="DX286" s="310"/>
      <c r="DY286" s="310"/>
      <c r="DZ286" s="310"/>
      <c r="EA286" s="310"/>
      <c r="EB286" s="310"/>
      <c r="ED286" s="310"/>
      <c r="EE286" s="310"/>
      <c r="EF286" s="310"/>
      <c r="EH286" s="310"/>
    </row>
    <row r="287" spans="3:138" s="288" customFormat="1" hidden="1">
      <c r="C287" s="309"/>
      <c r="D287" s="309"/>
      <c r="E287" s="309"/>
      <c r="F287" s="309"/>
      <c r="G287" s="309"/>
      <c r="H287" s="309"/>
      <c r="I287" s="309"/>
      <c r="J287" s="309"/>
      <c r="K287" s="309"/>
      <c r="L287" s="315"/>
      <c r="Q287" s="309"/>
      <c r="R287" s="311"/>
      <c r="S287" s="311"/>
      <c r="T287" s="311"/>
      <c r="AB287" s="312"/>
      <c r="AF287" s="313"/>
      <c r="AG287" s="313"/>
      <c r="AH287" s="313"/>
      <c r="AI287" s="313"/>
      <c r="AJ287" s="313"/>
      <c r="AS287" s="314"/>
      <c r="AT287" s="315"/>
      <c r="AU287" s="314"/>
      <c r="AV287" s="312"/>
      <c r="AX287" s="206"/>
      <c r="AY287" s="206"/>
      <c r="BE287" s="316"/>
      <c r="BF287" s="316"/>
      <c r="BG287" s="316"/>
      <c r="BH287" s="310"/>
      <c r="BK287" s="309"/>
      <c r="BL287" s="309"/>
      <c r="BM287" s="309"/>
      <c r="BN287" s="309"/>
      <c r="BP287" s="313"/>
      <c r="CC287" s="316"/>
      <c r="CG287" s="313"/>
      <c r="CH287" s="313"/>
      <c r="CI287" s="313"/>
      <c r="CK287" s="313"/>
      <c r="CL287" s="313"/>
      <c r="CM287" s="313"/>
      <c r="CN287" s="313"/>
      <c r="CO287" s="313"/>
      <c r="CP287" s="313"/>
      <c r="CQ287" s="313"/>
      <c r="CR287" s="313"/>
      <c r="CS287" s="313"/>
      <c r="CT287" s="313"/>
      <c r="CU287" s="309"/>
      <c r="DH287" s="309"/>
      <c r="DK287" s="310"/>
      <c r="DN287" s="206"/>
      <c r="DO287" s="206"/>
      <c r="DS287" s="288" t="str">
        <f t="shared" si="9"/>
        <v/>
      </c>
      <c r="DT287" s="288" t="str">
        <f t="shared" si="10"/>
        <v/>
      </c>
      <c r="DU287" s="310"/>
      <c r="DV287" s="310"/>
      <c r="DW287" s="310"/>
      <c r="DX287" s="310"/>
      <c r="DY287" s="310"/>
      <c r="DZ287" s="310"/>
      <c r="EA287" s="310"/>
      <c r="EB287" s="310"/>
      <c r="ED287" s="310"/>
      <c r="EE287" s="310"/>
      <c r="EF287" s="310"/>
      <c r="EH287" s="310"/>
    </row>
    <row r="288" spans="3:138" s="288" customFormat="1" hidden="1">
      <c r="C288" s="309"/>
      <c r="D288" s="309"/>
      <c r="E288" s="309"/>
      <c r="F288" s="309"/>
      <c r="G288" s="309"/>
      <c r="H288" s="309"/>
      <c r="I288" s="309"/>
      <c r="J288" s="309"/>
      <c r="K288" s="309"/>
      <c r="L288" s="315"/>
      <c r="Q288" s="309"/>
      <c r="R288" s="311"/>
      <c r="S288" s="311"/>
      <c r="T288" s="311"/>
      <c r="AB288" s="312"/>
      <c r="AF288" s="313"/>
      <c r="AG288" s="313"/>
      <c r="AH288" s="313"/>
      <c r="AI288" s="313"/>
      <c r="AJ288" s="313"/>
      <c r="AS288" s="314"/>
      <c r="AT288" s="315"/>
      <c r="AU288" s="314"/>
      <c r="AV288" s="312"/>
      <c r="AX288" s="206"/>
      <c r="AY288" s="206"/>
      <c r="BE288" s="316"/>
      <c r="BF288" s="316"/>
      <c r="BG288" s="316"/>
      <c r="BH288" s="310"/>
      <c r="BK288" s="309"/>
      <c r="BL288" s="309"/>
      <c r="BM288" s="309"/>
      <c r="BN288" s="309"/>
      <c r="BP288" s="313"/>
      <c r="CC288" s="316"/>
      <c r="CG288" s="313"/>
      <c r="CH288" s="313"/>
      <c r="CI288" s="313"/>
      <c r="CK288" s="313"/>
      <c r="CL288" s="313"/>
      <c r="CM288" s="313"/>
      <c r="CN288" s="313"/>
      <c r="CO288" s="313"/>
      <c r="CP288" s="313"/>
      <c r="CQ288" s="313"/>
      <c r="CR288" s="313"/>
      <c r="CS288" s="313"/>
      <c r="CT288" s="313"/>
      <c r="CU288" s="309"/>
      <c r="DH288" s="309"/>
      <c r="DK288" s="310"/>
      <c r="DN288" s="206"/>
      <c r="DO288" s="206"/>
      <c r="DS288" s="288" t="str">
        <f t="shared" si="9"/>
        <v/>
      </c>
      <c r="DT288" s="288" t="str">
        <f t="shared" si="10"/>
        <v/>
      </c>
      <c r="DU288" s="310"/>
      <c r="DV288" s="310"/>
      <c r="DW288" s="310"/>
      <c r="DX288" s="310"/>
      <c r="DY288" s="310"/>
      <c r="DZ288" s="310"/>
      <c r="EA288" s="310"/>
      <c r="EB288" s="310"/>
      <c r="ED288" s="310"/>
      <c r="EE288" s="310"/>
      <c r="EF288" s="310"/>
      <c r="EH288" s="310"/>
    </row>
    <row r="289" spans="3:138" s="288" customFormat="1" hidden="1">
      <c r="C289" s="309"/>
      <c r="D289" s="309"/>
      <c r="E289" s="309"/>
      <c r="F289" s="309"/>
      <c r="G289" s="309"/>
      <c r="H289" s="309"/>
      <c r="I289" s="309"/>
      <c r="J289" s="309"/>
      <c r="K289" s="309"/>
      <c r="L289" s="315"/>
      <c r="Q289" s="309"/>
      <c r="R289" s="311"/>
      <c r="S289" s="311"/>
      <c r="T289" s="311"/>
      <c r="AB289" s="312"/>
      <c r="AF289" s="313"/>
      <c r="AG289" s="313"/>
      <c r="AH289" s="313"/>
      <c r="AI289" s="313"/>
      <c r="AJ289" s="313"/>
      <c r="AS289" s="314"/>
      <c r="AT289" s="315"/>
      <c r="AU289" s="314"/>
      <c r="AV289" s="312"/>
      <c r="AX289" s="206"/>
      <c r="AY289" s="206"/>
      <c r="BE289" s="316"/>
      <c r="BF289" s="316"/>
      <c r="BG289" s="316"/>
      <c r="BH289" s="310"/>
      <c r="BK289" s="309"/>
      <c r="BL289" s="309"/>
      <c r="BM289" s="309"/>
      <c r="BN289" s="309"/>
      <c r="BP289" s="313"/>
      <c r="CC289" s="316"/>
      <c r="CG289" s="313"/>
      <c r="CH289" s="313"/>
      <c r="CI289" s="313"/>
      <c r="CK289" s="313"/>
      <c r="CL289" s="313"/>
      <c r="CM289" s="313"/>
      <c r="CN289" s="313"/>
      <c r="CO289" s="313"/>
      <c r="CP289" s="313"/>
      <c r="CQ289" s="313"/>
      <c r="CR289" s="313"/>
      <c r="CS289" s="313"/>
      <c r="CT289" s="313"/>
      <c r="CU289" s="309"/>
      <c r="DH289" s="309"/>
      <c r="DK289" s="310"/>
      <c r="DN289" s="206"/>
      <c r="DO289" s="206"/>
      <c r="DS289" s="288" t="str">
        <f t="shared" si="9"/>
        <v/>
      </c>
      <c r="DT289" s="288" t="str">
        <f t="shared" si="10"/>
        <v/>
      </c>
      <c r="DU289" s="310"/>
      <c r="DV289" s="310"/>
      <c r="DW289" s="310"/>
      <c r="DX289" s="310"/>
      <c r="DY289" s="310"/>
      <c r="DZ289" s="310"/>
      <c r="EA289" s="310"/>
      <c r="EB289" s="310"/>
      <c r="ED289" s="310"/>
      <c r="EE289" s="310"/>
      <c r="EF289" s="310"/>
      <c r="EH289" s="310"/>
    </row>
    <row r="290" spans="3:138" s="288" customFormat="1" hidden="1">
      <c r="C290" s="309"/>
      <c r="D290" s="309"/>
      <c r="E290" s="309"/>
      <c r="F290" s="309"/>
      <c r="G290" s="309"/>
      <c r="H290" s="309"/>
      <c r="I290" s="309"/>
      <c r="J290" s="309"/>
      <c r="K290" s="309"/>
      <c r="L290" s="315"/>
      <c r="Q290" s="309"/>
      <c r="R290" s="311"/>
      <c r="S290" s="311"/>
      <c r="T290" s="311"/>
      <c r="AB290" s="312"/>
      <c r="AF290" s="313"/>
      <c r="AG290" s="313"/>
      <c r="AH290" s="313"/>
      <c r="AI290" s="313"/>
      <c r="AJ290" s="313"/>
      <c r="AS290" s="314"/>
      <c r="AT290" s="315"/>
      <c r="AU290" s="314"/>
      <c r="AV290" s="312"/>
      <c r="AX290" s="206"/>
      <c r="AY290" s="206"/>
      <c r="BE290" s="316"/>
      <c r="BF290" s="316"/>
      <c r="BG290" s="316"/>
      <c r="BH290" s="310"/>
      <c r="BK290" s="309"/>
      <c r="BL290" s="309"/>
      <c r="BM290" s="309"/>
      <c r="BN290" s="309"/>
      <c r="BP290" s="313"/>
      <c r="CC290" s="316"/>
      <c r="CG290" s="313"/>
      <c r="CH290" s="313"/>
      <c r="CI290" s="313"/>
      <c r="CK290" s="313"/>
      <c r="CL290" s="313"/>
      <c r="CM290" s="313"/>
      <c r="CN290" s="313"/>
      <c r="CO290" s="313"/>
      <c r="CP290" s="313"/>
      <c r="CQ290" s="313"/>
      <c r="CR290" s="313"/>
      <c r="CS290" s="313"/>
      <c r="CT290" s="313"/>
      <c r="CU290" s="309"/>
      <c r="DH290" s="309"/>
      <c r="DK290" s="310"/>
      <c r="DN290" s="206"/>
      <c r="DO290" s="206"/>
      <c r="DS290" s="288" t="str">
        <f t="shared" si="9"/>
        <v/>
      </c>
      <c r="DT290" s="288" t="str">
        <f t="shared" si="10"/>
        <v/>
      </c>
      <c r="DU290" s="310"/>
      <c r="DV290" s="310"/>
      <c r="DW290" s="310"/>
      <c r="DX290" s="310"/>
      <c r="DY290" s="310"/>
      <c r="DZ290" s="310"/>
      <c r="EA290" s="310"/>
      <c r="EB290" s="310"/>
      <c r="ED290" s="310"/>
      <c r="EE290" s="310"/>
      <c r="EF290" s="310"/>
      <c r="EH290" s="310"/>
    </row>
    <row r="291" spans="3:138" s="288" customFormat="1" hidden="1">
      <c r="C291" s="309"/>
      <c r="D291" s="309"/>
      <c r="E291" s="309"/>
      <c r="F291" s="309"/>
      <c r="G291" s="309"/>
      <c r="H291" s="309"/>
      <c r="I291" s="309"/>
      <c r="J291" s="309"/>
      <c r="K291" s="309"/>
      <c r="L291" s="315"/>
      <c r="Q291" s="309"/>
      <c r="R291" s="311"/>
      <c r="S291" s="311"/>
      <c r="T291" s="311"/>
      <c r="AB291" s="312"/>
      <c r="AF291" s="313"/>
      <c r="AG291" s="313"/>
      <c r="AH291" s="313"/>
      <c r="AI291" s="313"/>
      <c r="AJ291" s="313"/>
      <c r="AS291" s="314"/>
      <c r="AT291" s="315"/>
      <c r="AU291" s="314"/>
      <c r="AV291" s="312"/>
      <c r="AX291" s="206"/>
      <c r="AY291" s="206"/>
      <c r="BE291" s="316"/>
      <c r="BF291" s="316"/>
      <c r="BG291" s="316"/>
      <c r="BH291" s="310"/>
      <c r="BK291" s="309"/>
      <c r="BL291" s="309"/>
      <c r="BM291" s="309"/>
      <c r="BN291" s="309"/>
      <c r="BP291" s="313"/>
      <c r="CC291" s="316"/>
      <c r="CG291" s="313"/>
      <c r="CH291" s="313"/>
      <c r="CI291" s="313"/>
      <c r="CK291" s="313"/>
      <c r="CL291" s="313"/>
      <c r="CM291" s="313"/>
      <c r="CN291" s="313"/>
      <c r="CO291" s="313"/>
      <c r="CP291" s="313"/>
      <c r="CQ291" s="313"/>
      <c r="CR291" s="313"/>
      <c r="CS291" s="313"/>
      <c r="CT291" s="313"/>
      <c r="CU291" s="309"/>
      <c r="DH291" s="309"/>
      <c r="DK291" s="310"/>
      <c r="DN291" s="206"/>
      <c r="DO291" s="206"/>
      <c r="DS291" s="288" t="str">
        <f t="shared" si="9"/>
        <v/>
      </c>
      <c r="DT291" s="288" t="str">
        <f t="shared" si="10"/>
        <v/>
      </c>
      <c r="DU291" s="310"/>
      <c r="DV291" s="310"/>
      <c r="DW291" s="310"/>
      <c r="DX291" s="310"/>
      <c r="DY291" s="310"/>
      <c r="DZ291" s="310"/>
      <c r="EA291" s="310"/>
      <c r="EB291" s="310"/>
      <c r="ED291" s="310"/>
      <c r="EE291" s="310"/>
      <c r="EF291" s="310"/>
      <c r="EH291" s="310"/>
    </row>
    <row r="292" spans="3:138" s="288" customFormat="1" hidden="1">
      <c r="C292" s="309"/>
      <c r="D292" s="309"/>
      <c r="E292" s="309"/>
      <c r="F292" s="309"/>
      <c r="G292" s="309"/>
      <c r="H292" s="309"/>
      <c r="I292" s="309"/>
      <c r="J292" s="309"/>
      <c r="K292" s="309"/>
      <c r="L292" s="315"/>
      <c r="Q292" s="309"/>
      <c r="R292" s="311"/>
      <c r="S292" s="311"/>
      <c r="T292" s="311"/>
      <c r="AB292" s="312"/>
      <c r="AF292" s="313"/>
      <c r="AG292" s="313"/>
      <c r="AH292" s="313"/>
      <c r="AI292" s="313"/>
      <c r="AJ292" s="313"/>
      <c r="AS292" s="314"/>
      <c r="AT292" s="315"/>
      <c r="AU292" s="314"/>
      <c r="AV292" s="312"/>
      <c r="AX292" s="206"/>
      <c r="AY292" s="206"/>
      <c r="BE292" s="316"/>
      <c r="BF292" s="316"/>
      <c r="BG292" s="316"/>
      <c r="BH292" s="310"/>
      <c r="BK292" s="309"/>
      <c r="BL292" s="309"/>
      <c r="BM292" s="309"/>
      <c r="BN292" s="309"/>
      <c r="BP292" s="313"/>
      <c r="CC292" s="316"/>
      <c r="CG292" s="313"/>
      <c r="CH292" s="313"/>
      <c r="CI292" s="313"/>
      <c r="CK292" s="313"/>
      <c r="CL292" s="313"/>
      <c r="CM292" s="313"/>
      <c r="CN292" s="313"/>
      <c r="CO292" s="313"/>
      <c r="CP292" s="313"/>
      <c r="CQ292" s="313"/>
      <c r="CR292" s="313"/>
      <c r="CS292" s="313"/>
      <c r="CT292" s="313"/>
      <c r="CU292" s="309"/>
      <c r="DH292" s="309"/>
      <c r="DK292" s="310"/>
      <c r="DN292" s="206"/>
      <c r="DO292" s="206"/>
      <c r="DS292" s="288" t="str">
        <f t="shared" si="9"/>
        <v/>
      </c>
      <c r="DT292" s="288" t="str">
        <f t="shared" si="10"/>
        <v/>
      </c>
      <c r="DU292" s="310"/>
      <c r="DV292" s="310"/>
      <c r="DW292" s="310"/>
      <c r="DX292" s="310"/>
      <c r="DY292" s="310"/>
      <c r="DZ292" s="310"/>
      <c r="EA292" s="310"/>
      <c r="EB292" s="310"/>
      <c r="ED292" s="310"/>
      <c r="EE292" s="310"/>
      <c r="EF292" s="310"/>
      <c r="EH292" s="310"/>
    </row>
    <row r="293" spans="3:138" s="288" customFormat="1" hidden="1">
      <c r="C293" s="309"/>
      <c r="D293" s="309"/>
      <c r="E293" s="309"/>
      <c r="F293" s="309"/>
      <c r="G293" s="309"/>
      <c r="H293" s="309"/>
      <c r="I293" s="309"/>
      <c r="J293" s="309"/>
      <c r="K293" s="309"/>
      <c r="L293" s="315"/>
      <c r="Q293" s="309"/>
      <c r="R293" s="311"/>
      <c r="S293" s="311"/>
      <c r="T293" s="311"/>
      <c r="AB293" s="312"/>
      <c r="AF293" s="313"/>
      <c r="AG293" s="313"/>
      <c r="AH293" s="313"/>
      <c r="AI293" s="313"/>
      <c r="AJ293" s="313"/>
      <c r="AS293" s="314"/>
      <c r="AT293" s="315"/>
      <c r="AU293" s="314"/>
      <c r="AV293" s="312"/>
      <c r="AX293" s="206"/>
      <c r="AY293" s="206"/>
      <c r="BE293" s="316"/>
      <c r="BF293" s="316"/>
      <c r="BG293" s="316"/>
      <c r="BH293" s="310"/>
      <c r="BK293" s="309"/>
      <c r="BL293" s="309"/>
      <c r="BM293" s="309"/>
      <c r="BN293" s="309"/>
      <c r="BP293" s="313"/>
      <c r="CC293" s="316"/>
      <c r="CG293" s="313"/>
      <c r="CH293" s="313"/>
      <c r="CI293" s="313"/>
      <c r="CK293" s="313"/>
      <c r="CL293" s="313"/>
      <c r="CM293" s="313"/>
      <c r="CN293" s="313"/>
      <c r="CO293" s="313"/>
      <c r="CP293" s="313"/>
      <c r="CQ293" s="313"/>
      <c r="CR293" s="313"/>
      <c r="CS293" s="313"/>
      <c r="CT293" s="313"/>
      <c r="CU293" s="309"/>
      <c r="DH293" s="309"/>
      <c r="DK293" s="310"/>
      <c r="DN293" s="206"/>
      <c r="DO293" s="206"/>
      <c r="DS293" s="288" t="str">
        <f t="shared" si="9"/>
        <v/>
      </c>
      <c r="DT293" s="288" t="str">
        <f t="shared" si="10"/>
        <v/>
      </c>
      <c r="DU293" s="310"/>
      <c r="DV293" s="310"/>
      <c r="DW293" s="310"/>
      <c r="DX293" s="310"/>
      <c r="DY293" s="310"/>
      <c r="DZ293" s="310"/>
      <c r="EA293" s="310"/>
      <c r="EB293" s="310"/>
      <c r="ED293" s="310"/>
      <c r="EE293" s="310"/>
      <c r="EF293" s="310"/>
      <c r="EH293" s="310"/>
    </row>
    <row r="294" spans="3:138" s="288" customFormat="1" hidden="1">
      <c r="C294" s="309"/>
      <c r="D294" s="309"/>
      <c r="E294" s="309"/>
      <c r="F294" s="309"/>
      <c r="G294" s="309"/>
      <c r="H294" s="309"/>
      <c r="I294" s="309"/>
      <c r="J294" s="309"/>
      <c r="K294" s="309"/>
      <c r="L294" s="315"/>
      <c r="Q294" s="309"/>
      <c r="R294" s="311"/>
      <c r="S294" s="311"/>
      <c r="T294" s="311"/>
      <c r="AB294" s="312"/>
      <c r="AF294" s="313"/>
      <c r="AG294" s="313"/>
      <c r="AH294" s="313"/>
      <c r="AI294" s="313"/>
      <c r="AJ294" s="313"/>
      <c r="AS294" s="314"/>
      <c r="AT294" s="315"/>
      <c r="AU294" s="314"/>
      <c r="AV294" s="312"/>
      <c r="AX294" s="206"/>
      <c r="AY294" s="206"/>
      <c r="BE294" s="316"/>
      <c r="BF294" s="316"/>
      <c r="BG294" s="316"/>
      <c r="BH294" s="310"/>
      <c r="BK294" s="309"/>
      <c r="BL294" s="309"/>
      <c r="BM294" s="309"/>
      <c r="BN294" s="309"/>
      <c r="BP294" s="313"/>
      <c r="CC294" s="316"/>
      <c r="CG294" s="313"/>
      <c r="CH294" s="313"/>
      <c r="CI294" s="313"/>
      <c r="CK294" s="313"/>
      <c r="CL294" s="313"/>
      <c r="CM294" s="313"/>
      <c r="CN294" s="313"/>
      <c r="CO294" s="313"/>
      <c r="CP294" s="313"/>
      <c r="CQ294" s="313"/>
      <c r="CR294" s="313"/>
      <c r="CS294" s="313"/>
      <c r="CT294" s="313"/>
      <c r="CU294" s="309"/>
      <c r="DH294" s="309"/>
      <c r="DK294" s="310"/>
      <c r="DN294" s="206"/>
      <c r="DO294" s="206"/>
      <c r="DS294" s="288" t="str">
        <f t="shared" ref="DS294:DS325" si="11">IF(DI294="S",(IF(AA294&gt;1.5,(3*AA294*0.7*DK294*2),0)),"")</f>
        <v/>
      </c>
      <c r="DT294" s="288" t="str">
        <f t="shared" ref="DT294:DT325" si="12">IF(DI294="S",(IF(AA294&gt;1.5,(3*AA294*0.3*DK294*2),0)),"")</f>
        <v/>
      </c>
      <c r="DU294" s="310"/>
      <c r="DV294" s="310"/>
      <c r="DW294" s="310"/>
      <c r="DX294" s="310"/>
      <c r="DY294" s="310"/>
      <c r="DZ294" s="310"/>
      <c r="EA294" s="310"/>
      <c r="EB294" s="310"/>
      <c r="ED294" s="310"/>
      <c r="EE294" s="310"/>
      <c r="EF294" s="310"/>
      <c r="EH294" s="310"/>
    </row>
    <row r="295" spans="3:138" s="288" customFormat="1" hidden="1">
      <c r="C295" s="309"/>
      <c r="D295" s="309"/>
      <c r="E295" s="309"/>
      <c r="F295" s="309"/>
      <c r="G295" s="309"/>
      <c r="H295" s="309"/>
      <c r="I295" s="309"/>
      <c r="J295" s="309"/>
      <c r="K295" s="309"/>
      <c r="L295" s="315"/>
      <c r="Q295" s="309"/>
      <c r="R295" s="311"/>
      <c r="S295" s="311"/>
      <c r="T295" s="311"/>
      <c r="AB295" s="312"/>
      <c r="AF295" s="313"/>
      <c r="AG295" s="313"/>
      <c r="AH295" s="313"/>
      <c r="AI295" s="313"/>
      <c r="AJ295" s="313"/>
      <c r="AS295" s="314"/>
      <c r="AT295" s="315"/>
      <c r="AU295" s="314"/>
      <c r="AV295" s="312"/>
      <c r="AX295" s="206"/>
      <c r="AY295" s="206"/>
      <c r="BE295" s="316"/>
      <c r="BF295" s="316"/>
      <c r="BG295" s="316"/>
      <c r="BH295" s="310"/>
      <c r="BK295" s="309"/>
      <c r="BL295" s="309"/>
      <c r="BM295" s="309"/>
      <c r="BN295" s="309"/>
      <c r="BP295" s="313"/>
      <c r="CC295" s="316"/>
      <c r="CG295" s="313"/>
      <c r="CH295" s="313"/>
      <c r="CI295" s="313"/>
      <c r="CK295" s="313"/>
      <c r="CL295" s="313"/>
      <c r="CM295" s="313"/>
      <c r="CN295" s="313"/>
      <c r="CO295" s="313"/>
      <c r="CP295" s="313"/>
      <c r="CQ295" s="313"/>
      <c r="CR295" s="313"/>
      <c r="CS295" s="313"/>
      <c r="CT295" s="313"/>
      <c r="CU295" s="309"/>
      <c r="DH295" s="309"/>
      <c r="DK295" s="310"/>
      <c r="DN295" s="206"/>
      <c r="DO295" s="206"/>
      <c r="DS295" s="288" t="str">
        <f t="shared" si="11"/>
        <v/>
      </c>
      <c r="DT295" s="288" t="str">
        <f t="shared" si="12"/>
        <v/>
      </c>
      <c r="DU295" s="310"/>
      <c r="DV295" s="310"/>
      <c r="DW295" s="310"/>
      <c r="DX295" s="310"/>
      <c r="DY295" s="310"/>
      <c r="DZ295" s="310"/>
      <c r="EA295" s="310"/>
      <c r="EB295" s="310"/>
      <c r="ED295" s="310"/>
      <c r="EE295" s="310"/>
      <c r="EF295" s="310"/>
      <c r="EH295" s="310"/>
    </row>
    <row r="296" spans="3:138" s="288" customFormat="1" hidden="1">
      <c r="C296" s="309"/>
      <c r="D296" s="309"/>
      <c r="E296" s="309"/>
      <c r="F296" s="309"/>
      <c r="G296" s="309"/>
      <c r="H296" s="309"/>
      <c r="I296" s="309"/>
      <c r="J296" s="309"/>
      <c r="K296" s="309"/>
      <c r="L296" s="315"/>
      <c r="Q296" s="309"/>
      <c r="R296" s="311"/>
      <c r="S296" s="311"/>
      <c r="T296" s="311"/>
      <c r="AB296" s="312"/>
      <c r="AF296" s="313"/>
      <c r="AG296" s="313"/>
      <c r="AH296" s="313"/>
      <c r="AI296" s="313"/>
      <c r="AJ296" s="313"/>
      <c r="AS296" s="314"/>
      <c r="AT296" s="315"/>
      <c r="AU296" s="314"/>
      <c r="AV296" s="312"/>
      <c r="AX296" s="206"/>
      <c r="AY296" s="206"/>
      <c r="BE296" s="316"/>
      <c r="BF296" s="316"/>
      <c r="BG296" s="316"/>
      <c r="BH296" s="310"/>
      <c r="BK296" s="309"/>
      <c r="BL296" s="309"/>
      <c r="BM296" s="309"/>
      <c r="BN296" s="309"/>
      <c r="BP296" s="313"/>
      <c r="CC296" s="316"/>
      <c r="CG296" s="313"/>
      <c r="CH296" s="313"/>
      <c r="CI296" s="313"/>
      <c r="CK296" s="313"/>
      <c r="CL296" s="313"/>
      <c r="CM296" s="313"/>
      <c r="CN296" s="313"/>
      <c r="CO296" s="313"/>
      <c r="CP296" s="313"/>
      <c r="CQ296" s="313"/>
      <c r="CR296" s="313"/>
      <c r="CS296" s="313"/>
      <c r="CT296" s="313"/>
      <c r="CU296" s="309"/>
      <c r="DH296" s="309"/>
      <c r="DK296" s="310"/>
      <c r="DN296" s="206"/>
      <c r="DO296" s="206"/>
      <c r="DS296" s="288" t="str">
        <f t="shared" si="11"/>
        <v/>
      </c>
      <c r="DT296" s="288" t="str">
        <f t="shared" si="12"/>
        <v/>
      </c>
      <c r="DU296" s="310"/>
      <c r="DV296" s="310"/>
      <c r="DW296" s="310"/>
      <c r="DX296" s="310"/>
      <c r="DY296" s="310"/>
      <c r="DZ296" s="310"/>
      <c r="EA296" s="310"/>
      <c r="EB296" s="310"/>
      <c r="ED296" s="310"/>
      <c r="EE296" s="310"/>
      <c r="EF296" s="310"/>
      <c r="EH296" s="310"/>
    </row>
    <row r="297" spans="3:138" s="288" customFormat="1" hidden="1">
      <c r="C297" s="309"/>
      <c r="D297" s="309"/>
      <c r="E297" s="309"/>
      <c r="F297" s="309"/>
      <c r="G297" s="309"/>
      <c r="H297" s="309"/>
      <c r="I297" s="309"/>
      <c r="J297" s="309"/>
      <c r="K297" s="309"/>
      <c r="L297" s="315"/>
      <c r="Q297" s="309"/>
      <c r="R297" s="311"/>
      <c r="S297" s="311"/>
      <c r="T297" s="311"/>
      <c r="AB297" s="312"/>
      <c r="AF297" s="313"/>
      <c r="AG297" s="313"/>
      <c r="AH297" s="313"/>
      <c r="AI297" s="313"/>
      <c r="AJ297" s="313"/>
      <c r="AS297" s="314"/>
      <c r="AT297" s="315"/>
      <c r="AU297" s="314"/>
      <c r="AV297" s="312"/>
      <c r="AX297" s="206"/>
      <c r="AY297" s="206"/>
      <c r="BE297" s="316"/>
      <c r="BF297" s="316"/>
      <c r="BG297" s="316"/>
      <c r="BH297" s="310"/>
      <c r="BK297" s="309"/>
      <c r="BL297" s="309"/>
      <c r="BM297" s="309"/>
      <c r="BN297" s="309"/>
      <c r="BP297" s="313"/>
      <c r="CC297" s="316"/>
      <c r="CG297" s="313"/>
      <c r="CH297" s="313"/>
      <c r="CI297" s="313"/>
      <c r="CK297" s="313"/>
      <c r="CL297" s="313"/>
      <c r="CM297" s="313"/>
      <c r="CN297" s="313"/>
      <c r="CO297" s="313"/>
      <c r="CP297" s="313"/>
      <c r="CQ297" s="313"/>
      <c r="CR297" s="313"/>
      <c r="CS297" s="313"/>
      <c r="CT297" s="313"/>
      <c r="CU297" s="309"/>
      <c r="DH297" s="309"/>
      <c r="DK297" s="310"/>
      <c r="DN297" s="206"/>
      <c r="DO297" s="206"/>
      <c r="DS297" s="288" t="str">
        <f t="shared" si="11"/>
        <v/>
      </c>
      <c r="DT297" s="288" t="str">
        <f t="shared" si="12"/>
        <v/>
      </c>
      <c r="DU297" s="310"/>
      <c r="DV297" s="310"/>
      <c r="DW297" s="310"/>
      <c r="DX297" s="310"/>
      <c r="DY297" s="310"/>
      <c r="DZ297" s="310"/>
      <c r="EA297" s="310"/>
      <c r="EB297" s="310"/>
      <c r="ED297" s="310"/>
      <c r="EE297" s="310"/>
      <c r="EF297" s="310"/>
      <c r="EH297" s="310"/>
    </row>
    <row r="298" spans="3:138" s="288" customFormat="1" hidden="1">
      <c r="C298" s="309"/>
      <c r="D298" s="309"/>
      <c r="E298" s="309"/>
      <c r="F298" s="309"/>
      <c r="G298" s="309"/>
      <c r="H298" s="309"/>
      <c r="I298" s="309"/>
      <c r="J298" s="309"/>
      <c r="K298" s="309"/>
      <c r="L298" s="315"/>
      <c r="Q298" s="309"/>
      <c r="R298" s="311"/>
      <c r="S298" s="311"/>
      <c r="T298" s="311"/>
      <c r="AB298" s="312"/>
      <c r="AF298" s="313"/>
      <c r="AG298" s="313"/>
      <c r="AH298" s="313"/>
      <c r="AI298" s="313"/>
      <c r="AJ298" s="313"/>
      <c r="AS298" s="314"/>
      <c r="AT298" s="315"/>
      <c r="AU298" s="314"/>
      <c r="AV298" s="312"/>
      <c r="AX298" s="206"/>
      <c r="AY298" s="206"/>
      <c r="BE298" s="316"/>
      <c r="BF298" s="316"/>
      <c r="BG298" s="316"/>
      <c r="BH298" s="310"/>
      <c r="BK298" s="309"/>
      <c r="BL298" s="309"/>
      <c r="BM298" s="309"/>
      <c r="BN298" s="309"/>
      <c r="BP298" s="313"/>
      <c r="CC298" s="316"/>
      <c r="CG298" s="313"/>
      <c r="CH298" s="313"/>
      <c r="CI298" s="313"/>
      <c r="CK298" s="313"/>
      <c r="CL298" s="313"/>
      <c r="CM298" s="313"/>
      <c r="CN298" s="313"/>
      <c r="CO298" s="313"/>
      <c r="CP298" s="313"/>
      <c r="CQ298" s="313"/>
      <c r="CR298" s="313"/>
      <c r="CS298" s="313"/>
      <c r="CT298" s="313"/>
      <c r="CU298" s="309"/>
      <c r="DH298" s="309"/>
      <c r="DK298" s="310"/>
      <c r="DN298" s="206"/>
      <c r="DO298" s="206"/>
      <c r="DS298" s="288" t="str">
        <f t="shared" si="11"/>
        <v/>
      </c>
      <c r="DT298" s="288" t="str">
        <f t="shared" si="12"/>
        <v/>
      </c>
      <c r="DU298" s="310"/>
      <c r="DV298" s="310"/>
      <c r="DW298" s="310"/>
      <c r="DX298" s="310"/>
      <c r="DY298" s="310"/>
      <c r="DZ298" s="310"/>
      <c r="EA298" s="310"/>
      <c r="EB298" s="310"/>
      <c r="ED298" s="310"/>
      <c r="EE298" s="310"/>
      <c r="EF298" s="310"/>
      <c r="EH298" s="310"/>
    </row>
    <row r="299" spans="3:138" s="288" customFormat="1" hidden="1">
      <c r="C299" s="309"/>
      <c r="D299" s="309"/>
      <c r="E299" s="309"/>
      <c r="F299" s="309"/>
      <c r="G299" s="309"/>
      <c r="H299" s="309"/>
      <c r="I299" s="309"/>
      <c r="J299" s="309"/>
      <c r="K299" s="309"/>
      <c r="L299" s="315"/>
      <c r="Q299" s="309"/>
      <c r="R299" s="311"/>
      <c r="S299" s="311"/>
      <c r="T299" s="311"/>
      <c r="AB299" s="312"/>
      <c r="AF299" s="313"/>
      <c r="AG299" s="313"/>
      <c r="AH299" s="313"/>
      <c r="AI299" s="313"/>
      <c r="AJ299" s="313"/>
      <c r="AS299" s="314"/>
      <c r="AT299" s="315"/>
      <c r="AU299" s="314"/>
      <c r="AV299" s="312"/>
      <c r="AX299" s="206"/>
      <c r="AY299" s="206"/>
      <c r="BE299" s="316"/>
      <c r="BF299" s="316"/>
      <c r="BG299" s="316"/>
      <c r="BH299" s="310"/>
      <c r="BK299" s="309"/>
      <c r="BL299" s="309"/>
      <c r="BM299" s="309"/>
      <c r="BN299" s="309"/>
      <c r="BP299" s="313"/>
      <c r="CC299" s="316"/>
      <c r="CG299" s="313"/>
      <c r="CH299" s="313"/>
      <c r="CI299" s="313"/>
      <c r="CK299" s="313"/>
      <c r="CL299" s="313"/>
      <c r="CM299" s="313"/>
      <c r="CN299" s="313"/>
      <c r="CO299" s="313"/>
      <c r="CP299" s="313"/>
      <c r="CQ299" s="313"/>
      <c r="CR299" s="313"/>
      <c r="CS299" s="313"/>
      <c r="CT299" s="313"/>
      <c r="CU299" s="309"/>
      <c r="DH299" s="309"/>
      <c r="DK299" s="310"/>
      <c r="DN299" s="206"/>
      <c r="DO299" s="206"/>
      <c r="DS299" s="288" t="str">
        <f t="shared" si="11"/>
        <v/>
      </c>
      <c r="DT299" s="288" t="str">
        <f t="shared" si="12"/>
        <v/>
      </c>
      <c r="DU299" s="310"/>
      <c r="DV299" s="310"/>
      <c r="DW299" s="310"/>
      <c r="DX299" s="310"/>
      <c r="DY299" s="310"/>
      <c r="DZ299" s="310"/>
      <c r="EA299" s="310"/>
      <c r="EB299" s="310"/>
      <c r="ED299" s="310"/>
      <c r="EE299" s="310"/>
      <c r="EF299" s="310"/>
      <c r="EH299" s="310"/>
    </row>
    <row r="300" spans="3:138" s="288" customFormat="1" hidden="1">
      <c r="C300" s="309"/>
      <c r="D300" s="309"/>
      <c r="E300" s="309"/>
      <c r="F300" s="309"/>
      <c r="G300" s="309"/>
      <c r="H300" s="309"/>
      <c r="I300" s="309"/>
      <c r="J300" s="309"/>
      <c r="K300" s="309"/>
      <c r="L300" s="315"/>
      <c r="Q300" s="309"/>
      <c r="R300" s="311"/>
      <c r="S300" s="311"/>
      <c r="T300" s="311"/>
      <c r="AB300" s="312"/>
      <c r="AF300" s="313"/>
      <c r="AG300" s="313"/>
      <c r="AH300" s="313"/>
      <c r="AI300" s="313"/>
      <c r="AJ300" s="313"/>
      <c r="AS300" s="314"/>
      <c r="AT300" s="315"/>
      <c r="AU300" s="314"/>
      <c r="AV300" s="312"/>
      <c r="AX300" s="206"/>
      <c r="AY300" s="206"/>
      <c r="BE300" s="316"/>
      <c r="BF300" s="316"/>
      <c r="BG300" s="316"/>
      <c r="BH300" s="310"/>
      <c r="BK300" s="309"/>
      <c r="BL300" s="309"/>
      <c r="BM300" s="309"/>
      <c r="BN300" s="309"/>
      <c r="BP300" s="313"/>
      <c r="CC300" s="316"/>
      <c r="CG300" s="313"/>
      <c r="CH300" s="313"/>
      <c r="CI300" s="313"/>
      <c r="CK300" s="313"/>
      <c r="CL300" s="313"/>
      <c r="CM300" s="313"/>
      <c r="CN300" s="313"/>
      <c r="CO300" s="313"/>
      <c r="CP300" s="313"/>
      <c r="CQ300" s="313"/>
      <c r="CR300" s="313"/>
      <c r="CS300" s="313"/>
      <c r="CT300" s="313"/>
      <c r="CU300" s="309"/>
      <c r="DH300" s="309"/>
      <c r="DK300" s="310"/>
      <c r="DN300" s="206"/>
      <c r="DO300" s="206"/>
      <c r="DS300" s="288" t="str">
        <f t="shared" si="11"/>
        <v/>
      </c>
      <c r="DT300" s="288" t="str">
        <f t="shared" si="12"/>
        <v/>
      </c>
      <c r="DU300" s="310"/>
      <c r="DV300" s="310"/>
      <c r="DW300" s="310"/>
      <c r="DX300" s="310"/>
      <c r="DY300" s="310"/>
      <c r="DZ300" s="310"/>
      <c r="EA300" s="310"/>
      <c r="EB300" s="310"/>
      <c r="ED300" s="310"/>
      <c r="EE300" s="310"/>
      <c r="EF300" s="310"/>
      <c r="EH300" s="310"/>
    </row>
    <row r="301" spans="3:138" s="288" customFormat="1" hidden="1">
      <c r="C301" s="309"/>
      <c r="D301" s="309"/>
      <c r="E301" s="309"/>
      <c r="F301" s="309"/>
      <c r="G301" s="309"/>
      <c r="H301" s="309"/>
      <c r="I301" s="309"/>
      <c r="J301" s="309"/>
      <c r="K301" s="309"/>
      <c r="L301" s="315"/>
      <c r="Q301" s="309"/>
      <c r="R301" s="311"/>
      <c r="S301" s="311"/>
      <c r="T301" s="311"/>
      <c r="AB301" s="312"/>
      <c r="AF301" s="313"/>
      <c r="AG301" s="313"/>
      <c r="AH301" s="313"/>
      <c r="AI301" s="313"/>
      <c r="AJ301" s="313"/>
      <c r="AS301" s="314"/>
      <c r="AT301" s="315"/>
      <c r="AU301" s="314"/>
      <c r="AV301" s="312"/>
      <c r="AX301" s="206"/>
      <c r="AY301" s="206"/>
      <c r="BE301" s="316"/>
      <c r="BF301" s="316"/>
      <c r="BG301" s="316"/>
      <c r="BH301" s="310"/>
      <c r="BK301" s="309"/>
      <c r="BL301" s="309"/>
      <c r="BM301" s="309"/>
      <c r="BN301" s="309"/>
      <c r="BP301" s="313"/>
      <c r="CC301" s="316"/>
      <c r="CG301" s="313"/>
      <c r="CH301" s="313"/>
      <c r="CI301" s="313"/>
      <c r="CK301" s="313"/>
      <c r="CL301" s="313"/>
      <c r="CM301" s="313"/>
      <c r="CN301" s="313"/>
      <c r="CO301" s="313"/>
      <c r="CP301" s="313"/>
      <c r="CQ301" s="313"/>
      <c r="CR301" s="313"/>
      <c r="CS301" s="313"/>
      <c r="CT301" s="313"/>
      <c r="CU301" s="309"/>
      <c r="DH301" s="309"/>
      <c r="DK301" s="310"/>
      <c r="DN301" s="206"/>
      <c r="DO301" s="206"/>
      <c r="DS301" s="288" t="str">
        <f t="shared" si="11"/>
        <v/>
      </c>
      <c r="DT301" s="288" t="str">
        <f t="shared" si="12"/>
        <v/>
      </c>
      <c r="DU301" s="310"/>
      <c r="DV301" s="310"/>
      <c r="DW301" s="310"/>
      <c r="DX301" s="310"/>
      <c r="DY301" s="310"/>
      <c r="DZ301" s="310"/>
      <c r="EA301" s="310"/>
      <c r="EB301" s="310"/>
      <c r="ED301" s="310"/>
      <c r="EE301" s="310"/>
      <c r="EF301" s="310"/>
      <c r="EH301" s="310"/>
    </row>
    <row r="302" spans="3:138" s="288" customFormat="1" hidden="1">
      <c r="C302" s="309"/>
      <c r="D302" s="309"/>
      <c r="E302" s="309"/>
      <c r="F302" s="309"/>
      <c r="G302" s="309"/>
      <c r="H302" s="309"/>
      <c r="I302" s="309"/>
      <c r="J302" s="309"/>
      <c r="K302" s="309"/>
      <c r="L302" s="315"/>
      <c r="Q302" s="309"/>
      <c r="R302" s="311"/>
      <c r="S302" s="311"/>
      <c r="T302" s="311"/>
      <c r="AB302" s="312"/>
      <c r="AF302" s="313"/>
      <c r="AG302" s="313"/>
      <c r="AH302" s="313"/>
      <c r="AI302" s="313"/>
      <c r="AJ302" s="313"/>
      <c r="AS302" s="314"/>
      <c r="AT302" s="315"/>
      <c r="AU302" s="314"/>
      <c r="AV302" s="312"/>
      <c r="AX302" s="206"/>
      <c r="AY302" s="206"/>
      <c r="BE302" s="316"/>
      <c r="BF302" s="316"/>
      <c r="BG302" s="316"/>
      <c r="BH302" s="310"/>
      <c r="BK302" s="309"/>
      <c r="BL302" s="309"/>
      <c r="BM302" s="309"/>
      <c r="BN302" s="309"/>
      <c r="BP302" s="313"/>
      <c r="CC302" s="316"/>
      <c r="CG302" s="313"/>
      <c r="CH302" s="313"/>
      <c r="CI302" s="313"/>
      <c r="CK302" s="313"/>
      <c r="CL302" s="313"/>
      <c r="CM302" s="313"/>
      <c r="CN302" s="313"/>
      <c r="CO302" s="313"/>
      <c r="CP302" s="313"/>
      <c r="CQ302" s="313"/>
      <c r="CR302" s="313"/>
      <c r="CS302" s="313"/>
      <c r="CT302" s="313"/>
      <c r="CU302" s="309"/>
      <c r="DH302" s="309"/>
      <c r="DK302" s="310"/>
      <c r="DN302" s="206"/>
      <c r="DO302" s="206"/>
      <c r="DS302" s="288" t="str">
        <f t="shared" si="11"/>
        <v/>
      </c>
      <c r="DT302" s="288" t="str">
        <f t="shared" si="12"/>
        <v/>
      </c>
      <c r="DU302" s="310"/>
      <c r="DV302" s="310"/>
      <c r="DW302" s="310"/>
      <c r="DX302" s="310"/>
      <c r="DY302" s="310"/>
      <c r="DZ302" s="310"/>
      <c r="EA302" s="310"/>
      <c r="EB302" s="310"/>
      <c r="ED302" s="310"/>
      <c r="EE302" s="310"/>
      <c r="EF302" s="310"/>
      <c r="EH302" s="310"/>
    </row>
    <row r="303" spans="3:138" s="288" customFormat="1" hidden="1">
      <c r="C303" s="309"/>
      <c r="D303" s="309"/>
      <c r="E303" s="309"/>
      <c r="F303" s="309"/>
      <c r="G303" s="309"/>
      <c r="H303" s="309"/>
      <c r="I303" s="309"/>
      <c r="J303" s="309"/>
      <c r="K303" s="309"/>
      <c r="L303" s="315"/>
      <c r="Q303" s="309"/>
      <c r="R303" s="311"/>
      <c r="S303" s="311"/>
      <c r="T303" s="311"/>
      <c r="AB303" s="312"/>
      <c r="AF303" s="313"/>
      <c r="AG303" s="313"/>
      <c r="AH303" s="313"/>
      <c r="AI303" s="313"/>
      <c r="AJ303" s="313"/>
      <c r="AS303" s="314"/>
      <c r="AT303" s="315"/>
      <c r="AU303" s="314"/>
      <c r="AV303" s="312"/>
      <c r="AX303" s="206"/>
      <c r="AY303" s="206"/>
      <c r="BE303" s="316"/>
      <c r="BF303" s="316"/>
      <c r="BG303" s="316"/>
      <c r="BH303" s="310"/>
      <c r="BK303" s="309"/>
      <c r="BL303" s="309"/>
      <c r="BM303" s="309"/>
      <c r="BN303" s="309"/>
      <c r="BP303" s="313"/>
      <c r="CC303" s="316"/>
      <c r="CG303" s="313"/>
      <c r="CH303" s="313"/>
      <c r="CI303" s="313"/>
      <c r="CK303" s="313"/>
      <c r="CL303" s="313"/>
      <c r="CM303" s="313"/>
      <c r="CN303" s="313"/>
      <c r="CO303" s="313"/>
      <c r="CP303" s="313"/>
      <c r="CQ303" s="313"/>
      <c r="CR303" s="313"/>
      <c r="CS303" s="313"/>
      <c r="CT303" s="313"/>
      <c r="CU303" s="309"/>
      <c r="DH303" s="309"/>
      <c r="DK303" s="310"/>
      <c r="DN303" s="206"/>
      <c r="DO303" s="206"/>
      <c r="DS303" s="288" t="str">
        <f t="shared" si="11"/>
        <v/>
      </c>
      <c r="DT303" s="288" t="str">
        <f t="shared" si="12"/>
        <v/>
      </c>
      <c r="DU303" s="310"/>
      <c r="DV303" s="310"/>
      <c r="DW303" s="310"/>
      <c r="DX303" s="310"/>
      <c r="DY303" s="310"/>
      <c r="DZ303" s="310"/>
      <c r="EA303" s="310"/>
      <c r="EB303" s="310"/>
      <c r="ED303" s="310"/>
      <c r="EE303" s="310"/>
      <c r="EF303" s="310"/>
      <c r="EH303" s="310"/>
    </row>
    <row r="304" spans="3:138" s="288" customFormat="1" hidden="1">
      <c r="C304" s="309"/>
      <c r="D304" s="309"/>
      <c r="E304" s="309"/>
      <c r="F304" s="309"/>
      <c r="G304" s="309"/>
      <c r="H304" s="309"/>
      <c r="I304" s="309"/>
      <c r="J304" s="309"/>
      <c r="K304" s="309"/>
      <c r="L304" s="315"/>
      <c r="Q304" s="309"/>
      <c r="R304" s="311"/>
      <c r="S304" s="311"/>
      <c r="T304" s="311"/>
      <c r="AB304" s="312"/>
      <c r="AF304" s="313"/>
      <c r="AG304" s="313"/>
      <c r="AH304" s="313"/>
      <c r="AI304" s="313"/>
      <c r="AJ304" s="313"/>
      <c r="AS304" s="314"/>
      <c r="AT304" s="315"/>
      <c r="AU304" s="314"/>
      <c r="AV304" s="312"/>
      <c r="AX304" s="206"/>
      <c r="AY304" s="206"/>
      <c r="BE304" s="316"/>
      <c r="BF304" s="316"/>
      <c r="BG304" s="316"/>
      <c r="BH304" s="310"/>
      <c r="BK304" s="309"/>
      <c r="BL304" s="309"/>
      <c r="BM304" s="309"/>
      <c r="BN304" s="309"/>
      <c r="BP304" s="313"/>
      <c r="CC304" s="316"/>
      <c r="CG304" s="313"/>
      <c r="CH304" s="313"/>
      <c r="CI304" s="313"/>
      <c r="CK304" s="313"/>
      <c r="CL304" s="313"/>
      <c r="CM304" s="313"/>
      <c r="CN304" s="313"/>
      <c r="CO304" s="313"/>
      <c r="CP304" s="313"/>
      <c r="CQ304" s="313"/>
      <c r="CR304" s="313"/>
      <c r="CS304" s="313"/>
      <c r="CT304" s="313"/>
      <c r="CU304" s="309"/>
      <c r="DH304" s="309"/>
      <c r="DK304" s="310"/>
      <c r="DN304" s="206"/>
      <c r="DO304" s="206"/>
      <c r="DS304" s="288" t="str">
        <f t="shared" si="11"/>
        <v/>
      </c>
      <c r="DT304" s="288" t="str">
        <f t="shared" si="12"/>
        <v/>
      </c>
      <c r="DU304" s="310"/>
      <c r="DV304" s="310"/>
      <c r="DW304" s="310"/>
      <c r="DX304" s="310"/>
      <c r="DY304" s="310"/>
      <c r="DZ304" s="310"/>
      <c r="EA304" s="310"/>
      <c r="EB304" s="310"/>
      <c r="ED304" s="310"/>
      <c r="EE304" s="310"/>
      <c r="EF304" s="310"/>
      <c r="EH304" s="310"/>
    </row>
    <row r="305" spans="1:138" s="288" customFormat="1">
      <c r="A305" s="288" t="s">
        <v>330</v>
      </c>
      <c r="B305" s="288" t="str">
        <f>A305</f>
        <v>S</v>
      </c>
      <c r="C305" s="309" t="str">
        <f>IF(A305="S",'Cálculo_Diseño  (2)'!C306," ")</f>
        <v>C311</v>
      </c>
      <c r="D305" s="309" t="str">
        <f>IF(A305="S",'Cálculo_Diseño  (2)'!D306," ")</f>
        <v>C179</v>
      </c>
      <c r="E305" s="309">
        <f>IF(B305="S",'Cálculo_Diseño  (2)'!AX306," ")</f>
        <v>31.99</v>
      </c>
      <c r="F305" s="309">
        <f>IF(B305="S",'Cálculo_Diseño  (2)'!BL306," ")</f>
        <v>11.881838074398035</v>
      </c>
      <c r="G305" s="309">
        <f>IF(B305="S",'Cálculo_Diseño  (2)'!AZ306," ")</f>
        <v>284</v>
      </c>
      <c r="H305" s="309">
        <f>IF(B305="S",'Cálculo_Diseño  (2)'!BB306," ")</f>
        <v>988.68600000000004</v>
      </c>
      <c r="I305" s="309">
        <f>IF(B305="S",'Cálculo_Diseño  (2)'!BC306," ")</f>
        <v>984.96500000000003</v>
      </c>
      <c r="J305" s="309">
        <f>IF(B305="S",'Cálculo_Diseño  (2)'!BH306," ")</f>
        <v>986.73599999999999</v>
      </c>
      <c r="K305" s="309">
        <f>IF(B305="S",'Cálculo_Diseño  (2)'!BI306," ")</f>
        <v>982.93500000000006</v>
      </c>
      <c r="L305" s="315">
        <f>IF(B305="S",+$L$11,"")</f>
        <v>1</v>
      </c>
      <c r="M305" s="288">
        <f>IF(B305="S",(E305^2+(J305-K305)^2)^0.5," ")</f>
        <v>32.215022908574802</v>
      </c>
      <c r="N305" s="288">
        <f>IF(AJ305="S",BK305+0.1,BK305)</f>
        <v>0.79999999999999993</v>
      </c>
      <c r="O305" s="288">
        <f>IF(B305="S",(IF(G305&lt;=500,1.2,1.5)),"")</f>
        <v>1.2</v>
      </c>
      <c r="P305" s="288">
        <f>IF(B305="S",(IF(G305&lt;=500,1.2,1.5)),"")</f>
        <v>1.2</v>
      </c>
      <c r="Q305" s="309" t="s">
        <v>331</v>
      </c>
      <c r="R305" s="311" t="str">
        <f>+IF(B305="S",(IF(Q305="FLEXIBLE","S","N")),"")</f>
        <v>N</v>
      </c>
      <c r="S305" s="311" t="str">
        <f>+IF(B305="S",(IF(Q305="ADOQUIN","S","N")),"")</f>
        <v>N</v>
      </c>
      <c r="T305" s="311" t="str">
        <f>+IF(B305="S",(IF(Q305="CONCRETO","S","N")),"")</f>
        <v>S</v>
      </c>
      <c r="U305" s="288">
        <f>IF(B305="S",(IF(R305="S",(((((H305-I305)^2)+(E305^2))^0.5)-CA305-CB305)*$U$11,0)),"")</f>
        <v>0</v>
      </c>
      <c r="V305" s="288">
        <f>IF(B305="S",(IF(S305="S",(((((H305-I305)^2)+(E305^2))^0.5)-CA305-CB305)*$V$11,0)),"")</f>
        <v>0</v>
      </c>
      <c r="W305" s="288">
        <f>IF(B305="S",(IF(T305="S",(((((H305-I305)^2)+(E305^2))^0.5)-CA305-CB305)*$W$11,0)),"")</f>
        <v>31.005681812375897</v>
      </c>
      <c r="X305" s="288">
        <f>IF(B305="S",(U305*(N305+0.2)*$X$11),"")</f>
        <v>0</v>
      </c>
      <c r="Y305" s="288">
        <f>IF(B305="S",(V305*(N305+0.2)*$Y$11),"")</f>
        <v>0</v>
      </c>
      <c r="Z305" s="288">
        <f>IF(B305="S",(W305*(N305+0.2)*$Z$11+IF(Q305="CONCRETO",PI()/4*0.2*(O305+0.2*2+0.1*2)^2)),"")</f>
        <v>9.8106425535943149</v>
      </c>
      <c r="AA305" s="288">
        <f>IF(B305="S",(((H305-J305)+(I305-K305))/2+BM305),"")</f>
        <v>2.0900000000000092</v>
      </c>
      <c r="AB305" s="312">
        <f>IF(B305="S",($AB$11),"")</f>
        <v>10</v>
      </c>
      <c r="AC305" s="288">
        <f>IF(B305="S",(IF(CG305="","",(CG305*(AB305/100))*$I$527)),"")</f>
        <v>4.8027810917418172</v>
      </c>
      <c r="AD305" s="288">
        <f>IF(B305="S",(IF(CH305="","",(CH305*AB305/100)*$I$527)),"")</f>
        <v>0.81390611078058683</v>
      </c>
      <c r="AE305" s="288" t="str">
        <f>IF(B305="S",(IF(CI305="","",(CI305*AB305/100)*$I$527)),"")</f>
        <v/>
      </c>
      <c r="AF305" s="313">
        <f>IF(B305="S",(IF(CG305="","",(CG305*$I$527)-AC305)),"")</f>
        <v>43.225029825676359</v>
      </c>
      <c r="AG305" s="313">
        <f>IF(B305="S",(IF(CH305="","",(CH305*$I$527)-AD305)),"")</f>
        <v>7.3251549970252823</v>
      </c>
      <c r="AH305" s="313" t="str">
        <f>IF(B305="S",(IF(CI305="","",(CI305*$I$527)-AE305)),"")</f>
        <v/>
      </c>
      <c r="AI305" s="313">
        <f>IF(B305="S",((BY305*(L305/100))*1.1),"")</f>
        <v>0.56734214166892971</v>
      </c>
      <c r="AJ305" s="313" t="str">
        <f>IF(B305="S",(IF(AA305&lt;1,"N","S")),"")</f>
        <v>S</v>
      </c>
      <c r="AK305" s="288">
        <f>IF(B305="S",(IF(AJ305="S",(E305*AA305*0.7*2),0)),"")</f>
        <v>93.602740000000409</v>
      </c>
      <c r="AL305" s="288">
        <f>IF(B305="S",(IF(AJ305="S",(E305*AA305*0.3*2),0)),"")</f>
        <v>40.115460000000176</v>
      </c>
      <c r="AM305" s="288">
        <f>IF(B305="S",(IF(F305&gt;20,N305*(M305/10)*AA305,0)),"")</f>
        <v>0</v>
      </c>
      <c r="AN305" s="288">
        <f>IF(B305="S",((M305-0.4)*$AN$11),"")</f>
        <v>0</v>
      </c>
      <c r="AO305" s="288">
        <f>IF(B305="S",((M305-0.4)*$AO$11),"")</f>
        <v>0</v>
      </c>
      <c r="AP305" s="288">
        <f>IF(B305="S",((M305-(O305/2)-(P305/2))*$AP$11),"")</f>
        <v>31.015022908574799</v>
      </c>
      <c r="AQ305" s="288">
        <f>+SUM(AC305:AI305)</f>
        <v>56.734214166892976</v>
      </c>
      <c r="AR305" s="288">
        <f>+AT305+AU305+AZ305+BA305+BB305+BI305</f>
        <v>56.734214166892976</v>
      </c>
      <c r="AS305" s="314">
        <f>IF(B305="S",((N305*(0.4+G305/1000))-((G305/1000)^2*PI()/4)),"")</f>
        <v>0.4838529257330153</v>
      </c>
      <c r="AT305" s="315">
        <f>IF(B305="S",(AS305*AP305)-IF(BI305&gt;0,BI305,0),"")</f>
        <v>15.00670957599041</v>
      </c>
      <c r="AU305" s="314">
        <f>IF(B305="S",IF(Q305="NATURAL",0,(($AU$11*N305*AP305))),"")</f>
        <v>9.9248073307439366</v>
      </c>
      <c r="AV305" s="312">
        <f>IF(B305="S",$AV$11,"")</f>
        <v>30</v>
      </c>
      <c r="AW305" s="288">
        <f>IF(B305="S",(BY305*1.1-(AT305+BI305)-AU305-BB305-AX305-AY305),"")</f>
        <v>29.776224354357794</v>
      </c>
      <c r="AX305" s="206"/>
      <c r="AY305" s="206"/>
      <c r="AZ305" s="288">
        <f>IF(B305="S",((BY305*1.1-BB305-(AT305+BI305)-AU305-AX305-AY305)*AV305/100),"")</f>
        <v>8.9328673063073367</v>
      </c>
      <c r="BA305" s="288">
        <f>IF(B305="S",(IF(AW305&gt;AZ305,AW305-AZ305,0)),"")</f>
        <v>20.843357048050457</v>
      </c>
      <c r="BB305" s="288">
        <f>IF(B305="S",((((G305/1000)^2)/4*PI())*E305),"")</f>
        <v>2.0264729058008366</v>
      </c>
      <c r="BC305" s="288">
        <f>IF(B305="S",(BY305*1.1-AZ305),"")</f>
        <v>47.801346860585639</v>
      </c>
      <c r="BE305" s="316" t="b">
        <f>IF(B305="S",(IF(O305=1.5,IF(H305-J305&lt;=1,0,H305-J305-1))),"")</f>
        <v>0</v>
      </c>
      <c r="BF305" s="316" t="b">
        <f>IF(B305="S",(IF(O305&lt;=0.8,IF(H305-J305&lt;=1,0,H305-J305))),"")</f>
        <v>0</v>
      </c>
      <c r="BG305" s="316" t="b">
        <f>IF(B305="S",(IF(O305&lt;=0.6,IF(H305-J305&lt;=1,H305-J305,0))),"")</f>
        <v>0</v>
      </c>
      <c r="BH305" s="310" t="str">
        <f>IF(B305="S",(IF(BD305="","",IF(BD305="FALSO","",1))),"")</f>
        <v/>
      </c>
      <c r="BI305" s="288">
        <f>IF(B305="S",(IF(F305&gt;=15,N305*((G305/1000)+0.3)*0.2,0)*(E305/5+1)),"")</f>
        <v>0</v>
      </c>
      <c r="BJ305" s="288">
        <f xml:space="preserve"> IF(B305="S",(BN305+BM305+0.3),"")</f>
        <v>0.76</v>
      </c>
      <c r="BK305" s="309">
        <f>IF(B305="S",(VLOOKUP('Cálculo_Diseño  (2)'!AY306,'TABLA (2)'!$H$102:'TABLA (2)'!$U$135,3)),"")</f>
        <v>0.7</v>
      </c>
      <c r="BL305" s="309">
        <f>IF(B305="S",(VLOOKUP('Cálculo_Diseño  (2)'!AY306,'TABLA (2)'!$H$102:'TABLA (2)'!$U$135,10)),"")</f>
        <v>0.55000000000000004</v>
      </c>
      <c r="BM305" s="309">
        <f>IF(B305="S",(VLOOKUP('Cálculo_Diseño  (2)'!AY306,'TABLA (2)'!$H$102:'TABLA (2)'!$U$135,11)),"")</f>
        <v>0.1</v>
      </c>
      <c r="BN305" s="309">
        <f>IF(B305="S",(VLOOKUP('Cálculo_Diseño  (2)'!AY306,'TABLA (2)'!$H$102:'TABLA (2)'!$U$135,12)),"")</f>
        <v>0.36</v>
      </c>
      <c r="BO305" s="288">
        <f>V305</f>
        <v>0</v>
      </c>
      <c r="BP305" s="313">
        <f>+IF(B305="S",(IF((1.8-AA305)&gt;=0,AA305+0.2,2)),"")</f>
        <v>2</v>
      </c>
      <c r="BQ305" s="288">
        <f>+IF(B305="S",(IF(BP305=2,IF((3.8-AA305)&gt;=0,(AA305+0.2-2),2),0)),"")</f>
        <v>0.29000000000000936</v>
      </c>
      <c r="BR305" s="288">
        <f>+IF(B305="S",(IF(BQ305=2,AA305+0.2-4,0)),"")</f>
        <v>0</v>
      </c>
      <c r="BS305" s="288">
        <f>IF(B305="S",((N305*(0.3+BN305/2)-0.392699*BN305*BN305)*AO305),"")</f>
        <v>0</v>
      </c>
      <c r="BU305" s="288">
        <f>IF(B305="S",((N305*(0.3+5*BN305/6)-0.699815*BN305*BN305)*AP305),"")</f>
        <v>12.074271734039252</v>
      </c>
      <c r="BV305" s="288">
        <f>IF(B305="S",(IF(BP305=0,"",(BP305)*(M305)*N305-(U305*$X$11+V305*$Y$11+W305*$Z$11)*N305)),"")</f>
        <v>44.102673018749464</v>
      </c>
      <c r="BW305" s="288">
        <f>IF(B305="S",(IF(BQ305=0,"",(M305)*BQ305*N305)),"")</f>
        <v>7.4738853147895945</v>
      </c>
      <c r="BX305" s="288" t="str">
        <f>IF(B305="S",(IF(BR305=0,"",(M305)*BR305*N305)),"")</f>
        <v/>
      </c>
      <c r="BY305" s="288">
        <f>IF(B305="S",((AA305+0.2)*N305*(M305)-(U305*$X$11+V305*$Y$11+W305*$Z$11)*N305),"")</f>
        <v>51.576558333539062</v>
      </c>
      <c r="BZ305" s="288">
        <f>IF(B305="S",((N305*(0.3+BN305/2)-0.392699*BN305*BN305)*AN305),"")</f>
        <v>0</v>
      </c>
      <c r="CA305" s="288">
        <f>IF(B305="S",(IF(O305=1.2,(O305/2),IF(O305=0.8,O305/2,IF(O305=1.5,O305/2,IF(O305=0.6,O305/2,"IDIOT"))))),"")</f>
        <v>0.6</v>
      </c>
      <c r="CB305" s="288">
        <f>IF(B305="S",(IF(P305=1.2,(P305/2),IF(P305=0.8,P305/2,IF(P305=1.5,P305/2,IF(P305=0.6,P305/2,"IDIOT"))))),"")</f>
        <v>0.6</v>
      </c>
      <c r="CC305" s="316">
        <f>IF(B305="S",((BN305/2+0.1)*N305),"")</f>
        <v>0.224</v>
      </c>
      <c r="CD305" s="288">
        <f>IF(B305="S",((BN305/2+BN305/4)*N305),"")</f>
        <v>0.216</v>
      </c>
      <c r="CE305" s="288">
        <f>IF(B305="S",(0.392699*BN305*BN305),"")</f>
        <v>5.0893790399999993E-2</v>
      </c>
      <c r="CF305" s="288" t="str">
        <f>+IF(B305="S",(IF(((H305-J305)-(G305/1000))&lt;=0.9,"E1",IF(((H305-J305)-(G305/1000))&lt;=2.5,"E2","E3"))),"")</f>
        <v>E2</v>
      </c>
      <c r="CG305" s="313">
        <f>IF(B305="S",(IF(BV305="","",BV305-(BV305*L305/100))),"")</f>
        <v>43.661646288561968</v>
      </c>
      <c r="CH305" s="313">
        <f>IF(B305="S",(IF(BW305="","",BW305-(BW305*L305/100))),"")</f>
        <v>7.3991464616416982</v>
      </c>
      <c r="CI305" s="313" t="str">
        <f>IF(C305="S",(IF(BX305="","",BX305-(BX305*M305/100))),"")</f>
        <v/>
      </c>
      <c r="CJ305" s="288">
        <f>'Cálculo_Diseño  (2)'!BD306</f>
        <v>1.6505000000000001</v>
      </c>
      <c r="CK305" s="313">
        <f>+IF(B305="S",(IF((CJ305+CU305)&gt;2,2,CJ305+CU305)),"")</f>
        <v>2</v>
      </c>
      <c r="CL305" s="313">
        <f>+IF(B305="S",(IF((CJ305+CU305)&gt;4,2,IF(AND((CJ305+CU305)&lt;=4,(CJ305+CU305)&gt;=2),((CJ305+CU305)-CK305),0))),"")</f>
        <v>1.3010000000000002</v>
      </c>
      <c r="CM305" s="313">
        <f>+IF(B305="S",(IF((CJ305+CU305)&gt;4,((CJ305+CU305)-(CK305+CL305)),0)),"")</f>
        <v>0</v>
      </c>
      <c r="CN305" s="313">
        <f>IF(B305="S",IF((CJ305+CU305)&lt;1.5,(ROUND(CJ305*PI()/4*(2.2)^2+CU305*(PI()/4*(2.2)^2 -PI()/4*(1.6)^2),2)),IF((CJ305+CU305)&lt;=2,(ROUND(((PI()*2.2^2)/4)*0.95-(((1/3)*PI()*0.95*(0.45^2+0.7^2+0.45*0.7)))+(CJ305*PI()/4*(2.2)^2)+(((((CU305)-0.95)*PI()*2.2^2)/4))-((((CU305)-0.95)*PI()*1.6^2)/4),2)),IF((CJ305+CU305)&gt;2,(ROUND(IF(CU305&lt;2,((PI()*2.2^2)/4)*0.95-(((1/3)*PI()*0.95*(0.45^2+0.7^2+0.45*0.7)))+((CU305-0.95)*(PI()/4*(2.2)^2 -PI()/4*(1.6)^2))+(2-CU305)*PI()/4*(2.2)^2,((PI()*2.2^2)/4)*0.95-(((1/3)*PI()*0.95*(0.45^2+0.7^2+0.45*0.7)))+((2-0.95)*(PI()/4*(2.2)^2 -PI()/4*(1.6)^2))),2))))),"")</f>
        <v>5.19</v>
      </c>
      <c r="CO305" s="313">
        <f>IF(B305="S",ROUND(IF(CL305&lt;=0,0,IF(AND(CL305&gt;0,CU305&lt;=0),CL305*PI()/4*2.2^(2),IF(AND(CL305&gt;0,CU305&gt;=4),CL305*(PI()/4*2.2^2-PI()/4*1.6^2),IF(AND(CL305&gt;0,CU305&gt;2,CU305&lt;4,CJ305&gt;0),(CU305-2)*(PI()/4*2.2^(2)-PI()/4*1.6^(2))+IF((CU305+CJ305)&gt;4,(4-CU305)*(PI()/4*2.2^(2)),(CJ305)*PI()/4*(2.2^2)),IF(AND(CL305&gt;0,CU305&lt;=2),(CL305*PI()/4*2.2^2)))))),2),"")</f>
        <v>4.95</v>
      </c>
      <c r="CP305" s="313">
        <f>IF(B305="S",(ROUND(IF(CM305&lt;=0,0,IF(AND(CM305&gt;0,CU305&lt;=0),CM305*PI()/4*2.2^(2),IF(AND(CM305&gt;0,CU305&gt;4,CJ305&lt;=0),CM305*(PI()/4*2.2^2-PI()/4*1.6^2),IF(AND(CM305&gt;0,CU305&lt;=4),CM305*PI()/4*2.2^2)))),2)),"")</f>
        <v>0</v>
      </c>
      <c r="CQ305" s="313">
        <f>IF(B305="S",IF(CK305&gt;1.5,(2*PI()*(0.9)*(CJ305+CU305)),0),"")</f>
        <v>18.666715229099832</v>
      </c>
      <c r="CR305" s="313">
        <f>IF(B305="S",(ROUND(IF(CN305&gt;0,CN305+CO305+CP305-CS305,0),2)),"")</f>
        <v>3.32</v>
      </c>
      <c r="CS305" s="313">
        <f>IF(B305="S",(IF(CJ305=0,0,IF(AND((H305-J305)&lt;1.5,CU305&gt;0),ROUND(CU305*(PI()/4*(2.2)^2 -PI()/4*(1.6)^2),2),(ROUND(((PI()*2.2^2)/4)*0.95-(((1/3)*PI()*0.95*(0.45^2+0.7^2+0.45*0.7)))+(((((CJ305+CU305)-0.95)*PI()*2.2^2)/4))-((((CJ305+CU305)-0.95)*PI()*1.6^2)/4),2))))),"")</f>
        <v>6.82</v>
      </c>
      <c r="CT305" s="313" t="str">
        <f>IF(B305="S",(IF(CN305&gt;=0,IF(CN305+CO305+CP305=(CR305+CS305),"OK","VERIFICAR"),0)),"")</f>
        <v>OK</v>
      </c>
      <c r="CU305" s="309">
        <f>'Cálculo_Diseño  (2)'!BD306</f>
        <v>1.6505000000000001</v>
      </c>
      <c r="CV305" s="288" t="str">
        <f>IF(G305=182,M305-(O305/2)-(P305/2),"")</f>
        <v/>
      </c>
      <c r="CW305" s="288" t="str">
        <f>IF(G305=227,M305-(O305/2)-(P305/2),"")</f>
        <v/>
      </c>
      <c r="CX305" s="288">
        <f>IF(G305=284,M305-(O305/2)-(P305/2),"")</f>
        <v>31.015022908574799</v>
      </c>
      <c r="CY305" s="288" t="str">
        <f>IF(G305=327,M305-(O305/2)-(P305/2),"")</f>
        <v/>
      </c>
      <c r="CZ305" s="288" t="str">
        <f>IF(G305=362,M305-(O305/2)-(P305/2),"")</f>
        <v/>
      </c>
      <c r="DA305" s="288" t="str">
        <f>IF(G305=407,M305-(O305/2)-(P305/2),"")</f>
        <v/>
      </c>
      <c r="DB305" s="288" t="str">
        <f>IF(G305=452,M305-(O305/2)-(P305/2),"")</f>
        <v/>
      </c>
      <c r="DC305" s="288" t="str">
        <f>IF(G305=595.12,M305-(O305/2)-(P305/2),"")</f>
        <v/>
      </c>
      <c r="DD305" s="288" t="str">
        <f>IF(G305=670,M305-(O305/2)-(P305/2),"")</f>
        <v/>
      </c>
      <c r="DE305" s="288" t="str">
        <f>IF(G305=747,M305-(O305/2)-(P305/2),"")</f>
        <v/>
      </c>
      <c r="DF305" s="288" t="str">
        <f>IF(G305=823.09,M305-(O305/2)-(P305/2),"")</f>
        <v/>
      </c>
      <c r="DG305" s="288" t="str">
        <f>IF(G305=899.03,M305-(O305/2)-(P305/2),"")</f>
        <v/>
      </c>
      <c r="DH305" s="309"/>
      <c r="DI305" s="288" t="str">
        <f>+IF(B305="S",B305,"N")</f>
        <v>S</v>
      </c>
      <c r="DJ305" s="288">
        <f>+IF(DI305="S",E305,"")</f>
        <v>31.99</v>
      </c>
      <c r="DK305" s="310">
        <v>5</v>
      </c>
      <c r="DL305" s="288">
        <f>IF(DI305="S",((((AA305+1)*6)/2)*0.7*DK305),"")</f>
        <v>32.4450000000001</v>
      </c>
      <c r="DM305" s="288">
        <f>IF(DI305="S",(ATAN(6/(AA305-1))*180/PI()),"")</f>
        <v>79.703557136265019</v>
      </c>
      <c r="DN305" s="206">
        <f>IF(DI305="S",(TAN(DM305*PI()/180)*(AA305-2)),"")</f>
        <v>0.49541284403674413</v>
      </c>
      <c r="DO305" s="206">
        <f>IF(DI305="S",(TAN(DM305*PI()/180)*(AA305-4)),"")</f>
        <v>-10.513761467889779</v>
      </c>
      <c r="DP305" s="288">
        <f>IF(DI305="S",(IF(AA305&lt;=2,((((AA305+1)*6)/2)*0.7*DK305),IF(AND(AA305&gt;2,AA305&lt;=4),((((AA305+1)*6)/2)*0.7*DK305)-(((AA305-2)*DN305)/2*0.7*DK305),IF(AND(AA305&gt;4,AA305&lt;=6),((((AA305+1)*6)/2)*0.7*DK305)-(((AA305-2)*DN305)/2*0.7*DK305),0)))),"")</f>
        <v>32.366972477064301</v>
      </c>
      <c r="DQ305" s="288">
        <f>IF(DI305="S",(IF(AND(AA305&gt;2,AA305&lt;=4),(((AA305-2)*DN305)/2*0.7*DK305),IF(AND(AA305&gt;4,AA305&lt;=6),(((AA305-2)*DN305)/2*0.7*DK305)-((AA305-4)*DO305/2*0.7*DK305),0))),"")</f>
        <v>7.8027522935795166E-2</v>
      </c>
      <c r="DR305" s="288">
        <f>IF(DI305="S",(IF(AND(AA305&gt;4,AA305&lt;=6),((AA305-4)*DO305/2*0.7*DK305),IF(AA305&lt;4,0,"REVISAR"))),"")</f>
        <v>0</v>
      </c>
      <c r="DS305" s="288">
        <f t="shared" si="11"/>
        <v>43.890000000000185</v>
      </c>
      <c r="DT305" s="288">
        <f t="shared" si="12"/>
        <v>18.81000000000008</v>
      </c>
      <c r="DU305" s="310" t="str">
        <f>IF(B305="S",(IF(DI305="S",IF(G305=$DU$11,DK305,""),"")),"")</f>
        <v/>
      </c>
      <c r="DV305" s="310" t="str">
        <f>IF(B305="S",(IF(DI305="S",IF(G305=$DV$11,DK305,""),"")),"")</f>
        <v/>
      </c>
      <c r="DW305" s="310">
        <f>IF(B305="S",(IF(DI305="S",IF(G305=$DW$11,DK305,""),"")),"")</f>
        <v>5</v>
      </c>
      <c r="DX305" s="310" t="str">
        <f>IF(B305="S",(IF(DI305="S",IF(G305=$DX$11,DK305,""),"")),"")</f>
        <v/>
      </c>
      <c r="DY305" s="310" t="str">
        <f>IF(B305="S",(IF(DI305="S",IF(G305=$DY$11,DK305,""),"")),"")</f>
        <v/>
      </c>
      <c r="DZ305" s="310" t="str">
        <f>IF(B305="S",(IF(DI305="S",IF(G305=$DZ$11,DK305,""),"")),"")</f>
        <v/>
      </c>
      <c r="EA305" s="310" t="str">
        <f>IF(B305="S",(IF(DI305="S",IF(G305=$EA$11,DK305,""),"")),"")</f>
        <v/>
      </c>
      <c r="EB305" s="310" t="str">
        <f>IF(B305="S",(IF(DI305="S",IF(G305=$EB$11,DK305,""),"")),"")</f>
        <v/>
      </c>
      <c r="EC305" s="288">
        <f>IF(B305="S",0.95,"")</f>
        <v>0.95</v>
      </c>
      <c r="ED305" s="310"/>
      <c r="EE305" s="310"/>
      <c r="EF305" s="310"/>
      <c r="EH305" s="310">
        <f>+IF(EC305=0.95,2+((ED305+EE305+EF305)-1),"")</f>
        <v>1</v>
      </c>
    </row>
    <row r="306" spans="1:138" s="288" customFormat="1">
      <c r="A306" s="288" t="s">
        <v>330</v>
      </c>
      <c r="B306" s="288" t="str">
        <f>A306</f>
        <v>S</v>
      </c>
      <c r="C306" s="309" t="str">
        <f>IF(A306="S",'Cálculo_Diseño  (2)'!C307," ")</f>
        <v>C179</v>
      </c>
      <c r="D306" s="309" t="str">
        <f>IF(A306="S",'Cálculo_Diseño  (2)'!D307," ")</f>
        <v>C175</v>
      </c>
      <c r="E306" s="309">
        <f>IF(B306="S",'Cálculo_Diseño  (2)'!AX307," ")</f>
        <v>69.48</v>
      </c>
      <c r="F306" s="309">
        <f>IF(B306="S",'Cálculo_Diseño  (2)'!BL307," ")</f>
        <v>1.9775474956822445</v>
      </c>
      <c r="G306" s="309">
        <f>IF(B306="S",'Cálculo_Diseño  (2)'!AZ307," ")</f>
        <v>284</v>
      </c>
      <c r="H306" s="309">
        <f>IF(B306="S",'Cálculo_Diseño  (2)'!BB307," ")</f>
        <v>984.96500000000003</v>
      </c>
      <c r="I306" s="309">
        <f>IF(B306="S",'Cálculo_Diseño  (2)'!BC307," ")</f>
        <v>985.99599999999998</v>
      </c>
      <c r="J306" s="309">
        <f>IF(B306="S",'Cálculo_Diseño  (2)'!BH307," ")</f>
        <v>982.77499999999998</v>
      </c>
      <c r="K306" s="309">
        <f>IF(B306="S",'Cálculo_Diseño  (2)'!BI307," ")</f>
        <v>981.40099999999995</v>
      </c>
      <c r="L306" s="315">
        <f>IF(B306="S",+$L$11,"")</f>
        <v>1</v>
      </c>
      <c r="M306" s="288">
        <f>IF(B306="S",(E306^2+(J306-K306)^2)^0.5," ")</f>
        <v>69.493584423312058</v>
      </c>
      <c r="N306" s="288">
        <f>IF(AJ306="S",BK306+0.1,BK306)</f>
        <v>0.79999999999999993</v>
      </c>
      <c r="O306" s="288">
        <f>IF(B306="S",(IF(G306&lt;=500,1.2,1.5)),"")</f>
        <v>1.2</v>
      </c>
      <c r="P306" s="288">
        <f>IF(B306="S",(IF(G306&lt;=500,1.2,1.5)),"")</f>
        <v>1.2</v>
      </c>
      <c r="Q306" s="309" t="s">
        <v>331</v>
      </c>
      <c r="R306" s="311" t="str">
        <f>+IF(B306="S",(IF(Q306="FLEXIBLE","S","N")),"")</f>
        <v>N</v>
      </c>
      <c r="S306" s="311" t="str">
        <f>+IF(B306="S",(IF(Q306="ADOQUIN","S","N")),"")</f>
        <v>N</v>
      </c>
      <c r="T306" s="311" t="str">
        <f>+IF(B306="S",(IF(Q306="CONCRETO","S","N")),"")</f>
        <v>S</v>
      </c>
      <c r="U306" s="288">
        <f>IF(B306="S",(IF(R306="S",(((((H306-I306)^2)+(E306^2))^0.5)-CA306-CB306)*$U$11,0)),"")</f>
        <v>0</v>
      </c>
      <c r="V306" s="288">
        <f>IF(B306="S",(IF(S306="S",(((((H306-I306)^2)+(E306^2))^0.5)-CA306-CB306)*$V$11,0)),"")</f>
        <v>0</v>
      </c>
      <c r="W306" s="288">
        <f>IF(B306="S",(IF(T306="S",(((((H306-I306)^2)+(E306^2))^0.5)-CA306-CB306)*$W$11,0)),"")</f>
        <v>68.287648981671566</v>
      </c>
      <c r="X306" s="288">
        <f>IF(B306="S",(U306*(N306+0.2)*$X$11),"")</f>
        <v>0</v>
      </c>
      <c r="Y306" s="288">
        <f>IF(B306="S",(V306*(N306+0.2)*$Y$11),"")</f>
        <v>0</v>
      </c>
      <c r="Z306" s="288">
        <f>IF(B306="S",(W306*(N306+0.2)*$Z$11+IF(Q306="CONCRETO",PI()/4*0.2*(O306+0.2*2+0.1*2)^2)),"")</f>
        <v>20.995232704383017</v>
      </c>
      <c r="AA306" s="288">
        <f>IF(B306="S",(((H306-J306)+(I306-K306))/2+BM306),"")</f>
        <v>3.492500000000041</v>
      </c>
      <c r="AB306" s="312">
        <f>IF(B306="S",($AB$11),"")</f>
        <v>10</v>
      </c>
      <c r="AC306" s="288">
        <f>IF(B306="S",(IF(CG306="","",(CG306*(AB306/100))*$I$527)),"")</f>
        <v>10.323796156132927</v>
      </c>
      <c r="AD306" s="288">
        <f>IF(B306="S",(IF(CH306="","",(CH306*AB306/100)*$I$527)),"")</f>
        <v>10.246870719368268</v>
      </c>
      <c r="AE306" s="288" t="str">
        <f>IF(B306="S",(IF(CI306="","",(CI306*AB306/100)*$I$527)),"")</f>
        <v/>
      </c>
      <c r="AF306" s="313">
        <f>IF(B306="S",(IF(CG306="","",(CG306*$I$527)-AC306)),"")</f>
        <v>92.914165405196329</v>
      </c>
      <c r="AG306" s="313">
        <f>IF(B306="S",(IF(CH306="","",(CH306*$I$527)-AD306)),"")</f>
        <v>92.221836474314387</v>
      </c>
      <c r="AH306" s="313" t="str">
        <f>IF(B306="S",(IF(CI306="","",(CI306*$I$527)-AE306)),"")</f>
        <v/>
      </c>
      <c r="AI306" s="313">
        <f>IF(B306="S",((BY306*(L306/100))*1.1),"")</f>
        <v>2.0778451389395141</v>
      </c>
      <c r="AJ306" s="313" t="str">
        <f>IF(B306="S",(IF(AA306&lt;1,"N","S")),"")</f>
        <v>S</v>
      </c>
      <c r="AK306" s="288">
        <f>IF(B306="S",(IF(AJ306="S",(E306*AA306*0.7*2),0)),"")</f>
        <v>339.72246000000399</v>
      </c>
      <c r="AL306" s="288">
        <f>IF(B306="S",(IF(AJ306="S",(E306*AA306*0.3*2),0)),"")</f>
        <v>145.5953400000017</v>
      </c>
      <c r="AM306" s="288">
        <f>IF(B306="S",(IF(F306&gt;20,N306*(M306/10)*AA306,0)),"")</f>
        <v>0</v>
      </c>
      <c r="AN306" s="288">
        <f>IF(B306="S",((M306-0.4)*$AN$11),"")</f>
        <v>0</v>
      </c>
      <c r="AO306" s="288">
        <f>IF(B306="S",((M306-0.4)*$AO$11),"")</f>
        <v>0</v>
      </c>
      <c r="AP306" s="288">
        <f>IF(B306="S",((M306-(O306/2)-(P306/2))*$AP$11),"")</f>
        <v>68.293584423312069</v>
      </c>
      <c r="AQ306" s="288">
        <f>+SUM(AC306:AI306)</f>
        <v>207.78451389395144</v>
      </c>
      <c r="AR306" s="288">
        <f>+AT306+AU306+AZ306+BA306+BB306+BI306</f>
        <v>207.78451389395141</v>
      </c>
      <c r="AS306" s="314">
        <f>IF(B306="S",((N306*(0.4+G306/1000))-((G306/1000)^2*PI()/4)),"")</f>
        <v>0.4838529257330153</v>
      </c>
      <c r="AT306" s="315">
        <f>IF(B306="S",(AS306*AP306)-IF(BI306&gt;0,BI306,0),"")</f>
        <v>33.044050632014226</v>
      </c>
      <c r="AU306" s="314">
        <f>IF(B306="S",IF(Q306="NATURAL",0,(($AU$11*N306*AP306))),"")</f>
        <v>21.853947015459863</v>
      </c>
      <c r="AV306" s="312">
        <f>IF(B306="S",$AV$11,"")</f>
        <v>30</v>
      </c>
      <c r="AW306" s="288">
        <f>IF(B306="S",(BY306*1.1-(AT306+BI306)-AU306-BB306-AX306-AY306),"")</f>
        <v>148.48516152640724</v>
      </c>
      <c r="AX306" s="206"/>
      <c r="AY306" s="206"/>
      <c r="AZ306" s="288">
        <f>IF(B306="S",((BY306*1.1-BB306-(AT306+BI306)-AU306-AX306-AY306)*AV306/100),"")</f>
        <v>44.545548457922166</v>
      </c>
      <c r="BA306" s="288">
        <f>IF(B306="S",(IF(AW306&gt;AZ306,AW306-AZ306,0)),"")</f>
        <v>103.93961306848507</v>
      </c>
      <c r="BB306" s="288">
        <f>IF(B306="S",((((G306/1000)^2)/4*PI())*E306),"")</f>
        <v>4.4013547200700884</v>
      </c>
      <c r="BC306" s="288">
        <f>IF(B306="S",(BY306*1.1-AZ306),"")</f>
        <v>163.23896543602925</v>
      </c>
      <c r="BD306" s="288">
        <f>IF(B306="S",(IF(O306=1.2,IF((H306-J306)&lt;=1.2,H306-J306,H306-J306-0.95))),"")</f>
        <v>1.2400000000000546</v>
      </c>
      <c r="BE306" s="316" t="b">
        <f>IF(B306="S",(IF(O306=1.5,IF(H306-J306&lt;=1,0,H306-J306-1))),"")</f>
        <v>0</v>
      </c>
      <c r="BF306" s="316" t="b">
        <f>IF(B306="S",(IF(O306&lt;=0.8,IF(H306-J306&lt;=1,0,H306-J306))),"")</f>
        <v>0</v>
      </c>
      <c r="BG306" s="316" t="b">
        <f>IF(B306="S",(IF(O306&lt;=0.6,IF(H306-J306&lt;=1,H306-J306,0))),"")</f>
        <v>0</v>
      </c>
      <c r="BH306" s="310">
        <f>IF(B306="S",(IF(BD306="","",IF(BD306="FALSO","",1))),"")</f>
        <v>1</v>
      </c>
      <c r="BI306" s="288">
        <f>IF(B306="S",(IF(F306&gt;=15,N306*((G306/1000)+0.3)*0.2,0)*(E306/5+1)),"")</f>
        <v>0</v>
      </c>
      <c r="BJ306" s="288">
        <f xml:space="preserve"> IF(B306="S",(BN306+BM306+0.3),"")</f>
        <v>0.76</v>
      </c>
      <c r="BK306" s="309">
        <f>IF(B306="S",(VLOOKUP('Cálculo_Diseño  (2)'!AY307,'TABLA (2)'!$H$102:'TABLA (2)'!$U$135,3)),"")</f>
        <v>0.7</v>
      </c>
      <c r="BL306" s="309">
        <f>IF(B306="S",(VLOOKUP('Cálculo_Diseño  (2)'!AY307,'TABLA (2)'!$H$102:'TABLA (2)'!$U$135,10)),"")</f>
        <v>0.55000000000000004</v>
      </c>
      <c r="BM306" s="309">
        <f>IF(B306="S",(VLOOKUP('Cálculo_Diseño  (2)'!AY307,'TABLA (2)'!$H$102:'TABLA (2)'!$U$135,11)),"")</f>
        <v>0.1</v>
      </c>
      <c r="BN306" s="309">
        <f>IF(B306="S",(VLOOKUP('Cálculo_Diseño  (2)'!AY307,'TABLA (2)'!$H$102:'TABLA (2)'!$U$135,12)),"")</f>
        <v>0.36</v>
      </c>
      <c r="BO306" s="288">
        <f>V306</f>
        <v>0</v>
      </c>
      <c r="BP306" s="313">
        <f>+IF(B306="S",(IF((1.8-AA306)&gt;=0,AA306+0.2,2)),"")</f>
        <v>2</v>
      </c>
      <c r="BQ306" s="288">
        <f>+IF(B306="S",(IF(BP306=2,IF((3.8-AA306)&gt;=0,(AA306+0.2-2),2),0)),"")</f>
        <v>1.6925000000000412</v>
      </c>
      <c r="BR306" s="288">
        <f>+IF(B306="S",(IF(BQ306=2,AA306+0.2-4,0)),"")</f>
        <v>0</v>
      </c>
      <c r="BS306" s="288">
        <f>IF(B306="S",((N306*(0.3+BN306/2)-0.392699*BN306*BN306)*AO306),"")</f>
        <v>0</v>
      </c>
      <c r="BU306" s="288">
        <f>IF(B306="S",((N306*(0.3+5*BN306/6)-0.699815*BN306*BN306)*AP306),"")</f>
        <v>26.58696395128705</v>
      </c>
      <c r="BV306" s="288">
        <f>IF(B306="S",(IF(BP306=0,"",(BP306)*(M306)*N306-(U306*$X$11+V306*$Y$11+W306*$Z$11)*N306)),"")</f>
        <v>94.800699321698119</v>
      </c>
      <c r="BW306" s="288">
        <f>IF(B306="S",(IF(BQ306=0,"",(M306)*BQ306*N306)),"")</f>
        <v>94.094313309166807</v>
      </c>
      <c r="BX306" s="288" t="str">
        <f>IF(B306="S",(IF(BR306=0,"",(M306)*BR306*N306)),"")</f>
        <v/>
      </c>
      <c r="BY306" s="288">
        <f>IF(B306="S",((AA306+0.2)*N306*(M306)-(U306*$X$11+V306*$Y$11+W306*$Z$11)*N306),"")</f>
        <v>188.8950126308649</v>
      </c>
      <c r="BZ306" s="288">
        <f>IF(B306="S",((N306*(0.3+BN306/2)-0.392699*BN306*BN306)*AN306),"")</f>
        <v>0</v>
      </c>
      <c r="CA306" s="288">
        <f>IF(B306="S",(IF(O306=1.2,(O306/2),IF(O306=0.8,O306/2,IF(O306=1.5,O306/2,IF(O306=0.6,O306/2,"IDIOT"))))),"")</f>
        <v>0.6</v>
      </c>
      <c r="CB306" s="288">
        <f>IF(B306="S",(IF(P306=1.2,(P306/2),IF(P306=0.8,P306/2,IF(P306=1.5,P306/2,IF(P306=0.6,P306/2,"IDIOT"))))),"")</f>
        <v>0.6</v>
      </c>
      <c r="CC306" s="316">
        <f>IF(B306="S",((BN306/2+0.1)*N306),"")</f>
        <v>0.224</v>
      </c>
      <c r="CD306" s="288">
        <f>IF(B306="S",((BN306/2+BN306/4)*N306),"")</f>
        <v>0.216</v>
      </c>
      <c r="CE306" s="288">
        <f>IF(B306="S",(0.392699*BN306*BN306),"")</f>
        <v>5.0893790399999993E-2</v>
      </c>
      <c r="CF306" s="288" t="str">
        <f>+IF(B306="S",(IF(((H306-J306)-(G306/1000))&lt;=0.9,"E1",IF(((H306-J306)-(G306/1000))&lt;=2.5,"E2","E3"))),"")</f>
        <v>E2</v>
      </c>
      <c r="CG306" s="313">
        <f>IF(B306="S",(IF(BV306="","",BV306-(BV306*L306/100))),"")</f>
        <v>93.85269232848114</v>
      </c>
      <c r="CH306" s="313">
        <f>IF(B306="S",(IF(BW306="","",BW306-(BW306*L306/100))),"")</f>
        <v>93.153370176075143</v>
      </c>
      <c r="CI306" s="313" t="str">
        <f>IF(C306="S",(IF(BX306="","",BX306-(BX306*M306/100))),"")</f>
        <v/>
      </c>
      <c r="CJ306" s="288">
        <f>'Cálculo_Diseño  (2)'!BD307</f>
        <v>1.8904999999999998</v>
      </c>
      <c r="CK306" s="313">
        <f>+IF(B306="S",(IF((CJ306+CU306)&gt;2,2,CJ306+CU306)),"")</f>
        <v>2</v>
      </c>
      <c r="CL306" s="313">
        <f>+IF(B306="S",(IF((CJ306+CU306)&gt;4,2,IF(AND((CJ306+CU306)&lt;=4,(CJ306+CU306)&gt;=2),((CJ306+CU306)-CK306),0))),"")</f>
        <v>1.7809999999999997</v>
      </c>
      <c r="CM306" s="313">
        <f>+IF(B306="S",(IF((CJ306+CU306)&gt;4,((CJ306+CU306)-(CK306+CL306)),0)),"")</f>
        <v>0</v>
      </c>
      <c r="CN306" s="313">
        <f>IF(B306="S",IF((CJ306+CU306)&lt;1.5,(ROUND(CJ306*PI()/4*(2.2)^2+CU306*(PI()/4*(2.2)^2 -PI()/4*(1.6)^2),2)),IF((CJ306+CU306)&lt;=2,(ROUND(((PI()*2.2^2)/4)*0.95-(((1/3)*PI()*0.95*(0.45^2+0.7^2+0.45*0.7)))+(CJ306*PI()/4*(2.2)^2)+(((((CU306)-0.95)*PI()*2.2^2)/4))-((((CU306)-0.95)*PI()*1.6^2)/4),2)),IF((CJ306+CU306)&gt;2,(ROUND(IF(CU306&lt;2,((PI()*2.2^2)/4)*0.95-(((1/3)*PI()*0.95*(0.45^2+0.7^2+0.45*0.7)))+((CU306-0.95)*(PI()/4*(2.2)^2 -PI()/4*(1.6)^2))+(2-CU306)*PI()/4*(2.2)^2,((PI()*2.2^2)/4)*0.95-(((1/3)*PI()*0.95*(0.45^2+0.7^2+0.45*0.7)))+((2-0.95)*(PI()/4*(2.2)^2 -PI()/4*(1.6)^2))),2))))),"")</f>
        <v>4.71</v>
      </c>
      <c r="CO306" s="313">
        <f>IF(B306="S",ROUND(IF(CL306&lt;=0,0,IF(AND(CL306&gt;0,CU306&lt;=0),CL306*PI()/4*2.2^(2),IF(AND(CL306&gt;0,CU306&gt;=4),CL306*(PI()/4*2.2^2-PI()/4*1.6^2),IF(AND(CL306&gt;0,CU306&gt;2,CU306&lt;4,CJ306&gt;0),(CU306-2)*(PI()/4*2.2^(2)-PI()/4*1.6^(2))+IF((CU306+CJ306)&gt;4,(4-CU306)*(PI()/4*2.2^(2)),(CJ306)*PI()/4*(2.2^2)),IF(AND(CL306&gt;0,CU306&lt;=2),(CL306*PI()/4*2.2^2)))))),2),"")</f>
        <v>6.77</v>
      </c>
      <c r="CP306" s="313">
        <f>IF(B306="S",(ROUND(IF(CM306&lt;=0,0,IF(AND(CM306&gt;0,CU306&lt;=0),CM306*PI()/4*2.2^(2),IF(AND(CM306&gt;0,CU306&gt;4,CJ306&lt;=0),CM306*(PI()/4*2.2^2-PI()/4*1.6^2),IF(AND(CM306&gt;0,CU306&lt;=4),CM306*PI()/4*2.2^2)))),2)),"")</f>
        <v>0</v>
      </c>
      <c r="CQ306" s="313">
        <f>IF(B306="S",IF(CK306&gt;1.5,(2*PI()*(0.9)*(CJ306+CU306)),0),"")</f>
        <v>21.381051281801412</v>
      </c>
      <c r="CR306" s="313">
        <f>IF(B306="S",(ROUND(IF(CN306&gt;0,CN306+CO306+CP306-CS306,0),2)),"")</f>
        <v>3.8</v>
      </c>
      <c r="CS306" s="313">
        <f>IF(B306="S",(IF(CJ306=0,0,IF(AND((H306-J306)&lt;1.5,CU306&gt;0),ROUND(CU306*(PI()/4*(2.2)^2 -PI()/4*(1.6)^2),2),(ROUND(((PI()*2.2^2)/4)*0.95-(((1/3)*PI()*0.95*(0.45^2+0.7^2+0.45*0.7)))+(((((CJ306+CU306)-0.95)*PI()*2.2^2)/4))-((((CJ306+CU306)-0.95)*PI()*1.6^2)/4),2))))),"")</f>
        <v>7.68</v>
      </c>
      <c r="CT306" s="313" t="str">
        <f>IF(B306="S",(IF(CN306&gt;=0,IF(CN306+CO306+CP306=(CR306+CS306),"OK","VERIFICAR"),0)),"")</f>
        <v>OK</v>
      </c>
      <c r="CU306" s="309">
        <f>'Cálculo_Diseño  (2)'!BD307</f>
        <v>1.8904999999999998</v>
      </c>
      <c r="CV306" s="288" t="str">
        <f>IF(G306=182,M306-(O306/2)-(P306/2),"")</f>
        <v/>
      </c>
      <c r="CW306" s="288" t="str">
        <f>IF(G306=227,M306-(O306/2)-(P306/2),"")</f>
        <v/>
      </c>
      <c r="CX306" s="288">
        <f>IF(G306=284,M306-(O306/2)-(P306/2),"")</f>
        <v>68.293584423312069</v>
      </c>
      <c r="CY306" s="288" t="str">
        <f>IF(G306=327,M306-(O306/2)-(P306/2),"")</f>
        <v/>
      </c>
      <c r="CZ306" s="288" t="str">
        <f>IF(G306=362,M306-(O306/2)-(P306/2),"")</f>
        <v/>
      </c>
      <c r="DA306" s="288" t="str">
        <f>IF(G306=407,M306-(O306/2)-(P306/2),"")</f>
        <v/>
      </c>
      <c r="DB306" s="288" t="str">
        <f>IF(G306=452,M306-(O306/2)-(P306/2),"")</f>
        <v/>
      </c>
      <c r="DC306" s="288" t="str">
        <f>IF(G306=595.12,M306-(O306/2)-(P306/2),"")</f>
        <v/>
      </c>
      <c r="DD306" s="288" t="str">
        <f>IF(G306=670,M306-(O306/2)-(P306/2),"")</f>
        <v/>
      </c>
      <c r="DE306" s="288" t="str">
        <f>IF(G306=747,M306-(O306/2)-(P306/2),"")</f>
        <v/>
      </c>
      <c r="DF306" s="288" t="str">
        <f>IF(G306=823.09,M306-(O306/2)-(P306/2),"")</f>
        <v/>
      </c>
      <c r="DG306" s="288" t="str">
        <f>IF(G306=899.03,M306-(O306/2)-(P306/2),"")</f>
        <v/>
      </c>
      <c r="DH306" s="309"/>
      <c r="DI306" s="288" t="str">
        <f>+IF(B306="S",B306,"N")</f>
        <v>S</v>
      </c>
      <c r="DJ306" s="288">
        <f>+IF(DI306="S",E306,"")</f>
        <v>69.48</v>
      </c>
      <c r="DK306" s="310">
        <v>18</v>
      </c>
      <c r="DL306" s="288">
        <f>IF(DI306="S",((((AA306+1)*6)/2)*0.7*DK306),"")</f>
        <v>169.8165000000015</v>
      </c>
      <c r="DM306" s="288">
        <f>IF(DI306="S",(ATAN(6/(AA306-1))*180/PI()),"")</f>
        <v>67.441187213623095</v>
      </c>
      <c r="DN306" s="206">
        <f>IF(DI306="S",(TAN(DM306*PI()/180)*(AA306-2)),"")</f>
        <v>3.5927783350050544</v>
      </c>
      <c r="DO306" s="206">
        <f>IF(DI306="S",(TAN(DM306*PI()/180)*(AA306-4)),"")</f>
        <v>-1.2216649949848359</v>
      </c>
      <c r="DP306" s="288">
        <f>IF(DI306="S",(IF(AA306&lt;=2,((((AA306+1)*6)/2)*0.7*DK306),IF(AND(AA306&gt;2,AA306&lt;=4),((((AA306+1)*6)/2)*0.7*DK306)-(((AA306-2)*DN306)/2*0.7*DK306),IF(AND(AA306&gt;4,AA306&lt;=6),((((AA306+1)*6)/2)*0.7*DK306)-(((AA306-2)*DN306)/2*0.7*DK306),0)))),"")</f>
        <v>136.03450351053181</v>
      </c>
      <c r="DQ306" s="288">
        <f>IF(DI306="S",(IF(AND(AA306&gt;2,AA306&lt;=4),(((AA306-2)*DN306)/2*0.7*DK306),IF(AND(AA306&gt;4,AA306&lt;=6),(((AA306-2)*DN306)/2*0.7*DK306)-((AA306-4)*DO306/2*0.7*DK306),0))),"")</f>
        <v>33.781996489469705</v>
      </c>
      <c r="DR306" s="288">
        <f>IF(DI306="S",(IF(AND(AA306&gt;4,AA306&lt;=6),((AA306-4)*DO306/2*0.7*DK306),IF(AA306&lt;4,0,"REVISAR"))),"")</f>
        <v>0</v>
      </c>
      <c r="DS306" s="288">
        <f t="shared" si="11"/>
        <v>264.03300000000309</v>
      </c>
      <c r="DT306" s="288">
        <f t="shared" si="12"/>
        <v>113.15700000000133</v>
      </c>
      <c r="DU306" s="310" t="str">
        <f>IF(B306="S",(IF(DI306="S",IF(G306=$DU$11,DK306,""),"")),"")</f>
        <v/>
      </c>
      <c r="DV306" s="310" t="str">
        <f>IF(B306="S",(IF(DI306="S",IF(G306=$DV$11,DK306,""),"")),"")</f>
        <v/>
      </c>
      <c r="DW306" s="310">
        <f>IF(B306="S",(IF(DI306="S",IF(G306=$DW$11,DK306,""),"")),"")</f>
        <v>18</v>
      </c>
      <c r="DX306" s="310" t="str">
        <f>IF(B306="S",(IF(DI306="S",IF(G306=$DX$11,DK306,""),"")),"")</f>
        <v/>
      </c>
      <c r="DY306" s="310" t="str">
        <f>IF(B306="S",(IF(DI306="S",IF(G306=$DY$11,DK306,""),"")),"")</f>
        <v/>
      </c>
      <c r="DZ306" s="310" t="str">
        <f>IF(B306="S",(IF(DI306="S",IF(G306=$DZ$11,DK306,""),"")),"")</f>
        <v/>
      </c>
      <c r="EA306" s="310" t="str">
        <f>IF(B306="S",(IF(DI306="S",IF(G306=$EA$11,DK306,""),"")),"")</f>
        <v/>
      </c>
      <c r="EB306" s="310" t="str">
        <f>IF(B306="S",(IF(DI306="S",IF(G306=$EB$11,DK306,""),"")),"")</f>
        <v/>
      </c>
      <c r="EC306" s="288">
        <f>IF(B306="S",0.95,"")</f>
        <v>0.95</v>
      </c>
      <c r="ED306" s="310"/>
      <c r="EE306" s="310"/>
      <c r="EF306" s="310"/>
      <c r="EH306" s="310">
        <f>+IF(EC306=0.95,2+((ED306+EE306+EF306)-1),"")</f>
        <v>1</v>
      </c>
    </row>
    <row r="307" spans="1:138" s="288" customFormat="1" hidden="1">
      <c r="C307" s="309"/>
      <c r="D307" s="309"/>
      <c r="E307" s="309"/>
      <c r="F307" s="309"/>
      <c r="G307" s="309"/>
      <c r="H307" s="309"/>
      <c r="I307" s="309"/>
      <c r="J307" s="309"/>
      <c r="K307" s="309"/>
      <c r="L307" s="315"/>
      <c r="Q307" s="309"/>
      <c r="R307" s="311"/>
      <c r="S307" s="311"/>
      <c r="T307" s="311"/>
      <c r="AB307" s="312"/>
      <c r="AF307" s="313"/>
      <c r="AG307" s="313"/>
      <c r="AH307" s="313"/>
      <c r="AI307" s="313"/>
      <c r="AJ307" s="313"/>
      <c r="AS307" s="314"/>
      <c r="AT307" s="315"/>
      <c r="AU307" s="314"/>
      <c r="AV307" s="312"/>
      <c r="AX307" s="206"/>
      <c r="AY307" s="206"/>
      <c r="BE307" s="316"/>
      <c r="BF307" s="316"/>
      <c r="BG307" s="316"/>
      <c r="BH307" s="310"/>
      <c r="BK307" s="309"/>
      <c r="BL307" s="309"/>
      <c r="BM307" s="309"/>
      <c r="BN307" s="309"/>
      <c r="BP307" s="313"/>
      <c r="CC307" s="316"/>
      <c r="CG307" s="313"/>
      <c r="CH307" s="313"/>
      <c r="CI307" s="313"/>
      <c r="CK307" s="313"/>
      <c r="CL307" s="313"/>
      <c r="CM307" s="313"/>
      <c r="CN307" s="313"/>
      <c r="CO307" s="313"/>
      <c r="CP307" s="313"/>
      <c r="CQ307" s="313"/>
      <c r="CR307" s="313"/>
      <c r="CS307" s="313"/>
      <c r="CT307" s="313"/>
      <c r="CU307" s="309"/>
      <c r="DH307" s="309"/>
      <c r="DK307" s="310"/>
      <c r="DN307" s="206"/>
      <c r="DO307" s="206"/>
      <c r="DS307" s="288" t="str">
        <f t="shared" si="11"/>
        <v/>
      </c>
      <c r="DT307" s="288" t="str">
        <f t="shared" si="12"/>
        <v/>
      </c>
      <c r="DU307" s="310"/>
      <c r="DV307" s="310"/>
      <c r="DW307" s="310"/>
      <c r="DX307" s="310"/>
      <c r="DY307" s="310"/>
      <c r="DZ307" s="310"/>
      <c r="EA307" s="310"/>
      <c r="EB307" s="310"/>
      <c r="ED307" s="310"/>
      <c r="EE307" s="310"/>
      <c r="EF307" s="310"/>
      <c r="EH307" s="310"/>
    </row>
    <row r="308" spans="1:138" s="288" customFormat="1" hidden="1">
      <c r="C308" s="309"/>
      <c r="D308" s="309"/>
      <c r="E308" s="309"/>
      <c r="F308" s="309"/>
      <c r="G308" s="309"/>
      <c r="H308" s="309"/>
      <c r="I308" s="309"/>
      <c r="J308" s="309"/>
      <c r="K308" s="309"/>
      <c r="L308" s="315"/>
      <c r="Q308" s="309"/>
      <c r="R308" s="311"/>
      <c r="S308" s="311"/>
      <c r="T308" s="311"/>
      <c r="AB308" s="312"/>
      <c r="AF308" s="313"/>
      <c r="AG308" s="313"/>
      <c r="AH308" s="313"/>
      <c r="AI308" s="313"/>
      <c r="AJ308" s="313"/>
      <c r="AS308" s="314"/>
      <c r="AT308" s="315"/>
      <c r="AU308" s="314"/>
      <c r="AV308" s="312"/>
      <c r="AX308" s="206"/>
      <c r="AY308" s="206"/>
      <c r="BE308" s="316"/>
      <c r="BF308" s="316"/>
      <c r="BG308" s="316"/>
      <c r="BH308" s="310"/>
      <c r="BK308" s="309"/>
      <c r="BL308" s="309"/>
      <c r="BM308" s="309"/>
      <c r="BN308" s="309"/>
      <c r="BP308" s="313"/>
      <c r="CC308" s="316"/>
      <c r="CG308" s="313"/>
      <c r="CH308" s="313"/>
      <c r="CI308" s="313"/>
      <c r="CK308" s="313"/>
      <c r="CL308" s="313"/>
      <c r="CM308" s="313"/>
      <c r="CN308" s="313"/>
      <c r="CO308" s="313"/>
      <c r="CP308" s="313"/>
      <c r="CQ308" s="313"/>
      <c r="CR308" s="313"/>
      <c r="CS308" s="313"/>
      <c r="CT308" s="313"/>
      <c r="CU308" s="309"/>
      <c r="DH308" s="309"/>
      <c r="DK308" s="310"/>
      <c r="DN308" s="206"/>
      <c r="DO308" s="206"/>
      <c r="DS308" s="288" t="str">
        <f t="shared" si="11"/>
        <v/>
      </c>
      <c r="DT308" s="288" t="str">
        <f t="shared" si="12"/>
        <v/>
      </c>
      <c r="DU308" s="310"/>
      <c r="DV308" s="310"/>
      <c r="DW308" s="310"/>
      <c r="DX308" s="310"/>
      <c r="DY308" s="310"/>
      <c r="DZ308" s="310"/>
      <c r="EA308" s="310"/>
      <c r="EB308" s="310"/>
      <c r="ED308" s="310"/>
      <c r="EE308" s="310"/>
      <c r="EF308" s="310"/>
      <c r="EH308" s="310"/>
    </row>
    <row r="309" spans="1:138" s="288" customFormat="1" hidden="1">
      <c r="C309" s="309"/>
      <c r="D309" s="309"/>
      <c r="E309" s="309"/>
      <c r="F309" s="309"/>
      <c r="G309" s="309"/>
      <c r="H309" s="309"/>
      <c r="I309" s="309"/>
      <c r="J309" s="309"/>
      <c r="K309" s="309"/>
      <c r="L309" s="315"/>
      <c r="Q309" s="309"/>
      <c r="R309" s="311"/>
      <c r="S309" s="311"/>
      <c r="T309" s="311"/>
      <c r="AB309" s="312"/>
      <c r="AF309" s="313"/>
      <c r="AG309" s="313"/>
      <c r="AH309" s="313"/>
      <c r="AI309" s="313"/>
      <c r="AJ309" s="313"/>
      <c r="AS309" s="314"/>
      <c r="AT309" s="315"/>
      <c r="AU309" s="314"/>
      <c r="AV309" s="312"/>
      <c r="AX309" s="206"/>
      <c r="AY309" s="206"/>
      <c r="BE309" s="316"/>
      <c r="BF309" s="316"/>
      <c r="BG309" s="316"/>
      <c r="BH309" s="310"/>
      <c r="BK309" s="309"/>
      <c r="BL309" s="309"/>
      <c r="BM309" s="309"/>
      <c r="BN309" s="309"/>
      <c r="BP309" s="313"/>
      <c r="CC309" s="316"/>
      <c r="CG309" s="313"/>
      <c r="CH309" s="313"/>
      <c r="CI309" s="313"/>
      <c r="CK309" s="313"/>
      <c r="CL309" s="313"/>
      <c r="CM309" s="313"/>
      <c r="CN309" s="313"/>
      <c r="CO309" s="313"/>
      <c r="CP309" s="313"/>
      <c r="CQ309" s="313"/>
      <c r="CR309" s="313"/>
      <c r="CS309" s="313"/>
      <c r="CT309" s="313"/>
      <c r="CU309" s="309"/>
      <c r="DH309" s="309"/>
      <c r="DK309" s="310"/>
      <c r="DN309" s="206"/>
      <c r="DO309" s="206"/>
      <c r="DS309" s="288" t="str">
        <f t="shared" si="11"/>
        <v/>
      </c>
      <c r="DT309" s="288" t="str">
        <f t="shared" si="12"/>
        <v/>
      </c>
      <c r="DU309" s="310"/>
      <c r="DV309" s="310"/>
      <c r="DW309" s="310"/>
      <c r="DX309" s="310"/>
      <c r="DY309" s="310"/>
      <c r="DZ309" s="310"/>
      <c r="EA309" s="310"/>
      <c r="EB309" s="310"/>
      <c r="ED309" s="310"/>
      <c r="EE309" s="310"/>
      <c r="EF309" s="310"/>
      <c r="EH309" s="310"/>
    </row>
    <row r="310" spans="1:138" s="288" customFormat="1" hidden="1">
      <c r="C310" s="309"/>
      <c r="D310" s="309"/>
      <c r="E310" s="309"/>
      <c r="F310" s="309"/>
      <c r="G310" s="309"/>
      <c r="H310" s="309"/>
      <c r="I310" s="309"/>
      <c r="J310" s="309"/>
      <c r="K310" s="309"/>
      <c r="L310" s="315"/>
      <c r="Q310" s="309"/>
      <c r="R310" s="311"/>
      <c r="S310" s="311"/>
      <c r="T310" s="311"/>
      <c r="AB310" s="312"/>
      <c r="AF310" s="313"/>
      <c r="AG310" s="313"/>
      <c r="AH310" s="313"/>
      <c r="AI310" s="313"/>
      <c r="AJ310" s="313"/>
      <c r="AS310" s="314"/>
      <c r="AT310" s="315"/>
      <c r="AU310" s="314"/>
      <c r="AV310" s="312"/>
      <c r="AX310" s="206"/>
      <c r="AY310" s="206"/>
      <c r="BE310" s="316"/>
      <c r="BF310" s="316"/>
      <c r="BG310" s="316"/>
      <c r="BH310" s="310"/>
      <c r="BK310" s="309"/>
      <c r="BL310" s="309"/>
      <c r="BM310" s="309"/>
      <c r="BN310" s="309"/>
      <c r="BP310" s="313"/>
      <c r="CC310" s="316"/>
      <c r="CG310" s="313"/>
      <c r="CH310" s="313"/>
      <c r="CI310" s="313"/>
      <c r="CK310" s="313"/>
      <c r="CL310" s="313"/>
      <c r="CM310" s="313"/>
      <c r="CN310" s="313"/>
      <c r="CO310" s="313"/>
      <c r="CP310" s="313"/>
      <c r="CQ310" s="313"/>
      <c r="CR310" s="313"/>
      <c r="CS310" s="313"/>
      <c r="CT310" s="313"/>
      <c r="CU310" s="309"/>
      <c r="DH310" s="309"/>
      <c r="DK310" s="310"/>
      <c r="DN310" s="206"/>
      <c r="DO310" s="206"/>
      <c r="DS310" s="288" t="str">
        <f t="shared" si="11"/>
        <v/>
      </c>
      <c r="DT310" s="288" t="str">
        <f t="shared" si="12"/>
        <v/>
      </c>
      <c r="DU310" s="310"/>
      <c r="DV310" s="310"/>
      <c r="DW310" s="310"/>
      <c r="DX310" s="310"/>
      <c r="DY310" s="310"/>
      <c r="DZ310" s="310"/>
      <c r="EA310" s="310"/>
      <c r="EB310" s="310"/>
      <c r="ED310" s="310"/>
      <c r="EE310" s="310"/>
      <c r="EF310" s="310"/>
      <c r="EH310" s="310"/>
    </row>
    <row r="311" spans="1:138" s="288" customFormat="1" hidden="1">
      <c r="C311" s="309"/>
      <c r="D311" s="309"/>
      <c r="E311" s="309"/>
      <c r="F311" s="309"/>
      <c r="G311" s="309"/>
      <c r="H311" s="309"/>
      <c r="I311" s="309"/>
      <c r="J311" s="309"/>
      <c r="K311" s="309"/>
      <c r="L311" s="315"/>
      <c r="Q311" s="309"/>
      <c r="R311" s="311"/>
      <c r="S311" s="311"/>
      <c r="T311" s="311"/>
      <c r="AB311" s="312"/>
      <c r="AF311" s="313"/>
      <c r="AG311" s="313"/>
      <c r="AH311" s="313"/>
      <c r="AI311" s="313"/>
      <c r="AJ311" s="313"/>
      <c r="AS311" s="314"/>
      <c r="AT311" s="315"/>
      <c r="AU311" s="314"/>
      <c r="AV311" s="312"/>
      <c r="AX311" s="206"/>
      <c r="AY311" s="206"/>
      <c r="BE311" s="316"/>
      <c r="BF311" s="316"/>
      <c r="BG311" s="316"/>
      <c r="BH311" s="310"/>
      <c r="BK311" s="309"/>
      <c r="BL311" s="309"/>
      <c r="BM311" s="309"/>
      <c r="BN311" s="309"/>
      <c r="BP311" s="313"/>
      <c r="CC311" s="316"/>
      <c r="CG311" s="313"/>
      <c r="CH311" s="313"/>
      <c r="CI311" s="313"/>
      <c r="CK311" s="313"/>
      <c r="CL311" s="313"/>
      <c r="CM311" s="313"/>
      <c r="CN311" s="313"/>
      <c r="CO311" s="313"/>
      <c r="CP311" s="313"/>
      <c r="CQ311" s="313"/>
      <c r="CR311" s="313"/>
      <c r="CS311" s="313"/>
      <c r="CT311" s="313"/>
      <c r="CU311" s="309"/>
      <c r="DH311" s="309"/>
      <c r="DK311" s="310"/>
      <c r="DN311" s="206"/>
      <c r="DO311" s="206"/>
      <c r="DS311" s="288" t="str">
        <f t="shared" si="11"/>
        <v/>
      </c>
      <c r="DT311" s="288" t="str">
        <f t="shared" si="12"/>
        <v/>
      </c>
      <c r="DU311" s="310"/>
      <c r="DV311" s="310"/>
      <c r="DW311" s="310"/>
      <c r="DX311" s="310"/>
      <c r="DY311" s="310"/>
      <c r="DZ311" s="310"/>
      <c r="EA311" s="310"/>
      <c r="EB311" s="310"/>
      <c r="ED311" s="310"/>
      <c r="EE311" s="310"/>
      <c r="EF311" s="310"/>
      <c r="EH311" s="310"/>
    </row>
    <row r="312" spans="1:138" s="288" customFormat="1" hidden="1">
      <c r="C312" s="309"/>
      <c r="D312" s="309"/>
      <c r="E312" s="309"/>
      <c r="F312" s="309"/>
      <c r="G312" s="309"/>
      <c r="H312" s="309"/>
      <c r="I312" s="309"/>
      <c r="J312" s="309"/>
      <c r="K312" s="309"/>
      <c r="L312" s="315"/>
      <c r="Q312" s="309"/>
      <c r="R312" s="311"/>
      <c r="S312" s="311"/>
      <c r="T312" s="311"/>
      <c r="AB312" s="312"/>
      <c r="AF312" s="313"/>
      <c r="AG312" s="313"/>
      <c r="AH312" s="313"/>
      <c r="AI312" s="313"/>
      <c r="AJ312" s="313"/>
      <c r="AS312" s="314"/>
      <c r="AT312" s="315"/>
      <c r="AU312" s="314"/>
      <c r="AV312" s="312"/>
      <c r="AX312" s="206"/>
      <c r="AY312" s="206"/>
      <c r="BE312" s="316"/>
      <c r="BF312" s="316"/>
      <c r="BG312" s="316"/>
      <c r="BH312" s="310"/>
      <c r="BK312" s="309"/>
      <c r="BL312" s="309"/>
      <c r="BM312" s="309"/>
      <c r="BN312" s="309"/>
      <c r="BP312" s="313"/>
      <c r="CC312" s="316"/>
      <c r="CG312" s="313"/>
      <c r="CH312" s="313"/>
      <c r="CI312" s="313"/>
      <c r="CK312" s="313"/>
      <c r="CL312" s="313"/>
      <c r="CM312" s="313"/>
      <c r="CN312" s="313"/>
      <c r="CO312" s="313"/>
      <c r="CP312" s="313"/>
      <c r="CQ312" s="313"/>
      <c r="CR312" s="313"/>
      <c r="CS312" s="313"/>
      <c r="CT312" s="313"/>
      <c r="CU312" s="309"/>
      <c r="DH312" s="309"/>
      <c r="DK312" s="310"/>
      <c r="DN312" s="206"/>
      <c r="DO312" s="206"/>
      <c r="DS312" s="288" t="str">
        <f t="shared" si="11"/>
        <v/>
      </c>
      <c r="DT312" s="288" t="str">
        <f t="shared" si="12"/>
        <v/>
      </c>
      <c r="DU312" s="310"/>
      <c r="DV312" s="310"/>
      <c r="DW312" s="310"/>
      <c r="DX312" s="310"/>
      <c r="DY312" s="310"/>
      <c r="DZ312" s="310"/>
      <c r="EA312" s="310"/>
      <c r="EB312" s="310"/>
      <c r="ED312" s="310"/>
      <c r="EE312" s="310"/>
      <c r="EF312" s="310"/>
      <c r="EH312" s="310"/>
    </row>
    <row r="313" spans="1:138" s="288" customFormat="1">
      <c r="A313" s="288" t="s">
        <v>330</v>
      </c>
      <c r="B313" s="288" t="str">
        <f>A313</f>
        <v>S</v>
      </c>
      <c r="C313" s="309" t="str">
        <f>IF(A313="S",'Cálculo_Diseño  (2)'!C314," ")</f>
        <v>C215</v>
      </c>
      <c r="D313" s="309" t="str">
        <f>IF(A313="S",'Cálculo_Diseño  (2)'!D314," ")</f>
        <v>C207</v>
      </c>
      <c r="E313" s="309">
        <f>IF(B313="S",'Cálculo_Diseño  (2)'!AX314," ")</f>
        <v>86.38</v>
      </c>
      <c r="F313" s="309">
        <f>IF(B313="S",'Cálculo_Diseño  (2)'!BL314," ")</f>
        <v>1.3822644130586637</v>
      </c>
      <c r="G313" s="309">
        <f>IF(B313="S",'Cálculo_Diseño  (2)'!AZ314," ")</f>
        <v>284</v>
      </c>
      <c r="H313" s="309">
        <f>IF(B313="S",'Cálculo_Diseño  (2)'!BB314," ")</f>
        <v>996.71500000000003</v>
      </c>
      <c r="I313" s="309">
        <f>IF(B313="S",'Cálculo_Diseño  (2)'!BC314," ")</f>
        <v>995.721</v>
      </c>
      <c r="J313" s="309">
        <f>IF(B313="S",'Cálculo_Diseño  (2)'!BH314," ")</f>
        <v>995.45500000000004</v>
      </c>
      <c r="K313" s="309">
        <f>IF(B313="S",'Cálculo_Diseño  (2)'!BI314," ")</f>
        <v>994.26099999999997</v>
      </c>
      <c r="L313" s="315">
        <f>IF(B313="S",+$L$11,"")</f>
        <v>1</v>
      </c>
      <c r="M313" s="288">
        <f>IF(B313="S",(E313^2+(J313-K313)^2)^0.5," ")</f>
        <v>86.388251724409841</v>
      </c>
      <c r="N313" s="288">
        <f>IF(AJ313="S",BK313+0.1,BK313)</f>
        <v>0.79999999999999993</v>
      </c>
      <c r="O313" s="288">
        <f>IF(B313="S",(IF(G313&lt;=500,1.2,1.5)),"")</f>
        <v>1.2</v>
      </c>
      <c r="P313" s="288">
        <f>IF(B313="S",(IF(G313&lt;=500,1.2,1.5)),"")</f>
        <v>1.2</v>
      </c>
      <c r="Q313" s="309" t="s">
        <v>331</v>
      </c>
      <c r="R313" s="311" t="str">
        <f>+IF(B313="S",(IF(Q313="FLEXIBLE","S","N")),"")</f>
        <v>N</v>
      </c>
      <c r="S313" s="311" t="str">
        <f>+IF(B313="S",(IF(Q313="ADOQUIN","S","N")),"")</f>
        <v>N</v>
      </c>
      <c r="T313" s="311" t="str">
        <f>+IF(B313="S",(IF(Q313="CONCRETO","S","N")),"")</f>
        <v>S</v>
      </c>
      <c r="U313" s="288">
        <f>IF(B313="S",(IF(R313="S",(((((H313-I313)^2)+(E313^2))^0.5)-CA313-CB313)*$U$11,0)),"")</f>
        <v>0</v>
      </c>
      <c r="V313" s="288">
        <f>IF(B313="S",(IF(S313="S",(((((H313-I313)^2)+(E313^2))^0.5)-CA313-CB313)*$V$11,0)),"")</f>
        <v>0</v>
      </c>
      <c r="W313" s="288">
        <f>IF(B313="S",(IF(T313="S",(((((H313-I313)^2)+(E313^2))^0.5)-CA313-CB313)*$W$11,0)),"")</f>
        <v>85.185718935481461</v>
      </c>
      <c r="X313" s="288">
        <f>IF(B313="S",(U313*(N313+0.2)*$X$11),"")</f>
        <v>0</v>
      </c>
      <c r="Y313" s="288">
        <f>IF(B313="S",(V313*(N313+0.2)*$Y$11),"")</f>
        <v>0</v>
      </c>
      <c r="Z313" s="288">
        <f>IF(B313="S",(W313*(N313+0.2)*$Z$11+IF(Q313="CONCRETO",PI()/4*0.2*(O313+0.2*2+0.1*2)^2)),"")</f>
        <v>26.064653690525983</v>
      </c>
      <c r="AA313" s="288">
        <f>IF(B313="S",(((H313-J313)+(I313-K313))/2+BM313),"")</f>
        <v>1.4600000000000137</v>
      </c>
      <c r="AB313" s="312">
        <f>IF(B313="S",($AB$11),"")</f>
        <v>10</v>
      </c>
      <c r="AC313" s="288">
        <f>IF(B313="S",(IF(CG313="","",(CG313*(AB313/100))*$I$527)),"")</f>
        <v>10.26698590368513</v>
      </c>
      <c r="AD313" s="288" t="str">
        <f>IF(B313="S",(IF(CH313="","",(CH313*AB313/100)*$I$527)),"")</f>
        <v/>
      </c>
      <c r="AE313" s="288" t="str">
        <f>IF(B313="S",(IF(CI313="","",(CI313*AB313/100)*$I$527)),"")</f>
        <v/>
      </c>
      <c r="AF313" s="313">
        <f>IF(B313="S",(IF(CG313="","",(CG313*$I$527)-AC313)),"")</f>
        <v>92.402873133166167</v>
      </c>
      <c r="AG313" s="313" t="str">
        <f>IF(B313="S",(IF(CH313="","",(CH313*$I$527)-AD313)),"")</f>
        <v/>
      </c>
      <c r="AH313" s="313" t="str">
        <f>IF(B313="S",(IF(CI313="","",(CI313*$I$527)-AE313)),"")</f>
        <v/>
      </c>
      <c r="AI313" s="313">
        <f>IF(B313="S",((BY313*(L313/100))*1.1),"")</f>
        <v>1.0370692832005184</v>
      </c>
      <c r="AJ313" s="313" t="str">
        <f>IF(B313="S",(IF(AA313&lt;1,"N","S")),"")</f>
        <v>S</v>
      </c>
      <c r="AK313" s="288">
        <f>IF(B313="S",(IF(AJ313="S",(E313*AA313*0.7*2),0)),"")</f>
        <v>176.56072000000165</v>
      </c>
      <c r="AL313" s="288">
        <f>IF(B313="S",(IF(AJ313="S",(E313*AA313*0.3*2),0)),"")</f>
        <v>75.668880000000712</v>
      </c>
      <c r="AM313" s="288">
        <f>IF(B313="S",(IF(F313&gt;20,N313*(M313/10)*AA313,0)),"")</f>
        <v>0</v>
      </c>
      <c r="AN313" s="288">
        <f>IF(B313="S",((M313-0.4)*$AN$11),"")</f>
        <v>0</v>
      </c>
      <c r="AO313" s="288">
        <f>IF(B313="S",((M313-0.4)*$AO$11),"")</f>
        <v>0</v>
      </c>
      <c r="AP313" s="288">
        <f>IF(B313="S",((M313-(O313/2)-(P313/2))*$AP$11),"")</f>
        <v>85.188251724409852</v>
      </c>
      <c r="AQ313" s="288">
        <f>+SUM(AC313:AI313)</f>
        <v>103.70692832005182</v>
      </c>
      <c r="AR313" s="288">
        <f>+AT313+AU313+AZ313+BA313+BB313+BI313</f>
        <v>103.70692832005183</v>
      </c>
      <c r="AS313" s="314">
        <f>IF(B313="S",((N313*(0.4+G313/1000))-((G313/1000)^2*PI()/4)),"")</f>
        <v>0.4838529257330153</v>
      </c>
      <c r="AT313" s="315">
        <f>IF(B313="S",(AS313*AP313)-IF(BI313&gt;0,BI313,0),"")</f>
        <v>41.218584834936294</v>
      </c>
      <c r="AU313" s="314">
        <f>IF(B313="S",IF(Q313="NATURAL",0,(($AU$11*N313*AP313))),"")</f>
        <v>27.260240551811155</v>
      </c>
      <c r="AV313" s="312">
        <f>IF(B313="S",$AV$11,"")</f>
        <v>30</v>
      </c>
      <c r="AW313" s="288">
        <f>IF(B313="S",(BY313*1.1-(AT313+BI313)-AU313-BB313-AX313-AY313),"")</f>
        <v>29.756182658122256</v>
      </c>
      <c r="AX313" s="206"/>
      <c r="AY313" s="206"/>
      <c r="AZ313" s="288">
        <f>IF(B313="S",((BY313*1.1-BB313-(AT313+BI313)-AU313-AX313-AY313)*AV313/100),"")</f>
        <v>8.9268547974366754</v>
      </c>
      <c r="BA313" s="288">
        <f>IF(B313="S",(IF(AW313&gt;AZ313,AW313-AZ313,0)),"")</f>
        <v>20.829327860685581</v>
      </c>
      <c r="BB313" s="288">
        <f>IF(B313="S",((((G313/1000)^2)/4*PI())*E313),"")</f>
        <v>5.4719202751821276</v>
      </c>
      <c r="BC313" s="288">
        <f>IF(B313="S",(BY313*1.1-AZ313),"")</f>
        <v>94.780073522615155</v>
      </c>
      <c r="BD313" s="288">
        <f>IF(B313="S",(IF(O313=1.2,IF((H313-J313)&lt;=1.2,H313-J313,H313-J313-0.95))),"")</f>
        <v>0.30999999999999095</v>
      </c>
      <c r="BE313" s="316" t="b">
        <f>IF(B313="S",(IF(O313=1.5,IF(H313-J313&lt;=1,0,H313-J313-1))),"")</f>
        <v>0</v>
      </c>
      <c r="BF313" s="316" t="b">
        <f>IF(B313="S",(IF(O313&lt;=0.8,IF(H313-J313&lt;=1,0,H313-J313))),"")</f>
        <v>0</v>
      </c>
      <c r="BG313" s="316" t="b">
        <f>IF(B313="S",(IF(O313&lt;=0.6,IF(H313-J313&lt;=1,H313-J313,0))),"")</f>
        <v>0</v>
      </c>
      <c r="BH313" s="310">
        <f>IF(B313="S",(IF(BD313="","",IF(BD313="FALSO","",1))),"")</f>
        <v>1</v>
      </c>
      <c r="BI313" s="288">
        <f>IF(B313="S",(IF(F313&gt;=15,N313*((G313/1000)+0.3)*0.2,0)*(E313/5+1)),"")</f>
        <v>0</v>
      </c>
      <c r="BJ313" s="288">
        <f xml:space="preserve"> IF(B313="S",(BN313+BM313+0.3),"")</f>
        <v>0.76</v>
      </c>
      <c r="BK313" s="309">
        <f>IF(B313="S",(VLOOKUP('Cálculo_Diseño  (2)'!AY314,'TABLA (2)'!$H$102:'TABLA (2)'!$U$135,3)),"")</f>
        <v>0.7</v>
      </c>
      <c r="BL313" s="309">
        <f>IF(B313="S",(VLOOKUP('Cálculo_Diseño  (2)'!AY314,'TABLA (2)'!$H$102:'TABLA (2)'!$U$135,10)),"")</f>
        <v>0.55000000000000004</v>
      </c>
      <c r="BM313" s="309">
        <f>IF(B313="S",(VLOOKUP('Cálculo_Diseño  (2)'!AY314,'TABLA (2)'!$H$102:'TABLA (2)'!$U$135,11)),"")</f>
        <v>0.1</v>
      </c>
      <c r="BN313" s="309">
        <f>IF(B313="S",(VLOOKUP('Cálculo_Diseño  (2)'!AY314,'TABLA (2)'!$H$102:'TABLA (2)'!$U$135,12)),"")</f>
        <v>0.36</v>
      </c>
      <c r="BO313" s="288">
        <f>V313</f>
        <v>0</v>
      </c>
      <c r="BP313" s="313">
        <f>+IF(B313="S",(IF((1.8-AA313)&gt;=0,AA313+0.2,2)),"")</f>
        <v>1.6600000000000137</v>
      </c>
      <c r="BQ313" s="288">
        <f>+IF(B313="S",(IF(BP313=2,IF((3.8-AA313)&gt;=0,(AA313+0.2-2),2),0)),"")</f>
        <v>0</v>
      </c>
      <c r="BR313" s="288">
        <f>+IF(B313="S",(IF(BQ313=2,AA313+0.2-4,0)),"")</f>
        <v>0</v>
      </c>
      <c r="BS313" s="288">
        <f>IF(B313="S",((N313*(0.3+BN313/2)-0.392699*BN313*BN313)*AO313),"")</f>
        <v>0</v>
      </c>
      <c r="BU313" s="288">
        <f>IF(B313="S",((N313*(0.3+5*BN313/6)-0.699815*BN313*BN313)*AP313),"")</f>
        <v>33.164125104801606</v>
      </c>
      <c r="BV313" s="288">
        <f>IF(B313="S",(IF(BP313=0,"",(BP313)*(M313)*N313-(U313*$X$11+V313*$Y$11+W313*$Z$11)*N313)),"")</f>
        <v>94.279025745501642</v>
      </c>
      <c r="BW313" s="288" t="str">
        <f>IF(B313="S",(IF(BQ313=0,"",(M313)*BQ313*N313)),"")</f>
        <v/>
      </c>
      <c r="BX313" s="288" t="str">
        <f>IF(B313="S",(IF(BR313=0,"",(M313)*BR313*N313)),"")</f>
        <v/>
      </c>
      <c r="BY313" s="288">
        <f>IF(B313="S",((AA313+0.2)*N313*(M313)-(U313*$X$11+V313*$Y$11+W313*$Z$11)*N313),"")</f>
        <v>94.279025745501656</v>
      </c>
      <c r="BZ313" s="288">
        <f>IF(B313="S",((N313*(0.3+BN313/2)-0.392699*BN313*BN313)*AN313),"")</f>
        <v>0</v>
      </c>
      <c r="CA313" s="288">
        <f>IF(B313="S",(IF(O313=1.2,(O313/2),IF(O313=0.8,O313/2,IF(O313=1.5,O313/2,IF(O313=0.6,O313/2,"IDIOT"))))),"")</f>
        <v>0.6</v>
      </c>
      <c r="CB313" s="288">
        <f>IF(B313="S",(IF(P313=1.2,(P313/2),IF(P313=0.8,P313/2,IF(P313=1.5,P313/2,IF(P313=0.6,P313/2,"IDIOT"))))),"")</f>
        <v>0.6</v>
      </c>
      <c r="CC313" s="316">
        <f>IF(B313="S",((BN313/2+0.1)*N313),"")</f>
        <v>0.224</v>
      </c>
      <c r="CD313" s="288">
        <f>IF(B313="S",((BN313/2+BN313/4)*N313),"")</f>
        <v>0.216</v>
      </c>
      <c r="CE313" s="288">
        <f>IF(B313="S",(0.392699*BN313*BN313),"")</f>
        <v>5.0893790399999993E-2</v>
      </c>
      <c r="CF313" s="288" t="str">
        <f>+IF(B313="S",(IF(((H313-J313)-(G313/1000))&lt;=0.9,"E1",IF(((H313-J313)-(G313/1000))&lt;=2.5,"E2","E3"))),"")</f>
        <v>E2</v>
      </c>
      <c r="CG313" s="313">
        <f>IF(B313="S",(IF(BV313="","",BV313-(BV313*L313/100))),"")</f>
        <v>93.336235488046626</v>
      </c>
      <c r="CH313" s="313" t="str">
        <f>IF(B313="S",(IF(BW313="","",BW313-(BW313*L313/100))),"")</f>
        <v/>
      </c>
      <c r="CI313" s="313" t="str">
        <f>IF(C313="S",(IF(BX313="","",BX313-(BX313*M313/100))),"")</f>
        <v/>
      </c>
      <c r="CJ313" s="288">
        <f>'Cálculo_Diseño  (2)'!BD314</f>
        <v>0.96050000000000002</v>
      </c>
      <c r="CK313" s="313">
        <f>+IF(B313="S",(IF((CJ313+CU313)&gt;2,2,CJ313+CU313)),"")</f>
        <v>1.921</v>
      </c>
      <c r="CL313" s="313">
        <f>+IF(B313="S",(IF((CJ313+CU313)&gt;4,2,IF(AND((CJ313+CU313)&lt;=4,(CJ313+CU313)&gt;=2),((CJ313+CU313)-CK313),0))),"")</f>
        <v>0</v>
      </c>
      <c r="CM313" s="313">
        <f>+IF(B313="S",(IF((CJ313+CU313)&gt;4,((CJ313+CU313)-(CK313+CL313)),0)),"")</f>
        <v>0</v>
      </c>
      <c r="CN313" s="313">
        <f>IF(B313="S",IF((CJ313+CU313)&lt;1.5,(ROUND(CJ313*PI()/4*(2.2)^2+CU313*(PI()/4*(2.2)^2 -PI()/4*(1.6)^2),2)),IF((CJ313+CU313)&lt;=2,(ROUND(((PI()*2.2^2)/4)*0.95-(((1/3)*PI()*0.95*(0.45^2+0.7^2+0.45*0.7)))+(CJ313*PI()/4*(2.2)^2)+(((((CU313)-0.95)*PI()*2.2^2)/4))-((((CU313)-0.95)*PI()*1.6^2)/4),2)),IF((CJ313+CU313)&gt;2,(ROUND(IF(CU313&lt;2,((PI()*2.2^2)/4)*0.95-(((1/3)*PI()*0.95*(0.45^2+0.7^2+0.45*0.7)))+((CU313-0.95)*(PI()/4*(2.2)^2 -PI()/4*(1.6)^2))+(2-CU313)*PI()/4*(2.2)^2,((PI()*2.2^2)/4)*0.95-(((1/3)*PI()*0.95*(0.45^2+0.7^2+0.45*0.7)))+((2-0.95)*(PI()/4*(2.2)^2 -PI()/4*(1.6)^2))),2))))),"")</f>
        <v>6.28</v>
      </c>
      <c r="CO313" s="313">
        <f>IF(B313="S",ROUND(IF(CL313&lt;=0,0,IF(AND(CL313&gt;0,CU313&lt;=0),CL313*PI()/4*2.2^(2),IF(AND(CL313&gt;0,CU313&gt;=4),CL313*(PI()/4*2.2^2-PI()/4*1.6^2),IF(AND(CL313&gt;0,CU313&gt;2,CU313&lt;4,CJ313&gt;0),(CU313-2)*(PI()/4*2.2^(2)-PI()/4*1.6^(2))+IF((CU313+CJ313)&gt;4,(4-CU313)*(PI()/4*2.2^(2)),(CJ313)*PI()/4*(2.2^2)),IF(AND(CL313&gt;0,CU313&lt;=2),(CL313*PI()/4*2.2^2)))))),2),"")</f>
        <v>0</v>
      </c>
      <c r="CP313" s="313">
        <f>IF(B313="S",(ROUND(IF(CM313&lt;=0,0,IF(AND(CM313&gt;0,CU313&lt;=0),CM313*PI()/4*2.2^(2),IF(AND(CM313&gt;0,CU313&gt;4,CJ313&lt;=0),CM313*(PI()/4*2.2^2-PI()/4*1.6^2),IF(AND(CM313&gt;0,CU313&lt;=4),CM313*PI()/4*2.2^2)))),2)),"")</f>
        <v>0</v>
      </c>
      <c r="CQ313" s="313">
        <f>IF(B313="S",IF(CK313&gt;1.5,(2*PI()*(0.9)*(CJ313+CU313)),0),"")</f>
        <v>10.862999077582787</v>
      </c>
      <c r="CR313" s="313">
        <f>IF(B313="S",(ROUND(IF(CN313&gt;0,CN313+CO313+CP313-CS313,0),2)),"")</f>
        <v>4.5599999999999996</v>
      </c>
      <c r="CS313" s="313">
        <f>IF(B313="S",(IF(CJ313=0,0,IF(AND((H313-J313)&lt;1.5,CU313&gt;0),ROUND(CU313*(PI()/4*(2.2)^2 -PI()/4*(1.6)^2),2),(ROUND(((PI()*2.2^2)/4)*0.95-(((1/3)*PI()*0.95*(0.45^2+0.7^2+0.45*0.7)))+(((((CJ313+CU313)-0.95)*PI()*2.2^2)/4))-((((CJ313+CU313)-0.95)*PI()*1.6^2)/4),2))))),"")</f>
        <v>1.72</v>
      </c>
      <c r="CT313" s="313" t="str">
        <f>IF(B313="S",(IF(CN313&gt;=0,IF(CN313+CO313+CP313=(CR313+CS313),"OK","VERIFICAR"),0)),"")</f>
        <v>OK</v>
      </c>
      <c r="CU313" s="309">
        <f>'Cálculo_Diseño  (2)'!BD314</f>
        <v>0.96050000000000002</v>
      </c>
      <c r="CV313" s="288" t="str">
        <f>IF(G313=182,M313-(O313/2)-(P313/2),"")</f>
        <v/>
      </c>
      <c r="CW313" s="288" t="str">
        <f>IF(G313=227,M313-(O313/2)-(P313/2),"")</f>
        <v/>
      </c>
      <c r="CX313" s="288">
        <f>IF(G313=284,M313-(O313/2)-(P313/2),"")</f>
        <v>85.188251724409852</v>
      </c>
      <c r="CY313" s="288" t="str">
        <f>IF(G313=327,M313-(O313/2)-(P313/2),"")</f>
        <v/>
      </c>
      <c r="CZ313" s="288" t="str">
        <f>IF(G313=362,M313-(O313/2)-(P313/2),"")</f>
        <v/>
      </c>
      <c r="DA313" s="288" t="str">
        <f>IF(G313=407,M313-(O313/2)-(P313/2),"")</f>
        <v/>
      </c>
      <c r="DB313" s="288" t="str">
        <f>IF(G313=452,M313-(O313/2)-(P313/2),"")</f>
        <v/>
      </c>
      <c r="DC313" s="288" t="str">
        <f>IF(G313=595.12,M313-(O313/2)-(P313/2),"")</f>
        <v/>
      </c>
      <c r="DD313" s="288" t="str">
        <f>IF(G313=670,M313-(O313/2)-(P313/2),"")</f>
        <v/>
      </c>
      <c r="DE313" s="288" t="str">
        <f>IF(G313=747,M313-(O313/2)-(P313/2),"")</f>
        <v/>
      </c>
      <c r="DF313" s="288" t="str">
        <f>IF(G313=823.09,M313-(O313/2)-(P313/2),"")</f>
        <v/>
      </c>
      <c r="DG313" s="288" t="str">
        <f>IF(G313=899.03,M313-(O313/2)-(P313/2),"")</f>
        <v/>
      </c>
      <c r="DH313" s="309"/>
      <c r="DI313" s="288" t="str">
        <f>+IF(B313="S",B313,"N")</f>
        <v>S</v>
      </c>
      <c r="DJ313" s="288">
        <f>+IF(DI313="S",E313,"")</f>
        <v>86.38</v>
      </c>
      <c r="DK313" s="310">
        <v>22</v>
      </c>
      <c r="DL313" s="288">
        <f>IF(DI313="S",((((AA313+1)*6)/2)*0.7*DK313),"")</f>
        <v>113.65200000000064</v>
      </c>
      <c r="DM313" s="288">
        <f>IF(DI313="S",(ATAN(6/(AA313-1))*180/PI()),"")</f>
        <v>85.615899737604934</v>
      </c>
      <c r="DN313" s="206">
        <f>IF(DI313="S",(TAN(DM313*PI()/180)*(AA313-2)),"")</f>
        <v>-7.0434782608691755</v>
      </c>
      <c r="DO313" s="206">
        <f>IF(DI313="S",(TAN(DM313*PI()/180)*(AA313-4)),"")</f>
        <v>-33.13043478260753</v>
      </c>
      <c r="DP313" s="288">
        <f>IF(DI313="S",(IF(AA313&lt;=2,((((AA313+1)*6)/2)*0.7*DK313),IF(AND(AA313&gt;2,AA313&lt;=4),((((AA313+1)*6)/2)*0.7*DK313)-(((AA313-2)*DN313)/2*0.7*DK313),IF(AND(AA313&gt;4,AA313&lt;=6),((((AA313+1)*6)/2)*0.7*DK313)-(((AA313-2)*DN313)/2*0.7*DK313),0)))),"")</f>
        <v>113.65200000000064</v>
      </c>
      <c r="DQ313" s="288">
        <f>IF(DI313="S",(IF(AND(AA313&gt;2,AA313&lt;=4),(((AA313-2)*DN313)/2*0.7*DK313),IF(AND(AA313&gt;4,AA313&lt;=6),(((AA313-2)*DN313)/2*0.7*DK313)-((AA313-4)*DO313/2*0.7*DK313),0))),"")</f>
        <v>0</v>
      </c>
      <c r="DR313" s="288">
        <f>IF(DI313="S",(IF(AND(AA313&gt;4,AA313&lt;=6),((AA313-4)*DO313/2*0.7*DK313),IF(AA313&lt;4,0,"REVISAR"))),"")</f>
        <v>0</v>
      </c>
      <c r="DS313" s="288">
        <f t="shared" si="11"/>
        <v>0</v>
      </c>
      <c r="DT313" s="288">
        <f t="shared" si="12"/>
        <v>0</v>
      </c>
      <c r="DU313" s="310" t="str">
        <f>IF(B313="S",(IF(DI313="S",IF(G313=$DU$11,DK313,""),"")),"")</f>
        <v/>
      </c>
      <c r="DV313" s="310" t="str">
        <f>IF(B313="S",(IF(DI313="S",IF(G313=$DV$11,DK313,""),"")),"")</f>
        <v/>
      </c>
      <c r="DW313" s="310">
        <f>IF(B313="S",(IF(DI313="S",IF(G313=$DW$11,DK313,""),"")),"")</f>
        <v>22</v>
      </c>
      <c r="DX313" s="310" t="str">
        <f>IF(B313="S",(IF(DI313="S",IF(G313=$DX$11,DK313,""),"")),"")</f>
        <v/>
      </c>
      <c r="DY313" s="310" t="str">
        <f>IF(B313="S",(IF(DI313="S",IF(G313=$DY$11,DK313,""),"")),"")</f>
        <v/>
      </c>
      <c r="DZ313" s="310" t="str">
        <f>IF(B313="S",(IF(DI313="S",IF(G313=$DZ$11,DK313,""),"")),"")</f>
        <v/>
      </c>
      <c r="EA313" s="310" t="str">
        <f>IF(B313="S",(IF(DI313="S",IF(G313=$EA$11,DK313,""),"")),"")</f>
        <v/>
      </c>
      <c r="EB313" s="310" t="str">
        <f>IF(B313="S",(IF(DI313="S",IF(G313=$EB$11,DK313,""),"")),"")</f>
        <v/>
      </c>
      <c r="EC313" s="288">
        <f>IF(B313="S",0.95,"")</f>
        <v>0.95</v>
      </c>
      <c r="ED313" s="310"/>
      <c r="EE313" s="310"/>
      <c r="EF313" s="310"/>
      <c r="EH313" s="310">
        <f>+IF(EC313=0.95,2+((ED313+EE313+EF313)-1),"")</f>
        <v>1</v>
      </c>
    </row>
    <row r="314" spans="1:138" s="288" customFormat="1" hidden="1">
      <c r="C314" s="309"/>
      <c r="D314" s="309"/>
      <c r="E314" s="309"/>
      <c r="F314" s="309"/>
      <c r="G314" s="309"/>
      <c r="H314" s="309"/>
      <c r="I314" s="309"/>
      <c r="J314" s="309"/>
      <c r="K314" s="309"/>
      <c r="L314" s="315"/>
      <c r="Q314" s="309"/>
      <c r="R314" s="311"/>
      <c r="S314" s="311"/>
      <c r="T314" s="311"/>
      <c r="AB314" s="312"/>
      <c r="AF314" s="313"/>
      <c r="AG314" s="313"/>
      <c r="AH314" s="313"/>
      <c r="AI314" s="313"/>
      <c r="AJ314" s="313"/>
      <c r="AS314" s="314"/>
      <c r="AT314" s="315"/>
      <c r="AU314" s="314"/>
      <c r="AV314" s="312"/>
      <c r="AX314" s="206"/>
      <c r="AY314" s="206"/>
      <c r="BE314" s="316"/>
      <c r="BF314" s="316"/>
      <c r="BG314" s="316"/>
      <c r="BH314" s="310"/>
      <c r="BK314" s="309"/>
      <c r="BL314" s="309"/>
      <c r="BM314" s="309"/>
      <c r="BN314" s="309"/>
      <c r="BP314" s="313"/>
      <c r="CC314" s="316"/>
      <c r="CG314" s="313"/>
      <c r="CH314" s="313"/>
      <c r="CI314" s="313"/>
      <c r="CK314" s="313"/>
      <c r="CL314" s="313"/>
      <c r="CM314" s="313"/>
      <c r="CN314" s="313"/>
      <c r="CO314" s="313"/>
      <c r="CP314" s="313"/>
      <c r="CQ314" s="313"/>
      <c r="CR314" s="313"/>
      <c r="CS314" s="313"/>
      <c r="CT314" s="313"/>
      <c r="CU314" s="309"/>
      <c r="DH314" s="309"/>
      <c r="DK314" s="310"/>
      <c r="DN314" s="206"/>
      <c r="DO314" s="206"/>
      <c r="DS314" s="288" t="str">
        <f t="shared" si="11"/>
        <v/>
      </c>
      <c r="DT314" s="288" t="str">
        <f t="shared" si="12"/>
        <v/>
      </c>
      <c r="DU314" s="310"/>
      <c r="DV314" s="310"/>
      <c r="DW314" s="310"/>
      <c r="DX314" s="310"/>
      <c r="DY314" s="310"/>
      <c r="DZ314" s="310"/>
      <c r="EA314" s="310"/>
      <c r="EB314" s="310"/>
      <c r="ED314" s="310"/>
      <c r="EE314" s="310"/>
      <c r="EF314" s="310"/>
      <c r="EH314" s="310"/>
    </row>
    <row r="315" spans="1:138" s="288" customFormat="1" hidden="1">
      <c r="C315" s="309"/>
      <c r="D315" s="309"/>
      <c r="E315" s="309"/>
      <c r="F315" s="309"/>
      <c r="G315" s="309"/>
      <c r="H315" s="309"/>
      <c r="I315" s="309"/>
      <c r="J315" s="309"/>
      <c r="K315" s="309"/>
      <c r="L315" s="315"/>
      <c r="Q315" s="309"/>
      <c r="R315" s="311"/>
      <c r="S315" s="311"/>
      <c r="T315" s="311"/>
      <c r="AB315" s="312"/>
      <c r="AF315" s="313"/>
      <c r="AG315" s="313"/>
      <c r="AH315" s="313"/>
      <c r="AI315" s="313"/>
      <c r="AJ315" s="313"/>
      <c r="AS315" s="314"/>
      <c r="AT315" s="315"/>
      <c r="AU315" s="314"/>
      <c r="AV315" s="312"/>
      <c r="AX315" s="206"/>
      <c r="AY315" s="206"/>
      <c r="BE315" s="316"/>
      <c r="BF315" s="316"/>
      <c r="BG315" s="316"/>
      <c r="BH315" s="310"/>
      <c r="BK315" s="309"/>
      <c r="BL315" s="309"/>
      <c r="BM315" s="309"/>
      <c r="BN315" s="309"/>
      <c r="BP315" s="313"/>
      <c r="CC315" s="316"/>
      <c r="CG315" s="313"/>
      <c r="CH315" s="313"/>
      <c r="CI315" s="313"/>
      <c r="CK315" s="313"/>
      <c r="CL315" s="313"/>
      <c r="CM315" s="313"/>
      <c r="CN315" s="313"/>
      <c r="CO315" s="313"/>
      <c r="CP315" s="313"/>
      <c r="CQ315" s="313"/>
      <c r="CR315" s="313"/>
      <c r="CS315" s="313"/>
      <c r="CT315" s="313"/>
      <c r="CU315" s="309"/>
      <c r="DH315" s="309"/>
      <c r="DK315" s="310"/>
      <c r="DN315" s="206"/>
      <c r="DO315" s="206"/>
      <c r="DS315" s="288" t="str">
        <f t="shared" si="11"/>
        <v/>
      </c>
      <c r="DT315" s="288" t="str">
        <f t="shared" si="12"/>
        <v/>
      </c>
      <c r="DU315" s="310"/>
      <c r="DV315" s="310"/>
      <c r="DW315" s="310"/>
      <c r="DX315" s="310"/>
      <c r="DY315" s="310"/>
      <c r="DZ315" s="310"/>
      <c r="EA315" s="310"/>
      <c r="EB315" s="310"/>
      <c r="ED315" s="310"/>
      <c r="EE315" s="310"/>
      <c r="EF315" s="310"/>
      <c r="EH315" s="310"/>
    </row>
    <row r="316" spans="1:138" s="288" customFormat="1" hidden="1">
      <c r="C316" s="309"/>
      <c r="D316" s="309"/>
      <c r="E316" s="309"/>
      <c r="F316" s="309"/>
      <c r="G316" s="309"/>
      <c r="H316" s="309"/>
      <c r="I316" s="309"/>
      <c r="J316" s="309"/>
      <c r="K316" s="309"/>
      <c r="L316" s="315"/>
      <c r="Q316" s="309"/>
      <c r="R316" s="311"/>
      <c r="S316" s="311"/>
      <c r="T316" s="311"/>
      <c r="AB316" s="312"/>
      <c r="AF316" s="313"/>
      <c r="AG316" s="313"/>
      <c r="AH316" s="313"/>
      <c r="AI316" s="313"/>
      <c r="AJ316" s="313"/>
      <c r="AS316" s="314"/>
      <c r="AT316" s="315"/>
      <c r="AU316" s="314"/>
      <c r="AV316" s="312"/>
      <c r="AX316" s="206"/>
      <c r="AY316" s="206"/>
      <c r="BE316" s="316"/>
      <c r="BF316" s="316"/>
      <c r="BG316" s="316"/>
      <c r="BH316" s="310"/>
      <c r="BK316" s="309"/>
      <c r="BL316" s="309"/>
      <c r="BM316" s="309"/>
      <c r="BN316" s="309"/>
      <c r="BP316" s="313"/>
      <c r="CC316" s="316"/>
      <c r="CG316" s="313"/>
      <c r="CH316" s="313"/>
      <c r="CI316" s="313"/>
      <c r="CK316" s="313"/>
      <c r="CL316" s="313"/>
      <c r="CM316" s="313"/>
      <c r="CN316" s="313"/>
      <c r="CO316" s="313"/>
      <c r="CP316" s="313"/>
      <c r="CQ316" s="313"/>
      <c r="CR316" s="313"/>
      <c r="CS316" s="313"/>
      <c r="CT316" s="313"/>
      <c r="CU316" s="309"/>
      <c r="DH316" s="309"/>
      <c r="DK316" s="310"/>
      <c r="DN316" s="206"/>
      <c r="DO316" s="206"/>
      <c r="DS316" s="288" t="str">
        <f t="shared" si="11"/>
        <v/>
      </c>
      <c r="DT316" s="288" t="str">
        <f t="shared" si="12"/>
        <v/>
      </c>
      <c r="DU316" s="310"/>
      <c r="DV316" s="310"/>
      <c r="DW316" s="310"/>
      <c r="DX316" s="310"/>
      <c r="DY316" s="310"/>
      <c r="DZ316" s="310"/>
      <c r="EA316" s="310"/>
      <c r="EB316" s="310"/>
      <c r="ED316" s="310"/>
      <c r="EE316" s="310"/>
      <c r="EF316" s="310"/>
      <c r="EH316" s="310"/>
    </row>
    <row r="317" spans="1:138" s="288" customFormat="1" hidden="1">
      <c r="C317" s="309"/>
      <c r="D317" s="309"/>
      <c r="E317" s="309"/>
      <c r="F317" s="309"/>
      <c r="G317" s="309"/>
      <c r="H317" s="309"/>
      <c r="I317" s="309"/>
      <c r="J317" s="309"/>
      <c r="K317" s="309"/>
      <c r="L317" s="315"/>
      <c r="Q317" s="309"/>
      <c r="R317" s="311"/>
      <c r="S317" s="311"/>
      <c r="T317" s="311"/>
      <c r="AB317" s="312"/>
      <c r="AF317" s="313"/>
      <c r="AG317" s="313"/>
      <c r="AH317" s="313"/>
      <c r="AI317" s="313"/>
      <c r="AJ317" s="313"/>
      <c r="AS317" s="314"/>
      <c r="AT317" s="315"/>
      <c r="AU317" s="314"/>
      <c r="AV317" s="312"/>
      <c r="AX317" s="206"/>
      <c r="AY317" s="206"/>
      <c r="BE317" s="316"/>
      <c r="BF317" s="316"/>
      <c r="BG317" s="316"/>
      <c r="BH317" s="310"/>
      <c r="BK317" s="309"/>
      <c r="BL317" s="309"/>
      <c r="BM317" s="309"/>
      <c r="BN317" s="309"/>
      <c r="BP317" s="313"/>
      <c r="CC317" s="316"/>
      <c r="CG317" s="313"/>
      <c r="CH317" s="313"/>
      <c r="CI317" s="313"/>
      <c r="CK317" s="313"/>
      <c r="CL317" s="313"/>
      <c r="CM317" s="313"/>
      <c r="CN317" s="313"/>
      <c r="CO317" s="313"/>
      <c r="CP317" s="313"/>
      <c r="CQ317" s="313"/>
      <c r="CR317" s="313"/>
      <c r="CS317" s="313"/>
      <c r="CT317" s="313"/>
      <c r="CU317" s="309"/>
      <c r="DH317" s="309"/>
      <c r="DK317" s="310"/>
      <c r="DN317" s="206"/>
      <c r="DO317" s="206"/>
      <c r="DS317" s="288" t="str">
        <f t="shared" si="11"/>
        <v/>
      </c>
      <c r="DT317" s="288" t="str">
        <f t="shared" si="12"/>
        <v/>
      </c>
      <c r="DU317" s="310"/>
      <c r="DV317" s="310"/>
      <c r="DW317" s="310"/>
      <c r="DX317" s="310"/>
      <c r="DY317" s="310"/>
      <c r="DZ317" s="310"/>
      <c r="EA317" s="310"/>
      <c r="EB317" s="310"/>
      <c r="ED317" s="310"/>
      <c r="EE317" s="310"/>
      <c r="EF317" s="310"/>
      <c r="EH317" s="310"/>
    </row>
    <row r="318" spans="1:138" s="288" customFormat="1" hidden="1">
      <c r="C318" s="309"/>
      <c r="D318" s="309"/>
      <c r="E318" s="309"/>
      <c r="F318" s="309"/>
      <c r="G318" s="309"/>
      <c r="H318" s="309"/>
      <c r="I318" s="309"/>
      <c r="J318" s="309"/>
      <c r="K318" s="309"/>
      <c r="L318" s="315"/>
      <c r="Q318" s="309"/>
      <c r="R318" s="311"/>
      <c r="S318" s="311"/>
      <c r="T318" s="311"/>
      <c r="AB318" s="312"/>
      <c r="AF318" s="313"/>
      <c r="AG318" s="313"/>
      <c r="AH318" s="313"/>
      <c r="AI318" s="313"/>
      <c r="AJ318" s="313"/>
      <c r="AS318" s="314"/>
      <c r="AT318" s="315"/>
      <c r="AU318" s="314"/>
      <c r="AV318" s="312"/>
      <c r="AX318" s="206"/>
      <c r="AY318" s="206"/>
      <c r="BE318" s="316"/>
      <c r="BF318" s="316"/>
      <c r="BG318" s="316"/>
      <c r="BH318" s="310"/>
      <c r="BK318" s="309"/>
      <c r="BL318" s="309"/>
      <c r="BM318" s="309"/>
      <c r="BN318" s="309"/>
      <c r="BP318" s="313"/>
      <c r="CC318" s="316"/>
      <c r="CG318" s="313"/>
      <c r="CH318" s="313"/>
      <c r="CI318" s="313"/>
      <c r="CK318" s="313"/>
      <c r="CL318" s="313"/>
      <c r="CM318" s="313"/>
      <c r="CN318" s="313"/>
      <c r="CO318" s="313"/>
      <c r="CP318" s="313"/>
      <c r="CQ318" s="313"/>
      <c r="CR318" s="313"/>
      <c r="CS318" s="313"/>
      <c r="CT318" s="313"/>
      <c r="CU318" s="309"/>
      <c r="DH318" s="309"/>
      <c r="DK318" s="310"/>
      <c r="DN318" s="206"/>
      <c r="DO318" s="206"/>
      <c r="DS318" s="288" t="str">
        <f t="shared" si="11"/>
        <v/>
      </c>
      <c r="DT318" s="288" t="str">
        <f t="shared" si="12"/>
        <v/>
      </c>
      <c r="DU318" s="310"/>
      <c r="DV318" s="310"/>
      <c r="DW318" s="310"/>
      <c r="DX318" s="310"/>
      <c r="DY318" s="310"/>
      <c r="DZ318" s="310"/>
      <c r="EA318" s="310"/>
      <c r="EB318" s="310"/>
      <c r="ED318" s="310"/>
      <c r="EE318" s="310"/>
      <c r="EF318" s="310"/>
      <c r="EH318" s="310"/>
    </row>
    <row r="319" spans="1:138" s="288" customFormat="1" hidden="1">
      <c r="C319" s="309"/>
      <c r="D319" s="309"/>
      <c r="E319" s="309"/>
      <c r="F319" s="309"/>
      <c r="G319" s="309"/>
      <c r="H319" s="309"/>
      <c r="I319" s="309"/>
      <c r="J319" s="309"/>
      <c r="K319" s="309"/>
      <c r="L319" s="315"/>
      <c r="Q319" s="309"/>
      <c r="R319" s="311"/>
      <c r="S319" s="311"/>
      <c r="T319" s="311"/>
      <c r="AB319" s="312"/>
      <c r="AF319" s="313"/>
      <c r="AG319" s="313"/>
      <c r="AH319" s="313"/>
      <c r="AI319" s="313"/>
      <c r="AJ319" s="313"/>
      <c r="AS319" s="314"/>
      <c r="AT319" s="315"/>
      <c r="AU319" s="314"/>
      <c r="AV319" s="312"/>
      <c r="AX319" s="206"/>
      <c r="AY319" s="206"/>
      <c r="BE319" s="316"/>
      <c r="BF319" s="316"/>
      <c r="BG319" s="316"/>
      <c r="BH319" s="310"/>
      <c r="BK319" s="309"/>
      <c r="BL319" s="309"/>
      <c r="BM319" s="309"/>
      <c r="BN319" s="309"/>
      <c r="BP319" s="313"/>
      <c r="CC319" s="316"/>
      <c r="CG319" s="313"/>
      <c r="CH319" s="313"/>
      <c r="CI319" s="313"/>
      <c r="CK319" s="313"/>
      <c r="CL319" s="313"/>
      <c r="CM319" s="313"/>
      <c r="CN319" s="313"/>
      <c r="CO319" s="313"/>
      <c r="CP319" s="313"/>
      <c r="CQ319" s="313"/>
      <c r="CR319" s="313"/>
      <c r="CS319" s="313"/>
      <c r="CT319" s="313"/>
      <c r="CU319" s="309"/>
      <c r="DH319" s="309"/>
      <c r="DK319" s="310"/>
      <c r="DN319" s="206"/>
      <c r="DO319" s="206"/>
      <c r="DS319" s="288" t="str">
        <f t="shared" si="11"/>
        <v/>
      </c>
      <c r="DT319" s="288" t="str">
        <f t="shared" si="12"/>
        <v/>
      </c>
      <c r="DU319" s="310"/>
      <c r="DV319" s="310"/>
      <c r="DW319" s="310"/>
      <c r="DX319" s="310"/>
      <c r="DY319" s="310"/>
      <c r="DZ319" s="310"/>
      <c r="EA319" s="310"/>
      <c r="EB319" s="310"/>
      <c r="ED319" s="310"/>
      <c r="EE319" s="310"/>
      <c r="EF319" s="310"/>
      <c r="EH319" s="310"/>
    </row>
    <row r="320" spans="1:138" s="288" customFormat="1" hidden="1">
      <c r="C320" s="309"/>
      <c r="D320" s="309"/>
      <c r="E320" s="309"/>
      <c r="F320" s="309"/>
      <c r="G320" s="309"/>
      <c r="H320" s="309"/>
      <c r="I320" s="309"/>
      <c r="J320" s="309"/>
      <c r="K320" s="309"/>
      <c r="L320" s="315"/>
      <c r="Q320" s="309"/>
      <c r="R320" s="311"/>
      <c r="S320" s="311"/>
      <c r="T320" s="311"/>
      <c r="AB320" s="312"/>
      <c r="AF320" s="313"/>
      <c r="AG320" s="313"/>
      <c r="AH320" s="313"/>
      <c r="AI320" s="313"/>
      <c r="AJ320" s="313"/>
      <c r="AS320" s="314"/>
      <c r="AT320" s="315"/>
      <c r="AU320" s="314"/>
      <c r="AV320" s="312"/>
      <c r="AX320" s="206"/>
      <c r="AY320" s="206"/>
      <c r="BE320" s="316"/>
      <c r="BF320" s="316"/>
      <c r="BG320" s="316"/>
      <c r="BH320" s="310"/>
      <c r="BK320" s="309"/>
      <c r="BL320" s="309"/>
      <c r="BM320" s="309"/>
      <c r="BN320" s="309"/>
      <c r="BP320" s="313"/>
      <c r="CC320" s="316"/>
      <c r="CG320" s="313"/>
      <c r="CH320" s="313"/>
      <c r="CI320" s="313"/>
      <c r="CK320" s="313"/>
      <c r="CL320" s="313"/>
      <c r="CM320" s="313"/>
      <c r="CN320" s="313"/>
      <c r="CO320" s="313"/>
      <c r="CP320" s="313"/>
      <c r="CQ320" s="313"/>
      <c r="CR320" s="313"/>
      <c r="CS320" s="313"/>
      <c r="CT320" s="313"/>
      <c r="CU320" s="309"/>
      <c r="DH320" s="309"/>
      <c r="DK320" s="310"/>
      <c r="DN320" s="206"/>
      <c r="DO320" s="206"/>
      <c r="DS320" s="288" t="str">
        <f t="shared" si="11"/>
        <v/>
      </c>
      <c r="DT320" s="288" t="str">
        <f t="shared" si="12"/>
        <v/>
      </c>
      <c r="DU320" s="310"/>
      <c r="DV320" s="310"/>
      <c r="DW320" s="310"/>
      <c r="DX320" s="310"/>
      <c r="DY320" s="310"/>
      <c r="DZ320" s="310"/>
      <c r="EA320" s="310"/>
      <c r="EB320" s="310"/>
      <c r="ED320" s="310"/>
      <c r="EE320" s="310"/>
      <c r="EF320" s="310"/>
      <c r="EH320" s="310"/>
    </row>
    <row r="321" spans="1:138" s="288" customFormat="1" hidden="1">
      <c r="C321" s="309"/>
      <c r="D321" s="309"/>
      <c r="E321" s="309"/>
      <c r="F321" s="309"/>
      <c r="G321" s="309"/>
      <c r="H321" s="309"/>
      <c r="I321" s="309"/>
      <c r="J321" s="309"/>
      <c r="K321" s="309"/>
      <c r="L321" s="315"/>
      <c r="Q321" s="309"/>
      <c r="R321" s="311"/>
      <c r="S321" s="311"/>
      <c r="T321" s="311"/>
      <c r="AB321" s="312"/>
      <c r="AF321" s="313"/>
      <c r="AG321" s="313"/>
      <c r="AH321" s="313"/>
      <c r="AI321" s="313"/>
      <c r="AJ321" s="313"/>
      <c r="AS321" s="314"/>
      <c r="AT321" s="315"/>
      <c r="AU321" s="314"/>
      <c r="AV321" s="312"/>
      <c r="AX321" s="206"/>
      <c r="AY321" s="206"/>
      <c r="BE321" s="316"/>
      <c r="BF321" s="316"/>
      <c r="BG321" s="316"/>
      <c r="BH321" s="310"/>
      <c r="BK321" s="309"/>
      <c r="BL321" s="309"/>
      <c r="BM321" s="309"/>
      <c r="BN321" s="309"/>
      <c r="BP321" s="313"/>
      <c r="CC321" s="316"/>
      <c r="CG321" s="313"/>
      <c r="CH321" s="313"/>
      <c r="CI321" s="313"/>
      <c r="CK321" s="313"/>
      <c r="CL321" s="313"/>
      <c r="CM321" s="313"/>
      <c r="CN321" s="313"/>
      <c r="CO321" s="313"/>
      <c r="CP321" s="313"/>
      <c r="CQ321" s="313"/>
      <c r="CR321" s="313"/>
      <c r="CS321" s="313"/>
      <c r="CT321" s="313"/>
      <c r="CU321" s="309"/>
      <c r="DH321" s="309"/>
      <c r="DK321" s="310"/>
      <c r="DN321" s="206"/>
      <c r="DO321" s="206"/>
      <c r="DS321" s="288" t="str">
        <f t="shared" si="11"/>
        <v/>
      </c>
      <c r="DT321" s="288" t="str">
        <f t="shared" si="12"/>
        <v/>
      </c>
      <c r="DU321" s="310"/>
      <c r="DV321" s="310"/>
      <c r="DW321" s="310"/>
      <c r="DX321" s="310"/>
      <c r="DY321" s="310"/>
      <c r="DZ321" s="310"/>
      <c r="EA321" s="310"/>
      <c r="EB321" s="310"/>
      <c r="ED321" s="310"/>
      <c r="EE321" s="310"/>
      <c r="EF321" s="310"/>
      <c r="EH321" s="310"/>
    </row>
    <row r="322" spans="1:138" s="288" customFormat="1" hidden="1">
      <c r="C322" s="309"/>
      <c r="D322" s="309"/>
      <c r="E322" s="309"/>
      <c r="F322" s="309"/>
      <c r="G322" s="309"/>
      <c r="H322" s="309"/>
      <c r="I322" s="309"/>
      <c r="J322" s="309"/>
      <c r="K322" s="309"/>
      <c r="L322" s="315"/>
      <c r="Q322" s="309"/>
      <c r="R322" s="311"/>
      <c r="S322" s="311"/>
      <c r="T322" s="311"/>
      <c r="AB322" s="312"/>
      <c r="AF322" s="313"/>
      <c r="AG322" s="313"/>
      <c r="AH322" s="313"/>
      <c r="AI322" s="313"/>
      <c r="AJ322" s="313"/>
      <c r="AS322" s="314"/>
      <c r="AT322" s="315"/>
      <c r="AU322" s="314"/>
      <c r="AV322" s="312"/>
      <c r="AX322" s="206"/>
      <c r="AY322" s="206"/>
      <c r="BE322" s="316"/>
      <c r="BF322" s="316"/>
      <c r="BG322" s="316"/>
      <c r="BH322" s="310"/>
      <c r="BK322" s="309"/>
      <c r="BL322" s="309"/>
      <c r="BM322" s="309"/>
      <c r="BN322" s="309"/>
      <c r="BP322" s="313"/>
      <c r="CC322" s="316"/>
      <c r="CG322" s="313"/>
      <c r="CH322" s="313"/>
      <c r="CI322" s="313"/>
      <c r="CK322" s="313"/>
      <c r="CL322" s="313"/>
      <c r="CM322" s="313"/>
      <c r="CN322" s="313"/>
      <c r="CO322" s="313"/>
      <c r="CP322" s="313"/>
      <c r="CQ322" s="313"/>
      <c r="CR322" s="313"/>
      <c r="CS322" s="313"/>
      <c r="CT322" s="313"/>
      <c r="CU322" s="309"/>
      <c r="DH322" s="309"/>
      <c r="DK322" s="310"/>
      <c r="DN322" s="206"/>
      <c r="DO322" s="206"/>
      <c r="DS322" s="288" t="str">
        <f t="shared" si="11"/>
        <v/>
      </c>
      <c r="DT322" s="288" t="str">
        <f t="shared" si="12"/>
        <v/>
      </c>
      <c r="DU322" s="310"/>
      <c r="DV322" s="310"/>
      <c r="DW322" s="310"/>
      <c r="DX322" s="310"/>
      <c r="DY322" s="310"/>
      <c r="DZ322" s="310"/>
      <c r="EA322" s="310"/>
      <c r="EB322" s="310"/>
      <c r="ED322" s="310"/>
      <c r="EE322" s="310"/>
      <c r="EF322" s="310"/>
      <c r="EH322" s="310"/>
    </row>
    <row r="323" spans="1:138" s="288" customFormat="1" hidden="1">
      <c r="C323" s="309"/>
      <c r="D323" s="309"/>
      <c r="E323" s="309"/>
      <c r="F323" s="309"/>
      <c r="G323" s="309"/>
      <c r="H323" s="309"/>
      <c r="I323" s="309"/>
      <c r="J323" s="309"/>
      <c r="K323" s="309"/>
      <c r="L323" s="315"/>
      <c r="Q323" s="309"/>
      <c r="R323" s="311"/>
      <c r="S323" s="311"/>
      <c r="T323" s="311"/>
      <c r="AB323" s="312"/>
      <c r="AF323" s="313"/>
      <c r="AG323" s="313"/>
      <c r="AH323" s="313"/>
      <c r="AI323" s="313"/>
      <c r="AJ323" s="313"/>
      <c r="AS323" s="314"/>
      <c r="AT323" s="315"/>
      <c r="AU323" s="314"/>
      <c r="AV323" s="312"/>
      <c r="AX323" s="206"/>
      <c r="AY323" s="206"/>
      <c r="BE323" s="316"/>
      <c r="BF323" s="316"/>
      <c r="BG323" s="316"/>
      <c r="BH323" s="310"/>
      <c r="BK323" s="309"/>
      <c r="BL323" s="309"/>
      <c r="BM323" s="309"/>
      <c r="BN323" s="309"/>
      <c r="BP323" s="313"/>
      <c r="CC323" s="316"/>
      <c r="CG323" s="313"/>
      <c r="CH323" s="313"/>
      <c r="CI323" s="313"/>
      <c r="CK323" s="313"/>
      <c r="CL323" s="313"/>
      <c r="CM323" s="313"/>
      <c r="CN323" s="313"/>
      <c r="CO323" s="313"/>
      <c r="CP323" s="313"/>
      <c r="CQ323" s="313"/>
      <c r="CR323" s="313"/>
      <c r="CS323" s="313"/>
      <c r="CT323" s="313"/>
      <c r="CU323" s="309"/>
      <c r="DH323" s="309"/>
      <c r="DK323" s="310"/>
      <c r="DN323" s="206"/>
      <c r="DO323" s="206"/>
      <c r="DS323" s="288" t="str">
        <f t="shared" si="11"/>
        <v/>
      </c>
      <c r="DT323" s="288" t="str">
        <f t="shared" si="12"/>
        <v/>
      </c>
      <c r="DU323" s="310"/>
      <c r="DV323" s="310"/>
      <c r="DW323" s="310"/>
      <c r="DX323" s="310"/>
      <c r="DY323" s="310"/>
      <c r="DZ323" s="310"/>
      <c r="EA323" s="310"/>
      <c r="EB323" s="310"/>
      <c r="ED323" s="310"/>
      <c r="EE323" s="310"/>
      <c r="EF323" s="310"/>
      <c r="EH323" s="310"/>
    </row>
    <row r="324" spans="1:138" s="288" customFormat="1" hidden="1">
      <c r="C324" s="309"/>
      <c r="D324" s="309"/>
      <c r="E324" s="309"/>
      <c r="F324" s="309"/>
      <c r="G324" s="309"/>
      <c r="H324" s="309"/>
      <c r="I324" s="309"/>
      <c r="J324" s="309"/>
      <c r="K324" s="309"/>
      <c r="L324" s="315"/>
      <c r="Q324" s="309"/>
      <c r="R324" s="311"/>
      <c r="S324" s="311"/>
      <c r="T324" s="311"/>
      <c r="AB324" s="312"/>
      <c r="AF324" s="313"/>
      <c r="AG324" s="313"/>
      <c r="AH324" s="313"/>
      <c r="AI324" s="313"/>
      <c r="AJ324" s="313"/>
      <c r="AS324" s="314"/>
      <c r="AT324" s="315"/>
      <c r="AU324" s="314"/>
      <c r="AV324" s="312"/>
      <c r="AX324" s="206"/>
      <c r="AY324" s="206"/>
      <c r="BE324" s="316"/>
      <c r="BF324" s="316"/>
      <c r="BG324" s="316"/>
      <c r="BH324" s="310"/>
      <c r="BK324" s="309"/>
      <c r="BL324" s="309"/>
      <c r="BM324" s="309"/>
      <c r="BN324" s="309"/>
      <c r="BP324" s="313"/>
      <c r="CC324" s="316"/>
      <c r="CG324" s="313"/>
      <c r="CH324" s="313"/>
      <c r="CI324" s="313"/>
      <c r="CK324" s="313"/>
      <c r="CL324" s="313"/>
      <c r="CM324" s="313"/>
      <c r="CN324" s="313"/>
      <c r="CO324" s="313"/>
      <c r="CP324" s="313"/>
      <c r="CQ324" s="313"/>
      <c r="CR324" s="313"/>
      <c r="CS324" s="313"/>
      <c r="CT324" s="313"/>
      <c r="CU324" s="309"/>
      <c r="DH324" s="309"/>
      <c r="DK324" s="310"/>
      <c r="DN324" s="206"/>
      <c r="DO324" s="206"/>
      <c r="DS324" s="288" t="str">
        <f t="shared" si="11"/>
        <v/>
      </c>
      <c r="DT324" s="288" t="str">
        <f t="shared" si="12"/>
        <v/>
      </c>
      <c r="DU324" s="310"/>
      <c r="DV324" s="310"/>
      <c r="DW324" s="310"/>
      <c r="DX324" s="310"/>
      <c r="DY324" s="310"/>
      <c r="DZ324" s="310"/>
      <c r="EA324" s="310"/>
      <c r="EB324" s="310"/>
      <c r="ED324" s="310"/>
      <c r="EE324" s="310"/>
      <c r="EF324" s="310"/>
      <c r="EH324" s="310"/>
    </row>
    <row r="325" spans="1:138" s="288" customFormat="1" hidden="1">
      <c r="C325" s="309"/>
      <c r="D325" s="309"/>
      <c r="E325" s="309"/>
      <c r="F325" s="309"/>
      <c r="G325" s="309"/>
      <c r="H325" s="309"/>
      <c r="I325" s="309"/>
      <c r="J325" s="309"/>
      <c r="K325" s="309"/>
      <c r="L325" s="315"/>
      <c r="Q325" s="309"/>
      <c r="R325" s="311"/>
      <c r="S325" s="311"/>
      <c r="T325" s="311"/>
      <c r="AB325" s="312"/>
      <c r="AF325" s="313"/>
      <c r="AG325" s="313"/>
      <c r="AH325" s="313"/>
      <c r="AI325" s="313"/>
      <c r="AJ325" s="313"/>
      <c r="AS325" s="314"/>
      <c r="AT325" s="315"/>
      <c r="AU325" s="314"/>
      <c r="AV325" s="312"/>
      <c r="AX325" s="206"/>
      <c r="AY325" s="206"/>
      <c r="BE325" s="316"/>
      <c r="BF325" s="316"/>
      <c r="BG325" s="316"/>
      <c r="BH325" s="310"/>
      <c r="BK325" s="309"/>
      <c r="BL325" s="309"/>
      <c r="BM325" s="309"/>
      <c r="BN325" s="309"/>
      <c r="BP325" s="313"/>
      <c r="CC325" s="316"/>
      <c r="CG325" s="313"/>
      <c r="CH325" s="313"/>
      <c r="CI325" s="313"/>
      <c r="CK325" s="313"/>
      <c r="CL325" s="313"/>
      <c r="CM325" s="313"/>
      <c r="CN325" s="313"/>
      <c r="CO325" s="313"/>
      <c r="CP325" s="313"/>
      <c r="CQ325" s="313"/>
      <c r="CR325" s="313"/>
      <c r="CS325" s="313"/>
      <c r="CT325" s="313"/>
      <c r="CU325" s="309"/>
      <c r="DH325" s="309"/>
      <c r="DK325" s="310"/>
      <c r="DN325" s="206"/>
      <c r="DO325" s="206"/>
      <c r="DS325" s="288" t="str">
        <f t="shared" si="11"/>
        <v/>
      </c>
      <c r="DT325" s="288" t="str">
        <f t="shared" si="12"/>
        <v/>
      </c>
      <c r="DU325" s="310"/>
      <c r="DV325" s="310"/>
      <c r="DW325" s="310"/>
      <c r="DX325" s="310"/>
      <c r="DY325" s="310"/>
      <c r="DZ325" s="310"/>
      <c r="EA325" s="310"/>
      <c r="EB325" s="310"/>
      <c r="ED325" s="310"/>
      <c r="EE325" s="310"/>
      <c r="EF325" s="310"/>
      <c r="EH325" s="310"/>
    </row>
    <row r="326" spans="1:138" s="288" customFormat="1" hidden="1">
      <c r="C326" s="309"/>
      <c r="D326" s="309"/>
      <c r="E326" s="309"/>
      <c r="F326" s="309"/>
      <c r="G326" s="309"/>
      <c r="H326" s="309"/>
      <c r="I326" s="309"/>
      <c r="J326" s="309"/>
      <c r="K326" s="309"/>
      <c r="L326" s="315"/>
      <c r="Q326" s="309"/>
      <c r="R326" s="311"/>
      <c r="S326" s="311"/>
      <c r="T326" s="311"/>
      <c r="AB326" s="312"/>
      <c r="AF326" s="313"/>
      <c r="AG326" s="313"/>
      <c r="AH326" s="313"/>
      <c r="AI326" s="313"/>
      <c r="AJ326" s="313"/>
      <c r="AS326" s="314"/>
      <c r="AT326" s="315"/>
      <c r="AU326" s="314"/>
      <c r="AV326" s="312"/>
      <c r="AX326" s="206"/>
      <c r="AY326" s="206"/>
      <c r="BE326" s="316"/>
      <c r="BF326" s="316"/>
      <c r="BG326" s="316"/>
      <c r="BH326" s="310"/>
      <c r="BK326" s="309"/>
      <c r="BL326" s="309"/>
      <c r="BM326" s="309"/>
      <c r="BN326" s="309"/>
      <c r="BP326" s="313"/>
      <c r="CC326" s="316"/>
      <c r="CG326" s="313"/>
      <c r="CH326" s="313"/>
      <c r="CI326" s="313"/>
      <c r="CK326" s="313"/>
      <c r="CL326" s="313"/>
      <c r="CM326" s="313"/>
      <c r="CN326" s="313"/>
      <c r="CO326" s="313"/>
      <c r="CP326" s="313"/>
      <c r="CQ326" s="313"/>
      <c r="CR326" s="313"/>
      <c r="CS326" s="313"/>
      <c r="CT326" s="313"/>
      <c r="CU326" s="309"/>
      <c r="DH326" s="309"/>
      <c r="DK326" s="310"/>
      <c r="DN326" s="206"/>
      <c r="DO326" s="206"/>
      <c r="DS326" s="288" t="str">
        <f t="shared" ref="DS326:DS331" si="13">IF(DI326="S",(IF(AA326&gt;1.5,(3*AA326*0.7*DK326*2),0)),"")</f>
        <v/>
      </c>
      <c r="DT326" s="288" t="str">
        <f t="shared" ref="DT326:DT331" si="14">IF(DI326="S",(IF(AA326&gt;1.5,(3*AA326*0.3*DK326*2),0)),"")</f>
        <v/>
      </c>
      <c r="DU326" s="310"/>
      <c r="DV326" s="310"/>
      <c r="DW326" s="310"/>
      <c r="DX326" s="310"/>
      <c r="DY326" s="310"/>
      <c r="DZ326" s="310"/>
      <c r="EA326" s="310"/>
      <c r="EB326" s="310"/>
      <c r="ED326" s="310"/>
      <c r="EE326" s="310"/>
      <c r="EF326" s="310"/>
      <c r="EH326" s="310"/>
    </row>
    <row r="327" spans="1:138" s="288" customFormat="1">
      <c r="A327" s="288" t="s">
        <v>330</v>
      </c>
      <c r="B327" s="288" t="str">
        <f>A327</f>
        <v>S</v>
      </c>
      <c r="C327" s="309" t="str">
        <f>IF(A327="S",'Cálculo_Diseño  (2)'!C328," ")</f>
        <v>C217</v>
      </c>
      <c r="D327" s="309" t="str">
        <f>IF(A327="S",'Cálculo_Diseño  (2)'!D328," ")</f>
        <v>C221</v>
      </c>
      <c r="E327" s="309">
        <f>IF(B327="S",'Cálculo_Diseño  (2)'!AX328," ")</f>
        <v>33.18</v>
      </c>
      <c r="F327" s="309">
        <f>IF(B327="S",'Cálculo_Diseño  (2)'!BL328," ")</f>
        <v>2.5557564798069814</v>
      </c>
      <c r="G327" s="309">
        <f>IF(B327="S",'Cálculo_Diseño  (2)'!AZ328," ")</f>
        <v>284</v>
      </c>
      <c r="H327" s="309">
        <f>IF(B327="S",'Cálculo_Diseño  (2)'!BB328," ")</f>
        <v>993.63300000000004</v>
      </c>
      <c r="I327" s="309">
        <f>IF(B327="S",'Cálculo_Diseño  (2)'!BC328," ")</f>
        <v>992.97500000000002</v>
      </c>
      <c r="J327" s="309">
        <f>IF(B327="S",'Cálculo_Diseño  (2)'!BH328," ")</f>
        <v>991.78300000000002</v>
      </c>
      <c r="K327" s="309">
        <f>IF(B327="S",'Cálculo_Diseño  (2)'!BI328," ")</f>
        <v>990.93500000000006</v>
      </c>
      <c r="L327" s="315">
        <f>IF(B327="S",+$L$11,"")</f>
        <v>1</v>
      </c>
      <c r="M327" s="288">
        <f>IF(B327="S",(E327^2+(J327-K327)^2)^0.5," ")</f>
        <v>33.190834638496213</v>
      </c>
      <c r="N327" s="288">
        <f>IF(AJ327="S",BK327+0.1,BK327)</f>
        <v>0.79999999999999993</v>
      </c>
      <c r="O327" s="288">
        <f>IF(B327="S",(IF(G327&lt;=500,1.2,1.5)),"")</f>
        <v>1.2</v>
      </c>
      <c r="P327" s="288">
        <f>IF(B327="S",(IF(G327&lt;=500,1.2,1.5)),"")</f>
        <v>1.2</v>
      </c>
      <c r="Q327" s="309" t="s">
        <v>331</v>
      </c>
      <c r="R327" s="311" t="str">
        <f>+IF(B327="S",(IF(Q327="FLEXIBLE","S","N")),"")</f>
        <v>N</v>
      </c>
      <c r="S327" s="311" t="str">
        <f>+IF(B327="S",(IF(Q327="ADOQUIN","S","N")),"")</f>
        <v>N</v>
      </c>
      <c r="T327" s="311" t="str">
        <f>+IF(B327="S",(IF(Q327="CONCRETO","S","N")),"")</f>
        <v>S</v>
      </c>
      <c r="U327" s="288">
        <f>IF(B327="S",(IF(R327="S",(((((H327-I327)^2)+(E327^2))^0.5)-CA327-CB327)*$U$11,0)),"")</f>
        <v>0</v>
      </c>
      <c r="V327" s="288">
        <f>IF(B327="S",(IF(S327="S",(((((H327-I327)^2)+(E327^2))^0.5)-CA327-CB327)*$V$11,0)),"")</f>
        <v>0</v>
      </c>
      <c r="W327" s="288">
        <f>IF(B327="S",(IF(T327="S",(((((H327-I327)^2)+(E327^2))^0.5)-CA327-CB327)*$W$11,0)),"")</f>
        <v>31.986523831217994</v>
      </c>
      <c r="X327" s="288">
        <f>IF(B327="S",(U327*(N327+0.2)*$X$11),"")</f>
        <v>0</v>
      </c>
      <c r="Y327" s="288">
        <f>IF(B327="S",(V327*(N327+0.2)*$Y$11),"")</f>
        <v>0</v>
      </c>
      <c r="Z327" s="288">
        <f>IF(B327="S",(W327*(N327+0.2)*$Z$11+IF(Q327="CONCRETO",PI()/4*0.2*(O327+0.2*2+0.1*2)^2)),"")</f>
        <v>10.104895159246945</v>
      </c>
      <c r="AA327" s="288">
        <f>IF(B327="S",(((H327-J327)+(I327-K327))/2+BM327),"")</f>
        <v>2.0449999999999933</v>
      </c>
      <c r="AB327" s="312">
        <f>IF(B327="S",($AB$11),"")</f>
        <v>10</v>
      </c>
      <c r="AC327" s="288">
        <f>IF(B327="S",(IF(CG327="","",(CG327*(AB327/100))*$I$527)),"")</f>
        <v>4.947171240558867</v>
      </c>
      <c r="AD327" s="288">
        <f>IF(B327="S",(IF(CH327="","",(CH327*AB327/100)*$I$527)),"")</f>
        <v>0.70843845085789969</v>
      </c>
      <c r="AE327" s="288" t="str">
        <f>IF(B327="S",(IF(CI327="","",(CI327*AB327/100)*$I$527)),"")</f>
        <v/>
      </c>
      <c r="AF327" s="313">
        <f>IF(B327="S",(IF(CG327="","",(CG327*$I$527)-AC327)),"")</f>
        <v>44.524541165029802</v>
      </c>
      <c r="AG327" s="313">
        <f>IF(B327="S",(IF(CH327="","",(CH327*$I$527)-AD327)),"")</f>
        <v>6.3759460577210971</v>
      </c>
      <c r="AH327" s="313" t="str">
        <f>IF(B327="S",(IF(CI327="","",(CI327*$I$527)-AE327)),"")</f>
        <v/>
      </c>
      <c r="AI327" s="313">
        <f>IF(B327="S",((BY327*(L327/100))*1.1),"")</f>
        <v>0.57127370620371376</v>
      </c>
      <c r="AJ327" s="313" t="str">
        <f>IF(B327="S",(IF(AA327&lt;1,"N","S")),"")</f>
        <v>S</v>
      </c>
      <c r="AK327" s="288">
        <f>IF(B327="S",(IF(AJ327="S",(E327*AA327*0.7*2),0)),"")</f>
        <v>94.994339999999667</v>
      </c>
      <c r="AL327" s="288">
        <f>IF(B327="S",(IF(AJ327="S",(E327*AA327*0.3*2),0)),"")</f>
        <v>40.711859999999859</v>
      </c>
      <c r="AM327" s="288">
        <f>IF(B327="S",(IF(F327&gt;20,N327*(M327/10)*AA327,0)),"")</f>
        <v>0</v>
      </c>
      <c r="AN327" s="288">
        <f>IF(B327="S",((M327-0.4)*$AN$11),"")</f>
        <v>0</v>
      </c>
      <c r="AO327" s="288">
        <f>IF(B327="S",((M327-0.4)*$AO$11),"")</f>
        <v>0</v>
      </c>
      <c r="AP327" s="288">
        <f>IF(B327="S",((M327-(O327/2)-(P327/2))*$AP$11),"")</f>
        <v>31.99083463849621</v>
      </c>
      <c r="AQ327" s="288">
        <f>+SUM(AC327:AI327)</f>
        <v>57.127370620371373</v>
      </c>
      <c r="AR327" s="288">
        <f>+AT327+AU327+AZ327+BA327+BB327+BI327</f>
        <v>57.127370620371387</v>
      </c>
      <c r="AS327" s="314">
        <f>IF(B327="S",((N327*(0.4+G327/1000))-((G327/1000)^2*PI()/4)),"")</f>
        <v>0.4838529257330153</v>
      </c>
      <c r="AT327" s="315">
        <f>IF(B327="S",(AS327*AP327)-IF(BI327&gt;0,BI327,0),"")</f>
        <v>15.478858936477481</v>
      </c>
      <c r="AU327" s="314">
        <f>IF(B327="S",IF(Q327="NATURAL",0,(($AU$11*N327*AP327))),"")</f>
        <v>10.237067084318788</v>
      </c>
      <c r="AV327" s="312">
        <f>IF(B327="S",$AV$11,"")</f>
        <v>30</v>
      </c>
      <c r="AW327" s="288">
        <f>IF(B327="S",(BY327*1.1-(AT327+BI327)-AU327-BB327-AX327-AY327),"")</f>
        <v>29.309588675396572</v>
      </c>
      <c r="AX327" s="206"/>
      <c r="AY327" s="206"/>
      <c r="AZ327" s="288">
        <f>IF(B327="S",((BY327*1.1-BB327-(AT327+BI327)-AU327-AX327-AY327)*AV327/100),"")</f>
        <v>8.7928766026189695</v>
      </c>
      <c r="BA327" s="288">
        <f>IF(B327="S",(IF(AW327&gt;AZ327,AW327-AZ327,0)),"")</f>
        <v>20.516712072777601</v>
      </c>
      <c r="BB327" s="288">
        <f>IF(B327="S",((((G327/1000)^2)/4*PI())*E327),"")</f>
        <v>2.1018559241785484</v>
      </c>
      <c r="BC327" s="288">
        <f>IF(B327="S",(BY327*1.1-AZ327),"")</f>
        <v>48.334494017752419</v>
      </c>
      <c r="BD327" s="288">
        <f t="shared" ref="BD327:BD358" si="15">IF(B327="S",(IF(O327=1.2,IF((H327-J327)&lt;=1.2,H327-J327,H327-J327-0.95))),"")</f>
        <v>0.90000000000002278</v>
      </c>
      <c r="BE327" s="316" t="b">
        <f>IF(B327="S",(IF(O327=1.5,IF(H327-J327&lt;=1,0,H327-J327-1))),"")</f>
        <v>0</v>
      </c>
      <c r="BF327" s="316" t="b">
        <f>IF(B327="S",(IF(O327&lt;=0.8,IF(H327-J327&lt;=1,0,H327-J327))),"")</f>
        <v>0</v>
      </c>
      <c r="BG327" s="316" t="b">
        <f>IF(B327="S",(IF(O327&lt;=0.6,IF(H327-J327&lt;=1,H327-J327,0))),"")</f>
        <v>0</v>
      </c>
      <c r="BH327" s="310">
        <f>IF(B327="S",(IF(BD327="","",IF(BD327="FALSO","",1))),"")</f>
        <v>1</v>
      </c>
      <c r="BI327" s="288">
        <f>IF(B327="S",(IF(F327&gt;=15,N327*((G327/1000)+0.3)*0.2,0)*(E327/5+1)),"")</f>
        <v>0</v>
      </c>
      <c r="BJ327" s="288">
        <f xml:space="preserve"> IF(B327="S",(BN327+BM327+0.3),"")</f>
        <v>0.76</v>
      </c>
      <c r="BK327" s="309">
        <f>IF(B327="S",(VLOOKUP('Cálculo_Diseño  (2)'!AY328,'TABLA (2)'!$H$102:'TABLA (2)'!$U$135,3)),"")</f>
        <v>0.7</v>
      </c>
      <c r="BL327" s="309">
        <f>IF(B327="S",(VLOOKUP('Cálculo_Diseño  (2)'!AY328,'TABLA (2)'!$H$102:'TABLA (2)'!$U$135,10)),"")</f>
        <v>0.55000000000000004</v>
      </c>
      <c r="BM327" s="309">
        <f>IF(B327="S",(VLOOKUP('Cálculo_Diseño  (2)'!AY328,'TABLA (2)'!$H$102:'TABLA (2)'!$U$135,11)),"")</f>
        <v>0.1</v>
      </c>
      <c r="BN327" s="309">
        <f>IF(B327="S",(VLOOKUP('Cálculo_Diseño  (2)'!AY328,'TABLA (2)'!$H$102:'TABLA (2)'!$U$135,12)),"")</f>
        <v>0.36</v>
      </c>
      <c r="BO327" s="288">
        <f>V327</f>
        <v>0</v>
      </c>
      <c r="BP327" s="313">
        <f>+IF(B327="S",(IF((1.8-AA327)&gt;=0,AA327+0.2,2)),"")</f>
        <v>2</v>
      </c>
      <c r="BQ327" s="288">
        <f>+IF(B327="S",(IF(BP327=2,IF((3.8-AA327)&gt;=0,(AA327+0.2-2),2),0)),"")</f>
        <v>0.24499999999999345</v>
      </c>
      <c r="BR327" s="288">
        <f>+IF(B327="S",(IF(BQ327=2,AA327+0.2-4,0)),"")</f>
        <v>0</v>
      </c>
      <c r="BS327" s="288">
        <f>IF(B327="S",((N327*(0.3+BN327/2)-0.392699*BN327*BN327)*AO327),"")</f>
        <v>0</v>
      </c>
      <c r="BU327" s="288">
        <f>IF(B327="S",((N327*(0.3+5*BN327/6)-0.699815*BN327*BN327)*AP327),"")</f>
        <v>12.454159120325095</v>
      </c>
      <c r="BV327" s="288">
        <f>IF(B327="S",(IF(BP327=0,"",(BP327)*(M327)*N327-(U327*$X$11+V327*$Y$11+W327*$Z$11)*N327)),"")</f>
        <v>45.428569702101619</v>
      </c>
      <c r="BW327" s="288">
        <f>IF(B327="S",(IF(BQ327=0,"",(M327)*BQ327*N327)),"")</f>
        <v>6.5054035891450832</v>
      </c>
      <c r="BX327" s="288" t="str">
        <f>IF(B327="S",(IF(BR327=0,"",(M327)*BR327*N327)),"")</f>
        <v/>
      </c>
      <c r="BY327" s="288">
        <f>IF(B327="S",((AA327+0.2)*N327*(M327)-(U327*$X$11+V327*$Y$11+W327*$Z$11)*N327),"")</f>
        <v>51.933973291246708</v>
      </c>
      <c r="BZ327" s="288">
        <f>IF(B327="S",((N327*(0.3+BN327/2)-0.392699*BN327*BN327)*AN327),"")</f>
        <v>0</v>
      </c>
      <c r="CA327" s="288">
        <f>IF(B327="S",(IF(O327=1.2,(O327/2),IF(O327=0.8,O327/2,IF(O327=1.5,O327/2,IF(O327=0.6,O327/2,"IDIOT"))))),"")</f>
        <v>0.6</v>
      </c>
      <c r="CB327" s="288">
        <f>IF(B327="S",(IF(P327=1.2,(P327/2),IF(P327=0.8,P327/2,IF(P327=1.5,P327/2,IF(P327=0.6,P327/2,"IDIOT"))))),"")</f>
        <v>0.6</v>
      </c>
      <c r="CC327" s="316">
        <f>IF(B327="S",((BN327/2+0.1)*N327),"")</f>
        <v>0.224</v>
      </c>
      <c r="CD327" s="288">
        <f>IF(B327="S",((BN327/2+BN327/4)*N327),"")</f>
        <v>0.216</v>
      </c>
      <c r="CE327" s="288">
        <f>IF(B327="S",(0.392699*BN327*BN327),"")</f>
        <v>5.0893790399999993E-2</v>
      </c>
      <c r="CF327" s="288" t="str">
        <f>+IF(B327="S",(IF(((H327-J327)-(G327/1000))&lt;=0.9,"E1",IF(((H327-J327)-(G327/1000))&lt;=2.5,"E2","E3"))),"")</f>
        <v>E2</v>
      </c>
      <c r="CG327" s="313">
        <f>IF(B327="S",(IF(BV327="","",BV327-(BV327*L327/100))),"")</f>
        <v>44.974284005080605</v>
      </c>
      <c r="CH327" s="313">
        <f t="shared" ref="CH327:CI331" si="16">IF(B327="S",(IF(BW327="","",BW327-(BW327*L327/100))),"")</f>
        <v>6.4403495532536326</v>
      </c>
      <c r="CI327" s="313" t="str">
        <f t="shared" si="16"/>
        <v/>
      </c>
      <c r="CJ327" s="288">
        <f>'Cálculo_Diseño  (2)'!BD328</f>
        <v>1.5505000000000226</v>
      </c>
      <c r="CK327" s="313">
        <f>+IF(B327="S",(IF((CJ327+CU327)&gt;2,2,CJ327+CU327)),"")</f>
        <v>2</v>
      </c>
      <c r="CL327" s="313">
        <f>+IF(B327="S",(IF((CJ327+CU327)&gt;4,2,IF(AND((CJ327+CU327)&lt;=4,(CJ327+CU327)&gt;=2),((CJ327+CU327)-CK327),0))),"")</f>
        <v>1.1010000000000453</v>
      </c>
      <c r="CM327" s="313">
        <f>+IF(B327="S",(IF((CJ327+CU327)&gt;4,((CJ327+CU327)-(CK327+CL327)),0)),"")</f>
        <v>0</v>
      </c>
      <c r="CN327" s="313">
        <f>IF(B327="S",IF((CJ327+CU327)&lt;1.5,(ROUND(CJ327*PI()/4*(2.2)^2+CU327*(PI()/4*(2.2)^2 -PI()/4*(1.6)^2),2)),IF((CJ327+CU327)&lt;=2,(ROUND(((PI()*2.2^2)/4)*0.95-(((1/3)*PI()*0.95*(0.45^2+0.7^2+0.45*0.7)))+(CJ327*PI()/4*(2.2)^2)+(((((CU327)-0.95)*PI()*2.2^2)/4))-((((CU327)-0.95)*PI()*1.6^2)/4),2)),IF((CJ327+CU327)&gt;2,(ROUND(IF(CU327&lt;2,((PI()*2.2^2)/4)*0.95-(((1/3)*PI()*0.95*(0.45^2+0.7^2+0.45*0.7)))+((CU327-0.95)*(PI()/4*(2.2)^2 -PI()/4*(1.6)^2))+(2-CU327)*PI()/4*(2.2)^2,((PI()*2.2^2)/4)*0.95-(((1/3)*PI()*0.95*(0.45^2+0.7^2+0.45*0.7)))+((2-0.95)*(PI()/4*(2.2)^2 -PI()/4*(1.6)^2))),2))))),"")</f>
        <v>5.39</v>
      </c>
      <c r="CO327" s="313">
        <f>IF(B327="S",ROUND(IF(CL327&lt;=0,0,IF(AND(CL327&gt;0,CU327&lt;=0),CL327*PI()/4*2.2^(2),IF(AND(CL327&gt;0,CU327&gt;=4),CL327*(PI()/4*2.2^2-PI()/4*1.6^2),IF(AND(CL327&gt;0,CU327&gt;2,CU327&lt;4,CJ327&gt;0),(CU327-2)*(PI()/4*2.2^(2)-PI()/4*1.6^(2))+IF((CU327+CJ327)&gt;4,(4-CU327)*(PI()/4*2.2^(2)),(CJ327)*PI()/4*(2.2^2)),IF(AND(CL327&gt;0,CU327&lt;=2),(CL327*PI()/4*2.2^2)))))),2),"")</f>
        <v>4.1900000000000004</v>
      </c>
      <c r="CP327" s="313">
        <f>IF(B327="S",(ROUND(IF(CM327&lt;=0,0,IF(AND(CM327&gt;0,CU327&lt;=0),CM327*PI()/4*2.2^(2),IF(AND(CM327&gt;0,CU327&gt;4,CJ327&lt;=0),CM327*(PI()/4*2.2^2-PI()/4*1.6^2),IF(AND(CM327&gt;0,CU327&lt;=4),CM327*PI()/4*2.2^2)))),2)),"")</f>
        <v>0</v>
      </c>
      <c r="CQ327" s="313">
        <f>IF(B327="S",IF(CK327&gt;1.5,(2*PI()*(0.9)*(CJ327+CU327)),0),"")</f>
        <v>17.535741873807762</v>
      </c>
      <c r="CR327" s="313">
        <f>IF(B327="S",(ROUND(IF(CN327&gt;0,CN327+CO327+CP327-CS327,0),2)),"")</f>
        <v>3.12</v>
      </c>
      <c r="CS327" s="313">
        <f>IF(B327="S",(IF(CJ327=0,0,IF(AND((H327-J327)&lt;1.5,CU327&gt;0),ROUND(CU327*(PI()/4*(2.2)^2 -PI()/4*(1.6)^2),2),(ROUND(((PI()*2.2^2)/4)*0.95-(((1/3)*PI()*0.95*(0.45^2+0.7^2+0.45*0.7)))+(((((CJ327+CU327)-0.95)*PI()*2.2^2)/4))-((((CJ327+CU327)-0.95)*PI()*1.6^2)/4),2))))),"")</f>
        <v>6.46</v>
      </c>
      <c r="CT327" s="313" t="str">
        <f>IF(B327="S",(IF(CN327&gt;=0,IF(CN327+CO327+CP327=(CR327+CS327),"OK","VERIFICAR"),0)),"")</f>
        <v>OK</v>
      </c>
      <c r="CU327" s="309">
        <f>'Cálculo_Diseño  (2)'!BD328</f>
        <v>1.5505000000000226</v>
      </c>
      <c r="CV327" s="288" t="str">
        <f>IF(G327=182,M327-(O327/2)-(P327/2),"")</f>
        <v/>
      </c>
      <c r="CW327" s="288" t="str">
        <f>IF(G327=227,M327-(O327/2)-(P327/2),"")</f>
        <v/>
      </c>
      <c r="CX327" s="288">
        <f>IF(G327=284,M327-(O327/2)-(P327/2),"")</f>
        <v>31.99083463849621</v>
      </c>
      <c r="CY327" s="288" t="str">
        <f>IF(G327=327,M327-(O327/2)-(P327/2),"")</f>
        <v/>
      </c>
      <c r="CZ327" s="288" t="str">
        <f>IF(G327=362,M327-(O327/2)-(P327/2),"")</f>
        <v/>
      </c>
      <c r="DA327" s="288" t="str">
        <f>IF(G327=407,M327-(O327/2)-(P327/2),"")</f>
        <v/>
      </c>
      <c r="DB327" s="288" t="str">
        <f>IF(G327=452,M327-(O327/2)-(P327/2),"")</f>
        <v/>
      </c>
      <c r="DC327" s="288" t="str">
        <f>IF(G327=595.12,M327-(O327/2)-(P327/2),"")</f>
        <v/>
      </c>
      <c r="DD327" s="288" t="str">
        <f>IF(G327=670,M327-(O327/2)-(P327/2),"")</f>
        <v/>
      </c>
      <c r="DE327" s="288" t="str">
        <f>IF(G327=747,M327-(O327/2)-(P327/2),"")</f>
        <v/>
      </c>
      <c r="DF327" s="288" t="str">
        <f>IF(G327=823.09,M327-(O327/2)-(P327/2),"")</f>
        <v/>
      </c>
      <c r="DG327" s="288" t="str">
        <f>IF(G327=899.03,M327-(O327/2)-(P327/2),"")</f>
        <v/>
      </c>
      <c r="DH327" s="309"/>
      <c r="DI327" s="288" t="str">
        <f>+IF(B327="S",B327,"N")</f>
        <v>S</v>
      </c>
      <c r="DJ327" s="288">
        <f>+IF(DI327="S",E327,"")</f>
        <v>33.18</v>
      </c>
      <c r="DK327" s="310">
        <v>6</v>
      </c>
      <c r="DL327" s="288">
        <f>IF(DI327="S",((((AA327+1)*6)/2)*0.7*DK327),"")</f>
        <v>38.366999999999912</v>
      </c>
      <c r="DM327" s="288">
        <f>IF(DI327="S",(ATAN(6/(AA327-1))*180/PI()),"")</f>
        <v>80.120088736740911</v>
      </c>
      <c r="DN327" s="206">
        <f>IF(DI327="S",(TAN(DM327*PI()/180)*(AA327-2)),"")</f>
        <v>0.25837320574158967</v>
      </c>
      <c r="DO327" s="206">
        <f>IF(DI327="S",(TAN(DM327*PI()/180)*(AA327-4)),"")</f>
        <v>-11.224880382775225</v>
      </c>
      <c r="DP327" s="288">
        <f>IF(DI327="S",(IF(AA327&lt;=2,((((AA327+1)*6)/2)*0.7*DK327),IF(AND(AA327&gt;2,AA327&lt;=4),((((AA327+1)*6)/2)*0.7*DK327)-(((AA327-2)*DN327)/2*0.7*DK327),IF(AND(AA327&gt;4,AA327&lt;=6),((((AA327+1)*6)/2)*0.7*DK327)-(((AA327-2)*DN327)/2*0.7*DK327),0)))),"")</f>
        <v>38.342583732057335</v>
      </c>
      <c r="DQ327" s="288">
        <f>IF(DI327="S",(IF(AND(AA327&gt;2,AA327&lt;=4),(((AA327-2)*DN327)/2*0.7*DK327),IF(AND(AA327&gt;4,AA327&lt;=6),(((AA327-2)*DN327)/2*0.7*DK327)-((AA327-4)*DO327/2*0.7*DK327),0))),"")</f>
        <v>2.4416267942576571E-2</v>
      </c>
      <c r="DR327" s="288">
        <f>IF(DI327="S",(IF(AND(AA327&gt;4,AA327&lt;=6),((AA327-4)*DO327/2*0.7*DK327),IF(AA327&lt;4,0,"REVISAR"))),"")</f>
        <v>0</v>
      </c>
      <c r="DS327" s="288">
        <f t="shared" si="13"/>
        <v>51.533999999999835</v>
      </c>
      <c r="DT327" s="288">
        <f t="shared" si="14"/>
        <v>22.085999999999927</v>
      </c>
      <c r="DU327" s="310" t="str">
        <f>IF(B327="S",(IF(DI327="S",IF(G327=$DU$11,DK327,""),"")),"")</f>
        <v/>
      </c>
      <c r="DV327" s="310" t="str">
        <f>IF(B327="S",(IF(DI327="S",IF(G327=$DV$11,DK327,""),"")),"")</f>
        <v/>
      </c>
      <c r="DW327" s="310">
        <f>IF(B327="S",(IF(DI327="S",IF(G327=$DW$11,DK327,""),"")),"")</f>
        <v>6</v>
      </c>
      <c r="DX327" s="310" t="str">
        <f>IF(B327="S",(IF(DI327="S",IF(G327=$DX$11,DK327,""),"")),"")</f>
        <v/>
      </c>
      <c r="DY327" s="310" t="str">
        <f>IF(B327="S",(IF(DI327="S",IF(G327=$DY$11,DK327,""),"")),"")</f>
        <v/>
      </c>
      <c r="DZ327" s="310" t="str">
        <f>IF(B327="S",(IF(DI327="S",IF(G327=$DZ$11,DK327,""),"")),"")</f>
        <v/>
      </c>
      <c r="EA327" s="310" t="str">
        <f>IF(B327="S",(IF(DI327="S",IF(G327=$EA$11,DK327,""),"")),"")</f>
        <v/>
      </c>
      <c r="EB327" s="310" t="str">
        <f>IF(B327="S",(IF(DI327="S",IF(G327=$EB$11,DK327,""),"")),"")</f>
        <v/>
      </c>
      <c r="EC327" s="288">
        <f>IF(B327="S",0.95,"")</f>
        <v>0.95</v>
      </c>
      <c r="ED327" s="310"/>
      <c r="EE327" s="310"/>
      <c r="EF327" s="310"/>
      <c r="EH327" s="310">
        <f>+IF(EC327=0.95,2+((ED327+EE327+EF327)-1),"")</f>
        <v>1</v>
      </c>
    </row>
    <row r="328" spans="1:138" s="288" customFormat="1">
      <c r="A328" s="288" t="s">
        <v>330</v>
      </c>
      <c r="B328" s="288" t="str">
        <f>A328</f>
        <v>S</v>
      </c>
      <c r="C328" s="309" t="str">
        <f>IF(A328="S",'Cálculo_Diseño  (2)'!C329," ")</f>
        <v>C221</v>
      </c>
      <c r="D328" s="309" t="str">
        <f>IF(A328="S",'Cálculo_Diseño  (2)'!D329," ")</f>
        <v>C223</v>
      </c>
      <c r="E328" s="309">
        <f>IF(B328="S",'Cálculo_Diseño  (2)'!AX329," ")</f>
        <v>17.53</v>
      </c>
      <c r="F328" s="309">
        <f>IF(B328="S",'Cálculo_Diseño  (2)'!BL329," ")</f>
        <v>4.6092413006268051</v>
      </c>
      <c r="G328" s="309">
        <f ca="1">IF(B328="S",'Cálculo_Diseño  (2)'!AZ329," ")</f>
        <v>284</v>
      </c>
      <c r="H328" s="309">
        <f>IF(B328="S",'Cálculo_Diseño  (2)'!BB329," ")</f>
        <v>992.97500000000002</v>
      </c>
      <c r="I328" s="309">
        <f>IF(B328="S",'Cálculo_Diseño  (2)'!BC329," ")</f>
        <v>992.64700000000005</v>
      </c>
      <c r="J328" s="309">
        <f>IF(B328="S",'Cálculo_Diseño  (2)'!BH329," ")</f>
        <v>990.90499999999997</v>
      </c>
      <c r="K328" s="309">
        <f>IF(B328="S",'Cálculo_Diseño  (2)'!BI329," ")</f>
        <v>990.09700000000009</v>
      </c>
      <c r="L328" s="315">
        <f>IF(B328="S",+$L$11,"")</f>
        <v>1</v>
      </c>
      <c r="M328" s="288">
        <f>IF(B328="S",(E328^2+(J328-K328)^2)^0.5," ")</f>
        <v>17.548611455041101</v>
      </c>
      <c r="N328" s="288">
        <f>IF(AJ328="S",BK328+0.1,BK328)</f>
        <v>0.79999999999999993</v>
      </c>
      <c r="O328" s="288">
        <f ca="1">IF(B328="S",(IF(G328&lt;=500,1.2,1.5)),"")</f>
        <v>1.2</v>
      </c>
      <c r="P328" s="288">
        <f ca="1">IF(B328="S",(IF(G328&lt;=500,1.2,1.5)),"")</f>
        <v>1.2</v>
      </c>
      <c r="Q328" s="309" t="s">
        <v>331</v>
      </c>
      <c r="R328" s="311" t="str">
        <f>+IF(B328="S",(IF(Q328="FLEXIBLE","S","N")),"")</f>
        <v>N</v>
      </c>
      <c r="S328" s="311" t="str">
        <f>+IF(B328="S",(IF(Q328="ADOQUIN","S","N")),"")</f>
        <v>N</v>
      </c>
      <c r="T328" s="311" t="str">
        <f>+IF(B328="S",(IF(Q328="CONCRETO","S","N")),"")</f>
        <v>S</v>
      </c>
      <c r="U328" s="288">
        <f>IF(B328="S",(IF(R328="S",(((((H328-I328)^2)+(E328^2))^0.5)-CA328-CB328)*$U$11,0)),"")</f>
        <v>0</v>
      </c>
      <c r="V328" s="288">
        <f>IF(B328="S",(IF(S328="S",(((((H328-I328)^2)+(E328^2))^0.5)-CA328-CB328)*$V$11,0)),"")</f>
        <v>0</v>
      </c>
      <c r="W328" s="288">
        <f ca="1">IF(B328="S",(IF(T328="S",(((((H328-I328)^2)+(E328^2))^0.5)-CA328-CB328)*$W$11,0)),"")</f>
        <v>16.33306829964453</v>
      </c>
      <c r="X328" s="288">
        <f>IF(B328="S",(U328*(N328+0.2)*$X$11),"")</f>
        <v>0</v>
      </c>
      <c r="Y328" s="288">
        <f>IF(B328="S",(V328*(N328+0.2)*$Y$11),"")</f>
        <v>0</v>
      </c>
      <c r="Z328" s="288">
        <f ca="1">IF(B328="S",(W328*(N328+0.2)*$Z$11+IF(Q328="CONCRETO",PI()/4*0.2*(O328+0.2*2+0.1*2)^2)),"")</f>
        <v>5.4088584997749054</v>
      </c>
      <c r="AA328" s="288">
        <f>IF(B328="S",(((H328-J328)+(I328-K328))/2+BM328),"")</f>
        <v>2.4100000000000024</v>
      </c>
      <c r="AB328" s="312">
        <f>IF(B328="S",($AB$11),"")</f>
        <v>10</v>
      </c>
      <c r="AC328" s="288">
        <f ca="1">IF(B328="S",(IF(CG328="","",(CG328*(AB328/100))*$I$527)),"")</f>
        <v>2.6307889868468521</v>
      </c>
      <c r="AD328" s="288">
        <f>IF(B328="S",(IF(CH328="","",(CH328*AB328/100)*$I$527)),"")</f>
        <v>0.93258936827754413</v>
      </c>
      <c r="AE328" s="288" t="str">
        <f>IF(B328="S",(IF(CI328="","",(CI328*AB328/100)*$I$527)),"")</f>
        <v/>
      </c>
      <c r="AF328" s="313">
        <f ca="1">IF(B328="S",(IF(CG328="","",(CG328*$I$527)-AC328)),"")</f>
        <v>23.677100881621669</v>
      </c>
      <c r="AG328" s="313">
        <f>IF(B328="S",(IF(CH328="","",(CH328*$I$527)-AD328)),"")</f>
        <v>8.3933043144978985</v>
      </c>
      <c r="AH328" s="313" t="str">
        <f>IF(B328="S",(IF(CI328="","",(CI328*$I$527)-AE328)),"")</f>
        <v/>
      </c>
      <c r="AI328" s="313">
        <f ca="1">IF(B328="S",((BY328*(L328/100))*1.1),"")</f>
        <v>0.35993720758832287</v>
      </c>
      <c r="AJ328" s="313" t="str">
        <f>IF(B328="S",(IF(AA328&lt;1,"N","S")),"")</f>
        <v>S</v>
      </c>
      <c r="AK328" s="288">
        <f>IF(B328="S",(IF(AJ328="S",(E328*AA328*0.7*2),0)),"")</f>
        <v>59.146220000000056</v>
      </c>
      <c r="AL328" s="288">
        <f>IF(B328="S",(IF(AJ328="S",(E328*AA328*0.3*2),0)),"")</f>
        <v>25.348380000000027</v>
      </c>
      <c r="AM328" s="288">
        <f>IF(B328="S",(IF(F328&gt;20,N328*(M328/10)*AA328,0)),"")</f>
        <v>0</v>
      </c>
      <c r="AN328" s="288">
        <f>IF(B328="S",((M328-0.4)*$AN$11),"")</f>
        <v>0</v>
      </c>
      <c r="AO328" s="288">
        <f>IF(B328="S",((M328-0.4)*$AO$11),"")</f>
        <v>0</v>
      </c>
      <c r="AP328" s="288">
        <f ca="1">IF(B328="S",((M328-(O328/2)-(P328/2))*$AP$11),"")</f>
        <v>16.348611455041098</v>
      </c>
      <c r="AQ328" s="288">
        <f ca="1">+SUM(AC328:AI328)</f>
        <v>35.993720758832289</v>
      </c>
      <c r="AR328" s="288">
        <f ca="1">+AT328+AU328+AZ328+BA328+BB328+BI328</f>
        <v>35.993720758832282</v>
      </c>
      <c r="AS328" s="314">
        <f ca="1">IF(B328="S",((N328*(0.4+G328/1000))-((G328/1000)^2*PI()/4)),"")</f>
        <v>0.4838529257330153</v>
      </c>
      <c r="AT328" s="315">
        <f ca="1">IF(B328="S",(AS328*AP328)-IF(BI328&gt;0,BI328,0),"")</f>
        <v>7.9103234841939241</v>
      </c>
      <c r="AU328" s="314">
        <f ca="1">IF(B328="S",IF(Q328="NATURAL",0,(($AU$11*N328*AP328))),"")</f>
        <v>5.2315556656131514</v>
      </c>
      <c r="AV328" s="312">
        <f>IF(B328="S",$AV$11,"")</f>
        <v>30</v>
      </c>
      <c r="AW328" s="288">
        <f ca="1">IF(B328="S",(BY328*1.1-(AT328+BI328)-AU328-BB328-AX328-AY328),"")</f>
        <v>21.741367397124968</v>
      </c>
      <c r="AX328" s="206"/>
      <c r="AY328" s="206"/>
      <c r="AZ328" s="288">
        <f ca="1">IF(B328="S",((BY328*1.1-BB328-(AT328+BI328)-AU328-AX328-AY328)*AV328/100),"")</f>
        <v>6.5224102191374902</v>
      </c>
      <c r="BA328" s="288">
        <f ca="1">IF(B328="S",(IF(AW328&gt;AZ328,AW328-AZ328,0)),"")</f>
        <v>15.218957177987477</v>
      </c>
      <c r="BB328" s="288">
        <f ca="1">IF(B328="S",((((G328/1000)^2)/4*PI())*E328),"")</f>
        <v>1.1104742119002398</v>
      </c>
      <c r="BC328" s="288">
        <f ca="1">IF(B328="S",(BY328*1.1-AZ328),"")</f>
        <v>29.471310539694791</v>
      </c>
      <c r="BD328" s="288">
        <f t="shared" ca="1" si="15"/>
        <v>1.1200000000000501</v>
      </c>
      <c r="BE328" s="316" t="b">
        <f ca="1">IF(B328="S",(IF(O328=1.5,IF(H328-J328&lt;=1,0,H328-J328-1))),"")</f>
        <v>0</v>
      </c>
      <c r="BF328" s="316" t="b">
        <f ca="1">IF(B328="S",(IF(O328&lt;=0.8,IF(H328-J328&lt;=1,0,H328-J328))),"")</f>
        <v>0</v>
      </c>
      <c r="BG328" s="316" t="b">
        <f ca="1">IF(B328="S",(IF(O328&lt;=0.6,IF(H328-J328&lt;=1,H328-J328,0))),"")</f>
        <v>0</v>
      </c>
      <c r="BH328" s="310">
        <f ca="1">IF(B328="S",(IF(BD328="","",IF(BD328="FALSO","",1))),"")</f>
        <v>1</v>
      </c>
      <c r="BI328" s="288">
        <f>IF(B328="S",(IF(F328&gt;=15,N328*((G328/1000)+0.3)*0.2,0)*(E328/5+1)),"")</f>
        <v>0</v>
      </c>
      <c r="BJ328" s="288">
        <f xml:space="preserve"> IF(B328="S",(BN328+BM328+0.3),"")</f>
        <v>0.76</v>
      </c>
      <c r="BK328" s="309">
        <f>IF(B328="S",(VLOOKUP('Cálculo_Diseño  (2)'!AY329,'TABLA (2)'!$H$102:'TABLA (2)'!$U$135,3)),"")</f>
        <v>0.7</v>
      </c>
      <c r="BL328" s="309">
        <f>IF(B328="S",(VLOOKUP('Cálculo_Diseño  (2)'!AY329,'TABLA (2)'!$H$102:'TABLA (2)'!$U$135,10)),"")</f>
        <v>0.55000000000000004</v>
      </c>
      <c r="BM328" s="309">
        <f>IF(B328="S",(VLOOKUP('Cálculo_Diseño  (2)'!AY329,'TABLA (2)'!$H$102:'TABLA (2)'!$U$135,11)),"")</f>
        <v>0.1</v>
      </c>
      <c r="BN328" s="309">
        <f>IF(B328="S",(VLOOKUP('Cálculo_Diseño  (2)'!AY329,'TABLA (2)'!$H$102:'TABLA (2)'!$U$135,12)),"")</f>
        <v>0.36</v>
      </c>
      <c r="BO328" s="288">
        <f>V328</f>
        <v>0</v>
      </c>
      <c r="BP328" s="313">
        <f>+IF(B328="S",(IF((1.8-AA328)&gt;=0,AA328+0.2,2)),"")</f>
        <v>2</v>
      </c>
      <c r="BQ328" s="288">
        <f>+IF(B328="S",(IF(BP328=2,IF((3.8-AA328)&gt;=0,(AA328+0.2-2),2),0)),"")</f>
        <v>0.61000000000000254</v>
      </c>
      <c r="BR328" s="288">
        <f>+IF(B328="S",(IF(BQ328=2,AA328+0.2-4,0)),"")</f>
        <v>0</v>
      </c>
      <c r="BS328" s="288">
        <f>IF(B328="S",((N328*(0.3+BN328/2)-0.392699*BN328*BN328)*AO328),"")</f>
        <v>0</v>
      </c>
      <c r="BU328" s="288">
        <f ca="1">IF(B328="S",((N328*(0.3+5*BN328/6)-0.699815*BN328*BN328)*AP328),"")</f>
        <v>6.3645794415266437</v>
      </c>
      <c r="BV328" s="288">
        <f ca="1">IF(B328="S",(IF(BP328=0,"",(BP328)*(M328)*N328-(U328*$X$11+V328*$Y$11+W328*$Z$11)*N328)),"")</f>
        <v>24.157841936151073</v>
      </c>
      <c r="BW328" s="288">
        <f>IF(B328="S",(IF(BQ328=0,"",(M328)*BQ328*N328)),"")</f>
        <v>8.5637223900600929</v>
      </c>
      <c r="BX328" s="288" t="str">
        <f>IF(B328="S",(IF(BR328=0,"",(M328)*BR328*N328)),"")</f>
        <v/>
      </c>
      <c r="BY328" s="288">
        <f ca="1">IF(B328="S",((AA328+0.2)*N328*(M328)-(U328*$X$11+V328*$Y$11+W328*$Z$11)*N328),"")</f>
        <v>32.721564326211166</v>
      </c>
      <c r="BZ328" s="288">
        <f>IF(B328="S",((N328*(0.3+BN328/2)-0.392699*BN328*BN328)*AN328),"")</f>
        <v>0</v>
      </c>
      <c r="CA328" s="288">
        <f ca="1">IF(B328="S",(IF(O328=1.2,(O328/2),IF(O328=0.8,O328/2,IF(O328=1.5,O328/2,IF(O328=0.6,O328/2,"IDIOT"))))),"")</f>
        <v>0.6</v>
      </c>
      <c r="CB328" s="288">
        <f ca="1">IF(B328="S",(IF(P328=1.2,(P328/2),IF(P328=0.8,P328/2,IF(P328=1.5,P328/2,IF(P328=0.6,P328/2,"IDIOT"))))),"")</f>
        <v>0.6</v>
      </c>
      <c r="CC328" s="316">
        <f>IF(B328="S",((BN328/2+0.1)*N328),"")</f>
        <v>0.224</v>
      </c>
      <c r="CD328" s="288">
        <f>IF(B328="S",((BN328/2+BN328/4)*N328),"")</f>
        <v>0.216</v>
      </c>
      <c r="CE328" s="288">
        <f>IF(B328="S",(0.392699*BN328*BN328),"")</f>
        <v>5.0893790399999993E-2</v>
      </c>
      <c r="CF328" s="288" t="str">
        <f ca="1">+IF(B328="S",(IF(((H328-J328)-(G328/1000))&lt;=0.9,"E1",IF(((H328-J328)-(G328/1000))&lt;=2.5,"E2","E3"))),"")</f>
        <v>E2</v>
      </c>
      <c r="CG328" s="313">
        <f ca="1">IF(B328="S",(IF(BV328="","",BV328-(BV328*L328/100))),"")</f>
        <v>23.916263516789563</v>
      </c>
      <c r="CH328" s="313">
        <f t="shared" si="16"/>
        <v>8.4780851661594916</v>
      </c>
      <c r="CI328" s="313" t="str">
        <f t="shared" si="16"/>
        <v/>
      </c>
      <c r="CJ328" s="288">
        <f ca="1">'Cálculo_Diseño  (2)'!BD329</f>
        <v>1.7704999999999997</v>
      </c>
      <c r="CK328" s="313">
        <f ca="1">+IF(B328="S",(IF((CJ328+CU328)&gt;2,2,CJ328+CU328)),"")</f>
        <v>2</v>
      </c>
      <c r="CL328" s="313">
        <f ca="1">+IF(B328="S",(IF((CJ328+CU328)&gt;4,2,IF(AND((CJ328+CU328)&lt;=4,(CJ328+CU328)&gt;=2),((CJ328+CU328)-CK328),0))),"")</f>
        <v>1.5409999999999995</v>
      </c>
      <c r="CM328" s="313">
        <f ca="1">+IF(B328="S",(IF((CJ328+CU328)&gt;4,((CJ328+CU328)-(CK328+CL328)),0)),"")</f>
        <v>0</v>
      </c>
      <c r="CN328" s="313">
        <f ca="1">IF(B328="S",IF((CJ328+CU328)&lt;1.5,(ROUND(CJ328*PI()/4*(2.2)^2+CU328*(PI()/4*(2.2)^2 -PI()/4*(1.6)^2),2)),IF((CJ328+CU328)&lt;=2,(ROUND(((PI()*2.2^2)/4)*0.95-(((1/3)*PI()*0.95*(0.45^2+0.7^2+0.45*0.7)))+(CJ328*PI()/4*(2.2)^2)+(((((CU328)-0.95)*PI()*2.2^2)/4))-((((CU328)-0.95)*PI()*1.6^2)/4),2)),IF((CJ328+CU328)&gt;2,(ROUND(IF(CU328&lt;2,((PI()*2.2^2)/4)*0.95-(((1/3)*PI()*0.95*(0.45^2+0.7^2+0.45*0.7)))+((CU328-0.95)*(PI()/4*(2.2)^2 -PI()/4*(1.6)^2))+(2-CU328)*PI()/4*(2.2)^2,((PI()*2.2^2)/4)*0.95-(((1/3)*PI()*0.95*(0.45^2+0.7^2+0.45*0.7)))+((2-0.95)*(PI()/4*(2.2)^2 -PI()/4*(1.6)^2))),2))))),"")</f>
        <v>4.95</v>
      </c>
      <c r="CO328" s="313">
        <f ca="1">IF(B328="S",ROUND(IF(CL328&lt;=0,0,IF(AND(CL328&gt;0,CU328&lt;=0),CL328*PI()/4*2.2^(2),IF(AND(CL328&gt;0,CU328&gt;=4),CL328*(PI()/4*2.2^2-PI()/4*1.6^2),IF(AND(CL328&gt;0,CU328&gt;2,CU328&lt;4,CJ328&gt;0),(CU328-2)*(PI()/4*2.2^(2)-PI()/4*1.6^(2))+IF((CU328+CJ328)&gt;4,(4-CU328)*(PI()/4*2.2^(2)),(CJ328)*PI()/4*(2.2^2)),IF(AND(CL328&gt;0,CU328&lt;=2),(CL328*PI()/4*2.2^2)))))),2),"")</f>
        <v>5.86</v>
      </c>
      <c r="CP328" s="313">
        <f ca="1">IF(B328="S",(ROUND(IF(CM328&lt;=0,0,IF(AND(CM328&gt;0,CU328&lt;=0),CM328*PI()/4*2.2^(2),IF(AND(CM328&gt;0,CU328&gt;4,CJ328&lt;=0),CM328*(PI()/4*2.2^2-PI()/4*1.6^2),IF(AND(CM328&gt;0,CU328&lt;=4),CM328*PI()/4*2.2^2)))),2)),"")</f>
        <v>0</v>
      </c>
      <c r="CQ328" s="313">
        <f ca="1">IF(B328="S",IF(CK328&gt;1.5,(2*PI()*(0.9)*(CJ328+CU328)),0),"")</f>
        <v>20.02388325545062</v>
      </c>
      <c r="CR328" s="313">
        <f ca="1">IF(B328="S",(ROUND(IF(CN328&gt;0,CN328+CO328+CP328-CS328,0),2)),"")</f>
        <v>3.56</v>
      </c>
      <c r="CS328" s="313">
        <f ca="1">IF(B328="S",(IF(CJ328=0,0,IF(AND((H328-J328)&lt;1.5,CU328&gt;0),ROUND(CU328*(PI()/4*(2.2)^2 -PI()/4*(1.6)^2),2),(ROUND(((PI()*2.2^2)/4)*0.95-(((1/3)*PI()*0.95*(0.45^2+0.7^2+0.45*0.7)))+(((((CJ328+CU328)-0.95)*PI()*2.2^2)/4))-((((CJ328+CU328)-0.95)*PI()*1.6^2)/4),2))))),"")</f>
        <v>7.25</v>
      </c>
      <c r="CT328" s="313" t="str">
        <f ca="1">IF(B328="S",(IF(CN328&gt;=0,IF(CN328+CO328+CP328=(CR328+CS328),"OK","VERIFICAR"),0)),"")</f>
        <v>OK</v>
      </c>
      <c r="CU328" s="309">
        <f ca="1">'Cálculo_Diseño  (2)'!BD329</f>
        <v>1.7704999999999997</v>
      </c>
      <c r="CV328" s="288" t="str">
        <f ca="1">IF(G328=182,M328-(O328/2)-(P328/2),"")</f>
        <v/>
      </c>
      <c r="CW328" s="288" t="str">
        <f ca="1">IF(G328=227,M328-(O328/2)-(P328/2),"")</f>
        <v/>
      </c>
      <c r="CX328" s="288">
        <f ca="1">IF(G328=284,M328-(O328/2)-(P328/2),"")</f>
        <v>16.348611455041098</v>
      </c>
      <c r="CY328" s="288" t="str">
        <f ca="1">IF(G328=327,M328-(O328/2)-(P328/2),"")</f>
        <v/>
      </c>
      <c r="CZ328" s="288" t="str">
        <f ca="1">IF(G328=362,M328-(O328/2)-(P328/2),"")</f>
        <v/>
      </c>
      <c r="DA328" s="288" t="str">
        <f ca="1">IF(G328=407,M328-(O328/2)-(P328/2),"")</f>
        <v/>
      </c>
      <c r="DB328" s="288" t="str">
        <f ca="1">IF(G328=452,M328-(O328/2)-(P328/2),"")</f>
        <v/>
      </c>
      <c r="DC328" s="288" t="str">
        <f ca="1">IF(G328=595.12,M328-(O328/2)-(P328/2),"")</f>
        <v/>
      </c>
      <c r="DD328" s="288" t="str">
        <f ca="1">IF(G328=670,M328-(O328/2)-(P328/2),"")</f>
        <v/>
      </c>
      <c r="DE328" s="288" t="str">
        <f ca="1">IF(G328=747,M328-(O328/2)-(P328/2),"")</f>
        <v/>
      </c>
      <c r="DF328" s="288" t="str">
        <f ca="1">IF(G328=823.09,M328-(O328/2)-(P328/2),"")</f>
        <v/>
      </c>
      <c r="DG328" s="288" t="str">
        <f ca="1">IF(G328=899.03,M328-(O328/2)-(P328/2),"")</f>
        <v/>
      </c>
      <c r="DH328" s="309"/>
      <c r="DI328" s="288" t="str">
        <f>+IF(B328="S",B328,"N")</f>
        <v>S</v>
      </c>
      <c r="DJ328" s="288">
        <f>+IF(DI328="S",E328,"")</f>
        <v>17.53</v>
      </c>
      <c r="DK328" s="310">
        <v>4</v>
      </c>
      <c r="DL328" s="288">
        <f>IF(DI328="S",((((AA328+1)*6)/2)*0.7*DK328),"")</f>
        <v>28.64400000000002</v>
      </c>
      <c r="DM328" s="288">
        <f>IF(DI328="S",(ATAN(6/(AA328-1))*180/PI()),"")</f>
        <v>76.775448807786447</v>
      </c>
      <c r="DN328" s="206">
        <f>IF(DI328="S",(TAN(DM328*PI()/180)*(AA328-2)),"")</f>
        <v>1.7446808510638365</v>
      </c>
      <c r="DO328" s="206">
        <f>IF(DI328="S",(TAN(DM328*PI()/180)*(AA328-4)),"")</f>
        <v>-6.7659574468084873</v>
      </c>
      <c r="DP328" s="288">
        <f>IF(DI328="S",(IF(AA328&lt;=2,((((AA328+1)*6)/2)*0.7*DK328),IF(AND(AA328&gt;2,AA328&lt;=4),((((AA328+1)*6)/2)*0.7*DK328)-(((AA328-2)*DN328)/2*0.7*DK328),IF(AND(AA328&gt;4,AA328&lt;=6),((((AA328+1)*6)/2)*0.7*DK328)-(((AA328-2)*DN328)/2*0.7*DK328),0)))),"")</f>
        <v>27.642553191489373</v>
      </c>
      <c r="DQ328" s="288">
        <f>IF(DI328="S",(IF(AND(AA328&gt;2,AA328&lt;=4),(((AA328-2)*DN328)/2*0.7*DK328),IF(AND(AA328&gt;4,AA328&lt;=6),(((AA328-2)*DN328)/2*0.7*DK328)-((AA328-4)*DO328/2*0.7*DK328),0))),"")</f>
        <v>1.0014468085106478</v>
      </c>
      <c r="DR328" s="288">
        <f>IF(DI328="S",(IF(AND(AA328&gt;4,AA328&lt;=6),((AA328-4)*DO328/2*0.7*DK328),IF(AA328&lt;4,0,"REVISAR"))),"")</f>
        <v>0</v>
      </c>
      <c r="DS328" s="288">
        <f t="shared" si="13"/>
        <v>40.488000000000042</v>
      </c>
      <c r="DT328" s="288">
        <f t="shared" si="14"/>
        <v>17.352000000000018</v>
      </c>
      <c r="DU328" s="310" t="str">
        <f ca="1">IF(B328="S",(IF(DI328="S",IF(G328=$DU$11,DK328,""),"")),"")</f>
        <v/>
      </c>
      <c r="DV328" s="310" t="str">
        <f ca="1">IF(B328="S",(IF(DI328="S",IF(G328=$DV$11,DK328,""),"")),"")</f>
        <v/>
      </c>
      <c r="DW328" s="310">
        <f ca="1">IF(B328="S",(IF(DI328="S",IF(G328=$DW$11,DK328,""),"")),"")</f>
        <v>4</v>
      </c>
      <c r="DX328" s="310" t="str">
        <f ca="1">IF(B328="S",(IF(DI328="S",IF(G328=$DX$11,DK328,""),"")),"")</f>
        <v/>
      </c>
      <c r="DY328" s="310" t="str">
        <f ca="1">IF(B328="S",(IF(DI328="S",IF(G328=$DY$11,DK328,""),"")),"")</f>
        <v/>
      </c>
      <c r="DZ328" s="310" t="str">
        <f ca="1">IF(B328="S",(IF(DI328="S",IF(G328=$DZ$11,DK328,""),"")),"")</f>
        <v/>
      </c>
      <c r="EA328" s="310" t="str">
        <f ca="1">IF(B328="S",(IF(DI328="S",IF(G328=$EA$11,DK328,""),"")),"")</f>
        <v/>
      </c>
      <c r="EB328" s="310" t="str">
        <f ca="1">IF(B328="S",(IF(DI328="S",IF(G328=$EB$11,DK328,""),"")),"")</f>
        <v/>
      </c>
      <c r="EC328" s="288">
        <f>IF(B328="S",0.95,"")</f>
        <v>0.95</v>
      </c>
      <c r="ED328" s="310"/>
      <c r="EE328" s="310"/>
      <c r="EF328" s="310"/>
      <c r="EH328" s="310">
        <f>+IF(EC328=0.95,2+((ED328+EE328+EF328)-1),"")</f>
        <v>1</v>
      </c>
    </row>
    <row r="329" spans="1:138" s="288" customFormat="1">
      <c r="A329" s="288" t="s">
        <v>330</v>
      </c>
      <c r="B329" s="288" t="str">
        <f>A329</f>
        <v>S</v>
      </c>
      <c r="C329" s="309" t="str">
        <f>IF(A329="S",'Cálculo_Diseño  (2)'!C330," ")</f>
        <v>C223</v>
      </c>
      <c r="D329" s="309" t="str">
        <f>IF(A329="S",'Cálculo_Diseño  (2)'!D330," ")</f>
        <v>C225</v>
      </c>
      <c r="E329" s="309">
        <f>IF(B329="S",'Cálculo_Diseño  (2)'!AX330," ")</f>
        <v>46.98</v>
      </c>
      <c r="F329" s="309">
        <f>IF(B329="S",'Cálculo_Diseño  (2)'!BL330," ")</f>
        <v>1.9412515964240837</v>
      </c>
      <c r="G329" s="309">
        <f ca="1">IF(B329="S",'Cálculo_Diseño  (2)'!AZ330," ")</f>
        <v>284</v>
      </c>
      <c r="H329" s="309">
        <f>IF(B329="S",'Cálculo_Diseño  (2)'!BB330," ")</f>
        <v>992.64700000000005</v>
      </c>
      <c r="I329" s="309">
        <f>IF(B329="S",'Cálculo_Diseño  (2)'!BC330," ")</f>
        <v>990.82500000000005</v>
      </c>
      <c r="J329" s="309">
        <f>IF(B329="S",'Cálculo_Diseño  (2)'!BH330," ")</f>
        <v>990.04700000000003</v>
      </c>
      <c r="K329" s="309">
        <f>IF(B329="S",'Cálculo_Diseño  (2)'!BI330," ")</f>
        <v>989.13499999999999</v>
      </c>
      <c r="L329" s="315">
        <f>IF(B329="S",+$L$11,"")</f>
        <v>1</v>
      </c>
      <c r="M329" s="288">
        <f>IF(B329="S",(E329^2+(J329-K329)^2)^0.5," ")</f>
        <v>46.988851273466985</v>
      </c>
      <c r="N329" s="288">
        <f>IF(AJ329="S",BK329+0.1,BK329)</f>
        <v>0.79999999999999993</v>
      </c>
      <c r="O329" s="288">
        <f ca="1">IF(B329="S",(IF(G329&lt;=500,1.2,1.5)),"")</f>
        <v>1.2</v>
      </c>
      <c r="P329" s="288">
        <f ca="1">IF(B329="S",(IF(G329&lt;=500,1.2,1.5)),"")</f>
        <v>1.2</v>
      </c>
      <c r="Q329" s="309" t="s">
        <v>331</v>
      </c>
      <c r="R329" s="311" t="str">
        <f>+IF(B329="S",(IF(Q329="FLEXIBLE","S","N")),"")</f>
        <v>N</v>
      </c>
      <c r="S329" s="311" t="str">
        <f>+IF(B329="S",(IF(Q329="ADOQUIN","S","N")),"")</f>
        <v>N</v>
      </c>
      <c r="T329" s="311" t="str">
        <f>+IF(B329="S",(IF(Q329="CONCRETO","S","N")),"")</f>
        <v>S</v>
      </c>
      <c r="U329" s="288">
        <f>IF(B329="S",(IF(R329="S",(((((H329-I329)^2)+(E329^2))^0.5)-CA329-CB329)*$U$11,0)),"")</f>
        <v>0</v>
      </c>
      <c r="V329" s="288">
        <f>IF(B329="S",(IF(S329="S",(((((H329-I329)^2)+(E329^2))^0.5)-CA329-CB329)*$V$11,0)),"")</f>
        <v>0</v>
      </c>
      <c r="W329" s="288">
        <f ca="1">IF(B329="S",(IF(T329="S",(((((H329-I329)^2)+(E329^2))^0.5)-CA329-CB329)*$W$11,0)),"")</f>
        <v>45.815317546518813</v>
      </c>
      <c r="X329" s="288">
        <f>IF(B329="S",(U329*(N329+0.2)*$X$11),"")</f>
        <v>0</v>
      </c>
      <c r="Y329" s="288">
        <f>IF(B329="S",(V329*(N329+0.2)*$Y$11),"")</f>
        <v>0</v>
      </c>
      <c r="Z329" s="288">
        <f ca="1">IF(B329="S",(W329*(N329+0.2)*$Z$11+IF(Q329="CONCRETO",PI()/4*0.2*(O329+0.2*2+0.1*2)^2)),"")</f>
        <v>14.25353327383719</v>
      </c>
      <c r="AA329" s="288">
        <f>IF(B329="S",(((H329-J329)+(I329-K329))/2+BM329),"")</f>
        <v>2.2450000000000387</v>
      </c>
      <c r="AB329" s="312">
        <f>IF(B329="S",($AB$11),"")</f>
        <v>10</v>
      </c>
      <c r="AC329" s="288">
        <f ca="1">IF(B329="S",(IF(CG329="","",(CG329*(AB329/100))*$I$527)),"")</f>
        <v>6.9899083064930725</v>
      </c>
      <c r="AD329" s="288">
        <f>IF(B329="S",(IF(CH329="","",(CH329*AB329/100)*$I$527)),"")</f>
        <v>1.8216825817104367</v>
      </c>
      <c r="AE329" s="288" t="str">
        <f>IF(B329="S",(IF(CI329="","",(CI329*AB329/100)*$I$527)),"")</f>
        <v/>
      </c>
      <c r="AF329" s="313">
        <f ca="1">IF(B329="S",(IF(CG329="","",(CG329*$I$527)-AC329)),"")</f>
        <v>62.909174758437651</v>
      </c>
      <c r="AG329" s="313">
        <f>IF(B329="S",(IF(CH329="","",(CH329*$I$527)-AD329)),"")</f>
        <v>16.395143235393931</v>
      </c>
      <c r="AH329" s="313" t="str">
        <f>IF(B329="S",(IF(CI329="","",(CI329*$I$527)-AE329)),"")</f>
        <v/>
      </c>
      <c r="AI329" s="313">
        <f ca="1">IF(B329="S",((BY329*(L329/100))*1.1),"")</f>
        <v>0.89005968567712224</v>
      </c>
      <c r="AJ329" s="313" t="str">
        <f>IF(B329="S",(IF(AA329&lt;1,"N","S")),"")</f>
        <v>S</v>
      </c>
      <c r="AK329" s="288">
        <f>IF(B329="S",(IF(AJ329="S",(E329*AA329*0.7*2),0)),"")</f>
        <v>147.65814000000253</v>
      </c>
      <c r="AL329" s="288">
        <f>IF(B329="S",(IF(AJ329="S",(E329*AA329*0.3*2),0)),"")</f>
        <v>63.282060000001081</v>
      </c>
      <c r="AM329" s="288">
        <f>IF(B329="S",(IF(F329&gt;20,N329*(M329/10)*AA329,0)),"")</f>
        <v>0</v>
      </c>
      <c r="AN329" s="288">
        <f>IF(B329="S",((M329-0.4)*$AN$11),"")</f>
        <v>0</v>
      </c>
      <c r="AO329" s="288">
        <f>IF(B329="S",((M329-0.4)*$AO$11),"")</f>
        <v>0</v>
      </c>
      <c r="AP329" s="288">
        <f ca="1">IF(B329="S",((M329-(O329/2)-(P329/2))*$AP$11),"")</f>
        <v>45.788851273466982</v>
      </c>
      <c r="AQ329" s="288">
        <f ca="1">+SUM(AC329:AI329)</f>
        <v>89.005968567712202</v>
      </c>
      <c r="AR329" s="288">
        <f ca="1">+AT329+AU329+AZ329+BA329+BB329+BI329</f>
        <v>89.005968567712216</v>
      </c>
      <c r="AS329" s="314">
        <f ca="1">IF(B329="S",((N329*(0.4+G329/1000))-((G329/1000)^2*PI()/4)),"")</f>
        <v>0.4838529257330153</v>
      </c>
      <c r="AT329" s="315">
        <f ca="1">IF(B329="S",(AS329*AP329)-IF(BI329&gt;0,BI329,0),"")</f>
        <v>22.155069654620902</v>
      </c>
      <c r="AU329" s="314">
        <f ca="1">IF(B329="S",IF(Q329="NATURAL",0,(($AU$11*N329*AP329))),"")</f>
        <v>14.652432407509435</v>
      </c>
      <c r="AV329" s="312">
        <f>IF(B329="S",$AV$11,"")</f>
        <v>30</v>
      </c>
      <c r="AW329" s="288">
        <f ca="1">IF(B329="S",(BY329*1.1-(AT329+BI329)-AU329-BB329-AX329-AY329),"")</f>
        <v>49.222420956518938</v>
      </c>
      <c r="AX329" s="206"/>
      <c r="AY329" s="206"/>
      <c r="AZ329" s="288">
        <f ca="1">IF(B329="S",((BY329*1.1-BB329-(AT329+BI329)-AU329-AX329-AY329)*AV329/100),"")</f>
        <v>14.766726286955684</v>
      </c>
      <c r="BA329" s="288">
        <f ca="1">IF(B329="S",(IF(AW329&gt;AZ329,AW329-AZ329,0)),"")</f>
        <v>34.455694669563258</v>
      </c>
      <c r="BB329" s="288">
        <f ca="1">IF(B329="S",((((G329/1000)^2)/4*PI())*E329),"")</f>
        <v>2.9760455490629352</v>
      </c>
      <c r="BC329" s="288">
        <f ca="1">IF(B329="S",(BY329*1.1-AZ329),"")</f>
        <v>74.239242280756528</v>
      </c>
      <c r="BD329" s="288">
        <f t="shared" ca="1" si="15"/>
        <v>1.6500000000000228</v>
      </c>
      <c r="BE329" s="316" t="b">
        <f ca="1">IF(B329="S",(IF(O329=1.5,IF(H329-J329&lt;=1,0,H329-J329-1))),"")</f>
        <v>0</v>
      </c>
      <c r="BF329" s="316" t="b">
        <f ca="1">IF(B329="S",(IF(O329&lt;=0.8,IF(H329-J329&lt;=1,0,H329-J329))),"")</f>
        <v>0</v>
      </c>
      <c r="BG329" s="316" t="b">
        <f ca="1">IF(B329="S",(IF(O329&lt;=0.6,IF(H329-J329&lt;=1,H329-J329,0))),"")</f>
        <v>0</v>
      </c>
      <c r="BH329" s="310">
        <f ca="1">IF(B329="S",(IF(BD329="","",IF(BD329="FALSO","",1))),"")</f>
        <v>1</v>
      </c>
      <c r="BI329" s="288">
        <f>IF(B329="S",(IF(F329&gt;=15,N329*((G329/1000)+0.3)*0.2,0)*(E329/5+1)),"")</f>
        <v>0</v>
      </c>
      <c r="BJ329" s="288">
        <f xml:space="preserve"> IF(B329="S",(BN329+BM329+0.3),"")</f>
        <v>0.76</v>
      </c>
      <c r="BK329" s="309">
        <f>IF(B329="S",(VLOOKUP('Cálculo_Diseño  (2)'!AY330,'TABLA (2)'!$H$102:'TABLA (2)'!$U$135,3)),"")</f>
        <v>0.7</v>
      </c>
      <c r="BL329" s="309">
        <f>IF(B329="S",(VLOOKUP('Cálculo_Diseño  (2)'!AY330,'TABLA (2)'!$H$102:'TABLA (2)'!$U$135,10)),"")</f>
        <v>0.55000000000000004</v>
      </c>
      <c r="BM329" s="309">
        <f>IF(B329="S",(VLOOKUP('Cálculo_Diseño  (2)'!AY330,'TABLA (2)'!$H$102:'TABLA (2)'!$U$135,11)),"")</f>
        <v>0.1</v>
      </c>
      <c r="BN329" s="309">
        <f>IF(B329="S",(VLOOKUP('Cálculo_Diseño  (2)'!AY330,'TABLA (2)'!$H$102:'TABLA (2)'!$U$135,12)),"")</f>
        <v>0.36</v>
      </c>
      <c r="BO329" s="288">
        <f>V329</f>
        <v>0</v>
      </c>
      <c r="BP329" s="313">
        <f>+IF(B329="S",(IF((1.8-AA329)&gt;=0,AA329+0.2,2)),"")</f>
        <v>2</v>
      </c>
      <c r="BQ329" s="288">
        <f>+IF(B329="S",(IF(BP329=2,IF((3.8-AA329)&gt;=0,(AA329+0.2-2),2),0)),"")</f>
        <v>0.44500000000003892</v>
      </c>
      <c r="BR329" s="288">
        <f>+IF(B329="S",(IF(BQ329=2,AA329+0.2-4,0)),"")</f>
        <v>0</v>
      </c>
      <c r="BS329" s="288">
        <f>IF(B329="S",((N329*(0.3+BN329/2)-0.392699*BN329*BN329)*AO329),"")</f>
        <v>0</v>
      </c>
      <c r="BU329" s="288">
        <f ca="1">IF(B329="S",((N329*(0.3+5*BN329/6)-0.699815*BN329*BN329)*AP329),"")</f>
        <v>17.825781857233356</v>
      </c>
      <c r="BV329" s="288">
        <f ca="1">IF(B329="S",(IF(BP329=0,"",(BP329)*(M329)*N329-(U329*$X$11+V329*$Y$11+W329*$Z$11)*N329)),"")</f>
        <v>64.186485826382665</v>
      </c>
      <c r="BW329" s="288">
        <f>IF(B329="S",(IF(BQ329=0,"",(M329)*BQ329*N329)),"")</f>
        <v>16.728031053355707</v>
      </c>
      <c r="BX329" s="288" t="str">
        <f>IF(B329="S",(IF(BR329=0,"",(M329)*BR329*N329)),"")</f>
        <v/>
      </c>
      <c r="BY329" s="288">
        <f ca="1">IF(B329="S",((AA329+0.2)*N329*(M329)-(U329*$X$11+V329*$Y$11+W329*$Z$11)*N329),"")</f>
        <v>80.914516879738372</v>
      </c>
      <c r="BZ329" s="288">
        <f>IF(B329="S",((N329*(0.3+BN329/2)-0.392699*BN329*BN329)*AN329),"")</f>
        <v>0</v>
      </c>
      <c r="CA329" s="288">
        <f ca="1">IF(B329="S",(IF(O329=1.2,(O329/2),IF(O329=0.8,O329/2,IF(O329=1.5,O329/2,IF(O329=0.6,O329/2,"IDIOT"))))),"")</f>
        <v>0.6</v>
      </c>
      <c r="CB329" s="288">
        <f ca="1">IF(B329="S",(IF(P329=1.2,(P329/2),IF(P329=0.8,P329/2,IF(P329=1.5,P329/2,IF(P329=0.6,P329/2,"IDIOT"))))),"")</f>
        <v>0.6</v>
      </c>
      <c r="CC329" s="316">
        <f>IF(B329="S",((BN329/2+0.1)*N329),"")</f>
        <v>0.224</v>
      </c>
      <c r="CD329" s="288">
        <f>IF(B329="S",((BN329/2+BN329/4)*N329),"")</f>
        <v>0.216</v>
      </c>
      <c r="CE329" s="288">
        <f>IF(B329="S",(0.392699*BN329*BN329),"")</f>
        <v>5.0893790399999993E-2</v>
      </c>
      <c r="CF329" s="288" t="str">
        <f ca="1">+IF(B329="S",(IF(((H329-J329)-(G329/1000))&lt;=0.9,"E1",IF(((H329-J329)-(G329/1000))&lt;=2.5,"E2","E3"))),"")</f>
        <v>E2</v>
      </c>
      <c r="CG329" s="313">
        <f ca="1">IF(B329="S",(IF(BV329="","",BV329-(BV329*L329/100))),"")</f>
        <v>63.544620968118835</v>
      </c>
      <c r="CH329" s="313">
        <f t="shared" si="16"/>
        <v>16.560750742822151</v>
      </c>
      <c r="CI329" s="313" t="str">
        <f t="shared" si="16"/>
        <v/>
      </c>
      <c r="CJ329" s="288">
        <f ca="1">'Cálculo_Diseño  (2)'!BD330</f>
        <v>2.3005000000000226</v>
      </c>
      <c r="CK329" s="313">
        <f ca="1">+IF(B329="S",(IF((CJ329+CU329)&gt;2,2,CJ329+CU329)),"")</f>
        <v>2</v>
      </c>
      <c r="CL329" s="313">
        <f ca="1">+IF(B329="S",(IF((CJ329+CU329)&gt;4,2,IF(AND((CJ329+CU329)&lt;=4,(CJ329+CU329)&gt;=2),((CJ329+CU329)-CK329),0))),"")</f>
        <v>2</v>
      </c>
      <c r="CM329" s="313">
        <f ca="1">+IF(B329="S",(IF((CJ329+CU329)&gt;4,((CJ329+CU329)-(CK329+CL329)),0)),"")</f>
        <v>0.60100000000004528</v>
      </c>
      <c r="CN329" s="313">
        <f ca="1">IF(B329="S",IF((CJ329+CU329)&lt;1.5,(ROUND(CJ329*PI()/4*(2.2)^2+CU329*(PI()/4*(2.2)^2 -PI()/4*(1.6)^2),2)),IF((CJ329+CU329)&lt;=2,(ROUND(((PI()*2.2^2)/4)*0.95-(((1/3)*PI()*0.95*(0.45^2+0.7^2+0.45*0.7)))+(CJ329*PI()/4*(2.2)^2)+(((((CU329)-0.95)*PI()*2.2^2)/4))-((((CU329)-0.95)*PI()*1.6^2)/4),2)),IF((CJ329+CU329)&gt;2,(ROUND(IF(CU329&lt;2,((PI()*2.2^2)/4)*0.95-(((1/3)*PI()*0.95*(0.45^2+0.7^2+0.45*0.7)))+((CU329-0.95)*(PI()/4*(2.2)^2 -PI()/4*(1.6)^2))+(2-CU329)*PI()/4*(2.2)^2,((PI()*2.2^2)/4)*0.95-(((1/3)*PI()*0.95*(0.45^2+0.7^2+0.45*0.7)))+((2-0.95)*(PI()/4*(2.2)^2 -PI()/4*(1.6)^2))),2))))),"")</f>
        <v>4.49</v>
      </c>
      <c r="CO329" s="313">
        <f ca="1">IF(B329="S",ROUND(IF(CL329&lt;=0,0,IF(AND(CL329&gt;0,CU329&lt;=0),CL329*PI()/4*2.2^(2),IF(AND(CL329&gt;0,CU329&gt;=4),CL329*(PI()/4*2.2^2-PI()/4*1.6^2),IF(AND(CL329&gt;0,CU329&gt;2,CU329&lt;4,CJ329&gt;0),(CU329-2)*(PI()/4*2.2^(2)-PI()/4*1.6^(2))+IF((CU329+CJ329)&gt;4,(4-CU329)*(PI()/4*2.2^(2)),(CJ329)*PI()/4*(2.2^2)),IF(AND(CL329&gt;0,CU329&lt;=2),(CL329*PI()/4*2.2^2)))))),2),"")</f>
        <v>7</v>
      </c>
      <c r="CP329" s="313">
        <f ca="1">IF(B329="S",(ROUND(IF(CM329&lt;=0,0,IF(AND(CM329&gt;0,CU329&lt;=0),CM329*PI()/4*2.2^(2),IF(AND(CM329&gt;0,CU329&gt;4,CJ329&lt;=0),CM329*(PI()/4*2.2^2-PI()/4*1.6^2),IF(AND(CM329&gt;0,CU329&lt;=4),CM329*PI()/4*2.2^2)))),2)),"")</f>
        <v>2.2799999999999998</v>
      </c>
      <c r="CQ329" s="313">
        <f ca="1">IF(B329="S",IF(CK329&gt;1.5,(2*PI()*(0.9)*(CJ329+CU329)),0),"")</f>
        <v>26.018042038500205</v>
      </c>
      <c r="CR329" s="313">
        <f ca="1">IF(B329="S",(ROUND(IF(CN329&gt;0,CN329+CO329+CP329-CS329,0),2)),"")</f>
        <v>4.62</v>
      </c>
      <c r="CS329" s="313">
        <f ca="1">IF(B329="S",(IF(CJ329=0,0,IF(AND((H329-J329)&lt;1.5,CU329&gt;0),ROUND(CU329*(PI()/4*(2.2)^2 -PI()/4*(1.6)^2),2),(ROUND(((PI()*2.2^2)/4)*0.95-(((1/3)*PI()*0.95*(0.45^2+0.7^2+0.45*0.7)))+(((((CJ329+CU329)-0.95)*PI()*2.2^2)/4))-((((CJ329+CU329)-0.95)*PI()*1.6^2)/4),2))))),"")</f>
        <v>9.15</v>
      </c>
      <c r="CT329" s="313" t="str">
        <f ca="1">IF(B329="S",(IF(CN329&gt;=0,IF(CN329+CO329+CP329=(CR329+CS329),"OK","VERIFICAR"),0)),"")</f>
        <v>OK</v>
      </c>
      <c r="CU329" s="309">
        <f ca="1">'Cálculo_Diseño  (2)'!BD330</f>
        <v>2.3005000000000226</v>
      </c>
      <c r="CV329" s="288" t="str">
        <f ca="1">IF(G329=182,M329-(O329/2)-(P329/2),"")</f>
        <v/>
      </c>
      <c r="CW329" s="288" t="str">
        <f ca="1">IF(G329=227,M329-(O329/2)-(P329/2),"")</f>
        <v/>
      </c>
      <c r="CX329" s="288">
        <f ca="1">IF(G329=284,M329-(O329/2)-(P329/2),"")</f>
        <v>45.788851273466982</v>
      </c>
      <c r="CY329" s="288" t="str">
        <f ca="1">IF(G329=327,M329-(O329/2)-(P329/2),"")</f>
        <v/>
      </c>
      <c r="CZ329" s="288" t="str">
        <f ca="1">IF(G329=362,M329-(O329/2)-(P329/2),"")</f>
        <v/>
      </c>
      <c r="DA329" s="288" t="str">
        <f ca="1">IF(G329=407,M329-(O329/2)-(P329/2),"")</f>
        <v/>
      </c>
      <c r="DB329" s="288" t="str">
        <f ca="1">IF(G329=452,M329-(O329/2)-(P329/2),"")</f>
        <v/>
      </c>
      <c r="DC329" s="288" t="str">
        <f ca="1">IF(G329=595.12,M329-(O329/2)-(P329/2),"")</f>
        <v/>
      </c>
      <c r="DD329" s="288" t="str">
        <f ca="1">IF(G329=670,M329-(O329/2)-(P329/2),"")</f>
        <v/>
      </c>
      <c r="DE329" s="288" t="str">
        <f ca="1">IF(G329=747,M329-(O329/2)-(P329/2),"")</f>
        <v/>
      </c>
      <c r="DF329" s="288" t="str">
        <f ca="1">IF(G329=823.09,M329-(O329/2)-(P329/2),"")</f>
        <v/>
      </c>
      <c r="DG329" s="288" t="str">
        <f ca="1">IF(G329=899.03,M329-(O329/2)-(P329/2),"")</f>
        <v/>
      </c>
      <c r="DH329" s="309"/>
      <c r="DI329" s="288" t="str">
        <f>+IF(B329="S",B329,"N")</f>
        <v>S</v>
      </c>
      <c r="DJ329" s="288">
        <f>+IF(DI329="S",E329,"")</f>
        <v>46.98</v>
      </c>
      <c r="DK329" s="310">
        <v>13</v>
      </c>
      <c r="DL329" s="288">
        <f>IF(DI329="S",((((AA329+1)*6)/2)*0.7*DK329),"")</f>
        <v>88.588500000001062</v>
      </c>
      <c r="DM329" s="288">
        <f>IF(DI329="S",(ATAN(6/(AA329-1))*180/PI()),"")</f>
        <v>78.277479029897393</v>
      </c>
      <c r="DN329" s="206">
        <f>IF(DI329="S",(TAN(DM329*PI()/180)*(AA329-2)),"")</f>
        <v>1.1807228915664154</v>
      </c>
      <c r="DO329" s="206">
        <f>IF(DI329="S",(TAN(DM329*PI()/180)*(AA329-4)),"")</f>
        <v>-8.4578313253007575</v>
      </c>
      <c r="DP329" s="288">
        <f>IF(DI329="S",(IF(AA329&lt;=2,((((AA329+1)*6)/2)*0.7*DK329),IF(AND(AA329&gt;2,AA329&lt;=4),((((AA329+1)*6)/2)*0.7*DK329)-(((AA329-2)*DN329)/2*0.7*DK329),IF(AND(AA329&gt;4,AA329&lt;=6),((((AA329+1)*6)/2)*0.7*DK329)-(((AA329-2)*DN329)/2*0.7*DK329),0)))),"")</f>
        <v>87.272289156627195</v>
      </c>
      <c r="DQ329" s="288">
        <f>IF(DI329="S",(IF(AND(AA329&gt;2,AA329&lt;=4),(((AA329-2)*DN329)/2*0.7*DK329),IF(AND(AA329&gt;4,AA329&lt;=6),(((AA329-2)*DN329)/2*0.7*DK329)-((AA329-4)*DO329/2*0.7*DK329),0))),"")</f>
        <v>1.3162108433738697</v>
      </c>
      <c r="DR329" s="288">
        <f>IF(DI329="S",(IF(AND(AA329&gt;4,AA329&lt;=6),((AA329-4)*DO329/2*0.7*DK329),IF(AA329&lt;4,0,"REVISAR"))),"")</f>
        <v>0</v>
      </c>
      <c r="DS329" s="288">
        <f t="shared" si="13"/>
        <v>122.5770000000021</v>
      </c>
      <c r="DT329" s="288">
        <f t="shared" si="14"/>
        <v>52.533000000000904</v>
      </c>
      <c r="DU329" s="310" t="str">
        <f ca="1">IF(B329="S",(IF(DI329="S",IF(G329=$DU$11,DK329,""),"")),"")</f>
        <v/>
      </c>
      <c r="DV329" s="310" t="str">
        <f ca="1">IF(B329="S",(IF(DI329="S",IF(G329=$DV$11,DK329,""),"")),"")</f>
        <v/>
      </c>
      <c r="DW329" s="310">
        <f ca="1">IF(B329="S",(IF(DI329="S",IF(G329=$DW$11,DK329,""),"")),"")</f>
        <v>13</v>
      </c>
      <c r="DX329" s="310" t="str">
        <f ca="1">IF(B329="S",(IF(DI329="S",IF(G329=$DX$11,DK329,""),"")),"")</f>
        <v/>
      </c>
      <c r="DY329" s="310" t="str">
        <f ca="1">IF(B329="S",(IF(DI329="S",IF(G329=$DY$11,DK329,""),"")),"")</f>
        <v/>
      </c>
      <c r="DZ329" s="310" t="str">
        <f ca="1">IF(B329="S",(IF(DI329="S",IF(G329=$DZ$11,DK329,""),"")),"")</f>
        <v/>
      </c>
      <c r="EA329" s="310" t="str">
        <f ca="1">IF(B329="S",(IF(DI329="S",IF(G329=$EA$11,DK329,""),"")),"")</f>
        <v/>
      </c>
      <c r="EB329" s="310" t="str">
        <f ca="1">IF(B329="S",(IF(DI329="S",IF(G329=$EB$11,DK329,""),"")),"")</f>
        <v/>
      </c>
      <c r="EC329" s="288">
        <f>IF(B329="S",0.95,"")</f>
        <v>0.95</v>
      </c>
      <c r="ED329" s="310"/>
      <c r="EE329" s="310"/>
      <c r="EF329" s="310"/>
      <c r="EH329" s="310">
        <f>+IF(EC329=0.95,2+((ED329+EE329+EF329)-1),"")</f>
        <v>1</v>
      </c>
    </row>
    <row r="330" spans="1:138" s="288" customFormat="1">
      <c r="A330" s="288" t="s">
        <v>330</v>
      </c>
      <c r="B330" s="288" t="str">
        <f>A330</f>
        <v>S</v>
      </c>
      <c r="C330" s="309" t="str">
        <f>IF(A330="S",'Cálculo_Diseño  (2)'!C331," ")</f>
        <v>C225</v>
      </c>
      <c r="D330" s="309" t="str">
        <f>IF(A330="S",'Cálculo_Diseño  (2)'!D331," ")</f>
        <v>C227</v>
      </c>
      <c r="E330" s="309">
        <f>IF(B330="S",'Cálculo_Diseño  (2)'!AX331," ")</f>
        <v>89.23</v>
      </c>
      <c r="F330" s="309">
        <f>IF(B330="S",'Cálculo_Diseño  (2)'!BL331," ")</f>
        <v>5.2840972767006962</v>
      </c>
      <c r="G330" s="309">
        <f ca="1">IF(B330="S",'Cálculo_Diseño  (2)'!AZ331," ")</f>
        <v>284</v>
      </c>
      <c r="H330" s="309">
        <f>IF(B330="S",'Cálculo_Diseño  (2)'!BB331," ")</f>
        <v>990.82500000000005</v>
      </c>
      <c r="I330" s="309">
        <f>IF(B330="S",'Cálculo_Diseño  (2)'!BC331," ")</f>
        <v>987.71</v>
      </c>
      <c r="J330" s="309">
        <f>IF(B330="S",'Cálculo_Diseño  (2)'!BH331," ")</f>
        <v>989.07500000000005</v>
      </c>
      <c r="K330" s="309">
        <f>IF(B330="S",'Cálculo_Diseño  (2)'!BI331," ")</f>
        <v>984.36</v>
      </c>
      <c r="L330" s="315">
        <f>IF(B330="S",+$L$11,"")</f>
        <v>1</v>
      </c>
      <c r="M330" s="288">
        <f>IF(B330="S",(E330^2+(J330-K330)^2)^0.5," ")</f>
        <v>89.35448575757124</v>
      </c>
      <c r="N330" s="288">
        <f>IF(AJ330="S",BK330+0.1,BK330)</f>
        <v>0.79999999999999993</v>
      </c>
      <c r="O330" s="288">
        <f ca="1">IF(B330="S",(IF(G330&lt;=500,1.2,1.5)),"")</f>
        <v>1.2</v>
      </c>
      <c r="P330" s="288">
        <f ca="1">IF(B330="S",(IF(G330&lt;=500,1.2,1.5)),"")</f>
        <v>1.2</v>
      </c>
      <c r="Q330" s="309" t="s">
        <v>331</v>
      </c>
      <c r="R330" s="311" t="str">
        <f>+IF(B330="S",(IF(Q330="FLEXIBLE","S","N")),"")</f>
        <v>N</v>
      </c>
      <c r="S330" s="311" t="str">
        <f>+IF(B330="S",(IF(Q330="ADOQUIN","S","N")),"")</f>
        <v>N</v>
      </c>
      <c r="T330" s="311" t="str">
        <f>+IF(B330="S",(IF(Q330="CONCRETO","S","N")),"")</f>
        <v>S</v>
      </c>
      <c r="U330" s="288">
        <f>IF(B330="S",(IF(R330="S",(((((H330-I330)^2)+(E330^2))^0.5)-CA330-CB330)*$U$11,0)),"")</f>
        <v>0</v>
      </c>
      <c r="V330" s="288">
        <f>IF(B330="S",(IF(S330="S",(((((H330-I330)^2)+(E330^2))^0.5)-CA330-CB330)*$V$11,0)),"")</f>
        <v>0</v>
      </c>
      <c r="W330" s="288">
        <f ca="1">IF(B330="S",(IF(T330="S",(((((H330-I330)^2)+(E330^2))^0.5)-CA330-CB330)*$W$11,0)),"")</f>
        <v>88.084355432516858</v>
      </c>
      <c r="X330" s="288">
        <f>IF(B330="S",(U330*(N330+0.2)*$X$11),"")</f>
        <v>0</v>
      </c>
      <c r="Y330" s="288">
        <f>IF(B330="S",(V330*(N330+0.2)*$Y$11),"")</f>
        <v>0</v>
      </c>
      <c r="Z330" s="288">
        <f ca="1">IF(B330="S",(W330*(N330+0.2)*$Z$11+IF(Q330="CONCRETO",PI()/4*0.2*(O330+0.2*2+0.1*2)^2)),"")</f>
        <v>26.934244639636603</v>
      </c>
      <c r="AA330" s="288">
        <f>IF(B330="S",(((H330-J330)+(I330-K330))/2+BM330),"")</f>
        <v>2.6500000000000115</v>
      </c>
      <c r="AB330" s="312">
        <f>IF(B330="S",($AB$11),"")</f>
        <v>10</v>
      </c>
      <c r="AC330" s="288">
        <f ca="1">IF(B330="S",(IF(CG330="","",(CG330*(AB330/100))*$I$527)),"")</f>
        <v>13.26695288481495</v>
      </c>
      <c r="AD330" s="288">
        <f>IF(B330="S",(IF(CH330="","",(CH330*AB330/100)*$I$527)),"")</f>
        <v>6.616878379319755</v>
      </c>
      <c r="AE330" s="288" t="str">
        <f>IF(B330="S",(IF(CI330="","",(CI330*AB330/100)*$I$527)),"")</f>
        <v/>
      </c>
      <c r="AF330" s="313">
        <f ca="1">IF(B330="S",(IF(CG330="","",(CG330*$I$527)-AC330)),"")</f>
        <v>119.40257596333454</v>
      </c>
      <c r="AG330" s="313">
        <f>IF(B330="S",(IF(CH330="","",(CH330*$I$527)-AD330)),"")</f>
        <v>59.55190541387779</v>
      </c>
      <c r="AH330" s="313" t="str">
        <f>IF(B330="S",(IF(CI330="","",(CI330*$I$527)-AE330)),"")</f>
        <v/>
      </c>
      <c r="AI330" s="313">
        <f ca="1">IF(B330="S",((BY330*(L330/100))*1.1),"")</f>
        <v>2.0084678044580513</v>
      </c>
      <c r="AJ330" s="313" t="str">
        <f>IF(B330="S",(IF(AA330&lt;1,"N","S")),"")</f>
        <v>S</v>
      </c>
      <c r="AK330" s="288">
        <f>IF(B330="S",(IF(AJ330="S",(E330*AA330*0.7*2),0)),"")</f>
        <v>331.04330000000147</v>
      </c>
      <c r="AL330" s="288">
        <f>IF(B330="S",(IF(AJ330="S",(E330*AA330*0.3*2),0)),"")</f>
        <v>141.87570000000062</v>
      </c>
      <c r="AM330" s="288">
        <f>IF(B330="S",(IF(F330&gt;20,N330*(M330/10)*AA330,0)),"")</f>
        <v>0</v>
      </c>
      <c r="AN330" s="288">
        <f>IF(B330="S",((M330-0.4)*$AN$11),"")</f>
        <v>0</v>
      </c>
      <c r="AO330" s="288">
        <f>IF(B330="S",((M330-0.4)*$AO$11),"")</f>
        <v>0</v>
      </c>
      <c r="AP330" s="288">
        <f ca="1">IF(B330="S",((M330-(O330/2)-(P330/2))*$AP$11),"")</f>
        <v>88.154485757571251</v>
      </c>
      <c r="AQ330" s="288">
        <f ca="1">+SUM(AC330:AI330)</f>
        <v>200.84678044580511</v>
      </c>
      <c r="AR330" s="288">
        <f ca="1">+AT330+AU330+AZ330+BA330+BB330+BI330</f>
        <v>200.84678044580514</v>
      </c>
      <c r="AS330" s="314">
        <f ca="1">IF(B330="S",((N330*(0.4+G330/1000))-((G330/1000)^2*PI()/4)),"")</f>
        <v>0.4838529257330153</v>
      </c>
      <c r="AT330" s="315">
        <f ca="1">IF(B330="S",(AS330*AP330)-IF(BI330&gt;0,BI330,0),"")</f>
        <v>42.653805850290276</v>
      </c>
      <c r="AU330" s="314">
        <f ca="1">IF(B330="S",IF(Q330="NATURAL",0,(($AU$11*N330*AP330))),"")</f>
        <v>28.209435442422802</v>
      </c>
      <c r="AV330" s="312">
        <f>IF(B330="S",$AV$11,"")</f>
        <v>30</v>
      </c>
      <c r="AW330" s="288">
        <f ca="1">IF(B330="S",(BY330*1.1-(AT330+BI330)-AU330-BB330-AX330-AY330),"")</f>
        <v>124.33107971624904</v>
      </c>
      <c r="AX330" s="206"/>
      <c r="AY330" s="206"/>
      <c r="AZ330" s="288">
        <f ca="1">IF(B330="S",((BY330*1.1-BB330-(AT330+BI330)-AU330-AX330-AY330)*AV330/100),"")</f>
        <v>37.299323914874712</v>
      </c>
      <c r="BA330" s="288">
        <f ca="1">IF(B330="S",(IF(AW330&gt;AZ330,AW330-AZ330,0)),"")</f>
        <v>87.031755801374317</v>
      </c>
      <c r="BB330" s="288">
        <f ca="1">IF(B330="S",((((G330/1000)^2)/4*PI())*E330),"")</f>
        <v>5.6524594368430341</v>
      </c>
      <c r="BC330" s="288">
        <f ca="1">IF(B330="S",(BY330*1.1-AZ330),"")</f>
        <v>163.54745653093042</v>
      </c>
      <c r="BD330" s="288">
        <f t="shared" ca="1" si="15"/>
        <v>0.8</v>
      </c>
      <c r="BE330" s="316" t="b">
        <f ca="1">IF(B330="S",(IF(O330=1.5,IF(H330-J330&lt;=1,0,H330-J330-1))),"")</f>
        <v>0</v>
      </c>
      <c r="BF330" s="316" t="b">
        <f ca="1">IF(B330="S",(IF(O330&lt;=0.8,IF(H330-J330&lt;=1,0,H330-J330))),"")</f>
        <v>0</v>
      </c>
      <c r="BG330" s="316" t="b">
        <f ca="1">IF(B330="S",(IF(O330&lt;=0.6,IF(H330-J330&lt;=1,H330-J330,0))),"")</f>
        <v>0</v>
      </c>
      <c r="BH330" s="310">
        <f ca="1">IF(B330="S",(IF(BD330="","",IF(BD330="FALSO","",1))),"")</f>
        <v>1</v>
      </c>
      <c r="BI330" s="288">
        <f>IF(B330="S",(IF(F330&gt;=15,N330*((G330/1000)+0.3)*0.2,0)*(E330/5+1)),"")</f>
        <v>0</v>
      </c>
      <c r="BJ330" s="288">
        <f xml:space="preserve"> IF(B330="S",(BN330+BM330+0.3),"")</f>
        <v>0.76</v>
      </c>
      <c r="BK330" s="309">
        <f>IF(B330="S",(VLOOKUP('Cálculo_Diseño  (2)'!AY331,'TABLA (2)'!$H$102:'TABLA (2)'!$U$135,3)),"")</f>
        <v>0.7</v>
      </c>
      <c r="BL330" s="309">
        <f>IF(B330="S",(VLOOKUP('Cálculo_Diseño  (2)'!AY331,'TABLA (2)'!$H$102:'TABLA (2)'!$U$135,10)),"")</f>
        <v>0.55000000000000004</v>
      </c>
      <c r="BM330" s="309">
        <f>IF(B330="S",(VLOOKUP('Cálculo_Diseño  (2)'!AY331,'TABLA (2)'!$H$102:'TABLA (2)'!$U$135,11)),"")</f>
        <v>0.1</v>
      </c>
      <c r="BN330" s="309">
        <f>IF(B330="S",(VLOOKUP('Cálculo_Diseño  (2)'!AY331,'TABLA (2)'!$H$102:'TABLA (2)'!$U$135,12)),"")</f>
        <v>0.36</v>
      </c>
      <c r="BO330" s="288">
        <f>V330</f>
        <v>0</v>
      </c>
      <c r="BP330" s="313">
        <f>+IF(B330="S",(IF((1.8-AA330)&gt;=0,AA330+0.2,2)),"")</f>
        <v>2</v>
      </c>
      <c r="BQ330" s="288">
        <f>+IF(B330="S",(IF(BP330=2,IF((3.8-AA330)&gt;=0,(AA330+0.2-2),2),0)),"")</f>
        <v>0.85000000000001164</v>
      </c>
      <c r="BR330" s="288">
        <f>+IF(B330="S",(IF(BQ330=2,AA330+0.2-4,0)),"")</f>
        <v>0</v>
      </c>
      <c r="BS330" s="288">
        <f>IF(B330="S",((N330*(0.3+BN330/2)-0.392699*BN330*BN330)*AO330),"")</f>
        <v>0</v>
      </c>
      <c r="BU330" s="288">
        <f ca="1">IF(B330="S",((N330*(0.3+5*BN330/6)-0.699815*BN330*BN330)*AP330),"")</f>
        <v>34.318891807657856</v>
      </c>
      <c r="BV330" s="288">
        <f ca="1">IF(B330="S",(IF(BP330=0,"",(BP330)*(M330)*N330-(U330*$X$11+V330*$Y$11+W330*$Z$11)*N330)),"")</f>
        <v>121.82693190830992</v>
      </c>
      <c r="BW330" s="288">
        <f>IF(B330="S",(IF(BQ330=0,"",(M330)*BQ330*N330)),"")</f>
        <v>60.761050315149262</v>
      </c>
      <c r="BX330" s="288" t="str">
        <f>IF(B330="S",(IF(BR330=0,"",(M330)*BR330*N330)),"")</f>
        <v/>
      </c>
      <c r="BY330" s="288">
        <f ca="1">IF(B330="S",((AA330+0.2)*N330*(M330)-(U330*$X$11+V330*$Y$11+W330*$Z$11)*N330),"")</f>
        <v>182.58798222345919</v>
      </c>
      <c r="BZ330" s="288">
        <f>IF(B330="S",((N330*(0.3+BN330/2)-0.392699*BN330*BN330)*AN330),"")</f>
        <v>0</v>
      </c>
      <c r="CA330" s="288">
        <f ca="1">IF(B330="S",(IF(O330=1.2,(O330/2),IF(O330=0.8,O330/2,IF(O330=1.5,O330/2,IF(O330=0.6,O330/2,"IDIOT"))))),"")</f>
        <v>0.6</v>
      </c>
      <c r="CB330" s="288">
        <f ca="1">IF(B330="S",(IF(P330=1.2,(P330/2),IF(P330=0.8,P330/2,IF(P330=1.5,P330/2,IF(P330=0.6,P330/2,"IDIOT"))))),"")</f>
        <v>0.6</v>
      </c>
      <c r="CC330" s="316">
        <f>IF(B330="S",((BN330/2+0.1)*N330),"")</f>
        <v>0.224</v>
      </c>
      <c r="CD330" s="288">
        <f>IF(B330="S",((BN330/2+BN330/4)*N330),"")</f>
        <v>0.216</v>
      </c>
      <c r="CE330" s="288">
        <f>IF(B330="S",(0.392699*BN330*BN330),"")</f>
        <v>5.0893790399999993E-2</v>
      </c>
      <c r="CF330" s="288" t="str">
        <f ca="1">+IF(B330="S",(IF(((H330-J330)-(G330/1000))&lt;=0.9,"E1",IF(((H330-J330)-(G330/1000))&lt;=2.5,"E2","E3"))),"")</f>
        <v>E2</v>
      </c>
      <c r="CG330" s="313">
        <f ca="1">IF(B330="S",(IF(BV330="","",BV330-(BV330*L330/100))),"")</f>
        <v>120.60866258922681</v>
      </c>
      <c r="CH330" s="313">
        <f t="shared" si="16"/>
        <v>60.153439811997771</v>
      </c>
      <c r="CI330" s="313" t="str">
        <f t="shared" si="16"/>
        <v/>
      </c>
      <c r="CJ330" s="288">
        <f ca="1">'Cálculo_Diseño  (2)'!BD331</f>
        <v>1.4504999999999999</v>
      </c>
      <c r="CK330" s="313">
        <f ca="1">+IF(B330="S",(IF((CJ330+CU330)&gt;2,2,CJ330+CU330)),"")</f>
        <v>2</v>
      </c>
      <c r="CL330" s="313">
        <f ca="1">+IF(B330="S",(IF((CJ330+CU330)&gt;4,2,IF(AND((CJ330+CU330)&lt;=4,(CJ330+CU330)&gt;=2),((CJ330+CU330)-CK330),0))),"")</f>
        <v>0.9009999999999998</v>
      </c>
      <c r="CM330" s="313">
        <f ca="1">+IF(B330="S",(IF((CJ330+CU330)&gt;4,((CJ330+CU330)-(CK330+CL330)),0)),"")</f>
        <v>0</v>
      </c>
      <c r="CN330" s="313">
        <f ca="1">IF(B330="S",IF((CJ330+CU330)&lt;1.5,(ROUND(CJ330*PI()/4*(2.2)^2+CU330*(PI()/4*(2.2)^2 -PI()/4*(1.6)^2),2)),IF((CJ330+CU330)&lt;=2,(ROUND(((PI()*2.2^2)/4)*0.95-(((1/3)*PI()*0.95*(0.45^2+0.7^2+0.45*0.7)))+(CJ330*PI()/4*(2.2)^2)+(((((CU330)-0.95)*PI()*2.2^2)/4))-((((CU330)-0.95)*PI()*1.6^2)/4),2)),IF((CJ330+CU330)&gt;2,(ROUND(IF(CU330&lt;2,((PI()*2.2^2)/4)*0.95-(((1/3)*PI()*0.95*(0.45^2+0.7^2+0.45*0.7)))+((CU330-0.95)*(PI()/4*(2.2)^2 -PI()/4*(1.6)^2))+(2-CU330)*PI()/4*(2.2)^2,((PI()*2.2^2)/4)*0.95-(((1/3)*PI()*0.95*(0.45^2+0.7^2+0.45*0.7)))+((2-0.95)*(PI()/4*(2.2)^2 -PI()/4*(1.6)^2))),2))))),"")</f>
        <v>5.59</v>
      </c>
      <c r="CO330" s="313">
        <f ca="1">IF(B330="S",ROUND(IF(CL330&lt;=0,0,IF(AND(CL330&gt;0,CU330&lt;=0),CL330*PI()/4*2.2^(2),IF(AND(CL330&gt;0,CU330&gt;=4),CL330*(PI()/4*2.2^2-PI()/4*1.6^2),IF(AND(CL330&gt;0,CU330&gt;2,CU330&lt;4,CJ330&gt;0),(CU330-2)*(PI()/4*2.2^(2)-PI()/4*1.6^(2))+IF((CU330+CJ330)&gt;4,(4-CU330)*(PI()/4*2.2^(2)),(CJ330)*PI()/4*(2.2^2)),IF(AND(CL330&gt;0,CU330&lt;=2),(CL330*PI()/4*2.2^2)))))),2),"")</f>
        <v>3.42</v>
      </c>
      <c r="CP330" s="313">
        <f ca="1">IF(B330="S",(ROUND(IF(CM330&lt;=0,0,IF(AND(CM330&gt;0,CU330&lt;=0),CM330*PI()/4*2.2^(2),IF(AND(CM330&gt;0,CU330&gt;4,CJ330&lt;=0),CM330*(PI()/4*2.2^2-PI()/4*1.6^2),IF(AND(CM330&gt;0,CU330&lt;=4),CM330*PI()/4*2.2^2)))),2)),"")</f>
        <v>0</v>
      </c>
      <c r="CQ330" s="313">
        <f ca="1">IF(B330="S",IF(CK330&gt;1.5,(2*PI()*(0.9)*(CJ330+CU330)),0),"")</f>
        <v>16.40476851851518</v>
      </c>
      <c r="CR330" s="313">
        <f ca="1">IF(B330="S",(ROUND(IF(CN330&gt;0,CN330+CO330+CP330-CS330,0),2)),"")</f>
        <v>2.91</v>
      </c>
      <c r="CS330" s="313">
        <f ca="1">IF(B330="S",(IF(CJ330=0,0,IF(AND((H330-J330)&lt;1.5,CU330&gt;0),ROUND(CU330*(PI()/4*(2.2)^2 -PI()/4*(1.6)^2),2),(ROUND(((PI()*2.2^2)/4)*0.95-(((1/3)*PI()*0.95*(0.45^2+0.7^2+0.45*0.7)))+(((((CJ330+CU330)-0.95)*PI()*2.2^2)/4))-((((CJ330+CU330)-0.95)*PI()*1.6^2)/4),2))))),"")</f>
        <v>6.1</v>
      </c>
      <c r="CT330" s="313" t="str">
        <f ca="1">IF(B330="S",(IF(CN330&gt;=0,IF(CN330+CO330+CP330=(CR330+CS330),"OK","VERIFICAR"),0)),"")</f>
        <v>OK</v>
      </c>
      <c r="CU330" s="309">
        <f ca="1">'Cálculo_Diseño  (2)'!BD331</f>
        <v>1.4504999999999999</v>
      </c>
      <c r="CV330" s="288" t="str">
        <f ca="1">IF(G330=182,M330-(O330/2)-(P330/2),"")</f>
        <v/>
      </c>
      <c r="CW330" s="288" t="str">
        <f ca="1">IF(G330=227,M330-(O330/2)-(P330/2),"")</f>
        <v/>
      </c>
      <c r="CX330" s="288">
        <f ca="1">IF(G330=284,M330-(O330/2)-(P330/2),"")</f>
        <v>88.154485757571251</v>
      </c>
      <c r="CY330" s="288" t="str">
        <f ca="1">IF(G330=327,M330-(O330/2)-(P330/2),"")</f>
        <v/>
      </c>
      <c r="CZ330" s="288" t="str">
        <f ca="1">IF(G330=362,M330-(O330/2)-(P330/2),"")</f>
        <v/>
      </c>
      <c r="DA330" s="288" t="str">
        <f ca="1">IF(G330=407,M330-(O330/2)-(P330/2),"")</f>
        <v/>
      </c>
      <c r="DB330" s="288" t="str">
        <f ca="1">IF(G330=452,M330-(O330/2)-(P330/2),"")</f>
        <v/>
      </c>
      <c r="DC330" s="288" t="str">
        <f ca="1">IF(G330=595.12,M330-(O330/2)-(P330/2),"")</f>
        <v/>
      </c>
      <c r="DD330" s="288" t="str">
        <f ca="1">IF(G330=670,M330-(O330/2)-(P330/2),"")</f>
        <v/>
      </c>
      <c r="DE330" s="288" t="str">
        <f ca="1">IF(G330=747,M330-(O330/2)-(P330/2),"")</f>
        <v/>
      </c>
      <c r="DF330" s="288" t="str">
        <f ca="1">IF(G330=823.09,M330-(O330/2)-(P330/2),"")</f>
        <v/>
      </c>
      <c r="DG330" s="288" t="str">
        <f ca="1">IF(G330=899.03,M330-(O330/2)-(P330/2),"")</f>
        <v/>
      </c>
      <c r="DH330" s="309"/>
      <c r="DI330" s="288" t="str">
        <f>+IF(B330="S",B330,"N")</f>
        <v>S</v>
      </c>
      <c r="DJ330" s="288">
        <f>+IF(DI330="S",E330,"")</f>
        <v>89.23</v>
      </c>
      <c r="DK330" s="310">
        <v>24</v>
      </c>
      <c r="DL330" s="288">
        <f>IF(DI330="S",((((AA330+1)*6)/2)*0.7*DK330),"")</f>
        <v>183.96000000000058</v>
      </c>
      <c r="DM330" s="288">
        <f>IF(DI330="S",(ATAN(6/(AA330-1))*180/PI()),"")</f>
        <v>74.623748751173707</v>
      </c>
      <c r="DN330" s="206">
        <f>IF(DI330="S",(TAN(DM330*PI()/180)*(AA330-2)),"")</f>
        <v>2.3636363636363886</v>
      </c>
      <c r="DO330" s="206">
        <f>IF(DI330="S",(TAN(DM330*PI()/180)*(AA330-4)),"")</f>
        <v>-4.9090909090908328</v>
      </c>
      <c r="DP330" s="288">
        <f>IF(DI330="S",(IF(AA330&lt;=2,((((AA330+1)*6)/2)*0.7*DK330),IF(AND(AA330&gt;2,AA330&lt;=4),((((AA330+1)*6)/2)*0.7*DK330)-(((AA330-2)*DN330)/2*0.7*DK330),IF(AND(AA330&gt;4,AA330&lt;=6),((((AA330+1)*6)/2)*0.7*DK330)-(((AA330-2)*DN330)/2*0.7*DK330),0)))),"")</f>
        <v>171.05454545454566</v>
      </c>
      <c r="DQ330" s="288">
        <f>IF(DI330="S",(IF(AND(AA330&gt;2,AA330&lt;=4),(((AA330-2)*DN330)/2*0.7*DK330),IF(AND(AA330&gt;4,AA330&lt;=6),(((AA330-2)*DN330)/2*0.7*DK330)-((AA330-4)*DO330/2*0.7*DK330),0))),"")</f>
        <v>12.905454545454909</v>
      </c>
      <c r="DR330" s="288">
        <f>IF(DI330="S",(IF(AND(AA330&gt;4,AA330&lt;=6),((AA330-4)*DO330/2*0.7*DK330),IF(AA330&lt;4,0,"REVISAR"))),"")</f>
        <v>0</v>
      </c>
      <c r="DS330" s="288">
        <f t="shared" si="13"/>
        <v>267.12000000000114</v>
      </c>
      <c r="DT330" s="288">
        <f t="shared" si="14"/>
        <v>114.4800000000005</v>
      </c>
      <c r="DU330" s="310" t="str">
        <f ca="1">IF(B330="S",(IF(DI330="S",IF(G330=$DU$11,DK330,""),"")),"")</f>
        <v/>
      </c>
      <c r="DV330" s="310" t="str">
        <f ca="1">IF(B330="S",(IF(DI330="S",IF(G330=$DV$11,DK330,""),"")),"")</f>
        <v/>
      </c>
      <c r="DW330" s="310">
        <f ca="1">IF(B330="S",(IF(DI330="S",IF(G330=$DW$11,DK330,""),"")),"")</f>
        <v>24</v>
      </c>
      <c r="DX330" s="310" t="str">
        <f ca="1">IF(B330="S",(IF(DI330="S",IF(G330=$DX$11,DK330,""),"")),"")</f>
        <v/>
      </c>
      <c r="DY330" s="310" t="str">
        <f ca="1">IF(B330="S",(IF(DI330="S",IF(G330=$DY$11,DK330,""),"")),"")</f>
        <v/>
      </c>
      <c r="DZ330" s="310" t="str">
        <f ca="1">IF(B330="S",(IF(DI330="S",IF(G330=$DZ$11,DK330,""),"")),"")</f>
        <v/>
      </c>
      <c r="EA330" s="310" t="str">
        <f ca="1">IF(B330="S",(IF(DI330="S",IF(G330=$EA$11,DK330,""),"")),"")</f>
        <v/>
      </c>
      <c r="EB330" s="310" t="str">
        <f ca="1">IF(B330="S",(IF(DI330="S",IF(G330=$EB$11,DK330,""),"")),"")</f>
        <v/>
      </c>
      <c r="EC330" s="288">
        <f>IF(B330="S",0.95,"")</f>
        <v>0.95</v>
      </c>
      <c r="ED330" s="310"/>
      <c r="EE330" s="310"/>
      <c r="EF330" s="310"/>
      <c r="EH330" s="310">
        <f>+IF(EC330=0.95,2+((ED330+EE330+EF330)-1),"")</f>
        <v>1</v>
      </c>
    </row>
    <row r="331" spans="1:138" s="288" customFormat="1">
      <c r="A331" s="288" t="s">
        <v>330</v>
      </c>
      <c r="B331" s="288" t="str">
        <f>A331</f>
        <v>S</v>
      </c>
      <c r="C331" s="309" t="str">
        <f>IF(A331="S",'Cálculo_Diseño  (2)'!C332," ")</f>
        <v>C227</v>
      </c>
      <c r="D331" s="309" t="str">
        <f>IF(A331="S",'Cálculo_Diseño  (2)'!D332," ")</f>
        <v>C175</v>
      </c>
      <c r="E331" s="309">
        <f>IF(B331="S",'Cálculo_Diseño  (2)'!AX332," ")</f>
        <v>100.41</v>
      </c>
      <c r="F331" s="309">
        <f>IF(B331="S",'Cálculo_Diseño  (2)'!BL332," ")</f>
        <v>2.9319788865651568</v>
      </c>
      <c r="G331" s="309">
        <f ca="1">IF(B331="S",'Cálculo_Diseño  (2)'!AZ332," ")</f>
        <v>362</v>
      </c>
      <c r="H331" s="309">
        <f>IF(B331="S",'Cálculo_Diseño  (2)'!BB332," ")</f>
        <v>987.71</v>
      </c>
      <c r="I331" s="309">
        <f>IF(B331="S",'Cálculo_Diseño  (2)'!BC332," ")</f>
        <v>985.99599999999998</v>
      </c>
      <c r="J331" s="309">
        <f>IF(B331="S",'Cálculo_Diseño  (2)'!BH332," ")</f>
        <v>984.28000000000009</v>
      </c>
      <c r="K331" s="309">
        <f>IF(B331="S",'Cálculo_Diseño  (2)'!BI332," ")</f>
        <v>981.33600000000001</v>
      </c>
      <c r="L331" s="315">
        <f>IF(B331="S",+$L$11,"")</f>
        <v>1</v>
      </c>
      <c r="M331" s="288">
        <f>IF(B331="S",(E331^2+(J331-K331)^2)^0.5," ")</f>
        <v>100.45314945784428</v>
      </c>
      <c r="N331" s="288">
        <f>IF(AJ331="S",BK331+0.1,BK331)</f>
        <v>0.9</v>
      </c>
      <c r="O331" s="288">
        <f ca="1">IF(B331="S",(IF(G331&lt;=500,1.2,1.5)),"")</f>
        <v>1.2</v>
      </c>
      <c r="P331" s="288">
        <f ca="1">IF(B331="S",(IF(G331&lt;=500,1.2,1.5)),"")</f>
        <v>1.2</v>
      </c>
      <c r="Q331" s="309" t="s">
        <v>331</v>
      </c>
      <c r="R331" s="311" t="str">
        <f>+IF(B331="S",(IF(Q331="FLEXIBLE","S","N")),"")</f>
        <v>N</v>
      </c>
      <c r="S331" s="311" t="str">
        <f>+IF(B331="S",(IF(Q331="ADOQUIN","S","N")),"")</f>
        <v>N</v>
      </c>
      <c r="T331" s="311" t="str">
        <f>+IF(B331="S",(IF(Q331="CONCRETO","S","N")),"")</f>
        <v>S</v>
      </c>
      <c r="U331" s="288">
        <f>IF(B331="S",(IF(R331="S",(((((H331-I331)^2)+(E331^2))^0.5)-CA331-CB331)*$U$11,0)),"")</f>
        <v>0</v>
      </c>
      <c r="V331" s="288">
        <f>IF(B331="S",(IF(S331="S",(((((H331-I331)^2)+(E331^2))^0.5)-CA331-CB331)*$V$11,0)),"")</f>
        <v>0</v>
      </c>
      <c r="W331" s="288">
        <f ca="1">IF(B331="S",(IF(T331="S",(((((H331-I331)^2)+(E331^2))^0.5)-CA331-CB331)*$W$11,0)),"")</f>
        <v>99.224627935581623</v>
      </c>
      <c r="X331" s="288">
        <f>IF(B331="S",(U331*(N331+0.2)*$X$11),"")</f>
        <v>0</v>
      </c>
      <c r="Y331" s="288">
        <f>IF(B331="S",(V331*(N331+0.2)*$Y$11),"")</f>
        <v>0</v>
      </c>
      <c r="Z331" s="288">
        <f ca="1">IF(B331="S",(W331*(N331+0.2)*$Z$11+IF(Q331="CONCRETO",PI()/4*0.2*(O331+0.2*2+0.1*2)^2)),"")</f>
        <v>33.253065228623484</v>
      </c>
      <c r="AA331" s="288">
        <f>IF(B331="S",(((H331-J331)+(I331-K331))/2+BM331),"")</f>
        <v>4.1449999999999587</v>
      </c>
      <c r="AB331" s="312">
        <f>IF(B331="S",($AB$11),"")</f>
        <v>10</v>
      </c>
      <c r="AC331" s="288">
        <f ca="1">IF(B331="S",(IF(CG331="","",(CG331*(AB331/100))*$I$527)),"")</f>
        <v>16.77332462153673</v>
      </c>
      <c r="AD331" s="288">
        <f>IF(B331="S",(IF(CH331="","",(CH331*AB331/100)*$I$527)),"")</f>
        <v>19.690826356726639</v>
      </c>
      <c r="AE331" s="288" t="str">
        <f>IF(B331="S",(IF(CI331="","",(CI331*AB331/100)*$I$527)),"")</f>
        <v/>
      </c>
      <c r="AF331" s="313">
        <f ca="1">IF(B331="S",(IF(CG331="","",(CG331*$I$527)-AC331)),"")</f>
        <v>150.95992159383059</v>
      </c>
      <c r="AG331" s="313">
        <f>IF(B331="S",(IF(CH331="","",(CH331*$I$527)-AD331)),"")</f>
        <v>177.21743721053974</v>
      </c>
      <c r="AH331" s="313" t="str">
        <f>IF(B331="S",(IF(CI331="","",(CI331*$I$527)-AE331)),"")</f>
        <v/>
      </c>
      <c r="AI331" s="313">
        <f ca="1">IF(B331="S",((BY331*(L331/100))*1.1),"")</f>
        <v>4.026345305535183</v>
      </c>
      <c r="AJ331" s="313" t="str">
        <f>IF(B331="S",(IF(AA331&lt;1,"N","S")),"")</f>
        <v>S</v>
      </c>
      <c r="AK331" s="288">
        <f>IF(B331="S",(IF(AJ331="S",(E331*AA331*0.7*2),0)),"")</f>
        <v>582.67922999999416</v>
      </c>
      <c r="AL331" s="288">
        <f>IF(B331="S",(IF(AJ331="S",(E331*AA331*0.3*2),0)),"")</f>
        <v>249.71966999999751</v>
      </c>
      <c r="AM331" s="288">
        <f>IF(B331="S",(IF(F331&gt;20,N331*(M331/10)*AA331,0)),"")</f>
        <v>0</v>
      </c>
      <c r="AN331" s="288">
        <f>IF(B331="S",((M331-0.4)*$AN$11),"")</f>
        <v>0</v>
      </c>
      <c r="AO331" s="288">
        <f>IF(B331="S",((M331-0.4)*$AO$11),"")</f>
        <v>0</v>
      </c>
      <c r="AP331" s="288">
        <f ca="1">IF(B331="S",((M331-(O331/2)-(P331/2))*$AP$11),"")</f>
        <v>99.253149457844287</v>
      </c>
      <c r="AQ331" s="288">
        <f ca="1">+SUM(AC331:AI331)</f>
        <v>368.66785508816889</v>
      </c>
      <c r="AR331" s="288">
        <f ca="1">+AT331+AU331+AZ331+BA331+BB331+BI331</f>
        <v>402.63453055351829</v>
      </c>
      <c r="AS331" s="314">
        <f ca="1">IF(B331="S",((N331*(0.4+G331/1000))-((G331/1000)^2*PI()/4)),"")</f>
        <v>0.58287828307574485</v>
      </c>
      <c r="AT331" s="315">
        <f ca="1">IF(B331="S",(AS331*AP331)-IF(BI331&gt;0,BI331,0),"")</f>
        <v>57.852505345848577</v>
      </c>
      <c r="AU331" s="314">
        <f ca="1">IF(B331="S",IF(Q331="NATURAL",0,(($AU$11*N331*AP331))),"")</f>
        <v>35.731133804823948</v>
      </c>
      <c r="AV331" s="312">
        <f>IF(B331="S",$AV$11,"")</f>
        <v>30</v>
      </c>
      <c r="AW331" s="288">
        <f ca="1">IF(B331="S",(BY331*1.1-(AT331+BI331)-AU331-BB331-AX331-AY331),"")</f>
        <v>298.7165218064813</v>
      </c>
      <c r="AX331" s="206"/>
      <c r="AY331" s="206"/>
      <c r="AZ331" s="288">
        <f ca="1">IF(B331="S",((BY331*1.1-BB331-(AT331+BI331)-AU331-AX331-AY331)*AV331/100),"")</f>
        <v>89.614956541944395</v>
      </c>
      <c r="BA331" s="288">
        <f ca="1">IF(B331="S",(IF(AW331&gt;AZ331,AW331-AZ331,0)),"")</f>
        <v>209.1015652645369</v>
      </c>
      <c r="BB331" s="288">
        <f ca="1">IF(B331="S",((((G331/1000)^2)/4*PI())*E331),"")</f>
        <v>10.334369596364466</v>
      </c>
      <c r="BC331" s="288">
        <f ca="1">IF(B331="S",(BY331*1.1-AZ331),"")</f>
        <v>313.01957401157392</v>
      </c>
      <c r="BD331" s="288">
        <f t="shared" ca="1" si="15"/>
        <v>2.4799999999999498</v>
      </c>
      <c r="BE331" s="316" t="b">
        <f ca="1">IF(B331="S",(IF(O331=1.5,IF(H331-J331&lt;=1,0,H331-J331-1))),"")</f>
        <v>0</v>
      </c>
      <c r="BF331" s="316" t="b">
        <f ca="1">IF(B331="S",(IF(O331&lt;=0.8,IF(H331-J331&lt;=1,0,H331-J331))),"")</f>
        <v>0</v>
      </c>
      <c r="BG331" s="316" t="b">
        <f ca="1">IF(B331="S",(IF(O331&lt;=0.6,IF(H331-J331&lt;=1,H331-J331,0))),"")</f>
        <v>0</v>
      </c>
      <c r="BH331" s="310">
        <f ca="1">IF(B331="S",(IF(BD331="","",IF(BD331="FALSO","",1))),"")</f>
        <v>1</v>
      </c>
      <c r="BI331" s="288">
        <f>IF(B331="S",(IF(F331&gt;=15,N331*((G331/1000)+0.3)*0.2,0)*(E331/5+1)),"")</f>
        <v>0</v>
      </c>
      <c r="BJ331" s="288">
        <f xml:space="preserve"> IF(B331="S",(BN331+BM331+0.3),"")</f>
        <v>0.89999999999999991</v>
      </c>
      <c r="BK331" s="309">
        <f>IF(B331="S",(VLOOKUP('Cálculo_Diseño  (2)'!AY332,'TABLA (2)'!$H$102:'TABLA (2)'!$U$135,3)),"")</f>
        <v>0.8</v>
      </c>
      <c r="BL331" s="309">
        <f>IF(B331="S",(VLOOKUP('Cálculo_Diseño  (2)'!AY332,'TABLA (2)'!$H$102:'TABLA (2)'!$U$135,10)),"")</f>
        <v>0.8</v>
      </c>
      <c r="BM331" s="309">
        <f>IF(B331="S",(VLOOKUP('Cálculo_Diseño  (2)'!AY332,'TABLA (2)'!$H$102:'TABLA (2)'!$U$135,11)),"")</f>
        <v>0.1</v>
      </c>
      <c r="BN331" s="309">
        <f>IF(B331="S",(VLOOKUP('Cálculo_Diseño  (2)'!AY332,'TABLA (2)'!$H$102:'TABLA (2)'!$U$135,12)),"")</f>
        <v>0.5</v>
      </c>
      <c r="BO331" s="288">
        <f>V331</f>
        <v>0</v>
      </c>
      <c r="BP331" s="313">
        <f>+IF(B331="S",(IF((1.8-AA331)&gt;=0,AA331+0.2,2)),"")</f>
        <v>2</v>
      </c>
      <c r="BQ331" s="288">
        <f>+IF(B331="S",(IF(BP331=2,IF((3.8-AA331)&gt;=0,(AA331+0.2-2),2),0)),"")</f>
        <v>2</v>
      </c>
      <c r="BR331" s="288">
        <f>+IF(B331="S",(IF(BQ331=2,AA331+0.2-4,0)),"")</f>
        <v>0.3449999999999589</v>
      </c>
      <c r="BS331" s="288">
        <f>IF(B331="S",((N331*(0.3+BN331/2)-0.392699*BN331*BN331)*AO331),"")</f>
        <v>0</v>
      </c>
      <c r="BU331" s="288">
        <f ca="1">IF(B331="S",((N331*(0.3+5*BN331/6)-0.699815*BN331*BN331)*AP331),"")</f>
        <v>46.653570703349239</v>
      </c>
      <c r="BV331" s="288">
        <f ca="1">IF(B331="S",(IF(BP331=0,"",(BP331)*(M331)*N331-(U331*$X$11+V331*$Y$11+W331*$Z$11)*N331)),"")</f>
        <v>154.02501948151266</v>
      </c>
      <c r="BW331" s="288">
        <f>IF(B331="S",(IF(BQ331=0,"",(M331)*BQ331*N331)),"")</f>
        <v>180.8156690241197</v>
      </c>
      <c r="BX331" s="288">
        <f>IF(B331="S",(IF(BR331=0,"",(M331)*BR331*N331)),"")</f>
        <v>31.190702906656934</v>
      </c>
      <c r="BY331" s="288">
        <f ca="1">IF(B331="S",((AA331+0.2)*N331*(M331)-(U331*$X$11+V331*$Y$11+W331*$Z$11)*N331),"")</f>
        <v>366.03139141228934</v>
      </c>
      <c r="BZ331" s="288">
        <f>IF(B331="S",((N331*(0.3+BN331/2)-0.392699*BN331*BN331)*AN331),"")</f>
        <v>0</v>
      </c>
      <c r="CA331" s="288">
        <f ca="1">IF(B331="S",(IF(O331=1.2,(O331/2),IF(O331=0.8,O331/2,IF(O331=1.5,O331/2,IF(O331=0.6,O331/2,"IDIOT"))))),"")</f>
        <v>0.6</v>
      </c>
      <c r="CB331" s="288">
        <f ca="1">IF(B331="S",(IF(P331=1.2,(P331/2),IF(P331=0.8,P331/2,IF(P331=1.5,P331/2,IF(P331=0.6,P331/2,"IDIOT"))))),"")</f>
        <v>0.6</v>
      </c>
      <c r="CC331" s="316">
        <f>IF(B331="S",((BN331/2+0.1)*N331),"")</f>
        <v>0.315</v>
      </c>
      <c r="CD331" s="288">
        <f>IF(B331="S",((BN331/2+BN331/4)*N331),"")</f>
        <v>0.33750000000000002</v>
      </c>
      <c r="CE331" s="288">
        <f>IF(B331="S",(0.392699*BN331*BN331),"")</f>
        <v>9.8174750000000005E-2</v>
      </c>
      <c r="CF331" s="288" t="str">
        <f ca="1">+IF(B331="S",(IF(((H331-J331)-(G331/1000))&lt;=0.9,"E1",IF(((H331-J331)-(G331/1000))&lt;=2.5,"E2","E3"))),"")</f>
        <v>E3</v>
      </c>
      <c r="CG331" s="313">
        <f ca="1">IF(B331="S",(IF(BV331="","",BV331-(BV331*L331/100))),"")</f>
        <v>152.48476928669754</v>
      </c>
      <c r="CH331" s="313">
        <f t="shared" si="16"/>
        <v>179.00751233387851</v>
      </c>
      <c r="CI331" s="313" t="str">
        <f t="shared" si="16"/>
        <v/>
      </c>
      <c r="CJ331" s="288">
        <f ca="1">'Cálculo_Diseño  (2)'!BD332</f>
        <v>3.0490000000000004</v>
      </c>
      <c r="CK331" s="313">
        <f ca="1">+IF(B331="S",(IF((CJ331+CU331)&gt;2,2,CJ331+CU331)),"")</f>
        <v>2</v>
      </c>
      <c r="CL331" s="313">
        <f ca="1">+IF(B331="S",(IF((CJ331+CU331)&gt;4,2,IF(AND((CJ331+CU331)&lt;=4,(CJ331+CU331)&gt;=2),((CJ331+CU331)-CK331),0))),"")</f>
        <v>2</v>
      </c>
      <c r="CM331" s="313">
        <f ca="1">+IF(B331="S",(IF((CJ331+CU331)&gt;4,((CJ331+CU331)-(CK331+CL331)),0)),"")</f>
        <v>2.0980000000000008</v>
      </c>
      <c r="CN331" s="313">
        <f ca="1">IF(B331="S",IF((CJ331+CU331)&lt;1.5,(ROUND(CJ331*PI()/4*(2.2)^2+CU331*(PI()/4*(2.2)^2 -PI()/4*(1.6)^2),2)),IF((CJ331+CU331)&lt;=2,(ROUND(((PI()*2.2^2)/4)*0.95-(((1/3)*PI()*0.95*(0.45^2+0.7^2+0.45*0.7)))+(CJ331*PI()/4*(2.2)^2)+(((((CU331)-0.95)*PI()*2.2^2)/4))-((((CU331)-0.95)*PI()*1.6^2)/4),2)),IF((CJ331+CU331)&gt;2,(ROUND(IF(CU331&lt;2,((PI()*2.2^2)/4)*0.95-(((1/3)*PI()*0.95*(0.45^2+0.7^2+0.45*0.7)))+((CU331-0.95)*(PI()/4*(2.2)^2 -PI()/4*(1.6)^2))+(2-CU331)*PI()/4*(2.2)^2,((PI()*2.2^2)/4)*0.95-(((1/3)*PI()*0.95*(0.45^2+0.7^2+0.45*0.7)))+((2-0.95)*(PI()/4*(2.2)^2 -PI()/4*(1.6)^2))),2))))),"")</f>
        <v>4.49</v>
      </c>
      <c r="CO331" s="313">
        <f ca="1">IF(B331="S",ROUND(IF(CL331&lt;=0,0,IF(AND(CL331&gt;0,CU331&lt;=0),CL331*PI()/4*2.2^(2),IF(AND(CL331&gt;0,CU331&gt;=4),CL331*(PI()/4*2.2^2-PI()/4*1.6^2),IF(AND(CL331&gt;0,CU331&gt;2,CU331&lt;4,CJ331&gt;0),(CU331-2)*(PI()/4*2.2^(2)-PI()/4*1.6^(2))+IF((CU331+CJ331)&gt;4,(4-CU331)*(PI()/4*2.2^(2)),(CJ331)*PI()/4*(2.2^2)),IF(AND(CL331&gt;0,CU331&lt;=2),(CL331*PI()/4*2.2^2)))))),2),"")</f>
        <v>5.49</v>
      </c>
      <c r="CP331" s="313">
        <f ca="1">IF(B331="S",(ROUND(IF(CM331&lt;=0,0,IF(AND(CM331&gt;0,CU331&lt;=0),CM331*PI()/4*2.2^(2),IF(AND(CM331&gt;0,CU331&gt;4,CJ331&lt;=0),CM331*(PI()/4*2.2^2-PI()/4*1.6^2),IF(AND(CM331&gt;0,CU331&lt;=4),CM331*PI()/4*2.2^2)))),2)),"")</f>
        <v>7.98</v>
      </c>
      <c r="CQ331" s="313">
        <f ca="1">IF(B331="S",IF(CK331&gt;1.5,(2*PI()*(0.9)*(CJ331+CU331)),0),"")</f>
        <v>34.483377602863008</v>
      </c>
      <c r="CR331" s="313">
        <f ca="1">IF(B331="S",(ROUND(IF(CN331&gt;0,CN331+CO331+CP331-CS331,0),2)),"")</f>
        <v>6.13</v>
      </c>
      <c r="CS331" s="313">
        <f ca="1">IF(B331="S",(IF(CJ331=0,0,IF(AND((H331-J331)&lt;1.5,CU331&gt;0),ROUND(CU331*(PI()/4*(2.2)^2 -PI()/4*(1.6)^2),2),(ROUND(((PI()*2.2^2)/4)*0.95-(((1/3)*PI()*0.95*(0.45^2+0.7^2+0.45*0.7)))+(((((CJ331+CU331)-0.95)*PI()*2.2^2)/4))-((((CJ331+CU331)-0.95)*PI()*1.6^2)/4),2))))),"")</f>
        <v>11.83</v>
      </c>
      <c r="CT331" s="313" t="str">
        <f ca="1">IF(B331="S",(IF(CN331&gt;=0,IF(CN331+CO331+CP331=(CR331+CS331),"OK","VERIFICAR"),0)),"")</f>
        <v>OK</v>
      </c>
      <c r="CU331" s="309">
        <f ca="1">'Cálculo_Diseño  (2)'!BD332</f>
        <v>3.0490000000000004</v>
      </c>
      <c r="CV331" s="288" t="str">
        <f ca="1">IF(G331=182,M331-(O331/2)-(P331/2),"")</f>
        <v/>
      </c>
      <c r="CW331" s="288" t="str">
        <f ca="1">IF(G331=227,M331-(O331/2)-(P331/2),"")</f>
        <v/>
      </c>
      <c r="CX331" s="288" t="str">
        <f ca="1">IF(G331=284,M331-(O331/2)-(P331/2),"")</f>
        <v/>
      </c>
      <c r="CY331" s="288" t="str">
        <f ca="1">IF(G331=327,M331-(O331/2)-(P331/2),"")</f>
        <v/>
      </c>
      <c r="CZ331" s="288">
        <f ca="1">IF(G331=362,M331-(O331/2)-(P331/2),"")</f>
        <v>99.253149457844287</v>
      </c>
      <c r="DA331" s="288" t="str">
        <f ca="1">IF(G331=407,M331-(O331/2)-(P331/2),"")</f>
        <v/>
      </c>
      <c r="DB331" s="288" t="str">
        <f ca="1">IF(G331=452,M331-(O331/2)-(P331/2),"")</f>
        <v/>
      </c>
      <c r="DC331" s="288" t="str">
        <f ca="1">IF(G331=595.12,M331-(O331/2)-(P331/2),"")</f>
        <v/>
      </c>
      <c r="DD331" s="288" t="str">
        <f ca="1">IF(G331=670,M331-(O331/2)-(P331/2),"")</f>
        <v/>
      </c>
      <c r="DE331" s="288" t="str">
        <f ca="1">IF(G331=747,M331-(O331/2)-(P331/2),"")</f>
        <v/>
      </c>
      <c r="DF331" s="288" t="str">
        <f ca="1">IF(G331=823.09,M331-(O331/2)-(P331/2),"")</f>
        <v/>
      </c>
      <c r="DG331" s="288" t="str">
        <f ca="1">IF(G331=899.03,M331-(O331/2)-(P331/2),"")</f>
        <v/>
      </c>
      <c r="DH331" s="309"/>
      <c r="DI331" s="288" t="str">
        <f>+IF(B331="S",B331,"N")</f>
        <v>S</v>
      </c>
      <c r="DJ331" s="288">
        <f>+IF(DI331="S",E331,"")</f>
        <v>100.41</v>
      </c>
      <c r="DK331" s="310">
        <v>25</v>
      </c>
      <c r="DL331" s="288">
        <f>IF(DI331="S",((((AA331+1)*6)/2)*0.7*DK331),"")</f>
        <v>270.11249999999779</v>
      </c>
      <c r="DM331" s="288">
        <f>IF(DI331="S",(ATAN(6/(AA331-1))*180/PI()),"")</f>
        <v>62.337969902237482</v>
      </c>
      <c r="DN331" s="206">
        <f>IF(DI331="S",(TAN(DM331*PI()/180)*(AA331-2)),"")</f>
        <v>4.0922098569157157</v>
      </c>
      <c r="DO331" s="206">
        <f>IF(DI331="S",(TAN(DM331*PI()/180)*(AA331-4)),"")</f>
        <v>0.27662957074714273</v>
      </c>
      <c r="DP331" s="288">
        <f>IF(DI331="S",(IF(AA331&lt;=2,((((AA331+1)*6)/2)*0.7*DK331),IF(AND(AA331&gt;2,AA331&lt;=4),((((AA331+1)*6)/2)*0.7*DK331)-(((AA331-2)*DN331)/2*0.7*DK331),IF(AND(AA331&gt;4,AA331&lt;=6),((((AA331+1)*6)/2)*0.7*DK331)-(((AA331-2)*DN331)/2*0.7*DK331),0)))),"")</f>
        <v>193.30683624801242</v>
      </c>
      <c r="DQ331" s="288">
        <f>IF(DI331="S",(IF(AND(AA331&gt;2,AA331&lt;=4),(((AA331-2)*DN331)/2*0.7*DK331),IF(AND(AA331&gt;4,AA331&lt;=6),(((AA331-2)*DN331)/2*0.7*DK331)-((AA331-4)*DO331/2*0.7*DK331),0))),"")</f>
        <v>76.454689984100028</v>
      </c>
      <c r="DR331" s="288">
        <f>IF(DI331="S",(IF(AND(AA331&gt;4,AA331&lt;=6),((AA331-4)*DO331/2*0.7*DK331),IF(AA331&lt;4,0,"REVISAR"))),"")</f>
        <v>0.35097376788533741</v>
      </c>
      <c r="DS331" s="288">
        <f t="shared" si="13"/>
        <v>435.22499999999565</v>
      </c>
      <c r="DT331" s="288">
        <f t="shared" si="14"/>
        <v>186.52499999999813</v>
      </c>
      <c r="DU331" s="310" t="str">
        <f ca="1">IF(B331="S",(IF(DI331="S",IF(G331=$DU$11,DK331,""),"")),"")</f>
        <v/>
      </c>
      <c r="DV331" s="310" t="str">
        <f ca="1">IF(B331="S",(IF(DI331="S",IF(G331=$DV$11,DK331,""),"")),"")</f>
        <v/>
      </c>
      <c r="DW331" s="310" t="str">
        <f ca="1">IF(B331="S",(IF(DI331="S",IF(G331=$DW$11,DK331,""),"")),"")</f>
        <v/>
      </c>
      <c r="DX331" s="310" t="str">
        <f ca="1">IF(B331="S",(IF(DI331="S",IF(G331=$DX$11,DK331,""),"")),"")</f>
        <v/>
      </c>
      <c r="DY331" s="310">
        <f ca="1">IF(B331="S",(IF(DI331="S",IF(G331=$DY$11,DK331,""),"")),"")</f>
        <v>25</v>
      </c>
      <c r="DZ331" s="310" t="str">
        <f ca="1">IF(B331="S",(IF(DI331="S",IF(G331=$DZ$11,DK331,""),"")),"")</f>
        <v/>
      </c>
      <c r="EA331" s="310" t="str">
        <f ca="1">IF(B331="S",(IF(DI331="S",IF(G331=$EA$11,DK331,""),"")),"")</f>
        <v/>
      </c>
      <c r="EB331" s="310" t="str">
        <f ca="1">IF(B331="S",(IF(DI331="S",IF(G331=$EB$11,DK331,""),"")),"")</f>
        <v/>
      </c>
      <c r="EC331" s="288">
        <f>IF(B331="S",0.95,"")</f>
        <v>0.95</v>
      </c>
      <c r="ED331" s="310"/>
      <c r="EE331" s="310"/>
      <c r="EF331" s="310"/>
      <c r="EH331" s="310">
        <f>+IF(EC331=0.95,2+((ED331+EE331+EF331)-1),"")</f>
        <v>1</v>
      </c>
    </row>
    <row r="332" spans="1:138" s="299" customFormat="1" hidden="1">
      <c r="C332" s="300"/>
      <c r="D332" s="300"/>
      <c r="E332" s="300"/>
      <c r="F332" s="300"/>
      <c r="G332" s="300"/>
      <c r="H332" s="300"/>
      <c r="I332" s="300"/>
      <c r="J332" s="300"/>
      <c r="K332" s="300"/>
      <c r="L332" s="301"/>
      <c r="Q332" s="300"/>
      <c r="R332" s="302"/>
      <c r="S332" s="302"/>
      <c r="T332" s="302"/>
      <c r="AB332" s="303"/>
      <c r="AF332" s="304"/>
      <c r="AG332" s="304"/>
      <c r="AH332" s="304"/>
      <c r="AI332" s="304"/>
      <c r="AJ332" s="304"/>
      <c r="AS332" s="305"/>
      <c r="AT332" s="306"/>
      <c r="AU332" s="305"/>
      <c r="AV332" s="303"/>
      <c r="AX332" s="307"/>
      <c r="AY332" s="307"/>
      <c r="BD332" s="1382" t="str">
        <f t="shared" si="15"/>
        <v/>
      </c>
      <c r="BE332" s="308"/>
      <c r="BF332" s="308"/>
      <c r="BG332" s="308"/>
      <c r="BH332" s="301"/>
      <c r="BK332" s="300"/>
      <c r="BL332" s="300"/>
      <c r="BM332" s="300"/>
      <c r="BN332" s="300"/>
      <c r="BP332" s="304"/>
      <c r="CC332" s="308"/>
      <c r="CG332" s="304"/>
      <c r="CH332" s="304"/>
      <c r="CI332" s="304"/>
      <c r="CK332" s="304"/>
      <c r="CL332" s="304"/>
      <c r="CM332" s="304"/>
      <c r="CN332" s="304"/>
      <c r="CO332" s="304"/>
      <c r="CP332" s="304"/>
      <c r="CQ332" s="304"/>
      <c r="CR332" s="304"/>
      <c r="CS332" s="304"/>
      <c r="CT332" s="304"/>
      <c r="CU332" s="300"/>
      <c r="DH332" s="300"/>
      <c r="DK332" s="301"/>
      <c r="DN332" s="307"/>
      <c r="DO332" s="307"/>
      <c r="DU332" s="301"/>
      <c r="DV332" s="301"/>
      <c r="DW332" s="301"/>
      <c r="DX332" s="301"/>
      <c r="DY332" s="301"/>
      <c r="DZ332" s="301"/>
      <c r="EA332" s="301"/>
      <c r="EB332" s="301"/>
      <c r="ED332" s="301"/>
      <c r="EE332" s="301"/>
      <c r="EF332" s="301"/>
      <c r="EH332" s="301"/>
    </row>
    <row r="333" spans="1:138" s="299" customFormat="1" hidden="1">
      <c r="C333" s="300"/>
      <c r="D333" s="300"/>
      <c r="E333" s="300"/>
      <c r="F333" s="300"/>
      <c r="G333" s="300"/>
      <c r="H333" s="300"/>
      <c r="I333" s="300"/>
      <c r="J333" s="300"/>
      <c r="K333" s="300"/>
      <c r="L333" s="301"/>
      <c r="Q333" s="300"/>
      <c r="R333" s="302"/>
      <c r="S333" s="302"/>
      <c r="T333" s="302"/>
      <c r="AB333" s="303"/>
      <c r="AF333" s="304"/>
      <c r="AG333" s="304"/>
      <c r="AH333" s="304"/>
      <c r="AI333" s="304"/>
      <c r="AJ333" s="304"/>
      <c r="AS333" s="305"/>
      <c r="AT333" s="306"/>
      <c r="AU333" s="305"/>
      <c r="AV333" s="303"/>
      <c r="AX333" s="307"/>
      <c r="AY333" s="307"/>
      <c r="BD333" s="1382" t="str">
        <f t="shared" si="15"/>
        <v/>
      </c>
      <c r="BE333" s="308"/>
      <c r="BF333" s="308"/>
      <c r="BG333" s="308"/>
      <c r="BH333" s="301"/>
      <c r="BK333" s="300"/>
      <c r="BL333" s="300"/>
      <c r="BM333" s="300"/>
      <c r="BN333" s="300"/>
      <c r="BP333" s="304"/>
      <c r="CC333" s="308"/>
      <c r="CG333" s="304"/>
      <c r="CH333" s="304"/>
      <c r="CI333" s="304"/>
      <c r="CK333" s="304"/>
      <c r="CL333" s="304"/>
      <c r="CM333" s="304"/>
      <c r="CN333" s="304"/>
      <c r="CO333" s="304"/>
      <c r="CP333" s="304"/>
      <c r="CQ333" s="304"/>
      <c r="CR333" s="304"/>
      <c r="CS333" s="304"/>
      <c r="CT333" s="304"/>
      <c r="CU333" s="300"/>
      <c r="DH333" s="300"/>
      <c r="DK333" s="301"/>
      <c r="DN333" s="307"/>
      <c r="DO333" s="307"/>
      <c r="DU333" s="301"/>
      <c r="DV333" s="301"/>
      <c r="DW333" s="301"/>
      <c r="DX333" s="301"/>
      <c r="DY333" s="301"/>
      <c r="DZ333" s="301"/>
      <c r="EA333" s="301"/>
      <c r="EB333" s="301"/>
      <c r="ED333" s="301"/>
      <c r="EE333" s="301"/>
      <c r="EF333" s="301"/>
      <c r="EH333" s="301"/>
    </row>
    <row r="334" spans="1:138" s="299" customFormat="1" hidden="1">
      <c r="C334" s="300"/>
      <c r="D334" s="300"/>
      <c r="E334" s="300"/>
      <c r="F334" s="300"/>
      <c r="G334" s="300"/>
      <c r="H334" s="300"/>
      <c r="I334" s="300"/>
      <c r="J334" s="300"/>
      <c r="K334" s="300"/>
      <c r="L334" s="301"/>
      <c r="Q334" s="300"/>
      <c r="R334" s="302"/>
      <c r="S334" s="302"/>
      <c r="T334" s="302"/>
      <c r="AB334" s="303"/>
      <c r="AF334" s="304"/>
      <c r="AG334" s="304"/>
      <c r="AH334" s="304"/>
      <c r="AI334" s="304"/>
      <c r="AJ334" s="304"/>
      <c r="AS334" s="305"/>
      <c r="AT334" s="306"/>
      <c r="AU334" s="305"/>
      <c r="AV334" s="303"/>
      <c r="AX334" s="307"/>
      <c r="AY334" s="307"/>
      <c r="BD334" s="1382" t="str">
        <f t="shared" si="15"/>
        <v/>
      </c>
      <c r="BE334" s="308"/>
      <c r="BF334" s="308"/>
      <c r="BG334" s="308"/>
      <c r="BH334" s="301"/>
      <c r="BK334" s="300"/>
      <c r="BL334" s="300"/>
      <c r="BM334" s="300"/>
      <c r="BN334" s="300"/>
      <c r="BP334" s="304"/>
      <c r="CC334" s="308"/>
      <c r="CG334" s="304"/>
      <c r="CH334" s="304"/>
      <c r="CI334" s="304"/>
      <c r="CK334" s="304"/>
      <c r="CL334" s="304"/>
      <c r="CM334" s="304"/>
      <c r="CN334" s="304"/>
      <c r="CO334" s="304"/>
      <c r="CP334" s="304"/>
      <c r="CQ334" s="304"/>
      <c r="CR334" s="304"/>
      <c r="CS334" s="304"/>
      <c r="CT334" s="304"/>
      <c r="CU334" s="300"/>
      <c r="DH334" s="300"/>
      <c r="DK334" s="301"/>
      <c r="DN334" s="307"/>
      <c r="DO334" s="307"/>
      <c r="DU334" s="301"/>
      <c r="DV334" s="301"/>
      <c r="DW334" s="301"/>
      <c r="DX334" s="301"/>
      <c r="DY334" s="301"/>
      <c r="DZ334" s="301"/>
      <c r="EA334" s="301"/>
      <c r="EB334" s="301"/>
      <c r="ED334" s="301"/>
      <c r="EE334" s="301"/>
      <c r="EF334" s="301"/>
      <c r="EH334" s="301"/>
    </row>
    <row r="335" spans="1:138" s="299" customFormat="1" hidden="1">
      <c r="C335" s="300"/>
      <c r="D335" s="300"/>
      <c r="E335" s="300"/>
      <c r="F335" s="300"/>
      <c r="G335" s="300"/>
      <c r="H335" s="300"/>
      <c r="I335" s="300"/>
      <c r="J335" s="300"/>
      <c r="K335" s="300"/>
      <c r="L335" s="301"/>
      <c r="Q335" s="300"/>
      <c r="R335" s="302"/>
      <c r="S335" s="302"/>
      <c r="T335" s="302"/>
      <c r="AB335" s="303"/>
      <c r="AF335" s="304"/>
      <c r="AG335" s="304"/>
      <c r="AH335" s="304"/>
      <c r="AI335" s="304"/>
      <c r="AJ335" s="304"/>
      <c r="AS335" s="305"/>
      <c r="AT335" s="306"/>
      <c r="AU335" s="305"/>
      <c r="AV335" s="303"/>
      <c r="AX335" s="307"/>
      <c r="AY335" s="307"/>
      <c r="BD335" s="1382" t="str">
        <f t="shared" si="15"/>
        <v/>
      </c>
      <c r="BE335" s="308"/>
      <c r="BF335" s="308"/>
      <c r="BG335" s="308"/>
      <c r="BH335" s="301"/>
      <c r="BK335" s="300"/>
      <c r="BL335" s="300"/>
      <c r="BM335" s="300"/>
      <c r="BN335" s="300"/>
      <c r="BP335" s="304"/>
      <c r="CC335" s="308"/>
      <c r="CG335" s="304"/>
      <c r="CH335" s="304"/>
      <c r="CI335" s="304"/>
      <c r="CK335" s="304"/>
      <c r="CL335" s="304"/>
      <c r="CM335" s="304"/>
      <c r="CN335" s="304"/>
      <c r="CO335" s="304"/>
      <c r="CP335" s="304"/>
      <c r="CQ335" s="304"/>
      <c r="CR335" s="304"/>
      <c r="CS335" s="304"/>
      <c r="CT335" s="304"/>
      <c r="CU335" s="300"/>
      <c r="DH335" s="300"/>
      <c r="DK335" s="301"/>
      <c r="DN335" s="307"/>
      <c r="DO335" s="307"/>
      <c r="DU335" s="301"/>
      <c r="DV335" s="301"/>
      <c r="DW335" s="301"/>
      <c r="DX335" s="301"/>
      <c r="DY335" s="301"/>
      <c r="DZ335" s="301"/>
      <c r="EA335" s="301"/>
      <c r="EB335" s="301"/>
      <c r="ED335" s="301"/>
      <c r="EE335" s="301"/>
      <c r="EF335" s="301"/>
      <c r="EH335" s="301"/>
    </row>
    <row r="336" spans="1:138" s="299" customFormat="1" hidden="1">
      <c r="C336" s="300"/>
      <c r="D336" s="300"/>
      <c r="E336" s="300"/>
      <c r="F336" s="300"/>
      <c r="G336" s="300"/>
      <c r="H336" s="300"/>
      <c r="I336" s="300"/>
      <c r="J336" s="300"/>
      <c r="K336" s="300"/>
      <c r="L336" s="301"/>
      <c r="Q336" s="300"/>
      <c r="R336" s="302"/>
      <c r="S336" s="302"/>
      <c r="T336" s="302"/>
      <c r="AB336" s="303"/>
      <c r="AF336" s="304"/>
      <c r="AG336" s="304"/>
      <c r="AH336" s="304"/>
      <c r="AI336" s="304"/>
      <c r="AJ336" s="304"/>
      <c r="AS336" s="305"/>
      <c r="AT336" s="306"/>
      <c r="AU336" s="305"/>
      <c r="AV336" s="303"/>
      <c r="AX336" s="307"/>
      <c r="AY336" s="307"/>
      <c r="BD336" s="1382" t="str">
        <f t="shared" si="15"/>
        <v/>
      </c>
      <c r="BE336" s="308"/>
      <c r="BF336" s="308"/>
      <c r="BG336" s="308"/>
      <c r="BH336" s="301"/>
      <c r="BK336" s="300"/>
      <c r="BL336" s="300"/>
      <c r="BM336" s="300"/>
      <c r="BN336" s="300"/>
      <c r="BP336" s="304"/>
      <c r="CC336" s="308"/>
      <c r="CG336" s="304"/>
      <c r="CH336" s="304"/>
      <c r="CI336" s="304"/>
      <c r="CK336" s="304"/>
      <c r="CL336" s="304"/>
      <c r="CM336" s="304"/>
      <c r="CN336" s="304"/>
      <c r="CO336" s="304"/>
      <c r="CP336" s="304"/>
      <c r="CQ336" s="304"/>
      <c r="CR336" s="304"/>
      <c r="CS336" s="304"/>
      <c r="CT336" s="304"/>
      <c r="CU336" s="300"/>
      <c r="DH336" s="300"/>
      <c r="DK336" s="301"/>
      <c r="DN336" s="307"/>
      <c r="DO336" s="307"/>
      <c r="DU336" s="301"/>
      <c r="DV336" s="301"/>
      <c r="DW336" s="301"/>
      <c r="DX336" s="301"/>
      <c r="DY336" s="301"/>
      <c r="DZ336" s="301"/>
      <c r="EA336" s="301"/>
      <c r="EB336" s="301"/>
      <c r="ED336" s="301"/>
      <c r="EE336" s="301"/>
      <c r="EF336" s="301"/>
      <c r="EH336" s="301"/>
    </row>
    <row r="337" spans="3:138" s="299" customFormat="1" hidden="1">
      <c r="C337" s="300"/>
      <c r="D337" s="300"/>
      <c r="E337" s="300"/>
      <c r="F337" s="300"/>
      <c r="G337" s="300"/>
      <c r="H337" s="300"/>
      <c r="I337" s="300"/>
      <c r="J337" s="300"/>
      <c r="K337" s="300"/>
      <c r="L337" s="301"/>
      <c r="Q337" s="300"/>
      <c r="R337" s="302"/>
      <c r="S337" s="302"/>
      <c r="T337" s="302"/>
      <c r="AB337" s="303"/>
      <c r="AF337" s="304"/>
      <c r="AG337" s="304"/>
      <c r="AH337" s="304"/>
      <c r="AI337" s="304"/>
      <c r="AJ337" s="304"/>
      <c r="AS337" s="305"/>
      <c r="AT337" s="306"/>
      <c r="AU337" s="305"/>
      <c r="AV337" s="303"/>
      <c r="AX337" s="307"/>
      <c r="AY337" s="307"/>
      <c r="BD337" s="1382" t="str">
        <f t="shared" si="15"/>
        <v/>
      </c>
      <c r="BE337" s="308"/>
      <c r="BF337" s="308"/>
      <c r="BG337" s="308"/>
      <c r="BH337" s="301"/>
      <c r="BK337" s="300"/>
      <c r="BL337" s="300"/>
      <c r="BM337" s="300"/>
      <c r="BN337" s="300"/>
      <c r="BP337" s="304"/>
      <c r="CC337" s="308"/>
      <c r="CG337" s="304"/>
      <c r="CH337" s="304"/>
      <c r="CI337" s="304"/>
      <c r="CK337" s="304"/>
      <c r="CL337" s="304"/>
      <c r="CM337" s="304"/>
      <c r="CN337" s="304"/>
      <c r="CO337" s="304"/>
      <c r="CP337" s="304"/>
      <c r="CQ337" s="304"/>
      <c r="CR337" s="304"/>
      <c r="CS337" s="304"/>
      <c r="CT337" s="304"/>
      <c r="CU337" s="300"/>
      <c r="DH337" s="300"/>
      <c r="DK337" s="301"/>
      <c r="DN337" s="307"/>
      <c r="DO337" s="307"/>
      <c r="DU337" s="301"/>
      <c r="DV337" s="301"/>
      <c r="DW337" s="301"/>
      <c r="DX337" s="301"/>
      <c r="DY337" s="301"/>
      <c r="DZ337" s="301"/>
      <c r="EA337" s="301"/>
      <c r="EB337" s="301"/>
      <c r="ED337" s="301"/>
      <c r="EE337" s="301"/>
      <c r="EF337" s="301"/>
      <c r="EH337" s="301"/>
    </row>
    <row r="338" spans="3:138" s="299" customFormat="1" hidden="1">
      <c r="C338" s="300"/>
      <c r="D338" s="300"/>
      <c r="E338" s="300"/>
      <c r="F338" s="300"/>
      <c r="G338" s="300"/>
      <c r="H338" s="300"/>
      <c r="I338" s="300"/>
      <c r="J338" s="300"/>
      <c r="K338" s="300"/>
      <c r="L338" s="301"/>
      <c r="Q338" s="300"/>
      <c r="R338" s="302"/>
      <c r="S338" s="302"/>
      <c r="T338" s="302"/>
      <c r="AB338" s="303"/>
      <c r="AF338" s="304"/>
      <c r="AG338" s="304"/>
      <c r="AH338" s="304"/>
      <c r="AI338" s="304"/>
      <c r="AJ338" s="304"/>
      <c r="AS338" s="305"/>
      <c r="AT338" s="306"/>
      <c r="AU338" s="305"/>
      <c r="AV338" s="303"/>
      <c r="AX338" s="307"/>
      <c r="AY338" s="307"/>
      <c r="BD338" s="1382" t="str">
        <f t="shared" si="15"/>
        <v/>
      </c>
      <c r="BE338" s="308"/>
      <c r="BF338" s="308"/>
      <c r="BG338" s="308"/>
      <c r="BH338" s="301"/>
      <c r="BK338" s="300"/>
      <c r="BL338" s="300"/>
      <c r="BM338" s="300"/>
      <c r="BN338" s="300"/>
      <c r="BP338" s="304"/>
      <c r="CC338" s="308"/>
      <c r="CG338" s="304"/>
      <c r="CH338" s="304"/>
      <c r="CI338" s="304"/>
      <c r="CK338" s="304"/>
      <c r="CL338" s="304"/>
      <c r="CM338" s="304"/>
      <c r="CN338" s="304"/>
      <c r="CO338" s="304"/>
      <c r="CP338" s="304"/>
      <c r="CQ338" s="304"/>
      <c r="CR338" s="304"/>
      <c r="CS338" s="304"/>
      <c r="CT338" s="304"/>
      <c r="CU338" s="300"/>
      <c r="DH338" s="300"/>
      <c r="DK338" s="301"/>
      <c r="DN338" s="307"/>
      <c r="DO338" s="307"/>
      <c r="DU338" s="301"/>
      <c r="DV338" s="301"/>
      <c r="DW338" s="301"/>
      <c r="DX338" s="301"/>
      <c r="DY338" s="301"/>
      <c r="DZ338" s="301"/>
      <c r="EA338" s="301"/>
      <c r="EB338" s="301"/>
      <c r="ED338" s="301"/>
      <c r="EE338" s="301"/>
      <c r="EF338" s="301"/>
      <c r="EH338" s="301"/>
    </row>
    <row r="339" spans="3:138" s="299" customFormat="1" hidden="1">
      <c r="C339" s="300"/>
      <c r="D339" s="300"/>
      <c r="E339" s="300"/>
      <c r="F339" s="300"/>
      <c r="G339" s="300"/>
      <c r="H339" s="300"/>
      <c r="I339" s="300"/>
      <c r="J339" s="300"/>
      <c r="K339" s="300"/>
      <c r="L339" s="301"/>
      <c r="Q339" s="300"/>
      <c r="R339" s="302"/>
      <c r="S339" s="302"/>
      <c r="T339" s="302"/>
      <c r="AB339" s="303"/>
      <c r="AF339" s="304"/>
      <c r="AG339" s="304"/>
      <c r="AH339" s="304"/>
      <c r="AI339" s="304"/>
      <c r="AJ339" s="304"/>
      <c r="AS339" s="305"/>
      <c r="AT339" s="306"/>
      <c r="AU339" s="305"/>
      <c r="AV339" s="303"/>
      <c r="AX339" s="307"/>
      <c r="AY339" s="307"/>
      <c r="BD339" s="1382" t="str">
        <f t="shared" si="15"/>
        <v/>
      </c>
      <c r="BE339" s="308"/>
      <c r="BF339" s="308"/>
      <c r="BG339" s="308"/>
      <c r="BH339" s="301"/>
      <c r="BK339" s="300"/>
      <c r="BL339" s="300"/>
      <c r="BM339" s="300"/>
      <c r="BN339" s="300"/>
      <c r="BP339" s="304"/>
      <c r="CC339" s="308"/>
      <c r="CG339" s="304"/>
      <c r="CH339" s="304"/>
      <c r="CI339" s="304"/>
      <c r="CK339" s="304"/>
      <c r="CL339" s="304"/>
      <c r="CM339" s="304"/>
      <c r="CN339" s="304"/>
      <c r="CO339" s="304"/>
      <c r="CP339" s="304"/>
      <c r="CQ339" s="304"/>
      <c r="CR339" s="304"/>
      <c r="CS339" s="304"/>
      <c r="CT339" s="304"/>
      <c r="CU339" s="300"/>
      <c r="DH339" s="300"/>
      <c r="DK339" s="301"/>
      <c r="DN339" s="307"/>
      <c r="DO339" s="307"/>
      <c r="DU339" s="301"/>
      <c r="DV339" s="301"/>
      <c r="DW339" s="301"/>
      <c r="DX339" s="301"/>
      <c r="DY339" s="301"/>
      <c r="DZ339" s="301"/>
      <c r="EA339" s="301"/>
      <c r="EB339" s="301"/>
      <c r="ED339" s="301"/>
      <c r="EE339" s="301"/>
      <c r="EF339" s="301"/>
      <c r="EH339" s="301"/>
    </row>
    <row r="340" spans="3:138" s="299" customFormat="1" hidden="1">
      <c r="C340" s="300"/>
      <c r="D340" s="300"/>
      <c r="E340" s="300"/>
      <c r="F340" s="300"/>
      <c r="G340" s="300"/>
      <c r="H340" s="300"/>
      <c r="I340" s="300"/>
      <c r="J340" s="300"/>
      <c r="K340" s="300"/>
      <c r="L340" s="301"/>
      <c r="Q340" s="300"/>
      <c r="R340" s="302"/>
      <c r="S340" s="302"/>
      <c r="T340" s="302"/>
      <c r="AB340" s="303"/>
      <c r="AF340" s="304"/>
      <c r="AG340" s="304"/>
      <c r="AH340" s="304"/>
      <c r="AI340" s="304"/>
      <c r="AJ340" s="304"/>
      <c r="AS340" s="305"/>
      <c r="AT340" s="306"/>
      <c r="AU340" s="305"/>
      <c r="AV340" s="303"/>
      <c r="AX340" s="307"/>
      <c r="AY340" s="307"/>
      <c r="BD340" s="1382" t="str">
        <f t="shared" si="15"/>
        <v/>
      </c>
      <c r="BE340" s="308"/>
      <c r="BF340" s="308"/>
      <c r="BG340" s="308"/>
      <c r="BH340" s="301"/>
      <c r="BK340" s="300"/>
      <c r="BL340" s="300"/>
      <c r="BM340" s="300"/>
      <c r="BN340" s="300"/>
      <c r="BP340" s="304"/>
      <c r="CC340" s="308"/>
      <c r="CG340" s="304"/>
      <c r="CH340" s="304"/>
      <c r="CI340" s="304"/>
      <c r="CK340" s="304"/>
      <c r="CL340" s="304"/>
      <c r="CM340" s="304"/>
      <c r="CN340" s="304"/>
      <c r="CO340" s="304"/>
      <c r="CP340" s="304"/>
      <c r="CQ340" s="304"/>
      <c r="CR340" s="304"/>
      <c r="CS340" s="304"/>
      <c r="CT340" s="304"/>
      <c r="CU340" s="300"/>
      <c r="DH340" s="300"/>
      <c r="DK340" s="301"/>
      <c r="DN340" s="307"/>
      <c r="DO340" s="307"/>
      <c r="DU340" s="301"/>
      <c r="DV340" s="301"/>
      <c r="DW340" s="301"/>
      <c r="DX340" s="301"/>
      <c r="DY340" s="301"/>
      <c r="DZ340" s="301"/>
      <c r="EA340" s="301"/>
      <c r="EB340" s="301"/>
      <c r="ED340" s="301"/>
      <c r="EE340" s="301"/>
      <c r="EF340" s="301"/>
      <c r="EH340" s="301"/>
    </row>
    <row r="341" spans="3:138" s="299" customFormat="1" hidden="1">
      <c r="C341" s="300"/>
      <c r="D341" s="300"/>
      <c r="E341" s="300"/>
      <c r="F341" s="300"/>
      <c r="G341" s="300"/>
      <c r="H341" s="300"/>
      <c r="I341" s="300"/>
      <c r="J341" s="300"/>
      <c r="K341" s="300"/>
      <c r="L341" s="301"/>
      <c r="Q341" s="300"/>
      <c r="R341" s="302"/>
      <c r="S341" s="302"/>
      <c r="T341" s="302"/>
      <c r="AB341" s="303"/>
      <c r="AF341" s="304"/>
      <c r="AG341" s="304"/>
      <c r="AH341" s="304"/>
      <c r="AI341" s="304"/>
      <c r="AJ341" s="304"/>
      <c r="AS341" s="305"/>
      <c r="AT341" s="306"/>
      <c r="AU341" s="305"/>
      <c r="AV341" s="303"/>
      <c r="AX341" s="307"/>
      <c r="AY341" s="307"/>
      <c r="BD341" s="1382" t="str">
        <f t="shared" si="15"/>
        <v/>
      </c>
      <c r="BE341" s="308"/>
      <c r="BF341" s="308"/>
      <c r="BG341" s="308"/>
      <c r="BH341" s="301"/>
      <c r="BK341" s="300"/>
      <c r="BL341" s="300"/>
      <c r="BM341" s="300"/>
      <c r="BN341" s="300"/>
      <c r="BP341" s="304"/>
      <c r="CC341" s="308"/>
      <c r="CG341" s="304"/>
      <c r="CH341" s="304"/>
      <c r="CI341" s="304"/>
      <c r="CK341" s="304"/>
      <c r="CL341" s="304"/>
      <c r="CM341" s="304"/>
      <c r="CN341" s="304"/>
      <c r="CO341" s="304"/>
      <c r="CP341" s="304"/>
      <c r="CQ341" s="304"/>
      <c r="CR341" s="304"/>
      <c r="CS341" s="304"/>
      <c r="CT341" s="304"/>
      <c r="CU341" s="300"/>
      <c r="DH341" s="300"/>
      <c r="DK341" s="301"/>
      <c r="DN341" s="307"/>
      <c r="DO341" s="307"/>
      <c r="DU341" s="301"/>
      <c r="DV341" s="301"/>
      <c r="DW341" s="301"/>
      <c r="DX341" s="301"/>
      <c r="DY341" s="301"/>
      <c r="DZ341" s="301"/>
      <c r="EA341" s="301"/>
      <c r="EB341" s="301"/>
      <c r="ED341" s="301"/>
      <c r="EE341" s="301"/>
      <c r="EF341" s="301"/>
      <c r="EH341" s="301"/>
    </row>
    <row r="342" spans="3:138" s="299" customFormat="1" hidden="1">
      <c r="C342" s="300"/>
      <c r="D342" s="300"/>
      <c r="E342" s="300"/>
      <c r="F342" s="300"/>
      <c r="G342" s="300"/>
      <c r="H342" s="300"/>
      <c r="I342" s="300"/>
      <c r="J342" s="300"/>
      <c r="K342" s="300"/>
      <c r="L342" s="301"/>
      <c r="Q342" s="300"/>
      <c r="R342" s="302"/>
      <c r="S342" s="302"/>
      <c r="T342" s="302"/>
      <c r="AB342" s="303"/>
      <c r="AF342" s="304"/>
      <c r="AG342" s="304"/>
      <c r="AH342" s="304"/>
      <c r="AI342" s="304"/>
      <c r="AJ342" s="304"/>
      <c r="AS342" s="305"/>
      <c r="AT342" s="306"/>
      <c r="AU342" s="305"/>
      <c r="AV342" s="303"/>
      <c r="AX342" s="307"/>
      <c r="AY342" s="307"/>
      <c r="BD342" s="1382" t="str">
        <f t="shared" si="15"/>
        <v/>
      </c>
      <c r="BE342" s="308"/>
      <c r="BF342" s="308"/>
      <c r="BG342" s="308"/>
      <c r="BH342" s="301"/>
      <c r="BK342" s="300"/>
      <c r="BL342" s="300"/>
      <c r="BM342" s="300"/>
      <c r="BN342" s="300"/>
      <c r="BP342" s="304"/>
      <c r="CC342" s="308"/>
      <c r="CG342" s="304"/>
      <c r="CH342" s="304"/>
      <c r="CI342" s="304"/>
      <c r="CK342" s="304"/>
      <c r="CL342" s="304"/>
      <c r="CM342" s="304"/>
      <c r="CN342" s="304"/>
      <c r="CO342" s="304"/>
      <c r="CP342" s="304"/>
      <c r="CQ342" s="304"/>
      <c r="CR342" s="304"/>
      <c r="CS342" s="304"/>
      <c r="CT342" s="304"/>
      <c r="CU342" s="300"/>
      <c r="DH342" s="300"/>
      <c r="DK342" s="301"/>
      <c r="DN342" s="307"/>
      <c r="DO342" s="307"/>
      <c r="DU342" s="301"/>
      <c r="DV342" s="301"/>
      <c r="DW342" s="301"/>
      <c r="DX342" s="301"/>
      <c r="DY342" s="301"/>
      <c r="DZ342" s="301"/>
      <c r="EA342" s="301"/>
      <c r="EB342" s="301"/>
      <c r="ED342" s="301"/>
      <c r="EE342" s="301"/>
      <c r="EF342" s="301"/>
      <c r="EH342" s="301"/>
    </row>
    <row r="343" spans="3:138" s="299" customFormat="1" hidden="1">
      <c r="C343" s="300"/>
      <c r="D343" s="300"/>
      <c r="E343" s="300"/>
      <c r="F343" s="300"/>
      <c r="G343" s="300"/>
      <c r="H343" s="300"/>
      <c r="I343" s="300"/>
      <c r="J343" s="300"/>
      <c r="K343" s="300"/>
      <c r="L343" s="301"/>
      <c r="Q343" s="300"/>
      <c r="R343" s="302"/>
      <c r="S343" s="302"/>
      <c r="T343" s="302"/>
      <c r="AB343" s="303"/>
      <c r="AF343" s="304"/>
      <c r="AG343" s="304"/>
      <c r="AH343" s="304"/>
      <c r="AI343" s="304"/>
      <c r="AJ343" s="304"/>
      <c r="AS343" s="305"/>
      <c r="AT343" s="306"/>
      <c r="AU343" s="305"/>
      <c r="AV343" s="303"/>
      <c r="AX343" s="307"/>
      <c r="AY343" s="307"/>
      <c r="BD343" s="1382" t="str">
        <f t="shared" si="15"/>
        <v/>
      </c>
      <c r="BE343" s="308"/>
      <c r="BF343" s="308"/>
      <c r="BG343" s="308"/>
      <c r="BH343" s="301"/>
      <c r="BK343" s="300"/>
      <c r="BL343" s="300"/>
      <c r="BM343" s="300"/>
      <c r="BN343" s="300"/>
      <c r="BP343" s="304"/>
      <c r="CC343" s="308"/>
      <c r="CG343" s="304"/>
      <c r="CH343" s="304"/>
      <c r="CI343" s="304"/>
      <c r="CK343" s="304"/>
      <c r="CL343" s="304"/>
      <c r="CM343" s="304"/>
      <c r="CN343" s="304"/>
      <c r="CO343" s="304"/>
      <c r="CP343" s="304"/>
      <c r="CQ343" s="304"/>
      <c r="CR343" s="304"/>
      <c r="CS343" s="304"/>
      <c r="CT343" s="304"/>
      <c r="CU343" s="300"/>
      <c r="DH343" s="300"/>
      <c r="DK343" s="301"/>
      <c r="DN343" s="307"/>
      <c r="DO343" s="307"/>
      <c r="DU343" s="301"/>
      <c r="DV343" s="301"/>
      <c r="DW343" s="301"/>
      <c r="DX343" s="301"/>
      <c r="DY343" s="301"/>
      <c r="DZ343" s="301"/>
      <c r="EA343" s="301"/>
      <c r="EB343" s="301"/>
      <c r="ED343" s="301"/>
      <c r="EE343" s="301"/>
      <c r="EF343" s="301"/>
      <c r="EH343" s="301"/>
    </row>
    <row r="344" spans="3:138" s="299" customFormat="1" hidden="1">
      <c r="C344" s="300"/>
      <c r="D344" s="300"/>
      <c r="E344" s="300"/>
      <c r="F344" s="300"/>
      <c r="G344" s="300"/>
      <c r="H344" s="300"/>
      <c r="I344" s="300"/>
      <c r="J344" s="300"/>
      <c r="K344" s="300"/>
      <c r="L344" s="301"/>
      <c r="Q344" s="300"/>
      <c r="R344" s="302"/>
      <c r="S344" s="302"/>
      <c r="T344" s="302"/>
      <c r="AB344" s="303"/>
      <c r="AF344" s="304"/>
      <c r="AG344" s="304"/>
      <c r="AH344" s="304"/>
      <c r="AI344" s="304"/>
      <c r="AJ344" s="304"/>
      <c r="AS344" s="305"/>
      <c r="AT344" s="306"/>
      <c r="AU344" s="305"/>
      <c r="AV344" s="303"/>
      <c r="AX344" s="307"/>
      <c r="AY344" s="307"/>
      <c r="BD344" s="1382" t="str">
        <f t="shared" si="15"/>
        <v/>
      </c>
      <c r="BE344" s="308"/>
      <c r="BF344" s="308"/>
      <c r="BG344" s="308"/>
      <c r="BH344" s="301"/>
      <c r="BK344" s="300"/>
      <c r="BL344" s="300"/>
      <c r="BM344" s="300"/>
      <c r="BN344" s="300"/>
      <c r="BP344" s="304"/>
      <c r="CC344" s="308"/>
      <c r="CG344" s="304"/>
      <c r="CH344" s="304"/>
      <c r="CI344" s="304"/>
      <c r="CK344" s="304"/>
      <c r="CL344" s="304"/>
      <c r="CM344" s="304"/>
      <c r="CN344" s="304"/>
      <c r="CO344" s="304"/>
      <c r="CP344" s="304"/>
      <c r="CQ344" s="304"/>
      <c r="CR344" s="304"/>
      <c r="CS344" s="304"/>
      <c r="CT344" s="304"/>
      <c r="CU344" s="300"/>
      <c r="DH344" s="300"/>
      <c r="DK344" s="301"/>
      <c r="DN344" s="307"/>
      <c r="DO344" s="307"/>
      <c r="DU344" s="301"/>
      <c r="DV344" s="301"/>
      <c r="DW344" s="301"/>
      <c r="DX344" s="301"/>
      <c r="DY344" s="301"/>
      <c r="DZ344" s="301"/>
      <c r="EA344" s="301"/>
      <c r="EB344" s="301"/>
      <c r="ED344" s="301"/>
      <c r="EE344" s="301"/>
      <c r="EF344" s="301"/>
      <c r="EH344" s="301"/>
    </row>
    <row r="345" spans="3:138" s="299" customFormat="1" hidden="1">
      <c r="C345" s="300"/>
      <c r="D345" s="300"/>
      <c r="E345" s="300"/>
      <c r="F345" s="300"/>
      <c r="G345" s="300"/>
      <c r="H345" s="300"/>
      <c r="I345" s="300"/>
      <c r="J345" s="300"/>
      <c r="K345" s="300"/>
      <c r="L345" s="301"/>
      <c r="Q345" s="300"/>
      <c r="R345" s="302"/>
      <c r="S345" s="302"/>
      <c r="T345" s="302"/>
      <c r="AB345" s="303"/>
      <c r="AF345" s="304"/>
      <c r="AG345" s="304"/>
      <c r="AH345" s="304"/>
      <c r="AI345" s="304"/>
      <c r="AJ345" s="304"/>
      <c r="AS345" s="305"/>
      <c r="AT345" s="306"/>
      <c r="AU345" s="305"/>
      <c r="AV345" s="303"/>
      <c r="AX345" s="307"/>
      <c r="AY345" s="307"/>
      <c r="BD345" s="1382" t="str">
        <f t="shared" si="15"/>
        <v/>
      </c>
      <c r="BE345" s="308"/>
      <c r="BF345" s="308"/>
      <c r="BG345" s="308"/>
      <c r="BH345" s="301"/>
      <c r="BK345" s="300"/>
      <c r="BL345" s="300"/>
      <c r="BM345" s="300"/>
      <c r="BN345" s="300"/>
      <c r="BP345" s="304"/>
      <c r="CC345" s="308"/>
      <c r="CG345" s="304"/>
      <c r="CH345" s="304"/>
      <c r="CI345" s="304"/>
      <c r="CK345" s="304"/>
      <c r="CL345" s="304"/>
      <c r="CM345" s="304"/>
      <c r="CN345" s="304"/>
      <c r="CO345" s="304"/>
      <c r="CP345" s="304"/>
      <c r="CQ345" s="304"/>
      <c r="CR345" s="304"/>
      <c r="CS345" s="304"/>
      <c r="CT345" s="304"/>
      <c r="CU345" s="300"/>
      <c r="DH345" s="300"/>
      <c r="DK345" s="301"/>
      <c r="DN345" s="307"/>
      <c r="DO345" s="307"/>
      <c r="DU345" s="301"/>
      <c r="DV345" s="301"/>
      <c r="DW345" s="301"/>
      <c r="DX345" s="301"/>
      <c r="DY345" s="301"/>
      <c r="DZ345" s="301"/>
      <c r="EA345" s="301"/>
      <c r="EB345" s="301"/>
      <c r="ED345" s="301"/>
      <c r="EE345" s="301"/>
      <c r="EF345" s="301"/>
      <c r="EH345" s="301"/>
    </row>
    <row r="346" spans="3:138" s="299" customFormat="1" hidden="1">
      <c r="C346" s="300"/>
      <c r="D346" s="300"/>
      <c r="E346" s="300"/>
      <c r="F346" s="300"/>
      <c r="G346" s="300"/>
      <c r="H346" s="300"/>
      <c r="I346" s="300"/>
      <c r="J346" s="300"/>
      <c r="K346" s="300"/>
      <c r="L346" s="301"/>
      <c r="Q346" s="300"/>
      <c r="R346" s="302"/>
      <c r="S346" s="302"/>
      <c r="T346" s="302"/>
      <c r="AB346" s="303"/>
      <c r="AF346" s="304"/>
      <c r="AG346" s="304"/>
      <c r="AH346" s="304"/>
      <c r="AI346" s="304"/>
      <c r="AJ346" s="304"/>
      <c r="AS346" s="305"/>
      <c r="AT346" s="306"/>
      <c r="AU346" s="305"/>
      <c r="AV346" s="303"/>
      <c r="AX346" s="307"/>
      <c r="AY346" s="307"/>
      <c r="BD346" s="1382" t="str">
        <f t="shared" si="15"/>
        <v/>
      </c>
      <c r="BE346" s="308"/>
      <c r="BF346" s="308"/>
      <c r="BG346" s="308"/>
      <c r="BH346" s="301"/>
      <c r="BK346" s="300"/>
      <c r="BL346" s="300"/>
      <c r="BM346" s="300"/>
      <c r="BN346" s="300"/>
      <c r="BP346" s="304"/>
      <c r="CC346" s="308"/>
      <c r="CG346" s="304"/>
      <c r="CH346" s="304"/>
      <c r="CI346" s="304"/>
      <c r="CK346" s="304"/>
      <c r="CL346" s="304"/>
      <c r="CM346" s="304"/>
      <c r="CN346" s="304"/>
      <c r="CO346" s="304"/>
      <c r="CP346" s="304"/>
      <c r="CQ346" s="304"/>
      <c r="CR346" s="304"/>
      <c r="CS346" s="304"/>
      <c r="CT346" s="304"/>
      <c r="CU346" s="300"/>
      <c r="DH346" s="300"/>
      <c r="DK346" s="301"/>
      <c r="DN346" s="307"/>
      <c r="DO346" s="307"/>
      <c r="DU346" s="301"/>
      <c r="DV346" s="301"/>
      <c r="DW346" s="301"/>
      <c r="DX346" s="301"/>
      <c r="DY346" s="301"/>
      <c r="DZ346" s="301"/>
      <c r="EA346" s="301"/>
      <c r="EB346" s="301"/>
      <c r="ED346" s="301"/>
      <c r="EE346" s="301"/>
      <c r="EF346" s="301"/>
      <c r="EH346" s="301"/>
    </row>
    <row r="347" spans="3:138" s="299" customFormat="1" hidden="1">
      <c r="C347" s="300"/>
      <c r="D347" s="300"/>
      <c r="E347" s="300"/>
      <c r="F347" s="300"/>
      <c r="G347" s="300"/>
      <c r="H347" s="300"/>
      <c r="I347" s="300"/>
      <c r="J347" s="300"/>
      <c r="K347" s="300"/>
      <c r="L347" s="301"/>
      <c r="Q347" s="300"/>
      <c r="R347" s="302"/>
      <c r="S347" s="302"/>
      <c r="T347" s="302"/>
      <c r="AB347" s="303"/>
      <c r="AF347" s="304"/>
      <c r="AG347" s="304"/>
      <c r="AH347" s="304"/>
      <c r="AI347" s="304"/>
      <c r="AJ347" s="304"/>
      <c r="AS347" s="305"/>
      <c r="AT347" s="306"/>
      <c r="AU347" s="305"/>
      <c r="AV347" s="303"/>
      <c r="AX347" s="307"/>
      <c r="AY347" s="307"/>
      <c r="BD347" s="1382" t="str">
        <f t="shared" si="15"/>
        <v/>
      </c>
      <c r="BE347" s="308"/>
      <c r="BF347" s="308"/>
      <c r="BG347" s="308"/>
      <c r="BH347" s="301"/>
      <c r="BK347" s="300"/>
      <c r="BL347" s="300"/>
      <c r="BM347" s="300"/>
      <c r="BN347" s="300"/>
      <c r="BP347" s="304"/>
      <c r="CC347" s="308"/>
      <c r="CG347" s="304"/>
      <c r="CH347" s="304"/>
      <c r="CI347" s="304"/>
      <c r="CK347" s="304"/>
      <c r="CL347" s="304"/>
      <c r="CM347" s="304"/>
      <c r="CN347" s="304"/>
      <c r="CO347" s="304"/>
      <c r="CP347" s="304"/>
      <c r="CQ347" s="304"/>
      <c r="CR347" s="304"/>
      <c r="CS347" s="304"/>
      <c r="CT347" s="304"/>
      <c r="CU347" s="300"/>
      <c r="DH347" s="300"/>
      <c r="DK347" s="301"/>
      <c r="DN347" s="307"/>
      <c r="DO347" s="307"/>
      <c r="DU347" s="301"/>
      <c r="DV347" s="301"/>
      <c r="DW347" s="301"/>
      <c r="DX347" s="301"/>
      <c r="DY347" s="301"/>
      <c r="DZ347" s="301"/>
      <c r="EA347" s="301"/>
      <c r="EB347" s="301"/>
      <c r="ED347" s="301"/>
      <c r="EE347" s="301"/>
      <c r="EF347" s="301"/>
      <c r="EH347" s="301"/>
    </row>
    <row r="348" spans="3:138" s="299" customFormat="1" hidden="1">
      <c r="C348" s="300"/>
      <c r="D348" s="300"/>
      <c r="E348" s="300"/>
      <c r="F348" s="300"/>
      <c r="G348" s="300"/>
      <c r="H348" s="300"/>
      <c r="I348" s="300"/>
      <c r="J348" s="300"/>
      <c r="K348" s="300"/>
      <c r="L348" s="301"/>
      <c r="Q348" s="300"/>
      <c r="R348" s="302"/>
      <c r="S348" s="302"/>
      <c r="T348" s="302"/>
      <c r="AB348" s="303"/>
      <c r="AF348" s="304"/>
      <c r="AG348" s="304"/>
      <c r="AH348" s="304"/>
      <c r="AI348" s="304"/>
      <c r="AJ348" s="304"/>
      <c r="AS348" s="305"/>
      <c r="AT348" s="306"/>
      <c r="AU348" s="305"/>
      <c r="AV348" s="303"/>
      <c r="AX348" s="307"/>
      <c r="AY348" s="307"/>
      <c r="BD348" s="1382" t="str">
        <f t="shared" si="15"/>
        <v/>
      </c>
      <c r="BE348" s="308"/>
      <c r="BF348" s="308"/>
      <c r="BG348" s="308"/>
      <c r="BH348" s="301"/>
      <c r="BK348" s="300"/>
      <c r="BL348" s="300"/>
      <c r="BM348" s="300"/>
      <c r="BN348" s="300"/>
      <c r="BP348" s="304"/>
      <c r="CC348" s="308"/>
      <c r="CG348" s="304"/>
      <c r="CH348" s="304"/>
      <c r="CI348" s="304"/>
      <c r="CK348" s="304"/>
      <c r="CL348" s="304"/>
      <c r="CM348" s="304"/>
      <c r="CN348" s="304"/>
      <c r="CO348" s="304"/>
      <c r="CP348" s="304"/>
      <c r="CQ348" s="304"/>
      <c r="CR348" s="304"/>
      <c r="CS348" s="304"/>
      <c r="CT348" s="304"/>
      <c r="CU348" s="300"/>
      <c r="DH348" s="300"/>
      <c r="DK348" s="301"/>
      <c r="DN348" s="307"/>
      <c r="DO348" s="307"/>
      <c r="DU348" s="301"/>
      <c r="DV348" s="301"/>
      <c r="DW348" s="301"/>
      <c r="DX348" s="301"/>
      <c r="DY348" s="301"/>
      <c r="DZ348" s="301"/>
      <c r="EA348" s="301"/>
      <c r="EB348" s="301"/>
      <c r="ED348" s="301"/>
      <c r="EE348" s="301"/>
      <c r="EF348" s="301"/>
      <c r="EH348" s="301"/>
    </row>
    <row r="349" spans="3:138" s="299" customFormat="1" hidden="1">
      <c r="C349" s="300"/>
      <c r="D349" s="300"/>
      <c r="E349" s="300"/>
      <c r="F349" s="300"/>
      <c r="G349" s="300"/>
      <c r="H349" s="300"/>
      <c r="I349" s="300"/>
      <c r="J349" s="300"/>
      <c r="K349" s="300"/>
      <c r="L349" s="301"/>
      <c r="Q349" s="300"/>
      <c r="R349" s="302"/>
      <c r="S349" s="302"/>
      <c r="T349" s="302"/>
      <c r="AB349" s="303"/>
      <c r="AF349" s="304"/>
      <c r="AG349" s="304"/>
      <c r="AH349" s="304"/>
      <c r="AI349" s="304"/>
      <c r="AJ349" s="304"/>
      <c r="AS349" s="305"/>
      <c r="AT349" s="306"/>
      <c r="AU349" s="305"/>
      <c r="AV349" s="303"/>
      <c r="AX349" s="307"/>
      <c r="AY349" s="307"/>
      <c r="BD349" s="1382" t="str">
        <f t="shared" si="15"/>
        <v/>
      </c>
      <c r="BE349" s="308"/>
      <c r="BF349" s="308"/>
      <c r="BG349" s="308"/>
      <c r="BH349" s="301"/>
      <c r="BK349" s="300"/>
      <c r="BL349" s="300"/>
      <c r="BM349" s="300"/>
      <c r="BN349" s="300"/>
      <c r="BP349" s="304"/>
      <c r="CC349" s="308"/>
      <c r="CG349" s="304"/>
      <c r="CH349" s="304"/>
      <c r="CI349" s="304"/>
      <c r="CK349" s="304"/>
      <c r="CL349" s="304"/>
      <c r="CM349" s="304"/>
      <c r="CN349" s="304"/>
      <c r="CO349" s="304"/>
      <c r="CP349" s="304"/>
      <c r="CQ349" s="304"/>
      <c r="CR349" s="304"/>
      <c r="CS349" s="304"/>
      <c r="CT349" s="304"/>
      <c r="CU349" s="300"/>
      <c r="DH349" s="300"/>
      <c r="DK349" s="301"/>
      <c r="DN349" s="307"/>
      <c r="DO349" s="307"/>
      <c r="DU349" s="301"/>
      <c r="DV349" s="301"/>
      <c r="DW349" s="301"/>
      <c r="DX349" s="301"/>
      <c r="DY349" s="301"/>
      <c r="DZ349" s="301"/>
      <c r="EA349" s="301"/>
      <c r="EB349" s="301"/>
      <c r="ED349" s="301"/>
      <c r="EE349" s="301"/>
      <c r="EF349" s="301"/>
      <c r="EH349" s="301"/>
    </row>
    <row r="350" spans="3:138" s="299" customFormat="1" hidden="1">
      <c r="C350" s="300"/>
      <c r="D350" s="300"/>
      <c r="E350" s="300"/>
      <c r="F350" s="300"/>
      <c r="G350" s="300"/>
      <c r="H350" s="300"/>
      <c r="I350" s="300"/>
      <c r="J350" s="300"/>
      <c r="K350" s="300"/>
      <c r="L350" s="301"/>
      <c r="Q350" s="300"/>
      <c r="R350" s="302"/>
      <c r="S350" s="302"/>
      <c r="T350" s="302"/>
      <c r="AB350" s="303"/>
      <c r="AF350" s="304"/>
      <c r="AG350" s="304"/>
      <c r="AH350" s="304"/>
      <c r="AI350" s="304"/>
      <c r="AJ350" s="304"/>
      <c r="AS350" s="305"/>
      <c r="AT350" s="306"/>
      <c r="AU350" s="305"/>
      <c r="AV350" s="303"/>
      <c r="AX350" s="307"/>
      <c r="AY350" s="307"/>
      <c r="BD350" s="1382" t="str">
        <f t="shared" si="15"/>
        <v/>
      </c>
      <c r="BE350" s="308"/>
      <c r="BF350" s="308"/>
      <c r="BG350" s="308"/>
      <c r="BH350" s="301"/>
      <c r="BK350" s="300"/>
      <c r="BL350" s="300"/>
      <c r="BM350" s="300"/>
      <c r="BN350" s="300"/>
      <c r="BP350" s="304"/>
      <c r="CC350" s="308"/>
      <c r="CG350" s="304"/>
      <c r="CH350" s="304"/>
      <c r="CI350" s="304"/>
      <c r="CK350" s="304"/>
      <c r="CL350" s="304"/>
      <c r="CM350" s="304"/>
      <c r="CN350" s="304"/>
      <c r="CO350" s="304"/>
      <c r="CP350" s="304"/>
      <c r="CQ350" s="304"/>
      <c r="CR350" s="304"/>
      <c r="CS350" s="304"/>
      <c r="CT350" s="304"/>
      <c r="CU350" s="300"/>
      <c r="DH350" s="300"/>
      <c r="DK350" s="301"/>
      <c r="DN350" s="307"/>
      <c r="DO350" s="307"/>
      <c r="DU350" s="301"/>
      <c r="DV350" s="301"/>
      <c r="DW350" s="301"/>
      <c r="DX350" s="301"/>
      <c r="DY350" s="301"/>
      <c r="DZ350" s="301"/>
      <c r="EA350" s="301"/>
      <c r="EB350" s="301"/>
      <c r="ED350" s="301"/>
      <c r="EE350" s="301"/>
      <c r="EF350" s="301"/>
      <c r="EH350" s="301"/>
    </row>
    <row r="351" spans="3:138" s="299" customFormat="1" hidden="1">
      <c r="C351" s="300"/>
      <c r="D351" s="300"/>
      <c r="E351" s="300"/>
      <c r="F351" s="300"/>
      <c r="G351" s="300"/>
      <c r="H351" s="300"/>
      <c r="I351" s="300"/>
      <c r="J351" s="300"/>
      <c r="K351" s="300"/>
      <c r="L351" s="301"/>
      <c r="Q351" s="300"/>
      <c r="R351" s="302"/>
      <c r="S351" s="302"/>
      <c r="T351" s="302"/>
      <c r="AB351" s="303"/>
      <c r="AF351" s="304"/>
      <c r="AG351" s="304"/>
      <c r="AH351" s="304"/>
      <c r="AI351" s="304"/>
      <c r="AJ351" s="304"/>
      <c r="AS351" s="305"/>
      <c r="AT351" s="306"/>
      <c r="AU351" s="305"/>
      <c r="AV351" s="303"/>
      <c r="AX351" s="307"/>
      <c r="AY351" s="307"/>
      <c r="BD351" s="1382" t="str">
        <f t="shared" si="15"/>
        <v/>
      </c>
      <c r="BE351" s="308"/>
      <c r="BF351" s="308"/>
      <c r="BG351" s="308"/>
      <c r="BH351" s="301"/>
      <c r="BK351" s="300"/>
      <c r="BL351" s="300"/>
      <c r="BM351" s="300"/>
      <c r="BN351" s="300"/>
      <c r="BP351" s="304"/>
      <c r="CC351" s="308"/>
      <c r="CG351" s="304"/>
      <c r="CH351" s="304"/>
      <c r="CI351" s="304"/>
      <c r="CK351" s="304"/>
      <c r="CL351" s="304"/>
      <c r="CM351" s="304"/>
      <c r="CN351" s="304"/>
      <c r="CO351" s="304"/>
      <c r="CP351" s="304"/>
      <c r="CQ351" s="304"/>
      <c r="CR351" s="304"/>
      <c r="CS351" s="304"/>
      <c r="CT351" s="304"/>
      <c r="CU351" s="300"/>
      <c r="DH351" s="300"/>
      <c r="DK351" s="301"/>
      <c r="DN351" s="307"/>
      <c r="DO351" s="307"/>
      <c r="DU351" s="301"/>
      <c r="DV351" s="301"/>
      <c r="DW351" s="301"/>
      <c r="DX351" s="301"/>
      <c r="DY351" s="301"/>
      <c r="DZ351" s="301"/>
      <c r="EA351" s="301"/>
      <c r="EB351" s="301"/>
      <c r="ED351" s="301"/>
      <c r="EE351" s="301"/>
      <c r="EF351" s="301"/>
      <c r="EH351" s="301"/>
    </row>
    <row r="352" spans="3:138" s="299" customFormat="1" hidden="1">
      <c r="C352" s="300"/>
      <c r="D352" s="300"/>
      <c r="E352" s="300"/>
      <c r="F352" s="300"/>
      <c r="G352" s="300"/>
      <c r="H352" s="300"/>
      <c r="I352" s="300"/>
      <c r="J352" s="300"/>
      <c r="K352" s="300"/>
      <c r="L352" s="301"/>
      <c r="Q352" s="300"/>
      <c r="R352" s="302"/>
      <c r="S352" s="302"/>
      <c r="T352" s="302"/>
      <c r="AB352" s="303"/>
      <c r="AF352" s="304"/>
      <c r="AG352" s="304"/>
      <c r="AH352" s="304"/>
      <c r="AI352" s="304"/>
      <c r="AJ352" s="304"/>
      <c r="AS352" s="305"/>
      <c r="AT352" s="306"/>
      <c r="AU352" s="305"/>
      <c r="AV352" s="303"/>
      <c r="AX352" s="307"/>
      <c r="AY352" s="307"/>
      <c r="BD352" s="1382" t="str">
        <f t="shared" si="15"/>
        <v/>
      </c>
      <c r="BE352" s="308"/>
      <c r="BF352" s="308"/>
      <c r="BG352" s="308"/>
      <c r="BH352" s="301"/>
      <c r="BK352" s="300"/>
      <c r="BL352" s="300"/>
      <c r="BM352" s="300"/>
      <c r="BN352" s="300"/>
      <c r="BP352" s="304"/>
      <c r="CC352" s="308"/>
      <c r="CG352" s="304"/>
      <c r="CH352" s="304"/>
      <c r="CI352" s="304"/>
      <c r="CK352" s="304"/>
      <c r="CL352" s="304"/>
      <c r="CM352" s="304"/>
      <c r="CN352" s="304"/>
      <c r="CO352" s="304"/>
      <c r="CP352" s="304"/>
      <c r="CQ352" s="304"/>
      <c r="CR352" s="304"/>
      <c r="CS352" s="304"/>
      <c r="CT352" s="304"/>
      <c r="CU352" s="300"/>
      <c r="DH352" s="300"/>
      <c r="DK352" s="301"/>
      <c r="DN352" s="307"/>
      <c r="DO352" s="307"/>
      <c r="DU352" s="301"/>
      <c r="DV352" s="301"/>
      <c r="DW352" s="301"/>
      <c r="DX352" s="301"/>
      <c r="DY352" s="301"/>
      <c r="DZ352" s="301"/>
      <c r="EA352" s="301"/>
      <c r="EB352" s="301"/>
      <c r="ED352" s="301"/>
      <c r="EE352" s="301"/>
      <c r="EF352" s="301"/>
      <c r="EH352" s="301"/>
    </row>
    <row r="353" spans="3:138" s="299" customFormat="1" hidden="1">
      <c r="C353" s="300"/>
      <c r="D353" s="300"/>
      <c r="E353" s="300"/>
      <c r="F353" s="300"/>
      <c r="G353" s="300"/>
      <c r="H353" s="300"/>
      <c r="I353" s="300"/>
      <c r="J353" s="300"/>
      <c r="K353" s="300"/>
      <c r="L353" s="301"/>
      <c r="Q353" s="300"/>
      <c r="R353" s="302"/>
      <c r="S353" s="302"/>
      <c r="T353" s="302"/>
      <c r="AB353" s="303"/>
      <c r="AF353" s="304"/>
      <c r="AG353" s="304"/>
      <c r="AH353" s="304"/>
      <c r="AI353" s="304"/>
      <c r="AJ353" s="304"/>
      <c r="AS353" s="305"/>
      <c r="AT353" s="306"/>
      <c r="AU353" s="305"/>
      <c r="AV353" s="303"/>
      <c r="AX353" s="307"/>
      <c r="AY353" s="307"/>
      <c r="BD353" s="1382" t="str">
        <f t="shared" si="15"/>
        <v/>
      </c>
      <c r="BE353" s="308"/>
      <c r="BF353" s="308"/>
      <c r="BG353" s="308"/>
      <c r="BH353" s="301"/>
      <c r="BK353" s="300"/>
      <c r="BL353" s="300"/>
      <c r="BM353" s="300"/>
      <c r="BN353" s="300"/>
      <c r="BP353" s="304"/>
      <c r="CC353" s="308"/>
      <c r="CG353" s="304"/>
      <c r="CH353" s="304"/>
      <c r="CI353" s="304"/>
      <c r="CK353" s="304"/>
      <c r="CL353" s="304"/>
      <c r="CM353" s="304"/>
      <c r="CN353" s="304"/>
      <c r="CO353" s="304"/>
      <c r="CP353" s="304"/>
      <c r="CQ353" s="304"/>
      <c r="CR353" s="304"/>
      <c r="CS353" s="304"/>
      <c r="CT353" s="304"/>
      <c r="CU353" s="300"/>
      <c r="DH353" s="300"/>
      <c r="DK353" s="301"/>
      <c r="DN353" s="307"/>
      <c r="DO353" s="307"/>
      <c r="DU353" s="301"/>
      <c r="DV353" s="301"/>
      <c r="DW353" s="301"/>
      <c r="DX353" s="301"/>
      <c r="DY353" s="301"/>
      <c r="DZ353" s="301"/>
      <c r="EA353" s="301"/>
      <c r="EB353" s="301"/>
      <c r="ED353" s="301"/>
      <c r="EE353" s="301"/>
      <c r="EF353" s="301"/>
      <c r="EH353" s="301"/>
    </row>
    <row r="354" spans="3:138" s="299" customFormat="1" hidden="1">
      <c r="C354" s="300"/>
      <c r="D354" s="300"/>
      <c r="E354" s="300"/>
      <c r="F354" s="300"/>
      <c r="G354" s="300"/>
      <c r="H354" s="300"/>
      <c r="I354" s="300"/>
      <c r="J354" s="300"/>
      <c r="K354" s="300"/>
      <c r="L354" s="301"/>
      <c r="Q354" s="300"/>
      <c r="R354" s="302"/>
      <c r="S354" s="302"/>
      <c r="T354" s="302"/>
      <c r="AB354" s="303"/>
      <c r="AF354" s="304"/>
      <c r="AG354" s="304"/>
      <c r="AH354" s="304"/>
      <c r="AI354" s="304"/>
      <c r="AJ354" s="304"/>
      <c r="AS354" s="305"/>
      <c r="AT354" s="306"/>
      <c r="AU354" s="305"/>
      <c r="AV354" s="303"/>
      <c r="AX354" s="307"/>
      <c r="AY354" s="307"/>
      <c r="BD354" s="1382" t="str">
        <f t="shared" si="15"/>
        <v/>
      </c>
      <c r="BE354" s="308"/>
      <c r="BF354" s="308"/>
      <c r="BG354" s="308"/>
      <c r="BH354" s="301"/>
      <c r="BK354" s="300"/>
      <c r="BL354" s="300"/>
      <c r="BM354" s="300"/>
      <c r="BN354" s="300"/>
      <c r="BP354" s="304"/>
      <c r="CC354" s="308"/>
      <c r="CG354" s="304"/>
      <c r="CH354" s="304"/>
      <c r="CI354" s="304"/>
      <c r="CK354" s="304"/>
      <c r="CL354" s="304"/>
      <c r="CM354" s="304"/>
      <c r="CN354" s="304"/>
      <c r="CO354" s="304"/>
      <c r="CP354" s="304"/>
      <c r="CQ354" s="304"/>
      <c r="CR354" s="304"/>
      <c r="CS354" s="304"/>
      <c r="CT354" s="304"/>
      <c r="CU354" s="300"/>
      <c r="DH354" s="300"/>
      <c r="DK354" s="301"/>
      <c r="DN354" s="307"/>
      <c r="DO354" s="307"/>
      <c r="DU354" s="301"/>
      <c r="DV354" s="301"/>
      <c r="DW354" s="301"/>
      <c r="DX354" s="301"/>
      <c r="DY354" s="301"/>
      <c r="DZ354" s="301"/>
      <c r="EA354" s="301"/>
      <c r="EB354" s="301"/>
      <c r="ED354" s="301"/>
      <c r="EE354" s="301"/>
      <c r="EF354" s="301"/>
      <c r="EH354" s="301"/>
    </row>
    <row r="355" spans="3:138" s="299" customFormat="1" hidden="1">
      <c r="C355" s="300"/>
      <c r="D355" s="300"/>
      <c r="E355" s="300"/>
      <c r="F355" s="300"/>
      <c r="G355" s="300"/>
      <c r="H355" s="300"/>
      <c r="I355" s="300"/>
      <c r="J355" s="300"/>
      <c r="K355" s="300"/>
      <c r="L355" s="301"/>
      <c r="Q355" s="300"/>
      <c r="R355" s="302"/>
      <c r="S355" s="302"/>
      <c r="T355" s="302"/>
      <c r="AB355" s="303"/>
      <c r="AF355" s="304"/>
      <c r="AG355" s="304"/>
      <c r="AH355" s="304"/>
      <c r="AI355" s="304"/>
      <c r="AJ355" s="304"/>
      <c r="AS355" s="305"/>
      <c r="AT355" s="306"/>
      <c r="AU355" s="305"/>
      <c r="AV355" s="303"/>
      <c r="AX355" s="307"/>
      <c r="AY355" s="307"/>
      <c r="BD355" s="1382" t="str">
        <f t="shared" si="15"/>
        <v/>
      </c>
      <c r="BE355" s="308"/>
      <c r="BF355" s="308"/>
      <c r="BG355" s="308"/>
      <c r="BH355" s="301"/>
      <c r="BK355" s="300"/>
      <c r="BL355" s="300"/>
      <c r="BM355" s="300"/>
      <c r="BN355" s="300"/>
      <c r="BP355" s="304"/>
      <c r="CC355" s="308"/>
      <c r="CG355" s="304"/>
      <c r="CH355" s="304"/>
      <c r="CI355" s="304"/>
      <c r="CK355" s="304"/>
      <c r="CL355" s="304"/>
      <c r="CM355" s="304"/>
      <c r="CN355" s="304"/>
      <c r="CO355" s="304"/>
      <c r="CP355" s="304"/>
      <c r="CQ355" s="304"/>
      <c r="CR355" s="304"/>
      <c r="CS355" s="304"/>
      <c r="CT355" s="304"/>
      <c r="CU355" s="300"/>
      <c r="DH355" s="300"/>
      <c r="DK355" s="301"/>
      <c r="DN355" s="307"/>
      <c r="DO355" s="307"/>
      <c r="DU355" s="301"/>
      <c r="DV355" s="301"/>
      <c r="DW355" s="301"/>
      <c r="DX355" s="301"/>
      <c r="DY355" s="301"/>
      <c r="DZ355" s="301"/>
      <c r="EA355" s="301"/>
      <c r="EB355" s="301"/>
      <c r="ED355" s="301"/>
      <c r="EE355" s="301"/>
      <c r="EF355" s="301"/>
      <c r="EH355" s="301"/>
    </row>
    <row r="356" spans="3:138" s="299" customFormat="1" hidden="1">
      <c r="C356" s="300"/>
      <c r="D356" s="300"/>
      <c r="E356" s="300"/>
      <c r="F356" s="300"/>
      <c r="G356" s="300"/>
      <c r="H356" s="300"/>
      <c r="I356" s="300"/>
      <c r="J356" s="300"/>
      <c r="K356" s="300"/>
      <c r="L356" s="301"/>
      <c r="Q356" s="300"/>
      <c r="R356" s="302"/>
      <c r="S356" s="302"/>
      <c r="T356" s="302"/>
      <c r="AB356" s="303"/>
      <c r="AF356" s="304"/>
      <c r="AG356" s="304"/>
      <c r="AH356" s="304"/>
      <c r="AI356" s="304"/>
      <c r="AJ356" s="304"/>
      <c r="AS356" s="305"/>
      <c r="AT356" s="306"/>
      <c r="AU356" s="305"/>
      <c r="AV356" s="303"/>
      <c r="AX356" s="307"/>
      <c r="AY356" s="307"/>
      <c r="BD356" s="1382" t="str">
        <f t="shared" si="15"/>
        <v/>
      </c>
      <c r="BE356" s="308"/>
      <c r="BF356" s="308"/>
      <c r="BG356" s="308"/>
      <c r="BH356" s="301"/>
      <c r="BK356" s="300"/>
      <c r="BL356" s="300"/>
      <c r="BM356" s="300"/>
      <c r="BN356" s="300"/>
      <c r="BP356" s="304"/>
      <c r="CC356" s="308"/>
      <c r="CG356" s="304"/>
      <c r="CH356" s="304"/>
      <c r="CI356" s="304"/>
      <c r="CK356" s="304"/>
      <c r="CL356" s="304"/>
      <c r="CM356" s="304"/>
      <c r="CN356" s="304"/>
      <c r="CO356" s="304"/>
      <c r="CP356" s="304"/>
      <c r="CQ356" s="304"/>
      <c r="CR356" s="304"/>
      <c r="CS356" s="304"/>
      <c r="CT356" s="304"/>
      <c r="CU356" s="300"/>
      <c r="DH356" s="300"/>
      <c r="DK356" s="301"/>
      <c r="DN356" s="307"/>
      <c r="DO356" s="307"/>
      <c r="DU356" s="301"/>
      <c r="DV356" s="301"/>
      <c r="DW356" s="301"/>
      <c r="DX356" s="301"/>
      <c r="DY356" s="301"/>
      <c r="DZ356" s="301"/>
      <c r="EA356" s="301"/>
      <c r="EB356" s="301"/>
      <c r="ED356" s="301"/>
      <c r="EE356" s="301"/>
      <c r="EF356" s="301"/>
      <c r="EH356" s="301"/>
    </row>
    <row r="357" spans="3:138" s="299" customFormat="1" hidden="1">
      <c r="C357" s="300"/>
      <c r="D357" s="300"/>
      <c r="E357" s="300"/>
      <c r="F357" s="300"/>
      <c r="G357" s="300"/>
      <c r="H357" s="300"/>
      <c r="I357" s="300"/>
      <c r="J357" s="300"/>
      <c r="K357" s="300"/>
      <c r="L357" s="301"/>
      <c r="Q357" s="300"/>
      <c r="R357" s="302"/>
      <c r="S357" s="302"/>
      <c r="T357" s="302"/>
      <c r="AB357" s="303"/>
      <c r="AF357" s="304"/>
      <c r="AG357" s="304"/>
      <c r="AH357" s="304"/>
      <c r="AI357" s="304"/>
      <c r="AJ357" s="304"/>
      <c r="AS357" s="305"/>
      <c r="AT357" s="306"/>
      <c r="AU357" s="305"/>
      <c r="AV357" s="303"/>
      <c r="AX357" s="307"/>
      <c r="AY357" s="307"/>
      <c r="BD357" s="1382" t="str">
        <f t="shared" si="15"/>
        <v/>
      </c>
      <c r="BE357" s="308"/>
      <c r="BF357" s="308"/>
      <c r="BG357" s="308"/>
      <c r="BH357" s="301"/>
      <c r="BK357" s="300"/>
      <c r="BL357" s="300"/>
      <c r="BM357" s="300"/>
      <c r="BN357" s="300"/>
      <c r="BP357" s="304"/>
      <c r="CC357" s="308"/>
      <c r="CG357" s="304"/>
      <c r="CH357" s="304"/>
      <c r="CI357" s="304"/>
      <c r="CK357" s="304"/>
      <c r="CL357" s="304"/>
      <c r="CM357" s="304"/>
      <c r="CN357" s="304"/>
      <c r="CO357" s="304"/>
      <c r="CP357" s="304"/>
      <c r="CQ357" s="304"/>
      <c r="CR357" s="304"/>
      <c r="CS357" s="304"/>
      <c r="CT357" s="304"/>
      <c r="CU357" s="300"/>
      <c r="DH357" s="300"/>
      <c r="DK357" s="301"/>
      <c r="DN357" s="307"/>
      <c r="DO357" s="307"/>
      <c r="DU357" s="301"/>
      <c r="DV357" s="301"/>
      <c r="DW357" s="301"/>
      <c r="DX357" s="301"/>
      <c r="DY357" s="301"/>
      <c r="DZ357" s="301"/>
      <c r="EA357" s="301"/>
      <c r="EB357" s="301"/>
      <c r="ED357" s="301"/>
      <c r="EE357" s="301"/>
      <c r="EF357" s="301"/>
      <c r="EH357" s="301"/>
    </row>
    <row r="358" spans="3:138" s="299" customFormat="1" hidden="1">
      <c r="C358" s="300"/>
      <c r="D358" s="300"/>
      <c r="E358" s="300"/>
      <c r="F358" s="300"/>
      <c r="G358" s="300"/>
      <c r="H358" s="300"/>
      <c r="I358" s="300"/>
      <c r="J358" s="300"/>
      <c r="K358" s="300"/>
      <c r="L358" s="301"/>
      <c r="Q358" s="300"/>
      <c r="R358" s="302"/>
      <c r="S358" s="302"/>
      <c r="T358" s="302"/>
      <c r="AB358" s="303"/>
      <c r="AF358" s="304"/>
      <c r="AG358" s="304"/>
      <c r="AH358" s="304"/>
      <c r="AI358" s="304"/>
      <c r="AJ358" s="304"/>
      <c r="AS358" s="305"/>
      <c r="AT358" s="306"/>
      <c r="AU358" s="305"/>
      <c r="AV358" s="303"/>
      <c r="AX358" s="307"/>
      <c r="AY358" s="307"/>
      <c r="BD358" s="1382" t="str">
        <f t="shared" si="15"/>
        <v/>
      </c>
      <c r="BE358" s="308"/>
      <c r="BF358" s="308"/>
      <c r="BG358" s="308"/>
      <c r="BH358" s="301"/>
      <c r="BK358" s="300"/>
      <c r="BL358" s="300"/>
      <c r="BM358" s="300"/>
      <c r="BN358" s="300"/>
      <c r="BP358" s="304"/>
      <c r="CC358" s="308"/>
      <c r="CG358" s="304"/>
      <c r="CH358" s="304"/>
      <c r="CI358" s="304"/>
      <c r="CK358" s="304"/>
      <c r="CL358" s="304"/>
      <c r="CM358" s="304"/>
      <c r="CN358" s="304"/>
      <c r="CO358" s="304"/>
      <c r="CP358" s="304"/>
      <c r="CQ358" s="304"/>
      <c r="CR358" s="304"/>
      <c r="CS358" s="304"/>
      <c r="CT358" s="304"/>
      <c r="CU358" s="300"/>
      <c r="DH358" s="300"/>
      <c r="DK358" s="301"/>
      <c r="DN358" s="307"/>
      <c r="DO358" s="307"/>
      <c r="DU358" s="301"/>
      <c r="DV358" s="301"/>
      <c r="DW358" s="301"/>
      <c r="DX358" s="301"/>
      <c r="DY358" s="301"/>
      <c r="DZ358" s="301"/>
      <c r="EA358" s="301"/>
      <c r="EB358" s="301"/>
      <c r="ED358" s="301"/>
      <c r="EE358" s="301"/>
      <c r="EF358" s="301"/>
      <c r="EH358" s="301"/>
    </row>
    <row r="359" spans="3:138" s="299" customFormat="1" hidden="1">
      <c r="C359" s="300"/>
      <c r="D359" s="300"/>
      <c r="E359" s="300"/>
      <c r="F359" s="300"/>
      <c r="G359" s="300"/>
      <c r="H359" s="300"/>
      <c r="I359" s="300"/>
      <c r="J359" s="300"/>
      <c r="K359" s="300"/>
      <c r="L359" s="301"/>
      <c r="Q359" s="300"/>
      <c r="R359" s="302"/>
      <c r="S359" s="302"/>
      <c r="T359" s="302"/>
      <c r="AB359" s="303"/>
      <c r="AF359" s="304"/>
      <c r="AG359" s="304"/>
      <c r="AH359" s="304"/>
      <c r="AI359" s="304"/>
      <c r="AJ359" s="304"/>
      <c r="AS359" s="305"/>
      <c r="AT359" s="306"/>
      <c r="AU359" s="305"/>
      <c r="AV359" s="303"/>
      <c r="AX359" s="307"/>
      <c r="AY359" s="307"/>
      <c r="BD359" s="1382" t="str">
        <f t="shared" ref="BD359:BD390" si="17">IF(B359="S",(IF(O359=1.2,IF((H359-J359)&lt;=1.2,H359-J359,H359-J359-0.95))),"")</f>
        <v/>
      </c>
      <c r="BE359" s="308"/>
      <c r="BF359" s="308"/>
      <c r="BG359" s="308"/>
      <c r="BH359" s="301"/>
      <c r="BK359" s="300"/>
      <c r="BL359" s="300"/>
      <c r="BM359" s="300"/>
      <c r="BN359" s="300"/>
      <c r="BP359" s="304"/>
      <c r="CC359" s="308"/>
      <c r="CG359" s="304"/>
      <c r="CH359" s="304"/>
      <c r="CI359" s="304"/>
      <c r="CK359" s="304"/>
      <c r="CL359" s="304"/>
      <c r="CM359" s="304"/>
      <c r="CN359" s="304"/>
      <c r="CO359" s="304"/>
      <c r="CP359" s="304"/>
      <c r="CQ359" s="304"/>
      <c r="CR359" s="304"/>
      <c r="CS359" s="304"/>
      <c r="CT359" s="304"/>
      <c r="CU359" s="300"/>
      <c r="DH359" s="300"/>
      <c r="DK359" s="301"/>
      <c r="DN359" s="307"/>
      <c r="DO359" s="307"/>
      <c r="DU359" s="301"/>
      <c r="DV359" s="301"/>
      <c r="DW359" s="301"/>
      <c r="DX359" s="301"/>
      <c r="DY359" s="301"/>
      <c r="DZ359" s="301"/>
      <c r="EA359" s="301"/>
      <c r="EB359" s="301"/>
      <c r="ED359" s="301"/>
      <c r="EE359" s="301"/>
      <c r="EF359" s="301"/>
      <c r="EH359" s="301"/>
    </row>
    <row r="360" spans="3:138" hidden="1">
      <c r="C360" s="276"/>
      <c r="D360" s="276"/>
      <c r="E360" s="276"/>
      <c r="F360" s="276"/>
      <c r="G360" s="276"/>
      <c r="H360" s="276"/>
      <c r="I360" s="276"/>
      <c r="J360" s="276"/>
      <c r="K360" s="276"/>
      <c r="L360" s="277"/>
      <c r="M360" s="256"/>
      <c r="N360" s="256"/>
      <c r="O360" s="256"/>
      <c r="P360" s="256"/>
      <c r="Q360" s="278"/>
      <c r="R360" s="279"/>
      <c r="S360" s="279"/>
      <c r="T360" s="279"/>
      <c r="AB360" s="280"/>
      <c r="AC360" s="223"/>
      <c r="AD360" s="223"/>
      <c r="AE360" s="223"/>
      <c r="AF360" s="281"/>
      <c r="AG360" s="281"/>
      <c r="AH360" s="281"/>
      <c r="AI360" s="258"/>
      <c r="AJ360" s="258"/>
      <c r="AS360" s="282"/>
      <c r="AT360" s="283"/>
      <c r="AU360" s="282"/>
      <c r="AV360" s="284"/>
      <c r="AX360" s="285"/>
      <c r="AY360" s="285"/>
      <c r="BD360" s="1382" t="str">
        <f t="shared" si="17"/>
        <v/>
      </c>
      <c r="BE360" s="234"/>
      <c r="BF360" s="234"/>
      <c r="BG360" s="234"/>
      <c r="BH360" s="277"/>
      <c r="BK360" s="276"/>
      <c r="BL360" s="276"/>
      <c r="BM360" s="276"/>
      <c r="BN360" s="276"/>
      <c r="BO360" s="223"/>
      <c r="BP360" s="258"/>
      <c r="CC360" s="234"/>
      <c r="CG360" s="258"/>
      <c r="CH360" s="258"/>
      <c r="CI360" s="258"/>
      <c r="CJ360" s="256"/>
      <c r="CK360" s="258"/>
      <c r="CL360" s="258"/>
      <c r="CM360" s="258"/>
      <c r="CN360" s="258"/>
      <c r="CO360" s="258"/>
      <c r="CP360" s="258"/>
      <c r="CQ360" s="258"/>
      <c r="CR360" s="281"/>
      <c r="CS360" s="258"/>
      <c r="CT360" s="258"/>
      <c r="CU360" s="286"/>
      <c r="DH360" s="278"/>
      <c r="DJ360" s="270"/>
      <c r="DK360" s="1098"/>
      <c r="DL360" s="270"/>
      <c r="DM360" s="270"/>
      <c r="DN360" s="287"/>
      <c r="DO360" s="287"/>
      <c r="DP360" s="270"/>
      <c r="DQ360" s="270"/>
      <c r="DR360" s="270"/>
      <c r="DS360" s="270"/>
      <c r="DT360" s="270"/>
      <c r="DU360" s="1098"/>
      <c r="DV360" s="1098"/>
      <c r="DW360" s="1098"/>
      <c r="DX360" s="1098"/>
      <c r="DY360" s="1098"/>
      <c r="DZ360" s="1098"/>
      <c r="EA360" s="1098"/>
      <c r="EB360" s="1098"/>
      <c r="ED360" s="277"/>
      <c r="EE360" s="277"/>
      <c r="EF360" s="277"/>
      <c r="EH360" s="277"/>
    </row>
    <row r="361" spans="3:138" hidden="1">
      <c r="C361" s="276"/>
      <c r="D361" s="276"/>
      <c r="E361" s="276"/>
      <c r="F361" s="276"/>
      <c r="G361" s="276"/>
      <c r="H361" s="276"/>
      <c r="I361" s="276"/>
      <c r="J361" s="276"/>
      <c r="K361" s="276"/>
      <c r="L361" s="277"/>
      <c r="M361" s="256"/>
      <c r="N361" s="256"/>
      <c r="O361" s="256"/>
      <c r="P361" s="256"/>
      <c r="Q361" s="278"/>
      <c r="R361" s="279"/>
      <c r="S361" s="279"/>
      <c r="T361" s="279"/>
      <c r="AB361" s="280"/>
      <c r="AC361" s="223"/>
      <c r="AD361" s="223"/>
      <c r="AE361" s="223"/>
      <c r="AF361" s="281"/>
      <c r="AG361" s="281"/>
      <c r="AH361" s="281"/>
      <c r="AI361" s="258"/>
      <c r="AJ361" s="258"/>
      <c r="AS361" s="282"/>
      <c r="AT361" s="283"/>
      <c r="AU361" s="282"/>
      <c r="AV361" s="284"/>
      <c r="AX361" s="285"/>
      <c r="AY361" s="285"/>
      <c r="BD361" s="1382" t="str">
        <f t="shared" si="17"/>
        <v/>
      </c>
      <c r="BE361" s="234"/>
      <c r="BF361" s="234"/>
      <c r="BG361" s="234"/>
      <c r="BH361" s="277"/>
      <c r="BK361" s="276"/>
      <c r="BL361" s="276"/>
      <c r="BM361" s="276"/>
      <c r="BN361" s="276"/>
      <c r="BO361" s="223"/>
      <c r="BP361" s="258"/>
      <c r="CC361" s="234"/>
      <c r="CG361" s="258"/>
      <c r="CH361" s="258"/>
      <c r="CI361" s="258"/>
      <c r="CJ361" s="256"/>
      <c r="CK361" s="258"/>
      <c r="CL361" s="258"/>
      <c r="CM361" s="258"/>
      <c r="CN361" s="258"/>
      <c r="CO361" s="258"/>
      <c r="CP361" s="258"/>
      <c r="CQ361" s="258"/>
      <c r="CR361" s="281"/>
      <c r="CS361" s="258"/>
      <c r="CT361" s="258"/>
      <c r="CU361" s="286"/>
      <c r="DH361" s="278"/>
      <c r="DJ361" s="270"/>
      <c r="DK361" s="1098"/>
      <c r="DL361" s="270"/>
      <c r="DM361" s="270"/>
      <c r="DN361" s="287"/>
      <c r="DO361" s="287"/>
      <c r="DP361" s="270"/>
      <c r="DQ361" s="270"/>
      <c r="DR361" s="270"/>
      <c r="DS361" s="270"/>
      <c r="DT361" s="270"/>
      <c r="DU361" s="1098"/>
      <c r="DV361" s="1098"/>
      <c r="DW361" s="1098"/>
      <c r="DX361" s="1098"/>
      <c r="DY361" s="1098"/>
      <c r="DZ361" s="1098"/>
      <c r="EA361" s="1098"/>
      <c r="EB361" s="1098"/>
      <c r="ED361" s="277"/>
      <c r="EE361" s="277"/>
      <c r="EF361" s="277"/>
      <c r="EH361" s="277"/>
    </row>
    <row r="362" spans="3:138" hidden="1">
      <c r="C362" s="276"/>
      <c r="D362" s="276"/>
      <c r="E362" s="276"/>
      <c r="F362" s="276"/>
      <c r="G362" s="276"/>
      <c r="H362" s="276"/>
      <c r="I362" s="276"/>
      <c r="J362" s="276"/>
      <c r="K362" s="276"/>
      <c r="L362" s="277"/>
      <c r="M362" s="256"/>
      <c r="N362" s="256"/>
      <c r="O362" s="256"/>
      <c r="P362" s="256"/>
      <c r="Q362" s="278"/>
      <c r="R362" s="279"/>
      <c r="S362" s="279"/>
      <c r="T362" s="279"/>
      <c r="AB362" s="280"/>
      <c r="AC362" s="223"/>
      <c r="AD362" s="223"/>
      <c r="AE362" s="223"/>
      <c r="AF362" s="281"/>
      <c r="AG362" s="281"/>
      <c r="AH362" s="281"/>
      <c r="AI362" s="258"/>
      <c r="AJ362" s="258"/>
      <c r="AS362" s="282"/>
      <c r="AT362" s="283"/>
      <c r="AU362" s="282"/>
      <c r="AV362" s="284"/>
      <c r="AX362" s="285"/>
      <c r="AY362" s="285"/>
      <c r="BD362" s="1382" t="str">
        <f t="shared" si="17"/>
        <v/>
      </c>
      <c r="BE362" s="234"/>
      <c r="BF362" s="234"/>
      <c r="BG362" s="234"/>
      <c r="BH362" s="277"/>
      <c r="BK362" s="276"/>
      <c r="BL362" s="276"/>
      <c r="BM362" s="276"/>
      <c r="BN362" s="276"/>
      <c r="BO362" s="223"/>
      <c r="BP362" s="258"/>
      <c r="CC362" s="234"/>
      <c r="CG362" s="258"/>
      <c r="CH362" s="258"/>
      <c r="CI362" s="258"/>
      <c r="CJ362" s="256"/>
      <c r="CK362" s="258"/>
      <c r="CL362" s="258"/>
      <c r="CM362" s="258"/>
      <c r="CN362" s="258"/>
      <c r="CO362" s="258"/>
      <c r="CP362" s="258"/>
      <c r="CQ362" s="258"/>
      <c r="CR362" s="281"/>
      <c r="CS362" s="258"/>
      <c r="CT362" s="258"/>
      <c r="CU362" s="286"/>
      <c r="DH362" s="278"/>
      <c r="DJ362" s="270"/>
      <c r="DK362" s="1098"/>
      <c r="DL362" s="270"/>
      <c r="DM362" s="270"/>
      <c r="DN362" s="287"/>
      <c r="DO362" s="287"/>
      <c r="DP362" s="270"/>
      <c r="DQ362" s="270"/>
      <c r="DR362" s="270"/>
      <c r="DS362" s="270"/>
      <c r="DT362" s="270"/>
      <c r="DU362" s="1098"/>
      <c r="DV362" s="1098"/>
      <c r="DW362" s="1098"/>
      <c r="DX362" s="1098"/>
      <c r="DY362" s="1098"/>
      <c r="DZ362" s="1098"/>
      <c r="EA362" s="1098"/>
      <c r="EB362" s="1098"/>
      <c r="ED362" s="277"/>
      <c r="EE362" s="277"/>
      <c r="EF362" s="277"/>
      <c r="EH362" s="277"/>
    </row>
    <row r="363" spans="3:138" hidden="1">
      <c r="C363" s="276"/>
      <c r="D363" s="276"/>
      <c r="E363" s="276"/>
      <c r="F363" s="276"/>
      <c r="G363" s="276"/>
      <c r="H363" s="276"/>
      <c r="I363" s="276"/>
      <c r="J363" s="276"/>
      <c r="K363" s="276"/>
      <c r="L363" s="277"/>
      <c r="M363" s="256"/>
      <c r="N363" s="256"/>
      <c r="O363" s="256"/>
      <c r="P363" s="256"/>
      <c r="Q363" s="278"/>
      <c r="R363" s="279"/>
      <c r="S363" s="279"/>
      <c r="T363" s="279"/>
      <c r="AB363" s="280"/>
      <c r="AC363" s="223"/>
      <c r="AD363" s="223"/>
      <c r="AE363" s="223"/>
      <c r="AF363" s="281"/>
      <c r="AG363" s="281"/>
      <c r="AH363" s="281"/>
      <c r="AI363" s="258"/>
      <c r="AJ363" s="258"/>
      <c r="AS363" s="282"/>
      <c r="AT363" s="283"/>
      <c r="AU363" s="282"/>
      <c r="AV363" s="284"/>
      <c r="AX363" s="285"/>
      <c r="AY363" s="285"/>
      <c r="BD363" s="1382" t="str">
        <f t="shared" si="17"/>
        <v/>
      </c>
      <c r="BE363" s="234"/>
      <c r="BF363" s="234"/>
      <c r="BG363" s="234"/>
      <c r="BH363" s="277"/>
      <c r="BK363" s="276"/>
      <c r="BL363" s="276"/>
      <c r="BM363" s="276"/>
      <c r="BN363" s="276"/>
      <c r="BO363" s="223"/>
      <c r="BP363" s="258"/>
      <c r="CC363" s="234"/>
      <c r="CG363" s="258"/>
      <c r="CH363" s="258"/>
      <c r="CI363" s="258"/>
      <c r="CJ363" s="256"/>
      <c r="CK363" s="258"/>
      <c r="CL363" s="258"/>
      <c r="CM363" s="258"/>
      <c r="CN363" s="258"/>
      <c r="CO363" s="258"/>
      <c r="CP363" s="258"/>
      <c r="CQ363" s="258"/>
      <c r="CR363" s="281"/>
      <c r="CS363" s="258"/>
      <c r="CT363" s="258"/>
      <c r="CU363" s="286"/>
      <c r="DH363" s="278"/>
      <c r="DJ363" s="270"/>
      <c r="DK363" s="1098"/>
      <c r="DL363" s="270"/>
      <c r="DM363" s="270"/>
      <c r="DN363" s="287"/>
      <c r="DO363" s="287"/>
      <c r="DP363" s="270"/>
      <c r="DQ363" s="270"/>
      <c r="DR363" s="270"/>
      <c r="DS363" s="270"/>
      <c r="DT363" s="270"/>
      <c r="DU363" s="1098"/>
      <c r="DV363" s="1098"/>
      <c r="DW363" s="1098"/>
      <c r="DX363" s="1098"/>
      <c r="DY363" s="1098"/>
      <c r="DZ363" s="1098"/>
      <c r="EA363" s="1098"/>
      <c r="EB363" s="1098"/>
      <c r="ED363" s="277"/>
      <c r="EE363" s="277"/>
      <c r="EF363" s="277"/>
      <c r="EH363" s="277"/>
    </row>
    <row r="364" spans="3:138" hidden="1">
      <c r="C364" s="276"/>
      <c r="D364" s="276"/>
      <c r="E364" s="276"/>
      <c r="F364" s="276"/>
      <c r="G364" s="276"/>
      <c r="H364" s="276"/>
      <c r="I364" s="276"/>
      <c r="J364" s="276"/>
      <c r="K364" s="276"/>
      <c r="L364" s="277"/>
      <c r="M364" s="256"/>
      <c r="N364" s="256"/>
      <c r="O364" s="256"/>
      <c r="P364" s="256"/>
      <c r="Q364" s="278"/>
      <c r="R364" s="279"/>
      <c r="S364" s="279"/>
      <c r="T364" s="279"/>
      <c r="AB364" s="280"/>
      <c r="AC364" s="223"/>
      <c r="AD364" s="223"/>
      <c r="AE364" s="223"/>
      <c r="AF364" s="281"/>
      <c r="AG364" s="281"/>
      <c r="AH364" s="281"/>
      <c r="AI364" s="258"/>
      <c r="AJ364" s="258"/>
      <c r="AS364" s="282"/>
      <c r="AT364" s="283"/>
      <c r="AU364" s="282"/>
      <c r="AV364" s="284"/>
      <c r="AX364" s="285"/>
      <c r="AY364" s="285"/>
      <c r="BD364" s="1382" t="str">
        <f t="shared" si="17"/>
        <v/>
      </c>
      <c r="BE364" s="234"/>
      <c r="BF364" s="234"/>
      <c r="BG364" s="234"/>
      <c r="BH364" s="277"/>
      <c r="BK364" s="276"/>
      <c r="BL364" s="276"/>
      <c r="BM364" s="276"/>
      <c r="BN364" s="276"/>
      <c r="BO364" s="223"/>
      <c r="BP364" s="258"/>
      <c r="CC364" s="234"/>
      <c r="CG364" s="258"/>
      <c r="CH364" s="258"/>
      <c r="CI364" s="258"/>
      <c r="CJ364" s="256"/>
      <c r="CK364" s="258"/>
      <c r="CL364" s="258"/>
      <c r="CM364" s="258"/>
      <c r="CN364" s="258"/>
      <c r="CO364" s="258"/>
      <c r="CP364" s="258"/>
      <c r="CQ364" s="258"/>
      <c r="CR364" s="281"/>
      <c r="CS364" s="258"/>
      <c r="CT364" s="258"/>
      <c r="CU364" s="286"/>
      <c r="DH364" s="278"/>
      <c r="DJ364" s="270"/>
      <c r="DK364" s="1098"/>
      <c r="DL364" s="270"/>
      <c r="DM364" s="270"/>
      <c r="DN364" s="287"/>
      <c r="DO364" s="287"/>
      <c r="DP364" s="270"/>
      <c r="DQ364" s="270"/>
      <c r="DR364" s="270"/>
      <c r="DS364" s="270"/>
      <c r="DT364" s="270"/>
      <c r="DU364" s="1098"/>
      <c r="DV364" s="1098"/>
      <c r="DW364" s="1098"/>
      <c r="DX364" s="1098"/>
      <c r="DY364" s="1098"/>
      <c r="DZ364" s="1098"/>
      <c r="EA364" s="1098"/>
      <c r="EB364" s="1098"/>
      <c r="ED364" s="277"/>
      <c r="EE364" s="277"/>
      <c r="EF364" s="277"/>
      <c r="EH364" s="277"/>
    </row>
    <row r="365" spans="3:138" hidden="1">
      <c r="C365" s="276"/>
      <c r="D365" s="276"/>
      <c r="E365" s="276"/>
      <c r="F365" s="276"/>
      <c r="G365" s="276"/>
      <c r="H365" s="276"/>
      <c r="I365" s="276"/>
      <c r="J365" s="276"/>
      <c r="K365" s="276"/>
      <c r="L365" s="277"/>
      <c r="M365" s="256"/>
      <c r="N365" s="256"/>
      <c r="O365" s="256"/>
      <c r="P365" s="256"/>
      <c r="Q365" s="278"/>
      <c r="R365" s="279"/>
      <c r="S365" s="279"/>
      <c r="T365" s="279"/>
      <c r="AB365" s="280"/>
      <c r="AC365" s="223"/>
      <c r="AD365" s="223"/>
      <c r="AE365" s="223"/>
      <c r="AF365" s="281"/>
      <c r="AG365" s="281"/>
      <c r="AH365" s="281"/>
      <c r="AI365" s="258"/>
      <c r="AJ365" s="258"/>
      <c r="AS365" s="282"/>
      <c r="AT365" s="283"/>
      <c r="AU365" s="282"/>
      <c r="AV365" s="284"/>
      <c r="AX365" s="285"/>
      <c r="AY365" s="285"/>
      <c r="BD365" s="1382" t="str">
        <f t="shared" si="17"/>
        <v/>
      </c>
      <c r="BE365" s="234"/>
      <c r="BF365" s="234"/>
      <c r="BG365" s="234"/>
      <c r="BH365" s="277"/>
      <c r="BK365" s="276"/>
      <c r="BL365" s="276"/>
      <c r="BM365" s="276"/>
      <c r="BN365" s="276"/>
      <c r="BO365" s="223"/>
      <c r="BP365" s="258"/>
      <c r="CC365" s="234"/>
      <c r="CG365" s="258"/>
      <c r="CH365" s="258"/>
      <c r="CI365" s="258"/>
      <c r="CJ365" s="256"/>
      <c r="CK365" s="258"/>
      <c r="CL365" s="258"/>
      <c r="CM365" s="258"/>
      <c r="CN365" s="258"/>
      <c r="CO365" s="258"/>
      <c r="CP365" s="258"/>
      <c r="CQ365" s="258"/>
      <c r="CR365" s="281"/>
      <c r="CS365" s="258"/>
      <c r="CT365" s="258"/>
      <c r="CU365" s="286"/>
      <c r="DH365" s="278"/>
      <c r="DJ365" s="270"/>
      <c r="DK365" s="1098"/>
      <c r="DL365" s="270"/>
      <c r="DM365" s="270"/>
      <c r="DN365" s="287"/>
      <c r="DO365" s="287"/>
      <c r="DP365" s="270"/>
      <c r="DQ365" s="270"/>
      <c r="DR365" s="270"/>
      <c r="DS365" s="270"/>
      <c r="DT365" s="270"/>
      <c r="DU365" s="1098"/>
      <c r="DV365" s="1098"/>
      <c r="DW365" s="1098"/>
      <c r="DX365" s="1098"/>
      <c r="DY365" s="1098"/>
      <c r="DZ365" s="1098"/>
      <c r="EA365" s="1098"/>
      <c r="EB365" s="1098"/>
      <c r="ED365" s="277"/>
      <c r="EE365" s="277"/>
      <c r="EF365" s="277"/>
      <c r="EH365" s="277"/>
    </row>
    <row r="366" spans="3:138" hidden="1">
      <c r="C366" s="276"/>
      <c r="D366" s="276"/>
      <c r="E366" s="276"/>
      <c r="F366" s="276"/>
      <c r="G366" s="276"/>
      <c r="H366" s="276"/>
      <c r="I366" s="276"/>
      <c r="J366" s="276"/>
      <c r="K366" s="276"/>
      <c r="L366" s="277"/>
      <c r="M366" s="256"/>
      <c r="N366" s="256"/>
      <c r="O366" s="256"/>
      <c r="P366" s="256"/>
      <c r="Q366" s="278"/>
      <c r="R366" s="279"/>
      <c r="S366" s="279"/>
      <c r="T366" s="279"/>
      <c r="AB366" s="280"/>
      <c r="AC366" s="223"/>
      <c r="AD366" s="223"/>
      <c r="AE366" s="223"/>
      <c r="AF366" s="281"/>
      <c r="AG366" s="281"/>
      <c r="AH366" s="281"/>
      <c r="AI366" s="258"/>
      <c r="AJ366" s="258"/>
      <c r="AS366" s="282"/>
      <c r="AT366" s="283"/>
      <c r="AU366" s="282"/>
      <c r="AV366" s="284"/>
      <c r="AX366" s="285"/>
      <c r="AY366" s="285"/>
      <c r="BD366" s="1382" t="str">
        <f t="shared" si="17"/>
        <v/>
      </c>
      <c r="BE366" s="234"/>
      <c r="BF366" s="234"/>
      <c r="BG366" s="234"/>
      <c r="BH366" s="277"/>
      <c r="BK366" s="276"/>
      <c r="BL366" s="276"/>
      <c r="BM366" s="276"/>
      <c r="BN366" s="276"/>
      <c r="BO366" s="223"/>
      <c r="BP366" s="258"/>
      <c r="CC366" s="234"/>
      <c r="CG366" s="258"/>
      <c r="CH366" s="258"/>
      <c r="CI366" s="258"/>
      <c r="CJ366" s="256"/>
      <c r="CK366" s="258"/>
      <c r="CL366" s="258"/>
      <c r="CM366" s="258"/>
      <c r="CN366" s="258"/>
      <c r="CO366" s="258"/>
      <c r="CP366" s="258"/>
      <c r="CQ366" s="258"/>
      <c r="CR366" s="281"/>
      <c r="CS366" s="258"/>
      <c r="CT366" s="258"/>
      <c r="CU366" s="286"/>
      <c r="DH366" s="278"/>
      <c r="DJ366" s="270"/>
      <c r="DK366" s="1098"/>
      <c r="DL366" s="270"/>
      <c r="DM366" s="270"/>
      <c r="DN366" s="287"/>
      <c r="DO366" s="287"/>
      <c r="DP366" s="270"/>
      <c r="DQ366" s="270"/>
      <c r="DR366" s="270"/>
      <c r="DS366" s="270"/>
      <c r="DT366" s="270"/>
      <c r="DU366" s="1098"/>
      <c r="DV366" s="1098"/>
      <c r="DW366" s="1098"/>
      <c r="DX366" s="1098"/>
      <c r="DY366" s="1098"/>
      <c r="DZ366" s="1098"/>
      <c r="EA366" s="1098"/>
      <c r="EB366" s="1098"/>
      <c r="ED366" s="277"/>
      <c r="EE366" s="277"/>
      <c r="EF366" s="277"/>
      <c r="EH366" s="277"/>
    </row>
    <row r="367" spans="3:138" hidden="1">
      <c r="C367" s="276"/>
      <c r="D367" s="276"/>
      <c r="E367" s="276"/>
      <c r="F367" s="276"/>
      <c r="G367" s="276"/>
      <c r="H367" s="276"/>
      <c r="I367" s="276"/>
      <c r="J367" s="276"/>
      <c r="K367" s="276"/>
      <c r="L367" s="277"/>
      <c r="M367" s="256"/>
      <c r="N367" s="256"/>
      <c r="O367" s="256"/>
      <c r="P367" s="256"/>
      <c r="Q367" s="278"/>
      <c r="R367" s="279"/>
      <c r="S367" s="279"/>
      <c r="T367" s="279"/>
      <c r="AB367" s="280"/>
      <c r="AC367" s="223"/>
      <c r="AD367" s="223"/>
      <c r="AE367" s="223"/>
      <c r="AF367" s="281"/>
      <c r="AG367" s="281"/>
      <c r="AH367" s="281"/>
      <c r="AI367" s="258"/>
      <c r="AJ367" s="258"/>
      <c r="AS367" s="282"/>
      <c r="AT367" s="283"/>
      <c r="AU367" s="282"/>
      <c r="AV367" s="284"/>
      <c r="AX367" s="285"/>
      <c r="AY367" s="285"/>
      <c r="BD367" s="1382" t="str">
        <f t="shared" si="17"/>
        <v/>
      </c>
      <c r="BE367" s="234"/>
      <c r="BF367" s="234"/>
      <c r="BG367" s="234"/>
      <c r="BH367" s="277"/>
      <c r="BK367" s="276"/>
      <c r="BL367" s="276"/>
      <c r="BM367" s="276"/>
      <c r="BN367" s="276"/>
      <c r="BO367" s="223"/>
      <c r="BP367" s="258"/>
      <c r="CC367" s="234"/>
      <c r="CG367" s="258"/>
      <c r="CH367" s="258"/>
      <c r="CI367" s="258"/>
      <c r="CJ367" s="256"/>
      <c r="CK367" s="258"/>
      <c r="CL367" s="258"/>
      <c r="CM367" s="258"/>
      <c r="CN367" s="258"/>
      <c r="CO367" s="258"/>
      <c r="CP367" s="258"/>
      <c r="CQ367" s="258"/>
      <c r="CR367" s="281"/>
      <c r="CS367" s="258"/>
      <c r="CT367" s="258"/>
      <c r="CU367" s="286"/>
      <c r="DH367" s="278"/>
      <c r="DJ367" s="270"/>
      <c r="DK367" s="1098"/>
      <c r="DL367" s="270"/>
      <c r="DM367" s="270"/>
      <c r="DN367" s="287"/>
      <c r="DO367" s="287"/>
      <c r="DP367" s="270"/>
      <c r="DQ367" s="270"/>
      <c r="DR367" s="270"/>
      <c r="DS367" s="270"/>
      <c r="DT367" s="270"/>
      <c r="DU367" s="1098"/>
      <c r="DV367" s="1098"/>
      <c r="DW367" s="1098"/>
      <c r="DX367" s="1098"/>
      <c r="DY367" s="1098"/>
      <c r="DZ367" s="1098"/>
      <c r="EA367" s="1098"/>
      <c r="EB367" s="1098"/>
      <c r="ED367" s="277"/>
      <c r="EE367" s="277"/>
      <c r="EF367" s="277"/>
      <c r="EH367" s="277"/>
    </row>
    <row r="368" spans="3:138" hidden="1">
      <c r="C368" s="276"/>
      <c r="D368" s="276"/>
      <c r="E368" s="276"/>
      <c r="F368" s="276"/>
      <c r="G368" s="276"/>
      <c r="H368" s="276"/>
      <c r="I368" s="276"/>
      <c r="J368" s="276"/>
      <c r="K368" s="276"/>
      <c r="L368" s="277"/>
      <c r="M368" s="256"/>
      <c r="N368" s="256"/>
      <c r="O368" s="256"/>
      <c r="P368" s="256"/>
      <c r="Q368" s="278"/>
      <c r="R368" s="279"/>
      <c r="S368" s="279"/>
      <c r="T368" s="279"/>
      <c r="AB368" s="280"/>
      <c r="AC368" s="223"/>
      <c r="AD368" s="223"/>
      <c r="AE368" s="223"/>
      <c r="AF368" s="281"/>
      <c r="AG368" s="281"/>
      <c r="AH368" s="281"/>
      <c r="AI368" s="258"/>
      <c r="AJ368" s="258"/>
      <c r="AS368" s="282"/>
      <c r="AT368" s="283"/>
      <c r="AU368" s="282"/>
      <c r="AV368" s="284"/>
      <c r="AX368" s="285"/>
      <c r="AY368" s="285"/>
      <c r="BD368" s="1382" t="str">
        <f t="shared" si="17"/>
        <v/>
      </c>
      <c r="BE368" s="234"/>
      <c r="BF368" s="234"/>
      <c r="BG368" s="234"/>
      <c r="BH368" s="277"/>
      <c r="BK368" s="276"/>
      <c r="BL368" s="276"/>
      <c r="BM368" s="276"/>
      <c r="BN368" s="276"/>
      <c r="BO368" s="223"/>
      <c r="BP368" s="258"/>
      <c r="CC368" s="234"/>
      <c r="CG368" s="258"/>
      <c r="CH368" s="258"/>
      <c r="CI368" s="258"/>
      <c r="CJ368" s="256"/>
      <c r="CK368" s="258"/>
      <c r="CL368" s="258"/>
      <c r="CM368" s="258"/>
      <c r="CN368" s="258"/>
      <c r="CO368" s="258"/>
      <c r="CP368" s="258"/>
      <c r="CQ368" s="258"/>
      <c r="CR368" s="281"/>
      <c r="CS368" s="258"/>
      <c r="CT368" s="258"/>
      <c r="CU368" s="286"/>
      <c r="DH368" s="278"/>
      <c r="DJ368" s="270"/>
      <c r="DK368" s="1098"/>
      <c r="DL368" s="270"/>
      <c r="DM368" s="270"/>
      <c r="DN368" s="287"/>
      <c r="DO368" s="287"/>
      <c r="DP368" s="270"/>
      <c r="DQ368" s="270"/>
      <c r="DR368" s="270"/>
      <c r="DS368" s="270"/>
      <c r="DT368" s="270"/>
      <c r="DU368" s="1098"/>
      <c r="DV368" s="1098"/>
      <c r="DW368" s="1098"/>
      <c r="DX368" s="1098"/>
      <c r="DY368" s="1098"/>
      <c r="DZ368" s="1098"/>
      <c r="EA368" s="1098"/>
      <c r="EB368" s="1098"/>
      <c r="ED368" s="277"/>
      <c r="EE368" s="277"/>
      <c r="EF368" s="277"/>
      <c r="EH368" s="277"/>
    </row>
    <row r="369" spans="3:138" hidden="1">
      <c r="C369" s="276"/>
      <c r="D369" s="276"/>
      <c r="E369" s="276"/>
      <c r="F369" s="276"/>
      <c r="G369" s="276"/>
      <c r="H369" s="276"/>
      <c r="I369" s="276"/>
      <c r="J369" s="276"/>
      <c r="K369" s="276"/>
      <c r="L369" s="277"/>
      <c r="M369" s="256"/>
      <c r="N369" s="256"/>
      <c r="O369" s="256"/>
      <c r="P369" s="256"/>
      <c r="Q369" s="278"/>
      <c r="R369" s="279"/>
      <c r="S369" s="279"/>
      <c r="T369" s="279"/>
      <c r="AB369" s="280"/>
      <c r="AC369" s="223"/>
      <c r="AD369" s="223"/>
      <c r="AE369" s="223"/>
      <c r="AF369" s="281"/>
      <c r="AG369" s="281"/>
      <c r="AH369" s="281"/>
      <c r="AI369" s="258"/>
      <c r="AJ369" s="258"/>
      <c r="AS369" s="282"/>
      <c r="AT369" s="283"/>
      <c r="AU369" s="282"/>
      <c r="AV369" s="284"/>
      <c r="AX369" s="285"/>
      <c r="AY369" s="285"/>
      <c r="BD369" s="1382" t="str">
        <f t="shared" si="17"/>
        <v/>
      </c>
      <c r="BE369" s="234"/>
      <c r="BF369" s="234"/>
      <c r="BG369" s="234"/>
      <c r="BH369" s="277"/>
      <c r="BK369" s="276"/>
      <c r="BL369" s="276"/>
      <c r="BM369" s="276"/>
      <c r="BN369" s="276"/>
      <c r="BO369" s="223"/>
      <c r="BP369" s="258"/>
      <c r="CC369" s="234"/>
      <c r="CG369" s="258"/>
      <c r="CH369" s="258"/>
      <c r="CI369" s="258"/>
      <c r="CJ369" s="256"/>
      <c r="CK369" s="258"/>
      <c r="CL369" s="258"/>
      <c r="CM369" s="258"/>
      <c r="CN369" s="258"/>
      <c r="CO369" s="258"/>
      <c r="CP369" s="258"/>
      <c r="CQ369" s="258"/>
      <c r="CR369" s="281"/>
      <c r="CS369" s="258"/>
      <c r="CT369" s="258"/>
      <c r="CU369" s="286"/>
      <c r="DH369" s="278"/>
      <c r="DJ369" s="270"/>
      <c r="DK369" s="1098"/>
      <c r="DL369" s="270"/>
      <c r="DM369" s="270"/>
      <c r="DN369" s="287"/>
      <c r="DO369" s="287"/>
      <c r="DP369" s="270"/>
      <c r="DQ369" s="270"/>
      <c r="DR369" s="270"/>
      <c r="DS369" s="270"/>
      <c r="DT369" s="270"/>
      <c r="DU369" s="1098"/>
      <c r="DV369" s="1098"/>
      <c r="DW369" s="1098"/>
      <c r="DX369" s="1098"/>
      <c r="DY369" s="1098"/>
      <c r="DZ369" s="1098"/>
      <c r="EA369" s="1098"/>
      <c r="EB369" s="1098"/>
      <c r="ED369" s="277"/>
      <c r="EE369" s="277"/>
      <c r="EF369" s="277"/>
      <c r="EH369" s="277"/>
    </row>
    <row r="370" spans="3:138" hidden="1">
      <c r="C370" s="276"/>
      <c r="D370" s="276"/>
      <c r="E370" s="276"/>
      <c r="F370" s="276"/>
      <c r="G370" s="276"/>
      <c r="H370" s="276"/>
      <c r="I370" s="276"/>
      <c r="J370" s="276"/>
      <c r="K370" s="276"/>
      <c r="L370" s="277"/>
      <c r="M370" s="256"/>
      <c r="N370" s="256"/>
      <c r="O370" s="256"/>
      <c r="P370" s="256"/>
      <c r="Q370" s="278"/>
      <c r="R370" s="279"/>
      <c r="S370" s="279"/>
      <c r="T370" s="279"/>
      <c r="AB370" s="280"/>
      <c r="AC370" s="223"/>
      <c r="AD370" s="223"/>
      <c r="AE370" s="223"/>
      <c r="AF370" s="281"/>
      <c r="AG370" s="281"/>
      <c r="AH370" s="281"/>
      <c r="AI370" s="258"/>
      <c r="AJ370" s="258"/>
      <c r="AS370" s="282"/>
      <c r="AT370" s="283"/>
      <c r="AU370" s="282"/>
      <c r="AV370" s="284"/>
      <c r="AX370" s="285"/>
      <c r="AY370" s="285"/>
      <c r="BD370" s="1382" t="str">
        <f t="shared" si="17"/>
        <v/>
      </c>
      <c r="BE370" s="234"/>
      <c r="BF370" s="234"/>
      <c r="BG370" s="234"/>
      <c r="BH370" s="277"/>
      <c r="BK370" s="276"/>
      <c r="BL370" s="276"/>
      <c r="BM370" s="276"/>
      <c r="BN370" s="276"/>
      <c r="BO370" s="223"/>
      <c r="BP370" s="258"/>
      <c r="CC370" s="234"/>
      <c r="CG370" s="258"/>
      <c r="CH370" s="258"/>
      <c r="CI370" s="258"/>
      <c r="CJ370" s="256"/>
      <c r="CK370" s="258"/>
      <c r="CL370" s="258"/>
      <c r="CM370" s="258"/>
      <c r="CN370" s="258"/>
      <c r="CO370" s="258"/>
      <c r="CP370" s="258"/>
      <c r="CQ370" s="258"/>
      <c r="CR370" s="281"/>
      <c r="CS370" s="258"/>
      <c r="CT370" s="258"/>
      <c r="CU370" s="286"/>
      <c r="DH370" s="278"/>
      <c r="DJ370" s="270"/>
      <c r="DK370" s="1098"/>
      <c r="DL370" s="270"/>
      <c r="DM370" s="270"/>
      <c r="DN370" s="287"/>
      <c r="DO370" s="287"/>
      <c r="DP370" s="270"/>
      <c r="DQ370" s="270"/>
      <c r="DR370" s="270"/>
      <c r="DS370" s="270"/>
      <c r="DT370" s="270"/>
      <c r="DU370" s="1098"/>
      <c r="DV370" s="1098"/>
      <c r="DW370" s="1098"/>
      <c r="DX370" s="1098"/>
      <c r="DY370" s="1098"/>
      <c r="DZ370" s="1098"/>
      <c r="EA370" s="1098"/>
      <c r="EB370" s="1098"/>
      <c r="ED370" s="277"/>
      <c r="EE370" s="277"/>
      <c r="EF370" s="277"/>
      <c r="EH370" s="277"/>
    </row>
    <row r="371" spans="3:138" hidden="1">
      <c r="C371" s="276"/>
      <c r="D371" s="276"/>
      <c r="E371" s="276"/>
      <c r="F371" s="276"/>
      <c r="G371" s="276"/>
      <c r="H371" s="276"/>
      <c r="I371" s="276"/>
      <c r="J371" s="276"/>
      <c r="K371" s="276"/>
      <c r="L371" s="277"/>
      <c r="M371" s="256"/>
      <c r="N371" s="256"/>
      <c r="O371" s="256"/>
      <c r="P371" s="256"/>
      <c r="Q371" s="278"/>
      <c r="R371" s="279"/>
      <c r="S371" s="279"/>
      <c r="T371" s="279"/>
      <c r="AB371" s="280"/>
      <c r="AC371" s="223"/>
      <c r="AD371" s="223"/>
      <c r="AE371" s="223"/>
      <c r="AF371" s="281"/>
      <c r="AG371" s="281"/>
      <c r="AH371" s="281"/>
      <c r="AI371" s="258"/>
      <c r="AJ371" s="258"/>
      <c r="AS371" s="282"/>
      <c r="AT371" s="283"/>
      <c r="AU371" s="282"/>
      <c r="AV371" s="284"/>
      <c r="AX371" s="285"/>
      <c r="AY371" s="285"/>
      <c r="BD371" s="1382" t="str">
        <f t="shared" si="17"/>
        <v/>
      </c>
      <c r="BE371" s="234"/>
      <c r="BF371" s="234"/>
      <c r="BG371" s="234"/>
      <c r="BH371" s="277"/>
      <c r="BK371" s="276"/>
      <c r="BL371" s="276"/>
      <c r="BM371" s="276"/>
      <c r="BN371" s="276"/>
      <c r="BO371" s="223"/>
      <c r="BP371" s="258"/>
      <c r="CC371" s="234"/>
      <c r="CG371" s="258"/>
      <c r="CH371" s="258"/>
      <c r="CI371" s="258"/>
      <c r="CJ371" s="256"/>
      <c r="CK371" s="258"/>
      <c r="CL371" s="258"/>
      <c r="CM371" s="258"/>
      <c r="CN371" s="258"/>
      <c r="CO371" s="258"/>
      <c r="CP371" s="258"/>
      <c r="CQ371" s="258"/>
      <c r="CR371" s="281"/>
      <c r="CS371" s="258"/>
      <c r="CT371" s="258"/>
      <c r="CU371" s="286"/>
      <c r="DH371" s="278"/>
      <c r="DJ371" s="270"/>
      <c r="DK371" s="1098"/>
      <c r="DL371" s="270"/>
      <c r="DM371" s="270"/>
      <c r="DN371" s="287"/>
      <c r="DO371" s="287"/>
      <c r="DP371" s="270"/>
      <c r="DQ371" s="270"/>
      <c r="DR371" s="270"/>
      <c r="DS371" s="270"/>
      <c r="DT371" s="270"/>
      <c r="DU371" s="1098"/>
      <c r="DV371" s="1098"/>
      <c r="DW371" s="1098"/>
      <c r="DX371" s="1098"/>
      <c r="DY371" s="1098"/>
      <c r="DZ371" s="1098"/>
      <c r="EA371" s="1098"/>
      <c r="EB371" s="1098"/>
      <c r="ED371" s="277"/>
      <c r="EE371" s="277"/>
      <c r="EF371" s="277"/>
      <c r="EH371" s="277"/>
    </row>
    <row r="372" spans="3:138" hidden="1">
      <c r="C372" s="276"/>
      <c r="D372" s="276"/>
      <c r="E372" s="276"/>
      <c r="F372" s="276"/>
      <c r="G372" s="276"/>
      <c r="H372" s="276"/>
      <c r="I372" s="276"/>
      <c r="J372" s="276"/>
      <c r="K372" s="276"/>
      <c r="L372" s="277"/>
      <c r="M372" s="256"/>
      <c r="N372" s="256"/>
      <c r="O372" s="256"/>
      <c r="P372" s="256"/>
      <c r="Q372" s="278"/>
      <c r="R372" s="279"/>
      <c r="S372" s="279"/>
      <c r="T372" s="279"/>
      <c r="AB372" s="280"/>
      <c r="AC372" s="223"/>
      <c r="AD372" s="223"/>
      <c r="AE372" s="223"/>
      <c r="AF372" s="281"/>
      <c r="AG372" s="281"/>
      <c r="AH372" s="281"/>
      <c r="AI372" s="258"/>
      <c r="AJ372" s="258"/>
      <c r="AS372" s="282"/>
      <c r="AT372" s="283"/>
      <c r="AU372" s="282"/>
      <c r="AV372" s="284"/>
      <c r="AX372" s="285"/>
      <c r="AY372" s="285"/>
      <c r="BD372" s="1382" t="str">
        <f t="shared" si="17"/>
        <v/>
      </c>
      <c r="BE372" s="234"/>
      <c r="BF372" s="234"/>
      <c r="BG372" s="234"/>
      <c r="BH372" s="277"/>
      <c r="BK372" s="276"/>
      <c r="BL372" s="276"/>
      <c r="BM372" s="276"/>
      <c r="BN372" s="276"/>
      <c r="BO372" s="223"/>
      <c r="BP372" s="258"/>
      <c r="CC372" s="234"/>
      <c r="CG372" s="258"/>
      <c r="CH372" s="258"/>
      <c r="CI372" s="258"/>
      <c r="CJ372" s="256"/>
      <c r="CK372" s="258"/>
      <c r="CL372" s="258"/>
      <c r="CM372" s="258"/>
      <c r="CN372" s="258"/>
      <c r="CO372" s="258"/>
      <c r="CP372" s="258"/>
      <c r="CQ372" s="258"/>
      <c r="CR372" s="281"/>
      <c r="CS372" s="258"/>
      <c r="CT372" s="258"/>
      <c r="CU372" s="286"/>
      <c r="DH372" s="278"/>
      <c r="DJ372" s="270"/>
      <c r="DK372" s="1098"/>
      <c r="DL372" s="270"/>
      <c r="DM372" s="270"/>
      <c r="DN372" s="287"/>
      <c r="DO372" s="287"/>
      <c r="DP372" s="270"/>
      <c r="DQ372" s="270"/>
      <c r="DR372" s="270"/>
      <c r="DS372" s="270"/>
      <c r="DT372" s="270"/>
      <c r="DU372" s="1098"/>
      <c r="DV372" s="1098"/>
      <c r="DW372" s="1098"/>
      <c r="DX372" s="1098"/>
      <c r="DY372" s="1098"/>
      <c r="DZ372" s="1098"/>
      <c r="EA372" s="1098"/>
      <c r="EB372" s="1098"/>
      <c r="ED372" s="277"/>
      <c r="EE372" s="277"/>
      <c r="EF372" s="277"/>
      <c r="EH372" s="277"/>
    </row>
    <row r="373" spans="3:138" hidden="1">
      <c r="C373" s="276"/>
      <c r="D373" s="276"/>
      <c r="E373" s="276"/>
      <c r="F373" s="276"/>
      <c r="G373" s="276"/>
      <c r="H373" s="276"/>
      <c r="I373" s="276"/>
      <c r="J373" s="276"/>
      <c r="K373" s="276"/>
      <c r="L373" s="277"/>
      <c r="M373" s="256"/>
      <c r="N373" s="256"/>
      <c r="O373" s="256"/>
      <c r="P373" s="256"/>
      <c r="Q373" s="278"/>
      <c r="R373" s="279"/>
      <c r="S373" s="279"/>
      <c r="T373" s="279"/>
      <c r="AB373" s="280"/>
      <c r="AC373" s="223"/>
      <c r="AD373" s="223"/>
      <c r="AE373" s="223"/>
      <c r="AF373" s="281"/>
      <c r="AG373" s="281"/>
      <c r="AH373" s="281"/>
      <c r="AI373" s="258"/>
      <c r="AJ373" s="258"/>
      <c r="AS373" s="282"/>
      <c r="AT373" s="283"/>
      <c r="AU373" s="282"/>
      <c r="AV373" s="284"/>
      <c r="AX373" s="285"/>
      <c r="AY373" s="285"/>
      <c r="BD373" s="1382" t="str">
        <f t="shared" si="17"/>
        <v/>
      </c>
      <c r="BE373" s="234"/>
      <c r="BF373" s="234"/>
      <c r="BG373" s="234"/>
      <c r="BH373" s="277"/>
      <c r="BK373" s="276"/>
      <c r="BL373" s="276"/>
      <c r="BM373" s="276"/>
      <c r="BN373" s="276"/>
      <c r="BO373" s="223"/>
      <c r="BP373" s="258"/>
      <c r="CC373" s="234"/>
      <c r="CG373" s="258"/>
      <c r="CH373" s="258"/>
      <c r="CI373" s="258"/>
      <c r="CJ373" s="256"/>
      <c r="CK373" s="258"/>
      <c r="CL373" s="258"/>
      <c r="CM373" s="258"/>
      <c r="CN373" s="258"/>
      <c r="CO373" s="258"/>
      <c r="CP373" s="258"/>
      <c r="CQ373" s="258"/>
      <c r="CR373" s="281"/>
      <c r="CS373" s="258"/>
      <c r="CT373" s="258"/>
      <c r="CU373" s="286"/>
      <c r="DH373" s="278"/>
      <c r="DJ373" s="270"/>
      <c r="DK373" s="1098"/>
      <c r="DL373" s="270"/>
      <c r="DM373" s="270"/>
      <c r="DN373" s="287"/>
      <c r="DO373" s="287"/>
      <c r="DP373" s="270"/>
      <c r="DQ373" s="270"/>
      <c r="DR373" s="270"/>
      <c r="DS373" s="270"/>
      <c r="DT373" s="270"/>
      <c r="DU373" s="1098"/>
      <c r="DV373" s="1098"/>
      <c r="DW373" s="1098"/>
      <c r="DX373" s="1098"/>
      <c r="DY373" s="1098"/>
      <c r="DZ373" s="1098"/>
      <c r="EA373" s="1098"/>
      <c r="EB373" s="1098"/>
      <c r="ED373" s="277"/>
      <c r="EE373" s="277"/>
      <c r="EF373" s="277"/>
      <c r="EH373" s="277"/>
    </row>
    <row r="374" spans="3:138" hidden="1">
      <c r="C374" s="276"/>
      <c r="D374" s="276"/>
      <c r="E374" s="276"/>
      <c r="F374" s="276"/>
      <c r="G374" s="276"/>
      <c r="H374" s="276"/>
      <c r="I374" s="276"/>
      <c r="J374" s="276"/>
      <c r="K374" s="276"/>
      <c r="L374" s="277"/>
      <c r="M374" s="256"/>
      <c r="N374" s="256"/>
      <c r="O374" s="256"/>
      <c r="P374" s="256"/>
      <c r="Q374" s="278"/>
      <c r="R374" s="279"/>
      <c r="S374" s="279"/>
      <c r="T374" s="279"/>
      <c r="AB374" s="280"/>
      <c r="AC374" s="223"/>
      <c r="AD374" s="223"/>
      <c r="AE374" s="223"/>
      <c r="AF374" s="281"/>
      <c r="AG374" s="281"/>
      <c r="AH374" s="281"/>
      <c r="AI374" s="258"/>
      <c r="AJ374" s="258"/>
      <c r="AS374" s="282"/>
      <c r="AT374" s="283"/>
      <c r="AU374" s="282"/>
      <c r="AV374" s="284"/>
      <c r="AX374" s="285"/>
      <c r="AY374" s="285"/>
      <c r="BD374" s="1382" t="str">
        <f t="shared" si="17"/>
        <v/>
      </c>
      <c r="BE374" s="234"/>
      <c r="BF374" s="234"/>
      <c r="BG374" s="234"/>
      <c r="BH374" s="277"/>
      <c r="BK374" s="276"/>
      <c r="BL374" s="276"/>
      <c r="BM374" s="276"/>
      <c r="BN374" s="276"/>
      <c r="BO374" s="223"/>
      <c r="BP374" s="258"/>
      <c r="CC374" s="234"/>
      <c r="CG374" s="258"/>
      <c r="CH374" s="258"/>
      <c r="CI374" s="258"/>
      <c r="CJ374" s="256"/>
      <c r="CK374" s="258"/>
      <c r="CL374" s="258"/>
      <c r="CM374" s="258"/>
      <c r="CN374" s="258"/>
      <c r="CO374" s="258"/>
      <c r="CP374" s="258"/>
      <c r="CQ374" s="258"/>
      <c r="CR374" s="281"/>
      <c r="CS374" s="258"/>
      <c r="CT374" s="258"/>
      <c r="CU374" s="286"/>
      <c r="DH374" s="278"/>
      <c r="DJ374" s="270"/>
      <c r="DK374" s="1098"/>
      <c r="DL374" s="270"/>
      <c r="DM374" s="270"/>
      <c r="DN374" s="287"/>
      <c r="DO374" s="287"/>
      <c r="DP374" s="270"/>
      <c r="DQ374" s="270"/>
      <c r="DR374" s="270"/>
      <c r="DS374" s="270"/>
      <c r="DT374" s="270"/>
      <c r="DU374" s="1098"/>
      <c r="DV374" s="1098"/>
      <c r="DW374" s="1098"/>
      <c r="DX374" s="1098"/>
      <c r="DY374" s="1098"/>
      <c r="DZ374" s="1098"/>
      <c r="EA374" s="1098"/>
      <c r="EB374" s="1098"/>
      <c r="ED374" s="277"/>
      <c r="EE374" s="277"/>
      <c r="EF374" s="277"/>
      <c r="EH374" s="277"/>
    </row>
    <row r="375" spans="3:138" hidden="1">
      <c r="C375" s="276"/>
      <c r="D375" s="276"/>
      <c r="E375" s="276"/>
      <c r="F375" s="276"/>
      <c r="G375" s="276"/>
      <c r="H375" s="276"/>
      <c r="I375" s="276"/>
      <c r="J375" s="276"/>
      <c r="K375" s="276"/>
      <c r="L375" s="277"/>
      <c r="M375" s="256"/>
      <c r="N375" s="256"/>
      <c r="O375" s="256"/>
      <c r="P375" s="256"/>
      <c r="Q375" s="278"/>
      <c r="R375" s="279"/>
      <c r="S375" s="279"/>
      <c r="T375" s="279"/>
      <c r="AB375" s="280"/>
      <c r="AC375" s="223"/>
      <c r="AD375" s="223"/>
      <c r="AE375" s="223"/>
      <c r="AF375" s="281"/>
      <c r="AG375" s="281"/>
      <c r="AH375" s="281"/>
      <c r="AI375" s="258"/>
      <c r="AJ375" s="258"/>
      <c r="AS375" s="282"/>
      <c r="AT375" s="283"/>
      <c r="AU375" s="282"/>
      <c r="AV375" s="284"/>
      <c r="AX375" s="285"/>
      <c r="AY375" s="285"/>
      <c r="BD375" s="1382" t="str">
        <f t="shared" si="17"/>
        <v/>
      </c>
      <c r="BE375" s="234"/>
      <c r="BF375" s="234"/>
      <c r="BG375" s="234"/>
      <c r="BH375" s="277"/>
      <c r="BK375" s="276"/>
      <c r="BL375" s="276"/>
      <c r="BM375" s="276"/>
      <c r="BN375" s="276"/>
      <c r="BO375" s="223"/>
      <c r="BP375" s="258"/>
      <c r="CC375" s="234"/>
      <c r="CG375" s="258"/>
      <c r="CH375" s="258"/>
      <c r="CI375" s="258"/>
      <c r="CJ375" s="256"/>
      <c r="CK375" s="258"/>
      <c r="CL375" s="258"/>
      <c r="CM375" s="258"/>
      <c r="CN375" s="258"/>
      <c r="CO375" s="258"/>
      <c r="CP375" s="258"/>
      <c r="CQ375" s="258"/>
      <c r="CR375" s="281"/>
      <c r="CS375" s="258"/>
      <c r="CT375" s="258"/>
      <c r="CU375" s="286"/>
      <c r="DH375" s="278"/>
      <c r="DJ375" s="270"/>
      <c r="DK375" s="1098"/>
      <c r="DL375" s="270"/>
      <c r="DM375" s="270"/>
      <c r="DN375" s="287"/>
      <c r="DO375" s="287"/>
      <c r="DP375" s="270"/>
      <c r="DQ375" s="270"/>
      <c r="DR375" s="270"/>
      <c r="DS375" s="270"/>
      <c r="DT375" s="270"/>
      <c r="DU375" s="1098"/>
      <c r="DV375" s="1098"/>
      <c r="DW375" s="1098"/>
      <c r="DX375" s="1098"/>
      <c r="DY375" s="1098"/>
      <c r="DZ375" s="1098"/>
      <c r="EA375" s="1098"/>
      <c r="EB375" s="1098"/>
      <c r="ED375" s="277"/>
      <c r="EE375" s="277"/>
      <c r="EF375" s="277"/>
      <c r="EH375" s="277"/>
    </row>
    <row r="376" spans="3:138" hidden="1">
      <c r="C376" s="276"/>
      <c r="D376" s="276"/>
      <c r="E376" s="276"/>
      <c r="F376" s="276"/>
      <c r="G376" s="276"/>
      <c r="H376" s="276"/>
      <c r="I376" s="276"/>
      <c r="J376" s="276"/>
      <c r="K376" s="276"/>
      <c r="L376" s="277"/>
      <c r="M376" s="256"/>
      <c r="N376" s="256"/>
      <c r="O376" s="256"/>
      <c r="P376" s="256"/>
      <c r="Q376" s="278"/>
      <c r="R376" s="279"/>
      <c r="S376" s="279"/>
      <c r="T376" s="279"/>
      <c r="AB376" s="280"/>
      <c r="AC376" s="223"/>
      <c r="AD376" s="223"/>
      <c r="AE376" s="223"/>
      <c r="AF376" s="281"/>
      <c r="AG376" s="281"/>
      <c r="AH376" s="281"/>
      <c r="AI376" s="258"/>
      <c r="AJ376" s="258"/>
      <c r="AS376" s="282"/>
      <c r="AT376" s="283"/>
      <c r="AU376" s="282"/>
      <c r="AV376" s="284"/>
      <c r="AX376" s="285"/>
      <c r="AY376" s="285"/>
      <c r="BD376" s="1382" t="str">
        <f t="shared" si="17"/>
        <v/>
      </c>
      <c r="BE376" s="234"/>
      <c r="BF376" s="234"/>
      <c r="BG376" s="234"/>
      <c r="BH376" s="277"/>
      <c r="BK376" s="276"/>
      <c r="BL376" s="276"/>
      <c r="BM376" s="276"/>
      <c r="BN376" s="276"/>
      <c r="BO376" s="223"/>
      <c r="BP376" s="258"/>
      <c r="CC376" s="234"/>
      <c r="CG376" s="258"/>
      <c r="CH376" s="258"/>
      <c r="CI376" s="258"/>
      <c r="CJ376" s="256"/>
      <c r="CK376" s="258"/>
      <c r="CL376" s="258"/>
      <c r="CM376" s="258"/>
      <c r="CN376" s="258"/>
      <c r="CO376" s="258"/>
      <c r="CP376" s="258"/>
      <c r="CQ376" s="258"/>
      <c r="CR376" s="281"/>
      <c r="CS376" s="258"/>
      <c r="CT376" s="258"/>
      <c r="CU376" s="286"/>
      <c r="DH376" s="278"/>
      <c r="DJ376" s="270"/>
      <c r="DK376" s="1098"/>
      <c r="DL376" s="270"/>
      <c r="DM376" s="270"/>
      <c r="DN376" s="287"/>
      <c r="DO376" s="287"/>
      <c r="DP376" s="270"/>
      <c r="DQ376" s="270"/>
      <c r="DR376" s="270"/>
      <c r="DS376" s="270"/>
      <c r="DT376" s="270"/>
      <c r="DU376" s="1098"/>
      <c r="DV376" s="1098"/>
      <c r="DW376" s="1098"/>
      <c r="DX376" s="1098"/>
      <c r="DY376" s="1098"/>
      <c r="DZ376" s="1098"/>
      <c r="EA376" s="1098"/>
      <c r="EB376" s="1098"/>
      <c r="ED376" s="277"/>
      <c r="EE376" s="277"/>
      <c r="EF376" s="277"/>
      <c r="EH376" s="277"/>
    </row>
    <row r="377" spans="3:138" hidden="1">
      <c r="C377" s="276"/>
      <c r="D377" s="276"/>
      <c r="E377" s="276"/>
      <c r="F377" s="276"/>
      <c r="G377" s="276"/>
      <c r="H377" s="276"/>
      <c r="I377" s="276"/>
      <c r="J377" s="276"/>
      <c r="K377" s="276"/>
      <c r="L377" s="277"/>
      <c r="M377" s="256"/>
      <c r="N377" s="256"/>
      <c r="O377" s="256"/>
      <c r="P377" s="256"/>
      <c r="Q377" s="278"/>
      <c r="R377" s="279"/>
      <c r="S377" s="279"/>
      <c r="T377" s="279"/>
      <c r="AB377" s="280"/>
      <c r="AC377" s="223"/>
      <c r="AD377" s="223"/>
      <c r="AE377" s="223"/>
      <c r="AF377" s="281"/>
      <c r="AG377" s="281"/>
      <c r="AH377" s="281"/>
      <c r="AI377" s="258"/>
      <c r="AJ377" s="258"/>
      <c r="AS377" s="282"/>
      <c r="AT377" s="283"/>
      <c r="AU377" s="282"/>
      <c r="AV377" s="284"/>
      <c r="AX377" s="285"/>
      <c r="AY377" s="285"/>
      <c r="BD377" s="1382" t="str">
        <f t="shared" si="17"/>
        <v/>
      </c>
      <c r="BE377" s="234"/>
      <c r="BF377" s="234"/>
      <c r="BG377" s="234"/>
      <c r="BH377" s="277"/>
      <c r="BK377" s="276"/>
      <c r="BL377" s="276"/>
      <c r="BM377" s="276"/>
      <c r="BN377" s="276"/>
      <c r="BO377" s="223"/>
      <c r="BP377" s="258"/>
      <c r="CC377" s="234"/>
      <c r="CG377" s="258"/>
      <c r="CH377" s="258"/>
      <c r="CI377" s="258"/>
      <c r="CJ377" s="256"/>
      <c r="CK377" s="258"/>
      <c r="CL377" s="258"/>
      <c r="CM377" s="258"/>
      <c r="CN377" s="258"/>
      <c r="CO377" s="258"/>
      <c r="CP377" s="258"/>
      <c r="CQ377" s="258"/>
      <c r="CR377" s="281"/>
      <c r="CS377" s="258"/>
      <c r="CT377" s="258"/>
      <c r="CU377" s="286"/>
      <c r="DH377" s="278"/>
      <c r="DJ377" s="270"/>
      <c r="DK377" s="1098"/>
      <c r="DL377" s="270"/>
      <c r="DM377" s="270"/>
      <c r="DN377" s="287"/>
      <c r="DO377" s="287"/>
      <c r="DP377" s="270"/>
      <c r="DQ377" s="270"/>
      <c r="DR377" s="270"/>
      <c r="DS377" s="270"/>
      <c r="DT377" s="270"/>
      <c r="DU377" s="1098"/>
      <c r="DV377" s="1098"/>
      <c r="DW377" s="1098"/>
      <c r="DX377" s="1098"/>
      <c r="DY377" s="1098"/>
      <c r="DZ377" s="1098"/>
      <c r="EA377" s="1098"/>
      <c r="EB377" s="1098"/>
      <c r="ED377" s="277"/>
      <c r="EE377" s="277"/>
      <c r="EF377" s="277"/>
      <c r="EH377" s="277"/>
    </row>
    <row r="378" spans="3:138" hidden="1">
      <c r="C378" s="276"/>
      <c r="D378" s="276"/>
      <c r="E378" s="276"/>
      <c r="F378" s="276"/>
      <c r="G378" s="276"/>
      <c r="H378" s="276"/>
      <c r="I378" s="276"/>
      <c r="J378" s="276"/>
      <c r="K378" s="276"/>
      <c r="L378" s="277"/>
      <c r="M378" s="256"/>
      <c r="N378" s="256"/>
      <c r="O378" s="256"/>
      <c r="P378" s="256"/>
      <c r="Q378" s="278"/>
      <c r="R378" s="279"/>
      <c r="S378" s="279"/>
      <c r="T378" s="279"/>
      <c r="AB378" s="280"/>
      <c r="AC378" s="223"/>
      <c r="AD378" s="223"/>
      <c r="AE378" s="223"/>
      <c r="AF378" s="281"/>
      <c r="AG378" s="281"/>
      <c r="AH378" s="281"/>
      <c r="AI378" s="258"/>
      <c r="AJ378" s="258"/>
      <c r="AS378" s="282"/>
      <c r="AT378" s="283"/>
      <c r="AU378" s="282"/>
      <c r="AV378" s="284"/>
      <c r="AX378" s="285"/>
      <c r="AY378" s="285"/>
      <c r="BD378" s="1382" t="str">
        <f t="shared" si="17"/>
        <v/>
      </c>
      <c r="BE378" s="234"/>
      <c r="BF378" s="234"/>
      <c r="BG378" s="234"/>
      <c r="BH378" s="277"/>
      <c r="BK378" s="276"/>
      <c r="BL378" s="276"/>
      <c r="BM378" s="276"/>
      <c r="BN378" s="276"/>
      <c r="BO378" s="223"/>
      <c r="BP378" s="258"/>
      <c r="CC378" s="234"/>
      <c r="CG378" s="258"/>
      <c r="CH378" s="258"/>
      <c r="CI378" s="258"/>
      <c r="CJ378" s="256"/>
      <c r="CK378" s="258"/>
      <c r="CL378" s="258"/>
      <c r="CM378" s="258"/>
      <c r="CN378" s="258"/>
      <c r="CO378" s="258"/>
      <c r="CP378" s="258"/>
      <c r="CQ378" s="258"/>
      <c r="CR378" s="281"/>
      <c r="CS378" s="258"/>
      <c r="CT378" s="258"/>
      <c r="CU378" s="286"/>
      <c r="DH378" s="278"/>
      <c r="DJ378" s="270"/>
      <c r="DK378" s="1098"/>
      <c r="DL378" s="270"/>
      <c r="DM378" s="270"/>
      <c r="DN378" s="287"/>
      <c r="DO378" s="287"/>
      <c r="DP378" s="270"/>
      <c r="DQ378" s="270"/>
      <c r="DR378" s="270"/>
      <c r="DS378" s="270"/>
      <c r="DT378" s="270"/>
      <c r="DU378" s="1098"/>
      <c r="DV378" s="1098"/>
      <c r="DW378" s="1098"/>
      <c r="DX378" s="1098"/>
      <c r="DY378" s="1098"/>
      <c r="DZ378" s="1098"/>
      <c r="EA378" s="1098"/>
      <c r="EB378" s="1098"/>
      <c r="ED378" s="277"/>
      <c r="EE378" s="277"/>
      <c r="EF378" s="277"/>
      <c r="EH378" s="277"/>
    </row>
    <row r="379" spans="3:138" hidden="1">
      <c r="C379" s="276"/>
      <c r="D379" s="276"/>
      <c r="E379" s="276"/>
      <c r="F379" s="276"/>
      <c r="G379" s="276"/>
      <c r="H379" s="276"/>
      <c r="I379" s="276"/>
      <c r="J379" s="276"/>
      <c r="K379" s="276"/>
      <c r="L379" s="277"/>
      <c r="M379" s="256"/>
      <c r="N379" s="256"/>
      <c r="O379" s="256"/>
      <c r="P379" s="256"/>
      <c r="Q379" s="278"/>
      <c r="R379" s="279"/>
      <c r="S379" s="279"/>
      <c r="T379" s="279"/>
      <c r="AB379" s="280"/>
      <c r="AC379" s="223"/>
      <c r="AD379" s="223"/>
      <c r="AE379" s="223"/>
      <c r="AF379" s="281"/>
      <c r="AG379" s="281"/>
      <c r="AH379" s="281"/>
      <c r="AI379" s="258"/>
      <c r="AJ379" s="258"/>
      <c r="AS379" s="282"/>
      <c r="AT379" s="283"/>
      <c r="AU379" s="282"/>
      <c r="AV379" s="284"/>
      <c r="AX379" s="285"/>
      <c r="AY379" s="285"/>
      <c r="BD379" s="1382" t="str">
        <f t="shared" si="17"/>
        <v/>
      </c>
      <c r="BE379" s="234"/>
      <c r="BF379" s="234"/>
      <c r="BG379" s="234"/>
      <c r="BH379" s="277"/>
      <c r="BK379" s="276"/>
      <c r="BL379" s="276"/>
      <c r="BM379" s="276"/>
      <c r="BN379" s="276"/>
      <c r="BO379" s="223"/>
      <c r="BP379" s="258"/>
      <c r="CC379" s="234"/>
      <c r="CG379" s="258"/>
      <c r="CH379" s="258"/>
      <c r="CI379" s="258"/>
      <c r="CJ379" s="256"/>
      <c r="CK379" s="258"/>
      <c r="CL379" s="258"/>
      <c r="CM379" s="258"/>
      <c r="CN379" s="258"/>
      <c r="CO379" s="258"/>
      <c r="CP379" s="258"/>
      <c r="CQ379" s="258"/>
      <c r="CR379" s="281"/>
      <c r="CS379" s="258"/>
      <c r="CT379" s="258"/>
      <c r="CU379" s="286"/>
      <c r="DH379" s="278"/>
      <c r="DJ379" s="270"/>
      <c r="DK379" s="1098"/>
      <c r="DL379" s="270"/>
      <c r="DM379" s="270"/>
      <c r="DN379" s="287"/>
      <c r="DO379" s="287"/>
      <c r="DP379" s="270"/>
      <c r="DQ379" s="270"/>
      <c r="DR379" s="270"/>
      <c r="DS379" s="270"/>
      <c r="DT379" s="270"/>
      <c r="DU379" s="1098"/>
      <c r="DV379" s="1098"/>
      <c r="DW379" s="1098"/>
      <c r="DX379" s="1098"/>
      <c r="DY379" s="1098"/>
      <c r="DZ379" s="1098"/>
      <c r="EA379" s="1098"/>
      <c r="EB379" s="1098"/>
      <c r="ED379" s="277"/>
      <c r="EE379" s="277"/>
      <c r="EF379" s="277"/>
      <c r="EH379" s="277"/>
    </row>
    <row r="380" spans="3:138" hidden="1">
      <c r="C380" s="276"/>
      <c r="D380" s="276"/>
      <c r="E380" s="276"/>
      <c r="F380" s="276"/>
      <c r="G380" s="276"/>
      <c r="H380" s="276"/>
      <c r="I380" s="276"/>
      <c r="J380" s="276"/>
      <c r="K380" s="276"/>
      <c r="L380" s="277"/>
      <c r="M380" s="256"/>
      <c r="N380" s="256"/>
      <c r="O380" s="256"/>
      <c r="P380" s="256"/>
      <c r="Q380" s="278"/>
      <c r="R380" s="279"/>
      <c r="S380" s="279"/>
      <c r="T380" s="279"/>
      <c r="AB380" s="280"/>
      <c r="AC380" s="223"/>
      <c r="AD380" s="223"/>
      <c r="AE380" s="223"/>
      <c r="AF380" s="281"/>
      <c r="AG380" s="281"/>
      <c r="AH380" s="281"/>
      <c r="AI380" s="258"/>
      <c r="AJ380" s="258"/>
      <c r="AS380" s="282"/>
      <c r="AT380" s="283"/>
      <c r="AU380" s="282"/>
      <c r="AV380" s="284"/>
      <c r="AX380" s="285"/>
      <c r="AY380" s="285"/>
      <c r="BD380" s="1382" t="str">
        <f t="shared" si="17"/>
        <v/>
      </c>
      <c r="BE380" s="234"/>
      <c r="BF380" s="234"/>
      <c r="BG380" s="234"/>
      <c r="BH380" s="277"/>
      <c r="BK380" s="276"/>
      <c r="BL380" s="276"/>
      <c r="BM380" s="276"/>
      <c r="BN380" s="276"/>
      <c r="BO380" s="223"/>
      <c r="BP380" s="258"/>
      <c r="CC380" s="234"/>
      <c r="CG380" s="258"/>
      <c r="CH380" s="258"/>
      <c r="CI380" s="258"/>
      <c r="CJ380" s="256"/>
      <c r="CK380" s="258"/>
      <c r="CL380" s="258"/>
      <c r="CM380" s="258"/>
      <c r="CN380" s="258"/>
      <c r="CO380" s="258"/>
      <c r="CP380" s="258"/>
      <c r="CQ380" s="258"/>
      <c r="CR380" s="281"/>
      <c r="CS380" s="258"/>
      <c r="CT380" s="258"/>
      <c r="CU380" s="286"/>
      <c r="DH380" s="278"/>
      <c r="DJ380" s="270"/>
      <c r="DK380" s="1098"/>
      <c r="DL380" s="270"/>
      <c r="DM380" s="270"/>
      <c r="DN380" s="287"/>
      <c r="DO380" s="287"/>
      <c r="DP380" s="270"/>
      <c r="DQ380" s="270"/>
      <c r="DR380" s="270"/>
      <c r="DS380" s="270"/>
      <c r="DT380" s="270"/>
      <c r="DU380" s="1098"/>
      <c r="DV380" s="1098"/>
      <c r="DW380" s="1098"/>
      <c r="DX380" s="1098"/>
      <c r="DY380" s="1098"/>
      <c r="DZ380" s="1098"/>
      <c r="EA380" s="1098"/>
      <c r="EB380" s="1098"/>
      <c r="ED380" s="277"/>
      <c r="EE380" s="277"/>
      <c r="EF380" s="277"/>
      <c r="EH380" s="277"/>
    </row>
    <row r="381" spans="3:138" hidden="1">
      <c r="C381" s="276"/>
      <c r="D381" s="276"/>
      <c r="E381" s="276"/>
      <c r="F381" s="276"/>
      <c r="G381" s="276"/>
      <c r="H381" s="276"/>
      <c r="I381" s="276"/>
      <c r="J381" s="276"/>
      <c r="K381" s="276"/>
      <c r="L381" s="277"/>
      <c r="M381" s="256"/>
      <c r="N381" s="256"/>
      <c r="O381" s="256"/>
      <c r="P381" s="256"/>
      <c r="Q381" s="278"/>
      <c r="R381" s="279"/>
      <c r="S381" s="279"/>
      <c r="T381" s="279"/>
      <c r="AB381" s="280"/>
      <c r="AC381" s="223"/>
      <c r="AD381" s="223"/>
      <c r="AE381" s="223"/>
      <c r="AF381" s="281"/>
      <c r="AG381" s="281"/>
      <c r="AH381" s="281"/>
      <c r="AI381" s="258"/>
      <c r="AJ381" s="258"/>
      <c r="AS381" s="282"/>
      <c r="AT381" s="283"/>
      <c r="AU381" s="282"/>
      <c r="AV381" s="284"/>
      <c r="AX381" s="285"/>
      <c r="AY381" s="285"/>
      <c r="BD381" s="1382" t="str">
        <f t="shared" si="17"/>
        <v/>
      </c>
      <c r="BE381" s="234"/>
      <c r="BF381" s="234"/>
      <c r="BG381" s="234"/>
      <c r="BH381" s="277"/>
      <c r="BK381" s="276"/>
      <c r="BL381" s="276"/>
      <c r="BM381" s="276"/>
      <c r="BN381" s="276"/>
      <c r="BO381" s="223"/>
      <c r="BP381" s="258"/>
      <c r="CC381" s="234"/>
      <c r="CG381" s="258"/>
      <c r="CH381" s="258"/>
      <c r="CI381" s="258"/>
      <c r="CJ381" s="256"/>
      <c r="CK381" s="258"/>
      <c r="CL381" s="258"/>
      <c r="CM381" s="258"/>
      <c r="CN381" s="258"/>
      <c r="CO381" s="258"/>
      <c r="CP381" s="258"/>
      <c r="CQ381" s="258"/>
      <c r="CR381" s="281"/>
      <c r="CS381" s="258"/>
      <c r="CT381" s="258"/>
      <c r="CU381" s="286"/>
      <c r="DH381" s="278"/>
      <c r="DJ381" s="270"/>
      <c r="DK381" s="1098"/>
      <c r="DL381" s="270"/>
      <c r="DM381" s="270"/>
      <c r="DN381" s="287"/>
      <c r="DO381" s="287"/>
      <c r="DP381" s="270"/>
      <c r="DQ381" s="270"/>
      <c r="DR381" s="270"/>
      <c r="DS381" s="270"/>
      <c r="DT381" s="270"/>
      <c r="DU381" s="1098"/>
      <c r="DV381" s="1098"/>
      <c r="DW381" s="1098"/>
      <c r="DX381" s="1098"/>
      <c r="DY381" s="1098"/>
      <c r="DZ381" s="1098"/>
      <c r="EA381" s="1098"/>
      <c r="EB381" s="1098"/>
      <c r="ED381" s="277"/>
      <c r="EE381" s="277"/>
      <c r="EF381" s="277"/>
      <c r="EH381" s="277"/>
    </row>
    <row r="382" spans="3:138" hidden="1">
      <c r="C382" s="276"/>
      <c r="D382" s="276"/>
      <c r="E382" s="276"/>
      <c r="F382" s="276"/>
      <c r="G382" s="276"/>
      <c r="H382" s="276"/>
      <c r="I382" s="276"/>
      <c r="J382" s="276"/>
      <c r="K382" s="276"/>
      <c r="L382" s="277"/>
      <c r="M382" s="256"/>
      <c r="N382" s="256"/>
      <c r="O382" s="256"/>
      <c r="P382" s="256"/>
      <c r="Q382" s="278"/>
      <c r="R382" s="279"/>
      <c r="S382" s="279"/>
      <c r="T382" s="279"/>
      <c r="AB382" s="280"/>
      <c r="AC382" s="223"/>
      <c r="AD382" s="223"/>
      <c r="AE382" s="223"/>
      <c r="AF382" s="281"/>
      <c r="AG382" s="281"/>
      <c r="AH382" s="281"/>
      <c r="AI382" s="258"/>
      <c r="AJ382" s="258"/>
      <c r="AS382" s="282"/>
      <c r="AT382" s="283"/>
      <c r="AU382" s="282"/>
      <c r="AV382" s="284"/>
      <c r="AX382" s="285"/>
      <c r="AY382" s="285"/>
      <c r="BD382" s="1382" t="str">
        <f t="shared" si="17"/>
        <v/>
      </c>
      <c r="BE382" s="234"/>
      <c r="BF382" s="234"/>
      <c r="BG382" s="234"/>
      <c r="BH382" s="277"/>
      <c r="BK382" s="276"/>
      <c r="BL382" s="276"/>
      <c r="BM382" s="276"/>
      <c r="BN382" s="276"/>
      <c r="BO382" s="223"/>
      <c r="BP382" s="258"/>
      <c r="CC382" s="234"/>
      <c r="CG382" s="258"/>
      <c r="CH382" s="258"/>
      <c r="CI382" s="258"/>
      <c r="CJ382" s="256"/>
      <c r="CK382" s="258"/>
      <c r="CL382" s="258"/>
      <c r="CM382" s="258"/>
      <c r="CN382" s="258"/>
      <c r="CO382" s="258"/>
      <c r="CP382" s="258"/>
      <c r="CQ382" s="258"/>
      <c r="CR382" s="281"/>
      <c r="CS382" s="258"/>
      <c r="CT382" s="258"/>
      <c r="CU382" s="286"/>
      <c r="DH382" s="278"/>
      <c r="DJ382" s="270"/>
      <c r="DK382" s="1098"/>
      <c r="DL382" s="270"/>
      <c r="DM382" s="270"/>
      <c r="DN382" s="287"/>
      <c r="DO382" s="287"/>
      <c r="DP382" s="270"/>
      <c r="DQ382" s="270"/>
      <c r="DR382" s="270"/>
      <c r="DS382" s="270"/>
      <c r="DT382" s="270"/>
      <c r="DU382" s="1098"/>
      <c r="DV382" s="1098"/>
      <c r="DW382" s="1098"/>
      <c r="DX382" s="1098"/>
      <c r="DY382" s="1098"/>
      <c r="DZ382" s="1098"/>
      <c r="EA382" s="1098"/>
      <c r="EB382" s="1098"/>
      <c r="ED382" s="277"/>
      <c r="EE382" s="277"/>
      <c r="EF382" s="277"/>
      <c r="EH382" s="277"/>
    </row>
    <row r="383" spans="3:138" hidden="1">
      <c r="C383" s="276"/>
      <c r="D383" s="276"/>
      <c r="E383" s="276"/>
      <c r="F383" s="276"/>
      <c r="G383" s="276"/>
      <c r="H383" s="276"/>
      <c r="I383" s="276"/>
      <c r="J383" s="276"/>
      <c r="K383" s="276"/>
      <c r="L383" s="277"/>
      <c r="M383" s="256"/>
      <c r="N383" s="256"/>
      <c r="O383" s="256"/>
      <c r="P383" s="256"/>
      <c r="Q383" s="278"/>
      <c r="R383" s="279"/>
      <c r="S383" s="279"/>
      <c r="T383" s="279"/>
      <c r="AB383" s="280"/>
      <c r="AC383" s="223"/>
      <c r="AD383" s="223"/>
      <c r="AE383" s="223"/>
      <c r="AF383" s="281"/>
      <c r="AG383" s="281"/>
      <c r="AH383" s="281"/>
      <c r="AI383" s="258"/>
      <c r="AJ383" s="258"/>
      <c r="AS383" s="282"/>
      <c r="AT383" s="283"/>
      <c r="AU383" s="282"/>
      <c r="AV383" s="284"/>
      <c r="AX383" s="285"/>
      <c r="AY383" s="285"/>
      <c r="BD383" s="1382" t="str">
        <f t="shared" si="17"/>
        <v/>
      </c>
      <c r="BE383" s="234"/>
      <c r="BF383" s="234"/>
      <c r="BG383" s="234"/>
      <c r="BH383" s="277"/>
      <c r="BK383" s="276"/>
      <c r="BL383" s="276"/>
      <c r="BM383" s="276"/>
      <c r="BN383" s="276"/>
      <c r="BO383" s="223"/>
      <c r="BP383" s="258"/>
      <c r="CC383" s="234"/>
      <c r="CG383" s="258"/>
      <c r="CH383" s="258"/>
      <c r="CI383" s="258"/>
      <c r="CJ383" s="256"/>
      <c r="CK383" s="258"/>
      <c r="CL383" s="258"/>
      <c r="CM383" s="258"/>
      <c r="CN383" s="258"/>
      <c r="CO383" s="258"/>
      <c r="CP383" s="258"/>
      <c r="CQ383" s="258"/>
      <c r="CR383" s="281"/>
      <c r="CS383" s="258"/>
      <c r="CT383" s="258"/>
      <c r="CU383" s="286"/>
      <c r="DH383" s="278"/>
      <c r="DJ383" s="270"/>
      <c r="DK383" s="1098"/>
      <c r="DL383" s="270"/>
      <c r="DM383" s="270"/>
      <c r="DN383" s="287"/>
      <c r="DO383" s="287"/>
      <c r="DP383" s="270"/>
      <c r="DQ383" s="270"/>
      <c r="DR383" s="270"/>
      <c r="DS383" s="270"/>
      <c r="DT383" s="270"/>
      <c r="DU383" s="1098"/>
      <c r="DV383" s="1098"/>
      <c r="DW383" s="1098"/>
      <c r="DX383" s="1098"/>
      <c r="DY383" s="1098"/>
      <c r="DZ383" s="1098"/>
      <c r="EA383" s="1098"/>
      <c r="EB383" s="1098"/>
      <c r="ED383" s="277"/>
      <c r="EE383" s="277"/>
      <c r="EF383" s="277"/>
      <c r="EH383" s="277"/>
    </row>
    <row r="384" spans="3:138" hidden="1">
      <c r="C384" s="276"/>
      <c r="D384" s="276"/>
      <c r="E384" s="276"/>
      <c r="F384" s="276"/>
      <c r="G384" s="276"/>
      <c r="H384" s="276"/>
      <c r="I384" s="276"/>
      <c r="J384" s="276"/>
      <c r="K384" s="276"/>
      <c r="L384" s="277"/>
      <c r="M384" s="256"/>
      <c r="N384" s="256"/>
      <c r="O384" s="256"/>
      <c r="P384" s="256"/>
      <c r="Q384" s="278"/>
      <c r="R384" s="279"/>
      <c r="S384" s="279"/>
      <c r="T384" s="279"/>
      <c r="AB384" s="280"/>
      <c r="AC384" s="223"/>
      <c r="AD384" s="223"/>
      <c r="AE384" s="223"/>
      <c r="AF384" s="281"/>
      <c r="AG384" s="281"/>
      <c r="AH384" s="281"/>
      <c r="AI384" s="258"/>
      <c r="AJ384" s="258"/>
      <c r="AS384" s="282"/>
      <c r="AT384" s="283"/>
      <c r="AU384" s="282"/>
      <c r="AV384" s="284"/>
      <c r="AX384" s="285"/>
      <c r="AY384" s="285"/>
      <c r="BD384" s="1382" t="str">
        <f t="shared" si="17"/>
        <v/>
      </c>
      <c r="BE384" s="234"/>
      <c r="BF384" s="234"/>
      <c r="BG384" s="234"/>
      <c r="BH384" s="277"/>
      <c r="BK384" s="276"/>
      <c r="BL384" s="276"/>
      <c r="BM384" s="276"/>
      <c r="BN384" s="276"/>
      <c r="BO384" s="223"/>
      <c r="BP384" s="258"/>
      <c r="CC384" s="234"/>
      <c r="CG384" s="258"/>
      <c r="CH384" s="258"/>
      <c r="CI384" s="258"/>
      <c r="CJ384" s="256"/>
      <c r="CK384" s="258"/>
      <c r="CL384" s="258"/>
      <c r="CM384" s="258"/>
      <c r="CN384" s="258"/>
      <c r="CO384" s="258"/>
      <c r="CP384" s="258"/>
      <c r="CQ384" s="258"/>
      <c r="CR384" s="281"/>
      <c r="CS384" s="258"/>
      <c r="CT384" s="258"/>
      <c r="CU384" s="286"/>
      <c r="DH384" s="278"/>
      <c r="DJ384" s="270"/>
      <c r="DK384" s="1098"/>
      <c r="DL384" s="270"/>
      <c r="DM384" s="270"/>
      <c r="DN384" s="287"/>
      <c r="DO384" s="287"/>
      <c r="DP384" s="270"/>
      <c r="DQ384" s="270"/>
      <c r="DR384" s="270"/>
      <c r="DS384" s="270"/>
      <c r="DT384" s="270"/>
      <c r="DU384" s="1098"/>
      <c r="DV384" s="1098"/>
      <c r="DW384" s="1098"/>
      <c r="DX384" s="1098"/>
      <c r="DY384" s="1098"/>
      <c r="DZ384" s="1098"/>
      <c r="EA384" s="1098"/>
      <c r="EB384" s="1098"/>
      <c r="ED384" s="277"/>
      <c r="EE384" s="277"/>
      <c r="EF384" s="277"/>
      <c r="EH384" s="277"/>
    </row>
    <row r="385" spans="3:138" hidden="1">
      <c r="C385" s="276"/>
      <c r="D385" s="276"/>
      <c r="E385" s="276"/>
      <c r="F385" s="276"/>
      <c r="G385" s="276"/>
      <c r="H385" s="276"/>
      <c r="I385" s="276"/>
      <c r="J385" s="276"/>
      <c r="K385" s="276"/>
      <c r="L385" s="277"/>
      <c r="M385" s="256"/>
      <c r="N385" s="256"/>
      <c r="O385" s="256"/>
      <c r="P385" s="256"/>
      <c r="Q385" s="278"/>
      <c r="R385" s="279"/>
      <c r="S385" s="279"/>
      <c r="T385" s="279"/>
      <c r="AB385" s="280"/>
      <c r="AC385" s="223"/>
      <c r="AD385" s="223"/>
      <c r="AE385" s="223"/>
      <c r="AF385" s="281"/>
      <c r="AG385" s="281"/>
      <c r="AH385" s="281"/>
      <c r="AI385" s="258"/>
      <c r="AJ385" s="258"/>
      <c r="AS385" s="282"/>
      <c r="AT385" s="283"/>
      <c r="AU385" s="282"/>
      <c r="AV385" s="284"/>
      <c r="AX385" s="285"/>
      <c r="AY385" s="285"/>
      <c r="BD385" s="1382" t="str">
        <f t="shared" si="17"/>
        <v/>
      </c>
      <c r="BE385" s="234"/>
      <c r="BF385" s="234"/>
      <c r="BG385" s="234"/>
      <c r="BH385" s="277"/>
      <c r="BK385" s="276"/>
      <c r="BL385" s="276"/>
      <c r="BM385" s="276"/>
      <c r="BN385" s="276"/>
      <c r="BO385" s="223"/>
      <c r="BP385" s="258"/>
      <c r="CC385" s="234"/>
      <c r="CG385" s="258"/>
      <c r="CH385" s="258"/>
      <c r="CI385" s="258"/>
      <c r="CJ385" s="256"/>
      <c r="CK385" s="258"/>
      <c r="CL385" s="258"/>
      <c r="CM385" s="258"/>
      <c r="CN385" s="258"/>
      <c r="CO385" s="258"/>
      <c r="CP385" s="258"/>
      <c r="CQ385" s="258"/>
      <c r="CR385" s="281"/>
      <c r="CS385" s="258"/>
      <c r="CT385" s="258"/>
      <c r="CU385" s="286"/>
      <c r="DH385" s="278"/>
      <c r="DJ385" s="270"/>
      <c r="DK385" s="1098"/>
      <c r="DL385" s="270"/>
      <c r="DM385" s="270"/>
      <c r="DN385" s="287"/>
      <c r="DO385" s="287"/>
      <c r="DP385" s="270"/>
      <c r="DQ385" s="270"/>
      <c r="DR385" s="270"/>
      <c r="DS385" s="270"/>
      <c r="DT385" s="270"/>
      <c r="DU385" s="1098"/>
      <c r="DV385" s="1098"/>
      <c r="DW385" s="1098"/>
      <c r="DX385" s="1098"/>
      <c r="DY385" s="1098"/>
      <c r="DZ385" s="1098"/>
      <c r="EA385" s="1098"/>
      <c r="EB385" s="1098"/>
      <c r="ED385" s="277"/>
      <c r="EE385" s="277"/>
      <c r="EF385" s="277"/>
      <c r="EH385" s="277"/>
    </row>
    <row r="386" spans="3:138" hidden="1">
      <c r="C386" s="276"/>
      <c r="D386" s="276"/>
      <c r="E386" s="276"/>
      <c r="F386" s="276"/>
      <c r="G386" s="276"/>
      <c r="H386" s="276"/>
      <c r="I386" s="276"/>
      <c r="J386" s="276"/>
      <c r="K386" s="276"/>
      <c r="L386" s="277"/>
      <c r="M386" s="256"/>
      <c r="N386" s="256"/>
      <c r="O386" s="256"/>
      <c r="P386" s="256"/>
      <c r="Q386" s="278"/>
      <c r="R386" s="279"/>
      <c r="S386" s="279"/>
      <c r="T386" s="279"/>
      <c r="AB386" s="280"/>
      <c r="AC386" s="223"/>
      <c r="AD386" s="223"/>
      <c r="AE386" s="223"/>
      <c r="AF386" s="281"/>
      <c r="AG386" s="281"/>
      <c r="AH386" s="281"/>
      <c r="AI386" s="258"/>
      <c r="AJ386" s="258"/>
      <c r="AS386" s="282"/>
      <c r="AT386" s="283"/>
      <c r="AU386" s="282"/>
      <c r="AV386" s="284"/>
      <c r="AX386" s="285"/>
      <c r="AY386" s="285"/>
      <c r="BD386" s="1382" t="str">
        <f t="shared" si="17"/>
        <v/>
      </c>
      <c r="BE386" s="234"/>
      <c r="BF386" s="234"/>
      <c r="BG386" s="234"/>
      <c r="BH386" s="277"/>
      <c r="BK386" s="276"/>
      <c r="BL386" s="276"/>
      <c r="BM386" s="276"/>
      <c r="BN386" s="276"/>
      <c r="BO386" s="223"/>
      <c r="BP386" s="258"/>
      <c r="CC386" s="234"/>
      <c r="CG386" s="258"/>
      <c r="CH386" s="258"/>
      <c r="CI386" s="258"/>
      <c r="CJ386" s="256"/>
      <c r="CK386" s="258"/>
      <c r="CL386" s="258"/>
      <c r="CM386" s="258"/>
      <c r="CN386" s="258"/>
      <c r="CO386" s="258"/>
      <c r="CP386" s="258"/>
      <c r="CQ386" s="258"/>
      <c r="CR386" s="281"/>
      <c r="CS386" s="258"/>
      <c r="CT386" s="258"/>
      <c r="CU386" s="286"/>
      <c r="DH386" s="278"/>
      <c r="DJ386" s="270"/>
      <c r="DK386" s="1098"/>
      <c r="DL386" s="270"/>
      <c r="DM386" s="270"/>
      <c r="DN386" s="287"/>
      <c r="DO386" s="287"/>
      <c r="DP386" s="270"/>
      <c r="DQ386" s="270"/>
      <c r="DR386" s="270"/>
      <c r="DS386" s="270"/>
      <c r="DT386" s="270"/>
      <c r="DU386" s="1098"/>
      <c r="DV386" s="1098"/>
      <c r="DW386" s="1098"/>
      <c r="DX386" s="1098"/>
      <c r="DY386" s="1098"/>
      <c r="DZ386" s="1098"/>
      <c r="EA386" s="1098"/>
      <c r="EB386" s="1098"/>
      <c r="ED386" s="277"/>
      <c r="EE386" s="277"/>
      <c r="EF386" s="277"/>
      <c r="EH386" s="277"/>
    </row>
    <row r="387" spans="3:138" hidden="1">
      <c r="C387" s="276"/>
      <c r="D387" s="276"/>
      <c r="E387" s="276"/>
      <c r="F387" s="276"/>
      <c r="G387" s="276"/>
      <c r="H387" s="276"/>
      <c r="I387" s="276"/>
      <c r="J387" s="276"/>
      <c r="K387" s="276"/>
      <c r="L387" s="277"/>
      <c r="M387" s="256"/>
      <c r="N387" s="256"/>
      <c r="O387" s="256"/>
      <c r="P387" s="256"/>
      <c r="Q387" s="278"/>
      <c r="R387" s="279"/>
      <c r="S387" s="279"/>
      <c r="T387" s="279"/>
      <c r="AB387" s="280"/>
      <c r="AC387" s="223"/>
      <c r="AD387" s="223"/>
      <c r="AE387" s="223"/>
      <c r="AF387" s="281"/>
      <c r="AG387" s="281"/>
      <c r="AH387" s="281"/>
      <c r="AI387" s="258"/>
      <c r="AJ387" s="258"/>
      <c r="AS387" s="282"/>
      <c r="AT387" s="283"/>
      <c r="AU387" s="282"/>
      <c r="AV387" s="284"/>
      <c r="AX387" s="285"/>
      <c r="AY387" s="285"/>
      <c r="BD387" s="1382" t="str">
        <f t="shared" si="17"/>
        <v/>
      </c>
      <c r="BE387" s="234"/>
      <c r="BF387" s="234"/>
      <c r="BG387" s="234"/>
      <c r="BH387" s="277"/>
      <c r="BK387" s="276"/>
      <c r="BL387" s="276"/>
      <c r="BM387" s="276"/>
      <c r="BN387" s="276"/>
      <c r="BO387" s="223"/>
      <c r="BP387" s="258"/>
      <c r="CC387" s="234"/>
      <c r="CG387" s="258"/>
      <c r="CH387" s="258"/>
      <c r="CI387" s="258"/>
      <c r="CJ387" s="256"/>
      <c r="CK387" s="258"/>
      <c r="CL387" s="258"/>
      <c r="CM387" s="258"/>
      <c r="CN387" s="258"/>
      <c r="CO387" s="258"/>
      <c r="CP387" s="258"/>
      <c r="CQ387" s="258"/>
      <c r="CR387" s="281"/>
      <c r="CS387" s="258"/>
      <c r="CT387" s="258"/>
      <c r="CU387" s="286"/>
      <c r="DH387" s="278"/>
      <c r="DJ387" s="270"/>
      <c r="DK387" s="1098"/>
      <c r="DL387" s="270"/>
      <c r="DM387" s="270"/>
      <c r="DN387" s="287"/>
      <c r="DO387" s="287"/>
      <c r="DP387" s="270"/>
      <c r="DQ387" s="270"/>
      <c r="DR387" s="270"/>
      <c r="DS387" s="270"/>
      <c r="DT387" s="270"/>
      <c r="DU387" s="1098"/>
      <c r="DV387" s="1098"/>
      <c r="DW387" s="1098"/>
      <c r="DX387" s="1098"/>
      <c r="DY387" s="1098"/>
      <c r="DZ387" s="1098"/>
      <c r="EA387" s="1098"/>
      <c r="EB387" s="1098"/>
      <c r="ED387" s="277"/>
      <c r="EE387" s="277"/>
      <c r="EF387" s="277"/>
      <c r="EH387" s="277"/>
    </row>
    <row r="388" spans="3:138" hidden="1">
      <c r="C388" s="276"/>
      <c r="D388" s="276"/>
      <c r="E388" s="276"/>
      <c r="F388" s="276"/>
      <c r="G388" s="276"/>
      <c r="H388" s="276"/>
      <c r="I388" s="276"/>
      <c r="J388" s="276"/>
      <c r="K388" s="276"/>
      <c r="L388" s="277"/>
      <c r="M388" s="256"/>
      <c r="N388" s="256"/>
      <c r="O388" s="256"/>
      <c r="P388" s="256"/>
      <c r="Q388" s="278"/>
      <c r="R388" s="279"/>
      <c r="S388" s="279"/>
      <c r="T388" s="279"/>
      <c r="AB388" s="280"/>
      <c r="AC388" s="223"/>
      <c r="AD388" s="223"/>
      <c r="AE388" s="223"/>
      <c r="AF388" s="281"/>
      <c r="AG388" s="281"/>
      <c r="AH388" s="281"/>
      <c r="AI388" s="258"/>
      <c r="AJ388" s="258"/>
      <c r="AS388" s="282"/>
      <c r="AT388" s="283"/>
      <c r="AU388" s="282"/>
      <c r="AV388" s="284"/>
      <c r="AX388" s="285"/>
      <c r="AY388" s="285"/>
      <c r="BD388" s="1382" t="str">
        <f t="shared" si="17"/>
        <v/>
      </c>
      <c r="BE388" s="234"/>
      <c r="BF388" s="234"/>
      <c r="BG388" s="234"/>
      <c r="BH388" s="277"/>
      <c r="BK388" s="276"/>
      <c r="BL388" s="276"/>
      <c r="BM388" s="276"/>
      <c r="BN388" s="276"/>
      <c r="BO388" s="223"/>
      <c r="BP388" s="258"/>
      <c r="CC388" s="234"/>
      <c r="CG388" s="258"/>
      <c r="CH388" s="258"/>
      <c r="CI388" s="258"/>
      <c r="CJ388" s="256"/>
      <c r="CK388" s="258"/>
      <c r="CL388" s="258"/>
      <c r="CM388" s="258"/>
      <c r="CN388" s="258"/>
      <c r="CO388" s="258"/>
      <c r="CP388" s="258"/>
      <c r="CQ388" s="258"/>
      <c r="CR388" s="281"/>
      <c r="CS388" s="258"/>
      <c r="CT388" s="258"/>
      <c r="CU388" s="286"/>
      <c r="DH388" s="278"/>
      <c r="DJ388" s="270"/>
      <c r="DK388" s="1098"/>
      <c r="DL388" s="270"/>
      <c r="DM388" s="270"/>
      <c r="DN388" s="287"/>
      <c r="DO388" s="287"/>
      <c r="DP388" s="270"/>
      <c r="DQ388" s="270"/>
      <c r="DR388" s="270"/>
      <c r="DS388" s="270"/>
      <c r="DT388" s="270"/>
      <c r="DU388" s="1098"/>
      <c r="DV388" s="1098"/>
      <c r="DW388" s="1098"/>
      <c r="DX388" s="1098"/>
      <c r="DY388" s="1098"/>
      <c r="DZ388" s="1098"/>
      <c r="EA388" s="1098"/>
      <c r="EB388" s="1098"/>
      <c r="ED388" s="277"/>
      <c r="EE388" s="277"/>
      <c r="EF388" s="277"/>
      <c r="EH388" s="277"/>
    </row>
    <row r="389" spans="3:138" hidden="1">
      <c r="C389" s="276"/>
      <c r="D389" s="276"/>
      <c r="E389" s="276"/>
      <c r="F389" s="276"/>
      <c r="G389" s="276"/>
      <c r="H389" s="276"/>
      <c r="I389" s="276"/>
      <c r="J389" s="276"/>
      <c r="K389" s="276"/>
      <c r="L389" s="277"/>
      <c r="M389" s="256"/>
      <c r="N389" s="256"/>
      <c r="O389" s="256"/>
      <c r="P389" s="256"/>
      <c r="Q389" s="278"/>
      <c r="R389" s="279"/>
      <c r="S389" s="279"/>
      <c r="T389" s="279"/>
      <c r="AB389" s="280"/>
      <c r="AC389" s="223"/>
      <c r="AD389" s="223"/>
      <c r="AE389" s="223"/>
      <c r="AF389" s="281"/>
      <c r="AG389" s="281"/>
      <c r="AH389" s="281"/>
      <c r="AI389" s="258"/>
      <c r="AJ389" s="258"/>
      <c r="AS389" s="282"/>
      <c r="AT389" s="283"/>
      <c r="AU389" s="282"/>
      <c r="AV389" s="284"/>
      <c r="AX389" s="285"/>
      <c r="AY389" s="285"/>
      <c r="BD389" s="1382" t="str">
        <f t="shared" si="17"/>
        <v/>
      </c>
      <c r="BE389" s="234"/>
      <c r="BF389" s="234"/>
      <c r="BG389" s="234"/>
      <c r="BH389" s="277"/>
      <c r="BK389" s="276"/>
      <c r="BL389" s="276"/>
      <c r="BM389" s="276"/>
      <c r="BN389" s="276"/>
      <c r="BO389" s="223"/>
      <c r="BP389" s="258"/>
      <c r="CC389" s="234"/>
      <c r="CG389" s="258"/>
      <c r="CH389" s="258"/>
      <c r="CI389" s="258"/>
      <c r="CJ389" s="256"/>
      <c r="CK389" s="258"/>
      <c r="CL389" s="258"/>
      <c r="CM389" s="258"/>
      <c r="CN389" s="258"/>
      <c r="CO389" s="258"/>
      <c r="CP389" s="258"/>
      <c r="CQ389" s="258"/>
      <c r="CR389" s="281"/>
      <c r="CS389" s="258"/>
      <c r="CT389" s="258"/>
      <c r="CU389" s="286"/>
      <c r="DH389" s="278"/>
      <c r="DJ389" s="270"/>
      <c r="DK389" s="1098"/>
      <c r="DL389" s="270"/>
      <c r="DM389" s="270"/>
      <c r="DN389" s="287"/>
      <c r="DO389" s="287"/>
      <c r="DP389" s="270"/>
      <c r="DQ389" s="270"/>
      <c r="DR389" s="270"/>
      <c r="DS389" s="270"/>
      <c r="DT389" s="270"/>
      <c r="DU389" s="1098"/>
      <c r="DV389" s="1098"/>
      <c r="DW389" s="1098"/>
      <c r="DX389" s="1098"/>
      <c r="DY389" s="1098"/>
      <c r="DZ389" s="1098"/>
      <c r="EA389" s="1098"/>
      <c r="EB389" s="1098"/>
      <c r="ED389" s="277"/>
      <c r="EE389" s="277"/>
      <c r="EF389" s="277"/>
      <c r="EH389" s="277"/>
    </row>
    <row r="390" spans="3:138" hidden="1">
      <c r="C390" s="276"/>
      <c r="D390" s="276"/>
      <c r="E390" s="276"/>
      <c r="F390" s="276"/>
      <c r="G390" s="276"/>
      <c r="H390" s="276"/>
      <c r="I390" s="276"/>
      <c r="J390" s="276"/>
      <c r="K390" s="276"/>
      <c r="L390" s="277"/>
      <c r="M390" s="256"/>
      <c r="N390" s="256"/>
      <c r="O390" s="256"/>
      <c r="P390" s="256"/>
      <c r="Q390" s="278"/>
      <c r="R390" s="279"/>
      <c r="S390" s="279"/>
      <c r="T390" s="279"/>
      <c r="AB390" s="280"/>
      <c r="AC390" s="223"/>
      <c r="AD390" s="223"/>
      <c r="AE390" s="223"/>
      <c r="AF390" s="281"/>
      <c r="AG390" s="281"/>
      <c r="AH390" s="281"/>
      <c r="AI390" s="258"/>
      <c r="AJ390" s="258"/>
      <c r="AS390" s="282"/>
      <c r="AT390" s="283"/>
      <c r="AU390" s="282"/>
      <c r="AV390" s="284"/>
      <c r="AX390" s="285"/>
      <c r="AY390" s="285"/>
      <c r="BD390" s="1382" t="str">
        <f t="shared" si="17"/>
        <v/>
      </c>
      <c r="BE390" s="234"/>
      <c r="BF390" s="234"/>
      <c r="BG390" s="234"/>
      <c r="BH390" s="277"/>
      <c r="BK390" s="276"/>
      <c r="BL390" s="276"/>
      <c r="BM390" s="276"/>
      <c r="BN390" s="276"/>
      <c r="BO390" s="223"/>
      <c r="BP390" s="258"/>
      <c r="CC390" s="234"/>
      <c r="CG390" s="258"/>
      <c r="CH390" s="258"/>
      <c r="CI390" s="258"/>
      <c r="CJ390" s="256"/>
      <c r="CK390" s="258"/>
      <c r="CL390" s="258"/>
      <c r="CM390" s="258"/>
      <c r="CN390" s="258"/>
      <c r="CO390" s="258"/>
      <c r="CP390" s="258"/>
      <c r="CQ390" s="258"/>
      <c r="CR390" s="281"/>
      <c r="CS390" s="258"/>
      <c r="CT390" s="258"/>
      <c r="CU390" s="286"/>
      <c r="DH390" s="278"/>
      <c r="DJ390" s="270"/>
      <c r="DK390" s="1098"/>
      <c r="DL390" s="270"/>
      <c r="DM390" s="270"/>
      <c r="DN390" s="287"/>
      <c r="DO390" s="287"/>
      <c r="DP390" s="270"/>
      <c r="DQ390" s="270"/>
      <c r="DR390" s="270"/>
      <c r="DS390" s="270"/>
      <c r="DT390" s="270"/>
      <c r="DU390" s="1098"/>
      <c r="DV390" s="1098"/>
      <c r="DW390" s="1098"/>
      <c r="DX390" s="1098"/>
      <c r="DY390" s="1098"/>
      <c r="DZ390" s="1098"/>
      <c r="EA390" s="1098"/>
      <c r="EB390" s="1098"/>
      <c r="ED390" s="277"/>
      <c r="EE390" s="277"/>
      <c r="EF390" s="277"/>
      <c r="EH390" s="277"/>
    </row>
    <row r="391" spans="3:138" hidden="1">
      <c r="C391" s="276"/>
      <c r="D391" s="276"/>
      <c r="E391" s="276"/>
      <c r="F391" s="276"/>
      <c r="G391" s="276"/>
      <c r="H391" s="276"/>
      <c r="I391" s="276"/>
      <c r="J391" s="276"/>
      <c r="K391" s="276"/>
      <c r="L391" s="277"/>
      <c r="M391" s="256"/>
      <c r="N391" s="256"/>
      <c r="O391" s="256"/>
      <c r="P391" s="256"/>
      <c r="Q391" s="278"/>
      <c r="R391" s="279"/>
      <c r="S391" s="279"/>
      <c r="T391" s="279"/>
      <c r="AB391" s="280"/>
      <c r="AC391" s="223"/>
      <c r="AD391" s="223"/>
      <c r="AE391" s="223"/>
      <c r="AF391" s="281"/>
      <c r="AG391" s="281"/>
      <c r="AH391" s="281"/>
      <c r="AI391" s="258"/>
      <c r="AJ391" s="258"/>
      <c r="AS391" s="282"/>
      <c r="AT391" s="283"/>
      <c r="AU391" s="282"/>
      <c r="AV391" s="284"/>
      <c r="AX391" s="285"/>
      <c r="AY391" s="285"/>
      <c r="BD391" s="1382" t="str">
        <f t="shared" ref="BD391:BD422" si="18">IF(B391="S",(IF(O391=1.2,IF((H391-J391)&lt;=1.2,H391-J391,H391-J391-0.95))),"")</f>
        <v/>
      </c>
      <c r="BE391" s="234"/>
      <c r="BF391" s="234"/>
      <c r="BG391" s="234"/>
      <c r="BH391" s="277"/>
      <c r="BK391" s="276"/>
      <c r="BL391" s="276"/>
      <c r="BM391" s="276"/>
      <c r="BN391" s="276"/>
      <c r="BO391" s="223"/>
      <c r="BP391" s="258"/>
      <c r="CC391" s="234"/>
      <c r="CG391" s="258"/>
      <c r="CH391" s="258"/>
      <c r="CI391" s="258"/>
      <c r="CJ391" s="256"/>
      <c r="CK391" s="258"/>
      <c r="CL391" s="258"/>
      <c r="CM391" s="258"/>
      <c r="CN391" s="258"/>
      <c r="CO391" s="258"/>
      <c r="CP391" s="258"/>
      <c r="CQ391" s="258"/>
      <c r="CR391" s="281"/>
      <c r="CS391" s="258"/>
      <c r="CT391" s="258"/>
      <c r="CU391" s="286"/>
      <c r="DH391" s="278"/>
      <c r="DJ391" s="270"/>
      <c r="DK391" s="1098"/>
      <c r="DL391" s="270"/>
      <c r="DM391" s="270"/>
      <c r="DN391" s="287"/>
      <c r="DO391" s="287"/>
      <c r="DP391" s="270"/>
      <c r="DQ391" s="270"/>
      <c r="DR391" s="270"/>
      <c r="DS391" s="270"/>
      <c r="DT391" s="270"/>
      <c r="DU391" s="1098"/>
      <c r="DV391" s="1098"/>
      <c r="DW391" s="1098"/>
      <c r="DX391" s="1098"/>
      <c r="DY391" s="1098"/>
      <c r="DZ391" s="1098"/>
      <c r="EA391" s="1098"/>
      <c r="EB391" s="1098"/>
      <c r="ED391" s="277"/>
      <c r="EE391" s="277"/>
      <c r="EF391" s="277"/>
      <c r="EH391" s="277"/>
    </row>
    <row r="392" spans="3:138" hidden="1">
      <c r="C392" s="276"/>
      <c r="D392" s="276"/>
      <c r="E392" s="276"/>
      <c r="F392" s="276"/>
      <c r="G392" s="276"/>
      <c r="H392" s="276"/>
      <c r="I392" s="276"/>
      <c r="J392" s="276"/>
      <c r="K392" s="276"/>
      <c r="L392" s="277"/>
      <c r="M392" s="256"/>
      <c r="N392" s="256"/>
      <c r="O392" s="256"/>
      <c r="P392" s="256"/>
      <c r="Q392" s="278"/>
      <c r="R392" s="279"/>
      <c r="S392" s="279"/>
      <c r="T392" s="279"/>
      <c r="AB392" s="280"/>
      <c r="AC392" s="223"/>
      <c r="AD392" s="223"/>
      <c r="AE392" s="223"/>
      <c r="AF392" s="281"/>
      <c r="AG392" s="281"/>
      <c r="AH392" s="281"/>
      <c r="AI392" s="258"/>
      <c r="AJ392" s="258"/>
      <c r="AS392" s="282"/>
      <c r="AT392" s="283"/>
      <c r="AU392" s="282"/>
      <c r="AV392" s="284"/>
      <c r="AX392" s="285"/>
      <c r="AY392" s="285"/>
      <c r="BD392" s="1382" t="str">
        <f t="shared" si="18"/>
        <v/>
      </c>
      <c r="BE392" s="234"/>
      <c r="BF392" s="234"/>
      <c r="BG392" s="234"/>
      <c r="BH392" s="277"/>
      <c r="BK392" s="276"/>
      <c r="BL392" s="276"/>
      <c r="BM392" s="276"/>
      <c r="BN392" s="276"/>
      <c r="BO392" s="223"/>
      <c r="BP392" s="258"/>
      <c r="CC392" s="234"/>
      <c r="CG392" s="258"/>
      <c r="CH392" s="258"/>
      <c r="CI392" s="258"/>
      <c r="CJ392" s="256"/>
      <c r="CK392" s="258"/>
      <c r="CL392" s="258"/>
      <c r="CM392" s="258"/>
      <c r="CN392" s="258"/>
      <c r="CO392" s="258"/>
      <c r="CP392" s="258"/>
      <c r="CQ392" s="258"/>
      <c r="CR392" s="281"/>
      <c r="CS392" s="258"/>
      <c r="CT392" s="258"/>
      <c r="CU392" s="286"/>
      <c r="DH392" s="278"/>
      <c r="DJ392" s="270"/>
      <c r="DK392" s="1098"/>
      <c r="DL392" s="270"/>
      <c r="DM392" s="270"/>
      <c r="DN392" s="287"/>
      <c r="DO392" s="287"/>
      <c r="DP392" s="270"/>
      <c r="DQ392" s="270"/>
      <c r="DR392" s="270"/>
      <c r="DS392" s="270"/>
      <c r="DT392" s="270"/>
      <c r="DU392" s="1098"/>
      <c r="DV392" s="1098"/>
      <c r="DW392" s="1098"/>
      <c r="DX392" s="1098"/>
      <c r="DY392" s="1098"/>
      <c r="DZ392" s="1098"/>
      <c r="EA392" s="1098"/>
      <c r="EB392" s="1098"/>
      <c r="ED392" s="277"/>
      <c r="EE392" s="277"/>
      <c r="EF392" s="277"/>
      <c r="EH392" s="277"/>
    </row>
    <row r="393" spans="3:138" hidden="1">
      <c r="C393" s="276"/>
      <c r="D393" s="276"/>
      <c r="E393" s="276"/>
      <c r="F393" s="276"/>
      <c r="G393" s="276"/>
      <c r="H393" s="276"/>
      <c r="I393" s="276"/>
      <c r="J393" s="276"/>
      <c r="K393" s="276"/>
      <c r="L393" s="277"/>
      <c r="M393" s="256"/>
      <c r="N393" s="256"/>
      <c r="O393" s="256"/>
      <c r="P393" s="256"/>
      <c r="Q393" s="278"/>
      <c r="R393" s="279"/>
      <c r="S393" s="279"/>
      <c r="T393" s="279"/>
      <c r="AB393" s="280"/>
      <c r="AC393" s="223"/>
      <c r="AD393" s="223"/>
      <c r="AE393" s="223"/>
      <c r="AF393" s="281"/>
      <c r="AG393" s="281"/>
      <c r="AH393" s="281"/>
      <c r="AI393" s="258"/>
      <c r="AJ393" s="258"/>
      <c r="AS393" s="282"/>
      <c r="AT393" s="283"/>
      <c r="AU393" s="282"/>
      <c r="AV393" s="284"/>
      <c r="AX393" s="285"/>
      <c r="AY393" s="285"/>
      <c r="BD393" s="1382" t="str">
        <f t="shared" si="18"/>
        <v/>
      </c>
      <c r="BE393" s="234"/>
      <c r="BF393" s="234"/>
      <c r="BG393" s="234"/>
      <c r="BH393" s="277"/>
      <c r="BK393" s="276"/>
      <c r="BL393" s="276"/>
      <c r="BM393" s="276"/>
      <c r="BN393" s="276"/>
      <c r="BO393" s="223"/>
      <c r="BP393" s="258"/>
      <c r="CC393" s="234"/>
      <c r="CG393" s="258"/>
      <c r="CH393" s="258"/>
      <c r="CI393" s="258"/>
      <c r="CJ393" s="256"/>
      <c r="CK393" s="258"/>
      <c r="CL393" s="258"/>
      <c r="CM393" s="258"/>
      <c r="CN393" s="258"/>
      <c r="CO393" s="258"/>
      <c r="CP393" s="258"/>
      <c r="CQ393" s="258"/>
      <c r="CR393" s="281"/>
      <c r="CS393" s="258"/>
      <c r="CT393" s="258"/>
      <c r="CU393" s="286"/>
      <c r="DH393" s="278"/>
      <c r="DJ393" s="270"/>
      <c r="DK393" s="1098"/>
      <c r="DL393" s="270"/>
      <c r="DM393" s="270"/>
      <c r="DN393" s="287"/>
      <c r="DO393" s="287"/>
      <c r="DP393" s="270"/>
      <c r="DQ393" s="270"/>
      <c r="DR393" s="270"/>
      <c r="DS393" s="270"/>
      <c r="DT393" s="270"/>
      <c r="DU393" s="1098"/>
      <c r="DV393" s="1098"/>
      <c r="DW393" s="1098"/>
      <c r="DX393" s="1098"/>
      <c r="DY393" s="1098"/>
      <c r="DZ393" s="1098"/>
      <c r="EA393" s="1098"/>
      <c r="EB393" s="1098"/>
      <c r="ED393" s="277"/>
      <c r="EE393" s="277"/>
      <c r="EF393" s="277"/>
      <c r="EH393" s="277"/>
    </row>
    <row r="394" spans="3:138" hidden="1">
      <c r="C394" s="276"/>
      <c r="D394" s="276"/>
      <c r="E394" s="276"/>
      <c r="F394" s="276"/>
      <c r="G394" s="276"/>
      <c r="H394" s="276"/>
      <c r="I394" s="276"/>
      <c r="J394" s="276"/>
      <c r="K394" s="276"/>
      <c r="L394" s="277"/>
      <c r="M394" s="256"/>
      <c r="N394" s="256"/>
      <c r="O394" s="256"/>
      <c r="P394" s="256"/>
      <c r="Q394" s="278"/>
      <c r="R394" s="279"/>
      <c r="S394" s="279"/>
      <c r="T394" s="279"/>
      <c r="AB394" s="280"/>
      <c r="AC394" s="223"/>
      <c r="AD394" s="223"/>
      <c r="AE394" s="223"/>
      <c r="AF394" s="281"/>
      <c r="AG394" s="281"/>
      <c r="AH394" s="281"/>
      <c r="AI394" s="258"/>
      <c r="AJ394" s="258"/>
      <c r="AS394" s="282"/>
      <c r="AT394" s="283"/>
      <c r="AU394" s="282"/>
      <c r="AV394" s="284"/>
      <c r="AX394" s="285"/>
      <c r="AY394" s="285"/>
      <c r="BD394" s="1382" t="str">
        <f t="shared" si="18"/>
        <v/>
      </c>
      <c r="BE394" s="234"/>
      <c r="BF394" s="234"/>
      <c r="BG394" s="234"/>
      <c r="BH394" s="277"/>
      <c r="BK394" s="276"/>
      <c r="BL394" s="276"/>
      <c r="BM394" s="276"/>
      <c r="BN394" s="276"/>
      <c r="BO394" s="223"/>
      <c r="BP394" s="258"/>
      <c r="CC394" s="234"/>
      <c r="CG394" s="258"/>
      <c r="CH394" s="258"/>
      <c r="CI394" s="258"/>
      <c r="CJ394" s="256"/>
      <c r="CK394" s="258"/>
      <c r="CL394" s="258"/>
      <c r="CM394" s="258"/>
      <c r="CN394" s="258"/>
      <c r="CO394" s="258"/>
      <c r="CP394" s="258"/>
      <c r="CQ394" s="258"/>
      <c r="CR394" s="281"/>
      <c r="CS394" s="258"/>
      <c r="CT394" s="258"/>
      <c r="CU394" s="286"/>
      <c r="DH394" s="278"/>
      <c r="DJ394" s="270"/>
      <c r="DK394" s="1098"/>
      <c r="DL394" s="270"/>
      <c r="DM394" s="270"/>
      <c r="DN394" s="287"/>
      <c r="DO394" s="287"/>
      <c r="DP394" s="270"/>
      <c r="DQ394" s="270"/>
      <c r="DR394" s="270"/>
      <c r="DS394" s="270"/>
      <c r="DT394" s="270"/>
      <c r="DU394" s="1098"/>
      <c r="DV394" s="1098"/>
      <c r="DW394" s="1098"/>
      <c r="DX394" s="1098"/>
      <c r="DY394" s="1098"/>
      <c r="DZ394" s="1098"/>
      <c r="EA394" s="1098"/>
      <c r="EB394" s="1098"/>
      <c r="ED394" s="277"/>
      <c r="EE394" s="277"/>
      <c r="EF394" s="277"/>
      <c r="EH394" s="277"/>
    </row>
    <row r="395" spans="3:138" hidden="1">
      <c r="C395" s="276"/>
      <c r="D395" s="276"/>
      <c r="E395" s="276"/>
      <c r="F395" s="276"/>
      <c r="G395" s="276"/>
      <c r="H395" s="276"/>
      <c r="I395" s="276"/>
      <c r="J395" s="276"/>
      <c r="K395" s="276"/>
      <c r="L395" s="277"/>
      <c r="M395" s="256"/>
      <c r="N395" s="256"/>
      <c r="O395" s="256"/>
      <c r="P395" s="256"/>
      <c r="Q395" s="278"/>
      <c r="R395" s="279"/>
      <c r="S395" s="279"/>
      <c r="T395" s="279"/>
      <c r="AB395" s="280"/>
      <c r="AC395" s="223"/>
      <c r="AD395" s="223"/>
      <c r="AE395" s="223"/>
      <c r="AF395" s="281"/>
      <c r="AG395" s="281"/>
      <c r="AH395" s="281"/>
      <c r="AI395" s="258"/>
      <c r="AJ395" s="258"/>
      <c r="AS395" s="282"/>
      <c r="AT395" s="283"/>
      <c r="AU395" s="282"/>
      <c r="AV395" s="284"/>
      <c r="AX395" s="285"/>
      <c r="AY395" s="285"/>
      <c r="BD395" s="1382" t="str">
        <f t="shared" si="18"/>
        <v/>
      </c>
      <c r="BE395" s="234"/>
      <c r="BF395" s="234"/>
      <c r="BG395" s="234"/>
      <c r="BH395" s="277"/>
      <c r="BK395" s="276"/>
      <c r="BL395" s="276"/>
      <c r="BM395" s="276"/>
      <c r="BN395" s="276"/>
      <c r="BO395" s="223"/>
      <c r="BP395" s="258"/>
      <c r="CC395" s="234"/>
      <c r="CG395" s="258"/>
      <c r="CH395" s="258"/>
      <c r="CI395" s="258"/>
      <c r="CJ395" s="256"/>
      <c r="CK395" s="258"/>
      <c r="CL395" s="258"/>
      <c r="CM395" s="258"/>
      <c r="CN395" s="258"/>
      <c r="CO395" s="258"/>
      <c r="CP395" s="258"/>
      <c r="CQ395" s="258"/>
      <c r="CR395" s="281"/>
      <c r="CS395" s="258"/>
      <c r="CT395" s="258"/>
      <c r="CU395" s="286"/>
      <c r="DH395" s="278"/>
      <c r="DJ395" s="270"/>
      <c r="DK395" s="1098"/>
      <c r="DL395" s="270"/>
      <c r="DM395" s="270"/>
      <c r="DN395" s="287"/>
      <c r="DO395" s="287"/>
      <c r="DP395" s="270"/>
      <c r="DQ395" s="270"/>
      <c r="DR395" s="270"/>
      <c r="DS395" s="270"/>
      <c r="DT395" s="270"/>
      <c r="DU395" s="1098"/>
      <c r="DV395" s="1098"/>
      <c r="DW395" s="1098"/>
      <c r="DX395" s="1098"/>
      <c r="DY395" s="1098"/>
      <c r="DZ395" s="1098"/>
      <c r="EA395" s="1098"/>
      <c r="EB395" s="1098"/>
      <c r="ED395" s="277"/>
      <c r="EE395" s="277"/>
      <c r="EF395" s="277"/>
      <c r="EH395" s="277"/>
    </row>
    <row r="396" spans="3:138" hidden="1">
      <c r="C396" s="276"/>
      <c r="D396" s="276"/>
      <c r="E396" s="276"/>
      <c r="F396" s="276"/>
      <c r="G396" s="276"/>
      <c r="H396" s="276"/>
      <c r="I396" s="276"/>
      <c r="J396" s="276"/>
      <c r="K396" s="276"/>
      <c r="L396" s="277"/>
      <c r="M396" s="256"/>
      <c r="N396" s="256"/>
      <c r="O396" s="256"/>
      <c r="P396" s="256"/>
      <c r="Q396" s="278"/>
      <c r="R396" s="279"/>
      <c r="S396" s="279"/>
      <c r="T396" s="279"/>
      <c r="AB396" s="280"/>
      <c r="AC396" s="223"/>
      <c r="AD396" s="223"/>
      <c r="AE396" s="223"/>
      <c r="AF396" s="281"/>
      <c r="AG396" s="281"/>
      <c r="AH396" s="281"/>
      <c r="AI396" s="258"/>
      <c r="AJ396" s="258"/>
      <c r="AS396" s="282"/>
      <c r="AT396" s="283"/>
      <c r="AU396" s="282"/>
      <c r="AV396" s="284"/>
      <c r="AX396" s="285"/>
      <c r="AY396" s="285"/>
      <c r="BD396" s="1382" t="str">
        <f t="shared" si="18"/>
        <v/>
      </c>
      <c r="BE396" s="234"/>
      <c r="BF396" s="234"/>
      <c r="BG396" s="234"/>
      <c r="BH396" s="277"/>
      <c r="BK396" s="276"/>
      <c r="BL396" s="276"/>
      <c r="BM396" s="276"/>
      <c r="BN396" s="276"/>
      <c r="BO396" s="223"/>
      <c r="BP396" s="258"/>
      <c r="CC396" s="234"/>
      <c r="CG396" s="258"/>
      <c r="CH396" s="258"/>
      <c r="CI396" s="258"/>
      <c r="CJ396" s="256"/>
      <c r="CK396" s="258"/>
      <c r="CL396" s="258"/>
      <c r="CM396" s="258"/>
      <c r="CN396" s="258"/>
      <c r="CO396" s="258"/>
      <c r="CP396" s="258"/>
      <c r="CQ396" s="258"/>
      <c r="CR396" s="281"/>
      <c r="CS396" s="258"/>
      <c r="CT396" s="258"/>
      <c r="CU396" s="286"/>
      <c r="DH396" s="278"/>
      <c r="DJ396" s="270"/>
      <c r="DK396" s="1098"/>
      <c r="DL396" s="270"/>
      <c r="DM396" s="270"/>
      <c r="DN396" s="287"/>
      <c r="DO396" s="287"/>
      <c r="DP396" s="270"/>
      <c r="DQ396" s="270"/>
      <c r="DR396" s="270"/>
      <c r="DS396" s="270"/>
      <c r="DT396" s="270"/>
      <c r="DU396" s="1098"/>
      <c r="DV396" s="1098"/>
      <c r="DW396" s="1098"/>
      <c r="DX396" s="1098"/>
      <c r="DY396" s="1098"/>
      <c r="DZ396" s="1098"/>
      <c r="EA396" s="1098"/>
      <c r="EB396" s="1098"/>
      <c r="ED396" s="277"/>
      <c r="EE396" s="277"/>
      <c r="EF396" s="277"/>
      <c r="EH396" s="277"/>
    </row>
    <row r="397" spans="3:138" hidden="1">
      <c r="C397" s="276"/>
      <c r="D397" s="276"/>
      <c r="E397" s="276"/>
      <c r="F397" s="276"/>
      <c r="G397" s="276"/>
      <c r="H397" s="276"/>
      <c r="I397" s="276"/>
      <c r="J397" s="276"/>
      <c r="K397" s="276"/>
      <c r="L397" s="277"/>
      <c r="M397" s="256"/>
      <c r="N397" s="256"/>
      <c r="O397" s="256"/>
      <c r="P397" s="256"/>
      <c r="Q397" s="278"/>
      <c r="R397" s="279"/>
      <c r="S397" s="279"/>
      <c r="T397" s="279"/>
      <c r="AB397" s="280"/>
      <c r="AC397" s="223"/>
      <c r="AD397" s="223"/>
      <c r="AE397" s="223"/>
      <c r="AF397" s="281"/>
      <c r="AG397" s="281"/>
      <c r="AH397" s="281"/>
      <c r="AI397" s="258"/>
      <c r="AJ397" s="258"/>
      <c r="AS397" s="282"/>
      <c r="AT397" s="283"/>
      <c r="AU397" s="282"/>
      <c r="AV397" s="284"/>
      <c r="AX397" s="285"/>
      <c r="AY397" s="285"/>
      <c r="BD397" s="1382" t="str">
        <f t="shared" si="18"/>
        <v/>
      </c>
      <c r="BE397" s="234"/>
      <c r="BF397" s="234"/>
      <c r="BG397" s="234"/>
      <c r="BH397" s="277"/>
      <c r="BK397" s="276"/>
      <c r="BL397" s="276"/>
      <c r="BM397" s="276"/>
      <c r="BN397" s="276"/>
      <c r="BO397" s="223"/>
      <c r="BP397" s="258"/>
      <c r="CC397" s="234"/>
      <c r="CG397" s="258"/>
      <c r="CH397" s="258"/>
      <c r="CI397" s="258"/>
      <c r="CJ397" s="256"/>
      <c r="CK397" s="258"/>
      <c r="CL397" s="258"/>
      <c r="CM397" s="258"/>
      <c r="CN397" s="258"/>
      <c r="CO397" s="258"/>
      <c r="CP397" s="258"/>
      <c r="CQ397" s="258"/>
      <c r="CR397" s="281"/>
      <c r="CS397" s="258"/>
      <c r="CT397" s="258"/>
      <c r="CU397" s="286"/>
      <c r="DH397" s="278"/>
      <c r="DJ397" s="270"/>
      <c r="DK397" s="1098"/>
      <c r="DL397" s="270"/>
      <c r="DM397" s="270"/>
      <c r="DN397" s="287"/>
      <c r="DO397" s="287"/>
      <c r="DP397" s="270"/>
      <c r="DQ397" s="270"/>
      <c r="DR397" s="270"/>
      <c r="DS397" s="270"/>
      <c r="DT397" s="270"/>
      <c r="DU397" s="1098"/>
      <c r="DV397" s="1098"/>
      <c r="DW397" s="1098"/>
      <c r="DX397" s="1098"/>
      <c r="DY397" s="1098"/>
      <c r="DZ397" s="1098"/>
      <c r="EA397" s="1098"/>
      <c r="EB397" s="1098"/>
      <c r="ED397" s="277"/>
      <c r="EE397" s="277"/>
      <c r="EF397" s="277"/>
      <c r="EH397" s="277"/>
    </row>
    <row r="398" spans="3:138" hidden="1">
      <c r="C398" s="276"/>
      <c r="D398" s="276"/>
      <c r="E398" s="276"/>
      <c r="F398" s="276"/>
      <c r="G398" s="276"/>
      <c r="H398" s="276"/>
      <c r="I398" s="276"/>
      <c r="J398" s="276"/>
      <c r="K398" s="276"/>
      <c r="L398" s="277"/>
      <c r="M398" s="256"/>
      <c r="N398" s="256"/>
      <c r="O398" s="256"/>
      <c r="P398" s="256"/>
      <c r="Q398" s="278"/>
      <c r="R398" s="279"/>
      <c r="S398" s="279"/>
      <c r="T398" s="279"/>
      <c r="AB398" s="280"/>
      <c r="AC398" s="223"/>
      <c r="AD398" s="223"/>
      <c r="AE398" s="223"/>
      <c r="AF398" s="281"/>
      <c r="AG398" s="281"/>
      <c r="AH398" s="281"/>
      <c r="AI398" s="258"/>
      <c r="AJ398" s="258"/>
      <c r="AS398" s="282"/>
      <c r="AT398" s="283"/>
      <c r="AU398" s="282"/>
      <c r="AV398" s="284"/>
      <c r="AX398" s="285"/>
      <c r="AY398" s="285"/>
      <c r="BD398" s="1382" t="str">
        <f t="shared" si="18"/>
        <v/>
      </c>
      <c r="BE398" s="234"/>
      <c r="BF398" s="234"/>
      <c r="BG398" s="234"/>
      <c r="BH398" s="277"/>
      <c r="BK398" s="276"/>
      <c r="BL398" s="276"/>
      <c r="BM398" s="276"/>
      <c r="BN398" s="276"/>
      <c r="BO398" s="223"/>
      <c r="BP398" s="258"/>
      <c r="CC398" s="234"/>
      <c r="CG398" s="258"/>
      <c r="CH398" s="258"/>
      <c r="CI398" s="258"/>
      <c r="CJ398" s="256"/>
      <c r="CK398" s="258"/>
      <c r="CL398" s="258"/>
      <c r="CM398" s="258"/>
      <c r="CN398" s="258"/>
      <c r="CO398" s="258"/>
      <c r="CP398" s="258"/>
      <c r="CQ398" s="258"/>
      <c r="CR398" s="281"/>
      <c r="CS398" s="258"/>
      <c r="CT398" s="258"/>
      <c r="CU398" s="286"/>
      <c r="DH398" s="278"/>
      <c r="DJ398" s="270"/>
      <c r="DK398" s="1098"/>
      <c r="DL398" s="270"/>
      <c r="DM398" s="270"/>
      <c r="DN398" s="287"/>
      <c r="DO398" s="287"/>
      <c r="DP398" s="270"/>
      <c r="DQ398" s="270"/>
      <c r="DR398" s="270"/>
      <c r="DS398" s="270"/>
      <c r="DT398" s="270"/>
      <c r="DU398" s="1098"/>
      <c r="DV398" s="1098"/>
      <c r="DW398" s="1098"/>
      <c r="DX398" s="1098"/>
      <c r="DY398" s="1098"/>
      <c r="DZ398" s="1098"/>
      <c r="EA398" s="1098"/>
      <c r="EB398" s="1098"/>
      <c r="ED398" s="277"/>
      <c r="EE398" s="277"/>
      <c r="EF398" s="277"/>
      <c r="EH398" s="277"/>
    </row>
    <row r="399" spans="3:138" hidden="1">
      <c r="C399" s="276"/>
      <c r="D399" s="276"/>
      <c r="E399" s="276"/>
      <c r="F399" s="276"/>
      <c r="G399" s="276"/>
      <c r="H399" s="276"/>
      <c r="I399" s="276"/>
      <c r="J399" s="276"/>
      <c r="K399" s="276"/>
      <c r="L399" s="277"/>
      <c r="M399" s="256"/>
      <c r="N399" s="256"/>
      <c r="O399" s="256"/>
      <c r="P399" s="256"/>
      <c r="Q399" s="278"/>
      <c r="R399" s="279"/>
      <c r="S399" s="279"/>
      <c r="T399" s="279"/>
      <c r="AB399" s="280"/>
      <c r="AC399" s="223"/>
      <c r="AD399" s="223"/>
      <c r="AE399" s="223"/>
      <c r="AF399" s="281"/>
      <c r="AG399" s="281"/>
      <c r="AH399" s="281"/>
      <c r="AI399" s="258"/>
      <c r="AJ399" s="258"/>
      <c r="AS399" s="282"/>
      <c r="AT399" s="283"/>
      <c r="AU399" s="282"/>
      <c r="AV399" s="284"/>
      <c r="AX399" s="285"/>
      <c r="AY399" s="285"/>
      <c r="BD399" s="1382" t="str">
        <f t="shared" si="18"/>
        <v/>
      </c>
      <c r="BE399" s="234"/>
      <c r="BF399" s="234"/>
      <c r="BG399" s="234"/>
      <c r="BH399" s="277"/>
      <c r="BK399" s="276"/>
      <c r="BL399" s="276"/>
      <c r="BM399" s="276"/>
      <c r="BN399" s="276"/>
      <c r="BO399" s="223"/>
      <c r="BP399" s="258"/>
      <c r="CC399" s="234"/>
      <c r="CG399" s="258"/>
      <c r="CH399" s="258"/>
      <c r="CI399" s="258"/>
      <c r="CJ399" s="256"/>
      <c r="CK399" s="258"/>
      <c r="CL399" s="258"/>
      <c r="CM399" s="258"/>
      <c r="CN399" s="258"/>
      <c r="CO399" s="258"/>
      <c r="CP399" s="258"/>
      <c r="CQ399" s="258"/>
      <c r="CR399" s="281"/>
      <c r="CS399" s="258"/>
      <c r="CT399" s="258"/>
      <c r="CU399" s="286"/>
      <c r="DH399" s="278"/>
      <c r="DJ399" s="270"/>
      <c r="DK399" s="1098"/>
      <c r="DL399" s="270"/>
      <c r="DM399" s="270"/>
      <c r="DN399" s="287"/>
      <c r="DO399" s="287"/>
      <c r="DP399" s="270"/>
      <c r="DQ399" s="270"/>
      <c r="DR399" s="270"/>
      <c r="DS399" s="270"/>
      <c r="DT399" s="270"/>
      <c r="DU399" s="1098"/>
      <c r="DV399" s="1098"/>
      <c r="DW399" s="1098"/>
      <c r="DX399" s="1098"/>
      <c r="DY399" s="1098"/>
      <c r="DZ399" s="1098"/>
      <c r="EA399" s="1098"/>
      <c r="EB399" s="1098"/>
      <c r="ED399" s="277"/>
      <c r="EE399" s="277"/>
      <c r="EF399" s="277"/>
      <c r="EH399" s="277"/>
    </row>
    <row r="400" spans="3:138" hidden="1">
      <c r="C400" s="276"/>
      <c r="D400" s="276"/>
      <c r="E400" s="276"/>
      <c r="F400" s="276"/>
      <c r="G400" s="276"/>
      <c r="H400" s="276"/>
      <c r="I400" s="276"/>
      <c r="J400" s="276"/>
      <c r="K400" s="276"/>
      <c r="L400" s="277"/>
      <c r="M400" s="256"/>
      <c r="N400" s="256"/>
      <c r="O400" s="256"/>
      <c r="P400" s="256"/>
      <c r="Q400" s="278"/>
      <c r="R400" s="279"/>
      <c r="S400" s="279"/>
      <c r="T400" s="279"/>
      <c r="AB400" s="280"/>
      <c r="AC400" s="223"/>
      <c r="AD400" s="223"/>
      <c r="AE400" s="223"/>
      <c r="AF400" s="281"/>
      <c r="AG400" s="281"/>
      <c r="AH400" s="281"/>
      <c r="AI400" s="258"/>
      <c r="AJ400" s="258"/>
      <c r="AS400" s="282"/>
      <c r="AT400" s="283"/>
      <c r="AU400" s="282"/>
      <c r="AV400" s="284"/>
      <c r="AX400" s="285"/>
      <c r="AY400" s="285"/>
      <c r="BD400" s="1382" t="str">
        <f t="shared" si="18"/>
        <v/>
      </c>
      <c r="BE400" s="234"/>
      <c r="BF400" s="234"/>
      <c r="BG400" s="234"/>
      <c r="BH400" s="277"/>
      <c r="BK400" s="276"/>
      <c r="BL400" s="276"/>
      <c r="BM400" s="276"/>
      <c r="BN400" s="276"/>
      <c r="BO400" s="223"/>
      <c r="BP400" s="258"/>
      <c r="CC400" s="234"/>
      <c r="CG400" s="258"/>
      <c r="CH400" s="258"/>
      <c r="CI400" s="258"/>
      <c r="CJ400" s="256"/>
      <c r="CK400" s="258"/>
      <c r="CL400" s="258"/>
      <c r="CM400" s="258"/>
      <c r="CN400" s="258"/>
      <c r="CO400" s="258"/>
      <c r="CP400" s="258"/>
      <c r="CQ400" s="258"/>
      <c r="CR400" s="281"/>
      <c r="CS400" s="258"/>
      <c r="CT400" s="258"/>
      <c r="CU400" s="286"/>
      <c r="DH400" s="278"/>
      <c r="DJ400" s="270"/>
      <c r="DK400" s="1098"/>
      <c r="DL400" s="270"/>
      <c r="DM400" s="270"/>
      <c r="DN400" s="287"/>
      <c r="DO400" s="287"/>
      <c r="DP400" s="270"/>
      <c r="DQ400" s="270"/>
      <c r="DR400" s="270"/>
      <c r="DS400" s="270"/>
      <c r="DT400" s="270"/>
      <c r="DU400" s="1098"/>
      <c r="DV400" s="1098"/>
      <c r="DW400" s="1098"/>
      <c r="DX400" s="1098"/>
      <c r="DY400" s="1098"/>
      <c r="DZ400" s="1098"/>
      <c r="EA400" s="1098"/>
      <c r="EB400" s="1098"/>
      <c r="ED400" s="277"/>
      <c r="EE400" s="277"/>
      <c r="EF400" s="277"/>
      <c r="EH400" s="277"/>
    </row>
    <row r="401" spans="3:138" hidden="1">
      <c r="C401" s="276"/>
      <c r="D401" s="276"/>
      <c r="E401" s="276"/>
      <c r="F401" s="276"/>
      <c r="G401" s="276"/>
      <c r="H401" s="276"/>
      <c r="I401" s="276"/>
      <c r="J401" s="276"/>
      <c r="K401" s="276"/>
      <c r="L401" s="277"/>
      <c r="M401" s="256"/>
      <c r="N401" s="256"/>
      <c r="O401" s="256"/>
      <c r="P401" s="256"/>
      <c r="Q401" s="278"/>
      <c r="R401" s="279"/>
      <c r="S401" s="279"/>
      <c r="T401" s="279"/>
      <c r="AB401" s="280"/>
      <c r="AC401" s="223"/>
      <c r="AD401" s="223"/>
      <c r="AE401" s="223"/>
      <c r="AF401" s="281"/>
      <c r="AG401" s="281"/>
      <c r="AH401" s="281"/>
      <c r="AI401" s="258"/>
      <c r="AJ401" s="258"/>
      <c r="AS401" s="282"/>
      <c r="AT401" s="283"/>
      <c r="AU401" s="282"/>
      <c r="AV401" s="284"/>
      <c r="AX401" s="285"/>
      <c r="AY401" s="285"/>
      <c r="BD401" s="1382" t="str">
        <f t="shared" si="18"/>
        <v/>
      </c>
      <c r="BE401" s="234"/>
      <c r="BF401" s="234"/>
      <c r="BG401" s="234"/>
      <c r="BH401" s="277"/>
      <c r="BK401" s="276"/>
      <c r="BL401" s="276"/>
      <c r="BM401" s="276"/>
      <c r="BN401" s="276"/>
      <c r="BO401" s="223"/>
      <c r="BP401" s="258"/>
      <c r="CC401" s="234"/>
      <c r="CG401" s="258"/>
      <c r="CH401" s="258"/>
      <c r="CI401" s="258"/>
      <c r="CJ401" s="256"/>
      <c r="CK401" s="258"/>
      <c r="CL401" s="258"/>
      <c r="CM401" s="258"/>
      <c r="CN401" s="258"/>
      <c r="CO401" s="258"/>
      <c r="CP401" s="258"/>
      <c r="CQ401" s="258"/>
      <c r="CR401" s="281"/>
      <c r="CS401" s="258"/>
      <c r="CT401" s="258"/>
      <c r="CU401" s="286"/>
      <c r="DH401" s="278"/>
      <c r="DJ401" s="270"/>
      <c r="DK401" s="1098"/>
      <c r="DL401" s="270"/>
      <c r="DM401" s="270"/>
      <c r="DN401" s="287"/>
      <c r="DO401" s="287"/>
      <c r="DP401" s="270"/>
      <c r="DQ401" s="270"/>
      <c r="DR401" s="270"/>
      <c r="DS401" s="270"/>
      <c r="DT401" s="270"/>
      <c r="DU401" s="1098"/>
      <c r="DV401" s="1098"/>
      <c r="DW401" s="1098"/>
      <c r="DX401" s="1098"/>
      <c r="DY401" s="1098"/>
      <c r="DZ401" s="1098"/>
      <c r="EA401" s="1098"/>
      <c r="EB401" s="1098"/>
      <c r="ED401" s="277"/>
      <c r="EE401" s="277"/>
      <c r="EF401" s="277"/>
      <c r="EH401" s="277"/>
    </row>
    <row r="402" spans="3:138" hidden="1">
      <c r="C402" s="276"/>
      <c r="D402" s="276"/>
      <c r="E402" s="276"/>
      <c r="F402" s="276"/>
      <c r="G402" s="276"/>
      <c r="H402" s="276"/>
      <c r="I402" s="276"/>
      <c r="J402" s="276"/>
      <c r="K402" s="276"/>
      <c r="L402" s="277"/>
      <c r="M402" s="256"/>
      <c r="N402" s="256"/>
      <c r="O402" s="256"/>
      <c r="P402" s="256"/>
      <c r="Q402" s="278"/>
      <c r="R402" s="279"/>
      <c r="S402" s="279"/>
      <c r="T402" s="279"/>
      <c r="AB402" s="280"/>
      <c r="AC402" s="223"/>
      <c r="AD402" s="223"/>
      <c r="AE402" s="223"/>
      <c r="AF402" s="281"/>
      <c r="AG402" s="281"/>
      <c r="AH402" s="281"/>
      <c r="AI402" s="258"/>
      <c r="AJ402" s="258"/>
      <c r="AS402" s="282"/>
      <c r="AT402" s="283"/>
      <c r="AU402" s="282"/>
      <c r="AV402" s="284"/>
      <c r="AX402" s="285"/>
      <c r="AY402" s="285"/>
      <c r="BD402" s="1382" t="str">
        <f t="shared" si="18"/>
        <v/>
      </c>
      <c r="BE402" s="234"/>
      <c r="BF402" s="234"/>
      <c r="BG402" s="234"/>
      <c r="BH402" s="277"/>
      <c r="BK402" s="276"/>
      <c r="BL402" s="276"/>
      <c r="BM402" s="276"/>
      <c r="BN402" s="276"/>
      <c r="BO402" s="223"/>
      <c r="BP402" s="258"/>
      <c r="CC402" s="234"/>
      <c r="CG402" s="258"/>
      <c r="CH402" s="258"/>
      <c r="CI402" s="258"/>
      <c r="CJ402" s="256"/>
      <c r="CK402" s="258"/>
      <c r="CL402" s="258"/>
      <c r="CM402" s="258"/>
      <c r="CN402" s="258"/>
      <c r="CO402" s="258"/>
      <c r="CP402" s="258"/>
      <c r="CQ402" s="258"/>
      <c r="CR402" s="281"/>
      <c r="CS402" s="258"/>
      <c r="CT402" s="258"/>
      <c r="CU402" s="286"/>
      <c r="DH402" s="278"/>
      <c r="DJ402" s="270"/>
      <c r="DK402" s="1098"/>
      <c r="DL402" s="270"/>
      <c r="DM402" s="270"/>
      <c r="DN402" s="287"/>
      <c r="DO402" s="287"/>
      <c r="DP402" s="270"/>
      <c r="DQ402" s="270"/>
      <c r="DR402" s="270"/>
      <c r="DS402" s="270"/>
      <c r="DT402" s="270"/>
      <c r="DU402" s="1098"/>
      <c r="DV402" s="1098"/>
      <c r="DW402" s="1098"/>
      <c r="DX402" s="1098"/>
      <c r="DY402" s="1098"/>
      <c r="DZ402" s="1098"/>
      <c r="EA402" s="1098"/>
      <c r="EB402" s="1098"/>
      <c r="ED402" s="277"/>
      <c r="EE402" s="277"/>
      <c r="EF402" s="277"/>
      <c r="EH402" s="277"/>
    </row>
    <row r="403" spans="3:138" hidden="1">
      <c r="C403" s="276"/>
      <c r="D403" s="276"/>
      <c r="E403" s="276"/>
      <c r="F403" s="276"/>
      <c r="G403" s="276"/>
      <c r="H403" s="276"/>
      <c r="I403" s="276"/>
      <c r="J403" s="276"/>
      <c r="K403" s="276"/>
      <c r="L403" s="277"/>
      <c r="M403" s="256"/>
      <c r="N403" s="256"/>
      <c r="O403" s="256"/>
      <c r="P403" s="256"/>
      <c r="Q403" s="278"/>
      <c r="R403" s="279"/>
      <c r="S403" s="279"/>
      <c r="T403" s="279"/>
      <c r="AB403" s="280"/>
      <c r="AC403" s="223"/>
      <c r="AD403" s="223"/>
      <c r="AE403" s="223"/>
      <c r="AF403" s="281"/>
      <c r="AG403" s="281"/>
      <c r="AH403" s="281"/>
      <c r="AI403" s="258"/>
      <c r="AJ403" s="258"/>
      <c r="AS403" s="282"/>
      <c r="AT403" s="283"/>
      <c r="AU403" s="282"/>
      <c r="AV403" s="284"/>
      <c r="AX403" s="285"/>
      <c r="AY403" s="285"/>
      <c r="BD403" s="1382" t="str">
        <f t="shared" si="18"/>
        <v/>
      </c>
      <c r="BE403" s="234"/>
      <c r="BF403" s="234"/>
      <c r="BG403" s="234"/>
      <c r="BH403" s="277"/>
      <c r="BK403" s="276"/>
      <c r="BL403" s="276"/>
      <c r="BM403" s="276"/>
      <c r="BN403" s="276"/>
      <c r="BO403" s="223"/>
      <c r="BP403" s="258"/>
      <c r="CC403" s="234"/>
      <c r="CG403" s="258"/>
      <c r="CH403" s="258"/>
      <c r="CI403" s="258"/>
      <c r="CJ403" s="256"/>
      <c r="CK403" s="258"/>
      <c r="CL403" s="258"/>
      <c r="CM403" s="258"/>
      <c r="CN403" s="258"/>
      <c r="CO403" s="258"/>
      <c r="CP403" s="258"/>
      <c r="CQ403" s="258"/>
      <c r="CR403" s="281"/>
      <c r="CS403" s="258"/>
      <c r="CT403" s="258"/>
      <c r="CU403" s="286"/>
      <c r="DH403" s="278"/>
      <c r="DJ403" s="270"/>
      <c r="DK403" s="1098"/>
      <c r="DL403" s="270"/>
      <c r="DM403" s="270"/>
      <c r="DN403" s="287"/>
      <c r="DO403" s="287"/>
      <c r="DP403" s="270"/>
      <c r="DQ403" s="270"/>
      <c r="DR403" s="270"/>
      <c r="DS403" s="270"/>
      <c r="DT403" s="270"/>
      <c r="DU403" s="1098"/>
      <c r="DV403" s="1098"/>
      <c r="DW403" s="1098"/>
      <c r="DX403" s="1098"/>
      <c r="DY403" s="1098"/>
      <c r="DZ403" s="1098"/>
      <c r="EA403" s="1098"/>
      <c r="EB403" s="1098"/>
      <c r="ED403" s="277"/>
      <c r="EE403" s="277"/>
      <c r="EF403" s="277"/>
      <c r="EH403" s="277"/>
    </row>
    <row r="404" spans="3:138" hidden="1">
      <c r="C404" s="276"/>
      <c r="D404" s="276"/>
      <c r="E404" s="276"/>
      <c r="F404" s="276"/>
      <c r="G404" s="276"/>
      <c r="H404" s="276"/>
      <c r="I404" s="276"/>
      <c r="J404" s="276"/>
      <c r="K404" s="276"/>
      <c r="L404" s="277"/>
      <c r="M404" s="256"/>
      <c r="N404" s="256"/>
      <c r="O404" s="256"/>
      <c r="P404" s="256"/>
      <c r="Q404" s="278"/>
      <c r="R404" s="279"/>
      <c r="S404" s="279"/>
      <c r="T404" s="279"/>
      <c r="AB404" s="280"/>
      <c r="AC404" s="223"/>
      <c r="AD404" s="223"/>
      <c r="AE404" s="223"/>
      <c r="AF404" s="281"/>
      <c r="AG404" s="281"/>
      <c r="AH404" s="281"/>
      <c r="AI404" s="258"/>
      <c r="AJ404" s="258"/>
      <c r="AS404" s="282"/>
      <c r="AT404" s="283"/>
      <c r="AU404" s="282"/>
      <c r="AV404" s="284"/>
      <c r="AX404" s="285"/>
      <c r="AY404" s="285"/>
      <c r="BD404" s="1382" t="str">
        <f t="shared" si="18"/>
        <v/>
      </c>
      <c r="BE404" s="234"/>
      <c r="BF404" s="234"/>
      <c r="BG404" s="234"/>
      <c r="BH404" s="277"/>
      <c r="BK404" s="276"/>
      <c r="BL404" s="276"/>
      <c r="BM404" s="276"/>
      <c r="BN404" s="276"/>
      <c r="BO404" s="223"/>
      <c r="BP404" s="258"/>
      <c r="CC404" s="234"/>
      <c r="CG404" s="258"/>
      <c r="CH404" s="258"/>
      <c r="CI404" s="258"/>
      <c r="CJ404" s="256"/>
      <c r="CK404" s="258"/>
      <c r="CL404" s="258"/>
      <c r="CM404" s="258"/>
      <c r="CN404" s="258"/>
      <c r="CO404" s="258"/>
      <c r="CP404" s="258"/>
      <c r="CQ404" s="258"/>
      <c r="CR404" s="281"/>
      <c r="CS404" s="258"/>
      <c r="CT404" s="258"/>
      <c r="CU404" s="286"/>
      <c r="DH404" s="278"/>
      <c r="DJ404" s="270"/>
      <c r="DK404" s="1098"/>
      <c r="DL404" s="270"/>
      <c r="DM404" s="270"/>
      <c r="DN404" s="287"/>
      <c r="DO404" s="287"/>
      <c r="DP404" s="270"/>
      <c r="DQ404" s="270"/>
      <c r="DR404" s="270"/>
      <c r="DS404" s="270"/>
      <c r="DT404" s="270"/>
      <c r="DU404" s="1098"/>
      <c r="DV404" s="1098"/>
      <c r="DW404" s="1098"/>
      <c r="DX404" s="1098"/>
      <c r="DY404" s="1098"/>
      <c r="DZ404" s="1098"/>
      <c r="EA404" s="1098"/>
      <c r="EB404" s="1098"/>
      <c r="ED404" s="277"/>
      <c r="EE404" s="277"/>
      <c r="EF404" s="277"/>
      <c r="EH404" s="277"/>
    </row>
    <row r="405" spans="3:138" hidden="1">
      <c r="C405" s="276"/>
      <c r="D405" s="276"/>
      <c r="E405" s="276"/>
      <c r="F405" s="276"/>
      <c r="G405" s="276"/>
      <c r="H405" s="276"/>
      <c r="I405" s="276"/>
      <c r="J405" s="276"/>
      <c r="K405" s="276"/>
      <c r="L405" s="277"/>
      <c r="M405" s="256"/>
      <c r="N405" s="256"/>
      <c r="O405" s="256"/>
      <c r="P405" s="256"/>
      <c r="Q405" s="278"/>
      <c r="R405" s="279"/>
      <c r="S405" s="279"/>
      <c r="T405" s="279"/>
      <c r="AB405" s="280"/>
      <c r="AC405" s="223"/>
      <c r="AD405" s="223"/>
      <c r="AE405" s="223"/>
      <c r="AF405" s="281"/>
      <c r="AG405" s="281"/>
      <c r="AH405" s="281"/>
      <c r="AI405" s="258"/>
      <c r="AJ405" s="258"/>
      <c r="AS405" s="282"/>
      <c r="AT405" s="283"/>
      <c r="AU405" s="282"/>
      <c r="AV405" s="284"/>
      <c r="AX405" s="285"/>
      <c r="AY405" s="285"/>
      <c r="BD405" s="1382" t="str">
        <f t="shared" si="18"/>
        <v/>
      </c>
      <c r="BE405" s="234"/>
      <c r="BF405" s="234"/>
      <c r="BG405" s="234"/>
      <c r="BH405" s="277"/>
      <c r="BK405" s="276"/>
      <c r="BL405" s="276"/>
      <c r="BM405" s="276"/>
      <c r="BN405" s="276"/>
      <c r="BO405" s="223"/>
      <c r="BP405" s="258"/>
      <c r="CC405" s="234"/>
      <c r="CG405" s="258"/>
      <c r="CH405" s="258"/>
      <c r="CI405" s="258"/>
      <c r="CJ405" s="256"/>
      <c r="CK405" s="258"/>
      <c r="CL405" s="258"/>
      <c r="CM405" s="258"/>
      <c r="CN405" s="258"/>
      <c r="CO405" s="258"/>
      <c r="CP405" s="258"/>
      <c r="CQ405" s="258"/>
      <c r="CR405" s="281"/>
      <c r="CS405" s="258"/>
      <c r="CT405" s="258"/>
      <c r="CU405" s="286"/>
      <c r="DH405" s="278"/>
      <c r="DJ405" s="270"/>
      <c r="DK405" s="1098"/>
      <c r="DL405" s="270"/>
      <c r="DM405" s="270"/>
      <c r="DN405" s="287"/>
      <c r="DO405" s="287"/>
      <c r="DP405" s="270"/>
      <c r="DQ405" s="270"/>
      <c r="DR405" s="270"/>
      <c r="DS405" s="270"/>
      <c r="DT405" s="270"/>
      <c r="DU405" s="1098"/>
      <c r="DV405" s="1098"/>
      <c r="DW405" s="1098"/>
      <c r="DX405" s="1098"/>
      <c r="DY405" s="1098"/>
      <c r="DZ405" s="1098"/>
      <c r="EA405" s="1098"/>
      <c r="EB405" s="1098"/>
      <c r="ED405" s="277"/>
      <c r="EE405" s="277"/>
      <c r="EF405" s="277"/>
      <c r="EH405" s="277"/>
    </row>
    <row r="406" spans="3:138" hidden="1">
      <c r="C406" s="276"/>
      <c r="D406" s="276"/>
      <c r="E406" s="276"/>
      <c r="F406" s="276"/>
      <c r="G406" s="276"/>
      <c r="H406" s="276"/>
      <c r="I406" s="276"/>
      <c r="J406" s="276"/>
      <c r="K406" s="276"/>
      <c r="L406" s="277"/>
      <c r="M406" s="256"/>
      <c r="N406" s="256"/>
      <c r="O406" s="256"/>
      <c r="P406" s="256"/>
      <c r="Q406" s="278"/>
      <c r="R406" s="279"/>
      <c r="S406" s="279"/>
      <c r="T406" s="279"/>
      <c r="AB406" s="280"/>
      <c r="AC406" s="223"/>
      <c r="AD406" s="223"/>
      <c r="AE406" s="223"/>
      <c r="AF406" s="281"/>
      <c r="AG406" s="281"/>
      <c r="AH406" s="281"/>
      <c r="AI406" s="258"/>
      <c r="AJ406" s="258"/>
      <c r="AS406" s="282"/>
      <c r="AT406" s="283"/>
      <c r="AU406" s="282"/>
      <c r="AV406" s="284"/>
      <c r="AX406" s="285"/>
      <c r="AY406" s="285"/>
      <c r="BD406" s="1382" t="str">
        <f t="shared" si="18"/>
        <v/>
      </c>
      <c r="BE406" s="234"/>
      <c r="BF406" s="234"/>
      <c r="BG406" s="234"/>
      <c r="BH406" s="277"/>
      <c r="BK406" s="276"/>
      <c r="BL406" s="276"/>
      <c r="BM406" s="276"/>
      <c r="BN406" s="276"/>
      <c r="BO406" s="223"/>
      <c r="BP406" s="258"/>
      <c r="CC406" s="234"/>
      <c r="CG406" s="258"/>
      <c r="CH406" s="258"/>
      <c r="CI406" s="258"/>
      <c r="CJ406" s="256"/>
      <c r="CK406" s="258"/>
      <c r="CL406" s="258"/>
      <c r="CM406" s="258"/>
      <c r="CN406" s="258"/>
      <c r="CO406" s="258"/>
      <c r="CP406" s="258"/>
      <c r="CQ406" s="258"/>
      <c r="CR406" s="281"/>
      <c r="CS406" s="258"/>
      <c r="CT406" s="258"/>
      <c r="CU406" s="286"/>
      <c r="DH406" s="278"/>
      <c r="DJ406" s="270"/>
      <c r="DK406" s="1098"/>
      <c r="DL406" s="270"/>
      <c r="DM406" s="270"/>
      <c r="DN406" s="287"/>
      <c r="DO406" s="287"/>
      <c r="DP406" s="270"/>
      <c r="DQ406" s="270"/>
      <c r="DR406" s="270"/>
      <c r="DS406" s="270"/>
      <c r="DT406" s="270"/>
      <c r="DU406" s="1098"/>
      <c r="DV406" s="1098"/>
      <c r="DW406" s="1098"/>
      <c r="DX406" s="1098"/>
      <c r="DY406" s="1098"/>
      <c r="DZ406" s="1098"/>
      <c r="EA406" s="1098"/>
      <c r="EB406" s="1098"/>
      <c r="ED406" s="277"/>
      <c r="EE406" s="277"/>
      <c r="EF406" s="277"/>
      <c r="EH406" s="277"/>
    </row>
    <row r="407" spans="3:138" hidden="1">
      <c r="C407" s="276"/>
      <c r="D407" s="276"/>
      <c r="E407" s="276"/>
      <c r="F407" s="276"/>
      <c r="G407" s="276"/>
      <c r="H407" s="276"/>
      <c r="I407" s="276"/>
      <c r="J407" s="276"/>
      <c r="K407" s="276"/>
      <c r="L407" s="277"/>
      <c r="M407" s="256"/>
      <c r="N407" s="256"/>
      <c r="O407" s="256"/>
      <c r="P407" s="256"/>
      <c r="Q407" s="278"/>
      <c r="R407" s="279"/>
      <c r="S407" s="279"/>
      <c r="T407" s="279"/>
      <c r="AB407" s="280"/>
      <c r="AC407" s="223"/>
      <c r="AD407" s="223"/>
      <c r="AE407" s="223"/>
      <c r="AF407" s="281"/>
      <c r="AG407" s="281"/>
      <c r="AH407" s="281"/>
      <c r="AI407" s="258"/>
      <c r="AJ407" s="258"/>
      <c r="AS407" s="282"/>
      <c r="AT407" s="283"/>
      <c r="AU407" s="282"/>
      <c r="AV407" s="284"/>
      <c r="AX407" s="285"/>
      <c r="AY407" s="285"/>
      <c r="BD407" s="1382" t="str">
        <f t="shared" si="18"/>
        <v/>
      </c>
      <c r="BE407" s="234"/>
      <c r="BF407" s="234"/>
      <c r="BG407" s="234"/>
      <c r="BH407" s="277"/>
      <c r="BK407" s="276"/>
      <c r="BL407" s="276"/>
      <c r="BM407" s="276"/>
      <c r="BN407" s="276"/>
      <c r="BO407" s="223"/>
      <c r="BP407" s="258"/>
      <c r="CC407" s="234"/>
      <c r="CG407" s="258"/>
      <c r="CH407" s="258"/>
      <c r="CI407" s="258"/>
      <c r="CJ407" s="256"/>
      <c r="CK407" s="258"/>
      <c r="CL407" s="258"/>
      <c r="CM407" s="258"/>
      <c r="CN407" s="258"/>
      <c r="CO407" s="258"/>
      <c r="CP407" s="258"/>
      <c r="CQ407" s="258"/>
      <c r="CR407" s="281"/>
      <c r="CS407" s="258"/>
      <c r="CT407" s="258"/>
      <c r="CU407" s="286"/>
      <c r="DH407" s="278"/>
      <c r="DJ407" s="270"/>
      <c r="DK407" s="1098"/>
      <c r="DL407" s="270"/>
      <c r="DM407" s="270"/>
      <c r="DN407" s="287"/>
      <c r="DO407" s="287"/>
      <c r="DP407" s="270"/>
      <c r="DQ407" s="270"/>
      <c r="DR407" s="270"/>
      <c r="DS407" s="270"/>
      <c r="DT407" s="270"/>
      <c r="DU407" s="1098"/>
      <c r="DV407" s="1098"/>
      <c r="DW407" s="1098"/>
      <c r="DX407" s="1098"/>
      <c r="DY407" s="1098"/>
      <c r="DZ407" s="1098"/>
      <c r="EA407" s="1098"/>
      <c r="EB407" s="1098"/>
      <c r="ED407" s="277"/>
      <c r="EE407" s="277"/>
      <c r="EF407" s="277"/>
      <c r="EH407" s="277"/>
    </row>
    <row r="408" spans="3:138" hidden="1">
      <c r="C408" s="276"/>
      <c r="D408" s="276"/>
      <c r="E408" s="276"/>
      <c r="F408" s="276"/>
      <c r="G408" s="276"/>
      <c r="H408" s="276"/>
      <c r="I408" s="276"/>
      <c r="J408" s="276"/>
      <c r="K408" s="276"/>
      <c r="L408" s="277"/>
      <c r="M408" s="256"/>
      <c r="N408" s="256"/>
      <c r="O408" s="256"/>
      <c r="P408" s="256"/>
      <c r="Q408" s="278"/>
      <c r="R408" s="279"/>
      <c r="S408" s="279"/>
      <c r="T408" s="279"/>
      <c r="AB408" s="280"/>
      <c r="AC408" s="223"/>
      <c r="AD408" s="223"/>
      <c r="AE408" s="223"/>
      <c r="AF408" s="281"/>
      <c r="AG408" s="281"/>
      <c r="AH408" s="281"/>
      <c r="AI408" s="258"/>
      <c r="AJ408" s="258"/>
      <c r="AS408" s="282"/>
      <c r="AT408" s="283"/>
      <c r="AU408" s="282"/>
      <c r="AV408" s="284"/>
      <c r="AX408" s="285"/>
      <c r="AY408" s="285"/>
      <c r="BD408" s="1382" t="str">
        <f t="shared" si="18"/>
        <v/>
      </c>
      <c r="BE408" s="234"/>
      <c r="BF408" s="234"/>
      <c r="BG408" s="234"/>
      <c r="BH408" s="277"/>
      <c r="BK408" s="276"/>
      <c r="BL408" s="276"/>
      <c r="BM408" s="276"/>
      <c r="BN408" s="276"/>
      <c r="BO408" s="223"/>
      <c r="BP408" s="258"/>
      <c r="CC408" s="234"/>
      <c r="CG408" s="258"/>
      <c r="CH408" s="258"/>
      <c r="CI408" s="258"/>
      <c r="CJ408" s="256"/>
      <c r="CK408" s="258"/>
      <c r="CL408" s="258"/>
      <c r="CM408" s="258"/>
      <c r="CN408" s="258"/>
      <c r="CO408" s="258"/>
      <c r="CP408" s="258"/>
      <c r="CQ408" s="258"/>
      <c r="CR408" s="281"/>
      <c r="CS408" s="258"/>
      <c r="CT408" s="258"/>
      <c r="CU408" s="286"/>
      <c r="DH408" s="278"/>
      <c r="DJ408" s="270"/>
      <c r="DK408" s="1098"/>
      <c r="DL408" s="270"/>
      <c r="DM408" s="270"/>
      <c r="DN408" s="287"/>
      <c r="DO408" s="287"/>
      <c r="DP408" s="270"/>
      <c r="DQ408" s="270"/>
      <c r="DR408" s="270"/>
      <c r="DS408" s="270"/>
      <c r="DT408" s="270"/>
      <c r="DU408" s="1098"/>
      <c r="DV408" s="1098"/>
      <c r="DW408" s="1098"/>
      <c r="DX408" s="1098"/>
      <c r="DY408" s="1098"/>
      <c r="DZ408" s="1098"/>
      <c r="EA408" s="1098"/>
      <c r="EB408" s="1098"/>
      <c r="ED408" s="277"/>
      <c r="EE408" s="277"/>
      <c r="EF408" s="277"/>
      <c r="EH408" s="277"/>
    </row>
    <row r="409" spans="3:138" hidden="1">
      <c r="C409" s="276"/>
      <c r="D409" s="276"/>
      <c r="E409" s="276"/>
      <c r="F409" s="276"/>
      <c r="G409" s="276"/>
      <c r="H409" s="276"/>
      <c r="I409" s="276"/>
      <c r="J409" s="276"/>
      <c r="K409" s="276"/>
      <c r="L409" s="277"/>
      <c r="M409" s="256"/>
      <c r="N409" s="256"/>
      <c r="O409" s="256"/>
      <c r="P409" s="256"/>
      <c r="Q409" s="278"/>
      <c r="R409" s="279"/>
      <c r="S409" s="279"/>
      <c r="T409" s="279"/>
      <c r="AB409" s="280"/>
      <c r="AC409" s="223"/>
      <c r="AD409" s="223"/>
      <c r="AE409" s="223"/>
      <c r="AF409" s="281"/>
      <c r="AG409" s="281"/>
      <c r="AH409" s="281"/>
      <c r="AI409" s="258"/>
      <c r="AJ409" s="258"/>
      <c r="AS409" s="282"/>
      <c r="AT409" s="283"/>
      <c r="AU409" s="282"/>
      <c r="AV409" s="284"/>
      <c r="AX409" s="285"/>
      <c r="AY409" s="285"/>
      <c r="BD409" s="1382" t="str">
        <f t="shared" si="18"/>
        <v/>
      </c>
      <c r="BE409" s="234"/>
      <c r="BF409" s="234"/>
      <c r="BG409" s="234"/>
      <c r="BH409" s="277"/>
      <c r="BK409" s="276"/>
      <c r="BL409" s="276"/>
      <c r="BM409" s="276"/>
      <c r="BN409" s="276"/>
      <c r="BO409" s="223"/>
      <c r="BP409" s="258"/>
      <c r="CC409" s="234"/>
      <c r="CG409" s="258"/>
      <c r="CH409" s="258"/>
      <c r="CI409" s="258"/>
      <c r="CJ409" s="256"/>
      <c r="CK409" s="258"/>
      <c r="CL409" s="258"/>
      <c r="CM409" s="258"/>
      <c r="CN409" s="258"/>
      <c r="CO409" s="258"/>
      <c r="CP409" s="258"/>
      <c r="CQ409" s="258"/>
      <c r="CR409" s="281"/>
      <c r="CS409" s="258"/>
      <c r="CT409" s="258"/>
      <c r="CU409" s="286"/>
      <c r="DH409" s="278"/>
      <c r="DJ409" s="270"/>
      <c r="DK409" s="1098"/>
      <c r="DL409" s="270"/>
      <c r="DM409" s="270"/>
      <c r="DN409" s="287"/>
      <c r="DO409" s="287"/>
      <c r="DP409" s="270"/>
      <c r="DQ409" s="270"/>
      <c r="DR409" s="270"/>
      <c r="DS409" s="270"/>
      <c r="DT409" s="270"/>
      <c r="DU409" s="1098"/>
      <c r="DV409" s="1098"/>
      <c r="DW409" s="1098"/>
      <c r="DX409" s="1098"/>
      <c r="DY409" s="1098"/>
      <c r="DZ409" s="1098"/>
      <c r="EA409" s="1098"/>
      <c r="EB409" s="1098"/>
      <c r="ED409" s="277"/>
      <c r="EE409" s="277"/>
      <c r="EF409" s="277"/>
      <c r="EH409" s="277"/>
    </row>
    <row r="410" spans="3:138" hidden="1">
      <c r="C410" s="276"/>
      <c r="D410" s="276"/>
      <c r="E410" s="276"/>
      <c r="F410" s="276"/>
      <c r="G410" s="276"/>
      <c r="H410" s="276"/>
      <c r="I410" s="276"/>
      <c r="J410" s="276"/>
      <c r="K410" s="276"/>
      <c r="L410" s="277"/>
      <c r="M410" s="256"/>
      <c r="N410" s="256"/>
      <c r="O410" s="256"/>
      <c r="P410" s="256"/>
      <c r="Q410" s="278"/>
      <c r="R410" s="279"/>
      <c r="S410" s="279"/>
      <c r="T410" s="279"/>
      <c r="AB410" s="280"/>
      <c r="AC410" s="223"/>
      <c r="AD410" s="223"/>
      <c r="AE410" s="223"/>
      <c r="AF410" s="281"/>
      <c r="AG410" s="281"/>
      <c r="AH410" s="281"/>
      <c r="AI410" s="258"/>
      <c r="AJ410" s="258"/>
      <c r="AS410" s="282"/>
      <c r="AT410" s="283"/>
      <c r="AU410" s="282"/>
      <c r="AV410" s="284"/>
      <c r="AX410" s="285"/>
      <c r="AY410" s="285"/>
      <c r="BD410" s="1382" t="str">
        <f t="shared" si="18"/>
        <v/>
      </c>
      <c r="BE410" s="234"/>
      <c r="BF410" s="234"/>
      <c r="BG410" s="234"/>
      <c r="BH410" s="277"/>
      <c r="BK410" s="276"/>
      <c r="BL410" s="276"/>
      <c r="BM410" s="276"/>
      <c r="BN410" s="276"/>
      <c r="BO410" s="223"/>
      <c r="BP410" s="258"/>
      <c r="CC410" s="234"/>
      <c r="CG410" s="258"/>
      <c r="CH410" s="258"/>
      <c r="CI410" s="258"/>
      <c r="CJ410" s="256"/>
      <c r="CK410" s="258"/>
      <c r="CL410" s="258"/>
      <c r="CM410" s="258"/>
      <c r="CN410" s="258"/>
      <c r="CO410" s="258"/>
      <c r="CP410" s="258"/>
      <c r="CQ410" s="258"/>
      <c r="CR410" s="281"/>
      <c r="CS410" s="258"/>
      <c r="CT410" s="258"/>
      <c r="CU410" s="286"/>
      <c r="DH410" s="278"/>
      <c r="DJ410" s="270"/>
      <c r="DK410" s="1098"/>
      <c r="DL410" s="270"/>
      <c r="DM410" s="270"/>
      <c r="DN410" s="287"/>
      <c r="DO410" s="287"/>
      <c r="DP410" s="270"/>
      <c r="DQ410" s="270"/>
      <c r="DR410" s="270"/>
      <c r="DS410" s="270"/>
      <c r="DT410" s="270"/>
      <c r="DU410" s="1098"/>
      <c r="DV410" s="1098"/>
      <c r="DW410" s="1098"/>
      <c r="DX410" s="1098"/>
      <c r="DY410" s="1098"/>
      <c r="DZ410" s="1098"/>
      <c r="EA410" s="1098"/>
      <c r="EB410" s="1098"/>
      <c r="ED410" s="277"/>
      <c r="EE410" s="277"/>
      <c r="EF410" s="277"/>
      <c r="EH410" s="277"/>
    </row>
    <row r="411" spans="3:138" hidden="1">
      <c r="C411" s="276"/>
      <c r="D411" s="276"/>
      <c r="E411" s="276"/>
      <c r="F411" s="276"/>
      <c r="G411" s="276"/>
      <c r="H411" s="276"/>
      <c r="I411" s="276"/>
      <c r="J411" s="276"/>
      <c r="K411" s="276"/>
      <c r="L411" s="277"/>
      <c r="M411" s="256"/>
      <c r="N411" s="256"/>
      <c r="O411" s="256"/>
      <c r="P411" s="256"/>
      <c r="Q411" s="278"/>
      <c r="R411" s="279"/>
      <c r="S411" s="279"/>
      <c r="T411" s="279"/>
      <c r="AB411" s="280"/>
      <c r="AC411" s="223"/>
      <c r="AD411" s="223"/>
      <c r="AE411" s="223"/>
      <c r="AF411" s="281"/>
      <c r="AG411" s="281"/>
      <c r="AH411" s="281"/>
      <c r="AI411" s="258"/>
      <c r="AJ411" s="258"/>
      <c r="AS411" s="282"/>
      <c r="AT411" s="283"/>
      <c r="AU411" s="282"/>
      <c r="AV411" s="284"/>
      <c r="AX411" s="285"/>
      <c r="AY411" s="285"/>
      <c r="BD411" s="1382" t="str">
        <f t="shared" si="18"/>
        <v/>
      </c>
      <c r="BE411" s="234"/>
      <c r="BF411" s="234"/>
      <c r="BG411" s="234"/>
      <c r="BH411" s="277"/>
      <c r="BK411" s="276"/>
      <c r="BL411" s="276"/>
      <c r="BM411" s="276"/>
      <c r="BN411" s="276"/>
      <c r="BO411" s="223"/>
      <c r="BP411" s="258"/>
      <c r="CC411" s="234"/>
      <c r="CG411" s="258"/>
      <c r="CH411" s="258"/>
      <c r="CI411" s="258"/>
      <c r="CJ411" s="256"/>
      <c r="CK411" s="258"/>
      <c r="CL411" s="258"/>
      <c r="CM411" s="258"/>
      <c r="CN411" s="258"/>
      <c r="CO411" s="258"/>
      <c r="CP411" s="258"/>
      <c r="CQ411" s="258"/>
      <c r="CR411" s="281"/>
      <c r="CS411" s="258"/>
      <c r="CT411" s="258"/>
      <c r="CU411" s="286"/>
      <c r="DH411" s="278"/>
      <c r="DJ411" s="270"/>
      <c r="DK411" s="1098"/>
      <c r="DL411" s="270"/>
      <c r="DM411" s="270"/>
      <c r="DN411" s="287"/>
      <c r="DO411" s="287"/>
      <c r="DP411" s="270"/>
      <c r="DQ411" s="270"/>
      <c r="DR411" s="270"/>
      <c r="DS411" s="270"/>
      <c r="DT411" s="270"/>
      <c r="DU411" s="1098"/>
      <c r="DV411" s="1098"/>
      <c r="DW411" s="1098"/>
      <c r="DX411" s="1098"/>
      <c r="DY411" s="1098"/>
      <c r="DZ411" s="1098"/>
      <c r="EA411" s="1098"/>
      <c r="EB411" s="1098"/>
      <c r="ED411" s="277"/>
      <c r="EE411" s="277"/>
      <c r="EF411" s="277"/>
      <c r="EH411" s="277"/>
    </row>
    <row r="412" spans="3:138" hidden="1">
      <c r="C412" s="276"/>
      <c r="D412" s="276"/>
      <c r="E412" s="276"/>
      <c r="F412" s="276"/>
      <c r="G412" s="276"/>
      <c r="H412" s="276"/>
      <c r="I412" s="276"/>
      <c r="J412" s="276"/>
      <c r="K412" s="276"/>
      <c r="L412" s="277"/>
      <c r="M412" s="256"/>
      <c r="N412" s="256"/>
      <c r="O412" s="256"/>
      <c r="P412" s="256"/>
      <c r="Q412" s="278"/>
      <c r="R412" s="279"/>
      <c r="S412" s="279"/>
      <c r="T412" s="279"/>
      <c r="AB412" s="280"/>
      <c r="AC412" s="223"/>
      <c r="AD412" s="223"/>
      <c r="AE412" s="223"/>
      <c r="AF412" s="281"/>
      <c r="AG412" s="281"/>
      <c r="AH412" s="281"/>
      <c r="AI412" s="258"/>
      <c r="AJ412" s="258"/>
      <c r="AS412" s="282"/>
      <c r="AT412" s="283"/>
      <c r="AU412" s="282"/>
      <c r="AV412" s="284"/>
      <c r="AX412" s="285"/>
      <c r="AY412" s="285"/>
      <c r="BD412" s="1382" t="str">
        <f t="shared" si="18"/>
        <v/>
      </c>
      <c r="BE412" s="234"/>
      <c r="BF412" s="234"/>
      <c r="BG412" s="234"/>
      <c r="BH412" s="277"/>
      <c r="BK412" s="276"/>
      <c r="BL412" s="276"/>
      <c r="BM412" s="276"/>
      <c r="BN412" s="276"/>
      <c r="BO412" s="223"/>
      <c r="BP412" s="258"/>
      <c r="CC412" s="234"/>
      <c r="CG412" s="258"/>
      <c r="CH412" s="258"/>
      <c r="CI412" s="258"/>
      <c r="CJ412" s="256"/>
      <c r="CK412" s="258"/>
      <c r="CL412" s="258"/>
      <c r="CM412" s="258"/>
      <c r="CN412" s="258"/>
      <c r="CO412" s="258"/>
      <c r="CP412" s="258"/>
      <c r="CQ412" s="258"/>
      <c r="CR412" s="281"/>
      <c r="CS412" s="258"/>
      <c r="CT412" s="258"/>
      <c r="CU412" s="286"/>
      <c r="DH412" s="278"/>
      <c r="DJ412" s="270"/>
      <c r="DK412" s="1098"/>
      <c r="DL412" s="270"/>
      <c r="DM412" s="270"/>
      <c r="DN412" s="287"/>
      <c r="DO412" s="287"/>
      <c r="DP412" s="270"/>
      <c r="DQ412" s="270"/>
      <c r="DR412" s="270"/>
      <c r="DS412" s="270"/>
      <c r="DT412" s="270"/>
      <c r="DU412" s="1098"/>
      <c r="DV412" s="1098"/>
      <c r="DW412" s="1098"/>
      <c r="DX412" s="1098"/>
      <c r="DY412" s="1098"/>
      <c r="DZ412" s="1098"/>
      <c r="EA412" s="1098"/>
      <c r="EB412" s="1098"/>
      <c r="ED412" s="277"/>
      <c r="EE412" s="277"/>
      <c r="EF412" s="277"/>
      <c r="EH412" s="277"/>
    </row>
    <row r="413" spans="3:138" hidden="1">
      <c r="C413" s="276"/>
      <c r="D413" s="276"/>
      <c r="E413" s="276"/>
      <c r="F413" s="276"/>
      <c r="G413" s="276"/>
      <c r="H413" s="276"/>
      <c r="I413" s="276"/>
      <c r="J413" s="276"/>
      <c r="K413" s="276"/>
      <c r="L413" s="277"/>
      <c r="M413" s="256"/>
      <c r="N413" s="256"/>
      <c r="O413" s="256"/>
      <c r="P413" s="256"/>
      <c r="Q413" s="278"/>
      <c r="R413" s="279"/>
      <c r="S413" s="279"/>
      <c r="T413" s="279"/>
      <c r="AB413" s="280"/>
      <c r="AC413" s="223"/>
      <c r="AD413" s="223"/>
      <c r="AE413" s="223"/>
      <c r="AF413" s="281"/>
      <c r="AG413" s="281"/>
      <c r="AH413" s="281"/>
      <c r="AI413" s="258"/>
      <c r="AJ413" s="258"/>
      <c r="AS413" s="282"/>
      <c r="AT413" s="283"/>
      <c r="AU413" s="282"/>
      <c r="AV413" s="284"/>
      <c r="AX413" s="285"/>
      <c r="AY413" s="285"/>
      <c r="BD413" s="1382" t="str">
        <f t="shared" si="18"/>
        <v/>
      </c>
      <c r="BE413" s="234"/>
      <c r="BF413" s="234"/>
      <c r="BG413" s="234"/>
      <c r="BH413" s="277"/>
      <c r="BK413" s="276"/>
      <c r="BL413" s="276"/>
      <c r="BM413" s="276"/>
      <c r="BN413" s="276"/>
      <c r="BO413" s="223"/>
      <c r="BP413" s="258"/>
      <c r="CC413" s="234"/>
      <c r="CG413" s="258"/>
      <c r="CH413" s="258"/>
      <c r="CI413" s="258"/>
      <c r="CJ413" s="256"/>
      <c r="CK413" s="258"/>
      <c r="CL413" s="258"/>
      <c r="CM413" s="258"/>
      <c r="CN413" s="258"/>
      <c r="CO413" s="258"/>
      <c r="CP413" s="258"/>
      <c r="CQ413" s="258"/>
      <c r="CR413" s="281"/>
      <c r="CS413" s="258"/>
      <c r="CT413" s="258"/>
      <c r="CU413" s="286"/>
      <c r="DH413" s="278"/>
      <c r="DJ413" s="270"/>
      <c r="DK413" s="1098"/>
      <c r="DL413" s="270"/>
      <c r="DM413" s="270"/>
      <c r="DN413" s="287"/>
      <c r="DO413" s="287"/>
      <c r="DP413" s="270"/>
      <c r="DQ413" s="270"/>
      <c r="DR413" s="270"/>
      <c r="DS413" s="270"/>
      <c r="DT413" s="270"/>
      <c r="DU413" s="1098"/>
      <c r="DV413" s="1098"/>
      <c r="DW413" s="1098"/>
      <c r="DX413" s="1098"/>
      <c r="DY413" s="1098"/>
      <c r="DZ413" s="1098"/>
      <c r="EA413" s="1098"/>
      <c r="EB413" s="1098"/>
      <c r="ED413" s="277"/>
      <c r="EE413" s="277"/>
      <c r="EF413" s="277"/>
      <c r="EH413" s="277"/>
    </row>
    <row r="414" spans="3:138" hidden="1">
      <c r="C414" s="276"/>
      <c r="D414" s="276"/>
      <c r="E414" s="276"/>
      <c r="F414" s="276"/>
      <c r="G414" s="276"/>
      <c r="H414" s="276"/>
      <c r="I414" s="276"/>
      <c r="J414" s="276"/>
      <c r="K414" s="276"/>
      <c r="L414" s="277"/>
      <c r="M414" s="256"/>
      <c r="N414" s="256"/>
      <c r="O414" s="256"/>
      <c r="P414" s="256"/>
      <c r="Q414" s="278"/>
      <c r="R414" s="279"/>
      <c r="S414" s="279"/>
      <c r="T414" s="279"/>
      <c r="AB414" s="280"/>
      <c r="AC414" s="223"/>
      <c r="AD414" s="223"/>
      <c r="AE414" s="223"/>
      <c r="AF414" s="281"/>
      <c r="AG414" s="281"/>
      <c r="AH414" s="281"/>
      <c r="AI414" s="258"/>
      <c r="AJ414" s="258"/>
      <c r="AS414" s="282"/>
      <c r="AT414" s="283"/>
      <c r="AU414" s="282"/>
      <c r="AV414" s="284"/>
      <c r="AX414" s="285"/>
      <c r="AY414" s="285"/>
      <c r="BD414" s="1382" t="str">
        <f t="shared" si="18"/>
        <v/>
      </c>
      <c r="BE414" s="234"/>
      <c r="BF414" s="234"/>
      <c r="BG414" s="234"/>
      <c r="BH414" s="277"/>
      <c r="BK414" s="276"/>
      <c r="BL414" s="276"/>
      <c r="BM414" s="276"/>
      <c r="BN414" s="276"/>
      <c r="BO414" s="223"/>
      <c r="BP414" s="258"/>
      <c r="CC414" s="234"/>
      <c r="CG414" s="258"/>
      <c r="CH414" s="258"/>
      <c r="CI414" s="258"/>
      <c r="CJ414" s="256"/>
      <c r="CK414" s="258"/>
      <c r="CL414" s="258"/>
      <c r="CM414" s="258"/>
      <c r="CN414" s="258"/>
      <c r="CO414" s="258"/>
      <c r="CP414" s="258"/>
      <c r="CQ414" s="258"/>
      <c r="CR414" s="281"/>
      <c r="CS414" s="258"/>
      <c r="CT414" s="258"/>
      <c r="CU414" s="286"/>
      <c r="DH414" s="278"/>
      <c r="DJ414" s="270"/>
      <c r="DK414" s="1098"/>
      <c r="DL414" s="270"/>
      <c r="DM414" s="270"/>
      <c r="DN414" s="287"/>
      <c r="DO414" s="287"/>
      <c r="DP414" s="270"/>
      <c r="DQ414" s="270"/>
      <c r="DR414" s="270"/>
      <c r="DS414" s="270"/>
      <c r="DT414" s="270"/>
      <c r="DU414" s="1098"/>
      <c r="DV414" s="1098"/>
      <c r="DW414" s="1098"/>
      <c r="DX414" s="1098"/>
      <c r="DY414" s="1098"/>
      <c r="DZ414" s="1098"/>
      <c r="EA414" s="1098"/>
      <c r="EB414" s="1098"/>
      <c r="ED414" s="277"/>
      <c r="EE414" s="277"/>
      <c r="EF414" s="277"/>
      <c r="EH414" s="277"/>
    </row>
    <row r="415" spans="3:138" hidden="1">
      <c r="C415" s="276"/>
      <c r="D415" s="276"/>
      <c r="E415" s="276"/>
      <c r="F415" s="276"/>
      <c r="G415" s="276"/>
      <c r="H415" s="276"/>
      <c r="I415" s="276"/>
      <c r="J415" s="276"/>
      <c r="K415" s="276"/>
      <c r="L415" s="277"/>
      <c r="M415" s="256"/>
      <c r="N415" s="256"/>
      <c r="O415" s="256"/>
      <c r="P415" s="256"/>
      <c r="Q415" s="278"/>
      <c r="R415" s="279"/>
      <c r="S415" s="279"/>
      <c r="T415" s="279"/>
      <c r="AB415" s="280"/>
      <c r="AC415" s="223"/>
      <c r="AD415" s="223"/>
      <c r="AE415" s="223"/>
      <c r="AF415" s="281"/>
      <c r="AG415" s="281"/>
      <c r="AH415" s="281"/>
      <c r="AI415" s="258"/>
      <c r="AJ415" s="258"/>
      <c r="AS415" s="282"/>
      <c r="AT415" s="283"/>
      <c r="AU415" s="282"/>
      <c r="AV415" s="284"/>
      <c r="AX415" s="285"/>
      <c r="AY415" s="285"/>
      <c r="BD415" s="1382" t="str">
        <f t="shared" si="18"/>
        <v/>
      </c>
      <c r="BE415" s="234"/>
      <c r="BF415" s="234"/>
      <c r="BG415" s="234"/>
      <c r="BH415" s="277"/>
      <c r="BK415" s="276"/>
      <c r="BL415" s="276"/>
      <c r="BM415" s="276"/>
      <c r="BN415" s="276"/>
      <c r="BO415" s="223"/>
      <c r="BP415" s="258"/>
      <c r="CC415" s="234"/>
      <c r="CG415" s="258"/>
      <c r="CH415" s="258"/>
      <c r="CI415" s="258"/>
      <c r="CJ415" s="256"/>
      <c r="CK415" s="258"/>
      <c r="CL415" s="258"/>
      <c r="CM415" s="258"/>
      <c r="CN415" s="258"/>
      <c r="CO415" s="258"/>
      <c r="CP415" s="258"/>
      <c r="CQ415" s="258"/>
      <c r="CR415" s="281"/>
      <c r="CS415" s="258"/>
      <c r="CT415" s="258"/>
      <c r="CU415" s="286"/>
      <c r="DH415" s="278"/>
      <c r="DJ415" s="270"/>
      <c r="DK415" s="1098"/>
      <c r="DL415" s="270"/>
      <c r="DM415" s="270"/>
      <c r="DN415" s="287"/>
      <c r="DO415" s="287"/>
      <c r="DP415" s="270"/>
      <c r="DQ415" s="270"/>
      <c r="DR415" s="270"/>
      <c r="DS415" s="270"/>
      <c r="DT415" s="270"/>
      <c r="DU415" s="1098"/>
      <c r="DV415" s="1098"/>
      <c r="DW415" s="1098"/>
      <c r="DX415" s="1098"/>
      <c r="DY415" s="1098"/>
      <c r="DZ415" s="1098"/>
      <c r="EA415" s="1098"/>
      <c r="EB415" s="1098"/>
      <c r="ED415" s="277"/>
      <c r="EE415" s="277"/>
      <c r="EF415" s="277"/>
      <c r="EH415" s="277"/>
    </row>
    <row r="416" spans="3:138" hidden="1">
      <c r="C416" s="276"/>
      <c r="D416" s="276"/>
      <c r="E416" s="276"/>
      <c r="F416" s="276"/>
      <c r="G416" s="276"/>
      <c r="H416" s="276"/>
      <c r="I416" s="276"/>
      <c r="J416" s="276"/>
      <c r="K416" s="276"/>
      <c r="L416" s="277"/>
      <c r="M416" s="256"/>
      <c r="N416" s="256"/>
      <c r="O416" s="256"/>
      <c r="P416" s="256"/>
      <c r="Q416" s="278"/>
      <c r="R416" s="279"/>
      <c r="S416" s="279"/>
      <c r="T416" s="279"/>
      <c r="AB416" s="280"/>
      <c r="AC416" s="223"/>
      <c r="AD416" s="223"/>
      <c r="AE416" s="223"/>
      <c r="AF416" s="281"/>
      <c r="AG416" s="281"/>
      <c r="AH416" s="281"/>
      <c r="AI416" s="258"/>
      <c r="AJ416" s="258"/>
      <c r="AS416" s="282"/>
      <c r="AT416" s="283"/>
      <c r="AU416" s="282"/>
      <c r="AV416" s="284"/>
      <c r="AX416" s="285"/>
      <c r="AY416" s="285"/>
      <c r="BD416" s="1382" t="str">
        <f t="shared" si="18"/>
        <v/>
      </c>
      <c r="BE416" s="234"/>
      <c r="BF416" s="234"/>
      <c r="BG416" s="234"/>
      <c r="BH416" s="277"/>
      <c r="BK416" s="276"/>
      <c r="BL416" s="276"/>
      <c r="BM416" s="276"/>
      <c r="BN416" s="276"/>
      <c r="BO416" s="223"/>
      <c r="BP416" s="258"/>
      <c r="CC416" s="234"/>
      <c r="CG416" s="258"/>
      <c r="CH416" s="258"/>
      <c r="CI416" s="258"/>
      <c r="CJ416" s="256"/>
      <c r="CK416" s="258"/>
      <c r="CL416" s="258"/>
      <c r="CM416" s="258"/>
      <c r="CN416" s="258"/>
      <c r="CO416" s="258"/>
      <c r="CP416" s="258"/>
      <c r="CQ416" s="258"/>
      <c r="CR416" s="281"/>
      <c r="CS416" s="258"/>
      <c r="CT416" s="258"/>
      <c r="CU416" s="286"/>
      <c r="DH416" s="278"/>
      <c r="DJ416" s="270"/>
      <c r="DK416" s="1098"/>
      <c r="DL416" s="270"/>
      <c r="DM416" s="270"/>
      <c r="DN416" s="287"/>
      <c r="DO416" s="287"/>
      <c r="DP416" s="270"/>
      <c r="DQ416" s="270"/>
      <c r="DR416" s="270"/>
      <c r="DS416" s="270"/>
      <c r="DT416" s="270"/>
      <c r="DU416" s="1098"/>
      <c r="DV416" s="1098"/>
      <c r="DW416" s="1098"/>
      <c r="DX416" s="1098"/>
      <c r="DY416" s="1098"/>
      <c r="DZ416" s="1098"/>
      <c r="EA416" s="1098"/>
      <c r="EB416" s="1098"/>
      <c r="ED416" s="277"/>
      <c r="EE416" s="277"/>
      <c r="EF416" s="277"/>
      <c r="EH416" s="277"/>
    </row>
    <row r="417" spans="3:138" hidden="1">
      <c r="C417" s="276"/>
      <c r="D417" s="276"/>
      <c r="E417" s="276"/>
      <c r="F417" s="276"/>
      <c r="G417" s="276"/>
      <c r="H417" s="276"/>
      <c r="I417" s="276"/>
      <c r="J417" s="276"/>
      <c r="K417" s="276"/>
      <c r="L417" s="277"/>
      <c r="M417" s="256"/>
      <c r="N417" s="256"/>
      <c r="O417" s="256"/>
      <c r="P417" s="256"/>
      <c r="Q417" s="278"/>
      <c r="R417" s="279"/>
      <c r="S417" s="279"/>
      <c r="T417" s="279"/>
      <c r="AB417" s="280"/>
      <c r="AC417" s="223"/>
      <c r="AD417" s="223"/>
      <c r="AE417" s="223"/>
      <c r="AF417" s="281"/>
      <c r="AG417" s="281"/>
      <c r="AH417" s="281"/>
      <c r="AI417" s="258"/>
      <c r="AJ417" s="258"/>
      <c r="AS417" s="282"/>
      <c r="AT417" s="283"/>
      <c r="AU417" s="282"/>
      <c r="AV417" s="284"/>
      <c r="AX417" s="285"/>
      <c r="AY417" s="285"/>
      <c r="BD417" s="1382" t="str">
        <f t="shared" si="18"/>
        <v/>
      </c>
      <c r="BE417" s="234"/>
      <c r="BF417" s="234"/>
      <c r="BG417" s="234"/>
      <c r="BH417" s="277"/>
      <c r="BK417" s="276"/>
      <c r="BL417" s="276"/>
      <c r="BM417" s="276"/>
      <c r="BN417" s="276"/>
      <c r="BO417" s="223"/>
      <c r="BP417" s="258"/>
      <c r="CC417" s="234"/>
      <c r="CG417" s="258"/>
      <c r="CH417" s="258"/>
      <c r="CI417" s="258"/>
      <c r="CJ417" s="256"/>
      <c r="CK417" s="258"/>
      <c r="CL417" s="258"/>
      <c r="CM417" s="258"/>
      <c r="CN417" s="258"/>
      <c r="CO417" s="258"/>
      <c r="CP417" s="258"/>
      <c r="CQ417" s="258"/>
      <c r="CR417" s="281"/>
      <c r="CS417" s="258"/>
      <c r="CT417" s="258"/>
      <c r="CU417" s="286"/>
      <c r="DH417" s="278"/>
      <c r="DJ417" s="270"/>
      <c r="DK417" s="1098"/>
      <c r="DL417" s="270"/>
      <c r="DM417" s="270"/>
      <c r="DN417" s="287"/>
      <c r="DO417" s="287"/>
      <c r="DP417" s="270"/>
      <c r="DQ417" s="270"/>
      <c r="DR417" s="270"/>
      <c r="DS417" s="270"/>
      <c r="DT417" s="270"/>
      <c r="DU417" s="1098"/>
      <c r="DV417" s="1098"/>
      <c r="DW417" s="1098"/>
      <c r="DX417" s="1098"/>
      <c r="DY417" s="1098"/>
      <c r="DZ417" s="1098"/>
      <c r="EA417" s="1098"/>
      <c r="EB417" s="1098"/>
      <c r="ED417" s="277"/>
      <c r="EE417" s="277"/>
      <c r="EF417" s="277"/>
      <c r="EH417" s="277"/>
    </row>
    <row r="418" spans="3:138" hidden="1">
      <c r="C418" s="276"/>
      <c r="D418" s="276"/>
      <c r="E418" s="276"/>
      <c r="F418" s="276"/>
      <c r="G418" s="276"/>
      <c r="H418" s="276"/>
      <c r="I418" s="276"/>
      <c r="J418" s="276"/>
      <c r="K418" s="276"/>
      <c r="L418" s="277"/>
      <c r="M418" s="256"/>
      <c r="N418" s="256"/>
      <c r="O418" s="256"/>
      <c r="P418" s="256"/>
      <c r="Q418" s="278"/>
      <c r="R418" s="279"/>
      <c r="S418" s="279"/>
      <c r="T418" s="279"/>
      <c r="AB418" s="280"/>
      <c r="AC418" s="223"/>
      <c r="AD418" s="223"/>
      <c r="AE418" s="223"/>
      <c r="AF418" s="281"/>
      <c r="AG418" s="281"/>
      <c r="AH418" s="281"/>
      <c r="AI418" s="258"/>
      <c r="AJ418" s="258"/>
      <c r="AS418" s="282"/>
      <c r="AT418" s="283"/>
      <c r="AU418" s="282"/>
      <c r="AV418" s="284"/>
      <c r="AX418" s="285"/>
      <c r="AY418" s="285"/>
      <c r="BD418" s="1382" t="str">
        <f t="shared" si="18"/>
        <v/>
      </c>
      <c r="BE418" s="234"/>
      <c r="BF418" s="234"/>
      <c r="BG418" s="234"/>
      <c r="BH418" s="277"/>
      <c r="BK418" s="276"/>
      <c r="BL418" s="276"/>
      <c r="BM418" s="276"/>
      <c r="BN418" s="276"/>
      <c r="BO418" s="223"/>
      <c r="BP418" s="258"/>
      <c r="CC418" s="234"/>
      <c r="CG418" s="258"/>
      <c r="CH418" s="258"/>
      <c r="CI418" s="258"/>
      <c r="CJ418" s="256"/>
      <c r="CK418" s="258"/>
      <c r="CL418" s="258"/>
      <c r="CM418" s="258"/>
      <c r="CN418" s="258"/>
      <c r="CO418" s="258"/>
      <c r="CP418" s="258"/>
      <c r="CQ418" s="258"/>
      <c r="CR418" s="281"/>
      <c r="CS418" s="258"/>
      <c r="CT418" s="258"/>
      <c r="CU418" s="286"/>
      <c r="DH418" s="278"/>
      <c r="DJ418" s="270"/>
      <c r="DK418" s="1098"/>
      <c r="DL418" s="270"/>
      <c r="DM418" s="270"/>
      <c r="DN418" s="287"/>
      <c r="DO418" s="287"/>
      <c r="DP418" s="270"/>
      <c r="DQ418" s="270"/>
      <c r="DR418" s="270"/>
      <c r="DS418" s="270"/>
      <c r="DT418" s="270"/>
      <c r="DU418" s="1098"/>
      <c r="DV418" s="1098"/>
      <c r="DW418" s="1098"/>
      <c r="DX418" s="1098"/>
      <c r="DY418" s="1098"/>
      <c r="DZ418" s="1098"/>
      <c r="EA418" s="1098"/>
      <c r="EB418" s="1098"/>
      <c r="ED418" s="277"/>
      <c r="EE418" s="277"/>
      <c r="EF418" s="277"/>
      <c r="EH418" s="277"/>
    </row>
    <row r="419" spans="3:138" hidden="1">
      <c r="C419" s="276"/>
      <c r="D419" s="276"/>
      <c r="E419" s="276"/>
      <c r="F419" s="276"/>
      <c r="G419" s="276"/>
      <c r="H419" s="276"/>
      <c r="I419" s="276"/>
      <c r="J419" s="276"/>
      <c r="K419" s="276"/>
      <c r="L419" s="277"/>
      <c r="M419" s="256"/>
      <c r="N419" s="256"/>
      <c r="O419" s="256"/>
      <c r="P419" s="256"/>
      <c r="Q419" s="278"/>
      <c r="R419" s="279"/>
      <c r="S419" s="279"/>
      <c r="T419" s="279"/>
      <c r="AB419" s="280"/>
      <c r="AC419" s="223"/>
      <c r="AD419" s="223"/>
      <c r="AE419" s="223"/>
      <c r="AF419" s="281"/>
      <c r="AG419" s="281"/>
      <c r="AH419" s="281"/>
      <c r="AI419" s="258"/>
      <c r="AJ419" s="258"/>
      <c r="AS419" s="282"/>
      <c r="AT419" s="283"/>
      <c r="AU419" s="282"/>
      <c r="AV419" s="284"/>
      <c r="AX419" s="285"/>
      <c r="AY419" s="285"/>
      <c r="BD419" s="1382" t="str">
        <f t="shared" si="18"/>
        <v/>
      </c>
      <c r="BE419" s="234"/>
      <c r="BF419" s="234"/>
      <c r="BG419" s="234"/>
      <c r="BH419" s="277"/>
      <c r="BK419" s="276"/>
      <c r="BL419" s="276"/>
      <c r="BM419" s="276"/>
      <c r="BN419" s="276"/>
      <c r="BO419" s="223"/>
      <c r="BP419" s="258"/>
      <c r="CC419" s="234"/>
      <c r="CG419" s="258"/>
      <c r="CH419" s="258"/>
      <c r="CI419" s="258"/>
      <c r="CJ419" s="256"/>
      <c r="CK419" s="258"/>
      <c r="CL419" s="258"/>
      <c r="CM419" s="258"/>
      <c r="CN419" s="258"/>
      <c r="CO419" s="258"/>
      <c r="CP419" s="258"/>
      <c r="CQ419" s="258"/>
      <c r="CR419" s="281"/>
      <c r="CS419" s="258"/>
      <c r="CT419" s="258"/>
      <c r="CU419" s="286"/>
      <c r="DH419" s="278"/>
      <c r="DJ419" s="270"/>
      <c r="DK419" s="1098"/>
      <c r="DL419" s="270"/>
      <c r="DM419" s="270"/>
      <c r="DN419" s="287"/>
      <c r="DO419" s="287"/>
      <c r="DP419" s="270"/>
      <c r="DQ419" s="270"/>
      <c r="DR419" s="270"/>
      <c r="DS419" s="270"/>
      <c r="DT419" s="270"/>
      <c r="DU419" s="1098"/>
      <c r="DV419" s="1098"/>
      <c r="DW419" s="1098"/>
      <c r="DX419" s="1098"/>
      <c r="DY419" s="1098"/>
      <c r="DZ419" s="1098"/>
      <c r="EA419" s="1098"/>
      <c r="EB419" s="1098"/>
      <c r="ED419" s="277"/>
      <c r="EE419" s="277"/>
      <c r="EF419" s="277"/>
      <c r="EH419" s="277"/>
    </row>
    <row r="420" spans="3:138" hidden="1">
      <c r="C420" s="276"/>
      <c r="D420" s="276"/>
      <c r="E420" s="276"/>
      <c r="F420" s="276"/>
      <c r="G420" s="276"/>
      <c r="H420" s="276"/>
      <c r="I420" s="276"/>
      <c r="J420" s="276"/>
      <c r="K420" s="276"/>
      <c r="L420" s="277"/>
      <c r="M420" s="256"/>
      <c r="N420" s="256"/>
      <c r="O420" s="256"/>
      <c r="P420" s="256"/>
      <c r="Q420" s="278"/>
      <c r="R420" s="279"/>
      <c r="S420" s="279"/>
      <c r="T420" s="279"/>
      <c r="AB420" s="280"/>
      <c r="AC420" s="223"/>
      <c r="AD420" s="223"/>
      <c r="AE420" s="223"/>
      <c r="AF420" s="281"/>
      <c r="AG420" s="281"/>
      <c r="AH420" s="281"/>
      <c r="AI420" s="258"/>
      <c r="AJ420" s="258"/>
      <c r="AS420" s="282"/>
      <c r="AT420" s="283"/>
      <c r="AU420" s="282"/>
      <c r="AV420" s="284"/>
      <c r="AX420" s="285"/>
      <c r="AY420" s="285"/>
      <c r="BD420" s="1382" t="str">
        <f t="shared" si="18"/>
        <v/>
      </c>
      <c r="BE420" s="234"/>
      <c r="BF420" s="234"/>
      <c r="BG420" s="234"/>
      <c r="BH420" s="277"/>
      <c r="BK420" s="276"/>
      <c r="BL420" s="276"/>
      <c r="BM420" s="276"/>
      <c r="BN420" s="276"/>
      <c r="BO420" s="223"/>
      <c r="BP420" s="258"/>
      <c r="CC420" s="234"/>
      <c r="CG420" s="258"/>
      <c r="CH420" s="258"/>
      <c r="CI420" s="258"/>
      <c r="CJ420" s="256"/>
      <c r="CK420" s="258"/>
      <c r="CL420" s="258"/>
      <c r="CM420" s="258"/>
      <c r="CN420" s="258"/>
      <c r="CO420" s="258"/>
      <c r="CP420" s="258"/>
      <c r="CQ420" s="258"/>
      <c r="CR420" s="281"/>
      <c r="CS420" s="258"/>
      <c r="CT420" s="258"/>
      <c r="CU420" s="286"/>
      <c r="DH420" s="278"/>
      <c r="DJ420" s="270"/>
      <c r="DK420" s="1098"/>
      <c r="DL420" s="270"/>
      <c r="DM420" s="270"/>
      <c r="DN420" s="287"/>
      <c r="DO420" s="287"/>
      <c r="DP420" s="270"/>
      <c r="DQ420" s="270"/>
      <c r="DR420" s="270"/>
      <c r="DS420" s="270"/>
      <c r="DT420" s="270"/>
      <c r="DU420" s="1098"/>
      <c r="DV420" s="1098"/>
      <c r="DW420" s="1098"/>
      <c r="DX420" s="1098"/>
      <c r="DY420" s="1098"/>
      <c r="DZ420" s="1098"/>
      <c r="EA420" s="1098"/>
      <c r="EB420" s="1098"/>
      <c r="ED420" s="277"/>
      <c r="EE420" s="277"/>
      <c r="EF420" s="277"/>
      <c r="EH420" s="277"/>
    </row>
    <row r="421" spans="3:138" hidden="1">
      <c r="C421" s="276"/>
      <c r="D421" s="276"/>
      <c r="E421" s="276"/>
      <c r="F421" s="276"/>
      <c r="G421" s="276"/>
      <c r="H421" s="276"/>
      <c r="I421" s="276"/>
      <c r="J421" s="276"/>
      <c r="K421" s="276"/>
      <c r="L421" s="277"/>
      <c r="M421" s="256"/>
      <c r="N421" s="256"/>
      <c r="O421" s="256"/>
      <c r="P421" s="256"/>
      <c r="Q421" s="278"/>
      <c r="R421" s="279"/>
      <c r="S421" s="279"/>
      <c r="T421" s="279"/>
      <c r="AB421" s="280"/>
      <c r="AC421" s="223"/>
      <c r="AD421" s="223"/>
      <c r="AE421" s="223"/>
      <c r="AF421" s="281"/>
      <c r="AG421" s="281"/>
      <c r="AH421" s="281"/>
      <c r="AI421" s="258"/>
      <c r="AJ421" s="258"/>
      <c r="AS421" s="282"/>
      <c r="AT421" s="283"/>
      <c r="AU421" s="282"/>
      <c r="AV421" s="284"/>
      <c r="AX421" s="285"/>
      <c r="AY421" s="285"/>
      <c r="BD421" s="1382" t="str">
        <f t="shared" si="18"/>
        <v/>
      </c>
      <c r="BE421" s="234"/>
      <c r="BF421" s="234"/>
      <c r="BG421" s="234"/>
      <c r="BH421" s="277"/>
      <c r="BK421" s="276"/>
      <c r="BL421" s="276"/>
      <c r="BM421" s="276"/>
      <c r="BN421" s="276"/>
      <c r="BO421" s="223"/>
      <c r="BP421" s="258"/>
      <c r="CC421" s="234"/>
      <c r="CG421" s="258"/>
      <c r="CH421" s="258"/>
      <c r="CI421" s="258"/>
      <c r="CJ421" s="256"/>
      <c r="CK421" s="258"/>
      <c r="CL421" s="258"/>
      <c r="CM421" s="258"/>
      <c r="CN421" s="258"/>
      <c r="CO421" s="258"/>
      <c r="CP421" s="258"/>
      <c r="CQ421" s="258"/>
      <c r="CR421" s="281"/>
      <c r="CS421" s="258"/>
      <c r="CT421" s="258"/>
      <c r="CU421" s="286"/>
      <c r="DH421" s="278"/>
      <c r="DJ421" s="270"/>
      <c r="DK421" s="1098"/>
      <c r="DL421" s="270"/>
      <c r="DM421" s="270"/>
      <c r="DN421" s="287"/>
      <c r="DO421" s="287"/>
      <c r="DP421" s="270"/>
      <c r="DQ421" s="270"/>
      <c r="DR421" s="270"/>
      <c r="DS421" s="270"/>
      <c r="DT421" s="270"/>
      <c r="DU421" s="1098"/>
      <c r="DV421" s="1098"/>
      <c r="DW421" s="1098"/>
      <c r="DX421" s="1098"/>
      <c r="DY421" s="1098"/>
      <c r="DZ421" s="1098"/>
      <c r="EA421" s="1098"/>
      <c r="EB421" s="1098"/>
      <c r="ED421" s="277"/>
      <c r="EE421" s="277"/>
      <c r="EF421" s="277"/>
      <c r="EH421" s="277"/>
    </row>
    <row r="422" spans="3:138" hidden="1">
      <c r="C422" s="276"/>
      <c r="D422" s="276"/>
      <c r="E422" s="276"/>
      <c r="F422" s="276"/>
      <c r="G422" s="276"/>
      <c r="H422" s="276"/>
      <c r="I422" s="276"/>
      <c r="J422" s="276"/>
      <c r="K422" s="276"/>
      <c r="L422" s="277"/>
      <c r="M422" s="256"/>
      <c r="N422" s="256"/>
      <c r="O422" s="256"/>
      <c r="P422" s="256"/>
      <c r="Q422" s="278"/>
      <c r="R422" s="279"/>
      <c r="S422" s="279"/>
      <c r="T422" s="279"/>
      <c r="AB422" s="280"/>
      <c r="AC422" s="223"/>
      <c r="AD422" s="223"/>
      <c r="AE422" s="223"/>
      <c r="AF422" s="281"/>
      <c r="AG422" s="281"/>
      <c r="AH422" s="281"/>
      <c r="AI422" s="258"/>
      <c r="AJ422" s="258"/>
      <c r="AS422" s="282"/>
      <c r="AT422" s="283"/>
      <c r="AU422" s="282"/>
      <c r="AV422" s="284"/>
      <c r="AX422" s="285"/>
      <c r="AY422" s="285"/>
      <c r="BD422" s="1382" t="str">
        <f t="shared" si="18"/>
        <v/>
      </c>
      <c r="BE422" s="234"/>
      <c r="BF422" s="234"/>
      <c r="BG422" s="234"/>
      <c r="BH422" s="277"/>
      <c r="BK422" s="276"/>
      <c r="BL422" s="276"/>
      <c r="BM422" s="276"/>
      <c r="BN422" s="276"/>
      <c r="BO422" s="223"/>
      <c r="BP422" s="258"/>
      <c r="CC422" s="234"/>
      <c r="CG422" s="258"/>
      <c r="CH422" s="258"/>
      <c r="CI422" s="258"/>
      <c r="CJ422" s="256"/>
      <c r="CK422" s="258"/>
      <c r="CL422" s="258"/>
      <c r="CM422" s="258"/>
      <c r="CN422" s="258"/>
      <c r="CO422" s="258"/>
      <c r="CP422" s="258"/>
      <c r="CQ422" s="258"/>
      <c r="CR422" s="281"/>
      <c r="CS422" s="258"/>
      <c r="CT422" s="258"/>
      <c r="CU422" s="286"/>
      <c r="DH422" s="278"/>
      <c r="DJ422" s="270"/>
      <c r="DK422" s="1098"/>
      <c r="DL422" s="270"/>
      <c r="DM422" s="270"/>
      <c r="DN422" s="287"/>
      <c r="DO422" s="287"/>
      <c r="DP422" s="270"/>
      <c r="DQ422" s="270"/>
      <c r="DR422" s="270"/>
      <c r="DS422" s="270"/>
      <c r="DT422" s="270"/>
      <c r="DU422" s="1098"/>
      <c r="DV422" s="1098"/>
      <c r="DW422" s="1098"/>
      <c r="DX422" s="1098"/>
      <c r="DY422" s="1098"/>
      <c r="DZ422" s="1098"/>
      <c r="EA422" s="1098"/>
      <c r="EB422" s="1098"/>
      <c r="ED422" s="277"/>
      <c r="EE422" s="277"/>
      <c r="EF422" s="277"/>
      <c r="EH422" s="277"/>
    </row>
    <row r="423" spans="3:138" hidden="1">
      <c r="C423" s="276"/>
      <c r="D423" s="276"/>
      <c r="E423" s="276"/>
      <c r="F423" s="276"/>
      <c r="G423" s="276"/>
      <c r="H423" s="276"/>
      <c r="I423" s="276"/>
      <c r="J423" s="276"/>
      <c r="K423" s="276"/>
      <c r="L423" s="277"/>
      <c r="M423" s="256"/>
      <c r="N423" s="256"/>
      <c r="O423" s="256"/>
      <c r="P423" s="256"/>
      <c r="Q423" s="278"/>
      <c r="R423" s="279"/>
      <c r="S423" s="279"/>
      <c r="T423" s="279"/>
      <c r="AB423" s="280"/>
      <c r="AC423" s="223"/>
      <c r="AD423" s="223"/>
      <c r="AE423" s="223"/>
      <c r="AF423" s="281"/>
      <c r="AG423" s="281"/>
      <c r="AH423" s="281"/>
      <c r="AI423" s="258"/>
      <c r="AJ423" s="258"/>
      <c r="AS423" s="282"/>
      <c r="AT423" s="283"/>
      <c r="AU423" s="282"/>
      <c r="AV423" s="284"/>
      <c r="AX423" s="285"/>
      <c r="AY423" s="285"/>
      <c r="BD423" s="1382" t="str">
        <f t="shared" ref="BD423:BD454" si="19">IF(B423="S",(IF(O423=1.2,IF((H423-J423)&lt;=1.2,H423-J423,H423-J423-0.95))),"")</f>
        <v/>
      </c>
      <c r="BE423" s="234"/>
      <c r="BF423" s="234"/>
      <c r="BG423" s="234"/>
      <c r="BH423" s="277"/>
      <c r="BK423" s="276"/>
      <c r="BL423" s="276"/>
      <c r="BM423" s="276"/>
      <c r="BN423" s="276"/>
      <c r="BO423" s="223"/>
      <c r="BP423" s="258"/>
      <c r="CC423" s="234"/>
      <c r="CG423" s="258"/>
      <c r="CH423" s="258"/>
      <c r="CI423" s="258"/>
      <c r="CJ423" s="256"/>
      <c r="CK423" s="258"/>
      <c r="CL423" s="258"/>
      <c r="CM423" s="258"/>
      <c r="CN423" s="258"/>
      <c r="CO423" s="258"/>
      <c r="CP423" s="258"/>
      <c r="CQ423" s="258"/>
      <c r="CR423" s="281"/>
      <c r="CS423" s="258"/>
      <c r="CT423" s="258"/>
      <c r="CU423" s="286"/>
      <c r="DH423" s="278"/>
      <c r="DJ423" s="270"/>
      <c r="DK423" s="1098"/>
      <c r="DL423" s="270"/>
      <c r="DM423" s="270"/>
      <c r="DN423" s="287"/>
      <c r="DO423" s="287"/>
      <c r="DP423" s="270"/>
      <c r="DQ423" s="270"/>
      <c r="DR423" s="270"/>
      <c r="DS423" s="270"/>
      <c r="DT423" s="270"/>
      <c r="DU423" s="1098"/>
      <c r="DV423" s="1098"/>
      <c r="DW423" s="1098"/>
      <c r="DX423" s="1098"/>
      <c r="DY423" s="1098"/>
      <c r="DZ423" s="1098"/>
      <c r="EA423" s="1098"/>
      <c r="EB423" s="1098"/>
      <c r="ED423" s="277"/>
      <c r="EE423" s="277"/>
      <c r="EF423" s="277"/>
      <c r="EH423" s="277"/>
    </row>
    <row r="424" spans="3:138" hidden="1">
      <c r="C424" s="276"/>
      <c r="D424" s="276"/>
      <c r="E424" s="276"/>
      <c r="F424" s="276"/>
      <c r="G424" s="276"/>
      <c r="H424" s="276"/>
      <c r="I424" s="276"/>
      <c r="J424" s="276"/>
      <c r="K424" s="276"/>
      <c r="L424" s="277"/>
      <c r="M424" s="256"/>
      <c r="N424" s="256"/>
      <c r="O424" s="256"/>
      <c r="P424" s="256"/>
      <c r="Q424" s="278"/>
      <c r="R424" s="279"/>
      <c r="S424" s="279"/>
      <c r="T424" s="279"/>
      <c r="AB424" s="280"/>
      <c r="AC424" s="223"/>
      <c r="AD424" s="223"/>
      <c r="AE424" s="223"/>
      <c r="AF424" s="281"/>
      <c r="AG424" s="281"/>
      <c r="AH424" s="281"/>
      <c r="AI424" s="258"/>
      <c r="AJ424" s="258"/>
      <c r="AS424" s="282"/>
      <c r="AT424" s="283"/>
      <c r="AU424" s="282"/>
      <c r="AV424" s="284"/>
      <c r="AX424" s="285"/>
      <c r="AY424" s="285"/>
      <c r="BD424" s="1382" t="str">
        <f t="shared" si="19"/>
        <v/>
      </c>
      <c r="BE424" s="234"/>
      <c r="BF424" s="234"/>
      <c r="BG424" s="234"/>
      <c r="BH424" s="277"/>
      <c r="BK424" s="276"/>
      <c r="BL424" s="276"/>
      <c r="BM424" s="276"/>
      <c r="BN424" s="276"/>
      <c r="BO424" s="223"/>
      <c r="BP424" s="258"/>
      <c r="CC424" s="234"/>
      <c r="CG424" s="258"/>
      <c r="CH424" s="258"/>
      <c r="CI424" s="258"/>
      <c r="CJ424" s="256"/>
      <c r="CK424" s="258"/>
      <c r="CL424" s="258"/>
      <c r="CM424" s="258"/>
      <c r="CN424" s="258"/>
      <c r="CO424" s="258"/>
      <c r="CP424" s="258"/>
      <c r="CQ424" s="258"/>
      <c r="CR424" s="281"/>
      <c r="CS424" s="258"/>
      <c r="CT424" s="258"/>
      <c r="CU424" s="286"/>
      <c r="DH424" s="278"/>
      <c r="DJ424" s="270"/>
      <c r="DK424" s="1098"/>
      <c r="DL424" s="270"/>
      <c r="DM424" s="270"/>
      <c r="DN424" s="287"/>
      <c r="DO424" s="287"/>
      <c r="DP424" s="270"/>
      <c r="DQ424" s="270"/>
      <c r="DR424" s="270"/>
      <c r="DS424" s="270"/>
      <c r="DT424" s="270"/>
      <c r="DU424" s="1098"/>
      <c r="DV424" s="1098"/>
      <c r="DW424" s="1098"/>
      <c r="DX424" s="1098"/>
      <c r="DY424" s="1098"/>
      <c r="DZ424" s="1098"/>
      <c r="EA424" s="1098"/>
      <c r="EB424" s="1098"/>
      <c r="ED424" s="277"/>
      <c r="EE424" s="277"/>
      <c r="EF424" s="277"/>
      <c r="EH424" s="277"/>
    </row>
    <row r="425" spans="3:138" hidden="1">
      <c r="C425" s="276"/>
      <c r="D425" s="276"/>
      <c r="E425" s="276"/>
      <c r="F425" s="276"/>
      <c r="G425" s="276"/>
      <c r="H425" s="276"/>
      <c r="I425" s="276"/>
      <c r="J425" s="276"/>
      <c r="K425" s="276"/>
      <c r="L425" s="277"/>
      <c r="M425" s="256"/>
      <c r="N425" s="256"/>
      <c r="O425" s="256"/>
      <c r="P425" s="256"/>
      <c r="Q425" s="278"/>
      <c r="R425" s="279"/>
      <c r="S425" s="279"/>
      <c r="T425" s="279"/>
      <c r="AB425" s="280"/>
      <c r="AC425" s="223"/>
      <c r="AD425" s="223"/>
      <c r="AE425" s="223"/>
      <c r="AF425" s="281"/>
      <c r="AG425" s="281"/>
      <c r="AH425" s="281"/>
      <c r="AI425" s="258"/>
      <c r="AJ425" s="258"/>
      <c r="AS425" s="282"/>
      <c r="AT425" s="283"/>
      <c r="AU425" s="282"/>
      <c r="AV425" s="284"/>
      <c r="AX425" s="285"/>
      <c r="AY425" s="285"/>
      <c r="BD425" s="1382" t="str">
        <f t="shared" si="19"/>
        <v/>
      </c>
      <c r="BE425" s="234"/>
      <c r="BF425" s="234"/>
      <c r="BG425" s="234"/>
      <c r="BH425" s="277"/>
      <c r="BK425" s="276"/>
      <c r="BL425" s="276"/>
      <c r="BM425" s="276"/>
      <c r="BN425" s="276"/>
      <c r="BO425" s="223"/>
      <c r="BP425" s="258"/>
      <c r="CC425" s="234"/>
      <c r="CG425" s="258"/>
      <c r="CH425" s="258"/>
      <c r="CI425" s="258"/>
      <c r="CJ425" s="256"/>
      <c r="CK425" s="258"/>
      <c r="CL425" s="258"/>
      <c r="CM425" s="258"/>
      <c r="CN425" s="258"/>
      <c r="CO425" s="258"/>
      <c r="CP425" s="258"/>
      <c r="CQ425" s="258"/>
      <c r="CR425" s="281"/>
      <c r="CS425" s="258"/>
      <c r="CT425" s="258"/>
      <c r="CU425" s="286"/>
      <c r="DH425" s="278"/>
      <c r="DJ425" s="270"/>
      <c r="DK425" s="1098"/>
      <c r="DL425" s="270"/>
      <c r="DM425" s="270"/>
      <c r="DN425" s="287"/>
      <c r="DO425" s="287"/>
      <c r="DP425" s="270"/>
      <c r="DQ425" s="270"/>
      <c r="DR425" s="270"/>
      <c r="DS425" s="270"/>
      <c r="DT425" s="270"/>
      <c r="DU425" s="1098"/>
      <c r="DV425" s="1098"/>
      <c r="DW425" s="1098"/>
      <c r="DX425" s="1098"/>
      <c r="DY425" s="1098"/>
      <c r="DZ425" s="1098"/>
      <c r="EA425" s="1098"/>
      <c r="EB425" s="1098"/>
      <c r="ED425" s="277"/>
      <c r="EE425" s="277"/>
      <c r="EF425" s="277"/>
      <c r="EH425" s="277"/>
    </row>
    <row r="426" spans="3:138" hidden="1">
      <c r="C426" s="276"/>
      <c r="D426" s="276"/>
      <c r="E426" s="276"/>
      <c r="F426" s="276"/>
      <c r="G426" s="276"/>
      <c r="H426" s="276"/>
      <c r="I426" s="276"/>
      <c r="J426" s="276"/>
      <c r="K426" s="276"/>
      <c r="L426" s="277"/>
      <c r="M426" s="256"/>
      <c r="N426" s="256"/>
      <c r="O426" s="256"/>
      <c r="P426" s="256"/>
      <c r="Q426" s="278"/>
      <c r="R426" s="279"/>
      <c r="S426" s="279"/>
      <c r="T426" s="279"/>
      <c r="AB426" s="280"/>
      <c r="AC426" s="223"/>
      <c r="AD426" s="223"/>
      <c r="AE426" s="223"/>
      <c r="AF426" s="281"/>
      <c r="AG426" s="281"/>
      <c r="AH426" s="281"/>
      <c r="AI426" s="258"/>
      <c r="AJ426" s="258"/>
      <c r="AS426" s="282"/>
      <c r="AT426" s="283"/>
      <c r="AU426" s="282"/>
      <c r="AV426" s="284"/>
      <c r="AX426" s="285"/>
      <c r="AY426" s="285"/>
      <c r="BD426" s="1382" t="str">
        <f t="shared" si="19"/>
        <v/>
      </c>
      <c r="BE426" s="234"/>
      <c r="BF426" s="234"/>
      <c r="BG426" s="234"/>
      <c r="BH426" s="277"/>
      <c r="BK426" s="276"/>
      <c r="BL426" s="276"/>
      <c r="BM426" s="276"/>
      <c r="BN426" s="276"/>
      <c r="BO426" s="223"/>
      <c r="BP426" s="258"/>
      <c r="CC426" s="234"/>
      <c r="CG426" s="258"/>
      <c r="CH426" s="258"/>
      <c r="CI426" s="258"/>
      <c r="CJ426" s="256"/>
      <c r="CK426" s="258"/>
      <c r="CL426" s="258"/>
      <c r="CM426" s="258"/>
      <c r="CN426" s="258"/>
      <c r="CO426" s="258"/>
      <c r="CP426" s="258"/>
      <c r="CQ426" s="258"/>
      <c r="CR426" s="281"/>
      <c r="CS426" s="258"/>
      <c r="CT426" s="258"/>
      <c r="CU426" s="286"/>
      <c r="DH426" s="278"/>
      <c r="DJ426" s="270"/>
      <c r="DK426" s="1098"/>
      <c r="DL426" s="270"/>
      <c r="DM426" s="270"/>
      <c r="DN426" s="287"/>
      <c r="DO426" s="287"/>
      <c r="DP426" s="270"/>
      <c r="DQ426" s="270"/>
      <c r="DR426" s="270"/>
      <c r="DS426" s="270"/>
      <c r="DT426" s="270"/>
      <c r="DU426" s="1098"/>
      <c r="DV426" s="1098"/>
      <c r="DW426" s="1098"/>
      <c r="DX426" s="1098"/>
      <c r="DY426" s="1098"/>
      <c r="DZ426" s="1098"/>
      <c r="EA426" s="1098"/>
      <c r="EB426" s="1098"/>
      <c r="ED426" s="277"/>
      <c r="EE426" s="277"/>
      <c r="EF426" s="277"/>
      <c r="EH426" s="277"/>
    </row>
    <row r="427" spans="3:138" hidden="1">
      <c r="C427" s="276"/>
      <c r="D427" s="276"/>
      <c r="E427" s="276"/>
      <c r="F427" s="276"/>
      <c r="G427" s="276"/>
      <c r="H427" s="276"/>
      <c r="I427" s="276"/>
      <c r="J427" s="276"/>
      <c r="K427" s="276"/>
      <c r="L427" s="277"/>
      <c r="M427" s="256"/>
      <c r="N427" s="256"/>
      <c r="O427" s="256"/>
      <c r="P427" s="256"/>
      <c r="Q427" s="278"/>
      <c r="R427" s="279"/>
      <c r="S427" s="279"/>
      <c r="T427" s="279"/>
      <c r="AB427" s="280"/>
      <c r="AC427" s="223"/>
      <c r="AD427" s="223"/>
      <c r="AE427" s="223"/>
      <c r="AF427" s="281"/>
      <c r="AG427" s="281"/>
      <c r="AH427" s="281"/>
      <c r="AI427" s="258"/>
      <c r="AJ427" s="258"/>
      <c r="AS427" s="282"/>
      <c r="AT427" s="283"/>
      <c r="AU427" s="282"/>
      <c r="AV427" s="284"/>
      <c r="AX427" s="285"/>
      <c r="AY427" s="285"/>
      <c r="BD427" s="1382" t="str">
        <f t="shared" si="19"/>
        <v/>
      </c>
      <c r="BE427" s="234"/>
      <c r="BF427" s="234"/>
      <c r="BG427" s="234"/>
      <c r="BH427" s="277"/>
      <c r="BK427" s="276"/>
      <c r="BL427" s="276"/>
      <c r="BM427" s="276"/>
      <c r="BN427" s="276"/>
      <c r="BO427" s="223"/>
      <c r="BP427" s="258"/>
      <c r="CC427" s="234"/>
      <c r="CG427" s="258"/>
      <c r="CH427" s="258"/>
      <c r="CI427" s="258"/>
      <c r="CJ427" s="256"/>
      <c r="CK427" s="258"/>
      <c r="CL427" s="258"/>
      <c r="CM427" s="258"/>
      <c r="CN427" s="258"/>
      <c r="CO427" s="258"/>
      <c r="CP427" s="258"/>
      <c r="CQ427" s="258"/>
      <c r="CR427" s="281"/>
      <c r="CS427" s="258"/>
      <c r="CT427" s="258"/>
      <c r="CU427" s="286"/>
      <c r="DH427" s="278"/>
      <c r="DJ427" s="270"/>
      <c r="DK427" s="1098"/>
      <c r="DL427" s="270"/>
      <c r="DM427" s="270"/>
      <c r="DN427" s="287"/>
      <c r="DO427" s="287"/>
      <c r="DP427" s="270"/>
      <c r="DQ427" s="270"/>
      <c r="DR427" s="270"/>
      <c r="DS427" s="270"/>
      <c r="DT427" s="270"/>
      <c r="DU427" s="1098"/>
      <c r="DV427" s="1098"/>
      <c r="DW427" s="1098"/>
      <c r="DX427" s="1098"/>
      <c r="DY427" s="1098"/>
      <c r="DZ427" s="1098"/>
      <c r="EA427" s="1098"/>
      <c r="EB427" s="1098"/>
      <c r="ED427" s="277"/>
      <c r="EE427" s="277"/>
      <c r="EF427" s="277"/>
      <c r="EH427" s="277"/>
    </row>
    <row r="428" spans="3:138" hidden="1">
      <c r="C428" s="276"/>
      <c r="D428" s="276"/>
      <c r="E428" s="276"/>
      <c r="F428" s="276"/>
      <c r="G428" s="276"/>
      <c r="H428" s="276"/>
      <c r="I428" s="276"/>
      <c r="J428" s="276"/>
      <c r="K428" s="276"/>
      <c r="L428" s="277"/>
      <c r="M428" s="256"/>
      <c r="N428" s="256"/>
      <c r="O428" s="256"/>
      <c r="P428" s="256"/>
      <c r="Q428" s="278"/>
      <c r="R428" s="279"/>
      <c r="S428" s="279"/>
      <c r="T428" s="279"/>
      <c r="AB428" s="280"/>
      <c r="AC428" s="223"/>
      <c r="AD428" s="223"/>
      <c r="AE428" s="223"/>
      <c r="AF428" s="281"/>
      <c r="AG428" s="281"/>
      <c r="AH428" s="281"/>
      <c r="AI428" s="258"/>
      <c r="AJ428" s="258"/>
      <c r="AS428" s="282"/>
      <c r="AT428" s="283"/>
      <c r="AU428" s="282"/>
      <c r="AV428" s="284"/>
      <c r="AX428" s="285"/>
      <c r="AY428" s="285"/>
      <c r="BD428" s="1382" t="str">
        <f t="shared" si="19"/>
        <v/>
      </c>
      <c r="BE428" s="234"/>
      <c r="BF428" s="234"/>
      <c r="BG428" s="234"/>
      <c r="BH428" s="277"/>
      <c r="BK428" s="276"/>
      <c r="BL428" s="276"/>
      <c r="BM428" s="276"/>
      <c r="BN428" s="276"/>
      <c r="BO428" s="223"/>
      <c r="BP428" s="258"/>
      <c r="CC428" s="234"/>
      <c r="CG428" s="258"/>
      <c r="CH428" s="258"/>
      <c r="CI428" s="258"/>
      <c r="CJ428" s="256"/>
      <c r="CK428" s="258"/>
      <c r="CL428" s="258"/>
      <c r="CM428" s="258"/>
      <c r="CN428" s="258"/>
      <c r="CO428" s="258"/>
      <c r="CP428" s="258"/>
      <c r="CQ428" s="258"/>
      <c r="CR428" s="281"/>
      <c r="CS428" s="258"/>
      <c r="CT428" s="258"/>
      <c r="CU428" s="286"/>
      <c r="DH428" s="278"/>
      <c r="DJ428" s="270"/>
      <c r="DK428" s="1098"/>
      <c r="DL428" s="270"/>
      <c r="DM428" s="270"/>
      <c r="DN428" s="287"/>
      <c r="DO428" s="287"/>
      <c r="DP428" s="270"/>
      <c r="DQ428" s="270"/>
      <c r="DR428" s="270"/>
      <c r="DS428" s="270"/>
      <c r="DT428" s="270"/>
      <c r="DU428" s="1098"/>
      <c r="DV428" s="1098"/>
      <c r="DW428" s="1098"/>
      <c r="DX428" s="1098"/>
      <c r="DY428" s="1098"/>
      <c r="DZ428" s="1098"/>
      <c r="EA428" s="1098"/>
      <c r="EB428" s="1098"/>
      <c r="ED428" s="277"/>
      <c r="EE428" s="277"/>
      <c r="EF428" s="277"/>
      <c r="EH428" s="277"/>
    </row>
    <row r="429" spans="3:138" hidden="1">
      <c r="C429" s="276"/>
      <c r="D429" s="276"/>
      <c r="E429" s="276"/>
      <c r="F429" s="276"/>
      <c r="G429" s="276"/>
      <c r="H429" s="276"/>
      <c r="I429" s="276"/>
      <c r="J429" s="276"/>
      <c r="K429" s="276"/>
      <c r="L429" s="277"/>
      <c r="M429" s="256"/>
      <c r="N429" s="256"/>
      <c r="O429" s="256"/>
      <c r="P429" s="256"/>
      <c r="Q429" s="278"/>
      <c r="R429" s="279"/>
      <c r="S429" s="279"/>
      <c r="T429" s="279"/>
      <c r="AB429" s="280"/>
      <c r="AC429" s="223"/>
      <c r="AD429" s="223"/>
      <c r="AE429" s="223"/>
      <c r="AF429" s="281"/>
      <c r="AG429" s="281"/>
      <c r="AH429" s="281"/>
      <c r="AI429" s="258"/>
      <c r="AJ429" s="258"/>
      <c r="AS429" s="282"/>
      <c r="AT429" s="283"/>
      <c r="AU429" s="282"/>
      <c r="AV429" s="284"/>
      <c r="AX429" s="285"/>
      <c r="AY429" s="285"/>
      <c r="BD429" s="1382" t="str">
        <f t="shared" si="19"/>
        <v/>
      </c>
      <c r="BE429" s="234"/>
      <c r="BF429" s="234"/>
      <c r="BG429" s="234"/>
      <c r="BH429" s="277"/>
      <c r="BK429" s="276"/>
      <c r="BL429" s="276"/>
      <c r="BM429" s="276"/>
      <c r="BN429" s="276"/>
      <c r="BO429" s="223"/>
      <c r="BP429" s="258"/>
      <c r="CC429" s="234"/>
      <c r="CG429" s="258"/>
      <c r="CH429" s="258"/>
      <c r="CI429" s="258"/>
      <c r="CJ429" s="256"/>
      <c r="CK429" s="258"/>
      <c r="CL429" s="258"/>
      <c r="CM429" s="258"/>
      <c r="CN429" s="258"/>
      <c r="CO429" s="258"/>
      <c r="CP429" s="258"/>
      <c r="CQ429" s="258"/>
      <c r="CR429" s="281"/>
      <c r="CS429" s="258"/>
      <c r="CT429" s="258"/>
      <c r="CU429" s="286"/>
      <c r="DH429" s="278"/>
      <c r="DJ429" s="270"/>
      <c r="DK429" s="1098"/>
      <c r="DL429" s="270"/>
      <c r="DM429" s="270"/>
      <c r="DN429" s="287"/>
      <c r="DO429" s="287"/>
      <c r="DP429" s="270"/>
      <c r="DQ429" s="270"/>
      <c r="DR429" s="270"/>
      <c r="DS429" s="270"/>
      <c r="DT429" s="270"/>
      <c r="DU429" s="1098"/>
      <c r="DV429" s="1098"/>
      <c r="DW429" s="1098"/>
      <c r="DX429" s="1098"/>
      <c r="DY429" s="1098"/>
      <c r="DZ429" s="1098"/>
      <c r="EA429" s="1098"/>
      <c r="EB429" s="1098"/>
      <c r="ED429" s="277"/>
      <c r="EE429" s="277"/>
      <c r="EF429" s="277"/>
      <c r="EH429" s="277"/>
    </row>
    <row r="430" spans="3:138" hidden="1">
      <c r="C430" s="276"/>
      <c r="D430" s="276"/>
      <c r="E430" s="276"/>
      <c r="F430" s="276"/>
      <c r="G430" s="276"/>
      <c r="H430" s="276"/>
      <c r="I430" s="276"/>
      <c r="J430" s="276"/>
      <c r="K430" s="276"/>
      <c r="L430" s="277"/>
      <c r="M430" s="256"/>
      <c r="N430" s="256"/>
      <c r="O430" s="256"/>
      <c r="P430" s="256"/>
      <c r="Q430" s="278"/>
      <c r="R430" s="279"/>
      <c r="S430" s="279"/>
      <c r="T430" s="279"/>
      <c r="AB430" s="280"/>
      <c r="AC430" s="223"/>
      <c r="AD430" s="223"/>
      <c r="AE430" s="223"/>
      <c r="AF430" s="281"/>
      <c r="AG430" s="281"/>
      <c r="AH430" s="281"/>
      <c r="AI430" s="258"/>
      <c r="AJ430" s="258"/>
      <c r="AS430" s="282"/>
      <c r="AT430" s="283"/>
      <c r="AU430" s="282"/>
      <c r="AV430" s="284"/>
      <c r="AX430" s="285"/>
      <c r="AY430" s="285"/>
      <c r="BD430" s="1382" t="str">
        <f t="shared" si="19"/>
        <v/>
      </c>
      <c r="BE430" s="234"/>
      <c r="BF430" s="234"/>
      <c r="BG430" s="234"/>
      <c r="BH430" s="277"/>
      <c r="BK430" s="276"/>
      <c r="BL430" s="276"/>
      <c r="BM430" s="276"/>
      <c r="BN430" s="276"/>
      <c r="BO430" s="223"/>
      <c r="BP430" s="258"/>
      <c r="CC430" s="234"/>
      <c r="CG430" s="258"/>
      <c r="CH430" s="258"/>
      <c r="CI430" s="258"/>
      <c r="CJ430" s="256"/>
      <c r="CK430" s="258"/>
      <c r="CL430" s="258"/>
      <c r="CM430" s="258"/>
      <c r="CN430" s="258"/>
      <c r="CO430" s="258"/>
      <c r="CP430" s="258"/>
      <c r="CQ430" s="258"/>
      <c r="CR430" s="281"/>
      <c r="CS430" s="258"/>
      <c r="CT430" s="258"/>
      <c r="CU430" s="286"/>
      <c r="DH430" s="278"/>
      <c r="DJ430" s="270"/>
      <c r="DK430" s="1098"/>
      <c r="DL430" s="270"/>
      <c r="DM430" s="270"/>
      <c r="DN430" s="287"/>
      <c r="DO430" s="287"/>
      <c r="DP430" s="270"/>
      <c r="DQ430" s="270"/>
      <c r="DR430" s="270"/>
      <c r="DS430" s="270"/>
      <c r="DT430" s="270"/>
      <c r="DU430" s="1098"/>
      <c r="DV430" s="1098"/>
      <c r="DW430" s="1098"/>
      <c r="DX430" s="1098"/>
      <c r="DY430" s="1098"/>
      <c r="DZ430" s="1098"/>
      <c r="EA430" s="1098"/>
      <c r="EB430" s="1098"/>
      <c r="ED430" s="277"/>
      <c r="EE430" s="277"/>
      <c r="EF430" s="277"/>
      <c r="EH430" s="277"/>
    </row>
    <row r="431" spans="3:138" hidden="1">
      <c r="C431" s="276"/>
      <c r="D431" s="276"/>
      <c r="E431" s="276"/>
      <c r="F431" s="276"/>
      <c r="G431" s="276"/>
      <c r="H431" s="276"/>
      <c r="I431" s="276"/>
      <c r="J431" s="276"/>
      <c r="K431" s="276"/>
      <c r="L431" s="277"/>
      <c r="M431" s="256"/>
      <c r="N431" s="256"/>
      <c r="O431" s="256"/>
      <c r="P431" s="256"/>
      <c r="Q431" s="278"/>
      <c r="R431" s="279"/>
      <c r="S431" s="279"/>
      <c r="T431" s="279"/>
      <c r="AB431" s="280"/>
      <c r="AC431" s="223"/>
      <c r="AD431" s="223"/>
      <c r="AE431" s="223"/>
      <c r="AF431" s="281"/>
      <c r="AG431" s="281"/>
      <c r="AH431" s="281"/>
      <c r="AI431" s="258"/>
      <c r="AJ431" s="258"/>
      <c r="AS431" s="282"/>
      <c r="AT431" s="283"/>
      <c r="AU431" s="282"/>
      <c r="AV431" s="284"/>
      <c r="AX431" s="285"/>
      <c r="AY431" s="285"/>
      <c r="BD431" s="1382" t="str">
        <f t="shared" si="19"/>
        <v/>
      </c>
      <c r="BE431" s="234"/>
      <c r="BF431" s="234"/>
      <c r="BG431" s="234"/>
      <c r="BH431" s="277"/>
      <c r="BK431" s="276"/>
      <c r="BL431" s="276"/>
      <c r="BM431" s="276"/>
      <c r="BN431" s="276"/>
      <c r="BO431" s="223"/>
      <c r="BP431" s="258"/>
      <c r="CC431" s="234"/>
      <c r="CG431" s="258"/>
      <c r="CH431" s="258"/>
      <c r="CI431" s="258"/>
      <c r="CJ431" s="256"/>
      <c r="CK431" s="258"/>
      <c r="CL431" s="258"/>
      <c r="CM431" s="258"/>
      <c r="CN431" s="258"/>
      <c r="CO431" s="258"/>
      <c r="CP431" s="258"/>
      <c r="CQ431" s="258"/>
      <c r="CR431" s="281"/>
      <c r="CS431" s="258"/>
      <c r="CT431" s="258"/>
      <c r="CU431" s="286"/>
      <c r="DH431" s="278"/>
      <c r="DJ431" s="270"/>
      <c r="DK431" s="1098"/>
      <c r="DL431" s="270"/>
      <c r="DM431" s="270"/>
      <c r="DN431" s="287"/>
      <c r="DO431" s="287"/>
      <c r="DP431" s="270"/>
      <c r="DQ431" s="270"/>
      <c r="DR431" s="270"/>
      <c r="DS431" s="270"/>
      <c r="DT431" s="270"/>
      <c r="DU431" s="1098"/>
      <c r="DV431" s="1098"/>
      <c r="DW431" s="1098"/>
      <c r="DX431" s="1098"/>
      <c r="DY431" s="1098"/>
      <c r="DZ431" s="1098"/>
      <c r="EA431" s="1098"/>
      <c r="EB431" s="1098"/>
      <c r="ED431" s="277"/>
      <c r="EE431" s="277"/>
      <c r="EF431" s="277"/>
      <c r="EH431" s="277"/>
    </row>
    <row r="432" spans="3:138" hidden="1">
      <c r="C432" s="276"/>
      <c r="D432" s="276"/>
      <c r="E432" s="276"/>
      <c r="F432" s="276"/>
      <c r="G432" s="276"/>
      <c r="H432" s="276"/>
      <c r="I432" s="276"/>
      <c r="J432" s="276"/>
      <c r="K432" s="276"/>
      <c r="L432" s="277"/>
      <c r="M432" s="256"/>
      <c r="N432" s="256"/>
      <c r="O432" s="256"/>
      <c r="P432" s="256"/>
      <c r="Q432" s="278"/>
      <c r="R432" s="279"/>
      <c r="S432" s="279"/>
      <c r="T432" s="279"/>
      <c r="AB432" s="280"/>
      <c r="AC432" s="223"/>
      <c r="AD432" s="223"/>
      <c r="AE432" s="223"/>
      <c r="AF432" s="281"/>
      <c r="AG432" s="281"/>
      <c r="AH432" s="281"/>
      <c r="AI432" s="258"/>
      <c r="AJ432" s="258"/>
      <c r="AS432" s="282"/>
      <c r="AT432" s="283"/>
      <c r="AU432" s="282"/>
      <c r="AV432" s="284"/>
      <c r="AX432" s="285"/>
      <c r="AY432" s="285"/>
      <c r="BD432" s="1382" t="str">
        <f t="shared" si="19"/>
        <v/>
      </c>
      <c r="BE432" s="234"/>
      <c r="BF432" s="234"/>
      <c r="BG432" s="234"/>
      <c r="BH432" s="277"/>
      <c r="BK432" s="276"/>
      <c r="BL432" s="276"/>
      <c r="BM432" s="276"/>
      <c r="BN432" s="276"/>
      <c r="BO432" s="223"/>
      <c r="BP432" s="258"/>
      <c r="CC432" s="234"/>
      <c r="CG432" s="258"/>
      <c r="CH432" s="258"/>
      <c r="CI432" s="258"/>
      <c r="CJ432" s="256"/>
      <c r="CK432" s="258"/>
      <c r="CL432" s="258"/>
      <c r="CM432" s="258"/>
      <c r="CN432" s="258"/>
      <c r="CO432" s="258"/>
      <c r="CP432" s="258"/>
      <c r="CQ432" s="258"/>
      <c r="CR432" s="281"/>
      <c r="CS432" s="258"/>
      <c r="CT432" s="258"/>
      <c r="CU432" s="286"/>
      <c r="DH432" s="278"/>
      <c r="DJ432" s="270"/>
      <c r="DK432" s="1098"/>
      <c r="DL432" s="270"/>
      <c r="DM432" s="270"/>
      <c r="DN432" s="287"/>
      <c r="DO432" s="287"/>
      <c r="DP432" s="270"/>
      <c r="DQ432" s="270"/>
      <c r="DR432" s="270"/>
      <c r="DS432" s="270"/>
      <c r="DT432" s="270"/>
      <c r="DU432" s="1098"/>
      <c r="DV432" s="1098"/>
      <c r="DW432" s="1098"/>
      <c r="DX432" s="1098"/>
      <c r="DY432" s="1098"/>
      <c r="DZ432" s="1098"/>
      <c r="EA432" s="1098"/>
      <c r="EB432" s="1098"/>
      <c r="ED432" s="277"/>
      <c r="EE432" s="277"/>
      <c r="EF432" s="277"/>
      <c r="EH432" s="277"/>
    </row>
    <row r="433" spans="3:138" hidden="1">
      <c r="C433" s="276"/>
      <c r="D433" s="276"/>
      <c r="E433" s="276"/>
      <c r="F433" s="276"/>
      <c r="G433" s="276"/>
      <c r="H433" s="276"/>
      <c r="I433" s="276"/>
      <c r="J433" s="276"/>
      <c r="K433" s="276"/>
      <c r="L433" s="277"/>
      <c r="M433" s="256"/>
      <c r="N433" s="256"/>
      <c r="O433" s="256"/>
      <c r="P433" s="256"/>
      <c r="Q433" s="278"/>
      <c r="R433" s="279"/>
      <c r="S433" s="279"/>
      <c r="T433" s="279"/>
      <c r="AB433" s="280"/>
      <c r="AC433" s="223"/>
      <c r="AD433" s="223"/>
      <c r="AE433" s="223"/>
      <c r="AF433" s="281"/>
      <c r="AG433" s="281"/>
      <c r="AH433" s="281"/>
      <c r="AI433" s="258"/>
      <c r="AJ433" s="258"/>
      <c r="AS433" s="282"/>
      <c r="AT433" s="283"/>
      <c r="AU433" s="282"/>
      <c r="AV433" s="284"/>
      <c r="AX433" s="285"/>
      <c r="AY433" s="285"/>
      <c r="BD433" s="1382" t="str">
        <f t="shared" si="19"/>
        <v/>
      </c>
      <c r="BE433" s="234"/>
      <c r="BF433" s="234"/>
      <c r="BG433" s="234"/>
      <c r="BH433" s="277"/>
      <c r="BK433" s="276"/>
      <c r="BL433" s="276"/>
      <c r="BM433" s="276"/>
      <c r="BN433" s="276"/>
      <c r="BO433" s="223"/>
      <c r="BP433" s="258"/>
      <c r="CC433" s="234"/>
      <c r="CG433" s="258"/>
      <c r="CH433" s="258"/>
      <c r="CI433" s="258"/>
      <c r="CJ433" s="256"/>
      <c r="CK433" s="258"/>
      <c r="CL433" s="258"/>
      <c r="CM433" s="258"/>
      <c r="CN433" s="258"/>
      <c r="CO433" s="258"/>
      <c r="CP433" s="258"/>
      <c r="CQ433" s="258"/>
      <c r="CR433" s="281"/>
      <c r="CS433" s="258"/>
      <c r="CT433" s="258"/>
      <c r="CU433" s="286"/>
      <c r="DH433" s="278"/>
      <c r="DJ433" s="270"/>
      <c r="DK433" s="1098"/>
      <c r="DL433" s="270"/>
      <c r="DM433" s="270"/>
      <c r="DN433" s="287"/>
      <c r="DO433" s="287"/>
      <c r="DP433" s="270"/>
      <c r="DQ433" s="270"/>
      <c r="DR433" s="270"/>
      <c r="DS433" s="270"/>
      <c r="DT433" s="270"/>
      <c r="DU433" s="1098"/>
      <c r="DV433" s="1098"/>
      <c r="DW433" s="1098"/>
      <c r="DX433" s="1098"/>
      <c r="DY433" s="1098"/>
      <c r="DZ433" s="1098"/>
      <c r="EA433" s="1098"/>
      <c r="EB433" s="1098"/>
      <c r="ED433" s="277"/>
      <c r="EE433" s="277"/>
      <c r="EF433" s="277"/>
      <c r="EH433" s="277"/>
    </row>
    <row r="434" spans="3:138" hidden="1">
      <c r="C434" s="276"/>
      <c r="D434" s="276"/>
      <c r="E434" s="276"/>
      <c r="F434" s="276"/>
      <c r="G434" s="276"/>
      <c r="H434" s="276"/>
      <c r="I434" s="276"/>
      <c r="J434" s="276"/>
      <c r="K434" s="276"/>
      <c r="L434" s="277"/>
      <c r="M434" s="256"/>
      <c r="N434" s="256"/>
      <c r="O434" s="256"/>
      <c r="P434" s="256"/>
      <c r="Q434" s="278"/>
      <c r="R434" s="279"/>
      <c r="S434" s="279"/>
      <c r="T434" s="279"/>
      <c r="AB434" s="280"/>
      <c r="AC434" s="223"/>
      <c r="AD434" s="223"/>
      <c r="AE434" s="223"/>
      <c r="AF434" s="281"/>
      <c r="AG434" s="281"/>
      <c r="AH434" s="281"/>
      <c r="AI434" s="258"/>
      <c r="AJ434" s="258"/>
      <c r="AS434" s="282"/>
      <c r="AT434" s="283"/>
      <c r="AU434" s="282"/>
      <c r="AV434" s="284"/>
      <c r="AX434" s="285"/>
      <c r="AY434" s="285"/>
      <c r="BD434" s="1382" t="str">
        <f t="shared" si="19"/>
        <v/>
      </c>
      <c r="BE434" s="234"/>
      <c r="BF434" s="234"/>
      <c r="BG434" s="234"/>
      <c r="BH434" s="277"/>
      <c r="BK434" s="276"/>
      <c r="BL434" s="276"/>
      <c r="BM434" s="276"/>
      <c r="BN434" s="276"/>
      <c r="BO434" s="223"/>
      <c r="BP434" s="258"/>
      <c r="CC434" s="234"/>
      <c r="CG434" s="258"/>
      <c r="CH434" s="258"/>
      <c r="CI434" s="258"/>
      <c r="CJ434" s="256"/>
      <c r="CK434" s="258"/>
      <c r="CL434" s="258"/>
      <c r="CM434" s="258"/>
      <c r="CN434" s="258"/>
      <c r="CO434" s="258"/>
      <c r="CP434" s="258"/>
      <c r="CQ434" s="258"/>
      <c r="CR434" s="281"/>
      <c r="CS434" s="258"/>
      <c r="CT434" s="258"/>
      <c r="CU434" s="286"/>
      <c r="DH434" s="278"/>
      <c r="DJ434" s="270"/>
      <c r="DK434" s="1098"/>
      <c r="DL434" s="270"/>
      <c r="DM434" s="270"/>
      <c r="DN434" s="287"/>
      <c r="DO434" s="287"/>
      <c r="DP434" s="270"/>
      <c r="DQ434" s="270"/>
      <c r="DR434" s="270"/>
      <c r="DS434" s="270"/>
      <c r="DT434" s="270"/>
      <c r="DU434" s="1098"/>
      <c r="DV434" s="1098"/>
      <c r="DW434" s="1098"/>
      <c r="DX434" s="1098"/>
      <c r="DY434" s="1098"/>
      <c r="DZ434" s="1098"/>
      <c r="EA434" s="1098"/>
      <c r="EB434" s="1098"/>
      <c r="ED434" s="277"/>
      <c r="EE434" s="277"/>
      <c r="EF434" s="277"/>
      <c r="EH434" s="277"/>
    </row>
    <row r="435" spans="3:138" hidden="1">
      <c r="C435" s="276"/>
      <c r="D435" s="276"/>
      <c r="E435" s="276"/>
      <c r="F435" s="276"/>
      <c r="G435" s="276"/>
      <c r="H435" s="276"/>
      <c r="I435" s="276"/>
      <c r="J435" s="276"/>
      <c r="K435" s="276"/>
      <c r="L435" s="277"/>
      <c r="M435" s="256"/>
      <c r="N435" s="256"/>
      <c r="O435" s="256"/>
      <c r="P435" s="256"/>
      <c r="Q435" s="278"/>
      <c r="R435" s="279"/>
      <c r="S435" s="279"/>
      <c r="T435" s="279"/>
      <c r="AB435" s="280"/>
      <c r="AC435" s="223"/>
      <c r="AD435" s="223"/>
      <c r="AE435" s="223"/>
      <c r="AF435" s="281"/>
      <c r="AG435" s="281"/>
      <c r="AH435" s="281"/>
      <c r="AI435" s="258"/>
      <c r="AJ435" s="258"/>
      <c r="AS435" s="282"/>
      <c r="AT435" s="283"/>
      <c r="AU435" s="282"/>
      <c r="AV435" s="284"/>
      <c r="AX435" s="285"/>
      <c r="AY435" s="285"/>
      <c r="BD435" s="1382" t="str">
        <f t="shared" si="19"/>
        <v/>
      </c>
      <c r="BE435" s="234"/>
      <c r="BF435" s="234"/>
      <c r="BG435" s="234"/>
      <c r="BH435" s="277"/>
      <c r="BK435" s="276"/>
      <c r="BL435" s="276"/>
      <c r="BM435" s="276"/>
      <c r="BN435" s="276"/>
      <c r="BO435" s="223"/>
      <c r="BP435" s="258"/>
      <c r="CC435" s="234"/>
      <c r="CG435" s="258"/>
      <c r="CH435" s="258"/>
      <c r="CI435" s="258"/>
      <c r="CJ435" s="256"/>
      <c r="CK435" s="258"/>
      <c r="CL435" s="258"/>
      <c r="CM435" s="258"/>
      <c r="CN435" s="258"/>
      <c r="CO435" s="258"/>
      <c r="CP435" s="258"/>
      <c r="CQ435" s="258"/>
      <c r="CR435" s="281"/>
      <c r="CS435" s="258"/>
      <c r="CT435" s="258"/>
      <c r="CU435" s="286"/>
      <c r="DH435" s="278"/>
      <c r="DJ435" s="270"/>
      <c r="DK435" s="1098"/>
      <c r="DL435" s="270"/>
      <c r="DM435" s="270"/>
      <c r="DN435" s="287"/>
      <c r="DO435" s="287"/>
      <c r="DP435" s="270"/>
      <c r="DQ435" s="270"/>
      <c r="DR435" s="270"/>
      <c r="DS435" s="270"/>
      <c r="DT435" s="270"/>
      <c r="DU435" s="1098"/>
      <c r="DV435" s="1098"/>
      <c r="DW435" s="1098"/>
      <c r="DX435" s="1098"/>
      <c r="DY435" s="1098"/>
      <c r="DZ435" s="1098"/>
      <c r="EA435" s="1098"/>
      <c r="EB435" s="1098"/>
      <c r="ED435" s="277"/>
      <c r="EE435" s="277"/>
      <c r="EF435" s="277"/>
      <c r="EH435" s="277"/>
    </row>
    <row r="436" spans="3:138" hidden="1">
      <c r="C436" s="276"/>
      <c r="D436" s="276"/>
      <c r="E436" s="276"/>
      <c r="F436" s="276"/>
      <c r="G436" s="276"/>
      <c r="H436" s="276"/>
      <c r="I436" s="276"/>
      <c r="J436" s="276"/>
      <c r="K436" s="276"/>
      <c r="L436" s="277"/>
      <c r="M436" s="256"/>
      <c r="N436" s="256"/>
      <c r="O436" s="256"/>
      <c r="P436" s="256"/>
      <c r="Q436" s="278"/>
      <c r="R436" s="279"/>
      <c r="S436" s="279"/>
      <c r="T436" s="279"/>
      <c r="AB436" s="280"/>
      <c r="AC436" s="223"/>
      <c r="AD436" s="223"/>
      <c r="AE436" s="223"/>
      <c r="AF436" s="281"/>
      <c r="AG436" s="281"/>
      <c r="AH436" s="281"/>
      <c r="AI436" s="258"/>
      <c r="AJ436" s="258"/>
      <c r="AS436" s="282"/>
      <c r="AT436" s="283"/>
      <c r="AU436" s="282"/>
      <c r="AV436" s="284"/>
      <c r="AX436" s="285"/>
      <c r="AY436" s="285"/>
      <c r="BD436" s="1382" t="str">
        <f t="shared" si="19"/>
        <v/>
      </c>
      <c r="BE436" s="234"/>
      <c r="BF436" s="234"/>
      <c r="BG436" s="234"/>
      <c r="BH436" s="277"/>
      <c r="BK436" s="276"/>
      <c r="BL436" s="276"/>
      <c r="BM436" s="276"/>
      <c r="BN436" s="276"/>
      <c r="BO436" s="223"/>
      <c r="BP436" s="258"/>
      <c r="CC436" s="234"/>
      <c r="CG436" s="258"/>
      <c r="CH436" s="258"/>
      <c r="CI436" s="258"/>
      <c r="CJ436" s="256"/>
      <c r="CK436" s="258"/>
      <c r="CL436" s="258"/>
      <c r="CM436" s="258"/>
      <c r="CN436" s="258"/>
      <c r="CO436" s="258"/>
      <c r="CP436" s="258"/>
      <c r="CQ436" s="258"/>
      <c r="CR436" s="281"/>
      <c r="CS436" s="258"/>
      <c r="CT436" s="258"/>
      <c r="CU436" s="286"/>
      <c r="DH436" s="278"/>
      <c r="DJ436" s="270"/>
      <c r="DK436" s="1098"/>
      <c r="DL436" s="270"/>
      <c r="DM436" s="270"/>
      <c r="DN436" s="287"/>
      <c r="DO436" s="287"/>
      <c r="DP436" s="270"/>
      <c r="DQ436" s="270"/>
      <c r="DR436" s="270"/>
      <c r="DS436" s="270"/>
      <c r="DT436" s="270"/>
      <c r="DU436" s="1098"/>
      <c r="DV436" s="1098"/>
      <c r="DW436" s="1098"/>
      <c r="DX436" s="1098"/>
      <c r="DY436" s="1098"/>
      <c r="DZ436" s="1098"/>
      <c r="EA436" s="1098"/>
      <c r="EB436" s="1098"/>
      <c r="ED436" s="277"/>
      <c r="EE436" s="277"/>
      <c r="EF436" s="277"/>
      <c r="EH436" s="277"/>
    </row>
    <row r="437" spans="3:138" hidden="1">
      <c r="C437" s="276"/>
      <c r="D437" s="276"/>
      <c r="E437" s="276"/>
      <c r="F437" s="276"/>
      <c r="G437" s="276"/>
      <c r="H437" s="276"/>
      <c r="I437" s="276"/>
      <c r="J437" s="276"/>
      <c r="K437" s="276"/>
      <c r="L437" s="277"/>
      <c r="M437" s="256"/>
      <c r="N437" s="256"/>
      <c r="O437" s="256"/>
      <c r="P437" s="256"/>
      <c r="Q437" s="278"/>
      <c r="R437" s="279"/>
      <c r="S437" s="279"/>
      <c r="T437" s="279"/>
      <c r="AB437" s="280"/>
      <c r="AC437" s="223"/>
      <c r="AD437" s="223"/>
      <c r="AE437" s="223"/>
      <c r="AF437" s="281"/>
      <c r="AG437" s="281"/>
      <c r="AH437" s="281"/>
      <c r="AI437" s="258"/>
      <c r="AJ437" s="258"/>
      <c r="AS437" s="282"/>
      <c r="AT437" s="283"/>
      <c r="AU437" s="282"/>
      <c r="AV437" s="284"/>
      <c r="AX437" s="285"/>
      <c r="AY437" s="285"/>
      <c r="BD437" s="1382" t="str">
        <f t="shared" si="19"/>
        <v/>
      </c>
      <c r="BE437" s="234"/>
      <c r="BF437" s="234"/>
      <c r="BG437" s="234"/>
      <c r="BH437" s="277"/>
      <c r="BK437" s="276"/>
      <c r="BL437" s="276"/>
      <c r="BM437" s="276"/>
      <c r="BN437" s="276"/>
      <c r="BO437" s="223"/>
      <c r="BP437" s="258"/>
      <c r="CC437" s="234"/>
      <c r="CG437" s="258"/>
      <c r="CH437" s="258"/>
      <c r="CI437" s="258"/>
      <c r="CJ437" s="256"/>
      <c r="CK437" s="258"/>
      <c r="CL437" s="258"/>
      <c r="CM437" s="258"/>
      <c r="CN437" s="258"/>
      <c r="CO437" s="258"/>
      <c r="CP437" s="258"/>
      <c r="CQ437" s="258"/>
      <c r="CR437" s="281"/>
      <c r="CS437" s="258"/>
      <c r="CT437" s="258"/>
      <c r="CU437" s="286"/>
      <c r="DH437" s="278"/>
      <c r="DJ437" s="270"/>
      <c r="DK437" s="1098"/>
      <c r="DL437" s="270"/>
      <c r="DM437" s="270"/>
      <c r="DN437" s="287"/>
      <c r="DO437" s="287"/>
      <c r="DP437" s="270"/>
      <c r="DQ437" s="270"/>
      <c r="DR437" s="270"/>
      <c r="DS437" s="270"/>
      <c r="DT437" s="270"/>
      <c r="DU437" s="1098"/>
      <c r="DV437" s="1098"/>
      <c r="DW437" s="1098"/>
      <c r="DX437" s="1098"/>
      <c r="DY437" s="1098"/>
      <c r="DZ437" s="1098"/>
      <c r="EA437" s="1098"/>
      <c r="EB437" s="1098"/>
      <c r="ED437" s="277"/>
      <c r="EE437" s="277"/>
      <c r="EF437" s="277"/>
      <c r="EH437" s="277"/>
    </row>
    <row r="438" spans="3:138" hidden="1">
      <c r="C438" s="276"/>
      <c r="D438" s="276"/>
      <c r="E438" s="276"/>
      <c r="F438" s="276"/>
      <c r="G438" s="276"/>
      <c r="H438" s="276"/>
      <c r="I438" s="276"/>
      <c r="J438" s="276"/>
      <c r="K438" s="276"/>
      <c r="L438" s="277"/>
      <c r="M438" s="256"/>
      <c r="N438" s="256"/>
      <c r="O438" s="256"/>
      <c r="P438" s="256"/>
      <c r="Q438" s="278"/>
      <c r="R438" s="279"/>
      <c r="S438" s="279"/>
      <c r="T438" s="279"/>
      <c r="AB438" s="280"/>
      <c r="AC438" s="223"/>
      <c r="AD438" s="223"/>
      <c r="AE438" s="223"/>
      <c r="AF438" s="281"/>
      <c r="AG438" s="281"/>
      <c r="AH438" s="281"/>
      <c r="AI438" s="258"/>
      <c r="AJ438" s="258"/>
      <c r="AS438" s="282"/>
      <c r="AT438" s="283"/>
      <c r="AU438" s="282"/>
      <c r="AV438" s="284"/>
      <c r="AX438" s="285"/>
      <c r="AY438" s="285"/>
      <c r="BD438" s="1382" t="str">
        <f t="shared" si="19"/>
        <v/>
      </c>
      <c r="BE438" s="234"/>
      <c r="BF438" s="234"/>
      <c r="BG438" s="234"/>
      <c r="BH438" s="277"/>
      <c r="BK438" s="276"/>
      <c r="BL438" s="276"/>
      <c r="BM438" s="276"/>
      <c r="BN438" s="276"/>
      <c r="BO438" s="223"/>
      <c r="BP438" s="258"/>
      <c r="CC438" s="234"/>
      <c r="CG438" s="258"/>
      <c r="CH438" s="258"/>
      <c r="CI438" s="258"/>
      <c r="CJ438" s="256"/>
      <c r="CK438" s="258"/>
      <c r="CL438" s="258"/>
      <c r="CM438" s="258"/>
      <c r="CN438" s="258"/>
      <c r="CO438" s="258"/>
      <c r="CP438" s="258"/>
      <c r="CQ438" s="258"/>
      <c r="CR438" s="281"/>
      <c r="CS438" s="258"/>
      <c r="CT438" s="258"/>
      <c r="CU438" s="286"/>
      <c r="DH438" s="278"/>
      <c r="DJ438" s="270"/>
      <c r="DK438" s="1098"/>
      <c r="DL438" s="270"/>
      <c r="DM438" s="270"/>
      <c r="DN438" s="287"/>
      <c r="DO438" s="287"/>
      <c r="DP438" s="270"/>
      <c r="DQ438" s="270"/>
      <c r="DR438" s="270"/>
      <c r="DS438" s="270"/>
      <c r="DT438" s="270"/>
      <c r="DU438" s="1098"/>
      <c r="DV438" s="1098"/>
      <c r="DW438" s="1098"/>
      <c r="DX438" s="1098"/>
      <c r="DY438" s="1098"/>
      <c r="DZ438" s="1098"/>
      <c r="EA438" s="1098"/>
      <c r="EB438" s="1098"/>
      <c r="ED438" s="277"/>
      <c r="EE438" s="277"/>
      <c r="EF438" s="277"/>
      <c r="EH438" s="277"/>
    </row>
    <row r="439" spans="3:138" hidden="1">
      <c r="C439" s="276"/>
      <c r="D439" s="276"/>
      <c r="E439" s="276"/>
      <c r="F439" s="276"/>
      <c r="G439" s="276"/>
      <c r="H439" s="276"/>
      <c r="I439" s="276"/>
      <c r="J439" s="276"/>
      <c r="K439" s="276"/>
      <c r="L439" s="277"/>
      <c r="M439" s="256"/>
      <c r="N439" s="256"/>
      <c r="O439" s="256"/>
      <c r="P439" s="256"/>
      <c r="Q439" s="278"/>
      <c r="R439" s="279"/>
      <c r="S439" s="279"/>
      <c r="T439" s="279"/>
      <c r="AB439" s="280"/>
      <c r="AC439" s="223"/>
      <c r="AD439" s="223"/>
      <c r="AE439" s="223"/>
      <c r="AF439" s="281"/>
      <c r="AG439" s="281"/>
      <c r="AH439" s="281"/>
      <c r="AI439" s="258"/>
      <c r="AJ439" s="258"/>
      <c r="AS439" s="282"/>
      <c r="AT439" s="283"/>
      <c r="AU439" s="282"/>
      <c r="AV439" s="284"/>
      <c r="AX439" s="285"/>
      <c r="AY439" s="285"/>
      <c r="BD439" s="1382" t="str">
        <f t="shared" si="19"/>
        <v/>
      </c>
      <c r="BE439" s="234"/>
      <c r="BF439" s="234"/>
      <c r="BG439" s="234"/>
      <c r="BH439" s="277"/>
      <c r="BK439" s="276"/>
      <c r="BL439" s="276"/>
      <c r="BM439" s="276"/>
      <c r="BN439" s="276"/>
      <c r="BO439" s="223"/>
      <c r="BP439" s="258"/>
      <c r="CC439" s="234"/>
      <c r="CG439" s="258"/>
      <c r="CH439" s="258"/>
      <c r="CI439" s="258"/>
      <c r="CJ439" s="256"/>
      <c r="CK439" s="258"/>
      <c r="CL439" s="258"/>
      <c r="CM439" s="258"/>
      <c r="CN439" s="258"/>
      <c r="CO439" s="258"/>
      <c r="CP439" s="258"/>
      <c r="CQ439" s="258"/>
      <c r="CR439" s="281"/>
      <c r="CS439" s="258"/>
      <c r="CT439" s="258"/>
      <c r="CU439" s="286"/>
      <c r="DH439" s="278"/>
      <c r="DJ439" s="270"/>
      <c r="DK439" s="1098"/>
      <c r="DL439" s="270"/>
      <c r="DM439" s="270"/>
      <c r="DN439" s="287"/>
      <c r="DO439" s="287"/>
      <c r="DP439" s="270"/>
      <c r="DQ439" s="270"/>
      <c r="DR439" s="270"/>
      <c r="DS439" s="270"/>
      <c r="DT439" s="270"/>
      <c r="DU439" s="1098"/>
      <c r="DV439" s="1098"/>
      <c r="DW439" s="1098"/>
      <c r="DX439" s="1098"/>
      <c r="DY439" s="1098"/>
      <c r="DZ439" s="1098"/>
      <c r="EA439" s="1098"/>
      <c r="EB439" s="1098"/>
      <c r="ED439" s="277"/>
      <c r="EE439" s="277"/>
      <c r="EF439" s="277"/>
      <c r="EH439" s="277"/>
    </row>
    <row r="440" spans="3:138" hidden="1">
      <c r="C440" s="276"/>
      <c r="D440" s="276"/>
      <c r="E440" s="276"/>
      <c r="F440" s="276"/>
      <c r="G440" s="276"/>
      <c r="H440" s="276"/>
      <c r="I440" s="276"/>
      <c r="J440" s="276"/>
      <c r="K440" s="276"/>
      <c r="L440" s="277"/>
      <c r="M440" s="256"/>
      <c r="N440" s="256"/>
      <c r="O440" s="256"/>
      <c r="P440" s="256"/>
      <c r="Q440" s="278"/>
      <c r="R440" s="279"/>
      <c r="S440" s="279"/>
      <c r="T440" s="279"/>
      <c r="AB440" s="280"/>
      <c r="AC440" s="223"/>
      <c r="AD440" s="223"/>
      <c r="AE440" s="223"/>
      <c r="AF440" s="281"/>
      <c r="AG440" s="281"/>
      <c r="AH440" s="281"/>
      <c r="AI440" s="258"/>
      <c r="AJ440" s="258"/>
      <c r="AS440" s="282"/>
      <c r="AT440" s="283"/>
      <c r="AU440" s="282"/>
      <c r="AV440" s="284"/>
      <c r="AX440" s="285"/>
      <c r="AY440" s="285"/>
      <c r="BD440" s="1382" t="str">
        <f t="shared" si="19"/>
        <v/>
      </c>
      <c r="BE440" s="234"/>
      <c r="BF440" s="234"/>
      <c r="BG440" s="234"/>
      <c r="BH440" s="277"/>
      <c r="BK440" s="276"/>
      <c r="BL440" s="276"/>
      <c r="BM440" s="276"/>
      <c r="BN440" s="276"/>
      <c r="BO440" s="223"/>
      <c r="BP440" s="258"/>
      <c r="CC440" s="234"/>
      <c r="CG440" s="258"/>
      <c r="CH440" s="258"/>
      <c r="CI440" s="258"/>
      <c r="CJ440" s="256"/>
      <c r="CK440" s="258"/>
      <c r="CL440" s="258"/>
      <c r="CM440" s="258"/>
      <c r="CN440" s="258"/>
      <c r="CO440" s="258"/>
      <c r="CP440" s="258"/>
      <c r="CQ440" s="258"/>
      <c r="CR440" s="281"/>
      <c r="CS440" s="258"/>
      <c r="CT440" s="258"/>
      <c r="CU440" s="286"/>
      <c r="DH440" s="278"/>
      <c r="DJ440" s="270"/>
      <c r="DK440" s="1098"/>
      <c r="DL440" s="270"/>
      <c r="DM440" s="270"/>
      <c r="DN440" s="287"/>
      <c r="DO440" s="287"/>
      <c r="DP440" s="270"/>
      <c r="DQ440" s="270"/>
      <c r="DR440" s="270"/>
      <c r="DS440" s="270"/>
      <c r="DT440" s="270"/>
      <c r="DU440" s="1098"/>
      <c r="DV440" s="1098"/>
      <c r="DW440" s="1098"/>
      <c r="DX440" s="1098"/>
      <c r="DY440" s="1098"/>
      <c r="DZ440" s="1098"/>
      <c r="EA440" s="1098"/>
      <c r="EB440" s="1098"/>
      <c r="ED440" s="277"/>
      <c r="EE440" s="277"/>
      <c r="EF440" s="277"/>
      <c r="EH440" s="277"/>
    </row>
    <row r="441" spans="3:138" hidden="1">
      <c r="C441" s="276"/>
      <c r="D441" s="276"/>
      <c r="E441" s="276"/>
      <c r="F441" s="276"/>
      <c r="G441" s="276"/>
      <c r="H441" s="276"/>
      <c r="I441" s="276"/>
      <c r="J441" s="276"/>
      <c r="K441" s="276"/>
      <c r="L441" s="277"/>
      <c r="M441" s="256"/>
      <c r="N441" s="256"/>
      <c r="O441" s="256"/>
      <c r="P441" s="256"/>
      <c r="Q441" s="278"/>
      <c r="R441" s="279"/>
      <c r="S441" s="279"/>
      <c r="T441" s="279"/>
      <c r="AB441" s="280"/>
      <c r="AC441" s="223"/>
      <c r="AD441" s="223"/>
      <c r="AE441" s="223"/>
      <c r="AF441" s="281"/>
      <c r="AG441" s="281"/>
      <c r="AH441" s="281"/>
      <c r="AI441" s="258"/>
      <c r="AJ441" s="258"/>
      <c r="AS441" s="282"/>
      <c r="AT441" s="283"/>
      <c r="AU441" s="282"/>
      <c r="AV441" s="284"/>
      <c r="AX441" s="285"/>
      <c r="AY441" s="285"/>
      <c r="BD441" s="1382" t="str">
        <f t="shared" si="19"/>
        <v/>
      </c>
      <c r="BE441" s="234"/>
      <c r="BF441" s="234"/>
      <c r="BG441" s="234"/>
      <c r="BH441" s="277"/>
      <c r="BK441" s="276"/>
      <c r="BL441" s="276"/>
      <c r="BM441" s="276"/>
      <c r="BN441" s="276"/>
      <c r="BO441" s="223"/>
      <c r="BP441" s="258"/>
      <c r="CC441" s="234"/>
      <c r="CG441" s="258"/>
      <c r="CH441" s="258"/>
      <c r="CI441" s="258"/>
      <c r="CJ441" s="256"/>
      <c r="CK441" s="258"/>
      <c r="CL441" s="258"/>
      <c r="CM441" s="258"/>
      <c r="CN441" s="258"/>
      <c r="CO441" s="258"/>
      <c r="CP441" s="258"/>
      <c r="CQ441" s="258"/>
      <c r="CR441" s="281"/>
      <c r="CS441" s="258"/>
      <c r="CT441" s="258"/>
      <c r="CU441" s="286"/>
      <c r="DH441" s="278"/>
      <c r="DJ441" s="270"/>
      <c r="DK441" s="1098"/>
      <c r="DL441" s="270"/>
      <c r="DM441" s="270"/>
      <c r="DN441" s="287"/>
      <c r="DO441" s="287"/>
      <c r="DP441" s="270"/>
      <c r="DQ441" s="270"/>
      <c r="DR441" s="270"/>
      <c r="DS441" s="270"/>
      <c r="DT441" s="270"/>
      <c r="DU441" s="1098"/>
      <c r="DV441" s="1098"/>
      <c r="DW441" s="1098"/>
      <c r="DX441" s="1098"/>
      <c r="DY441" s="1098"/>
      <c r="DZ441" s="1098"/>
      <c r="EA441" s="1098"/>
      <c r="EB441" s="1098"/>
      <c r="ED441" s="277"/>
      <c r="EE441" s="277"/>
      <c r="EF441" s="277"/>
      <c r="EH441" s="277"/>
    </row>
    <row r="442" spans="3:138" hidden="1">
      <c r="C442" s="276"/>
      <c r="D442" s="276"/>
      <c r="E442" s="276"/>
      <c r="F442" s="276"/>
      <c r="G442" s="276"/>
      <c r="H442" s="276"/>
      <c r="I442" s="276"/>
      <c r="J442" s="276"/>
      <c r="K442" s="276"/>
      <c r="L442" s="277"/>
      <c r="M442" s="256"/>
      <c r="N442" s="256"/>
      <c r="O442" s="256"/>
      <c r="P442" s="256"/>
      <c r="Q442" s="278"/>
      <c r="R442" s="279"/>
      <c r="S442" s="279"/>
      <c r="T442" s="279"/>
      <c r="AB442" s="280"/>
      <c r="AC442" s="223"/>
      <c r="AD442" s="223"/>
      <c r="AE442" s="223"/>
      <c r="AF442" s="281"/>
      <c r="AG442" s="281"/>
      <c r="AH442" s="281"/>
      <c r="AI442" s="258"/>
      <c r="AJ442" s="258"/>
      <c r="AS442" s="282"/>
      <c r="AT442" s="283"/>
      <c r="AU442" s="282"/>
      <c r="AV442" s="284"/>
      <c r="AX442" s="285"/>
      <c r="AY442" s="285"/>
      <c r="BD442" s="1382" t="str">
        <f t="shared" si="19"/>
        <v/>
      </c>
      <c r="BE442" s="234"/>
      <c r="BF442" s="234"/>
      <c r="BG442" s="234"/>
      <c r="BH442" s="277"/>
      <c r="BK442" s="276"/>
      <c r="BL442" s="276"/>
      <c r="BM442" s="276"/>
      <c r="BN442" s="276"/>
      <c r="BO442" s="223"/>
      <c r="BP442" s="258"/>
      <c r="CC442" s="234"/>
      <c r="CG442" s="258"/>
      <c r="CH442" s="258"/>
      <c r="CI442" s="258"/>
      <c r="CJ442" s="256"/>
      <c r="CK442" s="258"/>
      <c r="CL442" s="258"/>
      <c r="CM442" s="258"/>
      <c r="CN442" s="258"/>
      <c r="CO442" s="258"/>
      <c r="CP442" s="258"/>
      <c r="CQ442" s="258"/>
      <c r="CR442" s="281"/>
      <c r="CS442" s="258"/>
      <c r="CT442" s="258"/>
      <c r="CU442" s="286"/>
      <c r="DH442" s="278"/>
      <c r="DJ442" s="270"/>
      <c r="DK442" s="1098"/>
      <c r="DL442" s="270"/>
      <c r="DM442" s="270"/>
      <c r="DN442" s="287"/>
      <c r="DO442" s="287"/>
      <c r="DP442" s="270"/>
      <c r="DQ442" s="270"/>
      <c r="DR442" s="270"/>
      <c r="DS442" s="270"/>
      <c r="DT442" s="270"/>
      <c r="DU442" s="1098"/>
      <c r="DV442" s="1098"/>
      <c r="DW442" s="1098"/>
      <c r="DX442" s="1098"/>
      <c r="DY442" s="1098"/>
      <c r="DZ442" s="1098"/>
      <c r="EA442" s="1098"/>
      <c r="EB442" s="1098"/>
      <c r="ED442" s="277"/>
      <c r="EE442" s="277"/>
      <c r="EF442" s="277"/>
      <c r="EH442" s="277"/>
    </row>
    <row r="443" spans="3:138" hidden="1">
      <c r="C443" s="276"/>
      <c r="D443" s="276"/>
      <c r="E443" s="276"/>
      <c r="F443" s="276"/>
      <c r="G443" s="276"/>
      <c r="H443" s="276"/>
      <c r="I443" s="276"/>
      <c r="J443" s="276"/>
      <c r="K443" s="276"/>
      <c r="L443" s="277"/>
      <c r="M443" s="256"/>
      <c r="N443" s="256"/>
      <c r="O443" s="256"/>
      <c r="P443" s="256"/>
      <c r="Q443" s="278"/>
      <c r="R443" s="279"/>
      <c r="S443" s="279"/>
      <c r="T443" s="279"/>
      <c r="AB443" s="280"/>
      <c r="AC443" s="223"/>
      <c r="AD443" s="223"/>
      <c r="AE443" s="223"/>
      <c r="AF443" s="281"/>
      <c r="AG443" s="281"/>
      <c r="AH443" s="281"/>
      <c r="AI443" s="258"/>
      <c r="AJ443" s="258"/>
      <c r="AS443" s="282"/>
      <c r="AT443" s="283"/>
      <c r="AU443" s="282"/>
      <c r="AV443" s="284"/>
      <c r="AX443" s="285"/>
      <c r="AY443" s="285"/>
      <c r="BD443" s="1382" t="str">
        <f t="shared" si="19"/>
        <v/>
      </c>
      <c r="BE443" s="234"/>
      <c r="BF443" s="234"/>
      <c r="BG443" s="234"/>
      <c r="BH443" s="277"/>
      <c r="BK443" s="276"/>
      <c r="BL443" s="276"/>
      <c r="BM443" s="276"/>
      <c r="BN443" s="276"/>
      <c r="BO443" s="223"/>
      <c r="BP443" s="258"/>
      <c r="CC443" s="234"/>
      <c r="CG443" s="258"/>
      <c r="CH443" s="258"/>
      <c r="CI443" s="258"/>
      <c r="CJ443" s="256"/>
      <c r="CK443" s="258"/>
      <c r="CL443" s="258"/>
      <c r="CM443" s="258"/>
      <c r="CN443" s="258"/>
      <c r="CO443" s="258"/>
      <c r="CP443" s="258"/>
      <c r="CQ443" s="258"/>
      <c r="CR443" s="281"/>
      <c r="CS443" s="258"/>
      <c r="CT443" s="258"/>
      <c r="CU443" s="286"/>
      <c r="DH443" s="278"/>
      <c r="DJ443" s="270"/>
      <c r="DK443" s="1098"/>
      <c r="DL443" s="270"/>
      <c r="DM443" s="270"/>
      <c r="DN443" s="287"/>
      <c r="DO443" s="287"/>
      <c r="DP443" s="270"/>
      <c r="DQ443" s="270"/>
      <c r="DR443" s="270"/>
      <c r="DS443" s="270"/>
      <c r="DT443" s="270"/>
      <c r="DU443" s="1098"/>
      <c r="DV443" s="1098"/>
      <c r="DW443" s="1098"/>
      <c r="DX443" s="1098"/>
      <c r="DY443" s="1098"/>
      <c r="DZ443" s="1098"/>
      <c r="EA443" s="1098"/>
      <c r="EB443" s="1098"/>
      <c r="ED443" s="277"/>
      <c r="EE443" s="277"/>
      <c r="EF443" s="277"/>
      <c r="EH443" s="277"/>
    </row>
    <row r="444" spans="3:138" hidden="1">
      <c r="C444" s="276"/>
      <c r="D444" s="276"/>
      <c r="E444" s="276"/>
      <c r="F444" s="276"/>
      <c r="G444" s="276"/>
      <c r="H444" s="276"/>
      <c r="I444" s="276"/>
      <c r="J444" s="276"/>
      <c r="K444" s="276"/>
      <c r="L444" s="277"/>
      <c r="M444" s="256"/>
      <c r="N444" s="256"/>
      <c r="O444" s="256"/>
      <c r="P444" s="256"/>
      <c r="Q444" s="278"/>
      <c r="R444" s="279"/>
      <c r="S444" s="279"/>
      <c r="T444" s="279"/>
      <c r="AB444" s="280"/>
      <c r="AC444" s="223"/>
      <c r="AD444" s="223"/>
      <c r="AE444" s="223"/>
      <c r="AF444" s="281"/>
      <c r="AG444" s="281"/>
      <c r="AH444" s="281"/>
      <c r="AI444" s="258"/>
      <c r="AJ444" s="258"/>
      <c r="AS444" s="282"/>
      <c r="AT444" s="283"/>
      <c r="AU444" s="282"/>
      <c r="AV444" s="284"/>
      <c r="AX444" s="285"/>
      <c r="AY444" s="285"/>
      <c r="BD444" s="1382" t="str">
        <f t="shared" si="19"/>
        <v/>
      </c>
      <c r="BE444" s="234"/>
      <c r="BF444" s="234"/>
      <c r="BG444" s="234"/>
      <c r="BH444" s="277"/>
      <c r="BK444" s="276"/>
      <c r="BL444" s="276"/>
      <c r="BM444" s="276"/>
      <c r="BN444" s="276"/>
      <c r="BO444" s="223"/>
      <c r="BP444" s="258"/>
      <c r="CC444" s="234"/>
      <c r="CG444" s="258"/>
      <c r="CH444" s="258"/>
      <c r="CI444" s="258"/>
      <c r="CJ444" s="256"/>
      <c r="CK444" s="258"/>
      <c r="CL444" s="258"/>
      <c r="CM444" s="258"/>
      <c r="CN444" s="258"/>
      <c r="CO444" s="258"/>
      <c r="CP444" s="258"/>
      <c r="CQ444" s="258"/>
      <c r="CR444" s="281"/>
      <c r="CS444" s="258"/>
      <c r="CT444" s="258"/>
      <c r="CU444" s="286"/>
      <c r="DH444" s="278"/>
      <c r="DJ444" s="270"/>
      <c r="DK444" s="1098"/>
      <c r="DL444" s="270"/>
      <c r="DM444" s="270"/>
      <c r="DN444" s="287"/>
      <c r="DO444" s="287"/>
      <c r="DP444" s="270"/>
      <c r="DQ444" s="270"/>
      <c r="DR444" s="270"/>
      <c r="DS444" s="270"/>
      <c r="DT444" s="270"/>
      <c r="DU444" s="1098"/>
      <c r="DV444" s="1098"/>
      <c r="DW444" s="1098"/>
      <c r="DX444" s="1098"/>
      <c r="DY444" s="1098"/>
      <c r="DZ444" s="1098"/>
      <c r="EA444" s="1098"/>
      <c r="EB444" s="1098"/>
      <c r="ED444" s="277"/>
      <c r="EE444" s="277"/>
      <c r="EF444" s="277"/>
      <c r="EH444" s="277"/>
    </row>
    <row r="445" spans="3:138" hidden="1">
      <c r="C445" s="276"/>
      <c r="D445" s="276"/>
      <c r="E445" s="276"/>
      <c r="F445" s="276"/>
      <c r="G445" s="276"/>
      <c r="H445" s="276"/>
      <c r="I445" s="276"/>
      <c r="J445" s="276"/>
      <c r="K445" s="276"/>
      <c r="L445" s="277"/>
      <c r="M445" s="256"/>
      <c r="N445" s="256"/>
      <c r="O445" s="256"/>
      <c r="P445" s="256"/>
      <c r="Q445" s="278"/>
      <c r="R445" s="279"/>
      <c r="S445" s="279"/>
      <c r="T445" s="279"/>
      <c r="AB445" s="280"/>
      <c r="AC445" s="223"/>
      <c r="AD445" s="223"/>
      <c r="AE445" s="223"/>
      <c r="AF445" s="281"/>
      <c r="AG445" s="281"/>
      <c r="AH445" s="281"/>
      <c r="AI445" s="258"/>
      <c r="AJ445" s="258"/>
      <c r="AS445" s="282"/>
      <c r="AT445" s="283"/>
      <c r="AU445" s="282"/>
      <c r="AV445" s="284"/>
      <c r="AX445" s="285"/>
      <c r="AY445" s="285"/>
      <c r="BD445" s="1382" t="str">
        <f t="shared" si="19"/>
        <v/>
      </c>
      <c r="BE445" s="234"/>
      <c r="BF445" s="234"/>
      <c r="BG445" s="234"/>
      <c r="BH445" s="277"/>
      <c r="BK445" s="276"/>
      <c r="BL445" s="276"/>
      <c r="BM445" s="276"/>
      <c r="BN445" s="276"/>
      <c r="BO445" s="223"/>
      <c r="BP445" s="258"/>
      <c r="CC445" s="234"/>
      <c r="CG445" s="258"/>
      <c r="CH445" s="258"/>
      <c r="CI445" s="258"/>
      <c r="CJ445" s="256"/>
      <c r="CK445" s="258"/>
      <c r="CL445" s="258"/>
      <c r="CM445" s="258"/>
      <c r="CN445" s="258"/>
      <c r="CO445" s="258"/>
      <c r="CP445" s="258"/>
      <c r="CQ445" s="258"/>
      <c r="CR445" s="281"/>
      <c r="CS445" s="258"/>
      <c r="CT445" s="258"/>
      <c r="CU445" s="286"/>
      <c r="DH445" s="278"/>
      <c r="DJ445" s="270"/>
      <c r="DK445" s="1098"/>
      <c r="DL445" s="270"/>
      <c r="DM445" s="270"/>
      <c r="DN445" s="287"/>
      <c r="DO445" s="287"/>
      <c r="DP445" s="270"/>
      <c r="DQ445" s="270"/>
      <c r="DR445" s="270"/>
      <c r="DS445" s="270"/>
      <c r="DT445" s="270"/>
      <c r="DU445" s="1098"/>
      <c r="DV445" s="1098"/>
      <c r="DW445" s="1098"/>
      <c r="DX445" s="1098"/>
      <c r="DY445" s="1098"/>
      <c r="DZ445" s="1098"/>
      <c r="EA445" s="1098"/>
      <c r="EB445" s="1098"/>
      <c r="ED445" s="277"/>
      <c r="EE445" s="277"/>
      <c r="EF445" s="277"/>
      <c r="EH445" s="277"/>
    </row>
    <row r="446" spans="3:138" hidden="1">
      <c r="C446" s="276"/>
      <c r="D446" s="276"/>
      <c r="E446" s="276"/>
      <c r="F446" s="276"/>
      <c r="G446" s="276"/>
      <c r="H446" s="276"/>
      <c r="I446" s="276"/>
      <c r="J446" s="276"/>
      <c r="K446" s="276"/>
      <c r="L446" s="277"/>
      <c r="M446" s="256"/>
      <c r="N446" s="256"/>
      <c r="O446" s="256"/>
      <c r="P446" s="256"/>
      <c r="Q446" s="278"/>
      <c r="R446" s="279"/>
      <c r="S446" s="279"/>
      <c r="T446" s="279"/>
      <c r="AB446" s="280"/>
      <c r="AC446" s="223"/>
      <c r="AD446" s="223"/>
      <c r="AE446" s="223"/>
      <c r="AF446" s="281"/>
      <c r="AG446" s="281"/>
      <c r="AH446" s="281"/>
      <c r="AI446" s="258"/>
      <c r="AJ446" s="258"/>
      <c r="AS446" s="282"/>
      <c r="AT446" s="283"/>
      <c r="AU446" s="282"/>
      <c r="AV446" s="284"/>
      <c r="AX446" s="285"/>
      <c r="AY446" s="285"/>
      <c r="BD446" s="1382" t="str">
        <f t="shared" si="19"/>
        <v/>
      </c>
      <c r="BE446" s="234"/>
      <c r="BF446" s="234"/>
      <c r="BG446" s="234"/>
      <c r="BH446" s="277"/>
      <c r="BK446" s="276"/>
      <c r="BL446" s="276"/>
      <c r="BM446" s="276"/>
      <c r="BN446" s="276"/>
      <c r="BO446" s="223"/>
      <c r="BP446" s="258"/>
      <c r="CC446" s="234"/>
      <c r="CG446" s="258"/>
      <c r="CH446" s="258"/>
      <c r="CI446" s="258"/>
      <c r="CJ446" s="256"/>
      <c r="CK446" s="258"/>
      <c r="CL446" s="258"/>
      <c r="CM446" s="258"/>
      <c r="CN446" s="258"/>
      <c r="CO446" s="258"/>
      <c r="CP446" s="258"/>
      <c r="CQ446" s="258"/>
      <c r="CR446" s="281"/>
      <c r="CS446" s="258"/>
      <c r="CT446" s="258"/>
      <c r="CU446" s="286"/>
      <c r="DH446" s="278"/>
      <c r="DJ446" s="270"/>
      <c r="DK446" s="1098"/>
      <c r="DL446" s="270"/>
      <c r="DM446" s="270"/>
      <c r="DN446" s="287"/>
      <c r="DO446" s="287"/>
      <c r="DP446" s="270"/>
      <c r="DQ446" s="270"/>
      <c r="DR446" s="270"/>
      <c r="DS446" s="270"/>
      <c r="DT446" s="270"/>
      <c r="DU446" s="1098"/>
      <c r="DV446" s="1098"/>
      <c r="DW446" s="1098"/>
      <c r="DX446" s="1098"/>
      <c r="DY446" s="1098"/>
      <c r="DZ446" s="1098"/>
      <c r="EA446" s="1098"/>
      <c r="EB446" s="1098"/>
      <c r="ED446" s="277"/>
      <c r="EE446" s="277"/>
      <c r="EF446" s="277"/>
      <c r="EH446" s="277"/>
    </row>
    <row r="447" spans="3:138" hidden="1">
      <c r="C447" s="276"/>
      <c r="D447" s="276"/>
      <c r="E447" s="276"/>
      <c r="F447" s="276"/>
      <c r="G447" s="276"/>
      <c r="H447" s="276"/>
      <c r="I447" s="276"/>
      <c r="J447" s="276"/>
      <c r="K447" s="276"/>
      <c r="L447" s="277"/>
      <c r="M447" s="256"/>
      <c r="N447" s="256"/>
      <c r="O447" s="256"/>
      <c r="P447" s="256"/>
      <c r="Q447" s="278"/>
      <c r="R447" s="279"/>
      <c r="S447" s="279"/>
      <c r="T447" s="279"/>
      <c r="AB447" s="280"/>
      <c r="AC447" s="223"/>
      <c r="AD447" s="223"/>
      <c r="AE447" s="223"/>
      <c r="AF447" s="281"/>
      <c r="AG447" s="281"/>
      <c r="AH447" s="281"/>
      <c r="AI447" s="258"/>
      <c r="AJ447" s="258"/>
      <c r="AS447" s="282"/>
      <c r="AT447" s="283"/>
      <c r="AU447" s="282"/>
      <c r="AV447" s="284"/>
      <c r="AX447" s="285"/>
      <c r="AY447" s="285"/>
      <c r="BD447" s="1382" t="str">
        <f t="shared" si="19"/>
        <v/>
      </c>
      <c r="BE447" s="234"/>
      <c r="BF447" s="234"/>
      <c r="BG447" s="234"/>
      <c r="BH447" s="277"/>
      <c r="BK447" s="276"/>
      <c r="BL447" s="276"/>
      <c r="BM447" s="276"/>
      <c r="BN447" s="276"/>
      <c r="BO447" s="223"/>
      <c r="BP447" s="258"/>
      <c r="CC447" s="234"/>
      <c r="CG447" s="258"/>
      <c r="CH447" s="258"/>
      <c r="CI447" s="258"/>
      <c r="CJ447" s="256"/>
      <c r="CK447" s="258"/>
      <c r="CL447" s="258"/>
      <c r="CM447" s="258"/>
      <c r="CN447" s="258"/>
      <c r="CO447" s="258"/>
      <c r="CP447" s="258"/>
      <c r="CQ447" s="258"/>
      <c r="CR447" s="281"/>
      <c r="CS447" s="258"/>
      <c r="CT447" s="258"/>
      <c r="CU447" s="286"/>
      <c r="DH447" s="278"/>
      <c r="DJ447" s="270"/>
      <c r="DK447" s="1098"/>
      <c r="DL447" s="270"/>
      <c r="DM447" s="270"/>
      <c r="DN447" s="287"/>
      <c r="DO447" s="287"/>
      <c r="DP447" s="270"/>
      <c r="DQ447" s="270"/>
      <c r="DR447" s="270"/>
      <c r="DS447" s="270"/>
      <c r="DT447" s="270"/>
      <c r="DU447" s="1098"/>
      <c r="DV447" s="1098"/>
      <c r="DW447" s="1098"/>
      <c r="DX447" s="1098"/>
      <c r="DY447" s="1098"/>
      <c r="DZ447" s="1098"/>
      <c r="EA447" s="1098"/>
      <c r="EB447" s="1098"/>
      <c r="ED447" s="277"/>
      <c r="EE447" s="277"/>
      <c r="EF447" s="277"/>
      <c r="EH447" s="277"/>
    </row>
    <row r="448" spans="3:138" hidden="1">
      <c r="C448" s="276"/>
      <c r="D448" s="276"/>
      <c r="E448" s="276"/>
      <c r="F448" s="276"/>
      <c r="G448" s="276"/>
      <c r="H448" s="276"/>
      <c r="I448" s="276"/>
      <c r="J448" s="276"/>
      <c r="K448" s="276"/>
      <c r="L448" s="277"/>
      <c r="M448" s="256"/>
      <c r="N448" s="256"/>
      <c r="O448" s="256"/>
      <c r="P448" s="256"/>
      <c r="Q448" s="278"/>
      <c r="R448" s="279"/>
      <c r="S448" s="279"/>
      <c r="T448" s="279"/>
      <c r="AB448" s="280"/>
      <c r="AC448" s="223"/>
      <c r="AD448" s="223"/>
      <c r="AE448" s="223"/>
      <c r="AF448" s="281"/>
      <c r="AG448" s="281"/>
      <c r="AH448" s="281"/>
      <c r="AI448" s="258"/>
      <c r="AJ448" s="258"/>
      <c r="AS448" s="282"/>
      <c r="AT448" s="283"/>
      <c r="AU448" s="282"/>
      <c r="AV448" s="284"/>
      <c r="AX448" s="285"/>
      <c r="AY448" s="285"/>
      <c r="BD448" s="1382" t="str">
        <f t="shared" si="19"/>
        <v/>
      </c>
      <c r="BE448" s="234"/>
      <c r="BF448" s="234"/>
      <c r="BG448" s="234"/>
      <c r="BH448" s="277"/>
      <c r="BK448" s="276"/>
      <c r="BL448" s="276"/>
      <c r="BM448" s="276"/>
      <c r="BN448" s="276"/>
      <c r="BO448" s="223"/>
      <c r="BP448" s="258"/>
      <c r="CC448" s="234"/>
      <c r="CG448" s="258"/>
      <c r="CH448" s="258"/>
      <c r="CI448" s="258"/>
      <c r="CJ448" s="256"/>
      <c r="CK448" s="258"/>
      <c r="CL448" s="258"/>
      <c r="CM448" s="258"/>
      <c r="CN448" s="258"/>
      <c r="CO448" s="258"/>
      <c r="CP448" s="258"/>
      <c r="CQ448" s="258"/>
      <c r="CR448" s="281"/>
      <c r="CS448" s="258"/>
      <c r="CT448" s="258"/>
      <c r="CU448" s="286"/>
      <c r="DH448" s="278"/>
      <c r="DJ448" s="270"/>
      <c r="DK448" s="1098"/>
      <c r="DL448" s="270"/>
      <c r="DM448" s="270"/>
      <c r="DN448" s="287"/>
      <c r="DO448" s="287"/>
      <c r="DP448" s="270"/>
      <c r="DQ448" s="270"/>
      <c r="DR448" s="270"/>
      <c r="DS448" s="270"/>
      <c r="DT448" s="270"/>
      <c r="DU448" s="1098"/>
      <c r="DV448" s="1098"/>
      <c r="DW448" s="1098"/>
      <c r="DX448" s="1098"/>
      <c r="DY448" s="1098"/>
      <c r="DZ448" s="1098"/>
      <c r="EA448" s="1098"/>
      <c r="EB448" s="1098"/>
      <c r="ED448" s="277"/>
      <c r="EE448" s="277"/>
      <c r="EF448" s="277"/>
      <c r="EH448" s="277"/>
    </row>
    <row r="449" spans="3:138" hidden="1">
      <c r="C449" s="276"/>
      <c r="D449" s="276"/>
      <c r="E449" s="276"/>
      <c r="F449" s="276"/>
      <c r="G449" s="276"/>
      <c r="H449" s="276"/>
      <c r="I449" s="276"/>
      <c r="J449" s="276"/>
      <c r="K449" s="276"/>
      <c r="L449" s="277"/>
      <c r="M449" s="256"/>
      <c r="N449" s="256"/>
      <c r="O449" s="256"/>
      <c r="P449" s="256"/>
      <c r="Q449" s="278"/>
      <c r="R449" s="279"/>
      <c r="S449" s="279"/>
      <c r="T449" s="279"/>
      <c r="AB449" s="280"/>
      <c r="AC449" s="223"/>
      <c r="AD449" s="223"/>
      <c r="AE449" s="223"/>
      <c r="AF449" s="281"/>
      <c r="AG449" s="281"/>
      <c r="AH449" s="281"/>
      <c r="AI449" s="258"/>
      <c r="AJ449" s="258"/>
      <c r="AS449" s="282"/>
      <c r="AT449" s="283"/>
      <c r="AU449" s="282"/>
      <c r="AV449" s="284"/>
      <c r="AX449" s="285"/>
      <c r="AY449" s="285"/>
      <c r="BD449" s="1382" t="str">
        <f t="shared" si="19"/>
        <v/>
      </c>
      <c r="BE449" s="234"/>
      <c r="BF449" s="234"/>
      <c r="BG449" s="234"/>
      <c r="BH449" s="277"/>
      <c r="BK449" s="276"/>
      <c r="BL449" s="276"/>
      <c r="BM449" s="276"/>
      <c r="BN449" s="276"/>
      <c r="BO449" s="223"/>
      <c r="BP449" s="258"/>
      <c r="CC449" s="234"/>
      <c r="CG449" s="258"/>
      <c r="CH449" s="258"/>
      <c r="CI449" s="258"/>
      <c r="CJ449" s="256"/>
      <c r="CK449" s="258"/>
      <c r="CL449" s="258"/>
      <c r="CM449" s="258"/>
      <c r="CN449" s="258"/>
      <c r="CO449" s="258"/>
      <c r="CP449" s="258"/>
      <c r="CQ449" s="258"/>
      <c r="CR449" s="281"/>
      <c r="CS449" s="258"/>
      <c r="CT449" s="258"/>
      <c r="CU449" s="286"/>
      <c r="DH449" s="278"/>
      <c r="DJ449" s="270"/>
      <c r="DK449" s="1098"/>
      <c r="DL449" s="270"/>
      <c r="DM449" s="270"/>
      <c r="DN449" s="287"/>
      <c r="DO449" s="287"/>
      <c r="DP449" s="270"/>
      <c r="DQ449" s="270"/>
      <c r="DR449" s="270"/>
      <c r="DS449" s="270"/>
      <c r="DT449" s="270"/>
      <c r="DU449" s="1098"/>
      <c r="DV449" s="1098"/>
      <c r="DW449" s="1098"/>
      <c r="DX449" s="1098"/>
      <c r="DY449" s="1098"/>
      <c r="DZ449" s="1098"/>
      <c r="EA449" s="1098"/>
      <c r="EB449" s="1098"/>
      <c r="ED449" s="277"/>
      <c r="EE449" s="277"/>
      <c r="EF449" s="277"/>
      <c r="EH449" s="277"/>
    </row>
    <row r="450" spans="3:138" hidden="1">
      <c r="C450" s="276"/>
      <c r="D450" s="276"/>
      <c r="E450" s="276"/>
      <c r="F450" s="276"/>
      <c r="G450" s="276"/>
      <c r="H450" s="276"/>
      <c r="I450" s="276"/>
      <c r="J450" s="276"/>
      <c r="K450" s="276"/>
      <c r="L450" s="277"/>
      <c r="M450" s="256"/>
      <c r="N450" s="256"/>
      <c r="O450" s="256"/>
      <c r="P450" s="256"/>
      <c r="Q450" s="278"/>
      <c r="R450" s="279"/>
      <c r="S450" s="279"/>
      <c r="T450" s="279"/>
      <c r="AB450" s="280"/>
      <c r="AC450" s="223"/>
      <c r="AD450" s="223"/>
      <c r="AE450" s="223"/>
      <c r="AF450" s="281"/>
      <c r="AG450" s="281"/>
      <c r="AH450" s="281"/>
      <c r="AI450" s="258"/>
      <c r="AJ450" s="258"/>
      <c r="AS450" s="282"/>
      <c r="AT450" s="283"/>
      <c r="AU450" s="282"/>
      <c r="AV450" s="284"/>
      <c r="AX450" s="285"/>
      <c r="AY450" s="285"/>
      <c r="BD450" s="1382" t="str">
        <f t="shared" si="19"/>
        <v/>
      </c>
      <c r="BE450" s="234"/>
      <c r="BF450" s="234"/>
      <c r="BG450" s="234"/>
      <c r="BH450" s="277"/>
      <c r="BK450" s="276"/>
      <c r="BL450" s="276"/>
      <c r="BM450" s="276"/>
      <c r="BN450" s="276"/>
      <c r="BO450" s="223"/>
      <c r="BP450" s="258"/>
      <c r="CC450" s="234"/>
      <c r="CG450" s="258"/>
      <c r="CH450" s="258"/>
      <c r="CI450" s="258"/>
      <c r="CJ450" s="256"/>
      <c r="CK450" s="258"/>
      <c r="CL450" s="258"/>
      <c r="CM450" s="258"/>
      <c r="CN450" s="258"/>
      <c r="CO450" s="258"/>
      <c r="CP450" s="258"/>
      <c r="CQ450" s="258"/>
      <c r="CR450" s="281"/>
      <c r="CS450" s="258"/>
      <c r="CT450" s="258"/>
      <c r="CU450" s="286"/>
      <c r="DH450" s="278"/>
      <c r="DJ450" s="270"/>
      <c r="DK450" s="1098"/>
      <c r="DL450" s="270"/>
      <c r="DM450" s="270"/>
      <c r="DN450" s="287"/>
      <c r="DO450" s="287"/>
      <c r="DP450" s="270"/>
      <c r="DQ450" s="270"/>
      <c r="DR450" s="270"/>
      <c r="DS450" s="270"/>
      <c r="DT450" s="270"/>
      <c r="DU450" s="1098"/>
      <c r="DV450" s="1098"/>
      <c r="DW450" s="1098"/>
      <c r="DX450" s="1098"/>
      <c r="DY450" s="1098"/>
      <c r="DZ450" s="1098"/>
      <c r="EA450" s="1098"/>
      <c r="EB450" s="1098"/>
      <c r="ED450" s="277"/>
      <c r="EE450" s="277"/>
      <c r="EF450" s="277"/>
      <c r="EH450" s="277"/>
    </row>
    <row r="451" spans="3:138" hidden="1">
      <c r="C451" s="276"/>
      <c r="D451" s="276"/>
      <c r="E451" s="276"/>
      <c r="F451" s="276"/>
      <c r="G451" s="276"/>
      <c r="H451" s="276"/>
      <c r="I451" s="276"/>
      <c r="J451" s="276"/>
      <c r="K451" s="276"/>
      <c r="L451" s="277"/>
      <c r="M451" s="256"/>
      <c r="N451" s="256"/>
      <c r="O451" s="256"/>
      <c r="P451" s="256"/>
      <c r="Q451" s="278"/>
      <c r="R451" s="279"/>
      <c r="S451" s="279"/>
      <c r="T451" s="279"/>
      <c r="AB451" s="280"/>
      <c r="AC451" s="223"/>
      <c r="AD451" s="223"/>
      <c r="AE451" s="223"/>
      <c r="AF451" s="281"/>
      <c r="AG451" s="281"/>
      <c r="AH451" s="281"/>
      <c r="AI451" s="258"/>
      <c r="AJ451" s="258"/>
      <c r="AS451" s="282"/>
      <c r="AT451" s="283"/>
      <c r="AU451" s="282"/>
      <c r="AV451" s="284"/>
      <c r="AX451" s="285"/>
      <c r="AY451" s="285"/>
      <c r="BD451" s="1382" t="str">
        <f t="shared" si="19"/>
        <v/>
      </c>
      <c r="BE451" s="234"/>
      <c r="BF451" s="234"/>
      <c r="BG451" s="234"/>
      <c r="BH451" s="277"/>
      <c r="BK451" s="276"/>
      <c r="BL451" s="276"/>
      <c r="BM451" s="276"/>
      <c r="BN451" s="276"/>
      <c r="BO451" s="223"/>
      <c r="BP451" s="258"/>
      <c r="CC451" s="234"/>
      <c r="CG451" s="258"/>
      <c r="CH451" s="258"/>
      <c r="CI451" s="258"/>
      <c r="CJ451" s="256"/>
      <c r="CK451" s="258"/>
      <c r="CL451" s="258"/>
      <c r="CM451" s="258"/>
      <c r="CN451" s="258"/>
      <c r="CO451" s="258"/>
      <c r="CP451" s="258"/>
      <c r="CQ451" s="258"/>
      <c r="CR451" s="281"/>
      <c r="CS451" s="258"/>
      <c r="CT451" s="258"/>
      <c r="CU451" s="286"/>
      <c r="DH451" s="278"/>
      <c r="DJ451" s="270"/>
      <c r="DK451" s="1098"/>
      <c r="DL451" s="270"/>
      <c r="DM451" s="270"/>
      <c r="DN451" s="287"/>
      <c r="DO451" s="287"/>
      <c r="DP451" s="270"/>
      <c r="DQ451" s="270"/>
      <c r="DR451" s="270"/>
      <c r="DS451" s="270"/>
      <c r="DT451" s="270"/>
      <c r="DU451" s="1098"/>
      <c r="DV451" s="1098"/>
      <c r="DW451" s="1098"/>
      <c r="DX451" s="1098"/>
      <c r="DY451" s="1098"/>
      <c r="DZ451" s="1098"/>
      <c r="EA451" s="1098"/>
      <c r="EB451" s="1098"/>
      <c r="ED451" s="277"/>
      <c r="EE451" s="277"/>
      <c r="EF451" s="277"/>
      <c r="EH451" s="277"/>
    </row>
    <row r="452" spans="3:138" hidden="1">
      <c r="C452" s="276"/>
      <c r="D452" s="276"/>
      <c r="E452" s="276"/>
      <c r="F452" s="276"/>
      <c r="G452" s="276"/>
      <c r="H452" s="276"/>
      <c r="I452" s="276"/>
      <c r="J452" s="276"/>
      <c r="K452" s="276"/>
      <c r="L452" s="277"/>
      <c r="M452" s="256"/>
      <c r="N452" s="256"/>
      <c r="O452" s="256"/>
      <c r="P452" s="256"/>
      <c r="Q452" s="278"/>
      <c r="R452" s="279"/>
      <c r="S452" s="279"/>
      <c r="T452" s="279"/>
      <c r="AB452" s="280"/>
      <c r="AC452" s="223"/>
      <c r="AD452" s="223"/>
      <c r="AE452" s="223"/>
      <c r="AF452" s="281"/>
      <c r="AG452" s="281"/>
      <c r="AH452" s="281"/>
      <c r="AI452" s="258"/>
      <c r="AJ452" s="258"/>
      <c r="AS452" s="282"/>
      <c r="AT452" s="283"/>
      <c r="AU452" s="282"/>
      <c r="AV452" s="284"/>
      <c r="AX452" s="285"/>
      <c r="AY452" s="285"/>
      <c r="BD452" s="1382" t="str">
        <f t="shared" si="19"/>
        <v/>
      </c>
      <c r="BE452" s="234"/>
      <c r="BF452" s="234"/>
      <c r="BG452" s="234"/>
      <c r="BH452" s="277"/>
      <c r="BK452" s="276"/>
      <c r="BL452" s="276"/>
      <c r="BM452" s="276"/>
      <c r="BN452" s="276"/>
      <c r="BO452" s="223"/>
      <c r="BP452" s="258"/>
      <c r="CC452" s="234"/>
      <c r="CG452" s="258"/>
      <c r="CH452" s="258"/>
      <c r="CI452" s="258"/>
      <c r="CJ452" s="256"/>
      <c r="CK452" s="258"/>
      <c r="CL452" s="258"/>
      <c r="CM452" s="258"/>
      <c r="CN452" s="258"/>
      <c r="CO452" s="258"/>
      <c r="CP452" s="258"/>
      <c r="CQ452" s="258"/>
      <c r="CR452" s="281"/>
      <c r="CS452" s="258"/>
      <c r="CT452" s="258"/>
      <c r="CU452" s="286"/>
      <c r="DH452" s="278"/>
      <c r="DJ452" s="270"/>
      <c r="DK452" s="1098"/>
      <c r="DL452" s="270"/>
      <c r="DM452" s="270"/>
      <c r="DN452" s="287"/>
      <c r="DO452" s="287"/>
      <c r="DP452" s="270"/>
      <c r="DQ452" s="270"/>
      <c r="DR452" s="270"/>
      <c r="DS452" s="270"/>
      <c r="DT452" s="270"/>
      <c r="DU452" s="1098"/>
      <c r="DV452" s="1098"/>
      <c r="DW452" s="1098"/>
      <c r="DX452" s="1098"/>
      <c r="DY452" s="1098"/>
      <c r="DZ452" s="1098"/>
      <c r="EA452" s="1098"/>
      <c r="EB452" s="1098"/>
      <c r="ED452" s="277"/>
      <c r="EE452" s="277"/>
      <c r="EF452" s="277"/>
      <c r="EH452" s="277"/>
    </row>
    <row r="453" spans="3:138" hidden="1">
      <c r="C453" s="276"/>
      <c r="D453" s="276"/>
      <c r="E453" s="276"/>
      <c r="F453" s="276"/>
      <c r="G453" s="276"/>
      <c r="H453" s="276"/>
      <c r="I453" s="276"/>
      <c r="J453" s="276"/>
      <c r="K453" s="276"/>
      <c r="L453" s="277"/>
      <c r="M453" s="256"/>
      <c r="N453" s="256"/>
      <c r="O453" s="256"/>
      <c r="P453" s="256"/>
      <c r="Q453" s="278"/>
      <c r="R453" s="279"/>
      <c r="S453" s="279"/>
      <c r="T453" s="279"/>
      <c r="AB453" s="280"/>
      <c r="AC453" s="223"/>
      <c r="AD453" s="223"/>
      <c r="AE453" s="223"/>
      <c r="AF453" s="281"/>
      <c r="AG453" s="281"/>
      <c r="AH453" s="281"/>
      <c r="AI453" s="258"/>
      <c r="AJ453" s="258"/>
      <c r="AS453" s="282"/>
      <c r="AT453" s="283"/>
      <c r="AU453" s="282"/>
      <c r="AV453" s="284"/>
      <c r="AX453" s="285"/>
      <c r="AY453" s="285"/>
      <c r="BD453" s="1382" t="str">
        <f t="shared" si="19"/>
        <v/>
      </c>
      <c r="BE453" s="234"/>
      <c r="BF453" s="234"/>
      <c r="BG453" s="234"/>
      <c r="BH453" s="277"/>
      <c r="BK453" s="276"/>
      <c r="BL453" s="276"/>
      <c r="BM453" s="276"/>
      <c r="BN453" s="276"/>
      <c r="BO453" s="223"/>
      <c r="BP453" s="258"/>
      <c r="CC453" s="234"/>
      <c r="CG453" s="258"/>
      <c r="CH453" s="258"/>
      <c r="CI453" s="258"/>
      <c r="CJ453" s="256"/>
      <c r="CK453" s="258"/>
      <c r="CL453" s="258"/>
      <c r="CM453" s="258"/>
      <c r="CN453" s="258"/>
      <c r="CO453" s="258"/>
      <c r="CP453" s="258"/>
      <c r="CQ453" s="258"/>
      <c r="CR453" s="281"/>
      <c r="CS453" s="258"/>
      <c r="CT453" s="258"/>
      <c r="CU453" s="286"/>
      <c r="DH453" s="278"/>
      <c r="DJ453" s="270"/>
      <c r="DK453" s="1098"/>
      <c r="DL453" s="270"/>
      <c r="DM453" s="270"/>
      <c r="DN453" s="287"/>
      <c r="DO453" s="287"/>
      <c r="DP453" s="270"/>
      <c r="DQ453" s="270"/>
      <c r="DR453" s="270"/>
      <c r="DS453" s="270"/>
      <c r="DT453" s="270"/>
      <c r="DU453" s="1098"/>
      <c r="DV453" s="1098"/>
      <c r="DW453" s="1098"/>
      <c r="DX453" s="1098"/>
      <c r="DY453" s="1098"/>
      <c r="DZ453" s="1098"/>
      <c r="EA453" s="1098"/>
      <c r="EB453" s="1098"/>
      <c r="ED453" s="277"/>
      <c r="EE453" s="277"/>
      <c r="EF453" s="277"/>
      <c r="EH453" s="277"/>
    </row>
    <row r="454" spans="3:138" hidden="1">
      <c r="C454" s="276"/>
      <c r="D454" s="276"/>
      <c r="E454" s="276"/>
      <c r="F454" s="276"/>
      <c r="G454" s="276"/>
      <c r="H454" s="276"/>
      <c r="I454" s="276"/>
      <c r="J454" s="276"/>
      <c r="K454" s="276"/>
      <c r="L454" s="277"/>
      <c r="M454" s="256"/>
      <c r="N454" s="256"/>
      <c r="O454" s="256"/>
      <c r="P454" s="256"/>
      <c r="Q454" s="278"/>
      <c r="R454" s="279"/>
      <c r="S454" s="279"/>
      <c r="T454" s="279"/>
      <c r="AB454" s="280"/>
      <c r="AC454" s="223"/>
      <c r="AD454" s="223"/>
      <c r="AE454" s="223"/>
      <c r="AF454" s="281"/>
      <c r="AG454" s="281"/>
      <c r="AH454" s="281"/>
      <c r="AI454" s="258"/>
      <c r="AJ454" s="258"/>
      <c r="AS454" s="282"/>
      <c r="AT454" s="283"/>
      <c r="AU454" s="282"/>
      <c r="AV454" s="284"/>
      <c r="AX454" s="285"/>
      <c r="AY454" s="285"/>
      <c r="BD454" s="1382" t="str">
        <f t="shared" si="19"/>
        <v/>
      </c>
      <c r="BE454" s="234"/>
      <c r="BF454" s="234"/>
      <c r="BG454" s="234"/>
      <c r="BH454" s="277"/>
      <c r="BK454" s="276"/>
      <c r="BL454" s="276"/>
      <c r="BM454" s="276"/>
      <c r="BN454" s="276"/>
      <c r="BO454" s="223"/>
      <c r="BP454" s="258"/>
      <c r="CC454" s="234"/>
      <c r="CG454" s="258"/>
      <c r="CH454" s="258"/>
      <c r="CI454" s="258"/>
      <c r="CJ454" s="256"/>
      <c r="CK454" s="258"/>
      <c r="CL454" s="258"/>
      <c r="CM454" s="258"/>
      <c r="CN454" s="258"/>
      <c r="CO454" s="258"/>
      <c r="CP454" s="258"/>
      <c r="CQ454" s="258"/>
      <c r="CR454" s="281"/>
      <c r="CS454" s="258"/>
      <c r="CT454" s="258"/>
      <c r="CU454" s="286"/>
      <c r="DH454" s="278"/>
      <c r="DJ454" s="270"/>
      <c r="DK454" s="1098"/>
      <c r="DL454" s="270"/>
      <c r="DM454" s="270"/>
      <c r="DN454" s="287"/>
      <c r="DO454" s="287"/>
      <c r="DP454" s="270"/>
      <c r="DQ454" s="270"/>
      <c r="DR454" s="270"/>
      <c r="DS454" s="270"/>
      <c r="DT454" s="270"/>
      <c r="DU454" s="1098"/>
      <c r="DV454" s="1098"/>
      <c r="DW454" s="1098"/>
      <c r="DX454" s="1098"/>
      <c r="DY454" s="1098"/>
      <c r="DZ454" s="1098"/>
      <c r="EA454" s="1098"/>
      <c r="EB454" s="1098"/>
      <c r="ED454" s="277"/>
      <c r="EE454" s="277"/>
      <c r="EF454" s="277"/>
      <c r="EH454" s="277"/>
    </row>
    <row r="455" spans="3:138" hidden="1">
      <c r="C455" s="276"/>
      <c r="D455" s="276"/>
      <c r="E455" s="276"/>
      <c r="F455" s="276"/>
      <c r="G455" s="276"/>
      <c r="H455" s="276"/>
      <c r="I455" s="276"/>
      <c r="J455" s="276"/>
      <c r="K455" s="276"/>
      <c r="L455" s="277"/>
      <c r="M455" s="256"/>
      <c r="N455" s="256"/>
      <c r="O455" s="256"/>
      <c r="P455" s="256"/>
      <c r="Q455" s="278"/>
      <c r="R455" s="279"/>
      <c r="S455" s="279"/>
      <c r="T455" s="279"/>
      <c r="AB455" s="280"/>
      <c r="AC455" s="223"/>
      <c r="AD455" s="223"/>
      <c r="AE455" s="223"/>
      <c r="AF455" s="281"/>
      <c r="AG455" s="281"/>
      <c r="AH455" s="281"/>
      <c r="AI455" s="258"/>
      <c r="AJ455" s="258"/>
      <c r="AS455" s="282"/>
      <c r="AT455" s="283"/>
      <c r="AU455" s="282"/>
      <c r="AV455" s="284"/>
      <c r="AX455" s="285"/>
      <c r="AY455" s="285"/>
      <c r="BD455" s="1382" t="str">
        <f t="shared" ref="BD455:BD486" si="20">IF(B455="S",(IF(O455=1.2,IF((H455-J455)&lt;=1.2,H455-J455,H455-J455-0.95))),"")</f>
        <v/>
      </c>
      <c r="BE455" s="234"/>
      <c r="BF455" s="234"/>
      <c r="BG455" s="234"/>
      <c r="BH455" s="277"/>
      <c r="BK455" s="276"/>
      <c r="BL455" s="276"/>
      <c r="BM455" s="276"/>
      <c r="BN455" s="276"/>
      <c r="BO455" s="223"/>
      <c r="BP455" s="258"/>
      <c r="CC455" s="234"/>
      <c r="CG455" s="258"/>
      <c r="CH455" s="258"/>
      <c r="CI455" s="258"/>
      <c r="CJ455" s="256"/>
      <c r="CK455" s="258"/>
      <c r="CL455" s="258"/>
      <c r="CM455" s="258"/>
      <c r="CN455" s="258"/>
      <c r="CO455" s="258"/>
      <c r="CP455" s="258"/>
      <c r="CQ455" s="258"/>
      <c r="CR455" s="281"/>
      <c r="CS455" s="258"/>
      <c r="CT455" s="258"/>
      <c r="CU455" s="286"/>
      <c r="DH455" s="278"/>
      <c r="DJ455" s="270"/>
      <c r="DK455" s="1098"/>
      <c r="DL455" s="270"/>
      <c r="DM455" s="270"/>
      <c r="DN455" s="287"/>
      <c r="DO455" s="287"/>
      <c r="DP455" s="270"/>
      <c r="DQ455" s="270"/>
      <c r="DR455" s="270"/>
      <c r="DS455" s="270"/>
      <c r="DT455" s="270"/>
      <c r="DU455" s="1098"/>
      <c r="DV455" s="1098"/>
      <c r="DW455" s="1098"/>
      <c r="DX455" s="1098"/>
      <c r="DY455" s="1098"/>
      <c r="DZ455" s="1098"/>
      <c r="EA455" s="1098"/>
      <c r="EB455" s="1098"/>
      <c r="ED455" s="277"/>
      <c r="EE455" s="277"/>
      <c r="EF455" s="277"/>
      <c r="EH455" s="277"/>
    </row>
    <row r="456" spans="3:138" hidden="1">
      <c r="C456" s="276"/>
      <c r="D456" s="276"/>
      <c r="E456" s="276"/>
      <c r="F456" s="276"/>
      <c r="G456" s="276"/>
      <c r="H456" s="276"/>
      <c r="I456" s="276"/>
      <c r="J456" s="276"/>
      <c r="K456" s="276"/>
      <c r="L456" s="277"/>
      <c r="M456" s="256"/>
      <c r="N456" s="256"/>
      <c r="O456" s="256"/>
      <c r="P456" s="256"/>
      <c r="Q456" s="278"/>
      <c r="R456" s="279"/>
      <c r="S456" s="279"/>
      <c r="T456" s="279"/>
      <c r="AB456" s="280"/>
      <c r="AC456" s="223"/>
      <c r="AD456" s="223"/>
      <c r="AE456" s="223"/>
      <c r="AF456" s="281"/>
      <c r="AG456" s="281"/>
      <c r="AH456" s="281"/>
      <c r="AI456" s="258"/>
      <c r="AJ456" s="258"/>
      <c r="AS456" s="282"/>
      <c r="AT456" s="283"/>
      <c r="AU456" s="282"/>
      <c r="AV456" s="284"/>
      <c r="AX456" s="285"/>
      <c r="AY456" s="285"/>
      <c r="BD456" s="1382" t="str">
        <f t="shared" si="20"/>
        <v/>
      </c>
      <c r="BE456" s="234"/>
      <c r="BF456" s="234"/>
      <c r="BG456" s="234"/>
      <c r="BH456" s="277"/>
      <c r="BK456" s="276"/>
      <c r="BL456" s="276"/>
      <c r="BM456" s="276"/>
      <c r="BN456" s="276"/>
      <c r="BO456" s="223"/>
      <c r="BP456" s="258"/>
      <c r="CC456" s="234"/>
      <c r="CG456" s="258"/>
      <c r="CH456" s="258"/>
      <c r="CI456" s="258"/>
      <c r="CJ456" s="256"/>
      <c r="CK456" s="258"/>
      <c r="CL456" s="258"/>
      <c r="CM456" s="258"/>
      <c r="CN456" s="258"/>
      <c r="CO456" s="258"/>
      <c r="CP456" s="258"/>
      <c r="CQ456" s="258"/>
      <c r="CR456" s="281"/>
      <c r="CS456" s="258"/>
      <c r="CT456" s="258"/>
      <c r="CU456" s="286"/>
      <c r="DH456" s="278"/>
      <c r="DJ456" s="270"/>
      <c r="DK456" s="1098"/>
      <c r="DL456" s="270"/>
      <c r="DM456" s="270"/>
      <c r="DN456" s="287"/>
      <c r="DO456" s="287"/>
      <c r="DP456" s="270"/>
      <c r="DQ456" s="270"/>
      <c r="DR456" s="270"/>
      <c r="DS456" s="270"/>
      <c r="DT456" s="270"/>
      <c r="DU456" s="1098"/>
      <c r="DV456" s="1098"/>
      <c r="DW456" s="1098"/>
      <c r="DX456" s="1098"/>
      <c r="DY456" s="1098"/>
      <c r="DZ456" s="1098"/>
      <c r="EA456" s="1098"/>
      <c r="EB456" s="1098"/>
      <c r="ED456" s="277"/>
      <c r="EE456" s="277"/>
      <c r="EF456" s="277"/>
      <c r="EH456" s="277"/>
    </row>
    <row r="457" spans="3:138" hidden="1">
      <c r="C457" s="276"/>
      <c r="D457" s="276"/>
      <c r="E457" s="276"/>
      <c r="F457" s="276"/>
      <c r="G457" s="276"/>
      <c r="H457" s="276"/>
      <c r="I457" s="276"/>
      <c r="J457" s="276"/>
      <c r="K457" s="276"/>
      <c r="L457" s="277"/>
      <c r="M457" s="256"/>
      <c r="N457" s="256"/>
      <c r="O457" s="256"/>
      <c r="P457" s="256"/>
      <c r="Q457" s="278"/>
      <c r="R457" s="279"/>
      <c r="S457" s="279"/>
      <c r="T457" s="279"/>
      <c r="AB457" s="280"/>
      <c r="AC457" s="223"/>
      <c r="AD457" s="223"/>
      <c r="AE457" s="223"/>
      <c r="AF457" s="281"/>
      <c r="AG457" s="281"/>
      <c r="AH457" s="281"/>
      <c r="AI457" s="258"/>
      <c r="AJ457" s="258"/>
      <c r="AS457" s="282"/>
      <c r="AT457" s="283"/>
      <c r="AU457" s="282"/>
      <c r="AV457" s="284"/>
      <c r="AX457" s="285"/>
      <c r="AY457" s="285"/>
      <c r="BD457" s="1382" t="str">
        <f t="shared" si="20"/>
        <v/>
      </c>
      <c r="BE457" s="234"/>
      <c r="BF457" s="234"/>
      <c r="BG457" s="234"/>
      <c r="BH457" s="277"/>
      <c r="BK457" s="276"/>
      <c r="BL457" s="276"/>
      <c r="BM457" s="276"/>
      <c r="BN457" s="276"/>
      <c r="BO457" s="223"/>
      <c r="BP457" s="258"/>
      <c r="CC457" s="234"/>
      <c r="CG457" s="258"/>
      <c r="CH457" s="258"/>
      <c r="CI457" s="258"/>
      <c r="CJ457" s="256"/>
      <c r="CK457" s="258"/>
      <c r="CL457" s="258"/>
      <c r="CM457" s="258"/>
      <c r="CN457" s="258"/>
      <c r="CO457" s="258"/>
      <c r="CP457" s="258"/>
      <c r="CQ457" s="258"/>
      <c r="CR457" s="281"/>
      <c r="CS457" s="258"/>
      <c r="CT457" s="258"/>
      <c r="CU457" s="286"/>
      <c r="DH457" s="278"/>
      <c r="DJ457" s="270"/>
      <c r="DK457" s="1098"/>
      <c r="DL457" s="270"/>
      <c r="DM457" s="270"/>
      <c r="DN457" s="287"/>
      <c r="DO457" s="287"/>
      <c r="DP457" s="270"/>
      <c r="DQ457" s="270"/>
      <c r="DR457" s="270"/>
      <c r="DS457" s="270"/>
      <c r="DT457" s="270"/>
      <c r="DU457" s="1098"/>
      <c r="DV457" s="1098"/>
      <c r="DW457" s="1098"/>
      <c r="DX457" s="1098"/>
      <c r="DY457" s="1098"/>
      <c r="DZ457" s="1098"/>
      <c r="EA457" s="1098"/>
      <c r="EB457" s="1098"/>
      <c r="ED457" s="277"/>
      <c r="EE457" s="277"/>
      <c r="EF457" s="277"/>
      <c r="EH457" s="277"/>
    </row>
    <row r="458" spans="3:138" hidden="1">
      <c r="C458" s="276"/>
      <c r="D458" s="276"/>
      <c r="E458" s="276"/>
      <c r="F458" s="276"/>
      <c r="G458" s="276"/>
      <c r="H458" s="276"/>
      <c r="I458" s="276"/>
      <c r="J458" s="276"/>
      <c r="K458" s="276"/>
      <c r="L458" s="277"/>
      <c r="M458" s="256"/>
      <c r="N458" s="256"/>
      <c r="O458" s="256"/>
      <c r="P458" s="256"/>
      <c r="Q458" s="278"/>
      <c r="R458" s="279"/>
      <c r="S458" s="279"/>
      <c r="T458" s="279"/>
      <c r="AB458" s="280"/>
      <c r="AC458" s="223"/>
      <c r="AD458" s="223"/>
      <c r="AE458" s="223"/>
      <c r="AF458" s="281"/>
      <c r="AG458" s="281"/>
      <c r="AH458" s="281"/>
      <c r="AI458" s="258"/>
      <c r="AJ458" s="258"/>
      <c r="AS458" s="282"/>
      <c r="AT458" s="283"/>
      <c r="AU458" s="282"/>
      <c r="AV458" s="284"/>
      <c r="AX458" s="285"/>
      <c r="AY458" s="285"/>
      <c r="BD458" s="1382" t="str">
        <f t="shared" si="20"/>
        <v/>
      </c>
      <c r="BE458" s="234"/>
      <c r="BF458" s="234"/>
      <c r="BG458" s="234"/>
      <c r="BH458" s="277"/>
      <c r="BK458" s="276"/>
      <c r="BL458" s="276"/>
      <c r="BM458" s="276"/>
      <c r="BN458" s="276"/>
      <c r="BO458" s="223"/>
      <c r="BP458" s="258"/>
      <c r="CC458" s="234"/>
      <c r="CG458" s="258"/>
      <c r="CH458" s="258"/>
      <c r="CI458" s="258"/>
      <c r="CJ458" s="256"/>
      <c r="CK458" s="258"/>
      <c r="CL458" s="258"/>
      <c r="CM458" s="258"/>
      <c r="CN458" s="258"/>
      <c r="CO458" s="258"/>
      <c r="CP458" s="258"/>
      <c r="CQ458" s="258"/>
      <c r="CR458" s="281"/>
      <c r="CS458" s="258"/>
      <c r="CT458" s="258"/>
      <c r="CU458" s="286"/>
      <c r="DH458" s="278"/>
      <c r="DJ458" s="270"/>
      <c r="DK458" s="1098"/>
      <c r="DL458" s="270"/>
      <c r="DM458" s="270"/>
      <c r="DN458" s="287"/>
      <c r="DO458" s="287"/>
      <c r="DP458" s="270"/>
      <c r="DQ458" s="270"/>
      <c r="DR458" s="270"/>
      <c r="DS458" s="270"/>
      <c r="DT458" s="270"/>
      <c r="DU458" s="1098"/>
      <c r="DV458" s="1098"/>
      <c r="DW458" s="1098"/>
      <c r="DX458" s="1098"/>
      <c r="DY458" s="1098"/>
      <c r="DZ458" s="1098"/>
      <c r="EA458" s="1098"/>
      <c r="EB458" s="1098"/>
      <c r="ED458" s="277"/>
      <c r="EE458" s="277"/>
      <c r="EF458" s="277"/>
      <c r="EH458" s="277"/>
    </row>
    <row r="459" spans="3:138" hidden="1">
      <c r="C459" s="276"/>
      <c r="D459" s="276"/>
      <c r="E459" s="276"/>
      <c r="F459" s="276"/>
      <c r="G459" s="276"/>
      <c r="H459" s="276"/>
      <c r="I459" s="276"/>
      <c r="J459" s="276"/>
      <c r="K459" s="276"/>
      <c r="L459" s="277"/>
      <c r="M459" s="256"/>
      <c r="N459" s="256"/>
      <c r="O459" s="256"/>
      <c r="P459" s="256"/>
      <c r="Q459" s="278"/>
      <c r="R459" s="279"/>
      <c r="S459" s="279"/>
      <c r="T459" s="279"/>
      <c r="AB459" s="280"/>
      <c r="AC459" s="223"/>
      <c r="AD459" s="223"/>
      <c r="AE459" s="223"/>
      <c r="AF459" s="281"/>
      <c r="AG459" s="281"/>
      <c r="AH459" s="281"/>
      <c r="AI459" s="258"/>
      <c r="AJ459" s="258"/>
      <c r="AS459" s="282"/>
      <c r="AT459" s="283"/>
      <c r="AU459" s="282"/>
      <c r="AV459" s="284"/>
      <c r="AX459" s="285"/>
      <c r="AY459" s="285"/>
      <c r="BD459" s="1382" t="str">
        <f t="shared" si="20"/>
        <v/>
      </c>
      <c r="BE459" s="234"/>
      <c r="BF459" s="234"/>
      <c r="BG459" s="234"/>
      <c r="BH459" s="277"/>
      <c r="BK459" s="276"/>
      <c r="BL459" s="276"/>
      <c r="BM459" s="276"/>
      <c r="BN459" s="276"/>
      <c r="BO459" s="223"/>
      <c r="BP459" s="258"/>
      <c r="CC459" s="234"/>
      <c r="CG459" s="258"/>
      <c r="CH459" s="258"/>
      <c r="CI459" s="258"/>
      <c r="CJ459" s="256"/>
      <c r="CK459" s="258"/>
      <c r="CL459" s="258"/>
      <c r="CM459" s="258"/>
      <c r="CN459" s="258"/>
      <c r="CO459" s="258"/>
      <c r="CP459" s="258"/>
      <c r="CQ459" s="258"/>
      <c r="CR459" s="281"/>
      <c r="CS459" s="258"/>
      <c r="CT459" s="258"/>
      <c r="CU459" s="286"/>
      <c r="DH459" s="278"/>
      <c r="DJ459" s="270"/>
      <c r="DK459" s="1098"/>
      <c r="DL459" s="270"/>
      <c r="DM459" s="270"/>
      <c r="DN459" s="287"/>
      <c r="DO459" s="287"/>
      <c r="DP459" s="270"/>
      <c r="DQ459" s="270"/>
      <c r="DR459" s="270"/>
      <c r="DS459" s="270"/>
      <c r="DT459" s="270"/>
      <c r="DU459" s="1098"/>
      <c r="DV459" s="1098"/>
      <c r="DW459" s="1098"/>
      <c r="DX459" s="1098"/>
      <c r="DY459" s="1098"/>
      <c r="DZ459" s="1098"/>
      <c r="EA459" s="1098"/>
      <c r="EB459" s="1098"/>
      <c r="ED459" s="277"/>
      <c r="EE459" s="277"/>
      <c r="EF459" s="277"/>
      <c r="EH459" s="277"/>
    </row>
    <row r="460" spans="3:138" hidden="1">
      <c r="C460" s="276"/>
      <c r="D460" s="276"/>
      <c r="E460" s="276"/>
      <c r="F460" s="276"/>
      <c r="G460" s="276"/>
      <c r="H460" s="276"/>
      <c r="I460" s="276"/>
      <c r="J460" s="276"/>
      <c r="K460" s="276"/>
      <c r="L460" s="277"/>
      <c r="M460" s="256"/>
      <c r="N460" s="256"/>
      <c r="O460" s="256"/>
      <c r="P460" s="256"/>
      <c r="Q460" s="278"/>
      <c r="R460" s="279"/>
      <c r="S460" s="279"/>
      <c r="T460" s="279"/>
      <c r="AB460" s="280"/>
      <c r="AC460" s="223"/>
      <c r="AD460" s="223"/>
      <c r="AE460" s="223"/>
      <c r="AF460" s="281"/>
      <c r="AG460" s="281"/>
      <c r="AH460" s="281"/>
      <c r="AI460" s="258"/>
      <c r="AJ460" s="258"/>
      <c r="AS460" s="282"/>
      <c r="AT460" s="283"/>
      <c r="AU460" s="282"/>
      <c r="AV460" s="284"/>
      <c r="AX460" s="285"/>
      <c r="AY460" s="285"/>
      <c r="BD460" s="1382" t="str">
        <f t="shared" si="20"/>
        <v/>
      </c>
      <c r="BE460" s="234"/>
      <c r="BF460" s="234"/>
      <c r="BG460" s="234"/>
      <c r="BH460" s="277"/>
      <c r="BK460" s="276"/>
      <c r="BL460" s="276"/>
      <c r="BM460" s="276"/>
      <c r="BN460" s="276"/>
      <c r="BO460" s="223"/>
      <c r="BP460" s="258"/>
      <c r="CC460" s="234"/>
      <c r="CG460" s="258"/>
      <c r="CH460" s="258"/>
      <c r="CI460" s="258"/>
      <c r="CJ460" s="256"/>
      <c r="CK460" s="258"/>
      <c r="CL460" s="258"/>
      <c r="CM460" s="258"/>
      <c r="CN460" s="258"/>
      <c r="CO460" s="258"/>
      <c r="CP460" s="258"/>
      <c r="CQ460" s="258"/>
      <c r="CR460" s="281"/>
      <c r="CS460" s="258"/>
      <c r="CT460" s="258"/>
      <c r="CU460" s="286"/>
      <c r="DH460" s="278"/>
      <c r="DJ460" s="270"/>
      <c r="DK460" s="1098"/>
      <c r="DL460" s="270"/>
      <c r="DM460" s="270"/>
      <c r="DN460" s="287"/>
      <c r="DO460" s="287"/>
      <c r="DP460" s="270"/>
      <c r="DQ460" s="270"/>
      <c r="DR460" s="270"/>
      <c r="DS460" s="270"/>
      <c r="DT460" s="270"/>
      <c r="DU460" s="1098"/>
      <c r="DV460" s="1098"/>
      <c r="DW460" s="1098"/>
      <c r="DX460" s="1098"/>
      <c r="DY460" s="1098"/>
      <c r="DZ460" s="1098"/>
      <c r="EA460" s="1098"/>
      <c r="EB460" s="1098"/>
      <c r="ED460" s="277"/>
      <c r="EE460" s="277"/>
      <c r="EF460" s="277"/>
      <c r="EH460" s="277"/>
    </row>
    <row r="461" spans="3:138" hidden="1">
      <c r="C461" s="276"/>
      <c r="D461" s="276"/>
      <c r="E461" s="276"/>
      <c r="F461" s="276"/>
      <c r="G461" s="276"/>
      <c r="H461" s="276"/>
      <c r="I461" s="276"/>
      <c r="J461" s="276"/>
      <c r="K461" s="276"/>
      <c r="L461" s="277"/>
      <c r="M461" s="256"/>
      <c r="N461" s="256"/>
      <c r="O461" s="256"/>
      <c r="P461" s="256"/>
      <c r="Q461" s="278"/>
      <c r="R461" s="279"/>
      <c r="S461" s="279"/>
      <c r="T461" s="279"/>
      <c r="AB461" s="280"/>
      <c r="AC461" s="223"/>
      <c r="AD461" s="223"/>
      <c r="AE461" s="223"/>
      <c r="AF461" s="281"/>
      <c r="AG461" s="281"/>
      <c r="AH461" s="281"/>
      <c r="AI461" s="258"/>
      <c r="AJ461" s="258"/>
      <c r="AS461" s="282"/>
      <c r="AT461" s="283"/>
      <c r="AU461" s="282"/>
      <c r="AV461" s="284"/>
      <c r="AX461" s="285"/>
      <c r="AY461" s="285"/>
      <c r="BD461" s="1382" t="str">
        <f t="shared" si="20"/>
        <v/>
      </c>
      <c r="BE461" s="234"/>
      <c r="BF461" s="234"/>
      <c r="BG461" s="234"/>
      <c r="BH461" s="277"/>
      <c r="BK461" s="276"/>
      <c r="BL461" s="276"/>
      <c r="BM461" s="276"/>
      <c r="BN461" s="276"/>
      <c r="BO461" s="223"/>
      <c r="BP461" s="258"/>
      <c r="CC461" s="234"/>
      <c r="CG461" s="258"/>
      <c r="CH461" s="258"/>
      <c r="CI461" s="258"/>
      <c r="CJ461" s="256"/>
      <c r="CK461" s="258"/>
      <c r="CL461" s="258"/>
      <c r="CM461" s="258"/>
      <c r="CN461" s="258"/>
      <c r="CO461" s="258"/>
      <c r="CP461" s="258"/>
      <c r="CQ461" s="258"/>
      <c r="CR461" s="281"/>
      <c r="CS461" s="258"/>
      <c r="CT461" s="258"/>
      <c r="CU461" s="286"/>
      <c r="DH461" s="278"/>
      <c r="DJ461" s="270"/>
      <c r="DK461" s="1098"/>
      <c r="DL461" s="270"/>
      <c r="DM461" s="270"/>
      <c r="DN461" s="287"/>
      <c r="DO461" s="287"/>
      <c r="DP461" s="270"/>
      <c r="DQ461" s="270"/>
      <c r="DR461" s="270"/>
      <c r="DS461" s="270"/>
      <c r="DT461" s="270"/>
      <c r="DU461" s="1098"/>
      <c r="DV461" s="1098"/>
      <c r="DW461" s="1098"/>
      <c r="DX461" s="1098"/>
      <c r="DY461" s="1098"/>
      <c r="DZ461" s="1098"/>
      <c r="EA461" s="1098"/>
      <c r="EB461" s="1098"/>
      <c r="ED461" s="277"/>
      <c r="EE461" s="277"/>
      <c r="EF461" s="277"/>
      <c r="EH461" s="277"/>
    </row>
    <row r="462" spans="3:138" hidden="1">
      <c r="C462" s="276"/>
      <c r="D462" s="276"/>
      <c r="E462" s="276"/>
      <c r="F462" s="276"/>
      <c r="G462" s="276"/>
      <c r="H462" s="276"/>
      <c r="I462" s="276"/>
      <c r="J462" s="276"/>
      <c r="K462" s="276"/>
      <c r="L462" s="277"/>
      <c r="M462" s="256"/>
      <c r="N462" s="256"/>
      <c r="O462" s="256"/>
      <c r="P462" s="256"/>
      <c r="Q462" s="278"/>
      <c r="R462" s="279"/>
      <c r="S462" s="279"/>
      <c r="T462" s="279"/>
      <c r="AB462" s="280"/>
      <c r="AC462" s="223"/>
      <c r="AD462" s="223"/>
      <c r="AE462" s="223"/>
      <c r="AF462" s="281"/>
      <c r="AG462" s="281"/>
      <c r="AH462" s="281"/>
      <c r="AI462" s="258"/>
      <c r="AJ462" s="258"/>
      <c r="AS462" s="282"/>
      <c r="AT462" s="283"/>
      <c r="AU462" s="282"/>
      <c r="AV462" s="284"/>
      <c r="AX462" s="285"/>
      <c r="AY462" s="285"/>
      <c r="BD462" s="1382" t="str">
        <f t="shared" si="20"/>
        <v/>
      </c>
      <c r="BE462" s="234"/>
      <c r="BF462" s="234"/>
      <c r="BG462" s="234"/>
      <c r="BH462" s="277"/>
      <c r="BK462" s="276"/>
      <c r="BL462" s="276"/>
      <c r="BM462" s="276"/>
      <c r="BN462" s="276"/>
      <c r="BO462" s="223"/>
      <c r="BP462" s="258"/>
      <c r="CC462" s="234"/>
      <c r="CG462" s="258"/>
      <c r="CH462" s="258"/>
      <c r="CI462" s="258"/>
      <c r="CJ462" s="256"/>
      <c r="CK462" s="258"/>
      <c r="CL462" s="258"/>
      <c r="CM462" s="258"/>
      <c r="CN462" s="258"/>
      <c r="CO462" s="258"/>
      <c r="CP462" s="258"/>
      <c r="CQ462" s="258"/>
      <c r="CR462" s="281"/>
      <c r="CS462" s="258"/>
      <c r="CT462" s="258"/>
      <c r="CU462" s="286"/>
      <c r="DH462" s="278"/>
      <c r="DJ462" s="270"/>
      <c r="DK462" s="1098"/>
      <c r="DL462" s="270"/>
      <c r="DM462" s="270"/>
      <c r="DN462" s="287"/>
      <c r="DO462" s="287"/>
      <c r="DP462" s="270"/>
      <c r="DQ462" s="270"/>
      <c r="DR462" s="270"/>
      <c r="DS462" s="270"/>
      <c r="DT462" s="270"/>
      <c r="DU462" s="1098"/>
      <c r="DV462" s="1098"/>
      <c r="DW462" s="1098"/>
      <c r="DX462" s="1098"/>
      <c r="DY462" s="1098"/>
      <c r="DZ462" s="1098"/>
      <c r="EA462" s="1098"/>
      <c r="EB462" s="1098"/>
      <c r="ED462" s="277"/>
      <c r="EE462" s="277"/>
      <c r="EF462" s="277"/>
      <c r="EH462" s="277"/>
    </row>
    <row r="463" spans="3:138" hidden="1">
      <c r="C463" s="276"/>
      <c r="D463" s="276"/>
      <c r="E463" s="276"/>
      <c r="F463" s="276"/>
      <c r="G463" s="276"/>
      <c r="H463" s="276"/>
      <c r="I463" s="276"/>
      <c r="J463" s="276"/>
      <c r="K463" s="276"/>
      <c r="L463" s="277"/>
      <c r="M463" s="256"/>
      <c r="N463" s="256"/>
      <c r="O463" s="256"/>
      <c r="P463" s="256"/>
      <c r="Q463" s="278"/>
      <c r="R463" s="279"/>
      <c r="S463" s="279"/>
      <c r="T463" s="279"/>
      <c r="AB463" s="280"/>
      <c r="AC463" s="223"/>
      <c r="AD463" s="223"/>
      <c r="AE463" s="223"/>
      <c r="AF463" s="281"/>
      <c r="AG463" s="281"/>
      <c r="AH463" s="281"/>
      <c r="AI463" s="258"/>
      <c r="AJ463" s="258"/>
      <c r="AS463" s="282"/>
      <c r="AT463" s="283"/>
      <c r="AU463" s="282"/>
      <c r="AV463" s="284"/>
      <c r="AX463" s="285"/>
      <c r="AY463" s="285"/>
      <c r="BD463" s="1382" t="str">
        <f t="shared" si="20"/>
        <v/>
      </c>
      <c r="BE463" s="234"/>
      <c r="BF463" s="234"/>
      <c r="BG463" s="234"/>
      <c r="BH463" s="277"/>
      <c r="BK463" s="276"/>
      <c r="BL463" s="276"/>
      <c r="BM463" s="276"/>
      <c r="BN463" s="276"/>
      <c r="BO463" s="223"/>
      <c r="BP463" s="258"/>
      <c r="CC463" s="234"/>
      <c r="CG463" s="258"/>
      <c r="CH463" s="258"/>
      <c r="CI463" s="258"/>
      <c r="CJ463" s="256"/>
      <c r="CK463" s="258"/>
      <c r="CL463" s="258"/>
      <c r="CM463" s="258"/>
      <c r="CN463" s="258"/>
      <c r="CO463" s="258"/>
      <c r="CP463" s="258"/>
      <c r="CQ463" s="258"/>
      <c r="CR463" s="281"/>
      <c r="CS463" s="258"/>
      <c r="CT463" s="258"/>
      <c r="CU463" s="286"/>
      <c r="DH463" s="278"/>
      <c r="DJ463" s="270"/>
      <c r="DK463" s="1098"/>
      <c r="DL463" s="270"/>
      <c r="DM463" s="270"/>
      <c r="DN463" s="287"/>
      <c r="DO463" s="287"/>
      <c r="DP463" s="270"/>
      <c r="DQ463" s="270"/>
      <c r="DR463" s="270"/>
      <c r="DS463" s="270"/>
      <c r="DT463" s="270"/>
      <c r="DU463" s="1098"/>
      <c r="DV463" s="1098"/>
      <c r="DW463" s="1098"/>
      <c r="DX463" s="1098"/>
      <c r="DY463" s="1098"/>
      <c r="DZ463" s="1098"/>
      <c r="EA463" s="1098"/>
      <c r="EB463" s="1098"/>
      <c r="ED463" s="277"/>
      <c r="EE463" s="277"/>
      <c r="EF463" s="277"/>
      <c r="EH463" s="277"/>
    </row>
    <row r="464" spans="3:138" hidden="1">
      <c r="C464" s="276"/>
      <c r="D464" s="276"/>
      <c r="E464" s="276"/>
      <c r="F464" s="276"/>
      <c r="G464" s="276"/>
      <c r="H464" s="276"/>
      <c r="I464" s="276"/>
      <c r="J464" s="276"/>
      <c r="K464" s="276"/>
      <c r="L464" s="277"/>
      <c r="M464" s="256"/>
      <c r="N464" s="256"/>
      <c r="O464" s="256"/>
      <c r="P464" s="256"/>
      <c r="Q464" s="278"/>
      <c r="R464" s="279"/>
      <c r="S464" s="279"/>
      <c r="T464" s="279"/>
      <c r="AB464" s="280"/>
      <c r="AC464" s="223"/>
      <c r="AD464" s="223"/>
      <c r="AE464" s="223"/>
      <c r="AF464" s="281"/>
      <c r="AG464" s="281"/>
      <c r="AH464" s="281"/>
      <c r="AI464" s="258"/>
      <c r="AJ464" s="258"/>
      <c r="AS464" s="282"/>
      <c r="AT464" s="283"/>
      <c r="AU464" s="282"/>
      <c r="AV464" s="284"/>
      <c r="AX464" s="285"/>
      <c r="AY464" s="285"/>
      <c r="BD464" s="1382" t="str">
        <f t="shared" si="20"/>
        <v/>
      </c>
      <c r="BE464" s="234"/>
      <c r="BF464" s="234"/>
      <c r="BG464" s="234"/>
      <c r="BH464" s="277"/>
      <c r="BK464" s="276"/>
      <c r="BL464" s="276"/>
      <c r="BM464" s="276"/>
      <c r="BN464" s="276"/>
      <c r="BO464" s="223"/>
      <c r="BP464" s="258"/>
      <c r="CC464" s="234"/>
      <c r="CG464" s="258"/>
      <c r="CH464" s="258"/>
      <c r="CI464" s="258"/>
      <c r="CJ464" s="256"/>
      <c r="CK464" s="258"/>
      <c r="CL464" s="258"/>
      <c r="CM464" s="258"/>
      <c r="CN464" s="258"/>
      <c r="CO464" s="258"/>
      <c r="CP464" s="258"/>
      <c r="CQ464" s="258"/>
      <c r="CR464" s="281"/>
      <c r="CS464" s="258"/>
      <c r="CT464" s="258"/>
      <c r="CU464" s="286"/>
      <c r="DH464" s="278"/>
      <c r="DJ464" s="270"/>
      <c r="DK464" s="1098"/>
      <c r="DL464" s="270"/>
      <c r="DM464" s="270"/>
      <c r="DN464" s="287"/>
      <c r="DO464" s="287"/>
      <c r="DP464" s="270"/>
      <c r="DQ464" s="270"/>
      <c r="DR464" s="270"/>
      <c r="DS464" s="270"/>
      <c r="DT464" s="270"/>
      <c r="DU464" s="1098"/>
      <c r="DV464" s="1098"/>
      <c r="DW464" s="1098"/>
      <c r="DX464" s="1098"/>
      <c r="DY464" s="1098"/>
      <c r="DZ464" s="1098"/>
      <c r="EA464" s="1098"/>
      <c r="EB464" s="1098"/>
      <c r="ED464" s="277"/>
      <c r="EE464" s="277"/>
      <c r="EF464" s="277"/>
      <c r="EH464" s="277"/>
    </row>
    <row r="465" spans="3:138" hidden="1">
      <c r="C465" s="276"/>
      <c r="D465" s="276"/>
      <c r="E465" s="276"/>
      <c r="F465" s="276"/>
      <c r="G465" s="276"/>
      <c r="H465" s="276"/>
      <c r="I465" s="276"/>
      <c r="J465" s="276"/>
      <c r="K465" s="276"/>
      <c r="L465" s="277"/>
      <c r="M465" s="256"/>
      <c r="N465" s="256"/>
      <c r="O465" s="256"/>
      <c r="P465" s="256"/>
      <c r="Q465" s="278"/>
      <c r="R465" s="279"/>
      <c r="S465" s="279"/>
      <c r="T465" s="279"/>
      <c r="AB465" s="280"/>
      <c r="AC465" s="223"/>
      <c r="AD465" s="223"/>
      <c r="AE465" s="223"/>
      <c r="AF465" s="281"/>
      <c r="AG465" s="281"/>
      <c r="AH465" s="281"/>
      <c r="AI465" s="258"/>
      <c r="AJ465" s="258"/>
      <c r="AS465" s="282"/>
      <c r="AT465" s="283"/>
      <c r="AU465" s="282"/>
      <c r="AV465" s="284"/>
      <c r="AX465" s="285"/>
      <c r="AY465" s="285"/>
      <c r="BD465" s="1382" t="str">
        <f t="shared" si="20"/>
        <v/>
      </c>
      <c r="BE465" s="234"/>
      <c r="BF465" s="234"/>
      <c r="BG465" s="234"/>
      <c r="BH465" s="277"/>
      <c r="BK465" s="276"/>
      <c r="BL465" s="276"/>
      <c r="BM465" s="276"/>
      <c r="BN465" s="276"/>
      <c r="BO465" s="223"/>
      <c r="BP465" s="258"/>
      <c r="CC465" s="234"/>
      <c r="CG465" s="258"/>
      <c r="CH465" s="258"/>
      <c r="CI465" s="258"/>
      <c r="CJ465" s="256"/>
      <c r="CK465" s="258"/>
      <c r="CL465" s="258"/>
      <c r="CM465" s="258"/>
      <c r="CN465" s="258"/>
      <c r="CO465" s="258"/>
      <c r="CP465" s="258"/>
      <c r="CQ465" s="258"/>
      <c r="CR465" s="281"/>
      <c r="CS465" s="258"/>
      <c r="CT465" s="258"/>
      <c r="CU465" s="286"/>
      <c r="DH465" s="278"/>
      <c r="DJ465" s="270"/>
      <c r="DK465" s="1098"/>
      <c r="DL465" s="270"/>
      <c r="DM465" s="270"/>
      <c r="DN465" s="287"/>
      <c r="DO465" s="287"/>
      <c r="DP465" s="270"/>
      <c r="DQ465" s="270"/>
      <c r="DR465" s="270"/>
      <c r="DS465" s="270"/>
      <c r="DT465" s="270"/>
      <c r="DU465" s="1098"/>
      <c r="DV465" s="1098"/>
      <c r="DW465" s="1098"/>
      <c r="DX465" s="1098"/>
      <c r="DY465" s="1098"/>
      <c r="DZ465" s="1098"/>
      <c r="EA465" s="1098"/>
      <c r="EB465" s="1098"/>
      <c r="ED465" s="277"/>
      <c r="EE465" s="277"/>
      <c r="EF465" s="277"/>
      <c r="EH465" s="277"/>
    </row>
    <row r="466" spans="3:138" hidden="1">
      <c r="C466" s="276"/>
      <c r="D466" s="276"/>
      <c r="E466" s="276"/>
      <c r="F466" s="276"/>
      <c r="G466" s="276"/>
      <c r="H466" s="276"/>
      <c r="I466" s="276"/>
      <c r="J466" s="276"/>
      <c r="K466" s="276"/>
      <c r="L466" s="277"/>
      <c r="M466" s="256"/>
      <c r="N466" s="256"/>
      <c r="O466" s="256"/>
      <c r="P466" s="256"/>
      <c r="Q466" s="278"/>
      <c r="R466" s="279"/>
      <c r="S466" s="279"/>
      <c r="T466" s="279"/>
      <c r="AB466" s="280"/>
      <c r="AC466" s="223"/>
      <c r="AD466" s="223"/>
      <c r="AE466" s="223"/>
      <c r="AF466" s="281"/>
      <c r="AG466" s="281"/>
      <c r="AH466" s="281"/>
      <c r="AI466" s="258"/>
      <c r="AJ466" s="258"/>
      <c r="AS466" s="282"/>
      <c r="AT466" s="283"/>
      <c r="AU466" s="282"/>
      <c r="AV466" s="284"/>
      <c r="AX466" s="285"/>
      <c r="AY466" s="285"/>
      <c r="BD466" s="1382" t="str">
        <f t="shared" si="20"/>
        <v/>
      </c>
      <c r="BE466" s="234"/>
      <c r="BF466" s="234"/>
      <c r="BG466" s="234"/>
      <c r="BH466" s="277"/>
      <c r="BK466" s="276"/>
      <c r="BL466" s="276"/>
      <c r="BM466" s="276"/>
      <c r="BN466" s="276"/>
      <c r="BO466" s="223"/>
      <c r="BP466" s="258"/>
      <c r="CC466" s="234"/>
      <c r="CG466" s="258"/>
      <c r="CH466" s="258"/>
      <c r="CI466" s="258"/>
      <c r="CJ466" s="256"/>
      <c r="CK466" s="258"/>
      <c r="CL466" s="258"/>
      <c r="CM466" s="258"/>
      <c r="CN466" s="258"/>
      <c r="CO466" s="258"/>
      <c r="CP466" s="258"/>
      <c r="CQ466" s="258"/>
      <c r="CR466" s="281"/>
      <c r="CS466" s="258"/>
      <c r="CT466" s="258"/>
      <c r="CU466" s="286"/>
      <c r="DH466" s="278"/>
      <c r="DJ466" s="270"/>
      <c r="DK466" s="1098"/>
      <c r="DL466" s="270"/>
      <c r="DM466" s="270"/>
      <c r="DN466" s="287"/>
      <c r="DO466" s="287"/>
      <c r="DP466" s="270"/>
      <c r="DQ466" s="270"/>
      <c r="DR466" s="270"/>
      <c r="DS466" s="270"/>
      <c r="DT466" s="270"/>
      <c r="DU466" s="1098"/>
      <c r="DV466" s="1098"/>
      <c r="DW466" s="1098"/>
      <c r="DX466" s="1098"/>
      <c r="DY466" s="1098"/>
      <c r="DZ466" s="1098"/>
      <c r="EA466" s="1098"/>
      <c r="EB466" s="1098"/>
      <c r="ED466" s="277"/>
      <c r="EE466" s="277"/>
      <c r="EF466" s="277"/>
      <c r="EH466" s="277"/>
    </row>
    <row r="467" spans="3:138" hidden="1">
      <c r="C467" s="276"/>
      <c r="D467" s="276"/>
      <c r="E467" s="276"/>
      <c r="F467" s="276"/>
      <c r="G467" s="276"/>
      <c r="H467" s="276"/>
      <c r="I467" s="276"/>
      <c r="J467" s="276"/>
      <c r="K467" s="276"/>
      <c r="L467" s="277"/>
      <c r="M467" s="256"/>
      <c r="N467" s="256"/>
      <c r="O467" s="256"/>
      <c r="P467" s="256"/>
      <c r="Q467" s="278"/>
      <c r="R467" s="279"/>
      <c r="S467" s="279"/>
      <c r="T467" s="279"/>
      <c r="AB467" s="280"/>
      <c r="AC467" s="223"/>
      <c r="AD467" s="223"/>
      <c r="AE467" s="223"/>
      <c r="AF467" s="281"/>
      <c r="AG467" s="281"/>
      <c r="AH467" s="281"/>
      <c r="AI467" s="258"/>
      <c r="AJ467" s="258"/>
      <c r="AS467" s="282"/>
      <c r="AT467" s="283"/>
      <c r="AU467" s="282"/>
      <c r="AV467" s="284"/>
      <c r="AX467" s="285"/>
      <c r="AY467" s="285"/>
      <c r="BD467" s="1382" t="str">
        <f t="shared" si="20"/>
        <v/>
      </c>
      <c r="BE467" s="234"/>
      <c r="BF467" s="234"/>
      <c r="BG467" s="234"/>
      <c r="BH467" s="277"/>
      <c r="BK467" s="276"/>
      <c r="BL467" s="276"/>
      <c r="BM467" s="276"/>
      <c r="BN467" s="276"/>
      <c r="BO467" s="223"/>
      <c r="BP467" s="258"/>
      <c r="CC467" s="234"/>
      <c r="CG467" s="258"/>
      <c r="CH467" s="258"/>
      <c r="CI467" s="258"/>
      <c r="CJ467" s="256"/>
      <c r="CK467" s="258"/>
      <c r="CL467" s="258"/>
      <c r="CM467" s="258"/>
      <c r="CN467" s="258"/>
      <c r="CO467" s="258"/>
      <c r="CP467" s="258"/>
      <c r="CQ467" s="258"/>
      <c r="CR467" s="281"/>
      <c r="CS467" s="258"/>
      <c r="CT467" s="258"/>
      <c r="CU467" s="286"/>
      <c r="DH467" s="278"/>
      <c r="DJ467" s="270"/>
      <c r="DK467" s="1098"/>
      <c r="DL467" s="270"/>
      <c r="DM467" s="270"/>
      <c r="DN467" s="287"/>
      <c r="DO467" s="287"/>
      <c r="DP467" s="270"/>
      <c r="DQ467" s="270"/>
      <c r="DR467" s="270"/>
      <c r="DS467" s="270"/>
      <c r="DT467" s="270"/>
      <c r="DU467" s="1098"/>
      <c r="DV467" s="1098"/>
      <c r="DW467" s="1098"/>
      <c r="DX467" s="1098"/>
      <c r="DY467" s="1098"/>
      <c r="DZ467" s="1098"/>
      <c r="EA467" s="1098"/>
      <c r="EB467" s="1098"/>
      <c r="ED467" s="277"/>
      <c r="EE467" s="277"/>
      <c r="EF467" s="277"/>
      <c r="EH467" s="277"/>
    </row>
    <row r="468" spans="3:138" hidden="1">
      <c r="C468" s="276"/>
      <c r="D468" s="276"/>
      <c r="E468" s="276"/>
      <c r="F468" s="276"/>
      <c r="G468" s="276"/>
      <c r="H468" s="276"/>
      <c r="I468" s="276"/>
      <c r="J468" s="276"/>
      <c r="K468" s="276"/>
      <c r="L468" s="277"/>
      <c r="M468" s="256"/>
      <c r="N468" s="256"/>
      <c r="O468" s="256"/>
      <c r="P468" s="256"/>
      <c r="Q468" s="278"/>
      <c r="R468" s="279"/>
      <c r="S468" s="279"/>
      <c r="T468" s="279"/>
      <c r="AB468" s="280"/>
      <c r="AC468" s="223"/>
      <c r="AD468" s="223"/>
      <c r="AE468" s="223"/>
      <c r="AF468" s="281"/>
      <c r="AG468" s="281"/>
      <c r="AH468" s="281"/>
      <c r="AI468" s="258"/>
      <c r="AJ468" s="258"/>
      <c r="AS468" s="282"/>
      <c r="AT468" s="283"/>
      <c r="AU468" s="282"/>
      <c r="AV468" s="284"/>
      <c r="AX468" s="285"/>
      <c r="AY468" s="285"/>
      <c r="BD468" s="1382" t="str">
        <f t="shared" si="20"/>
        <v/>
      </c>
      <c r="BE468" s="234"/>
      <c r="BF468" s="234"/>
      <c r="BG468" s="234"/>
      <c r="BH468" s="277"/>
      <c r="BK468" s="276"/>
      <c r="BL468" s="276"/>
      <c r="BM468" s="276"/>
      <c r="BN468" s="276"/>
      <c r="BO468" s="223"/>
      <c r="BP468" s="258"/>
      <c r="CC468" s="234"/>
      <c r="CG468" s="258"/>
      <c r="CH468" s="258"/>
      <c r="CI468" s="258"/>
      <c r="CJ468" s="256"/>
      <c r="CK468" s="258"/>
      <c r="CL468" s="258"/>
      <c r="CM468" s="258"/>
      <c r="CN468" s="258"/>
      <c r="CO468" s="258"/>
      <c r="CP468" s="258"/>
      <c r="CQ468" s="258"/>
      <c r="CR468" s="281"/>
      <c r="CS468" s="258"/>
      <c r="CT468" s="258"/>
      <c r="CU468" s="286"/>
      <c r="DH468" s="278"/>
      <c r="DJ468" s="270"/>
      <c r="DK468" s="1098"/>
      <c r="DL468" s="270"/>
      <c r="DM468" s="270"/>
      <c r="DN468" s="287"/>
      <c r="DO468" s="287"/>
      <c r="DP468" s="270"/>
      <c r="DQ468" s="270"/>
      <c r="DR468" s="270"/>
      <c r="DS468" s="270"/>
      <c r="DT468" s="270"/>
      <c r="DU468" s="1098"/>
      <c r="DV468" s="1098"/>
      <c r="DW468" s="1098"/>
      <c r="DX468" s="1098"/>
      <c r="DY468" s="1098"/>
      <c r="DZ468" s="1098"/>
      <c r="EA468" s="1098"/>
      <c r="EB468" s="1098"/>
      <c r="ED468" s="277"/>
      <c r="EE468" s="277"/>
      <c r="EF468" s="277"/>
      <c r="EH468" s="277"/>
    </row>
    <row r="469" spans="3:138" hidden="1">
      <c r="C469" s="276"/>
      <c r="D469" s="276"/>
      <c r="E469" s="276"/>
      <c r="F469" s="276"/>
      <c r="G469" s="276"/>
      <c r="H469" s="276"/>
      <c r="I469" s="276"/>
      <c r="J469" s="276"/>
      <c r="K469" s="276"/>
      <c r="L469" s="277"/>
      <c r="M469" s="256"/>
      <c r="N469" s="256"/>
      <c r="O469" s="256"/>
      <c r="P469" s="256"/>
      <c r="Q469" s="278"/>
      <c r="R469" s="279"/>
      <c r="S469" s="279"/>
      <c r="T469" s="279"/>
      <c r="AB469" s="280"/>
      <c r="AC469" s="223"/>
      <c r="AD469" s="223"/>
      <c r="AE469" s="223"/>
      <c r="AF469" s="281"/>
      <c r="AG469" s="281"/>
      <c r="AH469" s="281"/>
      <c r="AI469" s="258"/>
      <c r="AJ469" s="258"/>
      <c r="AS469" s="282"/>
      <c r="AT469" s="283"/>
      <c r="AU469" s="282"/>
      <c r="AV469" s="284"/>
      <c r="AX469" s="285"/>
      <c r="AY469" s="285"/>
      <c r="BD469" s="1382" t="str">
        <f t="shared" si="20"/>
        <v/>
      </c>
      <c r="BE469" s="234"/>
      <c r="BF469" s="234"/>
      <c r="BG469" s="234"/>
      <c r="BH469" s="277"/>
      <c r="BK469" s="276"/>
      <c r="BL469" s="276"/>
      <c r="BM469" s="276"/>
      <c r="BN469" s="276"/>
      <c r="BO469" s="223"/>
      <c r="BP469" s="258"/>
      <c r="CC469" s="234"/>
      <c r="CG469" s="258"/>
      <c r="CH469" s="258"/>
      <c r="CI469" s="258"/>
      <c r="CJ469" s="256"/>
      <c r="CK469" s="258"/>
      <c r="CL469" s="258"/>
      <c r="CM469" s="258"/>
      <c r="CN469" s="258"/>
      <c r="CO469" s="258"/>
      <c r="CP469" s="258"/>
      <c r="CQ469" s="258"/>
      <c r="CR469" s="281"/>
      <c r="CS469" s="258"/>
      <c r="CT469" s="258"/>
      <c r="CU469" s="286"/>
      <c r="DH469" s="278"/>
      <c r="DJ469" s="270"/>
      <c r="DK469" s="1098"/>
      <c r="DL469" s="270"/>
      <c r="DM469" s="270"/>
      <c r="DN469" s="287"/>
      <c r="DO469" s="287"/>
      <c r="DP469" s="270"/>
      <c r="DQ469" s="270"/>
      <c r="DR469" s="270"/>
      <c r="DS469" s="270"/>
      <c r="DT469" s="270"/>
      <c r="DU469" s="1098"/>
      <c r="DV469" s="1098"/>
      <c r="DW469" s="1098"/>
      <c r="DX469" s="1098"/>
      <c r="DY469" s="1098"/>
      <c r="DZ469" s="1098"/>
      <c r="EA469" s="1098"/>
      <c r="EB469" s="1098"/>
      <c r="ED469" s="277"/>
      <c r="EE469" s="277"/>
      <c r="EF469" s="277"/>
      <c r="EH469" s="277"/>
    </row>
    <row r="470" spans="3:138" hidden="1">
      <c r="C470" s="276"/>
      <c r="D470" s="276"/>
      <c r="E470" s="276"/>
      <c r="F470" s="276"/>
      <c r="G470" s="276"/>
      <c r="H470" s="276"/>
      <c r="I470" s="276"/>
      <c r="J470" s="276"/>
      <c r="K470" s="276"/>
      <c r="L470" s="277"/>
      <c r="M470" s="256"/>
      <c r="N470" s="256"/>
      <c r="O470" s="256"/>
      <c r="P470" s="256"/>
      <c r="Q470" s="278"/>
      <c r="R470" s="279"/>
      <c r="S470" s="279"/>
      <c r="T470" s="279"/>
      <c r="AB470" s="280"/>
      <c r="AC470" s="223"/>
      <c r="AD470" s="223"/>
      <c r="AE470" s="223"/>
      <c r="AF470" s="281"/>
      <c r="AG470" s="281"/>
      <c r="AH470" s="281"/>
      <c r="AI470" s="258"/>
      <c r="AJ470" s="258"/>
      <c r="AS470" s="282"/>
      <c r="AT470" s="283"/>
      <c r="AU470" s="282"/>
      <c r="AV470" s="284"/>
      <c r="AX470" s="285"/>
      <c r="AY470" s="285"/>
      <c r="BD470" s="1382" t="str">
        <f t="shared" si="20"/>
        <v/>
      </c>
      <c r="BE470" s="234"/>
      <c r="BF470" s="234"/>
      <c r="BG470" s="234"/>
      <c r="BH470" s="277"/>
      <c r="BK470" s="276"/>
      <c r="BL470" s="276"/>
      <c r="BM470" s="276"/>
      <c r="BN470" s="276"/>
      <c r="BO470" s="223"/>
      <c r="BP470" s="258"/>
      <c r="CC470" s="234"/>
      <c r="CG470" s="258"/>
      <c r="CH470" s="258"/>
      <c r="CI470" s="258"/>
      <c r="CJ470" s="256"/>
      <c r="CK470" s="258"/>
      <c r="CL470" s="258"/>
      <c r="CM470" s="258"/>
      <c r="CN470" s="258"/>
      <c r="CO470" s="258"/>
      <c r="CP470" s="258"/>
      <c r="CQ470" s="258"/>
      <c r="CR470" s="281"/>
      <c r="CS470" s="258"/>
      <c r="CT470" s="258"/>
      <c r="CU470" s="286"/>
      <c r="DH470" s="278"/>
      <c r="DJ470" s="270"/>
      <c r="DK470" s="1098"/>
      <c r="DL470" s="270"/>
      <c r="DM470" s="270"/>
      <c r="DN470" s="287"/>
      <c r="DO470" s="287"/>
      <c r="DP470" s="270"/>
      <c r="DQ470" s="270"/>
      <c r="DR470" s="270"/>
      <c r="DS470" s="270"/>
      <c r="DT470" s="270"/>
      <c r="DU470" s="1098"/>
      <c r="DV470" s="1098"/>
      <c r="DW470" s="1098"/>
      <c r="DX470" s="1098"/>
      <c r="DY470" s="1098"/>
      <c r="DZ470" s="1098"/>
      <c r="EA470" s="1098"/>
      <c r="EB470" s="1098"/>
      <c r="ED470" s="277"/>
      <c r="EE470" s="277"/>
      <c r="EF470" s="277"/>
      <c r="EH470" s="277"/>
    </row>
    <row r="471" spans="3:138" hidden="1">
      <c r="C471" s="276"/>
      <c r="D471" s="276"/>
      <c r="E471" s="276"/>
      <c r="F471" s="276"/>
      <c r="G471" s="276"/>
      <c r="H471" s="276"/>
      <c r="I471" s="276"/>
      <c r="J471" s="276"/>
      <c r="K471" s="276"/>
      <c r="L471" s="277"/>
      <c r="M471" s="256"/>
      <c r="N471" s="256"/>
      <c r="O471" s="256"/>
      <c r="P471" s="256"/>
      <c r="Q471" s="278"/>
      <c r="R471" s="279"/>
      <c r="S471" s="279"/>
      <c r="T471" s="279"/>
      <c r="AB471" s="280"/>
      <c r="AC471" s="223"/>
      <c r="AD471" s="223"/>
      <c r="AE471" s="223"/>
      <c r="AF471" s="281"/>
      <c r="AG471" s="281"/>
      <c r="AH471" s="281"/>
      <c r="AI471" s="258"/>
      <c r="AJ471" s="258"/>
      <c r="AS471" s="282"/>
      <c r="AT471" s="283"/>
      <c r="AU471" s="282"/>
      <c r="AV471" s="284"/>
      <c r="AX471" s="285"/>
      <c r="AY471" s="285"/>
      <c r="BD471" s="1382" t="str">
        <f t="shared" si="20"/>
        <v/>
      </c>
      <c r="BE471" s="234"/>
      <c r="BF471" s="234"/>
      <c r="BG471" s="234"/>
      <c r="BH471" s="277"/>
      <c r="BK471" s="276"/>
      <c r="BL471" s="276"/>
      <c r="BM471" s="276"/>
      <c r="BN471" s="276"/>
      <c r="BO471" s="223"/>
      <c r="BP471" s="258"/>
      <c r="CC471" s="234"/>
      <c r="CG471" s="258"/>
      <c r="CH471" s="258"/>
      <c r="CI471" s="258"/>
      <c r="CJ471" s="256"/>
      <c r="CK471" s="258"/>
      <c r="CL471" s="258"/>
      <c r="CM471" s="258"/>
      <c r="CN471" s="258"/>
      <c r="CO471" s="258"/>
      <c r="CP471" s="258"/>
      <c r="CQ471" s="258"/>
      <c r="CR471" s="281"/>
      <c r="CS471" s="258"/>
      <c r="CT471" s="258"/>
      <c r="CU471" s="286"/>
      <c r="DH471" s="278"/>
      <c r="DJ471" s="270"/>
      <c r="DK471" s="1098"/>
      <c r="DL471" s="270"/>
      <c r="DM471" s="270"/>
      <c r="DN471" s="287"/>
      <c r="DO471" s="287"/>
      <c r="DP471" s="270"/>
      <c r="DQ471" s="270"/>
      <c r="DR471" s="270"/>
      <c r="DS471" s="270"/>
      <c r="DT471" s="270"/>
      <c r="DU471" s="1098"/>
      <c r="DV471" s="1098"/>
      <c r="DW471" s="1098"/>
      <c r="DX471" s="1098"/>
      <c r="DY471" s="1098"/>
      <c r="DZ471" s="1098"/>
      <c r="EA471" s="1098"/>
      <c r="EB471" s="1098"/>
      <c r="ED471" s="277"/>
      <c r="EE471" s="277"/>
      <c r="EF471" s="277"/>
      <c r="EH471" s="277"/>
    </row>
    <row r="472" spans="3:138" hidden="1">
      <c r="C472" s="276"/>
      <c r="D472" s="276"/>
      <c r="E472" s="276"/>
      <c r="F472" s="276"/>
      <c r="G472" s="276"/>
      <c r="H472" s="276"/>
      <c r="I472" s="276"/>
      <c r="J472" s="276"/>
      <c r="K472" s="276"/>
      <c r="L472" s="277"/>
      <c r="M472" s="256"/>
      <c r="N472" s="256"/>
      <c r="O472" s="256"/>
      <c r="P472" s="256"/>
      <c r="Q472" s="278"/>
      <c r="R472" s="279"/>
      <c r="S472" s="279"/>
      <c r="T472" s="279"/>
      <c r="AB472" s="280"/>
      <c r="AC472" s="223"/>
      <c r="AD472" s="223"/>
      <c r="AE472" s="223"/>
      <c r="AF472" s="281"/>
      <c r="AG472" s="281"/>
      <c r="AH472" s="281"/>
      <c r="AI472" s="258"/>
      <c r="AJ472" s="258"/>
      <c r="AS472" s="282"/>
      <c r="AT472" s="283"/>
      <c r="AU472" s="282"/>
      <c r="AV472" s="284"/>
      <c r="AX472" s="285"/>
      <c r="AY472" s="285"/>
      <c r="BD472" s="1382" t="str">
        <f t="shared" si="20"/>
        <v/>
      </c>
      <c r="BE472" s="234"/>
      <c r="BF472" s="234"/>
      <c r="BG472" s="234"/>
      <c r="BH472" s="277"/>
      <c r="BK472" s="276"/>
      <c r="BL472" s="276"/>
      <c r="BM472" s="276"/>
      <c r="BN472" s="276"/>
      <c r="BO472" s="223"/>
      <c r="BP472" s="258"/>
      <c r="CC472" s="234"/>
      <c r="CG472" s="258"/>
      <c r="CH472" s="258"/>
      <c r="CI472" s="258"/>
      <c r="CJ472" s="256"/>
      <c r="CK472" s="258"/>
      <c r="CL472" s="258"/>
      <c r="CM472" s="258"/>
      <c r="CN472" s="258"/>
      <c r="CO472" s="258"/>
      <c r="CP472" s="258"/>
      <c r="CQ472" s="258"/>
      <c r="CR472" s="281"/>
      <c r="CS472" s="258"/>
      <c r="CT472" s="258"/>
      <c r="CU472" s="286"/>
      <c r="DH472" s="278"/>
      <c r="DJ472" s="270"/>
      <c r="DK472" s="1098"/>
      <c r="DL472" s="270"/>
      <c r="DM472" s="270"/>
      <c r="DN472" s="287"/>
      <c r="DO472" s="287"/>
      <c r="DP472" s="270"/>
      <c r="DQ472" s="270"/>
      <c r="DR472" s="270"/>
      <c r="DS472" s="270"/>
      <c r="DT472" s="270"/>
      <c r="DU472" s="1098"/>
      <c r="DV472" s="1098"/>
      <c r="DW472" s="1098"/>
      <c r="DX472" s="1098"/>
      <c r="DY472" s="1098"/>
      <c r="DZ472" s="1098"/>
      <c r="EA472" s="1098"/>
      <c r="EB472" s="1098"/>
      <c r="ED472" s="277"/>
      <c r="EE472" s="277"/>
      <c r="EF472" s="277"/>
      <c r="EH472" s="277"/>
    </row>
    <row r="473" spans="3:138" hidden="1">
      <c r="C473" s="276"/>
      <c r="D473" s="276"/>
      <c r="E473" s="276"/>
      <c r="F473" s="276"/>
      <c r="G473" s="276"/>
      <c r="H473" s="276"/>
      <c r="I473" s="276"/>
      <c r="J473" s="276"/>
      <c r="K473" s="276"/>
      <c r="L473" s="277"/>
      <c r="M473" s="256"/>
      <c r="N473" s="256"/>
      <c r="O473" s="256"/>
      <c r="P473" s="256"/>
      <c r="Q473" s="278"/>
      <c r="R473" s="279"/>
      <c r="S473" s="279"/>
      <c r="T473" s="279"/>
      <c r="AB473" s="280"/>
      <c r="AC473" s="223"/>
      <c r="AD473" s="223"/>
      <c r="AE473" s="223"/>
      <c r="AF473" s="281"/>
      <c r="AG473" s="281"/>
      <c r="AH473" s="281"/>
      <c r="AI473" s="258"/>
      <c r="AJ473" s="258"/>
      <c r="AS473" s="282"/>
      <c r="AT473" s="283"/>
      <c r="AU473" s="282"/>
      <c r="AV473" s="284"/>
      <c r="AX473" s="285"/>
      <c r="AY473" s="285"/>
      <c r="BD473" s="1382" t="str">
        <f t="shared" si="20"/>
        <v/>
      </c>
      <c r="BE473" s="234"/>
      <c r="BF473" s="234"/>
      <c r="BG473" s="234"/>
      <c r="BH473" s="277"/>
      <c r="BK473" s="276"/>
      <c r="BL473" s="276"/>
      <c r="BM473" s="276"/>
      <c r="BN473" s="276"/>
      <c r="BO473" s="223"/>
      <c r="BP473" s="258"/>
      <c r="CC473" s="234"/>
      <c r="CG473" s="258"/>
      <c r="CH473" s="258"/>
      <c r="CI473" s="258"/>
      <c r="CJ473" s="256"/>
      <c r="CK473" s="258"/>
      <c r="CL473" s="258"/>
      <c r="CM473" s="258"/>
      <c r="CN473" s="258"/>
      <c r="CO473" s="258"/>
      <c r="CP473" s="258"/>
      <c r="CQ473" s="258"/>
      <c r="CR473" s="281"/>
      <c r="CS473" s="258"/>
      <c r="CT473" s="258"/>
      <c r="CU473" s="286"/>
      <c r="DH473" s="278"/>
      <c r="DJ473" s="270"/>
      <c r="DK473" s="1098"/>
      <c r="DL473" s="270"/>
      <c r="DM473" s="270"/>
      <c r="DN473" s="287"/>
      <c r="DO473" s="287"/>
      <c r="DP473" s="270"/>
      <c r="DQ473" s="270"/>
      <c r="DR473" s="270"/>
      <c r="DS473" s="270"/>
      <c r="DT473" s="270"/>
      <c r="DU473" s="1098"/>
      <c r="DV473" s="1098"/>
      <c r="DW473" s="1098"/>
      <c r="DX473" s="1098"/>
      <c r="DY473" s="1098"/>
      <c r="DZ473" s="1098"/>
      <c r="EA473" s="1098"/>
      <c r="EB473" s="1098"/>
      <c r="ED473" s="277"/>
      <c r="EE473" s="277"/>
      <c r="EF473" s="277"/>
      <c r="EH473" s="277"/>
    </row>
    <row r="474" spans="3:138" hidden="1">
      <c r="C474" s="276"/>
      <c r="D474" s="276"/>
      <c r="E474" s="276"/>
      <c r="F474" s="276"/>
      <c r="G474" s="276"/>
      <c r="H474" s="276"/>
      <c r="I474" s="276"/>
      <c r="J474" s="276"/>
      <c r="K474" s="276"/>
      <c r="L474" s="277"/>
      <c r="M474" s="256"/>
      <c r="N474" s="256"/>
      <c r="O474" s="256"/>
      <c r="P474" s="256"/>
      <c r="Q474" s="278"/>
      <c r="R474" s="279"/>
      <c r="S474" s="279"/>
      <c r="T474" s="279"/>
      <c r="AB474" s="280"/>
      <c r="AC474" s="223"/>
      <c r="AD474" s="223"/>
      <c r="AE474" s="223"/>
      <c r="AF474" s="281"/>
      <c r="AG474" s="281"/>
      <c r="AH474" s="281"/>
      <c r="AI474" s="258"/>
      <c r="AJ474" s="258"/>
      <c r="AS474" s="282"/>
      <c r="AT474" s="283"/>
      <c r="AU474" s="282"/>
      <c r="AV474" s="284"/>
      <c r="AX474" s="285"/>
      <c r="AY474" s="285"/>
      <c r="BD474" s="1382" t="str">
        <f t="shared" si="20"/>
        <v/>
      </c>
      <c r="BE474" s="234"/>
      <c r="BF474" s="234"/>
      <c r="BG474" s="234"/>
      <c r="BH474" s="277"/>
      <c r="BK474" s="276"/>
      <c r="BL474" s="276"/>
      <c r="BM474" s="276"/>
      <c r="BN474" s="276"/>
      <c r="BO474" s="223"/>
      <c r="BP474" s="258"/>
      <c r="CC474" s="234"/>
      <c r="CG474" s="258"/>
      <c r="CH474" s="258"/>
      <c r="CI474" s="258"/>
      <c r="CJ474" s="256"/>
      <c r="CK474" s="258"/>
      <c r="CL474" s="258"/>
      <c r="CM474" s="258"/>
      <c r="CN474" s="258"/>
      <c r="CO474" s="258"/>
      <c r="CP474" s="258"/>
      <c r="CQ474" s="258"/>
      <c r="CR474" s="281"/>
      <c r="CS474" s="258"/>
      <c r="CT474" s="258"/>
      <c r="CU474" s="286"/>
      <c r="DH474" s="278"/>
      <c r="DJ474" s="270"/>
      <c r="DK474" s="1098"/>
      <c r="DL474" s="270"/>
      <c r="DM474" s="270"/>
      <c r="DN474" s="287"/>
      <c r="DO474" s="287"/>
      <c r="DP474" s="270"/>
      <c r="DQ474" s="270"/>
      <c r="DR474" s="270"/>
      <c r="DS474" s="270"/>
      <c r="DT474" s="270"/>
      <c r="DU474" s="1098"/>
      <c r="DV474" s="1098"/>
      <c r="DW474" s="1098"/>
      <c r="DX474" s="1098"/>
      <c r="DY474" s="1098"/>
      <c r="DZ474" s="1098"/>
      <c r="EA474" s="1098"/>
      <c r="EB474" s="1098"/>
      <c r="ED474" s="277"/>
      <c r="EE474" s="277"/>
      <c r="EF474" s="277"/>
      <c r="EH474" s="277"/>
    </row>
    <row r="475" spans="3:138" hidden="1">
      <c r="C475" s="276"/>
      <c r="D475" s="276"/>
      <c r="E475" s="276"/>
      <c r="F475" s="276"/>
      <c r="G475" s="276"/>
      <c r="H475" s="276"/>
      <c r="I475" s="276"/>
      <c r="J475" s="276"/>
      <c r="K475" s="276"/>
      <c r="L475" s="277"/>
      <c r="M475" s="256"/>
      <c r="N475" s="256"/>
      <c r="O475" s="256"/>
      <c r="P475" s="256"/>
      <c r="Q475" s="278"/>
      <c r="R475" s="279"/>
      <c r="S475" s="279"/>
      <c r="T475" s="279"/>
      <c r="AB475" s="280"/>
      <c r="AC475" s="223"/>
      <c r="AD475" s="223"/>
      <c r="AE475" s="223"/>
      <c r="AF475" s="281"/>
      <c r="AG475" s="281"/>
      <c r="AH475" s="281"/>
      <c r="AI475" s="258"/>
      <c r="AJ475" s="258"/>
      <c r="AS475" s="282"/>
      <c r="AT475" s="283"/>
      <c r="AU475" s="282"/>
      <c r="AV475" s="284"/>
      <c r="AX475" s="285"/>
      <c r="AY475" s="285"/>
      <c r="BD475" s="1382" t="str">
        <f t="shared" si="20"/>
        <v/>
      </c>
      <c r="BE475" s="234"/>
      <c r="BF475" s="234"/>
      <c r="BG475" s="234"/>
      <c r="BH475" s="277"/>
      <c r="BK475" s="276"/>
      <c r="BL475" s="276"/>
      <c r="BM475" s="276"/>
      <c r="BN475" s="276"/>
      <c r="BO475" s="223"/>
      <c r="BP475" s="258"/>
      <c r="CC475" s="234"/>
      <c r="CG475" s="258"/>
      <c r="CH475" s="258"/>
      <c r="CI475" s="258"/>
      <c r="CJ475" s="256"/>
      <c r="CK475" s="258"/>
      <c r="CL475" s="258"/>
      <c r="CM475" s="258"/>
      <c r="CN475" s="258"/>
      <c r="CO475" s="258"/>
      <c r="CP475" s="258"/>
      <c r="CQ475" s="258"/>
      <c r="CR475" s="281"/>
      <c r="CS475" s="258"/>
      <c r="CT475" s="258"/>
      <c r="CU475" s="286"/>
      <c r="DH475" s="278"/>
      <c r="DJ475" s="270"/>
      <c r="DK475" s="1098"/>
      <c r="DL475" s="270"/>
      <c r="DM475" s="270"/>
      <c r="DN475" s="287"/>
      <c r="DO475" s="287"/>
      <c r="DP475" s="270"/>
      <c r="DQ475" s="270"/>
      <c r="DR475" s="270"/>
      <c r="DS475" s="270"/>
      <c r="DT475" s="270"/>
      <c r="DU475" s="1098"/>
      <c r="DV475" s="1098"/>
      <c r="DW475" s="1098"/>
      <c r="DX475" s="1098"/>
      <c r="DY475" s="1098"/>
      <c r="DZ475" s="1098"/>
      <c r="EA475" s="1098"/>
      <c r="EB475" s="1098"/>
      <c r="ED475" s="277"/>
      <c r="EE475" s="277"/>
      <c r="EF475" s="277"/>
      <c r="EH475" s="277"/>
    </row>
    <row r="476" spans="3:138" hidden="1">
      <c r="C476" s="276"/>
      <c r="D476" s="276"/>
      <c r="E476" s="276"/>
      <c r="F476" s="276"/>
      <c r="G476" s="276"/>
      <c r="H476" s="276"/>
      <c r="I476" s="276"/>
      <c r="J476" s="276"/>
      <c r="K476" s="276"/>
      <c r="L476" s="277"/>
      <c r="M476" s="256"/>
      <c r="N476" s="256"/>
      <c r="O476" s="256"/>
      <c r="P476" s="256"/>
      <c r="Q476" s="278"/>
      <c r="R476" s="279"/>
      <c r="S476" s="279"/>
      <c r="T476" s="279"/>
      <c r="AB476" s="280"/>
      <c r="AC476" s="223"/>
      <c r="AD476" s="223"/>
      <c r="AE476" s="223"/>
      <c r="AF476" s="281"/>
      <c r="AG476" s="281"/>
      <c r="AH476" s="281"/>
      <c r="AI476" s="258"/>
      <c r="AJ476" s="258"/>
      <c r="AS476" s="282"/>
      <c r="AT476" s="283"/>
      <c r="AU476" s="282"/>
      <c r="AV476" s="284"/>
      <c r="AX476" s="285"/>
      <c r="AY476" s="285"/>
      <c r="BD476" s="1382" t="str">
        <f t="shared" si="20"/>
        <v/>
      </c>
      <c r="BE476" s="234"/>
      <c r="BF476" s="234"/>
      <c r="BG476" s="234"/>
      <c r="BH476" s="277"/>
      <c r="BK476" s="276"/>
      <c r="BL476" s="276"/>
      <c r="BM476" s="276"/>
      <c r="BN476" s="276"/>
      <c r="BO476" s="223"/>
      <c r="BP476" s="258"/>
      <c r="CC476" s="234"/>
      <c r="CG476" s="258"/>
      <c r="CH476" s="258"/>
      <c r="CI476" s="258"/>
      <c r="CJ476" s="256"/>
      <c r="CK476" s="258"/>
      <c r="CL476" s="258"/>
      <c r="CM476" s="258"/>
      <c r="CN476" s="258"/>
      <c r="CO476" s="258"/>
      <c r="CP476" s="258"/>
      <c r="CQ476" s="258"/>
      <c r="CR476" s="281"/>
      <c r="CS476" s="258"/>
      <c r="CT476" s="258"/>
      <c r="CU476" s="286"/>
      <c r="DH476" s="278"/>
      <c r="DJ476" s="270"/>
      <c r="DK476" s="1098"/>
      <c r="DL476" s="270"/>
      <c r="DM476" s="270"/>
      <c r="DN476" s="287"/>
      <c r="DO476" s="287"/>
      <c r="DP476" s="270"/>
      <c r="DQ476" s="270"/>
      <c r="DR476" s="270"/>
      <c r="DS476" s="270"/>
      <c r="DT476" s="270"/>
      <c r="DU476" s="1098"/>
      <c r="DV476" s="1098"/>
      <c r="DW476" s="1098"/>
      <c r="DX476" s="1098"/>
      <c r="DY476" s="1098"/>
      <c r="DZ476" s="1098"/>
      <c r="EA476" s="1098"/>
      <c r="EB476" s="1098"/>
      <c r="ED476" s="277"/>
      <c r="EE476" s="277"/>
      <c r="EF476" s="277"/>
      <c r="EH476" s="277"/>
    </row>
    <row r="477" spans="3:138" hidden="1">
      <c r="C477" s="276"/>
      <c r="D477" s="276"/>
      <c r="E477" s="276"/>
      <c r="F477" s="276"/>
      <c r="G477" s="276"/>
      <c r="H477" s="276"/>
      <c r="I477" s="276"/>
      <c r="J477" s="276"/>
      <c r="K477" s="276"/>
      <c r="L477" s="277"/>
      <c r="M477" s="256"/>
      <c r="N477" s="256"/>
      <c r="O477" s="256"/>
      <c r="P477" s="256"/>
      <c r="Q477" s="278"/>
      <c r="R477" s="279"/>
      <c r="S477" s="279"/>
      <c r="T477" s="279"/>
      <c r="AB477" s="280"/>
      <c r="AC477" s="223"/>
      <c r="AD477" s="223"/>
      <c r="AE477" s="223"/>
      <c r="AF477" s="281"/>
      <c r="AG477" s="281"/>
      <c r="AH477" s="281"/>
      <c r="AI477" s="258"/>
      <c r="AJ477" s="258"/>
      <c r="AS477" s="282"/>
      <c r="AT477" s="283"/>
      <c r="AU477" s="282"/>
      <c r="AV477" s="284"/>
      <c r="AX477" s="285"/>
      <c r="AY477" s="285"/>
      <c r="BD477" s="1382" t="str">
        <f t="shared" si="20"/>
        <v/>
      </c>
      <c r="BE477" s="234"/>
      <c r="BF477" s="234"/>
      <c r="BG477" s="234"/>
      <c r="BH477" s="277"/>
      <c r="BK477" s="276"/>
      <c r="BL477" s="276"/>
      <c r="BM477" s="276"/>
      <c r="BN477" s="276"/>
      <c r="BO477" s="223"/>
      <c r="BP477" s="258"/>
      <c r="CC477" s="234"/>
      <c r="CG477" s="258"/>
      <c r="CH477" s="258"/>
      <c r="CI477" s="258"/>
      <c r="CJ477" s="256"/>
      <c r="CK477" s="258"/>
      <c r="CL477" s="258"/>
      <c r="CM477" s="258"/>
      <c r="CN477" s="258"/>
      <c r="CO477" s="258"/>
      <c r="CP477" s="258"/>
      <c r="CQ477" s="258"/>
      <c r="CR477" s="281"/>
      <c r="CS477" s="258"/>
      <c r="CT477" s="258"/>
      <c r="CU477" s="286"/>
      <c r="DH477" s="278"/>
      <c r="DJ477" s="270"/>
      <c r="DK477" s="1098"/>
      <c r="DL477" s="270"/>
      <c r="DM477" s="270"/>
      <c r="DN477" s="287"/>
      <c r="DO477" s="287"/>
      <c r="DP477" s="270"/>
      <c r="DQ477" s="270"/>
      <c r="DR477" s="270"/>
      <c r="DS477" s="270"/>
      <c r="DT477" s="270"/>
      <c r="DU477" s="1098"/>
      <c r="DV477" s="1098"/>
      <c r="DW477" s="1098"/>
      <c r="DX477" s="1098"/>
      <c r="DY477" s="1098"/>
      <c r="DZ477" s="1098"/>
      <c r="EA477" s="1098"/>
      <c r="EB477" s="1098"/>
      <c r="ED477" s="277"/>
      <c r="EE477" s="277"/>
      <c r="EF477" s="277"/>
      <c r="EH477" s="277"/>
    </row>
    <row r="478" spans="3:138" hidden="1">
      <c r="C478" s="276"/>
      <c r="D478" s="276"/>
      <c r="E478" s="276"/>
      <c r="F478" s="276"/>
      <c r="G478" s="276"/>
      <c r="H478" s="276"/>
      <c r="I478" s="276"/>
      <c r="J478" s="276"/>
      <c r="K478" s="276"/>
      <c r="L478" s="277"/>
      <c r="M478" s="256"/>
      <c r="N478" s="256"/>
      <c r="O478" s="256"/>
      <c r="P478" s="256"/>
      <c r="Q478" s="278"/>
      <c r="R478" s="279"/>
      <c r="S478" s="279"/>
      <c r="T478" s="279"/>
      <c r="AB478" s="280"/>
      <c r="AC478" s="223"/>
      <c r="AD478" s="223"/>
      <c r="AE478" s="223"/>
      <c r="AF478" s="281"/>
      <c r="AG478" s="281"/>
      <c r="AH478" s="281"/>
      <c r="AI478" s="258"/>
      <c r="AJ478" s="258"/>
      <c r="AS478" s="282"/>
      <c r="AT478" s="283"/>
      <c r="AU478" s="282"/>
      <c r="AV478" s="284"/>
      <c r="AX478" s="285"/>
      <c r="AY478" s="285"/>
      <c r="BD478" s="1382" t="str">
        <f t="shared" si="20"/>
        <v/>
      </c>
      <c r="BE478" s="234"/>
      <c r="BF478" s="234"/>
      <c r="BG478" s="234"/>
      <c r="BH478" s="277"/>
      <c r="BK478" s="276"/>
      <c r="BL478" s="276"/>
      <c r="BM478" s="276"/>
      <c r="BN478" s="276"/>
      <c r="BO478" s="223"/>
      <c r="BP478" s="258"/>
      <c r="CC478" s="234"/>
      <c r="CG478" s="258"/>
      <c r="CH478" s="258"/>
      <c r="CI478" s="258"/>
      <c r="CJ478" s="256"/>
      <c r="CK478" s="258"/>
      <c r="CL478" s="258"/>
      <c r="CM478" s="258"/>
      <c r="CN478" s="258"/>
      <c r="CO478" s="258"/>
      <c r="CP478" s="258"/>
      <c r="CQ478" s="258"/>
      <c r="CR478" s="281"/>
      <c r="CS478" s="258"/>
      <c r="CT478" s="258"/>
      <c r="CU478" s="286"/>
      <c r="DH478" s="278"/>
      <c r="DJ478" s="270"/>
      <c r="DK478" s="1098"/>
      <c r="DL478" s="270"/>
      <c r="DM478" s="270"/>
      <c r="DN478" s="287"/>
      <c r="DO478" s="287"/>
      <c r="DP478" s="270"/>
      <c r="DQ478" s="270"/>
      <c r="DR478" s="270"/>
      <c r="DS478" s="270"/>
      <c r="DT478" s="270"/>
      <c r="DU478" s="1098"/>
      <c r="DV478" s="1098"/>
      <c r="DW478" s="1098"/>
      <c r="DX478" s="1098"/>
      <c r="DY478" s="1098"/>
      <c r="DZ478" s="1098"/>
      <c r="EA478" s="1098"/>
      <c r="EB478" s="1098"/>
      <c r="ED478" s="277"/>
      <c r="EE478" s="277"/>
      <c r="EF478" s="277"/>
      <c r="EH478" s="277"/>
    </row>
    <row r="479" spans="3:138" hidden="1">
      <c r="C479" s="276"/>
      <c r="D479" s="276"/>
      <c r="E479" s="276"/>
      <c r="F479" s="276"/>
      <c r="G479" s="276"/>
      <c r="H479" s="276"/>
      <c r="I479" s="276"/>
      <c r="J479" s="276"/>
      <c r="K479" s="276"/>
      <c r="L479" s="277"/>
      <c r="M479" s="256"/>
      <c r="N479" s="256"/>
      <c r="O479" s="256"/>
      <c r="P479" s="256"/>
      <c r="Q479" s="278"/>
      <c r="R479" s="279"/>
      <c r="S479" s="279"/>
      <c r="T479" s="279"/>
      <c r="AB479" s="280"/>
      <c r="AC479" s="223"/>
      <c r="AD479" s="223"/>
      <c r="AE479" s="223"/>
      <c r="AF479" s="281"/>
      <c r="AG479" s="281"/>
      <c r="AH479" s="281"/>
      <c r="AI479" s="258"/>
      <c r="AJ479" s="258"/>
      <c r="AS479" s="282"/>
      <c r="AT479" s="283"/>
      <c r="AU479" s="282"/>
      <c r="AV479" s="284"/>
      <c r="AX479" s="285"/>
      <c r="AY479" s="285"/>
      <c r="BD479" s="1382" t="str">
        <f t="shared" si="20"/>
        <v/>
      </c>
      <c r="BE479" s="234"/>
      <c r="BF479" s="234"/>
      <c r="BG479" s="234"/>
      <c r="BH479" s="277"/>
      <c r="BK479" s="276"/>
      <c r="BL479" s="276"/>
      <c r="BM479" s="276"/>
      <c r="BN479" s="276"/>
      <c r="BO479" s="223"/>
      <c r="BP479" s="258"/>
      <c r="CC479" s="234"/>
      <c r="CG479" s="258"/>
      <c r="CH479" s="258"/>
      <c r="CI479" s="258"/>
      <c r="CJ479" s="256"/>
      <c r="CK479" s="258"/>
      <c r="CL479" s="258"/>
      <c r="CM479" s="258"/>
      <c r="CN479" s="258"/>
      <c r="CO479" s="258"/>
      <c r="CP479" s="258"/>
      <c r="CQ479" s="258"/>
      <c r="CR479" s="281"/>
      <c r="CS479" s="258"/>
      <c r="CT479" s="258"/>
      <c r="CU479" s="286"/>
      <c r="DH479" s="278"/>
      <c r="DJ479" s="270"/>
      <c r="DK479" s="1098"/>
      <c r="DL479" s="270"/>
      <c r="DM479" s="270"/>
      <c r="DN479" s="287"/>
      <c r="DO479" s="287"/>
      <c r="DP479" s="270"/>
      <c r="DQ479" s="270"/>
      <c r="DR479" s="270"/>
      <c r="DS479" s="270"/>
      <c r="DT479" s="270"/>
      <c r="DU479" s="1098"/>
      <c r="DV479" s="1098"/>
      <c r="DW479" s="1098"/>
      <c r="DX479" s="1098"/>
      <c r="DY479" s="1098"/>
      <c r="DZ479" s="1098"/>
      <c r="EA479" s="1098"/>
      <c r="EB479" s="1098"/>
      <c r="ED479" s="277"/>
      <c r="EE479" s="277"/>
      <c r="EF479" s="277"/>
      <c r="EH479" s="277"/>
    </row>
    <row r="480" spans="3:138" hidden="1">
      <c r="C480" s="276"/>
      <c r="D480" s="276"/>
      <c r="E480" s="276"/>
      <c r="F480" s="276"/>
      <c r="G480" s="276"/>
      <c r="H480" s="276"/>
      <c r="I480" s="276"/>
      <c r="J480" s="276"/>
      <c r="K480" s="276"/>
      <c r="L480" s="277"/>
      <c r="M480" s="256"/>
      <c r="N480" s="256"/>
      <c r="O480" s="256"/>
      <c r="P480" s="256"/>
      <c r="Q480" s="278"/>
      <c r="R480" s="279"/>
      <c r="S480" s="279"/>
      <c r="T480" s="279"/>
      <c r="AB480" s="280"/>
      <c r="AC480" s="223"/>
      <c r="AD480" s="223"/>
      <c r="AE480" s="223"/>
      <c r="AF480" s="281"/>
      <c r="AG480" s="281"/>
      <c r="AH480" s="281"/>
      <c r="AI480" s="258"/>
      <c r="AJ480" s="258"/>
      <c r="AS480" s="282"/>
      <c r="AT480" s="283"/>
      <c r="AU480" s="282"/>
      <c r="AV480" s="284"/>
      <c r="AX480" s="285"/>
      <c r="AY480" s="285"/>
      <c r="BD480" s="1382" t="str">
        <f t="shared" si="20"/>
        <v/>
      </c>
      <c r="BE480" s="234"/>
      <c r="BF480" s="234"/>
      <c r="BG480" s="234"/>
      <c r="BH480" s="277"/>
      <c r="BK480" s="276"/>
      <c r="BL480" s="276"/>
      <c r="BM480" s="276"/>
      <c r="BN480" s="276"/>
      <c r="BO480" s="223"/>
      <c r="BP480" s="258"/>
      <c r="CC480" s="234"/>
      <c r="CG480" s="258"/>
      <c r="CH480" s="258"/>
      <c r="CI480" s="258"/>
      <c r="CJ480" s="256"/>
      <c r="CK480" s="258"/>
      <c r="CL480" s="258"/>
      <c r="CM480" s="258"/>
      <c r="CN480" s="258"/>
      <c r="CO480" s="258"/>
      <c r="CP480" s="258"/>
      <c r="CQ480" s="258"/>
      <c r="CR480" s="281"/>
      <c r="CS480" s="258"/>
      <c r="CT480" s="258"/>
      <c r="CU480" s="286"/>
      <c r="DH480" s="278"/>
      <c r="DJ480" s="270"/>
      <c r="DK480" s="1098"/>
      <c r="DL480" s="270"/>
      <c r="DM480" s="270"/>
      <c r="DN480" s="287"/>
      <c r="DO480" s="287"/>
      <c r="DP480" s="270"/>
      <c r="DQ480" s="270"/>
      <c r="DR480" s="270"/>
      <c r="DS480" s="270"/>
      <c r="DT480" s="270"/>
      <c r="DU480" s="1098"/>
      <c r="DV480" s="1098"/>
      <c r="DW480" s="1098"/>
      <c r="DX480" s="1098"/>
      <c r="DY480" s="1098"/>
      <c r="DZ480" s="1098"/>
      <c r="EA480" s="1098"/>
      <c r="EB480" s="1098"/>
      <c r="ED480" s="277"/>
      <c r="EE480" s="277"/>
      <c r="EF480" s="277"/>
      <c r="EH480" s="277"/>
    </row>
    <row r="481" spans="3:138" hidden="1">
      <c r="C481" s="276"/>
      <c r="D481" s="276"/>
      <c r="E481" s="276"/>
      <c r="F481" s="276"/>
      <c r="G481" s="276"/>
      <c r="H481" s="276"/>
      <c r="I481" s="276"/>
      <c r="J481" s="276"/>
      <c r="K481" s="276"/>
      <c r="L481" s="277"/>
      <c r="M481" s="256"/>
      <c r="N481" s="256"/>
      <c r="O481" s="256"/>
      <c r="P481" s="256"/>
      <c r="Q481" s="278"/>
      <c r="R481" s="279"/>
      <c r="S481" s="279"/>
      <c r="T481" s="279"/>
      <c r="AB481" s="280"/>
      <c r="AC481" s="223"/>
      <c r="AD481" s="223"/>
      <c r="AE481" s="223"/>
      <c r="AF481" s="281"/>
      <c r="AG481" s="281"/>
      <c r="AH481" s="281"/>
      <c r="AI481" s="258"/>
      <c r="AJ481" s="258"/>
      <c r="AS481" s="282"/>
      <c r="AT481" s="283"/>
      <c r="AU481" s="282"/>
      <c r="AV481" s="284"/>
      <c r="AX481" s="285"/>
      <c r="AY481" s="285"/>
      <c r="BD481" s="1382" t="str">
        <f t="shared" si="20"/>
        <v/>
      </c>
      <c r="BE481" s="234"/>
      <c r="BF481" s="234"/>
      <c r="BG481" s="234"/>
      <c r="BH481" s="277"/>
      <c r="BK481" s="276"/>
      <c r="BL481" s="276"/>
      <c r="BM481" s="276"/>
      <c r="BN481" s="276"/>
      <c r="BO481" s="223"/>
      <c r="BP481" s="258"/>
      <c r="CC481" s="234"/>
      <c r="CG481" s="258"/>
      <c r="CH481" s="258"/>
      <c r="CI481" s="258"/>
      <c r="CJ481" s="256"/>
      <c r="CK481" s="258"/>
      <c r="CL481" s="258"/>
      <c r="CM481" s="258"/>
      <c r="CN481" s="258"/>
      <c r="CO481" s="258"/>
      <c r="CP481" s="258"/>
      <c r="CQ481" s="258"/>
      <c r="CR481" s="281"/>
      <c r="CS481" s="258"/>
      <c r="CT481" s="258"/>
      <c r="CU481" s="286"/>
      <c r="DH481" s="278"/>
      <c r="DJ481" s="270"/>
      <c r="DK481" s="1098"/>
      <c r="DL481" s="270"/>
      <c r="DM481" s="270"/>
      <c r="DN481" s="287"/>
      <c r="DO481" s="287"/>
      <c r="DP481" s="270"/>
      <c r="DQ481" s="270"/>
      <c r="DR481" s="270"/>
      <c r="DS481" s="270"/>
      <c r="DT481" s="270"/>
      <c r="DU481" s="1098"/>
      <c r="DV481" s="1098"/>
      <c r="DW481" s="1098"/>
      <c r="DX481" s="1098"/>
      <c r="DY481" s="1098"/>
      <c r="DZ481" s="1098"/>
      <c r="EA481" s="1098"/>
      <c r="EB481" s="1098"/>
      <c r="ED481" s="277"/>
      <c r="EE481" s="277"/>
      <c r="EF481" s="277"/>
      <c r="EH481" s="277"/>
    </row>
    <row r="482" spans="3:138" hidden="1">
      <c r="C482" s="276"/>
      <c r="D482" s="276"/>
      <c r="E482" s="276"/>
      <c r="F482" s="276"/>
      <c r="G482" s="276"/>
      <c r="H482" s="276"/>
      <c r="I482" s="276"/>
      <c r="J482" s="276"/>
      <c r="K482" s="276"/>
      <c r="L482" s="277"/>
      <c r="M482" s="256"/>
      <c r="N482" s="256"/>
      <c r="O482" s="256"/>
      <c r="P482" s="256"/>
      <c r="Q482" s="278"/>
      <c r="R482" s="279"/>
      <c r="S482" s="279"/>
      <c r="T482" s="279"/>
      <c r="AB482" s="280"/>
      <c r="AC482" s="223"/>
      <c r="AD482" s="223"/>
      <c r="AE482" s="223"/>
      <c r="AF482" s="281"/>
      <c r="AG482" s="281"/>
      <c r="AH482" s="281"/>
      <c r="AI482" s="258"/>
      <c r="AJ482" s="258"/>
      <c r="AS482" s="282"/>
      <c r="AT482" s="283"/>
      <c r="AU482" s="282"/>
      <c r="AV482" s="284"/>
      <c r="AX482" s="285"/>
      <c r="AY482" s="285"/>
      <c r="BD482" s="1382" t="str">
        <f t="shared" si="20"/>
        <v/>
      </c>
      <c r="BE482" s="234"/>
      <c r="BF482" s="234"/>
      <c r="BG482" s="234"/>
      <c r="BH482" s="277"/>
      <c r="BK482" s="276"/>
      <c r="BL482" s="276"/>
      <c r="BM482" s="276"/>
      <c r="BN482" s="276"/>
      <c r="BO482" s="223"/>
      <c r="BP482" s="258"/>
      <c r="CC482" s="234"/>
      <c r="CG482" s="258"/>
      <c r="CH482" s="258"/>
      <c r="CI482" s="258"/>
      <c r="CJ482" s="256"/>
      <c r="CK482" s="258"/>
      <c r="CL482" s="258"/>
      <c r="CM482" s="258"/>
      <c r="CN482" s="258"/>
      <c r="CO482" s="258"/>
      <c r="CP482" s="258"/>
      <c r="CQ482" s="258"/>
      <c r="CR482" s="281"/>
      <c r="CS482" s="258"/>
      <c r="CT482" s="258"/>
      <c r="CU482" s="286"/>
      <c r="DH482" s="278"/>
      <c r="DJ482" s="270"/>
      <c r="DK482" s="1098"/>
      <c r="DL482" s="270"/>
      <c r="DM482" s="270"/>
      <c r="DN482" s="287"/>
      <c r="DO482" s="287"/>
      <c r="DP482" s="270"/>
      <c r="DQ482" s="270"/>
      <c r="DR482" s="270"/>
      <c r="DS482" s="270"/>
      <c r="DT482" s="270"/>
      <c r="DU482" s="1098"/>
      <c r="DV482" s="1098"/>
      <c r="DW482" s="1098"/>
      <c r="DX482" s="1098"/>
      <c r="DY482" s="1098"/>
      <c r="DZ482" s="1098"/>
      <c r="EA482" s="1098"/>
      <c r="EB482" s="1098"/>
      <c r="ED482" s="277"/>
      <c r="EE482" s="277"/>
      <c r="EF482" s="277"/>
      <c r="EH482" s="277"/>
    </row>
    <row r="483" spans="3:138" hidden="1">
      <c r="C483" s="276"/>
      <c r="D483" s="276"/>
      <c r="E483" s="276"/>
      <c r="F483" s="276"/>
      <c r="G483" s="276"/>
      <c r="H483" s="276"/>
      <c r="I483" s="276"/>
      <c r="J483" s="276"/>
      <c r="K483" s="276"/>
      <c r="L483" s="277"/>
      <c r="M483" s="256"/>
      <c r="N483" s="256"/>
      <c r="O483" s="256"/>
      <c r="P483" s="256"/>
      <c r="Q483" s="278"/>
      <c r="R483" s="279"/>
      <c r="S483" s="279"/>
      <c r="T483" s="279"/>
      <c r="AB483" s="280"/>
      <c r="AC483" s="223"/>
      <c r="AD483" s="223"/>
      <c r="AE483" s="223"/>
      <c r="AF483" s="281"/>
      <c r="AG483" s="281"/>
      <c r="AH483" s="281"/>
      <c r="AI483" s="258"/>
      <c r="AJ483" s="258"/>
      <c r="AS483" s="282"/>
      <c r="AT483" s="283"/>
      <c r="AU483" s="282"/>
      <c r="AV483" s="284"/>
      <c r="AX483" s="285"/>
      <c r="AY483" s="285"/>
      <c r="BD483" s="1382" t="str">
        <f t="shared" si="20"/>
        <v/>
      </c>
      <c r="BE483" s="234"/>
      <c r="BF483" s="234"/>
      <c r="BG483" s="234"/>
      <c r="BH483" s="277"/>
      <c r="BK483" s="276"/>
      <c r="BL483" s="276"/>
      <c r="BM483" s="276"/>
      <c r="BN483" s="276"/>
      <c r="BO483" s="223"/>
      <c r="BP483" s="258"/>
      <c r="CC483" s="234"/>
      <c r="CG483" s="258"/>
      <c r="CH483" s="258"/>
      <c r="CI483" s="258"/>
      <c r="CJ483" s="256"/>
      <c r="CK483" s="258"/>
      <c r="CL483" s="258"/>
      <c r="CM483" s="258"/>
      <c r="CN483" s="258"/>
      <c r="CO483" s="258"/>
      <c r="CP483" s="258"/>
      <c r="CQ483" s="258"/>
      <c r="CR483" s="281"/>
      <c r="CS483" s="258"/>
      <c r="CT483" s="258"/>
      <c r="CU483" s="286"/>
      <c r="DH483" s="278"/>
      <c r="DJ483" s="270"/>
      <c r="DK483" s="1098"/>
      <c r="DL483" s="270"/>
      <c r="DM483" s="270"/>
      <c r="DN483" s="287"/>
      <c r="DO483" s="287"/>
      <c r="DP483" s="270"/>
      <c r="DQ483" s="270"/>
      <c r="DR483" s="270"/>
      <c r="DS483" s="270"/>
      <c r="DT483" s="270"/>
      <c r="DU483" s="1098"/>
      <c r="DV483" s="1098"/>
      <c r="DW483" s="1098"/>
      <c r="DX483" s="1098"/>
      <c r="DY483" s="1098"/>
      <c r="DZ483" s="1098"/>
      <c r="EA483" s="1098"/>
      <c r="EB483" s="1098"/>
      <c r="ED483" s="277"/>
      <c r="EE483" s="277"/>
      <c r="EF483" s="277"/>
      <c r="EH483" s="277"/>
    </row>
    <row r="484" spans="3:138" hidden="1">
      <c r="C484" s="276"/>
      <c r="D484" s="276"/>
      <c r="E484" s="276"/>
      <c r="F484" s="276"/>
      <c r="G484" s="276"/>
      <c r="H484" s="276"/>
      <c r="I484" s="276"/>
      <c r="J484" s="276"/>
      <c r="K484" s="276"/>
      <c r="L484" s="277"/>
      <c r="M484" s="256"/>
      <c r="N484" s="256"/>
      <c r="O484" s="256"/>
      <c r="P484" s="256"/>
      <c r="Q484" s="278"/>
      <c r="R484" s="279"/>
      <c r="S484" s="279"/>
      <c r="T484" s="279"/>
      <c r="AB484" s="280"/>
      <c r="AC484" s="223"/>
      <c r="AD484" s="223"/>
      <c r="AE484" s="223"/>
      <c r="AF484" s="281"/>
      <c r="AG484" s="281"/>
      <c r="AH484" s="281"/>
      <c r="AI484" s="258"/>
      <c r="AJ484" s="258"/>
      <c r="AS484" s="282"/>
      <c r="AT484" s="283"/>
      <c r="AU484" s="282"/>
      <c r="AV484" s="284"/>
      <c r="AX484" s="285"/>
      <c r="AY484" s="285"/>
      <c r="BD484" s="1382" t="str">
        <f t="shared" si="20"/>
        <v/>
      </c>
      <c r="BE484" s="234"/>
      <c r="BF484" s="234"/>
      <c r="BG484" s="234"/>
      <c r="BH484" s="277"/>
      <c r="BK484" s="276"/>
      <c r="BL484" s="276"/>
      <c r="BM484" s="276"/>
      <c r="BN484" s="276"/>
      <c r="BO484" s="223"/>
      <c r="BP484" s="258"/>
      <c r="CC484" s="234"/>
      <c r="CG484" s="258"/>
      <c r="CH484" s="258"/>
      <c r="CI484" s="258"/>
      <c r="CJ484" s="256"/>
      <c r="CK484" s="258"/>
      <c r="CL484" s="258"/>
      <c r="CM484" s="258"/>
      <c r="CN484" s="258"/>
      <c r="CO484" s="258"/>
      <c r="CP484" s="258"/>
      <c r="CQ484" s="258"/>
      <c r="CR484" s="281"/>
      <c r="CS484" s="258"/>
      <c r="CT484" s="258"/>
      <c r="CU484" s="286"/>
      <c r="DH484" s="278"/>
      <c r="DJ484" s="270"/>
      <c r="DK484" s="1098"/>
      <c r="DL484" s="270"/>
      <c r="DM484" s="270"/>
      <c r="DN484" s="287"/>
      <c r="DO484" s="287"/>
      <c r="DP484" s="270"/>
      <c r="DQ484" s="270"/>
      <c r="DR484" s="270"/>
      <c r="DS484" s="270"/>
      <c r="DT484" s="270"/>
      <c r="DU484" s="1098"/>
      <c r="DV484" s="1098"/>
      <c r="DW484" s="1098"/>
      <c r="DX484" s="1098"/>
      <c r="DY484" s="1098"/>
      <c r="DZ484" s="1098"/>
      <c r="EA484" s="1098"/>
      <c r="EB484" s="1098"/>
      <c r="ED484" s="277"/>
      <c r="EE484" s="277"/>
      <c r="EF484" s="277"/>
      <c r="EH484" s="277"/>
    </row>
    <row r="485" spans="3:138" hidden="1">
      <c r="C485" s="276"/>
      <c r="D485" s="276"/>
      <c r="E485" s="276"/>
      <c r="F485" s="276"/>
      <c r="G485" s="276"/>
      <c r="H485" s="276"/>
      <c r="I485" s="276"/>
      <c r="J485" s="276"/>
      <c r="K485" s="276"/>
      <c r="L485" s="277"/>
      <c r="M485" s="256"/>
      <c r="N485" s="256"/>
      <c r="O485" s="256"/>
      <c r="P485" s="256"/>
      <c r="Q485" s="278"/>
      <c r="R485" s="279"/>
      <c r="S485" s="279"/>
      <c r="T485" s="279"/>
      <c r="AB485" s="280"/>
      <c r="AC485" s="223"/>
      <c r="AD485" s="223"/>
      <c r="AE485" s="223"/>
      <c r="AF485" s="281"/>
      <c r="AG485" s="281"/>
      <c r="AH485" s="281"/>
      <c r="AI485" s="258"/>
      <c r="AJ485" s="258"/>
      <c r="AS485" s="282"/>
      <c r="AT485" s="283"/>
      <c r="AU485" s="282"/>
      <c r="AV485" s="284"/>
      <c r="AX485" s="285"/>
      <c r="AY485" s="285"/>
      <c r="BD485" s="1382" t="str">
        <f t="shared" si="20"/>
        <v/>
      </c>
      <c r="BE485" s="234"/>
      <c r="BF485" s="234"/>
      <c r="BG485" s="234"/>
      <c r="BH485" s="277"/>
      <c r="BK485" s="276"/>
      <c r="BL485" s="276"/>
      <c r="BM485" s="276"/>
      <c r="BN485" s="276"/>
      <c r="BO485" s="223"/>
      <c r="BP485" s="258"/>
      <c r="CC485" s="234"/>
      <c r="CG485" s="258"/>
      <c r="CH485" s="258"/>
      <c r="CI485" s="258"/>
      <c r="CJ485" s="256"/>
      <c r="CK485" s="258"/>
      <c r="CL485" s="258"/>
      <c r="CM485" s="258"/>
      <c r="CN485" s="258"/>
      <c r="CO485" s="258"/>
      <c r="CP485" s="258"/>
      <c r="CQ485" s="258"/>
      <c r="CR485" s="281"/>
      <c r="CS485" s="258"/>
      <c r="CT485" s="258"/>
      <c r="CU485" s="286"/>
      <c r="DH485" s="278"/>
      <c r="DJ485" s="270"/>
      <c r="DK485" s="1098"/>
      <c r="DL485" s="270"/>
      <c r="DM485" s="270"/>
      <c r="DN485" s="287"/>
      <c r="DO485" s="287"/>
      <c r="DP485" s="270"/>
      <c r="DQ485" s="270"/>
      <c r="DR485" s="270"/>
      <c r="DS485" s="270"/>
      <c r="DT485" s="270"/>
      <c r="DU485" s="1098"/>
      <c r="DV485" s="1098"/>
      <c r="DW485" s="1098"/>
      <c r="DX485" s="1098"/>
      <c r="DY485" s="1098"/>
      <c r="DZ485" s="1098"/>
      <c r="EA485" s="1098"/>
      <c r="EB485" s="1098"/>
      <c r="ED485" s="277"/>
      <c r="EE485" s="277"/>
      <c r="EF485" s="277"/>
      <c r="EH485" s="277"/>
    </row>
    <row r="486" spans="3:138" hidden="1">
      <c r="C486" s="276"/>
      <c r="D486" s="276"/>
      <c r="E486" s="276"/>
      <c r="F486" s="276"/>
      <c r="G486" s="276"/>
      <c r="H486" s="276"/>
      <c r="I486" s="276"/>
      <c r="J486" s="276"/>
      <c r="K486" s="276"/>
      <c r="L486" s="277"/>
      <c r="M486" s="256"/>
      <c r="N486" s="256"/>
      <c r="O486" s="256"/>
      <c r="P486" s="256"/>
      <c r="Q486" s="278"/>
      <c r="R486" s="279"/>
      <c r="S486" s="279"/>
      <c r="T486" s="279"/>
      <c r="AB486" s="280"/>
      <c r="AC486" s="223"/>
      <c r="AD486" s="223"/>
      <c r="AE486" s="223"/>
      <c r="AF486" s="281"/>
      <c r="AG486" s="281"/>
      <c r="AH486" s="281"/>
      <c r="AI486" s="258"/>
      <c r="AJ486" s="258"/>
      <c r="AS486" s="282"/>
      <c r="AT486" s="283"/>
      <c r="AU486" s="282"/>
      <c r="AV486" s="284"/>
      <c r="AX486" s="285"/>
      <c r="AY486" s="285"/>
      <c r="BD486" s="1382" t="str">
        <f t="shared" si="20"/>
        <v/>
      </c>
      <c r="BE486" s="234"/>
      <c r="BF486" s="234"/>
      <c r="BG486" s="234"/>
      <c r="BH486" s="277"/>
      <c r="BK486" s="276"/>
      <c r="BL486" s="276"/>
      <c r="BM486" s="276"/>
      <c r="BN486" s="276"/>
      <c r="BO486" s="223"/>
      <c r="BP486" s="258"/>
      <c r="CC486" s="234"/>
      <c r="CG486" s="258"/>
      <c r="CH486" s="258"/>
      <c r="CI486" s="258"/>
      <c r="CJ486" s="256"/>
      <c r="CK486" s="258"/>
      <c r="CL486" s="258"/>
      <c r="CM486" s="258"/>
      <c r="CN486" s="258"/>
      <c r="CO486" s="258"/>
      <c r="CP486" s="258"/>
      <c r="CQ486" s="258"/>
      <c r="CR486" s="281"/>
      <c r="CS486" s="258"/>
      <c r="CT486" s="258"/>
      <c r="CU486" s="286"/>
      <c r="DH486" s="278"/>
      <c r="DJ486" s="270"/>
      <c r="DK486" s="1098"/>
      <c r="DL486" s="270"/>
      <c r="DM486" s="270"/>
      <c r="DN486" s="287"/>
      <c r="DO486" s="287"/>
      <c r="DP486" s="270"/>
      <c r="DQ486" s="270"/>
      <c r="DR486" s="270"/>
      <c r="DS486" s="270"/>
      <c r="DT486" s="270"/>
      <c r="DU486" s="1098"/>
      <c r="DV486" s="1098"/>
      <c r="DW486" s="1098"/>
      <c r="DX486" s="1098"/>
      <c r="DY486" s="1098"/>
      <c r="DZ486" s="1098"/>
      <c r="EA486" s="1098"/>
      <c r="EB486" s="1098"/>
      <c r="ED486" s="277"/>
      <c r="EE486" s="277"/>
      <c r="EF486" s="277"/>
      <c r="EH486" s="277"/>
    </row>
    <row r="487" spans="3:138" hidden="1">
      <c r="C487" s="276"/>
      <c r="D487" s="276"/>
      <c r="E487" s="276"/>
      <c r="F487" s="276"/>
      <c r="G487" s="276"/>
      <c r="H487" s="276"/>
      <c r="I487" s="276"/>
      <c r="J487" s="276"/>
      <c r="K487" s="276"/>
      <c r="L487" s="277"/>
      <c r="M487" s="256"/>
      <c r="N487" s="256"/>
      <c r="O487" s="256"/>
      <c r="P487" s="256"/>
      <c r="Q487" s="278"/>
      <c r="R487" s="279"/>
      <c r="S487" s="279"/>
      <c r="T487" s="279"/>
      <c r="AB487" s="280"/>
      <c r="AC487" s="223"/>
      <c r="AD487" s="223"/>
      <c r="AE487" s="223"/>
      <c r="AF487" s="281"/>
      <c r="AG487" s="281"/>
      <c r="AH487" s="281"/>
      <c r="AI487" s="258"/>
      <c r="AJ487" s="258"/>
      <c r="AS487" s="282"/>
      <c r="AT487" s="283"/>
      <c r="AU487" s="282"/>
      <c r="AV487" s="284"/>
      <c r="AX487" s="285"/>
      <c r="AY487" s="285"/>
      <c r="BD487" s="1382" t="str">
        <f t="shared" ref="BD487:BD501" si="21">IF(B487="S",(IF(O487=1.2,IF((H487-J487)&lt;=1.2,H487-J487,H487-J487-0.95))),"")</f>
        <v/>
      </c>
      <c r="BE487" s="234"/>
      <c r="BF487" s="234"/>
      <c r="BG487" s="234"/>
      <c r="BH487" s="277"/>
      <c r="BK487" s="276"/>
      <c r="BL487" s="276"/>
      <c r="BM487" s="276"/>
      <c r="BN487" s="276"/>
      <c r="BO487" s="223"/>
      <c r="BP487" s="258"/>
      <c r="CC487" s="234"/>
      <c r="CG487" s="258"/>
      <c r="CH487" s="258"/>
      <c r="CI487" s="258"/>
      <c r="CJ487" s="256"/>
      <c r="CK487" s="258"/>
      <c r="CL487" s="258"/>
      <c r="CM487" s="258"/>
      <c r="CN487" s="258"/>
      <c r="CO487" s="258"/>
      <c r="CP487" s="258"/>
      <c r="CQ487" s="258"/>
      <c r="CR487" s="281"/>
      <c r="CS487" s="258"/>
      <c r="CT487" s="258"/>
      <c r="CU487" s="286"/>
      <c r="DH487" s="278"/>
      <c r="DJ487" s="270"/>
      <c r="DK487" s="1098"/>
      <c r="DL487" s="270"/>
      <c r="DM487" s="270"/>
      <c r="DN487" s="287"/>
      <c r="DO487" s="287"/>
      <c r="DP487" s="270"/>
      <c r="DQ487" s="270"/>
      <c r="DR487" s="270"/>
      <c r="DS487" s="270"/>
      <c r="DT487" s="270"/>
      <c r="DU487" s="1098"/>
      <c r="DV487" s="1098"/>
      <c r="DW487" s="1098"/>
      <c r="DX487" s="1098"/>
      <c r="DY487" s="1098"/>
      <c r="DZ487" s="1098"/>
      <c r="EA487" s="1098"/>
      <c r="EB487" s="1098"/>
      <c r="ED487" s="277"/>
      <c r="EE487" s="277"/>
      <c r="EF487" s="277"/>
      <c r="EH487" s="277"/>
    </row>
    <row r="488" spans="3:138" hidden="1">
      <c r="C488" s="276"/>
      <c r="D488" s="276"/>
      <c r="E488" s="276"/>
      <c r="F488" s="276"/>
      <c r="G488" s="276"/>
      <c r="H488" s="276"/>
      <c r="I488" s="276"/>
      <c r="J488" s="276"/>
      <c r="K488" s="276"/>
      <c r="L488" s="277"/>
      <c r="M488" s="256"/>
      <c r="N488" s="256"/>
      <c r="O488" s="256"/>
      <c r="P488" s="256"/>
      <c r="Q488" s="278"/>
      <c r="R488" s="279"/>
      <c r="S488" s="279"/>
      <c r="T488" s="279"/>
      <c r="AB488" s="280"/>
      <c r="AC488" s="223"/>
      <c r="AD488" s="223"/>
      <c r="AE488" s="223"/>
      <c r="AF488" s="281"/>
      <c r="AG488" s="281"/>
      <c r="AH488" s="281"/>
      <c r="AI488" s="258"/>
      <c r="AJ488" s="258"/>
      <c r="AS488" s="282"/>
      <c r="AT488" s="283"/>
      <c r="AU488" s="282"/>
      <c r="AV488" s="284"/>
      <c r="AX488" s="285"/>
      <c r="AY488" s="285"/>
      <c r="BD488" s="1382" t="str">
        <f t="shared" si="21"/>
        <v/>
      </c>
      <c r="BE488" s="234"/>
      <c r="BF488" s="234"/>
      <c r="BG488" s="234"/>
      <c r="BH488" s="277"/>
      <c r="BK488" s="276"/>
      <c r="BL488" s="276"/>
      <c r="BM488" s="276"/>
      <c r="BN488" s="276"/>
      <c r="BO488" s="223"/>
      <c r="BP488" s="258"/>
      <c r="CC488" s="234"/>
      <c r="CG488" s="258"/>
      <c r="CH488" s="258"/>
      <c r="CI488" s="258"/>
      <c r="CJ488" s="256"/>
      <c r="CK488" s="258"/>
      <c r="CL488" s="258"/>
      <c r="CM488" s="258"/>
      <c r="CN488" s="258"/>
      <c r="CO488" s="258"/>
      <c r="CP488" s="258"/>
      <c r="CQ488" s="258"/>
      <c r="CR488" s="281"/>
      <c r="CS488" s="258"/>
      <c r="CT488" s="258"/>
      <c r="CU488" s="286"/>
      <c r="DH488" s="278"/>
      <c r="DJ488" s="270"/>
      <c r="DK488" s="1098"/>
      <c r="DL488" s="270"/>
      <c r="DM488" s="270"/>
      <c r="DN488" s="287"/>
      <c r="DO488" s="287"/>
      <c r="DP488" s="270"/>
      <c r="DQ488" s="270"/>
      <c r="DR488" s="270"/>
      <c r="DS488" s="270"/>
      <c r="DT488" s="270"/>
      <c r="DU488" s="1098"/>
      <c r="DV488" s="1098"/>
      <c r="DW488" s="1098"/>
      <c r="DX488" s="1098"/>
      <c r="DY488" s="1098"/>
      <c r="DZ488" s="1098"/>
      <c r="EA488" s="1098"/>
      <c r="EB488" s="1098"/>
      <c r="ED488" s="277"/>
      <c r="EE488" s="277"/>
      <c r="EF488" s="277"/>
      <c r="EH488" s="277"/>
    </row>
    <row r="489" spans="3:138" hidden="1">
      <c r="C489" s="276"/>
      <c r="D489" s="276"/>
      <c r="E489" s="276"/>
      <c r="F489" s="276"/>
      <c r="G489" s="276"/>
      <c r="H489" s="276"/>
      <c r="I489" s="276"/>
      <c r="J489" s="276"/>
      <c r="K489" s="276"/>
      <c r="L489" s="277"/>
      <c r="M489" s="256"/>
      <c r="N489" s="256"/>
      <c r="O489" s="256"/>
      <c r="P489" s="256"/>
      <c r="Q489" s="278"/>
      <c r="R489" s="279"/>
      <c r="S489" s="279"/>
      <c r="T489" s="279"/>
      <c r="AB489" s="280"/>
      <c r="AC489" s="223"/>
      <c r="AD489" s="223"/>
      <c r="AE489" s="223"/>
      <c r="AF489" s="281"/>
      <c r="AG489" s="281"/>
      <c r="AH489" s="281"/>
      <c r="AI489" s="258"/>
      <c r="AJ489" s="258"/>
      <c r="AS489" s="282"/>
      <c r="AT489" s="283"/>
      <c r="AU489" s="282"/>
      <c r="AV489" s="284"/>
      <c r="AX489" s="285"/>
      <c r="AY489" s="285"/>
      <c r="BD489" s="1382" t="str">
        <f t="shared" si="21"/>
        <v/>
      </c>
      <c r="BE489" s="234"/>
      <c r="BF489" s="234"/>
      <c r="BG489" s="234"/>
      <c r="BH489" s="277"/>
      <c r="BK489" s="276"/>
      <c r="BL489" s="276"/>
      <c r="BM489" s="276"/>
      <c r="BN489" s="276"/>
      <c r="BO489" s="223"/>
      <c r="BP489" s="258"/>
      <c r="CC489" s="234"/>
      <c r="CG489" s="258"/>
      <c r="CH489" s="258"/>
      <c r="CI489" s="258"/>
      <c r="CJ489" s="256"/>
      <c r="CK489" s="258"/>
      <c r="CL489" s="258"/>
      <c r="CM489" s="258"/>
      <c r="CN489" s="258"/>
      <c r="CO489" s="258"/>
      <c r="CP489" s="258"/>
      <c r="CQ489" s="258"/>
      <c r="CR489" s="281"/>
      <c r="CS489" s="258"/>
      <c r="CT489" s="258"/>
      <c r="CU489" s="286"/>
      <c r="DH489" s="278"/>
      <c r="DJ489" s="270"/>
      <c r="DK489" s="1098"/>
      <c r="DL489" s="270"/>
      <c r="DM489" s="270"/>
      <c r="DN489" s="287"/>
      <c r="DO489" s="287"/>
      <c r="DP489" s="270"/>
      <c r="DQ489" s="270"/>
      <c r="DR489" s="270"/>
      <c r="DS489" s="270"/>
      <c r="DT489" s="270"/>
      <c r="DU489" s="1098"/>
      <c r="DV489" s="1098"/>
      <c r="DW489" s="1098"/>
      <c r="DX489" s="1098"/>
      <c r="DY489" s="1098"/>
      <c r="DZ489" s="1098"/>
      <c r="EA489" s="1098"/>
      <c r="EB489" s="1098"/>
      <c r="ED489" s="277"/>
      <c r="EE489" s="277"/>
      <c r="EF489" s="277"/>
      <c r="EH489" s="277"/>
    </row>
    <row r="490" spans="3:138" hidden="1">
      <c r="C490" s="276"/>
      <c r="D490" s="276"/>
      <c r="E490" s="276"/>
      <c r="F490" s="276"/>
      <c r="G490" s="276"/>
      <c r="H490" s="276"/>
      <c r="I490" s="276"/>
      <c r="J490" s="276"/>
      <c r="K490" s="276"/>
      <c r="L490" s="277"/>
      <c r="M490" s="256"/>
      <c r="N490" s="256"/>
      <c r="O490" s="256"/>
      <c r="P490" s="256"/>
      <c r="Q490" s="278"/>
      <c r="R490" s="279"/>
      <c r="S490" s="279"/>
      <c r="T490" s="279"/>
      <c r="AB490" s="280"/>
      <c r="AC490" s="223"/>
      <c r="AD490" s="223"/>
      <c r="AE490" s="223"/>
      <c r="AF490" s="281"/>
      <c r="AG490" s="281"/>
      <c r="AH490" s="281"/>
      <c r="AI490" s="258"/>
      <c r="AJ490" s="258"/>
      <c r="AS490" s="282"/>
      <c r="AT490" s="283"/>
      <c r="AU490" s="282"/>
      <c r="AV490" s="284"/>
      <c r="AX490" s="285"/>
      <c r="AY490" s="285"/>
      <c r="BD490" s="1382" t="str">
        <f t="shared" si="21"/>
        <v/>
      </c>
      <c r="BE490" s="234"/>
      <c r="BF490" s="234"/>
      <c r="BG490" s="234"/>
      <c r="BH490" s="277"/>
      <c r="BK490" s="276"/>
      <c r="BL490" s="276"/>
      <c r="BM490" s="276"/>
      <c r="BN490" s="276"/>
      <c r="BO490" s="223"/>
      <c r="BP490" s="258"/>
      <c r="CC490" s="234"/>
      <c r="CG490" s="258"/>
      <c r="CH490" s="258"/>
      <c r="CI490" s="258"/>
      <c r="CJ490" s="256"/>
      <c r="CK490" s="258"/>
      <c r="CL490" s="258"/>
      <c r="CM490" s="258"/>
      <c r="CN490" s="258"/>
      <c r="CO490" s="258"/>
      <c r="CP490" s="258"/>
      <c r="CQ490" s="258"/>
      <c r="CR490" s="281"/>
      <c r="CS490" s="258"/>
      <c r="CT490" s="258"/>
      <c r="CU490" s="286"/>
      <c r="DH490" s="278"/>
      <c r="DJ490" s="270"/>
      <c r="DK490" s="1098"/>
      <c r="DL490" s="270"/>
      <c r="DM490" s="270"/>
      <c r="DN490" s="287"/>
      <c r="DO490" s="287"/>
      <c r="DP490" s="270"/>
      <c r="DQ490" s="270"/>
      <c r="DR490" s="270"/>
      <c r="DS490" s="270"/>
      <c r="DT490" s="270"/>
      <c r="DU490" s="1098"/>
      <c r="DV490" s="1098"/>
      <c r="DW490" s="1098"/>
      <c r="DX490" s="1098"/>
      <c r="DY490" s="1098"/>
      <c r="DZ490" s="1098"/>
      <c r="EA490" s="1098"/>
      <c r="EB490" s="1098"/>
      <c r="ED490" s="277"/>
      <c r="EE490" s="277"/>
      <c r="EF490" s="277"/>
      <c r="EH490" s="277"/>
    </row>
    <row r="491" spans="3:138" hidden="1">
      <c r="C491" s="276"/>
      <c r="D491" s="276"/>
      <c r="E491" s="276"/>
      <c r="F491" s="276"/>
      <c r="G491" s="276"/>
      <c r="H491" s="276"/>
      <c r="I491" s="276"/>
      <c r="J491" s="276"/>
      <c r="K491" s="276"/>
      <c r="L491" s="277"/>
      <c r="M491" s="256"/>
      <c r="N491" s="256"/>
      <c r="O491" s="256"/>
      <c r="P491" s="256"/>
      <c r="Q491" s="278"/>
      <c r="R491" s="279"/>
      <c r="S491" s="279"/>
      <c r="T491" s="279"/>
      <c r="AB491" s="280"/>
      <c r="AC491" s="223"/>
      <c r="AD491" s="223"/>
      <c r="AE491" s="223"/>
      <c r="AF491" s="281"/>
      <c r="AG491" s="281"/>
      <c r="AH491" s="281"/>
      <c r="AI491" s="258"/>
      <c r="AJ491" s="258"/>
      <c r="AS491" s="282"/>
      <c r="AT491" s="283"/>
      <c r="AU491" s="282"/>
      <c r="AV491" s="284"/>
      <c r="AX491" s="285"/>
      <c r="AY491" s="285"/>
      <c r="BD491" s="1382" t="str">
        <f t="shared" si="21"/>
        <v/>
      </c>
      <c r="BE491" s="234"/>
      <c r="BF491" s="234"/>
      <c r="BG491" s="234"/>
      <c r="BH491" s="277"/>
      <c r="BK491" s="276"/>
      <c r="BL491" s="276"/>
      <c r="BM491" s="276"/>
      <c r="BN491" s="276"/>
      <c r="BO491" s="223"/>
      <c r="BP491" s="258"/>
      <c r="CC491" s="234"/>
      <c r="CG491" s="258"/>
      <c r="CH491" s="258"/>
      <c r="CI491" s="258"/>
      <c r="CJ491" s="256"/>
      <c r="CK491" s="258"/>
      <c r="CL491" s="258"/>
      <c r="CM491" s="258"/>
      <c r="CN491" s="258"/>
      <c r="CO491" s="258"/>
      <c r="CP491" s="258"/>
      <c r="CQ491" s="258"/>
      <c r="CR491" s="281"/>
      <c r="CS491" s="258"/>
      <c r="CT491" s="258"/>
      <c r="CU491" s="286"/>
      <c r="DH491" s="278"/>
      <c r="DJ491" s="270"/>
      <c r="DK491" s="1098"/>
      <c r="DL491" s="270"/>
      <c r="DM491" s="270"/>
      <c r="DN491" s="287"/>
      <c r="DO491" s="287"/>
      <c r="DP491" s="270"/>
      <c r="DQ491" s="270"/>
      <c r="DR491" s="270"/>
      <c r="DS491" s="270"/>
      <c r="DT491" s="270"/>
      <c r="DU491" s="1098"/>
      <c r="DV491" s="1098"/>
      <c r="DW491" s="1098"/>
      <c r="DX491" s="1098"/>
      <c r="DY491" s="1098"/>
      <c r="DZ491" s="1098"/>
      <c r="EA491" s="1098"/>
      <c r="EB491" s="1098"/>
      <c r="ED491" s="277"/>
      <c r="EE491" s="277"/>
      <c r="EF491" s="277"/>
      <c r="EH491" s="277"/>
    </row>
    <row r="492" spans="3:138" hidden="1">
      <c r="C492" s="276"/>
      <c r="D492" s="276"/>
      <c r="E492" s="276"/>
      <c r="F492" s="276"/>
      <c r="G492" s="276"/>
      <c r="H492" s="276"/>
      <c r="I492" s="276"/>
      <c r="J492" s="276"/>
      <c r="K492" s="276"/>
      <c r="L492" s="277"/>
      <c r="M492" s="256"/>
      <c r="N492" s="256"/>
      <c r="O492" s="256"/>
      <c r="P492" s="256"/>
      <c r="Q492" s="278"/>
      <c r="R492" s="279"/>
      <c r="S492" s="279"/>
      <c r="T492" s="279"/>
      <c r="AB492" s="280"/>
      <c r="AC492" s="223"/>
      <c r="AD492" s="223"/>
      <c r="AE492" s="223"/>
      <c r="AF492" s="281"/>
      <c r="AG492" s="281"/>
      <c r="AH492" s="281"/>
      <c r="AI492" s="258"/>
      <c r="AJ492" s="258"/>
      <c r="AS492" s="282"/>
      <c r="AT492" s="283"/>
      <c r="AU492" s="282"/>
      <c r="AV492" s="284"/>
      <c r="AX492" s="285"/>
      <c r="AY492" s="285"/>
      <c r="BD492" s="1382" t="str">
        <f t="shared" si="21"/>
        <v/>
      </c>
      <c r="BE492" s="234"/>
      <c r="BF492" s="234"/>
      <c r="BG492" s="234"/>
      <c r="BH492" s="277"/>
      <c r="BK492" s="276"/>
      <c r="BL492" s="276"/>
      <c r="BM492" s="276"/>
      <c r="BN492" s="276"/>
      <c r="BO492" s="223"/>
      <c r="BP492" s="258"/>
      <c r="CC492" s="234"/>
      <c r="CG492" s="258"/>
      <c r="CH492" s="258"/>
      <c r="CI492" s="258"/>
      <c r="CJ492" s="256"/>
      <c r="CK492" s="258"/>
      <c r="CL492" s="258"/>
      <c r="CM492" s="258"/>
      <c r="CN492" s="258"/>
      <c r="CO492" s="258"/>
      <c r="CP492" s="258"/>
      <c r="CQ492" s="258"/>
      <c r="CR492" s="281"/>
      <c r="CS492" s="258"/>
      <c r="CT492" s="258"/>
      <c r="CU492" s="286"/>
      <c r="DH492" s="278"/>
      <c r="DJ492" s="270"/>
      <c r="DK492" s="1098"/>
      <c r="DL492" s="270"/>
      <c r="DM492" s="270"/>
      <c r="DN492" s="287"/>
      <c r="DO492" s="287"/>
      <c r="DP492" s="270"/>
      <c r="DQ492" s="270"/>
      <c r="DR492" s="270"/>
      <c r="DS492" s="270"/>
      <c r="DT492" s="270"/>
      <c r="DU492" s="1098"/>
      <c r="DV492" s="1098"/>
      <c r="DW492" s="1098"/>
      <c r="DX492" s="1098"/>
      <c r="DY492" s="1098"/>
      <c r="DZ492" s="1098"/>
      <c r="EA492" s="1098"/>
      <c r="EB492" s="1098"/>
      <c r="ED492" s="277"/>
      <c r="EE492" s="277"/>
      <c r="EF492" s="277"/>
      <c r="EH492" s="277"/>
    </row>
    <row r="493" spans="3:138" hidden="1">
      <c r="C493" s="276"/>
      <c r="D493" s="276"/>
      <c r="E493" s="276"/>
      <c r="F493" s="276"/>
      <c r="G493" s="276"/>
      <c r="H493" s="276"/>
      <c r="I493" s="276"/>
      <c r="J493" s="276"/>
      <c r="K493" s="276"/>
      <c r="L493" s="277"/>
      <c r="M493" s="256"/>
      <c r="N493" s="256"/>
      <c r="O493" s="256"/>
      <c r="P493" s="256"/>
      <c r="Q493" s="278"/>
      <c r="R493" s="279"/>
      <c r="S493" s="279"/>
      <c r="T493" s="279"/>
      <c r="AB493" s="280"/>
      <c r="AC493" s="223"/>
      <c r="AD493" s="223"/>
      <c r="AE493" s="223"/>
      <c r="AF493" s="281"/>
      <c r="AG493" s="281"/>
      <c r="AH493" s="281"/>
      <c r="AI493" s="258"/>
      <c r="AJ493" s="258"/>
      <c r="AS493" s="282"/>
      <c r="AT493" s="283"/>
      <c r="AU493" s="282"/>
      <c r="AV493" s="284"/>
      <c r="AX493" s="285"/>
      <c r="AY493" s="285"/>
      <c r="BD493" s="1382" t="str">
        <f t="shared" si="21"/>
        <v/>
      </c>
      <c r="BE493" s="234"/>
      <c r="BF493" s="234"/>
      <c r="BG493" s="234"/>
      <c r="BH493" s="277"/>
      <c r="BK493" s="276"/>
      <c r="BL493" s="276"/>
      <c r="BM493" s="276"/>
      <c r="BN493" s="276"/>
      <c r="BO493" s="223"/>
      <c r="BP493" s="258"/>
      <c r="CC493" s="234"/>
      <c r="CG493" s="258"/>
      <c r="CH493" s="258"/>
      <c r="CI493" s="258"/>
      <c r="CJ493" s="256"/>
      <c r="CK493" s="258"/>
      <c r="CL493" s="258"/>
      <c r="CM493" s="258"/>
      <c r="CN493" s="258"/>
      <c r="CO493" s="258"/>
      <c r="CP493" s="258"/>
      <c r="CQ493" s="258"/>
      <c r="CR493" s="281"/>
      <c r="CS493" s="258"/>
      <c r="CT493" s="258"/>
      <c r="CU493" s="286"/>
      <c r="DH493" s="278"/>
      <c r="DJ493" s="270"/>
      <c r="DK493" s="1098"/>
      <c r="DL493" s="270"/>
      <c r="DM493" s="270"/>
      <c r="DN493" s="287"/>
      <c r="DO493" s="287"/>
      <c r="DP493" s="270"/>
      <c r="DQ493" s="270"/>
      <c r="DR493" s="270"/>
      <c r="DS493" s="270"/>
      <c r="DT493" s="270"/>
      <c r="DU493" s="1098"/>
      <c r="DV493" s="1098"/>
      <c r="DW493" s="1098"/>
      <c r="DX493" s="1098"/>
      <c r="DY493" s="1098"/>
      <c r="DZ493" s="1098"/>
      <c r="EA493" s="1098"/>
      <c r="EB493" s="1098"/>
      <c r="ED493" s="277"/>
      <c r="EE493" s="277"/>
      <c r="EF493" s="277"/>
      <c r="EH493" s="277"/>
    </row>
    <row r="494" spans="3:138" hidden="1">
      <c r="C494" s="276"/>
      <c r="D494" s="276"/>
      <c r="E494" s="276"/>
      <c r="F494" s="276"/>
      <c r="G494" s="276"/>
      <c r="H494" s="276"/>
      <c r="I494" s="276"/>
      <c r="J494" s="276"/>
      <c r="K494" s="276"/>
      <c r="L494" s="277"/>
      <c r="M494" s="256"/>
      <c r="N494" s="256"/>
      <c r="O494" s="256"/>
      <c r="P494" s="256"/>
      <c r="Q494" s="278"/>
      <c r="R494" s="279"/>
      <c r="S494" s="279"/>
      <c r="T494" s="279"/>
      <c r="AB494" s="280"/>
      <c r="AC494" s="223"/>
      <c r="AD494" s="223"/>
      <c r="AE494" s="223"/>
      <c r="AF494" s="281"/>
      <c r="AG494" s="281"/>
      <c r="AH494" s="281"/>
      <c r="AI494" s="258"/>
      <c r="AJ494" s="258"/>
      <c r="AS494" s="282"/>
      <c r="AT494" s="283"/>
      <c r="AU494" s="282"/>
      <c r="AV494" s="284"/>
      <c r="AX494" s="285"/>
      <c r="AY494" s="285"/>
      <c r="BD494" s="1382" t="str">
        <f t="shared" si="21"/>
        <v/>
      </c>
      <c r="BE494" s="234"/>
      <c r="BF494" s="234"/>
      <c r="BG494" s="234"/>
      <c r="BH494" s="277"/>
      <c r="BK494" s="276"/>
      <c r="BL494" s="276"/>
      <c r="BM494" s="276"/>
      <c r="BN494" s="276"/>
      <c r="BO494" s="223"/>
      <c r="BP494" s="258"/>
      <c r="CC494" s="234"/>
      <c r="CG494" s="258"/>
      <c r="CH494" s="258"/>
      <c r="CI494" s="258"/>
      <c r="CJ494" s="256"/>
      <c r="CK494" s="258"/>
      <c r="CL494" s="258"/>
      <c r="CM494" s="258"/>
      <c r="CN494" s="258"/>
      <c r="CO494" s="258"/>
      <c r="CP494" s="258"/>
      <c r="CQ494" s="258"/>
      <c r="CR494" s="281"/>
      <c r="CS494" s="258"/>
      <c r="CT494" s="258"/>
      <c r="CU494" s="286"/>
      <c r="DH494" s="278"/>
      <c r="DJ494" s="270"/>
      <c r="DK494" s="1098"/>
      <c r="DL494" s="270"/>
      <c r="DM494" s="270"/>
      <c r="DN494" s="287"/>
      <c r="DO494" s="287"/>
      <c r="DP494" s="270"/>
      <c r="DQ494" s="270"/>
      <c r="DR494" s="270"/>
      <c r="DS494" s="270"/>
      <c r="DT494" s="270"/>
      <c r="DU494" s="1098"/>
      <c r="DV494" s="1098"/>
      <c r="DW494" s="1098"/>
      <c r="DX494" s="1098"/>
      <c r="DY494" s="1098"/>
      <c r="DZ494" s="1098"/>
      <c r="EA494" s="1098"/>
      <c r="EB494" s="1098"/>
      <c r="ED494" s="277"/>
      <c r="EE494" s="277"/>
      <c r="EF494" s="277"/>
      <c r="EH494" s="277"/>
    </row>
    <row r="495" spans="3:138" hidden="1">
      <c r="C495" s="276"/>
      <c r="D495" s="276"/>
      <c r="E495" s="276"/>
      <c r="F495" s="276"/>
      <c r="G495" s="276"/>
      <c r="H495" s="276"/>
      <c r="I495" s="276"/>
      <c r="J495" s="276"/>
      <c r="K495" s="276"/>
      <c r="L495" s="277"/>
      <c r="M495" s="256"/>
      <c r="N495" s="256"/>
      <c r="O495" s="256"/>
      <c r="P495" s="256"/>
      <c r="Q495" s="278"/>
      <c r="R495" s="279"/>
      <c r="S495" s="279"/>
      <c r="T495" s="279"/>
      <c r="AB495" s="280"/>
      <c r="AC495" s="223"/>
      <c r="AD495" s="223"/>
      <c r="AE495" s="223"/>
      <c r="AF495" s="281"/>
      <c r="AG495" s="281"/>
      <c r="AH495" s="281"/>
      <c r="AI495" s="258"/>
      <c r="AJ495" s="258"/>
      <c r="AS495" s="282"/>
      <c r="AT495" s="283"/>
      <c r="AU495" s="282"/>
      <c r="AV495" s="284"/>
      <c r="AX495" s="285"/>
      <c r="AY495" s="285"/>
      <c r="BD495" s="1382" t="str">
        <f t="shared" si="21"/>
        <v/>
      </c>
      <c r="BE495" s="234"/>
      <c r="BF495" s="234"/>
      <c r="BG495" s="234"/>
      <c r="BH495" s="277"/>
      <c r="BK495" s="276"/>
      <c r="BL495" s="276"/>
      <c r="BM495" s="276"/>
      <c r="BN495" s="276"/>
      <c r="BO495" s="223"/>
      <c r="BP495" s="258"/>
      <c r="CC495" s="234"/>
      <c r="CG495" s="258"/>
      <c r="CH495" s="258"/>
      <c r="CI495" s="258"/>
      <c r="CJ495" s="256"/>
      <c r="CK495" s="258"/>
      <c r="CL495" s="258"/>
      <c r="CM495" s="258"/>
      <c r="CN495" s="258"/>
      <c r="CO495" s="258"/>
      <c r="CP495" s="258"/>
      <c r="CQ495" s="258"/>
      <c r="CR495" s="281"/>
      <c r="CS495" s="258"/>
      <c r="CT495" s="258"/>
      <c r="CU495" s="286"/>
      <c r="DH495" s="278"/>
      <c r="DJ495" s="270"/>
      <c r="DK495" s="1098"/>
      <c r="DL495" s="270"/>
      <c r="DM495" s="270"/>
      <c r="DN495" s="287"/>
      <c r="DO495" s="287"/>
      <c r="DP495" s="270"/>
      <c r="DQ495" s="270"/>
      <c r="DR495" s="270"/>
      <c r="DS495" s="270"/>
      <c r="DT495" s="270"/>
      <c r="DU495" s="1098"/>
      <c r="DV495" s="1098"/>
      <c r="DW495" s="1098"/>
      <c r="DX495" s="1098"/>
      <c r="DY495" s="1098"/>
      <c r="DZ495" s="1098"/>
      <c r="EA495" s="1098"/>
      <c r="EB495" s="1098"/>
      <c r="ED495" s="277"/>
      <c r="EE495" s="277"/>
      <c r="EF495" s="277"/>
      <c r="EH495" s="277"/>
    </row>
    <row r="496" spans="3:138" hidden="1">
      <c r="C496" s="276"/>
      <c r="D496" s="276"/>
      <c r="E496" s="276"/>
      <c r="F496" s="276"/>
      <c r="G496" s="276"/>
      <c r="H496" s="276"/>
      <c r="I496" s="276"/>
      <c r="J496" s="276"/>
      <c r="K496" s="276"/>
      <c r="L496" s="277"/>
      <c r="M496" s="256"/>
      <c r="N496" s="256"/>
      <c r="O496" s="256"/>
      <c r="P496" s="256"/>
      <c r="Q496" s="278"/>
      <c r="R496" s="279"/>
      <c r="S496" s="279"/>
      <c r="T496" s="279"/>
      <c r="AB496" s="280"/>
      <c r="AC496" s="223"/>
      <c r="AD496" s="223"/>
      <c r="AE496" s="223"/>
      <c r="AF496" s="281"/>
      <c r="AG496" s="281"/>
      <c r="AH496" s="281"/>
      <c r="AI496" s="258"/>
      <c r="AJ496" s="258"/>
      <c r="AS496" s="282"/>
      <c r="AT496" s="283"/>
      <c r="AU496" s="282"/>
      <c r="AV496" s="284"/>
      <c r="AX496" s="285"/>
      <c r="AY496" s="285"/>
      <c r="BD496" s="1382" t="str">
        <f t="shared" si="21"/>
        <v/>
      </c>
      <c r="BE496" s="234"/>
      <c r="BF496" s="234"/>
      <c r="BG496" s="234"/>
      <c r="BH496" s="277"/>
      <c r="BK496" s="276"/>
      <c r="BL496" s="276"/>
      <c r="BM496" s="276"/>
      <c r="BN496" s="276"/>
      <c r="BO496" s="223"/>
      <c r="BP496" s="258"/>
      <c r="CC496" s="234"/>
      <c r="CG496" s="258"/>
      <c r="CH496" s="258"/>
      <c r="CI496" s="258"/>
      <c r="CJ496" s="256"/>
      <c r="CK496" s="258"/>
      <c r="CL496" s="258"/>
      <c r="CM496" s="258"/>
      <c r="CN496" s="258"/>
      <c r="CO496" s="258"/>
      <c r="CP496" s="258"/>
      <c r="CQ496" s="258"/>
      <c r="CR496" s="281"/>
      <c r="CS496" s="258"/>
      <c r="CT496" s="258"/>
      <c r="CU496" s="286"/>
      <c r="DH496" s="278"/>
      <c r="DJ496" s="270"/>
      <c r="DK496" s="1098"/>
      <c r="DL496" s="270"/>
      <c r="DM496" s="270"/>
      <c r="DN496" s="287"/>
      <c r="DO496" s="287"/>
      <c r="DP496" s="270"/>
      <c r="DQ496" s="270"/>
      <c r="DR496" s="270"/>
      <c r="DS496" s="270"/>
      <c r="DT496" s="270"/>
      <c r="DU496" s="1098"/>
      <c r="DV496" s="1098"/>
      <c r="DW496" s="1098"/>
      <c r="DX496" s="1098"/>
      <c r="DY496" s="1098"/>
      <c r="DZ496" s="1098"/>
      <c r="EA496" s="1098"/>
      <c r="EB496" s="1098"/>
      <c r="ED496" s="277"/>
      <c r="EE496" s="277"/>
      <c r="EF496" s="277"/>
      <c r="EH496" s="277"/>
    </row>
    <row r="497" spans="1:16384" hidden="1">
      <c r="C497" s="276"/>
      <c r="D497" s="276"/>
      <c r="E497" s="276"/>
      <c r="F497" s="276"/>
      <c r="G497" s="276"/>
      <c r="H497" s="276"/>
      <c r="I497" s="276"/>
      <c r="J497" s="276"/>
      <c r="K497" s="276"/>
      <c r="L497" s="277"/>
      <c r="M497" s="256"/>
      <c r="N497" s="256"/>
      <c r="O497" s="256"/>
      <c r="P497" s="256"/>
      <c r="Q497" s="278"/>
      <c r="R497" s="279"/>
      <c r="S497" s="279"/>
      <c r="T497" s="279"/>
      <c r="AB497" s="280"/>
      <c r="AC497" s="223"/>
      <c r="AD497" s="223"/>
      <c r="AE497" s="223"/>
      <c r="AF497" s="281"/>
      <c r="AG497" s="281"/>
      <c r="AH497" s="281"/>
      <c r="AI497" s="258"/>
      <c r="AJ497" s="258"/>
      <c r="AS497" s="282"/>
      <c r="AT497" s="283"/>
      <c r="AU497" s="282"/>
      <c r="AV497" s="284"/>
      <c r="AX497" s="285"/>
      <c r="AY497" s="285"/>
      <c r="BD497" s="1382" t="str">
        <f t="shared" si="21"/>
        <v/>
      </c>
      <c r="BE497" s="234"/>
      <c r="BF497" s="234"/>
      <c r="BG497" s="234"/>
      <c r="BH497" s="277"/>
      <c r="BK497" s="276"/>
      <c r="BL497" s="276"/>
      <c r="BM497" s="276"/>
      <c r="BN497" s="276"/>
      <c r="BO497" s="223"/>
      <c r="BP497" s="258"/>
      <c r="CC497" s="234"/>
      <c r="CG497" s="258"/>
      <c r="CH497" s="258"/>
      <c r="CI497" s="258"/>
      <c r="CJ497" s="256"/>
      <c r="CK497" s="258"/>
      <c r="CL497" s="258"/>
      <c r="CM497" s="258"/>
      <c r="CN497" s="258"/>
      <c r="CO497" s="258"/>
      <c r="CP497" s="258"/>
      <c r="CQ497" s="258"/>
      <c r="CR497" s="281"/>
      <c r="CS497" s="258"/>
      <c r="CT497" s="258"/>
      <c r="CU497" s="286"/>
      <c r="DH497" s="278"/>
      <c r="DJ497" s="270"/>
      <c r="DK497" s="1098"/>
      <c r="DL497" s="270"/>
      <c r="DM497" s="270"/>
      <c r="DN497" s="287"/>
      <c r="DO497" s="287"/>
      <c r="DP497" s="270"/>
      <c r="DQ497" s="270"/>
      <c r="DR497" s="270"/>
      <c r="DS497" s="270"/>
      <c r="DT497" s="270"/>
      <c r="DU497" s="1098"/>
      <c r="DV497" s="1098"/>
      <c r="DW497" s="1098"/>
      <c r="DX497" s="1098"/>
      <c r="DY497" s="1098"/>
      <c r="DZ497" s="1098"/>
      <c r="EA497" s="1098"/>
      <c r="EB497" s="1098"/>
      <c r="ED497" s="277"/>
      <c r="EE497" s="277"/>
      <c r="EF497" s="277"/>
      <c r="EH497" s="277"/>
    </row>
    <row r="498" spans="1:16384" hidden="1">
      <c r="C498" s="276"/>
      <c r="D498" s="276"/>
      <c r="E498" s="276"/>
      <c r="F498" s="276"/>
      <c r="G498" s="276"/>
      <c r="H498" s="276"/>
      <c r="I498" s="276"/>
      <c r="J498" s="276"/>
      <c r="K498" s="276"/>
      <c r="L498" s="277"/>
      <c r="M498" s="256"/>
      <c r="N498" s="256"/>
      <c r="O498" s="256"/>
      <c r="P498" s="256"/>
      <c r="Q498" s="278"/>
      <c r="R498" s="279"/>
      <c r="S498" s="279"/>
      <c r="T498" s="279"/>
      <c r="AB498" s="280"/>
      <c r="AC498" s="223"/>
      <c r="AD498" s="223"/>
      <c r="AE498" s="223"/>
      <c r="AF498" s="281"/>
      <c r="AG498" s="281"/>
      <c r="AH498" s="281"/>
      <c r="AI498" s="258"/>
      <c r="AJ498" s="258"/>
      <c r="AS498" s="282"/>
      <c r="AT498" s="283"/>
      <c r="AU498" s="282"/>
      <c r="AV498" s="284"/>
      <c r="AX498" s="285"/>
      <c r="AY498" s="285"/>
      <c r="BD498" s="1382" t="str">
        <f t="shared" si="21"/>
        <v/>
      </c>
      <c r="BE498" s="234"/>
      <c r="BF498" s="234"/>
      <c r="BG498" s="234"/>
      <c r="BH498" s="277"/>
      <c r="BK498" s="276"/>
      <c r="BL498" s="276"/>
      <c r="BM498" s="276"/>
      <c r="BN498" s="276"/>
      <c r="BO498" s="223"/>
      <c r="BP498" s="258"/>
      <c r="CC498" s="234"/>
      <c r="CG498" s="258"/>
      <c r="CH498" s="258"/>
      <c r="CI498" s="258"/>
      <c r="CJ498" s="256"/>
      <c r="CK498" s="258"/>
      <c r="CL498" s="258"/>
      <c r="CM498" s="258"/>
      <c r="CN498" s="258"/>
      <c r="CO498" s="258"/>
      <c r="CP498" s="258"/>
      <c r="CQ498" s="258"/>
      <c r="CR498" s="281"/>
      <c r="CS498" s="258"/>
      <c r="CT498" s="258"/>
      <c r="CU498" s="286"/>
      <c r="DH498" s="278"/>
      <c r="DJ498" s="270"/>
      <c r="DK498" s="1098"/>
      <c r="DL498" s="270"/>
      <c r="DM498" s="270"/>
      <c r="DN498" s="287"/>
      <c r="DO498" s="287"/>
      <c r="DP498" s="270"/>
      <c r="DQ498" s="270"/>
      <c r="DR498" s="270"/>
      <c r="DS498" s="270"/>
      <c r="DT498" s="270"/>
      <c r="DU498" s="1098"/>
      <c r="DV498" s="1098"/>
      <c r="DW498" s="1098"/>
      <c r="DX498" s="1098"/>
      <c r="DY498" s="1098"/>
      <c r="DZ498" s="1098"/>
      <c r="EA498" s="1098"/>
      <c r="EB498" s="1098"/>
      <c r="ED498" s="277"/>
      <c r="EE498" s="277"/>
      <c r="EF498" s="277"/>
      <c r="EH498" s="277"/>
    </row>
    <row r="499" spans="1:16384" hidden="1">
      <c r="C499" s="276"/>
      <c r="D499" s="276"/>
      <c r="E499" s="276"/>
      <c r="F499" s="276"/>
      <c r="G499" s="276"/>
      <c r="H499" s="276"/>
      <c r="I499" s="276"/>
      <c r="J499" s="276"/>
      <c r="K499" s="276"/>
      <c r="L499" s="277"/>
      <c r="M499" s="256"/>
      <c r="N499" s="256"/>
      <c r="O499" s="256"/>
      <c r="P499" s="256"/>
      <c r="Q499" s="278"/>
      <c r="R499" s="279"/>
      <c r="S499" s="279"/>
      <c r="T499" s="279"/>
      <c r="AB499" s="280"/>
      <c r="AC499" s="223"/>
      <c r="AD499" s="223"/>
      <c r="AE499" s="223"/>
      <c r="AF499" s="281"/>
      <c r="AG499" s="281"/>
      <c r="AH499" s="281"/>
      <c r="AI499" s="258"/>
      <c r="AJ499" s="258"/>
      <c r="AS499" s="282"/>
      <c r="AT499" s="283"/>
      <c r="AU499" s="282"/>
      <c r="AV499" s="284"/>
      <c r="AX499" s="285"/>
      <c r="AY499" s="285"/>
      <c r="BD499" s="1382" t="str">
        <f t="shared" si="21"/>
        <v/>
      </c>
      <c r="BE499" s="234"/>
      <c r="BF499" s="234"/>
      <c r="BG499" s="234"/>
      <c r="BH499" s="277"/>
      <c r="BK499" s="276"/>
      <c r="BL499" s="276"/>
      <c r="BM499" s="276"/>
      <c r="BN499" s="276"/>
      <c r="BO499" s="223"/>
      <c r="BP499" s="258"/>
      <c r="CC499" s="234"/>
      <c r="CG499" s="258"/>
      <c r="CH499" s="258"/>
      <c r="CI499" s="258"/>
      <c r="CJ499" s="256"/>
      <c r="CK499" s="258"/>
      <c r="CL499" s="258"/>
      <c r="CM499" s="258"/>
      <c r="CN499" s="258"/>
      <c r="CO499" s="258"/>
      <c r="CP499" s="258"/>
      <c r="CQ499" s="258"/>
      <c r="CR499" s="281"/>
      <c r="CS499" s="258"/>
      <c r="CT499" s="258"/>
      <c r="CU499" s="286"/>
      <c r="DH499" s="278"/>
      <c r="DJ499" s="270"/>
      <c r="DK499" s="1098"/>
      <c r="DL499" s="270"/>
      <c r="DM499" s="270"/>
      <c r="DN499" s="287"/>
      <c r="DO499" s="287"/>
      <c r="DP499" s="270"/>
      <c r="DQ499" s="270"/>
      <c r="DR499" s="270"/>
      <c r="DS499" s="270"/>
      <c r="DT499" s="270"/>
      <c r="DU499" s="1098"/>
      <c r="DV499" s="1098"/>
      <c r="DW499" s="1098"/>
      <c r="DX499" s="1098"/>
      <c r="DY499" s="1098"/>
      <c r="DZ499" s="1098"/>
      <c r="EA499" s="1098"/>
      <c r="EB499" s="1098"/>
      <c r="ED499" s="277"/>
      <c r="EE499" s="277"/>
      <c r="EF499" s="277"/>
      <c r="EH499" s="277"/>
    </row>
    <row r="500" spans="1:16384" hidden="1">
      <c r="C500" s="276"/>
      <c r="D500" s="276"/>
      <c r="E500" s="276"/>
      <c r="F500" s="276"/>
      <c r="G500" s="276"/>
      <c r="H500" s="276"/>
      <c r="I500" s="276"/>
      <c r="J500" s="276"/>
      <c r="K500" s="276"/>
      <c r="L500" s="277"/>
      <c r="M500" s="256"/>
      <c r="N500" s="256"/>
      <c r="O500" s="256"/>
      <c r="P500" s="256"/>
      <c r="Q500" s="278"/>
      <c r="R500" s="279"/>
      <c r="S500" s="279"/>
      <c r="T500" s="279"/>
      <c r="AB500" s="280"/>
      <c r="AC500" s="223"/>
      <c r="AD500" s="223"/>
      <c r="AE500" s="223"/>
      <c r="AF500" s="281"/>
      <c r="AG500" s="281"/>
      <c r="AH500" s="281"/>
      <c r="AI500" s="258"/>
      <c r="AJ500" s="258"/>
      <c r="AS500" s="282"/>
      <c r="AT500" s="283"/>
      <c r="AU500" s="282"/>
      <c r="AV500" s="284"/>
      <c r="AX500" s="285"/>
      <c r="AY500" s="285"/>
      <c r="BD500" s="1382" t="str">
        <f t="shared" si="21"/>
        <v/>
      </c>
      <c r="BE500" s="234"/>
      <c r="BF500" s="234"/>
      <c r="BG500" s="234"/>
      <c r="BH500" s="277"/>
      <c r="BK500" s="276"/>
      <c r="BL500" s="276"/>
      <c r="BM500" s="276"/>
      <c r="BN500" s="276"/>
      <c r="BO500" s="223"/>
      <c r="BP500" s="258"/>
      <c r="CC500" s="234"/>
      <c r="CG500" s="258"/>
      <c r="CH500" s="258"/>
      <c r="CI500" s="258"/>
      <c r="CJ500" s="256"/>
      <c r="CK500" s="258"/>
      <c r="CL500" s="258"/>
      <c r="CM500" s="258"/>
      <c r="CN500" s="258"/>
      <c r="CO500" s="258"/>
      <c r="CP500" s="258"/>
      <c r="CQ500" s="258"/>
      <c r="CR500" s="281"/>
      <c r="CS500" s="258"/>
      <c r="CT500" s="258"/>
      <c r="CU500" s="286"/>
      <c r="DH500" s="278"/>
      <c r="DJ500" s="270"/>
      <c r="DK500" s="1098"/>
      <c r="DL500" s="270"/>
      <c r="DM500" s="270"/>
      <c r="DN500" s="287"/>
      <c r="DO500" s="287"/>
      <c r="DP500" s="270"/>
      <c r="DQ500" s="270"/>
      <c r="DR500" s="270"/>
      <c r="DS500" s="270"/>
      <c r="DT500" s="270"/>
      <c r="DU500" s="1098"/>
      <c r="DV500" s="1098"/>
      <c r="DW500" s="1098"/>
      <c r="DX500" s="1098"/>
      <c r="DY500" s="1098"/>
      <c r="DZ500" s="1098"/>
      <c r="EA500" s="1098"/>
      <c r="EB500" s="1098"/>
      <c r="ED500" s="277"/>
      <c r="EE500" s="277"/>
      <c r="EF500" s="277"/>
      <c r="EH500" s="277"/>
    </row>
    <row r="501" spans="1:16384" hidden="1">
      <c r="C501" s="276"/>
      <c r="D501" s="276"/>
      <c r="E501" s="276"/>
      <c r="F501" s="276"/>
      <c r="G501" s="276"/>
      <c r="H501" s="276"/>
      <c r="I501" s="276"/>
      <c r="J501" s="276"/>
      <c r="K501" s="276"/>
      <c r="L501" s="277"/>
      <c r="M501" s="256"/>
      <c r="N501" s="256"/>
      <c r="O501" s="256"/>
      <c r="P501" s="256"/>
      <c r="Q501" s="278"/>
      <c r="R501" s="279"/>
      <c r="S501" s="279"/>
      <c r="T501" s="279"/>
      <c r="AB501" s="280"/>
      <c r="AC501" s="223"/>
      <c r="AD501" s="223"/>
      <c r="AE501" s="223"/>
      <c r="AF501" s="281"/>
      <c r="AG501" s="281"/>
      <c r="AH501" s="281"/>
      <c r="AI501" s="258"/>
      <c r="AJ501" s="258"/>
      <c r="AS501" s="282"/>
      <c r="AT501" s="283"/>
      <c r="AU501" s="282"/>
      <c r="AV501" s="284"/>
      <c r="AX501" s="285"/>
      <c r="AY501" s="285"/>
      <c r="BD501" s="1382" t="str">
        <f t="shared" si="21"/>
        <v/>
      </c>
      <c r="BE501" s="234"/>
      <c r="BF501" s="234"/>
      <c r="BG501" s="234"/>
      <c r="BH501" s="277"/>
      <c r="BK501" s="276"/>
      <c r="BL501" s="276"/>
      <c r="BM501" s="276"/>
      <c r="BN501" s="276"/>
      <c r="BO501" s="223"/>
      <c r="BP501" s="258"/>
      <c r="CC501" s="234"/>
      <c r="CG501" s="258"/>
      <c r="CH501" s="258"/>
      <c r="CI501" s="258"/>
      <c r="CJ501" s="256"/>
      <c r="CK501" s="258"/>
      <c r="CL501" s="258"/>
      <c r="CM501" s="258"/>
      <c r="CN501" s="258"/>
      <c r="CO501" s="258"/>
      <c r="CP501" s="258"/>
      <c r="CQ501" s="258"/>
      <c r="CR501" s="281"/>
      <c r="CS501" s="258"/>
      <c r="CT501" s="258"/>
      <c r="CU501" s="286"/>
      <c r="DH501" s="278"/>
      <c r="DJ501" s="270"/>
      <c r="DK501" s="1098"/>
      <c r="DL501" s="270"/>
      <c r="DM501" s="270"/>
      <c r="DN501" s="287"/>
      <c r="DO501" s="287"/>
      <c r="DP501" s="270"/>
      <c r="DQ501" s="270"/>
      <c r="DR501" s="270"/>
      <c r="DS501" s="270"/>
      <c r="DT501" s="270"/>
      <c r="DU501" s="1098"/>
      <c r="DV501" s="1098"/>
      <c r="DW501" s="1098"/>
      <c r="DX501" s="1098"/>
      <c r="DY501" s="1098"/>
      <c r="DZ501" s="1098"/>
      <c r="EA501" s="1098"/>
      <c r="EB501" s="1098"/>
      <c r="ED501" s="277"/>
      <c r="EE501" s="277"/>
      <c r="EF501" s="277"/>
      <c r="EH501" s="277"/>
    </row>
    <row r="502" spans="1:16384" s="318" customFormat="1">
      <c r="C502" s="319"/>
      <c r="D502" s="320"/>
      <c r="E502" s="320"/>
      <c r="F502" s="320"/>
      <c r="G502" s="320"/>
      <c r="H502" s="320"/>
      <c r="I502" s="320"/>
      <c r="J502" s="320"/>
      <c r="K502" s="320"/>
      <c r="L502" s="321"/>
      <c r="Q502" s="320"/>
      <c r="R502" s="322"/>
      <c r="S502" s="322"/>
      <c r="T502" s="322"/>
      <c r="AB502" s="323"/>
      <c r="AF502" s="324"/>
      <c r="AG502" s="324"/>
      <c r="AH502" s="324"/>
      <c r="AI502" s="324"/>
      <c r="AJ502" s="324"/>
      <c r="AR502" s="325"/>
      <c r="AS502" s="326"/>
      <c r="AT502" s="327"/>
      <c r="AU502" s="326"/>
      <c r="AV502" s="323"/>
      <c r="AX502" s="328"/>
      <c r="AY502" s="328"/>
      <c r="BE502" s="329"/>
      <c r="BF502" s="329"/>
      <c r="BG502" s="329"/>
      <c r="BH502" s="321"/>
      <c r="BK502" s="320"/>
      <c r="BL502" s="320"/>
      <c r="BM502" s="320"/>
      <c r="BN502" s="320"/>
      <c r="BP502" s="324"/>
      <c r="CC502" s="329"/>
      <c r="CG502" s="324"/>
      <c r="CH502" s="324"/>
      <c r="CI502" s="324"/>
      <c r="CK502" s="324"/>
      <c r="CL502" s="324"/>
      <c r="CM502" s="324"/>
      <c r="CN502" s="324"/>
      <c r="CO502" s="324"/>
      <c r="CP502" s="324"/>
      <c r="CQ502" s="324"/>
      <c r="CR502" s="324"/>
      <c r="CS502" s="324"/>
      <c r="CT502" s="324"/>
      <c r="CU502" s="320"/>
      <c r="DH502" s="320"/>
      <c r="DK502" s="321"/>
      <c r="DN502" s="328"/>
      <c r="DO502" s="328"/>
      <c r="DU502" s="321"/>
      <c r="DV502" s="321"/>
      <c r="DW502" s="321"/>
      <c r="DX502" s="321"/>
      <c r="DY502" s="321"/>
      <c r="DZ502" s="321"/>
      <c r="EA502" s="321"/>
      <c r="EB502" s="321"/>
      <c r="ED502" s="321"/>
      <c r="EE502" s="321"/>
      <c r="EF502" s="321"/>
      <c r="EH502" s="321"/>
    </row>
    <row r="503" spans="1:16384" s="223" customFormat="1" ht="12.75">
      <c r="A503" s="1657" t="s">
        <v>332</v>
      </c>
      <c r="B503" s="1657"/>
      <c r="C503" s="1657"/>
      <c r="D503" s="1657"/>
      <c r="E503" s="325">
        <f>SUM(E134:E342)</f>
        <v>1242.6899999999998</v>
      </c>
      <c r="F503" s="325"/>
      <c r="G503" s="325"/>
      <c r="H503" s="325"/>
      <c r="I503" s="325"/>
      <c r="J503" s="325"/>
      <c r="K503" s="325"/>
      <c r="L503" s="325"/>
      <c r="M503" s="1248">
        <f>SUM(M134:M342)</f>
        <v>1243.9046795692343</v>
      </c>
      <c r="N503" s="325"/>
      <c r="O503" s="325"/>
      <c r="P503" s="325"/>
      <c r="Q503" s="325"/>
      <c r="R503" s="325"/>
      <c r="S503" s="325"/>
      <c r="T503" s="325"/>
      <c r="U503" s="325">
        <f t="shared" ref="U503:Z503" si="22">SUM(U21:U501)</f>
        <v>0</v>
      </c>
      <c r="V503" s="325">
        <f t="shared" si="22"/>
        <v>0</v>
      </c>
      <c r="W503" s="325">
        <f t="shared" ca="1" si="22"/>
        <v>1219.6006815965163</v>
      </c>
      <c r="X503" s="325">
        <f t="shared" si="22"/>
        <v>0</v>
      </c>
      <c r="Y503" s="325">
        <f t="shared" si="22"/>
        <v>0</v>
      </c>
      <c r="Z503" s="325">
        <f t="shared" ca="1" si="22"/>
        <v>390.7465623351888</v>
      </c>
      <c r="AA503" s="325"/>
      <c r="AB503" s="325"/>
      <c r="AC503" s="1248">
        <f t="shared" ref="AC503:AI503" ca="1" si="23">SUM(AC21:AC501)</f>
        <v>189.7226727767698</v>
      </c>
      <c r="AD503" s="1248">
        <f t="shared" si="23"/>
        <v>60.09003160105032</v>
      </c>
      <c r="AE503" s="1248">
        <f t="shared" si="23"/>
        <v>0</v>
      </c>
      <c r="AF503" s="1248">
        <f t="shared" ca="1" si="23"/>
        <v>1707.5040549909286</v>
      </c>
      <c r="AG503" s="1248">
        <f t="shared" si="23"/>
        <v>540.81028440945283</v>
      </c>
      <c r="AH503" s="1248">
        <f t="shared" si="23"/>
        <v>0</v>
      </c>
      <c r="AI503" s="1248">
        <f t="shared" ca="1" si="23"/>
        <v>25.576704234783339</v>
      </c>
      <c r="AJ503" s="325"/>
      <c r="AK503" s="1248">
        <f t="shared" ref="AK503:AQ503" si="24">SUM(AK21:AK501)</f>
        <v>4018.2337650000031</v>
      </c>
      <c r="AL503" s="1248">
        <f t="shared" si="24"/>
        <v>1722.1001850000009</v>
      </c>
      <c r="AM503" s="325">
        <f t="shared" si="24"/>
        <v>0</v>
      </c>
      <c r="AN503" s="325">
        <f t="shared" si="24"/>
        <v>0</v>
      </c>
      <c r="AO503" s="325">
        <f t="shared" si="24"/>
        <v>0</v>
      </c>
      <c r="AP503" s="325">
        <f t="shared" ca="1" si="24"/>
        <v>1219.9046795692343</v>
      </c>
      <c r="AQ503" s="325">
        <f t="shared" ca="1" si="24"/>
        <v>2523.7037480129843</v>
      </c>
      <c r="AR503" s="325">
        <f ca="1">+AR134+AR136+AR140+AR147+AR148+AR155+AR161+AR162+AR163+AR228+AR237+AR238+AR305+AR306+AR313+AR327+AR328+AR329+AR330+AR331</f>
        <v>2557.6704234783342</v>
      </c>
      <c r="AS503" s="325">
        <f ca="1">SUM(AS21:AS501)</f>
        <v>10.348482847846688</v>
      </c>
      <c r="AT503" s="1248">
        <f ca="1">SUM(AT21:AT501)</f>
        <v>637.94253177644975</v>
      </c>
      <c r="AU503" s="325">
        <f ca="1">SUM(AU21:AU501)</f>
        <v>409.95263884134027</v>
      </c>
      <c r="AV503" s="325"/>
      <c r="AW503" s="325">
        <f ca="1">SUM(AW21:AW501)</f>
        <v>1414.3104330844012</v>
      </c>
      <c r="AX503" s="325"/>
      <c r="AY503" s="325"/>
      <c r="AZ503" s="1248">
        <f t="shared" ref="AZ503:BI503" ca="1" si="25">SUM(AZ21:AZ501)</f>
        <v>424.2931299253205</v>
      </c>
      <c r="BA503" s="1248">
        <f t="shared" ca="1" si="25"/>
        <v>990.01730315908105</v>
      </c>
      <c r="BB503" s="325">
        <f t="shared" ca="1" si="25"/>
        <v>95.464819776142463</v>
      </c>
      <c r="BC503" s="1248">
        <f t="shared" ca="1" si="25"/>
        <v>2133.3772935530133</v>
      </c>
      <c r="BD503" s="1248">
        <f t="shared" ca="1" si="25"/>
        <v>15.060000000000016</v>
      </c>
      <c r="BE503" s="325">
        <f t="shared" ca="1" si="25"/>
        <v>2.5</v>
      </c>
      <c r="BF503" s="325">
        <f t="shared" ca="1" si="25"/>
        <v>0</v>
      </c>
      <c r="BG503" s="325">
        <f t="shared" ca="1" si="25"/>
        <v>0</v>
      </c>
      <c r="BH503" s="1248">
        <f t="shared" ca="1" si="25"/>
        <v>16</v>
      </c>
      <c r="BI503" s="325">
        <f t="shared" si="25"/>
        <v>0</v>
      </c>
      <c r="BJ503" s="325"/>
      <c r="BK503" s="325"/>
      <c r="BL503" s="325"/>
      <c r="BM503" s="325"/>
      <c r="BN503" s="325"/>
      <c r="BO503" s="325">
        <f>SUM(BO21:BO501)</f>
        <v>0</v>
      </c>
      <c r="BP503" s="325">
        <f>SUM(BP21:BP501)</f>
        <v>39.124999999999972</v>
      </c>
      <c r="BQ503" s="325">
        <f>SUM(BQ21:BQ501)</f>
        <v>9.6100000000001788</v>
      </c>
      <c r="BR503" s="325">
        <f>SUM(BR21:BR501)</f>
        <v>0.3449999999999589</v>
      </c>
      <c r="BS503" s="325"/>
      <c r="BT503" s="325"/>
      <c r="BU503" s="325">
        <f ca="1">SUM(BU21:BU501)</f>
        <v>514.04439210161649</v>
      </c>
      <c r="BV503" s="325">
        <f ca="1">SUM(BV21:BV501)</f>
        <v>1742.1733037352599</v>
      </c>
      <c r="BW503" s="325">
        <f>SUM(BW21:BW501)</f>
        <v>551.79092379293206</v>
      </c>
      <c r="BX503" s="325">
        <f>SUM(BX21:BX501)</f>
        <v>31.190702906656934</v>
      </c>
      <c r="BY503" s="325">
        <f ca="1">SUM(BY21:BY501)</f>
        <v>2325.1549304348487</v>
      </c>
      <c r="BZ503" s="325"/>
      <c r="CA503" s="325"/>
      <c r="CB503" s="325"/>
      <c r="CC503" s="325"/>
      <c r="CD503" s="325"/>
      <c r="CE503" s="325"/>
      <c r="CF503" s="325"/>
      <c r="CG503" s="325">
        <f ca="1">SUM(CG21:CG501)</f>
        <v>1724.751570697907</v>
      </c>
      <c r="CH503" s="325">
        <f>SUM(CH21:CH501)</f>
        <v>546.27301455500276</v>
      </c>
      <c r="CI503" s="325"/>
      <c r="CJ503" s="325">
        <f t="shared" ref="CJ503:CS503" ca="1" si="26">SUM(CJ21:CJ501)</f>
        <v>29.841500000000018</v>
      </c>
      <c r="CK503" s="325">
        <f t="shared" ca="1" si="26"/>
        <v>39.159999999999997</v>
      </c>
      <c r="CL503" s="325">
        <f t="shared" ca="1" si="26"/>
        <v>17.824000000000002</v>
      </c>
      <c r="CM503" s="325">
        <f t="shared" ca="1" si="26"/>
        <v>2.699000000000046</v>
      </c>
      <c r="CN503" s="325">
        <f t="shared" ca="1" si="26"/>
        <v>109.71999999999998</v>
      </c>
      <c r="CO503" s="325">
        <f t="shared" ca="1" si="26"/>
        <v>65.03</v>
      </c>
      <c r="CP503" s="325">
        <f t="shared" ca="1" si="26"/>
        <v>10.26</v>
      </c>
      <c r="CQ503" s="325">
        <f t="shared" ca="1" si="26"/>
        <v>337.49941381955961</v>
      </c>
      <c r="CR503" s="325">
        <f t="shared" ca="1" si="26"/>
        <v>72.889999999999986</v>
      </c>
      <c r="CS503" s="325">
        <f t="shared" ca="1" si="26"/>
        <v>112.11999999999999</v>
      </c>
      <c r="CT503" s="325"/>
      <c r="CU503" s="325">
        <f t="shared" ref="CU503:DH503" ca="1" si="27">SUM(CU21:CU501)</f>
        <v>29.841500000000018</v>
      </c>
      <c r="CV503" s="325">
        <f t="shared" ca="1" si="27"/>
        <v>0</v>
      </c>
      <c r="CW503" s="325">
        <f t="shared" ca="1" si="27"/>
        <v>0</v>
      </c>
      <c r="CX503" s="325">
        <f t="shared" ca="1" si="27"/>
        <v>967.64258978097098</v>
      </c>
      <c r="CY503" s="325">
        <f t="shared" ca="1" si="27"/>
        <v>14.190344668005327</v>
      </c>
      <c r="CZ503" s="325">
        <f t="shared" ca="1" si="27"/>
        <v>99.253149457844287</v>
      </c>
      <c r="DA503" s="325">
        <f t="shared" ca="1" si="27"/>
        <v>40.320746633460239</v>
      </c>
      <c r="DB503" s="325">
        <f t="shared" ca="1" si="27"/>
        <v>98.497849028953482</v>
      </c>
      <c r="DC503" s="325">
        <f t="shared" ca="1" si="27"/>
        <v>0</v>
      </c>
      <c r="DD503" s="325">
        <f t="shared" ca="1" si="27"/>
        <v>0</v>
      </c>
      <c r="DE503" s="325">
        <f t="shared" ca="1" si="27"/>
        <v>0</v>
      </c>
      <c r="DF503" s="325">
        <f t="shared" ca="1" si="27"/>
        <v>0</v>
      </c>
      <c r="DG503" s="325">
        <f t="shared" ca="1" si="27"/>
        <v>0</v>
      </c>
      <c r="DH503" s="325">
        <f t="shared" si="27"/>
        <v>0</v>
      </c>
      <c r="DI503" s="325"/>
      <c r="DJ503" s="325">
        <f>SUM(DJ21:DJ501)</f>
        <v>1242.6899999999998</v>
      </c>
      <c r="DK503" s="1248">
        <f>+SUM(DK134:DK351)</f>
        <v>316</v>
      </c>
      <c r="DL503" s="325">
        <f>SUM(DL21:DL501)</f>
        <v>2206.3492500000025</v>
      </c>
      <c r="DM503" s="325">
        <f>SUM(DM21:DM501)</f>
        <v>1566.7486594061891</v>
      </c>
      <c r="DN503" s="325"/>
      <c r="DO503" s="325"/>
      <c r="DP503" s="1248">
        <f t="shared" ref="DP503:EB503" si="28">SUM(DP21:DP501)</f>
        <v>2062.1051184329622</v>
      </c>
      <c r="DQ503" s="1248">
        <f t="shared" si="28"/>
        <v>143.89315779915538</v>
      </c>
      <c r="DR503" s="1248">
        <f t="shared" si="28"/>
        <v>0.35097376788533741</v>
      </c>
      <c r="DS503" s="1248">
        <f t="shared" si="28"/>
        <v>2944.588500000003</v>
      </c>
      <c r="DT503" s="1248">
        <f t="shared" si="28"/>
        <v>1261.9665000000011</v>
      </c>
      <c r="DU503" s="325">
        <f t="shared" ca="1" si="28"/>
        <v>0</v>
      </c>
      <c r="DV503" s="325">
        <f t="shared" ca="1" si="28"/>
        <v>0</v>
      </c>
      <c r="DW503" s="1248">
        <f t="shared" ca="1" si="28"/>
        <v>253</v>
      </c>
      <c r="DX503" s="1248">
        <f t="shared" ca="1" si="28"/>
        <v>1</v>
      </c>
      <c r="DY503" s="1248">
        <f t="shared" ca="1" si="28"/>
        <v>25</v>
      </c>
      <c r="DZ503" s="1248">
        <f t="shared" ca="1" si="28"/>
        <v>18</v>
      </c>
      <c r="EA503" s="1248">
        <f t="shared" ca="1" si="28"/>
        <v>19</v>
      </c>
      <c r="EB503" s="325">
        <f t="shared" ca="1" si="28"/>
        <v>0</v>
      </c>
      <c r="EC503" s="325">
        <v>20</v>
      </c>
      <c r="ED503" s="325"/>
      <c r="EE503" s="325"/>
      <c r="EF503" s="325"/>
      <c r="EG503" s="325"/>
      <c r="EH503" s="325">
        <f>SUM(EH21:EH501)</f>
        <v>20</v>
      </c>
      <c r="EI503" s="325">
        <f>SUM(EI21:EI501)</f>
        <v>0</v>
      </c>
      <c r="EJ503" s="325"/>
      <c r="EK503" s="325"/>
      <c r="EL503" s="325"/>
      <c r="EM503" s="325"/>
      <c r="EN503" s="325"/>
      <c r="EO503" s="325"/>
      <c r="EP503" s="325"/>
      <c r="EQ503" s="325"/>
      <c r="ER503" s="325"/>
      <c r="ES503" s="325"/>
      <c r="ET503" s="325"/>
      <c r="EU503" s="325"/>
      <c r="EV503" s="325"/>
      <c r="EW503" s="325"/>
      <c r="EX503" s="325"/>
      <c r="EY503" s="325"/>
      <c r="EZ503" s="325"/>
      <c r="FA503" s="325"/>
      <c r="FB503" s="325"/>
      <c r="FC503" s="325"/>
      <c r="FD503" s="325"/>
      <c r="FE503" s="325"/>
      <c r="FF503" s="325"/>
      <c r="FG503" s="325"/>
      <c r="FH503" s="325"/>
      <c r="FI503" s="325"/>
      <c r="FJ503" s="325"/>
      <c r="FK503" s="325"/>
      <c r="FL503" s="325"/>
      <c r="FM503" s="325"/>
      <c r="FN503" s="325"/>
      <c r="FO503" s="325"/>
      <c r="FP503" s="325"/>
      <c r="FQ503" s="325"/>
    </row>
    <row r="504" spans="1:16384" s="1662" customFormat="1" ht="15" customHeight="1">
      <c r="A504" s="1659"/>
      <c r="B504" s="1660"/>
      <c r="C504" s="1660"/>
      <c r="D504" s="1660"/>
      <c r="E504" s="1660"/>
      <c r="F504" s="1660"/>
      <c r="G504" s="1660"/>
      <c r="H504" s="1660"/>
      <c r="I504" s="1660"/>
      <c r="J504" s="1660"/>
      <c r="K504" s="1660"/>
      <c r="L504" s="1660"/>
      <c r="M504" s="1660"/>
      <c r="N504" s="1660"/>
      <c r="O504" s="1660"/>
      <c r="P504" s="1660"/>
      <c r="Q504" s="1660"/>
      <c r="R504" s="1660"/>
      <c r="S504" s="1660"/>
      <c r="T504" s="1660"/>
      <c r="U504" s="1660"/>
      <c r="V504" s="1660"/>
      <c r="W504" s="1660"/>
      <c r="X504" s="1660"/>
      <c r="Y504" s="1660"/>
      <c r="Z504" s="1660"/>
      <c r="AA504" s="1660"/>
      <c r="AB504" s="1660"/>
      <c r="AC504" s="1660"/>
      <c r="AD504" s="1660"/>
      <c r="AE504" s="1660"/>
      <c r="AF504" s="1660"/>
      <c r="AG504" s="1660"/>
      <c r="AH504" s="1660"/>
      <c r="AI504" s="1660"/>
      <c r="AJ504" s="1660"/>
      <c r="AK504" s="1660"/>
      <c r="AL504" s="1660"/>
      <c r="AM504" s="1660"/>
      <c r="AN504" s="1660"/>
      <c r="AO504" s="1660"/>
      <c r="AP504" s="1660"/>
      <c r="AQ504" s="1660"/>
      <c r="AR504" s="1660"/>
      <c r="AS504" s="1660"/>
      <c r="AT504" s="1660"/>
      <c r="AU504" s="1660"/>
      <c r="AV504" s="1660"/>
      <c r="AW504" s="1660"/>
      <c r="AX504" s="1660"/>
      <c r="AY504" s="1660"/>
      <c r="AZ504" s="1660"/>
      <c r="BA504" s="1660"/>
      <c r="BB504" s="1660"/>
      <c r="BC504" s="1660"/>
      <c r="BD504" s="1660"/>
      <c r="BE504" s="1660"/>
      <c r="BF504" s="1660"/>
      <c r="BG504" s="1660"/>
      <c r="BH504" s="1660"/>
      <c r="BI504" s="1660"/>
      <c r="BJ504" s="1660"/>
      <c r="BK504" s="1660"/>
      <c r="BL504" s="1660"/>
      <c r="BM504" s="1660"/>
      <c r="BN504" s="1660"/>
      <c r="BO504" s="1660"/>
      <c r="BP504" s="1660"/>
      <c r="BQ504" s="1660"/>
      <c r="BR504" s="1660"/>
      <c r="BS504" s="1660"/>
      <c r="BT504" s="1660"/>
      <c r="BU504" s="1660"/>
      <c r="BV504" s="1660"/>
      <c r="BW504" s="1660"/>
      <c r="BX504" s="1660"/>
      <c r="BY504" s="1660"/>
      <c r="BZ504" s="1660"/>
      <c r="CA504" s="1660"/>
      <c r="CB504" s="1660"/>
      <c r="CC504" s="1660"/>
      <c r="CD504" s="1660"/>
      <c r="CE504" s="1660"/>
      <c r="CF504" s="1660"/>
      <c r="CG504" s="1660"/>
      <c r="CH504" s="1660"/>
      <c r="CI504" s="1660"/>
      <c r="CJ504" s="1660"/>
      <c r="CK504" s="1660"/>
      <c r="CL504" s="1660"/>
      <c r="CM504" s="1660"/>
      <c r="CN504" s="1660"/>
      <c r="CO504" s="1660"/>
      <c r="CP504" s="1660"/>
      <c r="CQ504" s="1660"/>
      <c r="CR504" s="1660"/>
      <c r="CS504" s="1660"/>
      <c r="CT504" s="1660"/>
      <c r="CU504" s="1660"/>
      <c r="CV504" s="1660"/>
      <c r="CW504" s="1660"/>
      <c r="CX504" s="1660"/>
      <c r="CY504" s="1660"/>
      <c r="CZ504" s="1660"/>
      <c r="DA504" s="1660"/>
      <c r="DB504" s="1660"/>
      <c r="DC504" s="1660"/>
      <c r="DD504" s="1660"/>
      <c r="DE504" s="1660"/>
      <c r="DF504" s="1660"/>
      <c r="DG504" s="1660"/>
      <c r="DH504" s="1660"/>
      <c r="DI504" s="1660"/>
      <c r="DJ504" s="1660"/>
      <c r="DK504" s="1660"/>
      <c r="DL504" s="1660"/>
      <c r="DM504" s="1660"/>
      <c r="DN504" s="1660"/>
      <c r="DO504" s="1660"/>
      <c r="DP504" s="1660"/>
      <c r="DQ504" s="1660"/>
      <c r="DR504" s="1660"/>
      <c r="DS504" s="1660"/>
      <c r="DT504" s="1660"/>
      <c r="DU504" s="1660"/>
      <c r="DV504" s="1660"/>
      <c r="DW504" s="1660"/>
      <c r="DX504" s="1660"/>
      <c r="DY504" s="1660"/>
      <c r="DZ504" s="1660"/>
      <c r="EA504" s="1660"/>
      <c r="EB504" s="1660"/>
      <c r="EC504" s="1660"/>
      <c r="ED504" s="1660"/>
      <c r="EE504" s="1660"/>
      <c r="EF504" s="1660"/>
      <c r="EG504" s="1660"/>
      <c r="EH504" s="1660"/>
      <c r="EI504" s="1660"/>
      <c r="EJ504" s="1660"/>
      <c r="EK504" s="1660"/>
      <c r="EL504" s="1660"/>
      <c r="EM504" s="1660"/>
      <c r="EN504" s="1660"/>
      <c r="EO504" s="1660"/>
      <c r="EP504" s="1660"/>
      <c r="EQ504" s="1660"/>
      <c r="ER504" s="1660"/>
      <c r="ES504" s="1660"/>
      <c r="ET504" s="1660"/>
      <c r="EU504" s="1660"/>
      <c r="EV504" s="1660"/>
      <c r="EW504" s="1660"/>
      <c r="EX504" s="1660"/>
      <c r="EY504" s="1660"/>
      <c r="EZ504" s="1660"/>
      <c r="FA504" s="1660"/>
      <c r="FB504" s="1660"/>
      <c r="FC504" s="1660"/>
      <c r="FD504" s="1660"/>
      <c r="FE504" s="1660"/>
      <c r="FF504" s="1660"/>
      <c r="FG504" s="1660"/>
      <c r="FH504" s="1660"/>
      <c r="FI504" s="1660"/>
      <c r="FJ504" s="1660"/>
      <c r="FK504" s="1660"/>
      <c r="FL504" s="1660"/>
      <c r="FM504" s="1660"/>
      <c r="FN504" s="1660"/>
      <c r="FO504" s="1660"/>
      <c r="FP504" s="1660"/>
      <c r="FQ504" s="1660"/>
      <c r="FR504" s="1660"/>
      <c r="FS504" s="1660"/>
      <c r="FT504" s="1660"/>
      <c r="FU504" s="1660"/>
      <c r="FV504" s="1660"/>
      <c r="FW504" s="1660"/>
      <c r="FX504" s="1660"/>
      <c r="FY504" s="1660"/>
      <c r="FZ504" s="1660"/>
      <c r="GA504" s="1660"/>
      <c r="GB504" s="1660"/>
      <c r="GC504" s="1660"/>
      <c r="GD504" s="1660"/>
      <c r="GE504" s="1660"/>
      <c r="GF504" s="1660"/>
      <c r="GG504" s="1660"/>
      <c r="GH504" s="1660"/>
      <c r="GI504" s="1660"/>
      <c r="GJ504" s="1660"/>
      <c r="GK504" s="1660"/>
      <c r="GL504" s="1660"/>
      <c r="GM504" s="1660"/>
      <c r="GN504" s="1660"/>
      <c r="GO504" s="1660"/>
      <c r="GP504" s="1660"/>
      <c r="GQ504" s="1660"/>
      <c r="GR504" s="1660"/>
      <c r="GS504" s="1660"/>
      <c r="GT504" s="1660"/>
      <c r="GU504" s="1660"/>
      <c r="GV504" s="1660"/>
      <c r="GW504" s="1660"/>
      <c r="GX504" s="1660"/>
      <c r="GY504" s="1660"/>
      <c r="GZ504" s="1660"/>
      <c r="HA504" s="1660"/>
      <c r="HB504" s="1660"/>
      <c r="HC504" s="1660"/>
      <c r="HD504" s="1660"/>
      <c r="HE504" s="1660"/>
      <c r="HF504" s="1660"/>
      <c r="HG504" s="1660"/>
      <c r="HH504" s="1660"/>
      <c r="HI504" s="1660"/>
      <c r="HJ504" s="1660"/>
      <c r="HK504" s="1660"/>
      <c r="HL504" s="1660"/>
      <c r="HM504" s="1660"/>
      <c r="HN504" s="1660"/>
      <c r="HO504" s="1660"/>
      <c r="HP504" s="1660"/>
      <c r="HQ504" s="1660"/>
      <c r="HR504" s="1660"/>
      <c r="HS504" s="1660"/>
      <c r="HT504" s="1660"/>
      <c r="HU504" s="1660"/>
      <c r="HV504" s="1660"/>
      <c r="HW504" s="1660"/>
      <c r="HX504" s="1660"/>
      <c r="HY504" s="1660"/>
      <c r="HZ504" s="1660"/>
      <c r="IA504" s="1660"/>
      <c r="IB504" s="1660"/>
      <c r="IC504" s="1660"/>
      <c r="ID504" s="1660"/>
      <c r="IE504" s="1660"/>
      <c r="IF504" s="1660"/>
      <c r="IG504" s="1660"/>
      <c r="IH504" s="1660"/>
      <c r="II504" s="1660"/>
      <c r="IJ504" s="1660"/>
      <c r="IK504" s="1660"/>
      <c r="IL504" s="1660"/>
      <c r="IM504" s="1660"/>
      <c r="IN504" s="1660"/>
      <c r="IO504" s="1660"/>
      <c r="IP504" s="1660"/>
      <c r="IQ504" s="1660"/>
      <c r="IR504" s="1660"/>
      <c r="IS504" s="1660"/>
      <c r="IT504" s="1660"/>
      <c r="IU504" s="1660"/>
      <c r="IV504" s="1660"/>
      <c r="IW504" s="1660"/>
      <c r="IX504" s="1660"/>
      <c r="IY504" s="1660"/>
      <c r="IZ504" s="1660"/>
      <c r="JA504" s="1660"/>
      <c r="JB504" s="1660"/>
      <c r="JC504" s="1660"/>
      <c r="JD504" s="1660"/>
      <c r="JE504" s="1660"/>
      <c r="JF504" s="1660"/>
      <c r="JG504" s="1660"/>
      <c r="JH504" s="1660"/>
      <c r="JI504" s="1660"/>
      <c r="JJ504" s="1660"/>
      <c r="JK504" s="1660"/>
      <c r="JL504" s="1660"/>
      <c r="JM504" s="1660"/>
      <c r="JN504" s="1660"/>
      <c r="JO504" s="1660"/>
      <c r="JP504" s="1660"/>
      <c r="JQ504" s="1660"/>
      <c r="JR504" s="1660"/>
      <c r="JS504" s="1660"/>
      <c r="JT504" s="1660"/>
      <c r="JU504" s="1660"/>
      <c r="JV504" s="1660"/>
      <c r="JW504" s="1660"/>
      <c r="JX504" s="1660"/>
      <c r="JY504" s="1660"/>
      <c r="JZ504" s="1660"/>
      <c r="KA504" s="1660"/>
      <c r="KB504" s="1660"/>
      <c r="KC504" s="1660"/>
      <c r="KD504" s="1660"/>
      <c r="KE504" s="1660"/>
      <c r="KF504" s="1660"/>
      <c r="KG504" s="1660"/>
      <c r="KH504" s="1660"/>
      <c r="KI504" s="1660"/>
      <c r="KJ504" s="1660"/>
      <c r="KK504" s="1660"/>
      <c r="KL504" s="1660"/>
      <c r="KM504" s="1660"/>
      <c r="KN504" s="1660"/>
      <c r="KO504" s="1660"/>
      <c r="KP504" s="1660"/>
      <c r="KQ504" s="1660"/>
      <c r="KR504" s="1660"/>
      <c r="KS504" s="1660"/>
      <c r="KT504" s="1660"/>
      <c r="KU504" s="1660"/>
      <c r="KV504" s="1660"/>
      <c r="KW504" s="1660"/>
      <c r="KX504" s="1660"/>
      <c r="KY504" s="1660"/>
      <c r="KZ504" s="1660"/>
      <c r="LA504" s="1660"/>
      <c r="LB504" s="1660"/>
      <c r="LC504" s="1660"/>
      <c r="LD504" s="1660"/>
      <c r="LE504" s="1660"/>
      <c r="LF504" s="1660"/>
      <c r="LG504" s="1660"/>
      <c r="LH504" s="1660"/>
      <c r="LI504" s="1660"/>
      <c r="LJ504" s="1660"/>
      <c r="LK504" s="1660"/>
      <c r="LL504" s="1660"/>
      <c r="LM504" s="1660"/>
      <c r="LN504" s="1660"/>
      <c r="LO504" s="1660"/>
      <c r="LP504" s="1660"/>
      <c r="LQ504" s="1660"/>
      <c r="LR504" s="1660"/>
      <c r="LS504" s="1660"/>
      <c r="LT504" s="1660"/>
      <c r="LU504" s="1660"/>
      <c r="LV504" s="1660"/>
      <c r="LW504" s="1660"/>
      <c r="LX504" s="1660"/>
      <c r="LY504" s="1660"/>
      <c r="LZ504" s="1660"/>
      <c r="MA504" s="1660"/>
      <c r="MB504" s="1660"/>
      <c r="MC504" s="1660"/>
      <c r="MD504" s="1660"/>
      <c r="ME504" s="1660"/>
      <c r="MF504" s="1660"/>
      <c r="MG504" s="1660"/>
      <c r="MH504" s="1660"/>
      <c r="MI504" s="1660"/>
      <c r="MJ504" s="1660"/>
      <c r="MK504" s="1660"/>
      <c r="ML504" s="1660"/>
      <c r="MM504" s="1660"/>
      <c r="MN504" s="1660"/>
      <c r="MO504" s="1660"/>
      <c r="MP504" s="1660"/>
      <c r="MQ504" s="1660"/>
      <c r="MR504" s="1660"/>
      <c r="MS504" s="1660"/>
      <c r="MT504" s="1660"/>
      <c r="MU504" s="1660"/>
      <c r="MV504" s="1660"/>
      <c r="MW504" s="1660"/>
      <c r="MX504" s="1660"/>
      <c r="MY504" s="1660"/>
      <c r="MZ504" s="1660"/>
      <c r="NA504" s="1660"/>
      <c r="NB504" s="1660"/>
      <c r="NC504" s="1660"/>
      <c r="ND504" s="1660"/>
      <c r="NE504" s="1660"/>
      <c r="NF504" s="1660"/>
      <c r="NG504" s="1660"/>
      <c r="NH504" s="1660"/>
      <c r="NI504" s="1660"/>
      <c r="NJ504" s="1660"/>
      <c r="NK504" s="1660"/>
      <c r="NL504" s="1660"/>
      <c r="NM504" s="1660"/>
      <c r="NN504" s="1660"/>
      <c r="NO504" s="1660"/>
      <c r="NP504" s="1660"/>
      <c r="NQ504" s="1660"/>
      <c r="NR504" s="1660"/>
      <c r="NS504" s="1660"/>
      <c r="NT504" s="1660"/>
      <c r="NU504" s="1660"/>
      <c r="NV504" s="1660"/>
      <c r="NW504" s="1660"/>
      <c r="NX504" s="1660"/>
      <c r="NY504" s="1660"/>
      <c r="NZ504" s="1660"/>
      <c r="OA504" s="1660"/>
      <c r="OB504" s="1660"/>
      <c r="OC504" s="1660"/>
      <c r="OD504" s="1660"/>
      <c r="OE504" s="1660"/>
      <c r="OF504" s="1660"/>
      <c r="OG504" s="1660"/>
      <c r="OH504" s="1660"/>
      <c r="OI504" s="1660"/>
      <c r="OJ504" s="1660"/>
      <c r="OK504" s="1660"/>
      <c r="OL504" s="1660"/>
      <c r="OM504" s="1660"/>
      <c r="ON504" s="1660"/>
      <c r="OO504" s="1660"/>
      <c r="OP504" s="1660"/>
      <c r="OQ504" s="1660"/>
      <c r="OR504" s="1660"/>
      <c r="OS504" s="1660"/>
      <c r="OT504" s="1660"/>
      <c r="OU504" s="1660"/>
      <c r="OV504" s="1660"/>
      <c r="OW504" s="1660"/>
      <c r="OX504" s="1660"/>
      <c r="OY504" s="1660"/>
      <c r="OZ504" s="1660"/>
      <c r="PA504" s="1660"/>
      <c r="PB504" s="1660"/>
      <c r="PC504" s="1660"/>
      <c r="PD504" s="1660"/>
      <c r="PE504" s="1660"/>
      <c r="PF504" s="1660"/>
      <c r="PG504" s="1660"/>
      <c r="PH504" s="1660"/>
      <c r="PI504" s="1660"/>
      <c r="PJ504" s="1660"/>
      <c r="PK504" s="1660"/>
      <c r="PL504" s="1660"/>
      <c r="PM504" s="1660"/>
      <c r="PN504" s="1660"/>
      <c r="PO504" s="1660"/>
      <c r="PP504" s="1660"/>
      <c r="PQ504" s="1660"/>
      <c r="PR504" s="1660"/>
      <c r="PS504" s="1660"/>
      <c r="PT504" s="1660"/>
      <c r="PU504" s="1660"/>
      <c r="PV504" s="1660"/>
      <c r="PW504" s="1660"/>
      <c r="PX504" s="1660"/>
      <c r="PY504" s="1660"/>
      <c r="PZ504" s="1660"/>
      <c r="QA504" s="1660"/>
      <c r="QB504" s="1660"/>
      <c r="QC504" s="1660"/>
      <c r="QD504" s="1660"/>
      <c r="QE504" s="1660"/>
      <c r="QF504" s="1660"/>
      <c r="QG504" s="1660"/>
      <c r="QH504" s="1660"/>
      <c r="QI504" s="1660"/>
      <c r="QJ504" s="1660"/>
      <c r="QK504" s="1660"/>
      <c r="QL504" s="1660"/>
      <c r="QM504" s="1660"/>
      <c r="QN504" s="1660"/>
      <c r="QO504" s="1660"/>
      <c r="QP504" s="1660"/>
      <c r="QQ504" s="1660"/>
      <c r="QR504" s="1660"/>
      <c r="QS504" s="1660"/>
      <c r="QT504" s="1660"/>
      <c r="QU504" s="1660"/>
      <c r="QV504" s="1660"/>
      <c r="QW504" s="1660"/>
      <c r="QX504" s="1660"/>
      <c r="QY504" s="1660"/>
      <c r="QZ504" s="1660"/>
      <c r="RA504" s="1660"/>
      <c r="RB504" s="1660"/>
      <c r="RC504" s="1660"/>
      <c r="RD504" s="1660"/>
      <c r="RE504" s="1660"/>
      <c r="RF504" s="1660"/>
      <c r="RG504" s="1660"/>
      <c r="RH504" s="1660"/>
      <c r="RI504" s="1660"/>
      <c r="RJ504" s="1660"/>
      <c r="RK504" s="1660"/>
      <c r="RL504" s="1660"/>
      <c r="RM504" s="1660"/>
      <c r="RN504" s="1660"/>
      <c r="RO504" s="1660"/>
      <c r="RP504" s="1660"/>
      <c r="RQ504" s="1660"/>
      <c r="RR504" s="1660"/>
      <c r="RS504" s="1660"/>
      <c r="RT504" s="1660"/>
      <c r="RU504" s="1660"/>
      <c r="RV504" s="1660"/>
      <c r="RW504" s="1660"/>
      <c r="RX504" s="1660"/>
      <c r="RY504" s="1660"/>
      <c r="RZ504" s="1660"/>
      <c r="SA504" s="1660"/>
      <c r="SB504" s="1660"/>
      <c r="SC504" s="1660"/>
      <c r="SD504" s="1660"/>
      <c r="SE504" s="1660"/>
      <c r="SF504" s="1660"/>
      <c r="SG504" s="1660"/>
      <c r="SH504" s="1660"/>
      <c r="SI504" s="1660"/>
      <c r="SJ504" s="1660"/>
      <c r="SK504" s="1660"/>
      <c r="SL504" s="1660"/>
      <c r="SM504" s="1660"/>
      <c r="SN504" s="1660"/>
      <c r="SO504" s="1660"/>
      <c r="SP504" s="1660"/>
      <c r="SQ504" s="1660"/>
      <c r="SR504" s="1660"/>
      <c r="SS504" s="1660"/>
      <c r="ST504" s="1660"/>
      <c r="SU504" s="1660"/>
      <c r="SV504" s="1660"/>
      <c r="SW504" s="1660"/>
      <c r="SX504" s="1660"/>
      <c r="SY504" s="1660"/>
      <c r="SZ504" s="1660"/>
      <c r="TA504" s="1660"/>
      <c r="TB504" s="1660"/>
      <c r="TC504" s="1660"/>
      <c r="TD504" s="1660"/>
      <c r="TE504" s="1660"/>
      <c r="TF504" s="1660"/>
      <c r="TG504" s="1660"/>
      <c r="TH504" s="1660"/>
      <c r="TI504" s="1660"/>
      <c r="TJ504" s="1660"/>
      <c r="TK504" s="1660"/>
      <c r="TL504" s="1660"/>
      <c r="TM504" s="1660"/>
      <c r="TN504" s="1660"/>
      <c r="TO504" s="1660"/>
      <c r="TP504" s="1660"/>
      <c r="TQ504" s="1660"/>
      <c r="TR504" s="1660"/>
      <c r="TS504" s="1660"/>
      <c r="TT504" s="1660"/>
      <c r="TU504" s="1660"/>
      <c r="TV504" s="1660"/>
      <c r="TW504" s="1660"/>
      <c r="TX504" s="1660"/>
      <c r="TY504" s="1660"/>
      <c r="TZ504" s="1660"/>
      <c r="UA504" s="1660"/>
      <c r="UB504" s="1660"/>
      <c r="UC504" s="1660"/>
      <c r="UD504" s="1660"/>
      <c r="UE504" s="1660"/>
      <c r="UF504" s="1660"/>
      <c r="UG504" s="1660"/>
      <c r="UH504" s="1660"/>
      <c r="UI504" s="1660"/>
      <c r="UJ504" s="1660"/>
      <c r="UK504" s="1660"/>
      <c r="UL504" s="1660"/>
      <c r="UM504" s="1660"/>
      <c r="UN504" s="1660"/>
      <c r="UO504" s="1660"/>
      <c r="UP504" s="1660"/>
      <c r="UQ504" s="1660"/>
      <c r="UR504" s="1660"/>
      <c r="US504" s="1660"/>
      <c r="UT504" s="1660"/>
      <c r="UU504" s="1660"/>
      <c r="UV504" s="1660"/>
      <c r="UW504" s="1660"/>
      <c r="UX504" s="1660"/>
      <c r="UY504" s="1660"/>
      <c r="UZ504" s="1660"/>
      <c r="VA504" s="1660"/>
      <c r="VB504" s="1660"/>
      <c r="VC504" s="1660"/>
      <c r="VD504" s="1660"/>
      <c r="VE504" s="1660"/>
      <c r="VF504" s="1660"/>
      <c r="VG504" s="1660"/>
      <c r="VH504" s="1660"/>
      <c r="VI504" s="1660"/>
      <c r="VJ504" s="1660"/>
      <c r="VK504" s="1660"/>
      <c r="VL504" s="1660"/>
      <c r="VM504" s="1660"/>
      <c r="VN504" s="1660"/>
      <c r="VO504" s="1660"/>
      <c r="VP504" s="1660"/>
      <c r="VQ504" s="1660"/>
      <c r="VR504" s="1660"/>
      <c r="VS504" s="1660"/>
      <c r="VT504" s="1660"/>
      <c r="VU504" s="1660"/>
      <c r="VV504" s="1660"/>
      <c r="VW504" s="1660"/>
      <c r="VX504" s="1660"/>
      <c r="VY504" s="1660"/>
      <c r="VZ504" s="1660"/>
      <c r="WA504" s="1660"/>
      <c r="WB504" s="1660"/>
      <c r="WC504" s="1660"/>
      <c r="WD504" s="1660"/>
      <c r="WE504" s="1660"/>
      <c r="WF504" s="1660"/>
      <c r="WG504" s="1660"/>
      <c r="WH504" s="1660"/>
      <c r="WI504" s="1660"/>
      <c r="WJ504" s="1660"/>
      <c r="WK504" s="1660"/>
      <c r="WL504" s="1660"/>
      <c r="WM504" s="1660"/>
      <c r="WN504" s="1660"/>
      <c r="WO504" s="1660"/>
      <c r="WP504" s="1660"/>
      <c r="WQ504" s="1660"/>
      <c r="WR504" s="1660"/>
      <c r="WS504" s="1660"/>
      <c r="WT504" s="1660"/>
      <c r="WU504" s="1660"/>
      <c r="WV504" s="1660"/>
      <c r="WW504" s="1660"/>
      <c r="WX504" s="1660"/>
      <c r="WY504" s="1660"/>
      <c r="WZ504" s="1660"/>
      <c r="XA504" s="1660"/>
      <c r="XB504" s="1660"/>
      <c r="XC504" s="1660"/>
      <c r="XD504" s="1660"/>
      <c r="XE504" s="1660"/>
      <c r="XF504" s="1660"/>
      <c r="XG504" s="1660"/>
      <c r="XH504" s="1660"/>
      <c r="XI504" s="1660"/>
      <c r="XJ504" s="1660"/>
      <c r="XK504" s="1660"/>
      <c r="XL504" s="1660"/>
      <c r="XM504" s="1660"/>
      <c r="XN504" s="1660"/>
      <c r="XO504" s="1660"/>
      <c r="XP504" s="1660"/>
      <c r="XQ504" s="1660"/>
      <c r="XR504" s="1660"/>
      <c r="XS504" s="1660"/>
      <c r="XT504" s="1660"/>
      <c r="XU504" s="1660"/>
      <c r="XV504" s="1660"/>
      <c r="XW504" s="1660"/>
      <c r="XX504" s="1660"/>
      <c r="XY504" s="1660"/>
      <c r="XZ504" s="1660"/>
      <c r="YA504" s="1660"/>
      <c r="YB504" s="1660"/>
      <c r="YC504" s="1660"/>
      <c r="YD504" s="1660"/>
      <c r="YE504" s="1660"/>
      <c r="YF504" s="1660"/>
      <c r="YG504" s="1660"/>
      <c r="YH504" s="1660"/>
      <c r="YI504" s="1660"/>
      <c r="YJ504" s="1660"/>
      <c r="YK504" s="1660"/>
      <c r="YL504" s="1660"/>
      <c r="YM504" s="1660"/>
      <c r="YN504" s="1660"/>
      <c r="YO504" s="1660"/>
      <c r="YP504" s="1660"/>
      <c r="YQ504" s="1660"/>
      <c r="YR504" s="1660"/>
      <c r="YS504" s="1660"/>
      <c r="YT504" s="1660"/>
      <c r="YU504" s="1660"/>
      <c r="YV504" s="1660"/>
      <c r="YW504" s="1660"/>
      <c r="YX504" s="1660"/>
      <c r="YY504" s="1660"/>
      <c r="YZ504" s="1660"/>
      <c r="ZA504" s="1660"/>
      <c r="ZB504" s="1660"/>
      <c r="ZC504" s="1660"/>
      <c r="ZD504" s="1660"/>
      <c r="ZE504" s="1660"/>
      <c r="ZF504" s="1660"/>
      <c r="ZG504" s="1660"/>
      <c r="ZH504" s="1660"/>
      <c r="ZI504" s="1660"/>
      <c r="ZJ504" s="1660"/>
      <c r="ZK504" s="1660"/>
      <c r="ZL504" s="1660"/>
      <c r="ZM504" s="1660"/>
      <c r="ZN504" s="1660"/>
      <c r="ZO504" s="1660"/>
      <c r="ZP504" s="1660"/>
      <c r="ZQ504" s="1660"/>
      <c r="ZR504" s="1660"/>
      <c r="ZS504" s="1660"/>
      <c r="ZT504" s="1660"/>
      <c r="ZU504" s="1660"/>
      <c r="ZV504" s="1660"/>
      <c r="ZW504" s="1660"/>
      <c r="ZX504" s="1660"/>
      <c r="ZY504" s="1660"/>
      <c r="ZZ504" s="1660"/>
      <c r="AAA504" s="1660"/>
      <c r="AAB504" s="1660"/>
      <c r="AAC504" s="1660"/>
      <c r="AAD504" s="1660"/>
      <c r="AAE504" s="1660"/>
      <c r="AAF504" s="1660"/>
      <c r="AAG504" s="1660"/>
      <c r="AAH504" s="1660"/>
      <c r="AAI504" s="1660"/>
      <c r="AAJ504" s="1660"/>
      <c r="AAK504" s="1660"/>
      <c r="AAL504" s="1660"/>
      <c r="AAM504" s="1660"/>
      <c r="AAN504" s="1660"/>
      <c r="AAO504" s="1660"/>
      <c r="AAP504" s="1660"/>
      <c r="AAQ504" s="1660"/>
      <c r="AAR504" s="1660"/>
      <c r="AAS504" s="1660"/>
      <c r="AAT504" s="1660"/>
      <c r="AAU504" s="1660"/>
      <c r="AAV504" s="1660"/>
      <c r="AAW504" s="1660"/>
      <c r="AAX504" s="1660"/>
      <c r="AAY504" s="1660"/>
      <c r="AAZ504" s="1660"/>
      <c r="ABA504" s="1660"/>
      <c r="ABB504" s="1660"/>
      <c r="ABC504" s="1660"/>
      <c r="ABD504" s="1660"/>
      <c r="ABE504" s="1660"/>
      <c r="ABF504" s="1660"/>
      <c r="ABG504" s="1660"/>
      <c r="ABH504" s="1660"/>
      <c r="ABI504" s="1660"/>
      <c r="ABJ504" s="1660"/>
      <c r="ABK504" s="1660"/>
      <c r="ABL504" s="1660"/>
      <c r="ABM504" s="1660"/>
      <c r="ABN504" s="1660"/>
      <c r="ABO504" s="1660"/>
      <c r="ABP504" s="1660"/>
      <c r="ABQ504" s="1660"/>
      <c r="ABR504" s="1660"/>
      <c r="ABS504" s="1660"/>
      <c r="ABT504" s="1660"/>
      <c r="ABU504" s="1660"/>
      <c r="ABV504" s="1660"/>
      <c r="ABW504" s="1660"/>
      <c r="ABX504" s="1660"/>
      <c r="ABY504" s="1660"/>
      <c r="ABZ504" s="1660"/>
      <c r="ACA504" s="1660"/>
      <c r="ACB504" s="1660"/>
      <c r="ACC504" s="1660"/>
      <c r="ACD504" s="1660"/>
      <c r="ACE504" s="1660"/>
      <c r="ACF504" s="1660"/>
      <c r="ACG504" s="1660"/>
      <c r="ACH504" s="1660"/>
      <c r="ACI504" s="1660"/>
      <c r="ACJ504" s="1660"/>
      <c r="ACK504" s="1660"/>
      <c r="ACL504" s="1660"/>
      <c r="ACM504" s="1660"/>
      <c r="ACN504" s="1660"/>
      <c r="ACO504" s="1660"/>
      <c r="ACP504" s="1660"/>
      <c r="ACQ504" s="1660"/>
      <c r="ACR504" s="1660"/>
      <c r="ACS504" s="1660"/>
      <c r="ACT504" s="1660"/>
      <c r="ACU504" s="1660"/>
      <c r="ACV504" s="1660"/>
      <c r="ACW504" s="1660"/>
      <c r="ACX504" s="1660"/>
      <c r="ACY504" s="1660"/>
      <c r="ACZ504" s="1660"/>
      <c r="ADA504" s="1660"/>
      <c r="ADB504" s="1660"/>
      <c r="ADC504" s="1660"/>
      <c r="ADD504" s="1660"/>
      <c r="ADE504" s="1660"/>
      <c r="ADF504" s="1660"/>
      <c r="ADG504" s="1660"/>
      <c r="ADH504" s="1660"/>
      <c r="ADI504" s="1660"/>
      <c r="ADJ504" s="1660"/>
      <c r="ADK504" s="1660"/>
      <c r="ADL504" s="1660"/>
      <c r="ADM504" s="1660"/>
      <c r="ADN504" s="1660"/>
      <c r="ADO504" s="1660"/>
      <c r="ADP504" s="1660"/>
      <c r="ADQ504" s="1660"/>
      <c r="ADR504" s="1660"/>
      <c r="ADS504" s="1660"/>
      <c r="ADT504" s="1660"/>
      <c r="ADU504" s="1660"/>
      <c r="ADV504" s="1660"/>
      <c r="ADW504" s="1660"/>
      <c r="ADX504" s="1660"/>
      <c r="ADY504" s="1660"/>
      <c r="ADZ504" s="1660"/>
      <c r="AEA504" s="1660"/>
      <c r="AEB504" s="1660"/>
      <c r="AEC504" s="1660"/>
      <c r="AED504" s="1660"/>
      <c r="AEE504" s="1660"/>
      <c r="AEF504" s="1660"/>
      <c r="AEG504" s="1660"/>
      <c r="AEH504" s="1660"/>
      <c r="AEI504" s="1660"/>
      <c r="AEJ504" s="1660"/>
      <c r="AEK504" s="1660"/>
      <c r="AEL504" s="1660"/>
      <c r="AEM504" s="1660"/>
      <c r="AEN504" s="1660"/>
      <c r="AEO504" s="1660"/>
      <c r="AEP504" s="1660"/>
      <c r="AEQ504" s="1660"/>
      <c r="AER504" s="1660"/>
      <c r="AES504" s="1660"/>
      <c r="AET504" s="1660"/>
      <c r="AEU504" s="1660"/>
      <c r="AEV504" s="1660"/>
      <c r="AEW504" s="1660"/>
      <c r="AEX504" s="1660"/>
      <c r="AEY504" s="1660"/>
      <c r="AEZ504" s="1660"/>
      <c r="AFA504" s="1660"/>
      <c r="AFB504" s="1660"/>
      <c r="AFC504" s="1660"/>
      <c r="AFD504" s="1660"/>
      <c r="AFE504" s="1660"/>
      <c r="AFF504" s="1660"/>
      <c r="AFG504" s="1660"/>
      <c r="AFH504" s="1660"/>
      <c r="AFI504" s="1660"/>
      <c r="AFJ504" s="1660"/>
      <c r="AFK504" s="1660"/>
      <c r="AFL504" s="1660"/>
      <c r="AFM504" s="1660"/>
      <c r="AFN504" s="1660"/>
      <c r="AFO504" s="1660"/>
      <c r="AFP504" s="1660"/>
      <c r="AFQ504" s="1660"/>
      <c r="AFR504" s="1660"/>
      <c r="AFS504" s="1660"/>
      <c r="AFT504" s="1660"/>
      <c r="AFU504" s="1660"/>
      <c r="AFV504" s="1660"/>
      <c r="AFW504" s="1660"/>
      <c r="AFX504" s="1660"/>
      <c r="AFY504" s="1660"/>
      <c r="AFZ504" s="1660"/>
      <c r="AGA504" s="1660"/>
      <c r="AGB504" s="1660"/>
      <c r="AGC504" s="1660"/>
      <c r="AGD504" s="1660"/>
      <c r="AGE504" s="1660"/>
      <c r="AGF504" s="1660"/>
      <c r="AGG504" s="1660"/>
      <c r="AGH504" s="1660"/>
      <c r="AGI504" s="1660"/>
      <c r="AGJ504" s="1660"/>
      <c r="AGK504" s="1660"/>
      <c r="AGL504" s="1660"/>
      <c r="AGM504" s="1660"/>
      <c r="AGN504" s="1660"/>
      <c r="AGO504" s="1660"/>
      <c r="AGP504" s="1660"/>
      <c r="AGQ504" s="1660"/>
      <c r="AGR504" s="1660"/>
      <c r="AGS504" s="1660"/>
      <c r="AGT504" s="1660"/>
      <c r="AGU504" s="1660"/>
      <c r="AGV504" s="1660"/>
      <c r="AGW504" s="1660"/>
      <c r="AGX504" s="1660"/>
      <c r="AGY504" s="1660"/>
      <c r="AGZ504" s="1660"/>
      <c r="AHA504" s="1660"/>
      <c r="AHB504" s="1660"/>
      <c r="AHC504" s="1660"/>
      <c r="AHD504" s="1660"/>
      <c r="AHE504" s="1660"/>
      <c r="AHF504" s="1660"/>
      <c r="AHG504" s="1660"/>
      <c r="AHH504" s="1660"/>
      <c r="AHI504" s="1660"/>
      <c r="AHJ504" s="1660"/>
      <c r="AHK504" s="1660"/>
      <c r="AHL504" s="1660"/>
      <c r="AHM504" s="1660"/>
      <c r="AHN504" s="1660"/>
      <c r="AHO504" s="1660"/>
      <c r="AHP504" s="1660"/>
      <c r="AHQ504" s="1660"/>
      <c r="AHR504" s="1660"/>
      <c r="AHS504" s="1660"/>
      <c r="AHT504" s="1660"/>
      <c r="AHU504" s="1660"/>
      <c r="AHV504" s="1660"/>
      <c r="AHW504" s="1660"/>
      <c r="AHX504" s="1660"/>
      <c r="AHY504" s="1660"/>
      <c r="AHZ504" s="1660"/>
      <c r="AIA504" s="1660"/>
      <c r="AIB504" s="1660"/>
      <c r="AIC504" s="1660"/>
      <c r="AID504" s="1660"/>
      <c r="AIE504" s="1660"/>
      <c r="AIF504" s="1660"/>
      <c r="AIG504" s="1660"/>
      <c r="AIH504" s="1660"/>
      <c r="AII504" s="1660"/>
      <c r="AIJ504" s="1660"/>
      <c r="AIK504" s="1660"/>
      <c r="AIL504" s="1660"/>
      <c r="AIM504" s="1660"/>
      <c r="AIN504" s="1660"/>
      <c r="AIO504" s="1660"/>
      <c r="AIP504" s="1660"/>
      <c r="AIQ504" s="1660"/>
      <c r="AIR504" s="1660"/>
      <c r="AIS504" s="1660"/>
      <c r="AIT504" s="1660"/>
      <c r="AIU504" s="1660"/>
      <c r="AIV504" s="1660"/>
      <c r="AIW504" s="1660"/>
      <c r="AIX504" s="1660"/>
      <c r="AIY504" s="1660"/>
      <c r="AIZ504" s="1660"/>
      <c r="AJA504" s="1660"/>
      <c r="AJB504" s="1660"/>
      <c r="AJC504" s="1660"/>
      <c r="AJD504" s="1660"/>
      <c r="AJE504" s="1660"/>
      <c r="AJF504" s="1660"/>
      <c r="AJG504" s="1660"/>
      <c r="AJH504" s="1660"/>
      <c r="AJI504" s="1660"/>
      <c r="AJJ504" s="1660"/>
      <c r="AJK504" s="1660"/>
      <c r="AJL504" s="1660"/>
      <c r="AJM504" s="1660"/>
      <c r="AJN504" s="1660"/>
      <c r="AJO504" s="1660"/>
      <c r="AJP504" s="1660"/>
      <c r="AJQ504" s="1660"/>
      <c r="AJR504" s="1660"/>
      <c r="AJS504" s="1660"/>
      <c r="AJT504" s="1660"/>
      <c r="AJU504" s="1660"/>
      <c r="AJV504" s="1660"/>
      <c r="AJW504" s="1660"/>
      <c r="AJX504" s="1660"/>
      <c r="AJY504" s="1660"/>
      <c r="AJZ504" s="1660"/>
      <c r="AKA504" s="1660"/>
      <c r="AKB504" s="1660"/>
      <c r="AKC504" s="1660"/>
      <c r="AKD504" s="1660"/>
      <c r="AKE504" s="1660"/>
      <c r="AKF504" s="1660"/>
      <c r="AKG504" s="1660"/>
      <c r="AKH504" s="1660"/>
      <c r="AKI504" s="1660"/>
      <c r="AKJ504" s="1660"/>
      <c r="AKK504" s="1660"/>
      <c r="AKL504" s="1660"/>
      <c r="AKM504" s="1660"/>
      <c r="AKN504" s="1660"/>
      <c r="AKO504" s="1660"/>
      <c r="AKP504" s="1660"/>
      <c r="AKQ504" s="1660"/>
      <c r="AKR504" s="1660"/>
      <c r="AKS504" s="1660"/>
      <c r="AKT504" s="1660"/>
      <c r="AKU504" s="1660"/>
      <c r="AKV504" s="1660"/>
      <c r="AKW504" s="1660"/>
      <c r="AKX504" s="1660"/>
      <c r="AKY504" s="1660"/>
      <c r="AKZ504" s="1660"/>
      <c r="ALA504" s="1660"/>
      <c r="ALB504" s="1660"/>
      <c r="ALC504" s="1660"/>
      <c r="ALD504" s="1660"/>
      <c r="ALE504" s="1660"/>
      <c r="ALF504" s="1660"/>
      <c r="ALG504" s="1660"/>
      <c r="ALH504" s="1660"/>
      <c r="ALI504" s="1660"/>
      <c r="ALJ504" s="1660"/>
      <c r="ALK504" s="1660"/>
      <c r="ALL504" s="1660"/>
      <c r="ALM504" s="1660"/>
      <c r="ALN504" s="1660"/>
      <c r="ALO504" s="1660"/>
      <c r="ALP504" s="1660"/>
      <c r="ALQ504" s="1660"/>
      <c r="ALR504" s="1660"/>
      <c r="ALS504" s="1660"/>
      <c r="ALT504" s="1660"/>
      <c r="ALU504" s="1660"/>
      <c r="ALV504" s="1660"/>
      <c r="ALW504" s="1660"/>
      <c r="ALX504" s="1660"/>
      <c r="ALY504" s="1660"/>
      <c r="ALZ504" s="1660"/>
      <c r="AMA504" s="1660"/>
      <c r="AMB504" s="1660"/>
      <c r="AMC504" s="1660"/>
      <c r="AMD504" s="1660"/>
      <c r="AME504" s="1660"/>
      <c r="AMF504" s="1660"/>
      <c r="AMG504" s="1660"/>
      <c r="AMH504" s="1660"/>
      <c r="AMI504" s="1660"/>
      <c r="AMJ504" s="1660"/>
      <c r="AMK504" s="1660"/>
      <c r="AML504" s="1660"/>
      <c r="AMM504" s="1660"/>
      <c r="AMN504" s="1660"/>
      <c r="AMO504" s="1660"/>
      <c r="AMP504" s="1660"/>
      <c r="AMQ504" s="1660"/>
      <c r="AMR504" s="1660"/>
      <c r="AMS504" s="1660"/>
      <c r="AMT504" s="1660"/>
      <c r="AMU504" s="1660"/>
      <c r="AMV504" s="1660"/>
      <c r="AMW504" s="1660"/>
      <c r="AMX504" s="1660"/>
      <c r="AMY504" s="1660"/>
      <c r="AMZ504" s="1660"/>
      <c r="ANA504" s="1660"/>
      <c r="ANB504" s="1660"/>
      <c r="ANC504" s="1660"/>
      <c r="AND504" s="1660"/>
      <c r="ANE504" s="1660"/>
      <c r="ANF504" s="1660"/>
      <c r="ANG504" s="1660"/>
      <c r="ANH504" s="1660"/>
      <c r="ANI504" s="1660"/>
      <c r="ANJ504" s="1660"/>
      <c r="ANK504" s="1660"/>
      <c r="ANL504" s="1660"/>
      <c r="ANM504" s="1660"/>
      <c r="ANN504" s="1660"/>
      <c r="ANO504" s="1660"/>
      <c r="ANP504" s="1660"/>
      <c r="ANQ504" s="1660"/>
      <c r="ANR504" s="1660"/>
      <c r="ANS504" s="1660"/>
      <c r="ANT504" s="1660"/>
      <c r="ANU504" s="1660"/>
      <c r="ANV504" s="1660"/>
      <c r="ANW504" s="1660"/>
      <c r="ANX504" s="1660"/>
      <c r="ANY504" s="1660"/>
      <c r="ANZ504" s="1660"/>
      <c r="AOA504" s="1660"/>
      <c r="AOB504" s="1660"/>
      <c r="AOC504" s="1660"/>
      <c r="AOD504" s="1660"/>
      <c r="AOE504" s="1660"/>
      <c r="AOF504" s="1660"/>
      <c r="AOG504" s="1660"/>
      <c r="AOH504" s="1660"/>
      <c r="AOI504" s="1660"/>
      <c r="AOJ504" s="1660"/>
      <c r="AOK504" s="1660"/>
      <c r="AOL504" s="1660"/>
      <c r="AOM504" s="1660"/>
      <c r="AON504" s="1660"/>
      <c r="AOO504" s="1660"/>
      <c r="AOP504" s="1660"/>
      <c r="AOQ504" s="1660"/>
      <c r="AOR504" s="1660"/>
      <c r="AOS504" s="1660"/>
      <c r="AOT504" s="1660"/>
      <c r="AOU504" s="1660"/>
      <c r="AOV504" s="1660"/>
      <c r="AOW504" s="1660"/>
      <c r="AOX504" s="1660"/>
      <c r="AOY504" s="1660"/>
      <c r="AOZ504" s="1660"/>
      <c r="APA504" s="1660"/>
      <c r="APB504" s="1660"/>
      <c r="APC504" s="1660"/>
      <c r="APD504" s="1660"/>
      <c r="APE504" s="1660"/>
      <c r="APF504" s="1660"/>
      <c r="APG504" s="1660"/>
      <c r="APH504" s="1660"/>
      <c r="API504" s="1660"/>
      <c r="APJ504" s="1660"/>
      <c r="APK504" s="1660"/>
      <c r="APL504" s="1660"/>
      <c r="APM504" s="1660"/>
      <c r="APN504" s="1660"/>
      <c r="APO504" s="1660"/>
      <c r="APP504" s="1660"/>
      <c r="APQ504" s="1660"/>
      <c r="APR504" s="1660"/>
      <c r="APS504" s="1660"/>
      <c r="APT504" s="1660"/>
      <c r="APU504" s="1660"/>
      <c r="APV504" s="1660"/>
      <c r="APW504" s="1660"/>
      <c r="APX504" s="1660"/>
      <c r="APY504" s="1660"/>
      <c r="APZ504" s="1660"/>
      <c r="AQA504" s="1660"/>
      <c r="AQB504" s="1660"/>
      <c r="AQC504" s="1660"/>
      <c r="AQD504" s="1660"/>
      <c r="AQE504" s="1660"/>
      <c r="AQF504" s="1660"/>
      <c r="AQG504" s="1660"/>
      <c r="AQH504" s="1660"/>
      <c r="AQI504" s="1660"/>
      <c r="AQJ504" s="1660"/>
      <c r="AQK504" s="1660"/>
      <c r="AQL504" s="1660"/>
      <c r="AQM504" s="1660"/>
      <c r="AQN504" s="1660"/>
      <c r="AQO504" s="1660"/>
      <c r="AQP504" s="1660"/>
      <c r="AQQ504" s="1660"/>
      <c r="AQR504" s="1660"/>
      <c r="AQS504" s="1660"/>
      <c r="AQT504" s="1660"/>
      <c r="AQU504" s="1660"/>
      <c r="AQV504" s="1660"/>
      <c r="AQW504" s="1660"/>
      <c r="AQX504" s="1660"/>
      <c r="AQY504" s="1660"/>
      <c r="AQZ504" s="1660"/>
      <c r="ARA504" s="1660"/>
      <c r="ARB504" s="1660"/>
      <c r="ARC504" s="1660"/>
      <c r="ARD504" s="1660"/>
      <c r="ARE504" s="1660"/>
      <c r="ARF504" s="1660"/>
      <c r="ARG504" s="1660"/>
      <c r="ARH504" s="1660"/>
      <c r="ARI504" s="1660"/>
      <c r="ARJ504" s="1660"/>
      <c r="ARK504" s="1660"/>
      <c r="ARL504" s="1660"/>
      <c r="ARM504" s="1660"/>
      <c r="ARN504" s="1660"/>
      <c r="ARO504" s="1660"/>
      <c r="ARP504" s="1660"/>
      <c r="ARQ504" s="1660"/>
      <c r="ARR504" s="1660"/>
      <c r="ARS504" s="1660"/>
      <c r="ART504" s="1660"/>
      <c r="ARU504" s="1660"/>
      <c r="ARV504" s="1660"/>
      <c r="ARW504" s="1660"/>
      <c r="ARX504" s="1660"/>
      <c r="ARY504" s="1660"/>
      <c r="ARZ504" s="1660"/>
      <c r="ASA504" s="1660"/>
      <c r="ASB504" s="1660"/>
      <c r="ASC504" s="1660"/>
      <c r="ASD504" s="1660"/>
      <c r="ASE504" s="1660"/>
      <c r="ASF504" s="1660"/>
      <c r="ASG504" s="1660"/>
      <c r="ASH504" s="1660"/>
      <c r="ASI504" s="1660"/>
      <c r="ASJ504" s="1660"/>
      <c r="ASK504" s="1660"/>
      <c r="ASL504" s="1660"/>
      <c r="ASM504" s="1660"/>
      <c r="ASN504" s="1660"/>
      <c r="ASO504" s="1660"/>
      <c r="ASP504" s="1660"/>
      <c r="ASQ504" s="1660"/>
      <c r="ASR504" s="1660"/>
      <c r="ASS504" s="1660"/>
      <c r="AST504" s="1660"/>
      <c r="ASU504" s="1660"/>
      <c r="ASV504" s="1660"/>
      <c r="ASW504" s="1660"/>
      <c r="ASX504" s="1660"/>
      <c r="ASY504" s="1660"/>
      <c r="ASZ504" s="1660"/>
      <c r="ATA504" s="1660"/>
      <c r="ATB504" s="1660"/>
      <c r="ATC504" s="1660"/>
      <c r="ATD504" s="1660"/>
      <c r="ATE504" s="1660"/>
      <c r="ATF504" s="1660"/>
      <c r="ATG504" s="1660"/>
      <c r="ATH504" s="1660"/>
      <c r="ATI504" s="1660"/>
      <c r="ATJ504" s="1660"/>
      <c r="ATK504" s="1660"/>
      <c r="ATL504" s="1660"/>
      <c r="ATM504" s="1660"/>
      <c r="ATN504" s="1660"/>
      <c r="ATO504" s="1660"/>
      <c r="ATP504" s="1660"/>
      <c r="ATQ504" s="1660"/>
      <c r="ATR504" s="1660"/>
      <c r="ATS504" s="1660"/>
      <c r="ATT504" s="1660"/>
      <c r="ATU504" s="1660"/>
      <c r="ATV504" s="1660"/>
      <c r="ATW504" s="1660"/>
      <c r="ATX504" s="1660"/>
      <c r="ATY504" s="1660"/>
      <c r="ATZ504" s="1660"/>
      <c r="AUA504" s="1660"/>
      <c r="AUB504" s="1660"/>
      <c r="AUC504" s="1660"/>
      <c r="AUD504" s="1660"/>
      <c r="AUE504" s="1660"/>
      <c r="AUF504" s="1660"/>
      <c r="AUG504" s="1660"/>
      <c r="AUH504" s="1660"/>
      <c r="AUI504" s="1660"/>
      <c r="AUJ504" s="1660"/>
      <c r="AUK504" s="1660"/>
      <c r="AUL504" s="1660"/>
      <c r="AUM504" s="1660"/>
      <c r="AUN504" s="1660"/>
      <c r="AUO504" s="1660"/>
      <c r="AUP504" s="1660"/>
      <c r="AUQ504" s="1660"/>
      <c r="AUR504" s="1660"/>
      <c r="AUS504" s="1660"/>
      <c r="AUT504" s="1660"/>
      <c r="AUU504" s="1660"/>
      <c r="AUV504" s="1660"/>
      <c r="AUW504" s="1660"/>
      <c r="AUX504" s="1660"/>
      <c r="AUY504" s="1660"/>
      <c r="AUZ504" s="1660"/>
      <c r="AVA504" s="1660"/>
      <c r="AVB504" s="1660"/>
      <c r="AVC504" s="1660"/>
      <c r="AVD504" s="1660"/>
      <c r="AVE504" s="1660"/>
      <c r="AVF504" s="1660"/>
      <c r="AVG504" s="1660"/>
      <c r="AVH504" s="1660"/>
      <c r="AVI504" s="1660"/>
      <c r="AVJ504" s="1660"/>
      <c r="AVK504" s="1660"/>
      <c r="AVL504" s="1660"/>
      <c r="AVM504" s="1660"/>
      <c r="AVN504" s="1660"/>
      <c r="AVO504" s="1660"/>
      <c r="AVP504" s="1660"/>
      <c r="AVQ504" s="1660"/>
      <c r="AVR504" s="1660"/>
      <c r="AVS504" s="1660"/>
      <c r="AVT504" s="1660"/>
      <c r="AVU504" s="1660"/>
      <c r="AVV504" s="1660"/>
      <c r="AVW504" s="1660"/>
      <c r="AVX504" s="1660"/>
      <c r="AVY504" s="1660"/>
      <c r="AVZ504" s="1660"/>
      <c r="AWA504" s="1660"/>
      <c r="AWB504" s="1660"/>
      <c r="AWC504" s="1660"/>
      <c r="AWD504" s="1660"/>
      <c r="AWE504" s="1660"/>
      <c r="AWF504" s="1660"/>
      <c r="AWG504" s="1660"/>
      <c r="AWH504" s="1660"/>
      <c r="AWI504" s="1660"/>
      <c r="AWJ504" s="1660"/>
      <c r="AWK504" s="1660"/>
      <c r="AWL504" s="1660"/>
      <c r="AWM504" s="1660"/>
      <c r="AWN504" s="1660"/>
      <c r="AWO504" s="1660"/>
      <c r="AWP504" s="1660"/>
      <c r="AWQ504" s="1660"/>
      <c r="AWR504" s="1660"/>
      <c r="AWS504" s="1660"/>
      <c r="AWT504" s="1660"/>
      <c r="AWU504" s="1660"/>
      <c r="AWV504" s="1660"/>
      <c r="AWW504" s="1660"/>
      <c r="AWX504" s="1660"/>
      <c r="AWY504" s="1660"/>
      <c r="AWZ504" s="1660"/>
      <c r="AXA504" s="1660"/>
      <c r="AXB504" s="1660"/>
      <c r="AXC504" s="1660"/>
      <c r="AXD504" s="1660"/>
      <c r="AXE504" s="1660"/>
      <c r="AXF504" s="1660"/>
      <c r="AXG504" s="1660"/>
      <c r="AXH504" s="1660"/>
      <c r="AXI504" s="1660"/>
      <c r="AXJ504" s="1660"/>
      <c r="AXK504" s="1660"/>
      <c r="AXL504" s="1660"/>
      <c r="AXM504" s="1660"/>
      <c r="AXN504" s="1660"/>
      <c r="AXO504" s="1660"/>
      <c r="AXP504" s="1660"/>
      <c r="AXQ504" s="1660"/>
      <c r="AXR504" s="1660"/>
      <c r="AXS504" s="1660"/>
      <c r="AXT504" s="1660"/>
      <c r="AXU504" s="1660"/>
      <c r="AXV504" s="1660"/>
      <c r="AXW504" s="1660"/>
      <c r="AXX504" s="1660"/>
      <c r="AXY504" s="1660"/>
      <c r="AXZ504" s="1660"/>
      <c r="AYA504" s="1660"/>
      <c r="AYB504" s="1660"/>
      <c r="AYC504" s="1660"/>
      <c r="AYD504" s="1660"/>
      <c r="AYE504" s="1660"/>
      <c r="AYF504" s="1660"/>
      <c r="AYG504" s="1660"/>
      <c r="AYH504" s="1660"/>
      <c r="AYI504" s="1660"/>
      <c r="AYJ504" s="1660"/>
      <c r="AYK504" s="1660"/>
      <c r="AYL504" s="1660"/>
      <c r="AYM504" s="1660"/>
      <c r="AYN504" s="1660"/>
      <c r="AYO504" s="1660"/>
      <c r="AYP504" s="1660"/>
      <c r="AYQ504" s="1660"/>
      <c r="AYR504" s="1660"/>
      <c r="AYS504" s="1660"/>
      <c r="AYT504" s="1660"/>
      <c r="AYU504" s="1660"/>
      <c r="AYV504" s="1660"/>
      <c r="AYW504" s="1660"/>
      <c r="AYX504" s="1660"/>
      <c r="AYY504" s="1660"/>
      <c r="AYZ504" s="1660"/>
      <c r="AZA504" s="1660"/>
      <c r="AZB504" s="1660"/>
      <c r="AZC504" s="1660"/>
      <c r="AZD504" s="1660"/>
      <c r="AZE504" s="1660"/>
      <c r="AZF504" s="1660"/>
      <c r="AZG504" s="1660"/>
      <c r="AZH504" s="1660"/>
      <c r="AZI504" s="1660"/>
      <c r="AZJ504" s="1660"/>
      <c r="AZK504" s="1660"/>
      <c r="AZL504" s="1660"/>
      <c r="AZM504" s="1660"/>
      <c r="AZN504" s="1660"/>
      <c r="AZO504" s="1660"/>
      <c r="AZP504" s="1660"/>
      <c r="AZQ504" s="1660"/>
      <c r="AZR504" s="1660"/>
      <c r="AZS504" s="1660"/>
      <c r="AZT504" s="1660"/>
      <c r="AZU504" s="1660"/>
      <c r="AZV504" s="1660"/>
      <c r="AZW504" s="1660"/>
      <c r="AZX504" s="1660"/>
      <c r="AZY504" s="1660"/>
      <c r="AZZ504" s="1660"/>
      <c r="BAA504" s="1660"/>
      <c r="BAB504" s="1660"/>
      <c r="BAC504" s="1660"/>
      <c r="BAD504" s="1660"/>
      <c r="BAE504" s="1660"/>
      <c r="BAF504" s="1660"/>
      <c r="BAG504" s="1660"/>
      <c r="BAH504" s="1660"/>
      <c r="BAI504" s="1660"/>
      <c r="BAJ504" s="1660"/>
      <c r="BAK504" s="1660"/>
      <c r="BAL504" s="1660"/>
      <c r="BAM504" s="1660"/>
      <c r="BAN504" s="1660"/>
      <c r="BAO504" s="1660"/>
      <c r="BAP504" s="1660"/>
      <c r="BAQ504" s="1660"/>
      <c r="BAR504" s="1660"/>
      <c r="BAS504" s="1660"/>
      <c r="BAT504" s="1660"/>
      <c r="BAU504" s="1660"/>
      <c r="BAV504" s="1660"/>
      <c r="BAW504" s="1660"/>
      <c r="BAX504" s="1660"/>
      <c r="BAY504" s="1660"/>
      <c r="BAZ504" s="1660"/>
      <c r="BBA504" s="1660"/>
      <c r="BBB504" s="1660"/>
      <c r="BBC504" s="1660"/>
      <c r="BBD504" s="1660"/>
      <c r="BBE504" s="1660"/>
      <c r="BBF504" s="1660"/>
      <c r="BBG504" s="1660"/>
      <c r="BBH504" s="1660"/>
      <c r="BBI504" s="1660"/>
      <c r="BBJ504" s="1660"/>
      <c r="BBK504" s="1660"/>
      <c r="BBL504" s="1660"/>
      <c r="BBM504" s="1660"/>
      <c r="BBN504" s="1660"/>
      <c r="BBO504" s="1660"/>
      <c r="BBP504" s="1660"/>
      <c r="BBQ504" s="1660"/>
      <c r="BBR504" s="1660"/>
      <c r="BBS504" s="1660"/>
      <c r="BBT504" s="1660"/>
      <c r="BBU504" s="1660"/>
      <c r="BBV504" s="1660"/>
      <c r="BBW504" s="1660"/>
      <c r="BBX504" s="1660"/>
      <c r="BBY504" s="1660"/>
      <c r="BBZ504" s="1660"/>
      <c r="BCA504" s="1660"/>
      <c r="BCB504" s="1660"/>
      <c r="BCC504" s="1660"/>
      <c r="BCD504" s="1660"/>
      <c r="BCE504" s="1660"/>
      <c r="BCF504" s="1660"/>
      <c r="BCG504" s="1660"/>
      <c r="BCH504" s="1660"/>
      <c r="BCI504" s="1660"/>
      <c r="BCJ504" s="1660"/>
      <c r="BCK504" s="1660"/>
      <c r="BCL504" s="1660"/>
      <c r="BCM504" s="1660"/>
      <c r="BCN504" s="1660"/>
      <c r="BCO504" s="1660"/>
      <c r="BCP504" s="1660"/>
      <c r="BCQ504" s="1660"/>
      <c r="BCR504" s="1660"/>
      <c r="BCS504" s="1660"/>
      <c r="BCT504" s="1660"/>
      <c r="BCU504" s="1660"/>
      <c r="BCV504" s="1660"/>
      <c r="BCW504" s="1660"/>
      <c r="BCX504" s="1660"/>
      <c r="BCY504" s="1660"/>
      <c r="BCZ504" s="1660"/>
      <c r="BDA504" s="1660"/>
      <c r="BDB504" s="1660"/>
      <c r="BDC504" s="1660"/>
      <c r="BDD504" s="1660"/>
      <c r="BDE504" s="1660"/>
      <c r="BDF504" s="1660"/>
      <c r="BDG504" s="1660"/>
      <c r="BDH504" s="1660"/>
      <c r="BDI504" s="1660"/>
      <c r="BDJ504" s="1660"/>
      <c r="BDK504" s="1660"/>
      <c r="BDL504" s="1660"/>
      <c r="BDM504" s="1660"/>
      <c r="BDN504" s="1660"/>
      <c r="BDO504" s="1660"/>
      <c r="BDP504" s="1660"/>
      <c r="BDQ504" s="1660"/>
      <c r="BDR504" s="1660"/>
      <c r="BDS504" s="1660"/>
      <c r="BDT504" s="1660"/>
      <c r="BDU504" s="1660"/>
      <c r="BDV504" s="1660"/>
      <c r="BDW504" s="1660"/>
      <c r="BDX504" s="1660"/>
      <c r="BDY504" s="1660"/>
      <c r="BDZ504" s="1660"/>
      <c r="BEA504" s="1660"/>
      <c r="BEB504" s="1660"/>
      <c r="BEC504" s="1660"/>
      <c r="BED504" s="1660"/>
      <c r="BEE504" s="1660"/>
      <c r="BEF504" s="1660"/>
      <c r="BEG504" s="1660"/>
      <c r="BEH504" s="1660"/>
      <c r="BEI504" s="1660"/>
      <c r="BEJ504" s="1660"/>
      <c r="BEK504" s="1660"/>
      <c r="BEL504" s="1660"/>
      <c r="BEM504" s="1660"/>
      <c r="BEN504" s="1660"/>
      <c r="BEO504" s="1660"/>
      <c r="BEP504" s="1660"/>
      <c r="BEQ504" s="1660"/>
      <c r="BER504" s="1660"/>
      <c r="BES504" s="1660"/>
      <c r="BET504" s="1660"/>
      <c r="BEU504" s="1660"/>
      <c r="BEV504" s="1660"/>
      <c r="BEW504" s="1660"/>
      <c r="BEX504" s="1660"/>
      <c r="BEY504" s="1660"/>
      <c r="BEZ504" s="1660"/>
      <c r="BFA504" s="1660"/>
      <c r="BFB504" s="1660"/>
      <c r="BFC504" s="1660"/>
      <c r="BFD504" s="1660"/>
      <c r="BFE504" s="1660"/>
      <c r="BFF504" s="1660"/>
      <c r="BFG504" s="1660"/>
      <c r="BFH504" s="1660"/>
      <c r="BFI504" s="1660"/>
      <c r="BFJ504" s="1660"/>
      <c r="BFK504" s="1660"/>
      <c r="BFL504" s="1660"/>
      <c r="BFM504" s="1660"/>
      <c r="BFN504" s="1660"/>
      <c r="BFO504" s="1660"/>
      <c r="BFP504" s="1660"/>
      <c r="BFQ504" s="1660"/>
      <c r="BFR504" s="1660"/>
      <c r="BFS504" s="1660"/>
      <c r="BFT504" s="1660"/>
      <c r="BFU504" s="1660"/>
      <c r="BFV504" s="1660"/>
      <c r="BFW504" s="1660"/>
      <c r="BFX504" s="1660"/>
      <c r="BFY504" s="1660"/>
      <c r="BFZ504" s="1660"/>
      <c r="BGA504" s="1660"/>
      <c r="BGB504" s="1660"/>
      <c r="BGC504" s="1660"/>
      <c r="BGD504" s="1660"/>
      <c r="BGE504" s="1660"/>
      <c r="BGF504" s="1660"/>
      <c r="BGG504" s="1660"/>
      <c r="BGH504" s="1660"/>
      <c r="BGI504" s="1660"/>
      <c r="BGJ504" s="1660"/>
      <c r="BGK504" s="1660"/>
      <c r="BGL504" s="1660"/>
      <c r="BGM504" s="1660"/>
      <c r="BGN504" s="1660"/>
      <c r="BGO504" s="1660"/>
      <c r="BGP504" s="1660"/>
      <c r="BGQ504" s="1660"/>
      <c r="BGR504" s="1660"/>
      <c r="BGS504" s="1660"/>
      <c r="BGT504" s="1660"/>
      <c r="BGU504" s="1660"/>
      <c r="BGV504" s="1660"/>
      <c r="BGW504" s="1660"/>
      <c r="BGX504" s="1660"/>
      <c r="BGY504" s="1660"/>
      <c r="BGZ504" s="1660"/>
      <c r="BHA504" s="1660"/>
      <c r="BHB504" s="1660"/>
      <c r="BHC504" s="1660"/>
      <c r="BHD504" s="1660"/>
      <c r="BHE504" s="1660"/>
      <c r="BHF504" s="1660"/>
      <c r="BHG504" s="1660"/>
      <c r="BHH504" s="1660"/>
      <c r="BHI504" s="1660"/>
      <c r="BHJ504" s="1660"/>
      <c r="BHK504" s="1660"/>
      <c r="BHL504" s="1660"/>
      <c r="BHM504" s="1660"/>
      <c r="BHN504" s="1660"/>
      <c r="BHO504" s="1660"/>
      <c r="BHP504" s="1660"/>
      <c r="BHQ504" s="1660"/>
      <c r="BHR504" s="1660"/>
      <c r="BHS504" s="1660"/>
      <c r="BHT504" s="1660"/>
      <c r="BHU504" s="1660"/>
      <c r="BHV504" s="1660"/>
      <c r="BHW504" s="1660"/>
      <c r="BHX504" s="1660"/>
      <c r="BHY504" s="1660"/>
      <c r="BHZ504" s="1660"/>
      <c r="BIA504" s="1660"/>
      <c r="BIB504" s="1660"/>
      <c r="BIC504" s="1660"/>
      <c r="BID504" s="1660"/>
      <c r="BIE504" s="1660"/>
      <c r="BIF504" s="1660"/>
      <c r="BIG504" s="1660"/>
      <c r="BIH504" s="1660"/>
      <c r="BII504" s="1660"/>
      <c r="BIJ504" s="1660"/>
      <c r="BIK504" s="1660"/>
      <c r="BIL504" s="1660"/>
      <c r="BIM504" s="1660"/>
      <c r="BIN504" s="1660"/>
      <c r="BIO504" s="1660"/>
      <c r="BIP504" s="1660"/>
      <c r="BIQ504" s="1660"/>
      <c r="BIR504" s="1660"/>
      <c r="BIS504" s="1660"/>
      <c r="BIT504" s="1660"/>
      <c r="BIU504" s="1660"/>
      <c r="BIV504" s="1660"/>
      <c r="BIW504" s="1660"/>
      <c r="BIX504" s="1660"/>
      <c r="BIY504" s="1660"/>
      <c r="BIZ504" s="1660"/>
      <c r="BJA504" s="1660"/>
      <c r="BJB504" s="1660"/>
      <c r="BJC504" s="1660"/>
      <c r="BJD504" s="1660"/>
      <c r="BJE504" s="1660"/>
      <c r="BJF504" s="1660"/>
      <c r="BJG504" s="1660"/>
      <c r="BJH504" s="1660"/>
      <c r="BJI504" s="1660"/>
      <c r="BJJ504" s="1660"/>
      <c r="BJK504" s="1660"/>
      <c r="BJL504" s="1660"/>
      <c r="BJM504" s="1660"/>
      <c r="BJN504" s="1660"/>
      <c r="BJO504" s="1660"/>
      <c r="BJP504" s="1660"/>
      <c r="BJQ504" s="1660"/>
      <c r="BJR504" s="1660"/>
      <c r="BJS504" s="1660"/>
      <c r="BJT504" s="1660"/>
      <c r="BJU504" s="1660"/>
      <c r="BJV504" s="1660"/>
      <c r="BJW504" s="1660"/>
      <c r="BJX504" s="1660"/>
      <c r="BJY504" s="1660"/>
      <c r="BJZ504" s="1660"/>
      <c r="BKA504" s="1660"/>
      <c r="BKB504" s="1660"/>
      <c r="BKC504" s="1660"/>
      <c r="BKD504" s="1660"/>
      <c r="BKE504" s="1660"/>
      <c r="BKF504" s="1660"/>
      <c r="BKG504" s="1660"/>
      <c r="BKH504" s="1660"/>
      <c r="BKI504" s="1660"/>
      <c r="BKJ504" s="1660"/>
      <c r="BKK504" s="1660"/>
      <c r="BKL504" s="1660"/>
      <c r="BKM504" s="1660"/>
      <c r="BKN504" s="1660"/>
      <c r="BKO504" s="1660"/>
      <c r="BKP504" s="1660"/>
      <c r="BKQ504" s="1660"/>
      <c r="BKR504" s="1660"/>
      <c r="BKS504" s="1660"/>
      <c r="BKT504" s="1660"/>
      <c r="BKU504" s="1660"/>
      <c r="BKV504" s="1660"/>
      <c r="BKW504" s="1660"/>
      <c r="BKX504" s="1660"/>
      <c r="BKY504" s="1660"/>
      <c r="BKZ504" s="1660"/>
      <c r="BLA504" s="1660"/>
      <c r="BLB504" s="1660"/>
      <c r="BLC504" s="1660"/>
      <c r="BLD504" s="1660"/>
      <c r="BLE504" s="1660"/>
      <c r="BLF504" s="1660"/>
      <c r="BLG504" s="1660"/>
      <c r="BLH504" s="1660"/>
      <c r="BLI504" s="1660"/>
      <c r="BLJ504" s="1660"/>
      <c r="BLK504" s="1660"/>
      <c r="BLL504" s="1660"/>
      <c r="BLM504" s="1660"/>
      <c r="BLN504" s="1660"/>
      <c r="BLO504" s="1660"/>
      <c r="BLP504" s="1660"/>
      <c r="BLQ504" s="1660"/>
      <c r="BLR504" s="1660"/>
      <c r="BLS504" s="1660"/>
      <c r="BLT504" s="1660"/>
      <c r="BLU504" s="1660"/>
      <c r="BLV504" s="1660"/>
      <c r="BLW504" s="1660"/>
      <c r="BLX504" s="1660"/>
      <c r="BLY504" s="1660"/>
      <c r="BLZ504" s="1660"/>
      <c r="BMA504" s="1660"/>
      <c r="BMB504" s="1660"/>
      <c r="BMC504" s="1660"/>
      <c r="BMD504" s="1660"/>
      <c r="BME504" s="1660"/>
      <c r="BMF504" s="1660"/>
      <c r="BMG504" s="1660"/>
      <c r="BMH504" s="1660"/>
      <c r="BMI504" s="1660"/>
      <c r="BMJ504" s="1660"/>
      <c r="BMK504" s="1660"/>
      <c r="BML504" s="1660"/>
      <c r="BMM504" s="1660"/>
      <c r="BMN504" s="1660"/>
      <c r="BMO504" s="1660"/>
      <c r="BMP504" s="1660"/>
      <c r="BMQ504" s="1660"/>
      <c r="BMR504" s="1660"/>
      <c r="BMS504" s="1660"/>
      <c r="BMT504" s="1660"/>
      <c r="BMU504" s="1660"/>
      <c r="BMV504" s="1660"/>
      <c r="BMW504" s="1660"/>
      <c r="BMX504" s="1660"/>
      <c r="BMY504" s="1660"/>
      <c r="BMZ504" s="1660"/>
      <c r="BNA504" s="1660"/>
      <c r="BNB504" s="1660"/>
      <c r="BNC504" s="1660"/>
      <c r="BND504" s="1660"/>
      <c r="BNE504" s="1660"/>
      <c r="BNF504" s="1660"/>
      <c r="BNG504" s="1660"/>
      <c r="BNH504" s="1660"/>
      <c r="BNI504" s="1660"/>
      <c r="BNJ504" s="1660"/>
      <c r="BNK504" s="1660"/>
      <c r="BNL504" s="1660"/>
      <c r="BNM504" s="1660"/>
      <c r="BNN504" s="1660"/>
      <c r="BNO504" s="1660"/>
      <c r="BNP504" s="1660"/>
      <c r="BNQ504" s="1660"/>
      <c r="BNR504" s="1660"/>
      <c r="BNS504" s="1660"/>
      <c r="BNT504" s="1660"/>
      <c r="BNU504" s="1660"/>
      <c r="BNV504" s="1660"/>
      <c r="BNW504" s="1660"/>
      <c r="BNX504" s="1660"/>
      <c r="BNY504" s="1660"/>
      <c r="BNZ504" s="1660"/>
      <c r="BOA504" s="1660"/>
      <c r="BOB504" s="1660"/>
      <c r="BOC504" s="1660"/>
      <c r="BOD504" s="1660"/>
      <c r="BOE504" s="1660"/>
      <c r="BOF504" s="1660"/>
      <c r="BOG504" s="1660"/>
      <c r="BOH504" s="1660"/>
      <c r="BOI504" s="1660"/>
      <c r="BOJ504" s="1660"/>
      <c r="BOK504" s="1660"/>
      <c r="BOL504" s="1660"/>
      <c r="BOM504" s="1660"/>
      <c r="BON504" s="1660"/>
      <c r="BOO504" s="1660"/>
      <c r="BOP504" s="1660"/>
      <c r="BOQ504" s="1660"/>
      <c r="BOR504" s="1660"/>
      <c r="BOS504" s="1660"/>
      <c r="BOT504" s="1660"/>
      <c r="BOU504" s="1660"/>
      <c r="BOV504" s="1660"/>
      <c r="BOW504" s="1660"/>
      <c r="BOX504" s="1660"/>
      <c r="BOY504" s="1660"/>
      <c r="BOZ504" s="1660"/>
      <c r="BPA504" s="1660"/>
      <c r="BPB504" s="1660"/>
      <c r="BPC504" s="1660"/>
      <c r="BPD504" s="1660"/>
      <c r="BPE504" s="1660"/>
      <c r="BPF504" s="1660"/>
      <c r="BPG504" s="1660"/>
      <c r="BPH504" s="1660"/>
      <c r="BPI504" s="1660"/>
      <c r="BPJ504" s="1660"/>
      <c r="BPK504" s="1660"/>
      <c r="BPL504" s="1660"/>
      <c r="BPM504" s="1660"/>
      <c r="BPN504" s="1660"/>
      <c r="BPO504" s="1660"/>
      <c r="BPP504" s="1660"/>
      <c r="BPQ504" s="1660"/>
      <c r="BPR504" s="1660"/>
      <c r="BPS504" s="1660"/>
      <c r="BPT504" s="1660"/>
      <c r="BPU504" s="1660"/>
      <c r="BPV504" s="1660"/>
      <c r="BPW504" s="1660"/>
      <c r="BPX504" s="1660"/>
      <c r="BPY504" s="1660"/>
      <c r="BPZ504" s="1660"/>
      <c r="BQA504" s="1660"/>
      <c r="BQB504" s="1660"/>
      <c r="BQC504" s="1660"/>
      <c r="BQD504" s="1660"/>
      <c r="BQE504" s="1660"/>
      <c r="BQF504" s="1660"/>
      <c r="BQG504" s="1660"/>
      <c r="BQH504" s="1660"/>
      <c r="BQI504" s="1660"/>
      <c r="BQJ504" s="1660"/>
      <c r="BQK504" s="1660"/>
      <c r="BQL504" s="1660"/>
      <c r="BQM504" s="1660"/>
      <c r="BQN504" s="1660"/>
      <c r="BQO504" s="1660"/>
      <c r="BQP504" s="1660"/>
      <c r="BQQ504" s="1660"/>
      <c r="BQR504" s="1660"/>
      <c r="BQS504" s="1660"/>
      <c r="BQT504" s="1660"/>
      <c r="BQU504" s="1660"/>
      <c r="BQV504" s="1660"/>
      <c r="BQW504" s="1660"/>
      <c r="BQX504" s="1660"/>
      <c r="BQY504" s="1660"/>
      <c r="BQZ504" s="1660"/>
      <c r="BRA504" s="1660"/>
      <c r="BRB504" s="1660"/>
      <c r="BRC504" s="1660"/>
      <c r="BRD504" s="1660"/>
      <c r="BRE504" s="1660"/>
      <c r="BRF504" s="1660"/>
      <c r="BRG504" s="1660"/>
      <c r="BRH504" s="1660"/>
      <c r="BRI504" s="1660"/>
      <c r="BRJ504" s="1660"/>
      <c r="BRK504" s="1660"/>
      <c r="BRL504" s="1660"/>
      <c r="BRM504" s="1660"/>
      <c r="BRN504" s="1660"/>
      <c r="BRO504" s="1660"/>
      <c r="BRP504" s="1660"/>
      <c r="BRQ504" s="1660"/>
      <c r="BRR504" s="1660"/>
      <c r="BRS504" s="1660"/>
      <c r="BRT504" s="1660"/>
      <c r="BRU504" s="1660"/>
      <c r="BRV504" s="1660"/>
      <c r="BRW504" s="1660"/>
      <c r="BRX504" s="1660"/>
      <c r="BRY504" s="1660"/>
      <c r="BRZ504" s="1660"/>
      <c r="BSA504" s="1660"/>
      <c r="BSB504" s="1660"/>
      <c r="BSC504" s="1660"/>
      <c r="BSD504" s="1660"/>
      <c r="BSE504" s="1660"/>
      <c r="BSF504" s="1660"/>
      <c r="BSG504" s="1660"/>
      <c r="BSH504" s="1660"/>
      <c r="BSI504" s="1660"/>
      <c r="BSJ504" s="1660"/>
      <c r="BSK504" s="1660"/>
      <c r="BSL504" s="1660"/>
      <c r="BSM504" s="1660"/>
      <c r="BSN504" s="1660"/>
      <c r="BSO504" s="1660"/>
      <c r="BSP504" s="1660"/>
      <c r="BSQ504" s="1660"/>
      <c r="BSR504" s="1660"/>
      <c r="BSS504" s="1660"/>
      <c r="BST504" s="1660"/>
      <c r="BSU504" s="1660"/>
      <c r="BSV504" s="1660"/>
      <c r="BSW504" s="1660"/>
      <c r="BSX504" s="1660"/>
      <c r="BSY504" s="1660"/>
      <c r="BSZ504" s="1660"/>
      <c r="BTA504" s="1660"/>
      <c r="BTB504" s="1660"/>
      <c r="BTC504" s="1660"/>
      <c r="BTD504" s="1660"/>
      <c r="BTE504" s="1660"/>
      <c r="BTF504" s="1660"/>
      <c r="BTG504" s="1660"/>
      <c r="BTH504" s="1660"/>
      <c r="BTI504" s="1660"/>
      <c r="BTJ504" s="1660"/>
      <c r="BTK504" s="1660"/>
      <c r="BTL504" s="1660"/>
      <c r="BTM504" s="1660"/>
      <c r="BTN504" s="1660"/>
      <c r="BTO504" s="1660"/>
      <c r="BTP504" s="1660"/>
      <c r="BTQ504" s="1660"/>
      <c r="BTR504" s="1660"/>
      <c r="BTS504" s="1660"/>
      <c r="BTT504" s="1660"/>
      <c r="BTU504" s="1660"/>
      <c r="BTV504" s="1660"/>
      <c r="BTW504" s="1660"/>
      <c r="BTX504" s="1660"/>
      <c r="BTY504" s="1660"/>
      <c r="BTZ504" s="1660"/>
      <c r="BUA504" s="1660"/>
      <c r="BUB504" s="1660"/>
      <c r="BUC504" s="1660"/>
      <c r="BUD504" s="1660"/>
      <c r="BUE504" s="1660"/>
      <c r="BUF504" s="1660"/>
      <c r="BUG504" s="1660"/>
      <c r="BUH504" s="1660"/>
      <c r="BUI504" s="1660"/>
      <c r="BUJ504" s="1660"/>
      <c r="BUK504" s="1660"/>
      <c r="BUL504" s="1660"/>
      <c r="BUM504" s="1660"/>
      <c r="BUN504" s="1660"/>
      <c r="BUO504" s="1660"/>
      <c r="BUP504" s="1660"/>
      <c r="BUQ504" s="1660"/>
      <c r="BUR504" s="1660"/>
      <c r="BUS504" s="1660"/>
      <c r="BUT504" s="1660"/>
      <c r="BUU504" s="1660"/>
      <c r="BUV504" s="1660"/>
      <c r="BUW504" s="1660"/>
      <c r="BUX504" s="1660"/>
      <c r="BUY504" s="1660"/>
      <c r="BUZ504" s="1660"/>
      <c r="BVA504" s="1660"/>
      <c r="BVB504" s="1660"/>
      <c r="BVC504" s="1660"/>
      <c r="BVD504" s="1660"/>
      <c r="BVE504" s="1660"/>
      <c r="BVF504" s="1660"/>
      <c r="BVG504" s="1660"/>
      <c r="BVH504" s="1660"/>
      <c r="BVI504" s="1660"/>
      <c r="BVJ504" s="1660"/>
      <c r="BVK504" s="1660"/>
      <c r="BVL504" s="1660"/>
      <c r="BVM504" s="1660"/>
      <c r="BVN504" s="1660"/>
      <c r="BVO504" s="1660"/>
      <c r="BVP504" s="1660"/>
      <c r="BVQ504" s="1660"/>
      <c r="BVR504" s="1660"/>
      <c r="BVS504" s="1660"/>
      <c r="BVT504" s="1660"/>
      <c r="BVU504" s="1660"/>
      <c r="BVV504" s="1660"/>
      <c r="BVW504" s="1660"/>
      <c r="BVX504" s="1660"/>
      <c r="BVY504" s="1660"/>
      <c r="BVZ504" s="1660"/>
      <c r="BWA504" s="1660"/>
      <c r="BWB504" s="1660"/>
      <c r="BWC504" s="1660"/>
      <c r="BWD504" s="1660"/>
      <c r="BWE504" s="1660"/>
      <c r="BWF504" s="1660"/>
      <c r="BWG504" s="1660"/>
      <c r="BWH504" s="1660"/>
      <c r="BWI504" s="1660"/>
      <c r="BWJ504" s="1660"/>
      <c r="BWK504" s="1660"/>
      <c r="BWL504" s="1660"/>
      <c r="BWM504" s="1660"/>
      <c r="BWN504" s="1660"/>
      <c r="BWO504" s="1660"/>
      <c r="BWP504" s="1660"/>
      <c r="BWQ504" s="1660"/>
      <c r="BWR504" s="1660"/>
      <c r="BWS504" s="1660"/>
      <c r="BWT504" s="1660"/>
      <c r="BWU504" s="1660"/>
      <c r="BWV504" s="1660"/>
      <c r="BWW504" s="1660"/>
      <c r="BWX504" s="1660"/>
      <c r="BWY504" s="1660"/>
      <c r="BWZ504" s="1660"/>
      <c r="BXA504" s="1660"/>
      <c r="BXB504" s="1660"/>
      <c r="BXC504" s="1660"/>
      <c r="BXD504" s="1660"/>
      <c r="BXE504" s="1660"/>
      <c r="BXF504" s="1660"/>
      <c r="BXG504" s="1660"/>
      <c r="BXH504" s="1660"/>
      <c r="BXI504" s="1660"/>
      <c r="BXJ504" s="1660"/>
      <c r="BXK504" s="1660"/>
      <c r="BXL504" s="1660"/>
      <c r="BXM504" s="1660"/>
      <c r="BXN504" s="1660"/>
      <c r="BXO504" s="1660"/>
      <c r="BXP504" s="1660"/>
      <c r="BXQ504" s="1660"/>
      <c r="BXR504" s="1660"/>
      <c r="BXS504" s="1660"/>
      <c r="BXT504" s="1660"/>
      <c r="BXU504" s="1660"/>
      <c r="BXV504" s="1660"/>
      <c r="BXW504" s="1660"/>
      <c r="BXX504" s="1660"/>
      <c r="BXY504" s="1660"/>
      <c r="BXZ504" s="1660"/>
      <c r="BYA504" s="1660"/>
      <c r="BYB504" s="1660"/>
      <c r="BYC504" s="1660"/>
      <c r="BYD504" s="1660"/>
      <c r="BYE504" s="1660"/>
      <c r="BYF504" s="1660"/>
      <c r="BYG504" s="1660"/>
      <c r="BYH504" s="1660"/>
      <c r="BYI504" s="1660"/>
      <c r="BYJ504" s="1660"/>
      <c r="BYK504" s="1660"/>
      <c r="BYL504" s="1660"/>
      <c r="BYM504" s="1660"/>
      <c r="BYN504" s="1660"/>
      <c r="BYO504" s="1660"/>
      <c r="BYP504" s="1660"/>
      <c r="BYQ504" s="1660"/>
      <c r="BYR504" s="1660"/>
      <c r="BYS504" s="1660"/>
      <c r="BYT504" s="1660"/>
      <c r="BYU504" s="1660"/>
      <c r="BYV504" s="1660"/>
      <c r="BYW504" s="1660"/>
      <c r="BYX504" s="1660"/>
      <c r="BYY504" s="1660"/>
      <c r="BYZ504" s="1660"/>
      <c r="BZA504" s="1660"/>
      <c r="BZB504" s="1660"/>
      <c r="BZC504" s="1660"/>
      <c r="BZD504" s="1660"/>
      <c r="BZE504" s="1660"/>
      <c r="BZF504" s="1660"/>
      <c r="BZG504" s="1660"/>
      <c r="BZH504" s="1660"/>
      <c r="BZI504" s="1660"/>
      <c r="BZJ504" s="1660"/>
      <c r="BZK504" s="1660"/>
      <c r="BZL504" s="1660"/>
      <c r="BZM504" s="1660"/>
      <c r="BZN504" s="1660"/>
      <c r="BZO504" s="1660"/>
      <c r="BZP504" s="1660"/>
      <c r="BZQ504" s="1660"/>
      <c r="BZR504" s="1660"/>
      <c r="BZS504" s="1660"/>
      <c r="BZT504" s="1660"/>
      <c r="BZU504" s="1660"/>
      <c r="BZV504" s="1660"/>
      <c r="BZW504" s="1660"/>
      <c r="BZX504" s="1660"/>
      <c r="BZY504" s="1660"/>
      <c r="BZZ504" s="1660"/>
      <c r="CAA504" s="1660"/>
      <c r="CAB504" s="1660"/>
      <c r="CAC504" s="1660"/>
      <c r="CAD504" s="1660"/>
      <c r="CAE504" s="1660"/>
      <c r="CAF504" s="1660"/>
      <c r="CAG504" s="1660"/>
      <c r="CAH504" s="1660"/>
      <c r="CAI504" s="1660"/>
      <c r="CAJ504" s="1660"/>
      <c r="CAK504" s="1660"/>
      <c r="CAL504" s="1660"/>
      <c r="CAM504" s="1660"/>
      <c r="CAN504" s="1660"/>
      <c r="CAO504" s="1660"/>
      <c r="CAP504" s="1660"/>
      <c r="CAQ504" s="1660"/>
      <c r="CAR504" s="1660"/>
      <c r="CAS504" s="1660"/>
      <c r="CAT504" s="1660"/>
      <c r="CAU504" s="1660"/>
      <c r="CAV504" s="1660"/>
      <c r="CAW504" s="1660"/>
      <c r="CAX504" s="1660"/>
      <c r="CAY504" s="1660"/>
      <c r="CAZ504" s="1660"/>
      <c r="CBA504" s="1660"/>
      <c r="CBB504" s="1660"/>
      <c r="CBC504" s="1660"/>
      <c r="CBD504" s="1660"/>
      <c r="CBE504" s="1660"/>
      <c r="CBF504" s="1660"/>
      <c r="CBG504" s="1660"/>
      <c r="CBH504" s="1660"/>
      <c r="CBI504" s="1660"/>
      <c r="CBJ504" s="1660"/>
      <c r="CBK504" s="1660"/>
      <c r="CBL504" s="1660"/>
      <c r="CBM504" s="1660"/>
      <c r="CBN504" s="1660"/>
      <c r="CBO504" s="1660"/>
      <c r="CBP504" s="1660"/>
      <c r="CBQ504" s="1660"/>
      <c r="CBR504" s="1660"/>
      <c r="CBS504" s="1660"/>
      <c r="CBT504" s="1660"/>
      <c r="CBU504" s="1660"/>
      <c r="CBV504" s="1660"/>
      <c r="CBW504" s="1660"/>
      <c r="CBX504" s="1660"/>
      <c r="CBY504" s="1660"/>
      <c r="CBZ504" s="1660"/>
      <c r="CCA504" s="1660"/>
      <c r="CCB504" s="1660"/>
      <c r="CCC504" s="1660"/>
      <c r="CCD504" s="1660"/>
      <c r="CCE504" s="1660"/>
      <c r="CCF504" s="1660"/>
      <c r="CCG504" s="1660"/>
      <c r="CCH504" s="1660"/>
      <c r="CCI504" s="1660"/>
      <c r="CCJ504" s="1660"/>
      <c r="CCK504" s="1660"/>
      <c r="CCL504" s="1660"/>
      <c r="CCM504" s="1660"/>
      <c r="CCN504" s="1660"/>
      <c r="CCO504" s="1660"/>
      <c r="CCP504" s="1660"/>
      <c r="CCQ504" s="1660"/>
      <c r="CCR504" s="1660"/>
      <c r="CCS504" s="1660"/>
      <c r="CCT504" s="1660"/>
      <c r="CCU504" s="1660"/>
      <c r="CCV504" s="1660"/>
      <c r="CCW504" s="1660"/>
      <c r="CCX504" s="1660"/>
      <c r="CCY504" s="1660"/>
      <c r="CCZ504" s="1660"/>
      <c r="CDA504" s="1660"/>
      <c r="CDB504" s="1660"/>
      <c r="CDC504" s="1660"/>
      <c r="CDD504" s="1660"/>
      <c r="CDE504" s="1660"/>
      <c r="CDF504" s="1660"/>
      <c r="CDG504" s="1660"/>
      <c r="CDH504" s="1660"/>
      <c r="CDI504" s="1660"/>
      <c r="CDJ504" s="1660"/>
      <c r="CDK504" s="1660"/>
      <c r="CDL504" s="1660"/>
      <c r="CDM504" s="1660"/>
      <c r="CDN504" s="1660"/>
      <c r="CDO504" s="1660"/>
      <c r="CDP504" s="1660"/>
      <c r="CDQ504" s="1660"/>
      <c r="CDR504" s="1660"/>
      <c r="CDS504" s="1660"/>
      <c r="CDT504" s="1660"/>
      <c r="CDU504" s="1660"/>
      <c r="CDV504" s="1660"/>
      <c r="CDW504" s="1660"/>
      <c r="CDX504" s="1660"/>
      <c r="CDY504" s="1660"/>
      <c r="CDZ504" s="1660"/>
      <c r="CEA504" s="1660"/>
      <c r="CEB504" s="1660"/>
      <c r="CEC504" s="1660"/>
      <c r="CED504" s="1660"/>
      <c r="CEE504" s="1660"/>
      <c r="CEF504" s="1660"/>
      <c r="CEG504" s="1660"/>
      <c r="CEH504" s="1660"/>
      <c r="CEI504" s="1660"/>
      <c r="CEJ504" s="1660"/>
      <c r="CEK504" s="1660"/>
      <c r="CEL504" s="1660"/>
      <c r="CEM504" s="1660"/>
      <c r="CEN504" s="1660"/>
      <c r="CEO504" s="1660"/>
      <c r="CEP504" s="1660"/>
      <c r="CEQ504" s="1660"/>
      <c r="CER504" s="1660"/>
      <c r="CES504" s="1660"/>
      <c r="CET504" s="1660"/>
      <c r="CEU504" s="1660"/>
      <c r="CEV504" s="1660"/>
      <c r="CEW504" s="1660"/>
      <c r="CEX504" s="1660"/>
      <c r="CEY504" s="1660"/>
      <c r="CEZ504" s="1660"/>
      <c r="CFA504" s="1660"/>
      <c r="CFB504" s="1660"/>
      <c r="CFC504" s="1660"/>
      <c r="CFD504" s="1660"/>
      <c r="CFE504" s="1660"/>
      <c r="CFF504" s="1660"/>
      <c r="CFG504" s="1660"/>
      <c r="CFH504" s="1660"/>
      <c r="CFI504" s="1660"/>
      <c r="CFJ504" s="1660"/>
      <c r="CFK504" s="1660"/>
      <c r="CFL504" s="1660"/>
      <c r="CFM504" s="1660"/>
      <c r="CFN504" s="1660"/>
      <c r="CFO504" s="1660"/>
      <c r="CFP504" s="1660"/>
      <c r="CFQ504" s="1660"/>
      <c r="CFR504" s="1660"/>
      <c r="CFS504" s="1660"/>
      <c r="CFT504" s="1660"/>
      <c r="CFU504" s="1660"/>
      <c r="CFV504" s="1660"/>
      <c r="CFW504" s="1660"/>
      <c r="CFX504" s="1660"/>
      <c r="CFY504" s="1660"/>
      <c r="CFZ504" s="1660"/>
      <c r="CGA504" s="1660"/>
      <c r="CGB504" s="1660"/>
      <c r="CGC504" s="1660"/>
      <c r="CGD504" s="1660"/>
      <c r="CGE504" s="1660"/>
      <c r="CGF504" s="1660"/>
      <c r="CGG504" s="1660"/>
      <c r="CGH504" s="1660"/>
      <c r="CGI504" s="1660"/>
      <c r="CGJ504" s="1660"/>
      <c r="CGK504" s="1660"/>
      <c r="CGL504" s="1660"/>
      <c r="CGM504" s="1660"/>
      <c r="CGN504" s="1660"/>
      <c r="CGO504" s="1660"/>
      <c r="CGP504" s="1660"/>
      <c r="CGQ504" s="1660"/>
      <c r="CGR504" s="1660"/>
      <c r="CGS504" s="1660"/>
      <c r="CGT504" s="1660"/>
      <c r="CGU504" s="1660"/>
      <c r="CGV504" s="1660"/>
      <c r="CGW504" s="1660"/>
      <c r="CGX504" s="1660"/>
      <c r="CGY504" s="1660"/>
      <c r="CGZ504" s="1660"/>
      <c r="CHA504" s="1660"/>
      <c r="CHB504" s="1660"/>
      <c r="CHC504" s="1660"/>
      <c r="CHD504" s="1660"/>
      <c r="CHE504" s="1660"/>
      <c r="CHF504" s="1660"/>
      <c r="CHG504" s="1660"/>
      <c r="CHH504" s="1660"/>
      <c r="CHI504" s="1660"/>
      <c r="CHJ504" s="1660"/>
      <c r="CHK504" s="1660"/>
      <c r="CHL504" s="1660"/>
      <c r="CHM504" s="1660"/>
      <c r="CHN504" s="1660"/>
      <c r="CHO504" s="1660"/>
      <c r="CHP504" s="1660"/>
      <c r="CHQ504" s="1660"/>
      <c r="CHR504" s="1660"/>
      <c r="CHS504" s="1660"/>
      <c r="CHT504" s="1660"/>
      <c r="CHU504" s="1660"/>
      <c r="CHV504" s="1660"/>
      <c r="CHW504" s="1660"/>
      <c r="CHX504" s="1660"/>
      <c r="CHY504" s="1660"/>
      <c r="CHZ504" s="1660"/>
      <c r="CIA504" s="1660"/>
      <c r="CIB504" s="1660"/>
      <c r="CIC504" s="1660"/>
      <c r="CID504" s="1660"/>
      <c r="CIE504" s="1660"/>
      <c r="CIF504" s="1660"/>
      <c r="CIG504" s="1660"/>
      <c r="CIH504" s="1660"/>
      <c r="CII504" s="1660"/>
      <c r="CIJ504" s="1660"/>
      <c r="CIK504" s="1660"/>
      <c r="CIL504" s="1660"/>
      <c r="CIM504" s="1660"/>
      <c r="CIN504" s="1660"/>
      <c r="CIO504" s="1660"/>
      <c r="CIP504" s="1660"/>
      <c r="CIQ504" s="1660"/>
      <c r="CIR504" s="1660"/>
      <c r="CIS504" s="1660"/>
      <c r="CIT504" s="1660"/>
      <c r="CIU504" s="1660"/>
      <c r="CIV504" s="1660"/>
      <c r="CIW504" s="1660"/>
      <c r="CIX504" s="1660"/>
      <c r="CIY504" s="1660"/>
      <c r="CIZ504" s="1660"/>
      <c r="CJA504" s="1660"/>
      <c r="CJB504" s="1660"/>
      <c r="CJC504" s="1660"/>
      <c r="CJD504" s="1660"/>
      <c r="CJE504" s="1660"/>
      <c r="CJF504" s="1660"/>
      <c r="CJG504" s="1660"/>
      <c r="CJH504" s="1660"/>
      <c r="CJI504" s="1660"/>
      <c r="CJJ504" s="1660"/>
      <c r="CJK504" s="1660"/>
      <c r="CJL504" s="1660"/>
      <c r="CJM504" s="1660"/>
      <c r="CJN504" s="1660"/>
      <c r="CJO504" s="1660"/>
      <c r="CJP504" s="1660"/>
      <c r="CJQ504" s="1660"/>
      <c r="CJR504" s="1660"/>
      <c r="CJS504" s="1660"/>
      <c r="CJT504" s="1660"/>
      <c r="CJU504" s="1660"/>
      <c r="CJV504" s="1660"/>
      <c r="CJW504" s="1660"/>
      <c r="CJX504" s="1660"/>
      <c r="CJY504" s="1660"/>
      <c r="CJZ504" s="1660"/>
      <c r="CKA504" s="1660"/>
      <c r="CKB504" s="1660"/>
      <c r="CKC504" s="1660"/>
      <c r="CKD504" s="1660"/>
      <c r="CKE504" s="1660"/>
      <c r="CKF504" s="1660"/>
      <c r="CKG504" s="1660"/>
      <c r="CKH504" s="1660"/>
      <c r="CKI504" s="1660"/>
      <c r="CKJ504" s="1660"/>
      <c r="CKK504" s="1660"/>
      <c r="CKL504" s="1660"/>
      <c r="CKM504" s="1660"/>
      <c r="CKN504" s="1660"/>
      <c r="CKO504" s="1660"/>
      <c r="CKP504" s="1660"/>
      <c r="CKQ504" s="1660"/>
      <c r="CKR504" s="1660"/>
      <c r="CKS504" s="1660"/>
      <c r="CKT504" s="1660"/>
      <c r="CKU504" s="1660"/>
      <c r="CKV504" s="1660"/>
      <c r="CKW504" s="1660"/>
      <c r="CKX504" s="1660"/>
      <c r="CKY504" s="1660"/>
      <c r="CKZ504" s="1660"/>
      <c r="CLA504" s="1660"/>
      <c r="CLB504" s="1660"/>
      <c r="CLC504" s="1660"/>
      <c r="CLD504" s="1660"/>
      <c r="CLE504" s="1660"/>
      <c r="CLF504" s="1660"/>
      <c r="CLG504" s="1660"/>
      <c r="CLH504" s="1660"/>
      <c r="CLI504" s="1660"/>
      <c r="CLJ504" s="1660"/>
      <c r="CLK504" s="1660"/>
      <c r="CLL504" s="1660"/>
      <c r="CLM504" s="1660"/>
      <c r="CLN504" s="1660"/>
      <c r="CLO504" s="1660"/>
      <c r="CLP504" s="1660"/>
      <c r="CLQ504" s="1660"/>
      <c r="CLR504" s="1660"/>
      <c r="CLS504" s="1660"/>
      <c r="CLT504" s="1660"/>
      <c r="CLU504" s="1660"/>
      <c r="CLV504" s="1660"/>
      <c r="CLW504" s="1660"/>
      <c r="CLX504" s="1660"/>
      <c r="CLY504" s="1660"/>
      <c r="CLZ504" s="1660"/>
      <c r="CMA504" s="1660"/>
      <c r="CMB504" s="1660"/>
      <c r="CMC504" s="1660"/>
      <c r="CMD504" s="1660"/>
      <c r="CME504" s="1660"/>
      <c r="CMF504" s="1660"/>
      <c r="CMG504" s="1660"/>
      <c r="CMH504" s="1660"/>
      <c r="CMI504" s="1660"/>
      <c r="CMJ504" s="1660"/>
      <c r="CMK504" s="1660"/>
      <c r="CML504" s="1660"/>
      <c r="CMM504" s="1660"/>
      <c r="CMN504" s="1660"/>
      <c r="CMO504" s="1660"/>
      <c r="CMP504" s="1660"/>
      <c r="CMQ504" s="1660"/>
      <c r="CMR504" s="1660"/>
      <c r="CMS504" s="1660"/>
      <c r="CMT504" s="1660"/>
      <c r="CMU504" s="1660"/>
      <c r="CMV504" s="1660"/>
      <c r="CMW504" s="1660"/>
      <c r="CMX504" s="1660"/>
      <c r="CMY504" s="1660"/>
      <c r="CMZ504" s="1660"/>
      <c r="CNA504" s="1660"/>
      <c r="CNB504" s="1660"/>
      <c r="CNC504" s="1660"/>
      <c r="CND504" s="1660"/>
      <c r="CNE504" s="1660"/>
      <c r="CNF504" s="1660"/>
      <c r="CNG504" s="1660"/>
      <c r="CNH504" s="1660"/>
      <c r="CNI504" s="1660"/>
      <c r="CNJ504" s="1660"/>
      <c r="CNK504" s="1660"/>
      <c r="CNL504" s="1660"/>
      <c r="CNM504" s="1660"/>
      <c r="CNN504" s="1660"/>
      <c r="CNO504" s="1660"/>
      <c r="CNP504" s="1660"/>
      <c r="CNQ504" s="1660"/>
      <c r="CNR504" s="1660"/>
      <c r="CNS504" s="1660"/>
      <c r="CNT504" s="1660"/>
      <c r="CNU504" s="1660"/>
      <c r="CNV504" s="1660"/>
      <c r="CNW504" s="1660"/>
      <c r="CNX504" s="1660"/>
      <c r="CNY504" s="1660"/>
      <c r="CNZ504" s="1660"/>
      <c r="COA504" s="1660"/>
      <c r="COB504" s="1660"/>
      <c r="COC504" s="1660"/>
      <c r="COD504" s="1660"/>
      <c r="COE504" s="1660"/>
      <c r="COF504" s="1660"/>
      <c r="COG504" s="1660"/>
      <c r="COH504" s="1660"/>
      <c r="COI504" s="1660"/>
      <c r="COJ504" s="1660"/>
      <c r="COK504" s="1660"/>
      <c r="COL504" s="1660"/>
      <c r="COM504" s="1660"/>
      <c r="CON504" s="1660"/>
      <c r="COO504" s="1660"/>
      <c r="COP504" s="1660"/>
      <c r="COQ504" s="1660"/>
      <c r="COR504" s="1660"/>
      <c r="COS504" s="1660"/>
      <c r="COT504" s="1660"/>
      <c r="COU504" s="1660"/>
      <c r="COV504" s="1660"/>
      <c r="COW504" s="1660"/>
      <c r="COX504" s="1660"/>
      <c r="COY504" s="1660"/>
      <c r="COZ504" s="1660"/>
      <c r="CPA504" s="1660"/>
      <c r="CPB504" s="1660"/>
      <c r="CPC504" s="1660"/>
      <c r="CPD504" s="1660"/>
      <c r="CPE504" s="1660"/>
      <c r="CPF504" s="1660"/>
      <c r="CPG504" s="1660"/>
      <c r="CPH504" s="1660"/>
      <c r="CPI504" s="1660"/>
      <c r="CPJ504" s="1660"/>
      <c r="CPK504" s="1660"/>
      <c r="CPL504" s="1660"/>
      <c r="CPM504" s="1660"/>
      <c r="CPN504" s="1660"/>
      <c r="CPO504" s="1660"/>
      <c r="CPP504" s="1660"/>
      <c r="CPQ504" s="1660"/>
      <c r="CPR504" s="1660"/>
      <c r="CPS504" s="1660"/>
      <c r="CPT504" s="1660"/>
      <c r="CPU504" s="1660"/>
      <c r="CPV504" s="1660"/>
      <c r="CPW504" s="1660"/>
      <c r="CPX504" s="1660"/>
      <c r="CPY504" s="1660"/>
      <c r="CPZ504" s="1660"/>
      <c r="CQA504" s="1660"/>
      <c r="CQB504" s="1660"/>
      <c r="CQC504" s="1660"/>
      <c r="CQD504" s="1660"/>
      <c r="CQE504" s="1660"/>
      <c r="CQF504" s="1660"/>
      <c r="CQG504" s="1660"/>
      <c r="CQH504" s="1660"/>
      <c r="CQI504" s="1660"/>
      <c r="CQJ504" s="1660"/>
      <c r="CQK504" s="1660"/>
      <c r="CQL504" s="1660"/>
      <c r="CQM504" s="1660"/>
      <c r="CQN504" s="1660"/>
      <c r="CQO504" s="1660"/>
      <c r="CQP504" s="1660"/>
      <c r="CQQ504" s="1660"/>
      <c r="CQR504" s="1660"/>
      <c r="CQS504" s="1660"/>
      <c r="CQT504" s="1660"/>
      <c r="CQU504" s="1660"/>
      <c r="CQV504" s="1660"/>
      <c r="CQW504" s="1660"/>
      <c r="CQX504" s="1660"/>
      <c r="CQY504" s="1660"/>
      <c r="CQZ504" s="1660"/>
      <c r="CRA504" s="1660"/>
      <c r="CRB504" s="1660"/>
      <c r="CRC504" s="1660"/>
      <c r="CRD504" s="1660"/>
      <c r="CRE504" s="1660"/>
      <c r="CRF504" s="1660"/>
      <c r="CRG504" s="1660"/>
      <c r="CRH504" s="1660"/>
      <c r="CRI504" s="1660"/>
      <c r="CRJ504" s="1660"/>
      <c r="CRK504" s="1660"/>
      <c r="CRL504" s="1660"/>
      <c r="CRM504" s="1660"/>
      <c r="CRN504" s="1660"/>
      <c r="CRO504" s="1660"/>
      <c r="CRP504" s="1660"/>
      <c r="CRQ504" s="1660"/>
      <c r="CRR504" s="1660"/>
      <c r="CRS504" s="1660"/>
      <c r="CRT504" s="1660"/>
      <c r="CRU504" s="1660"/>
      <c r="CRV504" s="1660"/>
      <c r="CRW504" s="1660"/>
      <c r="CRX504" s="1660"/>
      <c r="CRY504" s="1660"/>
      <c r="CRZ504" s="1660"/>
      <c r="CSA504" s="1660"/>
      <c r="CSB504" s="1660"/>
      <c r="CSC504" s="1660"/>
      <c r="CSD504" s="1660"/>
      <c r="CSE504" s="1660"/>
      <c r="CSF504" s="1660"/>
      <c r="CSG504" s="1660"/>
      <c r="CSH504" s="1660"/>
      <c r="CSI504" s="1660"/>
      <c r="CSJ504" s="1660"/>
      <c r="CSK504" s="1660"/>
      <c r="CSL504" s="1660"/>
      <c r="CSM504" s="1660"/>
      <c r="CSN504" s="1660"/>
      <c r="CSO504" s="1660"/>
      <c r="CSP504" s="1660"/>
      <c r="CSQ504" s="1660"/>
      <c r="CSR504" s="1660"/>
      <c r="CSS504" s="1660"/>
      <c r="CST504" s="1660"/>
      <c r="CSU504" s="1660"/>
      <c r="CSV504" s="1660"/>
      <c r="CSW504" s="1660"/>
      <c r="CSX504" s="1660"/>
      <c r="CSY504" s="1660"/>
      <c r="CSZ504" s="1660"/>
      <c r="CTA504" s="1660"/>
      <c r="CTB504" s="1660"/>
      <c r="CTC504" s="1660"/>
      <c r="CTD504" s="1660"/>
      <c r="CTE504" s="1660"/>
      <c r="CTF504" s="1660"/>
      <c r="CTG504" s="1660"/>
      <c r="CTH504" s="1660"/>
      <c r="CTI504" s="1660"/>
      <c r="CTJ504" s="1660"/>
      <c r="CTK504" s="1660"/>
      <c r="CTL504" s="1660"/>
      <c r="CTM504" s="1660"/>
      <c r="CTN504" s="1660"/>
      <c r="CTO504" s="1660"/>
      <c r="CTP504" s="1660"/>
      <c r="CTQ504" s="1660"/>
      <c r="CTR504" s="1660"/>
      <c r="CTS504" s="1660"/>
      <c r="CTT504" s="1660"/>
      <c r="CTU504" s="1660"/>
      <c r="CTV504" s="1660"/>
      <c r="CTW504" s="1660"/>
      <c r="CTX504" s="1660"/>
      <c r="CTY504" s="1660"/>
      <c r="CTZ504" s="1660"/>
      <c r="CUA504" s="1660"/>
      <c r="CUB504" s="1660"/>
      <c r="CUC504" s="1660"/>
      <c r="CUD504" s="1660"/>
      <c r="CUE504" s="1660"/>
      <c r="CUF504" s="1660"/>
      <c r="CUG504" s="1660"/>
      <c r="CUH504" s="1660"/>
      <c r="CUI504" s="1660"/>
      <c r="CUJ504" s="1660"/>
      <c r="CUK504" s="1660"/>
      <c r="CUL504" s="1660"/>
      <c r="CUM504" s="1660"/>
      <c r="CUN504" s="1660"/>
      <c r="CUO504" s="1660"/>
      <c r="CUP504" s="1660"/>
      <c r="CUQ504" s="1660"/>
      <c r="CUR504" s="1660"/>
      <c r="CUS504" s="1660"/>
      <c r="CUT504" s="1660"/>
      <c r="CUU504" s="1660"/>
      <c r="CUV504" s="1660"/>
      <c r="CUW504" s="1660"/>
      <c r="CUX504" s="1660"/>
      <c r="CUY504" s="1660"/>
      <c r="CUZ504" s="1660"/>
      <c r="CVA504" s="1660"/>
      <c r="CVB504" s="1660"/>
      <c r="CVC504" s="1660"/>
      <c r="CVD504" s="1660"/>
      <c r="CVE504" s="1660"/>
      <c r="CVF504" s="1660"/>
      <c r="CVG504" s="1660"/>
      <c r="CVH504" s="1660"/>
      <c r="CVI504" s="1660"/>
      <c r="CVJ504" s="1660"/>
      <c r="CVK504" s="1660"/>
      <c r="CVL504" s="1660"/>
      <c r="CVM504" s="1660"/>
      <c r="CVN504" s="1660"/>
      <c r="CVO504" s="1660"/>
      <c r="CVP504" s="1660"/>
      <c r="CVQ504" s="1660"/>
      <c r="CVR504" s="1660"/>
      <c r="CVS504" s="1660"/>
      <c r="CVT504" s="1660"/>
      <c r="CVU504" s="1660"/>
      <c r="CVV504" s="1660"/>
      <c r="CVW504" s="1660"/>
      <c r="CVX504" s="1660"/>
      <c r="CVY504" s="1660"/>
      <c r="CVZ504" s="1660"/>
      <c r="CWA504" s="1660"/>
      <c r="CWB504" s="1660"/>
      <c r="CWC504" s="1660"/>
      <c r="CWD504" s="1660"/>
      <c r="CWE504" s="1660"/>
      <c r="CWF504" s="1660"/>
      <c r="CWG504" s="1660"/>
      <c r="CWH504" s="1660"/>
      <c r="CWI504" s="1660"/>
      <c r="CWJ504" s="1660"/>
      <c r="CWK504" s="1660"/>
      <c r="CWL504" s="1660"/>
      <c r="CWM504" s="1660"/>
      <c r="CWN504" s="1660"/>
      <c r="CWO504" s="1660"/>
      <c r="CWP504" s="1660"/>
      <c r="CWQ504" s="1660"/>
      <c r="CWR504" s="1660"/>
      <c r="CWS504" s="1660"/>
      <c r="CWT504" s="1660"/>
      <c r="CWU504" s="1660"/>
      <c r="CWV504" s="1660"/>
      <c r="CWW504" s="1660"/>
      <c r="CWX504" s="1660"/>
      <c r="CWY504" s="1660"/>
      <c r="CWZ504" s="1660"/>
      <c r="CXA504" s="1660"/>
      <c r="CXB504" s="1660"/>
      <c r="CXC504" s="1660"/>
      <c r="CXD504" s="1660"/>
      <c r="CXE504" s="1660"/>
      <c r="CXF504" s="1660"/>
      <c r="CXG504" s="1660"/>
      <c r="CXH504" s="1660"/>
      <c r="CXI504" s="1660"/>
      <c r="CXJ504" s="1660"/>
      <c r="CXK504" s="1660"/>
      <c r="CXL504" s="1660"/>
      <c r="CXM504" s="1660"/>
      <c r="CXN504" s="1660"/>
      <c r="CXO504" s="1660"/>
      <c r="CXP504" s="1660"/>
      <c r="CXQ504" s="1660"/>
      <c r="CXR504" s="1660"/>
      <c r="CXS504" s="1660"/>
      <c r="CXT504" s="1660"/>
      <c r="CXU504" s="1660"/>
      <c r="CXV504" s="1660"/>
      <c r="CXW504" s="1660"/>
      <c r="CXX504" s="1660"/>
      <c r="CXY504" s="1660"/>
      <c r="CXZ504" s="1660"/>
      <c r="CYA504" s="1660"/>
      <c r="CYB504" s="1660"/>
      <c r="CYC504" s="1660"/>
      <c r="CYD504" s="1660"/>
      <c r="CYE504" s="1660"/>
      <c r="CYF504" s="1660"/>
      <c r="CYG504" s="1660"/>
      <c r="CYH504" s="1660"/>
      <c r="CYI504" s="1660"/>
      <c r="CYJ504" s="1660"/>
      <c r="CYK504" s="1660"/>
      <c r="CYL504" s="1660"/>
      <c r="CYM504" s="1660"/>
      <c r="CYN504" s="1660"/>
      <c r="CYO504" s="1660"/>
      <c r="CYP504" s="1660"/>
      <c r="CYQ504" s="1660"/>
      <c r="CYR504" s="1660"/>
      <c r="CYS504" s="1660"/>
      <c r="CYT504" s="1660"/>
      <c r="CYU504" s="1660"/>
      <c r="CYV504" s="1660"/>
      <c r="CYW504" s="1660"/>
      <c r="CYX504" s="1660"/>
      <c r="CYY504" s="1660"/>
      <c r="CYZ504" s="1660"/>
      <c r="CZA504" s="1660"/>
      <c r="CZB504" s="1660"/>
      <c r="CZC504" s="1660"/>
      <c r="CZD504" s="1660"/>
      <c r="CZE504" s="1660"/>
      <c r="CZF504" s="1660"/>
      <c r="CZG504" s="1660"/>
      <c r="CZH504" s="1660"/>
      <c r="CZI504" s="1660"/>
      <c r="CZJ504" s="1660"/>
      <c r="CZK504" s="1660"/>
      <c r="CZL504" s="1660"/>
      <c r="CZM504" s="1660"/>
      <c r="CZN504" s="1660"/>
      <c r="CZO504" s="1660"/>
      <c r="CZP504" s="1660"/>
      <c r="CZQ504" s="1660"/>
      <c r="CZR504" s="1660"/>
      <c r="CZS504" s="1660"/>
      <c r="CZT504" s="1660"/>
      <c r="CZU504" s="1660"/>
      <c r="CZV504" s="1660"/>
      <c r="CZW504" s="1660"/>
      <c r="CZX504" s="1660"/>
      <c r="CZY504" s="1660"/>
      <c r="CZZ504" s="1660"/>
      <c r="DAA504" s="1660"/>
      <c r="DAB504" s="1660"/>
      <c r="DAC504" s="1660"/>
      <c r="DAD504" s="1660"/>
      <c r="DAE504" s="1660"/>
      <c r="DAF504" s="1660"/>
      <c r="DAG504" s="1660"/>
      <c r="DAH504" s="1660"/>
      <c r="DAI504" s="1660"/>
      <c r="DAJ504" s="1660"/>
      <c r="DAK504" s="1660"/>
      <c r="DAL504" s="1660"/>
      <c r="DAM504" s="1660"/>
      <c r="DAN504" s="1660"/>
      <c r="DAO504" s="1660"/>
      <c r="DAP504" s="1660"/>
      <c r="DAQ504" s="1660"/>
      <c r="DAR504" s="1660"/>
      <c r="DAS504" s="1660"/>
      <c r="DAT504" s="1660"/>
      <c r="DAU504" s="1660"/>
      <c r="DAV504" s="1660"/>
      <c r="DAW504" s="1660"/>
      <c r="DAX504" s="1660"/>
      <c r="DAY504" s="1660"/>
      <c r="DAZ504" s="1660"/>
      <c r="DBA504" s="1660"/>
      <c r="DBB504" s="1660"/>
      <c r="DBC504" s="1660"/>
      <c r="DBD504" s="1660"/>
      <c r="DBE504" s="1660"/>
      <c r="DBF504" s="1660"/>
      <c r="DBG504" s="1660"/>
      <c r="DBH504" s="1660"/>
      <c r="DBI504" s="1660"/>
      <c r="DBJ504" s="1660"/>
      <c r="DBK504" s="1660"/>
      <c r="DBL504" s="1660"/>
      <c r="DBM504" s="1660"/>
      <c r="DBN504" s="1660"/>
      <c r="DBO504" s="1660"/>
      <c r="DBP504" s="1660"/>
      <c r="DBQ504" s="1660"/>
      <c r="DBR504" s="1660"/>
      <c r="DBS504" s="1660"/>
      <c r="DBT504" s="1660"/>
      <c r="DBU504" s="1660"/>
      <c r="DBV504" s="1660"/>
      <c r="DBW504" s="1660"/>
      <c r="DBX504" s="1660"/>
      <c r="DBY504" s="1660"/>
      <c r="DBZ504" s="1660"/>
      <c r="DCA504" s="1660"/>
      <c r="DCB504" s="1660"/>
      <c r="DCC504" s="1660"/>
      <c r="DCD504" s="1660"/>
      <c r="DCE504" s="1660"/>
      <c r="DCF504" s="1660"/>
      <c r="DCG504" s="1660"/>
      <c r="DCH504" s="1660"/>
      <c r="DCI504" s="1660"/>
      <c r="DCJ504" s="1660"/>
      <c r="DCK504" s="1660"/>
      <c r="DCL504" s="1660"/>
      <c r="DCM504" s="1660"/>
      <c r="DCN504" s="1660"/>
      <c r="DCO504" s="1660"/>
      <c r="DCP504" s="1660"/>
      <c r="DCQ504" s="1660"/>
      <c r="DCR504" s="1660"/>
      <c r="DCS504" s="1660"/>
      <c r="DCT504" s="1660"/>
      <c r="DCU504" s="1660"/>
      <c r="DCV504" s="1660"/>
      <c r="DCW504" s="1660"/>
      <c r="DCX504" s="1660"/>
      <c r="DCY504" s="1660"/>
      <c r="DCZ504" s="1660"/>
      <c r="DDA504" s="1660"/>
      <c r="DDB504" s="1660"/>
      <c r="DDC504" s="1660"/>
      <c r="DDD504" s="1660"/>
      <c r="DDE504" s="1660"/>
      <c r="DDF504" s="1660"/>
      <c r="DDG504" s="1660"/>
      <c r="DDH504" s="1660"/>
      <c r="DDI504" s="1660"/>
      <c r="DDJ504" s="1660"/>
      <c r="DDK504" s="1660"/>
      <c r="DDL504" s="1660"/>
      <c r="DDM504" s="1660"/>
      <c r="DDN504" s="1660"/>
      <c r="DDO504" s="1660"/>
      <c r="DDP504" s="1660"/>
      <c r="DDQ504" s="1660"/>
      <c r="DDR504" s="1660"/>
      <c r="DDS504" s="1660"/>
      <c r="DDT504" s="1660"/>
      <c r="DDU504" s="1660"/>
      <c r="DDV504" s="1660"/>
      <c r="DDW504" s="1660"/>
      <c r="DDX504" s="1660"/>
      <c r="DDY504" s="1660"/>
      <c r="DDZ504" s="1660"/>
      <c r="DEA504" s="1660"/>
      <c r="DEB504" s="1660"/>
      <c r="DEC504" s="1660"/>
      <c r="DED504" s="1660"/>
      <c r="DEE504" s="1660"/>
      <c r="DEF504" s="1660"/>
      <c r="DEG504" s="1660"/>
      <c r="DEH504" s="1660"/>
      <c r="DEI504" s="1660"/>
      <c r="DEJ504" s="1660"/>
      <c r="DEK504" s="1660"/>
      <c r="DEL504" s="1660"/>
      <c r="DEM504" s="1660"/>
      <c r="DEN504" s="1660"/>
      <c r="DEO504" s="1660"/>
      <c r="DEP504" s="1660"/>
      <c r="DEQ504" s="1660"/>
      <c r="DER504" s="1660"/>
      <c r="DES504" s="1660"/>
      <c r="DET504" s="1660"/>
      <c r="DEU504" s="1660"/>
      <c r="DEV504" s="1660"/>
      <c r="DEW504" s="1660"/>
      <c r="DEX504" s="1660"/>
      <c r="DEY504" s="1660"/>
      <c r="DEZ504" s="1660"/>
      <c r="DFA504" s="1660"/>
      <c r="DFB504" s="1660"/>
      <c r="DFC504" s="1660"/>
      <c r="DFD504" s="1660"/>
      <c r="DFE504" s="1660"/>
      <c r="DFF504" s="1660"/>
      <c r="DFG504" s="1660"/>
      <c r="DFH504" s="1660"/>
      <c r="DFI504" s="1660"/>
      <c r="DFJ504" s="1660"/>
      <c r="DFK504" s="1660"/>
      <c r="DFL504" s="1660"/>
      <c r="DFM504" s="1660"/>
      <c r="DFN504" s="1660"/>
      <c r="DFO504" s="1660"/>
      <c r="DFP504" s="1660"/>
      <c r="DFQ504" s="1660"/>
      <c r="DFR504" s="1660"/>
      <c r="DFS504" s="1660"/>
      <c r="DFT504" s="1660"/>
      <c r="DFU504" s="1660"/>
      <c r="DFV504" s="1660"/>
      <c r="DFW504" s="1660"/>
      <c r="DFX504" s="1660"/>
      <c r="DFY504" s="1660"/>
      <c r="DFZ504" s="1660"/>
      <c r="DGA504" s="1660"/>
      <c r="DGB504" s="1660"/>
      <c r="DGC504" s="1660"/>
      <c r="DGD504" s="1660"/>
      <c r="DGE504" s="1660"/>
      <c r="DGF504" s="1660"/>
      <c r="DGG504" s="1660"/>
      <c r="DGH504" s="1660"/>
      <c r="DGI504" s="1660"/>
      <c r="DGJ504" s="1660"/>
      <c r="DGK504" s="1660"/>
      <c r="DGL504" s="1660"/>
      <c r="DGM504" s="1660"/>
      <c r="DGN504" s="1660"/>
      <c r="DGO504" s="1660"/>
      <c r="DGP504" s="1660"/>
      <c r="DGQ504" s="1660"/>
      <c r="DGR504" s="1660"/>
      <c r="DGS504" s="1660"/>
      <c r="DGT504" s="1660"/>
      <c r="DGU504" s="1660"/>
      <c r="DGV504" s="1660"/>
      <c r="DGW504" s="1660"/>
      <c r="DGX504" s="1660"/>
      <c r="DGY504" s="1660"/>
      <c r="DGZ504" s="1660"/>
      <c r="DHA504" s="1660"/>
      <c r="DHB504" s="1660"/>
      <c r="DHC504" s="1660"/>
      <c r="DHD504" s="1660"/>
      <c r="DHE504" s="1660"/>
      <c r="DHF504" s="1660"/>
      <c r="DHG504" s="1660"/>
      <c r="DHH504" s="1660"/>
      <c r="DHI504" s="1660"/>
      <c r="DHJ504" s="1660"/>
      <c r="DHK504" s="1660"/>
      <c r="DHL504" s="1660"/>
      <c r="DHM504" s="1660"/>
      <c r="DHN504" s="1660"/>
      <c r="DHO504" s="1660"/>
      <c r="DHP504" s="1660"/>
      <c r="DHQ504" s="1660"/>
      <c r="DHR504" s="1660"/>
      <c r="DHS504" s="1660"/>
      <c r="DHT504" s="1660"/>
      <c r="DHU504" s="1660"/>
      <c r="DHV504" s="1660"/>
      <c r="DHW504" s="1660"/>
      <c r="DHX504" s="1660"/>
      <c r="DHY504" s="1660"/>
      <c r="DHZ504" s="1660"/>
      <c r="DIA504" s="1660"/>
      <c r="DIB504" s="1660"/>
      <c r="DIC504" s="1660"/>
      <c r="DID504" s="1660"/>
      <c r="DIE504" s="1660"/>
      <c r="DIF504" s="1660"/>
      <c r="DIG504" s="1660"/>
      <c r="DIH504" s="1660"/>
      <c r="DII504" s="1660"/>
      <c r="DIJ504" s="1660"/>
      <c r="DIK504" s="1660"/>
      <c r="DIL504" s="1660"/>
      <c r="DIM504" s="1660"/>
      <c r="DIN504" s="1660"/>
      <c r="DIO504" s="1660"/>
      <c r="DIP504" s="1660"/>
      <c r="DIQ504" s="1660"/>
      <c r="DIR504" s="1660"/>
      <c r="DIS504" s="1660"/>
      <c r="DIT504" s="1660"/>
      <c r="DIU504" s="1660"/>
      <c r="DIV504" s="1660"/>
      <c r="DIW504" s="1660"/>
      <c r="DIX504" s="1660"/>
      <c r="DIY504" s="1660"/>
      <c r="DIZ504" s="1660"/>
      <c r="DJA504" s="1660"/>
      <c r="DJB504" s="1660"/>
      <c r="DJC504" s="1660"/>
      <c r="DJD504" s="1660"/>
      <c r="DJE504" s="1660"/>
      <c r="DJF504" s="1660"/>
      <c r="DJG504" s="1660"/>
      <c r="DJH504" s="1660"/>
      <c r="DJI504" s="1660"/>
      <c r="DJJ504" s="1660"/>
      <c r="DJK504" s="1660"/>
      <c r="DJL504" s="1660"/>
      <c r="DJM504" s="1660"/>
      <c r="DJN504" s="1660"/>
      <c r="DJO504" s="1660"/>
      <c r="DJP504" s="1660"/>
      <c r="DJQ504" s="1660"/>
      <c r="DJR504" s="1660"/>
      <c r="DJS504" s="1660"/>
      <c r="DJT504" s="1660"/>
      <c r="DJU504" s="1660"/>
      <c r="DJV504" s="1660"/>
      <c r="DJW504" s="1660"/>
      <c r="DJX504" s="1660"/>
      <c r="DJY504" s="1660"/>
      <c r="DJZ504" s="1660"/>
      <c r="DKA504" s="1660"/>
      <c r="DKB504" s="1660"/>
      <c r="DKC504" s="1660"/>
      <c r="DKD504" s="1660"/>
      <c r="DKE504" s="1660"/>
      <c r="DKF504" s="1660"/>
      <c r="DKG504" s="1660"/>
      <c r="DKH504" s="1660"/>
      <c r="DKI504" s="1660"/>
      <c r="DKJ504" s="1660"/>
      <c r="DKK504" s="1660"/>
      <c r="DKL504" s="1660"/>
      <c r="DKM504" s="1660"/>
      <c r="DKN504" s="1660"/>
      <c r="DKO504" s="1660"/>
      <c r="DKP504" s="1660"/>
      <c r="DKQ504" s="1660"/>
      <c r="DKR504" s="1660"/>
      <c r="DKS504" s="1660"/>
      <c r="DKT504" s="1660"/>
      <c r="DKU504" s="1660"/>
      <c r="DKV504" s="1660"/>
      <c r="DKW504" s="1660"/>
      <c r="DKX504" s="1660"/>
      <c r="DKY504" s="1660"/>
      <c r="DKZ504" s="1660"/>
      <c r="DLA504" s="1660"/>
      <c r="DLB504" s="1660"/>
      <c r="DLC504" s="1660"/>
      <c r="DLD504" s="1660"/>
      <c r="DLE504" s="1660"/>
      <c r="DLF504" s="1660"/>
      <c r="DLG504" s="1660"/>
      <c r="DLH504" s="1660"/>
      <c r="DLI504" s="1660"/>
      <c r="DLJ504" s="1660"/>
      <c r="DLK504" s="1660"/>
      <c r="DLL504" s="1660"/>
      <c r="DLM504" s="1660"/>
      <c r="DLN504" s="1660"/>
      <c r="DLO504" s="1660"/>
      <c r="DLP504" s="1660"/>
      <c r="DLQ504" s="1660"/>
      <c r="DLR504" s="1660"/>
      <c r="DLS504" s="1660"/>
      <c r="DLT504" s="1660"/>
      <c r="DLU504" s="1660"/>
      <c r="DLV504" s="1660"/>
      <c r="DLW504" s="1660"/>
      <c r="DLX504" s="1660"/>
      <c r="DLY504" s="1660"/>
      <c r="DLZ504" s="1660"/>
      <c r="DMA504" s="1660"/>
      <c r="DMB504" s="1660"/>
      <c r="DMC504" s="1660"/>
      <c r="DMD504" s="1660"/>
      <c r="DME504" s="1660"/>
      <c r="DMF504" s="1660"/>
      <c r="DMG504" s="1660"/>
      <c r="DMH504" s="1660"/>
      <c r="DMI504" s="1660"/>
      <c r="DMJ504" s="1660"/>
      <c r="DMK504" s="1660"/>
      <c r="DML504" s="1660"/>
      <c r="DMM504" s="1660"/>
      <c r="DMN504" s="1660"/>
      <c r="DMO504" s="1660"/>
      <c r="DMP504" s="1660"/>
      <c r="DMQ504" s="1660"/>
      <c r="DMR504" s="1660"/>
      <c r="DMS504" s="1660"/>
      <c r="DMT504" s="1660"/>
      <c r="DMU504" s="1660"/>
      <c r="DMV504" s="1660"/>
      <c r="DMW504" s="1660"/>
      <c r="DMX504" s="1660"/>
      <c r="DMY504" s="1660"/>
      <c r="DMZ504" s="1660"/>
      <c r="DNA504" s="1660"/>
      <c r="DNB504" s="1660"/>
      <c r="DNC504" s="1660"/>
      <c r="DND504" s="1660"/>
      <c r="DNE504" s="1660"/>
      <c r="DNF504" s="1660"/>
      <c r="DNG504" s="1660"/>
      <c r="DNH504" s="1660"/>
      <c r="DNI504" s="1660"/>
      <c r="DNJ504" s="1660"/>
      <c r="DNK504" s="1660"/>
      <c r="DNL504" s="1660"/>
      <c r="DNM504" s="1660"/>
      <c r="DNN504" s="1660"/>
      <c r="DNO504" s="1660"/>
      <c r="DNP504" s="1660"/>
      <c r="DNQ504" s="1660"/>
      <c r="DNR504" s="1660"/>
      <c r="DNS504" s="1660"/>
      <c r="DNT504" s="1660"/>
      <c r="DNU504" s="1660"/>
      <c r="DNV504" s="1660"/>
      <c r="DNW504" s="1660"/>
      <c r="DNX504" s="1660"/>
      <c r="DNY504" s="1660"/>
      <c r="DNZ504" s="1660"/>
      <c r="DOA504" s="1660"/>
      <c r="DOB504" s="1660"/>
      <c r="DOC504" s="1660"/>
      <c r="DOD504" s="1660"/>
      <c r="DOE504" s="1660"/>
      <c r="DOF504" s="1660"/>
      <c r="DOG504" s="1660"/>
      <c r="DOH504" s="1660"/>
      <c r="DOI504" s="1660"/>
      <c r="DOJ504" s="1660"/>
      <c r="DOK504" s="1660"/>
      <c r="DOL504" s="1660"/>
      <c r="DOM504" s="1660"/>
      <c r="DON504" s="1660"/>
      <c r="DOO504" s="1660"/>
      <c r="DOP504" s="1660"/>
      <c r="DOQ504" s="1660"/>
      <c r="DOR504" s="1660"/>
      <c r="DOS504" s="1660"/>
      <c r="DOT504" s="1660"/>
      <c r="DOU504" s="1660"/>
      <c r="DOV504" s="1660"/>
      <c r="DOW504" s="1660"/>
      <c r="DOX504" s="1660"/>
      <c r="DOY504" s="1660"/>
      <c r="DOZ504" s="1660"/>
      <c r="DPA504" s="1660"/>
      <c r="DPB504" s="1660"/>
      <c r="DPC504" s="1660"/>
      <c r="DPD504" s="1660"/>
      <c r="DPE504" s="1660"/>
      <c r="DPF504" s="1660"/>
      <c r="DPG504" s="1660"/>
      <c r="DPH504" s="1660"/>
      <c r="DPI504" s="1660"/>
      <c r="DPJ504" s="1660"/>
      <c r="DPK504" s="1660"/>
      <c r="DPL504" s="1660"/>
      <c r="DPM504" s="1660"/>
      <c r="DPN504" s="1660"/>
      <c r="DPO504" s="1660"/>
      <c r="DPP504" s="1660"/>
      <c r="DPQ504" s="1660"/>
      <c r="DPR504" s="1660"/>
      <c r="DPS504" s="1660"/>
      <c r="DPT504" s="1660"/>
      <c r="DPU504" s="1660"/>
      <c r="DPV504" s="1660"/>
      <c r="DPW504" s="1660"/>
      <c r="DPX504" s="1660"/>
      <c r="DPY504" s="1660"/>
      <c r="DPZ504" s="1660"/>
      <c r="DQA504" s="1660"/>
      <c r="DQB504" s="1660"/>
      <c r="DQC504" s="1660"/>
      <c r="DQD504" s="1660"/>
      <c r="DQE504" s="1660"/>
      <c r="DQF504" s="1660"/>
      <c r="DQG504" s="1660"/>
      <c r="DQH504" s="1660"/>
      <c r="DQI504" s="1660"/>
      <c r="DQJ504" s="1660"/>
      <c r="DQK504" s="1660"/>
      <c r="DQL504" s="1660"/>
      <c r="DQM504" s="1660"/>
      <c r="DQN504" s="1660"/>
      <c r="DQO504" s="1660"/>
      <c r="DQP504" s="1660"/>
      <c r="DQQ504" s="1660"/>
      <c r="DQR504" s="1660"/>
      <c r="DQS504" s="1660"/>
      <c r="DQT504" s="1660"/>
      <c r="DQU504" s="1660"/>
      <c r="DQV504" s="1660"/>
      <c r="DQW504" s="1660"/>
      <c r="DQX504" s="1660"/>
      <c r="DQY504" s="1660"/>
      <c r="DQZ504" s="1660"/>
      <c r="DRA504" s="1660"/>
      <c r="DRB504" s="1660"/>
      <c r="DRC504" s="1660"/>
      <c r="DRD504" s="1660"/>
      <c r="DRE504" s="1660"/>
      <c r="DRF504" s="1660"/>
      <c r="DRG504" s="1660"/>
      <c r="DRH504" s="1660"/>
      <c r="DRI504" s="1660"/>
      <c r="DRJ504" s="1660"/>
      <c r="DRK504" s="1660"/>
      <c r="DRL504" s="1660"/>
      <c r="DRM504" s="1660"/>
      <c r="DRN504" s="1660"/>
      <c r="DRO504" s="1660"/>
      <c r="DRP504" s="1660"/>
      <c r="DRQ504" s="1660"/>
      <c r="DRR504" s="1660"/>
      <c r="DRS504" s="1660"/>
      <c r="DRT504" s="1660"/>
      <c r="DRU504" s="1660"/>
      <c r="DRV504" s="1660"/>
      <c r="DRW504" s="1660"/>
      <c r="DRX504" s="1660"/>
      <c r="DRY504" s="1660"/>
      <c r="DRZ504" s="1660"/>
      <c r="DSA504" s="1660"/>
      <c r="DSB504" s="1660"/>
      <c r="DSC504" s="1660"/>
      <c r="DSD504" s="1660"/>
      <c r="DSE504" s="1660"/>
      <c r="DSF504" s="1660"/>
      <c r="DSG504" s="1660"/>
      <c r="DSH504" s="1660"/>
      <c r="DSI504" s="1660"/>
      <c r="DSJ504" s="1660"/>
      <c r="DSK504" s="1660"/>
      <c r="DSL504" s="1660"/>
      <c r="DSM504" s="1660"/>
      <c r="DSN504" s="1660"/>
      <c r="DSO504" s="1660"/>
      <c r="DSP504" s="1660"/>
      <c r="DSQ504" s="1660"/>
      <c r="DSR504" s="1660"/>
      <c r="DSS504" s="1660"/>
      <c r="DST504" s="1660"/>
      <c r="DSU504" s="1660"/>
      <c r="DSV504" s="1660"/>
      <c r="DSW504" s="1660"/>
      <c r="DSX504" s="1660"/>
      <c r="DSY504" s="1660"/>
      <c r="DSZ504" s="1660"/>
      <c r="DTA504" s="1660"/>
      <c r="DTB504" s="1660"/>
      <c r="DTC504" s="1660"/>
      <c r="DTD504" s="1660"/>
      <c r="DTE504" s="1660"/>
      <c r="DTF504" s="1660"/>
      <c r="DTG504" s="1660"/>
      <c r="DTH504" s="1660"/>
      <c r="DTI504" s="1660"/>
      <c r="DTJ504" s="1660"/>
      <c r="DTK504" s="1660"/>
      <c r="DTL504" s="1660"/>
      <c r="DTM504" s="1660"/>
      <c r="DTN504" s="1660"/>
      <c r="DTO504" s="1660"/>
      <c r="DTP504" s="1660"/>
      <c r="DTQ504" s="1660"/>
      <c r="DTR504" s="1660"/>
      <c r="DTS504" s="1660"/>
      <c r="DTT504" s="1660"/>
      <c r="DTU504" s="1660"/>
      <c r="DTV504" s="1660"/>
      <c r="DTW504" s="1660"/>
      <c r="DTX504" s="1660"/>
      <c r="DTY504" s="1660"/>
      <c r="DTZ504" s="1660"/>
      <c r="DUA504" s="1660"/>
      <c r="DUB504" s="1660"/>
      <c r="DUC504" s="1660"/>
      <c r="DUD504" s="1660"/>
      <c r="DUE504" s="1660"/>
      <c r="DUF504" s="1660"/>
      <c r="DUG504" s="1660"/>
      <c r="DUH504" s="1660"/>
      <c r="DUI504" s="1660"/>
      <c r="DUJ504" s="1660"/>
      <c r="DUK504" s="1660"/>
      <c r="DUL504" s="1660"/>
      <c r="DUM504" s="1660"/>
      <c r="DUN504" s="1660"/>
      <c r="DUO504" s="1660"/>
      <c r="DUP504" s="1660"/>
      <c r="DUQ504" s="1660"/>
      <c r="DUR504" s="1660"/>
      <c r="DUS504" s="1660"/>
      <c r="DUT504" s="1660"/>
      <c r="DUU504" s="1660"/>
      <c r="DUV504" s="1660"/>
      <c r="DUW504" s="1660"/>
      <c r="DUX504" s="1660"/>
      <c r="DUY504" s="1660"/>
      <c r="DUZ504" s="1660"/>
      <c r="DVA504" s="1660"/>
      <c r="DVB504" s="1660"/>
      <c r="DVC504" s="1660"/>
      <c r="DVD504" s="1660"/>
      <c r="DVE504" s="1660"/>
      <c r="DVF504" s="1660"/>
      <c r="DVG504" s="1660"/>
      <c r="DVH504" s="1660"/>
      <c r="DVI504" s="1660"/>
      <c r="DVJ504" s="1660"/>
      <c r="DVK504" s="1660"/>
      <c r="DVL504" s="1660"/>
      <c r="DVM504" s="1660"/>
      <c r="DVN504" s="1660"/>
      <c r="DVO504" s="1660"/>
      <c r="DVP504" s="1660"/>
      <c r="DVQ504" s="1660"/>
      <c r="DVR504" s="1660"/>
      <c r="DVS504" s="1660"/>
      <c r="DVT504" s="1660"/>
      <c r="DVU504" s="1660"/>
      <c r="DVV504" s="1660"/>
      <c r="DVW504" s="1660"/>
      <c r="DVX504" s="1660"/>
      <c r="DVY504" s="1660"/>
      <c r="DVZ504" s="1660"/>
      <c r="DWA504" s="1660"/>
      <c r="DWB504" s="1660"/>
      <c r="DWC504" s="1660"/>
      <c r="DWD504" s="1660"/>
      <c r="DWE504" s="1660"/>
      <c r="DWF504" s="1660"/>
      <c r="DWG504" s="1660"/>
      <c r="DWH504" s="1660"/>
      <c r="DWI504" s="1660"/>
      <c r="DWJ504" s="1660"/>
      <c r="DWK504" s="1660"/>
      <c r="DWL504" s="1660"/>
      <c r="DWM504" s="1660"/>
      <c r="DWN504" s="1660"/>
      <c r="DWO504" s="1660"/>
      <c r="DWP504" s="1660"/>
      <c r="DWQ504" s="1660"/>
      <c r="DWR504" s="1660"/>
      <c r="DWS504" s="1660"/>
      <c r="DWT504" s="1660"/>
      <c r="DWU504" s="1660"/>
      <c r="DWV504" s="1660"/>
      <c r="DWW504" s="1660"/>
      <c r="DWX504" s="1660"/>
      <c r="DWY504" s="1660"/>
      <c r="DWZ504" s="1660"/>
      <c r="DXA504" s="1660"/>
      <c r="DXB504" s="1660"/>
      <c r="DXC504" s="1660"/>
      <c r="DXD504" s="1660"/>
      <c r="DXE504" s="1660"/>
      <c r="DXF504" s="1660"/>
      <c r="DXG504" s="1660"/>
      <c r="DXH504" s="1660"/>
      <c r="DXI504" s="1660"/>
      <c r="DXJ504" s="1660"/>
      <c r="DXK504" s="1660"/>
      <c r="DXL504" s="1660"/>
      <c r="DXM504" s="1660"/>
      <c r="DXN504" s="1660"/>
      <c r="DXO504" s="1660"/>
      <c r="DXP504" s="1660"/>
      <c r="DXQ504" s="1660"/>
      <c r="DXR504" s="1660"/>
      <c r="DXS504" s="1660"/>
      <c r="DXT504" s="1660"/>
      <c r="DXU504" s="1660"/>
      <c r="DXV504" s="1660"/>
      <c r="DXW504" s="1660"/>
      <c r="DXX504" s="1660"/>
      <c r="DXY504" s="1660"/>
      <c r="DXZ504" s="1660"/>
      <c r="DYA504" s="1660"/>
      <c r="DYB504" s="1660"/>
      <c r="DYC504" s="1660"/>
      <c r="DYD504" s="1660"/>
      <c r="DYE504" s="1660"/>
      <c r="DYF504" s="1660"/>
      <c r="DYG504" s="1660"/>
      <c r="DYH504" s="1660"/>
      <c r="DYI504" s="1660"/>
      <c r="DYJ504" s="1660"/>
      <c r="DYK504" s="1660"/>
      <c r="DYL504" s="1660"/>
      <c r="DYM504" s="1660"/>
      <c r="DYN504" s="1660"/>
      <c r="DYO504" s="1660"/>
      <c r="DYP504" s="1660"/>
      <c r="DYQ504" s="1660"/>
      <c r="DYR504" s="1660"/>
      <c r="DYS504" s="1660"/>
      <c r="DYT504" s="1660"/>
      <c r="DYU504" s="1660"/>
      <c r="DYV504" s="1660"/>
      <c r="DYW504" s="1660"/>
      <c r="DYX504" s="1660"/>
      <c r="DYY504" s="1660"/>
      <c r="DYZ504" s="1660"/>
      <c r="DZA504" s="1660"/>
      <c r="DZB504" s="1660"/>
      <c r="DZC504" s="1660"/>
      <c r="DZD504" s="1660"/>
      <c r="DZE504" s="1660"/>
      <c r="DZF504" s="1660"/>
      <c r="DZG504" s="1660"/>
      <c r="DZH504" s="1660"/>
      <c r="DZI504" s="1660"/>
      <c r="DZJ504" s="1660"/>
      <c r="DZK504" s="1660"/>
      <c r="DZL504" s="1660"/>
      <c r="DZM504" s="1660"/>
      <c r="DZN504" s="1660"/>
      <c r="DZO504" s="1660"/>
      <c r="DZP504" s="1660"/>
      <c r="DZQ504" s="1660"/>
      <c r="DZR504" s="1660"/>
      <c r="DZS504" s="1660"/>
      <c r="DZT504" s="1660"/>
      <c r="DZU504" s="1660"/>
      <c r="DZV504" s="1660"/>
      <c r="DZW504" s="1660"/>
      <c r="DZX504" s="1660"/>
      <c r="DZY504" s="1660"/>
      <c r="DZZ504" s="1660"/>
      <c r="EAA504" s="1660"/>
      <c r="EAB504" s="1660"/>
      <c r="EAC504" s="1660"/>
      <c r="EAD504" s="1660"/>
      <c r="EAE504" s="1660"/>
      <c r="EAF504" s="1660"/>
      <c r="EAG504" s="1660"/>
      <c r="EAH504" s="1660"/>
      <c r="EAI504" s="1660"/>
      <c r="EAJ504" s="1660"/>
      <c r="EAK504" s="1660"/>
      <c r="EAL504" s="1660"/>
      <c r="EAM504" s="1660"/>
      <c r="EAN504" s="1660"/>
      <c r="EAO504" s="1660"/>
      <c r="EAP504" s="1660"/>
      <c r="EAQ504" s="1660"/>
      <c r="EAR504" s="1660"/>
      <c r="EAS504" s="1660"/>
      <c r="EAT504" s="1660"/>
      <c r="EAU504" s="1660"/>
      <c r="EAV504" s="1660"/>
      <c r="EAW504" s="1660"/>
      <c r="EAX504" s="1660"/>
      <c r="EAY504" s="1660"/>
      <c r="EAZ504" s="1660"/>
      <c r="EBA504" s="1660"/>
      <c r="EBB504" s="1660"/>
      <c r="EBC504" s="1660"/>
      <c r="EBD504" s="1660"/>
      <c r="EBE504" s="1660"/>
      <c r="EBF504" s="1660"/>
      <c r="EBG504" s="1660"/>
      <c r="EBH504" s="1660"/>
      <c r="EBI504" s="1660"/>
      <c r="EBJ504" s="1660"/>
      <c r="EBK504" s="1660"/>
      <c r="EBL504" s="1660"/>
      <c r="EBM504" s="1660"/>
      <c r="EBN504" s="1660"/>
      <c r="EBO504" s="1660"/>
      <c r="EBP504" s="1660"/>
      <c r="EBQ504" s="1660"/>
      <c r="EBR504" s="1660"/>
      <c r="EBS504" s="1660"/>
      <c r="EBT504" s="1660"/>
      <c r="EBU504" s="1660"/>
      <c r="EBV504" s="1660"/>
      <c r="EBW504" s="1660"/>
      <c r="EBX504" s="1660"/>
      <c r="EBY504" s="1660"/>
      <c r="EBZ504" s="1660"/>
      <c r="ECA504" s="1660"/>
      <c r="ECB504" s="1660"/>
      <c r="ECC504" s="1660"/>
      <c r="ECD504" s="1660"/>
      <c r="ECE504" s="1660"/>
      <c r="ECF504" s="1660"/>
      <c r="ECG504" s="1660"/>
      <c r="ECH504" s="1660"/>
      <c r="ECI504" s="1660"/>
      <c r="ECJ504" s="1660"/>
      <c r="ECK504" s="1660"/>
      <c r="ECL504" s="1660"/>
      <c r="ECM504" s="1660"/>
      <c r="ECN504" s="1660"/>
      <c r="ECO504" s="1660"/>
      <c r="ECP504" s="1660"/>
      <c r="ECQ504" s="1660"/>
      <c r="ECR504" s="1660"/>
      <c r="ECS504" s="1660"/>
      <c r="ECT504" s="1660"/>
      <c r="ECU504" s="1660"/>
      <c r="ECV504" s="1660"/>
      <c r="ECW504" s="1660"/>
      <c r="ECX504" s="1660"/>
      <c r="ECY504" s="1660"/>
      <c r="ECZ504" s="1660"/>
      <c r="EDA504" s="1660"/>
      <c r="EDB504" s="1660"/>
      <c r="EDC504" s="1660"/>
      <c r="EDD504" s="1660"/>
      <c r="EDE504" s="1660"/>
      <c r="EDF504" s="1660"/>
      <c r="EDG504" s="1660"/>
      <c r="EDH504" s="1660"/>
      <c r="EDI504" s="1660"/>
      <c r="EDJ504" s="1660"/>
      <c r="EDK504" s="1660"/>
      <c r="EDL504" s="1660"/>
      <c r="EDM504" s="1660"/>
      <c r="EDN504" s="1660"/>
      <c r="EDO504" s="1660"/>
      <c r="EDP504" s="1660"/>
      <c r="EDQ504" s="1660"/>
      <c r="EDR504" s="1660"/>
      <c r="EDS504" s="1660"/>
      <c r="EDT504" s="1660"/>
      <c r="EDU504" s="1660"/>
      <c r="EDV504" s="1660"/>
      <c r="EDW504" s="1660"/>
      <c r="EDX504" s="1660"/>
      <c r="EDY504" s="1660"/>
      <c r="EDZ504" s="1660"/>
      <c r="EEA504" s="1660"/>
      <c r="EEB504" s="1660"/>
      <c r="EEC504" s="1660"/>
      <c r="EED504" s="1660"/>
      <c r="EEE504" s="1660"/>
      <c r="EEF504" s="1660"/>
      <c r="EEG504" s="1660"/>
      <c r="EEH504" s="1660"/>
      <c r="EEI504" s="1660"/>
      <c r="EEJ504" s="1660"/>
      <c r="EEK504" s="1660"/>
      <c r="EEL504" s="1660"/>
      <c r="EEM504" s="1660"/>
      <c r="EEN504" s="1660"/>
      <c r="EEO504" s="1660"/>
      <c r="EEP504" s="1660"/>
      <c r="EEQ504" s="1660"/>
      <c r="EER504" s="1660"/>
      <c r="EES504" s="1660"/>
      <c r="EET504" s="1660"/>
      <c r="EEU504" s="1660"/>
      <c r="EEV504" s="1660"/>
      <c r="EEW504" s="1660"/>
      <c r="EEX504" s="1660"/>
      <c r="EEY504" s="1660"/>
      <c r="EEZ504" s="1660"/>
      <c r="EFA504" s="1660"/>
      <c r="EFB504" s="1660"/>
      <c r="EFC504" s="1660"/>
      <c r="EFD504" s="1660"/>
      <c r="EFE504" s="1660"/>
      <c r="EFF504" s="1660"/>
      <c r="EFG504" s="1660"/>
      <c r="EFH504" s="1660"/>
      <c r="EFI504" s="1660"/>
      <c r="EFJ504" s="1660"/>
      <c r="EFK504" s="1660"/>
      <c r="EFL504" s="1660"/>
      <c r="EFM504" s="1660"/>
      <c r="EFN504" s="1660"/>
      <c r="EFO504" s="1660"/>
      <c r="EFP504" s="1660"/>
      <c r="EFQ504" s="1660"/>
      <c r="EFR504" s="1660"/>
      <c r="EFS504" s="1660"/>
      <c r="EFT504" s="1660"/>
      <c r="EFU504" s="1660"/>
      <c r="EFV504" s="1660"/>
      <c r="EFW504" s="1660"/>
      <c r="EFX504" s="1660"/>
      <c r="EFY504" s="1660"/>
      <c r="EFZ504" s="1660"/>
      <c r="EGA504" s="1660"/>
      <c r="EGB504" s="1660"/>
      <c r="EGC504" s="1660"/>
      <c r="EGD504" s="1660"/>
      <c r="EGE504" s="1660"/>
      <c r="EGF504" s="1660"/>
      <c r="EGG504" s="1660"/>
      <c r="EGH504" s="1660"/>
      <c r="EGI504" s="1660"/>
      <c r="EGJ504" s="1660"/>
      <c r="EGK504" s="1660"/>
      <c r="EGL504" s="1660"/>
      <c r="EGM504" s="1660"/>
      <c r="EGN504" s="1660"/>
      <c r="EGO504" s="1660"/>
      <c r="EGP504" s="1660"/>
      <c r="EGQ504" s="1660"/>
      <c r="EGR504" s="1660"/>
      <c r="EGS504" s="1660"/>
      <c r="EGT504" s="1660"/>
      <c r="EGU504" s="1660"/>
      <c r="EGV504" s="1660"/>
      <c r="EGW504" s="1660"/>
      <c r="EGX504" s="1660"/>
      <c r="EGY504" s="1660"/>
      <c r="EGZ504" s="1660"/>
      <c r="EHA504" s="1660"/>
      <c r="EHB504" s="1660"/>
      <c r="EHC504" s="1660"/>
      <c r="EHD504" s="1660"/>
      <c r="EHE504" s="1660"/>
      <c r="EHF504" s="1660"/>
      <c r="EHG504" s="1660"/>
      <c r="EHH504" s="1660"/>
      <c r="EHI504" s="1660"/>
      <c r="EHJ504" s="1660"/>
      <c r="EHK504" s="1660"/>
      <c r="EHL504" s="1660"/>
      <c r="EHM504" s="1660"/>
      <c r="EHN504" s="1660"/>
      <c r="EHO504" s="1660"/>
      <c r="EHP504" s="1660"/>
      <c r="EHQ504" s="1660"/>
      <c r="EHR504" s="1660"/>
      <c r="EHS504" s="1660"/>
      <c r="EHT504" s="1660"/>
      <c r="EHU504" s="1660"/>
      <c r="EHV504" s="1660"/>
      <c r="EHW504" s="1660"/>
      <c r="EHX504" s="1660"/>
      <c r="EHY504" s="1660"/>
      <c r="EHZ504" s="1660"/>
      <c r="EIA504" s="1660"/>
      <c r="EIB504" s="1660"/>
      <c r="EIC504" s="1660"/>
      <c r="EID504" s="1660"/>
      <c r="EIE504" s="1660"/>
      <c r="EIF504" s="1660"/>
      <c r="EIG504" s="1660"/>
      <c r="EIH504" s="1660"/>
      <c r="EII504" s="1660"/>
      <c r="EIJ504" s="1660"/>
      <c r="EIK504" s="1660"/>
      <c r="EIL504" s="1660"/>
      <c r="EIM504" s="1660"/>
      <c r="EIN504" s="1660"/>
      <c r="EIO504" s="1660"/>
      <c r="EIP504" s="1660"/>
      <c r="EIQ504" s="1660"/>
      <c r="EIR504" s="1660"/>
      <c r="EIS504" s="1660"/>
      <c r="EIT504" s="1660"/>
      <c r="EIU504" s="1660"/>
      <c r="EIV504" s="1660"/>
      <c r="EIW504" s="1660"/>
      <c r="EIX504" s="1660"/>
      <c r="EIY504" s="1660"/>
      <c r="EIZ504" s="1660"/>
      <c r="EJA504" s="1660"/>
      <c r="EJB504" s="1660"/>
      <c r="EJC504" s="1660"/>
      <c r="EJD504" s="1660"/>
      <c r="EJE504" s="1660"/>
      <c r="EJF504" s="1660"/>
      <c r="EJG504" s="1660"/>
      <c r="EJH504" s="1660"/>
      <c r="EJI504" s="1660"/>
      <c r="EJJ504" s="1660"/>
      <c r="EJK504" s="1660"/>
      <c r="EJL504" s="1660"/>
      <c r="EJM504" s="1660"/>
      <c r="EJN504" s="1660"/>
      <c r="EJO504" s="1660"/>
      <c r="EJP504" s="1660"/>
      <c r="EJQ504" s="1660"/>
      <c r="EJR504" s="1660"/>
      <c r="EJS504" s="1660"/>
      <c r="EJT504" s="1660"/>
      <c r="EJU504" s="1660"/>
      <c r="EJV504" s="1660"/>
      <c r="EJW504" s="1660"/>
      <c r="EJX504" s="1660"/>
      <c r="EJY504" s="1660"/>
      <c r="EJZ504" s="1660"/>
      <c r="EKA504" s="1660"/>
      <c r="EKB504" s="1660"/>
      <c r="EKC504" s="1660"/>
      <c r="EKD504" s="1660"/>
      <c r="EKE504" s="1660"/>
      <c r="EKF504" s="1660"/>
      <c r="EKG504" s="1660"/>
      <c r="EKH504" s="1660"/>
      <c r="EKI504" s="1660"/>
      <c r="EKJ504" s="1660"/>
      <c r="EKK504" s="1660"/>
      <c r="EKL504" s="1660"/>
      <c r="EKM504" s="1660"/>
      <c r="EKN504" s="1660"/>
      <c r="EKO504" s="1660"/>
      <c r="EKP504" s="1660"/>
      <c r="EKQ504" s="1660"/>
      <c r="EKR504" s="1660"/>
      <c r="EKS504" s="1660"/>
      <c r="EKT504" s="1660"/>
      <c r="EKU504" s="1660"/>
      <c r="EKV504" s="1660"/>
      <c r="EKW504" s="1660"/>
      <c r="EKX504" s="1660"/>
      <c r="EKY504" s="1660"/>
      <c r="EKZ504" s="1660"/>
      <c r="ELA504" s="1660"/>
      <c r="ELB504" s="1660"/>
      <c r="ELC504" s="1660"/>
      <c r="ELD504" s="1660"/>
      <c r="ELE504" s="1660"/>
      <c r="ELF504" s="1660"/>
      <c r="ELG504" s="1660"/>
      <c r="ELH504" s="1660"/>
      <c r="ELI504" s="1660"/>
      <c r="ELJ504" s="1660"/>
      <c r="ELK504" s="1660"/>
      <c r="ELL504" s="1660"/>
      <c r="ELM504" s="1660"/>
      <c r="ELN504" s="1660"/>
      <c r="ELO504" s="1660"/>
      <c r="ELP504" s="1660"/>
      <c r="ELQ504" s="1660"/>
      <c r="ELR504" s="1660"/>
      <c r="ELS504" s="1660"/>
      <c r="ELT504" s="1660"/>
      <c r="ELU504" s="1660"/>
      <c r="ELV504" s="1660"/>
      <c r="ELW504" s="1660"/>
      <c r="ELX504" s="1660"/>
      <c r="ELY504" s="1660"/>
      <c r="ELZ504" s="1660"/>
      <c r="EMA504" s="1660"/>
      <c r="EMB504" s="1660"/>
      <c r="EMC504" s="1660"/>
      <c r="EMD504" s="1660"/>
      <c r="EME504" s="1660"/>
      <c r="EMF504" s="1660"/>
      <c r="EMG504" s="1660"/>
      <c r="EMH504" s="1660"/>
      <c r="EMI504" s="1660"/>
      <c r="EMJ504" s="1660"/>
      <c r="EMK504" s="1660"/>
      <c r="EML504" s="1660"/>
      <c r="EMM504" s="1660"/>
      <c r="EMN504" s="1660"/>
      <c r="EMO504" s="1660"/>
      <c r="EMP504" s="1660"/>
      <c r="EMQ504" s="1660"/>
      <c r="EMR504" s="1660"/>
      <c r="EMS504" s="1660"/>
      <c r="EMT504" s="1660"/>
      <c r="EMU504" s="1660"/>
      <c r="EMV504" s="1660"/>
      <c r="EMW504" s="1660"/>
      <c r="EMX504" s="1660"/>
      <c r="EMY504" s="1660"/>
      <c r="EMZ504" s="1660"/>
      <c r="ENA504" s="1660"/>
      <c r="ENB504" s="1660"/>
      <c r="ENC504" s="1660"/>
      <c r="END504" s="1660"/>
      <c r="ENE504" s="1660"/>
      <c r="ENF504" s="1660"/>
      <c r="ENG504" s="1660"/>
      <c r="ENH504" s="1660"/>
      <c r="ENI504" s="1660"/>
      <c r="ENJ504" s="1660"/>
      <c r="ENK504" s="1660"/>
      <c r="ENL504" s="1660"/>
      <c r="ENM504" s="1660"/>
      <c r="ENN504" s="1660"/>
      <c r="ENO504" s="1660"/>
      <c r="ENP504" s="1660"/>
      <c r="ENQ504" s="1660"/>
      <c r="ENR504" s="1660"/>
      <c r="ENS504" s="1660"/>
      <c r="ENT504" s="1660"/>
      <c r="ENU504" s="1660"/>
      <c r="ENV504" s="1660"/>
      <c r="ENW504" s="1660"/>
      <c r="ENX504" s="1660"/>
      <c r="ENY504" s="1660"/>
      <c r="ENZ504" s="1660"/>
      <c r="EOA504" s="1660"/>
      <c r="EOB504" s="1660"/>
      <c r="EOC504" s="1660"/>
      <c r="EOD504" s="1660"/>
      <c r="EOE504" s="1660"/>
      <c r="EOF504" s="1660"/>
      <c r="EOG504" s="1660"/>
      <c r="EOH504" s="1660"/>
      <c r="EOI504" s="1660"/>
      <c r="EOJ504" s="1660"/>
      <c r="EOK504" s="1660"/>
      <c r="EOL504" s="1660"/>
      <c r="EOM504" s="1660"/>
      <c r="EON504" s="1660"/>
      <c r="EOO504" s="1660"/>
      <c r="EOP504" s="1660"/>
      <c r="EOQ504" s="1660"/>
      <c r="EOR504" s="1660"/>
      <c r="EOS504" s="1660"/>
      <c r="EOT504" s="1660"/>
      <c r="EOU504" s="1660"/>
      <c r="EOV504" s="1660"/>
      <c r="EOW504" s="1660"/>
      <c r="EOX504" s="1660"/>
      <c r="EOY504" s="1660"/>
      <c r="EOZ504" s="1660"/>
      <c r="EPA504" s="1660"/>
      <c r="EPB504" s="1660"/>
      <c r="EPC504" s="1660"/>
      <c r="EPD504" s="1660"/>
      <c r="EPE504" s="1660"/>
      <c r="EPF504" s="1660"/>
      <c r="EPG504" s="1660"/>
      <c r="EPH504" s="1660"/>
      <c r="EPI504" s="1660"/>
      <c r="EPJ504" s="1660"/>
      <c r="EPK504" s="1660"/>
      <c r="EPL504" s="1660"/>
      <c r="EPM504" s="1660"/>
      <c r="EPN504" s="1660"/>
      <c r="EPO504" s="1660"/>
      <c r="EPP504" s="1660"/>
      <c r="EPQ504" s="1660"/>
      <c r="EPR504" s="1660"/>
      <c r="EPS504" s="1660"/>
      <c r="EPT504" s="1660"/>
      <c r="EPU504" s="1660"/>
      <c r="EPV504" s="1660"/>
      <c r="EPW504" s="1660"/>
      <c r="EPX504" s="1660"/>
      <c r="EPY504" s="1660"/>
      <c r="EPZ504" s="1660"/>
      <c r="EQA504" s="1660"/>
      <c r="EQB504" s="1660"/>
      <c r="EQC504" s="1660"/>
      <c r="EQD504" s="1660"/>
      <c r="EQE504" s="1660"/>
      <c r="EQF504" s="1660"/>
      <c r="EQG504" s="1660"/>
      <c r="EQH504" s="1660"/>
      <c r="EQI504" s="1660"/>
      <c r="EQJ504" s="1660"/>
      <c r="EQK504" s="1660"/>
      <c r="EQL504" s="1660"/>
      <c r="EQM504" s="1660"/>
      <c r="EQN504" s="1660"/>
      <c r="EQO504" s="1660"/>
      <c r="EQP504" s="1660"/>
      <c r="EQQ504" s="1660"/>
      <c r="EQR504" s="1660"/>
      <c r="EQS504" s="1660"/>
      <c r="EQT504" s="1660"/>
      <c r="EQU504" s="1660"/>
      <c r="EQV504" s="1660"/>
      <c r="EQW504" s="1660"/>
      <c r="EQX504" s="1660"/>
      <c r="EQY504" s="1660"/>
      <c r="EQZ504" s="1660"/>
      <c r="ERA504" s="1660"/>
      <c r="ERB504" s="1660"/>
      <c r="ERC504" s="1660"/>
      <c r="ERD504" s="1660"/>
      <c r="ERE504" s="1660"/>
      <c r="ERF504" s="1660"/>
      <c r="ERG504" s="1660"/>
      <c r="ERH504" s="1660"/>
      <c r="ERI504" s="1660"/>
      <c r="ERJ504" s="1660"/>
      <c r="ERK504" s="1660"/>
      <c r="ERL504" s="1660"/>
      <c r="ERM504" s="1660"/>
      <c r="ERN504" s="1660"/>
      <c r="ERO504" s="1660"/>
      <c r="ERP504" s="1660"/>
      <c r="ERQ504" s="1660"/>
      <c r="ERR504" s="1660"/>
      <c r="ERS504" s="1660"/>
      <c r="ERT504" s="1660"/>
      <c r="ERU504" s="1660"/>
      <c r="ERV504" s="1660"/>
      <c r="ERW504" s="1660"/>
      <c r="ERX504" s="1660"/>
      <c r="ERY504" s="1660"/>
      <c r="ERZ504" s="1660"/>
      <c r="ESA504" s="1660"/>
      <c r="ESB504" s="1660"/>
      <c r="ESC504" s="1660"/>
      <c r="ESD504" s="1660"/>
      <c r="ESE504" s="1660"/>
      <c r="ESF504" s="1660"/>
      <c r="ESG504" s="1660"/>
      <c r="ESH504" s="1660"/>
      <c r="ESI504" s="1660"/>
      <c r="ESJ504" s="1660"/>
      <c r="ESK504" s="1660"/>
      <c r="ESL504" s="1660"/>
      <c r="ESM504" s="1660"/>
      <c r="ESN504" s="1660"/>
      <c r="ESO504" s="1660"/>
      <c r="ESP504" s="1660"/>
      <c r="ESQ504" s="1660"/>
      <c r="ESR504" s="1660"/>
      <c r="ESS504" s="1660"/>
      <c r="EST504" s="1660"/>
      <c r="ESU504" s="1660"/>
      <c r="ESV504" s="1660"/>
      <c r="ESW504" s="1660"/>
      <c r="ESX504" s="1660"/>
      <c r="ESY504" s="1660"/>
      <c r="ESZ504" s="1660"/>
      <c r="ETA504" s="1660"/>
      <c r="ETB504" s="1660"/>
      <c r="ETC504" s="1660"/>
      <c r="ETD504" s="1660"/>
      <c r="ETE504" s="1660"/>
      <c r="ETF504" s="1660"/>
      <c r="ETG504" s="1660"/>
      <c r="ETH504" s="1660"/>
      <c r="ETI504" s="1660"/>
      <c r="ETJ504" s="1660"/>
      <c r="ETK504" s="1660"/>
      <c r="ETL504" s="1660"/>
      <c r="ETM504" s="1660"/>
      <c r="ETN504" s="1660"/>
      <c r="ETO504" s="1660"/>
      <c r="ETP504" s="1660"/>
      <c r="ETQ504" s="1660"/>
      <c r="ETR504" s="1660"/>
      <c r="ETS504" s="1660"/>
      <c r="ETT504" s="1660"/>
      <c r="ETU504" s="1660"/>
      <c r="ETV504" s="1660"/>
      <c r="ETW504" s="1660"/>
      <c r="ETX504" s="1660"/>
      <c r="ETY504" s="1660"/>
      <c r="ETZ504" s="1660"/>
      <c r="EUA504" s="1660"/>
      <c r="EUB504" s="1660"/>
      <c r="EUC504" s="1660"/>
      <c r="EUD504" s="1660"/>
      <c r="EUE504" s="1660"/>
      <c r="EUF504" s="1660"/>
      <c r="EUG504" s="1660"/>
      <c r="EUH504" s="1660"/>
      <c r="EUI504" s="1660"/>
      <c r="EUJ504" s="1660"/>
      <c r="EUK504" s="1660"/>
      <c r="EUL504" s="1660"/>
      <c r="EUM504" s="1660"/>
      <c r="EUN504" s="1660"/>
      <c r="EUO504" s="1660"/>
      <c r="EUP504" s="1660"/>
      <c r="EUQ504" s="1660"/>
      <c r="EUR504" s="1660"/>
      <c r="EUS504" s="1660"/>
      <c r="EUT504" s="1660"/>
      <c r="EUU504" s="1660"/>
      <c r="EUV504" s="1660"/>
      <c r="EUW504" s="1660"/>
      <c r="EUX504" s="1660"/>
      <c r="EUY504" s="1660"/>
      <c r="EUZ504" s="1660"/>
      <c r="EVA504" s="1660"/>
      <c r="EVB504" s="1660"/>
      <c r="EVC504" s="1660"/>
      <c r="EVD504" s="1660"/>
      <c r="EVE504" s="1660"/>
      <c r="EVF504" s="1660"/>
      <c r="EVG504" s="1660"/>
      <c r="EVH504" s="1660"/>
      <c r="EVI504" s="1660"/>
      <c r="EVJ504" s="1660"/>
      <c r="EVK504" s="1660"/>
      <c r="EVL504" s="1660"/>
      <c r="EVM504" s="1660"/>
      <c r="EVN504" s="1660"/>
      <c r="EVO504" s="1660"/>
      <c r="EVP504" s="1660"/>
      <c r="EVQ504" s="1660"/>
      <c r="EVR504" s="1660"/>
      <c r="EVS504" s="1660"/>
      <c r="EVT504" s="1660"/>
      <c r="EVU504" s="1660"/>
      <c r="EVV504" s="1660"/>
      <c r="EVW504" s="1660"/>
      <c r="EVX504" s="1660"/>
      <c r="EVY504" s="1660"/>
      <c r="EVZ504" s="1660"/>
      <c r="EWA504" s="1660"/>
      <c r="EWB504" s="1660"/>
      <c r="EWC504" s="1660"/>
      <c r="EWD504" s="1660"/>
      <c r="EWE504" s="1660"/>
      <c r="EWF504" s="1660"/>
      <c r="EWG504" s="1660"/>
      <c r="EWH504" s="1660"/>
      <c r="EWI504" s="1660"/>
      <c r="EWJ504" s="1660"/>
      <c r="EWK504" s="1660"/>
      <c r="EWL504" s="1660"/>
      <c r="EWM504" s="1660"/>
      <c r="EWN504" s="1660"/>
      <c r="EWO504" s="1660"/>
      <c r="EWP504" s="1660"/>
      <c r="EWQ504" s="1660"/>
      <c r="EWR504" s="1660"/>
      <c r="EWS504" s="1660"/>
      <c r="EWT504" s="1660"/>
      <c r="EWU504" s="1660"/>
      <c r="EWV504" s="1660"/>
      <c r="EWW504" s="1660"/>
      <c r="EWX504" s="1660"/>
      <c r="EWY504" s="1660"/>
      <c r="EWZ504" s="1660"/>
      <c r="EXA504" s="1660"/>
      <c r="EXB504" s="1660"/>
      <c r="EXC504" s="1660"/>
      <c r="EXD504" s="1660"/>
      <c r="EXE504" s="1660"/>
      <c r="EXF504" s="1660"/>
      <c r="EXG504" s="1660"/>
      <c r="EXH504" s="1660"/>
      <c r="EXI504" s="1660"/>
      <c r="EXJ504" s="1660"/>
      <c r="EXK504" s="1660"/>
      <c r="EXL504" s="1660"/>
      <c r="EXM504" s="1660"/>
      <c r="EXN504" s="1660"/>
      <c r="EXO504" s="1660"/>
      <c r="EXP504" s="1660"/>
      <c r="EXQ504" s="1660"/>
      <c r="EXR504" s="1660"/>
      <c r="EXS504" s="1660"/>
      <c r="EXT504" s="1660"/>
      <c r="EXU504" s="1660"/>
      <c r="EXV504" s="1660"/>
      <c r="EXW504" s="1660"/>
      <c r="EXX504" s="1660"/>
      <c r="EXY504" s="1660"/>
      <c r="EXZ504" s="1660"/>
      <c r="EYA504" s="1660"/>
      <c r="EYB504" s="1660"/>
      <c r="EYC504" s="1660"/>
      <c r="EYD504" s="1660"/>
      <c r="EYE504" s="1660"/>
      <c r="EYF504" s="1660"/>
      <c r="EYG504" s="1660"/>
      <c r="EYH504" s="1660"/>
      <c r="EYI504" s="1660"/>
      <c r="EYJ504" s="1660"/>
      <c r="EYK504" s="1660"/>
      <c r="EYL504" s="1660"/>
      <c r="EYM504" s="1660"/>
      <c r="EYN504" s="1660"/>
      <c r="EYO504" s="1660"/>
      <c r="EYP504" s="1660"/>
      <c r="EYQ504" s="1660"/>
      <c r="EYR504" s="1660"/>
      <c r="EYS504" s="1660"/>
      <c r="EYT504" s="1660"/>
      <c r="EYU504" s="1660"/>
      <c r="EYV504" s="1660"/>
      <c r="EYW504" s="1660"/>
      <c r="EYX504" s="1660"/>
      <c r="EYY504" s="1660"/>
      <c r="EYZ504" s="1660"/>
      <c r="EZA504" s="1660"/>
      <c r="EZB504" s="1660"/>
      <c r="EZC504" s="1660"/>
      <c r="EZD504" s="1660"/>
      <c r="EZE504" s="1660"/>
      <c r="EZF504" s="1660"/>
      <c r="EZG504" s="1660"/>
      <c r="EZH504" s="1660"/>
      <c r="EZI504" s="1660"/>
      <c r="EZJ504" s="1660"/>
      <c r="EZK504" s="1660"/>
      <c r="EZL504" s="1660"/>
      <c r="EZM504" s="1660"/>
      <c r="EZN504" s="1660"/>
      <c r="EZO504" s="1660"/>
      <c r="EZP504" s="1660"/>
      <c r="EZQ504" s="1660"/>
      <c r="EZR504" s="1660"/>
      <c r="EZS504" s="1660"/>
      <c r="EZT504" s="1660"/>
      <c r="EZU504" s="1660"/>
      <c r="EZV504" s="1660"/>
      <c r="EZW504" s="1660"/>
      <c r="EZX504" s="1660"/>
      <c r="EZY504" s="1660"/>
      <c r="EZZ504" s="1660"/>
      <c r="FAA504" s="1660"/>
      <c r="FAB504" s="1660"/>
      <c r="FAC504" s="1660"/>
      <c r="FAD504" s="1660"/>
      <c r="FAE504" s="1660"/>
      <c r="FAF504" s="1660"/>
      <c r="FAG504" s="1660"/>
      <c r="FAH504" s="1660"/>
      <c r="FAI504" s="1660"/>
      <c r="FAJ504" s="1660"/>
      <c r="FAK504" s="1660"/>
      <c r="FAL504" s="1660"/>
      <c r="FAM504" s="1660"/>
      <c r="FAN504" s="1660"/>
      <c r="FAO504" s="1660"/>
      <c r="FAP504" s="1660"/>
      <c r="FAQ504" s="1660"/>
      <c r="FAR504" s="1660"/>
      <c r="FAS504" s="1660"/>
      <c r="FAT504" s="1660"/>
      <c r="FAU504" s="1660"/>
      <c r="FAV504" s="1660"/>
      <c r="FAW504" s="1660"/>
      <c r="FAX504" s="1660"/>
      <c r="FAY504" s="1660"/>
      <c r="FAZ504" s="1660"/>
      <c r="FBA504" s="1660"/>
      <c r="FBB504" s="1660"/>
      <c r="FBC504" s="1660"/>
      <c r="FBD504" s="1660"/>
      <c r="FBE504" s="1660"/>
      <c r="FBF504" s="1660"/>
      <c r="FBG504" s="1660"/>
      <c r="FBH504" s="1660"/>
      <c r="FBI504" s="1660"/>
      <c r="FBJ504" s="1660"/>
      <c r="FBK504" s="1660"/>
      <c r="FBL504" s="1660"/>
      <c r="FBM504" s="1660"/>
      <c r="FBN504" s="1660"/>
      <c r="FBO504" s="1660"/>
      <c r="FBP504" s="1660"/>
      <c r="FBQ504" s="1660"/>
      <c r="FBR504" s="1660"/>
      <c r="FBS504" s="1660"/>
      <c r="FBT504" s="1660"/>
      <c r="FBU504" s="1660"/>
      <c r="FBV504" s="1660"/>
      <c r="FBW504" s="1660"/>
      <c r="FBX504" s="1660"/>
      <c r="FBY504" s="1660"/>
      <c r="FBZ504" s="1660"/>
      <c r="FCA504" s="1660"/>
      <c r="FCB504" s="1660"/>
      <c r="FCC504" s="1660"/>
      <c r="FCD504" s="1660"/>
      <c r="FCE504" s="1660"/>
      <c r="FCF504" s="1660"/>
      <c r="FCG504" s="1660"/>
      <c r="FCH504" s="1660"/>
      <c r="FCI504" s="1660"/>
      <c r="FCJ504" s="1660"/>
      <c r="FCK504" s="1660"/>
      <c r="FCL504" s="1660"/>
      <c r="FCM504" s="1660"/>
      <c r="FCN504" s="1660"/>
      <c r="FCO504" s="1660"/>
      <c r="FCP504" s="1660"/>
      <c r="FCQ504" s="1660"/>
      <c r="FCR504" s="1660"/>
      <c r="FCS504" s="1660"/>
      <c r="FCT504" s="1660"/>
      <c r="FCU504" s="1660"/>
      <c r="FCV504" s="1660"/>
      <c r="FCW504" s="1660"/>
      <c r="FCX504" s="1660"/>
      <c r="FCY504" s="1660"/>
      <c r="FCZ504" s="1660"/>
      <c r="FDA504" s="1660"/>
      <c r="FDB504" s="1660"/>
      <c r="FDC504" s="1660"/>
      <c r="FDD504" s="1660"/>
      <c r="FDE504" s="1660"/>
      <c r="FDF504" s="1660"/>
      <c r="FDG504" s="1660"/>
      <c r="FDH504" s="1660"/>
      <c r="FDI504" s="1660"/>
      <c r="FDJ504" s="1660"/>
      <c r="FDK504" s="1660"/>
      <c r="FDL504" s="1660"/>
      <c r="FDM504" s="1660"/>
      <c r="FDN504" s="1660"/>
      <c r="FDO504" s="1660"/>
      <c r="FDP504" s="1660"/>
      <c r="FDQ504" s="1660"/>
      <c r="FDR504" s="1660"/>
      <c r="FDS504" s="1660"/>
      <c r="FDT504" s="1660"/>
      <c r="FDU504" s="1660"/>
      <c r="FDV504" s="1660"/>
      <c r="FDW504" s="1660"/>
      <c r="FDX504" s="1660"/>
      <c r="FDY504" s="1660"/>
      <c r="FDZ504" s="1660"/>
      <c r="FEA504" s="1660"/>
      <c r="FEB504" s="1660"/>
      <c r="FEC504" s="1660"/>
      <c r="FED504" s="1660"/>
      <c r="FEE504" s="1660"/>
      <c r="FEF504" s="1660"/>
      <c r="FEG504" s="1660"/>
      <c r="FEH504" s="1660"/>
      <c r="FEI504" s="1660"/>
      <c r="FEJ504" s="1660"/>
      <c r="FEK504" s="1660"/>
      <c r="FEL504" s="1660"/>
      <c r="FEM504" s="1660"/>
      <c r="FEN504" s="1660"/>
      <c r="FEO504" s="1660"/>
      <c r="FEP504" s="1660"/>
      <c r="FEQ504" s="1660"/>
      <c r="FER504" s="1660"/>
      <c r="FES504" s="1660"/>
      <c r="FET504" s="1660"/>
      <c r="FEU504" s="1660"/>
      <c r="FEV504" s="1660"/>
      <c r="FEW504" s="1660"/>
      <c r="FEX504" s="1660"/>
      <c r="FEY504" s="1660"/>
      <c r="FEZ504" s="1660"/>
      <c r="FFA504" s="1660"/>
      <c r="FFB504" s="1660"/>
      <c r="FFC504" s="1660"/>
      <c r="FFD504" s="1660"/>
      <c r="FFE504" s="1660"/>
      <c r="FFF504" s="1660"/>
      <c r="FFG504" s="1660"/>
      <c r="FFH504" s="1660"/>
      <c r="FFI504" s="1660"/>
      <c r="FFJ504" s="1660"/>
      <c r="FFK504" s="1660"/>
      <c r="FFL504" s="1660"/>
      <c r="FFM504" s="1660"/>
      <c r="FFN504" s="1660"/>
      <c r="FFO504" s="1660"/>
      <c r="FFP504" s="1660"/>
      <c r="FFQ504" s="1660"/>
      <c r="FFR504" s="1660"/>
      <c r="FFS504" s="1660"/>
      <c r="FFT504" s="1660"/>
      <c r="FFU504" s="1660"/>
      <c r="FFV504" s="1660"/>
      <c r="FFW504" s="1660"/>
      <c r="FFX504" s="1660"/>
      <c r="FFY504" s="1660"/>
      <c r="FFZ504" s="1660"/>
      <c r="FGA504" s="1660"/>
      <c r="FGB504" s="1660"/>
      <c r="FGC504" s="1660"/>
      <c r="FGD504" s="1660"/>
      <c r="FGE504" s="1660"/>
      <c r="FGF504" s="1660"/>
      <c r="FGG504" s="1660"/>
      <c r="FGH504" s="1660"/>
      <c r="FGI504" s="1660"/>
      <c r="FGJ504" s="1660"/>
      <c r="FGK504" s="1660"/>
      <c r="FGL504" s="1660"/>
      <c r="FGM504" s="1660"/>
      <c r="FGN504" s="1660"/>
      <c r="FGO504" s="1660"/>
      <c r="FGP504" s="1660"/>
      <c r="FGQ504" s="1660"/>
      <c r="FGR504" s="1660"/>
      <c r="FGS504" s="1660"/>
      <c r="FGT504" s="1660"/>
      <c r="FGU504" s="1660"/>
      <c r="FGV504" s="1660"/>
      <c r="FGW504" s="1660"/>
      <c r="FGX504" s="1660"/>
      <c r="FGY504" s="1660"/>
      <c r="FGZ504" s="1660"/>
      <c r="FHA504" s="1660"/>
      <c r="FHB504" s="1660"/>
      <c r="FHC504" s="1660"/>
      <c r="FHD504" s="1660"/>
      <c r="FHE504" s="1660"/>
      <c r="FHF504" s="1660"/>
      <c r="FHG504" s="1660"/>
      <c r="FHH504" s="1660"/>
      <c r="FHI504" s="1660"/>
      <c r="FHJ504" s="1660"/>
      <c r="FHK504" s="1660"/>
      <c r="FHL504" s="1660"/>
      <c r="FHM504" s="1660"/>
      <c r="FHN504" s="1660"/>
      <c r="FHO504" s="1660"/>
      <c r="FHP504" s="1660"/>
      <c r="FHQ504" s="1660"/>
      <c r="FHR504" s="1660"/>
      <c r="FHS504" s="1660"/>
      <c r="FHT504" s="1660"/>
      <c r="FHU504" s="1660"/>
      <c r="FHV504" s="1660"/>
      <c r="FHW504" s="1660"/>
      <c r="FHX504" s="1660"/>
      <c r="FHY504" s="1660"/>
      <c r="FHZ504" s="1660"/>
      <c r="FIA504" s="1660"/>
      <c r="FIB504" s="1660"/>
      <c r="FIC504" s="1660"/>
      <c r="FID504" s="1660"/>
      <c r="FIE504" s="1660"/>
      <c r="FIF504" s="1660"/>
      <c r="FIG504" s="1660"/>
      <c r="FIH504" s="1660"/>
      <c r="FII504" s="1660"/>
      <c r="FIJ504" s="1660"/>
      <c r="FIK504" s="1660"/>
      <c r="FIL504" s="1660"/>
      <c r="FIM504" s="1660"/>
      <c r="FIN504" s="1660"/>
      <c r="FIO504" s="1660"/>
      <c r="FIP504" s="1660"/>
      <c r="FIQ504" s="1660"/>
      <c r="FIR504" s="1660"/>
      <c r="FIS504" s="1660"/>
      <c r="FIT504" s="1660"/>
      <c r="FIU504" s="1660"/>
      <c r="FIV504" s="1660"/>
      <c r="FIW504" s="1660"/>
      <c r="FIX504" s="1660"/>
      <c r="FIY504" s="1660"/>
      <c r="FIZ504" s="1660"/>
      <c r="FJA504" s="1660"/>
      <c r="FJB504" s="1660"/>
      <c r="FJC504" s="1660"/>
      <c r="FJD504" s="1660"/>
      <c r="FJE504" s="1660"/>
      <c r="FJF504" s="1660"/>
      <c r="FJG504" s="1660"/>
      <c r="FJH504" s="1660"/>
      <c r="FJI504" s="1660"/>
      <c r="FJJ504" s="1660"/>
      <c r="FJK504" s="1660"/>
      <c r="FJL504" s="1660"/>
      <c r="FJM504" s="1660"/>
      <c r="FJN504" s="1660"/>
      <c r="FJO504" s="1660"/>
      <c r="FJP504" s="1660"/>
      <c r="FJQ504" s="1660"/>
      <c r="FJR504" s="1660"/>
      <c r="FJS504" s="1660"/>
      <c r="FJT504" s="1660"/>
      <c r="FJU504" s="1660"/>
      <c r="FJV504" s="1660"/>
      <c r="FJW504" s="1660"/>
      <c r="FJX504" s="1660"/>
      <c r="FJY504" s="1660"/>
      <c r="FJZ504" s="1660"/>
      <c r="FKA504" s="1660"/>
      <c r="FKB504" s="1660"/>
      <c r="FKC504" s="1660"/>
      <c r="FKD504" s="1660"/>
      <c r="FKE504" s="1660"/>
      <c r="FKF504" s="1660"/>
      <c r="FKG504" s="1660"/>
      <c r="FKH504" s="1660"/>
      <c r="FKI504" s="1660"/>
      <c r="FKJ504" s="1660"/>
      <c r="FKK504" s="1660"/>
      <c r="FKL504" s="1660"/>
      <c r="FKM504" s="1660"/>
      <c r="FKN504" s="1660"/>
      <c r="FKO504" s="1660"/>
      <c r="FKP504" s="1660"/>
      <c r="FKQ504" s="1660"/>
      <c r="FKR504" s="1660"/>
      <c r="FKS504" s="1660"/>
      <c r="FKT504" s="1660"/>
      <c r="FKU504" s="1660"/>
      <c r="FKV504" s="1660"/>
      <c r="FKW504" s="1660"/>
      <c r="FKX504" s="1660"/>
      <c r="FKY504" s="1660"/>
      <c r="FKZ504" s="1660"/>
      <c r="FLA504" s="1660"/>
      <c r="FLB504" s="1660"/>
      <c r="FLC504" s="1660"/>
      <c r="FLD504" s="1660"/>
      <c r="FLE504" s="1660"/>
      <c r="FLF504" s="1660"/>
      <c r="FLG504" s="1660"/>
      <c r="FLH504" s="1660"/>
      <c r="FLI504" s="1660"/>
      <c r="FLJ504" s="1660"/>
      <c r="FLK504" s="1660"/>
      <c r="FLL504" s="1660"/>
      <c r="FLM504" s="1660"/>
      <c r="FLN504" s="1660"/>
      <c r="FLO504" s="1660"/>
      <c r="FLP504" s="1660"/>
      <c r="FLQ504" s="1660"/>
      <c r="FLR504" s="1660"/>
      <c r="FLS504" s="1660"/>
      <c r="FLT504" s="1660"/>
      <c r="FLU504" s="1660"/>
      <c r="FLV504" s="1660"/>
      <c r="FLW504" s="1660"/>
      <c r="FLX504" s="1660"/>
      <c r="FLY504" s="1660"/>
      <c r="FLZ504" s="1660"/>
      <c r="FMA504" s="1660"/>
      <c r="FMB504" s="1660"/>
      <c r="FMC504" s="1660"/>
      <c r="FMD504" s="1660"/>
      <c r="FME504" s="1660"/>
      <c r="FMF504" s="1660"/>
      <c r="FMG504" s="1660"/>
      <c r="FMH504" s="1660"/>
      <c r="FMI504" s="1660"/>
      <c r="FMJ504" s="1660"/>
      <c r="FMK504" s="1660"/>
      <c r="FML504" s="1660"/>
      <c r="FMM504" s="1660"/>
      <c r="FMN504" s="1660"/>
      <c r="FMO504" s="1660"/>
      <c r="FMP504" s="1660"/>
      <c r="FMQ504" s="1660"/>
      <c r="FMR504" s="1660"/>
      <c r="FMS504" s="1660"/>
      <c r="FMT504" s="1660"/>
      <c r="FMU504" s="1660"/>
      <c r="FMV504" s="1660"/>
      <c r="FMW504" s="1660"/>
      <c r="FMX504" s="1660"/>
      <c r="FMY504" s="1660"/>
      <c r="FMZ504" s="1660"/>
      <c r="FNA504" s="1660"/>
      <c r="FNB504" s="1660"/>
      <c r="FNC504" s="1660"/>
      <c r="FND504" s="1660"/>
      <c r="FNE504" s="1660"/>
      <c r="FNF504" s="1660"/>
      <c r="FNG504" s="1660"/>
      <c r="FNH504" s="1660"/>
      <c r="FNI504" s="1660"/>
      <c r="FNJ504" s="1660"/>
      <c r="FNK504" s="1660"/>
      <c r="FNL504" s="1660"/>
      <c r="FNM504" s="1660"/>
      <c r="FNN504" s="1660"/>
      <c r="FNO504" s="1660"/>
      <c r="FNP504" s="1660"/>
      <c r="FNQ504" s="1660"/>
      <c r="FNR504" s="1660"/>
      <c r="FNS504" s="1660"/>
      <c r="FNT504" s="1660"/>
      <c r="FNU504" s="1660"/>
      <c r="FNV504" s="1660"/>
      <c r="FNW504" s="1660"/>
      <c r="FNX504" s="1660"/>
      <c r="FNY504" s="1660"/>
      <c r="FNZ504" s="1660"/>
      <c r="FOA504" s="1660"/>
      <c r="FOB504" s="1660"/>
      <c r="FOC504" s="1660"/>
      <c r="FOD504" s="1660"/>
      <c r="FOE504" s="1660"/>
      <c r="FOF504" s="1660"/>
      <c r="FOG504" s="1660"/>
      <c r="FOH504" s="1660"/>
      <c r="FOI504" s="1660"/>
      <c r="FOJ504" s="1660"/>
      <c r="FOK504" s="1660"/>
      <c r="FOL504" s="1660"/>
      <c r="FOM504" s="1660"/>
      <c r="FON504" s="1660"/>
      <c r="FOO504" s="1660"/>
      <c r="FOP504" s="1660"/>
      <c r="FOQ504" s="1660"/>
      <c r="FOR504" s="1660"/>
      <c r="FOS504" s="1660"/>
      <c r="FOT504" s="1660"/>
      <c r="FOU504" s="1660"/>
      <c r="FOV504" s="1660"/>
      <c r="FOW504" s="1660"/>
      <c r="FOX504" s="1660"/>
      <c r="FOY504" s="1660"/>
      <c r="FOZ504" s="1660"/>
      <c r="FPA504" s="1660"/>
      <c r="FPB504" s="1660"/>
      <c r="FPC504" s="1660"/>
      <c r="FPD504" s="1660"/>
      <c r="FPE504" s="1660"/>
      <c r="FPF504" s="1660"/>
      <c r="FPG504" s="1660"/>
      <c r="FPH504" s="1660"/>
      <c r="FPI504" s="1660"/>
      <c r="FPJ504" s="1660"/>
      <c r="FPK504" s="1660"/>
      <c r="FPL504" s="1660"/>
      <c r="FPM504" s="1660"/>
      <c r="FPN504" s="1660"/>
      <c r="FPO504" s="1660"/>
      <c r="FPP504" s="1660"/>
      <c r="FPQ504" s="1660"/>
      <c r="FPR504" s="1660"/>
      <c r="FPS504" s="1660"/>
      <c r="FPT504" s="1660"/>
      <c r="FPU504" s="1660"/>
      <c r="FPV504" s="1660"/>
      <c r="FPW504" s="1660"/>
      <c r="FPX504" s="1660"/>
      <c r="FPY504" s="1660"/>
      <c r="FPZ504" s="1660"/>
      <c r="FQA504" s="1660"/>
      <c r="FQB504" s="1660"/>
      <c r="FQC504" s="1660"/>
      <c r="FQD504" s="1660"/>
      <c r="FQE504" s="1660"/>
      <c r="FQF504" s="1660"/>
      <c r="FQG504" s="1660"/>
      <c r="FQH504" s="1660"/>
      <c r="FQI504" s="1660"/>
      <c r="FQJ504" s="1660"/>
      <c r="FQK504" s="1660"/>
      <c r="FQL504" s="1660"/>
      <c r="FQM504" s="1660"/>
      <c r="FQN504" s="1660"/>
      <c r="FQO504" s="1660"/>
      <c r="FQP504" s="1660"/>
      <c r="FQQ504" s="1660"/>
      <c r="FQR504" s="1660"/>
      <c r="FQS504" s="1660"/>
      <c r="FQT504" s="1660"/>
      <c r="FQU504" s="1660"/>
      <c r="FQV504" s="1660"/>
      <c r="FQW504" s="1660"/>
      <c r="FQX504" s="1660"/>
      <c r="FQY504" s="1660"/>
      <c r="FQZ504" s="1660"/>
      <c r="FRA504" s="1660"/>
      <c r="FRB504" s="1660"/>
      <c r="FRC504" s="1660"/>
      <c r="FRD504" s="1660"/>
      <c r="FRE504" s="1660"/>
      <c r="FRF504" s="1660"/>
      <c r="FRG504" s="1660"/>
      <c r="FRH504" s="1660"/>
      <c r="FRI504" s="1660"/>
      <c r="FRJ504" s="1660"/>
      <c r="FRK504" s="1660"/>
      <c r="FRL504" s="1660"/>
      <c r="FRM504" s="1660"/>
      <c r="FRN504" s="1660"/>
      <c r="FRO504" s="1660"/>
      <c r="FRP504" s="1660"/>
      <c r="FRQ504" s="1660"/>
      <c r="FRR504" s="1660"/>
      <c r="FRS504" s="1660"/>
      <c r="FRT504" s="1660"/>
      <c r="FRU504" s="1660"/>
      <c r="FRV504" s="1660"/>
      <c r="FRW504" s="1660"/>
      <c r="FRX504" s="1660"/>
      <c r="FRY504" s="1660"/>
      <c r="FRZ504" s="1660"/>
      <c r="FSA504" s="1660"/>
      <c r="FSB504" s="1660"/>
      <c r="FSC504" s="1660"/>
      <c r="FSD504" s="1660"/>
      <c r="FSE504" s="1660"/>
      <c r="FSF504" s="1660"/>
      <c r="FSG504" s="1660"/>
      <c r="FSH504" s="1660"/>
      <c r="FSI504" s="1660"/>
      <c r="FSJ504" s="1660"/>
      <c r="FSK504" s="1660"/>
      <c r="FSL504" s="1660"/>
      <c r="FSM504" s="1660"/>
      <c r="FSN504" s="1660"/>
      <c r="FSO504" s="1660"/>
      <c r="FSP504" s="1660"/>
      <c r="FSQ504" s="1660"/>
      <c r="FSR504" s="1660"/>
      <c r="FSS504" s="1660"/>
      <c r="FST504" s="1660"/>
      <c r="FSU504" s="1660"/>
      <c r="FSV504" s="1660"/>
      <c r="FSW504" s="1660"/>
      <c r="FSX504" s="1660"/>
      <c r="FSY504" s="1660"/>
      <c r="FSZ504" s="1660"/>
      <c r="FTA504" s="1660"/>
      <c r="FTB504" s="1660"/>
      <c r="FTC504" s="1660"/>
      <c r="FTD504" s="1660"/>
      <c r="FTE504" s="1660"/>
      <c r="FTF504" s="1660"/>
      <c r="FTG504" s="1660"/>
      <c r="FTH504" s="1660"/>
      <c r="FTI504" s="1660"/>
      <c r="FTJ504" s="1660"/>
      <c r="FTK504" s="1660"/>
      <c r="FTL504" s="1660"/>
      <c r="FTM504" s="1660"/>
      <c r="FTN504" s="1660"/>
      <c r="FTO504" s="1660"/>
      <c r="FTP504" s="1660"/>
      <c r="FTQ504" s="1660"/>
      <c r="FTR504" s="1660"/>
      <c r="FTS504" s="1660"/>
      <c r="FTT504" s="1660"/>
      <c r="FTU504" s="1660"/>
      <c r="FTV504" s="1660"/>
      <c r="FTW504" s="1660"/>
      <c r="FTX504" s="1660"/>
      <c r="FTY504" s="1660"/>
      <c r="FTZ504" s="1660"/>
      <c r="FUA504" s="1660"/>
      <c r="FUB504" s="1660"/>
      <c r="FUC504" s="1660"/>
      <c r="FUD504" s="1660"/>
      <c r="FUE504" s="1660"/>
      <c r="FUF504" s="1660"/>
      <c r="FUG504" s="1660"/>
      <c r="FUH504" s="1660"/>
      <c r="FUI504" s="1660"/>
      <c r="FUJ504" s="1660"/>
      <c r="FUK504" s="1660"/>
      <c r="FUL504" s="1660"/>
      <c r="FUM504" s="1660"/>
      <c r="FUN504" s="1660"/>
      <c r="FUO504" s="1660"/>
      <c r="FUP504" s="1660"/>
      <c r="FUQ504" s="1660"/>
      <c r="FUR504" s="1660"/>
      <c r="FUS504" s="1660"/>
      <c r="FUT504" s="1660"/>
      <c r="FUU504" s="1660"/>
      <c r="FUV504" s="1660"/>
      <c r="FUW504" s="1660"/>
      <c r="FUX504" s="1660"/>
      <c r="FUY504" s="1660"/>
      <c r="FUZ504" s="1660"/>
      <c r="FVA504" s="1660"/>
      <c r="FVB504" s="1660"/>
      <c r="FVC504" s="1660"/>
      <c r="FVD504" s="1660"/>
      <c r="FVE504" s="1660"/>
      <c r="FVF504" s="1660"/>
      <c r="FVG504" s="1660"/>
      <c r="FVH504" s="1660"/>
      <c r="FVI504" s="1660"/>
      <c r="FVJ504" s="1660"/>
      <c r="FVK504" s="1660"/>
      <c r="FVL504" s="1660"/>
      <c r="FVM504" s="1660"/>
      <c r="FVN504" s="1660"/>
      <c r="FVO504" s="1660"/>
      <c r="FVP504" s="1660"/>
      <c r="FVQ504" s="1660"/>
      <c r="FVR504" s="1660"/>
      <c r="FVS504" s="1660"/>
      <c r="FVT504" s="1660"/>
      <c r="FVU504" s="1660"/>
      <c r="FVV504" s="1660"/>
      <c r="FVW504" s="1660"/>
      <c r="FVX504" s="1660"/>
      <c r="FVY504" s="1660"/>
      <c r="FVZ504" s="1660"/>
      <c r="FWA504" s="1660"/>
      <c r="FWB504" s="1660"/>
      <c r="FWC504" s="1660"/>
      <c r="FWD504" s="1660"/>
      <c r="FWE504" s="1660"/>
      <c r="FWF504" s="1660"/>
      <c r="FWG504" s="1660"/>
      <c r="FWH504" s="1660"/>
      <c r="FWI504" s="1660"/>
      <c r="FWJ504" s="1660"/>
      <c r="FWK504" s="1660"/>
      <c r="FWL504" s="1660"/>
      <c r="FWM504" s="1660"/>
      <c r="FWN504" s="1660"/>
      <c r="FWO504" s="1660"/>
      <c r="FWP504" s="1660"/>
      <c r="FWQ504" s="1660"/>
      <c r="FWR504" s="1660"/>
      <c r="FWS504" s="1660"/>
      <c r="FWT504" s="1660"/>
      <c r="FWU504" s="1660"/>
      <c r="FWV504" s="1660"/>
      <c r="FWW504" s="1660"/>
      <c r="FWX504" s="1660"/>
      <c r="FWY504" s="1660"/>
      <c r="FWZ504" s="1660"/>
      <c r="FXA504" s="1660"/>
      <c r="FXB504" s="1660"/>
      <c r="FXC504" s="1660"/>
      <c r="FXD504" s="1660"/>
      <c r="FXE504" s="1660"/>
      <c r="FXF504" s="1660"/>
      <c r="FXG504" s="1660"/>
      <c r="FXH504" s="1660"/>
      <c r="FXI504" s="1660"/>
      <c r="FXJ504" s="1660"/>
      <c r="FXK504" s="1660"/>
      <c r="FXL504" s="1660"/>
      <c r="FXM504" s="1660"/>
      <c r="FXN504" s="1660"/>
      <c r="FXO504" s="1660"/>
      <c r="FXP504" s="1660"/>
      <c r="FXQ504" s="1660"/>
      <c r="FXR504" s="1660"/>
      <c r="FXS504" s="1660"/>
      <c r="FXT504" s="1660"/>
      <c r="FXU504" s="1660"/>
      <c r="FXV504" s="1660"/>
      <c r="FXW504" s="1660"/>
      <c r="FXX504" s="1660"/>
      <c r="FXY504" s="1660"/>
      <c r="FXZ504" s="1660"/>
      <c r="FYA504" s="1660"/>
      <c r="FYB504" s="1660"/>
      <c r="FYC504" s="1660"/>
      <c r="FYD504" s="1660"/>
      <c r="FYE504" s="1660"/>
      <c r="FYF504" s="1660"/>
      <c r="FYG504" s="1660"/>
      <c r="FYH504" s="1660"/>
      <c r="FYI504" s="1660"/>
      <c r="FYJ504" s="1660"/>
      <c r="FYK504" s="1660"/>
      <c r="FYL504" s="1660"/>
      <c r="FYM504" s="1660"/>
      <c r="FYN504" s="1660"/>
      <c r="FYO504" s="1660"/>
      <c r="FYP504" s="1660"/>
      <c r="FYQ504" s="1660"/>
      <c r="FYR504" s="1660"/>
      <c r="FYS504" s="1660"/>
      <c r="FYT504" s="1660"/>
      <c r="FYU504" s="1660"/>
      <c r="FYV504" s="1660"/>
      <c r="FYW504" s="1660"/>
      <c r="FYX504" s="1660"/>
      <c r="FYY504" s="1660"/>
      <c r="FYZ504" s="1660"/>
      <c r="FZA504" s="1660"/>
      <c r="FZB504" s="1660"/>
      <c r="FZC504" s="1660"/>
      <c r="FZD504" s="1660"/>
      <c r="FZE504" s="1660"/>
      <c r="FZF504" s="1660"/>
      <c r="FZG504" s="1660"/>
      <c r="FZH504" s="1660"/>
      <c r="FZI504" s="1660"/>
      <c r="FZJ504" s="1660"/>
      <c r="FZK504" s="1660"/>
      <c r="FZL504" s="1660"/>
      <c r="FZM504" s="1660"/>
      <c r="FZN504" s="1660"/>
      <c r="FZO504" s="1660"/>
      <c r="FZP504" s="1660"/>
      <c r="FZQ504" s="1660"/>
      <c r="FZR504" s="1660"/>
      <c r="FZS504" s="1660"/>
      <c r="FZT504" s="1660"/>
      <c r="FZU504" s="1660"/>
      <c r="FZV504" s="1660"/>
      <c r="FZW504" s="1660"/>
      <c r="FZX504" s="1660"/>
      <c r="FZY504" s="1660"/>
      <c r="FZZ504" s="1660"/>
      <c r="GAA504" s="1660"/>
      <c r="GAB504" s="1660"/>
      <c r="GAC504" s="1660"/>
      <c r="GAD504" s="1660"/>
      <c r="GAE504" s="1660"/>
      <c r="GAF504" s="1660"/>
      <c r="GAG504" s="1660"/>
      <c r="GAH504" s="1660"/>
      <c r="GAI504" s="1660"/>
      <c r="GAJ504" s="1660"/>
      <c r="GAK504" s="1660"/>
      <c r="GAL504" s="1660"/>
      <c r="GAM504" s="1660"/>
      <c r="GAN504" s="1660"/>
      <c r="GAO504" s="1660"/>
      <c r="GAP504" s="1660"/>
      <c r="GAQ504" s="1660"/>
      <c r="GAR504" s="1660"/>
      <c r="GAS504" s="1660"/>
      <c r="GAT504" s="1660"/>
      <c r="GAU504" s="1660"/>
      <c r="GAV504" s="1660"/>
      <c r="GAW504" s="1660"/>
      <c r="GAX504" s="1660"/>
      <c r="GAY504" s="1660"/>
      <c r="GAZ504" s="1660"/>
      <c r="GBA504" s="1660"/>
      <c r="GBB504" s="1660"/>
      <c r="GBC504" s="1660"/>
      <c r="GBD504" s="1660"/>
      <c r="GBE504" s="1660"/>
      <c r="GBF504" s="1660"/>
      <c r="GBG504" s="1660"/>
      <c r="GBH504" s="1660"/>
      <c r="GBI504" s="1660"/>
      <c r="GBJ504" s="1660"/>
      <c r="GBK504" s="1660"/>
      <c r="GBL504" s="1660"/>
      <c r="GBM504" s="1660"/>
      <c r="GBN504" s="1660"/>
      <c r="GBO504" s="1660"/>
      <c r="GBP504" s="1660"/>
      <c r="GBQ504" s="1660"/>
      <c r="GBR504" s="1660"/>
      <c r="GBS504" s="1660"/>
      <c r="GBT504" s="1660"/>
      <c r="GBU504" s="1660"/>
      <c r="GBV504" s="1660"/>
      <c r="GBW504" s="1660"/>
      <c r="GBX504" s="1660"/>
      <c r="GBY504" s="1660"/>
      <c r="GBZ504" s="1660"/>
      <c r="GCA504" s="1660"/>
      <c r="GCB504" s="1660"/>
      <c r="GCC504" s="1660"/>
      <c r="GCD504" s="1660"/>
      <c r="GCE504" s="1660"/>
      <c r="GCF504" s="1660"/>
      <c r="GCG504" s="1660"/>
      <c r="GCH504" s="1660"/>
      <c r="GCI504" s="1660"/>
      <c r="GCJ504" s="1660"/>
      <c r="GCK504" s="1660"/>
      <c r="GCL504" s="1660"/>
      <c r="GCM504" s="1660"/>
      <c r="GCN504" s="1660"/>
      <c r="GCO504" s="1660"/>
      <c r="GCP504" s="1660"/>
      <c r="GCQ504" s="1660"/>
      <c r="GCR504" s="1660"/>
      <c r="GCS504" s="1660"/>
      <c r="GCT504" s="1660"/>
      <c r="GCU504" s="1660"/>
      <c r="GCV504" s="1660"/>
      <c r="GCW504" s="1660"/>
      <c r="GCX504" s="1660"/>
      <c r="GCY504" s="1660"/>
      <c r="GCZ504" s="1660"/>
      <c r="GDA504" s="1660"/>
      <c r="GDB504" s="1660"/>
      <c r="GDC504" s="1660"/>
      <c r="GDD504" s="1660"/>
      <c r="GDE504" s="1660"/>
      <c r="GDF504" s="1660"/>
      <c r="GDG504" s="1660"/>
      <c r="GDH504" s="1660"/>
      <c r="GDI504" s="1660"/>
      <c r="GDJ504" s="1660"/>
      <c r="GDK504" s="1660"/>
      <c r="GDL504" s="1660"/>
      <c r="GDM504" s="1660"/>
      <c r="GDN504" s="1660"/>
      <c r="GDO504" s="1660"/>
      <c r="GDP504" s="1660"/>
      <c r="GDQ504" s="1660"/>
      <c r="GDR504" s="1660"/>
      <c r="GDS504" s="1660"/>
      <c r="GDT504" s="1660"/>
      <c r="GDU504" s="1660"/>
      <c r="GDV504" s="1660"/>
      <c r="GDW504" s="1660"/>
      <c r="GDX504" s="1660"/>
      <c r="GDY504" s="1660"/>
      <c r="GDZ504" s="1660"/>
      <c r="GEA504" s="1660"/>
      <c r="GEB504" s="1660"/>
      <c r="GEC504" s="1660"/>
      <c r="GED504" s="1660"/>
      <c r="GEE504" s="1660"/>
      <c r="GEF504" s="1660"/>
      <c r="GEG504" s="1660"/>
      <c r="GEH504" s="1660"/>
      <c r="GEI504" s="1660"/>
      <c r="GEJ504" s="1660"/>
      <c r="GEK504" s="1660"/>
      <c r="GEL504" s="1660"/>
      <c r="GEM504" s="1660"/>
      <c r="GEN504" s="1660"/>
      <c r="GEO504" s="1660"/>
      <c r="GEP504" s="1660"/>
      <c r="GEQ504" s="1660"/>
      <c r="GER504" s="1660"/>
      <c r="GES504" s="1660"/>
      <c r="GET504" s="1660"/>
      <c r="GEU504" s="1660"/>
      <c r="GEV504" s="1660"/>
      <c r="GEW504" s="1660"/>
      <c r="GEX504" s="1660"/>
      <c r="GEY504" s="1660"/>
      <c r="GEZ504" s="1660"/>
      <c r="GFA504" s="1660"/>
      <c r="GFB504" s="1660"/>
      <c r="GFC504" s="1660"/>
      <c r="GFD504" s="1660"/>
      <c r="GFE504" s="1660"/>
      <c r="GFF504" s="1660"/>
      <c r="GFG504" s="1660"/>
      <c r="GFH504" s="1660"/>
      <c r="GFI504" s="1660"/>
      <c r="GFJ504" s="1660"/>
      <c r="GFK504" s="1660"/>
      <c r="GFL504" s="1660"/>
      <c r="GFM504" s="1660"/>
      <c r="GFN504" s="1660"/>
      <c r="GFO504" s="1660"/>
      <c r="GFP504" s="1660"/>
      <c r="GFQ504" s="1660"/>
      <c r="GFR504" s="1660"/>
      <c r="GFS504" s="1660"/>
      <c r="GFT504" s="1660"/>
      <c r="GFU504" s="1660"/>
      <c r="GFV504" s="1660"/>
      <c r="GFW504" s="1660"/>
      <c r="GFX504" s="1660"/>
      <c r="GFY504" s="1660"/>
      <c r="GFZ504" s="1660"/>
      <c r="GGA504" s="1660"/>
      <c r="GGB504" s="1660"/>
      <c r="GGC504" s="1660"/>
      <c r="GGD504" s="1660"/>
      <c r="GGE504" s="1660"/>
      <c r="GGF504" s="1660"/>
      <c r="GGG504" s="1660"/>
      <c r="GGH504" s="1660"/>
      <c r="GGI504" s="1660"/>
      <c r="GGJ504" s="1660"/>
      <c r="GGK504" s="1660"/>
      <c r="GGL504" s="1660"/>
      <c r="GGM504" s="1660"/>
      <c r="GGN504" s="1660"/>
      <c r="GGO504" s="1660"/>
      <c r="GGP504" s="1660"/>
      <c r="GGQ504" s="1660"/>
      <c r="GGR504" s="1660"/>
      <c r="GGS504" s="1660"/>
      <c r="GGT504" s="1660"/>
      <c r="GGU504" s="1660"/>
      <c r="GGV504" s="1660"/>
      <c r="GGW504" s="1660"/>
      <c r="GGX504" s="1660"/>
      <c r="GGY504" s="1660"/>
      <c r="GGZ504" s="1660"/>
      <c r="GHA504" s="1660"/>
      <c r="GHB504" s="1660"/>
      <c r="GHC504" s="1660"/>
      <c r="GHD504" s="1660"/>
      <c r="GHE504" s="1660"/>
      <c r="GHF504" s="1660"/>
      <c r="GHG504" s="1660"/>
      <c r="GHH504" s="1660"/>
      <c r="GHI504" s="1660"/>
      <c r="GHJ504" s="1660"/>
      <c r="GHK504" s="1660"/>
      <c r="GHL504" s="1660"/>
      <c r="GHM504" s="1660"/>
      <c r="GHN504" s="1660"/>
      <c r="GHO504" s="1660"/>
      <c r="GHP504" s="1660"/>
      <c r="GHQ504" s="1660"/>
      <c r="GHR504" s="1660"/>
      <c r="GHS504" s="1660"/>
      <c r="GHT504" s="1660"/>
      <c r="GHU504" s="1660"/>
      <c r="GHV504" s="1660"/>
      <c r="GHW504" s="1660"/>
      <c r="GHX504" s="1660"/>
      <c r="GHY504" s="1660"/>
      <c r="GHZ504" s="1660"/>
      <c r="GIA504" s="1660"/>
      <c r="GIB504" s="1660"/>
      <c r="GIC504" s="1660"/>
      <c r="GID504" s="1660"/>
      <c r="GIE504" s="1660"/>
      <c r="GIF504" s="1660"/>
      <c r="GIG504" s="1660"/>
      <c r="GIH504" s="1660"/>
      <c r="GII504" s="1660"/>
      <c r="GIJ504" s="1660"/>
      <c r="GIK504" s="1660"/>
      <c r="GIL504" s="1660"/>
      <c r="GIM504" s="1660"/>
      <c r="GIN504" s="1660"/>
      <c r="GIO504" s="1660"/>
      <c r="GIP504" s="1660"/>
      <c r="GIQ504" s="1660"/>
      <c r="GIR504" s="1660"/>
      <c r="GIS504" s="1660"/>
      <c r="GIT504" s="1660"/>
      <c r="GIU504" s="1660"/>
      <c r="GIV504" s="1660"/>
      <c r="GIW504" s="1660"/>
      <c r="GIX504" s="1660"/>
      <c r="GIY504" s="1660"/>
      <c r="GIZ504" s="1660"/>
      <c r="GJA504" s="1660"/>
      <c r="GJB504" s="1660"/>
      <c r="GJC504" s="1660"/>
      <c r="GJD504" s="1660"/>
      <c r="GJE504" s="1660"/>
      <c r="GJF504" s="1660"/>
      <c r="GJG504" s="1660"/>
      <c r="GJH504" s="1660"/>
      <c r="GJI504" s="1660"/>
      <c r="GJJ504" s="1660"/>
      <c r="GJK504" s="1660"/>
      <c r="GJL504" s="1660"/>
      <c r="GJM504" s="1660"/>
      <c r="GJN504" s="1660"/>
      <c r="GJO504" s="1660"/>
      <c r="GJP504" s="1660"/>
      <c r="GJQ504" s="1660"/>
      <c r="GJR504" s="1660"/>
      <c r="GJS504" s="1660"/>
      <c r="GJT504" s="1660"/>
      <c r="GJU504" s="1660"/>
      <c r="GJV504" s="1660"/>
      <c r="GJW504" s="1660"/>
      <c r="GJX504" s="1660"/>
      <c r="GJY504" s="1660"/>
      <c r="GJZ504" s="1660"/>
      <c r="GKA504" s="1660"/>
      <c r="GKB504" s="1660"/>
      <c r="GKC504" s="1660"/>
      <c r="GKD504" s="1660"/>
      <c r="GKE504" s="1660"/>
      <c r="GKF504" s="1660"/>
      <c r="GKG504" s="1660"/>
      <c r="GKH504" s="1660"/>
      <c r="GKI504" s="1660"/>
      <c r="GKJ504" s="1660"/>
      <c r="GKK504" s="1660"/>
      <c r="GKL504" s="1660"/>
      <c r="GKM504" s="1660"/>
      <c r="GKN504" s="1660"/>
      <c r="GKO504" s="1660"/>
      <c r="GKP504" s="1660"/>
      <c r="GKQ504" s="1660"/>
      <c r="GKR504" s="1660"/>
      <c r="GKS504" s="1660"/>
      <c r="GKT504" s="1660"/>
      <c r="GKU504" s="1660"/>
      <c r="GKV504" s="1660"/>
      <c r="GKW504" s="1660"/>
      <c r="GKX504" s="1660"/>
      <c r="GKY504" s="1660"/>
      <c r="GKZ504" s="1660"/>
      <c r="GLA504" s="1660"/>
      <c r="GLB504" s="1660"/>
      <c r="GLC504" s="1660"/>
      <c r="GLD504" s="1660"/>
      <c r="GLE504" s="1660"/>
      <c r="GLF504" s="1660"/>
      <c r="GLG504" s="1660"/>
      <c r="GLH504" s="1660"/>
      <c r="GLI504" s="1660"/>
      <c r="GLJ504" s="1660"/>
      <c r="GLK504" s="1660"/>
      <c r="GLL504" s="1660"/>
      <c r="GLM504" s="1660"/>
      <c r="GLN504" s="1660"/>
      <c r="GLO504" s="1660"/>
      <c r="GLP504" s="1660"/>
      <c r="GLQ504" s="1660"/>
      <c r="GLR504" s="1660"/>
      <c r="GLS504" s="1660"/>
      <c r="GLT504" s="1660"/>
      <c r="GLU504" s="1660"/>
      <c r="GLV504" s="1660"/>
      <c r="GLW504" s="1660"/>
      <c r="GLX504" s="1660"/>
      <c r="GLY504" s="1660"/>
      <c r="GLZ504" s="1660"/>
      <c r="GMA504" s="1660"/>
      <c r="GMB504" s="1660"/>
      <c r="GMC504" s="1660"/>
      <c r="GMD504" s="1660"/>
      <c r="GME504" s="1660"/>
      <c r="GMF504" s="1660"/>
      <c r="GMG504" s="1660"/>
      <c r="GMH504" s="1660"/>
      <c r="GMI504" s="1660"/>
      <c r="GMJ504" s="1660"/>
      <c r="GMK504" s="1660"/>
      <c r="GML504" s="1660"/>
      <c r="GMM504" s="1660"/>
      <c r="GMN504" s="1660"/>
      <c r="GMO504" s="1660"/>
      <c r="GMP504" s="1660"/>
      <c r="GMQ504" s="1660"/>
      <c r="GMR504" s="1660"/>
      <c r="GMS504" s="1660"/>
      <c r="GMT504" s="1660"/>
      <c r="GMU504" s="1660"/>
      <c r="GMV504" s="1660"/>
      <c r="GMW504" s="1660"/>
      <c r="GMX504" s="1660"/>
      <c r="GMY504" s="1660"/>
      <c r="GMZ504" s="1660"/>
      <c r="GNA504" s="1660"/>
      <c r="GNB504" s="1660"/>
      <c r="GNC504" s="1660"/>
      <c r="GND504" s="1660"/>
      <c r="GNE504" s="1660"/>
      <c r="GNF504" s="1660"/>
      <c r="GNG504" s="1660"/>
      <c r="GNH504" s="1660"/>
      <c r="GNI504" s="1660"/>
      <c r="GNJ504" s="1660"/>
      <c r="GNK504" s="1660"/>
      <c r="GNL504" s="1660"/>
      <c r="GNM504" s="1660"/>
      <c r="GNN504" s="1660"/>
      <c r="GNO504" s="1660"/>
      <c r="GNP504" s="1660"/>
      <c r="GNQ504" s="1660"/>
      <c r="GNR504" s="1660"/>
      <c r="GNS504" s="1660"/>
      <c r="GNT504" s="1660"/>
      <c r="GNU504" s="1660"/>
      <c r="GNV504" s="1660"/>
      <c r="GNW504" s="1660"/>
      <c r="GNX504" s="1660"/>
      <c r="GNY504" s="1660"/>
      <c r="GNZ504" s="1660"/>
      <c r="GOA504" s="1660"/>
      <c r="GOB504" s="1660"/>
      <c r="GOC504" s="1660"/>
      <c r="GOD504" s="1660"/>
      <c r="GOE504" s="1660"/>
      <c r="GOF504" s="1660"/>
      <c r="GOG504" s="1660"/>
      <c r="GOH504" s="1660"/>
      <c r="GOI504" s="1660"/>
      <c r="GOJ504" s="1660"/>
      <c r="GOK504" s="1660"/>
      <c r="GOL504" s="1660"/>
      <c r="GOM504" s="1660"/>
      <c r="GON504" s="1660"/>
      <c r="GOO504" s="1660"/>
      <c r="GOP504" s="1660"/>
      <c r="GOQ504" s="1660"/>
      <c r="GOR504" s="1660"/>
      <c r="GOS504" s="1660"/>
      <c r="GOT504" s="1660"/>
      <c r="GOU504" s="1660"/>
      <c r="GOV504" s="1660"/>
      <c r="GOW504" s="1660"/>
      <c r="GOX504" s="1660"/>
      <c r="GOY504" s="1660"/>
      <c r="GOZ504" s="1660"/>
      <c r="GPA504" s="1660"/>
      <c r="GPB504" s="1660"/>
      <c r="GPC504" s="1660"/>
      <c r="GPD504" s="1660"/>
      <c r="GPE504" s="1660"/>
      <c r="GPF504" s="1660"/>
      <c r="GPG504" s="1660"/>
      <c r="GPH504" s="1660"/>
      <c r="GPI504" s="1660"/>
      <c r="GPJ504" s="1660"/>
      <c r="GPK504" s="1660"/>
      <c r="GPL504" s="1660"/>
      <c r="GPM504" s="1660"/>
      <c r="GPN504" s="1660"/>
      <c r="GPO504" s="1660"/>
      <c r="GPP504" s="1660"/>
      <c r="GPQ504" s="1660"/>
      <c r="GPR504" s="1660"/>
      <c r="GPS504" s="1660"/>
      <c r="GPT504" s="1660"/>
      <c r="GPU504" s="1660"/>
      <c r="GPV504" s="1660"/>
      <c r="GPW504" s="1660"/>
      <c r="GPX504" s="1660"/>
      <c r="GPY504" s="1660"/>
      <c r="GPZ504" s="1660"/>
      <c r="GQA504" s="1660"/>
      <c r="GQB504" s="1660"/>
      <c r="GQC504" s="1660"/>
      <c r="GQD504" s="1660"/>
      <c r="GQE504" s="1660"/>
      <c r="GQF504" s="1660"/>
      <c r="GQG504" s="1660"/>
      <c r="GQH504" s="1660"/>
      <c r="GQI504" s="1660"/>
      <c r="GQJ504" s="1660"/>
      <c r="GQK504" s="1660"/>
      <c r="GQL504" s="1660"/>
      <c r="GQM504" s="1660"/>
      <c r="GQN504" s="1660"/>
      <c r="GQO504" s="1660"/>
      <c r="GQP504" s="1660"/>
      <c r="GQQ504" s="1660"/>
      <c r="GQR504" s="1660"/>
      <c r="GQS504" s="1660"/>
      <c r="GQT504" s="1660"/>
      <c r="GQU504" s="1660"/>
      <c r="GQV504" s="1660"/>
      <c r="GQW504" s="1660"/>
      <c r="GQX504" s="1660"/>
      <c r="GQY504" s="1660"/>
      <c r="GQZ504" s="1660"/>
      <c r="GRA504" s="1660"/>
      <c r="GRB504" s="1660"/>
      <c r="GRC504" s="1660"/>
      <c r="GRD504" s="1660"/>
      <c r="GRE504" s="1660"/>
      <c r="GRF504" s="1660"/>
      <c r="GRG504" s="1660"/>
      <c r="GRH504" s="1660"/>
      <c r="GRI504" s="1660"/>
      <c r="GRJ504" s="1660"/>
      <c r="GRK504" s="1660"/>
      <c r="GRL504" s="1660"/>
      <c r="GRM504" s="1660"/>
      <c r="GRN504" s="1660"/>
      <c r="GRO504" s="1660"/>
      <c r="GRP504" s="1660"/>
      <c r="GRQ504" s="1660"/>
      <c r="GRR504" s="1660"/>
      <c r="GRS504" s="1660"/>
      <c r="GRT504" s="1660"/>
      <c r="GRU504" s="1660"/>
      <c r="GRV504" s="1660"/>
      <c r="GRW504" s="1660"/>
      <c r="GRX504" s="1660"/>
      <c r="GRY504" s="1660"/>
      <c r="GRZ504" s="1660"/>
      <c r="GSA504" s="1660"/>
      <c r="GSB504" s="1660"/>
      <c r="GSC504" s="1660"/>
      <c r="GSD504" s="1660"/>
      <c r="GSE504" s="1660"/>
      <c r="GSF504" s="1660"/>
      <c r="GSG504" s="1660"/>
      <c r="GSH504" s="1660"/>
      <c r="GSI504" s="1660"/>
      <c r="GSJ504" s="1660"/>
      <c r="GSK504" s="1660"/>
      <c r="GSL504" s="1660"/>
      <c r="GSM504" s="1660"/>
      <c r="GSN504" s="1660"/>
      <c r="GSO504" s="1660"/>
      <c r="GSP504" s="1660"/>
      <c r="GSQ504" s="1660"/>
      <c r="GSR504" s="1660"/>
      <c r="GSS504" s="1660"/>
      <c r="GST504" s="1660"/>
      <c r="GSU504" s="1660"/>
      <c r="GSV504" s="1660"/>
      <c r="GSW504" s="1660"/>
      <c r="GSX504" s="1660"/>
      <c r="GSY504" s="1660"/>
      <c r="GSZ504" s="1660"/>
      <c r="GTA504" s="1660"/>
      <c r="GTB504" s="1660"/>
      <c r="GTC504" s="1660"/>
      <c r="GTD504" s="1660"/>
      <c r="GTE504" s="1660"/>
      <c r="GTF504" s="1660"/>
      <c r="GTG504" s="1660"/>
      <c r="GTH504" s="1660"/>
      <c r="GTI504" s="1660"/>
      <c r="GTJ504" s="1660"/>
      <c r="GTK504" s="1660"/>
      <c r="GTL504" s="1660"/>
      <c r="GTM504" s="1660"/>
      <c r="GTN504" s="1660"/>
      <c r="GTO504" s="1660"/>
      <c r="GTP504" s="1660"/>
      <c r="GTQ504" s="1660"/>
      <c r="GTR504" s="1660"/>
      <c r="GTS504" s="1660"/>
      <c r="GTT504" s="1660"/>
      <c r="GTU504" s="1660"/>
      <c r="GTV504" s="1660"/>
      <c r="GTW504" s="1660"/>
      <c r="GTX504" s="1660"/>
      <c r="GTY504" s="1660"/>
      <c r="GTZ504" s="1660"/>
      <c r="GUA504" s="1660"/>
      <c r="GUB504" s="1660"/>
      <c r="GUC504" s="1660"/>
      <c r="GUD504" s="1660"/>
      <c r="GUE504" s="1660"/>
      <c r="GUF504" s="1660"/>
      <c r="GUG504" s="1660"/>
      <c r="GUH504" s="1660"/>
      <c r="GUI504" s="1660"/>
      <c r="GUJ504" s="1660"/>
      <c r="GUK504" s="1660"/>
      <c r="GUL504" s="1660"/>
      <c r="GUM504" s="1660"/>
      <c r="GUN504" s="1660"/>
      <c r="GUO504" s="1660"/>
      <c r="GUP504" s="1660"/>
      <c r="GUQ504" s="1660"/>
      <c r="GUR504" s="1660"/>
      <c r="GUS504" s="1660"/>
      <c r="GUT504" s="1660"/>
      <c r="GUU504" s="1660"/>
      <c r="GUV504" s="1660"/>
      <c r="GUW504" s="1660"/>
      <c r="GUX504" s="1660"/>
      <c r="GUY504" s="1660"/>
      <c r="GUZ504" s="1660"/>
      <c r="GVA504" s="1660"/>
      <c r="GVB504" s="1660"/>
      <c r="GVC504" s="1660"/>
      <c r="GVD504" s="1660"/>
      <c r="GVE504" s="1660"/>
      <c r="GVF504" s="1660"/>
      <c r="GVG504" s="1660"/>
      <c r="GVH504" s="1660"/>
      <c r="GVI504" s="1660"/>
      <c r="GVJ504" s="1660"/>
      <c r="GVK504" s="1660"/>
      <c r="GVL504" s="1660"/>
      <c r="GVM504" s="1660"/>
      <c r="GVN504" s="1660"/>
      <c r="GVO504" s="1660"/>
      <c r="GVP504" s="1660"/>
      <c r="GVQ504" s="1660"/>
      <c r="GVR504" s="1660"/>
      <c r="GVS504" s="1660"/>
      <c r="GVT504" s="1660"/>
      <c r="GVU504" s="1660"/>
      <c r="GVV504" s="1660"/>
      <c r="GVW504" s="1660"/>
      <c r="GVX504" s="1660"/>
      <c r="GVY504" s="1660"/>
      <c r="GVZ504" s="1660"/>
      <c r="GWA504" s="1660"/>
      <c r="GWB504" s="1660"/>
      <c r="GWC504" s="1660"/>
      <c r="GWD504" s="1660"/>
      <c r="GWE504" s="1660"/>
      <c r="GWF504" s="1660"/>
      <c r="GWG504" s="1660"/>
      <c r="GWH504" s="1660"/>
      <c r="GWI504" s="1660"/>
      <c r="GWJ504" s="1660"/>
      <c r="GWK504" s="1660"/>
      <c r="GWL504" s="1660"/>
      <c r="GWM504" s="1660"/>
      <c r="GWN504" s="1660"/>
      <c r="GWO504" s="1660"/>
      <c r="GWP504" s="1660"/>
      <c r="GWQ504" s="1660"/>
      <c r="GWR504" s="1660"/>
      <c r="GWS504" s="1660"/>
      <c r="GWT504" s="1660"/>
      <c r="GWU504" s="1660"/>
      <c r="GWV504" s="1660"/>
      <c r="GWW504" s="1660"/>
      <c r="GWX504" s="1660"/>
      <c r="GWY504" s="1660"/>
      <c r="GWZ504" s="1660"/>
      <c r="GXA504" s="1660"/>
      <c r="GXB504" s="1660"/>
      <c r="GXC504" s="1660"/>
      <c r="GXD504" s="1660"/>
      <c r="GXE504" s="1660"/>
      <c r="GXF504" s="1660"/>
      <c r="GXG504" s="1660"/>
      <c r="GXH504" s="1660"/>
      <c r="GXI504" s="1660"/>
      <c r="GXJ504" s="1660"/>
      <c r="GXK504" s="1660"/>
      <c r="GXL504" s="1660"/>
      <c r="GXM504" s="1660"/>
      <c r="GXN504" s="1660"/>
      <c r="GXO504" s="1660"/>
      <c r="GXP504" s="1660"/>
      <c r="GXQ504" s="1660"/>
      <c r="GXR504" s="1660"/>
      <c r="GXS504" s="1660"/>
      <c r="GXT504" s="1660"/>
      <c r="GXU504" s="1660"/>
      <c r="GXV504" s="1660"/>
      <c r="GXW504" s="1660"/>
      <c r="GXX504" s="1660"/>
      <c r="GXY504" s="1660"/>
      <c r="GXZ504" s="1660"/>
      <c r="GYA504" s="1660"/>
      <c r="GYB504" s="1660"/>
      <c r="GYC504" s="1660"/>
      <c r="GYD504" s="1660"/>
      <c r="GYE504" s="1660"/>
      <c r="GYF504" s="1660"/>
      <c r="GYG504" s="1660"/>
      <c r="GYH504" s="1660"/>
      <c r="GYI504" s="1660"/>
      <c r="GYJ504" s="1660"/>
      <c r="GYK504" s="1660"/>
      <c r="GYL504" s="1660"/>
      <c r="GYM504" s="1660"/>
      <c r="GYN504" s="1660"/>
      <c r="GYO504" s="1660"/>
      <c r="GYP504" s="1660"/>
      <c r="GYQ504" s="1660"/>
      <c r="GYR504" s="1660"/>
      <c r="GYS504" s="1660"/>
      <c r="GYT504" s="1660"/>
      <c r="GYU504" s="1660"/>
      <c r="GYV504" s="1660"/>
      <c r="GYW504" s="1660"/>
      <c r="GYX504" s="1660"/>
      <c r="GYY504" s="1660"/>
      <c r="GYZ504" s="1660"/>
      <c r="GZA504" s="1660"/>
      <c r="GZB504" s="1660"/>
      <c r="GZC504" s="1660"/>
      <c r="GZD504" s="1660"/>
      <c r="GZE504" s="1660"/>
      <c r="GZF504" s="1660"/>
      <c r="GZG504" s="1660"/>
      <c r="GZH504" s="1660"/>
      <c r="GZI504" s="1660"/>
      <c r="GZJ504" s="1660"/>
      <c r="GZK504" s="1660"/>
      <c r="GZL504" s="1660"/>
      <c r="GZM504" s="1660"/>
      <c r="GZN504" s="1660"/>
      <c r="GZO504" s="1660"/>
      <c r="GZP504" s="1660"/>
      <c r="GZQ504" s="1660"/>
      <c r="GZR504" s="1660"/>
      <c r="GZS504" s="1660"/>
      <c r="GZT504" s="1660"/>
      <c r="GZU504" s="1660"/>
      <c r="GZV504" s="1660"/>
      <c r="GZW504" s="1660"/>
      <c r="GZX504" s="1660"/>
      <c r="GZY504" s="1660"/>
      <c r="GZZ504" s="1660"/>
      <c r="HAA504" s="1660"/>
      <c r="HAB504" s="1660"/>
      <c r="HAC504" s="1660"/>
      <c r="HAD504" s="1660"/>
      <c r="HAE504" s="1660"/>
      <c r="HAF504" s="1660"/>
      <c r="HAG504" s="1660"/>
      <c r="HAH504" s="1660"/>
      <c r="HAI504" s="1660"/>
      <c r="HAJ504" s="1660"/>
      <c r="HAK504" s="1660"/>
      <c r="HAL504" s="1660"/>
      <c r="HAM504" s="1660"/>
      <c r="HAN504" s="1660"/>
      <c r="HAO504" s="1660"/>
      <c r="HAP504" s="1660"/>
      <c r="HAQ504" s="1660"/>
      <c r="HAR504" s="1660"/>
      <c r="HAS504" s="1660"/>
      <c r="HAT504" s="1660"/>
      <c r="HAU504" s="1660"/>
      <c r="HAV504" s="1660"/>
      <c r="HAW504" s="1660"/>
      <c r="HAX504" s="1660"/>
      <c r="HAY504" s="1660"/>
      <c r="HAZ504" s="1660"/>
      <c r="HBA504" s="1660"/>
      <c r="HBB504" s="1660"/>
      <c r="HBC504" s="1660"/>
      <c r="HBD504" s="1660"/>
      <c r="HBE504" s="1660"/>
      <c r="HBF504" s="1660"/>
      <c r="HBG504" s="1660"/>
      <c r="HBH504" s="1660"/>
      <c r="HBI504" s="1660"/>
      <c r="HBJ504" s="1660"/>
      <c r="HBK504" s="1660"/>
      <c r="HBL504" s="1660"/>
      <c r="HBM504" s="1660"/>
      <c r="HBN504" s="1660"/>
      <c r="HBO504" s="1660"/>
      <c r="HBP504" s="1660"/>
      <c r="HBQ504" s="1660"/>
      <c r="HBR504" s="1660"/>
      <c r="HBS504" s="1660"/>
      <c r="HBT504" s="1660"/>
      <c r="HBU504" s="1660"/>
      <c r="HBV504" s="1660"/>
      <c r="HBW504" s="1660"/>
      <c r="HBX504" s="1660"/>
      <c r="HBY504" s="1660"/>
      <c r="HBZ504" s="1660"/>
      <c r="HCA504" s="1660"/>
      <c r="HCB504" s="1660"/>
      <c r="HCC504" s="1660"/>
      <c r="HCD504" s="1660"/>
      <c r="HCE504" s="1660"/>
      <c r="HCF504" s="1660"/>
      <c r="HCG504" s="1660"/>
      <c r="HCH504" s="1660"/>
      <c r="HCI504" s="1660"/>
      <c r="HCJ504" s="1660"/>
      <c r="HCK504" s="1660"/>
      <c r="HCL504" s="1660"/>
      <c r="HCM504" s="1660"/>
      <c r="HCN504" s="1660"/>
      <c r="HCO504" s="1660"/>
      <c r="HCP504" s="1660"/>
      <c r="HCQ504" s="1660"/>
      <c r="HCR504" s="1660"/>
      <c r="HCS504" s="1660"/>
      <c r="HCT504" s="1660"/>
      <c r="HCU504" s="1660"/>
      <c r="HCV504" s="1660"/>
      <c r="HCW504" s="1660"/>
      <c r="HCX504" s="1660"/>
      <c r="HCY504" s="1660"/>
      <c r="HCZ504" s="1660"/>
      <c r="HDA504" s="1660"/>
      <c r="HDB504" s="1660"/>
      <c r="HDC504" s="1660"/>
      <c r="HDD504" s="1660"/>
      <c r="HDE504" s="1660"/>
      <c r="HDF504" s="1660"/>
      <c r="HDG504" s="1660"/>
      <c r="HDH504" s="1660"/>
      <c r="HDI504" s="1660"/>
      <c r="HDJ504" s="1660"/>
      <c r="HDK504" s="1660"/>
      <c r="HDL504" s="1660"/>
      <c r="HDM504" s="1660"/>
      <c r="HDN504" s="1660"/>
      <c r="HDO504" s="1660"/>
      <c r="HDP504" s="1660"/>
      <c r="HDQ504" s="1660"/>
      <c r="HDR504" s="1660"/>
      <c r="HDS504" s="1660"/>
      <c r="HDT504" s="1660"/>
      <c r="HDU504" s="1660"/>
      <c r="HDV504" s="1660"/>
      <c r="HDW504" s="1660"/>
      <c r="HDX504" s="1660"/>
      <c r="HDY504" s="1660"/>
      <c r="HDZ504" s="1660"/>
      <c r="HEA504" s="1660"/>
      <c r="HEB504" s="1660"/>
      <c r="HEC504" s="1660"/>
      <c r="HED504" s="1660"/>
      <c r="HEE504" s="1660"/>
      <c r="HEF504" s="1660"/>
      <c r="HEG504" s="1660"/>
      <c r="HEH504" s="1660"/>
      <c r="HEI504" s="1660"/>
      <c r="HEJ504" s="1660"/>
      <c r="HEK504" s="1660"/>
      <c r="HEL504" s="1660"/>
      <c r="HEM504" s="1660"/>
      <c r="HEN504" s="1660"/>
      <c r="HEO504" s="1660"/>
      <c r="HEP504" s="1660"/>
      <c r="HEQ504" s="1660"/>
      <c r="HER504" s="1660"/>
      <c r="HES504" s="1660"/>
      <c r="HET504" s="1660"/>
      <c r="HEU504" s="1660"/>
      <c r="HEV504" s="1660"/>
      <c r="HEW504" s="1660"/>
      <c r="HEX504" s="1660"/>
      <c r="HEY504" s="1660"/>
      <c r="HEZ504" s="1660"/>
      <c r="HFA504" s="1660"/>
      <c r="HFB504" s="1660"/>
      <c r="HFC504" s="1660"/>
      <c r="HFD504" s="1660"/>
      <c r="HFE504" s="1660"/>
      <c r="HFF504" s="1660"/>
      <c r="HFG504" s="1660"/>
      <c r="HFH504" s="1660"/>
      <c r="HFI504" s="1660"/>
      <c r="HFJ504" s="1660"/>
      <c r="HFK504" s="1660"/>
      <c r="HFL504" s="1660"/>
      <c r="HFM504" s="1660"/>
      <c r="HFN504" s="1660"/>
      <c r="HFO504" s="1660"/>
      <c r="HFP504" s="1660"/>
      <c r="HFQ504" s="1660"/>
      <c r="HFR504" s="1660"/>
      <c r="HFS504" s="1660"/>
      <c r="HFT504" s="1660"/>
      <c r="HFU504" s="1660"/>
      <c r="HFV504" s="1660"/>
      <c r="HFW504" s="1660"/>
      <c r="HFX504" s="1660"/>
      <c r="HFY504" s="1660"/>
      <c r="HFZ504" s="1660"/>
      <c r="HGA504" s="1660"/>
      <c r="HGB504" s="1660"/>
      <c r="HGC504" s="1660"/>
      <c r="HGD504" s="1660"/>
      <c r="HGE504" s="1660"/>
      <c r="HGF504" s="1660"/>
      <c r="HGG504" s="1660"/>
      <c r="HGH504" s="1660"/>
      <c r="HGI504" s="1660"/>
      <c r="HGJ504" s="1660"/>
      <c r="HGK504" s="1660"/>
      <c r="HGL504" s="1660"/>
      <c r="HGM504" s="1660"/>
      <c r="HGN504" s="1660"/>
      <c r="HGO504" s="1660"/>
      <c r="HGP504" s="1660"/>
      <c r="HGQ504" s="1660"/>
      <c r="HGR504" s="1660"/>
      <c r="HGS504" s="1660"/>
      <c r="HGT504" s="1660"/>
      <c r="HGU504" s="1660"/>
      <c r="HGV504" s="1660"/>
      <c r="HGW504" s="1660"/>
      <c r="HGX504" s="1660"/>
      <c r="HGY504" s="1660"/>
      <c r="HGZ504" s="1660"/>
      <c r="HHA504" s="1660"/>
      <c r="HHB504" s="1660"/>
      <c r="HHC504" s="1660"/>
      <c r="HHD504" s="1660"/>
      <c r="HHE504" s="1660"/>
      <c r="HHF504" s="1660"/>
      <c r="HHG504" s="1660"/>
      <c r="HHH504" s="1660"/>
      <c r="HHI504" s="1660"/>
      <c r="HHJ504" s="1660"/>
      <c r="HHK504" s="1660"/>
      <c r="HHL504" s="1660"/>
      <c r="HHM504" s="1660"/>
      <c r="HHN504" s="1660"/>
      <c r="HHO504" s="1660"/>
      <c r="HHP504" s="1660"/>
      <c r="HHQ504" s="1660"/>
      <c r="HHR504" s="1660"/>
      <c r="HHS504" s="1660"/>
      <c r="HHT504" s="1660"/>
      <c r="HHU504" s="1660"/>
      <c r="HHV504" s="1660"/>
      <c r="HHW504" s="1660"/>
      <c r="HHX504" s="1660"/>
      <c r="HHY504" s="1660"/>
      <c r="HHZ504" s="1660"/>
      <c r="HIA504" s="1660"/>
      <c r="HIB504" s="1660"/>
      <c r="HIC504" s="1660"/>
      <c r="HID504" s="1660"/>
      <c r="HIE504" s="1660"/>
      <c r="HIF504" s="1660"/>
      <c r="HIG504" s="1660"/>
      <c r="HIH504" s="1660"/>
      <c r="HII504" s="1660"/>
      <c r="HIJ504" s="1660"/>
      <c r="HIK504" s="1660"/>
      <c r="HIL504" s="1660"/>
      <c r="HIM504" s="1660"/>
      <c r="HIN504" s="1660"/>
      <c r="HIO504" s="1660"/>
      <c r="HIP504" s="1660"/>
      <c r="HIQ504" s="1660"/>
      <c r="HIR504" s="1660"/>
      <c r="HIS504" s="1660"/>
      <c r="HIT504" s="1660"/>
      <c r="HIU504" s="1660"/>
      <c r="HIV504" s="1660"/>
      <c r="HIW504" s="1660"/>
      <c r="HIX504" s="1660"/>
      <c r="HIY504" s="1660"/>
      <c r="HIZ504" s="1660"/>
      <c r="HJA504" s="1660"/>
      <c r="HJB504" s="1660"/>
      <c r="HJC504" s="1660"/>
      <c r="HJD504" s="1660"/>
      <c r="HJE504" s="1660"/>
      <c r="HJF504" s="1660"/>
      <c r="HJG504" s="1660"/>
      <c r="HJH504" s="1660"/>
      <c r="HJI504" s="1660"/>
      <c r="HJJ504" s="1660"/>
      <c r="HJK504" s="1660"/>
      <c r="HJL504" s="1660"/>
      <c r="HJM504" s="1660"/>
      <c r="HJN504" s="1660"/>
      <c r="HJO504" s="1660"/>
      <c r="HJP504" s="1660"/>
      <c r="HJQ504" s="1660"/>
      <c r="HJR504" s="1660"/>
      <c r="HJS504" s="1660"/>
      <c r="HJT504" s="1660"/>
      <c r="HJU504" s="1660"/>
      <c r="HJV504" s="1660"/>
      <c r="HJW504" s="1660"/>
      <c r="HJX504" s="1660"/>
      <c r="HJY504" s="1660"/>
      <c r="HJZ504" s="1660"/>
      <c r="HKA504" s="1660"/>
      <c r="HKB504" s="1660"/>
      <c r="HKC504" s="1660"/>
      <c r="HKD504" s="1660"/>
      <c r="HKE504" s="1660"/>
      <c r="HKF504" s="1660"/>
      <c r="HKG504" s="1660"/>
      <c r="HKH504" s="1660"/>
      <c r="HKI504" s="1660"/>
      <c r="HKJ504" s="1660"/>
      <c r="HKK504" s="1660"/>
      <c r="HKL504" s="1660"/>
      <c r="HKM504" s="1660"/>
      <c r="HKN504" s="1660"/>
      <c r="HKO504" s="1660"/>
      <c r="HKP504" s="1660"/>
      <c r="HKQ504" s="1660"/>
      <c r="HKR504" s="1660"/>
      <c r="HKS504" s="1660"/>
      <c r="HKT504" s="1660"/>
      <c r="HKU504" s="1660"/>
      <c r="HKV504" s="1660"/>
      <c r="HKW504" s="1660"/>
      <c r="HKX504" s="1660"/>
      <c r="HKY504" s="1660"/>
      <c r="HKZ504" s="1660"/>
      <c r="HLA504" s="1660"/>
      <c r="HLB504" s="1660"/>
      <c r="HLC504" s="1660"/>
      <c r="HLD504" s="1660"/>
      <c r="HLE504" s="1660"/>
      <c r="HLF504" s="1660"/>
      <c r="HLG504" s="1660"/>
      <c r="HLH504" s="1660"/>
      <c r="HLI504" s="1660"/>
      <c r="HLJ504" s="1660"/>
      <c r="HLK504" s="1660"/>
      <c r="HLL504" s="1660"/>
      <c r="HLM504" s="1660"/>
      <c r="HLN504" s="1660"/>
      <c r="HLO504" s="1660"/>
      <c r="HLP504" s="1660"/>
      <c r="HLQ504" s="1660"/>
      <c r="HLR504" s="1660"/>
      <c r="HLS504" s="1660"/>
      <c r="HLT504" s="1660"/>
      <c r="HLU504" s="1660"/>
      <c r="HLV504" s="1660"/>
      <c r="HLW504" s="1660"/>
      <c r="HLX504" s="1660"/>
      <c r="HLY504" s="1660"/>
      <c r="HLZ504" s="1660"/>
      <c r="HMA504" s="1660"/>
      <c r="HMB504" s="1660"/>
      <c r="HMC504" s="1660"/>
      <c r="HMD504" s="1660"/>
      <c r="HME504" s="1660"/>
      <c r="HMF504" s="1660"/>
      <c r="HMG504" s="1660"/>
      <c r="HMH504" s="1660"/>
      <c r="HMI504" s="1660"/>
      <c r="HMJ504" s="1660"/>
      <c r="HMK504" s="1660"/>
      <c r="HML504" s="1660"/>
      <c r="HMM504" s="1660"/>
      <c r="HMN504" s="1660"/>
      <c r="HMO504" s="1660"/>
      <c r="HMP504" s="1660"/>
      <c r="HMQ504" s="1660"/>
      <c r="HMR504" s="1660"/>
      <c r="HMS504" s="1660"/>
      <c r="HMT504" s="1660"/>
      <c r="HMU504" s="1660"/>
      <c r="HMV504" s="1660"/>
      <c r="HMW504" s="1660"/>
      <c r="HMX504" s="1660"/>
      <c r="HMY504" s="1660"/>
      <c r="HMZ504" s="1660"/>
      <c r="HNA504" s="1660"/>
      <c r="HNB504" s="1660"/>
      <c r="HNC504" s="1660"/>
      <c r="HND504" s="1660"/>
      <c r="HNE504" s="1660"/>
      <c r="HNF504" s="1660"/>
      <c r="HNG504" s="1660"/>
      <c r="HNH504" s="1660"/>
      <c r="HNI504" s="1660"/>
      <c r="HNJ504" s="1660"/>
      <c r="HNK504" s="1660"/>
      <c r="HNL504" s="1660"/>
      <c r="HNM504" s="1660"/>
      <c r="HNN504" s="1660"/>
      <c r="HNO504" s="1660"/>
      <c r="HNP504" s="1660"/>
      <c r="HNQ504" s="1660"/>
      <c r="HNR504" s="1660"/>
      <c r="HNS504" s="1660"/>
      <c r="HNT504" s="1660"/>
      <c r="HNU504" s="1660"/>
      <c r="HNV504" s="1660"/>
      <c r="HNW504" s="1660"/>
      <c r="HNX504" s="1660"/>
      <c r="HNY504" s="1660"/>
      <c r="HNZ504" s="1660"/>
      <c r="HOA504" s="1660"/>
      <c r="HOB504" s="1660"/>
      <c r="HOC504" s="1660"/>
      <c r="HOD504" s="1660"/>
      <c r="HOE504" s="1660"/>
      <c r="HOF504" s="1660"/>
      <c r="HOG504" s="1660"/>
      <c r="HOH504" s="1660"/>
      <c r="HOI504" s="1660"/>
      <c r="HOJ504" s="1660"/>
      <c r="HOK504" s="1660"/>
      <c r="HOL504" s="1660"/>
      <c r="HOM504" s="1660"/>
      <c r="HON504" s="1660"/>
      <c r="HOO504" s="1660"/>
      <c r="HOP504" s="1660"/>
      <c r="HOQ504" s="1660"/>
      <c r="HOR504" s="1660"/>
      <c r="HOS504" s="1660"/>
      <c r="HOT504" s="1660"/>
      <c r="HOU504" s="1660"/>
      <c r="HOV504" s="1660"/>
      <c r="HOW504" s="1660"/>
      <c r="HOX504" s="1660"/>
      <c r="HOY504" s="1660"/>
      <c r="HOZ504" s="1660"/>
      <c r="HPA504" s="1660"/>
      <c r="HPB504" s="1660"/>
      <c r="HPC504" s="1660"/>
      <c r="HPD504" s="1660"/>
      <c r="HPE504" s="1660"/>
      <c r="HPF504" s="1660"/>
      <c r="HPG504" s="1660"/>
      <c r="HPH504" s="1660"/>
      <c r="HPI504" s="1660"/>
      <c r="HPJ504" s="1660"/>
      <c r="HPK504" s="1660"/>
      <c r="HPL504" s="1660"/>
      <c r="HPM504" s="1660"/>
      <c r="HPN504" s="1660"/>
      <c r="HPO504" s="1660"/>
      <c r="HPP504" s="1660"/>
      <c r="HPQ504" s="1660"/>
      <c r="HPR504" s="1660"/>
      <c r="HPS504" s="1660"/>
      <c r="HPT504" s="1660"/>
      <c r="HPU504" s="1660"/>
      <c r="HPV504" s="1660"/>
      <c r="HPW504" s="1660"/>
      <c r="HPX504" s="1660"/>
      <c r="HPY504" s="1660"/>
      <c r="HPZ504" s="1660"/>
      <c r="HQA504" s="1660"/>
      <c r="HQB504" s="1660"/>
      <c r="HQC504" s="1660"/>
      <c r="HQD504" s="1660"/>
      <c r="HQE504" s="1660"/>
      <c r="HQF504" s="1660"/>
      <c r="HQG504" s="1660"/>
      <c r="HQH504" s="1660"/>
      <c r="HQI504" s="1660"/>
      <c r="HQJ504" s="1660"/>
      <c r="HQK504" s="1660"/>
      <c r="HQL504" s="1660"/>
      <c r="HQM504" s="1660"/>
      <c r="HQN504" s="1660"/>
      <c r="HQO504" s="1660"/>
      <c r="HQP504" s="1660"/>
      <c r="HQQ504" s="1660"/>
      <c r="HQR504" s="1660"/>
      <c r="HQS504" s="1660"/>
      <c r="HQT504" s="1660"/>
      <c r="HQU504" s="1660"/>
      <c r="HQV504" s="1660"/>
      <c r="HQW504" s="1660"/>
      <c r="HQX504" s="1660"/>
      <c r="HQY504" s="1660"/>
      <c r="HQZ504" s="1660"/>
      <c r="HRA504" s="1660"/>
      <c r="HRB504" s="1660"/>
      <c r="HRC504" s="1660"/>
      <c r="HRD504" s="1660"/>
      <c r="HRE504" s="1660"/>
      <c r="HRF504" s="1660"/>
      <c r="HRG504" s="1660"/>
      <c r="HRH504" s="1660"/>
      <c r="HRI504" s="1660"/>
      <c r="HRJ504" s="1660"/>
      <c r="HRK504" s="1660"/>
      <c r="HRL504" s="1660"/>
      <c r="HRM504" s="1660"/>
      <c r="HRN504" s="1660"/>
      <c r="HRO504" s="1660"/>
      <c r="HRP504" s="1660"/>
      <c r="HRQ504" s="1660"/>
      <c r="HRR504" s="1660"/>
      <c r="HRS504" s="1660"/>
      <c r="HRT504" s="1660"/>
      <c r="HRU504" s="1660"/>
      <c r="HRV504" s="1660"/>
      <c r="HRW504" s="1660"/>
      <c r="HRX504" s="1660"/>
      <c r="HRY504" s="1660"/>
      <c r="HRZ504" s="1660"/>
      <c r="HSA504" s="1660"/>
      <c r="HSB504" s="1660"/>
      <c r="HSC504" s="1660"/>
      <c r="HSD504" s="1660"/>
      <c r="HSE504" s="1660"/>
      <c r="HSF504" s="1660"/>
      <c r="HSG504" s="1660"/>
      <c r="HSH504" s="1660"/>
      <c r="HSI504" s="1660"/>
      <c r="HSJ504" s="1660"/>
      <c r="HSK504" s="1660"/>
      <c r="HSL504" s="1660"/>
      <c r="HSM504" s="1660"/>
      <c r="HSN504" s="1660"/>
      <c r="HSO504" s="1660"/>
      <c r="HSP504" s="1660"/>
      <c r="HSQ504" s="1660"/>
      <c r="HSR504" s="1660"/>
      <c r="HSS504" s="1660"/>
      <c r="HST504" s="1660"/>
      <c r="HSU504" s="1660"/>
      <c r="HSV504" s="1660"/>
      <c r="HSW504" s="1660"/>
      <c r="HSX504" s="1660"/>
      <c r="HSY504" s="1660"/>
      <c r="HSZ504" s="1660"/>
      <c r="HTA504" s="1660"/>
      <c r="HTB504" s="1660"/>
      <c r="HTC504" s="1660"/>
      <c r="HTD504" s="1660"/>
      <c r="HTE504" s="1660"/>
      <c r="HTF504" s="1660"/>
      <c r="HTG504" s="1660"/>
      <c r="HTH504" s="1660"/>
      <c r="HTI504" s="1660"/>
      <c r="HTJ504" s="1660"/>
      <c r="HTK504" s="1660"/>
      <c r="HTL504" s="1660"/>
      <c r="HTM504" s="1660"/>
      <c r="HTN504" s="1660"/>
      <c r="HTO504" s="1660"/>
      <c r="HTP504" s="1660"/>
      <c r="HTQ504" s="1660"/>
      <c r="HTR504" s="1660"/>
      <c r="HTS504" s="1660"/>
      <c r="HTT504" s="1660"/>
      <c r="HTU504" s="1660"/>
      <c r="HTV504" s="1660"/>
      <c r="HTW504" s="1660"/>
      <c r="HTX504" s="1660"/>
      <c r="HTY504" s="1660"/>
      <c r="HTZ504" s="1660"/>
      <c r="HUA504" s="1660"/>
      <c r="HUB504" s="1660"/>
      <c r="HUC504" s="1660"/>
      <c r="HUD504" s="1660"/>
      <c r="HUE504" s="1660"/>
      <c r="HUF504" s="1660"/>
      <c r="HUG504" s="1660"/>
      <c r="HUH504" s="1660"/>
      <c r="HUI504" s="1660"/>
      <c r="HUJ504" s="1660"/>
      <c r="HUK504" s="1660"/>
      <c r="HUL504" s="1660"/>
      <c r="HUM504" s="1660"/>
      <c r="HUN504" s="1660"/>
      <c r="HUO504" s="1660"/>
      <c r="HUP504" s="1660"/>
      <c r="HUQ504" s="1660"/>
      <c r="HUR504" s="1660"/>
      <c r="HUS504" s="1660"/>
      <c r="HUT504" s="1660"/>
      <c r="HUU504" s="1660"/>
      <c r="HUV504" s="1660"/>
      <c r="HUW504" s="1660"/>
      <c r="HUX504" s="1660"/>
      <c r="HUY504" s="1660"/>
      <c r="HUZ504" s="1660"/>
      <c r="HVA504" s="1660"/>
      <c r="HVB504" s="1660"/>
      <c r="HVC504" s="1660"/>
      <c r="HVD504" s="1660"/>
      <c r="HVE504" s="1660"/>
      <c r="HVF504" s="1660"/>
      <c r="HVG504" s="1660"/>
      <c r="HVH504" s="1660"/>
      <c r="HVI504" s="1660"/>
      <c r="HVJ504" s="1660"/>
      <c r="HVK504" s="1660"/>
      <c r="HVL504" s="1660"/>
      <c r="HVM504" s="1660"/>
      <c r="HVN504" s="1660"/>
      <c r="HVO504" s="1660"/>
      <c r="HVP504" s="1660"/>
      <c r="HVQ504" s="1660"/>
      <c r="HVR504" s="1660"/>
      <c r="HVS504" s="1660"/>
      <c r="HVT504" s="1660"/>
      <c r="HVU504" s="1660"/>
      <c r="HVV504" s="1660"/>
      <c r="HVW504" s="1660"/>
      <c r="HVX504" s="1660"/>
      <c r="HVY504" s="1660"/>
      <c r="HVZ504" s="1660"/>
      <c r="HWA504" s="1660"/>
      <c r="HWB504" s="1660"/>
      <c r="HWC504" s="1660"/>
      <c r="HWD504" s="1660"/>
      <c r="HWE504" s="1660"/>
      <c r="HWF504" s="1660"/>
      <c r="HWG504" s="1660"/>
      <c r="HWH504" s="1660"/>
      <c r="HWI504" s="1660"/>
      <c r="HWJ504" s="1660"/>
      <c r="HWK504" s="1660"/>
      <c r="HWL504" s="1660"/>
      <c r="HWM504" s="1660"/>
      <c r="HWN504" s="1660"/>
      <c r="HWO504" s="1660"/>
      <c r="HWP504" s="1660"/>
      <c r="HWQ504" s="1660"/>
      <c r="HWR504" s="1660"/>
      <c r="HWS504" s="1660"/>
      <c r="HWT504" s="1660"/>
      <c r="HWU504" s="1660"/>
      <c r="HWV504" s="1660"/>
      <c r="HWW504" s="1660"/>
      <c r="HWX504" s="1660"/>
      <c r="HWY504" s="1660"/>
      <c r="HWZ504" s="1660"/>
      <c r="HXA504" s="1660"/>
      <c r="HXB504" s="1660"/>
      <c r="HXC504" s="1660"/>
      <c r="HXD504" s="1660"/>
      <c r="HXE504" s="1660"/>
      <c r="HXF504" s="1660"/>
      <c r="HXG504" s="1660"/>
      <c r="HXH504" s="1660"/>
      <c r="HXI504" s="1660"/>
      <c r="HXJ504" s="1660"/>
      <c r="HXK504" s="1660"/>
      <c r="HXL504" s="1660"/>
      <c r="HXM504" s="1660"/>
      <c r="HXN504" s="1660"/>
      <c r="HXO504" s="1660"/>
      <c r="HXP504" s="1660"/>
      <c r="HXQ504" s="1660"/>
      <c r="HXR504" s="1660"/>
      <c r="HXS504" s="1660"/>
      <c r="HXT504" s="1660"/>
      <c r="HXU504" s="1660"/>
      <c r="HXV504" s="1660"/>
      <c r="HXW504" s="1660"/>
      <c r="HXX504" s="1660"/>
      <c r="HXY504" s="1660"/>
      <c r="HXZ504" s="1660"/>
      <c r="HYA504" s="1660"/>
      <c r="HYB504" s="1660"/>
      <c r="HYC504" s="1660"/>
      <c r="HYD504" s="1660"/>
      <c r="HYE504" s="1660"/>
      <c r="HYF504" s="1660"/>
      <c r="HYG504" s="1660"/>
      <c r="HYH504" s="1660"/>
      <c r="HYI504" s="1660"/>
      <c r="HYJ504" s="1660"/>
      <c r="HYK504" s="1660"/>
      <c r="HYL504" s="1660"/>
      <c r="HYM504" s="1660"/>
      <c r="HYN504" s="1660"/>
      <c r="HYO504" s="1660"/>
      <c r="HYP504" s="1660"/>
      <c r="HYQ504" s="1660"/>
      <c r="HYR504" s="1660"/>
      <c r="HYS504" s="1660"/>
      <c r="HYT504" s="1660"/>
      <c r="HYU504" s="1660"/>
      <c r="HYV504" s="1660"/>
      <c r="HYW504" s="1660"/>
      <c r="HYX504" s="1660"/>
      <c r="HYY504" s="1660"/>
      <c r="HYZ504" s="1660"/>
      <c r="HZA504" s="1660"/>
      <c r="HZB504" s="1660"/>
      <c r="HZC504" s="1660"/>
      <c r="HZD504" s="1660"/>
      <c r="HZE504" s="1660"/>
      <c r="HZF504" s="1660"/>
      <c r="HZG504" s="1660"/>
      <c r="HZH504" s="1660"/>
      <c r="HZI504" s="1660"/>
      <c r="HZJ504" s="1660"/>
      <c r="HZK504" s="1660"/>
      <c r="HZL504" s="1660"/>
      <c r="HZM504" s="1660"/>
      <c r="HZN504" s="1660"/>
      <c r="HZO504" s="1660"/>
      <c r="HZP504" s="1660"/>
      <c r="HZQ504" s="1660"/>
      <c r="HZR504" s="1660"/>
      <c r="HZS504" s="1660"/>
      <c r="HZT504" s="1660"/>
      <c r="HZU504" s="1660"/>
      <c r="HZV504" s="1660"/>
      <c r="HZW504" s="1660"/>
      <c r="HZX504" s="1660"/>
      <c r="HZY504" s="1660"/>
      <c r="HZZ504" s="1660"/>
      <c r="IAA504" s="1660"/>
      <c r="IAB504" s="1660"/>
      <c r="IAC504" s="1660"/>
      <c r="IAD504" s="1660"/>
      <c r="IAE504" s="1660"/>
      <c r="IAF504" s="1660"/>
      <c r="IAG504" s="1660"/>
      <c r="IAH504" s="1660"/>
      <c r="IAI504" s="1660"/>
      <c r="IAJ504" s="1660"/>
      <c r="IAK504" s="1660"/>
      <c r="IAL504" s="1660"/>
      <c r="IAM504" s="1660"/>
      <c r="IAN504" s="1660"/>
      <c r="IAO504" s="1660"/>
      <c r="IAP504" s="1660"/>
      <c r="IAQ504" s="1660"/>
      <c r="IAR504" s="1660"/>
      <c r="IAS504" s="1660"/>
      <c r="IAT504" s="1660"/>
      <c r="IAU504" s="1660"/>
      <c r="IAV504" s="1660"/>
      <c r="IAW504" s="1660"/>
      <c r="IAX504" s="1660"/>
      <c r="IAY504" s="1660"/>
      <c r="IAZ504" s="1660"/>
      <c r="IBA504" s="1660"/>
      <c r="IBB504" s="1660"/>
      <c r="IBC504" s="1660"/>
      <c r="IBD504" s="1660"/>
      <c r="IBE504" s="1660"/>
      <c r="IBF504" s="1660"/>
      <c r="IBG504" s="1660"/>
      <c r="IBH504" s="1660"/>
      <c r="IBI504" s="1660"/>
      <c r="IBJ504" s="1660"/>
      <c r="IBK504" s="1660"/>
      <c r="IBL504" s="1660"/>
      <c r="IBM504" s="1660"/>
      <c r="IBN504" s="1660"/>
      <c r="IBO504" s="1660"/>
      <c r="IBP504" s="1660"/>
      <c r="IBQ504" s="1660"/>
      <c r="IBR504" s="1660"/>
      <c r="IBS504" s="1660"/>
      <c r="IBT504" s="1660"/>
      <c r="IBU504" s="1660"/>
      <c r="IBV504" s="1660"/>
      <c r="IBW504" s="1660"/>
      <c r="IBX504" s="1660"/>
      <c r="IBY504" s="1660"/>
      <c r="IBZ504" s="1660"/>
      <c r="ICA504" s="1660"/>
      <c r="ICB504" s="1660"/>
      <c r="ICC504" s="1660"/>
      <c r="ICD504" s="1660"/>
      <c r="ICE504" s="1660"/>
      <c r="ICF504" s="1660"/>
      <c r="ICG504" s="1660"/>
      <c r="ICH504" s="1660"/>
      <c r="ICI504" s="1660"/>
      <c r="ICJ504" s="1660"/>
      <c r="ICK504" s="1660"/>
      <c r="ICL504" s="1660"/>
      <c r="ICM504" s="1660"/>
      <c r="ICN504" s="1660"/>
      <c r="ICO504" s="1660"/>
      <c r="ICP504" s="1660"/>
      <c r="ICQ504" s="1660"/>
      <c r="ICR504" s="1660"/>
      <c r="ICS504" s="1660"/>
      <c r="ICT504" s="1660"/>
      <c r="ICU504" s="1660"/>
      <c r="ICV504" s="1660"/>
      <c r="ICW504" s="1660"/>
      <c r="ICX504" s="1660"/>
      <c r="ICY504" s="1660"/>
      <c r="ICZ504" s="1660"/>
      <c r="IDA504" s="1660"/>
      <c r="IDB504" s="1660"/>
      <c r="IDC504" s="1660"/>
      <c r="IDD504" s="1660"/>
      <c r="IDE504" s="1660"/>
      <c r="IDF504" s="1660"/>
      <c r="IDG504" s="1660"/>
      <c r="IDH504" s="1660"/>
      <c r="IDI504" s="1660"/>
      <c r="IDJ504" s="1660"/>
      <c r="IDK504" s="1660"/>
      <c r="IDL504" s="1660"/>
      <c r="IDM504" s="1660"/>
      <c r="IDN504" s="1660"/>
      <c r="IDO504" s="1660"/>
      <c r="IDP504" s="1660"/>
      <c r="IDQ504" s="1660"/>
      <c r="IDR504" s="1660"/>
      <c r="IDS504" s="1660"/>
      <c r="IDT504" s="1660"/>
      <c r="IDU504" s="1660"/>
      <c r="IDV504" s="1660"/>
      <c r="IDW504" s="1660"/>
      <c r="IDX504" s="1660"/>
      <c r="IDY504" s="1660"/>
      <c r="IDZ504" s="1660"/>
      <c r="IEA504" s="1660"/>
      <c r="IEB504" s="1660"/>
      <c r="IEC504" s="1660"/>
      <c r="IED504" s="1660"/>
      <c r="IEE504" s="1660"/>
      <c r="IEF504" s="1660"/>
      <c r="IEG504" s="1660"/>
      <c r="IEH504" s="1660"/>
      <c r="IEI504" s="1660"/>
      <c r="IEJ504" s="1660"/>
      <c r="IEK504" s="1660"/>
      <c r="IEL504" s="1660"/>
      <c r="IEM504" s="1660"/>
      <c r="IEN504" s="1660"/>
      <c r="IEO504" s="1660"/>
      <c r="IEP504" s="1660"/>
      <c r="IEQ504" s="1660"/>
      <c r="IER504" s="1660"/>
      <c r="IES504" s="1660"/>
      <c r="IET504" s="1660"/>
      <c r="IEU504" s="1660"/>
      <c r="IEV504" s="1660"/>
      <c r="IEW504" s="1660"/>
      <c r="IEX504" s="1660"/>
      <c r="IEY504" s="1660"/>
      <c r="IEZ504" s="1660"/>
      <c r="IFA504" s="1660"/>
      <c r="IFB504" s="1660"/>
      <c r="IFC504" s="1660"/>
      <c r="IFD504" s="1660"/>
      <c r="IFE504" s="1660"/>
      <c r="IFF504" s="1660"/>
      <c r="IFG504" s="1660"/>
      <c r="IFH504" s="1660"/>
      <c r="IFI504" s="1660"/>
      <c r="IFJ504" s="1660"/>
      <c r="IFK504" s="1660"/>
      <c r="IFL504" s="1660"/>
      <c r="IFM504" s="1660"/>
      <c r="IFN504" s="1660"/>
      <c r="IFO504" s="1660"/>
      <c r="IFP504" s="1660"/>
      <c r="IFQ504" s="1660"/>
      <c r="IFR504" s="1660"/>
      <c r="IFS504" s="1660"/>
      <c r="IFT504" s="1660"/>
      <c r="IFU504" s="1660"/>
      <c r="IFV504" s="1660"/>
      <c r="IFW504" s="1660"/>
      <c r="IFX504" s="1660"/>
      <c r="IFY504" s="1660"/>
      <c r="IFZ504" s="1660"/>
      <c r="IGA504" s="1660"/>
      <c r="IGB504" s="1660"/>
      <c r="IGC504" s="1660"/>
      <c r="IGD504" s="1660"/>
      <c r="IGE504" s="1660"/>
      <c r="IGF504" s="1660"/>
      <c r="IGG504" s="1660"/>
      <c r="IGH504" s="1660"/>
      <c r="IGI504" s="1660"/>
      <c r="IGJ504" s="1660"/>
      <c r="IGK504" s="1660"/>
      <c r="IGL504" s="1660"/>
      <c r="IGM504" s="1660"/>
      <c r="IGN504" s="1660"/>
      <c r="IGO504" s="1660"/>
      <c r="IGP504" s="1660"/>
      <c r="IGQ504" s="1660"/>
      <c r="IGR504" s="1660"/>
      <c r="IGS504" s="1660"/>
      <c r="IGT504" s="1660"/>
      <c r="IGU504" s="1660"/>
      <c r="IGV504" s="1660"/>
      <c r="IGW504" s="1660"/>
      <c r="IGX504" s="1660"/>
      <c r="IGY504" s="1660"/>
      <c r="IGZ504" s="1660"/>
      <c r="IHA504" s="1660"/>
      <c r="IHB504" s="1660"/>
      <c r="IHC504" s="1660"/>
      <c r="IHD504" s="1660"/>
      <c r="IHE504" s="1660"/>
      <c r="IHF504" s="1660"/>
      <c r="IHG504" s="1660"/>
      <c r="IHH504" s="1660"/>
      <c r="IHI504" s="1660"/>
      <c r="IHJ504" s="1660"/>
      <c r="IHK504" s="1660"/>
      <c r="IHL504" s="1660"/>
      <c r="IHM504" s="1660"/>
      <c r="IHN504" s="1660"/>
      <c r="IHO504" s="1660"/>
      <c r="IHP504" s="1660"/>
      <c r="IHQ504" s="1660"/>
      <c r="IHR504" s="1660"/>
      <c r="IHS504" s="1660"/>
      <c r="IHT504" s="1660"/>
      <c r="IHU504" s="1660"/>
      <c r="IHV504" s="1660"/>
      <c r="IHW504" s="1660"/>
      <c r="IHX504" s="1660"/>
      <c r="IHY504" s="1660"/>
      <c r="IHZ504" s="1660"/>
      <c r="IIA504" s="1660"/>
      <c r="IIB504" s="1660"/>
      <c r="IIC504" s="1660"/>
      <c r="IID504" s="1660"/>
      <c r="IIE504" s="1660"/>
      <c r="IIF504" s="1660"/>
      <c r="IIG504" s="1660"/>
      <c r="IIH504" s="1660"/>
      <c r="III504" s="1660"/>
      <c r="IIJ504" s="1660"/>
      <c r="IIK504" s="1660"/>
      <c r="IIL504" s="1660"/>
      <c r="IIM504" s="1660"/>
      <c r="IIN504" s="1660"/>
      <c r="IIO504" s="1660"/>
      <c r="IIP504" s="1660"/>
      <c r="IIQ504" s="1660"/>
      <c r="IIR504" s="1660"/>
      <c r="IIS504" s="1660"/>
      <c r="IIT504" s="1660"/>
      <c r="IIU504" s="1660"/>
      <c r="IIV504" s="1660"/>
      <c r="IIW504" s="1660"/>
      <c r="IIX504" s="1660"/>
      <c r="IIY504" s="1660"/>
      <c r="IIZ504" s="1660"/>
      <c r="IJA504" s="1660"/>
      <c r="IJB504" s="1660"/>
      <c r="IJC504" s="1660"/>
      <c r="IJD504" s="1660"/>
      <c r="IJE504" s="1660"/>
      <c r="IJF504" s="1660"/>
      <c r="IJG504" s="1660"/>
      <c r="IJH504" s="1660"/>
      <c r="IJI504" s="1660"/>
      <c r="IJJ504" s="1660"/>
      <c r="IJK504" s="1660"/>
      <c r="IJL504" s="1660"/>
      <c r="IJM504" s="1660"/>
      <c r="IJN504" s="1660"/>
      <c r="IJO504" s="1660"/>
      <c r="IJP504" s="1660"/>
      <c r="IJQ504" s="1660"/>
      <c r="IJR504" s="1660"/>
      <c r="IJS504" s="1660"/>
      <c r="IJT504" s="1660"/>
      <c r="IJU504" s="1660"/>
      <c r="IJV504" s="1660"/>
      <c r="IJW504" s="1660"/>
      <c r="IJX504" s="1660"/>
      <c r="IJY504" s="1660"/>
      <c r="IJZ504" s="1660"/>
      <c r="IKA504" s="1660"/>
      <c r="IKB504" s="1660"/>
      <c r="IKC504" s="1660"/>
      <c r="IKD504" s="1660"/>
      <c r="IKE504" s="1660"/>
      <c r="IKF504" s="1660"/>
      <c r="IKG504" s="1660"/>
      <c r="IKH504" s="1660"/>
      <c r="IKI504" s="1660"/>
      <c r="IKJ504" s="1660"/>
      <c r="IKK504" s="1660"/>
      <c r="IKL504" s="1660"/>
      <c r="IKM504" s="1660"/>
      <c r="IKN504" s="1660"/>
      <c r="IKO504" s="1660"/>
      <c r="IKP504" s="1660"/>
      <c r="IKQ504" s="1660"/>
      <c r="IKR504" s="1660"/>
      <c r="IKS504" s="1660"/>
      <c r="IKT504" s="1660"/>
      <c r="IKU504" s="1660"/>
      <c r="IKV504" s="1660"/>
      <c r="IKW504" s="1660"/>
      <c r="IKX504" s="1660"/>
      <c r="IKY504" s="1660"/>
      <c r="IKZ504" s="1660"/>
      <c r="ILA504" s="1660"/>
      <c r="ILB504" s="1660"/>
      <c r="ILC504" s="1660"/>
      <c r="ILD504" s="1660"/>
      <c r="ILE504" s="1660"/>
      <c r="ILF504" s="1660"/>
      <c r="ILG504" s="1660"/>
      <c r="ILH504" s="1660"/>
      <c r="ILI504" s="1660"/>
      <c r="ILJ504" s="1660"/>
      <c r="ILK504" s="1660"/>
      <c r="ILL504" s="1660"/>
      <c r="ILM504" s="1660"/>
      <c r="ILN504" s="1660"/>
      <c r="ILO504" s="1660"/>
      <c r="ILP504" s="1660"/>
      <c r="ILQ504" s="1660"/>
      <c r="ILR504" s="1660"/>
      <c r="ILS504" s="1660"/>
      <c r="ILT504" s="1660"/>
      <c r="ILU504" s="1660"/>
      <c r="ILV504" s="1660"/>
      <c r="ILW504" s="1660"/>
      <c r="ILX504" s="1660"/>
      <c r="ILY504" s="1660"/>
      <c r="ILZ504" s="1660"/>
      <c r="IMA504" s="1660"/>
      <c r="IMB504" s="1660"/>
      <c r="IMC504" s="1660"/>
      <c r="IMD504" s="1660"/>
      <c r="IME504" s="1660"/>
      <c r="IMF504" s="1660"/>
      <c r="IMG504" s="1660"/>
      <c r="IMH504" s="1660"/>
      <c r="IMI504" s="1660"/>
      <c r="IMJ504" s="1660"/>
      <c r="IMK504" s="1660"/>
      <c r="IML504" s="1660"/>
      <c r="IMM504" s="1660"/>
      <c r="IMN504" s="1660"/>
      <c r="IMO504" s="1660"/>
      <c r="IMP504" s="1660"/>
      <c r="IMQ504" s="1660"/>
      <c r="IMR504" s="1660"/>
      <c r="IMS504" s="1660"/>
      <c r="IMT504" s="1660"/>
      <c r="IMU504" s="1660"/>
      <c r="IMV504" s="1660"/>
      <c r="IMW504" s="1660"/>
      <c r="IMX504" s="1660"/>
      <c r="IMY504" s="1660"/>
      <c r="IMZ504" s="1660"/>
      <c r="INA504" s="1660"/>
      <c r="INB504" s="1660"/>
      <c r="INC504" s="1660"/>
      <c r="IND504" s="1660"/>
      <c r="INE504" s="1660"/>
      <c r="INF504" s="1660"/>
      <c r="ING504" s="1660"/>
      <c r="INH504" s="1660"/>
      <c r="INI504" s="1660"/>
      <c r="INJ504" s="1660"/>
      <c r="INK504" s="1660"/>
      <c r="INL504" s="1660"/>
      <c r="INM504" s="1660"/>
      <c r="INN504" s="1660"/>
      <c r="INO504" s="1660"/>
      <c r="INP504" s="1660"/>
      <c r="INQ504" s="1660"/>
      <c r="INR504" s="1660"/>
      <c r="INS504" s="1660"/>
      <c r="INT504" s="1660"/>
      <c r="INU504" s="1660"/>
      <c r="INV504" s="1660"/>
      <c r="INW504" s="1660"/>
      <c r="INX504" s="1660"/>
      <c r="INY504" s="1660"/>
      <c r="INZ504" s="1660"/>
      <c r="IOA504" s="1660"/>
      <c r="IOB504" s="1660"/>
      <c r="IOC504" s="1660"/>
      <c r="IOD504" s="1660"/>
      <c r="IOE504" s="1660"/>
      <c r="IOF504" s="1660"/>
      <c r="IOG504" s="1660"/>
      <c r="IOH504" s="1660"/>
      <c r="IOI504" s="1660"/>
      <c r="IOJ504" s="1660"/>
      <c r="IOK504" s="1660"/>
      <c r="IOL504" s="1660"/>
      <c r="IOM504" s="1660"/>
      <c r="ION504" s="1660"/>
      <c r="IOO504" s="1660"/>
      <c r="IOP504" s="1660"/>
      <c r="IOQ504" s="1660"/>
      <c r="IOR504" s="1660"/>
      <c r="IOS504" s="1660"/>
      <c r="IOT504" s="1660"/>
      <c r="IOU504" s="1660"/>
      <c r="IOV504" s="1660"/>
      <c r="IOW504" s="1660"/>
      <c r="IOX504" s="1660"/>
      <c r="IOY504" s="1660"/>
      <c r="IOZ504" s="1660"/>
      <c r="IPA504" s="1660"/>
      <c r="IPB504" s="1660"/>
      <c r="IPC504" s="1660"/>
      <c r="IPD504" s="1660"/>
      <c r="IPE504" s="1660"/>
      <c r="IPF504" s="1660"/>
      <c r="IPG504" s="1660"/>
      <c r="IPH504" s="1660"/>
      <c r="IPI504" s="1660"/>
      <c r="IPJ504" s="1660"/>
      <c r="IPK504" s="1660"/>
      <c r="IPL504" s="1660"/>
      <c r="IPM504" s="1660"/>
      <c r="IPN504" s="1660"/>
      <c r="IPO504" s="1660"/>
      <c r="IPP504" s="1660"/>
      <c r="IPQ504" s="1660"/>
      <c r="IPR504" s="1660"/>
      <c r="IPS504" s="1660"/>
      <c r="IPT504" s="1660"/>
      <c r="IPU504" s="1660"/>
      <c r="IPV504" s="1660"/>
      <c r="IPW504" s="1660"/>
      <c r="IPX504" s="1660"/>
      <c r="IPY504" s="1660"/>
      <c r="IPZ504" s="1660"/>
      <c r="IQA504" s="1660"/>
      <c r="IQB504" s="1660"/>
      <c r="IQC504" s="1660"/>
      <c r="IQD504" s="1660"/>
      <c r="IQE504" s="1660"/>
      <c r="IQF504" s="1660"/>
      <c r="IQG504" s="1660"/>
      <c r="IQH504" s="1660"/>
      <c r="IQI504" s="1660"/>
      <c r="IQJ504" s="1660"/>
      <c r="IQK504" s="1660"/>
      <c r="IQL504" s="1660"/>
      <c r="IQM504" s="1660"/>
      <c r="IQN504" s="1660"/>
      <c r="IQO504" s="1660"/>
      <c r="IQP504" s="1660"/>
      <c r="IQQ504" s="1660"/>
      <c r="IQR504" s="1660"/>
      <c r="IQS504" s="1660"/>
      <c r="IQT504" s="1660"/>
      <c r="IQU504" s="1660"/>
      <c r="IQV504" s="1660"/>
      <c r="IQW504" s="1660"/>
      <c r="IQX504" s="1660"/>
      <c r="IQY504" s="1660"/>
      <c r="IQZ504" s="1660"/>
      <c r="IRA504" s="1660"/>
      <c r="IRB504" s="1660"/>
      <c r="IRC504" s="1660"/>
      <c r="IRD504" s="1660"/>
      <c r="IRE504" s="1660"/>
      <c r="IRF504" s="1660"/>
      <c r="IRG504" s="1660"/>
      <c r="IRH504" s="1660"/>
      <c r="IRI504" s="1660"/>
      <c r="IRJ504" s="1660"/>
      <c r="IRK504" s="1660"/>
      <c r="IRL504" s="1660"/>
      <c r="IRM504" s="1660"/>
      <c r="IRN504" s="1660"/>
      <c r="IRO504" s="1660"/>
      <c r="IRP504" s="1660"/>
      <c r="IRQ504" s="1660"/>
      <c r="IRR504" s="1660"/>
      <c r="IRS504" s="1660"/>
      <c r="IRT504" s="1660"/>
      <c r="IRU504" s="1660"/>
      <c r="IRV504" s="1660"/>
      <c r="IRW504" s="1660"/>
      <c r="IRX504" s="1660"/>
      <c r="IRY504" s="1660"/>
      <c r="IRZ504" s="1660"/>
      <c r="ISA504" s="1660"/>
      <c r="ISB504" s="1660"/>
      <c r="ISC504" s="1660"/>
      <c r="ISD504" s="1660"/>
      <c r="ISE504" s="1660"/>
      <c r="ISF504" s="1660"/>
      <c r="ISG504" s="1660"/>
      <c r="ISH504" s="1660"/>
      <c r="ISI504" s="1660"/>
      <c r="ISJ504" s="1660"/>
      <c r="ISK504" s="1660"/>
      <c r="ISL504" s="1660"/>
      <c r="ISM504" s="1660"/>
      <c r="ISN504" s="1660"/>
      <c r="ISO504" s="1660"/>
      <c r="ISP504" s="1660"/>
      <c r="ISQ504" s="1660"/>
      <c r="ISR504" s="1660"/>
      <c r="ISS504" s="1660"/>
      <c r="IST504" s="1660"/>
      <c r="ISU504" s="1660"/>
      <c r="ISV504" s="1660"/>
      <c r="ISW504" s="1660"/>
      <c r="ISX504" s="1660"/>
      <c r="ISY504" s="1660"/>
      <c r="ISZ504" s="1660"/>
      <c r="ITA504" s="1660"/>
      <c r="ITB504" s="1660"/>
      <c r="ITC504" s="1660"/>
      <c r="ITD504" s="1660"/>
      <c r="ITE504" s="1660"/>
      <c r="ITF504" s="1660"/>
      <c r="ITG504" s="1660"/>
      <c r="ITH504" s="1660"/>
      <c r="ITI504" s="1660"/>
      <c r="ITJ504" s="1660"/>
      <c r="ITK504" s="1660"/>
      <c r="ITL504" s="1660"/>
      <c r="ITM504" s="1660"/>
      <c r="ITN504" s="1660"/>
      <c r="ITO504" s="1660"/>
      <c r="ITP504" s="1660"/>
      <c r="ITQ504" s="1660"/>
      <c r="ITR504" s="1660"/>
      <c r="ITS504" s="1660"/>
      <c r="ITT504" s="1660"/>
      <c r="ITU504" s="1660"/>
      <c r="ITV504" s="1660"/>
      <c r="ITW504" s="1660"/>
      <c r="ITX504" s="1660"/>
      <c r="ITY504" s="1660"/>
      <c r="ITZ504" s="1660"/>
      <c r="IUA504" s="1660"/>
      <c r="IUB504" s="1660"/>
      <c r="IUC504" s="1660"/>
      <c r="IUD504" s="1660"/>
      <c r="IUE504" s="1660"/>
      <c r="IUF504" s="1660"/>
      <c r="IUG504" s="1660"/>
      <c r="IUH504" s="1660"/>
      <c r="IUI504" s="1660"/>
      <c r="IUJ504" s="1660"/>
      <c r="IUK504" s="1660"/>
      <c r="IUL504" s="1660"/>
      <c r="IUM504" s="1660"/>
      <c r="IUN504" s="1660"/>
      <c r="IUO504" s="1660"/>
      <c r="IUP504" s="1660"/>
      <c r="IUQ504" s="1660"/>
      <c r="IUR504" s="1660"/>
      <c r="IUS504" s="1660"/>
      <c r="IUT504" s="1660"/>
      <c r="IUU504" s="1660"/>
      <c r="IUV504" s="1660"/>
      <c r="IUW504" s="1660"/>
      <c r="IUX504" s="1660"/>
      <c r="IUY504" s="1660"/>
      <c r="IUZ504" s="1660"/>
      <c r="IVA504" s="1660"/>
      <c r="IVB504" s="1660"/>
      <c r="IVC504" s="1660"/>
      <c r="IVD504" s="1660"/>
      <c r="IVE504" s="1660"/>
      <c r="IVF504" s="1660"/>
      <c r="IVG504" s="1660"/>
      <c r="IVH504" s="1660"/>
      <c r="IVI504" s="1660"/>
      <c r="IVJ504" s="1660"/>
      <c r="IVK504" s="1660"/>
      <c r="IVL504" s="1660"/>
      <c r="IVM504" s="1660"/>
      <c r="IVN504" s="1660"/>
      <c r="IVO504" s="1660"/>
      <c r="IVP504" s="1660"/>
      <c r="IVQ504" s="1660"/>
      <c r="IVR504" s="1660"/>
      <c r="IVS504" s="1660"/>
      <c r="IVT504" s="1660"/>
      <c r="IVU504" s="1660"/>
      <c r="IVV504" s="1660"/>
      <c r="IVW504" s="1660"/>
      <c r="IVX504" s="1660"/>
      <c r="IVY504" s="1660"/>
      <c r="IVZ504" s="1660"/>
      <c r="IWA504" s="1660"/>
      <c r="IWB504" s="1660"/>
      <c r="IWC504" s="1660"/>
      <c r="IWD504" s="1660"/>
      <c r="IWE504" s="1660"/>
      <c r="IWF504" s="1660"/>
      <c r="IWG504" s="1660"/>
      <c r="IWH504" s="1660"/>
      <c r="IWI504" s="1660"/>
      <c r="IWJ504" s="1660"/>
      <c r="IWK504" s="1660"/>
      <c r="IWL504" s="1660"/>
      <c r="IWM504" s="1660"/>
      <c r="IWN504" s="1660"/>
      <c r="IWO504" s="1660"/>
      <c r="IWP504" s="1660"/>
      <c r="IWQ504" s="1660"/>
      <c r="IWR504" s="1660"/>
      <c r="IWS504" s="1660"/>
      <c r="IWT504" s="1660"/>
      <c r="IWU504" s="1660"/>
      <c r="IWV504" s="1660"/>
      <c r="IWW504" s="1660"/>
      <c r="IWX504" s="1660"/>
      <c r="IWY504" s="1660"/>
      <c r="IWZ504" s="1660"/>
      <c r="IXA504" s="1660"/>
      <c r="IXB504" s="1660"/>
      <c r="IXC504" s="1660"/>
      <c r="IXD504" s="1660"/>
      <c r="IXE504" s="1660"/>
      <c r="IXF504" s="1660"/>
      <c r="IXG504" s="1660"/>
      <c r="IXH504" s="1660"/>
      <c r="IXI504" s="1660"/>
      <c r="IXJ504" s="1660"/>
      <c r="IXK504" s="1660"/>
      <c r="IXL504" s="1660"/>
      <c r="IXM504" s="1660"/>
      <c r="IXN504" s="1660"/>
      <c r="IXO504" s="1660"/>
      <c r="IXP504" s="1660"/>
      <c r="IXQ504" s="1660"/>
      <c r="IXR504" s="1660"/>
      <c r="IXS504" s="1660"/>
      <c r="IXT504" s="1660"/>
      <c r="IXU504" s="1660"/>
      <c r="IXV504" s="1660"/>
      <c r="IXW504" s="1660"/>
      <c r="IXX504" s="1660"/>
      <c r="IXY504" s="1660"/>
      <c r="IXZ504" s="1660"/>
      <c r="IYA504" s="1660"/>
      <c r="IYB504" s="1660"/>
      <c r="IYC504" s="1660"/>
      <c r="IYD504" s="1660"/>
      <c r="IYE504" s="1660"/>
      <c r="IYF504" s="1660"/>
      <c r="IYG504" s="1660"/>
      <c r="IYH504" s="1660"/>
      <c r="IYI504" s="1660"/>
      <c r="IYJ504" s="1660"/>
      <c r="IYK504" s="1660"/>
      <c r="IYL504" s="1660"/>
      <c r="IYM504" s="1660"/>
      <c r="IYN504" s="1660"/>
      <c r="IYO504" s="1660"/>
      <c r="IYP504" s="1660"/>
      <c r="IYQ504" s="1660"/>
      <c r="IYR504" s="1660"/>
      <c r="IYS504" s="1660"/>
      <c r="IYT504" s="1660"/>
      <c r="IYU504" s="1660"/>
      <c r="IYV504" s="1660"/>
      <c r="IYW504" s="1660"/>
      <c r="IYX504" s="1660"/>
      <c r="IYY504" s="1660"/>
      <c r="IYZ504" s="1660"/>
      <c r="IZA504" s="1660"/>
      <c r="IZB504" s="1660"/>
      <c r="IZC504" s="1660"/>
      <c r="IZD504" s="1660"/>
      <c r="IZE504" s="1660"/>
      <c r="IZF504" s="1660"/>
      <c r="IZG504" s="1660"/>
      <c r="IZH504" s="1660"/>
      <c r="IZI504" s="1660"/>
      <c r="IZJ504" s="1660"/>
      <c r="IZK504" s="1660"/>
      <c r="IZL504" s="1660"/>
      <c r="IZM504" s="1660"/>
      <c r="IZN504" s="1660"/>
      <c r="IZO504" s="1660"/>
      <c r="IZP504" s="1660"/>
      <c r="IZQ504" s="1660"/>
      <c r="IZR504" s="1660"/>
      <c r="IZS504" s="1660"/>
      <c r="IZT504" s="1660"/>
      <c r="IZU504" s="1660"/>
      <c r="IZV504" s="1660"/>
      <c r="IZW504" s="1660"/>
      <c r="IZX504" s="1660"/>
      <c r="IZY504" s="1660"/>
      <c r="IZZ504" s="1660"/>
      <c r="JAA504" s="1660"/>
      <c r="JAB504" s="1660"/>
      <c r="JAC504" s="1660"/>
      <c r="JAD504" s="1660"/>
      <c r="JAE504" s="1660"/>
      <c r="JAF504" s="1660"/>
      <c r="JAG504" s="1660"/>
      <c r="JAH504" s="1660"/>
      <c r="JAI504" s="1660"/>
      <c r="JAJ504" s="1660"/>
      <c r="JAK504" s="1660"/>
      <c r="JAL504" s="1660"/>
      <c r="JAM504" s="1660"/>
      <c r="JAN504" s="1660"/>
      <c r="JAO504" s="1660"/>
      <c r="JAP504" s="1660"/>
      <c r="JAQ504" s="1660"/>
      <c r="JAR504" s="1660"/>
      <c r="JAS504" s="1660"/>
      <c r="JAT504" s="1660"/>
      <c r="JAU504" s="1660"/>
      <c r="JAV504" s="1660"/>
      <c r="JAW504" s="1660"/>
      <c r="JAX504" s="1660"/>
      <c r="JAY504" s="1660"/>
      <c r="JAZ504" s="1660"/>
      <c r="JBA504" s="1660"/>
      <c r="JBB504" s="1660"/>
      <c r="JBC504" s="1660"/>
      <c r="JBD504" s="1660"/>
      <c r="JBE504" s="1660"/>
      <c r="JBF504" s="1660"/>
      <c r="JBG504" s="1660"/>
      <c r="JBH504" s="1660"/>
      <c r="JBI504" s="1660"/>
      <c r="JBJ504" s="1660"/>
      <c r="JBK504" s="1660"/>
      <c r="JBL504" s="1660"/>
      <c r="JBM504" s="1660"/>
      <c r="JBN504" s="1660"/>
      <c r="JBO504" s="1660"/>
      <c r="JBP504" s="1660"/>
      <c r="JBQ504" s="1660"/>
      <c r="JBR504" s="1660"/>
      <c r="JBS504" s="1660"/>
      <c r="JBT504" s="1660"/>
      <c r="JBU504" s="1660"/>
      <c r="JBV504" s="1660"/>
      <c r="JBW504" s="1660"/>
      <c r="JBX504" s="1660"/>
      <c r="JBY504" s="1660"/>
      <c r="JBZ504" s="1660"/>
      <c r="JCA504" s="1660"/>
      <c r="JCB504" s="1660"/>
      <c r="JCC504" s="1660"/>
      <c r="JCD504" s="1660"/>
      <c r="JCE504" s="1660"/>
      <c r="JCF504" s="1660"/>
      <c r="JCG504" s="1660"/>
      <c r="JCH504" s="1660"/>
      <c r="JCI504" s="1660"/>
      <c r="JCJ504" s="1660"/>
      <c r="JCK504" s="1660"/>
      <c r="JCL504" s="1660"/>
      <c r="JCM504" s="1660"/>
      <c r="JCN504" s="1660"/>
      <c r="JCO504" s="1660"/>
      <c r="JCP504" s="1660"/>
      <c r="JCQ504" s="1660"/>
      <c r="JCR504" s="1660"/>
      <c r="JCS504" s="1660"/>
      <c r="JCT504" s="1660"/>
      <c r="JCU504" s="1660"/>
      <c r="JCV504" s="1660"/>
      <c r="JCW504" s="1660"/>
      <c r="JCX504" s="1660"/>
      <c r="JCY504" s="1660"/>
      <c r="JCZ504" s="1660"/>
      <c r="JDA504" s="1660"/>
      <c r="JDB504" s="1660"/>
      <c r="JDC504" s="1660"/>
      <c r="JDD504" s="1660"/>
      <c r="JDE504" s="1660"/>
      <c r="JDF504" s="1660"/>
      <c r="JDG504" s="1660"/>
      <c r="JDH504" s="1660"/>
      <c r="JDI504" s="1660"/>
      <c r="JDJ504" s="1660"/>
      <c r="JDK504" s="1660"/>
      <c r="JDL504" s="1660"/>
      <c r="JDM504" s="1660"/>
      <c r="JDN504" s="1660"/>
      <c r="JDO504" s="1660"/>
      <c r="JDP504" s="1660"/>
      <c r="JDQ504" s="1660"/>
      <c r="JDR504" s="1660"/>
      <c r="JDS504" s="1660"/>
      <c r="JDT504" s="1660"/>
      <c r="JDU504" s="1660"/>
      <c r="JDV504" s="1660"/>
      <c r="JDW504" s="1660"/>
      <c r="JDX504" s="1660"/>
      <c r="JDY504" s="1660"/>
      <c r="JDZ504" s="1660"/>
      <c r="JEA504" s="1660"/>
      <c r="JEB504" s="1660"/>
      <c r="JEC504" s="1660"/>
      <c r="JED504" s="1660"/>
      <c r="JEE504" s="1660"/>
      <c r="JEF504" s="1660"/>
      <c r="JEG504" s="1660"/>
      <c r="JEH504" s="1660"/>
      <c r="JEI504" s="1660"/>
      <c r="JEJ504" s="1660"/>
      <c r="JEK504" s="1660"/>
      <c r="JEL504" s="1660"/>
      <c r="JEM504" s="1660"/>
      <c r="JEN504" s="1660"/>
      <c r="JEO504" s="1660"/>
      <c r="JEP504" s="1660"/>
      <c r="JEQ504" s="1660"/>
      <c r="JER504" s="1660"/>
      <c r="JES504" s="1660"/>
      <c r="JET504" s="1660"/>
      <c r="JEU504" s="1660"/>
      <c r="JEV504" s="1660"/>
      <c r="JEW504" s="1660"/>
      <c r="JEX504" s="1660"/>
      <c r="JEY504" s="1660"/>
      <c r="JEZ504" s="1660"/>
      <c r="JFA504" s="1660"/>
      <c r="JFB504" s="1660"/>
      <c r="JFC504" s="1660"/>
      <c r="JFD504" s="1660"/>
      <c r="JFE504" s="1660"/>
      <c r="JFF504" s="1660"/>
      <c r="JFG504" s="1660"/>
      <c r="JFH504" s="1660"/>
      <c r="JFI504" s="1660"/>
      <c r="JFJ504" s="1660"/>
      <c r="JFK504" s="1660"/>
      <c r="JFL504" s="1660"/>
      <c r="JFM504" s="1660"/>
      <c r="JFN504" s="1660"/>
      <c r="JFO504" s="1660"/>
      <c r="JFP504" s="1660"/>
      <c r="JFQ504" s="1660"/>
      <c r="JFR504" s="1660"/>
      <c r="JFS504" s="1660"/>
      <c r="JFT504" s="1660"/>
      <c r="JFU504" s="1660"/>
      <c r="JFV504" s="1660"/>
      <c r="JFW504" s="1660"/>
      <c r="JFX504" s="1660"/>
      <c r="JFY504" s="1660"/>
      <c r="JFZ504" s="1660"/>
      <c r="JGA504" s="1660"/>
      <c r="JGB504" s="1660"/>
      <c r="JGC504" s="1660"/>
      <c r="JGD504" s="1660"/>
      <c r="JGE504" s="1660"/>
      <c r="JGF504" s="1660"/>
      <c r="JGG504" s="1660"/>
      <c r="JGH504" s="1660"/>
      <c r="JGI504" s="1660"/>
      <c r="JGJ504" s="1660"/>
      <c r="JGK504" s="1660"/>
      <c r="JGL504" s="1660"/>
      <c r="JGM504" s="1660"/>
      <c r="JGN504" s="1660"/>
      <c r="JGO504" s="1660"/>
      <c r="JGP504" s="1660"/>
      <c r="JGQ504" s="1660"/>
      <c r="JGR504" s="1660"/>
      <c r="JGS504" s="1660"/>
      <c r="JGT504" s="1660"/>
      <c r="JGU504" s="1660"/>
      <c r="JGV504" s="1660"/>
      <c r="JGW504" s="1660"/>
      <c r="JGX504" s="1660"/>
      <c r="JGY504" s="1660"/>
      <c r="JGZ504" s="1660"/>
      <c r="JHA504" s="1660"/>
      <c r="JHB504" s="1660"/>
      <c r="JHC504" s="1660"/>
      <c r="JHD504" s="1660"/>
      <c r="JHE504" s="1660"/>
      <c r="JHF504" s="1660"/>
      <c r="JHG504" s="1660"/>
      <c r="JHH504" s="1660"/>
      <c r="JHI504" s="1660"/>
      <c r="JHJ504" s="1660"/>
      <c r="JHK504" s="1660"/>
      <c r="JHL504" s="1660"/>
      <c r="JHM504" s="1660"/>
      <c r="JHN504" s="1660"/>
      <c r="JHO504" s="1660"/>
      <c r="JHP504" s="1660"/>
      <c r="JHQ504" s="1660"/>
      <c r="JHR504" s="1660"/>
      <c r="JHS504" s="1660"/>
      <c r="JHT504" s="1660"/>
      <c r="JHU504" s="1660"/>
      <c r="JHV504" s="1660"/>
      <c r="JHW504" s="1660"/>
      <c r="JHX504" s="1660"/>
      <c r="JHY504" s="1660"/>
      <c r="JHZ504" s="1660"/>
      <c r="JIA504" s="1660"/>
      <c r="JIB504" s="1660"/>
      <c r="JIC504" s="1660"/>
      <c r="JID504" s="1660"/>
      <c r="JIE504" s="1660"/>
      <c r="JIF504" s="1660"/>
      <c r="JIG504" s="1660"/>
      <c r="JIH504" s="1660"/>
      <c r="JII504" s="1660"/>
      <c r="JIJ504" s="1660"/>
      <c r="JIK504" s="1660"/>
      <c r="JIL504" s="1660"/>
      <c r="JIM504" s="1660"/>
      <c r="JIN504" s="1660"/>
      <c r="JIO504" s="1660"/>
      <c r="JIP504" s="1660"/>
      <c r="JIQ504" s="1660"/>
      <c r="JIR504" s="1660"/>
      <c r="JIS504" s="1660"/>
      <c r="JIT504" s="1660"/>
      <c r="JIU504" s="1660"/>
      <c r="JIV504" s="1660"/>
      <c r="JIW504" s="1660"/>
      <c r="JIX504" s="1660"/>
      <c r="JIY504" s="1660"/>
      <c r="JIZ504" s="1660"/>
      <c r="JJA504" s="1660"/>
      <c r="JJB504" s="1660"/>
      <c r="JJC504" s="1660"/>
      <c r="JJD504" s="1660"/>
      <c r="JJE504" s="1660"/>
      <c r="JJF504" s="1660"/>
      <c r="JJG504" s="1660"/>
      <c r="JJH504" s="1660"/>
      <c r="JJI504" s="1660"/>
      <c r="JJJ504" s="1660"/>
      <c r="JJK504" s="1660"/>
      <c r="JJL504" s="1660"/>
      <c r="JJM504" s="1660"/>
      <c r="JJN504" s="1660"/>
      <c r="JJO504" s="1660"/>
      <c r="JJP504" s="1660"/>
      <c r="JJQ504" s="1660"/>
      <c r="JJR504" s="1660"/>
      <c r="JJS504" s="1660"/>
      <c r="JJT504" s="1660"/>
      <c r="JJU504" s="1660"/>
      <c r="JJV504" s="1660"/>
      <c r="JJW504" s="1660"/>
      <c r="JJX504" s="1660"/>
      <c r="JJY504" s="1660"/>
      <c r="JJZ504" s="1660"/>
      <c r="JKA504" s="1660"/>
      <c r="JKB504" s="1660"/>
      <c r="JKC504" s="1660"/>
      <c r="JKD504" s="1660"/>
      <c r="JKE504" s="1660"/>
      <c r="JKF504" s="1660"/>
      <c r="JKG504" s="1660"/>
      <c r="JKH504" s="1660"/>
      <c r="JKI504" s="1660"/>
      <c r="JKJ504" s="1660"/>
      <c r="JKK504" s="1660"/>
      <c r="JKL504" s="1660"/>
      <c r="JKM504" s="1660"/>
      <c r="JKN504" s="1660"/>
      <c r="JKO504" s="1660"/>
      <c r="JKP504" s="1660"/>
      <c r="JKQ504" s="1660"/>
      <c r="JKR504" s="1660"/>
      <c r="JKS504" s="1660"/>
      <c r="JKT504" s="1660"/>
      <c r="JKU504" s="1660"/>
      <c r="JKV504" s="1660"/>
      <c r="JKW504" s="1660"/>
      <c r="JKX504" s="1660"/>
      <c r="JKY504" s="1660"/>
      <c r="JKZ504" s="1660"/>
      <c r="JLA504" s="1660"/>
      <c r="JLB504" s="1660"/>
      <c r="JLC504" s="1660"/>
      <c r="JLD504" s="1660"/>
      <c r="JLE504" s="1660"/>
      <c r="JLF504" s="1660"/>
      <c r="JLG504" s="1660"/>
      <c r="JLH504" s="1660"/>
      <c r="JLI504" s="1660"/>
      <c r="JLJ504" s="1660"/>
      <c r="JLK504" s="1660"/>
      <c r="JLL504" s="1660"/>
      <c r="JLM504" s="1660"/>
      <c r="JLN504" s="1660"/>
      <c r="JLO504" s="1660"/>
      <c r="JLP504" s="1660"/>
      <c r="JLQ504" s="1660"/>
      <c r="JLR504" s="1660"/>
      <c r="JLS504" s="1660"/>
      <c r="JLT504" s="1660"/>
      <c r="JLU504" s="1660"/>
      <c r="JLV504" s="1660"/>
      <c r="JLW504" s="1660"/>
      <c r="JLX504" s="1660"/>
      <c r="JLY504" s="1660"/>
      <c r="JLZ504" s="1660"/>
      <c r="JMA504" s="1660"/>
      <c r="JMB504" s="1660"/>
      <c r="JMC504" s="1660"/>
      <c r="JMD504" s="1660"/>
      <c r="JME504" s="1660"/>
      <c r="JMF504" s="1660"/>
      <c r="JMG504" s="1660"/>
      <c r="JMH504" s="1660"/>
      <c r="JMI504" s="1660"/>
      <c r="JMJ504" s="1660"/>
      <c r="JMK504" s="1660"/>
      <c r="JML504" s="1660"/>
      <c r="JMM504" s="1660"/>
      <c r="JMN504" s="1660"/>
      <c r="JMO504" s="1660"/>
      <c r="JMP504" s="1660"/>
      <c r="JMQ504" s="1660"/>
      <c r="JMR504" s="1660"/>
      <c r="JMS504" s="1660"/>
      <c r="JMT504" s="1660"/>
      <c r="JMU504" s="1660"/>
      <c r="JMV504" s="1660"/>
      <c r="JMW504" s="1660"/>
      <c r="JMX504" s="1660"/>
      <c r="JMY504" s="1660"/>
      <c r="JMZ504" s="1660"/>
      <c r="JNA504" s="1660"/>
      <c r="JNB504" s="1660"/>
      <c r="JNC504" s="1660"/>
      <c r="JND504" s="1660"/>
      <c r="JNE504" s="1660"/>
      <c r="JNF504" s="1660"/>
      <c r="JNG504" s="1660"/>
      <c r="JNH504" s="1660"/>
      <c r="JNI504" s="1660"/>
      <c r="JNJ504" s="1660"/>
      <c r="JNK504" s="1660"/>
      <c r="JNL504" s="1660"/>
      <c r="JNM504" s="1660"/>
      <c r="JNN504" s="1660"/>
      <c r="JNO504" s="1660"/>
      <c r="JNP504" s="1660"/>
      <c r="JNQ504" s="1660"/>
      <c r="JNR504" s="1660"/>
      <c r="JNS504" s="1660"/>
      <c r="JNT504" s="1660"/>
      <c r="JNU504" s="1660"/>
      <c r="JNV504" s="1660"/>
      <c r="JNW504" s="1660"/>
      <c r="JNX504" s="1660"/>
      <c r="JNY504" s="1660"/>
      <c r="JNZ504" s="1660"/>
      <c r="JOA504" s="1660"/>
      <c r="JOB504" s="1660"/>
      <c r="JOC504" s="1660"/>
      <c r="JOD504" s="1660"/>
      <c r="JOE504" s="1660"/>
      <c r="JOF504" s="1660"/>
      <c r="JOG504" s="1660"/>
      <c r="JOH504" s="1660"/>
      <c r="JOI504" s="1660"/>
      <c r="JOJ504" s="1660"/>
      <c r="JOK504" s="1660"/>
      <c r="JOL504" s="1660"/>
      <c r="JOM504" s="1660"/>
      <c r="JON504" s="1660"/>
      <c r="JOO504" s="1660"/>
      <c r="JOP504" s="1660"/>
      <c r="JOQ504" s="1660"/>
      <c r="JOR504" s="1660"/>
      <c r="JOS504" s="1660"/>
      <c r="JOT504" s="1660"/>
      <c r="JOU504" s="1660"/>
      <c r="JOV504" s="1660"/>
      <c r="JOW504" s="1660"/>
      <c r="JOX504" s="1660"/>
      <c r="JOY504" s="1660"/>
      <c r="JOZ504" s="1660"/>
      <c r="JPA504" s="1660"/>
      <c r="JPB504" s="1660"/>
      <c r="JPC504" s="1660"/>
      <c r="JPD504" s="1660"/>
      <c r="JPE504" s="1660"/>
      <c r="JPF504" s="1660"/>
      <c r="JPG504" s="1660"/>
      <c r="JPH504" s="1660"/>
      <c r="JPI504" s="1660"/>
      <c r="JPJ504" s="1660"/>
      <c r="JPK504" s="1660"/>
      <c r="JPL504" s="1660"/>
      <c r="JPM504" s="1660"/>
      <c r="JPN504" s="1660"/>
      <c r="JPO504" s="1660"/>
      <c r="JPP504" s="1660"/>
      <c r="JPQ504" s="1660"/>
      <c r="JPR504" s="1660"/>
      <c r="JPS504" s="1660"/>
      <c r="JPT504" s="1660"/>
      <c r="JPU504" s="1660"/>
      <c r="JPV504" s="1660"/>
      <c r="JPW504" s="1660"/>
      <c r="JPX504" s="1660"/>
      <c r="JPY504" s="1660"/>
      <c r="JPZ504" s="1660"/>
      <c r="JQA504" s="1660"/>
      <c r="JQB504" s="1660"/>
      <c r="JQC504" s="1660"/>
      <c r="JQD504" s="1660"/>
      <c r="JQE504" s="1660"/>
      <c r="JQF504" s="1660"/>
      <c r="JQG504" s="1660"/>
      <c r="JQH504" s="1660"/>
      <c r="JQI504" s="1660"/>
      <c r="JQJ504" s="1660"/>
      <c r="JQK504" s="1660"/>
      <c r="JQL504" s="1660"/>
      <c r="JQM504" s="1660"/>
      <c r="JQN504" s="1660"/>
      <c r="JQO504" s="1660"/>
      <c r="JQP504" s="1660"/>
      <c r="JQQ504" s="1660"/>
      <c r="JQR504" s="1660"/>
      <c r="JQS504" s="1660"/>
      <c r="JQT504" s="1660"/>
      <c r="JQU504" s="1660"/>
      <c r="JQV504" s="1660"/>
      <c r="JQW504" s="1660"/>
      <c r="JQX504" s="1660"/>
      <c r="JQY504" s="1660"/>
      <c r="JQZ504" s="1660"/>
      <c r="JRA504" s="1660"/>
      <c r="JRB504" s="1660"/>
      <c r="JRC504" s="1660"/>
      <c r="JRD504" s="1660"/>
      <c r="JRE504" s="1660"/>
      <c r="JRF504" s="1660"/>
      <c r="JRG504" s="1660"/>
      <c r="JRH504" s="1660"/>
      <c r="JRI504" s="1660"/>
      <c r="JRJ504" s="1660"/>
      <c r="JRK504" s="1660"/>
      <c r="JRL504" s="1660"/>
      <c r="JRM504" s="1660"/>
      <c r="JRN504" s="1660"/>
      <c r="JRO504" s="1660"/>
      <c r="JRP504" s="1660"/>
      <c r="JRQ504" s="1660"/>
      <c r="JRR504" s="1660"/>
      <c r="JRS504" s="1660"/>
      <c r="JRT504" s="1660"/>
      <c r="JRU504" s="1660"/>
      <c r="JRV504" s="1660"/>
      <c r="JRW504" s="1660"/>
      <c r="JRX504" s="1660"/>
      <c r="JRY504" s="1660"/>
      <c r="JRZ504" s="1660"/>
      <c r="JSA504" s="1660"/>
      <c r="JSB504" s="1660"/>
      <c r="JSC504" s="1660"/>
      <c r="JSD504" s="1660"/>
      <c r="JSE504" s="1660"/>
      <c r="JSF504" s="1660"/>
      <c r="JSG504" s="1660"/>
      <c r="JSH504" s="1660"/>
      <c r="JSI504" s="1660"/>
      <c r="JSJ504" s="1660"/>
      <c r="JSK504" s="1660"/>
      <c r="JSL504" s="1660"/>
      <c r="JSM504" s="1660"/>
      <c r="JSN504" s="1660"/>
      <c r="JSO504" s="1660"/>
      <c r="JSP504" s="1660"/>
      <c r="JSQ504" s="1660"/>
      <c r="JSR504" s="1660"/>
      <c r="JSS504" s="1660"/>
      <c r="JST504" s="1660"/>
      <c r="JSU504" s="1660"/>
      <c r="JSV504" s="1660"/>
      <c r="JSW504" s="1660"/>
      <c r="JSX504" s="1660"/>
      <c r="JSY504" s="1660"/>
      <c r="JSZ504" s="1660"/>
      <c r="JTA504" s="1660"/>
      <c r="JTB504" s="1660"/>
      <c r="JTC504" s="1660"/>
      <c r="JTD504" s="1660"/>
      <c r="JTE504" s="1660"/>
      <c r="JTF504" s="1660"/>
      <c r="JTG504" s="1660"/>
      <c r="JTH504" s="1660"/>
      <c r="JTI504" s="1660"/>
      <c r="JTJ504" s="1660"/>
      <c r="JTK504" s="1660"/>
      <c r="JTL504" s="1660"/>
      <c r="JTM504" s="1660"/>
      <c r="JTN504" s="1660"/>
      <c r="JTO504" s="1660"/>
      <c r="JTP504" s="1660"/>
      <c r="JTQ504" s="1660"/>
      <c r="JTR504" s="1660"/>
      <c r="JTS504" s="1660"/>
      <c r="JTT504" s="1660"/>
      <c r="JTU504" s="1660"/>
      <c r="JTV504" s="1660"/>
      <c r="JTW504" s="1660"/>
      <c r="JTX504" s="1660"/>
      <c r="JTY504" s="1660"/>
      <c r="JTZ504" s="1660"/>
      <c r="JUA504" s="1660"/>
      <c r="JUB504" s="1660"/>
      <c r="JUC504" s="1660"/>
      <c r="JUD504" s="1660"/>
      <c r="JUE504" s="1660"/>
      <c r="JUF504" s="1660"/>
      <c r="JUG504" s="1660"/>
      <c r="JUH504" s="1660"/>
      <c r="JUI504" s="1660"/>
      <c r="JUJ504" s="1660"/>
      <c r="JUK504" s="1660"/>
      <c r="JUL504" s="1660"/>
      <c r="JUM504" s="1660"/>
      <c r="JUN504" s="1660"/>
      <c r="JUO504" s="1660"/>
      <c r="JUP504" s="1660"/>
      <c r="JUQ504" s="1660"/>
      <c r="JUR504" s="1660"/>
      <c r="JUS504" s="1660"/>
      <c r="JUT504" s="1660"/>
      <c r="JUU504" s="1660"/>
      <c r="JUV504" s="1660"/>
      <c r="JUW504" s="1660"/>
      <c r="JUX504" s="1660"/>
      <c r="JUY504" s="1660"/>
      <c r="JUZ504" s="1660"/>
      <c r="JVA504" s="1660"/>
      <c r="JVB504" s="1660"/>
      <c r="JVC504" s="1660"/>
      <c r="JVD504" s="1660"/>
      <c r="JVE504" s="1660"/>
      <c r="JVF504" s="1660"/>
      <c r="JVG504" s="1660"/>
      <c r="JVH504" s="1660"/>
      <c r="JVI504" s="1660"/>
      <c r="JVJ504" s="1660"/>
      <c r="JVK504" s="1660"/>
      <c r="JVL504" s="1660"/>
      <c r="JVM504" s="1660"/>
      <c r="JVN504" s="1660"/>
      <c r="JVO504" s="1660"/>
      <c r="JVP504" s="1660"/>
      <c r="JVQ504" s="1660"/>
      <c r="JVR504" s="1660"/>
      <c r="JVS504" s="1660"/>
      <c r="JVT504" s="1660"/>
      <c r="JVU504" s="1660"/>
      <c r="JVV504" s="1660"/>
      <c r="JVW504" s="1660"/>
      <c r="JVX504" s="1660"/>
      <c r="JVY504" s="1660"/>
      <c r="JVZ504" s="1660"/>
      <c r="JWA504" s="1660"/>
      <c r="JWB504" s="1660"/>
      <c r="JWC504" s="1660"/>
      <c r="JWD504" s="1660"/>
      <c r="JWE504" s="1660"/>
      <c r="JWF504" s="1660"/>
      <c r="JWG504" s="1660"/>
      <c r="JWH504" s="1660"/>
      <c r="JWI504" s="1660"/>
      <c r="JWJ504" s="1660"/>
      <c r="JWK504" s="1660"/>
      <c r="JWL504" s="1660"/>
      <c r="JWM504" s="1660"/>
      <c r="JWN504" s="1660"/>
      <c r="JWO504" s="1660"/>
      <c r="JWP504" s="1660"/>
      <c r="JWQ504" s="1660"/>
      <c r="JWR504" s="1660"/>
      <c r="JWS504" s="1660"/>
      <c r="JWT504" s="1660"/>
      <c r="JWU504" s="1660"/>
      <c r="JWV504" s="1660"/>
      <c r="JWW504" s="1660"/>
      <c r="JWX504" s="1660"/>
      <c r="JWY504" s="1660"/>
      <c r="JWZ504" s="1660"/>
      <c r="JXA504" s="1660"/>
      <c r="JXB504" s="1660"/>
      <c r="JXC504" s="1660"/>
      <c r="JXD504" s="1660"/>
      <c r="JXE504" s="1660"/>
      <c r="JXF504" s="1660"/>
      <c r="JXG504" s="1660"/>
      <c r="JXH504" s="1660"/>
      <c r="JXI504" s="1660"/>
      <c r="JXJ504" s="1660"/>
      <c r="JXK504" s="1660"/>
      <c r="JXL504" s="1660"/>
      <c r="JXM504" s="1660"/>
      <c r="JXN504" s="1660"/>
      <c r="JXO504" s="1660"/>
      <c r="JXP504" s="1660"/>
      <c r="JXQ504" s="1660"/>
      <c r="JXR504" s="1660"/>
      <c r="JXS504" s="1660"/>
      <c r="JXT504" s="1660"/>
      <c r="JXU504" s="1660"/>
      <c r="JXV504" s="1660"/>
      <c r="JXW504" s="1660"/>
      <c r="JXX504" s="1660"/>
      <c r="JXY504" s="1660"/>
      <c r="JXZ504" s="1660"/>
      <c r="JYA504" s="1660"/>
      <c r="JYB504" s="1660"/>
      <c r="JYC504" s="1660"/>
      <c r="JYD504" s="1660"/>
      <c r="JYE504" s="1660"/>
      <c r="JYF504" s="1660"/>
      <c r="JYG504" s="1660"/>
      <c r="JYH504" s="1660"/>
      <c r="JYI504" s="1660"/>
      <c r="JYJ504" s="1660"/>
      <c r="JYK504" s="1660"/>
      <c r="JYL504" s="1660"/>
      <c r="JYM504" s="1660"/>
      <c r="JYN504" s="1660"/>
      <c r="JYO504" s="1660"/>
      <c r="JYP504" s="1660"/>
      <c r="JYQ504" s="1660"/>
      <c r="JYR504" s="1660"/>
      <c r="JYS504" s="1660"/>
      <c r="JYT504" s="1660"/>
      <c r="JYU504" s="1660"/>
      <c r="JYV504" s="1660"/>
      <c r="JYW504" s="1660"/>
      <c r="JYX504" s="1660"/>
      <c r="JYY504" s="1660"/>
      <c r="JYZ504" s="1660"/>
      <c r="JZA504" s="1660"/>
      <c r="JZB504" s="1660"/>
      <c r="JZC504" s="1660"/>
      <c r="JZD504" s="1660"/>
      <c r="JZE504" s="1660"/>
      <c r="JZF504" s="1660"/>
      <c r="JZG504" s="1660"/>
      <c r="JZH504" s="1660"/>
      <c r="JZI504" s="1660"/>
      <c r="JZJ504" s="1660"/>
      <c r="JZK504" s="1660"/>
      <c r="JZL504" s="1660"/>
      <c r="JZM504" s="1660"/>
      <c r="JZN504" s="1660"/>
      <c r="JZO504" s="1660"/>
      <c r="JZP504" s="1660"/>
      <c r="JZQ504" s="1660"/>
      <c r="JZR504" s="1660"/>
      <c r="JZS504" s="1660"/>
      <c r="JZT504" s="1660"/>
      <c r="JZU504" s="1660"/>
      <c r="JZV504" s="1660"/>
      <c r="JZW504" s="1660"/>
      <c r="JZX504" s="1660"/>
      <c r="JZY504" s="1660"/>
      <c r="JZZ504" s="1660"/>
      <c r="KAA504" s="1660"/>
      <c r="KAB504" s="1660"/>
      <c r="KAC504" s="1660"/>
      <c r="KAD504" s="1660"/>
      <c r="KAE504" s="1660"/>
      <c r="KAF504" s="1660"/>
      <c r="KAG504" s="1660"/>
      <c r="KAH504" s="1660"/>
      <c r="KAI504" s="1660"/>
      <c r="KAJ504" s="1660"/>
      <c r="KAK504" s="1660"/>
      <c r="KAL504" s="1660"/>
      <c r="KAM504" s="1660"/>
      <c r="KAN504" s="1660"/>
      <c r="KAO504" s="1660"/>
      <c r="KAP504" s="1660"/>
      <c r="KAQ504" s="1660"/>
      <c r="KAR504" s="1660"/>
      <c r="KAS504" s="1660"/>
      <c r="KAT504" s="1660"/>
      <c r="KAU504" s="1660"/>
      <c r="KAV504" s="1660"/>
      <c r="KAW504" s="1660"/>
      <c r="KAX504" s="1660"/>
      <c r="KAY504" s="1660"/>
      <c r="KAZ504" s="1660"/>
      <c r="KBA504" s="1660"/>
      <c r="KBB504" s="1660"/>
      <c r="KBC504" s="1660"/>
      <c r="KBD504" s="1660"/>
      <c r="KBE504" s="1660"/>
      <c r="KBF504" s="1660"/>
      <c r="KBG504" s="1660"/>
      <c r="KBH504" s="1660"/>
      <c r="KBI504" s="1660"/>
      <c r="KBJ504" s="1660"/>
      <c r="KBK504" s="1660"/>
      <c r="KBL504" s="1660"/>
      <c r="KBM504" s="1660"/>
      <c r="KBN504" s="1660"/>
      <c r="KBO504" s="1660"/>
      <c r="KBP504" s="1660"/>
      <c r="KBQ504" s="1660"/>
      <c r="KBR504" s="1660"/>
      <c r="KBS504" s="1660"/>
      <c r="KBT504" s="1660"/>
      <c r="KBU504" s="1660"/>
      <c r="KBV504" s="1660"/>
      <c r="KBW504" s="1660"/>
      <c r="KBX504" s="1660"/>
      <c r="KBY504" s="1660"/>
      <c r="KBZ504" s="1660"/>
      <c r="KCA504" s="1660"/>
      <c r="KCB504" s="1660"/>
      <c r="KCC504" s="1660"/>
      <c r="KCD504" s="1660"/>
      <c r="KCE504" s="1660"/>
      <c r="KCF504" s="1660"/>
      <c r="KCG504" s="1660"/>
      <c r="KCH504" s="1660"/>
      <c r="KCI504" s="1660"/>
      <c r="KCJ504" s="1660"/>
      <c r="KCK504" s="1660"/>
      <c r="KCL504" s="1660"/>
      <c r="KCM504" s="1660"/>
      <c r="KCN504" s="1660"/>
      <c r="KCO504" s="1660"/>
      <c r="KCP504" s="1660"/>
      <c r="KCQ504" s="1660"/>
      <c r="KCR504" s="1660"/>
      <c r="KCS504" s="1660"/>
      <c r="KCT504" s="1660"/>
      <c r="KCU504" s="1660"/>
      <c r="KCV504" s="1660"/>
      <c r="KCW504" s="1660"/>
      <c r="KCX504" s="1660"/>
      <c r="KCY504" s="1660"/>
      <c r="KCZ504" s="1660"/>
      <c r="KDA504" s="1660"/>
      <c r="KDB504" s="1660"/>
      <c r="KDC504" s="1660"/>
      <c r="KDD504" s="1660"/>
      <c r="KDE504" s="1660"/>
      <c r="KDF504" s="1660"/>
      <c r="KDG504" s="1660"/>
      <c r="KDH504" s="1660"/>
      <c r="KDI504" s="1660"/>
      <c r="KDJ504" s="1660"/>
      <c r="KDK504" s="1660"/>
      <c r="KDL504" s="1660"/>
      <c r="KDM504" s="1660"/>
      <c r="KDN504" s="1660"/>
      <c r="KDO504" s="1660"/>
      <c r="KDP504" s="1660"/>
      <c r="KDQ504" s="1660"/>
      <c r="KDR504" s="1660"/>
      <c r="KDS504" s="1660"/>
      <c r="KDT504" s="1660"/>
      <c r="KDU504" s="1660"/>
      <c r="KDV504" s="1660"/>
      <c r="KDW504" s="1660"/>
      <c r="KDX504" s="1660"/>
      <c r="KDY504" s="1660"/>
      <c r="KDZ504" s="1660"/>
      <c r="KEA504" s="1660"/>
      <c r="KEB504" s="1660"/>
      <c r="KEC504" s="1660"/>
      <c r="KED504" s="1660"/>
      <c r="KEE504" s="1660"/>
      <c r="KEF504" s="1660"/>
      <c r="KEG504" s="1660"/>
      <c r="KEH504" s="1660"/>
      <c r="KEI504" s="1660"/>
      <c r="KEJ504" s="1660"/>
      <c r="KEK504" s="1660"/>
      <c r="KEL504" s="1660"/>
      <c r="KEM504" s="1660"/>
      <c r="KEN504" s="1660"/>
      <c r="KEO504" s="1660"/>
      <c r="KEP504" s="1660"/>
      <c r="KEQ504" s="1660"/>
      <c r="KER504" s="1660"/>
      <c r="KES504" s="1660"/>
      <c r="KET504" s="1660"/>
      <c r="KEU504" s="1660"/>
      <c r="KEV504" s="1660"/>
      <c r="KEW504" s="1660"/>
      <c r="KEX504" s="1660"/>
      <c r="KEY504" s="1660"/>
      <c r="KEZ504" s="1660"/>
      <c r="KFA504" s="1660"/>
      <c r="KFB504" s="1660"/>
      <c r="KFC504" s="1660"/>
      <c r="KFD504" s="1660"/>
      <c r="KFE504" s="1660"/>
      <c r="KFF504" s="1660"/>
      <c r="KFG504" s="1660"/>
      <c r="KFH504" s="1660"/>
      <c r="KFI504" s="1660"/>
      <c r="KFJ504" s="1660"/>
      <c r="KFK504" s="1660"/>
      <c r="KFL504" s="1660"/>
      <c r="KFM504" s="1660"/>
      <c r="KFN504" s="1660"/>
      <c r="KFO504" s="1660"/>
      <c r="KFP504" s="1660"/>
      <c r="KFQ504" s="1660"/>
      <c r="KFR504" s="1660"/>
      <c r="KFS504" s="1660"/>
      <c r="KFT504" s="1660"/>
      <c r="KFU504" s="1660"/>
      <c r="KFV504" s="1660"/>
      <c r="KFW504" s="1660"/>
      <c r="KFX504" s="1660"/>
      <c r="KFY504" s="1660"/>
      <c r="KFZ504" s="1660"/>
      <c r="KGA504" s="1660"/>
      <c r="KGB504" s="1660"/>
      <c r="KGC504" s="1660"/>
      <c r="KGD504" s="1660"/>
      <c r="KGE504" s="1660"/>
      <c r="KGF504" s="1660"/>
      <c r="KGG504" s="1660"/>
      <c r="KGH504" s="1660"/>
      <c r="KGI504" s="1660"/>
      <c r="KGJ504" s="1660"/>
      <c r="KGK504" s="1660"/>
      <c r="KGL504" s="1660"/>
      <c r="KGM504" s="1660"/>
      <c r="KGN504" s="1660"/>
      <c r="KGO504" s="1660"/>
      <c r="KGP504" s="1660"/>
      <c r="KGQ504" s="1660"/>
      <c r="KGR504" s="1660"/>
      <c r="KGS504" s="1660"/>
      <c r="KGT504" s="1660"/>
      <c r="KGU504" s="1660"/>
      <c r="KGV504" s="1660"/>
      <c r="KGW504" s="1660"/>
      <c r="KGX504" s="1660"/>
      <c r="KGY504" s="1660"/>
      <c r="KGZ504" s="1660"/>
      <c r="KHA504" s="1660"/>
      <c r="KHB504" s="1660"/>
      <c r="KHC504" s="1660"/>
      <c r="KHD504" s="1660"/>
      <c r="KHE504" s="1660"/>
      <c r="KHF504" s="1660"/>
      <c r="KHG504" s="1660"/>
      <c r="KHH504" s="1660"/>
      <c r="KHI504" s="1660"/>
      <c r="KHJ504" s="1660"/>
      <c r="KHK504" s="1660"/>
      <c r="KHL504" s="1660"/>
      <c r="KHM504" s="1660"/>
      <c r="KHN504" s="1660"/>
      <c r="KHO504" s="1660"/>
      <c r="KHP504" s="1660"/>
      <c r="KHQ504" s="1660"/>
      <c r="KHR504" s="1660"/>
      <c r="KHS504" s="1660"/>
      <c r="KHT504" s="1660"/>
      <c r="KHU504" s="1660"/>
      <c r="KHV504" s="1660"/>
      <c r="KHW504" s="1660"/>
      <c r="KHX504" s="1660"/>
      <c r="KHY504" s="1660"/>
      <c r="KHZ504" s="1660"/>
      <c r="KIA504" s="1660"/>
      <c r="KIB504" s="1660"/>
      <c r="KIC504" s="1660"/>
      <c r="KID504" s="1660"/>
      <c r="KIE504" s="1660"/>
      <c r="KIF504" s="1660"/>
      <c r="KIG504" s="1660"/>
      <c r="KIH504" s="1660"/>
      <c r="KII504" s="1660"/>
      <c r="KIJ504" s="1660"/>
      <c r="KIK504" s="1660"/>
      <c r="KIL504" s="1660"/>
      <c r="KIM504" s="1660"/>
      <c r="KIN504" s="1660"/>
      <c r="KIO504" s="1660"/>
      <c r="KIP504" s="1660"/>
      <c r="KIQ504" s="1660"/>
      <c r="KIR504" s="1660"/>
      <c r="KIS504" s="1660"/>
      <c r="KIT504" s="1660"/>
      <c r="KIU504" s="1660"/>
      <c r="KIV504" s="1660"/>
      <c r="KIW504" s="1660"/>
      <c r="KIX504" s="1660"/>
      <c r="KIY504" s="1660"/>
      <c r="KIZ504" s="1660"/>
      <c r="KJA504" s="1660"/>
      <c r="KJB504" s="1660"/>
      <c r="KJC504" s="1660"/>
      <c r="KJD504" s="1660"/>
      <c r="KJE504" s="1660"/>
      <c r="KJF504" s="1660"/>
      <c r="KJG504" s="1660"/>
      <c r="KJH504" s="1660"/>
      <c r="KJI504" s="1660"/>
      <c r="KJJ504" s="1660"/>
      <c r="KJK504" s="1660"/>
      <c r="KJL504" s="1660"/>
      <c r="KJM504" s="1660"/>
      <c r="KJN504" s="1660"/>
      <c r="KJO504" s="1660"/>
      <c r="KJP504" s="1660"/>
      <c r="KJQ504" s="1660"/>
      <c r="KJR504" s="1660"/>
      <c r="KJS504" s="1660"/>
      <c r="KJT504" s="1660"/>
      <c r="KJU504" s="1660"/>
      <c r="KJV504" s="1660"/>
      <c r="KJW504" s="1660"/>
      <c r="KJX504" s="1660"/>
      <c r="KJY504" s="1660"/>
      <c r="KJZ504" s="1660"/>
      <c r="KKA504" s="1660"/>
      <c r="KKB504" s="1660"/>
      <c r="KKC504" s="1660"/>
      <c r="KKD504" s="1660"/>
      <c r="KKE504" s="1660"/>
      <c r="KKF504" s="1660"/>
      <c r="KKG504" s="1660"/>
      <c r="KKH504" s="1660"/>
      <c r="KKI504" s="1660"/>
      <c r="KKJ504" s="1660"/>
      <c r="KKK504" s="1660"/>
      <c r="KKL504" s="1660"/>
      <c r="KKM504" s="1660"/>
      <c r="KKN504" s="1660"/>
      <c r="KKO504" s="1660"/>
      <c r="KKP504" s="1660"/>
      <c r="KKQ504" s="1660"/>
      <c r="KKR504" s="1660"/>
      <c r="KKS504" s="1660"/>
      <c r="KKT504" s="1660"/>
      <c r="KKU504" s="1660"/>
      <c r="KKV504" s="1660"/>
      <c r="KKW504" s="1660"/>
      <c r="KKX504" s="1660"/>
      <c r="KKY504" s="1660"/>
      <c r="KKZ504" s="1660"/>
      <c r="KLA504" s="1660"/>
      <c r="KLB504" s="1660"/>
      <c r="KLC504" s="1660"/>
      <c r="KLD504" s="1660"/>
      <c r="KLE504" s="1660"/>
      <c r="KLF504" s="1660"/>
      <c r="KLG504" s="1660"/>
      <c r="KLH504" s="1660"/>
      <c r="KLI504" s="1660"/>
      <c r="KLJ504" s="1660"/>
      <c r="KLK504" s="1660"/>
      <c r="KLL504" s="1660"/>
      <c r="KLM504" s="1660"/>
      <c r="KLN504" s="1660"/>
      <c r="KLO504" s="1660"/>
      <c r="KLP504" s="1660"/>
      <c r="KLQ504" s="1660"/>
      <c r="KLR504" s="1660"/>
      <c r="KLS504" s="1660"/>
      <c r="KLT504" s="1660"/>
      <c r="KLU504" s="1660"/>
      <c r="KLV504" s="1660"/>
      <c r="KLW504" s="1660"/>
      <c r="KLX504" s="1660"/>
      <c r="KLY504" s="1660"/>
      <c r="KLZ504" s="1660"/>
      <c r="KMA504" s="1660"/>
      <c r="KMB504" s="1660"/>
      <c r="KMC504" s="1660"/>
      <c r="KMD504" s="1660"/>
      <c r="KME504" s="1660"/>
      <c r="KMF504" s="1660"/>
      <c r="KMG504" s="1660"/>
      <c r="KMH504" s="1660"/>
      <c r="KMI504" s="1660"/>
      <c r="KMJ504" s="1660"/>
      <c r="KMK504" s="1660"/>
      <c r="KML504" s="1660"/>
      <c r="KMM504" s="1660"/>
      <c r="KMN504" s="1660"/>
      <c r="KMO504" s="1660"/>
      <c r="KMP504" s="1660"/>
      <c r="KMQ504" s="1660"/>
      <c r="KMR504" s="1660"/>
      <c r="KMS504" s="1660"/>
      <c r="KMT504" s="1660"/>
      <c r="KMU504" s="1660"/>
      <c r="KMV504" s="1660"/>
      <c r="KMW504" s="1660"/>
      <c r="KMX504" s="1660"/>
      <c r="KMY504" s="1660"/>
      <c r="KMZ504" s="1660"/>
      <c r="KNA504" s="1660"/>
      <c r="KNB504" s="1660"/>
      <c r="KNC504" s="1660"/>
      <c r="KND504" s="1660"/>
      <c r="KNE504" s="1660"/>
      <c r="KNF504" s="1660"/>
      <c r="KNG504" s="1660"/>
      <c r="KNH504" s="1660"/>
      <c r="KNI504" s="1660"/>
      <c r="KNJ504" s="1660"/>
      <c r="KNK504" s="1660"/>
      <c r="KNL504" s="1660"/>
      <c r="KNM504" s="1660"/>
      <c r="KNN504" s="1660"/>
      <c r="KNO504" s="1660"/>
      <c r="KNP504" s="1660"/>
      <c r="KNQ504" s="1660"/>
      <c r="KNR504" s="1660"/>
      <c r="KNS504" s="1660"/>
      <c r="KNT504" s="1660"/>
      <c r="KNU504" s="1660"/>
      <c r="KNV504" s="1660"/>
      <c r="KNW504" s="1660"/>
      <c r="KNX504" s="1660"/>
      <c r="KNY504" s="1660"/>
      <c r="KNZ504" s="1660"/>
      <c r="KOA504" s="1660"/>
      <c r="KOB504" s="1660"/>
      <c r="KOC504" s="1660"/>
      <c r="KOD504" s="1660"/>
      <c r="KOE504" s="1660"/>
      <c r="KOF504" s="1660"/>
      <c r="KOG504" s="1660"/>
      <c r="KOH504" s="1660"/>
      <c r="KOI504" s="1660"/>
      <c r="KOJ504" s="1660"/>
      <c r="KOK504" s="1660"/>
      <c r="KOL504" s="1660"/>
      <c r="KOM504" s="1660"/>
      <c r="KON504" s="1660"/>
      <c r="KOO504" s="1660"/>
      <c r="KOP504" s="1660"/>
      <c r="KOQ504" s="1660"/>
      <c r="KOR504" s="1660"/>
      <c r="KOS504" s="1660"/>
      <c r="KOT504" s="1660"/>
      <c r="KOU504" s="1660"/>
      <c r="KOV504" s="1660"/>
      <c r="KOW504" s="1660"/>
      <c r="KOX504" s="1660"/>
      <c r="KOY504" s="1660"/>
      <c r="KOZ504" s="1660"/>
      <c r="KPA504" s="1660"/>
      <c r="KPB504" s="1660"/>
      <c r="KPC504" s="1660"/>
      <c r="KPD504" s="1660"/>
      <c r="KPE504" s="1660"/>
      <c r="KPF504" s="1660"/>
      <c r="KPG504" s="1660"/>
      <c r="KPH504" s="1660"/>
      <c r="KPI504" s="1660"/>
      <c r="KPJ504" s="1660"/>
      <c r="KPK504" s="1660"/>
      <c r="KPL504" s="1660"/>
      <c r="KPM504" s="1660"/>
      <c r="KPN504" s="1660"/>
      <c r="KPO504" s="1660"/>
      <c r="KPP504" s="1660"/>
      <c r="KPQ504" s="1660"/>
      <c r="KPR504" s="1660"/>
      <c r="KPS504" s="1660"/>
      <c r="KPT504" s="1660"/>
      <c r="KPU504" s="1660"/>
      <c r="KPV504" s="1660"/>
      <c r="KPW504" s="1660"/>
      <c r="KPX504" s="1660"/>
      <c r="KPY504" s="1660"/>
      <c r="KPZ504" s="1660"/>
      <c r="KQA504" s="1660"/>
      <c r="KQB504" s="1660"/>
      <c r="KQC504" s="1660"/>
      <c r="KQD504" s="1660"/>
      <c r="KQE504" s="1660"/>
      <c r="KQF504" s="1660"/>
      <c r="KQG504" s="1660"/>
      <c r="KQH504" s="1660"/>
      <c r="KQI504" s="1660"/>
      <c r="KQJ504" s="1660"/>
      <c r="KQK504" s="1660"/>
      <c r="KQL504" s="1660"/>
      <c r="KQM504" s="1660"/>
      <c r="KQN504" s="1660"/>
      <c r="KQO504" s="1660"/>
      <c r="KQP504" s="1660"/>
      <c r="KQQ504" s="1660"/>
      <c r="KQR504" s="1660"/>
      <c r="KQS504" s="1660"/>
      <c r="KQT504" s="1660"/>
      <c r="KQU504" s="1660"/>
      <c r="KQV504" s="1660"/>
      <c r="KQW504" s="1660"/>
      <c r="KQX504" s="1660"/>
      <c r="KQY504" s="1660"/>
      <c r="KQZ504" s="1660"/>
      <c r="KRA504" s="1660"/>
      <c r="KRB504" s="1660"/>
      <c r="KRC504" s="1660"/>
      <c r="KRD504" s="1660"/>
      <c r="KRE504" s="1660"/>
      <c r="KRF504" s="1660"/>
      <c r="KRG504" s="1660"/>
      <c r="KRH504" s="1660"/>
      <c r="KRI504" s="1660"/>
      <c r="KRJ504" s="1660"/>
      <c r="KRK504" s="1660"/>
      <c r="KRL504" s="1660"/>
      <c r="KRM504" s="1660"/>
      <c r="KRN504" s="1660"/>
      <c r="KRO504" s="1660"/>
      <c r="KRP504" s="1660"/>
      <c r="KRQ504" s="1660"/>
      <c r="KRR504" s="1660"/>
      <c r="KRS504" s="1660"/>
      <c r="KRT504" s="1660"/>
      <c r="KRU504" s="1660"/>
      <c r="KRV504" s="1660"/>
      <c r="KRW504" s="1660"/>
      <c r="KRX504" s="1660"/>
      <c r="KRY504" s="1660"/>
      <c r="KRZ504" s="1660"/>
      <c r="KSA504" s="1660"/>
      <c r="KSB504" s="1660"/>
      <c r="KSC504" s="1660"/>
      <c r="KSD504" s="1660"/>
      <c r="KSE504" s="1660"/>
      <c r="KSF504" s="1660"/>
      <c r="KSG504" s="1660"/>
      <c r="KSH504" s="1660"/>
      <c r="KSI504" s="1660"/>
      <c r="KSJ504" s="1660"/>
      <c r="KSK504" s="1660"/>
      <c r="KSL504" s="1660"/>
      <c r="KSM504" s="1660"/>
      <c r="KSN504" s="1660"/>
      <c r="KSO504" s="1660"/>
      <c r="KSP504" s="1660"/>
      <c r="KSQ504" s="1660"/>
      <c r="KSR504" s="1660"/>
      <c r="KSS504" s="1660"/>
      <c r="KST504" s="1660"/>
      <c r="KSU504" s="1660"/>
      <c r="KSV504" s="1660"/>
      <c r="KSW504" s="1660"/>
      <c r="KSX504" s="1660"/>
      <c r="KSY504" s="1660"/>
      <c r="KSZ504" s="1660"/>
      <c r="KTA504" s="1660"/>
      <c r="KTB504" s="1660"/>
      <c r="KTC504" s="1660"/>
      <c r="KTD504" s="1660"/>
      <c r="KTE504" s="1660"/>
      <c r="KTF504" s="1660"/>
      <c r="KTG504" s="1660"/>
      <c r="KTH504" s="1660"/>
      <c r="KTI504" s="1660"/>
      <c r="KTJ504" s="1660"/>
      <c r="KTK504" s="1660"/>
      <c r="KTL504" s="1660"/>
      <c r="KTM504" s="1660"/>
      <c r="KTN504" s="1660"/>
      <c r="KTO504" s="1660"/>
      <c r="KTP504" s="1660"/>
      <c r="KTQ504" s="1660"/>
      <c r="KTR504" s="1660"/>
      <c r="KTS504" s="1660"/>
      <c r="KTT504" s="1660"/>
      <c r="KTU504" s="1660"/>
      <c r="KTV504" s="1660"/>
      <c r="KTW504" s="1660"/>
      <c r="KTX504" s="1660"/>
      <c r="KTY504" s="1660"/>
      <c r="KTZ504" s="1660"/>
      <c r="KUA504" s="1660"/>
      <c r="KUB504" s="1660"/>
      <c r="KUC504" s="1660"/>
      <c r="KUD504" s="1660"/>
      <c r="KUE504" s="1660"/>
      <c r="KUF504" s="1660"/>
      <c r="KUG504" s="1660"/>
      <c r="KUH504" s="1660"/>
      <c r="KUI504" s="1660"/>
      <c r="KUJ504" s="1660"/>
      <c r="KUK504" s="1660"/>
      <c r="KUL504" s="1660"/>
      <c r="KUM504" s="1660"/>
      <c r="KUN504" s="1660"/>
      <c r="KUO504" s="1660"/>
      <c r="KUP504" s="1660"/>
      <c r="KUQ504" s="1660"/>
      <c r="KUR504" s="1660"/>
      <c r="KUS504" s="1660"/>
      <c r="KUT504" s="1660"/>
      <c r="KUU504" s="1660"/>
      <c r="KUV504" s="1660"/>
      <c r="KUW504" s="1660"/>
      <c r="KUX504" s="1660"/>
      <c r="KUY504" s="1660"/>
      <c r="KUZ504" s="1660"/>
      <c r="KVA504" s="1660"/>
      <c r="KVB504" s="1660"/>
      <c r="KVC504" s="1660"/>
      <c r="KVD504" s="1660"/>
      <c r="KVE504" s="1660"/>
      <c r="KVF504" s="1660"/>
      <c r="KVG504" s="1660"/>
      <c r="KVH504" s="1660"/>
      <c r="KVI504" s="1660"/>
      <c r="KVJ504" s="1660"/>
      <c r="KVK504" s="1660"/>
      <c r="KVL504" s="1660"/>
      <c r="KVM504" s="1660"/>
      <c r="KVN504" s="1660"/>
      <c r="KVO504" s="1660"/>
      <c r="KVP504" s="1660"/>
      <c r="KVQ504" s="1660"/>
      <c r="KVR504" s="1660"/>
      <c r="KVS504" s="1660"/>
      <c r="KVT504" s="1660"/>
      <c r="KVU504" s="1660"/>
      <c r="KVV504" s="1660"/>
      <c r="KVW504" s="1660"/>
      <c r="KVX504" s="1660"/>
      <c r="KVY504" s="1660"/>
      <c r="KVZ504" s="1660"/>
      <c r="KWA504" s="1660"/>
      <c r="KWB504" s="1660"/>
      <c r="KWC504" s="1660"/>
      <c r="KWD504" s="1660"/>
      <c r="KWE504" s="1660"/>
      <c r="KWF504" s="1660"/>
      <c r="KWG504" s="1660"/>
      <c r="KWH504" s="1660"/>
      <c r="KWI504" s="1660"/>
      <c r="KWJ504" s="1660"/>
      <c r="KWK504" s="1660"/>
      <c r="KWL504" s="1660"/>
      <c r="KWM504" s="1660"/>
      <c r="KWN504" s="1660"/>
      <c r="KWO504" s="1660"/>
      <c r="KWP504" s="1660"/>
      <c r="KWQ504" s="1660"/>
      <c r="KWR504" s="1660"/>
      <c r="KWS504" s="1660"/>
      <c r="KWT504" s="1660"/>
      <c r="KWU504" s="1660"/>
      <c r="KWV504" s="1660"/>
      <c r="KWW504" s="1660"/>
      <c r="KWX504" s="1660"/>
      <c r="KWY504" s="1660"/>
      <c r="KWZ504" s="1660"/>
      <c r="KXA504" s="1660"/>
      <c r="KXB504" s="1660"/>
      <c r="KXC504" s="1660"/>
      <c r="KXD504" s="1660"/>
      <c r="KXE504" s="1660"/>
      <c r="KXF504" s="1660"/>
      <c r="KXG504" s="1660"/>
      <c r="KXH504" s="1660"/>
      <c r="KXI504" s="1660"/>
      <c r="KXJ504" s="1660"/>
      <c r="KXK504" s="1660"/>
      <c r="KXL504" s="1660"/>
      <c r="KXM504" s="1660"/>
      <c r="KXN504" s="1660"/>
      <c r="KXO504" s="1660"/>
      <c r="KXP504" s="1660"/>
      <c r="KXQ504" s="1660"/>
      <c r="KXR504" s="1660"/>
      <c r="KXS504" s="1660"/>
      <c r="KXT504" s="1660"/>
      <c r="KXU504" s="1660"/>
      <c r="KXV504" s="1660"/>
      <c r="KXW504" s="1660"/>
      <c r="KXX504" s="1660"/>
      <c r="KXY504" s="1660"/>
      <c r="KXZ504" s="1660"/>
      <c r="KYA504" s="1660"/>
      <c r="KYB504" s="1660"/>
      <c r="KYC504" s="1660"/>
      <c r="KYD504" s="1660"/>
      <c r="KYE504" s="1660"/>
      <c r="KYF504" s="1660"/>
      <c r="KYG504" s="1660"/>
      <c r="KYH504" s="1660"/>
      <c r="KYI504" s="1660"/>
      <c r="KYJ504" s="1660"/>
      <c r="KYK504" s="1660"/>
      <c r="KYL504" s="1660"/>
      <c r="KYM504" s="1660"/>
      <c r="KYN504" s="1660"/>
      <c r="KYO504" s="1660"/>
      <c r="KYP504" s="1660"/>
      <c r="KYQ504" s="1660"/>
      <c r="KYR504" s="1660"/>
      <c r="KYS504" s="1660"/>
      <c r="KYT504" s="1660"/>
      <c r="KYU504" s="1660"/>
      <c r="KYV504" s="1660"/>
      <c r="KYW504" s="1660"/>
      <c r="KYX504" s="1660"/>
      <c r="KYY504" s="1660"/>
      <c r="KYZ504" s="1660"/>
      <c r="KZA504" s="1660"/>
      <c r="KZB504" s="1660"/>
      <c r="KZC504" s="1660"/>
      <c r="KZD504" s="1660"/>
      <c r="KZE504" s="1660"/>
      <c r="KZF504" s="1660"/>
      <c r="KZG504" s="1660"/>
      <c r="KZH504" s="1660"/>
      <c r="KZI504" s="1660"/>
      <c r="KZJ504" s="1660"/>
      <c r="KZK504" s="1660"/>
      <c r="KZL504" s="1660"/>
      <c r="KZM504" s="1660"/>
      <c r="KZN504" s="1660"/>
      <c r="KZO504" s="1660"/>
      <c r="KZP504" s="1660"/>
      <c r="KZQ504" s="1660"/>
      <c r="KZR504" s="1660"/>
      <c r="KZS504" s="1660"/>
      <c r="KZT504" s="1660"/>
      <c r="KZU504" s="1660"/>
      <c r="KZV504" s="1660"/>
      <c r="KZW504" s="1660"/>
      <c r="KZX504" s="1660"/>
      <c r="KZY504" s="1660"/>
      <c r="KZZ504" s="1660"/>
      <c r="LAA504" s="1660"/>
      <c r="LAB504" s="1660"/>
      <c r="LAC504" s="1660"/>
      <c r="LAD504" s="1660"/>
      <c r="LAE504" s="1660"/>
      <c r="LAF504" s="1660"/>
      <c r="LAG504" s="1660"/>
      <c r="LAH504" s="1660"/>
      <c r="LAI504" s="1660"/>
      <c r="LAJ504" s="1660"/>
      <c r="LAK504" s="1660"/>
      <c r="LAL504" s="1660"/>
      <c r="LAM504" s="1660"/>
      <c r="LAN504" s="1660"/>
      <c r="LAO504" s="1660"/>
      <c r="LAP504" s="1660"/>
      <c r="LAQ504" s="1660"/>
      <c r="LAR504" s="1660"/>
      <c r="LAS504" s="1660"/>
      <c r="LAT504" s="1660"/>
      <c r="LAU504" s="1660"/>
      <c r="LAV504" s="1660"/>
      <c r="LAW504" s="1660"/>
      <c r="LAX504" s="1660"/>
      <c r="LAY504" s="1660"/>
      <c r="LAZ504" s="1660"/>
      <c r="LBA504" s="1660"/>
      <c r="LBB504" s="1660"/>
      <c r="LBC504" s="1660"/>
      <c r="LBD504" s="1660"/>
      <c r="LBE504" s="1660"/>
      <c r="LBF504" s="1660"/>
      <c r="LBG504" s="1660"/>
      <c r="LBH504" s="1660"/>
      <c r="LBI504" s="1660"/>
      <c r="LBJ504" s="1660"/>
      <c r="LBK504" s="1660"/>
      <c r="LBL504" s="1660"/>
      <c r="LBM504" s="1660"/>
      <c r="LBN504" s="1660"/>
      <c r="LBO504" s="1660"/>
      <c r="LBP504" s="1660"/>
      <c r="LBQ504" s="1660"/>
      <c r="LBR504" s="1660"/>
      <c r="LBS504" s="1660"/>
      <c r="LBT504" s="1660"/>
      <c r="LBU504" s="1660"/>
      <c r="LBV504" s="1660"/>
      <c r="LBW504" s="1660"/>
      <c r="LBX504" s="1660"/>
      <c r="LBY504" s="1660"/>
      <c r="LBZ504" s="1660"/>
      <c r="LCA504" s="1660"/>
      <c r="LCB504" s="1660"/>
      <c r="LCC504" s="1660"/>
      <c r="LCD504" s="1660"/>
      <c r="LCE504" s="1660"/>
      <c r="LCF504" s="1660"/>
      <c r="LCG504" s="1660"/>
      <c r="LCH504" s="1660"/>
      <c r="LCI504" s="1660"/>
      <c r="LCJ504" s="1660"/>
      <c r="LCK504" s="1660"/>
      <c r="LCL504" s="1660"/>
      <c r="LCM504" s="1660"/>
      <c r="LCN504" s="1660"/>
      <c r="LCO504" s="1660"/>
      <c r="LCP504" s="1660"/>
      <c r="LCQ504" s="1660"/>
      <c r="LCR504" s="1660"/>
      <c r="LCS504" s="1660"/>
      <c r="LCT504" s="1660"/>
      <c r="LCU504" s="1660"/>
      <c r="LCV504" s="1660"/>
      <c r="LCW504" s="1660"/>
      <c r="LCX504" s="1660"/>
      <c r="LCY504" s="1660"/>
      <c r="LCZ504" s="1660"/>
      <c r="LDA504" s="1660"/>
      <c r="LDB504" s="1660"/>
      <c r="LDC504" s="1660"/>
      <c r="LDD504" s="1660"/>
      <c r="LDE504" s="1660"/>
      <c r="LDF504" s="1660"/>
      <c r="LDG504" s="1660"/>
      <c r="LDH504" s="1660"/>
      <c r="LDI504" s="1660"/>
      <c r="LDJ504" s="1660"/>
      <c r="LDK504" s="1660"/>
      <c r="LDL504" s="1660"/>
      <c r="LDM504" s="1660"/>
      <c r="LDN504" s="1660"/>
      <c r="LDO504" s="1660"/>
      <c r="LDP504" s="1660"/>
      <c r="LDQ504" s="1660"/>
      <c r="LDR504" s="1660"/>
      <c r="LDS504" s="1660"/>
      <c r="LDT504" s="1660"/>
      <c r="LDU504" s="1660"/>
      <c r="LDV504" s="1660"/>
      <c r="LDW504" s="1660"/>
      <c r="LDX504" s="1660"/>
      <c r="LDY504" s="1660"/>
      <c r="LDZ504" s="1660"/>
      <c r="LEA504" s="1660"/>
      <c r="LEB504" s="1660"/>
      <c r="LEC504" s="1660"/>
      <c r="LED504" s="1660"/>
      <c r="LEE504" s="1660"/>
      <c r="LEF504" s="1660"/>
      <c r="LEG504" s="1660"/>
      <c r="LEH504" s="1660"/>
      <c r="LEI504" s="1660"/>
      <c r="LEJ504" s="1660"/>
      <c r="LEK504" s="1660"/>
      <c r="LEL504" s="1660"/>
      <c r="LEM504" s="1660"/>
      <c r="LEN504" s="1660"/>
      <c r="LEO504" s="1660"/>
      <c r="LEP504" s="1660"/>
      <c r="LEQ504" s="1660"/>
      <c r="LER504" s="1660"/>
      <c r="LES504" s="1660"/>
      <c r="LET504" s="1660"/>
      <c r="LEU504" s="1660"/>
      <c r="LEV504" s="1660"/>
      <c r="LEW504" s="1660"/>
      <c r="LEX504" s="1660"/>
      <c r="LEY504" s="1660"/>
      <c r="LEZ504" s="1660"/>
      <c r="LFA504" s="1660"/>
      <c r="LFB504" s="1660"/>
      <c r="LFC504" s="1660"/>
      <c r="LFD504" s="1660"/>
      <c r="LFE504" s="1660"/>
      <c r="LFF504" s="1660"/>
      <c r="LFG504" s="1660"/>
      <c r="LFH504" s="1660"/>
      <c r="LFI504" s="1660"/>
      <c r="LFJ504" s="1660"/>
      <c r="LFK504" s="1660"/>
      <c r="LFL504" s="1660"/>
      <c r="LFM504" s="1660"/>
      <c r="LFN504" s="1660"/>
      <c r="LFO504" s="1660"/>
      <c r="LFP504" s="1660"/>
      <c r="LFQ504" s="1660"/>
      <c r="LFR504" s="1660"/>
      <c r="LFS504" s="1660"/>
      <c r="LFT504" s="1660"/>
      <c r="LFU504" s="1660"/>
      <c r="LFV504" s="1660"/>
      <c r="LFW504" s="1660"/>
      <c r="LFX504" s="1660"/>
      <c r="LFY504" s="1660"/>
      <c r="LFZ504" s="1660"/>
      <c r="LGA504" s="1660"/>
      <c r="LGB504" s="1660"/>
      <c r="LGC504" s="1660"/>
      <c r="LGD504" s="1660"/>
      <c r="LGE504" s="1660"/>
      <c r="LGF504" s="1660"/>
      <c r="LGG504" s="1660"/>
      <c r="LGH504" s="1660"/>
      <c r="LGI504" s="1660"/>
      <c r="LGJ504" s="1660"/>
      <c r="LGK504" s="1660"/>
      <c r="LGL504" s="1660"/>
      <c r="LGM504" s="1660"/>
      <c r="LGN504" s="1660"/>
      <c r="LGO504" s="1660"/>
      <c r="LGP504" s="1660"/>
      <c r="LGQ504" s="1660"/>
      <c r="LGR504" s="1660"/>
      <c r="LGS504" s="1660"/>
      <c r="LGT504" s="1660"/>
      <c r="LGU504" s="1660"/>
      <c r="LGV504" s="1660"/>
      <c r="LGW504" s="1660"/>
      <c r="LGX504" s="1660"/>
      <c r="LGY504" s="1660"/>
      <c r="LGZ504" s="1660"/>
      <c r="LHA504" s="1660"/>
      <c r="LHB504" s="1660"/>
      <c r="LHC504" s="1660"/>
      <c r="LHD504" s="1660"/>
      <c r="LHE504" s="1660"/>
      <c r="LHF504" s="1660"/>
      <c r="LHG504" s="1660"/>
      <c r="LHH504" s="1660"/>
      <c r="LHI504" s="1660"/>
      <c r="LHJ504" s="1660"/>
      <c r="LHK504" s="1660"/>
      <c r="LHL504" s="1660"/>
      <c r="LHM504" s="1660"/>
      <c r="LHN504" s="1660"/>
      <c r="LHO504" s="1660"/>
      <c r="LHP504" s="1660"/>
      <c r="LHQ504" s="1660"/>
      <c r="LHR504" s="1660"/>
      <c r="LHS504" s="1660"/>
      <c r="LHT504" s="1660"/>
      <c r="LHU504" s="1660"/>
      <c r="LHV504" s="1660"/>
      <c r="LHW504" s="1660"/>
      <c r="LHX504" s="1660"/>
      <c r="LHY504" s="1660"/>
      <c r="LHZ504" s="1660"/>
      <c r="LIA504" s="1660"/>
      <c r="LIB504" s="1660"/>
      <c r="LIC504" s="1660"/>
      <c r="LID504" s="1660"/>
      <c r="LIE504" s="1660"/>
      <c r="LIF504" s="1660"/>
      <c r="LIG504" s="1660"/>
      <c r="LIH504" s="1660"/>
      <c r="LII504" s="1660"/>
      <c r="LIJ504" s="1660"/>
      <c r="LIK504" s="1660"/>
      <c r="LIL504" s="1660"/>
      <c r="LIM504" s="1660"/>
      <c r="LIN504" s="1660"/>
      <c r="LIO504" s="1660"/>
      <c r="LIP504" s="1660"/>
      <c r="LIQ504" s="1660"/>
      <c r="LIR504" s="1660"/>
      <c r="LIS504" s="1660"/>
      <c r="LIT504" s="1660"/>
      <c r="LIU504" s="1660"/>
      <c r="LIV504" s="1660"/>
      <c r="LIW504" s="1660"/>
      <c r="LIX504" s="1660"/>
      <c r="LIY504" s="1660"/>
      <c r="LIZ504" s="1660"/>
      <c r="LJA504" s="1660"/>
      <c r="LJB504" s="1660"/>
      <c r="LJC504" s="1660"/>
      <c r="LJD504" s="1660"/>
      <c r="LJE504" s="1660"/>
      <c r="LJF504" s="1660"/>
      <c r="LJG504" s="1660"/>
      <c r="LJH504" s="1660"/>
      <c r="LJI504" s="1660"/>
      <c r="LJJ504" s="1660"/>
      <c r="LJK504" s="1660"/>
      <c r="LJL504" s="1660"/>
      <c r="LJM504" s="1660"/>
      <c r="LJN504" s="1660"/>
      <c r="LJO504" s="1660"/>
      <c r="LJP504" s="1660"/>
      <c r="LJQ504" s="1660"/>
      <c r="LJR504" s="1660"/>
      <c r="LJS504" s="1660"/>
      <c r="LJT504" s="1660"/>
      <c r="LJU504" s="1660"/>
      <c r="LJV504" s="1660"/>
      <c r="LJW504" s="1660"/>
      <c r="LJX504" s="1660"/>
      <c r="LJY504" s="1660"/>
      <c r="LJZ504" s="1660"/>
      <c r="LKA504" s="1660"/>
      <c r="LKB504" s="1660"/>
      <c r="LKC504" s="1660"/>
      <c r="LKD504" s="1660"/>
      <c r="LKE504" s="1660"/>
      <c r="LKF504" s="1660"/>
      <c r="LKG504" s="1660"/>
      <c r="LKH504" s="1660"/>
      <c r="LKI504" s="1660"/>
      <c r="LKJ504" s="1660"/>
      <c r="LKK504" s="1660"/>
      <c r="LKL504" s="1660"/>
      <c r="LKM504" s="1660"/>
      <c r="LKN504" s="1660"/>
      <c r="LKO504" s="1660"/>
      <c r="LKP504" s="1660"/>
      <c r="LKQ504" s="1660"/>
      <c r="LKR504" s="1660"/>
      <c r="LKS504" s="1660"/>
      <c r="LKT504" s="1660"/>
      <c r="LKU504" s="1660"/>
      <c r="LKV504" s="1660"/>
      <c r="LKW504" s="1660"/>
      <c r="LKX504" s="1660"/>
      <c r="LKY504" s="1660"/>
      <c r="LKZ504" s="1660"/>
      <c r="LLA504" s="1660"/>
      <c r="LLB504" s="1660"/>
      <c r="LLC504" s="1660"/>
      <c r="LLD504" s="1660"/>
      <c r="LLE504" s="1660"/>
      <c r="LLF504" s="1660"/>
      <c r="LLG504" s="1660"/>
      <c r="LLH504" s="1660"/>
      <c r="LLI504" s="1660"/>
      <c r="LLJ504" s="1660"/>
      <c r="LLK504" s="1660"/>
      <c r="LLL504" s="1660"/>
      <c r="LLM504" s="1660"/>
      <c r="LLN504" s="1660"/>
      <c r="LLO504" s="1660"/>
      <c r="LLP504" s="1660"/>
      <c r="LLQ504" s="1660"/>
      <c r="LLR504" s="1660"/>
      <c r="LLS504" s="1660"/>
      <c r="LLT504" s="1660"/>
      <c r="LLU504" s="1660"/>
      <c r="LLV504" s="1660"/>
      <c r="LLW504" s="1660"/>
      <c r="LLX504" s="1660"/>
      <c r="LLY504" s="1660"/>
      <c r="LLZ504" s="1660"/>
      <c r="LMA504" s="1660"/>
      <c r="LMB504" s="1660"/>
      <c r="LMC504" s="1660"/>
      <c r="LMD504" s="1660"/>
      <c r="LME504" s="1660"/>
      <c r="LMF504" s="1660"/>
      <c r="LMG504" s="1660"/>
      <c r="LMH504" s="1660"/>
      <c r="LMI504" s="1660"/>
      <c r="LMJ504" s="1660"/>
      <c r="LMK504" s="1660"/>
      <c r="LML504" s="1660"/>
      <c r="LMM504" s="1660"/>
      <c r="LMN504" s="1660"/>
      <c r="LMO504" s="1660"/>
      <c r="LMP504" s="1660"/>
      <c r="LMQ504" s="1660"/>
      <c r="LMR504" s="1660"/>
      <c r="LMS504" s="1660"/>
      <c r="LMT504" s="1660"/>
      <c r="LMU504" s="1660"/>
      <c r="LMV504" s="1660"/>
      <c r="LMW504" s="1660"/>
      <c r="LMX504" s="1660"/>
      <c r="LMY504" s="1660"/>
      <c r="LMZ504" s="1660"/>
      <c r="LNA504" s="1660"/>
      <c r="LNB504" s="1660"/>
      <c r="LNC504" s="1660"/>
      <c r="LND504" s="1660"/>
      <c r="LNE504" s="1660"/>
      <c r="LNF504" s="1660"/>
      <c r="LNG504" s="1660"/>
      <c r="LNH504" s="1660"/>
      <c r="LNI504" s="1660"/>
      <c r="LNJ504" s="1660"/>
      <c r="LNK504" s="1660"/>
      <c r="LNL504" s="1660"/>
      <c r="LNM504" s="1660"/>
      <c r="LNN504" s="1660"/>
      <c r="LNO504" s="1660"/>
      <c r="LNP504" s="1660"/>
      <c r="LNQ504" s="1660"/>
      <c r="LNR504" s="1660"/>
      <c r="LNS504" s="1660"/>
      <c r="LNT504" s="1660"/>
      <c r="LNU504" s="1660"/>
      <c r="LNV504" s="1660"/>
      <c r="LNW504" s="1660"/>
      <c r="LNX504" s="1660"/>
      <c r="LNY504" s="1660"/>
      <c r="LNZ504" s="1660"/>
      <c r="LOA504" s="1660"/>
      <c r="LOB504" s="1660"/>
      <c r="LOC504" s="1660"/>
      <c r="LOD504" s="1660"/>
      <c r="LOE504" s="1660"/>
      <c r="LOF504" s="1660"/>
      <c r="LOG504" s="1660"/>
      <c r="LOH504" s="1660"/>
      <c r="LOI504" s="1660"/>
      <c r="LOJ504" s="1660"/>
      <c r="LOK504" s="1660"/>
      <c r="LOL504" s="1660"/>
      <c r="LOM504" s="1660"/>
      <c r="LON504" s="1660"/>
      <c r="LOO504" s="1660"/>
      <c r="LOP504" s="1660"/>
      <c r="LOQ504" s="1660"/>
      <c r="LOR504" s="1660"/>
      <c r="LOS504" s="1660"/>
      <c r="LOT504" s="1660"/>
      <c r="LOU504" s="1660"/>
      <c r="LOV504" s="1660"/>
      <c r="LOW504" s="1660"/>
      <c r="LOX504" s="1660"/>
      <c r="LOY504" s="1660"/>
      <c r="LOZ504" s="1660"/>
      <c r="LPA504" s="1660"/>
      <c r="LPB504" s="1660"/>
      <c r="LPC504" s="1660"/>
      <c r="LPD504" s="1660"/>
      <c r="LPE504" s="1660"/>
      <c r="LPF504" s="1660"/>
      <c r="LPG504" s="1660"/>
      <c r="LPH504" s="1660"/>
      <c r="LPI504" s="1660"/>
      <c r="LPJ504" s="1660"/>
      <c r="LPK504" s="1660"/>
      <c r="LPL504" s="1660"/>
      <c r="LPM504" s="1660"/>
      <c r="LPN504" s="1660"/>
      <c r="LPO504" s="1660"/>
      <c r="LPP504" s="1660"/>
      <c r="LPQ504" s="1660"/>
      <c r="LPR504" s="1660"/>
      <c r="LPS504" s="1660"/>
      <c r="LPT504" s="1660"/>
      <c r="LPU504" s="1660"/>
      <c r="LPV504" s="1660"/>
      <c r="LPW504" s="1660"/>
      <c r="LPX504" s="1660"/>
      <c r="LPY504" s="1660"/>
      <c r="LPZ504" s="1660"/>
      <c r="LQA504" s="1660"/>
      <c r="LQB504" s="1660"/>
      <c r="LQC504" s="1660"/>
      <c r="LQD504" s="1660"/>
      <c r="LQE504" s="1660"/>
      <c r="LQF504" s="1660"/>
      <c r="LQG504" s="1660"/>
      <c r="LQH504" s="1660"/>
      <c r="LQI504" s="1660"/>
      <c r="LQJ504" s="1660"/>
      <c r="LQK504" s="1660"/>
      <c r="LQL504" s="1660"/>
      <c r="LQM504" s="1660"/>
      <c r="LQN504" s="1660"/>
      <c r="LQO504" s="1660"/>
      <c r="LQP504" s="1660"/>
      <c r="LQQ504" s="1660"/>
      <c r="LQR504" s="1660"/>
      <c r="LQS504" s="1660"/>
      <c r="LQT504" s="1660"/>
      <c r="LQU504" s="1660"/>
      <c r="LQV504" s="1660"/>
      <c r="LQW504" s="1660"/>
      <c r="LQX504" s="1660"/>
      <c r="LQY504" s="1660"/>
      <c r="LQZ504" s="1660"/>
      <c r="LRA504" s="1660"/>
      <c r="LRB504" s="1660"/>
      <c r="LRC504" s="1660"/>
      <c r="LRD504" s="1660"/>
      <c r="LRE504" s="1660"/>
      <c r="LRF504" s="1660"/>
      <c r="LRG504" s="1660"/>
      <c r="LRH504" s="1660"/>
      <c r="LRI504" s="1660"/>
      <c r="LRJ504" s="1660"/>
      <c r="LRK504" s="1660"/>
      <c r="LRL504" s="1660"/>
      <c r="LRM504" s="1660"/>
      <c r="LRN504" s="1660"/>
      <c r="LRO504" s="1660"/>
      <c r="LRP504" s="1660"/>
      <c r="LRQ504" s="1660"/>
      <c r="LRR504" s="1660"/>
      <c r="LRS504" s="1660"/>
      <c r="LRT504" s="1660"/>
      <c r="LRU504" s="1660"/>
      <c r="LRV504" s="1660"/>
      <c r="LRW504" s="1660"/>
      <c r="LRX504" s="1660"/>
      <c r="LRY504" s="1660"/>
      <c r="LRZ504" s="1660"/>
      <c r="LSA504" s="1660"/>
      <c r="LSB504" s="1660"/>
      <c r="LSC504" s="1660"/>
      <c r="LSD504" s="1660"/>
      <c r="LSE504" s="1660"/>
      <c r="LSF504" s="1660"/>
      <c r="LSG504" s="1660"/>
      <c r="LSH504" s="1660"/>
      <c r="LSI504" s="1660"/>
      <c r="LSJ504" s="1660"/>
      <c r="LSK504" s="1660"/>
      <c r="LSL504" s="1660"/>
      <c r="LSM504" s="1660"/>
      <c r="LSN504" s="1660"/>
      <c r="LSO504" s="1660"/>
      <c r="LSP504" s="1660"/>
      <c r="LSQ504" s="1660"/>
      <c r="LSR504" s="1660"/>
      <c r="LSS504" s="1660"/>
      <c r="LST504" s="1660"/>
      <c r="LSU504" s="1660"/>
      <c r="LSV504" s="1660"/>
      <c r="LSW504" s="1660"/>
      <c r="LSX504" s="1660"/>
      <c r="LSY504" s="1660"/>
      <c r="LSZ504" s="1660"/>
      <c r="LTA504" s="1660"/>
      <c r="LTB504" s="1660"/>
      <c r="LTC504" s="1660"/>
      <c r="LTD504" s="1660"/>
      <c r="LTE504" s="1660"/>
      <c r="LTF504" s="1660"/>
      <c r="LTG504" s="1660"/>
      <c r="LTH504" s="1660"/>
      <c r="LTI504" s="1660"/>
      <c r="LTJ504" s="1660"/>
      <c r="LTK504" s="1660"/>
      <c r="LTL504" s="1660"/>
      <c r="LTM504" s="1660"/>
      <c r="LTN504" s="1660"/>
      <c r="LTO504" s="1660"/>
      <c r="LTP504" s="1660"/>
      <c r="LTQ504" s="1660"/>
      <c r="LTR504" s="1660"/>
      <c r="LTS504" s="1660"/>
      <c r="LTT504" s="1660"/>
      <c r="LTU504" s="1660"/>
      <c r="LTV504" s="1660"/>
      <c r="LTW504" s="1660"/>
      <c r="LTX504" s="1660"/>
      <c r="LTY504" s="1660"/>
      <c r="LTZ504" s="1660"/>
      <c r="LUA504" s="1660"/>
      <c r="LUB504" s="1660"/>
      <c r="LUC504" s="1660"/>
      <c r="LUD504" s="1660"/>
      <c r="LUE504" s="1660"/>
      <c r="LUF504" s="1660"/>
      <c r="LUG504" s="1660"/>
      <c r="LUH504" s="1660"/>
      <c r="LUI504" s="1660"/>
      <c r="LUJ504" s="1660"/>
      <c r="LUK504" s="1660"/>
      <c r="LUL504" s="1660"/>
      <c r="LUM504" s="1660"/>
      <c r="LUN504" s="1660"/>
      <c r="LUO504" s="1660"/>
      <c r="LUP504" s="1660"/>
      <c r="LUQ504" s="1660"/>
      <c r="LUR504" s="1660"/>
      <c r="LUS504" s="1660"/>
      <c r="LUT504" s="1660"/>
      <c r="LUU504" s="1660"/>
      <c r="LUV504" s="1660"/>
      <c r="LUW504" s="1660"/>
      <c r="LUX504" s="1660"/>
      <c r="LUY504" s="1660"/>
      <c r="LUZ504" s="1660"/>
      <c r="LVA504" s="1660"/>
      <c r="LVB504" s="1660"/>
      <c r="LVC504" s="1660"/>
      <c r="LVD504" s="1660"/>
      <c r="LVE504" s="1660"/>
      <c r="LVF504" s="1660"/>
      <c r="LVG504" s="1660"/>
      <c r="LVH504" s="1660"/>
      <c r="LVI504" s="1660"/>
      <c r="LVJ504" s="1660"/>
      <c r="LVK504" s="1660"/>
      <c r="LVL504" s="1660"/>
      <c r="LVM504" s="1660"/>
      <c r="LVN504" s="1660"/>
      <c r="LVO504" s="1660"/>
      <c r="LVP504" s="1660"/>
      <c r="LVQ504" s="1660"/>
      <c r="LVR504" s="1660"/>
      <c r="LVS504" s="1660"/>
      <c r="LVT504" s="1660"/>
      <c r="LVU504" s="1660"/>
      <c r="LVV504" s="1660"/>
      <c r="LVW504" s="1660"/>
      <c r="LVX504" s="1660"/>
      <c r="LVY504" s="1660"/>
      <c r="LVZ504" s="1660"/>
      <c r="LWA504" s="1660"/>
      <c r="LWB504" s="1660"/>
      <c r="LWC504" s="1660"/>
      <c r="LWD504" s="1660"/>
      <c r="LWE504" s="1660"/>
      <c r="LWF504" s="1660"/>
      <c r="LWG504" s="1660"/>
      <c r="LWH504" s="1660"/>
      <c r="LWI504" s="1660"/>
      <c r="LWJ504" s="1660"/>
      <c r="LWK504" s="1660"/>
      <c r="LWL504" s="1660"/>
      <c r="LWM504" s="1660"/>
      <c r="LWN504" s="1660"/>
      <c r="LWO504" s="1660"/>
      <c r="LWP504" s="1660"/>
      <c r="LWQ504" s="1660"/>
      <c r="LWR504" s="1660"/>
      <c r="LWS504" s="1660"/>
      <c r="LWT504" s="1660"/>
      <c r="LWU504" s="1660"/>
      <c r="LWV504" s="1660"/>
      <c r="LWW504" s="1660"/>
      <c r="LWX504" s="1660"/>
      <c r="LWY504" s="1660"/>
      <c r="LWZ504" s="1660"/>
      <c r="LXA504" s="1660"/>
      <c r="LXB504" s="1660"/>
      <c r="LXC504" s="1660"/>
      <c r="LXD504" s="1660"/>
      <c r="LXE504" s="1660"/>
      <c r="LXF504" s="1660"/>
      <c r="LXG504" s="1660"/>
      <c r="LXH504" s="1660"/>
      <c r="LXI504" s="1660"/>
      <c r="LXJ504" s="1660"/>
      <c r="LXK504" s="1660"/>
      <c r="LXL504" s="1660"/>
      <c r="LXM504" s="1660"/>
      <c r="LXN504" s="1660"/>
      <c r="LXO504" s="1660"/>
      <c r="LXP504" s="1660"/>
      <c r="LXQ504" s="1660"/>
      <c r="LXR504" s="1660"/>
      <c r="LXS504" s="1660"/>
      <c r="LXT504" s="1660"/>
      <c r="LXU504" s="1660"/>
      <c r="LXV504" s="1660"/>
      <c r="LXW504" s="1660"/>
      <c r="LXX504" s="1660"/>
      <c r="LXY504" s="1660"/>
      <c r="LXZ504" s="1660"/>
      <c r="LYA504" s="1660"/>
      <c r="LYB504" s="1660"/>
      <c r="LYC504" s="1660"/>
      <c r="LYD504" s="1660"/>
      <c r="LYE504" s="1660"/>
      <c r="LYF504" s="1660"/>
      <c r="LYG504" s="1660"/>
      <c r="LYH504" s="1660"/>
      <c r="LYI504" s="1660"/>
      <c r="LYJ504" s="1660"/>
      <c r="LYK504" s="1660"/>
      <c r="LYL504" s="1660"/>
      <c r="LYM504" s="1660"/>
      <c r="LYN504" s="1660"/>
      <c r="LYO504" s="1660"/>
      <c r="LYP504" s="1660"/>
      <c r="LYQ504" s="1660"/>
      <c r="LYR504" s="1660"/>
      <c r="LYS504" s="1660"/>
      <c r="LYT504" s="1660"/>
      <c r="LYU504" s="1660"/>
      <c r="LYV504" s="1660"/>
      <c r="LYW504" s="1660"/>
      <c r="LYX504" s="1660"/>
      <c r="LYY504" s="1660"/>
      <c r="LYZ504" s="1660"/>
      <c r="LZA504" s="1660"/>
      <c r="LZB504" s="1660"/>
      <c r="LZC504" s="1660"/>
      <c r="LZD504" s="1660"/>
      <c r="LZE504" s="1660"/>
      <c r="LZF504" s="1660"/>
      <c r="LZG504" s="1660"/>
      <c r="LZH504" s="1660"/>
      <c r="LZI504" s="1660"/>
      <c r="LZJ504" s="1660"/>
      <c r="LZK504" s="1660"/>
      <c r="LZL504" s="1660"/>
      <c r="LZM504" s="1660"/>
      <c r="LZN504" s="1660"/>
      <c r="LZO504" s="1660"/>
      <c r="LZP504" s="1660"/>
      <c r="LZQ504" s="1660"/>
      <c r="LZR504" s="1660"/>
      <c r="LZS504" s="1660"/>
      <c r="LZT504" s="1660"/>
      <c r="LZU504" s="1660"/>
      <c r="LZV504" s="1660"/>
      <c r="LZW504" s="1660"/>
      <c r="LZX504" s="1660"/>
      <c r="LZY504" s="1660"/>
      <c r="LZZ504" s="1660"/>
      <c r="MAA504" s="1660"/>
      <c r="MAB504" s="1660"/>
      <c r="MAC504" s="1660"/>
      <c r="MAD504" s="1660"/>
      <c r="MAE504" s="1660"/>
      <c r="MAF504" s="1660"/>
      <c r="MAG504" s="1660"/>
      <c r="MAH504" s="1660"/>
      <c r="MAI504" s="1660"/>
      <c r="MAJ504" s="1660"/>
      <c r="MAK504" s="1660"/>
      <c r="MAL504" s="1660"/>
      <c r="MAM504" s="1660"/>
      <c r="MAN504" s="1660"/>
      <c r="MAO504" s="1660"/>
      <c r="MAP504" s="1660"/>
      <c r="MAQ504" s="1660"/>
      <c r="MAR504" s="1660"/>
      <c r="MAS504" s="1660"/>
      <c r="MAT504" s="1660"/>
      <c r="MAU504" s="1660"/>
      <c r="MAV504" s="1660"/>
      <c r="MAW504" s="1660"/>
      <c r="MAX504" s="1660"/>
      <c r="MAY504" s="1660"/>
      <c r="MAZ504" s="1660"/>
      <c r="MBA504" s="1660"/>
      <c r="MBB504" s="1660"/>
      <c r="MBC504" s="1660"/>
      <c r="MBD504" s="1660"/>
      <c r="MBE504" s="1660"/>
      <c r="MBF504" s="1660"/>
      <c r="MBG504" s="1660"/>
      <c r="MBH504" s="1660"/>
      <c r="MBI504" s="1660"/>
      <c r="MBJ504" s="1660"/>
      <c r="MBK504" s="1660"/>
      <c r="MBL504" s="1660"/>
      <c r="MBM504" s="1660"/>
      <c r="MBN504" s="1660"/>
      <c r="MBO504" s="1660"/>
      <c r="MBP504" s="1660"/>
      <c r="MBQ504" s="1660"/>
      <c r="MBR504" s="1660"/>
      <c r="MBS504" s="1660"/>
      <c r="MBT504" s="1660"/>
      <c r="MBU504" s="1660"/>
      <c r="MBV504" s="1660"/>
      <c r="MBW504" s="1660"/>
      <c r="MBX504" s="1660"/>
      <c r="MBY504" s="1660"/>
      <c r="MBZ504" s="1660"/>
      <c r="MCA504" s="1660"/>
      <c r="MCB504" s="1660"/>
      <c r="MCC504" s="1660"/>
      <c r="MCD504" s="1660"/>
      <c r="MCE504" s="1660"/>
      <c r="MCF504" s="1660"/>
      <c r="MCG504" s="1660"/>
      <c r="MCH504" s="1660"/>
      <c r="MCI504" s="1660"/>
      <c r="MCJ504" s="1660"/>
      <c r="MCK504" s="1660"/>
      <c r="MCL504" s="1660"/>
      <c r="MCM504" s="1660"/>
      <c r="MCN504" s="1660"/>
      <c r="MCO504" s="1660"/>
      <c r="MCP504" s="1660"/>
      <c r="MCQ504" s="1660"/>
      <c r="MCR504" s="1660"/>
      <c r="MCS504" s="1660"/>
      <c r="MCT504" s="1660"/>
      <c r="MCU504" s="1660"/>
      <c r="MCV504" s="1660"/>
      <c r="MCW504" s="1660"/>
      <c r="MCX504" s="1660"/>
      <c r="MCY504" s="1660"/>
      <c r="MCZ504" s="1660"/>
      <c r="MDA504" s="1660"/>
      <c r="MDB504" s="1660"/>
      <c r="MDC504" s="1660"/>
      <c r="MDD504" s="1660"/>
      <c r="MDE504" s="1660"/>
      <c r="MDF504" s="1660"/>
      <c r="MDG504" s="1660"/>
      <c r="MDH504" s="1660"/>
      <c r="MDI504" s="1660"/>
      <c r="MDJ504" s="1660"/>
      <c r="MDK504" s="1660"/>
      <c r="MDL504" s="1660"/>
      <c r="MDM504" s="1660"/>
      <c r="MDN504" s="1660"/>
      <c r="MDO504" s="1660"/>
      <c r="MDP504" s="1660"/>
      <c r="MDQ504" s="1660"/>
      <c r="MDR504" s="1660"/>
      <c r="MDS504" s="1660"/>
      <c r="MDT504" s="1660"/>
      <c r="MDU504" s="1660"/>
      <c r="MDV504" s="1660"/>
      <c r="MDW504" s="1660"/>
      <c r="MDX504" s="1660"/>
      <c r="MDY504" s="1660"/>
      <c r="MDZ504" s="1660"/>
      <c r="MEA504" s="1660"/>
      <c r="MEB504" s="1660"/>
      <c r="MEC504" s="1660"/>
      <c r="MED504" s="1660"/>
      <c r="MEE504" s="1660"/>
      <c r="MEF504" s="1660"/>
      <c r="MEG504" s="1660"/>
      <c r="MEH504" s="1660"/>
      <c r="MEI504" s="1660"/>
      <c r="MEJ504" s="1660"/>
      <c r="MEK504" s="1660"/>
      <c r="MEL504" s="1660"/>
      <c r="MEM504" s="1660"/>
      <c r="MEN504" s="1660"/>
      <c r="MEO504" s="1660"/>
      <c r="MEP504" s="1660"/>
      <c r="MEQ504" s="1660"/>
      <c r="MER504" s="1660"/>
      <c r="MES504" s="1660"/>
      <c r="MET504" s="1660"/>
      <c r="MEU504" s="1660"/>
      <c r="MEV504" s="1660"/>
      <c r="MEW504" s="1660"/>
      <c r="MEX504" s="1660"/>
      <c r="MEY504" s="1660"/>
      <c r="MEZ504" s="1660"/>
      <c r="MFA504" s="1660"/>
      <c r="MFB504" s="1660"/>
      <c r="MFC504" s="1660"/>
      <c r="MFD504" s="1660"/>
      <c r="MFE504" s="1660"/>
      <c r="MFF504" s="1660"/>
      <c r="MFG504" s="1660"/>
      <c r="MFH504" s="1660"/>
      <c r="MFI504" s="1660"/>
      <c r="MFJ504" s="1660"/>
      <c r="MFK504" s="1660"/>
      <c r="MFL504" s="1660"/>
      <c r="MFM504" s="1660"/>
      <c r="MFN504" s="1660"/>
      <c r="MFO504" s="1660"/>
      <c r="MFP504" s="1660"/>
      <c r="MFQ504" s="1660"/>
      <c r="MFR504" s="1660"/>
      <c r="MFS504" s="1660"/>
      <c r="MFT504" s="1660"/>
      <c r="MFU504" s="1660"/>
      <c r="MFV504" s="1660"/>
      <c r="MFW504" s="1660"/>
      <c r="MFX504" s="1660"/>
      <c r="MFY504" s="1660"/>
      <c r="MFZ504" s="1660"/>
      <c r="MGA504" s="1660"/>
      <c r="MGB504" s="1660"/>
      <c r="MGC504" s="1660"/>
      <c r="MGD504" s="1660"/>
      <c r="MGE504" s="1660"/>
      <c r="MGF504" s="1660"/>
      <c r="MGG504" s="1660"/>
      <c r="MGH504" s="1660"/>
      <c r="MGI504" s="1660"/>
      <c r="MGJ504" s="1660"/>
      <c r="MGK504" s="1660"/>
      <c r="MGL504" s="1660"/>
      <c r="MGM504" s="1660"/>
      <c r="MGN504" s="1660"/>
      <c r="MGO504" s="1660"/>
      <c r="MGP504" s="1660"/>
      <c r="MGQ504" s="1660"/>
      <c r="MGR504" s="1660"/>
      <c r="MGS504" s="1660"/>
      <c r="MGT504" s="1660"/>
      <c r="MGU504" s="1660"/>
      <c r="MGV504" s="1660"/>
      <c r="MGW504" s="1660"/>
      <c r="MGX504" s="1660"/>
      <c r="MGY504" s="1660"/>
      <c r="MGZ504" s="1660"/>
      <c r="MHA504" s="1660"/>
      <c r="MHB504" s="1660"/>
      <c r="MHC504" s="1660"/>
      <c r="MHD504" s="1660"/>
      <c r="MHE504" s="1660"/>
      <c r="MHF504" s="1660"/>
      <c r="MHG504" s="1660"/>
      <c r="MHH504" s="1660"/>
      <c r="MHI504" s="1660"/>
      <c r="MHJ504" s="1660"/>
      <c r="MHK504" s="1660"/>
      <c r="MHL504" s="1660"/>
      <c r="MHM504" s="1660"/>
      <c r="MHN504" s="1660"/>
      <c r="MHO504" s="1660"/>
      <c r="MHP504" s="1660"/>
      <c r="MHQ504" s="1660"/>
      <c r="MHR504" s="1660"/>
      <c r="MHS504" s="1660"/>
      <c r="MHT504" s="1660"/>
      <c r="MHU504" s="1660"/>
      <c r="MHV504" s="1660"/>
      <c r="MHW504" s="1660"/>
      <c r="MHX504" s="1660"/>
      <c r="MHY504" s="1660"/>
      <c r="MHZ504" s="1660"/>
      <c r="MIA504" s="1660"/>
      <c r="MIB504" s="1660"/>
      <c r="MIC504" s="1660"/>
      <c r="MID504" s="1660"/>
      <c r="MIE504" s="1660"/>
      <c r="MIF504" s="1660"/>
      <c r="MIG504" s="1660"/>
      <c r="MIH504" s="1660"/>
      <c r="MII504" s="1660"/>
      <c r="MIJ504" s="1660"/>
      <c r="MIK504" s="1660"/>
      <c r="MIL504" s="1660"/>
      <c r="MIM504" s="1660"/>
      <c r="MIN504" s="1660"/>
      <c r="MIO504" s="1660"/>
      <c r="MIP504" s="1660"/>
      <c r="MIQ504" s="1660"/>
      <c r="MIR504" s="1660"/>
      <c r="MIS504" s="1660"/>
      <c r="MIT504" s="1660"/>
      <c r="MIU504" s="1660"/>
      <c r="MIV504" s="1660"/>
      <c r="MIW504" s="1660"/>
      <c r="MIX504" s="1660"/>
      <c r="MIY504" s="1660"/>
      <c r="MIZ504" s="1660"/>
      <c r="MJA504" s="1660"/>
      <c r="MJB504" s="1660"/>
      <c r="MJC504" s="1660"/>
      <c r="MJD504" s="1660"/>
      <c r="MJE504" s="1660"/>
      <c r="MJF504" s="1660"/>
      <c r="MJG504" s="1660"/>
      <c r="MJH504" s="1660"/>
      <c r="MJI504" s="1660"/>
      <c r="MJJ504" s="1660"/>
      <c r="MJK504" s="1660"/>
      <c r="MJL504" s="1660"/>
      <c r="MJM504" s="1660"/>
      <c r="MJN504" s="1660"/>
      <c r="MJO504" s="1660"/>
      <c r="MJP504" s="1660"/>
      <c r="MJQ504" s="1660"/>
      <c r="MJR504" s="1660"/>
      <c r="MJS504" s="1660"/>
      <c r="MJT504" s="1660"/>
      <c r="MJU504" s="1660"/>
      <c r="MJV504" s="1660"/>
      <c r="MJW504" s="1660"/>
      <c r="MJX504" s="1660"/>
      <c r="MJY504" s="1660"/>
      <c r="MJZ504" s="1660"/>
      <c r="MKA504" s="1660"/>
      <c r="MKB504" s="1660"/>
      <c r="MKC504" s="1660"/>
      <c r="MKD504" s="1660"/>
      <c r="MKE504" s="1660"/>
      <c r="MKF504" s="1660"/>
      <c r="MKG504" s="1660"/>
      <c r="MKH504" s="1660"/>
      <c r="MKI504" s="1660"/>
      <c r="MKJ504" s="1660"/>
      <c r="MKK504" s="1660"/>
      <c r="MKL504" s="1660"/>
      <c r="MKM504" s="1660"/>
      <c r="MKN504" s="1660"/>
      <c r="MKO504" s="1660"/>
      <c r="MKP504" s="1660"/>
      <c r="MKQ504" s="1660"/>
      <c r="MKR504" s="1660"/>
      <c r="MKS504" s="1660"/>
      <c r="MKT504" s="1660"/>
      <c r="MKU504" s="1660"/>
      <c r="MKV504" s="1660"/>
      <c r="MKW504" s="1660"/>
      <c r="MKX504" s="1660"/>
      <c r="MKY504" s="1660"/>
      <c r="MKZ504" s="1660"/>
      <c r="MLA504" s="1660"/>
      <c r="MLB504" s="1660"/>
      <c r="MLC504" s="1660"/>
      <c r="MLD504" s="1660"/>
      <c r="MLE504" s="1660"/>
      <c r="MLF504" s="1660"/>
      <c r="MLG504" s="1660"/>
      <c r="MLH504" s="1660"/>
      <c r="MLI504" s="1660"/>
      <c r="MLJ504" s="1660"/>
      <c r="MLK504" s="1660"/>
      <c r="MLL504" s="1660"/>
      <c r="MLM504" s="1660"/>
      <c r="MLN504" s="1660"/>
      <c r="MLO504" s="1660"/>
      <c r="MLP504" s="1660"/>
      <c r="MLQ504" s="1660"/>
      <c r="MLR504" s="1660"/>
      <c r="MLS504" s="1660"/>
      <c r="MLT504" s="1660"/>
      <c r="MLU504" s="1660"/>
      <c r="MLV504" s="1660"/>
      <c r="MLW504" s="1660"/>
      <c r="MLX504" s="1660"/>
      <c r="MLY504" s="1660"/>
      <c r="MLZ504" s="1660"/>
      <c r="MMA504" s="1660"/>
      <c r="MMB504" s="1660"/>
      <c r="MMC504" s="1660"/>
      <c r="MMD504" s="1660"/>
      <c r="MME504" s="1660"/>
      <c r="MMF504" s="1660"/>
      <c r="MMG504" s="1660"/>
      <c r="MMH504" s="1660"/>
      <c r="MMI504" s="1660"/>
      <c r="MMJ504" s="1660"/>
      <c r="MMK504" s="1660"/>
      <c r="MML504" s="1660"/>
      <c r="MMM504" s="1660"/>
      <c r="MMN504" s="1660"/>
      <c r="MMO504" s="1660"/>
      <c r="MMP504" s="1660"/>
      <c r="MMQ504" s="1660"/>
      <c r="MMR504" s="1660"/>
      <c r="MMS504" s="1660"/>
      <c r="MMT504" s="1660"/>
      <c r="MMU504" s="1660"/>
      <c r="MMV504" s="1660"/>
      <c r="MMW504" s="1660"/>
      <c r="MMX504" s="1660"/>
      <c r="MMY504" s="1660"/>
      <c r="MMZ504" s="1660"/>
      <c r="MNA504" s="1660"/>
      <c r="MNB504" s="1660"/>
      <c r="MNC504" s="1660"/>
      <c r="MND504" s="1660"/>
      <c r="MNE504" s="1660"/>
      <c r="MNF504" s="1660"/>
      <c r="MNG504" s="1660"/>
      <c r="MNH504" s="1660"/>
      <c r="MNI504" s="1660"/>
      <c r="MNJ504" s="1660"/>
      <c r="MNK504" s="1660"/>
      <c r="MNL504" s="1660"/>
      <c r="MNM504" s="1660"/>
      <c r="MNN504" s="1660"/>
      <c r="MNO504" s="1660"/>
      <c r="MNP504" s="1660"/>
      <c r="MNQ504" s="1660"/>
      <c r="MNR504" s="1660"/>
      <c r="MNS504" s="1660"/>
      <c r="MNT504" s="1660"/>
      <c r="MNU504" s="1660"/>
      <c r="MNV504" s="1660"/>
      <c r="MNW504" s="1660"/>
      <c r="MNX504" s="1660"/>
      <c r="MNY504" s="1660"/>
      <c r="MNZ504" s="1660"/>
      <c r="MOA504" s="1660"/>
      <c r="MOB504" s="1660"/>
      <c r="MOC504" s="1660"/>
      <c r="MOD504" s="1660"/>
      <c r="MOE504" s="1660"/>
      <c r="MOF504" s="1660"/>
      <c r="MOG504" s="1660"/>
      <c r="MOH504" s="1660"/>
      <c r="MOI504" s="1660"/>
      <c r="MOJ504" s="1660"/>
      <c r="MOK504" s="1660"/>
      <c r="MOL504" s="1660"/>
      <c r="MOM504" s="1660"/>
      <c r="MON504" s="1660"/>
      <c r="MOO504" s="1660"/>
      <c r="MOP504" s="1660"/>
      <c r="MOQ504" s="1660"/>
      <c r="MOR504" s="1660"/>
      <c r="MOS504" s="1660"/>
      <c r="MOT504" s="1660"/>
      <c r="MOU504" s="1660"/>
      <c r="MOV504" s="1660"/>
      <c r="MOW504" s="1660"/>
      <c r="MOX504" s="1660"/>
      <c r="MOY504" s="1660"/>
      <c r="MOZ504" s="1660"/>
      <c r="MPA504" s="1660"/>
      <c r="MPB504" s="1660"/>
      <c r="MPC504" s="1660"/>
      <c r="MPD504" s="1660"/>
      <c r="MPE504" s="1660"/>
      <c r="MPF504" s="1660"/>
      <c r="MPG504" s="1660"/>
      <c r="MPH504" s="1660"/>
      <c r="MPI504" s="1660"/>
      <c r="MPJ504" s="1660"/>
      <c r="MPK504" s="1660"/>
      <c r="MPL504" s="1660"/>
      <c r="MPM504" s="1660"/>
      <c r="MPN504" s="1660"/>
      <c r="MPO504" s="1660"/>
      <c r="MPP504" s="1660"/>
      <c r="MPQ504" s="1660"/>
      <c r="MPR504" s="1660"/>
      <c r="MPS504" s="1660"/>
      <c r="MPT504" s="1660"/>
      <c r="MPU504" s="1660"/>
      <c r="MPV504" s="1660"/>
      <c r="MPW504" s="1660"/>
      <c r="MPX504" s="1660"/>
      <c r="MPY504" s="1660"/>
      <c r="MPZ504" s="1660"/>
      <c r="MQA504" s="1660"/>
      <c r="MQB504" s="1660"/>
      <c r="MQC504" s="1660"/>
      <c r="MQD504" s="1660"/>
      <c r="MQE504" s="1660"/>
      <c r="MQF504" s="1660"/>
      <c r="MQG504" s="1660"/>
      <c r="MQH504" s="1660"/>
      <c r="MQI504" s="1660"/>
      <c r="MQJ504" s="1660"/>
      <c r="MQK504" s="1660"/>
      <c r="MQL504" s="1660"/>
      <c r="MQM504" s="1660"/>
      <c r="MQN504" s="1660"/>
      <c r="MQO504" s="1660"/>
      <c r="MQP504" s="1660"/>
      <c r="MQQ504" s="1660"/>
      <c r="MQR504" s="1660"/>
      <c r="MQS504" s="1660"/>
      <c r="MQT504" s="1660"/>
      <c r="MQU504" s="1660"/>
      <c r="MQV504" s="1660"/>
      <c r="MQW504" s="1660"/>
      <c r="MQX504" s="1660"/>
      <c r="MQY504" s="1660"/>
      <c r="MQZ504" s="1660"/>
      <c r="MRA504" s="1660"/>
      <c r="MRB504" s="1660"/>
      <c r="MRC504" s="1660"/>
      <c r="MRD504" s="1660"/>
      <c r="MRE504" s="1660"/>
      <c r="MRF504" s="1660"/>
      <c r="MRG504" s="1660"/>
      <c r="MRH504" s="1660"/>
      <c r="MRI504" s="1660"/>
      <c r="MRJ504" s="1660"/>
      <c r="MRK504" s="1660"/>
      <c r="MRL504" s="1660"/>
      <c r="MRM504" s="1660"/>
      <c r="MRN504" s="1660"/>
      <c r="MRO504" s="1660"/>
      <c r="MRP504" s="1660"/>
      <c r="MRQ504" s="1660"/>
      <c r="MRR504" s="1660"/>
      <c r="MRS504" s="1660"/>
      <c r="MRT504" s="1660"/>
      <c r="MRU504" s="1660"/>
      <c r="MRV504" s="1660"/>
      <c r="MRW504" s="1660"/>
      <c r="MRX504" s="1660"/>
      <c r="MRY504" s="1660"/>
      <c r="MRZ504" s="1660"/>
      <c r="MSA504" s="1660"/>
      <c r="MSB504" s="1660"/>
      <c r="MSC504" s="1660"/>
      <c r="MSD504" s="1660"/>
      <c r="MSE504" s="1660"/>
      <c r="MSF504" s="1660"/>
      <c r="MSG504" s="1660"/>
      <c r="MSH504" s="1660"/>
      <c r="MSI504" s="1660"/>
      <c r="MSJ504" s="1660"/>
      <c r="MSK504" s="1660"/>
      <c r="MSL504" s="1660"/>
      <c r="MSM504" s="1660"/>
      <c r="MSN504" s="1660"/>
      <c r="MSO504" s="1660"/>
      <c r="MSP504" s="1660"/>
      <c r="MSQ504" s="1660"/>
      <c r="MSR504" s="1660"/>
      <c r="MSS504" s="1660"/>
      <c r="MST504" s="1660"/>
      <c r="MSU504" s="1660"/>
      <c r="MSV504" s="1660"/>
      <c r="MSW504" s="1660"/>
      <c r="MSX504" s="1660"/>
      <c r="MSY504" s="1660"/>
      <c r="MSZ504" s="1660"/>
      <c r="MTA504" s="1660"/>
      <c r="MTB504" s="1660"/>
      <c r="MTC504" s="1660"/>
      <c r="MTD504" s="1660"/>
      <c r="MTE504" s="1660"/>
      <c r="MTF504" s="1660"/>
      <c r="MTG504" s="1660"/>
      <c r="MTH504" s="1660"/>
      <c r="MTI504" s="1660"/>
      <c r="MTJ504" s="1660"/>
      <c r="MTK504" s="1660"/>
      <c r="MTL504" s="1660"/>
      <c r="MTM504" s="1660"/>
      <c r="MTN504" s="1660"/>
      <c r="MTO504" s="1660"/>
      <c r="MTP504" s="1660"/>
      <c r="MTQ504" s="1660"/>
      <c r="MTR504" s="1660"/>
      <c r="MTS504" s="1660"/>
      <c r="MTT504" s="1660"/>
      <c r="MTU504" s="1660"/>
      <c r="MTV504" s="1660"/>
      <c r="MTW504" s="1660"/>
      <c r="MTX504" s="1660"/>
      <c r="MTY504" s="1660"/>
      <c r="MTZ504" s="1660"/>
      <c r="MUA504" s="1660"/>
      <c r="MUB504" s="1660"/>
      <c r="MUC504" s="1660"/>
      <c r="MUD504" s="1660"/>
      <c r="MUE504" s="1660"/>
      <c r="MUF504" s="1660"/>
      <c r="MUG504" s="1660"/>
      <c r="MUH504" s="1660"/>
      <c r="MUI504" s="1660"/>
      <c r="MUJ504" s="1660"/>
      <c r="MUK504" s="1660"/>
      <c r="MUL504" s="1660"/>
      <c r="MUM504" s="1660"/>
      <c r="MUN504" s="1660"/>
      <c r="MUO504" s="1660"/>
      <c r="MUP504" s="1660"/>
      <c r="MUQ504" s="1660"/>
      <c r="MUR504" s="1660"/>
      <c r="MUS504" s="1660"/>
      <c r="MUT504" s="1660"/>
      <c r="MUU504" s="1660"/>
      <c r="MUV504" s="1660"/>
      <c r="MUW504" s="1660"/>
      <c r="MUX504" s="1660"/>
      <c r="MUY504" s="1660"/>
      <c r="MUZ504" s="1660"/>
      <c r="MVA504" s="1660"/>
      <c r="MVB504" s="1660"/>
      <c r="MVC504" s="1660"/>
      <c r="MVD504" s="1660"/>
      <c r="MVE504" s="1660"/>
      <c r="MVF504" s="1660"/>
      <c r="MVG504" s="1660"/>
      <c r="MVH504" s="1660"/>
      <c r="MVI504" s="1660"/>
      <c r="MVJ504" s="1660"/>
      <c r="MVK504" s="1660"/>
      <c r="MVL504" s="1660"/>
      <c r="MVM504" s="1660"/>
      <c r="MVN504" s="1660"/>
      <c r="MVO504" s="1660"/>
      <c r="MVP504" s="1660"/>
      <c r="MVQ504" s="1660"/>
      <c r="MVR504" s="1660"/>
      <c r="MVS504" s="1660"/>
      <c r="MVT504" s="1660"/>
      <c r="MVU504" s="1660"/>
      <c r="MVV504" s="1660"/>
      <c r="MVW504" s="1660"/>
      <c r="MVX504" s="1660"/>
      <c r="MVY504" s="1660"/>
      <c r="MVZ504" s="1660"/>
      <c r="MWA504" s="1660"/>
      <c r="MWB504" s="1660"/>
      <c r="MWC504" s="1660"/>
      <c r="MWD504" s="1660"/>
      <c r="MWE504" s="1660"/>
      <c r="MWF504" s="1660"/>
      <c r="MWG504" s="1660"/>
      <c r="MWH504" s="1660"/>
      <c r="MWI504" s="1660"/>
      <c r="MWJ504" s="1660"/>
      <c r="MWK504" s="1660"/>
      <c r="MWL504" s="1660"/>
      <c r="MWM504" s="1660"/>
      <c r="MWN504" s="1660"/>
      <c r="MWO504" s="1660"/>
      <c r="MWP504" s="1660"/>
      <c r="MWQ504" s="1660"/>
      <c r="MWR504" s="1660"/>
      <c r="MWS504" s="1660"/>
      <c r="MWT504" s="1660"/>
      <c r="MWU504" s="1660"/>
      <c r="MWV504" s="1660"/>
      <c r="MWW504" s="1660"/>
      <c r="MWX504" s="1660"/>
      <c r="MWY504" s="1660"/>
      <c r="MWZ504" s="1660"/>
      <c r="MXA504" s="1660"/>
      <c r="MXB504" s="1660"/>
      <c r="MXC504" s="1660"/>
      <c r="MXD504" s="1660"/>
      <c r="MXE504" s="1660"/>
      <c r="MXF504" s="1660"/>
      <c r="MXG504" s="1660"/>
      <c r="MXH504" s="1660"/>
      <c r="MXI504" s="1660"/>
      <c r="MXJ504" s="1660"/>
      <c r="MXK504" s="1660"/>
      <c r="MXL504" s="1660"/>
      <c r="MXM504" s="1660"/>
      <c r="MXN504" s="1660"/>
      <c r="MXO504" s="1660"/>
      <c r="MXP504" s="1660"/>
      <c r="MXQ504" s="1660"/>
      <c r="MXR504" s="1660"/>
      <c r="MXS504" s="1660"/>
      <c r="MXT504" s="1660"/>
      <c r="MXU504" s="1660"/>
      <c r="MXV504" s="1660"/>
      <c r="MXW504" s="1660"/>
      <c r="MXX504" s="1660"/>
      <c r="MXY504" s="1660"/>
      <c r="MXZ504" s="1660"/>
      <c r="MYA504" s="1660"/>
      <c r="MYB504" s="1660"/>
      <c r="MYC504" s="1660"/>
      <c r="MYD504" s="1660"/>
      <c r="MYE504" s="1660"/>
      <c r="MYF504" s="1660"/>
      <c r="MYG504" s="1660"/>
      <c r="MYH504" s="1660"/>
      <c r="MYI504" s="1660"/>
      <c r="MYJ504" s="1660"/>
      <c r="MYK504" s="1660"/>
      <c r="MYL504" s="1660"/>
      <c r="MYM504" s="1660"/>
      <c r="MYN504" s="1660"/>
      <c r="MYO504" s="1660"/>
      <c r="MYP504" s="1660"/>
      <c r="MYQ504" s="1660"/>
      <c r="MYR504" s="1660"/>
      <c r="MYS504" s="1660"/>
      <c r="MYT504" s="1660"/>
      <c r="MYU504" s="1660"/>
      <c r="MYV504" s="1660"/>
      <c r="MYW504" s="1660"/>
      <c r="MYX504" s="1660"/>
      <c r="MYY504" s="1660"/>
      <c r="MYZ504" s="1660"/>
      <c r="MZA504" s="1660"/>
      <c r="MZB504" s="1660"/>
      <c r="MZC504" s="1660"/>
      <c r="MZD504" s="1660"/>
      <c r="MZE504" s="1660"/>
      <c r="MZF504" s="1660"/>
      <c r="MZG504" s="1660"/>
      <c r="MZH504" s="1660"/>
      <c r="MZI504" s="1660"/>
      <c r="MZJ504" s="1660"/>
      <c r="MZK504" s="1660"/>
      <c r="MZL504" s="1660"/>
      <c r="MZM504" s="1660"/>
      <c r="MZN504" s="1660"/>
      <c r="MZO504" s="1660"/>
      <c r="MZP504" s="1660"/>
      <c r="MZQ504" s="1660"/>
      <c r="MZR504" s="1660"/>
      <c r="MZS504" s="1660"/>
      <c r="MZT504" s="1660"/>
      <c r="MZU504" s="1660"/>
      <c r="MZV504" s="1660"/>
      <c r="MZW504" s="1660"/>
      <c r="MZX504" s="1660"/>
      <c r="MZY504" s="1660"/>
      <c r="MZZ504" s="1660"/>
      <c r="NAA504" s="1660"/>
      <c r="NAB504" s="1660"/>
      <c r="NAC504" s="1660"/>
      <c r="NAD504" s="1660"/>
      <c r="NAE504" s="1660"/>
      <c r="NAF504" s="1660"/>
      <c r="NAG504" s="1660"/>
      <c r="NAH504" s="1660"/>
      <c r="NAI504" s="1660"/>
      <c r="NAJ504" s="1660"/>
      <c r="NAK504" s="1660"/>
      <c r="NAL504" s="1660"/>
      <c r="NAM504" s="1660"/>
      <c r="NAN504" s="1660"/>
      <c r="NAO504" s="1660"/>
      <c r="NAP504" s="1660"/>
      <c r="NAQ504" s="1660"/>
      <c r="NAR504" s="1660"/>
      <c r="NAS504" s="1660"/>
      <c r="NAT504" s="1660"/>
      <c r="NAU504" s="1660"/>
      <c r="NAV504" s="1660"/>
      <c r="NAW504" s="1660"/>
      <c r="NAX504" s="1660"/>
      <c r="NAY504" s="1660"/>
      <c r="NAZ504" s="1660"/>
      <c r="NBA504" s="1660"/>
      <c r="NBB504" s="1660"/>
      <c r="NBC504" s="1660"/>
      <c r="NBD504" s="1660"/>
      <c r="NBE504" s="1660"/>
      <c r="NBF504" s="1660"/>
      <c r="NBG504" s="1660"/>
      <c r="NBH504" s="1660"/>
      <c r="NBI504" s="1660"/>
      <c r="NBJ504" s="1660"/>
      <c r="NBK504" s="1660"/>
      <c r="NBL504" s="1660"/>
      <c r="NBM504" s="1660"/>
      <c r="NBN504" s="1660"/>
      <c r="NBO504" s="1660"/>
      <c r="NBP504" s="1660"/>
      <c r="NBQ504" s="1660"/>
      <c r="NBR504" s="1660"/>
      <c r="NBS504" s="1660"/>
      <c r="NBT504" s="1660"/>
      <c r="NBU504" s="1660"/>
      <c r="NBV504" s="1660"/>
      <c r="NBW504" s="1660"/>
      <c r="NBX504" s="1660"/>
      <c r="NBY504" s="1660"/>
      <c r="NBZ504" s="1660"/>
      <c r="NCA504" s="1660"/>
      <c r="NCB504" s="1660"/>
      <c r="NCC504" s="1660"/>
      <c r="NCD504" s="1660"/>
      <c r="NCE504" s="1660"/>
      <c r="NCF504" s="1660"/>
      <c r="NCG504" s="1660"/>
      <c r="NCH504" s="1660"/>
      <c r="NCI504" s="1660"/>
      <c r="NCJ504" s="1660"/>
      <c r="NCK504" s="1660"/>
      <c r="NCL504" s="1660"/>
      <c r="NCM504" s="1660"/>
      <c r="NCN504" s="1660"/>
      <c r="NCO504" s="1660"/>
      <c r="NCP504" s="1660"/>
      <c r="NCQ504" s="1660"/>
      <c r="NCR504" s="1660"/>
      <c r="NCS504" s="1660"/>
      <c r="NCT504" s="1660"/>
      <c r="NCU504" s="1660"/>
      <c r="NCV504" s="1660"/>
      <c r="NCW504" s="1660"/>
      <c r="NCX504" s="1660"/>
      <c r="NCY504" s="1660"/>
      <c r="NCZ504" s="1660"/>
      <c r="NDA504" s="1660"/>
      <c r="NDB504" s="1660"/>
      <c r="NDC504" s="1660"/>
      <c r="NDD504" s="1660"/>
      <c r="NDE504" s="1660"/>
      <c r="NDF504" s="1660"/>
      <c r="NDG504" s="1660"/>
      <c r="NDH504" s="1660"/>
      <c r="NDI504" s="1660"/>
      <c r="NDJ504" s="1660"/>
      <c r="NDK504" s="1660"/>
      <c r="NDL504" s="1660"/>
      <c r="NDM504" s="1660"/>
      <c r="NDN504" s="1660"/>
      <c r="NDO504" s="1660"/>
      <c r="NDP504" s="1660"/>
      <c r="NDQ504" s="1660"/>
      <c r="NDR504" s="1660"/>
      <c r="NDS504" s="1660"/>
      <c r="NDT504" s="1660"/>
      <c r="NDU504" s="1660"/>
      <c r="NDV504" s="1660"/>
      <c r="NDW504" s="1660"/>
      <c r="NDX504" s="1660"/>
      <c r="NDY504" s="1660"/>
      <c r="NDZ504" s="1660"/>
      <c r="NEA504" s="1660"/>
      <c r="NEB504" s="1660"/>
      <c r="NEC504" s="1660"/>
      <c r="NED504" s="1660"/>
      <c r="NEE504" s="1660"/>
      <c r="NEF504" s="1660"/>
      <c r="NEG504" s="1660"/>
      <c r="NEH504" s="1660"/>
      <c r="NEI504" s="1660"/>
      <c r="NEJ504" s="1660"/>
      <c r="NEK504" s="1660"/>
      <c r="NEL504" s="1660"/>
      <c r="NEM504" s="1660"/>
      <c r="NEN504" s="1660"/>
      <c r="NEO504" s="1660"/>
      <c r="NEP504" s="1660"/>
      <c r="NEQ504" s="1660"/>
      <c r="NER504" s="1660"/>
      <c r="NES504" s="1660"/>
      <c r="NET504" s="1660"/>
      <c r="NEU504" s="1660"/>
      <c r="NEV504" s="1660"/>
      <c r="NEW504" s="1660"/>
      <c r="NEX504" s="1660"/>
      <c r="NEY504" s="1660"/>
      <c r="NEZ504" s="1660"/>
      <c r="NFA504" s="1660"/>
      <c r="NFB504" s="1660"/>
      <c r="NFC504" s="1660"/>
      <c r="NFD504" s="1660"/>
      <c r="NFE504" s="1660"/>
      <c r="NFF504" s="1660"/>
      <c r="NFG504" s="1660"/>
      <c r="NFH504" s="1660"/>
      <c r="NFI504" s="1660"/>
      <c r="NFJ504" s="1660"/>
      <c r="NFK504" s="1660"/>
      <c r="NFL504" s="1660"/>
      <c r="NFM504" s="1660"/>
      <c r="NFN504" s="1660"/>
      <c r="NFO504" s="1660"/>
      <c r="NFP504" s="1660"/>
      <c r="NFQ504" s="1660"/>
      <c r="NFR504" s="1660"/>
      <c r="NFS504" s="1660"/>
      <c r="NFT504" s="1660"/>
      <c r="NFU504" s="1660"/>
      <c r="NFV504" s="1660"/>
      <c r="NFW504" s="1660"/>
      <c r="NFX504" s="1660"/>
      <c r="NFY504" s="1660"/>
      <c r="NFZ504" s="1660"/>
      <c r="NGA504" s="1660"/>
      <c r="NGB504" s="1660"/>
      <c r="NGC504" s="1660"/>
      <c r="NGD504" s="1660"/>
      <c r="NGE504" s="1660"/>
      <c r="NGF504" s="1660"/>
      <c r="NGG504" s="1660"/>
      <c r="NGH504" s="1660"/>
      <c r="NGI504" s="1660"/>
      <c r="NGJ504" s="1660"/>
      <c r="NGK504" s="1660"/>
      <c r="NGL504" s="1660"/>
      <c r="NGM504" s="1660"/>
      <c r="NGN504" s="1660"/>
      <c r="NGO504" s="1660"/>
      <c r="NGP504" s="1660"/>
      <c r="NGQ504" s="1660"/>
      <c r="NGR504" s="1660"/>
      <c r="NGS504" s="1660"/>
      <c r="NGT504" s="1660"/>
      <c r="NGU504" s="1660"/>
      <c r="NGV504" s="1660"/>
      <c r="NGW504" s="1660"/>
      <c r="NGX504" s="1660"/>
      <c r="NGY504" s="1660"/>
      <c r="NGZ504" s="1660"/>
      <c r="NHA504" s="1660"/>
      <c r="NHB504" s="1660"/>
      <c r="NHC504" s="1660"/>
      <c r="NHD504" s="1660"/>
      <c r="NHE504" s="1660"/>
      <c r="NHF504" s="1660"/>
      <c r="NHG504" s="1660"/>
      <c r="NHH504" s="1660"/>
      <c r="NHI504" s="1660"/>
      <c r="NHJ504" s="1660"/>
      <c r="NHK504" s="1660"/>
      <c r="NHL504" s="1660"/>
      <c r="NHM504" s="1660"/>
      <c r="NHN504" s="1660"/>
      <c r="NHO504" s="1660"/>
      <c r="NHP504" s="1660"/>
      <c r="NHQ504" s="1660"/>
      <c r="NHR504" s="1660"/>
      <c r="NHS504" s="1660"/>
      <c r="NHT504" s="1660"/>
      <c r="NHU504" s="1660"/>
      <c r="NHV504" s="1660"/>
      <c r="NHW504" s="1660"/>
      <c r="NHX504" s="1660"/>
      <c r="NHY504" s="1660"/>
      <c r="NHZ504" s="1660"/>
      <c r="NIA504" s="1660"/>
      <c r="NIB504" s="1660"/>
      <c r="NIC504" s="1660"/>
      <c r="NID504" s="1660"/>
      <c r="NIE504" s="1660"/>
      <c r="NIF504" s="1660"/>
      <c r="NIG504" s="1660"/>
      <c r="NIH504" s="1660"/>
      <c r="NII504" s="1660"/>
      <c r="NIJ504" s="1660"/>
      <c r="NIK504" s="1660"/>
      <c r="NIL504" s="1660"/>
      <c r="NIM504" s="1660"/>
      <c r="NIN504" s="1660"/>
      <c r="NIO504" s="1660"/>
      <c r="NIP504" s="1660"/>
      <c r="NIQ504" s="1660"/>
      <c r="NIR504" s="1660"/>
      <c r="NIS504" s="1660"/>
      <c r="NIT504" s="1660"/>
      <c r="NIU504" s="1660"/>
      <c r="NIV504" s="1660"/>
      <c r="NIW504" s="1660"/>
      <c r="NIX504" s="1660"/>
      <c r="NIY504" s="1660"/>
      <c r="NIZ504" s="1660"/>
      <c r="NJA504" s="1660"/>
      <c r="NJB504" s="1660"/>
      <c r="NJC504" s="1660"/>
      <c r="NJD504" s="1660"/>
      <c r="NJE504" s="1660"/>
      <c r="NJF504" s="1660"/>
      <c r="NJG504" s="1660"/>
      <c r="NJH504" s="1660"/>
      <c r="NJI504" s="1660"/>
      <c r="NJJ504" s="1660"/>
      <c r="NJK504" s="1660"/>
      <c r="NJL504" s="1660"/>
      <c r="NJM504" s="1660"/>
      <c r="NJN504" s="1660"/>
      <c r="NJO504" s="1660"/>
      <c r="NJP504" s="1660"/>
      <c r="NJQ504" s="1660"/>
      <c r="NJR504" s="1660"/>
      <c r="NJS504" s="1660"/>
      <c r="NJT504" s="1660"/>
      <c r="NJU504" s="1660"/>
      <c r="NJV504" s="1660"/>
      <c r="NJW504" s="1660"/>
      <c r="NJX504" s="1660"/>
      <c r="NJY504" s="1660"/>
      <c r="NJZ504" s="1660"/>
      <c r="NKA504" s="1660"/>
      <c r="NKB504" s="1660"/>
      <c r="NKC504" s="1660"/>
      <c r="NKD504" s="1660"/>
      <c r="NKE504" s="1660"/>
      <c r="NKF504" s="1660"/>
      <c r="NKG504" s="1660"/>
      <c r="NKH504" s="1660"/>
      <c r="NKI504" s="1660"/>
      <c r="NKJ504" s="1660"/>
      <c r="NKK504" s="1660"/>
      <c r="NKL504" s="1660"/>
      <c r="NKM504" s="1660"/>
      <c r="NKN504" s="1660"/>
      <c r="NKO504" s="1660"/>
      <c r="NKP504" s="1660"/>
      <c r="NKQ504" s="1660"/>
      <c r="NKR504" s="1660"/>
      <c r="NKS504" s="1660"/>
      <c r="NKT504" s="1660"/>
      <c r="NKU504" s="1660"/>
      <c r="NKV504" s="1660"/>
      <c r="NKW504" s="1660"/>
      <c r="NKX504" s="1660"/>
      <c r="NKY504" s="1660"/>
      <c r="NKZ504" s="1660"/>
      <c r="NLA504" s="1660"/>
      <c r="NLB504" s="1660"/>
      <c r="NLC504" s="1660"/>
      <c r="NLD504" s="1660"/>
      <c r="NLE504" s="1660"/>
      <c r="NLF504" s="1660"/>
      <c r="NLG504" s="1660"/>
      <c r="NLH504" s="1660"/>
      <c r="NLI504" s="1660"/>
      <c r="NLJ504" s="1660"/>
      <c r="NLK504" s="1660"/>
      <c r="NLL504" s="1660"/>
      <c r="NLM504" s="1660"/>
      <c r="NLN504" s="1660"/>
      <c r="NLO504" s="1660"/>
      <c r="NLP504" s="1660"/>
      <c r="NLQ504" s="1660"/>
      <c r="NLR504" s="1660"/>
      <c r="NLS504" s="1660"/>
      <c r="NLT504" s="1660"/>
      <c r="NLU504" s="1660"/>
      <c r="NLV504" s="1660"/>
      <c r="NLW504" s="1660"/>
      <c r="NLX504" s="1660"/>
      <c r="NLY504" s="1660"/>
      <c r="NLZ504" s="1660"/>
      <c r="NMA504" s="1660"/>
      <c r="NMB504" s="1660"/>
      <c r="NMC504" s="1660"/>
      <c r="NMD504" s="1660"/>
      <c r="NME504" s="1660"/>
      <c r="NMF504" s="1660"/>
      <c r="NMG504" s="1660"/>
      <c r="NMH504" s="1660"/>
      <c r="NMI504" s="1660"/>
      <c r="NMJ504" s="1660"/>
      <c r="NMK504" s="1660"/>
      <c r="NML504" s="1660"/>
      <c r="NMM504" s="1660"/>
      <c r="NMN504" s="1660"/>
      <c r="NMO504" s="1660"/>
      <c r="NMP504" s="1660"/>
      <c r="NMQ504" s="1660"/>
      <c r="NMR504" s="1660"/>
      <c r="NMS504" s="1660"/>
      <c r="NMT504" s="1660"/>
      <c r="NMU504" s="1660"/>
      <c r="NMV504" s="1660"/>
      <c r="NMW504" s="1660"/>
      <c r="NMX504" s="1660"/>
      <c r="NMY504" s="1660"/>
      <c r="NMZ504" s="1660"/>
      <c r="NNA504" s="1660"/>
      <c r="NNB504" s="1660"/>
      <c r="NNC504" s="1660"/>
      <c r="NND504" s="1660"/>
      <c r="NNE504" s="1660"/>
      <c r="NNF504" s="1660"/>
      <c r="NNG504" s="1660"/>
      <c r="NNH504" s="1660"/>
      <c r="NNI504" s="1660"/>
      <c r="NNJ504" s="1660"/>
      <c r="NNK504" s="1660"/>
      <c r="NNL504" s="1660"/>
      <c r="NNM504" s="1660"/>
      <c r="NNN504" s="1660"/>
      <c r="NNO504" s="1660"/>
      <c r="NNP504" s="1660"/>
      <c r="NNQ504" s="1660"/>
      <c r="NNR504" s="1660"/>
      <c r="NNS504" s="1660"/>
      <c r="NNT504" s="1660"/>
      <c r="NNU504" s="1660"/>
      <c r="NNV504" s="1660"/>
      <c r="NNW504" s="1660"/>
      <c r="NNX504" s="1660"/>
      <c r="NNY504" s="1660"/>
      <c r="NNZ504" s="1660"/>
      <c r="NOA504" s="1660"/>
      <c r="NOB504" s="1660"/>
      <c r="NOC504" s="1660"/>
      <c r="NOD504" s="1660"/>
      <c r="NOE504" s="1660"/>
      <c r="NOF504" s="1660"/>
      <c r="NOG504" s="1660"/>
      <c r="NOH504" s="1660"/>
      <c r="NOI504" s="1660"/>
      <c r="NOJ504" s="1660"/>
      <c r="NOK504" s="1660"/>
      <c r="NOL504" s="1660"/>
      <c r="NOM504" s="1660"/>
      <c r="NON504" s="1660"/>
      <c r="NOO504" s="1660"/>
      <c r="NOP504" s="1660"/>
      <c r="NOQ504" s="1660"/>
      <c r="NOR504" s="1660"/>
      <c r="NOS504" s="1660"/>
      <c r="NOT504" s="1660"/>
      <c r="NOU504" s="1660"/>
      <c r="NOV504" s="1660"/>
      <c r="NOW504" s="1660"/>
      <c r="NOX504" s="1660"/>
      <c r="NOY504" s="1660"/>
      <c r="NOZ504" s="1660"/>
      <c r="NPA504" s="1660"/>
      <c r="NPB504" s="1660"/>
      <c r="NPC504" s="1660"/>
      <c r="NPD504" s="1660"/>
      <c r="NPE504" s="1660"/>
      <c r="NPF504" s="1660"/>
      <c r="NPG504" s="1660"/>
      <c r="NPH504" s="1660"/>
      <c r="NPI504" s="1660"/>
      <c r="NPJ504" s="1660"/>
      <c r="NPK504" s="1660"/>
      <c r="NPL504" s="1660"/>
      <c r="NPM504" s="1660"/>
      <c r="NPN504" s="1660"/>
      <c r="NPO504" s="1660"/>
      <c r="NPP504" s="1660"/>
      <c r="NPQ504" s="1660"/>
      <c r="NPR504" s="1660"/>
      <c r="NPS504" s="1660"/>
      <c r="NPT504" s="1660"/>
      <c r="NPU504" s="1660"/>
      <c r="NPV504" s="1660"/>
      <c r="NPW504" s="1660"/>
      <c r="NPX504" s="1660"/>
      <c r="NPY504" s="1660"/>
      <c r="NPZ504" s="1660"/>
      <c r="NQA504" s="1660"/>
      <c r="NQB504" s="1660"/>
      <c r="NQC504" s="1660"/>
      <c r="NQD504" s="1660"/>
      <c r="NQE504" s="1660"/>
      <c r="NQF504" s="1660"/>
      <c r="NQG504" s="1660"/>
      <c r="NQH504" s="1660"/>
      <c r="NQI504" s="1660"/>
      <c r="NQJ504" s="1660"/>
      <c r="NQK504" s="1660"/>
      <c r="NQL504" s="1660"/>
      <c r="NQM504" s="1660"/>
      <c r="NQN504" s="1660"/>
      <c r="NQO504" s="1660"/>
      <c r="NQP504" s="1660"/>
      <c r="NQQ504" s="1660"/>
      <c r="NQR504" s="1660"/>
      <c r="NQS504" s="1660"/>
      <c r="NQT504" s="1660"/>
      <c r="NQU504" s="1660"/>
      <c r="NQV504" s="1660"/>
      <c r="NQW504" s="1660"/>
      <c r="NQX504" s="1660"/>
      <c r="NQY504" s="1660"/>
      <c r="NQZ504" s="1660"/>
      <c r="NRA504" s="1660"/>
      <c r="NRB504" s="1660"/>
      <c r="NRC504" s="1660"/>
      <c r="NRD504" s="1660"/>
      <c r="NRE504" s="1660"/>
      <c r="NRF504" s="1660"/>
      <c r="NRG504" s="1660"/>
      <c r="NRH504" s="1660"/>
      <c r="NRI504" s="1660"/>
      <c r="NRJ504" s="1660"/>
      <c r="NRK504" s="1660"/>
      <c r="NRL504" s="1660"/>
      <c r="NRM504" s="1660"/>
      <c r="NRN504" s="1660"/>
      <c r="NRO504" s="1660"/>
      <c r="NRP504" s="1660"/>
      <c r="NRQ504" s="1660"/>
      <c r="NRR504" s="1660"/>
      <c r="NRS504" s="1660"/>
      <c r="NRT504" s="1660"/>
      <c r="NRU504" s="1660"/>
      <c r="NRV504" s="1660"/>
      <c r="NRW504" s="1660"/>
      <c r="NRX504" s="1660"/>
      <c r="NRY504" s="1660"/>
      <c r="NRZ504" s="1660"/>
      <c r="NSA504" s="1660"/>
      <c r="NSB504" s="1660"/>
      <c r="NSC504" s="1660"/>
      <c r="NSD504" s="1660"/>
      <c r="NSE504" s="1660"/>
      <c r="NSF504" s="1660"/>
      <c r="NSG504" s="1660"/>
      <c r="NSH504" s="1660"/>
      <c r="NSI504" s="1660"/>
      <c r="NSJ504" s="1660"/>
      <c r="NSK504" s="1660"/>
      <c r="NSL504" s="1660"/>
      <c r="NSM504" s="1660"/>
      <c r="NSN504" s="1660"/>
      <c r="NSO504" s="1660"/>
      <c r="NSP504" s="1660"/>
      <c r="NSQ504" s="1660"/>
      <c r="NSR504" s="1660"/>
      <c r="NSS504" s="1660"/>
      <c r="NST504" s="1660"/>
      <c r="NSU504" s="1660"/>
      <c r="NSV504" s="1660"/>
      <c r="NSW504" s="1660"/>
      <c r="NSX504" s="1660"/>
      <c r="NSY504" s="1660"/>
      <c r="NSZ504" s="1660"/>
      <c r="NTA504" s="1660"/>
      <c r="NTB504" s="1660"/>
      <c r="NTC504" s="1660"/>
      <c r="NTD504" s="1660"/>
      <c r="NTE504" s="1660"/>
      <c r="NTF504" s="1660"/>
      <c r="NTG504" s="1660"/>
      <c r="NTH504" s="1660"/>
      <c r="NTI504" s="1660"/>
      <c r="NTJ504" s="1660"/>
      <c r="NTK504" s="1660"/>
      <c r="NTL504" s="1660"/>
      <c r="NTM504" s="1660"/>
      <c r="NTN504" s="1660"/>
      <c r="NTO504" s="1660"/>
      <c r="NTP504" s="1660"/>
      <c r="NTQ504" s="1660"/>
      <c r="NTR504" s="1660"/>
      <c r="NTS504" s="1660"/>
      <c r="NTT504" s="1660"/>
      <c r="NTU504" s="1660"/>
      <c r="NTV504" s="1660"/>
      <c r="NTW504" s="1660"/>
      <c r="NTX504" s="1660"/>
      <c r="NTY504" s="1660"/>
      <c r="NTZ504" s="1660"/>
      <c r="NUA504" s="1660"/>
      <c r="NUB504" s="1660"/>
      <c r="NUC504" s="1660"/>
      <c r="NUD504" s="1660"/>
      <c r="NUE504" s="1660"/>
      <c r="NUF504" s="1660"/>
      <c r="NUG504" s="1660"/>
      <c r="NUH504" s="1660"/>
      <c r="NUI504" s="1660"/>
      <c r="NUJ504" s="1660"/>
      <c r="NUK504" s="1660"/>
      <c r="NUL504" s="1660"/>
      <c r="NUM504" s="1660"/>
      <c r="NUN504" s="1660"/>
      <c r="NUO504" s="1660"/>
      <c r="NUP504" s="1660"/>
      <c r="NUQ504" s="1660"/>
      <c r="NUR504" s="1660"/>
      <c r="NUS504" s="1660"/>
      <c r="NUT504" s="1660"/>
      <c r="NUU504" s="1660"/>
      <c r="NUV504" s="1660"/>
      <c r="NUW504" s="1660"/>
      <c r="NUX504" s="1660"/>
      <c r="NUY504" s="1660"/>
      <c r="NUZ504" s="1660"/>
      <c r="NVA504" s="1660"/>
      <c r="NVB504" s="1660"/>
      <c r="NVC504" s="1660"/>
      <c r="NVD504" s="1660"/>
      <c r="NVE504" s="1660"/>
      <c r="NVF504" s="1660"/>
      <c r="NVG504" s="1660"/>
      <c r="NVH504" s="1660"/>
      <c r="NVI504" s="1660"/>
      <c r="NVJ504" s="1660"/>
      <c r="NVK504" s="1660"/>
      <c r="NVL504" s="1660"/>
      <c r="NVM504" s="1660"/>
      <c r="NVN504" s="1660"/>
      <c r="NVO504" s="1660"/>
      <c r="NVP504" s="1660"/>
      <c r="NVQ504" s="1660"/>
      <c r="NVR504" s="1660"/>
      <c r="NVS504" s="1660"/>
      <c r="NVT504" s="1660"/>
      <c r="NVU504" s="1660"/>
      <c r="NVV504" s="1660"/>
      <c r="NVW504" s="1660"/>
      <c r="NVX504" s="1660"/>
      <c r="NVY504" s="1660"/>
      <c r="NVZ504" s="1660"/>
      <c r="NWA504" s="1660"/>
      <c r="NWB504" s="1660"/>
      <c r="NWC504" s="1660"/>
      <c r="NWD504" s="1660"/>
      <c r="NWE504" s="1660"/>
      <c r="NWF504" s="1660"/>
      <c r="NWG504" s="1660"/>
      <c r="NWH504" s="1660"/>
      <c r="NWI504" s="1660"/>
      <c r="NWJ504" s="1660"/>
      <c r="NWK504" s="1660"/>
      <c r="NWL504" s="1660"/>
      <c r="NWM504" s="1660"/>
      <c r="NWN504" s="1660"/>
      <c r="NWO504" s="1660"/>
      <c r="NWP504" s="1660"/>
      <c r="NWQ504" s="1660"/>
      <c r="NWR504" s="1660"/>
      <c r="NWS504" s="1660"/>
      <c r="NWT504" s="1660"/>
      <c r="NWU504" s="1660"/>
      <c r="NWV504" s="1660"/>
      <c r="NWW504" s="1660"/>
      <c r="NWX504" s="1660"/>
      <c r="NWY504" s="1660"/>
      <c r="NWZ504" s="1660"/>
      <c r="NXA504" s="1660"/>
      <c r="NXB504" s="1660"/>
      <c r="NXC504" s="1660"/>
      <c r="NXD504" s="1660"/>
      <c r="NXE504" s="1660"/>
      <c r="NXF504" s="1660"/>
      <c r="NXG504" s="1660"/>
      <c r="NXH504" s="1660"/>
      <c r="NXI504" s="1660"/>
      <c r="NXJ504" s="1660"/>
      <c r="NXK504" s="1660"/>
      <c r="NXL504" s="1660"/>
      <c r="NXM504" s="1660"/>
      <c r="NXN504" s="1660"/>
      <c r="NXO504" s="1660"/>
      <c r="NXP504" s="1660"/>
      <c r="NXQ504" s="1660"/>
      <c r="NXR504" s="1660"/>
      <c r="NXS504" s="1660"/>
      <c r="NXT504" s="1660"/>
      <c r="NXU504" s="1660"/>
      <c r="NXV504" s="1660"/>
      <c r="NXW504" s="1660"/>
      <c r="NXX504" s="1660"/>
      <c r="NXY504" s="1660"/>
      <c r="NXZ504" s="1660"/>
      <c r="NYA504" s="1660"/>
      <c r="NYB504" s="1660"/>
      <c r="NYC504" s="1660"/>
      <c r="NYD504" s="1660"/>
      <c r="NYE504" s="1660"/>
      <c r="NYF504" s="1660"/>
      <c r="NYG504" s="1660"/>
      <c r="NYH504" s="1660"/>
      <c r="NYI504" s="1660"/>
      <c r="NYJ504" s="1660"/>
      <c r="NYK504" s="1660"/>
      <c r="NYL504" s="1660"/>
      <c r="NYM504" s="1660"/>
      <c r="NYN504" s="1660"/>
      <c r="NYO504" s="1660"/>
      <c r="NYP504" s="1660"/>
      <c r="NYQ504" s="1660"/>
      <c r="NYR504" s="1660"/>
      <c r="NYS504" s="1660"/>
      <c r="NYT504" s="1660"/>
      <c r="NYU504" s="1660"/>
      <c r="NYV504" s="1660"/>
      <c r="NYW504" s="1660"/>
      <c r="NYX504" s="1660"/>
      <c r="NYY504" s="1660"/>
      <c r="NYZ504" s="1660"/>
      <c r="NZA504" s="1660"/>
      <c r="NZB504" s="1660"/>
      <c r="NZC504" s="1660"/>
      <c r="NZD504" s="1660"/>
      <c r="NZE504" s="1660"/>
      <c r="NZF504" s="1660"/>
      <c r="NZG504" s="1660"/>
      <c r="NZH504" s="1660"/>
      <c r="NZI504" s="1660"/>
      <c r="NZJ504" s="1660"/>
      <c r="NZK504" s="1660"/>
      <c r="NZL504" s="1660"/>
      <c r="NZM504" s="1660"/>
      <c r="NZN504" s="1660"/>
      <c r="NZO504" s="1660"/>
      <c r="NZP504" s="1660"/>
      <c r="NZQ504" s="1660"/>
      <c r="NZR504" s="1660"/>
      <c r="NZS504" s="1660"/>
      <c r="NZT504" s="1660"/>
      <c r="NZU504" s="1660"/>
      <c r="NZV504" s="1660"/>
      <c r="NZW504" s="1660"/>
      <c r="NZX504" s="1660"/>
      <c r="NZY504" s="1660"/>
      <c r="NZZ504" s="1660"/>
      <c r="OAA504" s="1660"/>
      <c r="OAB504" s="1660"/>
      <c r="OAC504" s="1660"/>
      <c r="OAD504" s="1660"/>
      <c r="OAE504" s="1660"/>
      <c r="OAF504" s="1660"/>
      <c r="OAG504" s="1660"/>
      <c r="OAH504" s="1660"/>
      <c r="OAI504" s="1660"/>
      <c r="OAJ504" s="1660"/>
      <c r="OAK504" s="1660"/>
      <c r="OAL504" s="1660"/>
      <c r="OAM504" s="1660"/>
      <c r="OAN504" s="1660"/>
      <c r="OAO504" s="1660"/>
      <c r="OAP504" s="1660"/>
      <c r="OAQ504" s="1660"/>
      <c r="OAR504" s="1660"/>
      <c r="OAS504" s="1660"/>
      <c r="OAT504" s="1660"/>
      <c r="OAU504" s="1660"/>
      <c r="OAV504" s="1660"/>
      <c r="OAW504" s="1660"/>
      <c r="OAX504" s="1660"/>
      <c r="OAY504" s="1660"/>
      <c r="OAZ504" s="1660"/>
      <c r="OBA504" s="1660"/>
      <c r="OBB504" s="1660"/>
      <c r="OBC504" s="1660"/>
      <c r="OBD504" s="1660"/>
      <c r="OBE504" s="1660"/>
      <c r="OBF504" s="1660"/>
      <c r="OBG504" s="1660"/>
      <c r="OBH504" s="1660"/>
      <c r="OBI504" s="1660"/>
      <c r="OBJ504" s="1660"/>
      <c r="OBK504" s="1660"/>
      <c r="OBL504" s="1660"/>
      <c r="OBM504" s="1660"/>
      <c r="OBN504" s="1660"/>
      <c r="OBO504" s="1660"/>
      <c r="OBP504" s="1660"/>
      <c r="OBQ504" s="1660"/>
      <c r="OBR504" s="1660"/>
      <c r="OBS504" s="1660"/>
      <c r="OBT504" s="1660"/>
      <c r="OBU504" s="1660"/>
      <c r="OBV504" s="1660"/>
      <c r="OBW504" s="1660"/>
      <c r="OBX504" s="1660"/>
      <c r="OBY504" s="1660"/>
      <c r="OBZ504" s="1660"/>
      <c r="OCA504" s="1660"/>
      <c r="OCB504" s="1660"/>
      <c r="OCC504" s="1660"/>
      <c r="OCD504" s="1660"/>
      <c r="OCE504" s="1660"/>
      <c r="OCF504" s="1660"/>
      <c r="OCG504" s="1660"/>
      <c r="OCH504" s="1660"/>
      <c r="OCI504" s="1660"/>
      <c r="OCJ504" s="1660"/>
      <c r="OCK504" s="1660"/>
      <c r="OCL504" s="1660"/>
      <c r="OCM504" s="1660"/>
      <c r="OCN504" s="1660"/>
      <c r="OCO504" s="1660"/>
      <c r="OCP504" s="1660"/>
      <c r="OCQ504" s="1660"/>
      <c r="OCR504" s="1660"/>
      <c r="OCS504" s="1660"/>
      <c r="OCT504" s="1660"/>
      <c r="OCU504" s="1660"/>
      <c r="OCV504" s="1660"/>
      <c r="OCW504" s="1660"/>
      <c r="OCX504" s="1660"/>
      <c r="OCY504" s="1660"/>
      <c r="OCZ504" s="1660"/>
      <c r="ODA504" s="1660"/>
      <c r="ODB504" s="1660"/>
      <c r="ODC504" s="1660"/>
      <c r="ODD504" s="1660"/>
      <c r="ODE504" s="1660"/>
      <c r="ODF504" s="1660"/>
      <c r="ODG504" s="1660"/>
      <c r="ODH504" s="1660"/>
      <c r="ODI504" s="1660"/>
      <c r="ODJ504" s="1660"/>
      <c r="ODK504" s="1660"/>
      <c r="ODL504" s="1660"/>
      <c r="ODM504" s="1660"/>
      <c r="ODN504" s="1660"/>
      <c r="ODO504" s="1660"/>
      <c r="ODP504" s="1660"/>
      <c r="ODQ504" s="1660"/>
      <c r="ODR504" s="1660"/>
      <c r="ODS504" s="1660"/>
      <c r="ODT504" s="1660"/>
      <c r="ODU504" s="1660"/>
      <c r="ODV504" s="1660"/>
      <c r="ODW504" s="1660"/>
      <c r="ODX504" s="1660"/>
      <c r="ODY504" s="1660"/>
      <c r="ODZ504" s="1660"/>
      <c r="OEA504" s="1660"/>
      <c r="OEB504" s="1660"/>
      <c r="OEC504" s="1660"/>
      <c r="OED504" s="1660"/>
      <c r="OEE504" s="1660"/>
      <c r="OEF504" s="1660"/>
      <c r="OEG504" s="1660"/>
      <c r="OEH504" s="1660"/>
      <c r="OEI504" s="1660"/>
      <c r="OEJ504" s="1660"/>
      <c r="OEK504" s="1660"/>
      <c r="OEL504" s="1660"/>
      <c r="OEM504" s="1660"/>
      <c r="OEN504" s="1660"/>
      <c r="OEO504" s="1660"/>
      <c r="OEP504" s="1660"/>
      <c r="OEQ504" s="1660"/>
      <c r="OER504" s="1660"/>
      <c r="OES504" s="1660"/>
      <c r="OET504" s="1660"/>
      <c r="OEU504" s="1660"/>
      <c r="OEV504" s="1660"/>
      <c r="OEW504" s="1660"/>
      <c r="OEX504" s="1660"/>
      <c r="OEY504" s="1660"/>
      <c r="OEZ504" s="1660"/>
      <c r="OFA504" s="1660"/>
      <c r="OFB504" s="1660"/>
      <c r="OFC504" s="1660"/>
      <c r="OFD504" s="1660"/>
      <c r="OFE504" s="1660"/>
      <c r="OFF504" s="1660"/>
      <c r="OFG504" s="1660"/>
      <c r="OFH504" s="1660"/>
      <c r="OFI504" s="1660"/>
      <c r="OFJ504" s="1660"/>
      <c r="OFK504" s="1660"/>
      <c r="OFL504" s="1660"/>
      <c r="OFM504" s="1660"/>
      <c r="OFN504" s="1660"/>
      <c r="OFO504" s="1660"/>
      <c r="OFP504" s="1660"/>
      <c r="OFQ504" s="1660"/>
      <c r="OFR504" s="1660"/>
      <c r="OFS504" s="1660"/>
      <c r="OFT504" s="1660"/>
      <c r="OFU504" s="1660"/>
      <c r="OFV504" s="1660"/>
      <c r="OFW504" s="1660"/>
      <c r="OFX504" s="1660"/>
      <c r="OFY504" s="1660"/>
      <c r="OFZ504" s="1660"/>
      <c r="OGA504" s="1660"/>
      <c r="OGB504" s="1660"/>
      <c r="OGC504" s="1660"/>
      <c r="OGD504" s="1660"/>
      <c r="OGE504" s="1660"/>
      <c r="OGF504" s="1660"/>
      <c r="OGG504" s="1660"/>
      <c r="OGH504" s="1660"/>
      <c r="OGI504" s="1660"/>
      <c r="OGJ504" s="1660"/>
      <c r="OGK504" s="1660"/>
      <c r="OGL504" s="1660"/>
      <c r="OGM504" s="1660"/>
      <c r="OGN504" s="1660"/>
      <c r="OGO504" s="1660"/>
      <c r="OGP504" s="1660"/>
      <c r="OGQ504" s="1660"/>
      <c r="OGR504" s="1660"/>
      <c r="OGS504" s="1660"/>
      <c r="OGT504" s="1660"/>
      <c r="OGU504" s="1660"/>
      <c r="OGV504" s="1660"/>
      <c r="OGW504" s="1660"/>
      <c r="OGX504" s="1660"/>
      <c r="OGY504" s="1660"/>
      <c r="OGZ504" s="1660"/>
      <c r="OHA504" s="1660"/>
      <c r="OHB504" s="1660"/>
      <c r="OHC504" s="1660"/>
      <c r="OHD504" s="1660"/>
      <c r="OHE504" s="1660"/>
      <c r="OHF504" s="1660"/>
      <c r="OHG504" s="1660"/>
      <c r="OHH504" s="1660"/>
      <c r="OHI504" s="1660"/>
      <c r="OHJ504" s="1660"/>
      <c r="OHK504" s="1660"/>
      <c r="OHL504" s="1660"/>
      <c r="OHM504" s="1660"/>
      <c r="OHN504" s="1660"/>
      <c r="OHO504" s="1660"/>
      <c r="OHP504" s="1660"/>
      <c r="OHQ504" s="1660"/>
      <c r="OHR504" s="1660"/>
      <c r="OHS504" s="1660"/>
      <c r="OHT504" s="1660"/>
      <c r="OHU504" s="1660"/>
      <c r="OHV504" s="1660"/>
      <c r="OHW504" s="1660"/>
      <c r="OHX504" s="1660"/>
      <c r="OHY504" s="1660"/>
      <c r="OHZ504" s="1660"/>
      <c r="OIA504" s="1660"/>
      <c r="OIB504" s="1660"/>
      <c r="OIC504" s="1660"/>
      <c r="OID504" s="1660"/>
      <c r="OIE504" s="1660"/>
      <c r="OIF504" s="1660"/>
      <c r="OIG504" s="1660"/>
      <c r="OIH504" s="1660"/>
      <c r="OII504" s="1660"/>
      <c r="OIJ504" s="1660"/>
      <c r="OIK504" s="1660"/>
      <c r="OIL504" s="1660"/>
      <c r="OIM504" s="1660"/>
      <c r="OIN504" s="1660"/>
      <c r="OIO504" s="1660"/>
      <c r="OIP504" s="1660"/>
      <c r="OIQ504" s="1660"/>
      <c r="OIR504" s="1660"/>
      <c r="OIS504" s="1660"/>
      <c r="OIT504" s="1660"/>
      <c r="OIU504" s="1660"/>
      <c r="OIV504" s="1660"/>
      <c r="OIW504" s="1660"/>
      <c r="OIX504" s="1660"/>
      <c r="OIY504" s="1660"/>
      <c r="OIZ504" s="1660"/>
      <c r="OJA504" s="1660"/>
      <c r="OJB504" s="1660"/>
      <c r="OJC504" s="1660"/>
      <c r="OJD504" s="1660"/>
      <c r="OJE504" s="1660"/>
      <c r="OJF504" s="1660"/>
      <c r="OJG504" s="1660"/>
      <c r="OJH504" s="1660"/>
      <c r="OJI504" s="1660"/>
      <c r="OJJ504" s="1660"/>
      <c r="OJK504" s="1660"/>
      <c r="OJL504" s="1660"/>
      <c r="OJM504" s="1660"/>
      <c r="OJN504" s="1660"/>
      <c r="OJO504" s="1660"/>
      <c r="OJP504" s="1660"/>
      <c r="OJQ504" s="1660"/>
      <c r="OJR504" s="1660"/>
      <c r="OJS504" s="1660"/>
      <c r="OJT504" s="1660"/>
      <c r="OJU504" s="1660"/>
      <c r="OJV504" s="1660"/>
      <c r="OJW504" s="1660"/>
      <c r="OJX504" s="1660"/>
      <c r="OJY504" s="1660"/>
      <c r="OJZ504" s="1660"/>
      <c r="OKA504" s="1660"/>
      <c r="OKB504" s="1660"/>
      <c r="OKC504" s="1660"/>
      <c r="OKD504" s="1660"/>
      <c r="OKE504" s="1660"/>
      <c r="OKF504" s="1660"/>
      <c r="OKG504" s="1660"/>
      <c r="OKH504" s="1660"/>
      <c r="OKI504" s="1660"/>
      <c r="OKJ504" s="1660"/>
      <c r="OKK504" s="1660"/>
      <c r="OKL504" s="1660"/>
      <c r="OKM504" s="1660"/>
      <c r="OKN504" s="1660"/>
      <c r="OKO504" s="1660"/>
      <c r="OKP504" s="1660"/>
      <c r="OKQ504" s="1660"/>
      <c r="OKR504" s="1660"/>
      <c r="OKS504" s="1660"/>
      <c r="OKT504" s="1660"/>
      <c r="OKU504" s="1660"/>
      <c r="OKV504" s="1660"/>
      <c r="OKW504" s="1660"/>
      <c r="OKX504" s="1660"/>
      <c r="OKY504" s="1660"/>
      <c r="OKZ504" s="1660"/>
      <c r="OLA504" s="1660"/>
      <c r="OLB504" s="1660"/>
      <c r="OLC504" s="1660"/>
      <c r="OLD504" s="1660"/>
      <c r="OLE504" s="1660"/>
      <c r="OLF504" s="1660"/>
      <c r="OLG504" s="1660"/>
      <c r="OLH504" s="1660"/>
      <c r="OLI504" s="1660"/>
      <c r="OLJ504" s="1660"/>
      <c r="OLK504" s="1660"/>
      <c r="OLL504" s="1660"/>
      <c r="OLM504" s="1660"/>
      <c r="OLN504" s="1660"/>
      <c r="OLO504" s="1660"/>
      <c r="OLP504" s="1660"/>
      <c r="OLQ504" s="1660"/>
      <c r="OLR504" s="1660"/>
      <c r="OLS504" s="1660"/>
      <c r="OLT504" s="1660"/>
      <c r="OLU504" s="1660"/>
      <c r="OLV504" s="1660"/>
      <c r="OLW504" s="1660"/>
      <c r="OLX504" s="1660"/>
      <c r="OLY504" s="1660"/>
      <c r="OLZ504" s="1660"/>
      <c r="OMA504" s="1660"/>
      <c r="OMB504" s="1660"/>
      <c r="OMC504" s="1660"/>
      <c r="OMD504" s="1660"/>
      <c r="OME504" s="1660"/>
      <c r="OMF504" s="1660"/>
      <c r="OMG504" s="1660"/>
      <c r="OMH504" s="1660"/>
      <c r="OMI504" s="1660"/>
      <c r="OMJ504" s="1660"/>
      <c r="OMK504" s="1660"/>
      <c r="OML504" s="1660"/>
      <c r="OMM504" s="1660"/>
      <c r="OMN504" s="1660"/>
      <c r="OMO504" s="1660"/>
      <c r="OMP504" s="1660"/>
      <c r="OMQ504" s="1660"/>
      <c r="OMR504" s="1660"/>
      <c r="OMS504" s="1660"/>
      <c r="OMT504" s="1660"/>
      <c r="OMU504" s="1660"/>
      <c r="OMV504" s="1660"/>
      <c r="OMW504" s="1660"/>
      <c r="OMX504" s="1660"/>
      <c r="OMY504" s="1660"/>
      <c r="OMZ504" s="1660"/>
      <c r="ONA504" s="1660"/>
      <c r="ONB504" s="1660"/>
      <c r="ONC504" s="1660"/>
      <c r="OND504" s="1660"/>
      <c r="ONE504" s="1660"/>
      <c r="ONF504" s="1660"/>
      <c r="ONG504" s="1660"/>
      <c r="ONH504" s="1660"/>
      <c r="ONI504" s="1660"/>
      <c r="ONJ504" s="1660"/>
      <c r="ONK504" s="1660"/>
      <c r="ONL504" s="1660"/>
      <c r="ONM504" s="1660"/>
      <c r="ONN504" s="1660"/>
      <c r="ONO504" s="1660"/>
      <c r="ONP504" s="1660"/>
      <c r="ONQ504" s="1660"/>
      <c r="ONR504" s="1660"/>
      <c r="ONS504" s="1660"/>
      <c r="ONT504" s="1660"/>
      <c r="ONU504" s="1660"/>
      <c r="ONV504" s="1660"/>
      <c r="ONW504" s="1660"/>
      <c r="ONX504" s="1660"/>
      <c r="ONY504" s="1660"/>
      <c r="ONZ504" s="1660"/>
      <c r="OOA504" s="1660"/>
      <c r="OOB504" s="1660"/>
      <c r="OOC504" s="1660"/>
      <c r="OOD504" s="1660"/>
      <c r="OOE504" s="1660"/>
      <c r="OOF504" s="1660"/>
      <c r="OOG504" s="1660"/>
      <c r="OOH504" s="1660"/>
      <c r="OOI504" s="1660"/>
      <c r="OOJ504" s="1660"/>
      <c r="OOK504" s="1660"/>
      <c r="OOL504" s="1660"/>
      <c r="OOM504" s="1660"/>
      <c r="OON504" s="1660"/>
      <c r="OOO504" s="1660"/>
      <c r="OOP504" s="1660"/>
      <c r="OOQ504" s="1660"/>
      <c r="OOR504" s="1660"/>
      <c r="OOS504" s="1660"/>
      <c r="OOT504" s="1660"/>
      <c r="OOU504" s="1660"/>
      <c r="OOV504" s="1660"/>
      <c r="OOW504" s="1660"/>
      <c r="OOX504" s="1660"/>
      <c r="OOY504" s="1660"/>
      <c r="OOZ504" s="1660"/>
      <c r="OPA504" s="1660"/>
      <c r="OPB504" s="1660"/>
      <c r="OPC504" s="1660"/>
      <c r="OPD504" s="1660"/>
      <c r="OPE504" s="1660"/>
      <c r="OPF504" s="1660"/>
      <c r="OPG504" s="1660"/>
      <c r="OPH504" s="1660"/>
      <c r="OPI504" s="1660"/>
      <c r="OPJ504" s="1660"/>
      <c r="OPK504" s="1660"/>
      <c r="OPL504" s="1660"/>
      <c r="OPM504" s="1660"/>
      <c r="OPN504" s="1660"/>
      <c r="OPO504" s="1660"/>
      <c r="OPP504" s="1660"/>
      <c r="OPQ504" s="1660"/>
      <c r="OPR504" s="1660"/>
      <c r="OPS504" s="1660"/>
      <c r="OPT504" s="1660"/>
      <c r="OPU504" s="1660"/>
      <c r="OPV504" s="1660"/>
      <c r="OPW504" s="1660"/>
      <c r="OPX504" s="1660"/>
      <c r="OPY504" s="1660"/>
      <c r="OPZ504" s="1660"/>
      <c r="OQA504" s="1660"/>
      <c r="OQB504" s="1660"/>
      <c r="OQC504" s="1660"/>
      <c r="OQD504" s="1660"/>
      <c r="OQE504" s="1660"/>
      <c r="OQF504" s="1660"/>
      <c r="OQG504" s="1660"/>
      <c r="OQH504" s="1660"/>
      <c r="OQI504" s="1660"/>
      <c r="OQJ504" s="1660"/>
      <c r="OQK504" s="1660"/>
      <c r="OQL504" s="1660"/>
      <c r="OQM504" s="1660"/>
      <c r="OQN504" s="1660"/>
      <c r="OQO504" s="1660"/>
      <c r="OQP504" s="1660"/>
      <c r="OQQ504" s="1660"/>
      <c r="OQR504" s="1660"/>
      <c r="OQS504" s="1660"/>
      <c r="OQT504" s="1660"/>
      <c r="OQU504" s="1660"/>
      <c r="OQV504" s="1660"/>
      <c r="OQW504" s="1660"/>
      <c r="OQX504" s="1660"/>
      <c r="OQY504" s="1660"/>
      <c r="OQZ504" s="1660"/>
      <c r="ORA504" s="1660"/>
      <c r="ORB504" s="1660"/>
      <c r="ORC504" s="1660"/>
      <c r="ORD504" s="1660"/>
      <c r="ORE504" s="1660"/>
      <c r="ORF504" s="1660"/>
      <c r="ORG504" s="1660"/>
      <c r="ORH504" s="1660"/>
      <c r="ORI504" s="1660"/>
      <c r="ORJ504" s="1660"/>
      <c r="ORK504" s="1660"/>
      <c r="ORL504" s="1660"/>
      <c r="ORM504" s="1660"/>
      <c r="ORN504" s="1660"/>
      <c r="ORO504" s="1660"/>
      <c r="ORP504" s="1660"/>
      <c r="ORQ504" s="1660"/>
      <c r="ORR504" s="1660"/>
      <c r="ORS504" s="1660"/>
      <c r="ORT504" s="1660"/>
      <c r="ORU504" s="1660"/>
      <c r="ORV504" s="1660"/>
      <c r="ORW504" s="1660"/>
      <c r="ORX504" s="1660"/>
      <c r="ORY504" s="1660"/>
      <c r="ORZ504" s="1660"/>
      <c r="OSA504" s="1660"/>
      <c r="OSB504" s="1660"/>
      <c r="OSC504" s="1660"/>
      <c r="OSD504" s="1660"/>
      <c r="OSE504" s="1660"/>
      <c r="OSF504" s="1660"/>
      <c r="OSG504" s="1660"/>
      <c r="OSH504" s="1660"/>
      <c r="OSI504" s="1660"/>
      <c r="OSJ504" s="1660"/>
      <c r="OSK504" s="1660"/>
      <c r="OSL504" s="1660"/>
      <c r="OSM504" s="1660"/>
      <c r="OSN504" s="1660"/>
      <c r="OSO504" s="1660"/>
      <c r="OSP504" s="1660"/>
      <c r="OSQ504" s="1660"/>
      <c r="OSR504" s="1660"/>
      <c r="OSS504" s="1660"/>
      <c r="OST504" s="1660"/>
      <c r="OSU504" s="1660"/>
      <c r="OSV504" s="1660"/>
      <c r="OSW504" s="1660"/>
      <c r="OSX504" s="1660"/>
      <c r="OSY504" s="1660"/>
      <c r="OSZ504" s="1660"/>
      <c r="OTA504" s="1660"/>
      <c r="OTB504" s="1660"/>
      <c r="OTC504" s="1660"/>
      <c r="OTD504" s="1660"/>
      <c r="OTE504" s="1660"/>
      <c r="OTF504" s="1660"/>
      <c r="OTG504" s="1660"/>
      <c r="OTH504" s="1660"/>
      <c r="OTI504" s="1660"/>
      <c r="OTJ504" s="1660"/>
      <c r="OTK504" s="1660"/>
      <c r="OTL504" s="1660"/>
      <c r="OTM504" s="1660"/>
      <c r="OTN504" s="1660"/>
      <c r="OTO504" s="1660"/>
      <c r="OTP504" s="1660"/>
      <c r="OTQ504" s="1660"/>
      <c r="OTR504" s="1660"/>
      <c r="OTS504" s="1660"/>
      <c r="OTT504" s="1660"/>
      <c r="OTU504" s="1660"/>
      <c r="OTV504" s="1660"/>
      <c r="OTW504" s="1660"/>
      <c r="OTX504" s="1660"/>
      <c r="OTY504" s="1660"/>
      <c r="OTZ504" s="1660"/>
      <c r="OUA504" s="1660"/>
      <c r="OUB504" s="1660"/>
      <c r="OUC504" s="1660"/>
      <c r="OUD504" s="1660"/>
      <c r="OUE504" s="1660"/>
      <c r="OUF504" s="1660"/>
      <c r="OUG504" s="1660"/>
      <c r="OUH504" s="1660"/>
      <c r="OUI504" s="1660"/>
      <c r="OUJ504" s="1660"/>
      <c r="OUK504" s="1660"/>
      <c r="OUL504" s="1660"/>
      <c r="OUM504" s="1660"/>
      <c r="OUN504" s="1660"/>
      <c r="OUO504" s="1660"/>
      <c r="OUP504" s="1660"/>
      <c r="OUQ504" s="1660"/>
      <c r="OUR504" s="1660"/>
      <c r="OUS504" s="1660"/>
      <c r="OUT504" s="1660"/>
      <c r="OUU504" s="1660"/>
      <c r="OUV504" s="1660"/>
      <c r="OUW504" s="1660"/>
      <c r="OUX504" s="1660"/>
      <c r="OUY504" s="1660"/>
      <c r="OUZ504" s="1660"/>
      <c r="OVA504" s="1660"/>
      <c r="OVB504" s="1660"/>
      <c r="OVC504" s="1660"/>
      <c r="OVD504" s="1660"/>
      <c r="OVE504" s="1660"/>
      <c r="OVF504" s="1660"/>
      <c r="OVG504" s="1660"/>
      <c r="OVH504" s="1660"/>
      <c r="OVI504" s="1660"/>
      <c r="OVJ504" s="1660"/>
      <c r="OVK504" s="1660"/>
      <c r="OVL504" s="1660"/>
      <c r="OVM504" s="1660"/>
      <c r="OVN504" s="1660"/>
      <c r="OVO504" s="1660"/>
      <c r="OVP504" s="1660"/>
      <c r="OVQ504" s="1660"/>
      <c r="OVR504" s="1660"/>
      <c r="OVS504" s="1660"/>
      <c r="OVT504" s="1660"/>
      <c r="OVU504" s="1660"/>
      <c r="OVV504" s="1660"/>
      <c r="OVW504" s="1660"/>
      <c r="OVX504" s="1660"/>
      <c r="OVY504" s="1660"/>
      <c r="OVZ504" s="1660"/>
      <c r="OWA504" s="1660"/>
      <c r="OWB504" s="1660"/>
      <c r="OWC504" s="1660"/>
      <c r="OWD504" s="1660"/>
      <c r="OWE504" s="1660"/>
      <c r="OWF504" s="1660"/>
      <c r="OWG504" s="1660"/>
      <c r="OWH504" s="1660"/>
      <c r="OWI504" s="1660"/>
      <c r="OWJ504" s="1660"/>
      <c r="OWK504" s="1660"/>
      <c r="OWL504" s="1660"/>
      <c r="OWM504" s="1660"/>
      <c r="OWN504" s="1660"/>
      <c r="OWO504" s="1660"/>
      <c r="OWP504" s="1660"/>
      <c r="OWQ504" s="1660"/>
      <c r="OWR504" s="1660"/>
      <c r="OWS504" s="1660"/>
      <c r="OWT504" s="1660"/>
      <c r="OWU504" s="1660"/>
      <c r="OWV504" s="1660"/>
      <c r="OWW504" s="1660"/>
      <c r="OWX504" s="1660"/>
      <c r="OWY504" s="1660"/>
      <c r="OWZ504" s="1660"/>
      <c r="OXA504" s="1660"/>
      <c r="OXB504" s="1660"/>
      <c r="OXC504" s="1660"/>
      <c r="OXD504" s="1660"/>
      <c r="OXE504" s="1660"/>
      <c r="OXF504" s="1660"/>
      <c r="OXG504" s="1660"/>
      <c r="OXH504" s="1660"/>
      <c r="OXI504" s="1660"/>
      <c r="OXJ504" s="1660"/>
      <c r="OXK504" s="1660"/>
      <c r="OXL504" s="1660"/>
      <c r="OXM504" s="1660"/>
      <c r="OXN504" s="1660"/>
      <c r="OXO504" s="1660"/>
      <c r="OXP504" s="1660"/>
      <c r="OXQ504" s="1660"/>
      <c r="OXR504" s="1660"/>
      <c r="OXS504" s="1660"/>
      <c r="OXT504" s="1660"/>
      <c r="OXU504" s="1660"/>
      <c r="OXV504" s="1660"/>
      <c r="OXW504" s="1660"/>
      <c r="OXX504" s="1660"/>
      <c r="OXY504" s="1660"/>
      <c r="OXZ504" s="1660"/>
      <c r="OYA504" s="1660"/>
      <c r="OYB504" s="1660"/>
      <c r="OYC504" s="1660"/>
      <c r="OYD504" s="1660"/>
      <c r="OYE504" s="1660"/>
      <c r="OYF504" s="1660"/>
      <c r="OYG504" s="1660"/>
      <c r="OYH504" s="1660"/>
      <c r="OYI504" s="1660"/>
      <c r="OYJ504" s="1660"/>
      <c r="OYK504" s="1660"/>
      <c r="OYL504" s="1660"/>
      <c r="OYM504" s="1660"/>
      <c r="OYN504" s="1660"/>
      <c r="OYO504" s="1660"/>
      <c r="OYP504" s="1660"/>
      <c r="OYQ504" s="1660"/>
      <c r="OYR504" s="1660"/>
      <c r="OYS504" s="1660"/>
      <c r="OYT504" s="1660"/>
      <c r="OYU504" s="1660"/>
      <c r="OYV504" s="1660"/>
      <c r="OYW504" s="1660"/>
      <c r="OYX504" s="1660"/>
      <c r="OYY504" s="1660"/>
      <c r="OYZ504" s="1660"/>
      <c r="OZA504" s="1660"/>
      <c r="OZB504" s="1660"/>
      <c r="OZC504" s="1660"/>
      <c r="OZD504" s="1660"/>
      <c r="OZE504" s="1660"/>
      <c r="OZF504" s="1660"/>
      <c r="OZG504" s="1660"/>
      <c r="OZH504" s="1660"/>
      <c r="OZI504" s="1660"/>
      <c r="OZJ504" s="1660"/>
      <c r="OZK504" s="1660"/>
      <c r="OZL504" s="1660"/>
      <c r="OZM504" s="1660"/>
      <c r="OZN504" s="1660"/>
      <c r="OZO504" s="1660"/>
      <c r="OZP504" s="1660"/>
      <c r="OZQ504" s="1660"/>
      <c r="OZR504" s="1660"/>
      <c r="OZS504" s="1660"/>
      <c r="OZT504" s="1660"/>
      <c r="OZU504" s="1660"/>
      <c r="OZV504" s="1660"/>
      <c r="OZW504" s="1660"/>
      <c r="OZX504" s="1660"/>
      <c r="OZY504" s="1660"/>
      <c r="OZZ504" s="1660"/>
      <c r="PAA504" s="1660"/>
      <c r="PAB504" s="1660"/>
      <c r="PAC504" s="1660"/>
      <c r="PAD504" s="1660"/>
      <c r="PAE504" s="1660"/>
      <c r="PAF504" s="1660"/>
      <c r="PAG504" s="1660"/>
      <c r="PAH504" s="1660"/>
      <c r="PAI504" s="1660"/>
      <c r="PAJ504" s="1660"/>
      <c r="PAK504" s="1660"/>
      <c r="PAL504" s="1660"/>
      <c r="PAM504" s="1660"/>
      <c r="PAN504" s="1660"/>
      <c r="PAO504" s="1660"/>
      <c r="PAP504" s="1660"/>
      <c r="PAQ504" s="1660"/>
      <c r="PAR504" s="1660"/>
      <c r="PAS504" s="1660"/>
      <c r="PAT504" s="1660"/>
      <c r="PAU504" s="1660"/>
      <c r="PAV504" s="1660"/>
      <c r="PAW504" s="1660"/>
      <c r="PAX504" s="1660"/>
      <c r="PAY504" s="1660"/>
      <c r="PAZ504" s="1660"/>
      <c r="PBA504" s="1660"/>
      <c r="PBB504" s="1660"/>
      <c r="PBC504" s="1660"/>
      <c r="PBD504" s="1660"/>
      <c r="PBE504" s="1660"/>
      <c r="PBF504" s="1660"/>
      <c r="PBG504" s="1660"/>
      <c r="PBH504" s="1660"/>
      <c r="PBI504" s="1660"/>
      <c r="PBJ504" s="1660"/>
      <c r="PBK504" s="1660"/>
      <c r="PBL504" s="1660"/>
      <c r="PBM504" s="1660"/>
      <c r="PBN504" s="1660"/>
      <c r="PBO504" s="1660"/>
      <c r="PBP504" s="1660"/>
      <c r="PBQ504" s="1660"/>
      <c r="PBR504" s="1660"/>
      <c r="PBS504" s="1660"/>
      <c r="PBT504" s="1660"/>
      <c r="PBU504" s="1660"/>
      <c r="PBV504" s="1660"/>
      <c r="PBW504" s="1660"/>
      <c r="PBX504" s="1660"/>
      <c r="PBY504" s="1660"/>
      <c r="PBZ504" s="1660"/>
      <c r="PCA504" s="1660"/>
      <c r="PCB504" s="1660"/>
      <c r="PCC504" s="1660"/>
      <c r="PCD504" s="1660"/>
      <c r="PCE504" s="1660"/>
      <c r="PCF504" s="1660"/>
      <c r="PCG504" s="1660"/>
      <c r="PCH504" s="1660"/>
      <c r="PCI504" s="1660"/>
      <c r="PCJ504" s="1660"/>
      <c r="PCK504" s="1660"/>
      <c r="PCL504" s="1660"/>
      <c r="PCM504" s="1660"/>
      <c r="PCN504" s="1660"/>
      <c r="PCO504" s="1660"/>
      <c r="PCP504" s="1660"/>
      <c r="PCQ504" s="1660"/>
      <c r="PCR504" s="1660"/>
      <c r="PCS504" s="1660"/>
      <c r="PCT504" s="1660"/>
      <c r="PCU504" s="1660"/>
      <c r="PCV504" s="1660"/>
      <c r="PCW504" s="1660"/>
      <c r="PCX504" s="1660"/>
      <c r="PCY504" s="1660"/>
      <c r="PCZ504" s="1660"/>
      <c r="PDA504" s="1660"/>
      <c r="PDB504" s="1660"/>
      <c r="PDC504" s="1660"/>
      <c r="PDD504" s="1660"/>
      <c r="PDE504" s="1660"/>
      <c r="PDF504" s="1660"/>
      <c r="PDG504" s="1660"/>
      <c r="PDH504" s="1660"/>
      <c r="PDI504" s="1660"/>
      <c r="PDJ504" s="1660"/>
      <c r="PDK504" s="1660"/>
      <c r="PDL504" s="1660"/>
      <c r="PDM504" s="1660"/>
      <c r="PDN504" s="1660"/>
      <c r="PDO504" s="1660"/>
      <c r="PDP504" s="1660"/>
      <c r="PDQ504" s="1660"/>
      <c r="PDR504" s="1660"/>
      <c r="PDS504" s="1660"/>
      <c r="PDT504" s="1660"/>
      <c r="PDU504" s="1660"/>
      <c r="PDV504" s="1660"/>
      <c r="PDW504" s="1660"/>
      <c r="PDX504" s="1660"/>
      <c r="PDY504" s="1660"/>
      <c r="PDZ504" s="1660"/>
      <c r="PEA504" s="1660"/>
      <c r="PEB504" s="1660"/>
      <c r="PEC504" s="1660"/>
      <c r="PED504" s="1660"/>
      <c r="PEE504" s="1660"/>
      <c r="PEF504" s="1660"/>
      <c r="PEG504" s="1660"/>
      <c r="PEH504" s="1660"/>
      <c r="PEI504" s="1660"/>
      <c r="PEJ504" s="1660"/>
      <c r="PEK504" s="1660"/>
      <c r="PEL504" s="1660"/>
      <c r="PEM504" s="1660"/>
      <c r="PEN504" s="1660"/>
      <c r="PEO504" s="1660"/>
      <c r="PEP504" s="1660"/>
      <c r="PEQ504" s="1660"/>
      <c r="PER504" s="1660"/>
      <c r="PES504" s="1660"/>
      <c r="PET504" s="1660"/>
      <c r="PEU504" s="1660"/>
      <c r="PEV504" s="1660"/>
      <c r="PEW504" s="1660"/>
      <c r="PEX504" s="1660"/>
      <c r="PEY504" s="1660"/>
      <c r="PEZ504" s="1660"/>
      <c r="PFA504" s="1660"/>
      <c r="PFB504" s="1660"/>
      <c r="PFC504" s="1660"/>
      <c r="PFD504" s="1660"/>
      <c r="PFE504" s="1660"/>
      <c r="PFF504" s="1660"/>
      <c r="PFG504" s="1660"/>
      <c r="PFH504" s="1660"/>
      <c r="PFI504" s="1660"/>
      <c r="PFJ504" s="1660"/>
      <c r="PFK504" s="1660"/>
      <c r="PFL504" s="1660"/>
      <c r="PFM504" s="1660"/>
      <c r="PFN504" s="1660"/>
      <c r="PFO504" s="1660"/>
      <c r="PFP504" s="1660"/>
      <c r="PFQ504" s="1660"/>
      <c r="PFR504" s="1660"/>
      <c r="PFS504" s="1660"/>
      <c r="PFT504" s="1660"/>
      <c r="PFU504" s="1660"/>
      <c r="PFV504" s="1660"/>
      <c r="PFW504" s="1660"/>
      <c r="PFX504" s="1660"/>
      <c r="PFY504" s="1660"/>
      <c r="PFZ504" s="1660"/>
      <c r="PGA504" s="1660"/>
      <c r="PGB504" s="1660"/>
      <c r="PGC504" s="1660"/>
      <c r="PGD504" s="1660"/>
      <c r="PGE504" s="1660"/>
      <c r="PGF504" s="1660"/>
      <c r="PGG504" s="1660"/>
      <c r="PGH504" s="1660"/>
      <c r="PGI504" s="1660"/>
      <c r="PGJ504" s="1660"/>
      <c r="PGK504" s="1660"/>
      <c r="PGL504" s="1660"/>
      <c r="PGM504" s="1660"/>
      <c r="PGN504" s="1660"/>
      <c r="PGO504" s="1660"/>
      <c r="PGP504" s="1660"/>
      <c r="PGQ504" s="1660"/>
      <c r="PGR504" s="1660"/>
      <c r="PGS504" s="1660"/>
      <c r="PGT504" s="1660"/>
      <c r="PGU504" s="1660"/>
      <c r="PGV504" s="1660"/>
      <c r="PGW504" s="1660"/>
      <c r="PGX504" s="1660"/>
      <c r="PGY504" s="1660"/>
      <c r="PGZ504" s="1660"/>
      <c r="PHA504" s="1660"/>
      <c r="PHB504" s="1660"/>
      <c r="PHC504" s="1660"/>
      <c r="PHD504" s="1660"/>
      <c r="PHE504" s="1660"/>
      <c r="PHF504" s="1660"/>
      <c r="PHG504" s="1660"/>
      <c r="PHH504" s="1660"/>
      <c r="PHI504" s="1660"/>
      <c r="PHJ504" s="1660"/>
      <c r="PHK504" s="1660"/>
      <c r="PHL504" s="1660"/>
      <c r="PHM504" s="1660"/>
      <c r="PHN504" s="1660"/>
      <c r="PHO504" s="1660"/>
      <c r="PHP504" s="1660"/>
      <c r="PHQ504" s="1660"/>
      <c r="PHR504" s="1660"/>
      <c r="PHS504" s="1660"/>
      <c r="PHT504" s="1660"/>
      <c r="PHU504" s="1660"/>
      <c r="PHV504" s="1660"/>
      <c r="PHW504" s="1660"/>
      <c r="PHX504" s="1660"/>
      <c r="PHY504" s="1660"/>
      <c r="PHZ504" s="1660"/>
      <c r="PIA504" s="1660"/>
      <c r="PIB504" s="1660"/>
      <c r="PIC504" s="1660"/>
      <c r="PID504" s="1660"/>
      <c r="PIE504" s="1660"/>
      <c r="PIF504" s="1660"/>
      <c r="PIG504" s="1660"/>
      <c r="PIH504" s="1660"/>
      <c r="PII504" s="1660"/>
      <c r="PIJ504" s="1660"/>
      <c r="PIK504" s="1660"/>
      <c r="PIL504" s="1660"/>
      <c r="PIM504" s="1660"/>
      <c r="PIN504" s="1660"/>
      <c r="PIO504" s="1660"/>
      <c r="PIP504" s="1660"/>
      <c r="PIQ504" s="1660"/>
      <c r="PIR504" s="1660"/>
      <c r="PIS504" s="1660"/>
      <c r="PIT504" s="1660"/>
      <c r="PIU504" s="1660"/>
      <c r="PIV504" s="1660"/>
      <c r="PIW504" s="1660"/>
      <c r="PIX504" s="1660"/>
      <c r="PIY504" s="1660"/>
      <c r="PIZ504" s="1660"/>
      <c r="PJA504" s="1660"/>
      <c r="PJB504" s="1660"/>
      <c r="PJC504" s="1660"/>
      <c r="PJD504" s="1660"/>
      <c r="PJE504" s="1660"/>
      <c r="PJF504" s="1660"/>
      <c r="PJG504" s="1660"/>
      <c r="PJH504" s="1660"/>
      <c r="PJI504" s="1660"/>
      <c r="PJJ504" s="1660"/>
      <c r="PJK504" s="1660"/>
      <c r="PJL504" s="1660"/>
      <c r="PJM504" s="1660"/>
      <c r="PJN504" s="1660"/>
      <c r="PJO504" s="1660"/>
      <c r="PJP504" s="1660"/>
      <c r="PJQ504" s="1660"/>
      <c r="PJR504" s="1660"/>
      <c r="PJS504" s="1660"/>
      <c r="PJT504" s="1660"/>
      <c r="PJU504" s="1660"/>
      <c r="PJV504" s="1660"/>
      <c r="PJW504" s="1660"/>
      <c r="PJX504" s="1660"/>
      <c r="PJY504" s="1660"/>
      <c r="PJZ504" s="1660"/>
      <c r="PKA504" s="1660"/>
      <c r="PKB504" s="1660"/>
      <c r="PKC504" s="1660"/>
      <c r="PKD504" s="1660"/>
      <c r="PKE504" s="1660"/>
      <c r="PKF504" s="1660"/>
      <c r="PKG504" s="1660"/>
      <c r="PKH504" s="1660"/>
      <c r="PKI504" s="1660"/>
      <c r="PKJ504" s="1660"/>
      <c r="PKK504" s="1660"/>
      <c r="PKL504" s="1660"/>
      <c r="PKM504" s="1660"/>
      <c r="PKN504" s="1660"/>
      <c r="PKO504" s="1660"/>
      <c r="PKP504" s="1660"/>
      <c r="PKQ504" s="1660"/>
      <c r="PKR504" s="1660"/>
      <c r="PKS504" s="1660"/>
      <c r="PKT504" s="1660"/>
      <c r="PKU504" s="1660"/>
      <c r="PKV504" s="1660"/>
      <c r="PKW504" s="1660"/>
      <c r="PKX504" s="1660"/>
      <c r="PKY504" s="1660"/>
      <c r="PKZ504" s="1660"/>
      <c r="PLA504" s="1660"/>
      <c r="PLB504" s="1660"/>
      <c r="PLC504" s="1660"/>
      <c r="PLD504" s="1660"/>
      <c r="PLE504" s="1660"/>
      <c r="PLF504" s="1660"/>
      <c r="PLG504" s="1660"/>
      <c r="PLH504" s="1660"/>
      <c r="PLI504" s="1660"/>
      <c r="PLJ504" s="1660"/>
      <c r="PLK504" s="1660"/>
      <c r="PLL504" s="1660"/>
      <c r="PLM504" s="1660"/>
      <c r="PLN504" s="1660"/>
      <c r="PLO504" s="1660"/>
      <c r="PLP504" s="1660"/>
      <c r="PLQ504" s="1660"/>
      <c r="PLR504" s="1660"/>
      <c r="PLS504" s="1660"/>
      <c r="PLT504" s="1660"/>
      <c r="PLU504" s="1660"/>
      <c r="PLV504" s="1660"/>
      <c r="PLW504" s="1660"/>
      <c r="PLX504" s="1660"/>
      <c r="PLY504" s="1660"/>
      <c r="PLZ504" s="1660"/>
      <c r="PMA504" s="1660"/>
      <c r="PMB504" s="1660"/>
      <c r="PMC504" s="1660"/>
      <c r="PMD504" s="1660"/>
      <c r="PME504" s="1660"/>
      <c r="PMF504" s="1660"/>
      <c r="PMG504" s="1660"/>
      <c r="PMH504" s="1660"/>
      <c r="PMI504" s="1660"/>
      <c r="PMJ504" s="1660"/>
      <c r="PMK504" s="1660"/>
      <c r="PML504" s="1660"/>
      <c r="PMM504" s="1660"/>
      <c r="PMN504" s="1660"/>
      <c r="PMO504" s="1660"/>
      <c r="PMP504" s="1660"/>
      <c r="PMQ504" s="1660"/>
      <c r="PMR504" s="1660"/>
      <c r="PMS504" s="1660"/>
      <c r="PMT504" s="1660"/>
      <c r="PMU504" s="1660"/>
      <c r="PMV504" s="1660"/>
      <c r="PMW504" s="1660"/>
      <c r="PMX504" s="1660"/>
      <c r="PMY504" s="1660"/>
      <c r="PMZ504" s="1660"/>
      <c r="PNA504" s="1660"/>
      <c r="PNB504" s="1660"/>
      <c r="PNC504" s="1660"/>
      <c r="PND504" s="1660"/>
      <c r="PNE504" s="1660"/>
      <c r="PNF504" s="1660"/>
      <c r="PNG504" s="1660"/>
      <c r="PNH504" s="1660"/>
      <c r="PNI504" s="1660"/>
      <c r="PNJ504" s="1660"/>
      <c r="PNK504" s="1660"/>
      <c r="PNL504" s="1660"/>
      <c r="PNM504" s="1660"/>
      <c r="PNN504" s="1660"/>
      <c r="PNO504" s="1660"/>
      <c r="PNP504" s="1660"/>
      <c r="PNQ504" s="1660"/>
      <c r="PNR504" s="1660"/>
      <c r="PNS504" s="1660"/>
      <c r="PNT504" s="1660"/>
      <c r="PNU504" s="1660"/>
      <c r="PNV504" s="1660"/>
      <c r="PNW504" s="1660"/>
      <c r="PNX504" s="1660"/>
      <c r="PNY504" s="1660"/>
      <c r="PNZ504" s="1660"/>
      <c r="POA504" s="1660"/>
      <c r="POB504" s="1660"/>
      <c r="POC504" s="1660"/>
      <c r="POD504" s="1660"/>
      <c r="POE504" s="1660"/>
      <c r="POF504" s="1660"/>
      <c r="POG504" s="1660"/>
      <c r="POH504" s="1660"/>
      <c r="POI504" s="1660"/>
      <c r="POJ504" s="1660"/>
      <c r="POK504" s="1660"/>
      <c r="POL504" s="1660"/>
      <c r="POM504" s="1660"/>
      <c r="PON504" s="1660"/>
      <c r="POO504" s="1660"/>
      <c r="POP504" s="1660"/>
      <c r="POQ504" s="1660"/>
      <c r="POR504" s="1660"/>
      <c r="POS504" s="1660"/>
      <c r="POT504" s="1660"/>
      <c r="POU504" s="1660"/>
      <c r="POV504" s="1660"/>
      <c r="POW504" s="1660"/>
      <c r="POX504" s="1660"/>
      <c r="POY504" s="1660"/>
      <c r="POZ504" s="1660"/>
      <c r="PPA504" s="1660"/>
      <c r="PPB504" s="1660"/>
      <c r="PPC504" s="1660"/>
      <c r="PPD504" s="1660"/>
      <c r="PPE504" s="1660"/>
      <c r="PPF504" s="1660"/>
      <c r="PPG504" s="1660"/>
      <c r="PPH504" s="1660"/>
      <c r="PPI504" s="1660"/>
      <c r="PPJ504" s="1660"/>
      <c r="PPK504" s="1660"/>
      <c r="PPL504" s="1660"/>
      <c r="PPM504" s="1660"/>
      <c r="PPN504" s="1660"/>
      <c r="PPO504" s="1660"/>
      <c r="PPP504" s="1660"/>
      <c r="PPQ504" s="1660"/>
      <c r="PPR504" s="1660"/>
      <c r="PPS504" s="1660"/>
      <c r="PPT504" s="1660"/>
      <c r="PPU504" s="1660"/>
      <c r="PPV504" s="1660"/>
      <c r="PPW504" s="1660"/>
      <c r="PPX504" s="1660"/>
      <c r="PPY504" s="1660"/>
      <c r="PPZ504" s="1660"/>
      <c r="PQA504" s="1660"/>
      <c r="PQB504" s="1660"/>
      <c r="PQC504" s="1660"/>
      <c r="PQD504" s="1660"/>
      <c r="PQE504" s="1660"/>
      <c r="PQF504" s="1660"/>
      <c r="PQG504" s="1660"/>
      <c r="PQH504" s="1660"/>
      <c r="PQI504" s="1660"/>
      <c r="PQJ504" s="1660"/>
      <c r="PQK504" s="1660"/>
      <c r="PQL504" s="1660"/>
      <c r="PQM504" s="1660"/>
      <c r="PQN504" s="1660"/>
      <c r="PQO504" s="1660"/>
      <c r="PQP504" s="1660"/>
      <c r="PQQ504" s="1660"/>
      <c r="PQR504" s="1660"/>
      <c r="PQS504" s="1660"/>
      <c r="PQT504" s="1660"/>
      <c r="PQU504" s="1660"/>
      <c r="PQV504" s="1660"/>
      <c r="PQW504" s="1660"/>
      <c r="PQX504" s="1660"/>
      <c r="PQY504" s="1660"/>
      <c r="PQZ504" s="1660"/>
      <c r="PRA504" s="1660"/>
      <c r="PRB504" s="1660"/>
      <c r="PRC504" s="1660"/>
      <c r="PRD504" s="1660"/>
      <c r="PRE504" s="1660"/>
      <c r="PRF504" s="1660"/>
      <c r="PRG504" s="1660"/>
      <c r="PRH504" s="1660"/>
      <c r="PRI504" s="1660"/>
      <c r="PRJ504" s="1660"/>
      <c r="PRK504" s="1660"/>
      <c r="PRL504" s="1660"/>
      <c r="PRM504" s="1660"/>
      <c r="PRN504" s="1660"/>
      <c r="PRO504" s="1660"/>
      <c r="PRP504" s="1660"/>
      <c r="PRQ504" s="1660"/>
      <c r="PRR504" s="1660"/>
      <c r="PRS504" s="1660"/>
      <c r="PRT504" s="1660"/>
      <c r="PRU504" s="1660"/>
      <c r="PRV504" s="1660"/>
      <c r="PRW504" s="1660"/>
      <c r="PRX504" s="1660"/>
      <c r="PRY504" s="1660"/>
      <c r="PRZ504" s="1660"/>
      <c r="PSA504" s="1660"/>
      <c r="PSB504" s="1660"/>
      <c r="PSC504" s="1660"/>
      <c r="PSD504" s="1660"/>
      <c r="PSE504" s="1660"/>
      <c r="PSF504" s="1660"/>
      <c r="PSG504" s="1660"/>
      <c r="PSH504" s="1660"/>
      <c r="PSI504" s="1660"/>
      <c r="PSJ504" s="1660"/>
      <c r="PSK504" s="1660"/>
      <c r="PSL504" s="1660"/>
      <c r="PSM504" s="1660"/>
      <c r="PSN504" s="1660"/>
      <c r="PSO504" s="1660"/>
      <c r="PSP504" s="1660"/>
      <c r="PSQ504" s="1660"/>
      <c r="PSR504" s="1660"/>
      <c r="PSS504" s="1660"/>
      <c r="PST504" s="1660"/>
      <c r="PSU504" s="1660"/>
      <c r="PSV504" s="1660"/>
      <c r="PSW504" s="1660"/>
      <c r="PSX504" s="1660"/>
      <c r="PSY504" s="1660"/>
      <c r="PSZ504" s="1660"/>
      <c r="PTA504" s="1660"/>
      <c r="PTB504" s="1660"/>
      <c r="PTC504" s="1660"/>
      <c r="PTD504" s="1660"/>
      <c r="PTE504" s="1660"/>
      <c r="PTF504" s="1660"/>
      <c r="PTG504" s="1660"/>
      <c r="PTH504" s="1660"/>
      <c r="PTI504" s="1660"/>
      <c r="PTJ504" s="1660"/>
      <c r="PTK504" s="1660"/>
      <c r="PTL504" s="1660"/>
      <c r="PTM504" s="1660"/>
      <c r="PTN504" s="1660"/>
      <c r="PTO504" s="1660"/>
      <c r="PTP504" s="1660"/>
      <c r="PTQ504" s="1660"/>
      <c r="PTR504" s="1660"/>
      <c r="PTS504" s="1660"/>
      <c r="PTT504" s="1660"/>
      <c r="PTU504" s="1660"/>
      <c r="PTV504" s="1660"/>
      <c r="PTW504" s="1660"/>
      <c r="PTX504" s="1660"/>
      <c r="PTY504" s="1660"/>
      <c r="PTZ504" s="1660"/>
      <c r="PUA504" s="1660"/>
      <c r="PUB504" s="1660"/>
      <c r="PUC504" s="1660"/>
      <c r="PUD504" s="1660"/>
      <c r="PUE504" s="1660"/>
      <c r="PUF504" s="1660"/>
      <c r="PUG504" s="1660"/>
      <c r="PUH504" s="1660"/>
      <c r="PUI504" s="1660"/>
      <c r="PUJ504" s="1660"/>
      <c r="PUK504" s="1660"/>
      <c r="PUL504" s="1660"/>
      <c r="PUM504" s="1660"/>
      <c r="PUN504" s="1660"/>
      <c r="PUO504" s="1660"/>
      <c r="PUP504" s="1660"/>
      <c r="PUQ504" s="1660"/>
      <c r="PUR504" s="1660"/>
      <c r="PUS504" s="1660"/>
      <c r="PUT504" s="1660"/>
      <c r="PUU504" s="1660"/>
      <c r="PUV504" s="1660"/>
      <c r="PUW504" s="1660"/>
      <c r="PUX504" s="1660"/>
      <c r="PUY504" s="1660"/>
      <c r="PUZ504" s="1660"/>
      <c r="PVA504" s="1660"/>
      <c r="PVB504" s="1660"/>
      <c r="PVC504" s="1660"/>
      <c r="PVD504" s="1660"/>
      <c r="PVE504" s="1660"/>
      <c r="PVF504" s="1660"/>
      <c r="PVG504" s="1660"/>
      <c r="PVH504" s="1660"/>
      <c r="PVI504" s="1660"/>
      <c r="PVJ504" s="1660"/>
      <c r="PVK504" s="1660"/>
      <c r="PVL504" s="1660"/>
      <c r="PVM504" s="1660"/>
      <c r="PVN504" s="1660"/>
      <c r="PVO504" s="1660"/>
      <c r="PVP504" s="1660"/>
      <c r="PVQ504" s="1660"/>
      <c r="PVR504" s="1660"/>
      <c r="PVS504" s="1660"/>
      <c r="PVT504" s="1660"/>
      <c r="PVU504" s="1660"/>
      <c r="PVV504" s="1660"/>
      <c r="PVW504" s="1660"/>
      <c r="PVX504" s="1660"/>
      <c r="PVY504" s="1660"/>
      <c r="PVZ504" s="1660"/>
      <c r="PWA504" s="1660"/>
      <c r="PWB504" s="1660"/>
      <c r="PWC504" s="1660"/>
      <c r="PWD504" s="1660"/>
      <c r="PWE504" s="1660"/>
      <c r="PWF504" s="1660"/>
      <c r="PWG504" s="1660"/>
      <c r="PWH504" s="1660"/>
      <c r="PWI504" s="1660"/>
      <c r="PWJ504" s="1660"/>
      <c r="PWK504" s="1660"/>
      <c r="PWL504" s="1660"/>
      <c r="PWM504" s="1660"/>
      <c r="PWN504" s="1660"/>
      <c r="PWO504" s="1660"/>
      <c r="PWP504" s="1660"/>
      <c r="PWQ504" s="1660"/>
      <c r="PWR504" s="1660"/>
      <c r="PWS504" s="1660"/>
      <c r="PWT504" s="1660"/>
      <c r="PWU504" s="1660"/>
      <c r="PWV504" s="1660"/>
      <c r="PWW504" s="1660"/>
      <c r="PWX504" s="1660"/>
      <c r="PWY504" s="1660"/>
      <c r="PWZ504" s="1660"/>
      <c r="PXA504" s="1660"/>
      <c r="PXB504" s="1660"/>
      <c r="PXC504" s="1660"/>
      <c r="PXD504" s="1660"/>
      <c r="PXE504" s="1660"/>
      <c r="PXF504" s="1660"/>
      <c r="PXG504" s="1660"/>
      <c r="PXH504" s="1660"/>
      <c r="PXI504" s="1660"/>
      <c r="PXJ504" s="1660"/>
      <c r="PXK504" s="1660"/>
      <c r="PXL504" s="1660"/>
      <c r="PXM504" s="1660"/>
      <c r="PXN504" s="1660"/>
      <c r="PXO504" s="1660"/>
      <c r="PXP504" s="1660"/>
      <c r="PXQ504" s="1660"/>
      <c r="PXR504" s="1660"/>
      <c r="PXS504" s="1660"/>
      <c r="PXT504" s="1660"/>
      <c r="PXU504" s="1660"/>
      <c r="PXV504" s="1660"/>
      <c r="PXW504" s="1660"/>
      <c r="PXX504" s="1660"/>
      <c r="PXY504" s="1660"/>
      <c r="PXZ504" s="1660"/>
      <c r="PYA504" s="1660"/>
      <c r="PYB504" s="1660"/>
      <c r="PYC504" s="1660"/>
      <c r="PYD504" s="1660"/>
      <c r="PYE504" s="1660"/>
      <c r="PYF504" s="1660"/>
      <c r="PYG504" s="1660"/>
      <c r="PYH504" s="1660"/>
      <c r="PYI504" s="1660"/>
      <c r="PYJ504" s="1660"/>
      <c r="PYK504" s="1660"/>
      <c r="PYL504" s="1660"/>
      <c r="PYM504" s="1660"/>
      <c r="PYN504" s="1660"/>
      <c r="PYO504" s="1660"/>
      <c r="PYP504" s="1660"/>
      <c r="PYQ504" s="1660"/>
      <c r="PYR504" s="1660"/>
      <c r="PYS504" s="1660"/>
      <c r="PYT504" s="1660"/>
      <c r="PYU504" s="1660"/>
      <c r="PYV504" s="1660"/>
      <c r="PYW504" s="1660"/>
      <c r="PYX504" s="1660"/>
      <c r="PYY504" s="1660"/>
      <c r="PYZ504" s="1660"/>
      <c r="PZA504" s="1660"/>
      <c r="PZB504" s="1660"/>
      <c r="PZC504" s="1660"/>
      <c r="PZD504" s="1660"/>
      <c r="PZE504" s="1660"/>
      <c r="PZF504" s="1660"/>
      <c r="PZG504" s="1660"/>
      <c r="PZH504" s="1660"/>
      <c r="PZI504" s="1660"/>
      <c r="PZJ504" s="1660"/>
      <c r="PZK504" s="1660"/>
      <c r="PZL504" s="1660"/>
      <c r="PZM504" s="1660"/>
      <c r="PZN504" s="1660"/>
      <c r="PZO504" s="1660"/>
      <c r="PZP504" s="1660"/>
      <c r="PZQ504" s="1660"/>
      <c r="PZR504" s="1660"/>
      <c r="PZS504" s="1660"/>
      <c r="PZT504" s="1660"/>
      <c r="PZU504" s="1660"/>
      <c r="PZV504" s="1660"/>
      <c r="PZW504" s="1660"/>
      <c r="PZX504" s="1660"/>
      <c r="PZY504" s="1660"/>
      <c r="PZZ504" s="1660"/>
      <c r="QAA504" s="1660"/>
      <c r="QAB504" s="1660"/>
      <c r="QAC504" s="1660"/>
      <c r="QAD504" s="1660"/>
      <c r="QAE504" s="1660"/>
      <c r="QAF504" s="1660"/>
      <c r="QAG504" s="1660"/>
      <c r="QAH504" s="1660"/>
      <c r="QAI504" s="1660"/>
      <c r="QAJ504" s="1660"/>
      <c r="QAK504" s="1660"/>
      <c r="QAL504" s="1660"/>
      <c r="QAM504" s="1660"/>
      <c r="QAN504" s="1660"/>
      <c r="QAO504" s="1660"/>
      <c r="QAP504" s="1660"/>
      <c r="QAQ504" s="1660"/>
      <c r="QAR504" s="1660"/>
      <c r="QAS504" s="1660"/>
      <c r="QAT504" s="1660"/>
      <c r="QAU504" s="1660"/>
      <c r="QAV504" s="1660"/>
      <c r="QAW504" s="1660"/>
      <c r="QAX504" s="1660"/>
      <c r="QAY504" s="1660"/>
      <c r="QAZ504" s="1660"/>
      <c r="QBA504" s="1660"/>
      <c r="QBB504" s="1660"/>
      <c r="QBC504" s="1660"/>
      <c r="QBD504" s="1660"/>
      <c r="QBE504" s="1660"/>
      <c r="QBF504" s="1660"/>
      <c r="QBG504" s="1660"/>
      <c r="QBH504" s="1660"/>
      <c r="QBI504" s="1660"/>
      <c r="QBJ504" s="1660"/>
      <c r="QBK504" s="1660"/>
      <c r="QBL504" s="1660"/>
      <c r="QBM504" s="1660"/>
      <c r="QBN504" s="1660"/>
      <c r="QBO504" s="1660"/>
      <c r="QBP504" s="1660"/>
      <c r="QBQ504" s="1660"/>
      <c r="QBR504" s="1660"/>
      <c r="QBS504" s="1660"/>
      <c r="QBT504" s="1660"/>
      <c r="QBU504" s="1660"/>
      <c r="QBV504" s="1660"/>
      <c r="QBW504" s="1660"/>
      <c r="QBX504" s="1660"/>
      <c r="QBY504" s="1660"/>
      <c r="QBZ504" s="1660"/>
      <c r="QCA504" s="1660"/>
      <c r="QCB504" s="1660"/>
      <c r="QCC504" s="1660"/>
      <c r="QCD504" s="1660"/>
      <c r="QCE504" s="1660"/>
      <c r="QCF504" s="1660"/>
      <c r="QCG504" s="1660"/>
      <c r="QCH504" s="1660"/>
      <c r="QCI504" s="1660"/>
      <c r="QCJ504" s="1660"/>
      <c r="QCK504" s="1660"/>
      <c r="QCL504" s="1660"/>
      <c r="QCM504" s="1660"/>
      <c r="QCN504" s="1660"/>
      <c r="QCO504" s="1660"/>
      <c r="QCP504" s="1660"/>
      <c r="QCQ504" s="1660"/>
      <c r="QCR504" s="1660"/>
      <c r="QCS504" s="1660"/>
      <c r="QCT504" s="1660"/>
      <c r="QCU504" s="1660"/>
      <c r="QCV504" s="1660"/>
      <c r="QCW504" s="1660"/>
      <c r="QCX504" s="1660"/>
      <c r="QCY504" s="1660"/>
      <c r="QCZ504" s="1660"/>
      <c r="QDA504" s="1660"/>
      <c r="QDB504" s="1660"/>
      <c r="QDC504" s="1660"/>
      <c r="QDD504" s="1660"/>
      <c r="QDE504" s="1660"/>
      <c r="QDF504" s="1660"/>
      <c r="QDG504" s="1660"/>
      <c r="QDH504" s="1660"/>
      <c r="QDI504" s="1660"/>
      <c r="QDJ504" s="1660"/>
      <c r="QDK504" s="1660"/>
      <c r="QDL504" s="1660"/>
      <c r="QDM504" s="1660"/>
      <c r="QDN504" s="1660"/>
      <c r="QDO504" s="1660"/>
      <c r="QDP504" s="1660"/>
      <c r="QDQ504" s="1660"/>
      <c r="QDR504" s="1660"/>
      <c r="QDS504" s="1660"/>
      <c r="QDT504" s="1660"/>
      <c r="QDU504" s="1660"/>
      <c r="QDV504" s="1660"/>
      <c r="QDW504" s="1660"/>
      <c r="QDX504" s="1660"/>
      <c r="QDY504" s="1660"/>
      <c r="QDZ504" s="1660"/>
      <c r="QEA504" s="1660"/>
      <c r="QEB504" s="1660"/>
      <c r="QEC504" s="1660"/>
      <c r="QED504" s="1660"/>
      <c r="QEE504" s="1660"/>
      <c r="QEF504" s="1660"/>
      <c r="QEG504" s="1660"/>
      <c r="QEH504" s="1660"/>
      <c r="QEI504" s="1660"/>
      <c r="QEJ504" s="1660"/>
      <c r="QEK504" s="1660"/>
      <c r="QEL504" s="1660"/>
      <c r="QEM504" s="1660"/>
      <c r="QEN504" s="1660"/>
      <c r="QEO504" s="1660"/>
      <c r="QEP504" s="1660"/>
      <c r="QEQ504" s="1660"/>
      <c r="QER504" s="1660"/>
      <c r="QES504" s="1660"/>
      <c r="QET504" s="1660"/>
      <c r="QEU504" s="1660"/>
      <c r="QEV504" s="1660"/>
      <c r="QEW504" s="1660"/>
      <c r="QEX504" s="1660"/>
      <c r="QEY504" s="1660"/>
      <c r="QEZ504" s="1660"/>
      <c r="QFA504" s="1660"/>
      <c r="QFB504" s="1660"/>
      <c r="QFC504" s="1660"/>
      <c r="QFD504" s="1660"/>
      <c r="QFE504" s="1660"/>
      <c r="QFF504" s="1660"/>
      <c r="QFG504" s="1660"/>
      <c r="QFH504" s="1660"/>
      <c r="QFI504" s="1660"/>
      <c r="QFJ504" s="1660"/>
      <c r="QFK504" s="1660"/>
      <c r="QFL504" s="1660"/>
      <c r="QFM504" s="1660"/>
      <c r="QFN504" s="1660"/>
      <c r="QFO504" s="1660"/>
      <c r="QFP504" s="1660"/>
      <c r="QFQ504" s="1660"/>
      <c r="QFR504" s="1660"/>
      <c r="QFS504" s="1660"/>
      <c r="QFT504" s="1660"/>
      <c r="QFU504" s="1660"/>
      <c r="QFV504" s="1660"/>
      <c r="QFW504" s="1660"/>
      <c r="QFX504" s="1660"/>
      <c r="QFY504" s="1660"/>
      <c r="QFZ504" s="1660"/>
      <c r="QGA504" s="1660"/>
      <c r="QGB504" s="1660"/>
      <c r="QGC504" s="1660"/>
      <c r="QGD504" s="1660"/>
      <c r="QGE504" s="1660"/>
      <c r="QGF504" s="1660"/>
      <c r="QGG504" s="1660"/>
      <c r="QGH504" s="1660"/>
      <c r="QGI504" s="1660"/>
      <c r="QGJ504" s="1660"/>
      <c r="QGK504" s="1660"/>
      <c r="QGL504" s="1660"/>
      <c r="QGM504" s="1660"/>
      <c r="QGN504" s="1660"/>
      <c r="QGO504" s="1660"/>
      <c r="QGP504" s="1660"/>
      <c r="QGQ504" s="1660"/>
      <c r="QGR504" s="1660"/>
      <c r="QGS504" s="1660"/>
      <c r="QGT504" s="1660"/>
      <c r="QGU504" s="1660"/>
      <c r="QGV504" s="1660"/>
      <c r="QGW504" s="1660"/>
      <c r="QGX504" s="1660"/>
      <c r="QGY504" s="1660"/>
      <c r="QGZ504" s="1660"/>
      <c r="QHA504" s="1660"/>
      <c r="QHB504" s="1660"/>
      <c r="QHC504" s="1660"/>
      <c r="QHD504" s="1660"/>
      <c r="QHE504" s="1660"/>
      <c r="QHF504" s="1660"/>
      <c r="QHG504" s="1660"/>
      <c r="QHH504" s="1660"/>
      <c r="QHI504" s="1660"/>
      <c r="QHJ504" s="1660"/>
      <c r="QHK504" s="1660"/>
      <c r="QHL504" s="1660"/>
      <c r="QHM504" s="1660"/>
      <c r="QHN504" s="1660"/>
      <c r="QHO504" s="1660"/>
      <c r="QHP504" s="1660"/>
      <c r="QHQ504" s="1660"/>
      <c r="QHR504" s="1660"/>
      <c r="QHS504" s="1660"/>
      <c r="QHT504" s="1660"/>
      <c r="QHU504" s="1660"/>
      <c r="QHV504" s="1660"/>
      <c r="QHW504" s="1660"/>
      <c r="QHX504" s="1660"/>
      <c r="QHY504" s="1660"/>
      <c r="QHZ504" s="1660"/>
      <c r="QIA504" s="1660"/>
      <c r="QIB504" s="1660"/>
      <c r="QIC504" s="1660"/>
      <c r="QID504" s="1660"/>
      <c r="QIE504" s="1660"/>
      <c r="QIF504" s="1660"/>
      <c r="QIG504" s="1660"/>
      <c r="QIH504" s="1660"/>
      <c r="QII504" s="1660"/>
      <c r="QIJ504" s="1660"/>
      <c r="QIK504" s="1660"/>
      <c r="QIL504" s="1660"/>
      <c r="QIM504" s="1660"/>
      <c r="QIN504" s="1660"/>
      <c r="QIO504" s="1660"/>
      <c r="QIP504" s="1660"/>
      <c r="QIQ504" s="1660"/>
      <c r="QIR504" s="1660"/>
      <c r="QIS504" s="1660"/>
      <c r="QIT504" s="1660"/>
      <c r="QIU504" s="1660"/>
      <c r="QIV504" s="1660"/>
      <c r="QIW504" s="1660"/>
      <c r="QIX504" s="1660"/>
      <c r="QIY504" s="1660"/>
      <c r="QIZ504" s="1660"/>
      <c r="QJA504" s="1660"/>
      <c r="QJB504" s="1660"/>
      <c r="QJC504" s="1660"/>
      <c r="QJD504" s="1660"/>
      <c r="QJE504" s="1660"/>
      <c r="QJF504" s="1660"/>
      <c r="QJG504" s="1660"/>
      <c r="QJH504" s="1660"/>
      <c r="QJI504" s="1660"/>
      <c r="QJJ504" s="1660"/>
      <c r="QJK504" s="1660"/>
      <c r="QJL504" s="1660"/>
      <c r="QJM504" s="1660"/>
      <c r="QJN504" s="1660"/>
      <c r="QJO504" s="1660"/>
      <c r="QJP504" s="1660"/>
      <c r="QJQ504" s="1660"/>
      <c r="QJR504" s="1660"/>
      <c r="QJS504" s="1660"/>
      <c r="QJT504" s="1660"/>
      <c r="QJU504" s="1660"/>
      <c r="QJV504" s="1660"/>
      <c r="QJW504" s="1660"/>
      <c r="QJX504" s="1660"/>
      <c r="QJY504" s="1660"/>
      <c r="QJZ504" s="1660"/>
      <c r="QKA504" s="1660"/>
      <c r="QKB504" s="1660"/>
      <c r="QKC504" s="1660"/>
      <c r="QKD504" s="1660"/>
      <c r="QKE504" s="1660"/>
      <c r="QKF504" s="1660"/>
      <c r="QKG504" s="1660"/>
      <c r="QKH504" s="1660"/>
      <c r="QKI504" s="1660"/>
      <c r="QKJ504" s="1660"/>
      <c r="QKK504" s="1660"/>
      <c r="QKL504" s="1660"/>
      <c r="QKM504" s="1660"/>
      <c r="QKN504" s="1660"/>
      <c r="QKO504" s="1660"/>
      <c r="QKP504" s="1660"/>
      <c r="QKQ504" s="1660"/>
      <c r="QKR504" s="1660"/>
      <c r="QKS504" s="1660"/>
      <c r="QKT504" s="1660"/>
      <c r="QKU504" s="1660"/>
      <c r="QKV504" s="1660"/>
      <c r="QKW504" s="1660"/>
      <c r="QKX504" s="1660"/>
      <c r="QKY504" s="1660"/>
      <c r="QKZ504" s="1660"/>
      <c r="QLA504" s="1660"/>
      <c r="QLB504" s="1660"/>
      <c r="QLC504" s="1660"/>
      <c r="QLD504" s="1660"/>
      <c r="QLE504" s="1660"/>
      <c r="QLF504" s="1660"/>
      <c r="QLG504" s="1660"/>
      <c r="QLH504" s="1660"/>
      <c r="QLI504" s="1660"/>
      <c r="QLJ504" s="1660"/>
      <c r="QLK504" s="1660"/>
      <c r="QLL504" s="1660"/>
      <c r="QLM504" s="1660"/>
      <c r="QLN504" s="1660"/>
      <c r="QLO504" s="1660"/>
      <c r="QLP504" s="1660"/>
      <c r="QLQ504" s="1660"/>
      <c r="QLR504" s="1660"/>
      <c r="QLS504" s="1660"/>
      <c r="QLT504" s="1660"/>
      <c r="QLU504" s="1660"/>
      <c r="QLV504" s="1660"/>
      <c r="QLW504" s="1660"/>
      <c r="QLX504" s="1660"/>
      <c r="QLY504" s="1660"/>
      <c r="QLZ504" s="1660"/>
      <c r="QMA504" s="1660"/>
      <c r="QMB504" s="1660"/>
      <c r="QMC504" s="1660"/>
      <c r="QMD504" s="1660"/>
      <c r="QME504" s="1660"/>
      <c r="QMF504" s="1660"/>
      <c r="QMG504" s="1660"/>
      <c r="QMH504" s="1660"/>
      <c r="QMI504" s="1660"/>
      <c r="QMJ504" s="1660"/>
      <c r="QMK504" s="1660"/>
      <c r="QML504" s="1660"/>
      <c r="QMM504" s="1660"/>
      <c r="QMN504" s="1660"/>
      <c r="QMO504" s="1660"/>
      <c r="QMP504" s="1660"/>
      <c r="QMQ504" s="1660"/>
      <c r="QMR504" s="1660"/>
      <c r="QMS504" s="1660"/>
      <c r="QMT504" s="1660"/>
      <c r="QMU504" s="1660"/>
      <c r="QMV504" s="1660"/>
      <c r="QMW504" s="1660"/>
      <c r="QMX504" s="1660"/>
      <c r="QMY504" s="1660"/>
      <c r="QMZ504" s="1660"/>
      <c r="QNA504" s="1660"/>
      <c r="QNB504" s="1660"/>
      <c r="QNC504" s="1660"/>
      <c r="QND504" s="1660"/>
      <c r="QNE504" s="1660"/>
      <c r="QNF504" s="1660"/>
      <c r="QNG504" s="1660"/>
      <c r="QNH504" s="1660"/>
      <c r="QNI504" s="1660"/>
      <c r="QNJ504" s="1660"/>
      <c r="QNK504" s="1660"/>
      <c r="QNL504" s="1660"/>
      <c r="QNM504" s="1660"/>
      <c r="QNN504" s="1660"/>
      <c r="QNO504" s="1660"/>
      <c r="QNP504" s="1660"/>
      <c r="QNQ504" s="1660"/>
      <c r="QNR504" s="1660"/>
      <c r="QNS504" s="1660"/>
      <c r="QNT504" s="1660"/>
      <c r="QNU504" s="1660"/>
      <c r="QNV504" s="1660"/>
      <c r="QNW504" s="1660"/>
      <c r="QNX504" s="1660"/>
      <c r="QNY504" s="1660"/>
      <c r="QNZ504" s="1660"/>
      <c r="QOA504" s="1660"/>
      <c r="QOB504" s="1660"/>
      <c r="QOC504" s="1660"/>
      <c r="QOD504" s="1660"/>
      <c r="QOE504" s="1660"/>
      <c r="QOF504" s="1660"/>
      <c r="QOG504" s="1660"/>
      <c r="QOH504" s="1660"/>
      <c r="QOI504" s="1660"/>
      <c r="QOJ504" s="1660"/>
      <c r="QOK504" s="1660"/>
      <c r="QOL504" s="1660"/>
      <c r="QOM504" s="1660"/>
      <c r="QON504" s="1660"/>
      <c r="QOO504" s="1660"/>
      <c r="QOP504" s="1660"/>
      <c r="QOQ504" s="1660"/>
      <c r="QOR504" s="1660"/>
      <c r="QOS504" s="1660"/>
      <c r="QOT504" s="1660"/>
      <c r="QOU504" s="1660"/>
      <c r="QOV504" s="1660"/>
      <c r="QOW504" s="1660"/>
      <c r="QOX504" s="1660"/>
      <c r="QOY504" s="1660"/>
      <c r="QOZ504" s="1660"/>
      <c r="QPA504" s="1660"/>
      <c r="QPB504" s="1660"/>
      <c r="QPC504" s="1660"/>
      <c r="QPD504" s="1660"/>
      <c r="QPE504" s="1660"/>
      <c r="QPF504" s="1660"/>
      <c r="QPG504" s="1660"/>
      <c r="QPH504" s="1660"/>
      <c r="QPI504" s="1660"/>
      <c r="QPJ504" s="1660"/>
      <c r="QPK504" s="1660"/>
      <c r="QPL504" s="1660"/>
      <c r="QPM504" s="1660"/>
      <c r="QPN504" s="1660"/>
      <c r="QPO504" s="1660"/>
      <c r="QPP504" s="1660"/>
      <c r="QPQ504" s="1660"/>
      <c r="QPR504" s="1660"/>
      <c r="QPS504" s="1660"/>
      <c r="QPT504" s="1660"/>
      <c r="QPU504" s="1660"/>
      <c r="QPV504" s="1660"/>
      <c r="QPW504" s="1660"/>
      <c r="QPX504" s="1660"/>
      <c r="QPY504" s="1660"/>
      <c r="QPZ504" s="1660"/>
      <c r="QQA504" s="1660"/>
      <c r="QQB504" s="1660"/>
      <c r="QQC504" s="1660"/>
      <c r="QQD504" s="1660"/>
      <c r="QQE504" s="1660"/>
      <c r="QQF504" s="1660"/>
      <c r="QQG504" s="1660"/>
      <c r="QQH504" s="1660"/>
      <c r="QQI504" s="1660"/>
      <c r="QQJ504" s="1660"/>
      <c r="QQK504" s="1660"/>
      <c r="QQL504" s="1660"/>
      <c r="QQM504" s="1660"/>
      <c r="QQN504" s="1660"/>
      <c r="QQO504" s="1660"/>
      <c r="QQP504" s="1660"/>
      <c r="QQQ504" s="1660"/>
      <c r="QQR504" s="1660"/>
      <c r="QQS504" s="1660"/>
      <c r="QQT504" s="1660"/>
      <c r="QQU504" s="1660"/>
      <c r="QQV504" s="1660"/>
      <c r="QQW504" s="1660"/>
      <c r="QQX504" s="1660"/>
      <c r="QQY504" s="1660"/>
      <c r="QQZ504" s="1660"/>
      <c r="QRA504" s="1660"/>
      <c r="QRB504" s="1660"/>
      <c r="QRC504" s="1660"/>
      <c r="QRD504" s="1660"/>
      <c r="QRE504" s="1660"/>
      <c r="QRF504" s="1660"/>
      <c r="QRG504" s="1660"/>
      <c r="QRH504" s="1660"/>
      <c r="QRI504" s="1660"/>
      <c r="QRJ504" s="1660"/>
      <c r="QRK504" s="1660"/>
      <c r="QRL504" s="1660"/>
      <c r="QRM504" s="1660"/>
      <c r="QRN504" s="1660"/>
      <c r="QRO504" s="1660"/>
      <c r="QRP504" s="1660"/>
      <c r="QRQ504" s="1660"/>
      <c r="QRR504" s="1660"/>
      <c r="QRS504" s="1660"/>
      <c r="QRT504" s="1660"/>
      <c r="QRU504" s="1660"/>
      <c r="QRV504" s="1660"/>
      <c r="QRW504" s="1660"/>
      <c r="QRX504" s="1660"/>
      <c r="QRY504" s="1660"/>
      <c r="QRZ504" s="1660"/>
      <c r="QSA504" s="1660"/>
      <c r="QSB504" s="1660"/>
      <c r="QSC504" s="1660"/>
      <c r="QSD504" s="1660"/>
      <c r="QSE504" s="1660"/>
      <c r="QSF504" s="1660"/>
      <c r="QSG504" s="1660"/>
      <c r="QSH504" s="1660"/>
      <c r="QSI504" s="1660"/>
      <c r="QSJ504" s="1660"/>
      <c r="QSK504" s="1660"/>
      <c r="QSL504" s="1660"/>
      <c r="QSM504" s="1660"/>
      <c r="QSN504" s="1660"/>
      <c r="QSO504" s="1660"/>
      <c r="QSP504" s="1660"/>
      <c r="QSQ504" s="1660"/>
      <c r="QSR504" s="1660"/>
      <c r="QSS504" s="1660"/>
      <c r="QST504" s="1660"/>
      <c r="QSU504" s="1660"/>
      <c r="QSV504" s="1660"/>
      <c r="QSW504" s="1660"/>
      <c r="QSX504" s="1660"/>
      <c r="QSY504" s="1660"/>
      <c r="QSZ504" s="1660"/>
      <c r="QTA504" s="1660"/>
      <c r="QTB504" s="1660"/>
      <c r="QTC504" s="1660"/>
      <c r="QTD504" s="1660"/>
      <c r="QTE504" s="1660"/>
      <c r="QTF504" s="1660"/>
      <c r="QTG504" s="1660"/>
      <c r="QTH504" s="1660"/>
      <c r="QTI504" s="1660"/>
      <c r="QTJ504" s="1660"/>
      <c r="QTK504" s="1660"/>
      <c r="QTL504" s="1660"/>
      <c r="QTM504" s="1660"/>
      <c r="QTN504" s="1660"/>
      <c r="QTO504" s="1660"/>
      <c r="QTP504" s="1660"/>
      <c r="QTQ504" s="1660"/>
      <c r="QTR504" s="1660"/>
      <c r="QTS504" s="1660"/>
      <c r="QTT504" s="1660"/>
      <c r="QTU504" s="1660"/>
      <c r="QTV504" s="1660"/>
      <c r="QTW504" s="1660"/>
      <c r="QTX504" s="1660"/>
      <c r="QTY504" s="1660"/>
      <c r="QTZ504" s="1660"/>
      <c r="QUA504" s="1660"/>
      <c r="QUB504" s="1660"/>
      <c r="QUC504" s="1660"/>
      <c r="QUD504" s="1660"/>
      <c r="QUE504" s="1660"/>
      <c r="QUF504" s="1660"/>
      <c r="QUG504" s="1660"/>
      <c r="QUH504" s="1660"/>
      <c r="QUI504" s="1660"/>
      <c r="QUJ504" s="1660"/>
      <c r="QUK504" s="1660"/>
      <c r="QUL504" s="1660"/>
      <c r="QUM504" s="1660"/>
      <c r="QUN504" s="1660"/>
      <c r="QUO504" s="1660"/>
      <c r="QUP504" s="1660"/>
      <c r="QUQ504" s="1660"/>
      <c r="QUR504" s="1660"/>
      <c r="QUS504" s="1660"/>
      <c r="QUT504" s="1660"/>
      <c r="QUU504" s="1660"/>
      <c r="QUV504" s="1660"/>
      <c r="QUW504" s="1660"/>
      <c r="QUX504" s="1660"/>
      <c r="QUY504" s="1660"/>
      <c r="QUZ504" s="1660"/>
      <c r="QVA504" s="1660"/>
      <c r="QVB504" s="1660"/>
      <c r="QVC504" s="1660"/>
      <c r="QVD504" s="1660"/>
      <c r="QVE504" s="1660"/>
      <c r="QVF504" s="1660"/>
      <c r="QVG504" s="1660"/>
      <c r="QVH504" s="1660"/>
      <c r="QVI504" s="1660"/>
      <c r="QVJ504" s="1660"/>
      <c r="QVK504" s="1660"/>
      <c r="QVL504" s="1660"/>
      <c r="QVM504" s="1660"/>
      <c r="QVN504" s="1660"/>
      <c r="QVO504" s="1660"/>
      <c r="QVP504" s="1660"/>
      <c r="QVQ504" s="1660"/>
      <c r="QVR504" s="1660"/>
      <c r="QVS504" s="1660"/>
      <c r="QVT504" s="1660"/>
      <c r="QVU504" s="1660"/>
      <c r="QVV504" s="1660"/>
      <c r="QVW504" s="1660"/>
      <c r="QVX504" s="1660"/>
      <c r="QVY504" s="1660"/>
      <c r="QVZ504" s="1660"/>
      <c r="QWA504" s="1660"/>
      <c r="QWB504" s="1660"/>
      <c r="QWC504" s="1660"/>
      <c r="QWD504" s="1660"/>
      <c r="QWE504" s="1660"/>
      <c r="QWF504" s="1660"/>
      <c r="QWG504" s="1660"/>
      <c r="QWH504" s="1660"/>
      <c r="QWI504" s="1660"/>
      <c r="QWJ504" s="1660"/>
      <c r="QWK504" s="1660"/>
      <c r="QWL504" s="1660"/>
      <c r="QWM504" s="1660"/>
      <c r="QWN504" s="1660"/>
      <c r="QWO504" s="1660"/>
      <c r="QWP504" s="1660"/>
      <c r="QWQ504" s="1660"/>
      <c r="QWR504" s="1660"/>
      <c r="QWS504" s="1660"/>
      <c r="QWT504" s="1660"/>
      <c r="QWU504" s="1660"/>
      <c r="QWV504" s="1660"/>
      <c r="QWW504" s="1660"/>
      <c r="QWX504" s="1660"/>
      <c r="QWY504" s="1660"/>
      <c r="QWZ504" s="1660"/>
      <c r="QXA504" s="1660"/>
      <c r="QXB504" s="1660"/>
      <c r="QXC504" s="1660"/>
      <c r="QXD504" s="1660"/>
      <c r="QXE504" s="1660"/>
      <c r="QXF504" s="1660"/>
      <c r="QXG504" s="1660"/>
      <c r="QXH504" s="1660"/>
      <c r="QXI504" s="1660"/>
      <c r="QXJ504" s="1660"/>
      <c r="QXK504" s="1660"/>
      <c r="QXL504" s="1660"/>
      <c r="QXM504" s="1660"/>
      <c r="QXN504" s="1660"/>
      <c r="QXO504" s="1660"/>
      <c r="QXP504" s="1660"/>
      <c r="QXQ504" s="1660"/>
      <c r="QXR504" s="1660"/>
      <c r="QXS504" s="1660"/>
      <c r="QXT504" s="1660"/>
      <c r="QXU504" s="1660"/>
      <c r="QXV504" s="1660"/>
      <c r="QXW504" s="1660"/>
      <c r="QXX504" s="1660"/>
      <c r="QXY504" s="1660"/>
      <c r="QXZ504" s="1660"/>
      <c r="QYA504" s="1660"/>
      <c r="QYB504" s="1660"/>
      <c r="QYC504" s="1660"/>
      <c r="QYD504" s="1660"/>
      <c r="QYE504" s="1660"/>
      <c r="QYF504" s="1660"/>
      <c r="QYG504" s="1660"/>
      <c r="QYH504" s="1660"/>
      <c r="QYI504" s="1660"/>
      <c r="QYJ504" s="1660"/>
      <c r="QYK504" s="1660"/>
      <c r="QYL504" s="1660"/>
      <c r="QYM504" s="1660"/>
      <c r="QYN504" s="1660"/>
      <c r="QYO504" s="1660"/>
      <c r="QYP504" s="1660"/>
      <c r="QYQ504" s="1660"/>
      <c r="QYR504" s="1660"/>
      <c r="QYS504" s="1660"/>
      <c r="QYT504" s="1660"/>
      <c r="QYU504" s="1660"/>
      <c r="QYV504" s="1660"/>
      <c r="QYW504" s="1660"/>
      <c r="QYX504" s="1660"/>
      <c r="QYY504" s="1660"/>
      <c r="QYZ504" s="1660"/>
      <c r="QZA504" s="1660"/>
      <c r="QZB504" s="1660"/>
      <c r="QZC504" s="1660"/>
      <c r="QZD504" s="1660"/>
      <c r="QZE504" s="1660"/>
      <c r="QZF504" s="1660"/>
      <c r="QZG504" s="1660"/>
      <c r="QZH504" s="1660"/>
      <c r="QZI504" s="1660"/>
      <c r="QZJ504" s="1660"/>
      <c r="QZK504" s="1660"/>
      <c r="QZL504" s="1660"/>
      <c r="QZM504" s="1660"/>
      <c r="QZN504" s="1660"/>
      <c r="QZO504" s="1660"/>
      <c r="QZP504" s="1660"/>
      <c r="QZQ504" s="1660"/>
      <c r="QZR504" s="1660"/>
      <c r="QZS504" s="1660"/>
      <c r="QZT504" s="1660"/>
      <c r="QZU504" s="1660"/>
      <c r="QZV504" s="1660"/>
      <c r="QZW504" s="1660"/>
      <c r="QZX504" s="1660"/>
      <c r="QZY504" s="1660"/>
      <c r="QZZ504" s="1660"/>
      <c r="RAA504" s="1660"/>
      <c r="RAB504" s="1660"/>
      <c r="RAC504" s="1660"/>
      <c r="RAD504" s="1660"/>
      <c r="RAE504" s="1660"/>
      <c r="RAF504" s="1660"/>
      <c r="RAG504" s="1660"/>
      <c r="RAH504" s="1660"/>
      <c r="RAI504" s="1660"/>
      <c r="RAJ504" s="1660"/>
      <c r="RAK504" s="1660"/>
      <c r="RAL504" s="1660"/>
      <c r="RAM504" s="1660"/>
      <c r="RAN504" s="1660"/>
      <c r="RAO504" s="1660"/>
      <c r="RAP504" s="1660"/>
      <c r="RAQ504" s="1660"/>
      <c r="RAR504" s="1660"/>
      <c r="RAS504" s="1660"/>
      <c r="RAT504" s="1660"/>
      <c r="RAU504" s="1660"/>
      <c r="RAV504" s="1660"/>
      <c r="RAW504" s="1660"/>
      <c r="RAX504" s="1660"/>
      <c r="RAY504" s="1660"/>
      <c r="RAZ504" s="1660"/>
      <c r="RBA504" s="1660"/>
      <c r="RBB504" s="1660"/>
      <c r="RBC504" s="1660"/>
      <c r="RBD504" s="1660"/>
      <c r="RBE504" s="1660"/>
      <c r="RBF504" s="1660"/>
      <c r="RBG504" s="1660"/>
      <c r="RBH504" s="1660"/>
      <c r="RBI504" s="1660"/>
      <c r="RBJ504" s="1660"/>
      <c r="RBK504" s="1660"/>
      <c r="RBL504" s="1660"/>
      <c r="RBM504" s="1660"/>
      <c r="RBN504" s="1660"/>
      <c r="RBO504" s="1660"/>
      <c r="RBP504" s="1660"/>
      <c r="RBQ504" s="1660"/>
      <c r="RBR504" s="1660"/>
      <c r="RBS504" s="1660"/>
      <c r="RBT504" s="1660"/>
      <c r="RBU504" s="1660"/>
      <c r="RBV504" s="1660"/>
      <c r="RBW504" s="1660"/>
      <c r="RBX504" s="1660"/>
      <c r="RBY504" s="1660"/>
      <c r="RBZ504" s="1660"/>
      <c r="RCA504" s="1660"/>
      <c r="RCB504" s="1660"/>
      <c r="RCC504" s="1660"/>
      <c r="RCD504" s="1660"/>
      <c r="RCE504" s="1660"/>
      <c r="RCF504" s="1660"/>
      <c r="RCG504" s="1660"/>
      <c r="RCH504" s="1660"/>
      <c r="RCI504" s="1660"/>
      <c r="RCJ504" s="1660"/>
      <c r="RCK504" s="1660"/>
      <c r="RCL504" s="1660"/>
      <c r="RCM504" s="1660"/>
      <c r="RCN504" s="1660"/>
      <c r="RCO504" s="1660"/>
      <c r="RCP504" s="1660"/>
      <c r="RCQ504" s="1660"/>
      <c r="RCR504" s="1660"/>
      <c r="RCS504" s="1660"/>
      <c r="RCT504" s="1660"/>
      <c r="RCU504" s="1660"/>
      <c r="RCV504" s="1660"/>
      <c r="RCW504" s="1660"/>
      <c r="RCX504" s="1660"/>
      <c r="RCY504" s="1660"/>
      <c r="RCZ504" s="1660"/>
      <c r="RDA504" s="1660"/>
      <c r="RDB504" s="1660"/>
      <c r="RDC504" s="1660"/>
      <c r="RDD504" s="1660"/>
      <c r="RDE504" s="1660"/>
      <c r="RDF504" s="1660"/>
      <c r="RDG504" s="1660"/>
      <c r="RDH504" s="1660"/>
      <c r="RDI504" s="1660"/>
      <c r="RDJ504" s="1660"/>
      <c r="RDK504" s="1660"/>
      <c r="RDL504" s="1660"/>
      <c r="RDM504" s="1660"/>
      <c r="RDN504" s="1660"/>
      <c r="RDO504" s="1660"/>
      <c r="RDP504" s="1660"/>
      <c r="RDQ504" s="1660"/>
      <c r="RDR504" s="1660"/>
      <c r="RDS504" s="1660"/>
      <c r="RDT504" s="1660"/>
      <c r="RDU504" s="1660"/>
      <c r="RDV504" s="1660"/>
      <c r="RDW504" s="1660"/>
      <c r="RDX504" s="1660"/>
      <c r="RDY504" s="1660"/>
      <c r="RDZ504" s="1660"/>
      <c r="REA504" s="1660"/>
      <c r="REB504" s="1660"/>
      <c r="REC504" s="1660"/>
      <c r="RED504" s="1660"/>
      <c r="REE504" s="1660"/>
      <c r="REF504" s="1660"/>
      <c r="REG504" s="1660"/>
      <c r="REH504" s="1660"/>
      <c r="REI504" s="1660"/>
      <c r="REJ504" s="1660"/>
      <c r="REK504" s="1660"/>
      <c r="REL504" s="1660"/>
      <c r="REM504" s="1660"/>
      <c r="REN504" s="1660"/>
      <c r="REO504" s="1660"/>
      <c r="REP504" s="1660"/>
      <c r="REQ504" s="1660"/>
      <c r="RER504" s="1660"/>
      <c r="RES504" s="1660"/>
      <c r="RET504" s="1660"/>
      <c r="REU504" s="1660"/>
      <c r="REV504" s="1660"/>
      <c r="REW504" s="1660"/>
      <c r="REX504" s="1660"/>
      <c r="REY504" s="1660"/>
      <c r="REZ504" s="1660"/>
      <c r="RFA504" s="1660"/>
      <c r="RFB504" s="1660"/>
      <c r="RFC504" s="1660"/>
      <c r="RFD504" s="1660"/>
      <c r="RFE504" s="1660"/>
      <c r="RFF504" s="1660"/>
      <c r="RFG504" s="1660"/>
      <c r="RFH504" s="1660"/>
      <c r="RFI504" s="1660"/>
      <c r="RFJ504" s="1660"/>
      <c r="RFK504" s="1660"/>
      <c r="RFL504" s="1660"/>
      <c r="RFM504" s="1660"/>
      <c r="RFN504" s="1660"/>
      <c r="RFO504" s="1660"/>
      <c r="RFP504" s="1660"/>
      <c r="RFQ504" s="1660"/>
      <c r="RFR504" s="1660"/>
      <c r="RFS504" s="1660"/>
      <c r="RFT504" s="1660"/>
      <c r="RFU504" s="1660"/>
      <c r="RFV504" s="1660"/>
      <c r="RFW504" s="1660"/>
      <c r="RFX504" s="1660"/>
      <c r="RFY504" s="1660"/>
      <c r="RFZ504" s="1660"/>
      <c r="RGA504" s="1660"/>
      <c r="RGB504" s="1660"/>
      <c r="RGC504" s="1660"/>
      <c r="RGD504" s="1660"/>
      <c r="RGE504" s="1660"/>
      <c r="RGF504" s="1660"/>
      <c r="RGG504" s="1660"/>
      <c r="RGH504" s="1660"/>
      <c r="RGI504" s="1660"/>
      <c r="RGJ504" s="1660"/>
      <c r="RGK504" s="1660"/>
      <c r="RGL504" s="1660"/>
      <c r="RGM504" s="1660"/>
      <c r="RGN504" s="1660"/>
      <c r="RGO504" s="1660"/>
      <c r="RGP504" s="1660"/>
      <c r="RGQ504" s="1660"/>
      <c r="RGR504" s="1660"/>
      <c r="RGS504" s="1660"/>
      <c r="RGT504" s="1660"/>
      <c r="RGU504" s="1660"/>
      <c r="RGV504" s="1660"/>
      <c r="RGW504" s="1660"/>
      <c r="RGX504" s="1660"/>
      <c r="RGY504" s="1660"/>
      <c r="RGZ504" s="1660"/>
      <c r="RHA504" s="1660"/>
      <c r="RHB504" s="1660"/>
      <c r="RHC504" s="1660"/>
      <c r="RHD504" s="1660"/>
      <c r="RHE504" s="1660"/>
      <c r="RHF504" s="1660"/>
      <c r="RHG504" s="1660"/>
      <c r="RHH504" s="1660"/>
      <c r="RHI504" s="1660"/>
      <c r="RHJ504" s="1660"/>
      <c r="RHK504" s="1660"/>
      <c r="RHL504" s="1660"/>
      <c r="RHM504" s="1660"/>
      <c r="RHN504" s="1660"/>
      <c r="RHO504" s="1660"/>
      <c r="RHP504" s="1660"/>
      <c r="RHQ504" s="1660"/>
      <c r="RHR504" s="1660"/>
      <c r="RHS504" s="1660"/>
      <c r="RHT504" s="1660"/>
      <c r="RHU504" s="1660"/>
      <c r="RHV504" s="1660"/>
      <c r="RHW504" s="1660"/>
      <c r="RHX504" s="1660"/>
      <c r="RHY504" s="1660"/>
      <c r="RHZ504" s="1660"/>
      <c r="RIA504" s="1660"/>
      <c r="RIB504" s="1660"/>
      <c r="RIC504" s="1660"/>
      <c r="RID504" s="1660"/>
      <c r="RIE504" s="1660"/>
      <c r="RIF504" s="1660"/>
      <c r="RIG504" s="1660"/>
      <c r="RIH504" s="1660"/>
      <c r="RII504" s="1660"/>
      <c r="RIJ504" s="1660"/>
      <c r="RIK504" s="1660"/>
      <c r="RIL504" s="1660"/>
      <c r="RIM504" s="1660"/>
      <c r="RIN504" s="1660"/>
      <c r="RIO504" s="1660"/>
      <c r="RIP504" s="1660"/>
      <c r="RIQ504" s="1660"/>
      <c r="RIR504" s="1660"/>
      <c r="RIS504" s="1660"/>
      <c r="RIT504" s="1660"/>
      <c r="RIU504" s="1660"/>
      <c r="RIV504" s="1660"/>
      <c r="RIW504" s="1660"/>
      <c r="RIX504" s="1660"/>
      <c r="RIY504" s="1660"/>
      <c r="RIZ504" s="1660"/>
      <c r="RJA504" s="1660"/>
      <c r="RJB504" s="1660"/>
      <c r="RJC504" s="1660"/>
      <c r="RJD504" s="1660"/>
      <c r="RJE504" s="1660"/>
      <c r="RJF504" s="1660"/>
      <c r="RJG504" s="1660"/>
      <c r="RJH504" s="1660"/>
      <c r="RJI504" s="1660"/>
      <c r="RJJ504" s="1660"/>
      <c r="RJK504" s="1660"/>
      <c r="RJL504" s="1660"/>
      <c r="RJM504" s="1660"/>
      <c r="RJN504" s="1660"/>
      <c r="RJO504" s="1660"/>
      <c r="RJP504" s="1660"/>
      <c r="RJQ504" s="1660"/>
      <c r="RJR504" s="1660"/>
      <c r="RJS504" s="1660"/>
      <c r="RJT504" s="1660"/>
      <c r="RJU504" s="1660"/>
      <c r="RJV504" s="1660"/>
      <c r="RJW504" s="1660"/>
      <c r="RJX504" s="1660"/>
      <c r="RJY504" s="1660"/>
      <c r="RJZ504" s="1660"/>
      <c r="RKA504" s="1660"/>
      <c r="RKB504" s="1660"/>
      <c r="RKC504" s="1660"/>
      <c r="RKD504" s="1660"/>
      <c r="RKE504" s="1660"/>
      <c r="RKF504" s="1660"/>
      <c r="RKG504" s="1660"/>
      <c r="RKH504" s="1660"/>
      <c r="RKI504" s="1660"/>
      <c r="RKJ504" s="1660"/>
      <c r="RKK504" s="1660"/>
      <c r="RKL504" s="1660"/>
      <c r="RKM504" s="1660"/>
      <c r="RKN504" s="1660"/>
      <c r="RKO504" s="1660"/>
      <c r="RKP504" s="1660"/>
      <c r="RKQ504" s="1660"/>
      <c r="RKR504" s="1660"/>
      <c r="RKS504" s="1660"/>
      <c r="RKT504" s="1660"/>
      <c r="RKU504" s="1660"/>
      <c r="RKV504" s="1660"/>
      <c r="RKW504" s="1660"/>
      <c r="RKX504" s="1660"/>
      <c r="RKY504" s="1660"/>
      <c r="RKZ504" s="1660"/>
      <c r="RLA504" s="1660"/>
      <c r="RLB504" s="1660"/>
      <c r="RLC504" s="1660"/>
      <c r="RLD504" s="1660"/>
      <c r="RLE504" s="1660"/>
      <c r="RLF504" s="1660"/>
      <c r="RLG504" s="1660"/>
      <c r="RLH504" s="1660"/>
      <c r="RLI504" s="1660"/>
      <c r="RLJ504" s="1660"/>
      <c r="RLK504" s="1660"/>
      <c r="RLL504" s="1660"/>
      <c r="RLM504" s="1660"/>
      <c r="RLN504" s="1660"/>
      <c r="RLO504" s="1660"/>
      <c r="RLP504" s="1660"/>
      <c r="RLQ504" s="1660"/>
      <c r="RLR504" s="1660"/>
      <c r="RLS504" s="1660"/>
      <c r="RLT504" s="1660"/>
      <c r="RLU504" s="1660"/>
      <c r="RLV504" s="1660"/>
      <c r="RLW504" s="1660"/>
      <c r="RLX504" s="1660"/>
      <c r="RLY504" s="1660"/>
      <c r="RLZ504" s="1660"/>
      <c r="RMA504" s="1660"/>
      <c r="RMB504" s="1660"/>
      <c r="RMC504" s="1660"/>
      <c r="RMD504" s="1660"/>
      <c r="RME504" s="1660"/>
      <c r="RMF504" s="1660"/>
      <c r="RMG504" s="1660"/>
      <c r="RMH504" s="1660"/>
      <c r="RMI504" s="1660"/>
      <c r="RMJ504" s="1660"/>
      <c r="RMK504" s="1660"/>
      <c r="RML504" s="1660"/>
      <c r="RMM504" s="1660"/>
      <c r="RMN504" s="1660"/>
      <c r="RMO504" s="1660"/>
      <c r="RMP504" s="1660"/>
      <c r="RMQ504" s="1660"/>
      <c r="RMR504" s="1660"/>
      <c r="RMS504" s="1660"/>
      <c r="RMT504" s="1660"/>
      <c r="RMU504" s="1660"/>
      <c r="RMV504" s="1660"/>
      <c r="RMW504" s="1660"/>
      <c r="RMX504" s="1660"/>
      <c r="RMY504" s="1660"/>
      <c r="RMZ504" s="1660"/>
      <c r="RNA504" s="1660"/>
      <c r="RNB504" s="1660"/>
      <c r="RNC504" s="1660"/>
      <c r="RND504" s="1660"/>
      <c r="RNE504" s="1660"/>
      <c r="RNF504" s="1660"/>
      <c r="RNG504" s="1660"/>
      <c r="RNH504" s="1660"/>
      <c r="RNI504" s="1660"/>
      <c r="RNJ504" s="1660"/>
      <c r="RNK504" s="1660"/>
      <c r="RNL504" s="1660"/>
      <c r="RNM504" s="1660"/>
      <c r="RNN504" s="1660"/>
      <c r="RNO504" s="1660"/>
      <c r="RNP504" s="1660"/>
      <c r="RNQ504" s="1660"/>
      <c r="RNR504" s="1660"/>
      <c r="RNS504" s="1660"/>
      <c r="RNT504" s="1660"/>
      <c r="RNU504" s="1660"/>
      <c r="RNV504" s="1660"/>
      <c r="RNW504" s="1660"/>
      <c r="RNX504" s="1660"/>
      <c r="RNY504" s="1660"/>
      <c r="RNZ504" s="1660"/>
      <c r="ROA504" s="1660"/>
      <c r="ROB504" s="1660"/>
      <c r="ROC504" s="1660"/>
      <c r="ROD504" s="1660"/>
      <c r="ROE504" s="1660"/>
      <c r="ROF504" s="1660"/>
      <c r="ROG504" s="1660"/>
      <c r="ROH504" s="1660"/>
      <c r="ROI504" s="1660"/>
      <c r="ROJ504" s="1660"/>
      <c r="ROK504" s="1660"/>
      <c r="ROL504" s="1660"/>
      <c r="ROM504" s="1660"/>
      <c r="RON504" s="1660"/>
      <c r="ROO504" s="1660"/>
      <c r="ROP504" s="1660"/>
      <c r="ROQ504" s="1660"/>
      <c r="ROR504" s="1660"/>
      <c r="ROS504" s="1660"/>
      <c r="ROT504" s="1660"/>
      <c r="ROU504" s="1660"/>
      <c r="ROV504" s="1660"/>
      <c r="ROW504" s="1660"/>
      <c r="ROX504" s="1660"/>
      <c r="ROY504" s="1660"/>
      <c r="ROZ504" s="1660"/>
      <c r="RPA504" s="1660"/>
      <c r="RPB504" s="1660"/>
      <c r="RPC504" s="1660"/>
      <c r="RPD504" s="1660"/>
      <c r="RPE504" s="1660"/>
      <c r="RPF504" s="1660"/>
      <c r="RPG504" s="1660"/>
      <c r="RPH504" s="1660"/>
      <c r="RPI504" s="1660"/>
      <c r="RPJ504" s="1660"/>
      <c r="RPK504" s="1660"/>
      <c r="RPL504" s="1660"/>
      <c r="RPM504" s="1660"/>
      <c r="RPN504" s="1660"/>
      <c r="RPO504" s="1660"/>
      <c r="RPP504" s="1660"/>
      <c r="RPQ504" s="1660"/>
      <c r="RPR504" s="1660"/>
      <c r="RPS504" s="1660"/>
      <c r="RPT504" s="1660"/>
      <c r="RPU504" s="1660"/>
      <c r="RPV504" s="1660"/>
      <c r="RPW504" s="1660"/>
      <c r="RPX504" s="1660"/>
      <c r="RPY504" s="1660"/>
      <c r="RPZ504" s="1660"/>
      <c r="RQA504" s="1660"/>
      <c r="RQB504" s="1660"/>
      <c r="RQC504" s="1660"/>
      <c r="RQD504" s="1660"/>
      <c r="RQE504" s="1660"/>
      <c r="RQF504" s="1660"/>
      <c r="RQG504" s="1660"/>
      <c r="RQH504" s="1660"/>
      <c r="RQI504" s="1660"/>
      <c r="RQJ504" s="1660"/>
      <c r="RQK504" s="1660"/>
      <c r="RQL504" s="1660"/>
      <c r="RQM504" s="1660"/>
      <c r="RQN504" s="1660"/>
      <c r="RQO504" s="1660"/>
      <c r="RQP504" s="1660"/>
      <c r="RQQ504" s="1660"/>
      <c r="RQR504" s="1660"/>
      <c r="RQS504" s="1660"/>
      <c r="RQT504" s="1660"/>
      <c r="RQU504" s="1660"/>
      <c r="RQV504" s="1660"/>
      <c r="RQW504" s="1660"/>
      <c r="RQX504" s="1660"/>
      <c r="RQY504" s="1660"/>
      <c r="RQZ504" s="1660"/>
      <c r="RRA504" s="1660"/>
      <c r="RRB504" s="1660"/>
      <c r="RRC504" s="1660"/>
      <c r="RRD504" s="1660"/>
      <c r="RRE504" s="1660"/>
      <c r="RRF504" s="1660"/>
      <c r="RRG504" s="1660"/>
      <c r="RRH504" s="1660"/>
      <c r="RRI504" s="1660"/>
      <c r="RRJ504" s="1660"/>
      <c r="RRK504" s="1660"/>
      <c r="RRL504" s="1660"/>
      <c r="RRM504" s="1660"/>
      <c r="RRN504" s="1660"/>
      <c r="RRO504" s="1660"/>
      <c r="RRP504" s="1660"/>
      <c r="RRQ504" s="1660"/>
      <c r="RRR504" s="1660"/>
      <c r="RRS504" s="1660"/>
      <c r="RRT504" s="1660"/>
      <c r="RRU504" s="1660"/>
      <c r="RRV504" s="1660"/>
      <c r="RRW504" s="1660"/>
      <c r="RRX504" s="1660"/>
      <c r="RRY504" s="1660"/>
      <c r="RRZ504" s="1660"/>
      <c r="RSA504" s="1660"/>
      <c r="RSB504" s="1660"/>
      <c r="RSC504" s="1660"/>
      <c r="RSD504" s="1660"/>
      <c r="RSE504" s="1660"/>
      <c r="RSF504" s="1660"/>
      <c r="RSG504" s="1660"/>
      <c r="RSH504" s="1660"/>
      <c r="RSI504" s="1660"/>
      <c r="RSJ504" s="1660"/>
      <c r="RSK504" s="1660"/>
      <c r="RSL504" s="1660"/>
      <c r="RSM504" s="1660"/>
      <c r="RSN504" s="1660"/>
      <c r="RSO504" s="1660"/>
      <c r="RSP504" s="1660"/>
      <c r="RSQ504" s="1660"/>
      <c r="RSR504" s="1660"/>
      <c r="RSS504" s="1660"/>
      <c r="RST504" s="1660"/>
      <c r="RSU504" s="1660"/>
      <c r="RSV504" s="1660"/>
      <c r="RSW504" s="1660"/>
      <c r="RSX504" s="1660"/>
      <c r="RSY504" s="1660"/>
      <c r="RSZ504" s="1660"/>
      <c r="RTA504" s="1660"/>
      <c r="RTB504" s="1660"/>
      <c r="RTC504" s="1660"/>
      <c r="RTD504" s="1660"/>
      <c r="RTE504" s="1660"/>
      <c r="RTF504" s="1660"/>
      <c r="RTG504" s="1660"/>
      <c r="RTH504" s="1660"/>
      <c r="RTI504" s="1660"/>
      <c r="RTJ504" s="1660"/>
      <c r="RTK504" s="1660"/>
      <c r="RTL504" s="1660"/>
      <c r="RTM504" s="1660"/>
      <c r="RTN504" s="1660"/>
      <c r="RTO504" s="1660"/>
      <c r="RTP504" s="1660"/>
      <c r="RTQ504" s="1660"/>
      <c r="RTR504" s="1660"/>
      <c r="RTS504" s="1660"/>
      <c r="RTT504" s="1660"/>
      <c r="RTU504" s="1660"/>
      <c r="RTV504" s="1660"/>
      <c r="RTW504" s="1660"/>
      <c r="RTX504" s="1660"/>
      <c r="RTY504" s="1660"/>
      <c r="RTZ504" s="1660"/>
      <c r="RUA504" s="1660"/>
      <c r="RUB504" s="1660"/>
      <c r="RUC504" s="1660"/>
      <c r="RUD504" s="1660"/>
      <c r="RUE504" s="1660"/>
      <c r="RUF504" s="1660"/>
      <c r="RUG504" s="1660"/>
      <c r="RUH504" s="1660"/>
      <c r="RUI504" s="1660"/>
      <c r="RUJ504" s="1660"/>
      <c r="RUK504" s="1660"/>
      <c r="RUL504" s="1660"/>
      <c r="RUM504" s="1660"/>
      <c r="RUN504" s="1660"/>
      <c r="RUO504" s="1660"/>
      <c r="RUP504" s="1660"/>
      <c r="RUQ504" s="1660"/>
      <c r="RUR504" s="1660"/>
      <c r="RUS504" s="1660"/>
      <c r="RUT504" s="1660"/>
      <c r="RUU504" s="1660"/>
      <c r="RUV504" s="1660"/>
      <c r="RUW504" s="1660"/>
      <c r="RUX504" s="1660"/>
      <c r="RUY504" s="1660"/>
      <c r="RUZ504" s="1660"/>
      <c r="RVA504" s="1660"/>
      <c r="RVB504" s="1660"/>
      <c r="RVC504" s="1660"/>
      <c r="RVD504" s="1660"/>
      <c r="RVE504" s="1660"/>
      <c r="RVF504" s="1660"/>
      <c r="RVG504" s="1660"/>
      <c r="RVH504" s="1660"/>
      <c r="RVI504" s="1660"/>
      <c r="RVJ504" s="1660"/>
      <c r="RVK504" s="1660"/>
      <c r="RVL504" s="1660"/>
      <c r="RVM504" s="1660"/>
      <c r="RVN504" s="1660"/>
      <c r="RVO504" s="1660"/>
      <c r="RVP504" s="1660"/>
      <c r="RVQ504" s="1660"/>
      <c r="RVR504" s="1660"/>
      <c r="RVS504" s="1660"/>
      <c r="RVT504" s="1660"/>
      <c r="RVU504" s="1660"/>
      <c r="RVV504" s="1660"/>
      <c r="RVW504" s="1660"/>
      <c r="RVX504" s="1660"/>
      <c r="RVY504" s="1660"/>
      <c r="RVZ504" s="1660"/>
      <c r="RWA504" s="1660"/>
      <c r="RWB504" s="1660"/>
      <c r="RWC504" s="1660"/>
      <c r="RWD504" s="1660"/>
      <c r="RWE504" s="1660"/>
      <c r="RWF504" s="1660"/>
      <c r="RWG504" s="1660"/>
      <c r="RWH504" s="1660"/>
      <c r="RWI504" s="1660"/>
      <c r="RWJ504" s="1660"/>
      <c r="RWK504" s="1660"/>
      <c r="RWL504" s="1660"/>
      <c r="RWM504" s="1660"/>
      <c r="RWN504" s="1660"/>
      <c r="RWO504" s="1660"/>
      <c r="RWP504" s="1660"/>
      <c r="RWQ504" s="1660"/>
      <c r="RWR504" s="1660"/>
      <c r="RWS504" s="1660"/>
      <c r="RWT504" s="1660"/>
      <c r="RWU504" s="1660"/>
      <c r="RWV504" s="1660"/>
      <c r="RWW504" s="1660"/>
      <c r="RWX504" s="1660"/>
      <c r="RWY504" s="1660"/>
      <c r="RWZ504" s="1660"/>
      <c r="RXA504" s="1660"/>
      <c r="RXB504" s="1660"/>
      <c r="RXC504" s="1660"/>
      <c r="RXD504" s="1660"/>
      <c r="RXE504" s="1660"/>
      <c r="RXF504" s="1660"/>
      <c r="RXG504" s="1660"/>
      <c r="RXH504" s="1660"/>
      <c r="RXI504" s="1660"/>
      <c r="RXJ504" s="1660"/>
      <c r="RXK504" s="1660"/>
      <c r="RXL504" s="1660"/>
      <c r="RXM504" s="1660"/>
      <c r="RXN504" s="1660"/>
      <c r="RXO504" s="1660"/>
      <c r="RXP504" s="1660"/>
      <c r="RXQ504" s="1660"/>
      <c r="RXR504" s="1660"/>
      <c r="RXS504" s="1660"/>
      <c r="RXT504" s="1660"/>
      <c r="RXU504" s="1660"/>
      <c r="RXV504" s="1660"/>
      <c r="RXW504" s="1660"/>
      <c r="RXX504" s="1660"/>
      <c r="RXY504" s="1660"/>
      <c r="RXZ504" s="1660"/>
      <c r="RYA504" s="1660"/>
      <c r="RYB504" s="1660"/>
      <c r="RYC504" s="1660"/>
      <c r="RYD504" s="1660"/>
      <c r="RYE504" s="1660"/>
      <c r="RYF504" s="1660"/>
      <c r="RYG504" s="1660"/>
      <c r="RYH504" s="1660"/>
      <c r="RYI504" s="1660"/>
      <c r="RYJ504" s="1660"/>
      <c r="RYK504" s="1660"/>
      <c r="RYL504" s="1660"/>
      <c r="RYM504" s="1660"/>
      <c r="RYN504" s="1660"/>
      <c r="RYO504" s="1660"/>
      <c r="RYP504" s="1660"/>
      <c r="RYQ504" s="1660"/>
      <c r="RYR504" s="1660"/>
      <c r="RYS504" s="1660"/>
      <c r="RYT504" s="1660"/>
      <c r="RYU504" s="1660"/>
      <c r="RYV504" s="1660"/>
      <c r="RYW504" s="1660"/>
      <c r="RYX504" s="1660"/>
      <c r="RYY504" s="1660"/>
      <c r="RYZ504" s="1660"/>
      <c r="RZA504" s="1660"/>
      <c r="RZB504" s="1660"/>
      <c r="RZC504" s="1660"/>
      <c r="RZD504" s="1660"/>
      <c r="RZE504" s="1660"/>
      <c r="RZF504" s="1660"/>
      <c r="RZG504" s="1660"/>
      <c r="RZH504" s="1660"/>
      <c r="RZI504" s="1660"/>
      <c r="RZJ504" s="1660"/>
      <c r="RZK504" s="1660"/>
      <c r="RZL504" s="1660"/>
      <c r="RZM504" s="1660"/>
      <c r="RZN504" s="1660"/>
      <c r="RZO504" s="1660"/>
      <c r="RZP504" s="1660"/>
      <c r="RZQ504" s="1660"/>
      <c r="RZR504" s="1660"/>
      <c r="RZS504" s="1660"/>
      <c r="RZT504" s="1660"/>
      <c r="RZU504" s="1660"/>
      <c r="RZV504" s="1660"/>
      <c r="RZW504" s="1660"/>
      <c r="RZX504" s="1660"/>
      <c r="RZY504" s="1660"/>
      <c r="RZZ504" s="1660"/>
      <c r="SAA504" s="1660"/>
      <c r="SAB504" s="1660"/>
      <c r="SAC504" s="1660"/>
      <c r="SAD504" s="1660"/>
      <c r="SAE504" s="1660"/>
      <c r="SAF504" s="1660"/>
      <c r="SAG504" s="1660"/>
      <c r="SAH504" s="1660"/>
      <c r="SAI504" s="1660"/>
      <c r="SAJ504" s="1660"/>
      <c r="SAK504" s="1660"/>
      <c r="SAL504" s="1660"/>
      <c r="SAM504" s="1660"/>
      <c r="SAN504" s="1660"/>
      <c r="SAO504" s="1660"/>
      <c r="SAP504" s="1660"/>
      <c r="SAQ504" s="1660"/>
      <c r="SAR504" s="1660"/>
      <c r="SAS504" s="1660"/>
      <c r="SAT504" s="1660"/>
      <c r="SAU504" s="1660"/>
      <c r="SAV504" s="1660"/>
      <c r="SAW504" s="1660"/>
      <c r="SAX504" s="1660"/>
      <c r="SAY504" s="1660"/>
      <c r="SAZ504" s="1660"/>
      <c r="SBA504" s="1660"/>
      <c r="SBB504" s="1660"/>
      <c r="SBC504" s="1660"/>
      <c r="SBD504" s="1660"/>
      <c r="SBE504" s="1660"/>
      <c r="SBF504" s="1660"/>
      <c r="SBG504" s="1660"/>
      <c r="SBH504" s="1660"/>
      <c r="SBI504" s="1660"/>
      <c r="SBJ504" s="1660"/>
      <c r="SBK504" s="1660"/>
      <c r="SBL504" s="1660"/>
      <c r="SBM504" s="1660"/>
      <c r="SBN504" s="1660"/>
      <c r="SBO504" s="1660"/>
      <c r="SBP504" s="1660"/>
      <c r="SBQ504" s="1660"/>
      <c r="SBR504" s="1660"/>
      <c r="SBS504" s="1660"/>
      <c r="SBT504" s="1660"/>
      <c r="SBU504" s="1660"/>
      <c r="SBV504" s="1660"/>
      <c r="SBW504" s="1660"/>
      <c r="SBX504" s="1660"/>
      <c r="SBY504" s="1660"/>
      <c r="SBZ504" s="1660"/>
      <c r="SCA504" s="1660"/>
      <c r="SCB504" s="1660"/>
      <c r="SCC504" s="1660"/>
      <c r="SCD504" s="1660"/>
      <c r="SCE504" s="1660"/>
      <c r="SCF504" s="1660"/>
      <c r="SCG504" s="1660"/>
      <c r="SCH504" s="1660"/>
      <c r="SCI504" s="1660"/>
      <c r="SCJ504" s="1660"/>
      <c r="SCK504" s="1660"/>
      <c r="SCL504" s="1660"/>
      <c r="SCM504" s="1660"/>
      <c r="SCN504" s="1660"/>
      <c r="SCO504" s="1660"/>
      <c r="SCP504" s="1660"/>
      <c r="SCQ504" s="1660"/>
      <c r="SCR504" s="1660"/>
      <c r="SCS504" s="1660"/>
      <c r="SCT504" s="1660"/>
      <c r="SCU504" s="1660"/>
      <c r="SCV504" s="1660"/>
      <c r="SCW504" s="1660"/>
      <c r="SCX504" s="1660"/>
      <c r="SCY504" s="1660"/>
      <c r="SCZ504" s="1660"/>
      <c r="SDA504" s="1660"/>
      <c r="SDB504" s="1660"/>
      <c r="SDC504" s="1660"/>
      <c r="SDD504" s="1660"/>
      <c r="SDE504" s="1660"/>
      <c r="SDF504" s="1660"/>
      <c r="SDG504" s="1660"/>
      <c r="SDH504" s="1660"/>
      <c r="SDI504" s="1660"/>
      <c r="SDJ504" s="1660"/>
      <c r="SDK504" s="1660"/>
      <c r="SDL504" s="1660"/>
      <c r="SDM504" s="1660"/>
      <c r="SDN504" s="1660"/>
      <c r="SDO504" s="1660"/>
      <c r="SDP504" s="1660"/>
      <c r="SDQ504" s="1660"/>
      <c r="SDR504" s="1660"/>
      <c r="SDS504" s="1660"/>
      <c r="SDT504" s="1660"/>
      <c r="SDU504" s="1660"/>
      <c r="SDV504" s="1660"/>
      <c r="SDW504" s="1660"/>
      <c r="SDX504" s="1660"/>
      <c r="SDY504" s="1660"/>
      <c r="SDZ504" s="1660"/>
      <c r="SEA504" s="1660"/>
      <c r="SEB504" s="1660"/>
      <c r="SEC504" s="1660"/>
      <c r="SED504" s="1660"/>
      <c r="SEE504" s="1660"/>
      <c r="SEF504" s="1660"/>
      <c r="SEG504" s="1660"/>
      <c r="SEH504" s="1660"/>
      <c r="SEI504" s="1660"/>
      <c r="SEJ504" s="1660"/>
      <c r="SEK504" s="1660"/>
      <c r="SEL504" s="1660"/>
      <c r="SEM504" s="1660"/>
      <c r="SEN504" s="1660"/>
      <c r="SEO504" s="1660"/>
      <c r="SEP504" s="1660"/>
      <c r="SEQ504" s="1660"/>
      <c r="SER504" s="1660"/>
      <c r="SES504" s="1660"/>
      <c r="SET504" s="1660"/>
      <c r="SEU504" s="1660"/>
      <c r="SEV504" s="1660"/>
      <c r="SEW504" s="1660"/>
      <c r="SEX504" s="1660"/>
      <c r="SEY504" s="1660"/>
      <c r="SEZ504" s="1660"/>
      <c r="SFA504" s="1660"/>
      <c r="SFB504" s="1660"/>
      <c r="SFC504" s="1660"/>
      <c r="SFD504" s="1660"/>
      <c r="SFE504" s="1660"/>
      <c r="SFF504" s="1660"/>
      <c r="SFG504" s="1660"/>
      <c r="SFH504" s="1660"/>
      <c r="SFI504" s="1660"/>
      <c r="SFJ504" s="1660"/>
      <c r="SFK504" s="1660"/>
      <c r="SFL504" s="1660"/>
      <c r="SFM504" s="1660"/>
      <c r="SFN504" s="1660"/>
      <c r="SFO504" s="1660"/>
      <c r="SFP504" s="1660"/>
      <c r="SFQ504" s="1660"/>
      <c r="SFR504" s="1660"/>
      <c r="SFS504" s="1660"/>
      <c r="SFT504" s="1660"/>
      <c r="SFU504" s="1660"/>
      <c r="SFV504" s="1660"/>
      <c r="SFW504" s="1660"/>
      <c r="SFX504" s="1660"/>
      <c r="SFY504" s="1660"/>
      <c r="SFZ504" s="1660"/>
      <c r="SGA504" s="1660"/>
      <c r="SGB504" s="1660"/>
      <c r="SGC504" s="1660"/>
      <c r="SGD504" s="1660"/>
      <c r="SGE504" s="1660"/>
      <c r="SGF504" s="1660"/>
      <c r="SGG504" s="1660"/>
      <c r="SGH504" s="1660"/>
      <c r="SGI504" s="1660"/>
      <c r="SGJ504" s="1660"/>
      <c r="SGK504" s="1660"/>
      <c r="SGL504" s="1660"/>
      <c r="SGM504" s="1660"/>
      <c r="SGN504" s="1660"/>
      <c r="SGO504" s="1660"/>
      <c r="SGP504" s="1660"/>
      <c r="SGQ504" s="1660"/>
      <c r="SGR504" s="1660"/>
      <c r="SGS504" s="1660"/>
      <c r="SGT504" s="1660"/>
      <c r="SGU504" s="1660"/>
      <c r="SGV504" s="1660"/>
      <c r="SGW504" s="1660"/>
      <c r="SGX504" s="1660"/>
      <c r="SGY504" s="1660"/>
      <c r="SGZ504" s="1660"/>
      <c r="SHA504" s="1660"/>
      <c r="SHB504" s="1660"/>
      <c r="SHC504" s="1660"/>
      <c r="SHD504" s="1660"/>
      <c r="SHE504" s="1660"/>
      <c r="SHF504" s="1660"/>
      <c r="SHG504" s="1660"/>
      <c r="SHH504" s="1660"/>
      <c r="SHI504" s="1660"/>
      <c r="SHJ504" s="1660"/>
      <c r="SHK504" s="1660"/>
      <c r="SHL504" s="1660"/>
      <c r="SHM504" s="1660"/>
      <c r="SHN504" s="1660"/>
      <c r="SHO504" s="1660"/>
      <c r="SHP504" s="1660"/>
      <c r="SHQ504" s="1660"/>
      <c r="SHR504" s="1660"/>
      <c r="SHS504" s="1660"/>
      <c r="SHT504" s="1660"/>
      <c r="SHU504" s="1660"/>
      <c r="SHV504" s="1660"/>
      <c r="SHW504" s="1660"/>
      <c r="SHX504" s="1660"/>
      <c r="SHY504" s="1660"/>
      <c r="SHZ504" s="1660"/>
      <c r="SIA504" s="1660"/>
      <c r="SIB504" s="1660"/>
      <c r="SIC504" s="1660"/>
      <c r="SID504" s="1660"/>
      <c r="SIE504" s="1660"/>
      <c r="SIF504" s="1660"/>
      <c r="SIG504" s="1660"/>
      <c r="SIH504" s="1660"/>
      <c r="SII504" s="1660"/>
      <c r="SIJ504" s="1660"/>
      <c r="SIK504" s="1660"/>
      <c r="SIL504" s="1660"/>
      <c r="SIM504" s="1660"/>
      <c r="SIN504" s="1660"/>
      <c r="SIO504" s="1660"/>
      <c r="SIP504" s="1660"/>
      <c r="SIQ504" s="1660"/>
      <c r="SIR504" s="1660"/>
      <c r="SIS504" s="1660"/>
      <c r="SIT504" s="1660"/>
      <c r="SIU504" s="1660"/>
      <c r="SIV504" s="1660"/>
      <c r="SIW504" s="1660"/>
      <c r="SIX504" s="1660"/>
      <c r="SIY504" s="1660"/>
      <c r="SIZ504" s="1660"/>
      <c r="SJA504" s="1660"/>
      <c r="SJB504" s="1660"/>
      <c r="SJC504" s="1660"/>
      <c r="SJD504" s="1660"/>
      <c r="SJE504" s="1660"/>
      <c r="SJF504" s="1660"/>
      <c r="SJG504" s="1660"/>
      <c r="SJH504" s="1660"/>
      <c r="SJI504" s="1660"/>
      <c r="SJJ504" s="1660"/>
      <c r="SJK504" s="1660"/>
      <c r="SJL504" s="1660"/>
      <c r="SJM504" s="1660"/>
      <c r="SJN504" s="1660"/>
      <c r="SJO504" s="1660"/>
      <c r="SJP504" s="1660"/>
      <c r="SJQ504" s="1660"/>
      <c r="SJR504" s="1660"/>
      <c r="SJS504" s="1660"/>
      <c r="SJT504" s="1660"/>
      <c r="SJU504" s="1660"/>
      <c r="SJV504" s="1660"/>
      <c r="SJW504" s="1660"/>
      <c r="SJX504" s="1660"/>
      <c r="SJY504" s="1660"/>
      <c r="SJZ504" s="1660"/>
      <c r="SKA504" s="1660"/>
      <c r="SKB504" s="1660"/>
      <c r="SKC504" s="1660"/>
      <c r="SKD504" s="1660"/>
      <c r="SKE504" s="1660"/>
      <c r="SKF504" s="1660"/>
      <c r="SKG504" s="1660"/>
      <c r="SKH504" s="1660"/>
      <c r="SKI504" s="1660"/>
      <c r="SKJ504" s="1660"/>
      <c r="SKK504" s="1660"/>
      <c r="SKL504" s="1660"/>
      <c r="SKM504" s="1660"/>
      <c r="SKN504" s="1660"/>
      <c r="SKO504" s="1660"/>
      <c r="SKP504" s="1660"/>
      <c r="SKQ504" s="1660"/>
      <c r="SKR504" s="1660"/>
      <c r="SKS504" s="1660"/>
      <c r="SKT504" s="1660"/>
      <c r="SKU504" s="1660"/>
      <c r="SKV504" s="1660"/>
      <c r="SKW504" s="1660"/>
      <c r="SKX504" s="1660"/>
      <c r="SKY504" s="1660"/>
      <c r="SKZ504" s="1660"/>
      <c r="SLA504" s="1660"/>
      <c r="SLB504" s="1660"/>
      <c r="SLC504" s="1660"/>
      <c r="SLD504" s="1660"/>
      <c r="SLE504" s="1660"/>
      <c r="SLF504" s="1660"/>
      <c r="SLG504" s="1660"/>
      <c r="SLH504" s="1660"/>
      <c r="SLI504" s="1660"/>
      <c r="SLJ504" s="1660"/>
      <c r="SLK504" s="1660"/>
      <c r="SLL504" s="1660"/>
      <c r="SLM504" s="1660"/>
      <c r="SLN504" s="1660"/>
      <c r="SLO504" s="1660"/>
      <c r="SLP504" s="1660"/>
      <c r="SLQ504" s="1660"/>
      <c r="SLR504" s="1660"/>
      <c r="SLS504" s="1660"/>
      <c r="SLT504" s="1660"/>
      <c r="SLU504" s="1660"/>
      <c r="SLV504" s="1660"/>
      <c r="SLW504" s="1660"/>
      <c r="SLX504" s="1660"/>
      <c r="SLY504" s="1660"/>
      <c r="SLZ504" s="1660"/>
      <c r="SMA504" s="1660"/>
      <c r="SMB504" s="1660"/>
      <c r="SMC504" s="1660"/>
      <c r="SMD504" s="1660"/>
      <c r="SME504" s="1660"/>
      <c r="SMF504" s="1660"/>
      <c r="SMG504" s="1660"/>
      <c r="SMH504" s="1660"/>
      <c r="SMI504" s="1660"/>
      <c r="SMJ504" s="1660"/>
      <c r="SMK504" s="1660"/>
      <c r="SML504" s="1660"/>
      <c r="SMM504" s="1660"/>
      <c r="SMN504" s="1660"/>
      <c r="SMO504" s="1660"/>
      <c r="SMP504" s="1660"/>
      <c r="SMQ504" s="1660"/>
      <c r="SMR504" s="1660"/>
      <c r="SMS504" s="1660"/>
      <c r="SMT504" s="1660"/>
      <c r="SMU504" s="1660"/>
      <c r="SMV504" s="1660"/>
      <c r="SMW504" s="1660"/>
      <c r="SMX504" s="1660"/>
      <c r="SMY504" s="1660"/>
      <c r="SMZ504" s="1660"/>
      <c r="SNA504" s="1660"/>
      <c r="SNB504" s="1660"/>
      <c r="SNC504" s="1660"/>
      <c r="SND504" s="1660"/>
      <c r="SNE504" s="1660"/>
      <c r="SNF504" s="1660"/>
      <c r="SNG504" s="1660"/>
      <c r="SNH504" s="1660"/>
      <c r="SNI504" s="1660"/>
      <c r="SNJ504" s="1660"/>
      <c r="SNK504" s="1660"/>
      <c r="SNL504" s="1660"/>
      <c r="SNM504" s="1660"/>
      <c r="SNN504" s="1660"/>
      <c r="SNO504" s="1660"/>
      <c r="SNP504" s="1660"/>
      <c r="SNQ504" s="1660"/>
      <c r="SNR504" s="1660"/>
      <c r="SNS504" s="1660"/>
      <c r="SNT504" s="1660"/>
      <c r="SNU504" s="1660"/>
      <c r="SNV504" s="1660"/>
      <c r="SNW504" s="1660"/>
      <c r="SNX504" s="1660"/>
      <c r="SNY504" s="1660"/>
      <c r="SNZ504" s="1660"/>
      <c r="SOA504" s="1660"/>
      <c r="SOB504" s="1660"/>
      <c r="SOC504" s="1660"/>
      <c r="SOD504" s="1660"/>
      <c r="SOE504" s="1660"/>
      <c r="SOF504" s="1660"/>
      <c r="SOG504" s="1660"/>
      <c r="SOH504" s="1660"/>
      <c r="SOI504" s="1660"/>
      <c r="SOJ504" s="1660"/>
      <c r="SOK504" s="1660"/>
      <c r="SOL504" s="1660"/>
      <c r="SOM504" s="1660"/>
      <c r="SON504" s="1660"/>
      <c r="SOO504" s="1660"/>
      <c r="SOP504" s="1660"/>
      <c r="SOQ504" s="1660"/>
      <c r="SOR504" s="1660"/>
      <c r="SOS504" s="1660"/>
      <c r="SOT504" s="1660"/>
      <c r="SOU504" s="1660"/>
      <c r="SOV504" s="1660"/>
      <c r="SOW504" s="1660"/>
      <c r="SOX504" s="1660"/>
      <c r="SOY504" s="1660"/>
      <c r="SOZ504" s="1660"/>
      <c r="SPA504" s="1660"/>
      <c r="SPB504" s="1660"/>
      <c r="SPC504" s="1660"/>
      <c r="SPD504" s="1660"/>
      <c r="SPE504" s="1660"/>
      <c r="SPF504" s="1660"/>
      <c r="SPG504" s="1660"/>
      <c r="SPH504" s="1660"/>
      <c r="SPI504" s="1660"/>
      <c r="SPJ504" s="1660"/>
      <c r="SPK504" s="1660"/>
      <c r="SPL504" s="1660"/>
      <c r="SPM504" s="1660"/>
      <c r="SPN504" s="1660"/>
      <c r="SPO504" s="1660"/>
      <c r="SPP504" s="1660"/>
      <c r="SPQ504" s="1660"/>
      <c r="SPR504" s="1660"/>
      <c r="SPS504" s="1660"/>
      <c r="SPT504" s="1660"/>
      <c r="SPU504" s="1660"/>
      <c r="SPV504" s="1660"/>
      <c r="SPW504" s="1660"/>
      <c r="SPX504" s="1660"/>
      <c r="SPY504" s="1660"/>
      <c r="SPZ504" s="1660"/>
      <c r="SQA504" s="1660"/>
      <c r="SQB504" s="1660"/>
      <c r="SQC504" s="1660"/>
      <c r="SQD504" s="1660"/>
      <c r="SQE504" s="1660"/>
      <c r="SQF504" s="1660"/>
      <c r="SQG504" s="1660"/>
      <c r="SQH504" s="1660"/>
      <c r="SQI504" s="1660"/>
      <c r="SQJ504" s="1660"/>
      <c r="SQK504" s="1660"/>
      <c r="SQL504" s="1660"/>
      <c r="SQM504" s="1660"/>
      <c r="SQN504" s="1660"/>
      <c r="SQO504" s="1660"/>
      <c r="SQP504" s="1660"/>
      <c r="SQQ504" s="1660"/>
      <c r="SQR504" s="1660"/>
      <c r="SQS504" s="1660"/>
      <c r="SQT504" s="1660"/>
      <c r="SQU504" s="1660"/>
      <c r="SQV504" s="1660"/>
      <c r="SQW504" s="1660"/>
      <c r="SQX504" s="1660"/>
      <c r="SQY504" s="1660"/>
      <c r="SQZ504" s="1660"/>
      <c r="SRA504" s="1660"/>
      <c r="SRB504" s="1660"/>
      <c r="SRC504" s="1660"/>
      <c r="SRD504" s="1660"/>
      <c r="SRE504" s="1660"/>
      <c r="SRF504" s="1660"/>
      <c r="SRG504" s="1660"/>
      <c r="SRH504" s="1660"/>
      <c r="SRI504" s="1660"/>
      <c r="SRJ504" s="1660"/>
      <c r="SRK504" s="1660"/>
      <c r="SRL504" s="1660"/>
      <c r="SRM504" s="1660"/>
      <c r="SRN504" s="1660"/>
      <c r="SRO504" s="1660"/>
      <c r="SRP504" s="1660"/>
      <c r="SRQ504" s="1660"/>
      <c r="SRR504" s="1660"/>
      <c r="SRS504" s="1660"/>
      <c r="SRT504" s="1660"/>
      <c r="SRU504" s="1660"/>
      <c r="SRV504" s="1660"/>
      <c r="SRW504" s="1660"/>
      <c r="SRX504" s="1660"/>
      <c r="SRY504" s="1660"/>
      <c r="SRZ504" s="1660"/>
      <c r="SSA504" s="1660"/>
      <c r="SSB504" s="1660"/>
      <c r="SSC504" s="1660"/>
      <c r="SSD504" s="1660"/>
      <c r="SSE504" s="1660"/>
      <c r="SSF504" s="1660"/>
      <c r="SSG504" s="1660"/>
      <c r="SSH504" s="1660"/>
      <c r="SSI504" s="1660"/>
      <c r="SSJ504" s="1660"/>
      <c r="SSK504" s="1660"/>
      <c r="SSL504" s="1660"/>
      <c r="SSM504" s="1660"/>
      <c r="SSN504" s="1660"/>
      <c r="SSO504" s="1660"/>
      <c r="SSP504" s="1660"/>
      <c r="SSQ504" s="1660"/>
      <c r="SSR504" s="1660"/>
      <c r="SSS504" s="1660"/>
      <c r="SST504" s="1660"/>
      <c r="SSU504" s="1660"/>
      <c r="SSV504" s="1660"/>
      <c r="SSW504" s="1660"/>
      <c r="SSX504" s="1660"/>
      <c r="SSY504" s="1660"/>
      <c r="SSZ504" s="1660"/>
      <c r="STA504" s="1660"/>
      <c r="STB504" s="1660"/>
      <c r="STC504" s="1660"/>
      <c r="STD504" s="1660"/>
      <c r="STE504" s="1660"/>
      <c r="STF504" s="1660"/>
      <c r="STG504" s="1660"/>
      <c r="STH504" s="1660"/>
      <c r="STI504" s="1660"/>
      <c r="STJ504" s="1660"/>
      <c r="STK504" s="1660"/>
      <c r="STL504" s="1660"/>
      <c r="STM504" s="1660"/>
      <c r="STN504" s="1660"/>
      <c r="STO504" s="1660"/>
      <c r="STP504" s="1660"/>
      <c r="STQ504" s="1660"/>
      <c r="STR504" s="1660"/>
      <c r="STS504" s="1660"/>
      <c r="STT504" s="1660"/>
      <c r="STU504" s="1660"/>
      <c r="STV504" s="1660"/>
      <c r="STW504" s="1660"/>
      <c r="STX504" s="1660"/>
      <c r="STY504" s="1660"/>
      <c r="STZ504" s="1660"/>
      <c r="SUA504" s="1660"/>
      <c r="SUB504" s="1660"/>
      <c r="SUC504" s="1660"/>
      <c r="SUD504" s="1660"/>
      <c r="SUE504" s="1660"/>
      <c r="SUF504" s="1660"/>
      <c r="SUG504" s="1660"/>
      <c r="SUH504" s="1660"/>
      <c r="SUI504" s="1660"/>
      <c r="SUJ504" s="1660"/>
      <c r="SUK504" s="1660"/>
      <c r="SUL504" s="1660"/>
      <c r="SUM504" s="1660"/>
      <c r="SUN504" s="1660"/>
      <c r="SUO504" s="1660"/>
      <c r="SUP504" s="1660"/>
      <c r="SUQ504" s="1660"/>
      <c r="SUR504" s="1660"/>
      <c r="SUS504" s="1660"/>
      <c r="SUT504" s="1660"/>
      <c r="SUU504" s="1660"/>
      <c r="SUV504" s="1660"/>
      <c r="SUW504" s="1660"/>
      <c r="SUX504" s="1660"/>
      <c r="SUY504" s="1660"/>
      <c r="SUZ504" s="1660"/>
      <c r="SVA504" s="1660"/>
      <c r="SVB504" s="1660"/>
      <c r="SVC504" s="1660"/>
      <c r="SVD504" s="1660"/>
      <c r="SVE504" s="1660"/>
      <c r="SVF504" s="1660"/>
      <c r="SVG504" s="1660"/>
      <c r="SVH504" s="1660"/>
      <c r="SVI504" s="1660"/>
      <c r="SVJ504" s="1660"/>
      <c r="SVK504" s="1660"/>
      <c r="SVL504" s="1660"/>
      <c r="SVM504" s="1660"/>
      <c r="SVN504" s="1660"/>
      <c r="SVO504" s="1660"/>
      <c r="SVP504" s="1660"/>
      <c r="SVQ504" s="1660"/>
      <c r="SVR504" s="1660"/>
      <c r="SVS504" s="1660"/>
      <c r="SVT504" s="1660"/>
      <c r="SVU504" s="1660"/>
      <c r="SVV504" s="1660"/>
      <c r="SVW504" s="1660"/>
      <c r="SVX504" s="1660"/>
      <c r="SVY504" s="1660"/>
      <c r="SVZ504" s="1660"/>
      <c r="SWA504" s="1660"/>
      <c r="SWB504" s="1660"/>
      <c r="SWC504" s="1660"/>
      <c r="SWD504" s="1660"/>
      <c r="SWE504" s="1660"/>
      <c r="SWF504" s="1660"/>
      <c r="SWG504" s="1660"/>
      <c r="SWH504" s="1660"/>
      <c r="SWI504" s="1660"/>
      <c r="SWJ504" s="1660"/>
      <c r="SWK504" s="1660"/>
      <c r="SWL504" s="1660"/>
      <c r="SWM504" s="1660"/>
      <c r="SWN504" s="1660"/>
      <c r="SWO504" s="1660"/>
      <c r="SWP504" s="1660"/>
      <c r="SWQ504" s="1660"/>
      <c r="SWR504" s="1660"/>
      <c r="SWS504" s="1660"/>
      <c r="SWT504" s="1660"/>
      <c r="SWU504" s="1660"/>
      <c r="SWV504" s="1660"/>
      <c r="SWW504" s="1660"/>
      <c r="SWX504" s="1660"/>
      <c r="SWY504" s="1660"/>
      <c r="SWZ504" s="1660"/>
      <c r="SXA504" s="1660"/>
      <c r="SXB504" s="1660"/>
      <c r="SXC504" s="1660"/>
      <c r="SXD504" s="1660"/>
      <c r="SXE504" s="1660"/>
      <c r="SXF504" s="1660"/>
      <c r="SXG504" s="1660"/>
      <c r="SXH504" s="1660"/>
      <c r="SXI504" s="1660"/>
      <c r="SXJ504" s="1660"/>
      <c r="SXK504" s="1660"/>
      <c r="SXL504" s="1660"/>
      <c r="SXM504" s="1660"/>
      <c r="SXN504" s="1660"/>
      <c r="SXO504" s="1660"/>
      <c r="SXP504" s="1660"/>
      <c r="SXQ504" s="1660"/>
      <c r="SXR504" s="1660"/>
      <c r="SXS504" s="1660"/>
      <c r="SXT504" s="1660"/>
      <c r="SXU504" s="1660"/>
      <c r="SXV504" s="1660"/>
      <c r="SXW504" s="1660"/>
      <c r="SXX504" s="1660"/>
      <c r="SXY504" s="1660"/>
      <c r="SXZ504" s="1660"/>
      <c r="SYA504" s="1660"/>
      <c r="SYB504" s="1660"/>
      <c r="SYC504" s="1660"/>
      <c r="SYD504" s="1660"/>
      <c r="SYE504" s="1660"/>
      <c r="SYF504" s="1660"/>
      <c r="SYG504" s="1660"/>
      <c r="SYH504" s="1660"/>
      <c r="SYI504" s="1660"/>
      <c r="SYJ504" s="1660"/>
      <c r="SYK504" s="1660"/>
      <c r="SYL504" s="1660"/>
      <c r="SYM504" s="1660"/>
      <c r="SYN504" s="1660"/>
      <c r="SYO504" s="1660"/>
      <c r="SYP504" s="1660"/>
      <c r="SYQ504" s="1660"/>
      <c r="SYR504" s="1660"/>
      <c r="SYS504" s="1660"/>
      <c r="SYT504" s="1660"/>
      <c r="SYU504" s="1660"/>
      <c r="SYV504" s="1660"/>
      <c r="SYW504" s="1660"/>
      <c r="SYX504" s="1660"/>
      <c r="SYY504" s="1660"/>
      <c r="SYZ504" s="1660"/>
      <c r="SZA504" s="1660"/>
      <c r="SZB504" s="1660"/>
      <c r="SZC504" s="1660"/>
      <c r="SZD504" s="1660"/>
      <c r="SZE504" s="1660"/>
      <c r="SZF504" s="1660"/>
      <c r="SZG504" s="1660"/>
      <c r="SZH504" s="1660"/>
      <c r="SZI504" s="1660"/>
      <c r="SZJ504" s="1660"/>
      <c r="SZK504" s="1660"/>
      <c r="SZL504" s="1660"/>
      <c r="SZM504" s="1660"/>
      <c r="SZN504" s="1660"/>
      <c r="SZO504" s="1660"/>
      <c r="SZP504" s="1660"/>
      <c r="SZQ504" s="1660"/>
      <c r="SZR504" s="1660"/>
      <c r="SZS504" s="1660"/>
      <c r="SZT504" s="1660"/>
      <c r="SZU504" s="1660"/>
      <c r="SZV504" s="1660"/>
      <c r="SZW504" s="1660"/>
      <c r="SZX504" s="1660"/>
      <c r="SZY504" s="1660"/>
      <c r="SZZ504" s="1660"/>
      <c r="TAA504" s="1660"/>
      <c r="TAB504" s="1660"/>
      <c r="TAC504" s="1660"/>
      <c r="TAD504" s="1660"/>
      <c r="TAE504" s="1660"/>
      <c r="TAF504" s="1660"/>
      <c r="TAG504" s="1660"/>
      <c r="TAH504" s="1660"/>
      <c r="TAI504" s="1660"/>
      <c r="TAJ504" s="1660"/>
      <c r="TAK504" s="1660"/>
      <c r="TAL504" s="1660"/>
      <c r="TAM504" s="1660"/>
      <c r="TAN504" s="1660"/>
      <c r="TAO504" s="1660"/>
      <c r="TAP504" s="1660"/>
      <c r="TAQ504" s="1660"/>
      <c r="TAR504" s="1660"/>
      <c r="TAS504" s="1660"/>
      <c r="TAT504" s="1660"/>
      <c r="TAU504" s="1660"/>
      <c r="TAV504" s="1660"/>
      <c r="TAW504" s="1660"/>
      <c r="TAX504" s="1660"/>
      <c r="TAY504" s="1660"/>
      <c r="TAZ504" s="1660"/>
      <c r="TBA504" s="1660"/>
      <c r="TBB504" s="1660"/>
      <c r="TBC504" s="1660"/>
      <c r="TBD504" s="1660"/>
      <c r="TBE504" s="1660"/>
      <c r="TBF504" s="1660"/>
      <c r="TBG504" s="1660"/>
      <c r="TBH504" s="1660"/>
      <c r="TBI504" s="1660"/>
      <c r="TBJ504" s="1660"/>
      <c r="TBK504" s="1660"/>
      <c r="TBL504" s="1660"/>
      <c r="TBM504" s="1660"/>
      <c r="TBN504" s="1660"/>
      <c r="TBO504" s="1660"/>
      <c r="TBP504" s="1660"/>
      <c r="TBQ504" s="1660"/>
      <c r="TBR504" s="1660"/>
      <c r="TBS504" s="1660"/>
      <c r="TBT504" s="1660"/>
      <c r="TBU504" s="1660"/>
      <c r="TBV504" s="1660"/>
      <c r="TBW504" s="1660"/>
      <c r="TBX504" s="1660"/>
      <c r="TBY504" s="1660"/>
      <c r="TBZ504" s="1660"/>
      <c r="TCA504" s="1660"/>
      <c r="TCB504" s="1660"/>
      <c r="TCC504" s="1660"/>
      <c r="TCD504" s="1660"/>
      <c r="TCE504" s="1660"/>
      <c r="TCF504" s="1660"/>
      <c r="TCG504" s="1660"/>
      <c r="TCH504" s="1660"/>
      <c r="TCI504" s="1660"/>
      <c r="TCJ504" s="1660"/>
      <c r="TCK504" s="1660"/>
      <c r="TCL504" s="1660"/>
      <c r="TCM504" s="1660"/>
      <c r="TCN504" s="1660"/>
      <c r="TCO504" s="1660"/>
      <c r="TCP504" s="1660"/>
      <c r="TCQ504" s="1660"/>
      <c r="TCR504" s="1660"/>
      <c r="TCS504" s="1660"/>
      <c r="TCT504" s="1660"/>
      <c r="TCU504" s="1660"/>
      <c r="TCV504" s="1660"/>
      <c r="TCW504" s="1660"/>
      <c r="TCX504" s="1660"/>
      <c r="TCY504" s="1660"/>
      <c r="TCZ504" s="1660"/>
      <c r="TDA504" s="1660"/>
      <c r="TDB504" s="1660"/>
      <c r="TDC504" s="1660"/>
      <c r="TDD504" s="1660"/>
      <c r="TDE504" s="1660"/>
      <c r="TDF504" s="1660"/>
      <c r="TDG504" s="1660"/>
      <c r="TDH504" s="1660"/>
      <c r="TDI504" s="1660"/>
      <c r="TDJ504" s="1660"/>
      <c r="TDK504" s="1660"/>
      <c r="TDL504" s="1660"/>
      <c r="TDM504" s="1660"/>
      <c r="TDN504" s="1660"/>
      <c r="TDO504" s="1660"/>
      <c r="TDP504" s="1660"/>
      <c r="TDQ504" s="1660"/>
      <c r="TDR504" s="1660"/>
      <c r="TDS504" s="1660"/>
      <c r="TDT504" s="1660"/>
      <c r="TDU504" s="1660"/>
      <c r="TDV504" s="1660"/>
      <c r="TDW504" s="1660"/>
      <c r="TDX504" s="1660"/>
      <c r="TDY504" s="1660"/>
      <c r="TDZ504" s="1660"/>
      <c r="TEA504" s="1660"/>
      <c r="TEB504" s="1660"/>
      <c r="TEC504" s="1660"/>
      <c r="TED504" s="1660"/>
      <c r="TEE504" s="1660"/>
      <c r="TEF504" s="1660"/>
      <c r="TEG504" s="1660"/>
      <c r="TEH504" s="1660"/>
      <c r="TEI504" s="1660"/>
      <c r="TEJ504" s="1660"/>
      <c r="TEK504" s="1660"/>
      <c r="TEL504" s="1660"/>
      <c r="TEM504" s="1660"/>
      <c r="TEN504" s="1660"/>
      <c r="TEO504" s="1660"/>
      <c r="TEP504" s="1660"/>
      <c r="TEQ504" s="1660"/>
      <c r="TER504" s="1660"/>
      <c r="TES504" s="1660"/>
      <c r="TET504" s="1660"/>
      <c r="TEU504" s="1660"/>
      <c r="TEV504" s="1660"/>
      <c r="TEW504" s="1660"/>
      <c r="TEX504" s="1660"/>
      <c r="TEY504" s="1660"/>
      <c r="TEZ504" s="1660"/>
      <c r="TFA504" s="1660"/>
      <c r="TFB504" s="1660"/>
      <c r="TFC504" s="1660"/>
      <c r="TFD504" s="1660"/>
      <c r="TFE504" s="1660"/>
      <c r="TFF504" s="1660"/>
      <c r="TFG504" s="1660"/>
      <c r="TFH504" s="1660"/>
      <c r="TFI504" s="1660"/>
      <c r="TFJ504" s="1660"/>
      <c r="TFK504" s="1660"/>
      <c r="TFL504" s="1660"/>
      <c r="TFM504" s="1660"/>
      <c r="TFN504" s="1660"/>
      <c r="TFO504" s="1660"/>
      <c r="TFP504" s="1660"/>
      <c r="TFQ504" s="1660"/>
      <c r="TFR504" s="1660"/>
      <c r="TFS504" s="1660"/>
      <c r="TFT504" s="1660"/>
      <c r="TFU504" s="1660"/>
      <c r="TFV504" s="1660"/>
      <c r="TFW504" s="1660"/>
      <c r="TFX504" s="1660"/>
      <c r="TFY504" s="1660"/>
      <c r="TFZ504" s="1660"/>
      <c r="TGA504" s="1660"/>
      <c r="TGB504" s="1660"/>
      <c r="TGC504" s="1660"/>
      <c r="TGD504" s="1660"/>
      <c r="TGE504" s="1660"/>
      <c r="TGF504" s="1660"/>
      <c r="TGG504" s="1660"/>
      <c r="TGH504" s="1660"/>
      <c r="TGI504" s="1660"/>
      <c r="TGJ504" s="1660"/>
      <c r="TGK504" s="1660"/>
      <c r="TGL504" s="1660"/>
      <c r="TGM504" s="1660"/>
      <c r="TGN504" s="1660"/>
      <c r="TGO504" s="1660"/>
      <c r="TGP504" s="1660"/>
      <c r="TGQ504" s="1660"/>
      <c r="TGR504" s="1660"/>
      <c r="TGS504" s="1660"/>
      <c r="TGT504" s="1660"/>
      <c r="TGU504" s="1660"/>
      <c r="TGV504" s="1660"/>
      <c r="TGW504" s="1660"/>
      <c r="TGX504" s="1660"/>
      <c r="TGY504" s="1660"/>
      <c r="TGZ504" s="1660"/>
      <c r="THA504" s="1660"/>
      <c r="THB504" s="1660"/>
      <c r="THC504" s="1660"/>
      <c r="THD504" s="1660"/>
      <c r="THE504" s="1660"/>
      <c r="THF504" s="1660"/>
      <c r="THG504" s="1660"/>
      <c r="THH504" s="1660"/>
      <c r="THI504" s="1660"/>
      <c r="THJ504" s="1660"/>
      <c r="THK504" s="1660"/>
      <c r="THL504" s="1660"/>
      <c r="THM504" s="1660"/>
      <c r="THN504" s="1660"/>
      <c r="THO504" s="1660"/>
      <c r="THP504" s="1660"/>
      <c r="THQ504" s="1660"/>
      <c r="THR504" s="1660"/>
      <c r="THS504" s="1660"/>
      <c r="THT504" s="1660"/>
      <c r="THU504" s="1660"/>
      <c r="THV504" s="1660"/>
      <c r="THW504" s="1660"/>
      <c r="THX504" s="1660"/>
      <c r="THY504" s="1660"/>
      <c r="THZ504" s="1660"/>
      <c r="TIA504" s="1660"/>
      <c r="TIB504" s="1660"/>
      <c r="TIC504" s="1660"/>
      <c r="TID504" s="1660"/>
      <c r="TIE504" s="1660"/>
      <c r="TIF504" s="1660"/>
      <c r="TIG504" s="1660"/>
      <c r="TIH504" s="1660"/>
      <c r="TII504" s="1660"/>
      <c r="TIJ504" s="1660"/>
      <c r="TIK504" s="1660"/>
      <c r="TIL504" s="1660"/>
      <c r="TIM504" s="1660"/>
      <c r="TIN504" s="1660"/>
      <c r="TIO504" s="1660"/>
      <c r="TIP504" s="1660"/>
      <c r="TIQ504" s="1660"/>
      <c r="TIR504" s="1660"/>
      <c r="TIS504" s="1660"/>
      <c r="TIT504" s="1660"/>
      <c r="TIU504" s="1660"/>
      <c r="TIV504" s="1660"/>
      <c r="TIW504" s="1660"/>
      <c r="TIX504" s="1660"/>
      <c r="TIY504" s="1660"/>
      <c r="TIZ504" s="1660"/>
      <c r="TJA504" s="1660"/>
      <c r="TJB504" s="1660"/>
      <c r="TJC504" s="1660"/>
      <c r="TJD504" s="1660"/>
      <c r="TJE504" s="1660"/>
      <c r="TJF504" s="1660"/>
      <c r="TJG504" s="1660"/>
      <c r="TJH504" s="1660"/>
      <c r="TJI504" s="1660"/>
      <c r="TJJ504" s="1660"/>
      <c r="TJK504" s="1660"/>
      <c r="TJL504" s="1660"/>
      <c r="TJM504" s="1660"/>
      <c r="TJN504" s="1660"/>
      <c r="TJO504" s="1660"/>
      <c r="TJP504" s="1660"/>
      <c r="TJQ504" s="1660"/>
      <c r="TJR504" s="1660"/>
      <c r="TJS504" s="1660"/>
      <c r="TJT504" s="1660"/>
      <c r="TJU504" s="1660"/>
      <c r="TJV504" s="1660"/>
      <c r="TJW504" s="1660"/>
      <c r="TJX504" s="1660"/>
      <c r="TJY504" s="1660"/>
      <c r="TJZ504" s="1660"/>
      <c r="TKA504" s="1660"/>
      <c r="TKB504" s="1660"/>
      <c r="TKC504" s="1660"/>
      <c r="TKD504" s="1660"/>
      <c r="TKE504" s="1660"/>
      <c r="TKF504" s="1660"/>
      <c r="TKG504" s="1660"/>
      <c r="TKH504" s="1660"/>
      <c r="TKI504" s="1660"/>
      <c r="TKJ504" s="1660"/>
      <c r="TKK504" s="1660"/>
      <c r="TKL504" s="1660"/>
      <c r="TKM504" s="1660"/>
      <c r="TKN504" s="1660"/>
      <c r="TKO504" s="1660"/>
      <c r="TKP504" s="1660"/>
      <c r="TKQ504" s="1660"/>
      <c r="TKR504" s="1660"/>
      <c r="TKS504" s="1660"/>
      <c r="TKT504" s="1660"/>
      <c r="TKU504" s="1660"/>
      <c r="TKV504" s="1660"/>
      <c r="TKW504" s="1660"/>
      <c r="TKX504" s="1660"/>
      <c r="TKY504" s="1660"/>
      <c r="TKZ504" s="1660"/>
      <c r="TLA504" s="1660"/>
      <c r="TLB504" s="1660"/>
      <c r="TLC504" s="1660"/>
      <c r="TLD504" s="1660"/>
      <c r="TLE504" s="1660"/>
      <c r="TLF504" s="1660"/>
      <c r="TLG504" s="1660"/>
      <c r="TLH504" s="1660"/>
      <c r="TLI504" s="1660"/>
      <c r="TLJ504" s="1660"/>
      <c r="TLK504" s="1660"/>
      <c r="TLL504" s="1660"/>
      <c r="TLM504" s="1660"/>
      <c r="TLN504" s="1660"/>
      <c r="TLO504" s="1660"/>
      <c r="TLP504" s="1660"/>
      <c r="TLQ504" s="1660"/>
      <c r="TLR504" s="1660"/>
      <c r="TLS504" s="1660"/>
      <c r="TLT504" s="1660"/>
      <c r="TLU504" s="1660"/>
      <c r="TLV504" s="1660"/>
      <c r="TLW504" s="1660"/>
      <c r="TLX504" s="1660"/>
      <c r="TLY504" s="1660"/>
      <c r="TLZ504" s="1660"/>
      <c r="TMA504" s="1660"/>
      <c r="TMB504" s="1660"/>
      <c r="TMC504" s="1660"/>
      <c r="TMD504" s="1660"/>
      <c r="TME504" s="1660"/>
      <c r="TMF504" s="1660"/>
      <c r="TMG504" s="1660"/>
      <c r="TMH504" s="1660"/>
      <c r="TMI504" s="1660"/>
      <c r="TMJ504" s="1660"/>
      <c r="TMK504" s="1660"/>
      <c r="TML504" s="1660"/>
      <c r="TMM504" s="1660"/>
      <c r="TMN504" s="1660"/>
      <c r="TMO504" s="1660"/>
      <c r="TMP504" s="1660"/>
      <c r="TMQ504" s="1660"/>
      <c r="TMR504" s="1660"/>
      <c r="TMS504" s="1660"/>
      <c r="TMT504" s="1660"/>
      <c r="TMU504" s="1660"/>
      <c r="TMV504" s="1660"/>
      <c r="TMW504" s="1660"/>
      <c r="TMX504" s="1660"/>
      <c r="TMY504" s="1660"/>
      <c r="TMZ504" s="1660"/>
      <c r="TNA504" s="1660"/>
      <c r="TNB504" s="1660"/>
      <c r="TNC504" s="1660"/>
      <c r="TND504" s="1660"/>
      <c r="TNE504" s="1660"/>
      <c r="TNF504" s="1660"/>
      <c r="TNG504" s="1660"/>
      <c r="TNH504" s="1660"/>
      <c r="TNI504" s="1660"/>
      <c r="TNJ504" s="1660"/>
      <c r="TNK504" s="1660"/>
      <c r="TNL504" s="1660"/>
      <c r="TNM504" s="1660"/>
      <c r="TNN504" s="1660"/>
      <c r="TNO504" s="1660"/>
      <c r="TNP504" s="1660"/>
      <c r="TNQ504" s="1660"/>
      <c r="TNR504" s="1660"/>
      <c r="TNS504" s="1660"/>
      <c r="TNT504" s="1660"/>
      <c r="TNU504" s="1660"/>
      <c r="TNV504" s="1660"/>
      <c r="TNW504" s="1660"/>
      <c r="TNX504" s="1660"/>
      <c r="TNY504" s="1660"/>
      <c r="TNZ504" s="1660"/>
      <c r="TOA504" s="1660"/>
      <c r="TOB504" s="1660"/>
      <c r="TOC504" s="1660"/>
      <c r="TOD504" s="1660"/>
      <c r="TOE504" s="1660"/>
      <c r="TOF504" s="1660"/>
      <c r="TOG504" s="1660"/>
      <c r="TOH504" s="1660"/>
      <c r="TOI504" s="1660"/>
      <c r="TOJ504" s="1660"/>
      <c r="TOK504" s="1660"/>
      <c r="TOL504" s="1660"/>
      <c r="TOM504" s="1660"/>
      <c r="TON504" s="1660"/>
      <c r="TOO504" s="1660"/>
      <c r="TOP504" s="1660"/>
      <c r="TOQ504" s="1660"/>
      <c r="TOR504" s="1660"/>
      <c r="TOS504" s="1660"/>
      <c r="TOT504" s="1660"/>
      <c r="TOU504" s="1660"/>
      <c r="TOV504" s="1660"/>
      <c r="TOW504" s="1660"/>
      <c r="TOX504" s="1660"/>
      <c r="TOY504" s="1660"/>
      <c r="TOZ504" s="1660"/>
      <c r="TPA504" s="1660"/>
      <c r="TPB504" s="1660"/>
      <c r="TPC504" s="1660"/>
      <c r="TPD504" s="1660"/>
      <c r="TPE504" s="1660"/>
      <c r="TPF504" s="1660"/>
      <c r="TPG504" s="1660"/>
      <c r="TPH504" s="1660"/>
      <c r="TPI504" s="1660"/>
      <c r="TPJ504" s="1660"/>
      <c r="TPK504" s="1660"/>
      <c r="TPL504" s="1660"/>
      <c r="TPM504" s="1660"/>
      <c r="TPN504" s="1660"/>
      <c r="TPO504" s="1660"/>
      <c r="TPP504" s="1660"/>
      <c r="TPQ504" s="1660"/>
      <c r="TPR504" s="1660"/>
      <c r="TPS504" s="1660"/>
      <c r="TPT504" s="1660"/>
      <c r="TPU504" s="1660"/>
      <c r="TPV504" s="1660"/>
      <c r="TPW504" s="1660"/>
      <c r="TPX504" s="1660"/>
      <c r="TPY504" s="1660"/>
      <c r="TPZ504" s="1660"/>
      <c r="TQA504" s="1660"/>
      <c r="TQB504" s="1660"/>
      <c r="TQC504" s="1660"/>
      <c r="TQD504" s="1660"/>
      <c r="TQE504" s="1660"/>
      <c r="TQF504" s="1660"/>
      <c r="TQG504" s="1660"/>
      <c r="TQH504" s="1660"/>
      <c r="TQI504" s="1660"/>
      <c r="TQJ504" s="1660"/>
      <c r="TQK504" s="1660"/>
      <c r="TQL504" s="1660"/>
      <c r="TQM504" s="1660"/>
      <c r="TQN504" s="1660"/>
      <c r="TQO504" s="1660"/>
      <c r="TQP504" s="1660"/>
      <c r="TQQ504" s="1660"/>
      <c r="TQR504" s="1660"/>
      <c r="TQS504" s="1660"/>
      <c r="TQT504" s="1660"/>
      <c r="TQU504" s="1660"/>
      <c r="TQV504" s="1660"/>
      <c r="TQW504" s="1660"/>
      <c r="TQX504" s="1660"/>
      <c r="TQY504" s="1660"/>
      <c r="TQZ504" s="1660"/>
      <c r="TRA504" s="1660"/>
      <c r="TRB504" s="1660"/>
      <c r="TRC504" s="1660"/>
      <c r="TRD504" s="1660"/>
      <c r="TRE504" s="1660"/>
      <c r="TRF504" s="1660"/>
      <c r="TRG504" s="1660"/>
      <c r="TRH504" s="1660"/>
      <c r="TRI504" s="1660"/>
      <c r="TRJ504" s="1660"/>
      <c r="TRK504" s="1660"/>
      <c r="TRL504" s="1660"/>
      <c r="TRM504" s="1660"/>
      <c r="TRN504" s="1660"/>
      <c r="TRO504" s="1660"/>
      <c r="TRP504" s="1660"/>
      <c r="TRQ504" s="1660"/>
      <c r="TRR504" s="1660"/>
      <c r="TRS504" s="1660"/>
      <c r="TRT504" s="1660"/>
      <c r="TRU504" s="1660"/>
      <c r="TRV504" s="1660"/>
      <c r="TRW504" s="1660"/>
      <c r="TRX504" s="1660"/>
      <c r="TRY504" s="1660"/>
      <c r="TRZ504" s="1660"/>
      <c r="TSA504" s="1660"/>
      <c r="TSB504" s="1660"/>
      <c r="TSC504" s="1660"/>
      <c r="TSD504" s="1660"/>
      <c r="TSE504" s="1660"/>
      <c r="TSF504" s="1660"/>
      <c r="TSG504" s="1660"/>
      <c r="TSH504" s="1660"/>
      <c r="TSI504" s="1660"/>
      <c r="TSJ504" s="1660"/>
      <c r="TSK504" s="1660"/>
      <c r="TSL504" s="1660"/>
      <c r="TSM504" s="1660"/>
      <c r="TSN504" s="1660"/>
      <c r="TSO504" s="1660"/>
      <c r="TSP504" s="1660"/>
      <c r="TSQ504" s="1660"/>
      <c r="TSR504" s="1660"/>
      <c r="TSS504" s="1660"/>
      <c r="TST504" s="1660"/>
      <c r="TSU504" s="1660"/>
      <c r="TSV504" s="1660"/>
      <c r="TSW504" s="1660"/>
      <c r="TSX504" s="1660"/>
      <c r="TSY504" s="1660"/>
      <c r="TSZ504" s="1660"/>
      <c r="TTA504" s="1660"/>
      <c r="TTB504" s="1660"/>
      <c r="TTC504" s="1660"/>
      <c r="TTD504" s="1660"/>
      <c r="TTE504" s="1660"/>
      <c r="TTF504" s="1660"/>
      <c r="TTG504" s="1660"/>
      <c r="TTH504" s="1660"/>
      <c r="TTI504" s="1660"/>
      <c r="TTJ504" s="1660"/>
      <c r="TTK504" s="1660"/>
      <c r="TTL504" s="1660"/>
      <c r="TTM504" s="1660"/>
      <c r="TTN504" s="1660"/>
      <c r="TTO504" s="1660"/>
      <c r="TTP504" s="1660"/>
      <c r="TTQ504" s="1660"/>
      <c r="TTR504" s="1660"/>
      <c r="TTS504" s="1660"/>
      <c r="TTT504" s="1660"/>
      <c r="TTU504" s="1660"/>
      <c r="TTV504" s="1660"/>
      <c r="TTW504" s="1660"/>
      <c r="TTX504" s="1660"/>
      <c r="TTY504" s="1660"/>
      <c r="TTZ504" s="1660"/>
      <c r="TUA504" s="1660"/>
      <c r="TUB504" s="1660"/>
      <c r="TUC504" s="1660"/>
      <c r="TUD504" s="1660"/>
      <c r="TUE504" s="1660"/>
      <c r="TUF504" s="1660"/>
      <c r="TUG504" s="1660"/>
      <c r="TUH504" s="1660"/>
      <c r="TUI504" s="1660"/>
      <c r="TUJ504" s="1660"/>
      <c r="TUK504" s="1660"/>
      <c r="TUL504" s="1660"/>
      <c r="TUM504" s="1660"/>
      <c r="TUN504" s="1660"/>
      <c r="TUO504" s="1660"/>
      <c r="TUP504" s="1660"/>
      <c r="TUQ504" s="1660"/>
      <c r="TUR504" s="1660"/>
      <c r="TUS504" s="1660"/>
      <c r="TUT504" s="1660"/>
      <c r="TUU504" s="1660"/>
      <c r="TUV504" s="1660"/>
      <c r="TUW504" s="1660"/>
      <c r="TUX504" s="1660"/>
      <c r="TUY504" s="1660"/>
      <c r="TUZ504" s="1660"/>
      <c r="TVA504" s="1660"/>
      <c r="TVB504" s="1660"/>
      <c r="TVC504" s="1660"/>
      <c r="TVD504" s="1660"/>
      <c r="TVE504" s="1660"/>
      <c r="TVF504" s="1660"/>
      <c r="TVG504" s="1660"/>
      <c r="TVH504" s="1660"/>
      <c r="TVI504" s="1660"/>
      <c r="TVJ504" s="1660"/>
      <c r="TVK504" s="1660"/>
      <c r="TVL504" s="1660"/>
      <c r="TVM504" s="1660"/>
      <c r="TVN504" s="1660"/>
      <c r="TVO504" s="1660"/>
      <c r="TVP504" s="1660"/>
      <c r="TVQ504" s="1660"/>
      <c r="TVR504" s="1660"/>
      <c r="TVS504" s="1660"/>
      <c r="TVT504" s="1660"/>
      <c r="TVU504" s="1660"/>
      <c r="TVV504" s="1660"/>
      <c r="TVW504" s="1660"/>
      <c r="TVX504" s="1660"/>
      <c r="TVY504" s="1660"/>
      <c r="TVZ504" s="1660"/>
      <c r="TWA504" s="1660"/>
      <c r="TWB504" s="1660"/>
      <c r="TWC504" s="1660"/>
      <c r="TWD504" s="1660"/>
      <c r="TWE504" s="1660"/>
      <c r="TWF504" s="1660"/>
      <c r="TWG504" s="1660"/>
      <c r="TWH504" s="1660"/>
      <c r="TWI504" s="1660"/>
      <c r="TWJ504" s="1660"/>
      <c r="TWK504" s="1660"/>
      <c r="TWL504" s="1660"/>
      <c r="TWM504" s="1660"/>
      <c r="TWN504" s="1660"/>
      <c r="TWO504" s="1660"/>
      <c r="TWP504" s="1660"/>
      <c r="TWQ504" s="1660"/>
      <c r="TWR504" s="1660"/>
      <c r="TWS504" s="1660"/>
      <c r="TWT504" s="1660"/>
      <c r="TWU504" s="1660"/>
      <c r="TWV504" s="1660"/>
      <c r="TWW504" s="1660"/>
      <c r="TWX504" s="1660"/>
      <c r="TWY504" s="1660"/>
      <c r="TWZ504" s="1660"/>
      <c r="TXA504" s="1660"/>
      <c r="TXB504" s="1660"/>
      <c r="TXC504" s="1660"/>
      <c r="TXD504" s="1660"/>
      <c r="TXE504" s="1660"/>
      <c r="TXF504" s="1660"/>
      <c r="TXG504" s="1660"/>
      <c r="TXH504" s="1660"/>
      <c r="TXI504" s="1660"/>
      <c r="TXJ504" s="1660"/>
      <c r="TXK504" s="1660"/>
      <c r="TXL504" s="1660"/>
      <c r="TXM504" s="1660"/>
      <c r="TXN504" s="1660"/>
      <c r="TXO504" s="1660"/>
      <c r="TXP504" s="1660"/>
      <c r="TXQ504" s="1660"/>
      <c r="TXR504" s="1660"/>
      <c r="TXS504" s="1660"/>
      <c r="TXT504" s="1660"/>
      <c r="TXU504" s="1660"/>
      <c r="TXV504" s="1660"/>
      <c r="TXW504" s="1660"/>
      <c r="TXX504" s="1660"/>
      <c r="TXY504" s="1660"/>
      <c r="TXZ504" s="1660"/>
      <c r="TYA504" s="1660"/>
      <c r="TYB504" s="1660"/>
      <c r="TYC504" s="1660"/>
      <c r="TYD504" s="1660"/>
      <c r="TYE504" s="1660"/>
      <c r="TYF504" s="1660"/>
      <c r="TYG504" s="1660"/>
      <c r="TYH504" s="1660"/>
      <c r="TYI504" s="1660"/>
      <c r="TYJ504" s="1660"/>
      <c r="TYK504" s="1660"/>
      <c r="TYL504" s="1660"/>
      <c r="TYM504" s="1660"/>
      <c r="TYN504" s="1660"/>
      <c r="TYO504" s="1660"/>
      <c r="TYP504" s="1660"/>
      <c r="TYQ504" s="1660"/>
      <c r="TYR504" s="1660"/>
      <c r="TYS504" s="1660"/>
      <c r="TYT504" s="1660"/>
      <c r="TYU504" s="1660"/>
      <c r="TYV504" s="1660"/>
      <c r="TYW504" s="1660"/>
      <c r="TYX504" s="1660"/>
      <c r="TYY504" s="1660"/>
      <c r="TYZ504" s="1660"/>
      <c r="TZA504" s="1660"/>
      <c r="TZB504" s="1660"/>
      <c r="TZC504" s="1660"/>
      <c r="TZD504" s="1660"/>
      <c r="TZE504" s="1660"/>
      <c r="TZF504" s="1660"/>
      <c r="TZG504" s="1660"/>
      <c r="TZH504" s="1660"/>
      <c r="TZI504" s="1660"/>
      <c r="TZJ504" s="1660"/>
      <c r="TZK504" s="1660"/>
      <c r="TZL504" s="1660"/>
      <c r="TZM504" s="1660"/>
      <c r="TZN504" s="1660"/>
      <c r="TZO504" s="1660"/>
      <c r="TZP504" s="1660"/>
      <c r="TZQ504" s="1660"/>
      <c r="TZR504" s="1660"/>
      <c r="TZS504" s="1660"/>
      <c r="TZT504" s="1660"/>
      <c r="TZU504" s="1660"/>
      <c r="TZV504" s="1660"/>
      <c r="TZW504" s="1660"/>
      <c r="TZX504" s="1660"/>
      <c r="TZY504" s="1660"/>
      <c r="TZZ504" s="1660"/>
      <c r="UAA504" s="1660"/>
      <c r="UAB504" s="1660"/>
      <c r="UAC504" s="1660"/>
      <c r="UAD504" s="1660"/>
      <c r="UAE504" s="1660"/>
      <c r="UAF504" s="1660"/>
      <c r="UAG504" s="1660"/>
      <c r="UAH504" s="1660"/>
      <c r="UAI504" s="1660"/>
      <c r="UAJ504" s="1660"/>
      <c r="UAK504" s="1660"/>
      <c r="UAL504" s="1660"/>
      <c r="UAM504" s="1660"/>
      <c r="UAN504" s="1660"/>
      <c r="UAO504" s="1660"/>
      <c r="UAP504" s="1660"/>
      <c r="UAQ504" s="1660"/>
      <c r="UAR504" s="1660"/>
      <c r="UAS504" s="1660"/>
      <c r="UAT504" s="1660"/>
      <c r="UAU504" s="1660"/>
      <c r="UAV504" s="1660"/>
      <c r="UAW504" s="1660"/>
      <c r="UAX504" s="1660"/>
      <c r="UAY504" s="1660"/>
      <c r="UAZ504" s="1660"/>
      <c r="UBA504" s="1660"/>
      <c r="UBB504" s="1660"/>
      <c r="UBC504" s="1660"/>
      <c r="UBD504" s="1660"/>
      <c r="UBE504" s="1660"/>
      <c r="UBF504" s="1660"/>
      <c r="UBG504" s="1660"/>
      <c r="UBH504" s="1660"/>
      <c r="UBI504" s="1660"/>
      <c r="UBJ504" s="1660"/>
      <c r="UBK504" s="1660"/>
      <c r="UBL504" s="1660"/>
      <c r="UBM504" s="1660"/>
      <c r="UBN504" s="1660"/>
      <c r="UBO504" s="1660"/>
      <c r="UBP504" s="1660"/>
      <c r="UBQ504" s="1660"/>
      <c r="UBR504" s="1660"/>
      <c r="UBS504" s="1660"/>
      <c r="UBT504" s="1660"/>
      <c r="UBU504" s="1660"/>
      <c r="UBV504" s="1660"/>
      <c r="UBW504" s="1660"/>
      <c r="UBX504" s="1660"/>
      <c r="UBY504" s="1660"/>
      <c r="UBZ504" s="1660"/>
      <c r="UCA504" s="1660"/>
      <c r="UCB504" s="1660"/>
      <c r="UCC504" s="1660"/>
      <c r="UCD504" s="1660"/>
      <c r="UCE504" s="1660"/>
      <c r="UCF504" s="1660"/>
      <c r="UCG504" s="1660"/>
      <c r="UCH504" s="1660"/>
      <c r="UCI504" s="1660"/>
      <c r="UCJ504" s="1660"/>
      <c r="UCK504" s="1660"/>
      <c r="UCL504" s="1660"/>
      <c r="UCM504" s="1660"/>
      <c r="UCN504" s="1660"/>
      <c r="UCO504" s="1660"/>
      <c r="UCP504" s="1660"/>
      <c r="UCQ504" s="1660"/>
      <c r="UCR504" s="1660"/>
      <c r="UCS504" s="1660"/>
      <c r="UCT504" s="1660"/>
      <c r="UCU504" s="1660"/>
      <c r="UCV504" s="1660"/>
      <c r="UCW504" s="1660"/>
      <c r="UCX504" s="1660"/>
      <c r="UCY504" s="1660"/>
      <c r="UCZ504" s="1660"/>
      <c r="UDA504" s="1660"/>
      <c r="UDB504" s="1660"/>
      <c r="UDC504" s="1660"/>
      <c r="UDD504" s="1660"/>
      <c r="UDE504" s="1660"/>
      <c r="UDF504" s="1660"/>
      <c r="UDG504" s="1660"/>
      <c r="UDH504" s="1660"/>
      <c r="UDI504" s="1660"/>
      <c r="UDJ504" s="1660"/>
      <c r="UDK504" s="1660"/>
      <c r="UDL504" s="1660"/>
      <c r="UDM504" s="1660"/>
      <c r="UDN504" s="1660"/>
      <c r="UDO504" s="1660"/>
      <c r="UDP504" s="1660"/>
      <c r="UDQ504" s="1660"/>
      <c r="UDR504" s="1660"/>
      <c r="UDS504" s="1660"/>
      <c r="UDT504" s="1660"/>
      <c r="UDU504" s="1660"/>
      <c r="UDV504" s="1660"/>
      <c r="UDW504" s="1660"/>
      <c r="UDX504" s="1660"/>
      <c r="UDY504" s="1660"/>
      <c r="UDZ504" s="1660"/>
      <c r="UEA504" s="1660"/>
      <c r="UEB504" s="1660"/>
      <c r="UEC504" s="1660"/>
      <c r="UED504" s="1660"/>
      <c r="UEE504" s="1660"/>
      <c r="UEF504" s="1660"/>
      <c r="UEG504" s="1660"/>
      <c r="UEH504" s="1660"/>
      <c r="UEI504" s="1660"/>
      <c r="UEJ504" s="1660"/>
      <c r="UEK504" s="1660"/>
      <c r="UEL504" s="1660"/>
      <c r="UEM504" s="1660"/>
      <c r="UEN504" s="1660"/>
      <c r="UEO504" s="1660"/>
      <c r="UEP504" s="1660"/>
      <c r="UEQ504" s="1660"/>
      <c r="UER504" s="1660"/>
      <c r="UES504" s="1660"/>
      <c r="UET504" s="1660"/>
      <c r="UEU504" s="1660"/>
      <c r="UEV504" s="1660"/>
      <c r="UEW504" s="1660"/>
      <c r="UEX504" s="1660"/>
      <c r="UEY504" s="1660"/>
      <c r="UEZ504" s="1660"/>
      <c r="UFA504" s="1660"/>
      <c r="UFB504" s="1660"/>
      <c r="UFC504" s="1660"/>
      <c r="UFD504" s="1660"/>
      <c r="UFE504" s="1660"/>
      <c r="UFF504" s="1660"/>
      <c r="UFG504" s="1660"/>
      <c r="UFH504" s="1660"/>
      <c r="UFI504" s="1660"/>
      <c r="UFJ504" s="1660"/>
      <c r="UFK504" s="1660"/>
      <c r="UFL504" s="1660"/>
      <c r="UFM504" s="1660"/>
      <c r="UFN504" s="1660"/>
      <c r="UFO504" s="1660"/>
      <c r="UFP504" s="1660"/>
      <c r="UFQ504" s="1660"/>
      <c r="UFR504" s="1660"/>
      <c r="UFS504" s="1660"/>
      <c r="UFT504" s="1660"/>
      <c r="UFU504" s="1660"/>
      <c r="UFV504" s="1660"/>
      <c r="UFW504" s="1660"/>
      <c r="UFX504" s="1660"/>
      <c r="UFY504" s="1660"/>
      <c r="UFZ504" s="1660"/>
      <c r="UGA504" s="1660"/>
      <c r="UGB504" s="1660"/>
      <c r="UGC504" s="1660"/>
      <c r="UGD504" s="1660"/>
      <c r="UGE504" s="1660"/>
      <c r="UGF504" s="1660"/>
      <c r="UGG504" s="1660"/>
      <c r="UGH504" s="1660"/>
      <c r="UGI504" s="1660"/>
      <c r="UGJ504" s="1660"/>
      <c r="UGK504" s="1660"/>
      <c r="UGL504" s="1660"/>
      <c r="UGM504" s="1660"/>
      <c r="UGN504" s="1660"/>
      <c r="UGO504" s="1660"/>
      <c r="UGP504" s="1660"/>
      <c r="UGQ504" s="1660"/>
      <c r="UGR504" s="1660"/>
      <c r="UGS504" s="1660"/>
      <c r="UGT504" s="1660"/>
      <c r="UGU504" s="1660"/>
      <c r="UGV504" s="1660"/>
      <c r="UGW504" s="1660"/>
      <c r="UGX504" s="1660"/>
      <c r="UGY504" s="1660"/>
      <c r="UGZ504" s="1660"/>
      <c r="UHA504" s="1660"/>
      <c r="UHB504" s="1660"/>
      <c r="UHC504" s="1660"/>
      <c r="UHD504" s="1660"/>
      <c r="UHE504" s="1660"/>
      <c r="UHF504" s="1660"/>
      <c r="UHG504" s="1660"/>
      <c r="UHH504" s="1660"/>
      <c r="UHI504" s="1660"/>
      <c r="UHJ504" s="1660"/>
      <c r="UHK504" s="1660"/>
      <c r="UHL504" s="1660"/>
      <c r="UHM504" s="1660"/>
      <c r="UHN504" s="1660"/>
      <c r="UHO504" s="1660"/>
      <c r="UHP504" s="1660"/>
      <c r="UHQ504" s="1660"/>
      <c r="UHR504" s="1660"/>
      <c r="UHS504" s="1660"/>
      <c r="UHT504" s="1660"/>
      <c r="UHU504" s="1660"/>
      <c r="UHV504" s="1660"/>
      <c r="UHW504" s="1660"/>
      <c r="UHX504" s="1660"/>
      <c r="UHY504" s="1660"/>
      <c r="UHZ504" s="1660"/>
      <c r="UIA504" s="1660"/>
      <c r="UIB504" s="1660"/>
      <c r="UIC504" s="1660"/>
      <c r="UID504" s="1660"/>
      <c r="UIE504" s="1660"/>
      <c r="UIF504" s="1660"/>
      <c r="UIG504" s="1660"/>
      <c r="UIH504" s="1660"/>
      <c r="UII504" s="1660"/>
      <c r="UIJ504" s="1660"/>
      <c r="UIK504" s="1660"/>
      <c r="UIL504" s="1660"/>
      <c r="UIM504" s="1660"/>
      <c r="UIN504" s="1660"/>
      <c r="UIO504" s="1660"/>
      <c r="UIP504" s="1660"/>
      <c r="UIQ504" s="1660"/>
      <c r="UIR504" s="1660"/>
      <c r="UIS504" s="1660"/>
      <c r="UIT504" s="1660"/>
      <c r="UIU504" s="1660"/>
      <c r="UIV504" s="1660"/>
      <c r="UIW504" s="1660"/>
      <c r="UIX504" s="1660"/>
      <c r="UIY504" s="1660"/>
      <c r="UIZ504" s="1660"/>
      <c r="UJA504" s="1660"/>
      <c r="UJB504" s="1660"/>
      <c r="UJC504" s="1660"/>
      <c r="UJD504" s="1660"/>
      <c r="UJE504" s="1660"/>
      <c r="UJF504" s="1660"/>
      <c r="UJG504" s="1660"/>
      <c r="UJH504" s="1660"/>
      <c r="UJI504" s="1660"/>
      <c r="UJJ504" s="1660"/>
      <c r="UJK504" s="1660"/>
      <c r="UJL504" s="1660"/>
      <c r="UJM504" s="1660"/>
      <c r="UJN504" s="1660"/>
      <c r="UJO504" s="1660"/>
      <c r="UJP504" s="1660"/>
      <c r="UJQ504" s="1660"/>
      <c r="UJR504" s="1660"/>
      <c r="UJS504" s="1660"/>
      <c r="UJT504" s="1660"/>
      <c r="UJU504" s="1660"/>
      <c r="UJV504" s="1660"/>
      <c r="UJW504" s="1660"/>
      <c r="UJX504" s="1660"/>
      <c r="UJY504" s="1660"/>
      <c r="UJZ504" s="1660"/>
      <c r="UKA504" s="1660"/>
      <c r="UKB504" s="1660"/>
      <c r="UKC504" s="1660"/>
      <c r="UKD504" s="1660"/>
      <c r="UKE504" s="1660"/>
      <c r="UKF504" s="1660"/>
      <c r="UKG504" s="1660"/>
      <c r="UKH504" s="1660"/>
      <c r="UKI504" s="1660"/>
      <c r="UKJ504" s="1660"/>
      <c r="UKK504" s="1660"/>
      <c r="UKL504" s="1660"/>
      <c r="UKM504" s="1660"/>
      <c r="UKN504" s="1660"/>
      <c r="UKO504" s="1660"/>
      <c r="UKP504" s="1660"/>
      <c r="UKQ504" s="1660"/>
      <c r="UKR504" s="1660"/>
      <c r="UKS504" s="1660"/>
      <c r="UKT504" s="1660"/>
      <c r="UKU504" s="1660"/>
      <c r="UKV504" s="1660"/>
      <c r="UKW504" s="1660"/>
      <c r="UKX504" s="1660"/>
      <c r="UKY504" s="1660"/>
      <c r="UKZ504" s="1660"/>
      <c r="ULA504" s="1660"/>
      <c r="ULB504" s="1660"/>
      <c r="ULC504" s="1660"/>
      <c r="ULD504" s="1660"/>
      <c r="ULE504" s="1660"/>
      <c r="ULF504" s="1660"/>
      <c r="ULG504" s="1660"/>
      <c r="ULH504" s="1660"/>
      <c r="ULI504" s="1660"/>
      <c r="ULJ504" s="1660"/>
      <c r="ULK504" s="1660"/>
      <c r="ULL504" s="1660"/>
      <c r="ULM504" s="1660"/>
      <c r="ULN504" s="1660"/>
      <c r="ULO504" s="1660"/>
      <c r="ULP504" s="1660"/>
      <c r="ULQ504" s="1660"/>
      <c r="ULR504" s="1660"/>
      <c r="ULS504" s="1660"/>
      <c r="ULT504" s="1660"/>
      <c r="ULU504" s="1660"/>
      <c r="ULV504" s="1660"/>
      <c r="ULW504" s="1660"/>
      <c r="ULX504" s="1660"/>
      <c r="ULY504" s="1660"/>
      <c r="ULZ504" s="1660"/>
      <c r="UMA504" s="1660"/>
      <c r="UMB504" s="1660"/>
      <c r="UMC504" s="1660"/>
      <c r="UMD504" s="1660"/>
      <c r="UME504" s="1660"/>
      <c r="UMF504" s="1660"/>
      <c r="UMG504" s="1660"/>
      <c r="UMH504" s="1660"/>
      <c r="UMI504" s="1660"/>
      <c r="UMJ504" s="1660"/>
      <c r="UMK504" s="1660"/>
      <c r="UML504" s="1660"/>
      <c r="UMM504" s="1660"/>
      <c r="UMN504" s="1660"/>
      <c r="UMO504" s="1660"/>
      <c r="UMP504" s="1660"/>
      <c r="UMQ504" s="1660"/>
      <c r="UMR504" s="1660"/>
      <c r="UMS504" s="1660"/>
      <c r="UMT504" s="1660"/>
      <c r="UMU504" s="1660"/>
      <c r="UMV504" s="1660"/>
      <c r="UMW504" s="1660"/>
      <c r="UMX504" s="1660"/>
      <c r="UMY504" s="1660"/>
      <c r="UMZ504" s="1660"/>
      <c r="UNA504" s="1660"/>
      <c r="UNB504" s="1660"/>
      <c r="UNC504" s="1660"/>
      <c r="UND504" s="1660"/>
      <c r="UNE504" s="1660"/>
      <c r="UNF504" s="1660"/>
      <c r="UNG504" s="1660"/>
      <c r="UNH504" s="1660"/>
      <c r="UNI504" s="1660"/>
      <c r="UNJ504" s="1660"/>
      <c r="UNK504" s="1660"/>
      <c r="UNL504" s="1660"/>
      <c r="UNM504" s="1660"/>
      <c r="UNN504" s="1660"/>
      <c r="UNO504" s="1660"/>
      <c r="UNP504" s="1660"/>
      <c r="UNQ504" s="1660"/>
      <c r="UNR504" s="1660"/>
      <c r="UNS504" s="1660"/>
      <c r="UNT504" s="1660"/>
      <c r="UNU504" s="1660"/>
      <c r="UNV504" s="1660"/>
      <c r="UNW504" s="1660"/>
      <c r="UNX504" s="1660"/>
      <c r="UNY504" s="1660"/>
      <c r="UNZ504" s="1660"/>
      <c r="UOA504" s="1660"/>
      <c r="UOB504" s="1660"/>
      <c r="UOC504" s="1660"/>
      <c r="UOD504" s="1660"/>
      <c r="UOE504" s="1660"/>
      <c r="UOF504" s="1660"/>
      <c r="UOG504" s="1660"/>
      <c r="UOH504" s="1660"/>
      <c r="UOI504" s="1660"/>
      <c r="UOJ504" s="1660"/>
      <c r="UOK504" s="1660"/>
      <c r="UOL504" s="1660"/>
      <c r="UOM504" s="1660"/>
      <c r="UON504" s="1660"/>
      <c r="UOO504" s="1660"/>
      <c r="UOP504" s="1660"/>
      <c r="UOQ504" s="1660"/>
      <c r="UOR504" s="1660"/>
      <c r="UOS504" s="1660"/>
      <c r="UOT504" s="1660"/>
      <c r="UOU504" s="1660"/>
      <c r="UOV504" s="1660"/>
      <c r="UOW504" s="1660"/>
      <c r="UOX504" s="1660"/>
      <c r="UOY504" s="1660"/>
      <c r="UOZ504" s="1660"/>
      <c r="UPA504" s="1660"/>
      <c r="UPB504" s="1660"/>
      <c r="UPC504" s="1660"/>
      <c r="UPD504" s="1660"/>
      <c r="UPE504" s="1660"/>
      <c r="UPF504" s="1660"/>
      <c r="UPG504" s="1660"/>
      <c r="UPH504" s="1660"/>
      <c r="UPI504" s="1660"/>
      <c r="UPJ504" s="1660"/>
      <c r="UPK504" s="1660"/>
      <c r="UPL504" s="1660"/>
      <c r="UPM504" s="1660"/>
      <c r="UPN504" s="1660"/>
      <c r="UPO504" s="1660"/>
      <c r="UPP504" s="1660"/>
      <c r="UPQ504" s="1660"/>
      <c r="UPR504" s="1660"/>
      <c r="UPS504" s="1660"/>
      <c r="UPT504" s="1660"/>
      <c r="UPU504" s="1660"/>
      <c r="UPV504" s="1660"/>
      <c r="UPW504" s="1660"/>
      <c r="UPX504" s="1660"/>
      <c r="UPY504" s="1660"/>
      <c r="UPZ504" s="1660"/>
      <c r="UQA504" s="1660"/>
      <c r="UQB504" s="1660"/>
      <c r="UQC504" s="1660"/>
      <c r="UQD504" s="1660"/>
      <c r="UQE504" s="1660"/>
      <c r="UQF504" s="1660"/>
      <c r="UQG504" s="1660"/>
      <c r="UQH504" s="1660"/>
      <c r="UQI504" s="1660"/>
      <c r="UQJ504" s="1660"/>
      <c r="UQK504" s="1660"/>
      <c r="UQL504" s="1660"/>
      <c r="UQM504" s="1660"/>
      <c r="UQN504" s="1660"/>
      <c r="UQO504" s="1660"/>
      <c r="UQP504" s="1660"/>
      <c r="UQQ504" s="1660"/>
      <c r="UQR504" s="1660"/>
      <c r="UQS504" s="1660"/>
      <c r="UQT504" s="1660"/>
      <c r="UQU504" s="1660"/>
      <c r="UQV504" s="1660"/>
      <c r="UQW504" s="1660"/>
      <c r="UQX504" s="1660"/>
      <c r="UQY504" s="1660"/>
      <c r="UQZ504" s="1660"/>
      <c r="URA504" s="1660"/>
      <c r="URB504" s="1660"/>
      <c r="URC504" s="1660"/>
      <c r="URD504" s="1660"/>
      <c r="URE504" s="1660"/>
      <c r="URF504" s="1660"/>
      <c r="URG504" s="1660"/>
      <c r="URH504" s="1660"/>
      <c r="URI504" s="1660"/>
      <c r="URJ504" s="1660"/>
      <c r="URK504" s="1660"/>
      <c r="URL504" s="1660"/>
      <c r="URM504" s="1660"/>
      <c r="URN504" s="1660"/>
      <c r="URO504" s="1660"/>
      <c r="URP504" s="1660"/>
      <c r="URQ504" s="1660"/>
      <c r="URR504" s="1660"/>
      <c r="URS504" s="1660"/>
      <c r="URT504" s="1660"/>
      <c r="URU504" s="1660"/>
      <c r="URV504" s="1660"/>
      <c r="URW504" s="1660"/>
      <c r="URX504" s="1660"/>
      <c r="URY504" s="1660"/>
      <c r="URZ504" s="1660"/>
      <c r="USA504" s="1660"/>
      <c r="USB504" s="1660"/>
      <c r="USC504" s="1660"/>
      <c r="USD504" s="1660"/>
      <c r="USE504" s="1660"/>
      <c r="USF504" s="1660"/>
      <c r="USG504" s="1660"/>
      <c r="USH504" s="1660"/>
      <c r="USI504" s="1660"/>
      <c r="USJ504" s="1660"/>
      <c r="USK504" s="1660"/>
      <c r="USL504" s="1660"/>
      <c r="USM504" s="1660"/>
      <c r="USN504" s="1660"/>
      <c r="USO504" s="1660"/>
      <c r="USP504" s="1660"/>
      <c r="USQ504" s="1660"/>
      <c r="USR504" s="1660"/>
      <c r="USS504" s="1660"/>
      <c r="UST504" s="1660"/>
      <c r="USU504" s="1660"/>
      <c r="USV504" s="1660"/>
      <c r="USW504" s="1660"/>
      <c r="USX504" s="1660"/>
      <c r="USY504" s="1660"/>
      <c r="USZ504" s="1660"/>
      <c r="UTA504" s="1660"/>
      <c r="UTB504" s="1660"/>
      <c r="UTC504" s="1660"/>
      <c r="UTD504" s="1660"/>
      <c r="UTE504" s="1660"/>
      <c r="UTF504" s="1660"/>
      <c r="UTG504" s="1660"/>
      <c r="UTH504" s="1660"/>
      <c r="UTI504" s="1660"/>
      <c r="UTJ504" s="1660"/>
      <c r="UTK504" s="1660"/>
      <c r="UTL504" s="1660"/>
      <c r="UTM504" s="1660"/>
      <c r="UTN504" s="1660"/>
      <c r="UTO504" s="1660"/>
      <c r="UTP504" s="1660"/>
      <c r="UTQ504" s="1660"/>
      <c r="UTR504" s="1660"/>
      <c r="UTS504" s="1660"/>
      <c r="UTT504" s="1660"/>
      <c r="UTU504" s="1660"/>
      <c r="UTV504" s="1660"/>
      <c r="UTW504" s="1660"/>
      <c r="UTX504" s="1660"/>
      <c r="UTY504" s="1660"/>
      <c r="UTZ504" s="1660"/>
      <c r="UUA504" s="1660"/>
      <c r="UUB504" s="1660"/>
      <c r="UUC504" s="1660"/>
      <c r="UUD504" s="1660"/>
      <c r="UUE504" s="1660"/>
      <c r="UUF504" s="1660"/>
      <c r="UUG504" s="1660"/>
      <c r="UUH504" s="1660"/>
      <c r="UUI504" s="1660"/>
      <c r="UUJ504" s="1660"/>
      <c r="UUK504" s="1660"/>
      <c r="UUL504" s="1660"/>
      <c r="UUM504" s="1660"/>
      <c r="UUN504" s="1660"/>
      <c r="UUO504" s="1660"/>
      <c r="UUP504" s="1660"/>
      <c r="UUQ504" s="1660"/>
      <c r="UUR504" s="1660"/>
      <c r="UUS504" s="1660"/>
      <c r="UUT504" s="1660"/>
      <c r="UUU504" s="1660"/>
      <c r="UUV504" s="1660"/>
      <c r="UUW504" s="1660"/>
      <c r="UUX504" s="1660"/>
      <c r="UUY504" s="1660"/>
      <c r="UUZ504" s="1660"/>
      <c r="UVA504" s="1660"/>
      <c r="UVB504" s="1660"/>
      <c r="UVC504" s="1660"/>
      <c r="UVD504" s="1660"/>
      <c r="UVE504" s="1660"/>
      <c r="UVF504" s="1660"/>
      <c r="UVG504" s="1660"/>
      <c r="UVH504" s="1660"/>
      <c r="UVI504" s="1660"/>
      <c r="UVJ504" s="1660"/>
      <c r="UVK504" s="1660"/>
      <c r="UVL504" s="1660"/>
      <c r="UVM504" s="1660"/>
      <c r="UVN504" s="1660"/>
      <c r="UVO504" s="1660"/>
      <c r="UVP504" s="1660"/>
      <c r="UVQ504" s="1660"/>
      <c r="UVR504" s="1660"/>
      <c r="UVS504" s="1660"/>
      <c r="UVT504" s="1660"/>
      <c r="UVU504" s="1660"/>
      <c r="UVV504" s="1660"/>
      <c r="UVW504" s="1660"/>
      <c r="UVX504" s="1660"/>
      <c r="UVY504" s="1660"/>
      <c r="UVZ504" s="1660"/>
      <c r="UWA504" s="1660"/>
      <c r="UWB504" s="1660"/>
      <c r="UWC504" s="1660"/>
      <c r="UWD504" s="1660"/>
      <c r="UWE504" s="1660"/>
      <c r="UWF504" s="1660"/>
      <c r="UWG504" s="1660"/>
      <c r="UWH504" s="1660"/>
      <c r="UWI504" s="1660"/>
      <c r="UWJ504" s="1660"/>
      <c r="UWK504" s="1660"/>
      <c r="UWL504" s="1660"/>
      <c r="UWM504" s="1660"/>
      <c r="UWN504" s="1660"/>
      <c r="UWO504" s="1660"/>
      <c r="UWP504" s="1660"/>
      <c r="UWQ504" s="1660"/>
      <c r="UWR504" s="1660"/>
      <c r="UWS504" s="1660"/>
      <c r="UWT504" s="1660"/>
      <c r="UWU504" s="1660"/>
      <c r="UWV504" s="1660"/>
      <c r="UWW504" s="1660"/>
      <c r="UWX504" s="1660"/>
      <c r="UWY504" s="1660"/>
      <c r="UWZ504" s="1660"/>
      <c r="UXA504" s="1660"/>
      <c r="UXB504" s="1660"/>
      <c r="UXC504" s="1660"/>
      <c r="UXD504" s="1660"/>
      <c r="UXE504" s="1660"/>
      <c r="UXF504" s="1660"/>
      <c r="UXG504" s="1660"/>
      <c r="UXH504" s="1660"/>
      <c r="UXI504" s="1660"/>
      <c r="UXJ504" s="1660"/>
      <c r="UXK504" s="1660"/>
      <c r="UXL504" s="1660"/>
      <c r="UXM504" s="1660"/>
      <c r="UXN504" s="1660"/>
      <c r="UXO504" s="1660"/>
      <c r="UXP504" s="1660"/>
      <c r="UXQ504" s="1660"/>
      <c r="UXR504" s="1660"/>
      <c r="UXS504" s="1660"/>
      <c r="UXT504" s="1660"/>
      <c r="UXU504" s="1660"/>
      <c r="UXV504" s="1660"/>
      <c r="UXW504" s="1660"/>
      <c r="UXX504" s="1660"/>
      <c r="UXY504" s="1660"/>
      <c r="UXZ504" s="1660"/>
      <c r="UYA504" s="1660"/>
      <c r="UYB504" s="1660"/>
      <c r="UYC504" s="1660"/>
      <c r="UYD504" s="1660"/>
      <c r="UYE504" s="1660"/>
      <c r="UYF504" s="1660"/>
      <c r="UYG504" s="1660"/>
      <c r="UYH504" s="1660"/>
      <c r="UYI504" s="1660"/>
      <c r="UYJ504" s="1660"/>
      <c r="UYK504" s="1660"/>
      <c r="UYL504" s="1660"/>
      <c r="UYM504" s="1660"/>
      <c r="UYN504" s="1660"/>
      <c r="UYO504" s="1660"/>
      <c r="UYP504" s="1660"/>
      <c r="UYQ504" s="1660"/>
      <c r="UYR504" s="1660"/>
      <c r="UYS504" s="1660"/>
      <c r="UYT504" s="1660"/>
      <c r="UYU504" s="1660"/>
      <c r="UYV504" s="1660"/>
      <c r="UYW504" s="1660"/>
      <c r="UYX504" s="1660"/>
      <c r="UYY504" s="1660"/>
      <c r="UYZ504" s="1660"/>
      <c r="UZA504" s="1660"/>
      <c r="UZB504" s="1660"/>
      <c r="UZC504" s="1660"/>
      <c r="UZD504" s="1660"/>
      <c r="UZE504" s="1660"/>
      <c r="UZF504" s="1660"/>
      <c r="UZG504" s="1660"/>
      <c r="UZH504" s="1660"/>
      <c r="UZI504" s="1660"/>
      <c r="UZJ504" s="1660"/>
      <c r="UZK504" s="1660"/>
      <c r="UZL504" s="1660"/>
      <c r="UZM504" s="1660"/>
      <c r="UZN504" s="1660"/>
      <c r="UZO504" s="1660"/>
      <c r="UZP504" s="1660"/>
      <c r="UZQ504" s="1660"/>
      <c r="UZR504" s="1660"/>
      <c r="UZS504" s="1660"/>
      <c r="UZT504" s="1660"/>
      <c r="UZU504" s="1660"/>
      <c r="UZV504" s="1660"/>
      <c r="UZW504" s="1660"/>
      <c r="UZX504" s="1660"/>
      <c r="UZY504" s="1660"/>
      <c r="UZZ504" s="1660"/>
      <c r="VAA504" s="1660"/>
      <c r="VAB504" s="1660"/>
      <c r="VAC504" s="1660"/>
      <c r="VAD504" s="1660"/>
      <c r="VAE504" s="1660"/>
      <c r="VAF504" s="1660"/>
      <c r="VAG504" s="1660"/>
      <c r="VAH504" s="1660"/>
      <c r="VAI504" s="1660"/>
      <c r="VAJ504" s="1660"/>
      <c r="VAK504" s="1660"/>
      <c r="VAL504" s="1660"/>
      <c r="VAM504" s="1660"/>
      <c r="VAN504" s="1660"/>
      <c r="VAO504" s="1660"/>
      <c r="VAP504" s="1660"/>
      <c r="VAQ504" s="1660"/>
      <c r="VAR504" s="1660"/>
      <c r="VAS504" s="1660"/>
      <c r="VAT504" s="1660"/>
      <c r="VAU504" s="1660"/>
      <c r="VAV504" s="1660"/>
      <c r="VAW504" s="1660"/>
      <c r="VAX504" s="1660"/>
      <c r="VAY504" s="1660"/>
      <c r="VAZ504" s="1660"/>
      <c r="VBA504" s="1660"/>
      <c r="VBB504" s="1660"/>
      <c r="VBC504" s="1660"/>
      <c r="VBD504" s="1660"/>
      <c r="VBE504" s="1660"/>
      <c r="VBF504" s="1660"/>
      <c r="VBG504" s="1660"/>
      <c r="VBH504" s="1660"/>
      <c r="VBI504" s="1660"/>
      <c r="VBJ504" s="1660"/>
      <c r="VBK504" s="1660"/>
      <c r="VBL504" s="1660"/>
      <c r="VBM504" s="1660"/>
      <c r="VBN504" s="1660"/>
      <c r="VBO504" s="1660"/>
      <c r="VBP504" s="1660"/>
      <c r="VBQ504" s="1660"/>
      <c r="VBR504" s="1660"/>
      <c r="VBS504" s="1660"/>
      <c r="VBT504" s="1660"/>
      <c r="VBU504" s="1660"/>
      <c r="VBV504" s="1660"/>
      <c r="VBW504" s="1660"/>
      <c r="VBX504" s="1660"/>
      <c r="VBY504" s="1660"/>
      <c r="VBZ504" s="1660"/>
      <c r="VCA504" s="1660"/>
      <c r="VCB504" s="1660"/>
      <c r="VCC504" s="1660"/>
      <c r="VCD504" s="1660"/>
      <c r="VCE504" s="1660"/>
      <c r="VCF504" s="1660"/>
      <c r="VCG504" s="1660"/>
      <c r="VCH504" s="1660"/>
      <c r="VCI504" s="1660"/>
      <c r="VCJ504" s="1660"/>
      <c r="VCK504" s="1660"/>
      <c r="VCL504" s="1660"/>
      <c r="VCM504" s="1660"/>
      <c r="VCN504" s="1660"/>
      <c r="VCO504" s="1660"/>
      <c r="VCP504" s="1660"/>
      <c r="VCQ504" s="1660"/>
      <c r="VCR504" s="1660"/>
      <c r="VCS504" s="1660"/>
      <c r="VCT504" s="1660"/>
      <c r="VCU504" s="1660"/>
      <c r="VCV504" s="1660"/>
      <c r="VCW504" s="1660"/>
      <c r="VCX504" s="1660"/>
      <c r="VCY504" s="1660"/>
      <c r="VCZ504" s="1660"/>
      <c r="VDA504" s="1660"/>
      <c r="VDB504" s="1660"/>
      <c r="VDC504" s="1660"/>
      <c r="VDD504" s="1660"/>
      <c r="VDE504" s="1660"/>
      <c r="VDF504" s="1660"/>
      <c r="VDG504" s="1660"/>
      <c r="VDH504" s="1660"/>
      <c r="VDI504" s="1660"/>
      <c r="VDJ504" s="1660"/>
      <c r="VDK504" s="1660"/>
      <c r="VDL504" s="1660"/>
      <c r="VDM504" s="1660"/>
      <c r="VDN504" s="1660"/>
      <c r="VDO504" s="1660"/>
      <c r="VDP504" s="1660"/>
      <c r="VDQ504" s="1660"/>
      <c r="VDR504" s="1660"/>
      <c r="VDS504" s="1660"/>
      <c r="VDT504" s="1660"/>
      <c r="VDU504" s="1660"/>
      <c r="VDV504" s="1660"/>
      <c r="VDW504" s="1660"/>
      <c r="VDX504" s="1660"/>
      <c r="VDY504" s="1660"/>
      <c r="VDZ504" s="1660"/>
      <c r="VEA504" s="1660"/>
      <c r="VEB504" s="1660"/>
      <c r="VEC504" s="1660"/>
      <c r="VED504" s="1660"/>
      <c r="VEE504" s="1660"/>
      <c r="VEF504" s="1660"/>
      <c r="VEG504" s="1660"/>
      <c r="VEH504" s="1660"/>
      <c r="VEI504" s="1660"/>
      <c r="VEJ504" s="1660"/>
      <c r="VEK504" s="1660"/>
      <c r="VEL504" s="1660"/>
      <c r="VEM504" s="1660"/>
      <c r="VEN504" s="1660"/>
      <c r="VEO504" s="1660"/>
      <c r="VEP504" s="1660"/>
      <c r="VEQ504" s="1660"/>
      <c r="VER504" s="1660"/>
      <c r="VES504" s="1660"/>
      <c r="VET504" s="1660"/>
      <c r="VEU504" s="1660"/>
      <c r="VEV504" s="1660"/>
      <c r="VEW504" s="1660"/>
      <c r="VEX504" s="1660"/>
      <c r="VEY504" s="1660"/>
      <c r="VEZ504" s="1660"/>
      <c r="VFA504" s="1660"/>
      <c r="VFB504" s="1660"/>
      <c r="VFC504" s="1660"/>
      <c r="VFD504" s="1660"/>
      <c r="VFE504" s="1660"/>
      <c r="VFF504" s="1660"/>
      <c r="VFG504" s="1660"/>
      <c r="VFH504" s="1660"/>
      <c r="VFI504" s="1660"/>
      <c r="VFJ504" s="1660"/>
      <c r="VFK504" s="1660"/>
      <c r="VFL504" s="1660"/>
      <c r="VFM504" s="1660"/>
      <c r="VFN504" s="1660"/>
      <c r="VFO504" s="1660"/>
      <c r="VFP504" s="1660"/>
      <c r="VFQ504" s="1660"/>
      <c r="VFR504" s="1660"/>
      <c r="VFS504" s="1660"/>
      <c r="VFT504" s="1660"/>
      <c r="VFU504" s="1660"/>
      <c r="VFV504" s="1660"/>
      <c r="VFW504" s="1660"/>
      <c r="VFX504" s="1660"/>
      <c r="VFY504" s="1660"/>
      <c r="VFZ504" s="1660"/>
      <c r="VGA504" s="1660"/>
      <c r="VGB504" s="1660"/>
      <c r="VGC504" s="1660"/>
      <c r="VGD504" s="1660"/>
      <c r="VGE504" s="1660"/>
      <c r="VGF504" s="1660"/>
      <c r="VGG504" s="1660"/>
      <c r="VGH504" s="1660"/>
      <c r="VGI504" s="1660"/>
      <c r="VGJ504" s="1660"/>
      <c r="VGK504" s="1660"/>
      <c r="VGL504" s="1660"/>
      <c r="VGM504" s="1660"/>
      <c r="VGN504" s="1660"/>
      <c r="VGO504" s="1660"/>
      <c r="VGP504" s="1660"/>
      <c r="VGQ504" s="1660"/>
      <c r="VGR504" s="1660"/>
      <c r="VGS504" s="1660"/>
      <c r="VGT504" s="1660"/>
      <c r="VGU504" s="1660"/>
      <c r="VGV504" s="1660"/>
      <c r="VGW504" s="1660"/>
      <c r="VGX504" s="1660"/>
      <c r="VGY504" s="1660"/>
      <c r="VGZ504" s="1660"/>
      <c r="VHA504" s="1660"/>
      <c r="VHB504" s="1660"/>
      <c r="VHC504" s="1660"/>
      <c r="VHD504" s="1660"/>
      <c r="VHE504" s="1660"/>
      <c r="VHF504" s="1660"/>
      <c r="VHG504" s="1660"/>
      <c r="VHH504" s="1660"/>
      <c r="VHI504" s="1660"/>
      <c r="VHJ504" s="1660"/>
      <c r="VHK504" s="1660"/>
      <c r="VHL504" s="1660"/>
      <c r="VHM504" s="1660"/>
      <c r="VHN504" s="1660"/>
      <c r="VHO504" s="1660"/>
      <c r="VHP504" s="1660"/>
      <c r="VHQ504" s="1660"/>
      <c r="VHR504" s="1660"/>
      <c r="VHS504" s="1660"/>
      <c r="VHT504" s="1660"/>
      <c r="VHU504" s="1660"/>
      <c r="VHV504" s="1660"/>
      <c r="VHW504" s="1660"/>
      <c r="VHX504" s="1660"/>
      <c r="VHY504" s="1660"/>
      <c r="VHZ504" s="1660"/>
      <c r="VIA504" s="1660"/>
      <c r="VIB504" s="1660"/>
      <c r="VIC504" s="1660"/>
      <c r="VID504" s="1660"/>
      <c r="VIE504" s="1660"/>
      <c r="VIF504" s="1660"/>
      <c r="VIG504" s="1660"/>
      <c r="VIH504" s="1660"/>
      <c r="VII504" s="1660"/>
      <c r="VIJ504" s="1660"/>
      <c r="VIK504" s="1660"/>
      <c r="VIL504" s="1660"/>
      <c r="VIM504" s="1660"/>
      <c r="VIN504" s="1660"/>
      <c r="VIO504" s="1660"/>
      <c r="VIP504" s="1660"/>
      <c r="VIQ504" s="1660"/>
      <c r="VIR504" s="1660"/>
      <c r="VIS504" s="1660"/>
      <c r="VIT504" s="1660"/>
      <c r="VIU504" s="1660"/>
      <c r="VIV504" s="1660"/>
      <c r="VIW504" s="1660"/>
      <c r="VIX504" s="1660"/>
      <c r="VIY504" s="1660"/>
      <c r="VIZ504" s="1660"/>
      <c r="VJA504" s="1660"/>
      <c r="VJB504" s="1660"/>
      <c r="VJC504" s="1660"/>
      <c r="VJD504" s="1660"/>
      <c r="VJE504" s="1660"/>
      <c r="VJF504" s="1660"/>
      <c r="VJG504" s="1660"/>
      <c r="VJH504" s="1660"/>
      <c r="VJI504" s="1660"/>
      <c r="VJJ504" s="1660"/>
      <c r="VJK504" s="1660"/>
      <c r="VJL504" s="1660"/>
      <c r="VJM504" s="1660"/>
      <c r="VJN504" s="1660"/>
      <c r="VJO504" s="1660"/>
      <c r="VJP504" s="1660"/>
      <c r="VJQ504" s="1660"/>
      <c r="VJR504" s="1660"/>
      <c r="VJS504" s="1660"/>
      <c r="VJT504" s="1660"/>
      <c r="VJU504" s="1660"/>
      <c r="VJV504" s="1660"/>
      <c r="VJW504" s="1660"/>
      <c r="VJX504" s="1660"/>
      <c r="VJY504" s="1660"/>
      <c r="VJZ504" s="1660"/>
      <c r="VKA504" s="1660"/>
      <c r="VKB504" s="1660"/>
      <c r="VKC504" s="1660"/>
      <c r="VKD504" s="1660"/>
      <c r="VKE504" s="1660"/>
      <c r="VKF504" s="1660"/>
      <c r="VKG504" s="1660"/>
      <c r="VKH504" s="1660"/>
      <c r="VKI504" s="1660"/>
      <c r="VKJ504" s="1660"/>
      <c r="VKK504" s="1660"/>
      <c r="VKL504" s="1660"/>
      <c r="VKM504" s="1660"/>
      <c r="VKN504" s="1660"/>
      <c r="VKO504" s="1660"/>
      <c r="VKP504" s="1660"/>
      <c r="VKQ504" s="1660"/>
      <c r="VKR504" s="1660"/>
      <c r="VKS504" s="1660"/>
      <c r="VKT504" s="1660"/>
      <c r="VKU504" s="1660"/>
      <c r="VKV504" s="1660"/>
      <c r="VKW504" s="1660"/>
      <c r="VKX504" s="1660"/>
      <c r="VKY504" s="1660"/>
      <c r="VKZ504" s="1660"/>
      <c r="VLA504" s="1660"/>
      <c r="VLB504" s="1660"/>
      <c r="VLC504" s="1660"/>
      <c r="VLD504" s="1660"/>
      <c r="VLE504" s="1660"/>
      <c r="VLF504" s="1660"/>
      <c r="VLG504" s="1660"/>
      <c r="VLH504" s="1660"/>
      <c r="VLI504" s="1660"/>
      <c r="VLJ504" s="1660"/>
      <c r="VLK504" s="1660"/>
      <c r="VLL504" s="1660"/>
      <c r="VLM504" s="1660"/>
      <c r="VLN504" s="1660"/>
      <c r="VLO504" s="1660"/>
      <c r="VLP504" s="1660"/>
      <c r="VLQ504" s="1660"/>
      <c r="VLR504" s="1660"/>
      <c r="VLS504" s="1660"/>
      <c r="VLT504" s="1660"/>
      <c r="VLU504" s="1660"/>
      <c r="VLV504" s="1660"/>
      <c r="VLW504" s="1660"/>
      <c r="VLX504" s="1660"/>
      <c r="VLY504" s="1660"/>
      <c r="VLZ504" s="1660"/>
      <c r="VMA504" s="1660"/>
      <c r="VMB504" s="1660"/>
      <c r="VMC504" s="1660"/>
      <c r="VMD504" s="1660"/>
      <c r="VME504" s="1660"/>
      <c r="VMF504" s="1660"/>
      <c r="VMG504" s="1660"/>
      <c r="VMH504" s="1660"/>
      <c r="VMI504" s="1660"/>
      <c r="VMJ504" s="1660"/>
      <c r="VMK504" s="1660"/>
      <c r="VML504" s="1660"/>
      <c r="VMM504" s="1660"/>
      <c r="VMN504" s="1660"/>
      <c r="VMO504" s="1660"/>
      <c r="VMP504" s="1660"/>
      <c r="VMQ504" s="1660"/>
      <c r="VMR504" s="1660"/>
      <c r="VMS504" s="1660"/>
      <c r="VMT504" s="1660"/>
      <c r="VMU504" s="1660"/>
      <c r="VMV504" s="1660"/>
      <c r="VMW504" s="1660"/>
      <c r="VMX504" s="1660"/>
      <c r="VMY504" s="1660"/>
      <c r="VMZ504" s="1660"/>
      <c r="VNA504" s="1660"/>
      <c r="VNB504" s="1660"/>
      <c r="VNC504" s="1660"/>
      <c r="VND504" s="1660"/>
      <c r="VNE504" s="1660"/>
      <c r="VNF504" s="1660"/>
      <c r="VNG504" s="1660"/>
      <c r="VNH504" s="1660"/>
      <c r="VNI504" s="1660"/>
      <c r="VNJ504" s="1660"/>
      <c r="VNK504" s="1660"/>
      <c r="VNL504" s="1660"/>
      <c r="VNM504" s="1660"/>
      <c r="VNN504" s="1660"/>
      <c r="VNO504" s="1660"/>
      <c r="VNP504" s="1660"/>
      <c r="VNQ504" s="1660"/>
      <c r="VNR504" s="1660"/>
      <c r="VNS504" s="1660"/>
      <c r="VNT504" s="1660"/>
      <c r="VNU504" s="1660"/>
      <c r="VNV504" s="1660"/>
      <c r="VNW504" s="1660"/>
      <c r="VNX504" s="1660"/>
      <c r="VNY504" s="1660"/>
      <c r="VNZ504" s="1660"/>
      <c r="VOA504" s="1660"/>
      <c r="VOB504" s="1660"/>
      <c r="VOC504" s="1660"/>
      <c r="VOD504" s="1660"/>
      <c r="VOE504" s="1660"/>
      <c r="VOF504" s="1660"/>
      <c r="VOG504" s="1660"/>
      <c r="VOH504" s="1660"/>
      <c r="VOI504" s="1660"/>
      <c r="VOJ504" s="1660"/>
      <c r="VOK504" s="1660"/>
      <c r="VOL504" s="1660"/>
      <c r="VOM504" s="1660"/>
      <c r="VON504" s="1660"/>
      <c r="VOO504" s="1660"/>
      <c r="VOP504" s="1660"/>
      <c r="VOQ504" s="1660"/>
      <c r="VOR504" s="1660"/>
      <c r="VOS504" s="1660"/>
      <c r="VOT504" s="1660"/>
      <c r="VOU504" s="1660"/>
      <c r="VOV504" s="1660"/>
      <c r="VOW504" s="1660"/>
      <c r="VOX504" s="1660"/>
      <c r="VOY504" s="1660"/>
      <c r="VOZ504" s="1660"/>
      <c r="VPA504" s="1660"/>
      <c r="VPB504" s="1660"/>
      <c r="VPC504" s="1660"/>
      <c r="VPD504" s="1660"/>
      <c r="VPE504" s="1660"/>
      <c r="VPF504" s="1660"/>
      <c r="VPG504" s="1660"/>
      <c r="VPH504" s="1660"/>
      <c r="VPI504" s="1660"/>
      <c r="VPJ504" s="1660"/>
      <c r="VPK504" s="1660"/>
      <c r="VPL504" s="1660"/>
      <c r="VPM504" s="1660"/>
      <c r="VPN504" s="1660"/>
      <c r="VPO504" s="1660"/>
      <c r="VPP504" s="1660"/>
      <c r="VPQ504" s="1660"/>
      <c r="VPR504" s="1660"/>
      <c r="VPS504" s="1660"/>
      <c r="VPT504" s="1660"/>
      <c r="VPU504" s="1660"/>
      <c r="VPV504" s="1660"/>
      <c r="VPW504" s="1660"/>
      <c r="VPX504" s="1660"/>
      <c r="VPY504" s="1660"/>
      <c r="VPZ504" s="1660"/>
      <c r="VQA504" s="1660"/>
      <c r="VQB504" s="1660"/>
      <c r="VQC504" s="1660"/>
      <c r="VQD504" s="1660"/>
      <c r="VQE504" s="1660"/>
      <c r="VQF504" s="1660"/>
      <c r="VQG504" s="1660"/>
      <c r="VQH504" s="1660"/>
      <c r="VQI504" s="1660"/>
      <c r="VQJ504" s="1660"/>
      <c r="VQK504" s="1660"/>
      <c r="VQL504" s="1660"/>
      <c r="VQM504" s="1660"/>
      <c r="VQN504" s="1660"/>
      <c r="VQO504" s="1660"/>
      <c r="VQP504" s="1660"/>
      <c r="VQQ504" s="1660"/>
      <c r="VQR504" s="1660"/>
      <c r="VQS504" s="1660"/>
      <c r="VQT504" s="1660"/>
      <c r="VQU504" s="1660"/>
      <c r="VQV504" s="1660"/>
      <c r="VQW504" s="1660"/>
      <c r="VQX504" s="1660"/>
      <c r="VQY504" s="1660"/>
      <c r="VQZ504" s="1660"/>
      <c r="VRA504" s="1660"/>
      <c r="VRB504" s="1660"/>
      <c r="VRC504" s="1660"/>
      <c r="VRD504" s="1660"/>
      <c r="VRE504" s="1660"/>
      <c r="VRF504" s="1660"/>
      <c r="VRG504" s="1660"/>
      <c r="VRH504" s="1660"/>
      <c r="VRI504" s="1660"/>
      <c r="VRJ504" s="1660"/>
      <c r="VRK504" s="1660"/>
      <c r="VRL504" s="1660"/>
      <c r="VRM504" s="1660"/>
      <c r="VRN504" s="1660"/>
      <c r="VRO504" s="1660"/>
      <c r="VRP504" s="1660"/>
      <c r="VRQ504" s="1660"/>
      <c r="VRR504" s="1660"/>
      <c r="VRS504" s="1660"/>
      <c r="VRT504" s="1660"/>
      <c r="VRU504" s="1660"/>
      <c r="VRV504" s="1660"/>
      <c r="VRW504" s="1660"/>
      <c r="VRX504" s="1660"/>
      <c r="VRY504" s="1660"/>
      <c r="VRZ504" s="1660"/>
      <c r="VSA504" s="1660"/>
      <c r="VSB504" s="1660"/>
      <c r="VSC504" s="1660"/>
      <c r="VSD504" s="1660"/>
      <c r="VSE504" s="1660"/>
      <c r="VSF504" s="1660"/>
      <c r="VSG504" s="1660"/>
      <c r="VSH504" s="1660"/>
      <c r="VSI504" s="1660"/>
      <c r="VSJ504" s="1660"/>
      <c r="VSK504" s="1660"/>
      <c r="VSL504" s="1660"/>
      <c r="VSM504" s="1660"/>
      <c r="VSN504" s="1660"/>
      <c r="VSO504" s="1660"/>
      <c r="VSP504" s="1660"/>
      <c r="VSQ504" s="1660"/>
      <c r="VSR504" s="1660"/>
      <c r="VSS504" s="1660"/>
      <c r="VST504" s="1660"/>
      <c r="VSU504" s="1660"/>
      <c r="VSV504" s="1660"/>
      <c r="VSW504" s="1660"/>
      <c r="VSX504" s="1660"/>
      <c r="VSY504" s="1660"/>
      <c r="VSZ504" s="1660"/>
      <c r="VTA504" s="1660"/>
      <c r="VTB504" s="1660"/>
      <c r="VTC504" s="1660"/>
      <c r="VTD504" s="1660"/>
      <c r="VTE504" s="1660"/>
      <c r="VTF504" s="1660"/>
      <c r="VTG504" s="1660"/>
      <c r="VTH504" s="1660"/>
      <c r="VTI504" s="1660"/>
      <c r="VTJ504" s="1660"/>
      <c r="VTK504" s="1660"/>
      <c r="VTL504" s="1660"/>
      <c r="VTM504" s="1660"/>
      <c r="VTN504" s="1660"/>
      <c r="VTO504" s="1660"/>
      <c r="VTP504" s="1660"/>
      <c r="VTQ504" s="1660"/>
      <c r="VTR504" s="1660"/>
      <c r="VTS504" s="1660"/>
      <c r="VTT504" s="1660"/>
      <c r="VTU504" s="1660"/>
      <c r="VTV504" s="1660"/>
      <c r="VTW504" s="1660"/>
      <c r="VTX504" s="1660"/>
      <c r="VTY504" s="1660"/>
      <c r="VTZ504" s="1660"/>
      <c r="VUA504" s="1660"/>
      <c r="VUB504" s="1660"/>
      <c r="VUC504" s="1660"/>
      <c r="VUD504" s="1660"/>
      <c r="VUE504" s="1660"/>
      <c r="VUF504" s="1660"/>
      <c r="VUG504" s="1660"/>
      <c r="VUH504" s="1660"/>
      <c r="VUI504" s="1660"/>
      <c r="VUJ504" s="1660"/>
      <c r="VUK504" s="1660"/>
      <c r="VUL504" s="1660"/>
      <c r="VUM504" s="1660"/>
      <c r="VUN504" s="1660"/>
      <c r="VUO504" s="1660"/>
      <c r="VUP504" s="1660"/>
      <c r="VUQ504" s="1660"/>
      <c r="VUR504" s="1660"/>
      <c r="VUS504" s="1660"/>
      <c r="VUT504" s="1660"/>
      <c r="VUU504" s="1660"/>
      <c r="VUV504" s="1660"/>
      <c r="VUW504" s="1660"/>
      <c r="VUX504" s="1660"/>
      <c r="VUY504" s="1660"/>
      <c r="VUZ504" s="1660"/>
      <c r="VVA504" s="1660"/>
      <c r="VVB504" s="1660"/>
      <c r="VVC504" s="1660"/>
      <c r="VVD504" s="1660"/>
      <c r="VVE504" s="1660"/>
      <c r="VVF504" s="1660"/>
      <c r="VVG504" s="1660"/>
      <c r="VVH504" s="1660"/>
      <c r="VVI504" s="1660"/>
      <c r="VVJ504" s="1660"/>
      <c r="VVK504" s="1660"/>
      <c r="VVL504" s="1660"/>
      <c r="VVM504" s="1660"/>
      <c r="VVN504" s="1660"/>
      <c r="VVO504" s="1660"/>
      <c r="VVP504" s="1660"/>
      <c r="VVQ504" s="1660"/>
      <c r="VVR504" s="1660"/>
      <c r="VVS504" s="1660"/>
      <c r="VVT504" s="1660"/>
      <c r="VVU504" s="1660"/>
      <c r="VVV504" s="1660"/>
      <c r="VVW504" s="1660"/>
      <c r="VVX504" s="1660"/>
      <c r="VVY504" s="1660"/>
      <c r="VVZ504" s="1660"/>
      <c r="VWA504" s="1660"/>
      <c r="VWB504" s="1660"/>
      <c r="VWC504" s="1660"/>
      <c r="VWD504" s="1660"/>
      <c r="VWE504" s="1660"/>
      <c r="VWF504" s="1660"/>
      <c r="VWG504" s="1660"/>
      <c r="VWH504" s="1660"/>
      <c r="VWI504" s="1660"/>
      <c r="VWJ504" s="1660"/>
      <c r="VWK504" s="1660"/>
      <c r="VWL504" s="1660"/>
      <c r="VWM504" s="1660"/>
      <c r="VWN504" s="1660"/>
      <c r="VWO504" s="1660"/>
      <c r="VWP504" s="1660"/>
      <c r="VWQ504" s="1660"/>
      <c r="VWR504" s="1660"/>
      <c r="VWS504" s="1660"/>
      <c r="VWT504" s="1660"/>
      <c r="VWU504" s="1660"/>
      <c r="VWV504" s="1660"/>
      <c r="VWW504" s="1660"/>
      <c r="VWX504" s="1660"/>
      <c r="VWY504" s="1660"/>
      <c r="VWZ504" s="1660"/>
      <c r="VXA504" s="1660"/>
      <c r="VXB504" s="1660"/>
      <c r="VXC504" s="1660"/>
      <c r="VXD504" s="1660"/>
      <c r="VXE504" s="1660"/>
      <c r="VXF504" s="1660"/>
      <c r="VXG504" s="1660"/>
      <c r="VXH504" s="1660"/>
      <c r="VXI504" s="1660"/>
      <c r="VXJ504" s="1660"/>
      <c r="VXK504" s="1660"/>
      <c r="VXL504" s="1660"/>
      <c r="VXM504" s="1660"/>
      <c r="VXN504" s="1660"/>
      <c r="VXO504" s="1660"/>
      <c r="VXP504" s="1660"/>
      <c r="VXQ504" s="1660"/>
      <c r="VXR504" s="1660"/>
      <c r="VXS504" s="1660"/>
      <c r="VXT504" s="1660"/>
      <c r="VXU504" s="1660"/>
      <c r="VXV504" s="1660"/>
      <c r="VXW504" s="1660"/>
      <c r="VXX504" s="1660"/>
      <c r="VXY504" s="1660"/>
      <c r="VXZ504" s="1660"/>
      <c r="VYA504" s="1660"/>
      <c r="VYB504" s="1660"/>
      <c r="VYC504" s="1660"/>
      <c r="VYD504" s="1660"/>
      <c r="VYE504" s="1660"/>
      <c r="VYF504" s="1660"/>
      <c r="VYG504" s="1660"/>
      <c r="VYH504" s="1660"/>
      <c r="VYI504" s="1660"/>
      <c r="VYJ504" s="1660"/>
      <c r="VYK504" s="1660"/>
      <c r="VYL504" s="1660"/>
      <c r="VYM504" s="1660"/>
      <c r="VYN504" s="1660"/>
      <c r="VYO504" s="1660"/>
      <c r="VYP504" s="1660"/>
      <c r="VYQ504" s="1660"/>
      <c r="VYR504" s="1660"/>
      <c r="VYS504" s="1660"/>
      <c r="VYT504" s="1660"/>
      <c r="VYU504" s="1660"/>
      <c r="VYV504" s="1660"/>
      <c r="VYW504" s="1660"/>
      <c r="VYX504" s="1660"/>
      <c r="VYY504" s="1660"/>
      <c r="VYZ504" s="1660"/>
      <c r="VZA504" s="1660"/>
      <c r="VZB504" s="1660"/>
      <c r="VZC504" s="1660"/>
      <c r="VZD504" s="1660"/>
      <c r="VZE504" s="1660"/>
      <c r="VZF504" s="1660"/>
      <c r="VZG504" s="1660"/>
      <c r="VZH504" s="1660"/>
      <c r="VZI504" s="1660"/>
      <c r="VZJ504" s="1660"/>
      <c r="VZK504" s="1660"/>
      <c r="VZL504" s="1660"/>
      <c r="VZM504" s="1660"/>
      <c r="VZN504" s="1660"/>
      <c r="VZO504" s="1660"/>
      <c r="VZP504" s="1660"/>
      <c r="VZQ504" s="1660"/>
      <c r="VZR504" s="1660"/>
      <c r="VZS504" s="1660"/>
      <c r="VZT504" s="1660"/>
      <c r="VZU504" s="1660"/>
      <c r="VZV504" s="1660"/>
      <c r="VZW504" s="1660"/>
      <c r="VZX504" s="1660"/>
      <c r="VZY504" s="1660"/>
      <c r="VZZ504" s="1660"/>
      <c r="WAA504" s="1660"/>
      <c r="WAB504" s="1660"/>
      <c r="WAC504" s="1660"/>
      <c r="WAD504" s="1660"/>
      <c r="WAE504" s="1660"/>
      <c r="WAF504" s="1660"/>
      <c r="WAG504" s="1660"/>
      <c r="WAH504" s="1660"/>
      <c r="WAI504" s="1660"/>
      <c r="WAJ504" s="1660"/>
      <c r="WAK504" s="1660"/>
      <c r="WAL504" s="1660"/>
      <c r="WAM504" s="1660"/>
      <c r="WAN504" s="1660"/>
      <c r="WAO504" s="1660"/>
      <c r="WAP504" s="1660"/>
      <c r="WAQ504" s="1660"/>
      <c r="WAR504" s="1660"/>
      <c r="WAS504" s="1660"/>
      <c r="WAT504" s="1660"/>
      <c r="WAU504" s="1660"/>
      <c r="WAV504" s="1660"/>
      <c r="WAW504" s="1660"/>
      <c r="WAX504" s="1660"/>
      <c r="WAY504" s="1660"/>
      <c r="WAZ504" s="1660"/>
      <c r="WBA504" s="1660"/>
      <c r="WBB504" s="1660"/>
      <c r="WBC504" s="1660"/>
      <c r="WBD504" s="1660"/>
      <c r="WBE504" s="1660"/>
      <c r="WBF504" s="1660"/>
      <c r="WBG504" s="1660"/>
      <c r="WBH504" s="1660"/>
      <c r="WBI504" s="1660"/>
      <c r="WBJ504" s="1660"/>
      <c r="WBK504" s="1660"/>
      <c r="WBL504" s="1660"/>
      <c r="WBM504" s="1660"/>
      <c r="WBN504" s="1660"/>
      <c r="WBO504" s="1660"/>
      <c r="WBP504" s="1660"/>
      <c r="WBQ504" s="1660"/>
      <c r="WBR504" s="1660"/>
      <c r="WBS504" s="1660"/>
      <c r="WBT504" s="1660"/>
      <c r="WBU504" s="1660"/>
      <c r="WBV504" s="1660"/>
      <c r="WBW504" s="1660"/>
      <c r="WBX504" s="1660"/>
      <c r="WBY504" s="1660"/>
      <c r="WBZ504" s="1660"/>
      <c r="WCA504" s="1660"/>
      <c r="WCB504" s="1660"/>
      <c r="WCC504" s="1660"/>
      <c r="WCD504" s="1660"/>
      <c r="WCE504" s="1660"/>
      <c r="WCF504" s="1660"/>
      <c r="WCG504" s="1660"/>
      <c r="WCH504" s="1660"/>
      <c r="WCI504" s="1660"/>
      <c r="WCJ504" s="1660"/>
      <c r="WCK504" s="1660"/>
      <c r="WCL504" s="1660"/>
      <c r="WCM504" s="1660"/>
      <c r="WCN504" s="1660"/>
      <c r="WCO504" s="1660"/>
      <c r="WCP504" s="1660"/>
      <c r="WCQ504" s="1660"/>
      <c r="WCR504" s="1660"/>
      <c r="WCS504" s="1660"/>
      <c r="WCT504" s="1660"/>
      <c r="WCU504" s="1660"/>
      <c r="WCV504" s="1660"/>
      <c r="WCW504" s="1660"/>
      <c r="WCX504" s="1660"/>
      <c r="WCY504" s="1660"/>
      <c r="WCZ504" s="1660"/>
      <c r="WDA504" s="1660"/>
      <c r="WDB504" s="1660"/>
      <c r="WDC504" s="1660"/>
      <c r="WDD504" s="1660"/>
      <c r="WDE504" s="1660"/>
      <c r="WDF504" s="1660"/>
      <c r="WDG504" s="1660"/>
      <c r="WDH504" s="1660"/>
      <c r="WDI504" s="1660"/>
      <c r="WDJ504" s="1660"/>
      <c r="WDK504" s="1660"/>
      <c r="WDL504" s="1660"/>
      <c r="WDM504" s="1660"/>
      <c r="WDN504" s="1660"/>
      <c r="WDO504" s="1660"/>
      <c r="WDP504" s="1660"/>
      <c r="WDQ504" s="1660"/>
      <c r="WDR504" s="1660"/>
      <c r="WDS504" s="1660"/>
      <c r="WDT504" s="1660"/>
      <c r="WDU504" s="1660"/>
      <c r="WDV504" s="1660"/>
      <c r="WDW504" s="1660"/>
      <c r="WDX504" s="1660"/>
      <c r="WDY504" s="1660"/>
      <c r="WDZ504" s="1660"/>
      <c r="WEA504" s="1660"/>
      <c r="WEB504" s="1660"/>
      <c r="WEC504" s="1660"/>
      <c r="WED504" s="1660"/>
      <c r="WEE504" s="1660"/>
      <c r="WEF504" s="1660"/>
      <c r="WEG504" s="1660"/>
      <c r="WEH504" s="1660"/>
      <c r="WEI504" s="1660"/>
      <c r="WEJ504" s="1660"/>
      <c r="WEK504" s="1660"/>
      <c r="WEL504" s="1660"/>
      <c r="WEM504" s="1660"/>
      <c r="WEN504" s="1660"/>
      <c r="WEO504" s="1660"/>
      <c r="WEP504" s="1660"/>
      <c r="WEQ504" s="1660"/>
      <c r="WER504" s="1660"/>
      <c r="WES504" s="1660"/>
      <c r="WET504" s="1660"/>
      <c r="WEU504" s="1660"/>
      <c r="WEV504" s="1660"/>
      <c r="WEW504" s="1660"/>
      <c r="WEX504" s="1660"/>
      <c r="WEY504" s="1660"/>
      <c r="WEZ504" s="1660"/>
      <c r="WFA504" s="1660"/>
      <c r="WFB504" s="1660"/>
      <c r="WFC504" s="1660"/>
      <c r="WFD504" s="1660"/>
      <c r="WFE504" s="1660"/>
      <c r="WFF504" s="1660"/>
      <c r="WFG504" s="1660"/>
      <c r="WFH504" s="1660"/>
      <c r="WFI504" s="1660"/>
      <c r="WFJ504" s="1660"/>
      <c r="WFK504" s="1660"/>
      <c r="WFL504" s="1660"/>
      <c r="WFM504" s="1660"/>
      <c r="WFN504" s="1660"/>
      <c r="WFO504" s="1660"/>
      <c r="WFP504" s="1660"/>
      <c r="WFQ504" s="1660"/>
      <c r="WFR504" s="1660"/>
      <c r="WFS504" s="1660"/>
      <c r="WFT504" s="1660"/>
      <c r="WFU504" s="1660"/>
      <c r="WFV504" s="1660"/>
      <c r="WFW504" s="1660"/>
      <c r="WFX504" s="1660"/>
      <c r="WFY504" s="1660"/>
      <c r="WFZ504" s="1660"/>
      <c r="WGA504" s="1660"/>
      <c r="WGB504" s="1660"/>
      <c r="WGC504" s="1660"/>
      <c r="WGD504" s="1660"/>
      <c r="WGE504" s="1660"/>
      <c r="WGF504" s="1660"/>
      <c r="WGG504" s="1660"/>
      <c r="WGH504" s="1660"/>
      <c r="WGI504" s="1660"/>
      <c r="WGJ504" s="1660"/>
      <c r="WGK504" s="1660"/>
      <c r="WGL504" s="1660"/>
      <c r="WGM504" s="1660"/>
      <c r="WGN504" s="1660"/>
      <c r="WGO504" s="1660"/>
      <c r="WGP504" s="1660"/>
      <c r="WGQ504" s="1660"/>
      <c r="WGR504" s="1660"/>
      <c r="WGS504" s="1660"/>
      <c r="WGT504" s="1660"/>
      <c r="WGU504" s="1660"/>
      <c r="WGV504" s="1660"/>
      <c r="WGW504" s="1660"/>
      <c r="WGX504" s="1660"/>
      <c r="WGY504" s="1660"/>
      <c r="WGZ504" s="1660"/>
      <c r="WHA504" s="1660"/>
      <c r="WHB504" s="1660"/>
      <c r="WHC504" s="1660"/>
      <c r="WHD504" s="1660"/>
      <c r="WHE504" s="1660"/>
      <c r="WHF504" s="1660"/>
      <c r="WHG504" s="1660"/>
      <c r="WHH504" s="1660"/>
      <c r="WHI504" s="1660"/>
      <c r="WHJ504" s="1660"/>
      <c r="WHK504" s="1660"/>
      <c r="WHL504" s="1660"/>
      <c r="WHM504" s="1660"/>
      <c r="WHN504" s="1660"/>
      <c r="WHO504" s="1660"/>
      <c r="WHP504" s="1660"/>
      <c r="WHQ504" s="1660"/>
      <c r="WHR504" s="1660"/>
      <c r="WHS504" s="1660"/>
      <c r="WHT504" s="1660"/>
      <c r="WHU504" s="1660"/>
      <c r="WHV504" s="1660"/>
      <c r="WHW504" s="1660"/>
      <c r="WHX504" s="1660"/>
      <c r="WHY504" s="1660"/>
      <c r="WHZ504" s="1660"/>
      <c r="WIA504" s="1660"/>
      <c r="WIB504" s="1660"/>
      <c r="WIC504" s="1660"/>
      <c r="WID504" s="1660"/>
      <c r="WIE504" s="1660"/>
      <c r="WIF504" s="1660"/>
      <c r="WIG504" s="1660"/>
      <c r="WIH504" s="1660"/>
      <c r="WII504" s="1660"/>
      <c r="WIJ504" s="1660"/>
      <c r="WIK504" s="1660"/>
      <c r="WIL504" s="1660"/>
      <c r="WIM504" s="1660"/>
      <c r="WIN504" s="1660"/>
      <c r="WIO504" s="1660"/>
      <c r="WIP504" s="1660"/>
      <c r="WIQ504" s="1660"/>
      <c r="WIR504" s="1660"/>
      <c r="WIS504" s="1660"/>
      <c r="WIT504" s="1660"/>
      <c r="WIU504" s="1660"/>
      <c r="WIV504" s="1660"/>
      <c r="WIW504" s="1660"/>
      <c r="WIX504" s="1660"/>
      <c r="WIY504" s="1660"/>
      <c r="WIZ504" s="1660"/>
      <c r="WJA504" s="1660"/>
      <c r="WJB504" s="1660"/>
      <c r="WJC504" s="1660"/>
      <c r="WJD504" s="1660"/>
      <c r="WJE504" s="1660"/>
      <c r="WJF504" s="1660"/>
      <c r="WJG504" s="1660"/>
      <c r="WJH504" s="1660"/>
      <c r="WJI504" s="1660"/>
      <c r="WJJ504" s="1660"/>
      <c r="WJK504" s="1660"/>
      <c r="WJL504" s="1660"/>
      <c r="WJM504" s="1660"/>
      <c r="WJN504" s="1660"/>
      <c r="WJO504" s="1660"/>
      <c r="WJP504" s="1660"/>
      <c r="WJQ504" s="1660"/>
      <c r="WJR504" s="1660"/>
      <c r="WJS504" s="1660"/>
      <c r="WJT504" s="1660"/>
      <c r="WJU504" s="1660"/>
      <c r="WJV504" s="1660"/>
      <c r="WJW504" s="1660"/>
      <c r="WJX504" s="1660"/>
      <c r="WJY504" s="1660"/>
      <c r="WJZ504" s="1660"/>
      <c r="WKA504" s="1660"/>
      <c r="WKB504" s="1660"/>
      <c r="WKC504" s="1660"/>
      <c r="WKD504" s="1660"/>
      <c r="WKE504" s="1660"/>
      <c r="WKF504" s="1660"/>
      <c r="WKG504" s="1660"/>
      <c r="WKH504" s="1660"/>
      <c r="WKI504" s="1660"/>
      <c r="WKJ504" s="1660"/>
      <c r="WKK504" s="1660"/>
      <c r="WKL504" s="1660"/>
      <c r="WKM504" s="1660"/>
      <c r="WKN504" s="1660"/>
      <c r="WKO504" s="1660"/>
      <c r="WKP504" s="1660"/>
      <c r="WKQ504" s="1660"/>
      <c r="WKR504" s="1660"/>
      <c r="WKS504" s="1660"/>
      <c r="WKT504" s="1660"/>
      <c r="WKU504" s="1660"/>
      <c r="WKV504" s="1660"/>
      <c r="WKW504" s="1660"/>
      <c r="WKX504" s="1660"/>
      <c r="WKY504" s="1660"/>
      <c r="WKZ504" s="1660"/>
      <c r="WLA504" s="1660"/>
      <c r="WLB504" s="1660"/>
      <c r="WLC504" s="1660"/>
      <c r="WLD504" s="1660"/>
      <c r="WLE504" s="1660"/>
      <c r="WLF504" s="1660"/>
      <c r="WLG504" s="1660"/>
      <c r="WLH504" s="1660"/>
      <c r="WLI504" s="1660"/>
      <c r="WLJ504" s="1660"/>
      <c r="WLK504" s="1660"/>
      <c r="WLL504" s="1660"/>
      <c r="WLM504" s="1660"/>
      <c r="WLN504" s="1660"/>
      <c r="WLO504" s="1660"/>
      <c r="WLP504" s="1660"/>
      <c r="WLQ504" s="1660"/>
      <c r="WLR504" s="1660"/>
      <c r="WLS504" s="1660"/>
      <c r="WLT504" s="1660"/>
      <c r="WLU504" s="1660"/>
      <c r="WLV504" s="1660"/>
      <c r="WLW504" s="1660"/>
      <c r="WLX504" s="1660"/>
      <c r="WLY504" s="1660"/>
      <c r="WLZ504" s="1660"/>
      <c r="WMA504" s="1660"/>
      <c r="WMB504" s="1660"/>
      <c r="WMC504" s="1660"/>
      <c r="WMD504" s="1660"/>
      <c r="WME504" s="1660"/>
      <c r="WMF504" s="1660"/>
      <c r="WMG504" s="1660"/>
      <c r="WMH504" s="1660"/>
      <c r="WMI504" s="1660"/>
      <c r="WMJ504" s="1660"/>
      <c r="WMK504" s="1660"/>
      <c r="WML504" s="1660"/>
      <c r="WMM504" s="1660"/>
      <c r="WMN504" s="1660"/>
      <c r="WMO504" s="1660"/>
      <c r="WMP504" s="1660"/>
      <c r="WMQ504" s="1660"/>
      <c r="WMR504" s="1660"/>
      <c r="WMS504" s="1660"/>
      <c r="WMT504" s="1660"/>
      <c r="WMU504" s="1660"/>
      <c r="WMV504" s="1660"/>
      <c r="WMW504" s="1660"/>
      <c r="WMX504" s="1660"/>
      <c r="WMY504" s="1660"/>
      <c r="WMZ504" s="1660"/>
      <c r="WNA504" s="1660"/>
      <c r="WNB504" s="1660"/>
      <c r="WNC504" s="1660"/>
      <c r="WND504" s="1660"/>
      <c r="WNE504" s="1660"/>
      <c r="WNF504" s="1660"/>
      <c r="WNG504" s="1660"/>
      <c r="WNH504" s="1660"/>
      <c r="WNI504" s="1660"/>
      <c r="WNJ504" s="1660"/>
      <c r="WNK504" s="1660"/>
      <c r="WNL504" s="1660"/>
      <c r="WNM504" s="1660"/>
      <c r="WNN504" s="1660"/>
      <c r="WNO504" s="1660"/>
      <c r="WNP504" s="1660"/>
      <c r="WNQ504" s="1660"/>
      <c r="WNR504" s="1660"/>
      <c r="WNS504" s="1660"/>
      <c r="WNT504" s="1660"/>
      <c r="WNU504" s="1660"/>
      <c r="WNV504" s="1660"/>
      <c r="WNW504" s="1660"/>
      <c r="WNX504" s="1660"/>
      <c r="WNY504" s="1660"/>
      <c r="WNZ504" s="1660"/>
      <c r="WOA504" s="1660"/>
      <c r="WOB504" s="1660"/>
      <c r="WOC504" s="1660"/>
      <c r="WOD504" s="1660"/>
      <c r="WOE504" s="1660"/>
      <c r="WOF504" s="1660"/>
      <c r="WOG504" s="1660"/>
      <c r="WOH504" s="1660"/>
      <c r="WOI504" s="1660"/>
      <c r="WOJ504" s="1660"/>
      <c r="WOK504" s="1660"/>
      <c r="WOL504" s="1660"/>
      <c r="WOM504" s="1660"/>
      <c r="WON504" s="1660"/>
      <c r="WOO504" s="1660"/>
      <c r="WOP504" s="1660"/>
      <c r="WOQ504" s="1660"/>
      <c r="WOR504" s="1660"/>
      <c r="WOS504" s="1660"/>
      <c r="WOT504" s="1660"/>
      <c r="WOU504" s="1660"/>
      <c r="WOV504" s="1660"/>
      <c r="WOW504" s="1660"/>
      <c r="WOX504" s="1660"/>
      <c r="WOY504" s="1660"/>
      <c r="WOZ504" s="1660"/>
      <c r="WPA504" s="1660"/>
      <c r="WPB504" s="1660"/>
      <c r="WPC504" s="1660"/>
      <c r="WPD504" s="1660"/>
      <c r="WPE504" s="1660"/>
      <c r="WPF504" s="1660"/>
      <c r="WPG504" s="1660"/>
      <c r="WPH504" s="1660"/>
      <c r="WPI504" s="1660"/>
      <c r="WPJ504" s="1660"/>
      <c r="WPK504" s="1660"/>
      <c r="WPL504" s="1660"/>
      <c r="WPM504" s="1660"/>
      <c r="WPN504" s="1660"/>
      <c r="WPO504" s="1660"/>
      <c r="WPP504" s="1660"/>
      <c r="WPQ504" s="1660"/>
      <c r="WPR504" s="1660"/>
      <c r="WPS504" s="1660"/>
      <c r="WPT504" s="1660"/>
      <c r="WPU504" s="1660"/>
      <c r="WPV504" s="1660"/>
      <c r="WPW504" s="1660"/>
      <c r="WPX504" s="1660"/>
      <c r="WPY504" s="1660"/>
      <c r="WPZ504" s="1660"/>
      <c r="WQA504" s="1660"/>
      <c r="WQB504" s="1660"/>
      <c r="WQC504" s="1660"/>
      <c r="WQD504" s="1660"/>
      <c r="WQE504" s="1660"/>
      <c r="WQF504" s="1660"/>
      <c r="WQG504" s="1660"/>
      <c r="WQH504" s="1660"/>
      <c r="WQI504" s="1660"/>
      <c r="WQJ504" s="1660"/>
      <c r="WQK504" s="1660"/>
      <c r="WQL504" s="1660"/>
      <c r="WQM504" s="1660"/>
      <c r="WQN504" s="1660"/>
      <c r="WQO504" s="1660"/>
      <c r="WQP504" s="1660"/>
      <c r="WQQ504" s="1660"/>
      <c r="WQR504" s="1660"/>
      <c r="WQS504" s="1660"/>
      <c r="WQT504" s="1660"/>
      <c r="WQU504" s="1660"/>
      <c r="WQV504" s="1660"/>
      <c r="WQW504" s="1660"/>
      <c r="WQX504" s="1660"/>
      <c r="WQY504" s="1660"/>
      <c r="WQZ504" s="1660"/>
      <c r="WRA504" s="1660"/>
      <c r="WRB504" s="1660"/>
      <c r="WRC504" s="1660"/>
      <c r="WRD504" s="1660"/>
      <c r="WRE504" s="1660"/>
      <c r="WRF504" s="1660"/>
      <c r="WRG504" s="1660"/>
      <c r="WRH504" s="1660"/>
      <c r="WRI504" s="1660"/>
      <c r="WRJ504" s="1660"/>
      <c r="WRK504" s="1660"/>
      <c r="WRL504" s="1660"/>
      <c r="WRM504" s="1660"/>
      <c r="WRN504" s="1660"/>
      <c r="WRO504" s="1660"/>
      <c r="WRP504" s="1660"/>
      <c r="WRQ504" s="1660"/>
      <c r="WRR504" s="1660"/>
      <c r="WRS504" s="1660"/>
      <c r="WRT504" s="1660"/>
      <c r="WRU504" s="1660"/>
      <c r="WRV504" s="1660"/>
      <c r="WRW504" s="1660"/>
      <c r="WRX504" s="1660"/>
      <c r="WRY504" s="1660"/>
      <c r="WRZ504" s="1660"/>
      <c r="WSA504" s="1660"/>
      <c r="WSB504" s="1660"/>
      <c r="WSC504" s="1660"/>
      <c r="WSD504" s="1660"/>
      <c r="WSE504" s="1660"/>
      <c r="WSF504" s="1660"/>
      <c r="WSG504" s="1660"/>
      <c r="WSH504" s="1660"/>
      <c r="WSI504" s="1660"/>
      <c r="WSJ504" s="1660"/>
      <c r="WSK504" s="1660"/>
      <c r="WSL504" s="1660"/>
      <c r="WSM504" s="1660"/>
      <c r="WSN504" s="1660"/>
      <c r="WSO504" s="1660"/>
      <c r="WSP504" s="1660"/>
      <c r="WSQ504" s="1660"/>
      <c r="WSR504" s="1660"/>
      <c r="WSS504" s="1660"/>
      <c r="WST504" s="1660"/>
      <c r="WSU504" s="1660"/>
      <c r="WSV504" s="1660"/>
      <c r="WSW504" s="1660"/>
      <c r="WSX504" s="1660"/>
      <c r="WSY504" s="1660"/>
      <c r="WSZ504" s="1660"/>
      <c r="WTA504" s="1660"/>
      <c r="WTB504" s="1660"/>
      <c r="WTC504" s="1660"/>
      <c r="WTD504" s="1660"/>
      <c r="WTE504" s="1660"/>
      <c r="WTF504" s="1660"/>
      <c r="WTG504" s="1660"/>
      <c r="WTH504" s="1660"/>
      <c r="WTI504" s="1660"/>
      <c r="WTJ504" s="1660"/>
      <c r="WTK504" s="1660"/>
      <c r="WTL504" s="1660"/>
      <c r="WTM504" s="1660"/>
      <c r="WTN504" s="1660"/>
      <c r="WTO504" s="1660"/>
      <c r="WTP504" s="1660"/>
      <c r="WTQ504" s="1660"/>
      <c r="WTR504" s="1660"/>
      <c r="WTS504" s="1660"/>
      <c r="WTT504" s="1660"/>
      <c r="WTU504" s="1660"/>
      <c r="WTV504" s="1660"/>
      <c r="WTW504" s="1660"/>
      <c r="WTX504" s="1660"/>
      <c r="WTY504" s="1660"/>
      <c r="WTZ504" s="1660"/>
      <c r="WUA504" s="1660"/>
      <c r="WUB504" s="1660"/>
      <c r="WUC504" s="1660"/>
      <c r="WUD504" s="1660"/>
      <c r="WUE504" s="1660"/>
      <c r="WUF504" s="1660"/>
      <c r="WUG504" s="1660"/>
      <c r="WUH504" s="1660"/>
      <c r="WUI504" s="1660"/>
      <c r="WUJ504" s="1660"/>
      <c r="WUK504" s="1660"/>
      <c r="WUL504" s="1660"/>
      <c r="WUM504" s="1660"/>
      <c r="WUN504" s="1660"/>
      <c r="WUO504" s="1660"/>
      <c r="WUP504" s="1660"/>
      <c r="WUQ504" s="1660"/>
      <c r="WUR504" s="1660"/>
      <c r="WUS504" s="1660"/>
      <c r="WUT504" s="1660"/>
      <c r="WUU504" s="1660"/>
      <c r="WUV504" s="1660"/>
      <c r="WUW504" s="1660"/>
      <c r="WUX504" s="1660"/>
      <c r="WUY504" s="1660"/>
      <c r="WUZ504" s="1660"/>
      <c r="WVA504" s="1660"/>
      <c r="WVB504" s="1660"/>
      <c r="WVC504" s="1660"/>
      <c r="WVD504" s="1660"/>
      <c r="WVE504" s="1660"/>
      <c r="WVF504" s="1660"/>
      <c r="WVG504" s="1660"/>
      <c r="WVH504" s="1660"/>
      <c r="WVI504" s="1660"/>
      <c r="WVJ504" s="1660"/>
      <c r="WVK504" s="1660"/>
      <c r="WVL504" s="1660"/>
      <c r="WVM504" s="1660"/>
      <c r="WVN504" s="1660"/>
      <c r="WVO504" s="1660"/>
      <c r="WVP504" s="1660"/>
      <c r="WVQ504" s="1660"/>
      <c r="WVR504" s="1660"/>
      <c r="WVS504" s="1660"/>
      <c r="WVT504" s="1660"/>
      <c r="WVU504" s="1660"/>
      <c r="WVV504" s="1660"/>
      <c r="WVW504" s="1660"/>
      <c r="WVX504" s="1660"/>
      <c r="WVY504" s="1660"/>
      <c r="WVZ504" s="1660"/>
      <c r="WWA504" s="1660"/>
      <c r="WWB504" s="1660"/>
      <c r="WWC504" s="1660"/>
      <c r="WWD504" s="1660"/>
      <c r="WWE504" s="1660"/>
      <c r="WWF504" s="1660"/>
      <c r="WWG504" s="1660"/>
      <c r="WWH504" s="1660"/>
      <c r="WWI504" s="1660"/>
      <c r="WWJ504" s="1660"/>
      <c r="WWK504" s="1660"/>
      <c r="WWL504" s="1660"/>
      <c r="WWM504" s="1660"/>
      <c r="WWN504" s="1660"/>
      <c r="WWO504" s="1660"/>
      <c r="WWP504" s="1660"/>
      <c r="WWQ504" s="1660"/>
      <c r="WWR504" s="1660"/>
      <c r="WWS504" s="1660"/>
      <c r="WWT504" s="1660"/>
      <c r="WWU504" s="1660"/>
      <c r="WWV504" s="1660"/>
      <c r="WWW504" s="1660"/>
      <c r="WWX504" s="1660"/>
      <c r="WWY504" s="1660"/>
      <c r="WWZ504" s="1660"/>
      <c r="WXA504" s="1660"/>
      <c r="WXB504" s="1660"/>
      <c r="WXC504" s="1660"/>
      <c r="WXD504" s="1660"/>
      <c r="WXE504" s="1660"/>
      <c r="WXF504" s="1660"/>
      <c r="WXG504" s="1660"/>
      <c r="WXH504" s="1660"/>
      <c r="WXI504" s="1660"/>
      <c r="WXJ504" s="1660"/>
      <c r="WXK504" s="1660"/>
      <c r="WXL504" s="1660"/>
      <c r="WXM504" s="1660"/>
      <c r="WXN504" s="1660"/>
      <c r="WXO504" s="1660"/>
      <c r="WXP504" s="1660"/>
      <c r="WXQ504" s="1660"/>
      <c r="WXR504" s="1660"/>
      <c r="WXS504" s="1660"/>
      <c r="WXT504" s="1660"/>
      <c r="WXU504" s="1660"/>
      <c r="WXV504" s="1660"/>
      <c r="WXW504" s="1660"/>
      <c r="WXX504" s="1660"/>
      <c r="WXY504" s="1660"/>
      <c r="WXZ504" s="1660"/>
      <c r="WYA504" s="1660"/>
      <c r="WYB504" s="1660"/>
      <c r="WYC504" s="1660"/>
      <c r="WYD504" s="1660"/>
      <c r="WYE504" s="1660"/>
      <c r="WYF504" s="1660"/>
      <c r="WYG504" s="1660"/>
      <c r="WYH504" s="1660"/>
      <c r="WYI504" s="1660"/>
      <c r="WYJ504" s="1660"/>
      <c r="WYK504" s="1660"/>
      <c r="WYL504" s="1660"/>
      <c r="WYM504" s="1660"/>
      <c r="WYN504" s="1660"/>
      <c r="WYO504" s="1660"/>
      <c r="WYP504" s="1660"/>
      <c r="WYQ504" s="1660"/>
      <c r="WYR504" s="1660"/>
      <c r="WYS504" s="1660"/>
      <c r="WYT504" s="1660"/>
      <c r="WYU504" s="1660"/>
      <c r="WYV504" s="1660"/>
      <c r="WYW504" s="1660"/>
      <c r="WYX504" s="1660"/>
      <c r="WYY504" s="1660"/>
      <c r="WYZ504" s="1660"/>
      <c r="WZA504" s="1660"/>
      <c r="WZB504" s="1660"/>
      <c r="WZC504" s="1660"/>
      <c r="WZD504" s="1660"/>
      <c r="WZE504" s="1660"/>
      <c r="WZF504" s="1660"/>
      <c r="WZG504" s="1660"/>
      <c r="WZH504" s="1660"/>
      <c r="WZI504" s="1660"/>
      <c r="WZJ504" s="1660"/>
      <c r="WZK504" s="1660"/>
      <c r="WZL504" s="1660"/>
      <c r="WZM504" s="1660"/>
      <c r="WZN504" s="1660"/>
      <c r="WZO504" s="1660"/>
      <c r="WZP504" s="1660"/>
      <c r="WZQ504" s="1660"/>
      <c r="WZR504" s="1660"/>
      <c r="WZS504" s="1660"/>
      <c r="WZT504" s="1660"/>
      <c r="WZU504" s="1660"/>
      <c r="WZV504" s="1660"/>
      <c r="WZW504" s="1660"/>
      <c r="WZX504" s="1660"/>
      <c r="WZY504" s="1660"/>
      <c r="WZZ504" s="1660"/>
      <c r="XAA504" s="1660"/>
      <c r="XAB504" s="1660"/>
      <c r="XAC504" s="1660"/>
      <c r="XAD504" s="1660"/>
      <c r="XAE504" s="1660"/>
      <c r="XAF504" s="1660"/>
      <c r="XAG504" s="1660"/>
      <c r="XAH504" s="1660"/>
      <c r="XAI504" s="1660"/>
      <c r="XAJ504" s="1660"/>
      <c r="XAK504" s="1660"/>
      <c r="XAL504" s="1660"/>
      <c r="XAM504" s="1660"/>
      <c r="XAN504" s="1660"/>
      <c r="XAO504" s="1660"/>
      <c r="XAP504" s="1660"/>
      <c r="XAQ504" s="1660"/>
      <c r="XAR504" s="1660"/>
      <c r="XAS504" s="1660"/>
      <c r="XAT504" s="1660"/>
      <c r="XAU504" s="1660"/>
      <c r="XAV504" s="1660"/>
      <c r="XAW504" s="1660"/>
      <c r="XAX504" s="1660"/>
      <c r="XAY504" s="1660"/>
      <c r="XAZ504" s="1660"/>
      <c r="XBA504" s="1660"/>
      <c r="XBB504" s="1660"/>
      <c r="XBC504" s="1660"/>
      <c r="XBD504" s="1660"/>
      <c r="XBE504" s="1660"/>
      <c r="XBF504" s="1660"/>
      <c r="XBG504" s="1660"/>
      <c r="XBH504" s="1660"/>
      <c r="XBI504" s="1660"/>
      <c r="XBJ504" s="1660"/>
      <c r="XBK504" s="1660"/>
      <c r="XBL504" s="1660"/>
      <c r="XBM504" s="1660"/>
      <c r="XBN504" s="1660"/>
      <c r="XBO504" s="1660"/>
      <c r="XBP504" s="1660"/>
      <c r="XBQ504" s="1660"/>
      <c r="XBR504" s="1660"/>
      <c r="XBS504" s="1660"/>
      <c r="XBT504" s="1660"/>
      <c r="XBU504" s="1660"/>
      <c r="XBV504" s="1660"/>
      <c r="XBW504" s="1660"/>
      <c r="XBX504" s="1660"/>
      <c r="XBY504" s="1660"/>
      <c r="XBZ504" s="1660"/>
      <c r="XCA504" s="1660"/>
      <c r="XCB504" s="1660"/>
      <c r="XCC504" s="1660"/>
      <c r="XCD504" s="1660"/>
      <c r="XCE504" s="1660"/>
      <c r="XCF504" s="1660"/>
      <c r="XCG504" s="1660"/>
      <c r="XCH504" s="1660"/>
      <c r="XCI504" s="1660"/>
      <c r="XCJ504" s="1660"/>
      <c r="XCK504" s="1660"/>
      <c r="XCL504" s="1660"/>
      <c r="XCM504" s="1660"/>
      <c r="XCN504" s="1660"/>
      <c r="XCO504" s="1660"/>
      <c r="XCP504" s="1660"/>
      <c r="XCQ504" s="1660"/>
      <c r="XCR504" s="1660"/>
      <c r="XCS504" s="1660"/>
      <c r="XCT504" s="1660"/>
      <c r="XCU504" s="1660"/>
      <c r="XCV504" s="1660"/>
      <c r="XCW504" s="1660"/>
      <c r="XCX504" s="1660"/>
      <c r="XCY504" s="1660"/>
      <c r="XCZ504" s="1660"/>
      <c r="XDA504" s="1660"/>
      <c r="XDB504" s="1660"/>
      <c r="XDC504" s="1660"/>
      <c r="XDD504" s="1660"/>
      <c r="XDE504" s="1660"/>
      <c r="XDF504" s="1660"/>
      <c r="XDG504" s="1660"/>
      <c r="XDH504" s="1660"/>
      <c r="XDI504" s="1660"/>
      <c r="XDJ504" s="1660"/>
      <c r="XDK504" s="1660"/>
      <c r="XDL504" s="1660"/>
      <c r="XDM504" s="1660"/>
      <c r="XDN504" s="1660"/>
      <c r="XDO504" s="1660"/>
      <c r="XDP504" s="1660"/>
      <c r="XDQ504" s="1660"/>
      <c r="XDR504" s="1660"/>
      <c r="XDS504" s="1660"/>
      <c r="XDT504" s="1660"/>
      <c r="XDU504" s="1660"/>
      <c r="XDV504" s="1660"/>
      <c r="XDW504" s="1660"/>
      <c r="XDX504" s="1660"/>
      <c r="XDY504" s="1660"/>
      <c r="XDZ504" s="1660"/>
      <c r="XEA504" s="1660"/>
      <c r="XEB504" s="1660"/>
      <c r="XEC504" s="1660"/>
      <c r="XED504" s="1660"/>
      <c r="XEE504" s="1660"/>
      <c r="XEF504" s="1660"/>
      <c r="XEG504" s="1660"/>
      <c r="XEH504" s="1660"/>
      <c r="XEI504" s="1660"/>
      <c r="XEJ504" s="1660"/>
      <c r="XEK504" s="1660"/>
      <c r="XEL504" s="1660"/>
      <c r="XEM504" s="1660"/>
      <c r="XEN504" s="1660"/>
      <c r="XEO504" s="1660"/>
      <c r="XEP504" s="1660"/>
      <c r="XEQ504" s="1660"/>
      <c r="XER504" s="1660"/>
      <c r="XES504" s="1660"/>
      <c r="XET504" s="1660"/>
      <c r="XEU504" s="1660"/>
      <c r="XEV504" s="1660"/>
      <c r="XEW504" s="1660"/>
      <c r="XEX504" s="1660"/>
      <c r="XEY504" s="1660"/>
      <c r="XEZ504" s="1660"/>
      <c r="XFA504" s="1660"/>
      <c r="XFB504" s="1660"/>
      <c r="XFC504" s="1660"/>
      <c r="XFD504" s="1661"/>
    </row>
    <row r="505" spans="1:16384" s="264" customFormat="1" ht="12.75" hidden="1">
      <c r="A505" s="1658"/>
      <c r="B505" s="1658"/>
      <c r="C505" s="1658"/>
      <c r="D505" s="1658"/>
      <c r="E505" s="330"/>
      <c r="F505" s="330"/>
      <c r="G505" s="330"/>
      <c r="H505" s="330"/>
      <c r="I505" s="330"/>
      <c r="J505" s="330"/>
      <c r="K505" s="330"/>
      <c r="L505" s="330"/>
      <c r="M505" s="330"/>
      <c r="N505" s="330"/>
      <c r="O505" s="330"/>
      <c r="P505" s="330"/>
      <c r="Q505" s="330"/>
      <c r="R505" s="330"/>
      <c r="S505" s="330"/>
      <c r="T505" s="330"/>
      <c r="U505" s="330"/>
      <c r="V505" s="330"/>
      <c r="W505" s="330"/>
      <c r="X505" s="330"/>
      <c r="Y505" s="330"/>
      <c r="Z505" s="330"/>
      <c r="AA505" s="330"/>
      <c r="AB505" s="330"/>
      <c r="AC505" s="330"/>
      <c r="AD505" s="330"/>
      <c r="AE505" s="330"/>
      <c r="AF505" s="330"/>
      <c r="AG505" s="330"/>
      <c r="AH505" s="330"/>
      <c r="AI505" s="330"/>
      <c r="AJ505" s="330"/>
      <c r="AK505" s="330"/>
      <c r="AL505" s="330"/>
      <c r="AM505" s="330"/>
      <c r="AN505" s="330"/>
      <c r="AO505" s="330"/>
      <c r="AP505" s="330"/>
      <c r="AQ505" s="330"/>
      <c r="AR505" s="330"/>
      <c r="AS505" s="330"/>
      <c r="AT505" s="330"/>
      <c r="AU505" s="330"/>
      <c r="AV505" s="330"/>
      <c r="AW505" s="330"/>
      <c r="AX505" s="330"/>
      <c r="AY505" s="330"/>
      <c r="AZ505" s="330"/>
      <c r="BA505" s="330"/>
      <c r="BB505" s="330"/>
      <c r="BC505" s="330"/>
      <c r="BD505" s="330"/>
      <c r="BE505" s="330"/>
      <c r="BF505" s="330"/>
      <c r="BG505" s="330"/>
      <c r="BH505" s="330"/>
      <c r="BI505" s="330"/>
      <c r="BJ505" s="330"/>
      <c r="BK505" s="330"/>
      <c r="BL505" s="330"/>
      <c r="BM505" s="330"/>
      <c r="BN505" s="330"/>
      <c r="BO505" s="330"/>
      <c r="BP505" s="330"/>
      <c r="BQ505" s="330"/>
      <c r="BR505" s="330"/>
      <c r="BS505" s="330"/>
      <c r="BT505" s="330"/>
      <c r="BU505" s="330"/>
      <c r="BV505" s="330"/>
      <c r="BW505" s="330"/>
      <c r="BX505" s="330"/>
      <c r="BY505" s="330"/>
      <c r="BZ505" s="330"/>
      <c r="CA505" s="330"/>
      <c r="CB505" s="330"/>
      <c r="CC505" s="330"/>
      <c r="CD505" s="330"/>
      <c r="CE505" s="330"/>
      <c r="CF505" s="330"/>
      <c r="CG505" s="330"/>
      <c r="CH505" s="330"/>
      <c r="CI505" s="330"/>
      <c r="CJ505" s="330"/>
      <c r="CK505" s="330"/>
      <c r="CL505" s="330"/>
      <c r="CM505" s="330"/>
      <c r="CN505" s="330"/>
      <c r="CO505" s="330"/>
      <c r="CP505" s="330"/>
      <c r="CQ505" s="330"/>
      <c r="CR505" s="330"/>
      <c r="CS505" s="330"/>
      <c r="CT505" s="330"/>
      <c r="CU505" s="330"/>
      <c r="CV505" s="330"/>
      <c r="CW505" s="330"/>
      <c r="CX505" s="330"/>
      <c r="CY505" s="330"/>
      <c r="CZ505" s="330"/>
      <c r="DA505" s="330"/>
      <c r="DB505" s="330"/>
      <c r="DC505" s="330"/>
      <c r="DD505" s="330"/>
      <c r="DE505" s="330"/>
      <c r="DF505" s="330"/>
      <c r="DG505" s="330"/>
      <c r="DH505" s="330"/>
      <c r="DI505" s="330"/>
      <c r="DJ505" s="330"/>
      <c r="DK505" s="330"/>
      <c r="DL505" s="330"/>
      <c r="DM505" s="330"/>
      <c r="DN505" s="330"/>
      <c r="DO505" s="330"/>
      <c r="DP505" s="330"/>
      <c r="DQ505" s="330"/>
      <c r="DR505" s="330"/>
      <c r="DS505" s="330"/>
      <c r="DT505" s="330"/>
      <c r="DU505" s="330"/>
      <c r="DV505" s="330"/>
      <c r="DW505" s="330"/>
      <c r="DX505" s="330"/>
      <c r="DY505" s="330"/>
      <c r="DZ505" s="330"/>
      <c r="EA505" s="330"/>
      <c r="EB505" s="330"/>
      <c r="EC505" s="330"/>
      <c r="ED505" s="330"/>
      <c r="EE505" s="330"/>
      <c r="EF505" s="330"/>
      <c r="EG505" s="330"/>
      <c r="EH505" s="330"/>
      <c r="EI505" s="330"/>
      <c r="EJ505" s="330"/>
      <c r="EK505" s="330"/>
      <c r="EL505" s="330"/>
      <c r="EM505" s="330"/>
      <c r="EN505" s="330"/>
      <c r="EO505" s="330"/>
      <c r="EP505" s="330"/>
      <c r="EQ505" s="330"/>
      <c r="ER505" s="330"/>
      <c r="ES505" s="330"/>
      <c r="ET505" s="330"/>
      <c r="EU505" s="330"/>
      <c r="EV505" s="330"/>
      <c r="EW505" s="330"/>
      <c r="EX505" s="330"/>
      <c r="EY505" s="330"/>
      <c r="EZ505" s="330"/>
      <c r="FA505" s="330"/>
      <c r="FB505" s="330"/>
      <c r="FC505" s="330"/>
      <c r="FD505" s="330"/>
      <c r="FE505" s="330"/>
      <c r="FF505" s="330"/>
      <c r="FG505" s="330"/>
      <c r="FH505" s="330"/>
      <c r="FI505" s="330"/>
      <c r="FJ505" s="330"/>
      <c r="FK505" s="330"/>
      <c r="FL505" s="330"/>
      <c r="FM505" s="330"/>
      <c r="FN505" s="330"/>
      <c r="FO505" s="330"/>
      <c r="FP505" s="330"/>
      <c r="FQ505" s="330"/>
    </row>
    <row r="506" spans="1:16384" s="334" customFormat="1" ht="15" hidden="1" customHeight="1">
      <c r="A506" s="331"/>
      <c r="B506" s="332"/>
      <c r="C506" s="332"/>
      <c r="D506" s="332"/>
      <c r="E506" s="332"/>
      <c r="F506" s="332"/>
      <c r="G506" s="332"/>
      <c r="H506" s="332"/>
      <c r="I506" s="332"/>
      <c r="J506" s="332"/>
      <c r="K506" s="332"/>
      <c r="L506" s="332"/>
      <c r="M506" s="332"/>
      <c r="N506" s="332"/>
      <c r="O506" s="332"/>
      <c r="P506" s="332"/>
      <c r="Q506" s="332"/>
      <c r="R506" s="332"/>
      <c r="S506" s="332"/>
      <c r="T506" s="332"/>
      <c r="U506" s="332"/>
      <c r="V506" s="332"/>
      <c r="W506" s="332"/>
      <c r="X506" s="332"/>
      <c r="Y506" s="332"/>
      <c r="Z506" s="332"/>
      <c r="AA506" s="332"/>
      <c r="AB506" s="332"/>
      <c r="AC506" s="332"/>
      <c r="AD506" s="332"/>
      <c r="AE506" s="332"/>
      <c r="AF506" s="332"/>
      <c r="AG506" s="332"/>
      <c r="AH506" s="332"/>
      <c r="AI506" s="332"/>
      <c r="AJ506" s="332"/>
      <c r="AK506" s="332"/>
      <c r="AL506" s="332"/>
      <c r="AM506" s="332"/>
      <c r="AN506" s="332"/>
      <c r="AO506" s="332"/>
      <c r="AP506" s="332"/>
      <c r="AQ506" s="332"/>
      <c r="AR506" s="332"/>
      <c r="AS506" s="332"/>
      <c r="AT506" s="332"/>
      <c r="AU506" s="332"/>
      <c r="AV506" s="332"/>
      <c r="AW506" s="332"/>
      <c r="AX506" s="332"/>
      <c r="AY506" s="332"/>
      <c r="AZ506" s="332"/>
      <c r="BA506" s="332"/>
      <c r="BB506" s="332"/>
      <c r="BC506" s="332"/>
      <c r="BD506" s="332"/>
      <c r="BE506" s="332"/>
      <c r="BF506" s="332"/>
      <c r="BG506" s="332"/>
      <c r="BH506" s="332"/>
      <c r="BI506" s="332"/>
      <c r="BJ506" s="332"/>
      <c r="BK506" s="332"/>
      <c r="BL506" s="332"/>
      <c r="BM506" s="332"/>
      <c r="BN506" s="332"/>
      <c r="BO506" s="332"/>
      <c r="BP506" s="332"/>
      <c r="BQ506" s="332"/>
      <c r="BR506" s="332"/>
      <c r="BS506" s="332"/>
      <c r="BT506" s="332"/>
      <c r="BU506" s="332"/>
      <c r="BV506" s="332"/>
      <c r="BW506" s="332"/>
      <c r="BX506" s="332"/>
      <c r="BY506" s="332"/>
      <c r="BZ506" s="332"/>
      <c r="CA506" s="332"/>
      <c r="CB506" s="332"/>
      <c r="CC506" s="332"/>
      <c r="CD506" s="332"/>
      <c r="CE506" s="332"/>
      <c r="CF506" s="332"/>
      <c r="CG506" s="332"/>
      <c r="CH506" s="332"/>
      <c r="CI506" s="332"/>
      <c r="CJ506" s="332"/>
      <c r="CK506" s="332"/>
      <c r="CL506" s="332"/>
      <c r="CM506" s="332"/>
      <c r="CN506" s="332"/>
      <c r="CO506" s="332"/>
      <c r="CP506" s="332"/>
      <c r="CQ506" s="332"/>
      <c r="CR506" s="332"/>
      <c r="CS506" s="332"/>
      <c r="CT506" s="332"/>
      <c r="CU506" s="332"/>
      <c r="CV506" s="332"/>
      <c r="CW506" s="332"/>
      <c r="CX506" s="332"/>
      <c r="CY506" s="332"/>
      <c r="CZ506" s="332"/>
      <c r="DA506" s="332"/>
      <c r="DB506" s="332"/>
      <c r="DC506" s="332"/>
      <c r="DD506" s="332"/>
      <c r="DE506" s="332"/>
      <c r="DF506" s="332"/>
      <c r="DG506" s="332"/>
      <c r="DH506" s="332"/>
      <c r="DI506" s="332"/>
      <c r="DJ506" s="332"/>
      <c r="DK506" s="332"/>
      <c r="DL506" s="332"/>
      <c r="DM506" s="332"/>
      <c r="DN506" s="332"/>
      <c r="DO506" s="332"/>
      <c r="DP506" s="332"/>
      <c r="DQ506" s="332"/>
      <c r="DR506" s="332"/>
      <c r="DS506" s="332"/>
      <c r="DT506" s="332"/>
      <c r="DU506" s="332"/>
      <c r="DV506" s="332"/>
      <c r="DW506" s="332"/>
      <c r="DX506" s="332"/>
      <c r="DY506" s="332"/>
      <c r="DZ506" s="332"/>
      <c r="EA506" s="332"/>
      <c r="EB506" s="332"/>
      <c r="EC506" s="332"/>
      <c r="ED506" s="332"/>
      <c r="EE506" s="332"/>
      <c r="EF506" s="332"/>
      <c r="EG506" s="332"/>
      <c r="EH506" s="332"/>
      <c r="EI506" s="332"/>
      <c r="EJ506" s="332"/>
      <c r="EK506" s="332"/>
      <c r="EL506" s="332"/>
      <c r="EM506" s="332"/>
      <c r="EN506" s="332"/>
      <c r="EO506" s="332"/>
      <c r="EP506" s="332"/>
      <c r="EQ506" s="332"/>
      <c r="ER506" s="332"/>
      <c r="ES506" s="332"/>
      <c r="ET506" s="332"/>
      <c r="EU506" s="332"/>
      <c r="EV506" s="332"/>
      <c r="EW506" s="332"/>
      <c r="EX506" s="332"/>
      <c r="EY506" s="332"/>
      <c r="EZ506" s="332"/>
      <c r="FA506" s="332"/>
      <c r="FB506" s="332"/>
      <c r="FC506" s="332"/>
      <c r="FD506" s="332"/>
      <c r="FE506" s="332"/>
      <c r="FF506" s="332"/>
      <c r="FG506" s="332"/>
      <c r="FH506" s="332"/>
      <c r="FI506" s="332"/>
      <c r="FJ506" s="332"/>
      <c r="FK506" s="332"/>
      <c r="FL506" s="332"/>
      <c r="FM506" s="332"/>
      <c r="FN506" s="332"/>
      <c r="FO506" s="332"/>
      <c r="FP506" s="332"/>
      <c r="FQ506" s="332"/>
      <c r="FR506" s="332"/>
      <c r="FS506" s="332"/>
      <c r="FT506" s="332"/>
      <c r="FU506" s="332"/>
      <c r="FV506" s="332"/>
      <c r="FW506" s="332"/>
      <c r="FX506" s="332"/>
      <c r="FY506" s="332"/>
      <c r="FZ506" s="332"/>
      <c r="GA506" s="332"/>
      <c r="GB506" s="332"/>
      <c r="GC506" s="332"/>
      <c r="GD506" s="332"/>
      <c r="GE506" s="332"/>
      <c r="GF506" s="332"/>
      <c r="GG506" s="332"/>
      <c r="GH506" s="332"/>
      <c r="GI506" s="332"/>
      <c r="GJ506" s="332"/>
      <c r="GK506" s="332"/>
      <c r="GL506" s="332"/>
      <c r="GM506" s="332"/>
      <c r="GN506" s="332"/>
      <c r="GO506" s="332"/>
      <c r="GP506" s="332"/>
      <c r="GQ506" s="332"/>
      <c r="GR506" s="332"/>
      <c r="GS506" s="332"/>
      <c r="GT506" s="332"/>
      <c r="GU506" s="332"/>
      <c r="GV506" s="332"/>
      <c r="GW506" s="332"/>
      <c r="GX506" s="332"/>
      <c r="GY506" s="332"/>
      <c r="GZ506" s="332"/>
      <c r="HA506" s="332"/>
      <c r="HB506" s="332"/>
      <c r="HC506" s="332"/>
      <c r="HD506" s="332"/>
      <c r="HE506" s="332"/>
      <c r="HF506" s="332"/>
      <c r="HG506" s="332"/>
      <c r="HH506" s="332"/>
      <c r="HI506" s="332"/>
      <c r="HJ506" s="332"/>
      <c r="HK506" s="332"/>
      <c r="HL506" s="332"/>
      <c r="HM506" s="332"/>
      <c r="HN506" s="332"/>
      <c r="HO506" s="332"/>
      <c r="HP506" s="332"/>
      <c r="HQ506" s="332"/>
      <c r="HR506" s="332"/>
      <c r="HS506" s="332"/>
      <c r="HT506" s="332"/>
      <c r="HU506" s="332"/>
      <c r="HV506" s="332"/>
      <c r="HW506" s="332"/>
      <c r="HX506" s="332"/>
      <c r="HY506" s="332"/>
      <c r="HZ506" s="332"/>
      <c r="IA506" s="332"/>
      <c r="IB506" s="332"/>
      <c r="IC506" s="332"/>
      <c r="ID506" s="332"/>
      <c r="IE506" s="332"/>
      <c r="IF506" s="332"/>
      <c r="IG506" s="332"/>
      <c r="IH506" s="332"/>
      <c r="II506" s="332"/>
      <c r="IJ506" s="332"/>
      <c r="IK506" s="332"/>
      <c r="IL506" s="332"/>
      <c r="IM506" s="332"/>
      <c r="IN506" s="332"/>
      <c r="IO506" s="332"/>
      <c r="IP506" s="332"/>
      <c r="IQ506" s="332"/>
      <c r="IR506" s="332"/>
      <c r="IS506" s="332"/>
      <c r="IT506" s="332"/>
      <c r="IU506" s="332"/>
      <c r="IV506" s="332"/>
      <c r="IW506" s="332"/>
      <c r="IX506" s="332"/>
      <c r="IY506" s="332"/>
      <c r="IZ506" s="332"/>
      <c r="JA506" s="332"/>
      <c r="JB506" s="332"/>
      <c r="JC506" s="332"/>
      <c r="JD506" s="332"/>
      <c r="JE506" s="332"/>
      <c r="JF506" s="332"/>
      <c r="JG506" s="332"/>
      <c r="JH506" s="332"/>
      <c r="JI506" s="332"/>
      <c r="JJ506" s="332"/>
      <c r="JK506" s="332"/>
      <c r="JL506" s="332"/>
      <c r="JM506" s="332"/>
      <c r="JN506" s="332"/>
      <c r="JO506" s="332"/>
      <c r="JP506" s="332"/>
      <c r="JQ506" s="332"/>
      <c r="JR506" s="332"/>
      <c r="JS506" s="332"/>
      <c r="JT506" s="332"/>
      <c r="JU506" s="332"/>
      <c r="JV506" s="332"/>
      <c r="JW506" s="332"/>
      <c r="JX506" s="332"/>
      <c r="JY506" s="332"/>
      <c r="JZ506" s="332"/>
      <c r="KA506" s="332"/>
      <c r="KB506" s="332"/>
      <c r="KC506" s="332"/>
      <c r="KD506" s="332"/>
      <c r="KE506" s="332"/>
      <c r="KF506" s="332"/>
      <c r="KG506" s="332"/>
      <c r="KH506" s="332"/>
      <c r="KI506" s="332"/>
      <c r="KJ506" s="332"/>
      <c r="KK506" s="332"/>
      <c r="KL506" s="332"/>
      <c r="KM506" s="332"/>
      <c r="KN506" s="332"/>
      <c r="KO506" s="332"/>
      <c r="KP506" s="332"/>
      <c r="KQ506" s="332"/>
      <c r="KR506" s="332"/>
      <c r="KS506" s="332"/>
      <c r="KT506" s="332"/>
      <c r="KU506" s="332"/>
      <c r="KV506" s="332"/>
      <c r="KW506" s="332"/>
      <c r="KX506" s="332"/>
      <c r="KY506" s="332"/>
      <c r="KZ506" s="332"/>
      <c r="LA506" s="332"/>
      <c r="LB506" s="332"/>
      <c r="LC506" s="332"/>
      <c r="LD506" s="332"/>
      <c r="LE506" s="332"/>
      <c r="LF506" s="332"/>
      <c r="LG506" s="332"/>
      <c r="LH506" s="332"/>
      <c r="LI506" s="332"/>
      <c r="LJ506" s="332"/>
      <c r="LK506" s="332"/>
      <c r="LL506" s="332"/>
      <c r="LM506" s="332"/>
      <c r="LN506" s="332"/>
      <c r="LO506" s="332"/>
      <c r="LP506" s="332"/>
      <c r="LQ506" s="332"/>
      <c r="LR506" s="332"/>
      <c r="LS506" s="332"/>
      <c r="LT506" s="332"/>
      <c r="LU506" s="332"/>
      <c r="LV506" s="332"/>
      <c r="LW506" s="332"/>
      <c r="LX506" s="332"/>
      <c r="LY506" s="332"/>
      <c r="LZ506" s="332"/>
      <c r="MA506" s="332"/>
      <c r="MB506" s="332"/>
      <c r="MC506" s="332"/>
      <c r="MD506" s="332"/>
      <c r="ME506" s="332"/>
      <c r="MF506" s="332"/>
      <c r="MG506" s="332"/>
      <c r="MH506" s="332"/>
      <c r="MI506" s="332"/>
      <c r="MJ506" s="332"/>
      <c r="MK506" s="332"/>
      <c r="ML506" s="332"/>
      <c r="MM506" s="332"/>
      <c r="MN506" s="332"/>
      <c r="MO506" s="332"/>
      <c r="MP506" s="332"/>
      <c r="MQ506" s="332"/>
      <c r="MR506" s="332"/>
      <c r="MS506" s="332"/>
      <c r="MT506" s="332"/>
      <c r="MU506" s="332"/>
      <c r="MV506" s="332"/>
      <c r="MW506" s="332"/>
      <c r="MX506" s="332"/>
      <c r="MY506" s="332"/>
      <c r="MZ506" s="332"/>
      <c r="NA506" s="332"/>
      <c r="NB506" s="332"/>
      <c r="NC506" s="332"/>
      <c r="ND506" s="332"/>
      <c r="NE506" s="332"/>
      <c r="NF506" s="332"/>
      <c r="NG506" s="332"/>
      <c r="NH506" s="332"/>
      <c r="NI506" s="332"/>
      <c r="NJ506" s="332"/>
      <c r="NK506" s="332"/>
      <c r="NL506" s="332"/>
      <c r="NM506" s="332"/>
      <c r="NN506" s="332"/>
      <c r="NO506" s="332"/>
      <c r="NP506" s="332"/>
      <c r="NQ506" s="332"/>
      <c r="NR506" s="332"/>
      <c r="NS506" s="332"/>
      <c r="NT506" s="332"/>
      <c r="NU506" s="332"/>
      <c r="NV506" s="332"/>
      <c r="NW506" s="332"/>
      <c r="NX506" s="332"/>
      <c r="NY506" s="332"/>
      <c r="NZ506" s="332"/>
      <c r="OA506" s="332"/>
      <c r="OB506" s="332"/>
      <c r="OC506" s="332"/>
      <c r="OD506" s="332"/>
      <c r="OE506" s="332"/>
      <c r="OF506" s="332"/>
      <c r="OG506" s="332"/>
      <c r="OH506" s="332"/>
      <c r="OI506" s="332"/>
      <c r="OJ506" s="332"/>
      <c r="OK506" s="332"/>
      <c r="OL506" s="332"/>
      <c r="OM506" s="332"/>
      <c r="ON506" s="332"/>
      <c r="OO506" s="332"/>
      <c r="OP506" s="332"/>
      <c r="OQ506" s="332"/>
      <c r="OR506" s="332"/>
      <c r="OS506" s="332"/>
      <c r="OT506" s="332"/>
      <c r="OU506" s="332"/>
      <c r="OV506" s="332"/>
      <c r="OW506" s="332"/>
      <c r="OX506" s="332"/>
      <c r="OY506" s="332"/>
      <c r="OZ506" s="332"/>
      <c r="PA506" s="332"/>
      <c r="PB506" s="332"/>
      <c r="PC506" s="332"/>
      <c r="PD506" s="332"/>
      <c r="PE506" s="332"/>
      <c r="PF506" s="332"/>
      <c r="PG506" s="332"/>
      <c r="PH506" s="332"/>
      <c r="PI506" s="332"/>
      <c r="PJ506" s="332"/>
      <c r="PK506" s="332"/>
      <c r="PL506" s="332"/>
      <c r="PM506" s="332"/>
      <c r="PN506" s="332"/>
      <c r="PO506" s="332"/>
      <c r="PP506" s="332"/>
      <c r="PQ506" s="332"/>
      <c r="PR506" s="332"/>
      <c r="PS506" s="332"/>
      <c r="PT506" s="332"/>
      <c r="PU506" s="332"/>
      <c r="PV506" s="332"/>
      <c r="PW506" s="332"/>
      <c r="PX506" s="332"/>
      <c r="PY506" s="332"/>
      <c r="PZ506" s="332"/>
      <c r="QA506" s="332"/>
      <c r="QB506" s="332"/>
      <c r="QC506" s="332"/>
      <c r="QD506" s="332"/>
      <c r="QE506" s="332"/>
      <c r="QF506" s="332"/>
      <c r="QG506" s="332"/>
      <c r="QH506" s="332"/>
      <c r="QI506" s="332"/>
      <c r="QJ506" s="332"/>
      <c r="QK506" s="332"/>
      <c r="QL506" s="332"/>
      <c r="QM506" s="332"/>
      <c r="QN506" s="332"/>
      <c r="QO506" s="332"/>
      <c r="QP506" s="332"/>
      <c r="QQ506" s="332"/>
      <c r="QR506" s="332"/>
      <c r="QS506" s="332"/>
      <c r="QT506" s="332"/>
      <c r="QU506" s="332"/>
      <c r="QV506" s="332"/>
      <c r="QW506" s="332"/>
      <c r="QX506" s="332"/>
      <c r="QY506" s="332"/>
      <c r="QZ506" s="332"/>
      <c r="RA506" s="332"/>
      <c r="RB506" s="332"/>
      <c r="RC506" s="332"/>
      <c r="RD506" s="332"/>
      <c r="RE506" s="332"/>
      <c r="RF506" s="332"/>
      <c r="RG506" s="332"/>
      <c r="RH506" s="332"/>
      <c r="RI506" s="332"/>
      <c r="RJ506" s="332"/>
      <c r="RK506" s="332"/>
      <c r="RL506" s="332"/>
      <c r="RM506" s="332"/>
      <c r="RN506" s="332"/>
      <c r="RO506" s="332"/>
      <c r="RP506" s="332"/>
      <c r="RQ506" s="332"/>
      <c r="RR506" s="332"/>
      <c r="RS506" s="332"/>
      <c r="RT506" s="332"/>
      <c r="RU506" s="332"/>
      <c r="RV506" s="332"/>
      <c r="RW506" s="332"/>
      <c r="RX506" s="332"/>
      <c r="RY506" s="332"/>
      <c r="RZ506" s="332"/>
      <c r="SA506" s="332"/>
      <c r="SB506" s="332"/>
      <c r="SC506" s="332"/>
      <c r="SD506" s="332"/>
      <c r="SE506" s="332"/>
      <c r="SF506" s="332"/>
      <c r="SG506" s="332"/>
      <c r="SH506" s="332"/>
      <c r="SI506" s="332"/>
      <c r="SJ506" s="332"/>
      <c r="SK506" s="332"/>
      <c r="SL506" s="332"/>
      <c r="SM506" s="332"/>
      <c r="SN506" s="332"/>
      <c r="SO506" s="332"/>
      <c r="SP506" s="332"/>
      <c r="SQ506" s="332"/>
      <c r="SR506" s="332"/>
      <c r="SS506" s="332"/>
      <c r="ST506" s="332"/>
      <c r="SU506" s="332"/>
      <c r="SV506" s="332"/>
      <c r="SW506" s="332"/>
      <c r="SX506" s="332"/>
      <c r="SY506" s="332"/>
      <c r="SZ506" s="332"/>
      <c r="TA506" s="332"/>
      <c r="TB506" s="332"/>
      <c r="TC506" s="332"/>
      <c r="TD506" s="332"/>
      <c r="TE506" s="332"/>
      <c r="TF506" s="332"/>
      <c r="TG506" s="332"/>
      <c r="TH506" s="332"/>
      <c r="TI506" s="332"/>
      <c r="TJ506" s="332"/>
      <c r="TK506" s="332"/>
      <c r="TL506" s="332"/>
      <c r="TM506" s="332"/>
      <c r="TN506" s="332"/>
      <c r="TO506" s="332"/>
      <c r="TP506" s="332"/>
      <c r="TQ506" s="332"/>
      <c r="TR506" s="332"/>
      <c r="TS506" s="332"/>
      <c r="TT506" s="332"/>
      <c r="TU506" s="332"/>
      <c r="TV506" s="332"/>
      <c r="TW506" s="332"/>
      <c r="TX506" s="332"/>
      <c r="TY506" s="332"/>
      <c r="TZ506" s="332"/>
      <c r="UA506" s="332"/>
      <c r="UB506" s="332"/>
      <c r="UC506" s="332"/>
      <c r="UD506" s="332"/>
      <c r="UE506" s="332"/>
      <c r="UF506" s="332"/>
      <c r="UG506" s="332"/>
      <c r="UH506" s="332"/>
      <c r="UI506" s="332"/>
      <c r="UJ506" s="332"/>
      <c r="UK506" s="332"/>
      <c r="UL506" s="332"/>
      <c r="UM506" s="332"/>
      <c r="UN506" s="332"/>
      <c r="UO506" s="332"/>
      <c r="UP506" s="332"/>
      <c r="UQ506" s="332"/>
      <c r="UR506" s="332"/>
      <c r="US506" s="332"/>
      <c r="UT506" s="332"/>
      <c r="UU506" s="332"/>
      <c r="UV506" s="332"/>
      <c r="UW506" s="332"/>
      <c r="UX506" s="332"/>
      <c r="UY506" s="332"/>
      <c r="UZ506" s="332"/>
      <c r="VA506" s="332"/>
      <c r="VB506" s="332"/>
      <c r="VC506" s="332"/>
      <c r="VD506" s="332"/>
      <c r="VE506" s="332"/>
      <c r="VF506" s="332"/>
      <c r="VG506" s="332"/>
      <c r="VH506" s="332"/>
      <c r="VI506" s="332"/>
      <c r="VJ506" s="332"/>
      <c r="VK506" s="332"/>
      <c r="VL506" s="332"/>
      <c r="VM506" s="332"/>
      <c r="VN506" s="332"/>
      <c r="VO506" s="332"/>
      <c r="VP506" s="332"/>
      <c r="VQ506" s="332"/>
      <c r="VR506" s="332"/>
      <c r="VS506" s="332"/>
      <c r="VT506" s="332"/>
      <c r="VU506" s="332"/>
      <c r="VV506" s="332"/>
      <c r="VW506" s="332"/>
      <c r="VX506" s="332"/>
      <c r="VY506" s="332"/>
      <c r="VZ506" s="332"/>
      <c r="WA506" s="332"/>
      <c r="WB506" s="332"/>
      <c r="WC506" s="332"/>
      <c r="WD506" s="332"/>
      <c r="WE506" s="332"/>
      <c r="WF506" s="332"/>
      <c r="WG506" s="332"/>
      <c r="WH506" s="332"/>
      <c r="WI506" s="332"/>
      <c r="WJ506" s="332"/>
      <c r="WK506" s="332"/>
      <c r="WL506" s="332"/>
      <c r="WM506" s="332"/>
      <c r="WN506" s="332"/>
      <c r="WO506" s="332"/>
      <c r="WP506" s="332"/>
      <c r="WQ506" s="332"/>
      <c r="WR506" s="332"/>
      <c r="WS506" s="332"/>
      <c r="WT506" s="332"/>
      <c r="WU506" s="332"/>
      <c r="WV506" s="332"/>
      <c r="WW506" s="332"/>
      <c r="WX506" s="332"/>
      <c r="WY506" s="332"/>
      <c r="WZ506" s="332"/>
      <c r="XA506" s="332"/>
      <c r="XB506" s="332"/>
      <c r="XC506" s="332"/>
      <c r="XD506" s="332"/>
      <c r="XE506" s="332"/>
      <c r="XF506" s="332"/>
      <c r="XG506" s="332"/>
      <c r="XH506" s="332"/>
      <c r="XI506" s="332"/>
      <c r="XJ506" s="332"/>
      <c r="XK506" s="332"/>
      <c r="XL506" s="332"/>
      <c r="XM506" s="332"/>
      <c r="XN506" s="332"/>
      <c r="XO506" s="332"/>
      <c r="XP506" s="332"/>
      <c r="XQ506" s="332"/>
      <c r="XR506" s="332"/>
      <c r="XS506" s="332"/>
      <c r="XT506" s="332"/>
      <c r="XU506" s="332"/>
      <c r="XV506" s="332"/>
      <c r="XW506" s="332"/>
      <c r="XX506" s="332"/>
      <c r="XY506" s="332"/>
      <c r="XZ506" s="332"/>
      <c r="YA506" s="332"/>
      <c r="YB506" s="332"/>
      <c r="YC506" s="332"/>
      <c r="YD506" s="332"/>
      <c r="YE506" s="332"/>
      <c r="YF506" s="332"/>
      <c r="YG506" s="332"/>
      <c r="YH506" s="332"/>
      <c r="YI506" s="332"/>
      <c r="YJ506" s="332"/>
      <c r="YK506" s="332"/>
      <c r="YL506" s="332"/>
      <c r="YM506" s="332"/>
      <c r="YN506" s="332"/>
      <c r="YO506" s="332"/>
      <c r="YP506" s="332"/>
      <c r="YQ506" s="332"/>
      <c r="YR506" s="332"/>
      <c r="YS506" s="332"/>
      <c r="YT506" s="332"/>
      <c r="YU506" s="332"/>
      <c r="YV506" s="332"/>
      <c r="YW506" s="332"/>
      <c r="YX506" s="332"/>
      <c r="YY506" s="332"/>
      <c r="YZ506" s="332"/>
      <c r="ZA506" s="332"/>
      <c r="ZB506" s="332"/>
      <c r="ZC506" s="332"/>
      <c r="ZD506" s="332"/>
      <c r="ZE506" s="332"/>
      <c r="ZF506" s="332"/>
      <c r="ZG506" s="332"/>
      <c r="ZH506" s="332"/>
      <c r="ZI506" s="332"/>
      <c r="ZJ506" s="332"/>
      <c r="ZK506" s="332"/>
      <c r="ZL506" s="332"/>
      <c r="ZM506" s="332"/>
      <c r="ZN506" s="332"/>
      <c r="ZO506" s="332"/>
      <c r="ZP506" s="332"/>
      <c r="ZQ506" s="332"/>
      <c r="ZR506" s="332"/>
      <c r="ZS506" s="332"/>
      <c r="ZT506" s="332"/>
      <c r="ZU506" s="332"/>
      <c r="ZV506" s="332"/>
      <c r="ZW506" s="332"/>
      <c r="ZX506" s="332"/>
      <c r="ZY506" s="332"/>
      <c r="ZZ506" s="332"/>
      <c r="AAA506" s="332"/>
      <c r="AAB506" s="332"/>
      <c r="AAC506" s="332"/>
      <c r="AAD506" s="332"/>
      <c r="AAE506" s="332"/>
      <c r="AAF506" s="332"/>
      <c r="AAG506" s="332"/>
      <c r="AAH506" s="332"/>
      <c r="AAI506" s="332"/>
      <c r="AAJ506" s="332"/>
      <c r="AAK506" s="332"/>
      <c r="AAL506" s="332"/>
      <c r="AAM506" s="332"/>
      <c r="AAN506" s="332"/>
      <c r="AAO506" s="332"/>
      <c r="AAP506" s="332"/>
      <c r="AAQ506" s="332"/>
      <c r="AAR506" s="332"/>
      <c r="AAS506" s="332"/>
      <c r="AAT506" s="332"/>
      <c r="AAU506" s="332"/>
      <c r="AAV506" s="332"/>
      <c r="AAW506" s="332"/>
      <c r="AAX506" s="332"/>
      <c r="AAY506" s="332"/>
      <c r="AAZ506" s="332"/>
      <c r="ABA506" s="332"/>
      <c r="ABB506" s="332"/>
      <c r="ABC506" s="332"/>
      <c r="ABD506" s="332"/>
      <c r="ABE506" s="332"/>
      <c r="ABF506" s="332"/>
      <c r="ABG506" s="332"/>
      <c r="ABH506" s="332"/>
      <c r="ABI506" s="332"/>
      <c r="ABJ506" s="332"/>
      <c r="ABK506" s="332"/>
      <c r="ABL506" s="332"/>
      <c r="ABM506" s="332"/>
      <c r="ABN506" s="332"/>
      <c r="ABO506" s="332"/>
      <c r="ABP506" s="332"/>
      <c r="ABQ506" s="332"/>
      <c r="ABR506" s="332"/>
      <c r="ABS506" s="332"/>
      <c r="ABT506" s="332"/>
      <c r="ABU506" s="332"/>
      <c r="ABV506" s="332"/>
      <c r="ABW506" s="332"/>
      <c r="ABX506" s="332"/>
      <c r="ABY506" s="332"/>
      <c r="ABZ506" s="332"/>
      <c r="ACA506" s="332"/>
      <c r="ACB506" s="332"/>
      <c r="ACC506" s="332"/>
      <c r="ACD506" s="332"/>
      <c r="ACE506" s="332"/>
      <c r="ACF506" s="332"/>
      <c r="ACG506" s="332"/>
      <c r="ACH506" s="332"/>
      <c r="ACI506" s="332"/>
      <c r="ACJ506" s="332"/>
      <c r="ACK506" s="332"/>
      <c r="ACL506" s="332"/>
      <c r="ACM506" s="332"/>
      <c r="ACN506" s="332"/>
      <c r="ACO506" s="332"/>
      <c r="ACP506" s="332"/>
      <c r="ACQ506" s="332"/>
      <c r="ACR506" s="332"/>
      <c r="ACS506" s="332"/>
      <c r="ACT506" s="332"/>
      <c r="ACU506" s="332"/>
      <c r="ACV506" s="332"/>
      <c r="ACW506" s="332"/>
      <c r="ACX506" s="332"/>
      <c r="ACY506" s="332"/>
      <c r="ACZ506" s="332"/>
      <c r="ADA506" s="332"/>
      <c r="ADB506" s="332"/>
      <c r="ADC506" s="332"/>
      <c r="ADD506" s="332"/>
      <c r="ADE506" s="332"/>
      <c r="ADF506" s="332"/>
      <c r="ADG506" s="332"/>
      <c r="ADH506" s="332"/>
      <c r="ADI506" s="332"/>
      <c r="ADJ506" s="332"/>
      <c r="ADK506" s="332"/>
      <c r="ADL506" s="332"/>
      <c r="ADM506" s="332"/>
      <c r="ADN506" s="332"/>
      <c r="ADO506" s="332"/>
      <c r="ADP506" s="332"/>
      <c r="ADQ506" s="332"/>
      <c r="ADR506" s="332"/>
      <c r="ADS506" s="332"/>
      <c r="ADT506" s="332"/>
      <c r="ADU506" s="332"/>
      <c r="ADV506" s="332"/>
      <c r="ADW506" s="332"/>
      <c r="ADX506" s="332"/>
      <c r="ADY506" s="332"/>
      <c r="ADZ506" s="332"/>
      <c r="AEA506" s="332"/>
      <c r="AEB506" s="332"/>
      <c r="AEC506" s="332"/>
      <c r="AED506" s="332"/>
      <c r="AEE506" s="332"/>
      <c r="AEF506" s="332"/>
      <c r="AEG506" s="332"/>
      <c r="AEH506" s="332"/>
      <c r="AEI506" s="332"/>
      <c r="AEJ506" s="332"/>
      <c r="AEK506" s="332"/>
      <c r="AEL506" s="332"/>
      <c r="AEM506" s="332"/>
      <c r="AEN506" s="332"/>
      <c r="AEO506" s="332"/>
      <c r="AEP506" s="332"/>
      <c r="AEQ506" s="332"/>
      <c r="AER506" s="332"/>
      <c r="AES506" s="332"/>
      <c r="AET506" s="332"/>
      <c r="AEU506" s="332"/>
      <c r="AEV506" s="332"/>
      <c r="AEW506" s="332"/>
      <c r="AEX506" s="332"/>
      <c r="AEY506" s="332"/>
      <c r="AEZ506" s="332"/>
      <c r="AFA506" s="332"/>
      <c r="AFB506" s="332"/>
      <c r="AFC506" s="332"/>
      <c r="AFD506" s="332"/>
      <c r="AFE506" s="332"/>
      <c r="AFF506" s="332"/>
      <c r="AFG506" s="332"/>
      <c r="AFH506" s="332"/>
      <c r="AFI506" s="332"/>
      <c r="AFJ506" s="332"/>
      <c r="AFK506" s="332"/>
      <c r="AFL506" s="332"/>
      <c r="AFM506" s="332"/>
      <c r="AFN506" s="332"/>
      <c r="AFO506" s="332"/>
      <c r="AFP506" s="332"/>
      <c r="AFQ506" s="332"/>
      <c r="AFR506" s="332"/>
      <c r="AFS506" s="332"/>
      <c r="AFT506" s="332"/>
      <c r="AFU506" s="332"/>
      <c r="AFV506" s="332"/>
      <c r="AFW506" s="332"/>
      <c r="AFX506" s="332"/>
      <c r="AFY506" s="332"/>
      <c r="AFZ506" s="332"/>
      <c r="AGA506" s="332"/>
      <c r="AGB506" s="332"/>
      <c r="AGC506" s="332"/>
      <c r="AGD506" s="332"/>
      <c r="AGE506" s="332"/>
      <c r="AGF506" s="332"/>
      <c r="AGG506" s="332"/>
      <c r="AGH506" s="332"/>
      <c r="AGI506" s="332"/>
      <c r="AGJ506" s="332"/>
      <c r="AGK506" s="332"/>
      <c r="AGL506" s="332"/>
      <c r="AGM506" s="332"/>
      <c r="AGN506" s="332"/>
      <c r="AGO506" s="332"/>
      <c r="AGP506" s="332"/>
      <c r="AGQ506" s="332"/>
      <c r="AGR506" s="332"/>
      <c r="AGS506" s="332"/>
      <c r="AGT506" s="332"/>
      <c r="AGU506" s="332"/>
      <c r="AGV506" s="332"/>
      <c r="AGW506" s="332"/>
      <c r="AGX506" s="332"/>
      <c r="AGY506" s="332"/>
      <c r="AGZ506" s="332"/>
      <c r="AHA506" s="332"/>
      <c r="AHB506" s="332"/>
      <c r="AHC506" s="332"/>
      <c r="AHD506" s="332"/>
      <c r="AHE506" s="332"/>
      <c r="AHF506" s="332"/>
      <c r="AHG506" s="332"/>
      <c r="AHH506" s="332"/>
      <c r="AHI506" s="332"/>
      <c r="AHJ506" s="332"/>
      <c r="AHK506" s="332"/>
      <c r="AHL506" s="332"/>
      <c r="AHM506" s="332"/>
      <c r="AHN506" s="332"/>
      <c r="AHO506" s="332"/>
      <c r="AHP506" s="332"/>
      <c r="AHQ506" s="332"/>
      <c r="AHR506" s="332"/>
      <c r="AHS506" s="332"/>
      <c r="AHT506" s="332"/>
      <c r="AHU506" s="332"/>
      <c r="AHV506" s="332"/>
      <c r="AHW506" s="332"/>
      <c r="AHX506" s="332"/>
      <c r="AHY506" s="332"/>
      <c r="AHZ506" s="332"/>
      <c r="AIA506" s="332"/>
      <c r="AIB506" s="332"/>
      <c r="AIC506" s="332"/>
      <c r="AID506" s="332"/>
      <c r="AIE506" s="332"/>
      <c r="AIF506" s="332"/>
      <c r="AIG506" s="332"/>
      <c r="AIH506" s="332"/>
      <c r="AII506" s="332"/>
      <c r="AIJ506" s="332"/>
      <c r="AIK506" s="332"/>
      <c r="AIL506" s="332"/>
      <c r="AIM506" s="332"/>
      <c r="AIN506" s="332"/>
      <c r="AIO506" s="332"/>
      <c r="AIP506" s="332"/>
      <c r="AIQ506" s="332"/>
      <c r="AIR506" s="332"/>
      <c r="AIS506" s="332"/>
      <c r="AIT506" s="332"/>
      <c r="AIU506" s="332"/>
      <c r="AIV506" s="332"/>
      <c r="AIW506" s="332"/>
      <c r="AIX506" s="332"/>
      <c r="AIY506" s="332"/>
      <c r="AIZ506" s="332"/>
      <c r="AJA506" s="332"/>
      <c r="AJB506" s="332"/>
      <c r="AJC506" s="332"/>
      <c r="AJD506" s="332"/>
      <c r="AJE506" s="332"/>
      <c r="AJF506" s="332"/>
      <c r="AJG506" s="332"/>
      <c r="AJH506" s="332"/>
      <c r="AJI506" s="332"/>
      <c r="AJJ506" s="332"/>
      <c r="AJK506" s="332"/>
      <c r="AJL506" s="332"/>
      <c r="AJM506" s="332"/>
      <c r="AJN506" s="332"/>
      <c r="AJO506" s="332"/>
      <c r="AJP506" s="332"/>
      <c r="AJQ506" s="332"/>
      <c r="AJR506" s="332"/>
      <c r="AJS506" s="332"/>
      <c r="AJT506" s="332"/>
      <c r="AJU506" s="332"/>
      <c r="AJV506" s="332"/>
      <c r="AJW506" s="332"/>
      <c r="AJX506" s="332"/>
      <c r="AJY506" s="332"/>
      <c r="AJZ506" s="332"/>
      <c r="AKA506" s="332"/>
      <c r="AKB506" s="332"/>
      <c r="AKC506" s="332"/>
      <c r="AKD506" s="332"/>
      <c r="AKE506" s="332"/>
      <c r="AKF506" s="332"/>
      <c r="AKG506" s="332"/>
      <c r="AKH506" s="332"/>
      <c r="AKI506" s="332"/>
      <c r="AKJ506" s="332"/>
      <c r="AKK506" s="332"/>
      <c r="AKL506" s="332"/>
      <c r="AKM506" s="332"/>
      <c r="AKN506" s="332"/>
      <c r="AKO506" s="332"/>
      <c r="AKP506" s="332"/>
      <c r="AKQ506" s="332"/>
      <c r="AKR506" s="332"/>
      <c r="AKS506" s="332"/>
      <c r="AKT506" s="332"/>
      <c r="AKU506" s="332"/>
      <c r="AKV506" s="332"/>
      <c r="AKW506" s="332"/>
      <c r="AKX506" s="332"/>
      <c r="AKY506" s="332"/>
      <c r="AKZ506" s="332"/>
      <c r="ALA506" s="332"/>
      <c r="ALB506" s="332"/>
      <c r="ALC506" s="332"/>
      <c r="ALD506" s="332"/>
      <c r="ALE506" s="332"/>
      <c r="ALF506" s="332"/>
      <c r="ALG506" s="332"/>
      <c r="ALH506" s="332"/>
      <c r="ALI506" s="332"/>
      <c r="ALJ506" s="332"/>
      <c r="ALK506" s="332"/>
      <c r="ALL506" s="332"/>
      <c r="ALM506" s="332"/>
      <c r="ALN506" s="332"/>
      <c r="ALO506" s="332"/>
      <c r="ALP506" s="332"/>
      <c r="ALQ506" s="332"/>
      <c r="ALR506" s="332"/>
      <c r="ALS506" s="332"/>
      <c r="ALT506" s="332"/>
      <c r="ALU506" s="332"/>
      <c r="ALV506" s="332"/>
      <c r="ALW506" s="332"/>
      <c r="ALX506" s="332"/>
      <c r="ALY506" s="332"/>
      <c r="ALZ506" s="332"/>
      <c r="AMA506" s="332"/>
      <c r="AMB506" s="332"/>
      <c r="AMC506" s="332"/>
      <c r="AMD506" s="332"/>
      <c r="AME506" s="332"/>
      <c r="AMF506" s="332"/>
      <c r="AMG506" s="332"/>
      <c r="AMH506" s="332"/>
      <c r="AMI506" s="332"/>
      <c r="AMJ506" s="332"/>
      <c r="AMK506" s="332"/>
      <c r="AML506" s="332"/>
      <c r="AMM506" s="332"/>
      <c r="AMN506" s="332"/>
      <c r="AMO506" s="332"/>
      <c r="AMP506" s="332"/>
      <c r="AMQ506" s="332"/>
      <c r="AMR506" s="332"/>
      <c r="AMS506" s="332"/>
      <c r="AMT506" s="332"/>
      <c r="AMU506" s="332"/>
      <c r="AMV506" s="332"/>
      <c r="AMW506" s="332"/>
      <c r="AMX506" s="332"/>
      <c r="AMY506" s="332"/>
      <c r="AMZ506" s="332"/>
      <c r="ANA506" s="332"/>
      <c r="ANB506" s="332"/>
      <c r="ANC506" s="332"/>
      <c r="AND506" s="332"/>
      <c r="ANE506" s="332"/>
      <c r="ANF506" s="332"/>
      <c r="ANG506" s="332"/>
      <c r="ANH506" s="332"/>
      <c r="ANI506" s="332"/>
      <c r="ANJ506" s="332"/>
      <c r="ANK506" s="332"/>
      <c r="ANL506" s="332"/>
      <c r="ANM506" s="332"/>
      <c r="ANN506" s="332"/>
      <c r="ANO506" s="332"/>
      <c r="ANP506" s="332"/>
      <c r="ANQ506" s="332"/>
      <c r="ANR506" s="332"/>
      <c r="ANS506" s="332"/>
      <c r="ANT506" s="332"/>
      <c r="ANU506" s="332"/>
      <c r="ANV506" s="332"/>
      <c r="ANW506" s="332"/>
      <c r="ANX506" s="332"/>
      <c r="ANY506" s="332"/>
      <c r="ANZ506" s="332"/>
      <c r="AOA506" s="332"/>
      <c r="AOB506" s="332"/>
      <c r="AOC506" s="332"/>
      <c r="AOD506" s="332"/>
      <c r="AOE506" s="332"/>
      <c r="AOF506" s="332"/>
      <c r="AOG506" s="332"/>
      <c r="AOH506" s="332"/>
      <c r="AOI506" s="332"/>
      <c r="AOJ506" s="332"/>
      <c r="AOK506" s="332"/>
      <c r="AOL506" s="332"/>
      <c r="AOM506" s="332"/>
      <c r="AON506" s="332"/>
      <c r="AOO506" s="332"/>
      <c r="AOP506" s="332"/>
      <c r="AOQ506" s="332"/>
      <c r="AOR506" s="332"/>
      <c r="AOS506" s="332"/>
      <c r="AOT506" s="332"/>
      <c r="AOU506" s="332"/>
      <c r="AOV506" s="332"/>
      <c r="AOW506" s="332"/>
      <c r="AOX506" s="332"/>
      <c r="AOY506" s="332"/>
      <c r="AOZ506" s="332"/>
      <c r="APA506" s="332"/>
      <c r="APB506" s="332"/>
      <c r="APC506" s="332"/>
      <c r="APD506" s="332"/>
      <c r="APE506" s="332"/>
      <c r="APF506" s="332"/>
      <c r="APG506" s="332"/>
      <c r="APH506" s="332"/>
      <c r="API506" s="332"/>
      <c r="APJ506" s="332"/>
      <c r="APK506" s="332"/>
      <c r="APL506" s="332"/>
      <c r="APM506" s="332"/>
      <c r="APN506" s="332"/>
      <c r="APO506" s="332"/>
      <c r="APP506" s="332"/>
      <c r="APQ506" s="332"/>
      <c r="APR506" s="332"/>
      <c r="APS506" s="332"/>
      <c r="APT506" s="332"/>
      <c r="APU506" s="332"/>
      <c r="APV506" s="332"/>
      <c r="APW506" s="332"/>
      <c r="APX506" s="332"/>
      <c r="APY506" s="332"/>
      <c r="APZ506" s="332"/>
      <c r="AQA506" s="332"/>
      <c r="AQB506" s="332"/>
      <c r="AQC506" s="332"/>
      <c r="AQD506" s="332"/>
      <c r="AQE506" s="332"/>
      <c r="AQF506" s="332"/>
      <c r="AQG506" s="332"/>
      <c r="AQH506" s="332"/>
      <c r="AQI506" s="332"/>
      <c r="AQJ506" s="332"/>
      <c r="AQK506" s="332"/>
      <c r="AQL506" s="332"/>
      <c r="AQM506" s="332"/>
      <c r="AQN506" s="332"/>
      <c r="AQO506" s="332"/>
      <c r="AQP506" s="332"/>
      <c r="AQQ506" s="332"/>
      <c r="AQR506" s="332"/>
      <c r="AQS506" s="332"/>
      <c r="AQT506" s="332"/>
      <c r="AQU506" s="332"/>
      <c r="AQV506" s="332"/>
      <c r="AQW506" s="332"/>
      <c r="AQX506" s="332"/>
      <c r="AQY506" s="332"/>
      <c r="AQZ506" s="332"/>
      <c r="ARA506" s="332"/>
      <c r="ARB506" s="332"/>
      <c r="ARC506" s="332"/>
      <c r="ARD506" s="332"/>
      <c r="ARE506" s="332"/>
      <c r="ARF506" s="332"/>
      <c r="ARG506" s="332"/>
      <c r="ARH506" s="332"/>
      <c r="ARI506" s="332"/>
      <c r="ARJ506" s="332"/>
      <c r="ARK506" s="332"/>
      <c r="ARL506" s="332"/>
      <c r="ARM506" s="332"/>
      <c r="ARN506" s="332"/>
      <c r="ARO506" s="332"/>
      <c r="ARP506" s="332"/>
      <c r="ARQ506" s="332"/>
      <c r="ARR506" s="332"/>
      <c r="ARS506" s="332"/>
      <c r="ART506" s="332"/>
      <c r="ARU506" s="332"/>
      <c r="ARV506" s="332"/>
      <c r="ARW506" s="332"/>
      <c r="ARX506" s="332"/>
      <c r="ARY506" s="332"/>
      <c r="ARZ506" s="332"/>
      <c r="ASA506" s="332"/>
      <c r="ASB506" s="332"/>
      <c r="ASC506" s="332"/>
      <c r="ASD506" s="332"/>
      <c r="ASE506" s="332"/>
      <c r="ASF506" s="332"/>
      <c r="ASG506" s="332"/>
      <c r="ASH506" s="332"/>
      <c r="ASI506" s="332"/>
      <c r="ASJ506" s="332"/>
      <c r="ASK506" s="332"/>
      <c r="ASL506" s="332"/>
      <c r="ASM506" s="332"/>
      <c r="ASN506" s="332"/>
      <c r="ASO506" s="332"/>
      <c r="ASP506" s="332"/>
      <c r="ASQ506" s="332"/>
      <c r="ASR506" s="332"/>
      <c r="ASS506" s="332"/>
      <c r="AST506" s="332"/>
      <c r="ASU506" s="332"/>
      <c r="ASV506" s="332"/>
      <c r="ASW506" s="332"/>
      <c r="ASX506" s="332"/>
      <c r="ASY506" s="332"/>
      <c r="ASZ506" s="332"/>
      <c r="ATA506" s="332"/>
      <c r="ATB506" s="332"/>
      <c r="ATC506" s="332"/>
      <c r="ATD506" s="332"/>
      <c r="ATE506" s="332"/>
      <c r="ATF506" s="332"/>
      <c r="ATG506" s="332"/>
      <c r="ATH506" s="332"/>
      <c r="ATI506" s="332"/>
      <c r="ATJ506" s="332"/>
      <c r="ATK506" s="332"/>
      <c r="ATL506" s="332"/>
      <c r="ATM506" s="332"/>
      <c r="ATN506" s="332"/>
      <c r="ATO506" s="332"/>
      <c r="ATP506" s="332"/>
      <c r="ATQ506" s="332"/>
      <c r="ATR506" s="332"/>
      <c r="ATS506" s="332"/>
      <c r="ATT506" s="332"/>
      <c r="ATU506" s="332"/>
      <c r="ATV506" s="332"/>
      <c r="ATW506" s="332"/>
      <c r="ATX506" s="332"/>
      <c r="ATY506" s="332"/>
      <c r="ATZ506" s="332"/>
      <c r="AUA506" s="332"/>
      <c r="AUB506" s="332"/>
      <c r="AUC506" s="332"/>
      <c r="AUD506" s="332"/>
      <c r="AUE506" s="332"/>
      <c r="AUF506" s="332"/>
      <c r="AUG506" s="332"/>
      <c r="AUH506" s="332"/>
      <c r="AUI506" s="332"/>
      <c r="AUJ506" s="332"/>
      <c r="AUK506" s="332"/>
      <c r="AUL506" s="332"/>
      <c r="AUM506" s="332"/>
      <c r="AUN506" s="332"/>
      <c r="AUO506" s="332"/>
      <c r="AUP506" s="332"/>
      <c r="AUQ506" s="332"/>
      <c r="AUR506" s="332"/>
      <c r="AUS506" s="332"/>
      <c r="AUT506" s="332"/>
      <c r="AUU506" s="332"/>
      <c r="AUV506" s="332"/>
      <c r="AUW506" s="332"/>
      <c r="AUX506" s="332"/>
      <c r="AUY506" s="332"/>
      <c r="AUZ506" s="332"/>
      <c r="AVA506" s="332"/>
      <c r="AVB506" s="332"/>
      <c r="AVC506" s="332"/>
      <c r="AVD506" s="332"/>
      <c r="AVE506" s="332"/>
      <c r="AVF506" s="332"/>
      <c r="AVG506" s="332"/>
      <c r="AVH506" s="332"/>
      <c r="AVI506" s="332"/>
      <c r="AVJ506" s="332"/>
      <c r="AVK506" s="332"/>
      <c r="AVL506" s="332"/>
      <c r="AVM506" s="332"/>
      <c r="AVN506" s="332"/>
      <c r="AVO506" s="332"/>
      <c r="AVP506" s="332"/>
      <c r="AVQ506" s="332"/>
      <c r="AVR506" s="332"/>
      <c r="AVS506" s="332"/>
      <c r="AVT506" s="332"/>
      <c r="AVU506" s="332"/>
      <c r="AVV506" s="332"/>
      <c r="AVW506" s="332"/>
      <c r="AVX506" s="332"/>
      <c r="AVY506" s="332"/>
      <c r="AVZ506" s="332"/>
      <c r="AWA506" s="332"/>
      <c r="AWB506" s="332"/>
      <c r="AWC506" s="332"/>
      <c r="AWD506" s="332"/>
      <c r="AWE506" s="332"/>
      <c r="AWF506" s="332"/>
      <c r="AWG506" s="332"/>
      <c r="AWH506" s="332"/>
      <c r="AWI506" s="332"/>
      <c r="AWJ506" s="332"/>
      <c r="AWK506" s="332"/>
      <c r="AWL506" s="332"/>
      <c r="AWM506" s="332"/>
      <c r="AWN506" s="332"/>
      <c r="AWO506" s="332"/>
      <c r="AWP506" s="332"/>
      <c r="AWQ506" s="332"/>
      <c r="AWR506" s="332"/>
      <c r="AWS506" s="332"/>
      <c r="AWT506" s="332"/>
      <c r="AWU506" s="332"/>
      <c r="AWV506" s="332"/>
      <c r="AWW506" s="332"/>
      <c r="AWX506" s="332"/>
      <c r="AWY506" s="332"/>
      <c r="AWZ506" s="332"/>
      <c r="AXA506" s="332"/>
      <c r="AXB506" s="332"/>
      <c r="AXC506" s="332"/>
      <c r="AXD506" s="332"/>
      <c r="AXE506" s="332"/>
      <c r="AXF506" s="332"/>
      <c r="AXG506" s="332"/>
      <c r="AXH506" s="332"/>
      <c r="AXI506" s="332"/>
      <c r="AXJ506" s="332"/>
      <c r="AXK506" s="332"/>
      <c r="AXL506" s="332"/>
      <c r="AXM506" s="332"/>
      <c r="AXN506" s="332"/>
      <c r="AXO506" s="332"/>
      <c r="AXP506" s="332"/>
      <c r="AXQ506" s="332"/>
      <c r="AXR506" s="332"/>
      <c r="AXS506" s="332"/>
      <c r="AXT506" s="332"/>
      <c r="AXU506" s="332"/>
      <c r="AXV506" s="332"/>
      <c r="AXW506" s="332"/>
      <c r="AXX506" s="332"/>
      <c r="AXY506" s="332"/>
      <c r="AXZ506" s="332"/>
      <c r="AYA506" s="332"/>
      <c r="AYB506" s="332"/>
      <c r="AYC506" s="332"/>
      <c r="AYD506" s="332"/>
      <c r="AYE506" s="332"/>
      <c r="AYF506" s="332"/>
      <c r="AYG506" s="332"/>
      <c r="AYH506" s="332"/>
      <c r="AYI506" s="332"/>
      <c r="AYJ506" s="332"/>
      <c r="AYK506" s="332"/>
      <c r="AYL506" s="332"/>
      <c r="AYM506" s="332"/>
      <c r="AYN506" s="332"/>
      <c r="AYO506" s="332"/>
      <c r="AYP506" s="332"/>
      <c r="AYQ506" s="332"/>
      <c r="AYR506" s="332"/>
      <c r="AYS506" s="332"/>
      <c r="AYT506" s="332"/>
      <c r="AYU506" s="332"/>
      <c r="AYV506" s="332"/>
      <c r="AYW506" s="332"/>
      <c r="AYX506" s="332"/>
      <c r="AYY506" s="332"/>
      <c r="AYZ506" s="332"/>
      <c r="AZA506" s="332"/>
      <c r="AZB506" s="332"/>
      <c r="AZC506" s="332"/>
      <c r="AZD506" s="332"/>
      <c r="AZE506" s="332"/>
      <c r="AZF506" s="332"/>
      <c r="AZG506" s="332"/>
      <c r="AZH506" s="332"/>
      <c r="AZI506" s="332"/>
      <c r="AZJ506" s="332"/>
      <c r="AZK506" s="332"/>
      <c r="AZL506" s="332"/>
      <c r="AZM506" s="332"/>
      <c r="AZN506" s="332"/>
      <c r="AZO506" s="332"/>
      <c r="AZP506" s="332"/>
      <c r="AZQ506" s="332"/>
      <c r="AZR506" s="332"/>
      <c r="AZS506" s="332"/>
      <c r="AZT506" s="332"/>
      <c r="AZU506" s="332"/>
      <c r="AZV506" s="332"/>
      <c r="AZW506" s="332"/>
      <c r="AZX506" s="332"/>
      <c r="AZY506" s="332"/>
      <c r="AZZ506" s="332"/>
      <c r="BAA506" s="332"/>
      <c r="BAB506" s="332"/>
      <c r="BAC506" s="332"/>
      <c r="BAD506" s="332"/>
      <c r="BAE506" s="332"/>
      <c r="BAF506" s="332"/>
      <c r="BAG506" s="332"/>
      <c r="BAH506" s="332"/>
      <c r="BAI506" s="332"/>
      <c r="BAJ506" s="332"/>
      <c r="BAK506" s="332"/>
      <c r="BAL506" s="332"/>
      <c r="BAM506" s="332"/>
      <c r="BAN506" s="332"/>
      <c r="BAO506" s="332"/>
      <c r="BAP506" s="332"/>
      <c r="BAQ506" s="332"/>
      <c r="BAR506" s="332"/>
      <c r="BAS506" s="332"/>
      <c r="BAT506" s="332"/>
      <c r="BAU506" s="332"/>
      <c r="BAV506" s="332"/>
      <c r="BAW506" s="332"/>
      <c r="BAX506" s="332"/>
      <c r="BAY506" s="332"/>
      <c r="BAZ506" s="332"/>
      <c r="BBA506" s="332"/>
      <c r="BBB506" s="332"/>
      <c r="BBC506" s="332"/>
      <c r="BBD506" s="332"/>
      <c r="BBE506" s="332"/>
      <c r="BBF506" s="332"/>
      <c r="BBG506" s="332"/>
      <c r="BBH506" s="332"/>
      <c r="BBI506" s="332"/>
      <c r="BBJ506" s="332"/>
      <c r="BBK506" s="332"/>
      <c r="BBL506" s="332"/>
      <c r="BBM506" s="332"/>
      <c r="BBN506" s="332"/>
      <c r="BBO506" s="332"/>
      <c r="BBP506" s="332"/>
      <c r="BBQ506" s="332"/>
      <c r="BBR506" s="332"/>
      <c r="BBS506" s="332"/>
      <c r="BBT506" s="332"/>
      <c r="BBU506" s="332"/>
      <c r="BBV506" s="332"/>
      <c r="BBW506" s="332"/>
      <c r="BBX506" s="332"/>
      <c r="BBY506" s="332"/>
      <c r="BBZ506" s="332"/>
      <c r="BCA506" s="332"/>
      <c r="BCB506" s="332"/>
      <c r="BCC506" s="332"/>
      <c r="BCD506" s="332"/>
      <c r="BCE506" s="332"/>
      <c r="BCF506" s="332"/>
      <c r="BCG506" s="332"/>
      <c r="BCH506" s="332"/>
      <c r="BCI506" s="332"/>
      <c r="BCJ506" s="332"/>
      <c r="BCK506" s="332"/>
      <c r="BCL506" s="332"/>
      <c r="BCM506" s="332"/>
      <c r="BCN506" s="332"/>
      <c r="BCO506" s="332"/>
      <c r="BCP506" s="332"/>
      <c r="BCQ506" s="332"/>
      <c r="BCR506" s="332"/>
      <c r="BCS506" s="332"/>
      <c r="BCT506" s="332"/>
      <c r="BCU506" s="332"/>
      <c r="BCV506" s="332"/>
      <c r="BCW506" s="332"/>
      <c r="BCX506" s="332"/>
      <c r="BCY506" s="332"/>
      <c r="BCZ506" s="332"/>
      <c r="BDA506" s="332"/>
      <c r="BDB506" s="332"/>
      <c r="BDC506" s="332"/>
      <c r="BDD506" s="332"/>
      <c r="BDE506" s="332"/>
      <c r="BDF506" s="332"/>
      <c r="BDG506" s="332"/>
      <c r="BDH506" s="332"/>
      <c r="BDI506" s="332"/>
      <c r="BDJ506" s="332"/>
      <c r="BDK506" s="332"/>
      <c r="BDL506" s="332"/>
      <c r="BDM506" s="332"/>
      <c r="BDN506" s="332"/>
      <c r="BDO506" s="332"/>
      <c r="BDP506" s="332"/>
      <c r="BDQ506" s="332"/>
      <c r="BDR506" s="332"/>
      <c r="BDS506" s="332"/>
      <c r="BDT506" s="332"/>
      <c r="BDU506" s="332"/>
      <c r="BDV506" s="332"/>
      <c r="BDW506" s="332"/>
      <c r="BDX506" s="332"/>
      <c r="BDY506" s="332"/>
      <c r="BDZ506" s="332"/>
      <c r="BEA506" s="332"/>
      <c r="BEB506" s="332"/>
      <c r="BEC506" s="332"/>
      <c r="BED506" s="332"/>
      <c r="BEE506" s="332"/>
      <c r="BEF506" s="332"/>
      <c r="BEG506" s="332"/>
      <c r="BEH506" s="332"/>
      <c r="BEI506" s="332"/>
      <c r="BEJ506" s="332"/>
      <c r="BEK506" s="332"/>
      <c r="BEL506" s="332"/>
      <c r="BEM506" s="332"/>
      <c r="BEN506" s="332"/>
      <c r="BEO506" s="332"/>
      <c r="BEP506" s="332"/>
      <c r="BEQ506" s="332"/>
      <c r="BER506" s="332"/>
      <c r="BES506" s="332"/>
      <c r="BET506" s="332"/>
      <c r="BEU506" s="332"/>
      <c r="BEV506" s="332"/>
      <c r="BEW506" s="332"/>
      <c r="BEX506" s="332"/>
      <c r="BEY506" s="332"/>
      <c r="BEZ506" s="332"/>
      <c r="BFA506" s="332"/>
      <c r="BFB506" s="332"/>
      <c r="BFC506" s="332"/>
      <c r="BFD506" s="332"/>
      <c r="BFE506" s="332"/>
      <c r="BFF506" s="332"/>
      <c r="BFG506" s="332"/>
      <c r="BFH506" s="332"/>
      <c r="BFI506" s="332"/>
      <c r="BFJ506" s="332"/>
      <c r="BFK506" s="332"/>
      <c r="BFL506" s="332"/>
      <c r="BFM506" s="332"/>
      <c r="BFN506" s="332"/>
      <c r="BFO506" s="332"/>
      <c r="BFP506" s="332"/>
      <c r="BFQ506" s="332"/>
      <c r="BFR506" s="332"/>
      <c r="BFS506" s="332"/>
      <c r="BFT506" s="332"/>
      <c r="BFU506" s="332"/>
      <c r="BFV506" s="332"/>
      <c r="BFW506" s="332"/>
      <c r="BFX506" s="332"/>
      <c r="BFY506" s="332"/>
      <c r="BFZ506" s="332"/>
      <c r="BGA506" s="332"/>
      <c r="BGB506" s="332"/>
      <c r="BGC506" s="332"/>
      <c r="BGD506" s="332"/>
      <c r="BGE506" s="332"/>
      <c r="BGF506" s="332"/>
      <c r="BGG506" s="332"/>
      <c r="BGH506" s="332"/>
      <c r="BGI506" s="332"/>
      <c r="BGJ506" s="332"/>
      <c r="BGK506" s="332"/>
      <c r="BGL506" s="332"/>
      <c r="BGM506" s="332"/>
      <c r="BGN506" s="332"/>
      <c r="BGO506" s="332"/>
      <c r="BGP506" s="332"/>
      <c r="BGQ506" s="332"/>
      <c r="BGR506" s="332"/>
      <c r="BGS506" s="332"/>
      <c r="BGT506" s="332"/>
      <c r="BGU506" s="332"/>
      <c r="BGV506" s="332"/>
      <c r="BGW506" s="332"/>
      <c r="BGX506" s="332"/>
      <c r="BGY506" s="332"/>
      <c r="BGZ506" s="332"/>
      <c r="BHA506" s="332"/>
      <c r="BHB506" s="332"/>
      <c r="BHC506" s="332"/>
      <c r="BHD506" s="332"/>
      <c r="BHE506" s="332"/>
      <c r="BHF506" s="332"/>
      <c r="BHG506" s="332"/>
      <c r="BHH506" s="332"/>
      <c r="BHI506" s="332"/>
      <c r="BHJ506" s="332"/>
      <c r="BHK506" s="332"/>
      <c r="BHL506" s="332"/>
      <c r="BHM506" s="332"/>
      <c r="BHN506" s="332"/>
      <c r="BHO506" s="332"/>
      <c r="BHP506" s="332"/>
      <c r="BHQ506" s="332"/>
      <c r="BHR506" s="332"/>
      <c r="BHS506" s="332"/>
      <c r="BHT506" s="332"/>
      <c r="BHU506" s="332"/>
      <c r="BHV506" s="332"/>
      <c r="BHW506" s="332"/>
      <c r="BHX506" s="332"/>
      <c r="BHY506" s="332"/>
      <c r="BHZ506" s="332"/>
      <c r="BIA506" s="332"/>
      <c r="BIB506" s="332"/>
      <c r="BIC506" s="332"/>
      <c r="BID506" s="332"/>
      <c r="BIE506" s="332"/>
      <c r="BIF506" s="332"/>
      <c r="BIG506" s="332"/>
      <c r="BIH506" s="332"/>
      <c r="BII506" s="332"/>
      <c r="BIJ506" s="332"/>
      <c r="BIK506" s="332"/>
      <c r="BIL506" s="332"/>
      <c r="BIM506" s="332"/>
      <c r="BIN506" s="332"/>
      <c r="BIO506" s="332"/>
      <c r="BIP506" s="332"/>
      <c r="BIQ506" s="332"/>
      <c r="BIR506" s="332"/>
      <c r="BIS506" s="332"/>
      <c r="BIT506" s="332"/>
      <c r="BIU506" s="332"/>
      <c r="BIV506" s="332"/>
      <c r="BIW506" s="332"/>
      <c r="BIX506" s="332"/>
      <c r="BIY506" s="332"/>
      <c r="BIZ506" s="332"/>
      <c r="BJA506" s="332"/>
      <c r="BJB506" s="332"/>
      <c r="BJC506" s="332"/>
      <c r="BJD506" s="332"/>
      <c r="BJE506" s="332"/>
      <c r="BJF506" s="332"/>
      <c r="BJG506" s="332"/>
      <c r="BJH506" s="332"/>
      <c r="BJI506" s="332"/>
      <c r="BJJ506" s="332"/>
      <c r="BJK506" s="332"/>
      <c r="BJL506" s="332"/>
      <c r="BJM506" s="332"/>
      <c r="BJN506" s="332"/>
      <c r="BJO506" s="332"/>
      <c r="BJP506" s="332"/>
      <c r="BJQ506" s="332"/>
      <c r="BJR506" s="332"/>
      <c r="BJS506" s="332"/>
      <c r="BJT506" s="332"/>
      <c r="BJU506" s="332"/>
      <c r="BJV506" s="332"/>
      <c r="BJW506" s="332"/>
      <c r="BJX506" s="332"/>
      <c r="BJY506" s="332"/>
      <c r="BJZ506" s="332"/>
      <c r="BKA506" s="332"/>
      <c r="BKB506" s="332"/>
      <c r="BKC506" s="332"/>
      <c r="BKD506" s="332"/>
      <c r="BKE506" s="332"/>
      <c r="BKF506" s="332"/>
      <c r="BKG506" s="332"/>
      <c r="BKH506" s="332"/>
      <c r="BKI506" s="332"/>
      <c r="BKJ506" s="332"/>
      <c r="BKK506" s="332"/>
      <c r="BKL506" s="332"/>
      <c r="BKM506" s="332"/>
      <c r="BKN506" s="332"/>
      <c r="BKO506" s="332"/>
      <c r="BKP506" s="332"/>
      <c r="BKQ506" s="332"/>
      <c r="BKR506" s="332"/>
      <c r="BKS506" s="332"/>
      <c r="BKT506" s="332"/>
      <c r="BKU506" s="332"/>
      <c r="BKV506" s="332"/>
      <c r="BKW506" s="332"/>
      <c r="BKX506" s="332"/>
      <c r="BKY506" s="332"/>
      <c r="BKZ506" s="332"/>
      <c r="BLA506" s="332"/>
      <c r="BLB506" s="332"/>
      <c r="BLC506" s="332"/>
      <c r="BLD506" s="332"/>
      <c r="BLE506" s="332"/>
      <c r="BLF506" s="332"/>
      <c r="BLG506" s="332"/>
      <c r="BLH506" s="332"/>
      <c r="BLI506" s="332"/>
      <c r="BLJ506" s="332"/>
      <c r="BLK506" s="332"/>
      <c r="BLL506" s="332"/>
      <c r="BLM506" s="332"/>
      <c r="BLN506" s="332"/>
      <c r="BLO506" s="332"/>
      <c r="BLP506" s="332"/>
      <c r="BLQ506" s="332"/>
      <c r="BLR506" s="332"/>
      <c r="BLS506" s="332"/>
      <c r="BLT506" s="332"/>
      <c r="BLU506" s="332"/>
      <c r="BLV506" s="332"/>
      <c r="BLW506" s="332"/>
      <c r="BLX506" s="332"/>
      <c r="BLY506" s="332"/>
      <c r="BLZ506" s="332"/>
      <c r="BMA506" s="332"/>
      <c r="BMB506" s="332"/>
      <c r="BMC506" s="332"/>
      <c r="BMD506" s="332"/>
      <c r="BME506" s="332"/>
      <c r="BMF506" s="332"/>
      <c r="BMG506" s="332"/>
      <c r="BMH506" s="332"/>
      <c r="BMI506" s="332"/>
      <c r="BMJ506" s="332"/>
      <c r="BMK506" s="332"/>
      <c r="BML506" s="332"/>
      <c r="BMM506" s="332"/>
      <c r="BMN506" s="332"/>
      <c r="BMO506" s="332"/>
      <c r="BMP506" s="332"/>
      <c r="BMQ506" s="332"/>
      <c r="BMR506" s="332"/>
      <c r="BMS506" s="332"/>
      <c r="BMT506" s="332"/>
      <c r="BMU506" s="332"/>
      <c r="BMV506" s="332"/>
      <c r="BMW506" s="332"/>
      <c r="BMX506" s="332"/>
      <c r="BMY506" s="332"/>
      <c r="BMZ506" s="332"/>
      <c r="BNA506" s="332"/>
      <c r="BNB506" s="332"/>
      <c r="BNC506" s="332"/>
      <c r="BND506" s="332"/>
      <c r="BNE506" s="332"/>
      <c r="BNF506" s="332"/>
      <c r="BNG506" s="332"/>
      <c r="BNH506" s="332"/>
      <c r="BNI506" s="332"/>
      <c r="BNJ506" s="332"/>
      <c r="BNK506" s="332"/>
      <c r="BNL506" s="332"/>
      <c r="BNM506" s="332"/>
      <c r="BNN506" s="332"/>
      <c r="BNO506" s="332"/>
      <c r="BNP506" s="332"/>
      <c r="BNQ506" s="332"/>
      <c r="BNR506" s="332"/>
      <c r="BNS506" s="332"/>
      <c r="BNT506" s="332"/>
      <c r="BNU506" s="332"/>
      <c r="BNV506" s="332"/>
      <c r="BNW506" s="332"/>
      <c r="BNX506" s="332"/>
      <c r="BNY506" s="332"/>
      <c r="BNZ506" s="332"/>
      <c r="BOA506" s="332"/>
      <c r="BOB506" s="332"/>
      <c r="BOC506" s="332"/>
      <c r="BOD506" s="332"/>
      <c r="BOE506" s="332"/>
      <c r="BOF506" s="332"/>
      <c r="BOG506" s="332"/>
      <c r="BOH506" s="332"/>
      <c r="BOI506" s="332"/>
      <c r="BOJ506" s="332"/>
      <c r="BOK506" s="332"/>
      <c r="BOL506" s="332"/>
      <c r="BOM506" s="332"/>
      <c r="BON506" s="332"/>
      <c r="BOO506" s="332"/>
      <c r="BOP506" s="332"/>
      <c r="BOQ506" s="332"/>
      <c r="BOR506" s="332"/>
      <c r="BOS506" s="332"/>
      <c r="BOT506" s="332"/>
      <c r="BOU506" s="332"/>
      <c r="BOV506" s="332"/>
      <c r="BOW506" s="332"/>
      <c r="BOX506" s="332"/>
      <c r="BOY506" s="332"/>
      <c r="BOZ506" s="332"/>
      <c r="BPA506" s="332"/>
      <c r="BPB506" s="332"/>
      <c r="BPC506" s="332"/>
      <c r="BPD506" s="332"/>
      <c r="BPE506" s="332"/>
      <c r="BPF506" s="332"/>
      <c r="BPG506" s="332"/>
      <c r="BPH506" s="332"/>
      <c r="BPI506" s="332"/>
      <c r="BPJ506" s="332"/>
      <c r="BPK506" s="332"/>
      <c r="BPL506" s="332"/>
      <c r="BPM506" s="332"/>
      <c r="BPN506" s="332"/>
      <c r="BPO506" s="332"/>
      <c r="BPP506" s="332"/>
      <c r="BPQ506" s="332"/>
      <c r="BPR506" s="332"/>
      <c r="BPS506" s="332"/>
      <c r="BPT506" s="332"/>
      <c r="BPU506" s="332"/>
      <c r="BPV506" s="332"/>
      <c r="BPW506" s="332"/>
      <c r="BPX506" s="332"/>
      <c r="BPY506" s="332"/>
      <c r="BPZ506" s="332"/>
      <c r="BQA506" s="332"/>
      <c r="BQB506" s="332"/>
      <c r="BQC506" s="332"/>
      <c r="BQD506" s="332"/>
      <c r="BQE506" s="332"/>
      <c r="BQF506" s="332"/>
      <c r="BQG506" s="332"/>
      <c r="BQH506" s="332"/>
      <c r="BQI506" s="332"/>
      <c r="BQJ506" s="332"/>
      <c r="BQK506" s="332"/>
      <c r="BQL506" s="332"/>
      <c r="BQM506" s="332"/>
      <c r="BQN506" s="332"/>
      <c r="BQO506" s="332"/>
      <c r="BQP506" s="332"/>
      <c r="BQQ506" s="332"/>
      <c r="BQR506" s="332"/>
      <c r="BQS506" s="332"/>
      <c r="BQT506" s="332"/>
      <c r="BQU506" s="332"/>
      <c r="BQV506" s="332"/>
      <c r="BQW506" s="332"/>
      <c r="BQX506" s="332"/>
      <c r="BQY506" s="332"/>
      <c r="BQZ506" s="332"/>
      <c r="BRA506" s="332"/>
      <c r="BRB506" s="332"/>
      <c r="BRC506" s="332"/>
      <c r="BRD506" s="332"/>
      <c r="BRE506" s="332"/>
      <c r="BRF506" s="332"/>
      <c r="BRG506" s="332"/>
      <c r="BRH506" s="332"/>
      <c r="BRI506" s="332"/>
      <c r="BRJ506" s="332"/>
      <c r="BRK506" s="332"/>
      <c r="BRL506" s="332"/>
      <c r="BRM506" s="332"/>
      <c r="BRN506" s="332"/>
      <c r="BRO506" s="332"/>
      <c r="BRP506" s="332"/>
      <c r="BRQ506" s="332"/>
      <c r="BRR506" s="332"/>
      <c r="BRS506" s="332"/>
      <c r="BRT506" s="332"/>
      <c r="BRU506" s="332"/>
      <c r="BRV506" s="332"/>
      <c r="BRW506" s="332"/>
      <c r="BRX506" s="332"/>
      <c r="BRY506" s="332"/>
      <c r="BRZ506" s="332"/>
      <c r="BSA506" s="332"/>
      <c r="BSB506" s="332"/>
      <c r="BSC506" s="332"/>
      <c r="BSD506" s="332"/>
      <c r="BSE506" s="332"/>
      <c r="BSF506" s="332"/>
      <c r="BSG506" s="332"/>
      <c r="BSH506" s="332"/>
      <c r="BSI506" s="332"/>
      <c r="BSJ506" s="332"/>
      <c r="BSK506" s="332"/>
      <c r="BSL506" s="332"/>
      <c r="BSM506" s="332"/>
      <c r="BSN506" s="332"/>
      <c r="BSO506" s="332"/>
      <c r="BSP506" s="332"/>
      <c r="BSQ506" s="332"/>
      <c r="BSR506" s="332"/>
      <c r="BSS506" s="332"/>
      <c r="BST506" s="332"/>
      <c r="BSU506" s="332"/>
      <c r="BSV506" s="332"/>
      <c r="BSW506" s="332"/>
      <c r="BSX506" s="332"/>
      <c r="BSY506" s="332"/>
      <c r="BSZ506" s="332"/>
      <c r="BTA506" s="332"/>
      <c r="BTB506" s="332"/>
      <c r="BTC506" s="332"/>
      <c r="BTD506" s="332"/>
      <c r="BTE506" s="332"/>
      <c r="BTF506" s="332"/>
      <c r="BTG506" s="332"/>
      <c r="BTH506" s="332"/>
      <c r="BTI506" s="332"/>
      <c r="BTJ506" s="332"/>
      <c r="BTK506" s="332"/>
      <c r="BTL506" s="332"/>
      <c r="BTM506" s="332"/>
      <c r="BTN506" s="332"/>
      <c r="BTO506" s="332"/>
      <c r="BTP506" s="332"/>
      <c r="BTQ506" s="332"/>
      <c r="BTR506" s="332"/>
      <c r="BTS506" s="332"/>
      <c r="BTT506" s="332"/>
      <c r="BTU506" s="332"/>
      <c r="BTV506" s="332"/>
      <c r="BTW506" s="332"/>
      <c r="BTX506" s="332"/>
      <c r="BTY506" s="332"/>
      <c r="BTZ506" s="332"/>
      <c r="BUA506" s="332"/>
      <c r="BUB506" s="332"/>
      <c r="BUC506" s="332"/>
      <c r="BUD506" s="332"/>
      <c r="BUE506" s="332"/>
      <c r="BUF506" s="332"/>
      <c r="BUG506" s="332"/>
      <c r="BUH506" s="332"/>
      <c r="BUI506" s="332"/>
      <c r="BUJ506" s="332"/>
      <c r="BUK506" s="332"/>
      <c r="BUL506" s="332"/>
      <c r="BUM506" s="332"/>
      <c r="BUN506" s="332"/>
      <c r="BUO506" s="332"/>
      <c r="BUP506" s="332"/>
      <c r="BUQ506" s="332"/>
      <c r="BUR506" s="332"/>
      <c r="BUS506" s="332"/>
      <c r="BUT506" s="332"/>
      <c r="BUU506" s="332"/>
      <c r="BUV506" s="332"/>
      <c r="BUW506" s="332"/>
      <c r="BUX506" s="332"/>
      <c r="BUY506" s="332"/>
      <c r="BUZ506" s="332"/>
      <c r="BVA506" s="332"/>
      <c r="BVB506" s="332"/>
      <c r="BVC506" s="332"/>
      <c r="BVD506" s="332"/>
      <c r="BVE506" s="332"/>
      <c r="BVF506" s="332"/>
      <c r="BVG506" s="332"/>
      <c r="BVH506" s="332"/>
      <c r="BVI506" s="332"/>
      <c r="BVJ506" s="332"/>
      <c r="BVK506" s="332"/>
      <c r="BVL506" s="332"/>
      <c r="BVM506" s="332"/>
      <c r="BVN506" s="332"/>
      <c r="BVO506" s="332"/>
      <c r="BVP506" s="332"/>
      <c r="BVQ506" s="332"/>
      <c r="BVR506" s="332"/>
      <c r="BVS506" s="332"/>
      <c r="BVT506" s="332"/>
      <c r="BVU506" s="332"/>
      <c r="BVV506" s="332"/>
      <c r="BVW506" s="332"/>
      <c r="BVX506" s="332"/>
      <c r="BVY506" s="332"/>
      <c r="BVZ506" s="332"/>
      <c r="BWA506" s="332"/>
      <c r="BWB506" s="332"/>
      <c r="BWC506" s="332"/>
      <c r="BWD506" s="332"/>
      <c r="BWE506" s="332"/>
      <c r="BWF506" s="332"/>
      <c r="BWG506" s="332"/>
      <c r="BWH506" s="332"/>
      <c r="BWI506" s="332"/>
      <c r="BWJ506" s="332"/>
      <c r="BWK506" s="332"/>
      <c r="BWL506" s="332"/>
      <c r="BWM506" s="332"/>
      <c r="BWN506" s="332"/>
      <c r="BWO506" s="332"/>
      <c r="BWP506" s="332"/>
      <c r="BWQ506" s="332"/>
      <c r="BWR506" s="332"/>
      <c r="BWS506" s="332"/>
      <c r="BWT506" s="332"/>
      <c r="BWU506" s="332"/>
      <c r="BWV506" s="332"/>
      <c r="BWW506" s="332"/>
      <c r="BWX506" s="332"/>
      <c r="BWY506" s="332"/>
      <c r="BWZ506" s="332"/>
      <c r="BXA506" s="332"/>
      <c r="BXB506" s="332"/>
      <c r="BXC506" s="332"/>
      <c r="BXD506" s="332"/>
      <c r="BXE506" s="332"/>
      <c r="BXF506" s="332"/>
      <c r="BXG506" s="332"/>
      <c r="BXH506" s="332"/>
      <c r="BXI506" s="332"/>
      <c r="BXJ506" s="332"/>
      <c r="BXK506" s="332"/>
      <c r="BXL506" s="332"/>
      <c r="BXM506" s="332"/>
      <c r="BXN506" s="332"/>
      <c r="BXO506" s="332"/>
      <c r="BXP506" s="332"/>
      <c r="BXQ506" s="332"/>
      <c r="BXR506" s="332"/>
      <c r="BXS506" s="332"/>
      <c r="BXT506" s="332"/>
      <c r="BXU506" s="332"/>
      <c r="BXV506" s="332"/>
      <c r="BXW506" s="332"/>
      <c r="BXX506" s="332"/>
      <c r="BXY506" s="332"/>
      <c r="BXZ506" s="332"/>
      <c r="BYA506" s="332"/>
      <c r="BYB506" s="332"/>
      <c r="BYC506" s="332"/>
      <c r="BYD506" s="332"/>
      <c r="BYE506" s="332"/>
      <c r="BYF506" s="332"/>
      <c r="BYG506" s="332"/>
      <c r="BYH506" s="332"/>
      <c r="BYI506" s="332"/>
      <c r="BYJ506" s="332"/>
      <c r="BYK506" s="332"/>
      <c r="BYL506" s="332"/>
      <c r="BYM506" s="332"/>
      <c r="BYN506" s="332"/>
      <c r="BYO506" s="332"/>
      <c r="BYP506" s="332"/>
      <c r="BYQ506" s="332"/>
      <c r="BYR506" s="332"/>
      <c r="BYS506" s="332"/>
      <c r="BYT506" s="332"/>
      <c r="BYU506" s="332"/>
      <c r="BYV506" s="332"/>
      <c r="BYW506" s="332"/>
      <c r="BYX506" s="332"/>
      <c r="BYY506" s="332"/>
      <c r="BYZ506" s="332"/>
      <c r="BZA506" s="332"/>
      <c r="BZB506" s="332"/>
      <c r="BZC506" s="332"/>
      <c r="BZD506" s="332"/>
      <c r="BZE506" s="332"/>
      <c r="BZF506" s="332"/>
      <c r="BZG506" s="332"/>
      <c r="BZH506" s="332"/>
      <c r="BZI506" s="332"/>
      <c r="BZJ506" s="332"/>
      <c r="BZK506" s="332"/>
      <c r="BZL506" s="332"/>
      <c r="BZM506" s="332"/>
      <c r="BZN506" s="332"/>
      <c r="BZO506" s="332"/>
      <c r="BZP506" s="332"/>
      <c r="BZQ506" s="332"/>
      <c r="BZR506" s="332"/>
      <c r="BZS506" s="332"/>
      <c r="BZT506" s="332"/>
      <c r="BZU506" s="332"/>
      <c r="BZV506" s="332"/>
      <c r="BZW506" s="332"/>
      <c r="BZX506" s="332"/>
      <c r="BZY506" s="332"/>
      <c r="BZZ506" s="332"/>
      <c r="CAA506" s="332"/>
      <c r="CAB506" s="332"/>
      <c r="CAC506" s="332"/>
      <c r="CAD506" s="332"/>
      <c r="CAE506" s="332"/>
      <c r="CAF506" s="332"/>
      <c r="CAG506" s="332"/>
      <c r="CAH506" s="332"/>
      <c r="CAI506" s="332"/>
      <c r="CAJ506" s="332"/>
      <c r="CAK506" s="332"/>
      <c r="CAL506" s="332"/>
      <c r="CAM506" s="332"/>
      <c r="CAN506" s="332"/>
      <c r="CAO506" s="332"/>
      <c r="CAP506" s="332"/>
      <c r="CAQ506" s="332"/>
      <c r="CAR506" s="332"/>
      <c r="CAS506" s="332"/>
      <c r="CAT506" s="332"/>
      <c r="CAU506" s="332"/>
      <c r="CAV506" s="332"/>
      <c r="CAW506" s="332"/>
      <c r="CAX506" s="332"/>
      <c r="CAY506" s="332"/>
      <c r="CAZ506" s="332"/>
      <c r="CBA506" s="332"/>
      <c r="CBB506" s="332"/>
      <c r="CBC506" s="332"/>
      <c r="CBD506" s="332"/>
      <c r="CBE506" s="332"/>
      <c r="CBF506" s="332"/>
      <c r="CBG506" s="332"/>
      <c r="CBH506" s="332"/>
      <c r="CBI506" s="332"/>
      <c r="CBJ506" s="332"/>
      <c r="CBK506" s="332"/>
      <c r="CBL506" s="332"/>
      <c r="CBM506" s="332"/>
      <c r="CBN506" s="332"/>
      <c r="CBO506" s="332"/>
      <c r="CBP506" s="332"/>
      <c r="CBQ506" s="332"/>
      <c r="CBR506" s="332"/>
      <c r="CBS506" s="332"/>
      <c r="CBT506" s="332"/>
      <c r="CBU506" s="332"/>
      <c r="CBV506" s="332"/>
      <c r="CBW506" s="332"/>
      <c r="CBX506" s="332"/>
      <c r="CBY506" s="332"/>
      <c r="CBZ506" s="332"/>
      <c r="CCA506" s="332"/>
      <c r="CCB506" s="332"/>
      <c r="CCC506" s="332"/>
      <c r="CCD506" s="332"/>
      <c r="CCE506" s="332"/>
      <c r="CCF506" s="332"/>
      <c r="CCG506" s="332"/>
      <c r="CCH506" s="332"/>
      <c r="CCI506" s="332"/>
      <c r="CCJ506" s="332"/>
      <c r="CCK506" s="332"/>
      <c r="CCL506" s="332"/>
      <c r="CCM506" s="332"/>
      <c r="CCN506" s="332"/>
      <c r="CCO506" s="332"/>
      <c r="CCP506" s="332"/>
      <c r="CCQ506" s="332"/>
      <c r="CCR506" s="332"/>
      <c r="CCS506" s="332"/>
      <c r="CCT506" s="332"/>
      <c r="CCU506" s="332"/>
      <c r="CCV506" s="332"/>
      <c r="CCW506" s="332"/>
      <c r="CCX506" s="332"/>
      <c r="CCY506" s="332"/>
      <c r="CCZ506" s="332"/>
      <c r="CDA506" s="332"/>
      <c r="CDB506" s="332"/>
      <c r="CDC506" s="332"/>
      <c r="CDD506" s="332"/>
      <c r="CDE506" s="332"/>
      <c r="CDF506" s="332"/>
      <c r="CDG506" s="332"/>
      <c r="CDH506" s="332"/>
      <c r="CDI506" s="332"/>
      <c r="CDJ506" s="332"/>
      <c r="CDK506" s="332"/>
      <c r="CDL506" s="332"/>
      <c r="CDM506" s="332"/>
      <c r="CDN506" s="332"/>
      <c r="CDO506" s="332"/>
      <c r="CDP506" s="332"/>
      <c r="CDQ506" s="332"/>
      <c r="CDR506" s="332"/>
      <c r="CDS506" s="332"/>
      <c r="CDT506" s="332"/>
      <c r="CDU506" s="332"/>
      <c r="CDV506" s="332"/>
      <c r="CDW506" s="332"/>
      <c r="CDX506" s="332"/>
      <c r="CDY506" s="332"/>
      <c r="CDZ506" s="332"/>
      <c r="CEA506" s="332"/>
      <c r="CEB506" s="332"/>
      <c r="CEC506" s="332"/>
      <c r="CED506" s="332"/>
      <c r="CEE506" s="332"/>
      <c r="CEF506" s="332"/>
      <c r="CEG506" s="332"/>
      <c r="CEH506" s="332"/>
      <c r="CEI506" s="332"/>
      <c r="CEJ506" s="332"/>
      <c r="CEK506" s="332"/>
      <c r="CEL506" s="332"/>
      <c r="CEM506" s="332"/>
      <c r="CEN506" s="332"/>
      <c r="CEO506" s="332"/>
      <c r="CEP506" s="332"/>
      <c r="CEQ506" s="332"/>
      <c r="CER506" s="332"/>
      <c r="CES506" s="332"/>
      <c r="CET506" s="332"/>
      <c r="CEU506" s="332"/>
      <c r="CEV506" s="332"/>
      <c r="CEW506" s="332"/>
      <c r="CEX506" s="332"/>
      <c r="CEY506" s="332"/>
      <c r="CEZ506" s="332"/>
      <c r="CFA506" s="332"/>
      <c r="CFB506" s="332"/>
      <c r="CFC506" s="332"/>
      <c r="CFD506" s="332"/>
      <c r="CFE506" s="332"/>
      <c r="CFF506" s="332"/>
      <c r="CFG506" s="332"/>
      <c r="CFH506" s="332"/>
      <c r="CFI506" s="332"/>
      <c r="CFJ506" s="332"/>
      <c r="CFK506" s="332"/>
      <c r="CFL506" s="332"/>
      <c r="CFM506" s="332"/>
      <c r="CFN506" s="332"/>
      <c r="CFO506" s="332"/>
      <c r="CFP506" s="332"/>
      <c r="CFQ506" s="332"/>
      <c r="CFR506" s="332"/>
      <c r="CFS506" s="332"/>
      <c r="CFT506" s="332"/>
      <c r="CFU506" s="332"/>
      <c r="CFV506" s="332"/>
      <c r="CFW506" s="332"/>
      <c r="CFX506" s="332"/>
      <c r="CFY506" s="332"/>
      <c r="CFZ506" s="332"/>
      <c r="CGA506" s="332"/>
      <c r="CGB506" s="332"/>
      <c r="CGC506" s="332"/>
      <c r="CGD506" s="332"/>
      <c r="CGE506" s="332"/>
      <c r="CGF506" s="332"/>
      <c r="CGG506" s="332"/>
      <c r="CGH506" s="332"/>
      <c r="CGI506" s="332"/>
      <c r="CGJ506" s="332"/>
      <c r="CGK506" s="332"/>
      <c r="CGL506" s="332"/>
      <c r="CGM506" s="332"/>
      <c r="CGN506" s="332"/>
      <c r="CGO506" s="332"/>
      <c r="CGP506" s="332"/>
      <c r="CGQ506" s="332"/>
      <c r="CGR506" s="332"/>
      <c r="CGS506" s="332"/>
      <c r="CGT506" s="332"/>
      <c r="CGU506" s="332"/>
      <c r="CGV506" s="332"/>
      <c r="CGW506" s="332"/>
      <c r="CGX506" s="332"/>
      <c r="CGY506" s="332"/>
      <c r="CGZ506" s="332"/>
      <c r="CHA506" s="332"/>
      <c r="CHB506" s="332"/>
      <c r="CHC506" s="332"/>
      <c r="CHD506" s="332"/>
      <c r="CHE506" s="332"/>
      <c r="CHF506" s="332"/>
      <c r="CHG506" s="332"/>
      <c r="CHH506" s="332"/>
      <c r="CHI506" s="332"/>
      <c r="CHJ506" s="332"/>
      <c r="CHK506" s="332"/>
      <c r="CHL506" s="332"/>
      <c r="CHM506" s="332"/>
      <c r="CHN506" s="332"/>
      <c r="CHO506" s="332"/>
      <c r="CHP506" s="332"/>
      <c r="CHQ506" s="332"/>
      <c r="CHR506" s="332"/>
      <c r="CHS506" s="332"/>
      <c r="CHT506" s="332"/>
      <c r="CHU506" s="332"/>
      <c r="CHV506" s="332"/>
      <c r="CHW506" s="332"/>
      <c r="CHX506" s="332"/>
      <c r="CHY506" s="332"/>
      <c r="CHZ506" s="332"/>
      <c r="CIA506" s="332"/>
      <c r="CIB506" s="332"/>
      <c r="CIC506" s="332"/>
      <c r="CID506" s="332"/>
      <c r="CIE506" s="332"/>
      <c r="CIF506" s="332"/>
      <c r="CIG506" s="332"/>
      <c r="CIH506" s="332"/>
      <c r="CII506" s="332"/>
      <c r="CIJ506" s="332"/>
      <c r="CIK506" s="332"/>
      <c r="CIL506" s="332"/>
      <c r="CIM506" s="332"/>
      <c r="CIN506" s="332"/>
      <c r="CIO506" s="332"/>
      <c r="CIP506" s="332"/>
      <c r="CIQ506" s="332"/>
      <c r="CIR506" s="332"/>
      <c r="CIS506" s="332"/>
      <c r="CIT506" s="332"/>
      <c r="CIU506" s="332"/>
      <c r="CIV506" s="332"/>
      <c r="CIW506" s="332"/>
      <c r="CIX506" s="332"/>
      <c r="CIY506" s="332"/>
      <c r="CIZ506" s="332"/>
      <c r="CJA506" s="332"/>
      <c r="CJB506" s="332"/>
      <c r="CJC506" s="332"/>
      <c r="CJD506" s="332"/>
      <c r="CJE506" s="332"/>
      <c r="CJF506" s="332"/>
      <c r="CJG506" s="332"/>
      <c r="CJH506" s="332"/>
      <c r="CJI506" s="332"/>
      <c r="CJJ506" s="332"/>
      <c r="CJK506" s="332"/>
      <c r="CJL506" s="332"/>
      <c r="CJM506" s="332"/>
      <c r="CJN506" s="332"/>
      <c r="CJO506" s="332"/>
      <c r="CJP506" s="332"/>
      <c r="CJQ506" s="332"/>
      <c r="CJR506" s="332"/>
      <c r="CJS506" s="332"/>
      <c r="CJT506" s="332"/>
      <c r="CJU506" s="332"/>
      <c r="CJV506" s="332"/>
      <c r="CJW506" s="332"/>
      <c r="CJX506" s="332"/>
      <c r="CJY506" s="332"/>
      <c r="CJZ506" s="332"/>
      <c r="CKA506" s="332"/>
      <c r="CKB506" s="332"/>
      <c r="CKC506" s="332"/>
      <c r="CKD506" s="332"/>
      <c r="CKE506" s="332"/>
      <c r="CKF506" s="332"/>
      <c r="CKG506" s="332"/>
      <c r="CKH506" s="332"/>
      <c r="CKI506" s="332"/>
      <c r="CKJ506" s="332"/>
      <c r="CKK506" s="332"/>
      <c r="CKL506" s="332"/>
      <c r="CKM506" s="332"/>
      <c r="CKN506" s="332"/>
      <c r="CKO506" s="332"/>
      <c r="CKP506" s="332"/>
      <c r="CKQ506" s="332"/>
      <c r="CKR506" s="332"/>
      <c r="CKS506" s="332"/>
      <c r="CKT506" s="332"/>
      <c r="CKU506" s="332"/>
      <c r="CKV506" s="332"/>
      <c r="CKW506" s="332"/>
      <c r="CKX506" s="332"/>
      <c r="CKY506" s="332"/>
      <c r="CKZ506" s="332"/>
      <c r="CLA506" s="332"/>
      <c r="CLB506" s="332"/>
      <c r="CLC506" s="332"/>
      <c r="CLD506" s="332"/>
      <c r="CLE506" s="332"/>
      <c r="CLF506" s="332"/>
      <c r="CLG506" s="332"/>
      <c r="CLH506" s="332"/>
      <c r="CLI506" s="332"/>
      <c r="CLJ506" s="332"/>
      <c r="CLK506" s="332"/>
      <c r="CLL506" s="332"/>
      <c r="CLM506" s="332"/>
      <c r="CLN506" s="332"/>
      <c r="CLO506" s="332"/>
      <c r="CLP506" s="332"/>
      <c r="CLQ506" s="332"/>
      <c r="CLR506" s="332"/>
      <c r="CLS506" s="332"/>
      <c r="CLT506" s="332"/>
      <c r="CLU506" s="332"/>
      <c r="CLV506" s="332"/>
      <c r="CLW506" s="332"/>
      <c r="CLX506" s="332"/>
      <c r="CLY506" s="332"/>
      <c r="CLZ506" s="332"/>
      <c r="CMA506" s="332"/>
      <c r="CMB506" s="332"/>
      <c r="CMC506" s="332"/>
      <c r="CMD506" s="332"/>
      <c r="CME506" s="332"/>
      <c r="CMF506" s="332"/>
      <c r="CMG506" s="332"/>
      <c r="CMH506" s="332"/>
      <c r="CMI506" s="332"/>
      <c r="CMJ506" s="332"/>
      <c r="CMK506" s="332"/>
      <c r="CML506" s="332"/>
      <c r="CMM506" s="332"/>
      <c r="CMN506" s="332"/>
      <c r="CMO506" s="332"/>
      <c r="CMP506" s="332"/>
      <c r="CMQ506" s="332"/>
      <c r="CMR506" s="332"/>
      <c r="CMS506" s="332"/>
      <c r="CMT506" s="332"/>
      <c r="CMU506" s="332"/>
      <c r="CMV506" s="332"/>
      <c r="CMW506" s="332"/>
      <c r="CMX506" s="332"/>
      <c r="CMY506" s="332"/>
      <c r="CMZ506" s="332"/>
      <c r="CNA506" s="332"/>
      <c r="CNB506" s="332"/>
      <c r="CNC506" s="332"/>
      <c r="CND506" s="332"/>
      <c r="CNE506" s="332"/>
      <c r="CNF506" s="332"/>
      <c r="CNG506" s="332"/>
      <c r="CNH506" s="332"/>
      <c r="CNI506" s="332"/>
      <c r="CNJ506" s="332"/>
      <c r="CNK506" s="332"/>
      <c r="CNL506" s="332"/>
      <c r="CNM506" s="332"/>
      <c r="CNN506" s="332"/>
      <c r="CNO506" s="332"/>
      <c r="CNP506" s="332"/>
      <c r="CNQ506" s="332"/>
      <c r="CNR506" s="332"/>
      <c r="CNS506" s="332"/>
      <c r="CNT506" s="332"/>
      <c r="CNU506" s="332"/>
      <c r="CNV506" s="332"/>
      <c r="CNW506" s="332"/>
      <c r="CNX506" s="332"/>
      <c r="CNY506" s="332"/>
      <c r="CNZ506" s="332"/>
      <c r="COA506" s="332"/>
      <c r="COB506" s="332"/>
      <c r="COC506" s="332"/>
      <c r="COD506" s="332"/>
      <c r="COE506" s="332"/>
      <c r="COF506" s="332"/>
      <c r="COG506" s="332"/>
      <c r="COH506" s="332"/>
      <c r="COI506" s="332"/>
      <c r="COJ506" s="332"/>
      <c r="COK506" s="332"/>
      <c r="COL506" s="332"/>
      <c r="COM506" s="332"/>
      <c r="CON506" s="332"/>
      <c r="COO506" s="332"/>
      <c r="COP506" s="332"/>
      <c r="COQ506" s="332"/>
      <c r="COR506" s="332"/>
      <c r="COS506" s="332"/>
      <c r="COT506" s="332"/>
      <c r="COU506" s="332"/>
      <c r="COV506" s="332"/>
      <c r="COW506" s="332"/>
      <c r="COX506" s="332"/>
      <c r="COY506" s="332"/>
      <c r="COZ506" s="332"/>
      <c r="CPA506" s="332"/>
      <c r="CPB506" s="332"/>
      <c r="CPC506" s="332"/>
      <c r="CPD506" s="332"/>
      <c r="CPE506" s="332"/>
      <c r="CPF506" s="332"/>
      <c r="CPG506" s="332"/>
      <c r="CPH506" s="332"/>
      <c r="CPI506" s="332"/>
      <c r="CPJ506" s="332"/>
      <c r="CPK506" s="332"/>
      <c r="CPL506" s="332"/>
      <c r="CPM506" s="332"/>
      <c r="CPN506" s="332"/>
      <c r="CPO506" s="332"/>
      <c r="CPP506" s="332"/>
      <c r="CPQ506" s="332"/>
      <c r="CPR506" s="332"/>
      <c r="CPS506" s="332"/>
      <c r="CPT506" s="332"/>
      <c r="CPU506" s="332"/>
      <c r="CPV506" s="332"/>
      <c r="CPW506" s="332"/>
      <c r="CPX506" s="332"/>
      <c r="CPY506" s="332"/>
      <c r="CPZ506" s="332"/>
      <c r="CQA506" s="332"/>
      <c r="CQB506" s="332"/>
      <c r="CQC506" s="332"/>
      <c r="CQD506" s="332"/>
      <c r="CQE506" s="332"/>
      <c r="CQF506" s="332"/>
      <c r="CQG506" s="332"/>
      <c r="CQH506" s="332"/>
      <c r="CQI506" s="332"/>
      <c r="CQJ506" s="332"/>
      <c r="CQK506" s="332"/>
      <c r="CQL506" s="332"/>
      <c r="CQM506" s="332"/>
      <c r="CQN506" s="332"/>
      <c r="CQO506" s="332"/>
      <c r="CQP506" s="332"/>
      <c r="CQQ506" s="332"/>
      <c r="CQR506" s="332"/>
      <c r="CQS506" s="332"/>
      <c r="CQT506" s="332"/>
      <c r="CQU506" s="332"/>
      <c r="CQV506" s="332"/>
      <c r="CQW506" s="332"/>
      <c r="CQX506" s="332"/>
      <c r="CQY506" s="332"/>
      <c r="CQZ506" s="332"/>
      <c r="CRA506" s="332"/>
      <c r="CRB506" s="332"/>
      <c r="CRC506" s="332"/>
      <c r="CRD506" s="332"/>
      <c r="CRE506" s="332"/>
      <c r="CRF506" s="332"/>
      <c r="CRG506" s="332"/>
      <c r="CRH506" s="332"/>
      <c r="CRI506" s="332"/>
      <c r="CRJ506" s="332"/>
      <c r="CRK506" s="332"/>
      <c r="CRL506" s="332"/>
      <c r="CRM506" s="332"/>
      <c r="CRN506" s="332"/>
      <c r="CRO506" s="332"/>
      <c r="CRP506" s="332"/>
      <c r="CRQ506" s="332"/>
      <c r="CRR506" s="332"/>
      <c r="CRS506" s="332"/>
      <c r="CRT506" s="332"/>
      <c r="CRU506" s="332"/>
      <c r="CRV506" s="332"/>
      <c r="CRW506" s="332"/>
      <c r="CRX506" s="332"/>
      <c r="CRY506" s="332"/>
      <c r="CRZ506" s="332"/>
      <c r="CSA506" s="332"/>
      <c r="CSB506" s="332"/>
      <c r="CSC506" s="332"/>
      <c r="CSD506" s="332"/>
      <c r="CSE506" s="332"/>
      <c r="CSF506" s="332"/>
      <c r="CSG506" s="332"/>
      <c r="CSH506" s="332"/>
      <c r="CSI506" s="332"/>
      <c r="CSJ506" s="332"/>
      <c r="CSK506" s="332"/>
      <c r="CSL506" s="332"/>
      <c r="CSM506" s="332"/>
      <c r="CSN506" s="332"/>
      <c r="CSO506" s="332"/>
      <c r="CSP506" s="332"/>
      <c r="CSQ506" s="332"/>
      <c r="CSR506" s="332"/>
      <c r="CSS506" s="332"/>
      <c r="CST506" s="332"/>
      <c r="CSU506" s="332"/>
      <c r="CSV506" s="332"/>
      <c r="CSW506" s="332"/>
      <c r="CSX506" s="332"/>
      <c r="CSY506" s="332"/>
      <c r="CSZ506" s="332"/>
      <c r="CTA506" s="332"/>
      <c r="CTB506" s="332"/>
      <c r="CTC506" s="332"/>
      <c r="CTD506" s="332"/>
      <c r="CTE506" s="332"/>
      <c r="CTF506" s="332"/>
      <c r="CTG506" s="332"/>
      <c r="CTH506" s="332"/>
      <c r="CTI506" s="332"/>
      <c r="CTJ506" s="332"/>
      <c r="CTK506" s="332"/>
      <c r="CTL506" s="332"/>
      <c r="CTM506" s="332"/>
      <c r="CTN506" s="332"/>
      <c r="CTO506" s="332"/>
      <c r="CTP506" s="332"/>
      <c r="CTQ506" s="332"/>
      <c r="CTR506" s="332"/>
      <c r="CTS506" s="332"/>
      <c r="CTT506" s="332"/>
      <c r="CTU506" s="332"/>
      <c r="CTV506" s="332"/>
      <c r="CTW506" s="332"/>
      <c r="CTX506" s="332"/>
      <c r="CTY506" s="332"/>
      <c r="CTZ506" s="332"/>
      <c r="CUA506" s="332"/>
      <c r="CUB506" s="332"/>
      <c r="CUC506" s="332"/>
      <c r="CUD506" s="332"/>
      <c r="CUE506" s="332"/>
      <c r="CUF506" s="332"/>
      <c r="CUG506" s="332"/>
      <c r="CUH506" s="332"/>
      <c r="CUI506" s="332"/>
      <c r="CUJ506" s="332"/>
      <c r="CUK506" s="332"/>
      <c r="CUL506" s="332"/>
      <c r="CUM506" s="332"/>
      <c r="CUN506" s="332"/>
      <c r="CUO506" s="332"/>
      <c r="CUP506" s="332"/>
      <c r="CUQ506" s="332"/>
      <c r="CUR506" s="332"/>
      <c r="CUS506" s="332"/>
      <c r="CUT506" s="332"/>
      <c r="CUU506" s="332"/>
      <c r="CUV506" s="332"/>
      <c r="CUW506" s="332"/>
      <c r="CUX506" s="332"/>
      <c r="CUY506" s="332"/>
      <c r="CUZ506" s="332"/>
      <c r="CVA506" s="332"/>
      <c r="CVB506" s="332"/>
      <c r="CVC506" s="332"/>
      <c r="CVD506" s="332"/>
      <c r="CVE506" s="332"/>
      <c r="CVF506" s="332"/>
      <c r="CVG506" s="332"/>
      <c r="CVH506" s="332"/>
      <c r="CVI506" s="332"/>
      <c r="CVJ506" s="332"/>
      <c r="CVK506" s="332"/>
      <c r="CVL506" s="332"/>
      <c r="CVM506" s="332"/>
      <c r="CVN506" s="332"/>
      <c r="CVO506" s="332"/>
      <c r="CVP506" s="332"/>
      <c r="CVQ506" s="332"/>
      <c r="CVR506" s="332"/>
      <c r="CVS506" s="332"/>
      <c r="CVT506" s="332"/>
      <c r="CVU506" s="332"/>
      <c r="CVV506" s="332"/>
      <c r="CVW506" s="332"/>
      <c r="CVX506" s="332"/>
      <c r="CVY506" s="332"/>
      <c r="CVZ506" s="332"/>
      <c r="CWA506" s="332"/>
      <c r="CWB506" s="332"/>
      <c r="CWC506" s="332"/>
      <c r="CWD506" s="332"/>
      <c r="CWE506" s="332"/>
      <c r="CWF506" s="332"/>
      <c r="CWG506" s="332"/>
      <c r="CWH506" s="332"/>
      <c r="CWI506" s="332"/>
      <c r="CWJ506" s="332"/>
      <c r="CWK506" s="332"/>
      <c r="CWL506" s="332"/>
      <c r="CWM506" s="332"/>
      <c r="CWN506" s="332"/>
      <c r="CWO506" s="332"/>
      <c r="CWP506" s="332"/>
      <c r="CWQ506" s="332"/>
      <c r="CWR506" s="332"/>
      <c r="CWS506" s="332"/>
      <c r="CWT506" s="332"/>
      <c r="CWU506" s="332"/>
      <c r="CWV506" s="332"/>
      <c r="CWW506" s="332"/>
      <c r="CWX506" s="332"/>
      <c r="CWY506" s="332"/>
      <c r="CWZ506" s="332"/>
      <c r="CXA506" s="332"/>
      <c r="CXB506" s="332"/>
      <c r="CXC506" s="332"/>
      <c r="CXD506" s="332"/>
      <c r="CXE506" s="332"/>
      <c r="CXF506" s="332"/>
      <c r="CXG506" s="332"/>
      <c r="CXH506" s="332"/>
      <c r="CXI506" s="332"/>
      <c r="CXJ506" s="332"/>
      <c r="CXK506" s="332"/>
      <c r="CXL506" s="332"/>
      <c r="CXM506" s="332"/>
      <c r="CXN506" s="332"/>
      <c r="CXO506" s="332"/>
      <c r="CXP506" s="332"/>
      <c r="CXQ506" s="332"/>
      <c r="CXR506" s="332"/>
      <c r="CXS506" s="332"/>
      <c r="CXT506" s="332"/>
      <c r="CXU506" s="332"/>
      <c r="CXV506" s="332"/>
      <c r="CXW506" s="332"/>
      <c r="CXX506" s="332"/>
      <c r="CXY506" s="332"/>
      <c r="CXZ506" s="332"/>
      <c r="CYA506" s="332"/>
      <c r="CYB506" s="332"/>
      <c r="CYC506" s="332"/>
      <c r="CYD506" s="332"/>
      <c r="CYE506" s="332"/>
      <c r="CYF506" s="332"/>
      <c r="CYG506" s="332"/>
      <c r="CYH506" s="332"/>
      <c r="CYI506" s="332"/>
      <c r="CYJ506" s="332"/>
      <c r="CYK506" s="332"/>
      <c r="CYL506" s="332"/>
      <c r="CYM506" s="332"/>
      <c r="CYN506" s="332"/>
      <c r="CYO506" s="332"/>
      <c r="CYP506" s="332"/>
      <c r="CYQ506" s="332"/>
      <c r="CYR506" s="332"/>
      <c r="CYS506" s="332"/>
      <c r="CYT506" s="332"/>
      <c r="CYU506" s="332"/>
      <c r="CYV506" s="332"/>
      <c r="CYW506" s="332"/>
      <c r="CYX506" s="332"/>
      <c r="CYY506" s="332"/>
      <c r="CYZ506" s="332"/>
      <c r="CZA506" s="332"/>
      <c r="CZB506" s="332"/>
      <c r="CZC506" s="332"/>
      <c r="CZD506" s="332"/>
      <c r="CZE506" s="332"/>
      <c r="CZF506" s="332"/>
      <c r="CZG506" s="332"/>
      <c r="CZH506" s="332"/>
      <c r="CZI506" s="332"/>
      <c r="CZJ506" s="332"/>
      <c r="CZK506" s="332"/>
      <c r="CZL506" s="332"/>
      <c r="CZM506" s="332"/>
      <c r="CZN506" s="332"/>
      <c r="CZO506" s="332"/>
      <c r="CZP506" s="332"/>
      <c r="CZQ506" s="332"/>
      <c r="CZR506" s="332"/>
      <c r="CZS506" s="332"/>
      <c r="CZT506" s="332"/>
      <c r="CZU506" s="332"/>
      <c r="CZV506" s="332"/>
      <c r="CZW506" s="332"/>
      <c r="CZX506" s="332"/>
      <c r="CZY506" s="332"/>
      <c r="CZZ506" s="332"/>
      <c r="DAA506" s="332"/>
      <c r="DAB506" s="332"/>
      <c r="DAC506" s="332"/>
      <c r="DAD506" s="332"/>
      <c r="DAE506" s="332"/>
      <c r="DAF506" s="332"/>
      <c r="DAG506" s="332"/>
      <c r="DAH506" s="332"/>
      <c r="DAI506" s="332"/>
      <c r="DAJ506" s="332"/>
      <c r="DAK506" s="332"/>
      <c r="DAL506" s="332"/>
      <c r="DAM506" s="332"/>
      <c r="DAN506" s="332"/>
      <c r="DAO506" s="332"/>
      <c r="DAP506" s="332"/>
      <c r="DAQ506" s="332"/>
      <c r="DAR506" s="332"/>
      <c r="DAS506" s="332"/>
      <c r="DAT506" s="332"/>
      <c r="DAU506" s="332"/>
      <c r="DAV506" s="332"/>
      <c r="DAW506" s="332"/>
      <c r="DAX506" s="332"/>
      <c r="DAY506" s="332"/>
      <c r="DAZ506" s="332"/>
      <c r="DBA506" s="332"/>
      <c r="DBB506" s="332"/>
      <c r="DBC506" s="332"/>
      <c r="DBD506" s="332"/>
      <c r="DBE506" s="332"/>
      <c r="DBF506" s="332"/>
      <c r="DBG506" s="332"/>
      <c r="DBH506" s="332"/>
      <c r="DBI506" s="332"/>
      <c r="DBJ506" s="332"/>
      <c r="DBK506" s="332"/>
      <c r="DBL506" s="332"/>
      <c r="DBM506" s="332"/>
      <c r="DBN506" s="332"/>
      <c r="DBO506" s="332"/>
      <c r="DBP506" s="332"/>
      <c r="DBQ506" s="332"/>
      <c r="DBR506" s="332"/>
      <c r="DBS506" s="332"/>
      <c r="DBT506" s="332"/>
      <c r="DBU506" s="332"/>
      <c r="DBV506" s="332"/>
      <c r="DBW506" s="332"/>
      <c r="DBX506" s="332"/>
      <c r="DBY506" s="332"/>
      <c r="DBZ506" s="332"/>
      <c r="DCA506" s="332"/>
      <c r="DCB506" s="332"/>
      <c r="DCC506" s="332"/>
      <c r="DCD506" s="332"/>
      <c r="DCE506" s="332"/>
      <c r="DCF506" s="332"/>
      <c r="DCG506" s="332"/>
      <c r="DCH506" s="332"/>
      <c r="DCI506" s="332"/>
      <c r="DCJ506" s="332"/>
      <c r="DCK506" s="332"/>
      <c r="DCL506" s="332"/>
      <c r="DCM506" s="332"/>
      <c r="DCN506" s="332"/>
      <c r="DCO506" s="332"/>
      <c r="DCP506" s="332"/>
      <c r="DCQ506" s="332"/>
      <c r="DCR506" s="332"/>
      <c r="DCS506" s="332"/>
      <c r="DCT506" s="332"/>
      <c r="DCU506" s="332"/>
      <c r="DCV506" s="332"/>
      <c r="DCW506" s="332"/>
      <c r="DCX506" s="332"/>
      <c r="DCY506" s="332"/>
      <c r="DCZ506" s="332"/>
      <c r="DDA506" s="332"/>
      <c r="DDB506" s="332"/>
      <c r="DDC506" s="332"/>
      <c r="DDD506" s="332"/>
      <c r="DDE506" s="332"/>
      <c r="DDF506" s="332"/>
      <c r="DDG506" s="332"/>
      <c r="DDH506" s="332"/>
      <c r="DDI506" s="332"/>
      <c r="DDJ506" s="332"/>
      <c r="DDK506" s="332"/>
      <c r="DDL506" s="332"/>
      <c r="DDM506" s="332"/>
      <c r="DDN506" s="332"/>
      <c r="DDO506" s="332"/>
      <c r="DDP506" s="332"/>
      <c r="DDQ506" s="332"/>
      <c r="DDR506" s="332"/>
      <c r="DDS506" s="332"/>
      <c r="DDT506" s="332"/>
      <c r="DDU506" s="332"/>
      <c r="DDV506" s="332"/>
      <c r="DDW506" s="332"/>
      <c r="DDX506" s="332"/>
      <c r="DDY506" s="332"/>
      <c r="DDZ506" s="332"/>
      <c r="DEA506" s="332"/>
      <c r="DEB506" s="332"/>
      <c r="DEC506" s="332"/>
      <c r="DED506" s="332"/>
      <c r="DEE506" s="332"/>
      <c r="DEF506" s="332"/>
      <c r="DEG506" s="332"/>
      <c r="DEH506" s="332"/>
      <c r="DEI506" s="332"/>
      <c r="DEJ506" s="332"/>
      <c r="DEK506" s="332"/>
      <c r="DEL506" s="332"/>
      <c r="DEM506" s="332"/>
      <c r="DEN506" s="332"/>
      <c r="DEO506" s="332"/>
      <c r="DEP506" s="332"/>
      <c r="DEQ506" s="332"/>
      <c r="DER506" s="332"/>
      <c r="DES506" s="332"/>
      <c r="DET506" s="332"/>
      <c r="DEU506" s="332"/>
      <c r="DEV506" s="332"/>
      <c r="DEW506" s="332"/>
      <c r="DEX506" s="332"/>
      <c r="DEY506" s="332"/>
      <c r="DEZ506" s="332"/>
      <c r="DFA506" s="332"/>
      <c r="DFB506" s="332"/>
      <c r="DFC506" s="332"/>
      <c r="DFD506" s="332"/>
      <c r="DFE506" s="332"/>
      <c r="DFF506" s="332"/>
      <c r="DFG506" s="332"/>
      <c r="DFH506" s="332"/>
      <c r="DFI506" s="332"/>
      <c r="DFJ506" s="332"/>
      <c r="DFK506" s="332"/>
      <c r="DFL506" s="332"/>
      <c r="DFM506" s="332"/>
      <c r="DFN506" s="332"/>
      <c r="DFO506" s="332"/>
      <c r="DFP506" s="332"/>
      <c r="DFQ506" s="332"/>
      <c r="DFR506" s="332"/>
      <c r="DFS506" s="332"/>
      <c r="DFT506" s="332"/>
      <c r="DFU506" s="332"/>
      <c r="DFV506" s="332"/>
      <c r="DFW506" s="332"/>
      <c r="DFX506" s="332"/>
      <c r="DFY506" s="332"/>
      <c r="DFZ506" s="332"/>
      <c r="DGA506" s="332"/>
      <c r="DGB506" s="332"/>
      <c r="DGC506" s="332"/>
      <c r="DGD506" s="332"/>
      <c r="DGE506" s="332"/>
      <c r="DGF506" s="332"/>
      <c r="DGG506" s="332"/>
      <c r="DGH506" s="332"/>
      <c r="DGI506" s="332"/>
      <c r="DGJ506" s="332"/>
      <c r="DGK506" s="332"/>
      <c r="DGL506" s="332"/>
      <c r="DGM506" s="332"/>
      <c r="DGN506" s="332"/>
      <c r="DGO506" s="332"/>
      <c r="DGP506" s="332"/>
      <c r="DGQ506" s="332"/>
      <c r="DGR506" s="332"/>
      <c r="DGS506" s="332"/>
      <c r="DGT506" s="332"/>
      <c r="DGU506" s="332"/>
      <c r="DGV506" s="332"/>
      <c r="DGW506" s="332"/>
      <c r="DGX506" s="332"/>
      <c r="DGY506" s="332"/>
      <c r="DGZ506" s="332"/>
      <c r="DHA506" s="332"/>
      <c r="DHB506" s="332"/>
      <c r="DHC506" s="332"/>
      <c r="DHD506" s="332"/>
      <c r="DHE506" s="332"/>
      <c r="DHF506" s="332"/>
      <c r="DHG506" s="332"/>
      <c r="DHH506" s="332"/>
      <c r="DHI506" s="332"/>
      <c r="DHJ506" s="332"/>
      <c r="DHK506" s="332"/>
      <c r="DHL506" s="332"/>
      <c r="DHM506" s="332"/>
      <c r="DHN506" s="332"/>
      <c r="DHO506" s="332"/>
      <c r="DHP506" s="332"/>
      <c r="DHQ506" s="332"/>
      <c r="DHR506" s="332"/>
      <c r="DHS506" s="332"/>
      <c r="DHT506" s="332"/>
      <c r="DHU506" s="332"/>
      <c r="DHV506" s="332"/>
      <c r="DHW506" s="332"/>
      <c r="DHX506" s="332"/>
      <c r="DHY506" s="332"/>
      <c r="DHZ506" s="332"/>
      <c r="DIA506" s="332"/>
      <c r="DIB506" s="332"/>
      <c r="DIC506" s="332"/>
      <c r="DID506" s="332"/>
      <c r="DIE506" s="332"/>
      <c r="DIF506" s="332"/>
      <c r="DIG506" s="332"/>
      <c r="DIH506" s="332"/>
      <c r="DII506" s="332"/>
      <c r="DIJ506" s="332"/>
      <c r="DIK506" s="332"/>
      <c r="DIL506" s="332"/>
      <c r="DIM506" s="332"/>
      <c r="DIN506" s="332"/>
      <c r="DIO506" s="332"/>
      <c r="DIP506" s="332"/>
      <c r="DIQ506" s="332"/>
      <c r="DIR506" s="332"/>
      <c r="DIS506" s="332"/>
      <c r="DIT506" s="332"/>
      <c r="DIU506" s="332"/>
      <c r="DIV506" s="332"/>
      <c r="DIW506" s="332"/>
      <c r="DIX506" s="332"/>
      <c r="DIY506" s="332"/>
      <c r="DIZ506" s="332"/>
      <c r="DJA506" s="332"/>
      <c r="DJB506" s="332"/>
      <c r="DJC506" s="332"/>
      <c r="DJD506" s="332"/>
      <c r="DJE506" s="332"/>
      <c r="DJF506" s="332"/>
      <c r="DJG506" s="332"/>
      <c r="DJH506" s="332"/>
      <c r="DJI506" s="332"/>
      <c r="DJJ506" s="332"/>
      <c r="DJK506" s="332"/>
      <c r="DJL506" s="332"/>
      <c r="DJM506" s="332"/>
      <c r="DJN506" s="332"/>
      <c r="DJO506" s="332"/>
      <c r="DJP506" s="332"/>
      <c r="DJQ506" s="332"/>
      <c r="DJR506" s="332"/>
      <c r="DJS506" s="332"/>
      <c r="DJT506" s="332"/>
      <c r="DJU506" s="332"/>
      <c r="DJV506" s="332"/>
      <c r="DJW506" s="332"/>
      <c r="DJX506" s="332"/>
      <c r="DJY506" s="332"/>
      <c r="DJZ506" s="332"/>
      <c r="DKA506" s="332"/>
      <c r="DKB506" s="332"/>
      <c r="DKC506" s="332"/>
      <c r="DKD506" s="332"/>
      <c r="DKE506" s="332"/>
      <c r="DKF506" s="332"/>
      <c r="DKG506" s="332"/>
      <c r="DKH506" s="332"/>
      <c r="DKI506" s="332"/>
      <c r="DKJ506" s="332"/>
      <c r="DKK506" s="332"/>
      <c r="DKL506" s="332"/>
      <c r="DKM506" s="332"/>
      <c r="DKN506" s="332"/>
      <c r="DKO506" s="332"/>
      <c r="DKP506" s="332"/>
      <c r="DKQ506" s="332"/>
      <c r="DKR506" s="332"/>
      <c r="DKS506" s="332"/>
      <c r="DKT506" s="332"/>
      <c r="DKU506" s="332"/>
      <c r="DKV506" s="332"/>
      <c r="DKW506" s="332"/>
      <c r="DKX506" s="332"/>
      <c r="DKY506" s="332"/>
      <c r="DKZ506" s="332"/>
      <c r="DLA506" s="332"/>
      <c r="DLB506" s="332"/>
      <c r="DLC506" s="332"/>
      <c r="DLD506" s="332"/>
      <c r="DLE506" s="332"/>
      <c r="DLF506" s="332"/>
      <c r="DLG506" s="332"/>
      <c r="DLH506" s="332"/>
      <c r="DLI506" s="332"/>
      <c r="DLJ506" s="332"/>
      <c r="DLK506" s="332"/>
      <c r="DLL506" s="332"/>
      <c r="DLM506" s="332"/>
      <c r="DLN506" s="332"/>
      <c r="DLO506" s="332"/>
      <c r="DLP506" s="332"/>
      <c r="DLQ506" s="332"/>
      <c r="DLR506" s="332"/>
      <c r="DLS506" s="332"/>
      <c r="DLT506" s="332"/>
      <c r="DLU506" s="332"/>
      <c r="DLV506" s="332"/>
      <c r="DLW506" s="332"/>
      <c r="DLX506" s="332"/>
      <c r="DLY506" s="332"/>
      <c r="DLZ506" s="332"/>
      <c r="DMA506" s="332"/>
      <c r="DMB506" s="332"/>
      <c r="DMC506" s="332"/>
      <c r="DMD506" s="332"/>
      <c r="DME506" s="332"/>
      <c r="DMF506" s="332"/>
      <c r="DMG506" s="332"/>
      <c r="DMH506" s="332"/>
      <c r="DMI506" s="332"/>
      <c r="DMJ506" s="332"/>
      <c r="DMK506" s="332"/>
      <c r="DML506" s="332"/>
      <c r="DMM506" s="332"/>
      <c r="DMN506" s="332"/>
      <c r="DMO506" s="332"/>
      <c r="DMP506" s="332"/>
      <c r="DMQ506" s="332"/>
      <c r="DMR506" s="332"/>
      <c r="DMS506" s="332"/>
      <c r="DMT506" s="332"/>
      <c r="DMU506" s="332"/>
      <c r="DMV506" s="332"/>
      <c r="DMW506" s="332"/>
      <c r="DMX506" s="332"/>
      <c r="DMY506" s="332"/>
      <c r="DMZ506" s="332"/>
      <c r="DNA506" s="332"/>
      <c r="DNB506" s="332"/>
      <c r="DNC506" s="332"/>
      <c r="DND506" s="332"/>
      <c r="DNE506" s="332"/>
      <c r="DNF506" s="332"/>
      <c r="DNG506" s="332"/>
      <c r="DNH506" s="332"/>
      <c r="DNI506" s="332"/>
      <c r="DNJ506" s="332"/>
      <c r="DNK506" s="332"/>
      <c r="DNL506" s="332"/>
      <c r="DNM506" s="332"/>
      <c r="DNN506" s="332"/>
      <c r="DNO506" s="332"/>
      <c r="DNP506" s="332"/>
      <c r="DNQ506" s="332"/>
      <c r="DNR506" s="332"/>
      <c r="DNS506" s="332"/>
      <c r="DNT506" s="332"/>
      <c r="DNU506" s="332"/>
      <c r="DNV506" s="332"/>
      <c r="DNW506" s="332"/>
      <c r="DNX506" s="332"/>
      <c r="DNY506" s="332"/>
      <c r="DNZ506" s="332"/>
      <c r="DOA506" s="332"/>
      <c r="DOB506" s="332"/>
      <c r="DOC506" s="332"/>
      <c r="DOD506" s="332"/>
      <c r="DOE506" s="332"/>
      <c r="DOF506" s="332"/>
      <c r="DOG506" s="332"/>
      <c r="DOH506" s="332"/>
      <c r="DOI506" s="332"/>
      <c r="DOJ506" s="332"/>
      <c r="DOK506" s="332"/>
      <c r="DOL506" s="332"/>
      <c r="DOM506" s="332"/>
      <c r="DON506" s="332"/>
      <c r="DOO506" s="332"/>
      <c r="DOP506" s="332"/>
      <c r="DOQ506" s="332"/>
      <c r="DOR506" s="332"/>
      <c r="DOS506" s="332"/>
      <c r="DOT506" s="332"/>
      <c r="DOU506" s="332"/>
      <c r="DOV506" s="332"/>
      <c r="DOW506" s="332"/>
      <c r="DOX506" s="332"/>
      <c r="DOY506" s="332"/>
      <c r="DOZ506" s="332"/>
      <c r="DPA506" s="332"/>
      <c r="DPB506" s="332"/>
      <c r="DPC506" s="332"/>
      <c r="DPD506" s="332"/>
      <c r="DPE506" s="332"/>
      <c r="DPF506" s="332"/>
      <c r="DPG506" s="332"/>
      <c r="DPH506" s="332"/>
      <c r="DPI506" s="332"/>
      <c r="DPJ506" s="332"/>
      <c r="DPK506" s="332"/>
      <c r="DPL506" s="332"/>
      <c r="DPM506" s="332"/>
      <c r="DPN506" s="332"/>
      <c r="DPO506" s="332"/>
      <c r="DPP506" s="332"/>
      <c r="DPQ506" s="332"/>
      <c r="DPR506" s="332"/>
      <c r="DPS506" s="332"/>
      <c r="DPT506" s="332"/>
      <c r="DPU506" s="332"/>
      <c r="DPV506" s="332"/>
      <c r="DPW506" s="332"/>
      <c r="DPX506" s="332"/>
      <c r="DPY506" s="332"/>
      <c r="DPZ506" s="332"/>
      <c r="DQA506" s="332"/>
      <c r="DQB506" s="332"/>
      <c r="DQC506" s="332"/>
      <c r="DQD506" s="332"/>
      <c r="DQE506" s="332"/>
      <c r="DQF506" s="332"/>
      <c r="DQG506" s="332"/>
      <c r="DQH506" s="332"/>
      <c r="DQI506" s="332"/>
      <c r="DQJ506" s="332"/>
      <c r="DQK506" s="332"/>
      <c r="DQL506" s="332"/>
      <c r="DQM506" s="332"/>
      <c r="DQN506" s="332"/>
      <c r="DQO506" s="332"/>
      <c r="DQP506" s="332"/>
      <c r="DQQ506" s="332"/>
      <c r="DQR506" s="332"/>
      <c r="DQS506" s="332"/>
      <c r="DQT506" s="332"/>
      <c r="DQU506" s="332"/>
      <c r="DQV506" s="332"/>
      <c r="DQW506" s="332"/>
      <c r="DQX506" s="332"/>
      <c r="DQY506" s="332"/>
      <c r="DQZ506" s="332"/>
      <c r="DRA506" s="332"/>
      <c r="DRB506" s="332"/>
      <c r="DRC506" s="332"/>
      <c r="DRD506" s="332"/>
      <c r="DRE506" s="332"/>
      <c r="DRF506" s="332"/>
      <c r="DRG506" s="332"/>
      <c r="DRH506" s="332"/>
      <c r="DRI506" s="332"/>
      <c r="DRJ506" s="332"/>
      <c r="DRK506" s="332"/>
      <c r="DRL506" s="332"/>
      <c r="DRM506" s="332"/>
      <c r="DRN506" s="332"/>
      <c r="DRO506" s="332"/>
      <c r="DRP506" s="332"/>
      <c r="DRQ506" s="332"/>
      <c r="DRR506" s="332"/>
      <c r="DRS506" s="332"/>
      <c r="DRT506" s="332"/>
      <c r="DRU506" s="332"/>
      <c r="DRV506" s="332"/>
      <c r="DRW506" s="332"/>
      <c r="DRX506" s="332"/>
      <c r="DRY506" s="332"/>
      <c r="DRZ506" s="332"/>
      <c r="DSA506" s="332"/>
      <c r="DSB506" s="332"/>
      <c r="DSC506" s="332"/>
      <c r="DSD506" s="332"/>
      <c r="DSE506" s="332"/>
      <c r="DSF506" s="332"/>
      <c r="DSG506" s="332"/>
      <c r="DSH506" s="332"/>
      <c r="DSI506" s="332"/>
      <c r="DSJ506" s="332"/>
      <c r="DSK506" s="332"/>
      <c r="DSL506" s="332"/>
      <c r="DSM506" s="332"/>
      <c r="DSN506" s="332"/>
      <c r="DSO506" s="332"/>
      <c r="DSP506" s="332"/>
      <c r="DSQ506" s="332"/>
      <c r="DSR506" s="332"/>
      <c r="DSS506" s="332"/>
      <c r="DST506" s="332"/>
      <c r="DSU506" s="332"/>
      <c r="DSV506" s="332"/>
      <c r="DSW506" s="332"/>
      <c r="DSX506" s="332"/>
      <c r="DSY506" s="332"/>
      <c r="DSZ506" s="332"/>
      <c r="DTA506" s="332"/>
      <c r="DTB506" s="332"/>
      <c r="DTC506" s="332"/>
      <c r="DTD506" s="332"/>
      <c r="DTE506" s="332"/>
      <c r="DTF506" s="332"/>
      <c r="DTG506" s="332"/>
      <c r="DTH506" s="332"/>
      <c r="DTI506" s="332"/>
      <c r="DTJ506" s="332"/>
      <c r="DTK506" s="332"/>
      <c r="DTL506" s="332"/>
      <c r="DTM506" s="332"/>
      <c r="DTN506" s="332"/>
      <c r="DTO506" s="332"/>
      <c r="DTP506" s="332"/>
      <c r="DTQ506" s="332"/>
      <c r="DTR506" s="332"/>
      <c r="DTS506" s="332"/>
      <c r="DTT506" s="332"/>
      <c r="DTU506" s="332"/>
      <c r="DTV506" s="332"/>
      <c r="DTW506" s="332"/>
      <c r="DTX506" s="332"/>
      <c r="DTY506" s="332"/>
      <c r="DTZ506" s="332"/>
      <c r="DUA506" s="332"/>
      <c r="DUB506" s="332"/>
      <c r="DUC506" s="332"/>
      <c r="DUD506" s="332"/>
      <c r="DUE506" s="332"/>
      <c r="DUF506" s="332"/>
      <c r="DUG506" s="332"/>
      <c r="DUH506" s="332"/>
      <c r="DUI506" s="332"/>
      <c r="DUJ506" s="332"/>
      <c r="DUK506" s="332"/>
      <c r="DUL506" s="332"/>
      <c r="DUM506" s="332"/>
      <c r="DUN506" s="332"/>
      <c r="DUO506" s="332"/>
      <c r="DUP506" s="332"/>
      <c r="DUQ506" s="332"/>
      <c r="DUR506" s="332"/>
      <c r="DUS506" s="332"/>
      <c r="DUT506" s="332"/>
      <c r="DUU506" s="332"/>
      <c r="DUV506" s="332"/>
      <c r="DUW506" s="332"/>
      <c r="DUX506" s="332"/>
      <c r="DUY506" s="332"/>
      <c r="DUZ506" s="332"/>
      <c r="DVA506" s="332"/>
      <c r="DVB506" s="332"/>
      <c r="DVC506" s="332"/>
      <c r="DVD506" s="332"/>
      <c r="DVE506" s="332"/>
      <c r="DVF506" s="332"/>
      <c r="DVG506" s="332"/>
      <c r="DVH506" s="332"/>
      <c r="DVI506" s="332"/>
      <c r="DVJ506" s="332"/>
      <c r="DVK506" s="332"/>
      <c r="DVL506" s="332"/>
      <c r="DVM506" s="332"/>
      <c r="DVN506" s="332"/>
      <c r="DVO506" s="332"/>
      <c r="DVP506" s="332"/>
      <c r="DVQ506" s="332"/>
      <c r="DVR506" s="332"/>
      <c r="DVS506" s="332"/>
      <c r="DVT506" s="332"/>
      <c r="DVU506" s="332"/>
      <c r="DVV506" s="332"/>
      <c r="DVW506" s="332"/>
      <c r="DVX506" s="332"/>
      <c r="DVY506" s="332"/>
      <c r="DVZ506" s="332"/>
      <c r="DWA506" s="332"/>
      <c r="DWB506" s="332"/>
      <c r="DWC506" s="332"/>
      <c r="DWD506" s="332"/>
      <c r="DWE506" s="332"/>
      <c r="DWF506" s="332"/>
      <c r="DWG506" s="332"/>
      <c r="DWH506" s="332"/>
      <c r="DWI506" s="332"/>
      <c r="DWJ506" s="332"/>
      <c r="DWK506" s="332"/>
      <c r="DWL506" s="332"/>
      <c r="DWM506" s="332"/>
      <c r="DWN506" s="332"/>
      <c r="DWO506" s="332"/>
      <c r="DWP506" s="332"/>
      <c r="DWQ506" s="332"/>
      <c r="DWR506" s="332"/>
      <c r="DWS506" s="332"/>
      <c r="DWT506" s="332"/>
      <c r="DWU506" s="332"/>
      <c r="DWV506" s="332"/>
      <c r="DWW506" s="332"/>
      <c r="DWX506" s="332"/>
      <c r="DWY506" s="332"/>
      <c r="DWZ506" s="332"/>
      <c r="DXA506" s="332"/>
      <c r="DXB506" s="332"/>
      <c r="DXC506" s="332"/>
      <c r="DXD506" s="332"/>
      <c r="DXE506" s="332"/>
      <c r="DXF506" s="332"/>
      <c r="DXG506" s="332"/>
      <c r="DXH506" s="332"/>
      <c r="DXI506" s="332"/>
      <c r="DXJ506" s="332"/>
      <c r="DXK506" s="332"/>
      <c r="DXL506" s="332"/>
      <c r="DXM506" s="332"/>
      <c r="DXN506" s="332"/>
      <c r="DXO506" s="332"/>
      <c r="DXP506" s="332"/>
      <c r="DXQ506" s="332"/>
      <c r="DXR506" s="332"/>
      <c r="DXS506" s="332"/>
      <c r="DXT506" s="332"/>
      <c r="DXU506" s="332"/>
      <c r="DXV506" s="332"/>
      <c r="DXW506" s="332"/>
      <c r="DXX506" s="332"/>
      <c r="DXY506" s="332"/>
      <c r="DXZ506" s="332"/>
      <c r="DYA506" s="332"/>
      <c r="DYB506" s="332"/>
      <c r="DYC506" s="332"/>
      <c r="DYD506" s="332"/>
      <c r="DYE506" s="332"/>
      <c r="DYF506" s="332"/>
      <c r="DYG506" s="332"/>
      <c r="DYH506" s="332"/>
      <c r="DYI506" s="332"/>
      <c r="DYJ506" s="332"/>
      <c r="DYK506" s="332"/>
      <c r="DYL506" s="332"/>
      <c r="DYM506" s="332"/>
      <c r="DYN506" s="332"/>
      <c r="DYO506" s="332"/>
      <c r="DYP506" s="332"/>
      <c r="DYQ506" s="332"/>
      <c r="DYR506" s="332"/>
      <c r="DYS506" s="332"/>
      <c r="DYT506" s="332"/>
      <c r="DYU506" s="332"/>
      <c r="DYV506" s="332"/>
      <c r="DYW506" s="332"/>
      <c r="DYX506" s="332"/>
      <c r="DYY506" s="332"/>
      <c r="DYZ506" s="332"/>
      <c r="DZA506" s="332"/>
      <c r="DZB506" s="332"/>
      <c r="DZC506" s="332"/>
      <c r="DZD506" s="332"/>
      <c r="DZE506" s="332"/>
      <c r="DZF506" s="332"/>
      <c r="DZG506" s="332"/>
      <c r="DZH506" s="332"/>
      <c r="DZI506" s="332"/>
      <c r="DZJ506" s="332"/>
      <c r="DZK506" s="332"/>
      <c r="DZL506" s="332"/>
      <c r="DZM506" s="332"/>
      <c r="DZN506" s="332"/>
      <c r="DZO506" s="332"/>
      <c r="DZP506" s="332"/>
      <c r="DZQ506" s="332"/>
      <c r="DZR506" s="332"/>
      <c r="DZS506" s="332"/>
      <c r="DZT506" s="332"/>
      <c r="DZU506" s="332"/>
      <c r="DZV506" s="332"/>
      <c r="DZW506" s="332"/>
      <c r="DZX506" s="332"/>
      <c r="DZY506" s="332"/>
      <c r="DZZ506" s="332"/>
      <c r="EAA506" s="332"/>
      <c r="EAB506" s="332"/>
      <c r="EAC506" s="332"/>
      <c r="EAD506" s="332"/>
      <c r="EAE506" s="332"/>
      <c r="EAF506" s="332"/>
      <c r="EAG506" s="332"/>
      <c r="EAH506" s="332"/>
      <c r="EAI506" s="332"/>
      <c r="EAJ506" s="332"/>
      <c r="EAK506" s="332"/>
      <c r="EAL506" s="332"/>
      <c r="EAM506" s="332"/>
      <c r="EAN506" s="332"/>
      <c r="EAO506" s="332"/>
      <c r="EAP506" s="332"/>
      <c r="EAQ506" s="332"/>
      <c r="EAR506" s="332"/>
      <c r="EAS506" s="332"/>
      <c r="EAT506" s="332"/>
      <c r="EAU506" s="332"/>
      <c r="EAV506" s="332"/>
      <c r="EAW506" s="332"/>
      <c r="EAX506" s="332"/>
      <c r="EAY506" s="332"/>
      <c r="EAZ506" s="332"/>
      <c r="EBA506" s="332"/>
      <c r="EBB506" s="332"/>
      <c r="EBC506" s="332"/>
      <c r="EBD506" s="332"/>
      <c r="EBE506" s="332"/>
      <c r="EBF506" s="332"/>
      <c r="EBG506" s="332"/>
      <c r="EBH506" s="332"/>
      <c r="EBI506" s="332"/>
      <c r="EBJ506" s="332"/>
      <c r="EBK506" s="332"/>
      <c r="EBL506" s="332"/>
      <c r="EBM506" s="332"/>
      <c r="EBN506" s="332"/>
      <c r="EBO506" s="332"/>
      <c r="EBP506" s="332"/>
      <c r="EBQ506" s="332"/>
      <c r="EBR506" s="332"/>
      <c r="EBS506" s="332"/>
      <c r="EBT506" s="332"/>
      <c r="EBU506" s="332"/>
      <c r="EBV506" s="332"/>
      <c r="EBW506" s="332"/>
      <c r="EBX506" s="332"/>
      <c r="EBY506" s="332"/>
      <c r="EBZ506" s="332"/>
      <c r="ECA506" s="332"/>
      <c r="ECB506" s="332"/>
      <c r="ECC506" s="332"/>
      <c r="ECD506" s="332"/>
      <c r="ECE506" s="332"/>
      <c r="ECF506" s="332"/>
      <c r="ECG506" s="332"/>
      <c r="ECH506" s="332"/>
      <c r="ECI506" s="332"/>
      <c r="ECJ506" s="332"/>
      <c r="ECK506" s="332"/>
      <c r="ECL506" s="332"/>
      <c r="ECM506" s="332"/>
      <c r="ECN506" s="332"/>
      <c r="ECO506" s="332"/>
      <c r="ECP506" s="332"/>
      <c r="ECQ506" s="332"/>
      <c r="ECR506" s="332"/>
      <c r="ECS506" s="332"/>
      <c r="ECT506" s="332"/>
      <c r="ECU506" s="332"/>
      <c r="ECV506" s="332"/>
      <c r="ECW506" s="332"/>
      <c r="ECX506" s="332"/>
      <c r="ECY506" s="332"/>
      <c r="ECZ506" s="332"/>
      <c r="EDA506" s="332"/>
      <c r="EDB506" s="332"/>
      <c r="EDC506" s="332"/>
      <c r="EDD506" s="332"/>
      <c r="EDE506" s="332"/>
      <c r="EDF506" s="332"/>
      <c r="EDG506" s="332"/>
      <c r="EDH506" s="332"/>
      <c r="EDI506" s="332"/>
      <c r="EDJ506" s="332"/>
      <c r="EDK506" s="332"/>
      <c r="EDL506" s="332"/>
      <c r="EDM506" s="332"/>
      <c r="EDN506" s="332"/>
      <c r="EDO506" s="332"/>
      <c r="EDP506" s="332"/>
      <c r="EDQ506" s="332"/>
      <c r="EDR506" s="332"/>
      <c r="EDS506" s="332"/>
      <c r="EDT506" s="332"/>
      <c r="EDU506" s="332"/>
      <c r="EDV506" s="332"/>
      <c r="EDW506" s="332"/>
      <c r="EDX506" s="332"/>
      <c r="EDY506" s="332"/>
      <c r="EDZ506" s="332"/>
      <c r="EEA506" s="332"/>
      <c r="EEB506" s="332"/>
      <c r="EEC506" s="332"/>
      <c r="EED506" s="332"/>
      <c r="EEE506" s="332"/>
      <c r="EEF506" s="332"/>
      <c r="EEG506" s="332"/>
      <c r="EEH506" s="332"/>
      <c r="EEI506" s="332"/>
      <c r="EEJ506" s="332"/>
      <c r="EEK506" s="332"/>
      <c r="EEL506" s="332"/>
      <c r="EEM506" s="332"/>
      <c r="EEN506" s="332"/>
      <c r="EEO506" s="332"/>
      <c r="EEP506" s="332"/>
      <c r="EEQ506" s="332"/>
      <c r="EER506" s="332"/>
      <c r="EES506" s="332"/>
      <c r="EET506" s="332"/>
      <c r="EEU506" s="332"/>
      <c r="EEV506" s="332"/>
      <c r="EEW506" s="332"/>
      <c r="EEX506" s="332"/>
      <c r="EEY506" s="332"/>
      <c r="EEZ506" s="332"/>
      <c r="EFA506" s="332"/>
      <c r="EFB506" s="332"/>
      <c r="EFC506" s="332"/>
      <c r="EFD506" s="332"/>
      <c r="EFE506" s="332"/>
      <c r="EFF506" s="332"/>
      <c r="EFG506" s="332"/>
      <c r="EFH506" s="332"/>
      <c r="EFI506" s="332"/>
      <c r="EFJ506" s="332"/>
      <c r="EFK506" s="332"/>
      <c r="EFL506" s="332"/>
      <c r="EFM506" s="332"/>
      <c r="EFN506" s="332"/>
      <c r="EFO506" s="332"/>
      <c r="EFP506" s="332"/>
      <c r="EFQ506" s="332"/>
      <c r="EFR506" s="332"/>
      <c r="EFS506" s="332"/>
      <c r="EFT506" s="332"/>
      <c r="EFU506" s="332"/>
      <c r="EFV506" s="332"/>
      <c r="EFW506" s="332"/>
      <c r="EFX506" s="332"/>
      <c r="EFY506" s="332"/>
      <c r="EFZ506" s="332"/>
      <c r="EGA506" s="332"/>
      <c r="EGB506" s="332"/>
      <c r="EGC506" s="332"/>
      <c r="EGD506" s="332"/>
      <c r="EGE506" s="332"/>
      <c r="EGF506" s="332"/>
      <c r="EGG506" s="332"/>
      <c r="EGH506" s="332"/>
      <c r="EGI506" s="332"/>
      <c r="EGJ506" s="332"/>
      <c r="EGK506" s="332"/>
      <c r="EGL506" s="332"/>
      <c r="EGM506" s="332"/>
      <c r="EGN506" s="332"/>
      <c r="EGO506" s="332"/>
      <c r="EGP506" s="332"/>
      <c r="EGQ506" s="332"/>
      <c r="EGR506" s="332"/>
      <c r="EGS506" s="332"/>
      <c r="EGT506" s="332"/>
      <c r="EGU506" s="332"/>
      <c r="EGV506" s="332"/>
      <c r="EGW506" s="332"/>
      <c r="EGX506" s="332"/>
      <c r="EGY506" s="332"/>
      <c r="EGZ506" s="332"/>
      <c r="EHA506" s="332"/>
      <c r="EHB506" s="332"/>
      <c r="EHC506" s="332"/>
      <c r="EHD506" s="332"/>
      <c r="EHE506" s="332"/>
      <c r="EHF506" s="332"/>
      <c r="EHG506" s="332"/>
      <c r="EHH506" s="332"/>
      <c r="EHI506" s="332"/>
      <c r="EHJ506" s="332"/>
      <c r="EHK506" s="332"/>
      <c r="EHL506" s="332"/>
      <c r="EHM506" s="332"/>
      <c r="EHN506" s="332"/>
      <c r="EHO506" s="332"/>
      <c r="EHP506" s="332"/>
      <c r="EHQ506" s="332"/>
      <c r="EHR506" s="332"/>
      <c r="EHS506" s="332"/>
      <c r="EHT506" s="332"/>
      <c r="EHU506" s="332"/>
      <c r="EHV506" s="332"/>
      <c r="EHW506" s="332"/>
      <c r="EHX506" s="332"/>
      <c r="EHY506" s="332"/>
      <c r="EHZ506" s="332"/>
      <c r="EIA506" s="332"/>
      <c r="EIB506" s="332"/>
      <c r="EIC506" s="332"/>
      <c r="EID506" s="332"/>
      <c r="EIE506" s="332"/>
      <c r="EIF506" s="332"/>
      <c r="EIG506" s="332"/>
      <c r="EIH506" s="332"/>
      <c r="EII506" s="332"/>
      <c r="EIJ506" s="332"/>
      <c r="EIK506" s="332"/>
      <c r="EIL506" s="332"/>
      <c r="EIM506" s="332"/>
      <c r="EIN506" s="332"/>
      <c r="EIO506" s="332"/>
      <c r="EIP506" s="332"/>
      <c r="EIQ506" s="332"/>
      <c r="EIR506" s="332"/>
      <c r="EIS506" s="332"/>
      <c r="EIT506" s="332"/>
      <c r="EIU506" s="332"/>
      <c r="EIV506" s="332"/>
      <c r="EIW506" s="332"/>
      <c r="EIX506" s="332"/>
      <c r="EIY506" s="332"/>
      <c r="EIZ506" s="332"/>
      <c r="EJA506" s="332"/>
      <c r="EJB506" s="332"/>
      <c r="EJC506" s="332"/>
      <c r="EJD506" s="332"/>
      <c r="EJE506" s="332"/>
      <c r="EJF506" s="332"/>
      <c r="EJG506" s="332"/>
      <c r="EJH506" s="332"/>
      <c r="EJI506" s="332"/>
      <c r="EJJ506" s="332"/>
      <c r="EJK506" s="332"/>
      <c r="EJL506" s="332"/>
      <c r="EJM506" s="332"/>
      <c r="EJN506" s="332"/>
      <c r="EJO506" s="332"/>
      <c r="EJP506" s="332"/>
      <c r="EJQ506" s="332"/>
      <c r="EJR506" s="332"/>
      <c r="EJS506" s="332"/>
      <c r="EJT506" s="332"/>
      <c r="EJU506" s="332"/>
      <c r="EJV506" s="332"/>
      <c r="EJW506" s="332"/>
      <c r="EJX506" s="332"/>
      <c r="EJY506" s="332"/>
      <c r="EJZ506" s="332"/>
      <c r="EKA506" s="332"/>
      <c r="EKB506" s="332"/>
      <c r="EKC506" s="332"/>
      <c r="EKD506" s="332"/>
      <c r="EKE506" s="332"/>
      <c r="EKF506" s="332"/>
      <c r="EKG506" s="332"/>
      <c r="EKH506" s="332"/>
      <c r="EKI506" s="332"/>
      <c r="EKJ506" s="332"/>
      <c r="EKK506" s="332"/>
      <c r="EKL506" s="332"/>
      <c r="EKM506" s="332"/>
      <c r="EKN506" s="332"/>
      <c r="EKO506" s="332"/>
      <c r="EKP506" s="332"/>
      <c r="EKQ506" s="332"/>
      <c r="EKR506" s="332"/>
      <c r="EKS506" s="332"/>
      <c r="EKT506" s="332"/>
      <c r="EKU506" s="332"/>
      <c r="EKV506" s="332"/>
      <c r="EKW506" s="332"/>
      <c r="EKX506" s="332"/>
      <c r="EKY506" s="332"/>
      <c r="EKZ506" s="332"/>
      <c r="ELA506" s="332"/>
      <c r="ELB506" s="332"/>
      <c r="ELC506" s="332"/>
      <c r="ELD506" s="332"/>
      <c r="ELE506" s="332"/>
      <c r="ELF506" s="332"/>
      <c r="ELG506" s="332"/>
      <c r="ELH506" s="332"/>
      <c r="ELI506" s="332"/>
      <c r="ELJ506" s="332"/>
      <c r="ELK506" s="332"/>
      <c r="ELL506" s="332"/>
      <c r="ELM506" s="332"/>
      <c r="ELN506" s="332"/>
      <c r="ELO506" s="332"/>
      <c r="ELP506" s="332"/>
      <c r="ELQ506" s="332"/>
      <c r="ELR506" s="332"/>
      <c r="ELS506" s="332"/>
      <c r="ELT506" s="332"/>
      <c r="ELU506" s="332"/>
      <c r="ELV506" s="332"/>
      <c r="ELW506" s="332"/>
      <c r="ELX506" s="332"/>
      <c r="ELY506" s="332"/>
      <c r="ELZ506" s="332"/>
      <c r="EMA506" s="332"/>
      <c r="EMB506" s="332"/>
      <c r="EMC506" s="332"/>
      <c r="EMD506" s="332"/>
      <c r="EME506" s="332"/>
      <c r="EMF506" s="332"/>
      <c r="EMG506" s="332"/>
      <c r="EMH506" s="332"/>
      <c r="EMI506" s="332"/>
      <c r="EMJ506" s="332"/>
      <c r="EMK506" s="332"/>
      <c r="EML506" s="332"/>
      <c r="EMM506" s="332"/>
      <c r="EMN506" s="332"/>
      <c r="EMO506" s="332"/>
      <c r="EMP506" s="332"/>
      <c r="EMQ506" s="332"/>
      <c r="EMR506" s="332"/>
      <c r="EMS506" s="332"/>
      <c r="EMT506" s="332"/>
      <c r="EMU506" s="332"/>
      <c r="EMV506" s="332"/>
      <c r="EMW506" s="332"/>
      <c r="EMX506" s="332"/>
      <c r="EMY506" s="332"/>
      <c r="EMZ506" s="332"/>
      <c r="ENA506" s="332"/>
      <c r="ENB506" s="332"/>
      <c r="ENC506" s="332"/>
      <c r="END506" s="332"/>
      <c r="ENE506" s="332"/>
      <c r="ENF506" s="332"/>
      <c r="ENG506" s="332"/>
      <c r="ENH506" s="332"/>
      <c r="ENI506" s="332"/>
      <c r="ENJ506" s="332"/>
      <c r="ENK506" s="332"/>
      <c r="ENL506" s="332"/>
      <c r="ENM506" s="332"/>
      <c r="ENN506" s="332"/>
      <c r="ENO506" s="332"/>
      <c r="ENP506" s="332"/>
      <c r="ENQ506" s="332"/>
      <c r="ENR506" s="332"/>
      <c r="ENS506" s="332"/>
      <c r="ENT506" s="332"/>
      <c r="ENU506" s="332"/>
      <c r="ENV506" s="332"/>
      <c r="ENW506" s="332"/>
      <c r="ENX506" s="332"/>
      <c r="ENY506" s="332"/>
      <c r="ENZ506" s="332"/>
      <c r="EOA506" s="332"/>
      <c r="EOB506" s="332"/>
      <c r="EOC506" s="332"/>
      <c r="EOD506" s="332"/>
      <c r="EOE506" s="332"/>
      <c r="EOF506" s="332"/>
      <c r="EOG506" s="332"/>
      <c r="EOH506" s="332"/>
      <c r="EOI506" s="332"/>
      <c r="EOJ506" s="332"/>
      <c r="EOK506" s="332"/>
      <c r="EOL506" s="332"/>
      <c r="EOM506" s="332"/>
      <c r="EON506" s="332"/>
      <c r="EOO506" s="332"/>
      <c r="EOP506" s="332"/>
      <c r="EOQ506" s="332"/>
      <c r="EOR506" s="332"/>
      <c r="EOS506" s="332"/>
      <c r="EOT506" s="332"/>
      <c r="EOU506" s="332"/>
      <c r="EOV506" s="332"/>
      <c r="EOW506" s="332"/>
      <c r="EOX506" s="332"/>
      <c r="EOY506" s="332"/>
      <c r="EOZ506" s="332"/>
      <c r="EPA506" s="332"/>
      <c r="EPB506" s="332"/>
      <c r="EPC506" s="332"/>
      <c r="EPD506" s="332"/>
      <c r="EPE506" s="332"/>
      <c r="EPF506" s="332"/>
      <c r="EPG506" s="332"/>
      <c r="EPH506" s="332"/>
      <c r="EPI506" s="332"/>
      <c r="EPJ506" s="332"/>
      <c r="EPK506" s="332"/>
      <c r="EPL506" s="332"/>
      <c r="EPM506" s="332"/>
      <c r="EPN506" s="332"/>
      <c r="EPO506" s="332"/>
      <c r="EPP506" s="332"/>
      <c r="EPQ506" s="332"/>
      <c r="EPR506" s="332"/>
      <c r="EPS506" s="332"/>
      <c r="EPT506" s="332"/>
      <c r="EPU506" s="332"/>
      <c r="EPV506" s="332"/>
      <c r="EPW506" s="332"/>
      <c r="EPX506" s="332"/>
      <c r="EPY506" s="332"/>
      <c r="EPZ506" s="332"/>
      <c r="EQA506" s="332"/>
      <c r="EQB506" s="332"/>
      <c r="EQC506" s="332"/>
      <c r="EQD506" s="332"/>
      <c r="EQE506" s="332"/>
      <c r="EQF506" s="332"/>
      <c r="EQG506" s="332"/>
      <c r="EQH506" s="332"/>
      <c r="EQI506" s="332"/>
      <c r="EQJ506" s="332"/>
      <c r="EQK506" s="332"/>
      <c r="EQL506" s="332"/>
      <c r="EQM506" s="332"/>
      <c r="EQN506" s="332"/>
      <c r="EQO506" s="332"/>
      <c r="EQP506" s="332"/>
      <c r="EQQ506" s="332"/>
      <c r="EQR506" s="332"/>
      <c r="EQS506" s="332"/>
      <c r="EQT506" s="332"/>
      <c r="EQU506" s="332"/>
      <c r="EQV506" s="332"/>
      <c r="EQW506" s="332"/>
      <c r="EQX506" s="332"/>
      <c r="EQY506" s="332"/>
      <c r="EQZ506" s="332"/>
      <c r="ERA506" s="332"/>
      <c r="ERB506" s="332"/>
      <c r="ERC506" s="332"/>
      <c r="ERD506" s="332"/>
      <c r="ERE506" s="332"/>
      <c r="ERF506" s="332"/>
      <c r="ERG506" s="332"/>
      <c r="ERH506" s="332"/>
      <c r="ERI506" s="332"/>
      <c r="ERJ506" s="332"/>
      <c r="ERK506" s="332"/>
      <c r="ERL506" s="332"/>
      <c r="ERM506" s="332"/>
      <c r="ERN506" s="332"/>
      <c r="ERO506" s="332"/>
      <c r="ERP506" s="332"/>
      <c r="ERQ506" s="332"/>
      <c r="ERR506" s="332"/>
      <c r="ERS506" s="332"/>
      <c r="ERT506" s="332"/>
      <c r="ERU506" s="332"/>
      <c r="ERV506" s="332"/>
      <c r="ERW506" s="332"/>
      <c r="ERX506" s="332"/>
      <c r="ERY506" s="332"/>
      <c r="ERZ506" s="332"/>
      <c r="ESA506" s="332"/>
      <c r="ESB506" s="332"/>
      <c r="ESC506" s="332"/>
      <c r="ESD506" s="332"/>
      <c r="ESE506" s="332"/>
      <c r="ESF506" s="332"/>
      <c r="ESG506" s="332"/>
      <c r="ESH506" s="332"/>
      <c r="ESI506" s="332"/>
      <c r="ESJ506" s="332"/>
      <c r="ESK506" s="332"/>
      <c r="ESL506" s="332"/>
      <c r="ESM506" s="332"/>
      <c r="ESN506" s="332"/>
      <c r="ESO506" s="332"/>
      <c r="ESP506" s="332"/>
      <c r="ESQ506" s="332"/>
      <c r="ESR506" s="332"/>
      <c r="ESS506" s="332"/>
      <c r="EST506" s="332"/>
      <c r="ESU506" s="332"/>
      <c r="ESV506" s="332"/>
      <c r="ESW506" s="332"/>
      <c r="ESX506" s="332"/>
      <c r="ESY506" s="332"/>
      <c r="ESZ506" s="332"/>
      <c r="ETA506" s="332"/>
      <c r="ETB506" s="332"/>
      <c r="ETC506" s="332"/>
      <c r="ETD506" s="332"/>
      <c r="ETE506" s="332"/>
      <c r="ETF506" s="332"/>
      <c r="ETG506" s="332"/>
      <c r="ETH506" s="332"/>
      <c r="ETI506" s="332"/>
      <c r="ETJ506" s="332"/>
      <c r="ETK506" s="332"/>
      <c r="ETL506" s="332"/>
      <c r="ETM506" s="332"/>
      <c r="ETN506" s="332"/>
      <c r="ETO506" s="332"/>
      <c r="ETP506" s="332"/>
      <c r="ETQ506" s="332"/>
      <c r="ETR506" s="332"/>
      <c r="ETS506" s="332"/>
      <c r="ETT506" s="332"/>
      <c r="ETU506" s="332"/>
      <c r="ETV506" s="332"/>
      <c r="ETW506" s="332"/>
      <c r="ETX506" s="332"/>
      <c r="ETY506" s="332"/>
      <c r="ETZ506" s="332"/>
      <c r="EUA506" s="332"/>
      <c r="EUB506" s="332"/>
      <c r="EUC506" s="332"/>
      <c r="EUD506" s="332"/>
      <c r="EUE506" s="332"/>
      <c r="EUF506" s="332"/>
      <c r="EUG506" s="332"/>
      <c r="EUH506" s="332"/>
      <c r="EUI506" s="332"/>
      <c r="EUJ506" s="332"/>
      <c r="EUK506" s="332"/>
      <c r="EUL506" s="332"/>
      <c r="EUM506" s="332"/>
      <c r="EUN506" s="332"/>
      <c r="EUO506" s="332"/>
      <c r="EUP506" s="332"/>
      <c r="EUQ506" s="332"/>
      <c r="EUR506" s="332"/>
      <c r="EUS506" s="332"/>
      <c r="EUT506" s="332"/>
      <c r="EUU506" s="332"/>
      <c r="EUV506" s="332"/>
      <c r="EUW506" s="332"/>
      <c r="EUX506" s="332"/>
      <c r="EUY506" s="332"/>
      <c r="EUZ506" s="332"/>
      <c r="EVA506" s="332"/>
      <c r="EVB506" s="332"/>
      <c r="EVC506" s="332"/>
      <c r="EVD506" s="332"/>
      <c r="EVE506" s="332"/>
      <c r="EVF506" s="332"/>
      <c r="EVG506" s="332"/>
      <c r="EVH506" s="332"/>
      <c r="EVI506" s="332"/>
      <c r="EVJ506" s="332"/>
      <c r="EVK506" s="332"/>
      <c r="EVL506" s="332"/>
      <c r="EVM506" s="332"/>
      <c r="EVN506" s="332"/>
      <c r="EVO506" s="332"/>
      <c r="EVP506" s="332"/>
      <c r="EVQ506" s="332"/>
      <c r="EVR506" s="332"/>
      <c r="EVS506" s="332"/>
      <c r="EVT506" s="332"/>
      <c r="EVU506" s="332"/>
      <c r="EVV506" s="332"/>
      <c r="EVW506" s="332"/>
      <c r="EVX506" s="332"/>
      <c r="EVY506" s="332"/>
      <c r="EVZ506" s="332"/>
      <c r="EWA506" s="332"/>
      <c r="EWB506" s="332"/>
      <c r="EWC506" s="332"/>
      <c r="EWD506" s="332"/>
      <c r="EWE506" s="332"/>
      <c r="EWF506" s="332"/>
      <c r="EWG506" s="332"/>
      <c r="EWH506" s="332"/>
      <c r="EWI506" s="332"/>
      <c r="EWJ506" s="332"/>
      <c r="EWK506" s="332"/>
      <c r="EWL506" s="332"/>
      <c r="EWM506" s="332"/>
      <c r="EWN506" s="332"/>
      <c r="EWO506" s="332"/>
      <c r="EWP506" s="332"/>
      <c r="EWQ506" s="332"/>
      <c r="EWR506" s="332"/>
      <c r="EWS506" s="332"/>
      <c r="EWT506" s="332"/>
      <c r="EWU506" s="332"/>
      <c r="EWV506" s="332"/>
      <c r="EWW506" s="332"/>
      <c r="EWX506" s="332"/>
      <c r="EWY506" s="332"/>
      <c r="EWZ506" s="332"/>
      <c r="EXA506" s="332"/>
      <c r="EXB506" s="332"/>
      <c r="EXC506" s="332"/>
      <c r="EXD506" s="332"/>
      <c r="EXE506" s="332"/>
      <c r="EXF506" s="332"/>
      <c r="EXG506" s="332"/>
      <c r="EXH506" s="332"/>
      <c r="EXI506" s="332"/>
      <c r="EXJ506" s="332"/>
      <c r="EXK506" s="332"/>
      <c r="EXL506" s="332"/>
      <c r="EXM506" s="332"/>
      <c r="EXN506" s="332"/>
      <c r="EXO506" s="332"/>
      <c r="EXP506" s="332"/>
      <c r="EXQ506" s="332"/>
      <c r="EXR506" s="332"/>
      <c r="EXS506" s="332"/>
      <c r="EXT506" s="332"/>
      <c r="EXU506" s="332"/>
      <c r="EXV506" s="332"/>
      <c r="EXW506" s="332"/>
      <c r="EXX506" s="332"/>
      <c r="EXY506" s="332"/>
      <c r="EXZ506" s="332"/>
      <c r="EYA506" s="332"/>
      <c r="EYB506" s="332"/>
      <c r="EYC506" s="332"/>
      <c r="EYD506" s="332"/>
      <c r="EYE506" s="332"/>
      <c r="EYF506" s="332"/>
      <c r="EYG506" s="332"/>
      <c r="EYH506" s="332"/>
      <c r="EYI506" s="332"/>
      <c r="EYJ506" s="332"/>
      <c r="EYK506" s="332"/>
      <c r="EYL506" s="332"/>
      <c r="EYM506" s="332"/>
      <c r="EYN506" s="332"/>
      <c r="EYO506" s="332"/>
      <c r="EYP506" s="332"/>
      <c r="EYQ506" s="332"/>
      <c r="EYR506" s="332"/>
      <c r="EYS506" s="332"/>
      <c r="EYT506" s="332"/>
      <c r="EYU506" s="332"/>
      <c r="EYV506" s="332"/>
      <c r="EYW506" s="332"/>
      <c r="EYX506" s="332"/>
      <c r="EYY506" s="332"/>
      <c r="EYZ506" s="332"/>
      <c r="EZA506" s="332"/>
      <c r="EZB506" s="332"/>
      <c r="EZC506" s="332"/>
      <c r="EZD506" s="332"/>
      <c r="EZE506" s="332"/>
      <c r="EZF506" s="332"/>
      <c r="EZG506" s="332"/>
      <c r="EZH506" s="332"/>
      <c r="EZI506" s="332"/>
      <c r="EZJ506" s="332"/>
      <c r="EZK506" s="332"/>
      <c r="EZL506" s="332"/>
      <c r="EZM506" s="332"/>
      <c r="EZN506" s="332"/>
      <c r="EZO506" s="332"/>
      <c r="EZP506" s="332"/>
      <c r="EZQ506" s="332"/>
      <c r="EZR506" s="332"/>
      <c r="EZS506" s="332"/>
      <c r="EZT506" s="332"/>
      <c r="EZU506" s="332"/>
      <c r="EZV506" s="332"/>
      <c r="EZW506" s="332"/>
      <c r="EZX506" s="332"/>
      <c r="EZY506" s="332"/>
      <c r="EZZ506" s="332"/>
      <c r="FAA506" s="332"/>
      <c r="FAB506" s="332"/>
      <c r="FAC506" s="332"/>
      <c r="FAD506" s="332"/>
      <c r="FAE506" s="332"/>
      <c r="FAF506" s="332"/>
      <c r="FAG506" s="332"/>
      <c r="FAH506" s="332"/>
      <c r="FAI506" s="332"/>
      <c r="FAJ506" s="332"/>
      <c r="FAK506" s="332"/>
      <c r="FAL506" s="332"/>
      <c r="FAM506" s="332"/>
      <c r="FAN506" s="332"/>
      <c r="FAO506" s="332"/>
      <c r="FAP506" s="332"/>
      <c r="FAQ506" s="332"/>
      <c r="FAR506" s="332"/>
      <c r="FAS506" s="332"/>
      <c r="FAT506" s="332"/>
      <c r="FAU506" s="332"/>
      <c r="FAV506" s="332"/>
      <c r="FAW506" s="332"/>
      <c r="FAX506" s="332"/>
      <c r="FAY506" s="332"/>
      <c r="FAZ506" s="332"/>
      <c r="FBA506" s="332"/>
      <c r="FBB506" s="332"/>
      <c r="FBC506" s="332"/>
      <c r="FBD506" s="332"/>
      <c r="FBE506" s="332"/>
      <c r="FBF506" s="332"/>
      <c r="FBG506" s="332"/>
      <c r="FBH506" s="332"/>
      <c r="FBI506" s="332"/>
      <c r="FBJ506" s="332"/>
      <c r="FBK506" s="332"/>
      <c r="FBL506" s="332"/>
      <c r="FBM506" s="332"/>
      <c r="FBN506" s="332"/>
      <c r="FBO506" s="332"/>
      <c r="FBP506" s="332"/>
      <c r="FBQ506" s="332"/>
      <c r="FBR506" s="332"/>
      <c r="FBS506" s="332"/>
      <c r="FBT506" s="332"/>
      <c r="FBU506" s="332"/>
      <c r="FBV506" s="332"/>
      <c r="FBW506" s="332"/>
      <c r="FBX506" s="332"/>
      <c r="FBY506" s="332"/>
      <c r="FBZ506" s="332"/>
      <c r="FCA506" s="332"/>
      <c r="FCB506" s="332"/>
      <c r="FCC506" s="332"/>
      <c r="FCD506" s="332"/>
      <c r="FCE506" s="332"/>
      <c r="FCF506" s="332"/>
      <c r="FCG506" s="332"/>
      <c r="FCH506" s="332"/>
      <c r="FCI506" s="332"/>
      <c r="FCJ506" s="332"/>
      <c r="FCK506" s="332"/>
      <c r="FCL506" s="332"/>
      <c r="FCM506" s="332"/>
      <c r="FCN506" s="332"/>
      <c r="FCO506" s="332"/>
      <c r="FCP506" s="332"/>
      <c r="FCQ506" s="332"/>
      <c r="FCR506" s="332"/>
      <c r="FCS506" s="332"/>
      <c r="FCT506" s="332"/>
      <c r="FCU506" s="332"/>
      <c r="FCV506" s="332"/>
      <c r="FCW506" s="332"/>
      <c r="FCX506" s="332"/>
      <c r="FCY506" s="332"/>
      <c r="FCZ506" s="332"/>
      <c r="FDA506" s="332"/>
      <c r="FDB506" s="332"/>
      <c r="FDC506" s="332"/>
      <c r="FDD506" s="332"/>
      <c r="FDE506" s="332"/>
      <c r="FDF506" s="332"/>
      <c r="FDG506" s="332"/>
      <c r="FDH506" s="332"/>
      <c r="FDI506" s="332"/>
      <c r="FDJ506" s="332"/>
      <c r="FDK506" s="332"/>
      <c r="FDL506" s="332"/>
      <c r="FDM506" s="332"/>
      <c r="FDN506" s="332"/>
      <c r="FDO506" s="332"/>
      <c r="FDP506" s="332"/>
      <c r="FDQ506" s="332"/>
      <c r="FDR506" s="332"/>
      <c r="FDS506" s="332"/>
      <c r="FDT506" s="332"/>
      <c r="FDU506" s="332"/>
      <c r="FDV506" s="332"/>
      <c r="FDW506" s="332"/>
      <c r="FDX506" s="332"/>
      <c r="FDY506" s="332"/>
      <c r="FDZ506" s="332"/>
      <c r="FEA506" s="332"/>
      <c r="FEB506" s="332"/>
      <c r="FEC506" s="332"/>
      <c r="FED506" s="332"/>
      <c r="FEE506" s="332"/>
      <c r="FEF506" s="332"/>
      <c r="FEG506" s="332"/>
      <c r="FEH506" s="332"/>
      <c r="FEI506" s="332"/>
      <c r="FEJ506" s="332"/>
      <c r="FEK506" s="332"/>
      <c r="FEL506" s="332"/>
      <c r="FEM506" s="332"/>
      <c r="FEN506" s="332"/>
      <c r="FEO506" s="332"/>
      <c r="FEP506" s="332"/>
      <c r="FEQ506" s="332"/>
      <c r="FER506" s="332"/>
      <c r="FES506" s="332"/>
      <c r="FET506" s="332"/>
      <c r="FEU506" s="332"/>
      <c r="FEV506" s="332"/>
      <c r="FEW506" s="332"/>
      <c r="FEX506" s="332"/>
      <c r="FEY506" s="332"/>
      <c r="FEZ506" s="332"/>
      <c r="FFA506" s="332"/>
      <c r="FFB506" s="332"/>
      <c r="FFC506" s="332"/>
      <c r="FFD506" s="332"/>
      <c r="FFE506" s="332"/>
      <c r="FFF506" s="332"/>
      <c r="FFG506" s="332"/>
      <c r="FFH506" s="332"/>
      <c r="FFI506" s="332"/>
      <c r="FFJ506" s="332"/>
      <c r="FFK506" s="332"/>
      <c r="FFL506" s="332"/>
      <c r="FFM506" s="332"/>
      <c r="FFN506" s="332"/>
      <c r="FFO506" s="332"/>
      <c r="FFP506" s="332"/>
      <c r="FFQ506" s="332"/>
      <c r="FFR506" s="332"/>
      <c r="FFS506" s="332"/>
      <c r="FFT506" s="332"/>
      <c r="FFU506" s="332"/>
      <c r="FFV506" s="332"/>
      <c r="FFW506" s="332"/>
      <c r="FFX506" s="332"/>
      <c r="FFY506" s="332"/>
      <c r="FFZ506" s="332"/>
      <c r="FGA506" s="332"/>
      <c r="FGB506" s="332"/>
      <c r="FGC506" s="332"/>
      <c r="FGD506" s="332"/>
      <c r="FGE506" s="332"/>
      <c r="FGF506" s="332"/>
      <c r="FGG506" s="332"/>
      <c r="FGH506" s="332"/>
      <c r="FGI506" s="332"/>
      <c r="FGJ506" s="332"/>
      <c r="FGK506" s="332"/>
      <c r="FGL506" s="332"/>
      <c r="FGM506" s="332"/>
      <c r="FGN506" s="332"/>
      <c r="FGO506" s="332"/>
      <c r="FGP506" s="332"/>
      <c r="FGQ506" s="332"/>
      <c r="FGR506" s="332"/>
      <c r="FGS506" s="332"/>
      <c r="FGT506" s="332"/>
      <c r="FGU506" s="332"/>
      <c r="FGV506" s="332"/>
      <c r="FGW506" s="332"/>
      <c r="FGX506" s="332"/>
      <c r="FGY506" s="332"/>
      <c r="FGZ506" s="332"/>
      <c r="FHA506" s="332"/>
      <c r="FHB506" s="332"/>
      <c r="FHC506" s="332"/>
      <c r="FHD506" s="332"/>
      <c r="FHE506" s="332"/>
      <c r="FHF506" s="332"/>
      <c r="FHG506" s="332"/>
      <c r="FHH506" s="332"/>
      <c r="FHI506" s="332"/>
      <c r="FHJ506" s="332"/>
      <c r="FHK506" s="332"/>
      <c r="FHL506" s="332"/>
      <c r="FHM506" s="332"/>
      <c r="FHN506" s="332"/>
      <c r="FHO506" s="332"/>
      <c r="FHP506" s="332"/>
      <c r="FHQ506" s="332"/>
      <c r="FHR506" s="332"/>
      <c r="FHS506" s="332"/>
      <c r="FHT506" s="332"/>
      <c r="FHU506" s="332"/>
      <c r="FHV506" s="332"/>
      <c r="FHW506" s="332"/>
      <c r="FHX506" s="332"/>
      <c r="FHY506" s="332"/>
      <c r="FHZ506" s="332"/>
      <c r="FIA506" s="332"/>
      <c r="FIB506" s="332"/>
      <c r="FIC506" s="332"/>
      <c r="FID506" s="332"/>
      <c r="FIE506" s="332"/>
      <c r="FIF506" s="332"/>
      <c r="FIG506" s="332"/>
      <c r="FIH506" s="332"/>
      <c r="FII506" s="332"/>
      <c r="FIJ506" s="332"/>
      <c r="FIK506" s="332"/>
      <c r="FIL506" s="332"/>
      <c r="FIM506" s="332"/>
      <c r="FIN506" s="332"/>
      <c r="FIO506" s="332"/>
      <c r="FIP506" s="332"/>
      <c r="FIQ506" s="332"/>
      <c r="FIR506" s="332"/>
      <c r="FIS506" s="332"/>
      <c r="FIT506" s="332"/>
      <c r="FIU506" s="332"/>
      <c r="FIV506" s="332"/>
      <c r="FIW506" s="332"/>
      <c r="FIX506" s="332"/>
      <c r="FIY506" s="332"/>
      <c r="FIZ506" s="332"/>
      <c r="FJA506" s="332"/>
      <c r="FJB506" s="332"/>
      <c r="FJC506" s="332"/>
      <c r="FJD506" s="332"/>
      <c r="FJE506" s="332"/>
      <c r="FJF506" s="332"/>
      <c r="FJG506" s="332"/>
      <c r="FJH506" s="332"/>
      <c r="FJI506" s="332"/>
      <c r="FJJ506" s="332"/>
      <c r="FJK506" s="332"/>
      <c r="FJL506" s="332"/>
      <c r="FJM506" s="332"/>
      <c r="FJN506" s="332"/>
      <c r="FJO506" s="332"/>
      <c r="FJP506" s="332"/>
      <c r="FJQ506" s="332"/>
      <c r="FJR506" s="332"/>
      <c r="FJS506" s="332"/>
      <c r="FJT506" s="332"/>
      <c r="FJU506" s="332"/>
      <c r="FJV506" s="332"/>
      <c r="FJW506" s="332"/>
      <c r="FJX506" s="332"/>
      <c r="FJY506" s="332"/>
      <c r="FJZ506" s="332"/>
      <c r="FKA506" s="332"/>
      <c r="FKB506" s="332"/>
      <c r="FKC506" s="332"/>
      <c r="FKD506" s="332"/>
      <c r="FKE506" s="332"/>
      <c r="FKF506" s="332"/>
      <c r="FKG506" s="332"/>
      <c r="FKH506" s="332"/>
      <c r="FKI506" s="332"/>
      <c r="FKJ506" s="332"/>
      <c r="FKK506" s="332"/>
      <c r="FKL506" s="332"/>
      <c r="FKM506" s="332"/>
      <c r="FKN506" s="332"/>
      <c r="FKO506" s="332"/>
      <c r="FKP506" s="332"/>
      <c r="FKQ506" s="332"/>
      <c r="FKR506" s="332"/>
      <c r="FKS506" s="332"/>
      <c r="FKT506" s="332"/>
      <c r="FKU506" s="332"/>
      <c r="FKV506" s="332"/>
      <c r="FKW506" s="332"/>
      <c r="FKX506" s="332"/>
      <c r="FKY506" s="332"/>
      <c r="FKZ506" s="332"/>
      <c r="FLA506" s="332"/>
      <c r="FLB506" s="332"/>
      <c r="FLC506" s="332"/>
      <c r="FLD506" s="332"/>
      <c r="FLE506" s="332"/>
      <c r="FLF506" s="332"/>
      <c r="FLG506" s="332"/>
      <c r="FLH506" s="332"/>
      <c r="FLI506" s="332"/>
      <c r="FLJ506" s="332"/>
      <c r="FLK506" s="332"/>
      <c r="FLL506" s="332"/>
      <c r="FLM506" s="332"/>
      <c r="FLN506" s="332"/>
      <c r="FLO506" s="332"/>
      <c r="FLP506" s="332"/>
      <c r="FLQ506" s="332"/>
      <c r="FLR506" s="332"/>
      <c r="FLS506" s="332"/>
      <c r="FLT506" s="332"/>
      <c r="FLU506" s="332"/>
      <c r="FLV506" s="332"/>
      <c r="FLW506" s="332"/>
      <c r="FLX506" s="332"/>
      <c r="FLY506" s="332"/>
      <c r="FLZ506" s="332"/>
      <c r="FMA506" s="332"/>
      <c r="FMB506" s="332"/>
      <c r="FMC506" s="332"/>
      <c r="FMD506" s="332"/>
      <c r="FME506" s="332"/>
      <c r="FMF506" s="332"/>
      <c r="FMG506" s="332"/>
      <c r="FMH506" s="332"/>
      <c r="FMI506" s="332"/>
      <c r="FMJ506" s="332"/>
      <c r="FMK506" s="332"/>
      <c r="FML506" s="332"/>
      <c r="FMM506" s="332"/>
      <c r="FMN506" s="332"/>
      <c r="FMO506" s="332"/>
      <c r="FMP506" s="332"/>
      <c r="FMQ506" s="332"/>
      <c r="FMR506" s="332"/>
      <c r="FMS506" s="332"/>
      <c r="FMT506" s="332"/>
      <c r="FMU506" s="332"/>
      <c r="FMV506" s="332"/>
      <c r="FMW506" s="332"/>
      <c r="FMX506" s="332"/>
      <c r="FMY506" s="332"/>
      <c r="FMZ506" s="332"/>
      <c r="FNA506" s="332"/>
      <c r="FNB506" s="332"/>
      <c r="FNC506" s="332"/>
      <c r="FND506" s="332"/>
      <c r="FNE506" s="332"/>
      <c r="FNF506" s="332"/>
      <c r="FNG506" s="332"/>
      <c r="FNH506" s="332"/>
      <c r="FNI506" s="332"/>
      <c r="FNJ506" s="332"/>
      <c r="FNK506" s="332"/>
      <c r="FNL506" s="332"/>
      <c r="FNM506" s="332"/>
      <c r="FNN506" s="332"/>
      <c r="FNO506" s="332"/>
      <c r="FNP506" s="332"/>
      <c r="FNQ506" s="332"/>
      <c r="FNR506" s="332"/>
      <c r="FNS506" s="332"/>
      <c r="FNT506" s="332"/>
      <c r="FNU506" s="332"/>
      <c r="FNV506" s="332"/>
      <c r="FNW506" s="332"/>
      <c r="FNX506" s="332"/>
      <c r="FNY506" s="332"/>
      <c r="FNZ506" s="332"/>
      <c r="FOA506" s="332"/>
      <c r="FOB506" s="332"/>
      <c r="FOC506" s="332"/>
      <c r="FOD506" s="332"/>
      <c r="FOE506" s="332"/>
      <c r="FOF506" s="332"/>
      <c r="FOG506" s="332"/>
      <c r="FOH506" s="332"/>
      <c r="FOI506" s="332"/>
      <c r="FOJ506" s="332"/>
      <c r="FOK506" s="332"/>
      <c r="FOL506" s="332"/>
      <c r="FOM506" s="332"/>
      <c r="FON506" s="332"/>
      <c r="FOO506" s="332"/>
      <c r="FOP506" s="332"/>
      <c r="FOQ506" s="332"/>
      <c r="FOR506" s="332"/>
      <c r="FOS506" s="332"/>
      <c r="FOT506" s="332"/>
      <c r="FOU506" s="332"/>
      <c r="FOV506" s="332"/>
      <c r="FOW506" s="332"/>
      <c r="FOX506" s="332"/>
      <c r="FOY506" s="332"/>
      <c r="FOZ506" s="332"/>
      <c r="FPA506" s="332"/>
      <c r="FPB506" s="332"/>
      <c r="FPC506" s="332"/>
      <c r="FPD506" s="332"/>
      <c r="FPE506" s="332"/>
      <c r="FPF506" s="332"/>
      <c r="FPG506" s="332"/>
      <c r="FPH506" s="332"/>
      <c r="FPI506" s="332"/>
      <c r="FPJ506" s="332"/>
      <c r="FPK506" s="332"/>
      <c r="FPL506" s="332"/>
      <c r="FPM506" s="332"/>
      <c r="FPN506" s="332"/>
      <c r="FPO506" s="332"/>
      <c r="FPP506" s="332"/>
      <c r="FPQ506" s="332"/>
      <c r="FPR506" s="332"/>
      <c r="FPS506" s="332"/>
      <c r="FPT506" s="332"/>
      <c r="FPU506" s="332"/>
      <c r="FPV506" s="332"/>
      <c r="FPW506" s="332"/>
      <c r="FPX506" s="332"/>
      <c r="FPY506" s="332"/>
      <c r="FPZ506" s="332"/>
      <c r="FQA506" s="332"/>
      <c r="FQB506" s="332"/>
      <c r="FQC506" s="332"/>
      <c r="FQD506" s="332"/>
      <c r="FQE506" s="332"/>
      <c r="FQF506" s="332"/>
      <c r="FQG506" s="332"/>
      <c r="FQH506" s="332"/>
      <c r="FQI506" s="332"/>
      <c r="FQJ506" s="332"/>
      <c r="FQK506" s="332"/>
      <c r="FQL506" s="332"/>
      <c r="FQM506" s="332"/>
      <c r="FQN506" s="332"/>
      <c r="FQO506" s="332"/>
      <c r="FQP506" s="332"/>
      <c r="FQQ506" s="332"/>
      <c r="FQR506" s="332"/>
      <c r="FQS506" s="332"/>
      <c r="FQT506" s="332"/>
      <c r="FQU506" s="332"/>
      <c r="FQV506" s="332"/>
      <c r="FQW506" s="332"/>
      <c r="FQX506" s="332"/>
      <c r="FQY506" s="332"/>
      <c r="FQZ506" s="332"/>
      <c r="FRA506" s="332"/>
      <c r="FRB506" s="332"/>
      <c r="FRC506" s="332"/>
      <c r="FRD506" s="332"/>
      <c r="FRE506" s="332"/>
      <c r="FRF506" s="332"/>
      <c r="FRG506" s="332"/>
      <c r="FRH506" s="332"/>
      <c r="FRI506" s="332"/>
      <c r="FRJ506" s="332"/>
      <c r="FRK506" s="332"/>
      <c r="FRL506" s="332"/>
      <c r="FRM506" s="332"/>
      <c r="FRN506" s="332"/>
      <c r="FRO506" s="332"/>
      <c r="FRP506" s="332"/>
      <c r="FRQ506" s="332"/>
      <c r="FRR506" s="332"/>
      <c r="FRS506" s="332"/>
      <c r="FRT506" s="332"/>
      <c r="FRU506" s="332"/>
      <c r="FRV506" s="332"/>
      <c r="FRW506" s="332"/>
      <c r="FRX506" s="332"/>
      <c r="FRY506" s="332"/>
      <c r="FRZ506" s="332"/>
      <c r="FSA506" s="332"/>
      <c r="FSB506" s="332"/>
      <c r="FSC506" s="332"/>
      <c r="FSD506" s="332"/>
      <c r="FSE506" s="332"/>
      <c r="FSF506" s="332"/>
      <c r="FSG506" s="332"/>
      <c r="FSH506" s="332"/>
      <c r="FSI506" s="332"/>
      <c r="FSJ506" s="332"/>
      <c r="FSK506" s="332"/>
      <c r="FSL506" s="332"/>
      <c r="FSM506" s="332"/>
      <c r="FSN506" s="332"/>
      <c r="FSO506" s="332"/>
      <c r="FSP506" s="332"/>
      <c r="FSQ506" s="332"/>
      <c r="FSR506" s="332"/>
      <c r="FSS506" s="332"/>
      <c r="FST506" s="332"/>
      <c r="FSU506" s="332"/>
      <c r="FSV506" s="332"/>
      <c r="FSW506" s="332"/>
      <c r="FSX506" s="332"/>
      <c r="FSY506" s="332"/>
      <c r="FSZ506" s="332"/>
      <c r="FTA506" s="332"/>
      <c r="FTB506" s="332"/>
      <c r="FTC506" s="332"/>
      <c r="FTD506" s="332"/>
      <c r="FTE506" s="332"/>
      <c r="FTF506" s="332"/>
      <c r="FTG506" s="332"/>
      <c r="FTH506" s="332"/>
      <c r="FTI506" s="332"/>
      <c r="FTJ506" s="332"/>
      <c r="FTK506" s="332"/>
      <c r="FTL506" s="332"/>
      <c r="FTM506" s="332"/>
      <c r="FTN506" s="332"/>
      <c r="FTO506" s="332"/>
      <c r="FTP506" s="332"/>
      <c r="FTQ506" s="332"/>
      <c r="FTR506" s="332"/>
      <c r="FTS506" s="332"/>
      <c r="FTT506" s="332"/>
      <c r="FTU506" s="332"/>
      <c r="FTV506" s="332"/>
      <c r="FTW506" s="332"/>
      <c r="FTX506" s="332"/>
      <c r="FTY506" s="332"/>
      <c r="FTZ506" s="332"/>
      <c r="FUA506" s="332"/>
      <c r="FUB506" s="332"/>
      <c r="FUC506" s="332"/>
      <c r="FUD506" s="332"/>
      <c r="FUE506" s="332"/>
      <c r="FUF506" s="332"/>
      <c r="FUG506" s="332"/>
      <c r="FUH506" s="332"/>
      <c r="FUI506" s="332"/>
      <c r="FUJ506" s="332"/>
      <c r="FUK506" s="332"/>
      <c r="FUL506" s="332"/>
      <c r="FUM506" s="332"/>
      <c r="FUN506" s="332"/>
      <c r="FUO506" s="332"/>
      <c r="FUP506" s="332"/>
      <c r="FUQ506" s="332"/>
      <c r="FUR506" s="332"/>
      <c r="FUS506" s="332"/>
      <c r="FUT506" s="332"/>
      <c r="FUU506" s="332"/>
      <c r="FUV506" s="332"/>
      <c r="FUW506" s="332"/>
      <c r="FUX506" s="332"/>
      <c r="FUY506" s="332"/>
      <c r="FUZ506" s="332"/>
      <c r="FVA506" s="332"/>
      <c r="FVB506" s="332"/>
      <c r="FVC506" s="332"/>
      <c r="FVD506" s="332"/>
      <c r="FVE506" s="332"/>
      <c r="FVF506" s="332"/>
      <c r="FVG506" s="332"/>
      <c r="FVH506" s="332"/>
      <c r="FVI506" s="332"/>
      <c r="FVJ506" s="332"/>
      <c r="FVK506" s="332"/>
      <c r="FVL506" s="332"/>
      <c r="FVM506" s="332"/>
      <c r="FVN506" s="332"/>
      <c r="FVO506" s="332"/>
      <c r="FVP506" s="332"/>
      <c r="FVQ506" s="332"/>
      <c r="FVR506" s="332"/>
      <c r="FVS506" s="332"/>
      <c r="FVT506" s="332"/>
      <c r="FVU506" s="332"/>
      <c r="FVV506" s="332"/>
      <c r="FVW506" s="332"/>
      <c r="FVX506" s="332"/>
      <c r="FVY506" s="332"/>
      <c r="FVZ506" s="332"/>
      <c r="FWA506" s="332"/>
      <c r="FWB506" s="332"/>
      <c r="FWC506" s="332"/>
      <c r="FWD506" s="332"/>
      <c r="FWE506" s="332"/>
      <c r="FWF506" s="332"/>
      <c r="FWG506" s="332"/>
      <c r="FWH506" s="332"/>
      <c r="FWI506" s="332"/>
      <c r="FWJ506" s="332"/>
      <c r="FWK506" s="332"/>
      <c r="FWL506" s="332"/>
      <c r="FWM506" s="332"/>
      <c r="FWN506" s="332"/>
      <c r="FWO506" s="332"/>
      <c r="FWP506" s="332"/>
      <c r="FWQ506" s="332"/>
      <c r="FWR506" s="332"/>
      <c r="FWS506" s="332"/>
      <c r="FWT506" s="332"/>
      <c r="FWU506" s="332"/>
      <c r="FWV506" s="332"/>
      <c r="FWW506" s="332"/>
      <c r="FWX506" s="332"/>
      <c r="FWY506" s="332"/>
      <c r="FWZ506" s="332"/>
      <c r="FXA506" s="332"/>
      <c r="FXB506" s="332"/>
      <c r="FXC506" s="332"/>
      <c r="FXD506" s="332"/>
      <c r="FXE506" s="332"/>
      <c r="FXF506" s="332"/>
      <c r="FXG506" s="332"/>
      <c r="FXH506" s="332"/>
      <c r="FXI506" s="332"/>
      <c r="FXJ506" s="332"/>
      <c r="FXK506" s="332"/>
      <c r="FXL506" s="332"/>
      <c r="FXM506" s="332"/>
      <c r="FXN506" s="332"/>
      <c r="FXO506" s="332"/>
      <c r="FXP506" s="332"/>
      <c r="FXQ506" s="332"/>
      <c r="FXR506" s="332"/>
      <c r="FXS506" s="332"/>
      <c r="FXT506" s="332"/>
      <c r="FXU506" s="332"/>
      <c r="FXV506" s="332"/>
      <c r="FXW506" s="332"/>
      <c r="FXX506" s="332"/>
      <c r="FXY506" s="332"/>
      <c r="FXZ506" s="332"/>
      <c r="FYA506" s="332"/>
      <c r="FYB506" s="332"/>
      <c r="FYC506" s="332"/>
      <c r="FYD506" s="332"/>
      <c r="FYE506" s="332"/>
      <c r="FYF506" s="332"/>
      <c r="FYG506" s="332"/>
      <c r="FYH506" s="332"/>
      <c r="FYI506" s="332"/>
      <c r="FYJ506" s="332"/>
      <c r="FYK506" s="332"/>
      <c r="FYL506" s="332"/>
      <c r="FYM506" s="332"/>
      <c r="FYN506" s="332"/>
      <c r="FYO506" s="332"/>
      <c r="FYP506" s="332"/>
      <c r="FYQ506" s="332"/>
      <c r="FYR506" s="332"/>
      <c r="FYS506" s="332"/>
      <c r="FYT506" s="332"/>
      <c r="FYU506" s="332"/>
      <c r="FYV506" s="332"/>
      <c r="FYW506" s="332"/>
      <c r="FYX506" s="332"/>
      <c r="FYY506" s="332"/>
      <c r="FYZ506" s="332"/>
      <c r="FZA506" s="332"/>
      <c r="FZB506" s="332"/>
      <c r="FZC506" s="332"/>
      <c r="FZD506" s="332"/>
      <c r="FZE506" s="332"/>
      <c r="FZF506" s="332"/>
      <c r="FZG506" s="332"/>
      <c r="FZH506" s="332"/>
      <c r="FZI506" s="332"/>
      <c r="FZJ506" s="332"/>
      <c r="FZK506" s="332"/>
      <c r="FZL506" s="332"/>
      <c r="FZM506" s="332"/>
      <c r="FZN506" s="332"/>
      <c r="FZO506" s="332"/>
      <c r="FZP506" s="332"/>
      <c r="FZQ506" s="332"/>
      <c r="FZR506" s="332"/>
      <c r="FZS506" s="332"/>
      <c r="FZT506" s="332"/>
      <c r="FZU506" s="332"/>
      <c r="FZV506" s="332"/>
      <c r="FZW506" s="332"/>
      <c r="FZX506" s="332"/>
      <c r="FZY506" s="332"/>
      <c r="FZZ506" s="332"/>
      <c r="GAA506" s="332"/>
      <c r="GAB506" s="332"/>
      <c r="GAC506" s="332"/>
      <c r="GAD506" s="332"/>
      <c r="GAE506" s="332"/>
      <c r="GAF506" s="332"/>
      <c r="GAG506" s="332"/>
      <c r="GAH506" s="332"/>
      <c r="GAI506" s="332"/>
      <c r="GAJ506" s="332"/>
      <c r="GAK506" s="332"/>
      <c r="GAL506" s="332"/>
      <c r="GAM506" s="332"/>
      <c r="GAN506" s="332"/>
      <c r="GAO506" s="332"/>
      <c r="GAP506" s="332"/>
      <c r="GAQ506" s="332"/>
      <c r="GAR506" s="332"/>
      <c r="GAS506" s="332"/>
      <c r="GAT506" s="332"/>
      <c r="GAU506" s="332"/>
      <c r="GAV506" s="332"/>
      <c r="GAW506" s="332"/>
      <c r="GAX506" s="332"/>
      <c r="GAY506" s="332"/>
      <c r="GAZ506" s="332"/>
      <c r="GBA506" s="332"/>
      <c r="GBB506" s="332"/>
      <c r="GBC506" s="332"/>
      <c r="GBD506" s="332"/>
      <c r="GBE506" s="332"/>
      <c r="GBF506" s="332"/>
      <c r="GBG506" s="332"/>
      <c r="GBH506" s="332"/>
      <c r="GBI506" s="332"/>
      <c r="GBJ506" s="332"/>
      <c r="GBK506" s="332"/>
      <c r="GBL506" s="332"/>
      <c r="GBM506" s="332"/>
      <c r="GBN506" s="332"/>
      <c r="GBO506" s="332"/>
      <c r="GBP506" s="332"/>
      <c r="GBQ506" s="332"/>
      <c r="GBR506" s="332"/>
      <c r="GBS506" s="332"/>
      <c r="GBT506" s="332"/>
      <c r="GBU506" s="332"/>
      <c r="GBV506" s="332"/>
      <c r="GBW506" s="332"/>
      <c r="GBX506" s="332"/>
      <c r="GBY506" s="332"/>
      <c r="GBZ506" s="332"/>
      <c r="GCA506" s="332"/>
      <c r="GCB506" s="332"/>
      <c r="GCC506" s="332"/>
      <c r="GCD506" s="332"/>
      <c r="GCE506" s="332"/>
      <c r="GCF506" s="332"/>
      <c r="GCG506" s="332"/>
      <c r="GCH506" s="332"/>
      <c r="GCI506" s="332"/>
      <c r="GCJ506" s="332"/>
      <c r="GCK506" s="332"/>
      <c r="GCL506" s="332"/>
      <c r="GCM506" s="332"/>
      <c r="GCN506" s="332"/>
      <c r="GCO506" s="332"/>
      <c r="GCP506" s="332"/>
      <c r="GCQ506" s="332"/>
      <c r="GCR506" s="332"/>
      <c r="GCS506" s="332"/>
      <c r="GCT506" s="332"/>
      <c r="GCU506" s="332"/>
      <c r="GCV506" s="332"/>
      <c r="GCW506" s="332"/>
      <c r="GCX506" s="332"/>
      <c r="GCY506" s="332"/>
      <c r="GCZ506" s="332"/>
      <c r="GDA506" s="332"/>
      <c r="GDB506" s="332"/>
      <c r="GDC506" s="332"/>
      <c r="GDD506" s="332"/>
      <c r="GDE506" s="332"/>
      <c r="GDF506" s="332"/>
      <c r="GDG506" s="332"/>
      <c r="GDH506" s="332"/>
      <c r="GDI506" s="332"/>
      <c r="GDJ506" s="332"/>
      <c r="GDK506" s="332"/>
      <c r="GDL506" s="332"/>
      <c r="GDM506" s="332"/>
      <c r="GDN506" s="332"/>
      <c r="GDO506" s="332"/>
      <c r="GDP506" s="332"/>
      <c r="GDQ506" s="332"/>
      <c r="GDR506" s="332"/>
      <c r="GDS506" s="332"/>
      <c r="GDT506" s="332"/>
      <c r="GDU506" s="332"/>
      <c r="GDV506" s="332"/>
      <c r="GDW506" s="332"/>
      <c r="GDX506" s="332"/>
      <c r="GDY506" s="332"/>
      <c r="GDZ506" s="332"/>
      <c r="GEA506" s="332"/>
      <c r="GEB506" s="332"/>
      <c r="GEC506" s="332"/>
      <c r="GED506" s="332"/>
      <c r="GEE506" s="332"/>
      <c r="GEF506" s="332"/>
      <c r="GEG506" s="332"/>
      <c r="GEH506" s="332"/>
      <c r="GEI506" s="332"/>
      <c r="GEJ506" s="332"/>
      <c r="GEK506" s="332"/>
      <c r="GEL506" s="332"/>
      <c r="GEM506" s="332"/>
      <c r="GEN506" s="332"/>
      <c r="GEO506" s="332"/>
      <c r="GEP506" s="332"/>
      <c r="GEQ506" s="332"/>
      <c r="GER506" s="332"/>
      <c r="GES506" s="332"/>
      <c r="GET506" s="332"/>
      <c r="GEU506" s="332"/>
      <c r="GEV506" s="332"/>
      <c r="GEW506" s="332"/>
      <c r="GEX506" s="332"/>
      <c r="GEY506" s="332"/>
      <c r="GEZ506" s="332"/>
      <c r="GFA506" s="332"/>
      <c r="GFB506" s="332"/>
      <c r="GFC506" s="332"/>
      <c r="GFD506" s="332"/>
      <c r="GFE506" s="332"/>
      <c r="GFF506" s="332"/>
      <c r="GFG506" s="332"/>
      <c r="GFH506" s="332"/>
      <c r="GFI506" s="332"/>
      <c r="GFJ506" s="332"/>
      <c r="GFK506" s="332"/>
      <c r="GFL506" s="332"/>
      <c r="GFM506" s="332"/>
      <c r="GFN506" s="332"/>
      <c r="GFO506" s="332"/>
      <c r="GFP506" s="332"/>
      <c r="GFQ506" s="332"/>
      <c r="GFR506" s="332"/>
      <c r="GFS506" s="332"/>
      <c r="GFT506" s="332"/>
      <c r="GFU506" s="332"/>
      <c r="GFV506" s="332"/>
      <c r="GFW506" s="332"/>
      <c r="GFX506" s="332"/>
      <c r="GFY506" s="332"/>
      <c r="GFZ506" s="332"/>
      <c r="GGA506" s="332"/>
      <c r="GGB506" s="332"/>
      <c r="GGC506" s="332"/>
      <c r="GGD506" s="332"/>
      <c r="GGE506" s="332"/>
      <c r="GGF506" s="332"/>
      <c r="GGG506" s="332"/>
      <c r="GGH506" s="332"/>
      <c r="GGI506" s="332"/>
      <c r="GGJ506" s="332"/>
      <c r="GGK506" s="332"/>
      <c r="GGL506" s="332"/>
      <c r="GGM506" s="332"/>
      <c r="GGN506" s="332"/>
      <c r="GGO506" s="332"/>
      <c r="GGP506" s="332"/>
      <c r="GGQ506" s="332"/>
      <c r="GGR506" s="332"/>
      <c r="GGS506" s="332"/>
      <c r="GGT506" s="332"/>
      <c r="GGU506" s="332"/>
      <c r="GGV506" s="332"/>
      <c r="GGW506" s="332"/>
      <c r="GGX506" s="332"/>
      <c r="GGY506" s="332"/>
      <c r="GGZ506" s="332"/>
      <c r="GHA506" s="332"/>
      <c r="GHB506" s="332"/>
      <c r="GHC506" s="332"/>
      <c r="GHD506" s="332"/>
      <c r="GHE506" s="332"/>
      <c r="GHF506" s="332"/>
      <c r="GHG506" s="332"/>
      <c r="GHH506" s="332"/>
      <c r="GHI506" s="332"/>
      <c r="GHJ506" s="332"/>
      <c r="GHK506" s="332"/>
      <c r="GHL506" s="332"/>
      <c r="GHM506" s="332"/>
      <c r="GHN506" s="332"/>
      <c r="GHO506" s="332"/>
      <c r="GHP506" s="332"/>
      <c r="GHQ506" s="332"/>
      <c r="GHR506" s="332"/>
      <c r="GHS506" s="332"/>
      <c r="GHT506" s="332"/>
      <c r="GHU506" s="332"/>
      <c r="GHV506" s="332"/>
      <c r="GHW506" s="332"/>
      <c r="GHX506" s="332"/>
      <c r="GHY506" s="332"/>
      <c r="GHZ506" s="332"/>
      <c r="GIA506" s="332"/>
      <c r="GIB506" s="332"/>
      <c r="GIC506" s="332"/>
      <c r="GID506" s="332"/>
      <c r="GIE506" s="332"/>
      <c r="GIF506" s="332"/>
      <c r="GIG506" s="332"/>
      <c r="GIH506" s="332"/>
      <c r="GII506" s="332"/>
      <c r="GIJ506" s="332"/>
      <c r="GIK506" s="332"/>
      <c r="GIL506" s="332"/>
      <c r="GIM506" s="332"/>
      <c r="GIN506" s="332"/>
      <c r="GIO506" s="332"/>
      <c r="GIP506" s="332"/>
      <c r="GIQ506" s="332"/>
      <c r="GIR506" s="332"/>
      <c r="GIS506" s="332"/>
      <c r="GIT506" s="332"/>
      <c r="GIU506" s="332"/>
      <c r="GIV506" s="332"/>
      <c r="GIW506" s="332"/>
      <c r="GIX506" s="332"/>
      <c r="GIY506" s="332"/>
      <c r="GIZ506" s="332"/>
      <c r="GJA506" s="332"/>
      <c r="GJB506" s="332"/>
      <c r="GJC506" s="332"/>
      <c r="GJD506" s="332"/>
      <c r="GJE506" s="332"/>
      <c r="GJF506" s="332"/>
      <c r="GJG506" s="332"/>
      <c r="GJH506" s="332"/>
      <c r="GJI506" s="332"/>
      <c r="GJJ506" s="332"/>
      <c r="GJK506" s="332"/>
      <c r="GJL506" s="332"/>
      <c r="GJM506" s="332"/>
      <c r="GJN506" s="332"/>
      <c r="GJO506" s="332"/>
      <c r="GJP506" s="332"/>
      <c r="GJQ506" s="332"/>
      <c r="GJR506" s="332"/>
      <c r="GJS506" s="332"/>
      <c r="GJT506" s="332"/>
      <c r="GJU506" s="332"/>
      <c r="GJV506" s="332"/>
      <c r="GJW506" s="332"/>
      <c r="GJX506" s="332"/>
      <c r="GJY506" s="332"/>
      <c r="GJZ506" s="332"/>
      <c r="GKA506" s="332"/>
      <c r="GKB506" s="332"/>
      <c r="GKC506" s="332"/>
      <c r="GKD506" s="332"/>
      <c r="GKE506" s="332"/>
      <c r="GKF506" s="332"/>
      <c r="GKG506" s="332"/>
      <c r="GKH506" s="332"/>
      <c r="GKI506" s="332"/>
      <c r="GKJ506" s="332"/>
      <c r="GKK506" s="332"/>
      <c r="GKL506" s="332"/>
      <c r="GKM506" s="332"/>
      <c r="GKN506" s="332"/>
      <c r="GKO506" s="332"/>
      <c r="GKP506" s="332"/>
      <c r="GKQ506" s="332"/>
      <c r="GKR506" s="332"/>
      <c r="GKS506" s="332"/>
      <c r="GKT506" s="332"/>
      <c r="GKU506" s="332"/>
      <c r="GKV506" s="332"/>
      <c r="GKW506" s="332"/>
      <c r="GKX506" s="332"/>
      <c r="GKY506" s="332"/>
      <c r="GKZ506" s="332"/>
      <c r="GLA506" s="332"/>
      <c r="GLB506" s="332"/>
      <c r="GLC506" s="332"/>
      <c r="GLD506" s="332"/>
      <c r="GLE506" s="332"/>
      <c r="GLF506" s="332"/>
      <c r="GLG506" s="332"/>
      <c r="GLH506" s="332"/>
      <c r="GLI506" s="332"/>
      <c r="GLJ506" s="332"/>
      <c r="GLK506" s="332"/>
      <c r="GLL506" s="332"/>
      <c r="GLM506" s="332"/>
      <c r="GLN506" s="332"/>
      <c r="GLO506" s="332"/>
      <c r="GLP506" s="332"/>
      <c r="GLQ506" s="332"/>
      <c r="GLR506" s="332"/>
      <c r="GLS506" s="332"/>
      <c r="GLT506" s="332"/>
      <c r="GLU506" s="332"/>
      <c r="GLV506" s="332"/>
      <c r="GLW506" s="332"/>
      <c r="GLX506" s="332"/>
      <c r="GLY506" s="332"/>
      <c r="GLZ506" s="332"/>
      <c r="GMA506" s="332"/>
      <c r="GMB506" s="332"/>
      <c r="GMC506" s="332"/>
      <c r="GMD506" s="332"/>
      <c r="GME506" s="332"/>
      <c r="GMF506" s="332"/>
      <c r="GMG506" s="332"/>
      <c r="GMH506" s="332"/>
      <c r="GMI506" s="332"/>
      <c r="GMJ506" s="332"/>
      <c r="GMK506" s="332"/>
      <c r="GML506" s="332"/>
      <c r="GMM506" s="332"/>
      <c r="GMN506" s="332"/>
      <c r="GMO506" s="332"/>
      <c r="GMP506" s="332"/>
      <c r="GMQ506" s="332"/>
      <c r="GMR506" s="332"/>
      <c r="GMS506" s="332"/>
      <c r="GMT506" s="332"/>
      <c r="GMU506" s="332"/>
      <c r="GMV506" s="332"/>
      <c r="GMW506" s="332"/>
      <c r="GMX506" s="332"/>
      <c r="GMY506" s="332"/>
      <c r="GMZ506" s="332"/>
      <c r="GNA506" s="332"/>
      <c r="GNB506" s="332"/>
      <c r="GNC506" s="332"/>
      <c r="GND506" s="332"/>
      <c r="GNE506" s="332"/>
      <c r="GNF506" s="332"/>
      <c r="GNG506" s="332"/>
      <c r="GNH506" s="332"/>
      <c r="GNI506" s="332"/>
      <c r="GNJ506" s="332"/>
      <c r="GNK506" s="332"/>
      <c r="GNL506" s="332"/>
      <c r="GNM506" s="332"/>
      <c r="GNN506" s="332"/>
      <c r="GNO506" s="332"/>
      <c r="GNP506" s="332"/>
      <c r="GNQ506" s="332"/>
      <c r="GNR506" s="332"/>
      <c r="GNS506" s="332"/>
      <c r="GNT506" s="332"/>
      <c r="GNU506" s="332"/>
      <c r="GNV506" s="332"/>
      <c r="GNW506" s="332"/>
      <c r="GNX506" s="332"/>
      <c r="GNY506" s="332"/>
      <c r="GNZ506" s="332"/>
      <c r="GOA506" s="332"/>
      <c r="GOB506" s="332"/>
      <c r="GOC506" s="332"/>
      <c r="GOD506" s="332"/>
      <c r="GOE506" s="332"/>
      <c r="GOF506" s="332"/>
      <c r="GOG506" s="332"/>
      <c r="GOH506" s="332"/>
      <c r="GOI506" s="332"/>
      <c r="GOJ506" s="332"/>
      <c r="GOK506" s="332"/>
      <c r="GOL506" s="332"/>
      <c r="GOM506" s="332"/>
      <c r="GON506" s="332"/>
      <c r="GOO506" s="332"/>
      <c r="GOP506" s="332"/>
      <c r="GOQ506" s="332"/>
      <c r="GOR506" s="332"/>
      <c r="GOS506" s="332"/>
      <c r="GOT506" s="332"/>
      <c r="GOU506" s="332"/>
      <c r="GOV506" s="332"/>
      <c r="GOW506" s="332"/>
      <c r="GOX506" s="332"/>
      <c r="GOY506" s="332"/>
      <c r="GOZ506" s="332"/>
      <c r="GPA506" s="332"/>
      <c r="GPB506" s="332"/>
      <c r="GPC506" s="332"/>
      <c r="GPD506" s="332"/>
      <c r="GPE506" s="332"/>
      <c r="GPF506" s="332"/>
      <c r="GPG506" s="332"/>
      <c r="GPH506" s="332"/>
      <c r="GPI506" s="332"/>
      <c r="GPJ506" s="332"/>
      <c r="GPK506" s="332"/>
      <c r="GPL506" s="332"/>
      <c r="GPM506" s="332"/>
      <c r="GPN506" s="332"/>
      <c r="GPO506" s="332"/>
      <c r="GPP506" s="332"/>
      <c r="GPQ506" s="332"/>
      <c r="GPR506" s="332"/>
      <c r="GPS506" s="332"/>
      <c r="GPT506" s="332"/>
      <c r="GPU506" s="332"/>
      <c r="GPV506" s="332"/>
      <c r="GPW506" s="332"/>
      <c r="GPX506" s="332"/>
      <c r="GPY506" s="332"/>
      <c r="GPZ506" s="332"/>
      <c r="GQA506" s="332"/>
      <c r="GQB506" s="332"/>
      <c r="GQC506" s="332"/>
      <c r="GQD506" s="332"/>
      <c r="GQE506" s="332"/>
      <c r="GQF506" s="332"/>
      <c r="GQG506" s="332"/>
      <c r="GQH506" s="332"/>
      <c r="GQI506" s="332"/>
      <c r="GQJ506" s="332"/>
      <c r="GQK506" s="332"/>
      <c r="GQL506" s="332"/>
      <c r="GQM506" s="332"/>
      <c r="GQN506" s="332"/>
      <c r="GQO506" s="332"/>
      <c r="GQP506" s="332"/>
      <c r="GQQ506" s="332"/>
      <c r="GQR506" s="332"/>
      <c r="GQS506" s="332"/>
      <c r="GQT506" s="332"/>
      <c r="GQU506" s="332"/>
      <c r="GQV506" s="332"/>
      <c r="GQW506" s="332"/>
      <c r="GQX506" s="332"/>
      <c r="GQY506" s="332"/>
      <c r="GQZ506" s="332"/>
      <c r="GRA506" s="332"/>
      <c r="GRB506" s="332"/>
      <c r="GRC506" s="332"/>
      <c r="GRD506" s="332"/>
      <c r="GRE506" s="332"/>
      <c r="GRF506" s="332"/>
      <c r="GRG506" s="332"/>
      <c r="GRH506" s="332"/>
      <c r="GRI506" s="332"/>
      <c r="GRJ506" s="332"/>
      <c r="GRK506" s="332"/>
      <c r="GRL506" s="332"/>
      <c r="GRM506" s="332"/>
      <c r="GRN506" s="332"/>
      <c r="GRO506" s="332"/>
      <c r="GRP506" s="332"/>
      <c r="GRQ506" s="332"/>
      <c r="GRR506" s="332"/>
      <c r="GRS506" s="332"/>
      <c r="GRT506" s="332"/>
      <c r="GRU506" s="332"/>
      <c r="GRV506" s="332"/>
      <c r="GRW506" s="332"/>
      <c r="GRX506" s="332"/>
      <c r="GRY506" s="332"/>
      <c r="GRZ506" s="332"/>
      <c r="GSA506" s="332"/>
      <c r="GSB506" s="332"/>
      <c r="GSC506" s="332"/>
      <c r="GSD506" s="332"/>
      <c r="GSE506" s="332"/>
      <c r="GSF506" s="332"/>
      <c r="GSG506" s="332"/>
      <c r="GSH506" s="332"/>
      <c r="GSI506" s="332"/>
      <c r="GSJ506" s="332"/>
      <c r="GSK506" s="332"/>
      <c r="GSL506" s="332"/>
      <c r="GSM506" s="332"/>
      <c r="GSN506" s="332"/>
      <c r="GSO506" s="332"/>
      <c r="GSP506" s="332"/>
      <c r="GSQ506" s="332"/>
      <c r="GSR506" s="332"/>
      <c r="GSS506" s="332"/>
      <c r="GST506" s="332"/>
      <c r="GSU506" s="332"/>
      <c r="GSV506" s="332"/>
      <c r="GSW506" s="332"/>
      <c r="GSX506" s="332"/>
      <c r="GSY506" s="332"/>
      <c r="GSZ506" s="332"/>
      <c r="GTA506" s="332"/>
      <c r="GTB506" s="332"/>
      <c r="GTC506" s="332"/>
      <c r="GTD506" s="332"/>
      <c r="GTE506" s="332"/>
      <c r="GTF506" s="332"/>
      <c r="GTG506" s="332"/>
      <c r="GTH506" s="332"/>
      <c r="GTI506" s="332"/>
      <c r="GTJ506" s="332"/>
      <c r="GTK506" s="332"/>
      <c r="GTL506" s="332"/>
      <c r="GTM506" s="332"/>
      <c r="GTN506" s="332"/>
      <c r="GTO506" s="332"/>
      <c r="GTP506" s="332"/>
      <c r="GTQ506" s="332"/>
      <c r="GTR506" s="332"/>
      <c r="GTS506" s="332"/>
      <c r="GTT506" s="332"/>
      <c r="GTU506" s="332"/>
      <c r="GTV506" s="332"/>
      <c r="GTW506" s="332"/>
      <c r="GTX506" s="332"/>
      <c r="GTY506" s="332"/>
      <c r="GTZ506" s="332"/>
      <c r="GUA506" s="332"/>
      <c r="GUB506" s="332"/>
      <c r="GUC506" s="332"/>
      <c r="GUD506" s="332"/>
      <c r="GUE506" s="332"/>
      <c r="GUF506" s="332"/>
      <c r="GUG506" s="332"/>
      <c r="GUH506" s="332"/>
      <c r="GUI506" s="332"/>
      <c r="GUJ506" s="332"/>
      <c r="GUK506" s="332"/>
      <c r="GUL506" s="332"/>
      <c r="GUM506" s="332"/>
      <c r="GUN506" s="332"/>
      <c r="GUO506" s="332"/>
      <c r="GUP506" s="332"/>
      <c r="GUQ506" s="332"/>
      <c r="GUR506" s="332"/>
      <c r="GUS506" s="332"/>
      <c r="GUT506" s="332"/>
      <c r="GUU506" s="332"/>
      <c r="GUV506" s="332"/>
      <c r="GUW506" s="332"/>
      <c r="GUX506" s="332"/>
      <c r="GUY506" s="332"/>
      <c r="GUZ506" s="332"/>
      <c r="GVA506" s="332"/>
      <c r="GVB506" s="332"/>
      <c r="GVC506" s="332"/>
      <c r="GVD506" s="332"/>
      <c r="GVE506" s="332"/>
      <c r="GVF506" s="332"/>
      <c r="GVG506" s="332"/>
      <c r="GVH506" s="332"/>
      <c r="GVI506" s="332"/>
      <c r="GVJ506" s="332"/>
      <c r="GVK506" s="332"/>
      <c r="GVL506" s="332"/>
      <c r="GVM506" s="332"/>
      <c r="GVN506" s="332"/>
      <c r="GVO506" s="332"/>
      <c r="GVP506" s="332"/>
      <c r="GVQ506" s="332"/>
      <c r="GVR506" s="332"/>
      <c r="GVS506" s="332"/>
      <c r="GVT506" s="332"/>
      <c r="GVU506" s="332"/>
      <c r="GVV506" s="332"/>
      <c r="GVW506" s="332"/>
      <c r="GVX506" s="332"/>
      <c r="GVY506" s="332"/>
      <c r="GVZ506" s="332"/>
      <c r="GWA506" s="332"/>
      <c r="GWB506" s="332"/>
      <c r="GWC506" s="332"/>
      <c r="GWD506" s="332"/>
      <c r="GWE506" s="332"/>
      <c r="GWF506" s="332"/>
      <c r="GWG506" s="332"/>
      <c r="GWH506" s="332"/>
      <c r="GWI506" s="332"/>
      <c r="GWJ506" s="332"/>
      <c r="GWK506" s="332"/>
      <c r="GWL506" s="332"/>
      <c r="GWM506" s="332"/>
      <c r="GWN506" s="332"/>
      <c r="GWO506" s="332"/>
      <c r="GWP506" s="332"/>
      <c r="GWQ506" s="332"/>
      <c r="GWR506" s="332"/>
      <c r="GWS506" s="332"/>
      <c r="GWT506" s="332"/>
      <c r="GWU506" s="332"/>
      <c r="GWV506" s="332"/>
      <c r="GWW506" s="332"/>
      <c r="GWX506" s="332"/>
      <c r="GWY506" s="332"/>
      <c r="GWZ506" s="332"/>
      <c r="GXA506" s="332"/>
      <c r="GXB506" s="332"/>
      <c r="GXC506" s="332"/>
      <c r="GXD506" s="332"/>
      <c r="GXE506" s="332"/>
      <c r="GXF506" s="332"/>
      <c r="GXG506" s="332"/>
      <c r="GXH506" s="332"/>
      <c r="GXI506" s="332"/>
      <c r="GXJ506" s="332"/>
      <c r="GXK506" s="332"/>
      <c r="GXL506" s="332"/>
      <c r="GXM506" s="332"/>
      <c r="GXN506" s="332"/>
      <c r="GXO506" s="332"/>
      <c r="GXP506" s="332"/>
      <c r="GXQ506" s="332"/>
      <c r="GXR506" s="332"/>
      <c r="GXS506" s="332"/>
      <c r="GXT506" s="332"/>
      <c r="GXU506" s="332"/>
      <c r="GXV506" s="332"/>
      <c r="GXW506" s="332"/>
      <c r="GXX506" s="332"/>
      <c r="GXY506" s="332"/>
      <c r="GXZ506" s="332"/>
      <c r="GYA506" s="332"/>
      <c r="GYB506" s="332"/>
      <c r="GYC506" s="332"/>
      <c r="GYD506" s="332"/>
      <c r="GYE506" s="332"/>
      <c r="GYF506" s="332"/>
      <c r="GYG506" s="332"/>
      <c r="GYH506" s="332"/>
      <c r="GYI506" s="332"/>
      <c r="GYJ506" s="332"/>
      <c r="GYK506" s="332"/>
      <c r="GYL506" s="332"/>
      <c r="GYM506" s="332"/>
      <c r="GYN506" s="332"/>
      <c r="GYO506" s="332"/>
      <c r="GYP506" s="332"/>
      <c r="GYQ506" s="332"/>
      <c r="GYR506" s="332"/>
      <c r="GYS506" s="332"/>
      <c r="GYT506" s="332"/>
      <c r="GYU506" s="332"/>
      <c r="GYV506" s="332"/>
      <c r="GYW506" s="332"/>
      <c r="GYX506" s="332"/>
      <c r="GYY506" s="332"/>
      <c r="GYZ506" s="332"/>
      <c r="GZA506" s="332"/>
      <c r="GZB506" s="332"/>
      <c r="GZC506" s="332"/>
      <c r="GZD506" s="332"/>
      <c r="GZE506" s="332"/>
      <c r="GZF506" s="332"/>
      <c r="GZG506" s="332"/>
      <c r="GZH506" s="332"/>
      <c r="GZI506" s="332"/>
      <c r="GZJ506" s="332"/>
      <c r="GZK506" s="332"/>
      <c r="GZL506" s="332"/>
      <c r="GZM506" s="332"/>
      <c r="GZN506" s="332"/>
      <c r="GZO506" s="332"/>
      <c r="GZP506" s="332"/>
      <c r="GZQ506" s="332"/>
      <c r="GZR506" s="332"/>
      <c r="GZS506" s="332"/>
      <c r="GZT506" s="332"/>
      <c r="GZU506" s="332"/>
      <c r="GZV506" s="332"/>
      <c r="GZW506" s="332"/>
      <c r="GZX506" s="332"/>
      <c r="GZY506" s="332"/>
      <c r="GZZ506" s="332"/>
      <c r="HAA506" s="332"/>
      <c r="HAB506" s="332"/>
      <c r="HAC506" s="332"/>
      <c r="HAD506" s="332"/>
      <c r="HAE506" s="332"/>
      <c r="HAF506" s="332"/>
      <c r="HAG506" s="332"/>
      <c r="HAH506" s="332"/>
      <c r="HAI506" s="332"/>
      <c r="HAJ506" s="332"/>
      <c r="HAK506" s="332"/>
      <c r="HAL506" s="332"/>
      <c r="HAM506" s="332"/>
      <c r="HAN506" s="332"/>
      <c r="HAO506" s="332"/>
      <c r="HAP506" s="332"/>
      <c r="HAQ506" s="332"/>
      <c r="HAR506" s="332"/>
      <c r="HAS506" s="332"/>
      <c r="HAT506" s="332"/>
      <c r="HAU506" s="332"/>
      <c r="HAV506" s="332"/>
      <c r="HAW506" s="332"/>
      <c r="HAX506" s="332"/>
      <c r="HAY506" s="332"/>
      <c r="HAZ506" s="332"/>
      <c r="HBA506" s="332"/>
      <c r="HBB506" s="332"/>
      <c r="HBC506" s="332"/>
      <c r="HBD506" s="332"/>
      <c r="HBE506" s="332"/>
      <c r="HBF506" s="332"/>
      <c r="HBG506" s="332"/>
      <c r="HBH506" s="332"/>
      <c r="HBI506" s="332"/>
      <c r="HBJ506" s="332"/>
      <c r="HBK506" s="332"/>
      <c r="HBL506" s="332"/>
      <c r="HBM506" s="332"/>
      <c r="HBN506" s="332"/>
      <c r="HBO506" s="332"/>
      <c r="HBP506" s="332"/>
      <c r="HBQ506" s="332"/>
      <c r="HBR506" s="332"/>
      <c r="HBS506" s="332"/>
      <c r="HBT506" s="332"/>
      <c r="HBU506" s="332"/>
      <c r="HBV506" s="332"/>
      <c r="HBW506" s="332"/>
      <c r="HBX506" s="332"/>
      <c r="HBY506" s="332"/>
      <c r="HBZ506" s="332"/>
      <c r="HCA506" s="332"/>
      <c r="HCB506" s="332"/>
      <c r="HCC506" s="332"/>
      <c r="HCD506" s="332"/>
      <c r="HCE506" s="332"/>
      <c r="HCF506" s="332"/>
      <c r="HCG506" s="332"/>
      <c r="HCH506" s="332"/>
      <c r="HCI506" s="332"/>
      <c r="HCJ506" s="332"/>
      <c r="HCK506" s="332"/>
      <c r="HCL506" s="332"/>
      <c r="HCM506" s="332"/>
      <c r="HCN506" s="332"/>
      <c r="HCO506" s="332"/>
      <c r="HCP506" s="332"/>
      <c r="HCQ506" s="332"/>
      <c r="HCR506" s="332"/>
      <c r="HCS506" s="332"/>
      <c r="HCT506" s="332"/>
      <c r="HCU506" s="332"/>
      <c r="HCV506" s="332"/>
      <c r="HCW506" s="332"/>
      <c r="HCX506" s="332"/>
      <c r="HCY506" s="332"/>
      <c r="HCZ506" s="332"/>
      <c r="HDA506" s="332"/>
      <c r="HDB506" s="332"/>
      <c r="HDC506" s="332"/>
      <c r="HDD506" s="332"/>
      <c r="HDE506" s="332"/>
      <c r="HDF506" s="332"/>
      <c r="HDG506" s="332"/>
      <c r="HDH506" s="332"/>
      <c r="HDI506" s="332"/>
      <c r="HDJ506" s="332"/>
      <c r="HDK506" s="332"/>
      <c r="HDL506" s="332"/>
      <c r="HDM506" s="332"/>
      <c r="HDN506" s="332"/>
      <c r="HDO506" s="332"/>
      <c r="HDP506" s="332"/>
      <c r="HDQ506" s="332"/>
      <c r="HDR506" s="332"/>
      <c r="HDS506" s="332"/>
      <c r="HDT506" s="332"/>
      <c r="HDU506" s="332"/>
      <c r="HDV506" s="332"/>
      <c r="HDW506" s="332"/>
      <c r="HDX506" s="332"/>
      <c r="HDY506" s="332"/>
      <c r="HDZ506" s="332"/>
      <c r="HEA506" s="332"/>
      <c r="HEB506" s="332"/>
      <c r="HEC506" s="332"/>
      <c r="HED506" s="332"/>
      <c r="HEE506" s="332"/>
      <c r="HEF506" s="332"/>
      <c r="HEG506" s="332"/>
      <c r="HEH506" s="332"/>
      <c r="HEI506" s="332"/>
      <c r="HEJ506" s="332"/>
      <c r="HEK506" s="332"/>
      <c r="HEL506" s="332"/>
      <c r="HEM506" s="332"/>
      <c r="HEN506" s="332"/>
      <c r="HEO506" s="332"/>
      <c r="HEP506" s="332"/>
      <c r="HEQ506" s="332"/>
      <c r="HER506" s="332"/>
      <c r="HES506" s="332"/>
      <c r="HET506" s="332"/>
      <c r="HEU506" s="332"/>
      <c r="HEV506" s="332"/>
      <c r="HEW506" s="332"/>
      <c r="HEX506" s="332"/>
      <c r="HEY506" s="332"/>
      <c r="HEZ506" s="332"/>
      <c r="HFA506" s="332"/>
      <c r="HFB506" s="332"/>
      <c r="HFC506" s="332"/>
      <c r="HFD506" s="332"/>
      <c r="HFE506" s="332"/>
      <c r="HFF506" s="332"/>
      <c r="HFG506" s="332"/>
      <c r="HFH506" s="332"/>
      <c r="HFI506" s="332"/>
      <c r="HFJ506" s="332"/>
      <c r="HFK506" s="332"/>
      <c r="HFL506" s="332"/>
      <c r="HFM506" s="332"/>
      <c r="HFN506" s="332"/>
      <c r="HFO506" s="332"/>
      <c r="HFP506" s="332"/>
      <c r="HFQ506" s="332"/>
      <c r="HFR506" s="332"/>
      <c r="HFS506" s="332"/>
      <c r="HFT506" s="332"/>
      <c r="HFU506" s="332"/>
      <c r="HFV506" s="332"/>
      <c r="HFW506" s="332"/>
      <c r="HFX506" s="332"/>
      <c r="HFY506" s="332"/>
      <c r="HFZ506" s="332"/>
      <c r="HGA506" s="332"/>
      <c r="HGB506" s="332"/>
      <c r="HGC506" s="332"/>
      <c r="HGD506" s="332"/>
      <c r="HGE506" s="332"/>
      <c r="HGF506" s="332"/>
      <c r="HGG506" s="332"/>
      <c r="HGH506" s="332"/>
      <c r="HGI506" s="332"/>
      <c r="HGJ506" s="332"/>
      <c r="HGK506" s="332"/>
      <c r="HGL506" s="332"/>
      <c r="HGM506" s="332"/>
      <c r="HGN506" s="332"/>
      <c r="HGO506" s="332"/>
      <c r="HGP506" s="332"/>
      <c r="HGQ506" s="332"/>
      <c r="HGR506" s="332"/>
      <c r="HGS506" s="332"/>
      <c r="HGT506" s="332"/>
      <c r="HGU506" s="332"/>
      <c r="HGV506" s="332"/>
      <c r="HGW506" s="332"/>
      <c r="HGX506" s="332"/>
      <c r="HGY506" s="332"/>
      <c r="HGZ506" s="332"/>
      <c r="HHA506" s="332"/>
      <c r="HHB506" s="332"/>
      <c r="HHC506" s="332"/>
      <c r="HHD506" s="332"/>
      <c r="HHE506" s="332"/>
      <c r="HHF506" s="332"/>
      <c r="HHG506" s="332"/>
      <c r="HHH506" s="332"/>
      <c r="HHI506" s="332"/>
      <c r="HHJ506" s="332"/>
      <c r="HHK506" s="332"/>
      <c r="HHL506" s="332"/>
      <c r="HHM506" s="332"/>
      <c r="HHN506" s="332"/>
      <c r="HHO506" s="332"/>
      <c r="HHP506" s="332"/>
      <c r="HHQ506" s="332"/>
      <c r="HHR506" s="332"/>
      <c r="HHS506" s="332"/>
      <c r="HHT506" s="332"/>
      <c r="HHU506" s="332"/>
      <c r="HHV506" s="332"/>
      <c r="HHW506" s="332"/>
      <c r="HHX506" s="332"/>
      <c r="HHY506" s="332"/>
      <c r="HHZ506" s="332"/>
      <c r="HIA506" s="332"/>
      <c r="HIB506" s="332"/>
      <c r="HIC506" s="332"/>
      <c r="HID506" s="332"/>
      <c r="HIE506" s="332"/>
      <c r="HIF506" s="332"/>
      <c r="HIG506" s="332"/>
      <c r="HIH506" s="332"/>
      <c r="HII506" s="332"/>
      <c r="HIJ506" s="332"/>
      <c r="HIK506" s="332"/>
      <c r="HIL506" s="332"/>
      <c r="HIM506" s="332"/>
      <c r="HIN506" s="332"/>
      <c r="HIO506" s="332"/>
      <c r="HIP506" s="332"/>
      <c r="HIQ506" s="332"/>
      <c r="HIR506" s="332"/>
      <c r="HIS506" s="332"/>
      <c r="HIT506" s="332"/>
      <c r="HIU506" s="332"/>
      <c r="HIV506" s="332"/>
      <c r="HIW506" s="332"/>
      <c r="HIX506" s="332"/>
      <c r="HIY506" s="332"/>
      <c r="HIZ506" s="332"/>
      <c r="HJA506" s="332"/>
      <c r="HJB506" s="332"/>
      <c r="HJC506" s="332"/>
      <c r="HJD506" s="332"/>
      <c r="HJE506" s="332"/>
      <c r="HJF506" s="332"/>
      <c r="HJG506" s="332"/>
      <c r="HJH506" s="332"/>
      <c r="HJI506" s="332"/>
      <c r="HJJ506" s="332"/>
      <c r="HJK506" s="332"/>
      <c r="HJL506" s="332"/>
      <c r="HJM506" s="332"/>
      <c r="HJN506" s="332"/>
      <c r="HJO506" s="332"/>
      <c r="HJP506" s="332"/>
      <c r="HJQ506" s="332"/>
      <c r="HJR506" s="332"/>
      <c r="HJS506" s="332"/>
      <c r="HJT506" s="332"/>
      <c r="HJU506" s="332"/>
      <c r="HJV506" s="332"/>
      <c r="HJW506" s="332"/>
      <c r="HJX506" s="332"/>
      <c r="HJY506" s="332"/>
      <c r="HJZ506" s="332"/>
      <c r="HKA506" s="332"/>
      <c r="HKB506" s="332"/>
      <c r="HKC506" s="332"/>
      <c r="HKD506" s="332"/>
      <c r="HKE506" s="332"/>
      <c r="HKF506" s="332"/>
      <c r="HKG506" s="332"/>
      <c r="HKH506" s="332"/>
      <c r="HKI506" s="332"/>
      <c r="HKJ506" s="332"/>
      <c r="HKK506" s="332"/>
      <c r="HKL506" s="332"/>
      <c r="HKM506" s="332"/>
      <c r="HKN506" s="332"/>
      <c r="HKO506" s="332"/>
      <c r="HKP506" s="332"/>
      <c r="HKQ506" s="332"/>
      <c r="HKR506" s="332"/>
      <c r="HKS506" s="332"/>
      <c r="HKT506" s="332"/>
      <c r="HKU506" s="332"/>
      <c r="HKV506" s="332"/>
      <c r="HKW506" s="332"/>
      <c r="HKX506" s="332"/>
      <c r="HKY506" s="332"/>
      <c r="HKZ506" s="332"/>
      <c r="HLA506" s="332"/>
      <c r="HLB506" s="332"/>
      <c r="HLC506" s="332"/>
      <c r="HLD506" s="332"/>
      <c r="HLE506" s="332"/>
      <c r="HLF506" s="332"/>
      <c r="HLG506" s="332"/>
      <c r="HLH506" s="332"/>
      <c r="HLI506" s="332"/>
      <c r="HLJ506" s="332"/>
      <c r="HLK506" s="332"/>
      <c r="HLL506" s="332"/>
      <c r="HLM506" s="332"/>
      <c r="HLN506" s="332"/>
      <c r="HLO506" s="332"/>
      <c r="HLP506" s="332"/>
      <c r="HLQ506" s="332"/>
      <c r="HLR506" s="332"/>
      <c r="HLS506" s="332"/>
      <c r="HLT506" s="332"/>
      <c r="HLU506" s="332"/>
      <c r="HLV506" s="332"/>
      <c r="HLW506" s="332"/>
      <c r="HLX506" s="332"/>
      <c r="HLY506" s="332"/>
      <c r="HLZ506" s="332"/>
      <c r="HMA506" s="332"/>
      <c r="HMB506" s="332"/>
      <c r="HMC506" s="332"/>
      <c r="HMD506" s="332"/>
      <c r="HME506" s="332"/>
      <c r="HMF506" s="332"/>
      <c r="HMG506" s="332"/>
      <c r="HMH506" s="332"/>
      <c r="HMI506" s="332"/>
      <c r="HMJ506" s="332"/>
      <c r="HMK506" s="332"/>
      <c r="HML506" s="332"/>
      <c r="HMM506" s="332"/>
      <c r="HMN506" s="332"/>
      <c r="HMO506" s="332"/>
      <c r="HMP506" s="332"/>
      <c r="HMQ506" s="332"/>
      <c r="HMR506" s="332"/>
      <c r="HMS506" s="332"/>
      <c r="HMT506" s="332"/>
      <c r="HMU506" s="332"/>
      <c r="HMV506" s="332"/>
      <c r="HMW506" s="332"/>
      <c r="HMX506" s="332"/>
      <c r="HMY506" s="332"/>
      <c r="HMZ506" s="332"/>
      <c r="HNA506" s="332"/>
      <c r="HNB506" s="332"/>
      <c r="HNC506" s="332"/>
      <c r="HND506" s="332"/>
      <c r="HNE506" s="332"/>
      <c r="HNF506" s="332"/>
      <c r="HNG506" s="332"/>
      <c r="HNH506" s="332"/>
      <c r="HNI506" s="332"/>
      <c r="HNJ506" s="332"/>
      <c r="HNK506" s="332"/>
      <c r="HNL506" s="332"/>
      <c r="HNM506" s="332"/>
      <c r="HNN506" s="332"/>
      <c r="HNO506" s="332"/>
      <c r="HNP506" s="332"/>
      <c r="HNQ506" s="332"/>
      <c r="HNR506" s="332"/>
      <c r="HNS506" s="332"/>
      <c r="HNT506" s="332"/>
      <c r="HNU506" s="332"/>
      <c r="HNV506" s="332"/>
      <c r="HNW506" s="332"/>
      <c r="HNX506" s="332"/>
      <c r="HNY506" s="332"/>
      <c r="HNZ506" s="332"/>
      <c r="HOA506" s="332"/>
      <c r="HOB506" s="332"/>
      <c r="HOC506" s="332"/>
      <c r="HOD506" s="332"/>
      <c r="HOE506" s="332"/>
      <c r="HOF506" s="332"/>
      <c r="HOG506" s="332"/>
      <c r="HOH506" s="332"/>
      <c r="HOI506" s="332"/>
      <c r="HOJ506" s="332"/>
      <c r="HOK506" s="332"/>
      <c r="HOL506" s="332"/>
      <c r="HOM506" s="332"/>
      <c r="HON506" s="332"/>
      <c r="HOO506" s="332"/>
      <c r="HOP506" s="332"/>
      <c r="HOQ506" s="332"/>
      <c r="HOR506" s="332"/>
      <c r="HOS506" s="332"/>
      <c r="HOT506" s="332"/>
      <c r="HOU506" s="332"/>
      <c r="HOV506" s="332"/>
      <c r="HOW506" s="332"/>
      <c r="HOX506" s="332"/>
      <c r="HOY506" s="332"/>
      <c r="HOZ506" s="332"/>
      <c r="HPA506" s="332"/>
      <c r="HPB506" s="332"/>
      <c r="HPC506" s="332"/>
      <c r="HPD506" s="332"/>
      <c r="HPE506" s="332"/>
      <c r="HPF506" s="332"/>
      <c r="HPG506" s="332"/>
      <c r="HPH506" s="332"/>
      <c r="HPI506" s="332"/>
      <c r="HPJ506" s="332"/>
      <c r="HPK506" s="332"/>
      <c r="HPL506" s="332"/>
      <c r="HPM506" s="332"/>
      <c r="HPN506" s="332"/>
      <c r="HPO506" s="332"/>
      <c r="HPP506" s="332"/>
      <c r="HPQ506" s="332"/>
      <c r="HPR506" s="332"/>
      <c r="HPS506" s="332"/>
      <c r="HPT506" s="332"/>
      <c r="HPU506" s="332"/>
      <c r="HPV506" s="332"/>
      <c r="HPW506" s="332"/>
      <c r="HPX506" s="332"/>
      <c r="HPY506" s="332"/>
      <c r="HPZ506" s="332"/>
      <c r="HQA506" s="332"/>
      <c r="HQB506" s="332"/>
      <c r="HQC506" s="332"/>
      <c r="HQD506" s="332"/>
      <c r="HQE506" s="332"/>
      <c r="HQF506" s="332"/>
      <c r="HQG506" s="332"/>
      <c r="HQH506" s="332"/>
      <c r="HQI506" s="332"/>
      <c r="HQJ506" s="332"/>
      <c r="HQK506" s="332"/>
      <c r="HQL506" s="332"/>
      <c r="HQM506" s="332"/>
      <c r="HQN506" s="332"/>
      <c r="HQO506" s="332"/>
      <c r="HQP506" s="332"/>
      <c r="HQQ506" s="332"/>
      <c r="HQR506" s="332"/>
      <c r="HQS506" s="332"/>
      <c r="HQT506" s="332"/>
      <c r="HQU506" s="332"/>
      <c r="HQV506" s="332"/>
      <c r="HQW506" s="332"/>
      <c r="HQX506" s="332"/>
      <c r="HQY506" s="332"/>
      <c r="HQZ506" s="332"/>
      <c r="HRA506" s="332"/>
      <c r="HRB506" s="332"/>
      <c r="HRC506" s="332"/>
      <c r="HRD506" s="332"/>
      <c r="HRE506" s="332"/>
      <c r="HRF506" s="332"/>
      <c r="HRG506" s="332"/>
      <c r="HRH506" s="332"/>
      <c r="HRI506" s="332"/>
      <c r="HRJ506" s="332"/>
      <c r="HRK506" s="332"/>
      <c r="HRL506" s="332"/>
      <c r="HRM506" s="332"/>
      <c r="HRN506" s="332"/>
      <c r="HRO506" s="332"/>
      <c r="HRP506" s="332"/>
      <c r="HRQ506" s="332"/>
      <c r="HRR506" s="332"/>
      <c r="HRS506" s="332"/>
      <c r="HRT506" s="332"/>
      <c r="HRU506" s="332"/>
      <c r="HRV506" s="332"/>
      <c r="HRW506" s="332"/>
      <c r="HRX506" s="332"/>
      <c r="HRY506" s="332"/>
      <c r="HRZ506" s="332"/>
      <c r="HSA506" s="332"/>
      <c r="HSB506" s="332"/>
      <c r="HSC506" s="332"/>
      <c r="HSD506" s="332"/>
      <c r="HSE506" s="332"/>
      <c r="HSF506" s="332"/>
      <c r="HSG506" s="332"/>
      <c r="HSH506" s="332"/>
      <c r="HSI506" s="332"/>
      <c r="HSJ506" s="332"/>
      <c r="HSK506" s="332"/>
      <c r="HSL506" s="332"/>
      <c r="HSM506" s="332"/>
      <c r="HSN506" s="332"/>
      <c r="HSO506" s="332"/>
      <c r="HSP506" s="332"/>
      <c r="HSQ506" s="332"/>
      <c r="HSR506" s="332"/>
      <c r="HSS506" s="332"/>
      <c r="HST506" s="332"/>
      <c r="HSU506" s="332"/>
      <c r="HSV506" s="332"/>
      <c r="HSW506" s="332"/>
      <c r="HSX506" s="332"/>
      <c r="HSY506" s="332"/>
      <c r="HSZ506" s="332"/>
      <c r="HTA506" s="332"/>
      <c r="HTB506" s="332"/>
      <c r="HTC506" s="332"/>
      <c r="HTD506" s="332"/>
      <c r="HTE506" s="332"/>
      <c r="HTF506" s="332"/>
      <c r="HTG506" s="332"/>
      <c r="HTH506" s="332"/>
      <c r="HTI506" s="332"/>
      <c r="HTJ506" s="332"/>
      <c r="HTK506" s="332"/>
      <c r="HTL506" s="332"/>
      <c r="HTM506" s="332"/>
      <c r="HTN506" s="332"/>
      <c r="HTO506" s="332"/>
      <c r="HTP506" s="332"/>
      <c r="HTQ506" s="332"/>
      <c r="HTR506" s="332"/>
      <c r="HTS506" s="332"/>
      <c r="HTT506" s="332"/>
      <c r="HTU506" s="332"/>
      <c r="HTV506" s="332"/>
      <c r="HTW506" s="332"/>
      <c r="HTX506" s="332"/>
      <c r="HTY506" s="332"/>
      <c r="HTZ506" s="332"/>
      <c r="HUA506" s="332"/>
      <c r="HUB506" s="332"/>
      <c r="HUC506" s="332"/>
      <c r="HUD506" s="332"/>
      <c r="HUE506" s="332"/>
      <c r="HUF506" s="332"/>
      <c r="HUG506" s="332"/>
      <c r="HUH506" s="332"/>
      <c r="HUI506" s="332"/>
      <c r="HUJ506" s="332"/>
      <c r="HUK506" s="332"/>
      <c r="HUL506" s="332"/>
      <c r="HUM506" s="332"/>
      <c r="HUN506" s="332"/>
      <c r="HUO506" s="332"/>
      <c r="HUP506" s="332"/>
      <c r="HUQ506" s="332"/>
      <c r="HUR506" s="332"/>
      <c r="HUS506" s="332"/>
      <c r="HUT506" s="332"/>
      <c r="HUU506" s="332"/>
      <c r="HUV506" s="332"/>
      <c r="HUW506" s="332"/>
      <c r="HUX506" s="332"/>
      <c r="HUY506" s="332"/>
      <c r="HUZ506" s="332"/>
      <c r="HVA506" s="332"/>
      <c r="HVB506" s="332"/>
      <c r="HVC506" s="332"/>
      <c r="HVD506" s="332"/>
      <c r="HVE506" s="332"/>
      <c r="HVF506" s="332"/>
      <c r="HVG506" s="332"/>
      <c r="HVH506" s="332"/>
      <c r="HVI506" s="332"/>
      <c r="HVJ506" s="332"/>
      <c r="HVK506" s="332"/>
      <c r="HVL506" s="332"/>
      <c r="HVM506" s="332"/>
      <c r="HVN506" s="332"/>
      <c r="HVO506" s="332"/>
      <c r="HVP506" s="332"/>
      <c r="HVQ506" s="332"/>
      <c r="HVR506" s="332"/>
      <c r="HVS506" s="332"/>
      <c r="HVT506" s="332"/>
      <c r="HVU506" s="332"/>
      <c r="HVV506" s="332"/>
      <c r="HVW506" s="332"/>
      <c r="HVX506" s="332"/>
      <c r="HVY506" s="332"/>
      <c r="HVZ506" s="332"/>
      <c r="HWA506" s="332"/>
      <c r="HWB506" s="332"/>
      <c r="HWC506" s="332"/>
      <c r="HWD506" s="332"/>
      <c r="HWE506" s="332"/>
      <c r="HWF506" s="332"/>
      <c r="HWG506" s="332"/>
      <c r="HWH506" s="332"/>
      <c r="HWI506" s="332"/>
      <c r="HWJ506" s="332"/>
      <c r="HWK506" s="332"/>
      <c r="HWL506" s="332"/>
      <c r="HWM506" s="332"/>
      <c r="HWN506" s="332"/>
      <c r="HWO506" s="332"/>
      <c r="HWP506" s="332"/>
      <c r="HWQ506" s="332"/>
      <c r="HWR506" s="332"/>
      <c r="HWS506" s="332"/>
      <c r="HWT506" s="332"/>
      <c r="HWU506" s="332"/>
      <c r="HWV506" s="332"/>
      <c r="HWW506" s="332"/>
      <c r="HWX506" s="332"/>
      <c r="HWY506" s="332"/>
      <c r="HWZ506" s="332"/>
      <c r="HXA506" s="332"/>
      <c r="HXB506" s="332"/>
      <c r="HXC506" s="332"/>
      <c r="HXD506" s="332"/>
      <c r="HXE506" s="332"/>
      <c r="HXF506" s="332"/>
      <c r="HXG506" s="332"/>
      <c r="HXH506" s="332"/>
      <c r="HXI506" s="332"/>
      <c r="HXJ506" s="332"/>
      <c r="HXK506" s="332"/>
      <c r="HXL506" s="332"/>
      <c r="HXM506" s="332"/>
      <c r="HXN506" s="332"/>
      <c r="HXO506" s="332"/>
      <c r="HXP506" s="332"/>
      <c r="HXQ506" s="332"/>
      <c r="HXR506" s="332"/>
      <c r="HXS506" s="332"/>
      <c r="HXT506" s="332"/>
      <c r="HXU506" s="332"/>
      <c r="HXV506" s="332"/>
      <c r="HXW506" s="332"/>
      <c r="HXX506" s="332"/>
      <c r="HXY506" s="332"/>
      <c r="HXZ506" s="332"/>
      <c r="HYA506" s="332"/>
      <c r="HYB506" s="332"/>
      <c r="HYC506" s="332"/>
      <c r="HYD506" s="332"/>
      <c r="HYE506" s="332"/>
      <c r="HYF506" s="332"/>
      <c r="HYG506" s="332"/>
      <c r="HYH506" s="332"/>
      <c r="HYI506" s="332"/>
      <c r="HYJ506" s="332"/>
      <c r="HYK506" s="332"/>
      <c r="HYL506" s="332"/>
      <c r="HYM506" s="332"/>
      <c r="HYN506" s="332"/>
      <c r="HYO506" s="332"/>
      <c r="HYP506" s="332"/>
      <c r="HYQ506" s="332"/>
      <c r="HYR506" s="332"/>
      <c r="HYS506" s="332"/>
      <c r="HYT506" s="332"/>
      <c r="HYU506" s="332"/>
      <c r="HYV506" s="332"/>
      <c r="HYW506" s="332"/>
      <c r="HYX506" s="332"/>
      <c r="HYY506" s="332"/>
      <c r="HYZ506" s="332"/>
      <c r="HZA506" s="332"/>
      <c r="HZB506" s="332"/>
      <c r="HZC506" s="332"/>
      <c r="HZD506" s="332"/>
      <c r="HZE506" s="332"/>
      <c r="HZF506" s="332"/>
      <c r="HZG506" s="332"/>
      <c r="HZH506" s="332"/>
      <c r="HZI506" s="332"/>
      <c r="HZJ506" s="332"/>
      <c r="HZK506" s="332"/>
      <c r="HZL506" s="332"/>
      <c r="HZM506" s="332"/>
      <c r="HZN506" s="332"/>
      <c r="HZO506" s="332"/>
      <c r="HZP506" s="332"/>
      <c r="HZQ506" s="332"/>
      <c r="HZR506" s="332"/>
      <c r="HZS506" s="332"/>
      <c r="HZT506" s="332"/>
      <c r="HZU506" s="332"/>
      <c r="HZV506" s="332"/>
      <c r="HZW506" s="332"/>
      <c r="HZX506" s="332"/>
      <c r="HZY506" s="332"/>
      <c r="HZZ506" s="332"/>
      <c r="IAA506" s="332"/>
      <c r="IAB506" s="332"/>
      <c r="IAC506" s="332"/>
      <c r="IAD506" s="332"/>
      <c r="IAE506" s="332"/>
      <c r="IAF506" s="332"/>
      <c r="IAG506" s="332"/>
      <c r="IAH506" s="332"/>
      <c r="IAI506" s="332"/>
      <c r="IAJ506" s="332"/>
      <c r="IAK506" s="332"/>
      <c r="IAL506" s="332"/>
      <c r="IAM506" s="332"/>
      <c r="IAN506" s="332"/>
      <c r="IAO506" s="332"/>
      <c r="IAP506" s="332"/>
      <c r="IAQ506" s="332"/>
      <c r="IAR506" s="332"/>
      <c r="IAS506" s="332"/>
      <c r="IAT506" s="332"/>
      <c r="IAU506" s="332"/>
      <c r="IAV506" s="332"/>
      <c r="IAW506" s="332"/>
      <c r="IAX506" s="332"/>
      <c r="IAY506" s="332"/>
      <c r="IAZ506" s="332"/>
      <c r="IBA506" s="332"/>
      <c r="IBB506" s="332"/>
      <c r="IBC506" s="332"/>
      <c r="IBD506" s="332"/>
      <c r="IBE506" s="332"/>
      <c r="IBF506" s="332"/>
      <c r="IBG506" s="332"/>
      <c r="IBH506" s="332"/>
      <c r="IBI506" s="332"/>
      <c r="IBJ506" s="332"/>
      <c r="IBK506" s="332"/>
      <c r="IBL506" s="332"/>
      <c r="IBM506" s="332"/>
      <c r="IBN506" s="332"/>
      <c r="IBO506" s="332"/>
      <c r="IBP506" s="332"/>
      <c r="IBQ506" s="332"/>
      <c r="IBR506" s="332"/>
      <c r="IBS506" s="332"/>
      <c r="IBT506" s="332"/>
      <c r="IBU506" s="332"/>
      <c r="IBV506" s="332"/>
      <c r="IBW506" s="332"/>
      <c r="IBX506" s="332"/>
      <c r="IBY506" s="332"/>
      <c r="IBZ506" s="332"/>
      <c r="ICA506" s="332"/>
      <c r="ICB506" s="332"/>
      <c r="ICC506" s="332"/>
      <c r="ICD506" s="332"/>
      <c r="ICE506" s="332"/>
      <c r="ICF506" s="332"/>
      <c r="ICG506" s="332"/>
      <c r="ICH506" s="332"/>
      <c r="ICI506" s="332"/>
      <c r="ICJ506" s="332"/>
      <c r="ICK506" s="332"/>
      <c r="ICL506" s="332"/>
      <c r="ICM506" s="332"/>
      <c r="ICN506" s="332"/>
      <c r="ICO506" s="332"/>
      <c r="ICP506" s="332"/>
      <c r="ICQ506" s="332"/>
      <c r="ICR506" s="332"/>
      <c r="ICS506" s="332"/>
      <c r="ICT506" s="332"/>
      <c r="ICU506" s="332"/>
      <c r="ICV506" s="332"/>
      <c r="ICW506" s="332"/>
      <c r="ICX506" s="332"/>
      <c r="ICY506" s="332"/>
      <c r="ICZ506" s="332"/>
      <c r="IDA506" s="332"/>
      <c r="IDB506" s="332"/>
      <c r="IDC506" s="332"/>
      <c r="IDD506" s="332"/>
      <c r="IDE506" s="332"/>
      <c r="IDF506" s="332"/>
      <c r="IDG506" s="332"/>
      <c r="IDH506" s="332"/>
      <c r="IDI506" s="332"/>
      <c r="IDJ506" s="332"/>
      <c r="IDK506" s="332"/>
      <c r="IDL506" s="332"/>
      <c r="IDM506" s="332"/>
      <c r="IDN506" s="332"/>
      <c r="IDO506" s="332"/>
      <c r="IDP506" s="332"/>
      <c r="IDQ506" s="332"/>
      <c r="IDR506" s="332"/>
      <c r="IDS506" s="332"/>
      <c r="IDT506" s="332"/>
      <c r="IDU506" s="332"/>
      <c r="IDV506" s="332"/>
      <c r="IDW506" s="332"/>
      <c r="IDX506" s="332"/>
      <c r="IDY506" s="332"/>
      <c r="IDZ506" s="332"/>
      <c r="IEA506" s="332"/>
      <c r="IEB506" s="332"/>
      <c r="IEC506" s="332"/>
      <c r="IED506" s="332"/>
      <c r="IEE506" s="332"/>
      <c r="IEF506" s="332"/>
      <c r="IEG506" s="332"/>
      <c r="IEH506" s="332"/>
      <c r="IEI506" s="332"/>
      <c r="IEJ506" s="332"/>
      <c r="IEK506" s="332"/>
      <c r="IEL506" s="332"/>
      <c r="IEM506" s="332"/>
      <c r="IEN506" s="332"/>
      <c r="IEO506" s="332"/>
      <c r="IEP506" s="332"/>
      <c r="IEQ506" s="332"/>
      <c r="IER506" s="332"/>
      <c r="IES506" s="332"/>
      <c r="IET506" s="332"/>
      <c r="IEU506" s="332"/>
      <c r="IEV506" s="332"/>
      <c r="IEW506" s="332"/>
      <c r="IEX506" s="332"/>
      <c r="IEY506" s="332"/>
      <c r="IEZ506" s="332"/>
      <c r="IFA506" s="332"/>
      <c r="IFB506" s="332"/>
      <c r="IFC506" s="332"/>
      <c r="IFD506" s="332"/>
      <c r="IFE506" s="332"/>
      <c r="IFF506" s="332"/>
      <c r="IFG506" s="332"/>
      <c r="IFH506" s="332"/>
      <c r="IFI506" s="332"/>
      <c r="IFJ506" s="332"/>
      <c r="IFK506" s="332"/>
      <c r="IFL506" s="332"/>
      <c r="IFM506" s="332"/>
      <c r="IFN506" s="332"/>
      <c r="IFO506" s="332"/>
      <c r="IFP506" s="332"/>
      <c r="IFQ506" s="332"/>
      <c r="IFR506" s="332"/>
      <c r="IFS506" s="332"/>
      <c r="IFT506" s="332"/>
      <c r="IFU506" s="332"/>
      <c r="IFV506" s="332"/>
      <c r="IFW506" s="332"/>
      <c r="IFX506" s="332"/>
      <c r="IFY506" s="332"/>
      <c r="IFZ506" s="332"/>
      <c r="IGA506" s="332"/>
      <c r="IGB506" s="332"/>
      <c r="IGC506" s="332"/>
      <c r="IGD506" s="332"/>
      <c r="IGE506" s="332"/>
      <c r="IGF506" s="332"/>
      <c r="IGG506" s="332"/>
      <c r="IGH506" s="332"/>
      <c r="IGI506" s="332"/>
      <c r="IGJ506" s="332"/>
      <c r="IGK506" s="332"/>
      <c r="IGL506" s="332"/>
      <c r="IGM506" s="332"/>
      <c r="IGN506" s="332"/>
      <c r="IGO506" s="332"/>
      <c r="IGP506" s="332"/>
      <c r="IGQ506" s="332"/>
      <c r="IGR506" s="332"/>
      <c r="IGS506" s="332"/>
      <c r="IGT506" s="332"/>
      <c r="IGU506" s="332"/>
      <c r="IGV506" s="332"/>
      <c r="IGW506" s="332"/>
      <c r="IGX506" s="332"/>
      <c r="IGY506" s="332"/>
      <c r="IGZ506" s="332"/>
      <c r="IHA506" s="332"/>
      <c r="IHB506" s="332"/>
      <c r="IHC506" s="332"/>
      <c r="IHD506" s="332"/>
      <c r="IHE506" s="332"/>
      <c r="IHF506" s="332"/>
      <c r="IHG506" s="332"/>
      <c r="IHH506" s="332"/>
      <c r="IHI506" s="332"/>
      <c r="IHJ506" s="332"/>
      <c r="IHK506" s="332"/>
      <c r="IHL506" s="332"/>
      <c r="IHM506" s="332"/>
      <c r="IHN506" s="332"/>
      <c r="IHO506" s="332"/>
      <c r="IHP506" s="332"/>
      <c r="IHQ506" s="332"/>
      <c r="IHR506" s="332"/>
      <c r="IHS506" s="332"/>
      <c r="IHT506" s="332"/>
      <c r="IHU506" s="332"/>
      <c r="IHV506" s="332"/>
      <c r="IHW506" s="332"/>
      <c r="IHX506" s="332"/>
      <c r="IHY506" s="332"/>
      <c r="IHZ506" s="332"/>
      <c r="IIA506" s="332"/>
      <c r="IIB506" s="332"/>
      <c r="IIC506" s="332"/>
      <c r="IID506" s="332"/>
      <c r="IIE506" s="332"/>
      <c r="IIF506" s="332"/>
      <c r="IIG506" s="332"/>
      <c r="IIH506" s="332"/>
      <c r="III506" s="332"/>
      <c r="IIJ506" s="332"/>
      <c r="IIK506" s="332"/>
      <c r="IIL506" s="332"/>
      <c r="IIM506" s="332"/>
      <c r="IIN506" s="332"/>
      <c r="IIO506" s="332"/>
      <c r="IIP506" s="332"/>
      <c r="IIQ506" s="332"/>
      <c r="IIR506" s="332"/>
      <c r="IIS506" s="332"/>
      <c r="IIT506" s="332"/>
      <c r="IIU506" s="332"/>
      <c r="IIV506" s="332"/>
      <c r="IIW506" s="332"/>
      <c r="IIX506" s="332"/>
      <c r="IIY506" s="332"/>
      <c r="IIZ506" s="332"/>
      <c r="IJA506" s="332"/>
      <c r="IJB506" s="332"/>
      <c r="IJC506" s="332"/>
      <c r="IJD506" s="332"/>
      <c r="IJE506" s="332"/>
      <c r="IJF506" s="332"/>
      <c r="IJG506" s="332"/>
      <c r="IJH506" s="332"/>
      <c r="IJI506" s="332"/>
      <c r="IJJ506" s="332"/>
      <c r="IJK506" s="332"/>
      <c r="IJL506" s="332"/>
      <c r="IJM506" s="332"/>
      <c r="IJN506" s="332"/>
      <c r="IJO506" s="332"/>
      <c r="IJP506" s="332"/>
      <c r="IJQ506" s="332"/>
      <c r="IJR506" s="332"/>
      <c r="IJS506" s="332"/>
      <c r="IJT506" s="332"/>
      <c r="IJU506" s="332"/>
      <c r="IJV506" s="332"/>
      <c r="IJW506" s="332"/>
      <c r="IJX506" s="332"/>
      <c r="IJY506" s="332"/>
      <c r="IJZ506" s="332"/>
      <c r="IKA506" s="332"/>
      <c r="IKB506" s="332"/>
      <c r="IKC506" s="332"/>
      <c r="IKD506" s="332"/>
      <c r="IKE506" s="332"/>
      <c r="IKF506" s="332"/>
      <c r="IKG506" s="332"/>
      <c r="IKH506" s="332"/>
      <c r="IKI506" s="332"/>
      <c r="IKJ506" s="332"/>
      <c r="IKK506" s="332"/>
      <c r="IKL506" s="332"/>
      <c r="IKM506" s="332"/>
      <c r="IKN506" s="332"/>
      <c r="IKO506" s="332"/>
      <c r="IKP506" s="332"/>
      <c r="IKQ506" s="332"/>
      <c r="IKR506" s="332"/>
      <c r="IKS506" s="332"/>
      <c r="IKT506" s="332"/>
      <c r="IKU506" s="332"/>
      <c r="IKV506" s="332"/>
      <c r="IKW506" s="332"/>
      <c r="IKX506" s="332"/>
      <c r="IKY506" s="332"/>
      <c r="IKZ506" s="332"/>
      <c r="ILA506" s="332"/>
      <c r="ILB506" s="332"/>
      <c r="ILC506" s="332"/>
      <c r="ILD506" s="332"/>
      <c r="ILE506" s="332"/>
      <c r="ILF506" s="332"/>
      <c r="ILG506" s="332"/>
      <c r="ILH506" s="332"/>
      <c r="ILI506" s="332"/>
      <c r="ILJ506" s="332"/>
      <c r="ILK506" s="332"/>
      <c r="ILL506" s="332"/>
      <c r="ILM506" s="332"/>
      <c r="ILN506" s="332"/>
      <c r="ILO506" s="332"/>
      <c r="ILP506" s="332"/>
      <c r="ILQ506" s="332"/>
      <c r="ILR506" s="332"/>
      <c r="ILS506" s="332"/>
      <c r="ILT506" s="332"/>
      <c r="ILU506" s="332"/>
      <c r="ILV506" s="332"/>
      <c r="ILW506" s="332"/>
      <c r="ILX506" s="332"/>
      <c r="ILY506" s="332"/>
      <c r="ILZ506" s="332"/>
      <c r="IMA506" s="332"/>
      <c r="IMB506" s="332"/>
      <c r="IMC506" s="332"/>
      <c r="IMD506" s="332"/>
      <c r="IME506" s="332"/>
      <c r="IMF506" s="332"/>
      <c r="IMG506" s="332"/>
      <c r="IMH506" s="332"/>
      <c r="IMI506" s="332"/>
      <c r="IMJ506" s="332"/>
      <c r="IMK506" s="332"/>
      <c r="IML506" s="332"/>
      <c r="IMM506" s="332"/>
      <c r="IMN506" s="332"/>
      <c r="IMO506" s="332"/>
      <c r="IMP506" s="332"/>
      <c r="IMQ506" s="332"/>
      <c r="IMR506" s="332"/>
      <c r="IMS506" s="332"/>
      <c r="IMT506" s="332"/>
      <c r="IMU506" s="332"/>
      <c r="IMV506" s="332"/>
      <c r="IMW506" s="332"/>
      <c r="IMX506" s="332"/>
      <c r="IMY506" s="332"/>
      <c r="IMZ506" s="332"/>
      <c r="INA506" s="332"/>
      <c r="INB506" s="332"/>
      <c r="INC506" s="332"/>
      <c r="IND506" s="332"/>
      <c r="INE506" s="332"/>
      <c r="INF506" s="332"/>
      <c r="ING506" s="332"/>
      <c r="INH506" s="332"/>
      <c r="INI506" s="332"/>
      <c r="INJ506" s="332"/>
      <c r="INK506" s="332"/>
      <c r="INL506" s="332"/>
      <c r="INM506" s="332"/>
      <c r="INN506" s="332"/>
      <c r="INO506" s="332"/>
      <c r="INP506" s="332"/>
      <c r="INQ506" s="332"/>
      <c r="INR506" s="332"/>
      <c r="INS506" s="332"/>
      <c r="INT506" s="332"/>
      <c r="INU506" s="332"/>
      <c r="INV506" s="332"/>
      <c r="INW506" s="332"/>
      <c r="INX506" s="332"/>
      <c r="INY506" s="332"/>
      <c r="INZ506" s="332"/>
      <c r="IOA506" s="332"/>
      <c r="IOB506" s="332"/>
      <c r="IOC506" s="332"/>
      <c r="IOD506" s="332"/>
      <c r="IOE506" s="332"/>
      <c r="IOF506" s="332"/>
      <c r="IOG506" s="332"/>
      <c r="IOH506" s="332"/>
      <c r="IOI506" s="332"/>
      <c r="IOJ506" s="332"/>
      <c r="IOK506" s="332"/>
      <c r="IOL506" s="332"/>
      <c r="IOM506" s="332"/>
      <c r="ION506" s="332"/>
      <c r="IOO506" s="332"/>
      <c r="IOP506" s="332"/>
      <c r="IOQ506" s="332"/>
      <c r="IOR506" s="332"/>
      <c r="IOS506" s="332"/>
      <c r="IOT506" s="332"/>
      <c r="IOU506" s="332"/>
      <c r="IOV506" s="332"/>
      <c r="IOW506" s="332"/>
      <c r="IOX506" s="332"/>
      <c r="IOY506" s="332"/>
      <c r="IOZ506" s="332"/>
      <c r="IPA506" s="332"/>
      <c r="IPB506" s="332"/>
      <c r="IPC506" s="332"/>
      <c r="IPD506" s="332"/>
      <c r="IPE506" s="332"/>
      <c r="IPF506" s="332"/>
      <c r="IPG506" s="332"/>
      <c r="IPH506" s="332"/>
      <c r="IPI506" s="332"/>
      <c r="IPJ506" s="332"/>
      <c r="IPK506" s="332"/>
      <c r="IPL506" s="332"/>
      <c r="IPM506" s="332"/>
      <c r="IPN506" s="332"/>
      <c r="IPO506" s="332"/>
      <c r="IPP506" s="332"/>
      <c r="IPQ506" s="332"/>
      <c r="IPR506" s="332"/>
      <c r="IPS506" s="332"/>
      <c r="IPT506" s="332"/>
      <c r="IPU506" s="332"/>
      <c r="IPV506" s="332"/>
      <c r="IPW506" s="332"/>
      <c r="IPX506" s="332"/>
      <c r="IPY506" s="332"/>
      <c r="IPZ506" s="332"/>
      <c r="IQA506" s="332"/>
      <c r="IQB506" s="332"/>
      <c r="IQC506" s="332"/>
      <c r="IQD506" s="332"/>
      <c r="IQE506" s="332"/>
      <c r="IQF506" s="332"/>
      <c r="IQG506" s="332"/>
      <c r="IQH506" s="332"/>
      <c r="IQI506" s="332"/>
      <c r="IQJ506" s="332"/>
      <c r="IQK506" s="332"/>
      <c r="IQL506" s="332"/>
      <c r="IQM506" s="332"/>
      <c r="IQN506" s="332"/>
      <c r="IQO506" s="332"/>
      <c r="IQP506" s="332"/>
      <c r="IQQ506" s="332"/>
      <c r="IQR506" s="332"/>
      <c r="IQS506" s="332"/>
      <c r="IQT506" s="332"/>
      <c r="IQU506" s="332"/>
      <c r="IQV506" s="332"/>
      <c r="IQW506" s="332"/>
      <c r="IQX506" s="332"/>
      <c r="IQY506" s="332"/>
      <c r="IQZ506" s="332"/>
      <c r="IRA506" s="332"/>
      <c r="IRB506" s="332"/>
      <c r="IRC506" s="332"/>
      <c r="IRD506" s="332"/>
      <c r="IRE506" s="332"/>
      <c r="IRF506" s="332"/>
      <c r="IRG506" s="332"/>
      <c r="IRH506" s="332"/>
      <c r="IRI506" s="332"/>
      <c r="IRJ506" s="332"/>
      <c r="IRK506" s="332"/>
      <c r="IRL506" s="332"/>
      <c r="IRM506" s="332"/>
      <c r="IRN506" s="332"/>
      <c r="IRO506" s="332"/>
      <c r="IRP506" s="332"/>
      <c r="IRQ506" s="332"/>
      <c r="IRR506" s="332"/>
      <c r="IRS506" s="332"/>
      <c r="IRT506" s="332"/>
      <c r="IRU506" s="332"/>
      <c r="IRV506" s="332"/>
      <c r="IRW506" s="332"/>
      <c r="IRX506" s="332"/>
      <c r="IRY506" s="332"/>
      <c r="IRZ506" s="332"/>
      <c r="ISA506" s="332"/>
      <c r="ISB506" s="332"/>
      <c r="ISC506" s="332"/>
      <c r="ISD506" s="332"/>
      <c r="ISE506" s="332"/>
      <c r="ISF506" s="332"/>
      <c r="ISG506" s="332"/>
      <c r="ISH506" s="332"/>
      <c r="ISI506" s="332"/>
      <c r="ISJ506" s="332"/>
      <c r="ISK506" s="332"/>
      <c r="ISL506" s="332"/>
      <c r="ISM506" s="332"/>
      <c r="ISN506" s="332"/>
      <c r="ISO506" s="332"/>
      <c r="ISP506" s="332"/>
      <c r="ISQ506" s="332"/>
      <c r="ISR506" s="332"/>
      <c r="ISS506" s="332"/>
      <c r="IST506" s="332"/>
      <c r="ISU506" s="332"/>
      <c r="ISV506" s="332"/>
      <c r="ISW506" s="332"/>
      <c r="ISX506" s="332"/>
      <c r="ISY506" s="332"/>
      <c r="ISZ506" s="332"/>
      <c r="ITA506" s="332"/>
      <c r="ITB506" s="332"/>
      <c r="ITC506" s="332"/>
      <c r="ITD506" s="332"/>
      <c r="ITE506" s="332"/>
      <c r="ITF506" s="332"/>
      <c r="ITG506" s="332"/>
      <c r="ITH506" s="332"/>
      <c r="ITI506" s="332"/>
      <c r="ITJ506" s="332"/>
      <c r="ITK506" s="332"/>
      <c r="ITL506" s="332"/>
      <c r="ITM506" s="332"/>
      <c r="ITN506" s="332"/>
      <c r="ITO506" s="332"/>
      <c r="ITP506" s="332"/>
      <c r="ITQ506" s="332"/>
      <c r="ITR506" s="332"/>
      <c r="ITS506" s="332"/>
      <c r="ITT506" s="332"/>
      <c r="ITU506" s="332"/>
      <c r="ITV506" s="332"/>
      <c r="ITW506" s="332"/>
      <c r="ITX506" s="332"/>
      <c r="ITY506" s="332"/>
      <c r="ITZ506" s="332"/>
      <c r="IUA506" s="332"/>
      <c r="IUB506" s="332"/>
      <c r="IUC506" s="332"/>
      <c r="IUD506" s="332"/>
      <c r="IUE506" s="332"/>
      <c r="IUF506" s="332"/>
      <c r="IUG506" s="332"/>
      <c r="IUH506" s="332"/>
      <c r="IUI506" s="332"/>
      <c r="IUJ506" s="332"/>
      <c r="IUK506" s="332"/>
      <c r="IUL506" s="332"/>
      <c r="IUM506" s="332"/>
      <c r="IUN506" s="332"/>
      <c r="IUO506" s="332"/>
      <c r="IUP506" s="332"/>
      <c r="IUQ506" s="332"/>
      <c r="IUR506" s="332"/>
      <c r="IUS506" s="332"/>
      <c r="IUT506" s="332"/>
      <c r="IUU506" s="332"/>
      <c r="IUV506" s="332"/>
      <c r="IUW506" s="332"/>
      <c r="IUX506" s="332"/>
      <c r="IUY506" s="332"/>
      <c r="IUZ506" s="332"/>
      <c r="IVA506" s="332"/>
      <c r="IVB506" s="332"/>
      <c r="IVC506" s="332"/>
      <c r="IVD506" s="332"/>
      <c r="IVE506" s="332"/>
      <c r="IVF506" s="332"/>
      <c r="IVG506" s="332"/>
      <c r="IVH506" s="332"/>
      <c r="IVI506" s="332"/>
      <c r="IVJ506" s="332"/>
      <c r="IVK506" s="332"/>
      <c r="IVL506" s="332"/>
      <c r="IVM506" s="332"/>
      <c r="IVN506" s="332"/>
      <c r="IVO506" s="332"/>
      <c r="IVP506" s="332"/>
      <c r="IVQ506" s="332"/>
      <c r="IVR506" s="332"/>
      <c r="IVS506" s="332"/>
      <c r="IVT506" s="332"/>
      <c r="IVU506" s="332"/>
      <c r="IVV506" s="332"/>
      <c r="IVW506" s="332"/>
      <c r="IVX506" s="332"/>
      <c r="IVY506" s="332"/>
      <c r="IVZ506" s="332"/>
      <c r="IWA506" s="332"/>
      <c r="IWB506" s="332"/>
      <c r="IWC506" s="332"/>
      <c r="IWD506" s="332"/>
      <c r="IWE506" s="332"/>
      <c r="IWF506" s="332"/>
      <c r="IWG506" s="332"/>
      <c r="IWH506" s="332"/>
      <c r="IWI506" s="332"/>
      <c r="IWJ506" s="332"/>
      <c r="IWK506" s="332"/>
      <c r="IWL506" s="332"/>
      <c r="IWM506" s="332"/>
      <c r="IWN506" s="332"/>
      <c r="IWO506" s="332"/>
      <c r="IWP506" s="332"/>
      <c r="IWQ506" s="332"/>
      <c r="IWR506" s="332"/>
      <c r="IWS506" s="332"/>
      <c r="IWT506" s="332"/>
      <c r="IWU506" s="332"/>
      <c r="IWV506" s="332"/>
      <c r="IWW506" s="332"/>
      <c r="IWX506" s="332"/>
      <c r="IWY506" s="332"/>
      <c r="IWZ506" s="332"/>
      <c r="IXA506" s="332"/>
      <c r="IXB506" s="332"/>
      <c r="IXC506" s="332"/>
      <c r="IXD506" s="332"/>
      <c r="IXE506" s="332"/>
      <c r="IXF506" s="332"/>
      <c r="IXG506" s="332"/>
      <c r="IXH506" s="332"/>
      <c r="IXI506" s="332"/>
      <c r="IXJ506" s="332"/>
      <c r="IXK506" s="332"/>
      <c r="IXL506" s="332"/>
      <c r="IXM506" s="332"/>
      <c r="IXN506" s="332"/>
      <c r="IXO506" s="332"/>
      <c r="IXP506" s="332"/>
      <c r="IXQ506" s="332"/>
      <c r="IXR506" s="332"/>
      <c r="IXS506" s="332"/>
      <c r="IXT506" s="332"/>
      <c r="IXU506" s="332"/>
      <c r="IXV506" s="332"/>
      <c r="IXW506" s="332"/>
      <c r="IXX506" s="332"/>
      <c r="IXY506" s="332"/>
      <c r="IXZ506" s="332"/>
      <c r="IYA506" s="332"/>
      <c r="IYB506" s="332"/>
      <c r="IYC506" s="332"/>
      <c r="IYD506" s="332"/>
      <c r="IYE506" s="332"/>
      <c r="IYF506" s="332"/>
      <c r="IYG506" s="332"/>
      <c r="IYH506" s="332"/>
      <c r="IYI506" s="332"/>
      <c r="IYJ506" s="332"/>
      <c r="IYK506" s="332"/>
      <c r="IYL506" s="332"/>
      <c r="IYM506" s="332"/>
      <c r="IYN506" s="332"/>
      <c r="IYO506" s="332"/>
      <c r="IYP506" s="332"/>
      <c r="IYQ506" s="332"/>
      <c r="IYR506" s="332"/>
      <c r="IYS506" s="332"/>
      <c r="IYT506" s="332"/>
      <c r="IYU506" s="332"/>
      <c r="IYV506" s="332"/>
      <c r="IYW506" s="332"/>
      <c r="IYX506" s="332"/>
      <c r="IYY506" s="332"/>
      <c r="IYZ506" s="332"/>
      <c r="IZA506" s="332"/>
      <c r="IZB506" s="332"/>
      <c r="IZC506" s="332"/>
      <c r="IZD506" s="332"/>
      <c r="IZE506" s="332"/>
      <c r="IZF506" s="332"/>
      <c r="IZG506" s="332"/>
      <c r="IZH506" s="332"/>
      <c r="IZI506" s="332"/>
      <c r="IZJ506" s="332"/>
      <c r="IZK506" s="332"/>
      <c r="IZL506" s="332"/>
      <c r="IZM506" s="332"/>
      <c r="IZN506" s="332"/>
      <c r="IZO506" s="332"/>
      <c r="IZP506" s="332"/>
      <c r="IZQ506" s="332"/>
      <c r="IZR506" s="332"/>
      <c r="IZS506" s="332"/>
      <c r="IZT506" s="332"/>
      <c r="IZU506" s="332"/>
      <c r="IZV506" s="332"/>
      <c r="IZW506" s="332"/>
      <c r="IZX506" s="332"/>
      <c r="IZY506" s="332"/>
      <c r="IZZ506" s="332"/>
      <c r="JAA506" s="332"/>
      <c r="JAB506" s="332"/>
      <c r="JAC506" s="332"/>
      <c r="JAD506" s="332"/>
      <c r="JAE506" s="332"/>
      <c r="JAF506" s="332"/>
      <c r="JAG506" s="332"/>
      <c r="JAH506" s="332"/>
      <c r="JAI506" s="332"/>
      <c r="JAJ506" s="332"/>
      <c r="JAK506" s="332"/>
      <c r="JAL506" s="332"/>
      <c r="JAM506" s="332"/>
      <c r="JAN506" s="332"/>
      <c r="JAO506" s="332"/>
      <c r="JAP506" s="332"/>
      <c r="JAQ506" s="332"/>
      <c r="JAR506" s="332"/>
      <c r="JAS506" s="332"/>
      <c r="JAT506" s="332"/>
      <c r="JAU506" s="332"/>
      <c r="JAV506" s="332"/>
      <c r="JAW506" s="332"/>
      <c r="JAX506" s="332"/>
      <c r="JAY506" s="332"/>
      <c r="JAZ506" s="332"/>
      <c r="JBA506" s="332"/>
      <c r="JBB506" s="332"/>
      <c r="JBC506" s="332"/>
      <c r="JBD506" s="332"/>
      <c r="JBE506" s="332"/>
      <c r="JBF506" s="332"/>
      <c r="JBG506" s="332"/>
      <c r="JBH506" s="332"/>
      <c r="JBI506" s="332"/>
      <c r="JBJ506" s="332"/>
      <c r="JBK506" s="332"/>
      <c r="JBL506" s="332"/>
      <c r="JBM506" s="332"/>
      <c r="JBN506" s="332"/>
      <c r="JBO506" s="332"/>
      <c r="JBP506" s="332"/>
      <c r="JBQ506" s="332"/>
      <c r="JBR506" s="332"/>
      <c r="JBS506" s="332"/>
      <c r="JBT506" s="332"/>
      <c r="JBU506" s="332"/>
      <c r="JBV506" s="332"/>
      <c r="JBW506" s="332"/>
      <c r="JBX506" s="332"/>
      <c r="JBY506" s="332"/>
      <c r="JBZ506" s="332"/>
      <c r="JCA506" s="332"/>
      <c r="JCB506" s="332"/>
      <c r="JCC506" s="332"/>
      <c r="JCD506" s="332"/>
      <c r="JCE506" s="332"/>
      <c r="JCF506" s="332"/>
      <c r="JCG506" s="332"/>
      <c r="JCH506" s="332"/>
      <c r="JCI506" s="332"/>
      <c r="JCJ506" s="332"/>
      <c r="JCK506" s="332"/>
      <c r="JCL506" s="332"/>
      <c r="JCM506" s="332"/>
      <c r="JCN506" s="332"/>
      <c r="JCO506" s="332"/>
      <c r="JCP506" s="332"/>
      <c r="JCQ506" s="332"/>
      <c r="JCR506" s="332"/>
      <c r="JCS506" s="332"/>
      <c r="JCT506" s="332"/>
      <c r="JCU506" s="332"/>
      <c r="JCV506" s="332"/>
      <c r="JCW506" s="332"/>
      <c r="JCX506" s="332"/>
      <c r="JCY506" s="332"/>
      <c r="JCZ506" s="332"/>
      <c r="JDA506" s="332"/>
      <c r="JDB506" s="332"/>
      <c r="JDC506" s="332"/>
      <c r="JDD506" s="332"/>
      <c r="JDE506" s="332"/>
      <c r="JDF506" s="332"/>
      <c r="JDG506" s="332"/>
      <c r="JDH506" s="332"/>
      <c r="JDI506" s="332"/>
      <c r="JDJ506" s="332"/>
      <c r="JDK506" s="332"/>
      <c r="JDL506" s="332"/>
      <c r="JDM506" s="332"/>
      <c r="JDN506" s="332"/>
      <c r="JDO506" s="332"/>
      <c r="JDP506" s="332"/>
      <c r="JDQ506" s="332"/>
      <c r="JDR506" s="332"/>
      <c r="JDS506" s="332"/>
      <c r="JDT506" s="332"/>
      <c r="JDU506" s="332"/>
      <c r="JDV506" s="332"/>
      <c r="JDW506" s="332"/>
      <c r="JDX506" s="332"/>
      <c r="JDY506" s="332"/>
      <c r="JDZ506" s="332"/>
      <c r="JEA506" s="332"/>
      <c r="JEB506" s="332"/>
      <c r="JEC506" s="332"/>
      <c r="JED506" s="332"/>
      <c r="JEE506" s="332"/>
      <c r="JEF506" s="332"/>
      <c r="JEG506" s="332"/>
      <c r="JEH506" s="332"/>
      <c r="JEI506" s="332"/>
      <c r="JEJ506" s="332"/>
      <c r="JEK506" s="332"/>
      <c r="JEL506" s="332"/>
      <c r="JEM506" s="332"/>
      <c r="JEN506" s="332"/>
      <c r="JEO506" s="332"/>
      <c r="JEP506" s="332"/>
      <c r="JEQ506" s="332"/>
      <c r="JER506" s="332"/>
      <c r="JES506" s="332"/>
      <c r="JET506" s="332"/>
      <c r="JEU506" s="332"/>
      <c r="JEV506" s="332"/>
      <c r="JEW506" s="332"/>
      <c r="JEX506" s="332"/>
      <c r="JEY506" s="332"/>
      <c r="JEZ506" s="332"/>
      <c r="JFA506" s="332"/>
      <c r="JFB506" s="332"/>
      <c r="JFC506" s="332"/>
      <c r="JFD506" s="332"/>
      <c r="JFE506" s="332"/>
      <c r="JFF506" s="332"/>
      <c r="JFG506" s="332"/>
      <c r="JFH506" s="332"/>
      <c r="JFI506" s="332"/>
      <c r="JFJ506" s="332"/>
      <c r="JFK506" s="332"/>
      <c r="JFL506" s="332"/>
      <c r="JFM506" s="332"/>
      <c r="JFN506" s="332"/>
      <c r="JFO506" s="332"/>
      <c r="JFP506" s="332"/>
      <c r="JFQ506" s="332"/>
      <c r="JFR506" s="332"/>
      <c r="JFS506" s="332"/>
      <c r="JFT506" s="332"/>
      <c r="JFU506" s="332"/>
      <c r="JFV506" s="332"/>
      <c r="JFW506" s="332"/>
      <c r="JFX506" s="332"/>
      <c r="JFY506" s="332"/>
      <c r="JFZ506" s="332"/>
      <c r="JGA506" s="332"/>
      <c r="JGB506" s="332"/>
      <c r="JGC506" s="332"/>
      <c r="JGD506" s="332"/>
      <c r="JGE506" s="332"/>
      <c r="JGF506" s="332"/>
      <c r="JGG506" s="332"/>
      <c r="JGH506" s="332"/>
      <c r="JGI506" s="332"/>
      <c r="JGJ506" s="332"/>
      <c r="JGK506" s="332"/>
      <c r="JGL506" s="332"/>
      <c r="JGM506" s="332"/>
      <c r="JGN506" s="332"/>
      <c r="JGO506" s="332"/>
      <c r="JGP506" s="332"/>
      <c r="JGQ506" s="332"/>
      <c r="JGR506" s="332"/>
      <c r="JGS506" s="332"/>
      <c r="JGT506" s="332"/>
      <c r="JGU506" s="332"/>
      <c r="JGV506" s="332"/>
      <c r="JGW506" s="332"/>
      <c r="JGX506" s="332"/>
      <c r="JGY506" s="332"/>
      <c r="JGZ506" s="332"/>
      <c r="JHA506" s="332"/>
      <c r="JHB506" s="332"/>
      <c r="JHC506" s="332"/>
      <c r="JHD506" s="332"/>
      <c r="JHE506" s="332"/>
      <c r="JHF506" s="332"/>
      <c r="JHG506" s="332"/>
      <c r="JHH506" s="332"/>
      <c r="JHI506" s="332"/>
      <c r="JHJ506" s="332"/>
      <c r="JHK506" s="332"/>
      <c r="JHL506" s="332"/>
      <c r="JHM506" s="332"/>
      <c r="JHN506" s="332"/>
      <c r="JHO506" s="332"/>
      <c r="JHP506" s="332"/>
      <c r="JHQ506" s="332"/>
      <c r="JHR506" s="332"/>
      <c r="JHS506" s="332"/>
      <c r="JHT506" s="332"/>
      <c r="JHU506" s="332"/>
      <c r="JHV506" s="332"/>
      <c r="JHW506" s="332"/>
      <c r="JHX506" s="332"/>
      <c r="JHY506" s="332"/>
      <c r="JHZ506" s="332"/>
      <c r="JIA506" s="332"/>
      <c r="JIB506" s="332"/>
      <c r="JIC506" s="332"/>
      <c r="JID506" s="332"/>
      <c r="JIE506" s="332"/>
      <c r="JIF506" s="332"/>
      <c r="JIG506" s="332"/>
      <c r="JIH506" s="332"/>
      <c r="JII506" s="332"/>
      <c r="JIJ506" s="332"/>
      <c r="JIK506" s="332"/>
      <c r="JIL506" s="332"/>
      <c r="JIM506" s="332"/>
      <c r="JIN506" s="332"/>
      <c r="JIO506" s="332"/>
      <c r="JIP506" s="332"/>
      <c r="JIQ506" s="332"/>
      <c r="JIR506" s="332"/>
      <c r="JIS506" s="332"/>
      <c r="JIT506" s="332"/>
      <c r="JIU506" s="332"/>
      <c r="JIV506" s="332"/>
      <c r="JIW506" s="332"/>
      <c r="JIX506" s="332"/>
      <c r="JIY506" s="332"/>
      <c r="JIZ506" s="332"/>
      <c r="JJA506" s="332"/>
      <c r="JJB506" s="332"/>
      <c r="JJC506" s="332"/>
      <c r="JJD506" s="332"/>
      <c r="JJE506" s="332"/>
      <c r="JJF506" s="332"/>
      <c r="JJG506" s="332"/>
      <c r="JJH506" s="332"/>
      <c r="JJI506" s="332"/>
      <c r="JJJ506" s="332"/>
      <c r="JJK506" s="332"/>
      <c r="JJL506" s="332"/>
      <c r="JJM506" s="332"/>
      <c r="JJN506" s="332"/>
      <c r="JJO506" s="332"/>
      <c r="JJP506" s="332"/>
      <c r="JJQ506" s="332"/>
      <c r="JJR506" s="332"/>
      <c r="JJS506" s="332"/>
      <c r="JJT506" s="332"/>
      <c r="JJU506" s="332"/>
      <c r="JJV506" s="332"/>
      <c r="JJW506" s="332"/>
      <c r="JJX506" s="332"/>
      <c r="JJY506" s="332"/>
      <c r="JJZ506" s="332"/>
      <c r="JKA506" s="332"/>
      <c r="JKB506" s="332"/>
      <c r="JKC506" s="332"/>
      <c r="JKD506" s="332"/>
      <c r="JKE506" s="332"/>
      <c r="JKF506" s="332"/>
      <c r="JKG506" s="332"/>
      <c r="JKH506" s="332"/>
      <c r="JKI506" s="332"/>
      <c r="JKJ506" s="332"/>
      <c r="JKK506" s="332"/>
      <c r="JKL506" s="332"/>
      <c r="JKM506" s="332"/>
      <c r="JKN506" s="332"/>
      <c r="JKO506" s="332"/>
      <c r="JKP506" s="332"/>
      <c r="JKQ506" s="332"/>
      <c r="JKR506" s="332"/>
      <c r="JKS506" s="332"/>
      <c r="JKT506" s="332"/>
      <c r="JKU506" s="332"/>
      <c r="JKV506" s="332"/>
      <c r="JKW506" s="332"/>
      <c r="JKX506" s="332"/>
      <c r="JKY506" s="332"/>
      <c r="JKZ506" s="332"/>
      <c r="JLA506" s="332"/>
      <c r="JLB506" s="332"/>
      <c r="JLC506" s="332"/>
      <c r="JLD506" s="332"/>
      <c r="JLE506" s="332"/>
      <c r="JLF506" s="332"/>
      <c r="JLG506" s="332"/>
      <c r="JLH506" s="332"/>
      <c r="JLI506" s="332"/>
      <c r="JLJ506" s="332"/>
      <c r="JLK506" s="332"/>
      <c r="JLL506" s="332"/>
      <c r="JLM506" s="332"/>
      <c r="JLN506" s="332"/>
      <c r="JLO506" s="332"/>
      <c r="JLP506" s="332"/>
      <c r="JLQ506" s="332"/>
      <c r="JLR506" s="332"/>
      <c r="JLS506" s="332"/>
      <c r="JLT506" s="332"/>
      <c r="JLU506" s="332"/>
      <c r="JLV506" s="332"/>
      <c r="JLW506" s="332"/>
      <c r="JLX506" s="332"/>
      <c r="JLY506" s="332"/>
      <c r="JLZ506" s="332"/>
      <c r="JMA506" s="332"/>
      <c r="JMB506" s="332"/>
      <c r="JMC506" s="332"/>
      <c r="JMD506" s="332"/>
      <c r="JME506" s="332"/>
      <c r="JMF506" s="332"/>
      <c r="JMG506" s="332"/>
      <c r="JMH506" s="332"/>
      <c r="JMI506" s="332"/>
      <c r="JMJ506" s="332"/>
      <c r="JMK506" s="332"/>
      <c r="JML506" s="332"/>
      <c r="JMM506" s="332"/>
      <c r="JMN506" s="332"/>
      <c r="JMO506" s="332"/>
      <c r="JMP506" s="332"/>
      <c r="JMQ506" s="332"/>
      <c r="JMR506" s="332"/>
      <c r="JMS506" s="332"/>
      <c r="JMT506" s="332"/>
      <c r="JMU506" s="332"/>
      <c r="JMV506" s="332"/>
      <c r="JMW506" s="332"/>
      <c r="JMX506" s="332"/>
      <c r="JMY506" s="332"/>
      <c r="JMZ506" s="332"/>
      <c r="JNA506" s="332"/>
      <c r="JNB506" s="332"/>
      <c r="JNC506" s="332"/>
      <c r="JND506" s="332"/>
      <c r="JNE506" s="332"/>
      <c r="JNF506" s="332"/>
      <c r="JNG506" s="332"/>
      <c r="JNH506" s="332"/>
      <c r="JNI506" s="332"/>
      <c r="JNJ506" s="332"/>
      <c r="JNK506" s="332"/>
      <c r="JNL506" s="332"/>
      <c r="JNM506" s="332"/>
      <c r="JNN506" s="332"/>
      <c r="JNO506" s="332"/>
      <c r="JNP506" s="332"/>
      <c r="JNQ506" s="332"/>
      <c r="JNR506" s="332"/>
      <c r="JNS506" s="332"/>
      <c r="JNT506" s="332"/>
      <c r="JNU506" s="332"/>
      <c r="JNV506" s="332"/>
      <c r="JNW506" s="332"/>
      <c r="JNX506" s="332"/>
      <c r="JNY506" s="332"/>
      <c r="JNZ506" s="332"/>
      <c r="JOA506" s="332"/>
      <c r="JOB506" s="332"/>
      <c r="JOC506" s="332"/>
      <c r="JOD506" s="332"/>
      <c r="JOE506" s="332"/>
      <c r="JOF506" s="332"/>
      <c r="JOG506" s="332"/>
      <c r="JOH506" s="332"/>
      <c r="JOI506" s="332"/>
      <c r="JOJ506" s="332"/>
      <c r="JOK506" s="332"/>
      <c r="JOL506" s="332"/>
      <c r="JOM506" s="332"/>
      <c r="JON506" s="332"/>
      <c r="JOO506" s="332"/>
      <c r="JOP506" s="332"/>
      <c r="JOQ506" s="332"/>
      <c r="JOR506" s="332"/>
      <c r="JOS506" s="332"/>
      <c r="JOT506" s="332"/>
      <c r="JOU506" s="332"/>
      <c r="JOV506" s="332"/>
      <c r="JOW506" s="332"/>
      <c r="JOX506" s="332"/>
      <c r="JOY506" s="332"/>
      <c r="JOZ506" s="332"/>
      <c r="JPA506" s="332"/>
      <c r="JPB506" s="332"/>
      <c r="JPC506" s="332"/>
      <c r="JPD506" s="332"/>
      <c r="JPE506" s="332"/>
      <c r="JPF506" s="332"/>
      <c r="JPG506" s="332"/>
      <c r="JPH506" s="332"/>
      <c r="JPI506" s="332"/>
      <c r="JPJ506" s="332"/>
      <c r="JPK506" s="332"/>
      <c r="JPL506" s="332"/>
      <c r="JPM506" s="332"/>
      <c r="JPN506" s="332"/>
      <c r="JPO506" s="332"/>
      <c r="JPP506" s="332"/>
      <c r="JPQ506" s="332"/>
      <c r="JPR506" s="332"/>
      <c r="JPS506" s="332"/>
      <c r="JPT506" s="332"/>
      <c r="JPU506" s="332"/>
      <c r="JPV506" s="332"/>
      <c r="JPW506" s="332"/>
      <c r="JPX506" s="332"/>
      <c r="JPY506" s="332"/>
      <c r="JPZ506" s="332"/>
      <c r="JQA506" s="332"/>
      <c r="JQB506" s="332"/>
      <c r="JQC506" s="332"/>
      <c r="JQD506" s="332"/>
      <c r="JQE506" s="332"/>
      <c r="JQF506" s="332"/>
      <c r="JQG506" s="332"/>
      <c r="JQH506" s="332"/>
      <c r="JQI506" s="332"/>
      <c r="JQJ506" s="332"/>
      <c r="JQK506" s="332"/>
      <c r="JQL506" s="332"/>
      <c r="JQM506" s="332"/>
      <c r="JQN506" s="332"/>
      <c r="JQO506" s="332"/>
      <c r="JQP506" s="332"/>
      <c r="JQQ506" s="332"/>
      <c r="JQR506" s="332"/>
      <c r="JQS506" s="332"/>
      <c r="JQT506" s="332"/>
      <c r="JQU506" s="332"/>
      <c r="JQV506" s="332"/>
      <c r="JQW506" s="332"/>
      <c r="JQX506" s="332"/>
      <c r="JQY506" s="332"/>
      <c r="JQZ506" s="332"/>
      <c r="JRA506" s="332"/>
      <c r="JRB506" s="332"/>
      <c r="JRC506" s="332"/>
      <c r="JRD506" s="332"/>
      <c r="JRE506" s="332"/>
      <c r="JRF506" s="332"/>
      <c r="JRG506" s="332"/>
      <c r="JRH506" s="332"/>
      <c r="JRI506" s="332"/>
      <c r="JRJ506" s="332"/>
      <c r="JRK506" s="332"/>
      <c r="JRL506" s="332"/>
      <c r="JRM506" s="332"/>
      <c r="JRN506" s="332"/>
      <c r="JRO506" s="332"/>
      <c r="JRP506" s="332"/>
      <c r="JRQ506" s="332"/>
      <c r="JRR506" s="332"/>
      <c r="JRS506" s="332"/>
      <c r="JRT506" s="332"/>
      <c r="JRU506" s="332"/>
      <c r="JRV506" s="332"/>
      <c r="JRW506" s="332"/>
      <c r="JRX506" s="332"/>
      <c r="JRY506" s="332"/>
      <c r="JRZ506" s="332"/>
      <c r="JSA506" s="332"/>
      <c r="JSB506" s="332"/>
      <c r="JSC506" s="332"/>
      <c r="JSD506" s="332"/>
      <c r="JSE506" s="332"/>
      <c r="JSF506" s="332"/>
      <c r="JSG506" s="332"/>
      <c r="JSH506" s="332"/>
      <c r="JSI506" s="332"/>
      <c r="JSJ506" s="332"/>
      <c r="JSK506" s="332"/>
      <c r="JSL506" s="332"/>
      <c r="JSM506" s="332"/>
      <c r="JSN506" s="332"/>
      <c r="JSO506" s="332"/>
      <c r="JSP506" s="332"/>
      <c r="JSQ506" s="332"/>
      <c r="JSR506" s="332"/>
      <c r="JSS506" s="332"/>
      <c r="JST506" s="332"/>
      <c r="JSU506" s="332"/>
      <c r="JSV506" s="332"/>
      <c r="JSW506" s="332"/>
      <c r="JSX506" s="332"/>
      <c r="JSY506" s="332"/>
      <c r="JSZ506" s="332"/>
      <c r="JTA506" s="332"/>
      <c r="JTB506" s="332"/>
      <c r="JTC506" s="332"/>
      <c r="JTD506" s="332"/>
      <c r="JTE506" s="332"/>
      <c r="JTF506" s="332"/>
      <c r="JTG506" s="332"/>
      <c r="JTH506" s="332"/>
      <c r="JTI506" s="332"/>
      <c r="JTJ506" s="332"/>
      <c r="JTK506" s="332"/>
      <c r="JTL506" s="332"/>
      <c r="JTM506" s="332"/>
      <c r="JTN506" s="332"/>
      <c r="JTO506" s="332"/>
      <c r="JTP506" s="332"/>
      <c r="JTQ506" s="332"/>
      <c r="JTR506" s="332"/>
      <c r="JTS506" s="332"/>
      <c r="JTT506" s="332"/>
      <c r="JTU506" s="332"/>
      <c r="JTV506" s="332"/>
      <c r="JTW506" s="332"/>
      <c r="JTX506" s="332"/>
      <c r="JTY506" s="332"/>
      <c r="JTZ506" s="332"/>
      <c r="JUA506" s="332"/>
      <c r="JUB506" s="332"/>
      <c r="JUC506" s="332"/>
      <c r="JUD506" s="332"/>
      <c r="JUE506" s="332"/>
      <c r="JUF506" s="332"/>
      <c r="JUG506" s="332"/>
      <c r="JUH506" s="332"/>
      <c r="JUI506" s="332"/>
      <c r="JUJ506" s="332"/>
      <c r="JUK506" s="332"/>
      <c r="JUL506" s="332"/>
      <c r="JUM506" s="332"/>
      <c r="JUN506" s="332"/>
      <c r="JUO506" s="332"/>
      <c r="JUP506" s="332"/>
      <c r="JUQ506" s="332"/>
      <c r="JUR506" s="332"/>
      <c r="JUS506" s="332"/>
      <c r="JUT506" s="332"/>
      <c r="JUU506" s="332"/>
      <c r="JUV506" s="332"/>
      <c r="JUW506" s="332"/>
      <c r="JUX506" s="332"/>
      <c r="JUY506" s="332"/>
      <c r="JUZ506" s="332"/>
      <c r="JVA506" s="332"/>
      <c r="JVB506" s="332"/>
      <c r="JVC506" s="332"/>
      <c r="JVD506" s="332"/>
      <c r="JVE506" s="332"/>
      <c r="JVF506" s="332"/>
      <c r="JVG506" s="332"/>
      <c r="JVH506" s="332"/>
      <c r="JVI506" s="332"/>
      <c r="JVJ506" s="332"/>
      <c r="JVK506" s="332"/>
      <c r="JVL506" s="332"/>
      <c r="JVM506" s="332"/>
      <c r="JVN506" s="332"/>
      <c r="JVO506" s="332"/>
      <c r="JVP506" s="332"/>
      <c r="JVQ506" s="332"/>
      <c r="JVR506" s="332"/>
      <c r="JVS506" s="332"/>
      <c r="JVT506" s="332"/>
      <c r="JVU506" s="332"/>
      <c r="JVV506" s="332"/>
      <c r="JVW506" s="332"/>
      <c r="JVX506" s="332"/>
      <c r="JVY506" s="332"/>
      <c r="JVZ506" s="332"/>
      <c r="JWA506" s="332"/>
      <c r="JWB506" s="332"/>
      <c r="JWC506" s="332"/>
      <c r="JWD506" s="332"/>
      <c r="JWE506" s="332"/>
      <c r="JWF506" s="332"/>
      <c r="JWG506" s="332"/>
      <c r="JWH506" s="332"/>
      <c r="JWI506" s="332"/>
      <c r="JWJ506" s="332"/>
      <c r="JWK506" s="332"/>
      <c r="JWL506" s="332"/>
      <c r="JWM506" s="332"/>
      <c r="JWN506" s="332"/>
      <c r="JWO506" s="332"/>
      <c r="JWP506" s="332"/>
      <c r="JWQ506" s="332"/>
      <c r="JWR506" s="332"/>
      <c r="JWS506" s="332"/>
      <c r="JWT506" s="332"/>
      <c r="JWU506" s="332"/>
      <c r="JWV506" s="332"/>
      <c r="JWW506" s="332"/>
      <c r="JWX506" s="332"/>
      <c r="JWY506" s="332"/>
      <c r="JWZ506" s="332"/>
      <c r="JXA506" s="332"/>
      <c r="JXB506" s="332"/>
      <c r="JXC506" s="332"/>
      <c r="JXD506" s="332"/>
      <c r="JXE506" s="332"/>
      <c r="JXF506" s="332"/>
      <c r="JXG506" s="332"/>
      <c r="JXH506" s="332"/>
      <c r="JXI506" s="332"/>
      <c r="JXJ506" s="332"/>
      <c r="JXK506" s="332"/>
      <c r="JXL506" s="332"/>
      <c r="JXM506" s="332"/>
      <c r="JXN506" s="332"/>
      <c r="JXO506" s="332"/>
      <c r="JXP506" s="332"/>
      <c r="JXQ506" s="332"/>
      <c r="JXR506" s="332"/>
      <c r="JXS506" s="332"/>
      <c r="JXT506" s="332"/>
      <c r="JXU506" s="332"/>
      <c r="JXV506" s="332"/>
      <c r="JXW506" s="332"/>
      <c r="JXX506" s="332"/>
      <c r="JXY506" s="332"/>
      <c r="JXZ506" s="332"/>
      <c r="JYA506" s="332"/>
      <c r="JYB506" s="332"/>
      <c r="JYC506" s="332"/>
      <c r="JYD506" s="332"/>
      <c r="JYE506" s="332"/>
      <c r="JYF506" s="332"/>
      <c r="JYG506" s="332"/>
      <c r="JYH506" s="332"/>
      <c r="JYI506" s="332"/>
      <c r="JYJ506" s="332"/>
      <c r="JYK506" s="332"/>
      <c r="JYL506" s="332"/>
      <c r="JYM506" s="332"/>
      <c r="JYN506" s="332"/>
      <c r="JYO506" s="332"/>
      <c r="JYP506" s="332"/>
      <c r="JYQ506" s="332"/>
      <c r="JYR506" s="332"/>
      <c r="JYS506" s="332"/>
      <c r="JYT506" s="332"/>
      <c r="JYU506" s="332"/>
      <c r="JYV506" s="332"/>
      <c r="JYW506" s="332"/>
      <c r="JYX506" s="332"/>
      <c r="JYY506" s="332"/>
      <c r="JYZ506" s="332"/>
      <c r="JZA506" s="332"/>
      <c r="JZB506" s="332"/>
      <c r="JZC506" s="332"/>
      <c r="JZD506" s="332"/>
      <c r="JZE506" s="332"/>
      <c r="JZF506" s="332"/>
      <c r="JZG506" s="332"/>
      <c r="JZH506" s="332"/>
      <c r="JZI506" s="332"/>
      <c r="JZJ506" s="332"/>
      <c r="JZK506" s="332"/>
      <c r="JZL506" s="332"/>
      <c r="JZM506" s="332"/>
      <c r="JZN506" s="332"/>
      <c r="JZO506" s="332"/>
      <c r="JZP506" s="332"/>
      <c r="JZQ506" s="332"/>
      <c r="JZR506" s="332"/>
      <c r="JZS506" s="332"/>
      <c r="JZT506" s="332"/>
      <c r="JZU506" s="332"/>
      <c r="JZV506" s="332"/>
      <c r="JZW506" s="332"/>
      <c r="JZX506" s="332"/>
      <c r="JZY506" s="332"/>
      <c r="JZZ506" s="332"/>
      <c r="KAA506" s="332"/>
      <c r="KAB506" s="332"/>
      <c r="KAC506" s="332"/>
      <c r="KAD506" s="332"/>
      <c r="KAE506" s="332"/>
      <c r="KAF506" s="332"/>
      <c r="KAG506" s="332"/>
      <c r="KAH506" s="332"/>
      <c r="KAI506" s="332"/>
      <c r="KAJ506" s="332"/>
      <c r="KAK506" s="332"/>
      <c r="KAL506" s="332"/>
      <c r="KAM506" s="332"/>
      <c r="KAN506" s="332"/>
      <c r="KAO506" s="332"/>
      <c r="KAP506" s="332"/>
      <c r="KAQ506" s="332"/>
      <c r="KAR506" s="332"/>
      <c r="KAS506" s="332"/>
      <c r="KAT506" s="332"/>
      <c r="KAU506" s="332"/>
      <c r="KAV506" s="332"/>
      <c r="KAW506" s="332"/>
      <c r="KAX506" s="332"/>
      <c r="KAY506" s="332"/>
      <c r="KAZ506" s="332"/>
      <c r="KBA506" s="332"/>
      <c r="KBB506" s="332"/>
      <c r="KBC506" s="332"/>
      <c r="KBD506" s="332"/>
      <c r="KBE506" s="332"/>
      <c r="KBF506" s="332"/>
      <c r="KBG506" s="332"/>
      <c r="KBH506" s="332"/>
      <c r="KBI506" s="332"/>
      <c r="KBJ506" s="332"/>
      <c r="KBK506" s="332"/>
      <c r="KBL506" s="332"/>
      <c r="KBM506" s="332"/>
      <c r="KBN506" s="332"/>
      <c r="KBO506" s="332"/>
      <c r="KBP506" s="332"/>
      <c r="KBQ506" s="332"/>
      <c r="KBR506" s="332"/>
      <c r="KBS506" s="332"/>
      <c r="KBT506" s="332"/>
      <c r="KBU506" s="332"/>
      <c r="KBV506" s="332"/>
      <c r="KBW506" s="332"/>
      <c r="KBX506" s="332"/>
      <c r="KBY506" s="332"/>
      <c r="KBZ506" s="332"/>
      <c r="KCA506" s="332"/>
      <c r="KCB506" s="332"/>
      <c r="KCC506" s="332"/>
      <c r="KCD506" s="332"/>
      <c r="KCE506" s="332"/>
      <c r="KCF506" s="332"/>
      <c r="KCG506" s="332"/>
      <c r="KCH506" s="332"/>
      <c r="KCI506" s="332"/>
      <c r="KCJ506" s="332"/>
      <c r="KCK506" s="332"/>
      <c r="KCL506" s="332"/>
      <c r="KCM506" s="332"/>
      <c r="KCN506" s="332"/>
      <c r="KCO506" s="332"/>
      <c r="KCP506" s="332"/>
      <c r="KCQ506" s="332"/>
      <c r="KCR506" s="332"/>
      <c r="KCS506" s="332"/>
      <c r="KCT506" s="332"/>
      <c r="KCU506" s="332"/>
      <c r="KCV506" s="332"/>
      <c r="KCW506" s="332"/>
      <c r="KCX506" s="332"/>
      <c r="KCY506" s="332"/>
      <c r="KCZ506" s="332"/>
      <c r="KDA506" s="332"/>
      <c r="KDB506" s="332"/>
      <c r="KDC506" s="332"/>
      <c r="KDD506" s="332"/>
      <c r="KDE506" s="332"/>
      <c r="KDF506" s="332"/>
      <c r="KDG506" s="332"/>
      <c r="KDH506" s="332"/>
      <c r="KDI506" s="332"/>
      <c r="KDJ506" s="332"/>
      <c r="KDK506" s="332"/>
      <c r="KDL506" s="332"/>
      <c r="KDM506" s="332"/>
      <c r="KDN506" s="332"/>
      <c r="KDO506" s="332"/>
      <c r="KDP506" s="332"/>
      <c r="KDQ506" s="332"/>
      <c r="KDR506" s="332"/>
      <c r="KDS506" s="332"/>
      <c r="KDT506" s="332"/>
      <c r="KDU506" s="332"/>
      <c r="KDV506" s="332"/>
      <c r="KDW506" s="332"/>
      <c r="KDX506" s="332"/>
      <c r="KDY506" s="332"/>
      <c r="KDZ506" s="332"/>
      <c r="KEA506" s="332"/>
      <c r="KEB506" s="332"/>
      <c r="KEC506" s="332"/>
      <c r="KED506" s="332"/>
      <c r="KEE506" s="332"/>
      <c r="KEF506" s="332"/>
      <c r="KEG506" s="332"/>
      <c r="KEH506" s="332"/>
      <c r="KEI506" s="332"/>
      <c r="KEJ506" s="332"/>
      <c r="KEK506" s="332"/>
      <c r="KEL506" s="332"/>
      <c r="KEM506" s="332"/>
      <c r="KEN506" s="332"/>
      <c r="KEO506" s="332"/>
      <c r="KEP506" s="332"/>
      <c r="KEQ506" s="332"/>
      <c r="KER506" s="332"/>
      <c r="KES506" s="332"/>
      <c r="KET506" s="332"/>
      <c r="KEU506" s="332"/>
      <c r="KEV506" s="332"/>
      <c r="KEW506" s="332"/>
      <c r="KEX506" s="332"/>
      <c r="KEY506" s="332"/>
      <c r="KEZ506" s="332"/>
      <c r="KFA506" s="332"/>
      <c r="KFB506" s="332"/>
      <c r="KFC506" s="332"/>
      <c r="KFD506" s="332"/>
      <c r="KFE506" s="332"/>
      <c r="KFF506" s="332"/>
      <c r="KFG506" s="332"/>
      <c r="KFH506" s="332"/>
      <c r="KFI506" s="332"/>
      <c r="KFJ506" s="332"/>
      <c r="KFK506" s="332"/>
      <c r="KFL506" s="332"/>
      <c r="KFM506" s="332"/>
      <c r="KFN506" s="332"/>
      <c r="KFO506" s="332"/>
      <c r="KFP506" s="332"/>
      <c r="KFQ506" s="332"/>
      <c r="KFR506" s="332"/>
      <c r="KFS506" s="332"/>
      <c r="KFT506" s="332"/>
      <c r="KFU506" s="332"/>
      <c r="KFV506" s="332"/>
      <c r="KFW506" s="332"/>
      <c r="KFX506" s="332"/>
      <c r="KFY506" s="332"/>
      <c r="KFZ506" s="332"/>
      <c r="KGA506" s="332"/>
      <c r="KGB506" s="332"/>
      <c r="KGC506" s="332"/>
      <c r="KGD506" s="332"/>
      <c r="KGE506" s="332"/>
      <c r="KGF506" s="332"/>
      <c r="KGG506" s="332"/>
      <c r="KGH506" s="332"/>
      <c r="KGI506" s="332"/>
      <c r="KGJ506" s="332"/>
      <c r="KGK506" s="332"/>
      <c r="KGL506" s="332"/>
      <c r="KGM506" s="332"/>
      <c r="KGN506" s="332"/>
      <c r="KGO506" s="332"/>
      <c r="KGP506" s="332"/>
      <c r="KGQ506" s="332"/>
      <c r="KGR506" s="332"/>
      <c r="KGS506" s="332"/>
      <c r="KGT506" s="332"/>
      <c r="KGU506" s="332"/>
      <c r="KGV506" s="332"/>
      <c r="KGW506" s="332"/>
      <c r="KGX506" s="332"/>
      <c r="KGY506" s="332"/>
      <c r="KGZ506" s="332"/>
      <c r="KHA506" s="332"/>
      <c r="KHB506" s="332"/>
      <c r="KHC506" s="332"/>
      <c r="KHD506" s="332"/>
      <c r="KHE506" s="332"/>
      <c r="KHF506" s="332"/>
      <c r="KHG506" s="332"/>
      <c r="KHH506" s="332"/>
      <c r="KHI506" s="332"/>
      <c r="KHJ506" s="332"/>
      <c r="KHK506" s="332"/>
      <c r="KHL506" s="332"/>
      <c r="KHM506" s="332"/>
      <c r="KHN506" s="332"/>
      <c r="KHO506" s="332"/>
      <c r="KHP506" s="332"/>
      <c r="KHQ506" s="332"/>
      <c r="KHR506" s="332"/>
      <c r="KHS506" s="332"/>
      <c r="KHT506" s="332"/>
      <c r="KHU506" s="332"/>
      <c r="KHV506" s="332"/>
      <c r="KHW506" s="332"/>
      <c r="KHX506" s="332"/>
      <c r="KHY506" s="332"/>
      <c r="KHZ506" s="332"/>
      <c r="KIA506" s="332"/>
      <c r="KIB506" s="332"/>
      <c r="KIC506" s="332"/>
      <c r="KID506" s="332"/>
      <c r="KIE506" s="332"/>
      <c r="KIF506" s="332"/>
      <c r="KIG506" s="332"/>
      <c r="KIH506" s="332"/>
      <c r="KII506" s="332"/>
      <c r="KIJ506" s="332"/>
      <c r="KIK506" s="332"/>
      <c r="KIL506" s="332"/>
      <c r="KIM506" s="332"/>
      <c r="KIN506" s="332"/>
      <c r="KIO506" s="332"/>
      <c r="KIP506" s="332"/>
      <c r="KIQ506" s="332"/>
      <c r="KIR506" s="332"/>
      <c r="KIS506" s="332"/>
      <c r="KIT506" s="332"/>
      <c r="KIU506" s="332"/>
      <c r="KIV506" s="332"/>
      <c r="KIW506" s="332"/>
      <c r="KIX506" s="332"/>
      <c r="KIY506" s="332"/>
      <c r="KIZ506" s="332"/>
      <c r="KJA506" s="332"/>
      <c r="KJB506" s="332"/>
      <c r="KJC506" s="332"/>
      <c r="KJD506" s="332"/>
      <c r="KJE506" s="332"/>
      <c r="KJF506" s="332"/>
      <c r="KJG506" s="332"/>
      <c r="KJH506" s="332"/>
      <c r="KJI506" s="332"/>
      <c r="KJJ506" s="332"/>
      <c r="KJK506" s="332"/>
      <c r="KJL506" s="332"/>
      <c r="KJM506" s="332"/>
      <c r="KJN506" s="332"/>
      <c r="KJO506" s="332"/>
      <c r="KJP506" s="332"/>
      <c r="KJQ506" s="332"/>
      <c r="KJR506" s="332"/>
      <c r="KJS506" s="332"/>
      <c r="KJT506" s="332"/>
      <c r="KJU506" s="332"/>
      <c r="KJV506" s="332"/>
      <c r="KJW506" s="332"/>
      <c r="KJX506" s="332"/>
      <c r="KJY506" s="332"/>
      <c r="KJZ506" s="332"/>
      <c r="KKA506" s="332"/>
      <c r="KKB506" s="332"/>
      <c r="KKC506" s="332"/>
      <c r="KKD506" s="332"/>
      <c r="KKE506" s="332"/>
      <c r="KKF506" s="332"/>
      <c r="KKG506" s="332"/>
      <c r="KKH506" s="332"/>
      <c r="KKI506" s="332"/>
      <c r="KKJ506" s="332"/>
      <c r="KKK506" s="332"/>
      <c r="KKL506" s="332"/>
      <c r="KKM506" s="332"/>
      <c r="KKN506" s="332"/>
      <c r="KKO506" s="332"/>
      <c r="KKP506" s="332"/>
      <c r="KKQ506" s="332"/>
      <c r="KKR506" s="332"/>
      <c r="KKS506" s="332"/>
      <c r="KKT506" s="332"/>
      <c r="KKU506" s="332"/>
      <c r="KKV506" s="332"/>
      <c r="KKW506" s="332"/>
      <c r="KKX506" s="332"/>
      <c r="KKY506" s="332"/>
      <c r="KKZ506" s="332"/>
      <c r="KLA506" s="332"/>
      <c r="KLB506" s="332"/>
      <c r="KLC506" s="332"/>
      <c r="KLD506" s="332"/>
      <c r="KLE506" s="332"/>
      <c r="KLF506" s="332"/>
      <c r="KLG506" s="332"/>
      <c r="KLH506" s="332"/>
      <c r="KLI506" s="332"/>
      <c r="KLJ506" s="332"/>
      <c r="KLK506" s="332"/>
      <c r="KLL506" s="332"/>
      <c r="KLM506" s="332"/>
      <c r="KLN506" s="332"/>
      <c r="KLO506" s="332"/>
      <c r="KLP506" s="332"/>
      <c r="KLQ506" s="332"/>
      <c r="KLR506" s="332"/>
      <c r="KLS506" s="332"/>
      <c r="KLT506" s="332"/>
      <c r="KLU506" s="332"/>
      <c r="KLV506" s="332"/>
      <c r="KLW506" s="332"/>
      <c r="KLX506" s="332"/>
      <c r="KLY506" s="332"/>
      <c r="KLZ506" s="332"/>
      <c r="KMA506" s="332"/>
      <c r="KMB506" s="332"/>
      <c r="KMC506" s="332"/>
      <c r="KMD506" s="332"/>
      <c r="KME506" s="332"/>
      <c r="KMF506" s="332"/>
      <c r="KMG506" s="332"/>
      <c r="KMH506" s="332"/>
      <c r="KMI506" s="332"/>
      <c r="KMJ506" s="332"/>
      <c r="KMK506" s="332"/>
      <c r="KML506" s="332"/>
      <c r="KMM506" s="332"/>
      <c r="KMN506" s="332"/>
      <c r="KMO506" s="332"/>
      <c r="KMP506" s="332"/>
      <c r="KMQ506" s="332"/>
      <c r="KMR506" s="332"/>
      <c r="KMS506" s="332"/>
      <c r="KMT506" s="332"/>
      <c r="KMU506" s="332"/>
      <c r="KMV506" s="332"/>
      <c r="KMW506" s="332"/>
      <c r="KMX506" s="332"/>
      <c r="KMY506" s="332"/>
      <c r="KMZ506" s="332"/>
      <c r="KNA506" s="332"/>
      <c r="KNB506" s="332"/>
      <c r="KNC506" s="332"/>
      <c r="KND506" s="332"/>
      <c r="KNE506" s="332"/>
      <c r="KNF506" s="332"/>
      <c r="KNG506" s="332"/>
      <c r="KNH506" s="332"/>
      <c r="KNI506" s="332"/>
      <c r="KNJ506" s="332"/>
      <c r="KNK506" s="332"/>
      <c r="KNL506" s="332"/>
      <c r="KNM506" s="332"/>
      <c r="KNN506" s="332"/>
      <c r="KNO506" s="332"/>
      <c r="KNP506" s="332"/>
      <c r="KNQ506" s="332"/>
      <c r="KNR506" s="332"/>
      <c r="KNS506" s="332"/>
      <c r="KNT506" s="332"/>
      <c r="KNU506" s="332"/>
      <c r="KNV506" s="332"/>
      <c r="KNW506" s="332"/>
      <c r="KNX506" s="332"/>
      <c r="KNY506" s="332"/>
      <c r="KNZ506" s="332"/>
      <c r="KOA506" s="332"/>
      <c r="KOB506" s="332"/>
      <c r="KOC506" s="332"/>
      <c r="KOD506" s="332"/>
      <c r="KOE506" s="332"/>
      <c r="KOF506" s="332"/>
      <c r="KOG506" s="332"/>
      <c r="KOH506" s="332"/>
      <c r="KOI506" s="332"/>
      <c r="KOJ506" s="332"/>
      <c r="KOK506" s="332"/>
      <c r="KOL506" s="332"/>
      <c r="KOM506" s="332"/>
      <c r="KON506" s="332"/>
      <c r="KOO506" s="332"/>
      <c r="KOP506" s="332"/>
      <c r="KOQ506" s="332"/>
      <c r="KOR506" s="332"/>
      <c r="KOS506" s="332"/>
      <c r="KOT506" s="332"/>
      <c r="KOU506" s="332"/>
      <c r="KOV506" s="332"/>
      <c r="KOW506" s="332"/>
      <c r="KOX506" s="332"/>
      <c r="KOY506" s="332"/>
      <c r="KOZ506" s="332"/>
      <c r="KPA506" s="332"/>
      <c r="KPB506" s="332"/>
      <c r="KPC506" s="332"/>
      <c r="KPD506" s="332"/>
      <c r="KPE506" s="332"/>
      <c r="KPF506" s="332"/>
      <c r="KPG506" s="332"/>
      <c r="KPH506" s="332"/>
      <c r="KPI506" s="332"/>
      <c r="KPJ506" s="332"/>
      <c r="KPK506" s="332"/>
      <c r="KPL506" s="332"/>
      <c r="KPM506" s="332"/>
      <c r="KPN506" s="332"/>
      <c r="KPO506" s="332"/>
      <c r="KPP506" s="332"/>
      <c r="KPQ506" s="332"/>
      <c r="KPR506" s="332"/>
      <c r="KPS506" s="332"/>
      <c r="KPT506" s="332"/>
      <c r="KPU506" s="332"/>
      <c r="KPV506" s="332"/>
      <c r="KPW506" s="332"/>
      <c r="KPX506" s="332"/>
      <c r="KPY506" s="332"/>
      <c r="KPZ506" s="332"/>
      <c r="KQA506" s="332"/>
      <c r="KQB506" s="332"/>
      <c r="KQC506" s="332"/>
      <c r="KQD506" s="332"/>
      <c r="KQE506" s="332"/>
      <c r="KQF506" s="332"/>
      <c r="KQG506" s="332"/>
      <c r="KQH506" s="332"/>
      <c r="KQI506" s="332"/>
      <c r="KQJ506" s="332"/>
      <c r="KQK506" s="332"/>
      <c r="KQL506" s="332"/>
      <c r="KQM506" s="332"/>
      <c r="KQN506" s="332"/>
      <c r="KQO506" s="332"/>
      <c r="KQP506" s="332"/>
      <c r="KQQ506" s="332"/>
      <c r="KQR506" s="332"/>
      <c r="KQS506" s="332"/>
      <c r="KQT506" s="332"/>
      <c r="KQU506" s="332"/>
      <c r="KQV506" s="332"/>
      <c r="KQW506" s="332"/>
      <c r="KQX506" s="332"/>
      <c r="KQY506" s="332"/>
      <c r="KQZ506" s="332"/>
      <c r="KRA506" s="332"/>
      <c r="KRB506" s="332"/>
      <c r="KRC506" s="332"/>
      <c r="KRD506" s="332"/>
      <c r="KRE506" s="332"/>
      <c r="KRF506" s="332"/>
      <c r="KRG506" s="332"/>
      <c r="KRH506" s="332"/>
      <c r="KRI506" s="332"/>
      <c r="KRJ506" s="332"/>
      <c r="KRK506" s="332"/>
      <c r="KRL506" s="332"/>
      <c r="KRM506" s="332"/>
      <c r="KRN506" s="332"/>
      <c r="KRO506" s="332"/>
      <c r="KRP506" s="332"/>
      <c r="KRQ506" s="332"/>
      <c r="KRR506" s="332"/>
      <c r="KRS506" s="332"/>
      <c r="KRT506" s="332"/>
      <c r="KRU506" s="332"/>
      <c r="KRV506" s="332"/>
      <c r="KRW506" s="332"/>
      <c r="KRX506" s="332"/>
      <c r="KRY506" s="332"/>
      <c r="KRZ506" s="332"/>
      <c r="KSA506" s="332"/>
      <c r="KSB506" s="332"/>
      <c r="KSC506" s="332"/>
      <c r="KSD506" s="332"/>
      <c r="KSE506" s="332"/>
      <c r="KSF506" s="332"/>
      <c r="KSG506" s="332"/>
      <c r="KSH506" s="332"/>
      <c r="KSI506" s="332"/>
      <c r="KSJ506" s="332"/>
      <c r="KSK506" s="332"/>
      <c r="KSL506" s="332"/>
      <c r="KSM506" s="332"/>
      <c r="KSN506" s="332"/>
      <c r="KSO506" s="332"/>
      <c r="KSP506" s="332"/>
      <c r="KSQ506" s="332"/>
      <c r="KSR506" s="332"/>
      <c r="KSS506" s="332"/>
      <c r="KST506" s="332"/>
      <c r="KSU506" s="332"/>
      <c r="KSV506" s="332"/>
      <c r="KSW506" s="332"/>
      <c r="KSX506" s="332"/>
      <c r="KSY506" s="332"/>
      <c r="KSZ506" s="332"/>
      <c r="KTA506" s="332"/>
      <c r="KTB506" s="332"/>
      <c r="KTC506" s="332"/>
      <c r="KTD506" s="332"/>
      <c r="KTE506" s="332"/>
      <c r="KTF506" s="332"/>
      <c r="KTG506" s="332"/>
      <c r="KTH506" s="332"/>
      <c r="KTI506" s="332"/>
      <c r="KTJ506" s="332"/>
      <c r="KTK506" s="332"/>
      <c r="KTL506" s="332"/>
      <c r="KTM506" s="332"/>
      <c r="KTN506" s="332"/>
      <c r="KTO506" s="332"/>
      <c r="KTP506" s="332"/>
      <c r="KTQ506" s="332"/>
      <c r="KTR506" s="332"/>
      <c r="KTS506" s="332"/>
      <c r="KTT506" s="332"/>
      <c r="KTU506" s="332"/>
      <c r="KTV506" s="332"/>
      <c r="KTW506" s="332"/>
      <c r="KTX506" s="332"/>
      <c r="KTY506" s="332"/>
      <c r="KTZ506" s="332"/>
      <c r="KUA506" s="332"/>
      <c r="KUB506" s="332"/>
      <c r="KUC506" s="332"/>
      <c r="KUD506" s="332"/>
      <c r="KUE506" s="332"/>
      <c r="KUF506" s="332"/>
      <c r="KUG506" s="332"/>
      <c r="KUH506" s="332"/>
      <c r="KUI506" s="332"/>
      <c r="KUJ506" s="332"/>
      <c r="KUK506" s="332"/>
      <c r="KUL506" s="332"/>
      <c r="KUM506" s="332"/>
      <c r="KUN506" s="332"/>
      <c r="KUO506" s="332"/>
      <c r="KUP506" s="332"/>
      <c r="KUQ506" s="332"/>
      <c r="KUR506" s="332"/>
      <c r="KUS506" s="332"/>
      <c r="KUT506" s="332"/>
      <c r="KUU506" s="332"/>
      <c r="KUV506" s="332"/>
      <c r="KUW506" s="332"/>
      <c r="KUX506" s="332"/>
      <c r="KUY506" s="332"/>
      <c r="KUZ506" s="332"/>
      <c r="KVA506" s="332"/>
      <c r="KVB506" s="332"/>
      <c r="KVC506" s="332"/>
      <c r="KVD506" s="332"/>
      <c r="KVE506" s="332"/>
      <c r="KVF506" s="332"/>
      <c r="KVG506" s="332"/>
      <c r="KVH506" s="332"/>
      <c r="KVI506" s="332"/>
      <c r="KVJ506" s="332"/>
      <c r="KVK506" s="332"/>
      <c r="KVL506" s="332"/>
      <c r="KVM506" s="332"/>
      <c r="KVN506" s="332"/>
      <c r="KVO506" s="332"/>
      <c r="KVP506" s="332"/>
      <c r="KVQ506" s="332"/>
      <c r="KVR506" s="332"/>
      <c r="KVS506" s="332"/>
      <c r="KVT506" s="332"/>
      <c r="KVU506" s="332"/>
      <c r="KVV506" s="332"/>
      <c r="KVW506" s="332"/>
      <c r="KVX506" s="332"/>
      <c r="KVY506" s="332"/>
      <c r="KVZ506" s="332"/>
      <c r="KWA506" s="332"/>
      <c r="KWB506" s="332"/>
      <c r="KWC506" s="332"/>
      <c r="KWD506" s="332"/>
      <c r="KWE506" s="332"/>
      <c r="KWF506" s="332"/>
      <c r="KWG506" s="332"/>
      <c r="KWH506" s="332"/>
      <c r="KWI506" s="332"/>
      <c r="KWJ506" s="332"/>
      <c r="KWK506" s="332"/>
      <c r="KWL506" s="332"/>
      <c r="KWM506" s="332"/>
      <c r="KWN506" s="332"/>
      <c r="KWO506" s="332"/>
      <c r="KWP506" s="332"/>
      <c r="KWQ506" s="332"/>
      <c r="KWR506" s="332"/>
      <c r="KWS506" s="332"/>
      <c r="KWT506" s="332"/>
      <c r="KWU506" s="332"/>
      <c r="KWV506" s="332"/>
      <c r="KWW506" s="332"/>
      <c r="KWX506" s="332"/>
      <c r="KWY506" s="332"/>
      <c r="KWZ506" s="332"/>
      <c r="KXA506" s="332"/>
      <c r="KXB506" s="332"/>
      <c r="KXC506" s="332"/>
      <c r="KXD506" s="332"/>
      <c r="KXE506" s="332"/>
      <c r="KXF506" s="332"/>
      <c r="KXG506" s="332"/>
      <c r="KXH506" s="332"/>
      <c r="KXI506" s="332"/>
      <c r="KXJ506" s="332"/>
      <c r="KXK506" s="332"/>
      <c r="KXL506" s="332"/>
      <c r="KXM506" s="332"/>
      <c r="KXN506" s="332"/>
      <c r="KXO506" s="332"/>
      <c r="KXP506" s="332"/>
      <c r="KXQ506" s="332"/>
      <c r="KXR506" s="332"/>
      <c r="KXS506" s="332"/>
      <c r="KXT506" s="332"/>
      <c r="KXU506" s="332"/>
      <c r="KXV506" s="332"/>
      <c r="KXW506" s="332"/>
      <c r="KXX506" s="332"/>
      <c r="KXY506" s="332"/>
      <c r="KXZ506" s="332"/>
      <c r="KYA506" s="332"/>
      <c r="KYB506" s="332"/>
      <c r="KYC506" s="332"/>
      <c r="KYD506" s="332"/>
      <c r="KYE506" s="332"/>
      <c r="KYF506" s="332"/>
      <c r="KYG506" s="332"/>
      <c r="KYH506" s="332"/>
      <c r="KYI506" s="332"/>
      <c r="KYJ506" s="332"/>
      <c r="KYK506" s="332"/>
      <c r="KYL506" s="332"/>
      <c r="KYM506" s="332"/>
      <c r="KYN506" s="332"/>
      <c r="KYO506" s="332"/>
      <c r="KYP506" s="332"/>
      <c r="KYQ506" s="332"/>
      <c r="KYR506" s="332"/>
      <c r="KYS506" s="332"/>
      <c r="KYT506" s="332"/>
      <c r="KYU506" s="332"/>
      <c r="KYV506" s="332"/>
      <c r="KYW506" s="332"/>
      <c r="KYX506" s="332"/>
      <c r="KYY506" s="332"/>
      <c r="KYZ506" s="332"/>
      <c r="KZA506" s="332"/>
      <c r="KZB506" s="332"/>
      <c r="KZC506" s="332"/>
      <c r="KZD506" s="332"/>
      <c r="KZE506" s="332"/>
      <c r="KZF506" s="332"/>
      <c r="KZG506" s="332"/>
      <c r="KZH506" s="332"/>
      <c r="KZI506" s="332"/>
      <c r="KZJ506" s="332"/>
      <c r="KZK506" s="332"/>
      <c r="KZL506" s="332"/>
      <c r="KZM506" s="332"/>
      <c r="KZN506" s="332"/>
      <c r="KZO506" s="332"/>
      <c r="KZP506" s="332"/>
      <c r="KZQ506" s="332"/>
      <c r="KZR506" s="332"/>
      <c r="KZS506" s="332"/>
      <c r="KZT506" s="332"/>
      <c r="KZU506" s="332"/>
      <c r="KZV506" s="332"/>
      <c r="KZW506" s="332"/>
      <c r="KZX506" s="332"/>
      <c r="KZY506" s="332"/>
      <c r="KZZ506" s="332"/>
      <c r="LAA506" s="332"/>
      <c r="LAB506" s="332"/>
      <c r="LAC506" s="332"/>
      <c r="LAD506" s="332"/>
      <c r="LAE506" s="332"/>
      <c r="LAF506" s="332"/>
      <c r="LAG506" s="332"/>
      <c r="LAH506" s="332"/>
      <c r="LAI506" s="332"/>
      <c r="LAJ506" s="332"/>
      <c r="LAK506" s="332"/>
      <c r="LAL506" s="332"/>
      <c r="LAM506" s="332"/>
      <c r="LAN506" s="332"/>
      <c r="LAO506" s="332"/>
      <c r="LAP506" s="332"/>
      <c r="LAQ506" s="332"/>
      <c r="LAR506" s="332"/>
      <c r="LAS506" s="332"/>
      <c r="LAT506" s="332"/>
      <c r="LAU506" s="332"/>
      <c r="LAV506" s="332"/>
      <c r="LAW506" s="332"/>
      <c r="LAX506" s="332"/>
      <c r="LAY506" s="332"/>
      <c r="LAZ506" s="332"/>
      <c r="LBA506" s="332"/>
      <c r="LBB506" s="332"/>
      <c r="LBC506" s="332"/>
      <c r="LBD506" s="332"/>
      <c r="LBE506" s="332"/>
      <c r="LBF506" s="332"/>
      <c r="LBG506" s="332"/>
      <c r="LBH506" s="332"/>
      <c r="LBI506" s="332"/>
      <c r="LBJ506" s="332"/>
      <c r="LBK506" s="332"/>
      <c r="LBL506" s="332"/>
      <c r="LBM506" s="332"/>
      <c r="LBN506" s="332"/>
      <c r="LBO506" s="332"/>
      <c r="LBP506" s="332"/>
      <c r="LBQ506" s="332"/>
      <c r="LBR506" s="332"/>
      <c r="LBS506" s="332"/>
      <c r="LBT506" s="332"/>
      <c r="LBU506" s="332"/>
      <c r="LBV506" s="332"/>
      <c r="LBW506" s="332"/>
      <c r="LBX506" s="332"/>
      <c r="LBY506" s="332"/>
      <c r="LBZ506" s="332"/>
      <c r="LCA506" s="332"/>
      <c r="LCB506" s="332"/>
      <c r="LCC506" s="332"/>
      <c r="LCD506" s="332"/>
      <c r="LCE506" s="332"/>
      <c r="LCF506" s="332"/>
      <c r="LCG506" s="332"/>
      <c r="LCH506" s="332"/>
      <c r="LCI506" s="332"/>
      <c r="LCJ506" s="332"/>
      <c r="LCK506" s="332"/>
      <c r="LCL506" s="332"/>
      <c r="LCM506" s="332"/>
      <c r="LCN506" s="332"/>
      <c r="LCO506" s="332"/>
      <c r="LCP506" s="332"/>
      <c r="LCQ506" s="332"/>
      <c r="LCR506" s="332"/>
      <c r="LCS506" s="332"/>
      <c r="LCT506" s="332"/>
      <c r="LCU506" s="332"/>
      <c r="LCV506" s="332"/>
      <c r="LCW506" s="332"/>
      <c r="LCX506" s="332"/>
      <c r="LCY506" s="332"/>
      <c r="LCZ506" s="332"/>
      <c r="LDA506" s="332"/>
      <c r="LDB506" s="332"/>
      <c r="LDC506" s="332"/>
      <c r="LDD506" s="332"/>
      <c r="LDE506" s="332"/>
      <c r="LDF506" s="332"/>
      <c r="LDG506" s="332"/>
      <c r="LDH506" s="332"/>
      <c r="LDI506" s="332"/>
      <c r="LDJ506" s="332"/>
      <c r="LDK506" s="332"/>
      <c r="LDL506" s="332"/>
      <c r="LDM506" s="332"/>
      <c r="LDN506" s="332"/>
      <c r="LDO506" s="332"/>
      <c r="LDP506" s="332"/>
      <c r="LDQ506" s="332"/>
      <c r="LDR506" s="332"/>
      <c r="LDS506" s="332"/>
      <c r="LDT506" s="332"/>
      <c r="LDU506" s="332"/>
      <c r="LDV506" s="332"/>
      <c r="LDW506" s="332"/>
      <c r="LDX506" s="332"/>
      <c r="LDY506" s="332"/>
      <c r="LDZ506" s="332"/>
      <c r="LEA506" s="332"/>
      <c r="LEB506" s="332"/>
      <c r="LEC506" s="332"/>
      <c r="LED506" s="332"/>
      <c r="LEE506" s="332"/>
      <c r="LEF506" s="332"/>
      <c r="LEG506" s="332"/>
      <c r="LEH506" s="332"/>
      <c r="LEI506" s="332"/>
      <c r="LEJ506" s="332"/>
      <c r="LEK506" s="332"/>
      <c r="LEL506" s="332"/>
      <c r="LEM506" s="332"/>
      <c r="LEN506" s="332"/>
      <c r="LEO506" s="332"/>
      <c r="LEP506" s="332"/>
      <c r="LEQ506" s="332"/>
      <c r="LER506" s="332"/>
      <c r="LES506" s="332"/>
      <c r="LET506" s="332"/>
      <c r="LEU506" s="332"/>
      <c r="LEV506" s="332"/>
      <c r="LEW506" s="332"/>
      <c r="LEX506" s="332"/>
      <c r="LEY506" s="332"/>
      <c r="LEZ506" s="332"/>
      <c r="LFA506" s="332"/>
      <c r="LFB506" s="332"/>
      <c r="LFC506" s="332"/>
      <c r="LFD506" s="332"/>
      <c r="LFE506" s="332"/>
      <c r="LFF506" s="332"/>
      <c r="LFG506" s="332"/>
      <c r="LFH506" s="332"/>
      <c r="LFI506" s="332"/>
      <c r="LFJ506" s="332"/>
      <c r="LFK506" s="332"/>
      <c r="LFL506" s="332"/>
      <c r="LFM506" s="332"/>
      <c r="LFN506" s="332"/>
      <c r="LFO506" s="332"/>
      <c r="LFP506" s="332"/>
      <c r="LFQ506" s="332"/>
      <c r="LFR506" s="332"/>
      <c r="LFS506" s="332"/>
      <c r="LFT506" s="332"/>
      <c r="LFU506" s="332"/>
      <c r="LFV506" s="332"/>
      <c r="LFW506" s="332"/>
      <c r="LFX506" s="332"/>
      <c r="LFY506" s="332"/>
      <c r="LFZ506" s="332"/>
      <c r="LGA506" s="332"/>
      <c r="LGB506" s="332"/>
      <c r="LGC506" s="332"/>
      <c r="LGD506" s="332"/>
      <c r="LGE506" s="332"/>
      <c r="LGF506" s="332"/>
      <c r="LGG506" s="332"/>
      <c r="LGH506" s="332"/>
      <c r="LGI506" s="332"/>
      <c r="LGJ506" s="332"/>
      <c r="LGK506" s="332"/>
      <c r="LGL506" s="332"/>
      <c r="LGM506" s="332"/>
      <c r="LGN506" s="332"/>
      <c r="LGO506" s="332"/>
      <c r="LGP506" s="332"/>
      <c r="LGQ506" s="332"/>
      <c r="LGR506" s="332"/>
      <c r="LGS506" s="332"/>
      <c r="LGT506" s="332"/>
      <c r="LGU506" s="332"/>
      <c r="LGV506" s="332"/>
      <c r="LGW506" s="332"/>
      <c r="LGX506" s="332"/>
      <c r="LGY506" s="332"/>
      <c r="LGZ506" s="332"/>
      <c r="LHA506" s="332"/>
      <c r="LHB506" s="332"/>
      <c r="LHC506" s="332"/>
      <c r="LHD506" s="332"/>
      <c r="LHE506" s="332"/>
      <c r="LHF506" s="332"/>
      <c r="LHG506" s="332"/>
      <c r="LHH506" s="332"/>
      <c r="LHI506" s="332"/>
      <c r="LHJ506" s="332"/>
      <c r="LHK506" s="332"/>
      <c r="LHL506" s="332"/>
      <c r="LHM506" s="332"/>
      <c r="LHN506" s="332"/>
      <c r="LHO506" s="332"/>
      <c r="LHP506" s="332"/>
      <c r="LHQ506" s="332"/>
      <c r="LHR506" s="332"/>
      <c r="LHS506" s="332"/>
      <c r="LHT506" s="332"/>
      <c r="LHU506" s="332"/>
      <c r="LHV506" s="332"/>
      <c r="LHW506" s="332"/>
      <c r="LHX506" s="332"/>
      <c r="LHY506" s="332"/>
      <c r="LHZ506" s="332"/>
      <c r="LIA506" s="332"/>
      <c r="LIB506" s="332"/>
      <c r="LIC506" s="332"/>
      <c r="LID506" s="332"/>
      <c r="LIE506" s="332"/>
      <c r="LIF506" s="332"/>
      <c r="LIG506" s="332"/>
      <c r="LIH506" s="332"/>
      <c r="LII506" s="332"/>
      <c r="LIJ506" s="332"/>
      <c r="LIK506" s="332"/>
      <c r="LIL506" s="332"/>
      <c r="LIM506" s="332"/>
      <c r="LIN506" s="332"/>
      <c r="LIO506" s="332"/>
      <c r="LIP506" s="332"/>
      <c r="LIQ506" s="332"/>
      <c r="LIR506" s="332"/>
      <c r="LIS506" s="332"/>
      <c r="LIT506" s="332"/>
      <c r="LIU506" s="332"/>
      <c r="LIV506" s="332"/>
      <c r="LIW506" s="332"/>
      <c r="LIX506" s="332"/>
      <c r="LIY506" s="332"/>
      <c r="LIZ506" s="332"/>
      <c r="LJA506" s="332"/>
      <c r="LJB506" s="332"/>
      <c r="LJC506" s="332"/>
      <c r="LJD506" s="332"/>
      <c r="LJE506" s="332"/>
      <c r="LJF506" s="332"/>
      <c r="LJG506" s="332"/>
      <c r="LJH506" s="332"/>
      <c r="LJI506" s="332"/>
      <c r="LJJ506" s="332"/>
      <c r="LJK506" s="332"/>
      <c r="LJL506" s="332"/>
      <c r="LJM506" s="332"/>
      <c r="LJN506" s="332"/>
      <c r="LJO506" s="332"/>
      <c r="LJP506" s="332"/>
      <c r="LJQ506" s="332"/>
      <c r="LJR506" s="332"/>
      <c r="LJS506" s="332"/>
      <c r="LJT506" s="332"/>
      <c r="LJU506" s="332"/>
      <c r="LJV506" s="332"/>
      <c r="LJW506" s="332"/>
      <c r="LJX506" s="332"/>
      <c r="LJY506" s="332"/>
      <c r="LJZ506" s="332"/>
      <c r="LKA506" s="332"/>
      <c r="LKB506" s="332"/>
      <c r="LKC506" s="332"/>
      <c r="LKD506" s="332"/>
      <c r="LKE506" s="332"/>
      <c r="LKF506" s="332"/>
      <c r="LKG506" s="332"/>
      <c r="LKH506" s="332"/>
      <c r="LKI506" s="332"/>
      <c r="LKJ506" s="332"/>
      <c r="LKK506" s="332"/>
      <c r="LKL506" s="332"/>
      <c r="LKM506" s="332"/>
      <c r="LKN506" s="332"/>
      <c r="LKO506" s="332"/>
      <c r="LKP506" s="332"/>
      <c r="LKQ506" s="332"/>
      <c r="LKR506" s="332"/>
      <c r="LKS506" s="332"/>
      <c r="LKT506" s="332"/>
      <c r="LKU506" s="332"/>
      <c r="LKV506" s="332"/>
      <c r="LKW506" s="332"/>
      <c r="LKX506" s="332"/>
      <c r="LKY506" s="332"/>
      <c r="LKZ506" s="332"/>
      <c r="LLA506" s="332"/>
      <c r="LLB506" s="332"/>
      <c r="LLC506" s="332"/>
      <c r="LLD506" s="332"/>
      <c r="LLE506" s="332"/>
      <c r="LLF506" s="332"/>
      <c r="LLG506" s="332"/>
      <c r="LLH506" s="332"/>
      <c r="LLI506" s="332"/>
      <c r="LLJ506" s="332"/>
      <c r="LLK506" s="332"/>
      <c r="LLL506" s="332"/>
      <c r="LLM506" s="332"/>
      <c r="LLN506" s="332"/>
      <c r="LLO506" s="332"/>
      <c r="LLP506" s="332"/>
      <c r="LLQ506" s="332"/>
      <c r="LLR506" s="332"/>
      <c r="LLS506" s="332"/>
      <c r="LLT506" s="332"/>
      <c r="LLU506" s="332"/>
      <c r="LLV506" s="332"/>
      <c r="LLW506" s="332"/>
      <c r="LLX506" s="332"/>
      <c r="LLY506" s="332"/>
      <c r="LLZ506" s="332"/>
      <c r="LMA506" s="332"/>
      <c r="LMB506" s="332"/>
      <c r="LMC506" s="332"/>
      <c r="LMD506" s="332"/>
      <c r="LME506" s="332"/>
      <c r="LMF506" s="332"/>
      <c r="LMG506" s="332"/>
      <c r="LMH506" s="332"/>
      <c r="LMI506" s="332"/>
      <c r="LMJ506" s="332"/>
      <c r="LMK506" s="332"/>
      <c r="LML506" s="332"/>
      <c r="LMM506" s="332"/>
      <c r="LMN506" s="332"/>
      <c r="LMO506" s="332"/>
      <c r="LMP506" s="332"/>
      <c r="LMQ506" s="332"/>
      <c r="LMR506" s="332"/>
      <c r="LMS506" s="332"/>
      <c r="LMT506" s="332"/>
      <c r="LMU506" s="332"/>
      <c r="LMV506" s="332"/>
      <c r="LMW506" s="332"/>
      <c r="LMX506" s="332"/>
      <c r="LMY506" s="332"/>
      <c r="LMZ506" s="332"/>
      <c r="LNA506" s="332"/>
      <c r="LNB506" s="332"/>
      <c r="LNC506" s="332"/>
      <c r="LND506" s="332"/>
      <c r="LNE506" s="332"/>
      <c r="LNF506" s="332"/>
      <c r="LNG506" s="332"/>
      <c r="LNH506" s="332"/>
      <c r="LNI506" s="332"/>
      <c r="LNJ506" s="332"/>
      <c r="LNK506" s="332"/>
      <c r="LNL506" s="332"/>
      <c r="LNM506" s="332"/>
      <c r="LNN506" s="332"/>
      <c r="LNO506" s="332"/>
      <c r="LNP506" s="332"/>
      <c r="LNQ506" s="332"/>
      <c r="LNR506" s="332"/>
      <c r="LNS506" s="332"/>
      <c r="LNT506" s="332"/>
      <c r="LNU506" s="332"/>
      <c r="LNV506" s="332"/>
      <c r="LNW506" s="332"/>
      <c r="LNX506" s="332"/>
      <c r="LNY506" s="332"/>
      <c r="LNZ506" s="332"/>
      <c r="LOA506" s="332"/>
      <c r="LOB506" s="332"/>
      <c r="LOC506" s="332"/>
      <c r="LOD506" s="332"/>
      <c r="LOE506" s="332"/>
      <c r="LOF506" s="332"/>
      <c r="LOG506" s="332"/>
      <c r="LOH506" s="332"/>
      <c r="LOI506" s="332"/>
      <c r="LOJ506" s="332"/>
      <c r="LOK506" s="332"/>
      <c r="LOL506" s="332"/>
      <c r="LOM506" s="332"/>
      <c r="LON506" s="332"/>
      <c r="LOO506" s="332"/>
      <c r="LOP506" s="332"/>
      <c r="LOQ506" s="332"/>
      <c r="LOR506" s="332"/>
      <c r="LOS506" s="332"/>
      <c r="LOT506" s="332"/>
      <c r="LOU506" s="332"/>
      <c r="LOV506" s="332"/>
      <c r="LOW506" s="332"/>
      <c r="LOX506" s="332"/>
      <c r="LOY506" s="332"/>
      <c r="LOZ506" s="332"/>
      <c r="LPA506" s="332"/>
      <c r="LPB506" s="332"/>
      <c r="LPC506" s="332"/>
      <c r="LPD506" s="332"/>
      <c r="LPE506" s="332"/>
      <c r="LPF506" s="332"/>
      <c r="LPG506" s="332"/>
      <c r="LPH506" s="332"/>
      <c r="LPI506" s="332"/>
      <c r="LPJ506" s="332"/>
      <c r="LPK506" s="332"/>
      <c r="LPL506" s="332"/>
      <c r="LPM506" s="332"/>
      <c r="LPN506" s="332"/>
      <c r="LPO506" s="332"/>
      <c r="LPP506" s="332"/>
      <c r="LPQ506" s="332"/>
      <c r="LPR506" s="332"/>
      <c r="LPS506" s="332"/>
      <c r="LPT506" s="332"/>
      <c r="LPU506" s="332"/>
      <c r="LPV506" s="332"/>
      <c r="LPW506" s="332"/>
      <c r="LPX506" s="332"/>
      <c r="LPY506" s="332"/>
      <c r="LPZ506" s="332"/>
      <c r="LQA506" s="332"/>
      <c r="LQB506" s="332"/>
      <c r="LQC506" s="332"/>
      <c r="LQD506" s="332"/>
      <c r="LQE506" s="332"/>
      <c r="LQF506" s="332"/>
      <c r="LQG506" s="332"/>
      <c r="LQH506" s="332"/>
      <c r="LQI506" s="332"/>
      <c r="LQJ506" s="332"/>
      <c r="LQK506" s="332"/>
      <c r="LQL506" s="332"/>
      <c r="LQM506" s="332"/>
      <c r="LQN506" s="332"/>
      <c r="LQO506" s="332"/>
      <c r="LQP506" s="332"/>
      <c r="LQQ506" s="332"/>
      <c r="LQR506" s="332"/>
      <c r="LQS506" s="332"/>
      <c r="LQT506" s="332"/>
      <c r="LQU506" s="332"/>
      <c r="LQV506" s="332"/>
      <c r="LQW506" s="332"/>
      <c r="LQX506" s="332"/>
      <c r="LQY506" s="332"/>
      <c r="LQZ506" s="332"/>
      <c r="LRA506" s="332"/>
      <c r="LRB506" s="332"/>
      <c r="LRC506" s="332"/>
      <c r="LRD506" s="332"/>
      <c r="LRE506" s="332"/>
      <c r="LRF506" s="332"/>
      <c r="LRG506" s="332"/>
      <c r="LRH506" s="332"/>
      <c r="LRI506" s="332"/>
      <c r="LRJ506" s="332"/>
      <c r="LRK506" s="332"/>
      <c r="LRL506" s="332"/>
      <c r="LRM506" s="332"/>
      <c r="LRN506" s="332"/>
      <c r="LRO506" s="332"/>
      <c r="LRP506" s="332"/>
      <c r="LRQ506" s="332"/>
      <c r="LRR506" s="332"/>
      <c r="LRS506" s="332"/>
      <c r="LRT506" s="332"/>
      <c r="LRU506" s="332"/>
      <c r="LRV506" s="332"/>
      <c r="LRW506" s="332"/>
      <c r="LRX506" s="332"/>
      <c r="LRY506" s="332"/>
      <c r="LRZ506" s="332"/>
      <c r="LSA506" s="332"/>
      <c r="LSB506" s="332"/>
      <c r="LSC506" s="332"/>
      <c r="LSD506" s="332"/>
      <c r="LSE506" s="332"/>
      <c r="LSF506" s="332"/>
      <c r="LSG506" s="332"/>
      <c r="LSH506" s="332"/>
      <c r="LSI506" s="332"/>
      <c r="LSJ506" s="332"/>
      <c r="LSK506" s="332"/>
      <c r="LSL506" s="332"/>
      <c r="LSM506" s="332"/>
      <c r="LSN506" s="332"/>
      <c r="LSO506" s="332"/>
      <c r="LSP506" s="332"/>
      <c r="LSQ506" s="332"/>
      <c r="LSR506" s="332"/>
      <c r="LSS506" s="332"/>
      <c r="LST506" s="332"/>
      <c r="LSU506" s="332"/>
      <c r="LSV506" s="332"/>
      <c r="LSW506" s="332"/>
      <c r="LSX506" s="332"/>
      <c r="LSY506" s="332"/>
      <c r="LSZ506" s="332"/>
      <c r="LTA506" s="332"/>
      <c r="LTB506" s="332"/>
      <c r="LTC506" s="332"/>
      <c r="LTD506" s="332"/>
      <c r="LTE506" s="332"/>
      <c r="LTF506" s="332"/>
      <c r="LTG506" s="332"/>
      <c r="LTH506" s="332"/>
      <c r="LTI506" s="332"/>
      <c r="LTJ506" s="332"/>
      <c r="LTK506" s="332"/>
      <c r="LTL506" s="332"/>
      <c r="LTM506" s="332"/>
      <c r="LTN506" s="332"/>
      <c r="LTO506" s="332"/>
      <c r="LTP506" s="332"/>
      <c r="LTQ506" s="332"/>
      <c r="LTR506" s="332"/>
      <c r="LTS506" s="332"/>
      <c r="LTT506" s="332"/>
      <c r="LTU506" s="332"/>
      <c r="LTV506" s="332"/>
      <c r="LTW506" s="332"/>
      <c r="LTX506" s="332"/>
      <c r="LTY506" s="332"/>
      <c r="LTZ506" s="332"/>
      <c r="LUA506" s="332"/>
      <c r="LUB506" s="332"/>
      <c r="LUC506" s="332"/>
      <c r="LUD506" s="332"/>
      <c r="LUE506" s="332"/>
      <c r="LUF506" s="332"/>
      <c r="LUG506" s="332"/>
      <c r="LUH506" s="332"/>
      <c r="LUI506" s="332"/>
      <c r="LUJ506" s="332"/>
      <c r="LUK506" s="332"/>
      <c r="LUL506" s="332"/>
      <c r="LUM506" s="332"/>
      <c r="LUN506" s="332"/>
      <c r="LUO506" s="332"/>
      <c r="LUP506" s="332"/>
      <c r="LUQ506" s="332"/>
      <c r="LUR506" s="332"/>
      <c r="LUS506" s="332"/>
      <c r="LUT506" s="332"/>
      <c r="LUU506" s="332"/>
      <c r="LUV506" s="332"/>
      <c r="LUW506" s="332"/>
      <c r="LUX506" s="332"/>
      <c r="LUY506" s="332"/>
      <c r="LUZ506" s="332"/>
      <c r="LVA506" s="332"/>
      <c r="LVB506" s="332"/>
      <c r="LVC506" s="332"/>
      <c r="LVD506" s="332"/>
      <c r="LVE506" s="332"/>
      <c r="LVF506" s="332"/>
      <c r="LVG506" s="332"/>
      <c r="LVH506" s="332"/>
      <c r="LVI506" s="332"/>
      <c r="LVJ506" s="332"/>
      <c r="LVK506" s="332"/>
      <c r="LVL506" s="332"/>
      <c r="LVM506" s="332"/>
      <c r="LVN506" s="332"/>
      <c r="LVO506" s="332"/>
      <c r="LVP506" s="332"/>
      <c r="LVQ506" s="332"/>
      <c r="LVR506" s="332"/>
      <c r="LVS506" s="332"/>
      <c r="LVT506" s="332"/>
      <c r="LVU506" s="332"/>
      <c r="LVV506" s="332"/>
      <c r="LVW506" s="332"/>
      <c r="LVX506" s="332"/>
      <c r="LVY506" s="332"/>
      <c r="LVZ506" s="332"/>
      <c r="LWA506" s="332"/>
      <c r="LWB506" s="332"/>
      <c r="LWC506" s="332"/>
      <c r="LWD506" s="332"/>
      <c r="LWE506" s="332"/>
      <c r="LWF506" s="332"/>
      <c r="LWG506" s="332"/>
      <c r="LWH506" s="332"/>
      <c r="LWI506" s="332"/>
      <c r="LWJ506" s="332"/>
      <c r="LWK506" s="332"/>
      <c r="LWL506" s="332"/>
      <c r="LWM506" s="332"/>
      <c r="LWN506" s="332"/>
      <c r="LWO506" s="332"/>
      <c r="LWP506" s="332"/>
      <c r="LWQ506" s="332"/>
      <c r="LWR506" s="332"/>
      <c r="LWS506" s="332"/>
      <c r="LWT506" s="332"/>
      <c r="LWU506" s="332"/>
      <c r="LWV506" s="332"/>
      <c r="LWW506" s="332"/>
      <c r="LWX506" s="332"/>
      <c r="LWY506" s="332"/>
      <c r="LWZ506" s="332"/>
      <c r="LXA506" s="332"/>
      <c r="LXB506" s="332"/>
      <c r="LXC506" s="332"/>
      <c r="LXD506" s="332"/>
      <c r="LXE506" s="332"/>
      <c r="LXF506" s="332"/>
      <c r="LXG506" s="332"/>
      <c r="LXH506" s="332"/>
      <c r="LXI506" s="332"/>
      <c r="LXJ506" s="332"/>
      <c r="LXK506" s="332"/>
      <c r="LXL506" s="332"/>
      <c r="LXM506" s="332"/>
      <c r="LXN506" s="332"/>
      <c r="LXO506" s="332"/>
      <c r="LXP506" s="332"/>
      <c r="LXQ506" s="332"/>
      <c r="LXR506" s="332"/>
      <c r="LXS506" s="332"/>
      <c r="LXT506" s="332"/>
      <c r="LXU506" s="332"/>
      <c r="LXV506" s="332"/>
      <c r="LXW506" s="332"/>
      <c r="LXX506" s="332"/>
      <c r="LXY506" s="332"/>
      <c r="LXZ506" s="332"/>
      <c r="LYA506" s="332"/>
      <c r="LYB506" s="332"/>
      <c r="LYC506" s="332"/>
      <c r="LYD506" s="332"/>
      <c r="LYE506" s="332"/>
      <c r="LYF506" s="332"/>
      <c r="LYG506" s="332"/>
      <c r="LYH506" s="332"/>
      <c r="LYI506" s="332"/>
      <c r="LYJ506" s="332"/>
      <c r="LYK506" s="332"/>
      <c r="LYL506" s="332"/>
      <c r="LYM506" s="332"/>
      <c r="LYN506" s="332"/>
      <c r="LYO506" s="332"/>
      <c r="LYP506" s="332"/>
      <c r="LYQ506" s="332"/>
      <c r="LYR506" s="332"/>
      <c r="LYS506" s="332"/>
      <c r="LYT506" s="332"/>
      <c r="LYU506" s="332"/>
      <c r="LYV506" s="332"/>
      <c r="LYW506" s="332"/>
      <c r="LYX506" s="332"/>
      <c r="LYY506" s="332"/>
      <c r="LYZ506" s="332"/>
      <c r="LZA506" s="332"/>
      <c r="LZB506" s="332"/>
      <c r="LZC506" s="332"/>
      <c r="LZD506" s="332"/>
      <c r="LZE506" s="332"/>
      <c r="LZF506" s="332"/>
      <c r="LZG506" s="332"/>
      <c r="LZH506" s="332"/>
      <c r="LZI506" s="332"/>
      <c r="LZJ506" s="332"/>
      <c r="LZK506" s="332"/>
      <c r="LZL506" s="332"/>
      <c r="LZM506" s="332"/>
      <c r="LZN506" s="332"/>
      <c r="LZO506" s="332"/>
      <c r="LZP506" s="332"/>
      <c r="LZQ506" s="332"/>
      <c r="LZR506" s="332"/>
      <c r="LZS506" s="332"/>
      <c r="LZT506" s="332"/>
      <c r="LZU506" s="332"/>
      <c r="LZV506" s="332"/>
      <c r="LZW506" s="332"/>
      <c r="LZX506" s="332"/>
      <c r="LZY506" s="332"/>
      <c r="LZZ506" s="332"/>
      <c r="MAA506" s="332"/>
      <c r="MAB506" s="332"/>
      <c r="MAC506" s="332"/>
      <c r="MAD506" s="332"/>
      <c r="MAE506" s="332"/>
      <c r="MAF506" s="332"/>
      <c r="MAG506" s="332"/>
      <c r="MAH506" s="332"/>
      <c r="MAI506" s="332"/>
      <c r="MAJ506" s="332"/>
      <c r="MAK506" s="332"/>
      <c r="MAL506" s="332"/>
      <c r="MAM506" s="332"/>
      <c r="MAN506" s="332"/>
      <c r="MAO506" s="332"/>
      <c r="MAP506" s="332"/>
      <c r="MAQ506" s="332"/>
      <c r="MAR506" s="332"/>
      <c r="MAS506" s="332"/>
      <c r="MAT506" s="332"/>
      <c r="MAU506" s="332"/>
      <c r="MAV506" s="332"/>
      <c r="MAW506" s="332"/>
      <c r="MAX506" s="332"/>
      <c r="MAY506" s="332"/>
      <c r="MAZ506" s="332"/>
      <c r="MBA506" s="332"/>
      <c r="MBB506" s="332"/>
      <c r="MBC506" s="332"/>
      <c r="MBD506" s="332"/>
      <c r="MBE506" s="332"/>
      <c r="MBF506" s="332"/>
      <c r="MBG506" s="332"/>
      <c r="MBH506" s="332"/>
      <c r="MBI506" s="332"/>
      <c r="MBJ506" s="332"/>
      <c r="MBK506" s="332"/>
      <c r="MBL506" s="332"/>
      <c r="MBM506" s="332"/>
      <c r="MBN506" s="332"/>
      <c r="MBO506" s="332"/>
      <c r="MBP506" s="332"/>
      <c r="MBQ506" s="332"/>
      <c r="MBR506" s="332"/>
      <c r="MBS506" s="332"/>
      <c r="MBT506" s="332"/>
      <c r="MBU506" s="332"/>
      <c r="MBV506" s="332"/>
      <c r="MBW506" s="332"/>
      <c r="MBX506" s="332"/>
      <c r="MBY506" s="332"/>
      <c r="MBZ506" s="332"/>
      <c r="MCA506" s="332"/>
      <c r="MCB506" s="332"/>
      <c r="MCC506" s="332"/>
      <c r="MCD506" s="332"/>
      <c r="MCE506" s="332"/>
      <c r="MCF506" s="332"/>
      <c r="MCG506" s="332"/>
      <c r="MCH506" s="332"/>
      <c r="MCI506" s="332"/>
      <c r="MCJ506" s="332"/>
      <c r="MCK506" s="332"/>
      <c r="MCL506" s="332"/>
      <c r="MCM506" s="332"/>
      <c r="MCN506" s="332"/>
      <c r="MCO506" s="332"/>
      <c r="MCP506" s="332"/>
      <c r="MCQ506" s="332"/>
      <c r="MCR506" s="332"/>
      <c r="MCS506" s="332"/>
      <c r="MCT506" s="332"/>
      <c r="MCU506" s="332"/>
      <c r="MCV506" s="332"/>
      <c r="MCW506" s="332"/>
      <c r="MCX506" s="332"/>
      <c r="MCY506" s="332"/>
      <c r="MCZ506" s="332"/>
      <c r="MDA506" s="332"/>
      <c r="MDB506" s="332"/>
      <c r="MDC506" s="332"/>
      <c r="MDD506" s="332"/>
      <c r="MDE506" s="332"/>
      <c r="MDF506" s="332"/>
      <c r="MDG506" s="332"/>
      <c r="MDH506" s="332"/>
      <c r="MDI506" s="332"/>
      <c r="MDJ506" s="332"/>
      <c r="MDK506" s="332"/>
      <c r="MDL506" s="332"/>
      <c r="MDM506" s="332"/>
      <c r="MDN506" s="332"/>
      <c r="MDO506" s="332"/>
      <c r="MDP506" s="332"/>
      <c r="MDQ506" s="332"/>
      <c r="MDR506" s="332"/>
      <c r="MDS506" s="332"/>
      <c r="MDT506" s="332"/>
      <c r="MDU506" s="332"/>
      <c r="MDV506" s="332"/>
      <c r="MDW506" s="332"/>
      <c r="MDX506" s="332"/>
      <c r="MDY506" s="332"/>
      <c r="MDZ506" s="332"/>
      <c r="MEA506" s="332"/>
      <c r="MEB506" s="332"/>
      <c r="MEC506" s="332"/>
      <c r="MED506" s="332"/>
      <c r="MEE506" s="332"/>
      <c r="MEF506" s="332"/>
      <c r="MEG506" s="332"/>
      <c r="MEH506" s="332"/>
      <c r="MEI506" s="332"/>
      <c r="MEJ506" s="332"/>
      <c r="MEK506" s="332"/>
      <c r="MEL506" s="332"/>
      <c r="MEM506" s="332"/>
      <c r="MEN506" s="332"/>
      <c r="MEO506" s="332"/>
      <c r="MEP506" s="332"/>
      <c r="MEQ506" s="332"/>
      <c r="MER506" s="332"/>
      <c r="MES506" s="332"/>
      <c r="MET506" s="332"/>
      <c r="MEU506" s="332"/>
      <c r="MEV506" s="332"/>
      <c r="MEW506" s="332"/>
      <c r="MEX506" s="332"/>
      <c r="MEY506" s="332"/>
      <c r="MEZ506" s="332"/>
      <c r="MFA506" s="332"/>
      <c r="MFB506" s="332"/>
      <c r="MFC506" s="332"/>
      <c r="MFD506" s="332"/>
      <c r="MFE506" s="332"/>
      <c r="MFF506" s="332"/>
      <c r="MFG506" s="332"/>
      <c r="MFH506" s="332"/>
      <c r="MFI506" s="332"/>
      <c r="MFJ506" s="332"/>
      <c r="MFK506" s="332"/>
      <c r="MFL506" s="332"/>
      <c r="MFM506" s="332"/>
      <c r="MFN506" s="332"/>
      <c r="MFO506" s="332"/>
      <c r="MFP506" s="332"/>
      <c r="MFQ506" s="332"/>
      <c r="MFR506" s="332"/>
      <c r="MFS506" s="332"/>
      <c r="MFT506" s="332"/>
      <c r="MFU506" s="332"/>
      <c r="MFV506" s="332"/>
      <c r="MFW506" s="332"/>
      <c r="MFX506" s="332"/>
      <c r="MFY506" s="332"/>
      <c r="MFZ506" s="332"/>
      <c r="MGA506" s="332"/>
      <c r="MGB506" s="332"/>
      <c r="MGC506" s="332"/>
      <c r="MGD506" s="332"/>
      <c r="MGE506" s="332"/>
      <c r="MGF506" s="332"/>
      <c r="MGG506" s="332"/>
      <c r="MGH506" s="332"/>
      <c r="MGI506" s="332"/>
      <c r="MGJ506" s="332"/>
      <c r="MGK506" s="332"/>
      <c r="MGL506" s="332"/>
      <c r="MGM506" s="332"/>
      <c r="MGN506" s="332"/>
      <c r="MGO506" s="332"/>
      <c r="MGP506" s="332"/>
      <c r="MGQ506" s="332"/>
      <c r="MGR506" s="332"/>
      <c r="MGS506" s="332"/>
      <c r="MGT506" s="332"/>
      <c r="MGU506" s="332"/>
      <c r="MGV506" s="332"/>
      <c r="MGW506" s="332"/>
      <c r="MGX506" s="332"/>
      <c r="MGY506" s="332"/>
      <c r="MGZ506" s="332"/>
      <c r="MHA506" s="332"/>
      <c r="MHB506" s="332"/>
      <c r="MHC506" s="332"/>
      <c r="MHD506" s="332"/>
      <c r="MHE506" s="332"/>
      <c r="MHF506" s="332"/>
      <c r="MHG506" s="332"/>
      <c r="MHH506" s="332"/>
      <c r="MHI506" s="332"/>
      <c r="MHJ506" s="332"/>
      <c r="MHK506" s="332"/>
      <c r="MHL506" s="332"/>
      <c r="MHM506" s="332"/>
      <c r="MHN506" s="332"/>
      <c r="MHO506" s="332"/>
      <c r="MHP506" s="332"/>
      <c r="MHQ506" s="332"/>
      <c r="MHR506" s="332"/>
      <c r="MHS506" s="332"/>
      <c r="MHT506" s="332"/>
      <c r="MHU506" s="332"/>
      <c r="MHV506" s="332"/>
      <c r="MHW506" s="332"/>
      <c r="MHX506" s="332"/>
      <c r="MHY506" s="332"/>
      <c r="MHZ506" s="332"/>
      <c r="MIA506" s="332"/>
      <c r="MIB506" s="332"/>
      <c r="MIC506" s="332"/>
      <c r="MID506" s="332"/>
      <c r="MIE506" s="332"/>
      <c r="MIF506" s="332"/>
      <c r="MIG506" s="332"/>
      <c r="MIH506" s="332"/>
      <c r="MII506" s="332"/>
      <c r="MIJ506" s="332"/>
      <c r="MIK506" s="332"/>
      <c r="MIL506" s="332"/>
      <c r="MIM506" s="332"/>
      <c r="MIN506" s="332"/>
      <c r="MIO506" s="332"/>
      <c r="MIP506" s="332"/>
      <c r="MIQ506" s="332"/>
      <c r="MIR506" s="332"/>
      <c r="MIS506" s="332"/>
      <c r="MIT506" s="332"/>
      <c r="MIU506" s="332"/>
      <c r="MIV506" s="332"/>
      <c r="MIW506" s="332"/>
      <c r="MIX506" s="332"/>
      <c r="MIY506" s="332"/>
      <c r="MIZ506" s="332"/>
      <c r="MJA506" s="332"/>
      <c r="MJB506" s="332"/>
      <c r="MJC506" s="332"/>
      <c r="MJD506" s="332"/>
      <c r="MJE506" s="332"/>
      <c r="MJF506" s="332"/>
      <c r="MJG506" s="332"/>
      <c r="MJH506" s="332"/>
      <c r="MJI506" s="332"/>
      <c r="MJJ506" s="332"/>
      <c r="MJK506" s="332"/>
      <c r="MJL506" s="332"/>
      <c r="MJM506" s="332"/>
      <c r="MJN506" s="332"/>
      <c r="MJO506" s="332"/>
      <c r="MJP506" s="332"/>
      <c r="MJQ506" s="332"/>
      <c r="MJR506" s="332"/>
      <c r="MJS506" s="332"/>
      <c r="MJT506" s="332"/>
      <c r="MJU506" s="332"/>
      <c r="MJV506" s="332"/>
      <c r="MJW506" s="332"/>
      <c r="MJX506" s="332"/>
      <c r="MJY506" s="332"/>
      <c r="MJZ506" s="332"/>
      <c r="MKA506" s="332"/>
      <c r="MKB506" s="332"/>
      <c r="MKC506" s="332"/>
      <c r="MKD506" s="332"/>
      <c r="MKE506" s="332"/>
      <c r="MKF506" s="332"/>
      <c r="MKG506" s="332"/>
      <c r="MKH506" s="332"/>
      <c r="MKI506" s="332"/>
      <c r="MKJ506" s="332"/>
      <c r="MKK506" s="332"/>
      <c r="MKL506" s="332"/>
      <c r="MKM506" s="332"/>
      <c r="MKN506" s="332"/>
      <c r="MKO506" s="332"/>
      <c r="MKP506" s="332"/>
      <c r="MKQ506" s="332"/>
      <c r="MKR506" s="332"/>
      <c r="MKS506" s="332"/>
      <c r="MKT506" s="332"/>
      <c r="MKU506" s="332"/>
      <c r="MKV506" s="332"/>
      <c r="MKW506" s="332"/>
      <c r="MKX506" s="332"/>
      <c r="MKY506" s="332"/>
      <c r="MKZ506" s="332"/>
      <c r="MLA506" s="332"/>
      <c r="MLB506" s="332"/>
      <c r="MLC506" s="332"/>
      <c r="MLD506" s="332"/>
      <c r="MLE506" s="332"/>
      <c r="MLF506" s="332"/>
      <c r="MLG506" s="332"/>
      <c r="MLH506" s="332"/>
      <c r="MLI506" s="332"/>
      <c r="MLJ506" s="332"/>
      <c r="MLK506" s="332"/>
      <c r="MLL506" s="332"/>
      <c r="MLM506" s="332"/>
      <c r="MLN506" s="332"/>
      <c r="MLO506" s="332"/>
      <c r="MLP506" s="332"/>
      <c r="MLQ506" s="332"/>
      <c r="MLR506" s="332"/>
      <c r="MLS506" s="332"/>
      <c r="MLT506" s="332"/>
      <c r="MLU506" s="332"/>
      <c r="MLV506" s="332"/>
      <c r="MLW506" s="332"/>
      <c r="MLX506" s="332"/>
      <c r="MLY506" s="332"/>
      <c r="MLZ506" s="332"/>
      <c r="MMA506" s="332"/>
      <c r="MMB506" s="332"/>
      <c r="MMC506" s="332"/>
      <c r="MMD506" s="332"/>
      <c r="MME506" s="332"/>
      <c r="MMF506" s="332"/>
      <c r="MMG506" s="332"/>
      <c r="MMH506" s="332"/>
      <c r="MMI506" s="332"/>
      <c r="MMJ506" s="332"/>
      <c r="MMK506" s="332"/>
      <c r="MML506" s="332"/>
      <c r="MMM506" s="332"/>
      <c r="MMN506" s="332"/>
      <c r="MMO506" s="332"/>
      <c r="MMP506" s="332"/>
      <c r="MMQ506" s="332"/>
      <c r="MMR506" s="332"/>
      <c r="MMS506" s="332"/>
      <c r="MMT506" s="332"/>
      <c r="MMU506" s="332"/>
      <c r="MMV506" s="332"/>
      <c r="MMW506" s="332"/>
      <c r="MMX506" s="332"/>
      <c r="MMY506" s="332"/>
      <c r="MMZ506" s="332"/>
      <c r="MNA506" s="332"/>
      <c r="MNB506" s="332"/>
      <c r="MNC506" s="332"/>
      <c r="MND506" s="332"/>
      <c r="MNE506" s="332"/>
      <c r="MNF506" s="332"/>
      <c r="MNG506" s="332"/>
      <c r="MNH506" s="332"/>
      <c r="MNI506" s="332"/>
      <c r="MNJ506" s="332"/>
      <c r="MNK506" s="332"/>
      <c r="MNL506" s="332"/>
      <c r="MNM506" s="332"/>
      <c r="MNN506" s="332"/>
      <c r="MNO506" s="332"/>
      <c r="MNP506" s="332"/>
      <c r="MNQ506" s="332"/>
      <c r="MNR506" s="332"/>
      <c r="MNS506" s="332"/>
      <c r="MNT506" s="332"/>
      <c r="MNU506" s="332"/>
      <c r="MNV506" s="332"/>
      <c r="MNW506" s="332"/>
      <c r="MNX506" s="332"/>
      <c r="MNY506" s="332"/>
      <c r="MNZ506" s="332"/>
      <c r="MOA506" s="332"/>
      <c r="MOB506" s="332"/>
      <c r="MOC506" s="332"/>
      <c r="MOD506" s="332"/>
      <c r="MOE506" s="332"/>
      <c r="MOF506" s="332"/>
      <c r="MOG506" s="332"/>
      <c r="MOH506" s="332"/>
      <c r="MOI506" s="332"/>
      <c r="MOJ506" s="332"/>
      <c r="MOK506" s="332"/>
      <c r="MOL506" s="332"/>
      <c r="MOM506" s="332"/>
      <c r="MON506" s="332"/>
      <c r="MOO506" s="332"/>
      <c r="MOP506" s="332"/>
      <c r="MOQ506" s="332"/>
      <c r="MOR506" s="332"/>
      <c r="MOS506" s="332"/>
      <c r="MOT506" s="332"/>
      <c r="MOU506" s="332"/>
      <c r="MOV506" s="332"/>
      <c r="MOW506" s="332"/>
      <c r="MOX506" s="332"/>
      <c r="MOY506" s="332"/>
      <c r="MOZ506" s="332"/>
      <c r="MPA506" s="332"/>
      <c r="MPB506" s="332"/>
      <c r="MPC506" s="332"/>
      <c r="MPD506" s="332"/>
      <c r="MPE506" s="332"/>
      <c r="MPF506" s="332"/>
      <c r="MPG506" s="332"/>
      <c r="MPH506" s="332"/>
      <c r="MPI506" s="332"/>
      <c r="MPJ506" s="332"/>
      <c r="MPK506" s="332"/>
      <c r="MPL506" s="332"/>
      <c r="MPM506" s="332"/>
      <c r="MPN506" s="332"/>
      <c r="MPO506" s="332"/>
      <c r="MPP506" s="332"/>
      <c r="MPQ506" s="332"/>
      <c r="MPR506" s="332"/>
      <c r="MPS506" s="332"/>
      <c r="MPT506" s="332"/>
      <c r="MPU506" s="332"/>
      <c r="MPV506" s="332"/>
      <c r="MPW506" s="332"/>
      <c r="MPX506" s="332"/>
      <c r="MPY506" s="332"/>
      <c r="MPZ506" s="332"/>
      <c r="MQA506" s="332"/>
      <c r="MQB506" s="332"/>
      <c r="MQC506" s="332"/>
      <c r="MQD506" s="332"/>
      <c r="MQE506" s="332"/>
      <c r="MQF506" s="332"/>
      <c r="MQG506" s="332"/>
      <c r="MQH506" s="332"/>
      <c r="MQI506" s="332"/>
      <c r="MQJ506" s="332"/>
      <c r="MQK506" s="332"/>
      <c r="MQL506" s="332"/>
      <c r="MQM506" s="332"/>
      <c r="MQN506" s="332"/>
      <c r="MQO506" s="332"/>
      <c r="MQP506" s="332"/>
      <c r="MQQ506" s="332"/>
      <c r="MQR506" s="332"/>
      <c r="MQS506" s="332"/>
      <c r="MQT506" s="332"/>
      <c r="MQU506" s="332"/>
      <c r="MQV506" s="332"/>
      <c r="MQW506" s="332"/>
      <c r="MQX506" s="332"/>
      <c r="MQY506" s="332"/>
      <c r="MQZ506" s="332"/>
      <c r="MRA506" s="332"/>
      <c r="MRB506" s="332"/>
      <c r="MRC506" s="332"/>
      <c r="MRD506" s="332"/>
      <c r="MRE506" s="332"/>
      <c r="MRF506" s="332"/>
      <c r="MRG506" s="332"/>
      <c r="MRH506" s="332"/>
      <c r="MRI506" s="332"/>
      <c r="MRJ506" s="332"/>
      <c r="MRK506" s="332"/>
      <c r="MRL506" s="332"/>
      <c r="MRM506" s="332"/>
      <c r="MRN506" s="332"/>
      <c r="MRO506" s="332"/>
      <c r="MRP506" s="332"/>
      <c r="MRQ506" s="332"/>
      <c r="MRR506" s="332"/>
      <c r="MRS506" s="332"/>
      <c r="MRT506" s="332"/>
      <c r="MRU506" s="332"/>
      <c r="MRV506" s="332"/>
      <c r="MRW506" s="332"/>
      <c r="MRX506" s="332"/>
      <c r="MRY506" s="332"/>
      <c r="MRZ506" s="332"/>
      <c r="MSA506" s="332"/>
      <c r="MSB506" s="332"/>
      <c r="MSC506" s="332"/>
      <c r="MSD506" s="332"/>
      <c r="MSE506" s="332"/>
      <c r="MSF506" s="332"/>
      <c r="MSG506" s="332"/>
      <c r="MSH506" s="332"/>
      <c r="MSI506" s="332"/>
      <c r="MSJ506" s="332"/>
      <c r="MSK506" s="332"/>
      <c r="MSL506" s="332"/>
      <c r="MSM506" s="332"/>
      <c r="MSN506" s="332"/>
      <c r="MSO506" s="332"/>
      <c r="MSP506" s="332"/>
      <c r="MSQ506" s="332"/>
      <c r="MSR506" s="332"/>
      <c r="MSS506" s="332"/>
      <c r="MST506" s="332"/>
      <c r="MSU506" s="332"/>
      <c r="MSV506" s="332"/>
      <c r="MSW506" s="332"/>
      <c r="MSX506" s="332"/>
      <c r="MSY506" s="332"/>
      <c r="MSZ506" s="332"/>
      <c r="MTA506" s="332"/>
      <c r="MTB506" s="332"/>
      <c r="MTC506" s="332"/>
      <c r="MTD506" s="332"/>
      <c r="MTE506" s="332"/>
      <c r="MTF506" s="332"/>
      <c r="MTG506" s="332"/>
      <c r="MTH506" s="332"/>
      <c r="MTI506" s="332"/>
      <c r="MTJ506" s="332"/>
      <c r="MTK506" s="332"/>
      <c r="MTL506" s="332"/>
      <c r="MTM506" s="332"/>
      <c r="MTN506" s="332"/>
      <c r="MTO506" s="332"/>
      <c r="MTP506" s="332"/>
      <c r="MTQ506" s="332"/>
      <c r="MTR506" s="332"/>
      <c r="MTS506" s="332"/>
      <c r="MTT506" s="332"/>
      <c r="MTU506" s="332"/>
      <c r="MTV506" s="332"/>
      <c r="MTW506" s="332"/>
      <c r="MTX506" s="332"/>
      <c r="MTY506" s="332"/>
      <c r="MTZ506" s="332"/>
      <c r="MUA506" s="332"/>
      <c r="MUB506" s="332"/>
      <c r="MUC506" s="332"/>
      <c r="MUD506" s="332"/>
      <c r="MUE506" s="332"/>
      <c r="MUF506" s="332"/>
      <c r="MUG506" s="332"/>
      <c r="MUH506" s="332"/>
      <c r="MUI506" s="332"/>
      <c r="MUJ506" s="332"/>
      <c r="MUK506" s="332"/>
      <c r="MUL506" s="332"/>
      <c r="MUM506" s="332"/>
      <c r="MUN506" s="332"/>
      <c r="MUO506" s="332"/>
      <c r="MUP506" s="332"/>
      <c r="MUQ506" s="332"/>
      <c r="MUR506" s="332"/>
      <c r="MUS506" s="332"/>
      <c r="MUT506" s="332"/>
      <c r="MUU506" s="332"/>
      <c r="MUV506" s="332"/>
      <c r="MUW506" s="332"/>
      <c r="MUX506" s="332"/>
      <c r="MUY506" s="332"/>
      <c r="MUZ506" s="332"/>
      <c r="MVA506" s="332"/>
      <c r="MVB506" s="332"/>
      <c r="MVC506" s="332"/>
      <c r="MVD506" s="332"/>
      <c r="MVE506" s="332"/>
      <c r="MVF506" s="332"/>
      <c r="MVG506" s="332"/>
      <c r="MVH506" s="332"/>
      <c r="MVI506" s="332"/>
      <c r="MVJ506" s="332"/>
      <c r="MVK506" s="332"/>
      <c r="MVL506" s="332"/>
      <c r="MVM506" s="332"/>
      <c r="MVN506" s="332"/>
      <c r="MVO506" s="332"/>
      <c r="MVP506" s="332"/>
      <c r="MVQ506" s="332"/>
      <c r="MVR506" s="332"/>
      <c r="MVS506" s="332"/>
      <c r="MVT506" s="332"/>
      <c r="MVU506" s="332"/>
      <c r="MVV506" s="332"/>
      <c r="MVW506" s="332"/>
      <c r="MVX506" s="332"/>
      <c r="MVY506" s="332"/>
      <c r="MVZ506" s="332"/>
      <c r="MWA506" s="332"/>
      <c r="MWB506" s="332"/>
      <c r="MWC506" s="332"/>
      <c r="MWD506" s="332"/>
      <c r="MWE506" s="332"/>
      <c r="MWF506" s="332"/>
      <c r="MWG506" s="332"/>
      <c r="MWH506" s="332"/>
      <c r="MWI506" s="332"/>
      <c r="MWJ506" s="332"/>
      <c r="MWK506" s="332"/>
      <c r="MWL506" s="332"/>
      <c r="MWM506" s="332"/>
      <c r="MWN506" s="332"/>
      <c r="MWO506" s="332"/>
      <c r="MWP506" s="332"/>
      <c r="MWQ506" s="332"/>
      <c r="MWR506" s="332"/>
      <c r="MWS506" s="332"/>
      <c r="MWT506" s="332"/>
      <c r="MWU506" s="332"/>
      <c r="MWV506" s="332"/>
      <c r="MWW506" s="332"/>
      <c r="MWX506" s="332"/>
      <c r="MWY506" s="332"/>
      <c r="MWZ506" s="332"/>
      <c r="MXA506" s="332"/>
      <c r="MXB506" s="332"/>
      <c r="MXC506" s="332"/>
      <c r="MXD506" s="332"/>
      <c r="MXE506" s="332"/>
      <c r="MXF506" s="332"/>
      <c r="MXG506" s="332"/>
      <c r="MXH506" s="332"/>
      <c r="MXI506" s="332"/>
      <c r="MXJ506" s="332"/>
      <c r="MXK506" s="332"/>
      <c r="MXL506" s="332"/>
      <c r="MXM506" s="332"/>
      <c r="MXN506" s="332"/>
      <c r="MXO506" s="332"/>
      <c r="MXP506" s="332"/>
      <c r="MXQ506" s="332"/>
      <c r="MXR506" s="332"/>
      <c r="MXS506" s="332"/>
      <c r="MXT506" s="332"/>
      <c r="MXU506" s="332"/>
      <c r="MXV506" s="332"/>
      <c r="MXW506" s="332"/>
      <c r="MXX506" s="332"/>
      <c r="MXY506" s="332"/>
      <c r="MXZ506" s="332"/>
      <c r="MYA506" s="332"/>
      <c r="MYB506" s="332"/>
      <c r="MYC506" s="332"/>
      <c r="MYD506" s="332"/>
      <c r="MYE506" s="332"/>
      <c r="MYF506" s="332"/>
      <c r="MYG506" s="332"/>
      <c r="MYH506" s="332"/>
      <c r="MYI506" s="332"/>
      <c r="MYJ506" s="332"/>
      <c r="MYK506" s="332"/>
      <c r="MYL506" s="332"/>
      <c r="MYM506" s="332"/>
      <c r="MYN506" s="332"/>
      <c r="MYO506" s="332"/>
      <c r="MYP506" s="332"/>
      <c r="MYQ506" s="332"/>
      <c r="MYR506" s="332"/>
      <c r="MYS506" s="332"/>
      <c r="MYT506" s="332"/>
      <c r="MYU506" s="332"/>
      <c r="MYV506" s="332"/>
      <c r="MYW506" s="332"/>
      <c r="MYX506" s="332"/>
      <c r="MYY506" s="332"/>
      <c r="MYZ506" s="332"/>
      <c r="MZA506" s="332"/>
      <c r="MZB506" s="332"/>
      <c r="MZC506" s="332"/>
      <c r="MZD506" s="332"/>
      <c r="MZE506" s="332"/>
      <c r="MZF506" s="332"/>
      <c r="MZG506" s="332"/>
      <c r="MZH506" s="332"/>
      <c r="MZI506" s="332"/>
      <c r="MZJ506" s="332"/>
      <c r="MZK506" s="332"/>
      <c r="MZL506" s="332"/>
      <c r="MZM506" s="332"/>
      <c r="MZN506" s="332"/>
      <c r="MZO506" s="332"/>
      <c r="MZP506" s="332"/>
      <c r="MZQ506" s="332"/>
      <c r="MZR506" s="332"/>
      <c r="MZS506" s="332"/>
      <c r="MZT506" s="332"/>
      <c r="MZU506" s="332"/>
      <c r="MZV506" s="332"/>
      <c r="MZW506" s="332"/>
      <c r="MZX506" s="332"/>
      <c r="MZY506" s="332"/>
      <c r="MZZ506" s="332"/>
      <c r="NAA506" s="332"/>
      <c r="NAB506" s="332"/>
      <c r="NAC506" s="332"/>
      <c r="NAD506" s="332"/>
      <c r="NAE506" s="332"/>
      <c r="NAF506" s="332"/>
      <c r="NAG506" s="332"/>
      <c r="NAH506" s="332"/>
      <c r="NAI506" s="332"/>
      <c r="NAJ506" s="332"/>
      <c r="NAK506" s="332"/>
      <c r="NAL506" s="332"/>
      <c r="NAM506" s="332"/>
      <c r="NAN506" s="332"/>
      <c r="NAO506" s="332"/>
      <c r="NAP506" s="332"/>
      <c r="NAQ506" s="332"/>
      <c r="NAR506" s="332"/>
      <c r="NAS506" s="332"/>
      <c r="NAT506" s="332"/>
      <c r="NAU506" s="332"/>
      <c r="NAV506" s="332"/>
      <c r="NAW506" s="332"/>
      <c r="NAX506" s="332"/>
      <c r="NAY506" s="332"/>
      <c r="NAZ506" s="332"/>
      <c r="NBA506" s="332"/>
      <c r="NBB506" s="332"/>
      <c r="NBC506" s="332"/>
      <c r="NBD506" s="332"/>
      <c r="NBE506" s="332"/>
      <c r="NBF506" s="332"/>
      <c r="NBG506" s="332"/>
      <c r="NBH506" s="332"/>
      <c r="NBI506" s="332"/>
      <c r="NBJ506" s="332"/>
      <c r="NBK506" s="332"/>
      <c r="NBL506" s="332"/>
      <c r="NBM506" s="332"/>
      <c r="NBN506" s="332"/>
      <c r="NBO506" s="332"/>
      <c r="NBP506" s="332"/>
      <c r="NBQ506" s="332"/>
      <c r="NBR506" s="332"/>
      <c r="NBS506" s="332"/>
      <c r="NBT506" s="332"/>
      <c r="NBU506" s="332"/>
      <c r="NBV506" s="332"/>
      <c r="NBW506" s="332"/>
      <c r="NBX506" s="332"/>
      <c r="NBY506" s="332"/>
      <c r="NBZ506" s="332"/>
      <c r="NCA506" s="332"/>
      <c r="NCB506" s="332"/>
      <c r="NCC506" s="332"/>
      <c r="NCD506" s="332"/>
      <c r="NCE506" s="332"/>
      <c r="NCF506" s="332"/>
      <c r="NCG506" s="332"/>
      <c r="NCH506" s="332"/>
      <c r="NCI506" s="332"/>
      <c r="NCJ506" s="332"/>
      <c r="NCK506" s="332"/>
      <c r="NCL506" s="332"/>
      <c r="NCM506" s="332"/>
      <c r="NCN506" s="332"/>
      <c r="NCO506" s="332"/>
      <c r="NCP506" s="332"/>
      <c r="NCQ506" s="332"/>
      <c r="NCR506" s="332"/>
      <c r="NCS506" s="332"/>
      <c r="NCT506" s="332"/>
      <c r="NCU506" s="332"/>
      <c r="NCV506" s="332"/>
      <c r="NCW506" s="332"/>
      <c r="NCX506" s="332"/>
      <c r="NCY506" s="332"/>
      <c r="NCZ506" s="332"/>
      <c r="NDA506" s="332"/>
      <c r="NDB506" s="332"/>
      <c r="NDC506" s="332"/>
      <c r="NDD506" s="332"/>
      <c r="NDE506" s="332"/>
      <c r="NDF506" s="332"/>
      <c r="NDG506" s="332"/>
      <c r="NDH506" s="332"/>
      <c r="NDI506" s="332"/>
      <c r="NDJ506" s="332"/>
      <c r="NDK506" s="332"/>
      <c r="NDL506" s="332"/>
      <c r="NDM506" s="332"/>
      <c r="NDN506" s="332"/>
      <c r="NDO506" s="332"/>
      <c r="NDP506" s="332"/>
      <c r="NDQ506" s="332"/>
      <c r="NDR506" s="332"/>
      <c r="NDS506" s="332"/>
      <c r="NDT506" s="332"/>
      <c r="NDU506" s="332"/>
      <c r="NDV506" s="332"/>
      <c r="NDW506" s="332"/>
      <c r="NDX506" s="332"/>
      <c r="NDY506" s="332"/>
      <c r="NDZ506" s="332"/>
      <c r="NEA506" s="332"/>
      <c r="NEB506" s="332"/>
      <c r="NEC506" s="332"/>
      <c r="NED506" s="332"/>
      <c r="NEE506" s="332"/>
      <c r="NEF506" s="332"/>
      <c r="NEG506" s="332"/>
      <c r="NEH506" s="332"/>
      <c r="NEI506" s="332"/>
      <c r="NEJ506" s="332"/>
      <c r="NEK506" s="332"/>
      <c r="NEL506" s="332"/>
      <c r="NEM506" s="332"/>
      <c r="NEN506" s="332"/>
      <c r="NEO506" s="332"/>
      <c r="NEP506" s="332"/>
      <c r="NEQ506" s="332"/>
      <c r="NER506" s="332"/>
      <c r="NES506" s="332"/>
      <c r="NET506" s="332"/>
      <c r="NEU506" s="332"/>
      <c r="NEV506" s="332"/>
      <c r="NEW506" s="332"/>
      <c r="NEX506" s="332"/>
      <c r="NEY506" s="332"/>
      <c r="NEZ506" s="332"/>
      <c r="NFA506" s="332"/>
      <c r="NFB506" s="332"/>
      <c r="NFC506" s="332"/>
      <c r="NFD506" s="332"/>
      <c r="NFE506" s="332"/>
      <c r="NFF506" s="332"/>
      <c r="NFG506" s="332"/>
      <c r="NFH506" s="332"/>
      <c r="NFI506" s="332"/>
      <c r="NFJ506" s="332"/>
      <c r="NFK506" s="332"/>
      <c r="NFL506" s="332"/>
      <c r="NFM506" s="332"/>
      <c r="NFN506" s="332"/>
      <c r="NFO506" s="332"/>
      <c r="NFP506" s="332"/>
      <c r="NFQ506" s="332"/>
      <c r="NFR506" s="332"/>
      <c r="NFS506" s="332"/>
      <c r="NFT506" s="332"/>
      <c r="NFU506" s="332"/>
      <c r="NFV506" s="332"/>
      <c r="NFW506" s="332"/>
      <c r="NFX506" s="332"/>
      <c r="NFY506" s="332"/>
      <c r="NFZ506" s="332"/>
      <c r="NGA506" s="332"/>
      <c r="NGB506" s="332"/>
      <c r="NGC506" s="332"/>
      <c r="NGD506" s="332"/>
      <c r="NGE506" s="332"/>
      <c r="NGF506" s="332"/>
      <c r="NGG506" s="332"/>
      <c r="NGH506" s="332"/>
      <c r="NGI506" s="332"/>
      <c r="NGJ506" s="332"/>
      <c r="NGK506" s="332"/>
      <c r="NGL506" s="332"/>
      <c r="NGM506" s="332"/>
      <c r="NGN506" s="332"/>
      <c r="NGO506" s="332"/>
      <c r="NGP506" s="332"/>
      <c r="NGQ506" s="332"/>
      <c r="NGR506" s="332"/>
      <c r="NGS506" s="332"/>
      <c r="NGT506" s="332"/>
      <c r="NGU506" s="332"/>
      <c r="NGV506" s="332"/>
      <c r="NGW506" s="332"/>
      <c r="NGX506" s="332"/>
      <c r="NGY506" s="332"/>
      <c r="NGZ506" s="332"/>
      <c r="NHA506" s="332"/>
      <c r="NHB506" s="332"/>
      <c r="NHC506" s="332"/>
      <c r="NHD506" s="332"/>
      <c r="NHE506" s="332"/>
      <c r="NHF506" s="332"/>
      <c r="NHG506" s="332"/>
      <c r="NHH506" s="332"/>
      <c r="NHI506" s="332"/>
      <c r="NHJ506" s="332"/>
      <c r="NHK506" s="332"/>
      <c r="NHL506" s="332"/>
      <c r="NHM506" s="332"/>
      <c r="NHN506" s="332"/>
      <c r="NHO506" s="332"/>
      <c r="NHP506" s="332"/>
      <c r="NHQ506" s="332"/>
      <c r="NHR506" s="332"/>
      <c r="NHS506" s="332"/>
      <c r="NHT506" s="332"/>
      <c r="NHU506" s="332"/>
      <c r="NHV506" s="332"/>
      <c r="NHW506" s="332"/>
      <c r="NHX506" s="332"/>
      <c r="NHY506" s="332"/>
      <c r="NHZ506" s="332"/>
      <c r="NIA506" s="332"/>
      <c r="NIB506" s="332"/>
      <c r="NIC506" s="332"/>
      <c r="NID506" s="332"/>
      <c r="NIE506" s="332"/>
      <c r="NIF506" s="332"/>
      <c r="NIG506" s="332"/>
      <c r="NIH506" s="332"/>
      <c r="NII506" s="332"/>
      <c r="NIJ506" s="332"/>
      <c r="NIK506" s="332"/>
      <c r="NIL506" s="332"/>
      <c r="NIM506" s="332"/>
      <c r="NIN506" s="332"/>
      <c r="NIO506" s="332"/>
      <c r="NIP506" s="332"/>
      <c r="NIQ506" s="332"/>
      <c r="NIR506" s="332"/>
      <c r="NIS506" s="332"/>
      <c r="NIT506" s="332"/>
      <c r="NIU506" s="332"/>
      <c r="NIV506" s="332"/>
      <c r="NIW506" s="332"/>
      <c r="NIX506" s="332"/>
      <c r="NIY506" s="332"/>
      <c r="NIZ506" s="332"/>
      <c r="NJA506" s="332"/>
      <c r="NJB506" s="332"/>
      <c r="NJC506" s="332"/>
      <c r="NJD506" s="332"/>
      <c r="NJE506" s="332"/>
      <c r="NJF506" s="332"/>
      <c r="NJG506" s="332"/>
      <c r="NJH506" s="332"/>
      <c r="NJI506" s="332"/>
      <c r="NJJ506" s="332"/>
      <c r="NJK506" s="332"/>
      <c r="NJL506" s="332"/>
      <c r="NJM506" s="332"/>
      <c r="NJN506" s="332"/>
      <c r="NJO506" s="332"/>
      <c r="NJP506" s="332"/>
      <c r="NJQ506" s="332"/>
      <c r="NJR506" s="332"/>
      <c r="NJS506" s="332"/>
      <c r="NJT506" s="332"/>
      <c r="NJU506" s="332"/>
      <c r="NJV506" s="332"/>
      <c r="NJW506" s="332"/>
      <c r="NJX506" s="332"/>
      <c r="NJY506" s="332"/>
      <c r="NJZ506" s="332"/>
      <c r="NKA506" s="332"/>
      <c r="NKB506" s="332"/>
      <c r="NKC506" s="332"/>
      <c r="NKD506" s="332"/>
      <c r="NKE506" s="332"/>
      <c r="NKF506" s="332"/>
      <c r="NKG506" s="332"/>
      <c r="NKH506" s="332"/>
      <c r="NKI506" s="332"/>
      <c r="NKJ506" s="332"/>
      <c r="NKK506" s="332"/>
      <c r="NKL506" s="332"/>
      <c r="NKM506" s="332"/>
      <c r="NKN506" s="332"/>
      <c r="NKO506" s="332"/>
      <c r="NKP506" s="332"/>
      <c r="NKQ506" s="332"/>
      <c r="NKR506" s="332"/>
      <c r="NKS506" s="332"/>
      <c r="NKT506" s="332"/>
      <c r="NKU506" s="332"/>
      <c r="NKV506" s="332"/>
      <c r="NKW506" s="332"/>
      <c r="NKX506" s="332"/>
      <c r="NKY506" s="332"/>
      <c r="NKZ506" s="332"/>
      <c r="NLA506" s="332"/>
      <c r="NLB506" s="332"/>
      <c r="NLC506" s="332"/>
      <c r="NLD506" s="332"/>
      <c r="NLE506" s="332"/>
      <c r="NLF506" s="332"/>
      <c r="NLG506" s="332"/>
      <c r="NLH506" s="332"/>
      <c r="NLI506" s="332"/>
      <c r="NLJ506" s="332"/>
      <c r="NLK506" s="332"/>
      <c r="NLL506" s="332"/>
      <c r="NLM506" s="332"/>
      <c r="NLN506" s="332"/>
      <c r="NLO506" s="332"/>
      <c r="NLP506" s="332"/>
      <c r="NLQ506" s="332"/>
      <c r="NLR506" s="332"/>
      <c r="NLS506" s="332"/>
      <c r="NLT506" s="332"/>
      <c r="NLU506" s="332"/>
      <c r="NLV506" s="332"/>
      <c r="NLW506" s="332"/>
      <c r="NLX506" s="332"/>
      <c r="NLY506" s="332"/>
      <c r="NLZ506" s="332"/>
      <c r="NMA506" s="332"/>
      <c r="NMB506" s="332"/>
      <c r="NMC506" s="332"/>
      <c r="NMD506" s="332"/>
      <c r="NME506" s="332"/>
      <c r="NMF506" s="332"/>
      <c r="NMG506" s="332"/>
      <c r="NMH506" s="332"/>
      <c r="NMI506" s="332"/>
      <c r="NMJ506" s="332"/>
      <c r="NMK506" s="332"/>
      <c r="NML506" s="332"/>
      <c r="NMM506" s="332"/>
      <c r="NMN506" s="332"/>
      <c r="NMO506" s="332"/>
      <c r="NMP506" s="332"/>
      <c r="NMQ506" s="332"/>
      <c r="NMR506" s="332"/>
      <c r="NMS506" s="332"/>
      <c r="NMT506" s="332"/>
      <c r="NMU506" s="332"/>
      <c r="NMV506" s="332"/>
      <c r="NMW506" s="332"/>
      <c r="NMX506" s="332"/>
      <c r="NMY506" s="332"/>
      <c r="NMZ506" s="332"/>
      <c r="NNA506" s="332"/>
      <c r="NNB506" s="332"/>
      <c r="NNC506" s="332"/>
      <c r="NND506" s="332"/>
      <c r="NNE506" s="332"/>
      <c r="NNF506" s="332"/>
      <c r="NNG506" s="332"/>
      <c r="NNH506" s="332"/>
      <c r="NNI506" s="332"/>
      <c r="NNJ506" s="332"/>
      <c r="NNK506" s="332"/>
      <c r="NNL506" s="332"/>
      <c r="NNM506" s="332"/>
      <c r="NNN506" s="332"/>
      <c r="NNO506" s="332"/>
      <c r="NNP506" s="332"/>
      <c r="NNQ506" s="332"/>
      <c r="NNR506" s="332"/>
      <c r="NNS506" s="332"/>
      <c r="NNT506" s="332"/>
      <c r="NNU506" s="332"/>
      <c r="NNV506" s="332"/>
      <c r="NNW506" s="332"/>
      <c r="NNX506" s="332"/>
      <c r="NNY506" s="332"/>
      <c r="NNZ506" s="332"/>
      <c r="NOA506" s="332"/>
      <c r="NOB506" s="332"/>
      <c r="NOC506" s="332"/>
      <c r="NOD506" s="332"/>
      <c r="NOE506" s="332"/>
      <c r="NOF506" s="332"/>
      <c r="NOG506" s="332"/>
      <c r="NOH506" s="332"/>
      <c r="NOI506" s="332"/>
      <c r="NOJ506" s="332"/>
      <c r="NOK506" s="332"/>
      <c r="NOL506" s="332"/>
      <c r="NOM506" s="332"/>
      <c r="NON506" s="332"/>
      <c r="NOO506" s="332"/>
      <c r="NOP506" s="332"/>
      <c r="NOQ506" s="332"/>
      <c r="NOR506" s="332"/>
      <c r="NOS506" s="332"/>
      <c r="NOT506" s="332"/>
      <c r="NOU506" s="332"/>
      <c r="NOV506" s="332"/>
      <c r="NOW506" s="332"/>
      <c r="NOX506" s="332"/>
      <c r="NOY506" s="332"/>
      <c r="NOZ506" s="332"/>
      <c r="NPA506" s="332"/>
      <c r="NPB506" s="332"/>
      <c r="NPC506" s="332"/>
      <c r="NPD506" s="332"/>
      <c r="NPE506" s="332"/>
      <c r="NPF506" s="332"/>
      <c r="NPG506" s="332"/>
      <c r="NPH506" s="332"/>
      <c r="NPI506" s="332"/>
      <c r="NPJ506" s="332"/>
      <c r="NPK506" s="332"/>
      <c r="NPL506" s="332"/>
      <c r="NPM506" s="332"/>
      <c r="NPN506" s="332"/>
      <c r="NPO506" s="332"/>
      <c r="NPP506" s="332"/>
      <c r="NPQ506" s="332"/>
      <c r="NPR506" s="332"/>
      <c r="NPS506" s="332"/>
      <c r="NPT506" s="332"/>
      <c r="NPU506" s="332"/>
      <c r="NPV506" s="332"/>
      <c r="NPW506" s="332"/>
      <c r="NPX506" s="332"/>
      <c r="NPY506" s="332"/>
      <c r="NPZ506" s="332"/>
      <c r="NQA506" s="332"/>
      <c r="NQB506" s="332"/>
      <c r="NQC506" s="332"/>
      <c r="NQD506" s="332"/>
      <c r="NQE506" s="332"/>
      <c r="NQF506" s="332"/>
      <c r="NQG506" s="332"/>
      <c r="NQH506" s="332"/>
      <c r="NQI506" s="332"/>
      <c r="NQJ506" s="332"/>
      <c r="NQK506" s="332"/>
      <c r="NQL506" s="332"/>
      <c r="NQM506" s="332"/>
      <c r="NQN506" s="332"/>
      <c r="NQO506" s="332"/>
      <c r="NQP506" s="332"/>
      <c r="NQQ506" s="332"/>
      <c r="NQR506" s="332"/>
      <c r="NQS506" s="332"/>
      <c r="NQT506" s="332"/>
      <c r="NQU506" s="332"/>
      <c r="NQV506" s="332"/>
      <c r="NQW506" s="332"/>
      <c r="NQX506" s="332"/>
      <c r="NQY506" s="332"/>
      <c r="NQZ506" s="332"/>
      <c r="NRA506" s="332"/>
      <c r="NRB506" s="332"/>
      <c r="NRC506" s="332"/>
      <c r="NRD506" s="332"/>
      <c r="NRE506" s="332"/>
      <c r="NRF506" s="332"/>
      <c r="NRG506" s="332"/>
      <c r="NRH506" s="332"/>
      <c r="NRI506" s="332"/>
      <c r="NRJ506" s="332"/>
      <c r="NRK506" s="332"/>
      <c r="NRL506" s="332"/>
      <c r="NRM506" s="332"/>
      <c r="NRN506" s="332"/>
      <c r="NRO506" s="332"/>
      <c r="NRP506" s="332"/>
      <c r="NRQ506" s="332"/>
      <c r="NRR506" s="332"/>
      <c r="NRS506" s="332"/>
      <c r="NRT506" s="332"/>
      <c r="NRU506" s="332"/>
      <c r="NRV506" s="332"/>
      <c r="NRW506" s="332"/>
      <c r="NRX506" s="332"/>
      <c r="NRY506" s="332"/>
      <c r="NRZ506" s="332"/>
      <c r="NSA506" s="332"/>
      <c r="NSB506" s="332"/>
      <c r="NSC506" s="332"/>
      <c r="NSD506" s="332"/>
      <c r="NSE506" s="332"/>
      <c r="NSF506" s="332"/>
      <c r="NSG506" s="332"/>
      <c r="NSH506" s="332"/>
      <c r="NSI506" s="332"/>
      <c r="NSJ506" s="332"/>
      <c r="NSK506" s="332"/>
      <c r="NSL506" s="332"/>
      <c r="NSM506" s="332"/>
      <c r="NSN506" s="332"/>
      <c r="NSO506" s="332"/>
      <c r="NSP506" s="332"/>
      <c r="NSQ506" s="332"/>
      <c r="NSR506" s="332"/>
      <c r="NSS506" s="332"/>
      <c r="NST506" s="332"/>
      <c r="NSU506" s="332"/>
      <c r="NSV506" s="332"/>
      <c r="NSW506" s="332"/>
      <c r="NSX506" s="332"/>
      <c r="NSY506" s="332"/>
      <c r="NSZ506" s="332"/>
      <c r="NTA506" s="332"/>
      <c r="NTB506" s="332"/>
      <c r="NTC506" s="332"/>
      <c r="NTD506" s="332"/>
      <c r="NTE506" s="332"/>
      <c r="NTF506" s="332"/>
      <c r="NTG506" s="332"/>
      <c r="NTH506" s="332"/>
      <c r="NTI506" s="332"/>
      <c r="NTJ506" s="332"/>
      <c r="NTK506" s="332"/>
      <c r="NTL506" s="332"/>
      <c r="NTM506" s="332"/>
      <c r="NTN506" s="332"/>
      <c r="NTO506" s="332"/>
      <c r="NTP506" s="332"/>
      <c r="NTQ506" s="332"/>
      <c r="NTR506" s="332"/>
      <c r="NTS506" s="332"/>
      <c r="NTT506" s="332"/>
      <c r="NTU506" s="332"/>
      <c r="NTV506" s="332"/>
      <c r="NTW506" s="332"/>
      <c r="NTX506" s="332"/>
      <c r="NTY506" s="332"/>
      <c r="NTZ506" s="332"/>
      <c r="NUA506" s="332"/>
      <c r="NUB506" s="332"/>
      <c r="NUC506" s="332"/>
      <c r="NUD506" s="332"/>
      <c r="NUE506" s="332"/>
      <c r="NUF506" s="332"/>
      <c r="NUG506" s="332"/>
      <c r="NUH506" s="332"/>
      <c r="NUI506" s="332"/>
      <c r="NUJ506" s="332"/>
      <c r="NUK506" s="332"/>
      <c r="NUL506" s="332"/>
      <c r="NUM506" s="332"/>
      <c r="NUN506" s="332"/>
      <c r="NUO506" s="332"/>
      <c r="NUP506" s="332"/>
      <c r="NUQ506" s="332"/>
      <c r="NUR506" s="332"/>
      <c r="NUS506" s="332"/>
      <c r="NUT506" s="332"/>
      <c r="NUU506" s="332"/>
      <c r="NUV506" s="332"/>
      <c r="NUW506" s="332"/>
      <c r="NUX506" s="332"/>
      <c r="NUY506" s="332"/>
      <c r="NUZ506" s="332"/>
      <c r="NVA506" s="332"/>
      <c r="NVB506" s="332"/>
      <c r="NVC506" s="332"/>
      <c r="NVD506" s="332"/>
      <c r="NVE506" s="332"/>
      <c r="NVF506" s="332"/>
      <c r="NVG506" s="332"/>
      <c r="NVH506" s="332"/>
      <c r="NVI506" s="332"/>
      <c r="NVJ506" s="332"/>
      <c r="NVK506" s="332"/>
      <c r="NVL506" s="332"/>
      <c r="NVM506" s="332"/>
      <c r="NVN506" s="332"/>
      <c r="NVO506" s="332"/>
      <c r="NVP506" s="332"/>
      <c r="NVQ506" s="332"/>
      <c r="NVR506" s="332"/>
      <c r="NVS506" s="332"/>
      <c r="NVT506" s="332"/>
      <c r="NVU506" s="332"/>
      <c r="NVV506" s="332"/>
      <c r="NVW506" s="332"/>
      <c r="NVX506" s="332"/>
      <c r="NVY506" s="332"/>
      <c r="NVZ506" s="332"/>
      <c r="NWA506" s="332"/>
      <c r="NWB506" s="332"/>
      <c r="NWC506" s="332"/>
      <c r="NWD506" s="332"/>
      <c r="NWE506" s="332"/>
      <c r="NWF506" s="332"/>
      <c r="NWG506" s="332"/>
      <c r="NWH506" s="332"/>
      <c r="NWI506" s="332"/>
      <c r="NWJ506" s="332"/>
      <c r="NWK506" s="332"/>
      <c r="NWL506" s="332"/>
      <c r="NWM506" s="332"/>
      <c r="NWN506" s="332"/>
      <c r="NWO506" s="332"/>
      <c r="NWP506" s="332"/>
      <c r="NWQ506" s="332"/>
      <c r="NWR506" s="332"/>
      <c r="NWS506" s="332"/>
      <c r="NWT506" s="332"/>
      <c r="NWU506" s="332"/>
      <c r="NWV506" s="332"/>
      <c r="NWW506" s="332"/>
      <c r="NWX506" s="332"/>
      <c r="NWY506" s="332"/>
      <c r="NWZ506" s="332"/>
      <c r="NXA506" s="332"/>
      <c r="NXB506" s="332"/>
      <c r="NXC506" s="332"/>
      <c r="NXD506" s="332"/>
      <c r="NXE506" s="332"/>
      <c r="NXF506" s="332"/>
      <c r="NXG506" s="332"/>
      <c r="NXH506" s="332"/>
      <c r="NXI506" s="332"/>
      <c r="NXJ506" s="332"/>
      <c r="NXK506" s="332"/>
      <c r="NXL506" s="332"/>
      <c r="NXM506" s="332"/>
      <c r="NXN506" s="332"/>
      <c r="NXO506" s="332"/>
      <c r="NXP506" s="332"/>
      <c r="NXQ506" s="332"/>
      <c r="NXR506" s="332"/>
      <c r="NXS506" s="332"/>
      <c r="NXT506" s="332"/>
      <c r="NXU506" s="332"/>
      <c r="NXV506" s="332"/>
      <c r="NXW506" s="332"/>
      <c r="NXX506" s="332"/>
      <c r="NXY506" s="332"/>
      <c r="NXZ506" s="332"/>
      <c r="NYA506" s="332"/>
      <c r="NYB506" s="332"/>
      <c r="NYC506" s="332"/>
      <c r="NYD506" s="332"/>
      <c r="NYE506" s="332"/>
      <c r="NYF506" s="332"/>
      <c r="NYG506" s="332"/>
      <c r="NYH506" s="332"/>
      <c r="NYI506" s="332"/>
      <c r="NYJ506" s="332"/>
      <c r="NYK506" s="332"/>
      <c r="NYL506" s="332"/>
      <c r="NYM506" s="332"/>
      <c r="NYN506" s="332"/>
      <c r="NYO506" s="332"/>
      <c r="NYP506" s="332"/>
      <c r="NYQ506" s="332"/>
      <c r="NYR506" s="332"/>
      <c r="NYS506" s="332"/>
      <c r="NYT506" s="332"/>
      <c r="NYU506" s="332"/>
      <c r="NYV506" s="332"/>
      <c r="NYW506" s="332"/>
      <c r="NYX506" s="332"/>
      <c r="NYY506" s="332"/>
      <c r="NYZ506" s="332"/>
      <c r="NZA506" s="332"/>
      <c r="NZB506" s="332"/>
      <c r="NZC506" s="332"/>
      <c r="NZD506" s="332"/>
      <c r="NZE506" s="332"/>
      <c r="NZF506" s="332"/>
      <c r="NZG506" s="332"/>
      <c r="NZH506" s="332"/>
      <c r="NZI506" s="332"/>
      <c r="NZJ506" s="332"/>
      <c r="NZK506" s="332"/>
      <c r="NZL506" s="332"/>
      <c r="NZM506" s="332"/>
      <c r="NZN506" s="332"/>
      <c r="NZO506" s="332"/>
      <c r="NZP506" s="332"/>
      <c r="NZQ506" s="332"/>
      <c r="NZR506" s="332"/>
      <c r="NZS506" s="332"/>
      <c r="NZT506" s="332"/>
      <c r="NZU506" s="332"/>
      <c r="NZV506" s="332"/>
      <c r="NZW506" s="332"/>
      <c r="NZX506" s="332"/>
      <c r="NZY506" s="332"/>
      <c r="NZZ506" s="332"/>
      <c r="OAA506" s="332"/>
      <c r="OAB506" s="332"/>
      <c r="OAC506" s="332"/>
      <c r="OAD506" s="332"/>
      <c r="OAE506" s="332"/>
      <c r="OAF506" s="332"/>
      <c r="OAG506" s="332"/>
      <c r="OAH506" s="332"/>
      <c r="OAI506" s="332"/>
      <c r="OAJ506" s="332"/>
      <c r="OAK506" s="332"/>
      <c r="OAL506" s="332"/>
      <c r="OAM506" s="332"/>
      <c r="OAN506" s="332"/>
      <c r="OAO506" s="332"/>
      <c r="OAP506" s="332"/>
      <c r="OAQ506" s="332"/>
      <c r="OAR506" s="332"/>
      <c r="OAS506" s="332"/>
      <c r="OAT506" s="332"/>
      <c r="OAU506" s="332"/>
      <c r="OAV506" s="332"/>
      <c r="OAW506" s="332"/>
      <c r="OAX506" s="332"/>
      <c r="OAY506" s="332"/>
      <c r="OAZ506" s="332"/>
      <c r="OBA506" s="332"/>
      <c r="OBB506" s="332"/>
      <c r="OBC506" s="332"/>
      <c r="OBD506" s="332"/>
      <c r="OBE506" s="332"/>
      <c r="OBF506" s="332"/>
      <c r="OBG506" s="332"/>
      <c r="OBH506" s="332"/>
      <c r="OBI506" s="332"/>
      <c r="OBJ506" s="332"/>
      <c r="OBK506" s="332"/>
      <c r="OBL506" s="332"/>
      <c r="OBM506" s="332"/>
      <c r="OBN506" s="332"/>
      <c r="OBO506" s="332"/>
      <c r="OBP506" s="332"/>
      <c r="OBQ506" s="332"/>
      <c r="OBR506" s="332"/>
      <c r="OBS506" s="332"/>
      <c r="OBT506" s="332"/>
      <c r="OBU506" s="332"/>
      <c r="OBV506" s="332"/>
      <c r="OBW506" s="332"/>
      <c r="OBX506" s="332"/>
      <c r="OBY506" s="332"/>
      <c r="OBZ506" s="332"/>
      <c r="OCA506" s="332"/>
      <c r="OCB506" s="332"/>
      <c r="OCC506" s="332"/>
      <c r="OCD506" s="332"/>
      <c r="OCE506" s="332"/>
      <c r="OCF506" s="332"/>
      <c r="OCG506" s="332"/>
      <c r="OCH506" s="332"/>
      <c r="OCI506" s="332"/>
      <c r="OCJ506" s="332"/>
      <c r="OCK506" s="332"/>
      <c r="OCL506" s="332"/>
      <c r="OCM506" s="332"/>
      <c r="OCN506" s="332"/>
      <c r="OCO506" s="332"/>
      <c r="OCP506" s="332"/>
      <c r="OCQ506" s="332"/>
      <c r="OCR506" s="332"/>
      <c r="OCS506" s="332"/>
      <c r="OCT506" s="332"/>
      <c r="OCU506" s="332"/>
      <c r="OCV506" s="332"/>
      <c r="OCW506" s="332"/>
      <c r="OCX506" s="332"/>
      <c r="OCY506" s="332"/>
      <c r="OCZ506" s="332"/>
      <c r="ODA506" s="332"/>
      <c r="ODB506" s="332"/>
      <c r="ODC506" s="332"/>
      <c r="ODD506" s="332"/>
      <c r="ODE506" s="332"/>
      <c r="ODF506" s="332"/>
      <c r="ODG506" s="332"/>
      <c r="ODH506" s="332"/>
      <c r="ODI506" s="332"/>
      <c r="ODJ506" s="332"/>
      <c r="ODK506" s="332"/>
      <c r="ODL506" s="332"/>
      <c r="ODM506" s="332"/>
      <c r="ODN506" s="332"/>
      <c r="ODO506" s="332"/>
      <c r="ODP506" s="332"/>
      <c r="ODQ506" s="332"/>
      <c r="ODR506" s="332"/>
      <c r="ODS506" s="332"/>
      <c r="ODT506" s="332"/>
      <c r="ODU506" s="332"/>
      <c r="ODV506" s="332"/>
      <c r="ODW506" s="332"/>
      <c r="ODX506" s="332"/>
      <c r="ODY506" s="332"/>
      <c r="ODZ506" s="332"/>
      <c r="OEA506" s="332"/>
      <c r="OEB506" s="332"/>
      <c r="OEC506" s="332"/>
      <c r="OED506" s="332"/>
      <c r="OEE506" s="332"/>
      <c r="OEF506" s="332"/>
      <c r="OEG506" s="332"/>
      <c r="OEH506" s="332"/>
      <c r="OEI506" s="332"/>
      <c r="OEJ506" s="332"/>
      <c r="OEK506" s="332"/>
      <c r="OEL506" s="332"/>
      <c r="OEM506" s="332"/>
      <c r="OEN506" s="332"/>
      <c r="OEO506" s="332"/>
      <c r="OEP506" s="332"/>
      <c r="OEQ506" s="332"/>
      <c r="OER506" s="332"/>
      <c r="OES506" s="332"/>
      <c r="OET506" s="332"/>
      <c r="OEU506" s="332"/>
      <c r="OEV506" s="332"/>
      <c r="OEW506" s="332"/>
      <c r="OEX506" s="332"/>
      <c r="OEY506" s="332"/>
      <c r="OEZ506" s="332"/>
      <c r="OFA506" s="332"/>
      <c r="OFB506" s="332"/>
      <c r="OFC506" s="332"/>
      <c r="OFD506" s="332"/>
      <c r="OFE506" s="332"/>
      <c r="OFF506" s="332"/>
      <c r="OFG506" s="332"/>
      <c r="OFH506" s="332"/>
      <c r="OFI506" s="332"/>
      <c r="OFJ506" s="332"/>
      <c r="OFK506" s="332"/>
      <c r="OFL506" s="332"/>
      <c r="OFM506" s="332"/>
      <c r="OFN506" s="332"/>
      <c r="OFO506" s="332"/>
      <c r="OFP506" s="332"/>
      <c r="OFQ506" s="332"/>
      <c r="OFR506" s="332"/>
      <c r="OFS506" s="332"/>
      <c r="OFT506" s="332"/>
      <c r="OFU506" s="332"/>
      <c r="OFV506" s="332"/>
      <c r="OFW506" s="332"/>
      <c r="OFX506" s="332"/>
      <c r="OFY506" s="332"/>
      <c r="OFZ506" s="332"/>
      <c r="OGA506" s="332"/>
      <c r="OGB506" s="332"/>
      <c r="OGC506" s="332"/>
      <c r="OGD506" s="332"/>
      <c r="OGE506" s="332"/>
      <c r="OGF506" s="332"/>
      <c r="OGG506" s="332"/>
      <c r="OGH506" s="332"/>
      <c r="OGI506" s="332"/>
      <c r="OGJ506" s="332"/>
      <c r="OGK506" s="332"/>
      <c r="OGL506" s="332"/>
      <c r="OGM506" s="332"/>
      <c r="OGN506" s="332"/>
      <c r="OGO506" s="332"/>
      <c r="OGP506" s="332"/>
      <c r="OGQ506" s="332"/>
      <c r="OGR506" s="332"/>
      <c r="OGS506" s="332"/>
      <c r="OGT506" s="332"/>
      <c r="OGU506" s="332"/>
      <c r="OGV506" s="332"/>
      <c r="OGW506" s="332"/>
      <c r="OGX506" s="332"/>
      <c r="OGY506" s="332"/>
      <c r="OGZ506" s="332"/>
      <c r="OHA506" s="332"/>
      <c r="OHB506" s="332"/>
      <c r="OHC506" s="332"/>
      <c r="OHD506" s="332"/>
      <c r="OHE506" s="332"/>
      <c r="OHF506" s="332"/>
      <c r="OHG506" s="332"/>
      <c r="OHH506" s="332"/>
      <c r="OHI506" s="332"/>
      <c r="OHJ506" s="332"/>
      <c r="OHK506" s="332"/>
      <c r="OHL506" s="332"/>
      <c r="OHM506" s="332"/>
      <c r="OHN506" s="332"/>
      <c r="OHO506" s="332"/>
      <c r="OHP506" s="332"/>
      <c r="OHQ506" s="332"/>
      <c r="OHR506" s="332"/>
      <c r="OHS506" s="332"/>
      <c r="OHT506" s="332"/>
      <c r="OHU506" s="332"/>
      <c r="OHV506" s="332"/>
      <c r="OHW506" s="332"/>
      <c r="OHX506" s="332"/>
      <c r="OHY506" s="332"/>
      <c r="OHZ506" s="332"/>
      <c r="OIA506" s="332"/>
      <c r="OIB506" s="332"/>
      <c r="OIC506" s="332"/>
      <c r="OID506" s="332"/>
      <c r="OIE506" s="332"/>
      <c r="OIF506" s="332"/>
      <c r="OIG506" s="332"/>
      <c r="OIH506" s="332"/>
      <c r="OII506" s="332"/>
      <c r="OIJ506" s="332"/>
      <c r="OIK506" s="332"/>
      <c r="OIL506" s="332"/>
      <c r="OIM506" s="332"/>
      <c r="OIN506" s="332"/>
      <c r="OIO506" s="332"/>
      <c r="OIP506" s="332"/>
      <c r="OIQ506" s="332"/>
      <c r="OIR506" s="332"/>
      <c r="OIS506" s="332"/>
      <c r="OIT506" s="332"/>
      <c r="OIU506" s="332"/>
      <c r="OIV506" s="332"/>
      <c r="OIW506" s="332"/>
      <c r="OIX506" s="332"/>
      <c r="OIY506" s="332"/>
      <c r="OIZ506" s="332"/>
      <c r="OJA506" s="332"/>
      <c r="OJB506" s="332"/>
      <c r="OJC506" s="332"/>
      <c r="OJD506" s="332"/>
      <c r="OJE506" s="332"/>
      <c r="OJF506" s="332"/>
      <c r="OJG506" s="332"/>
      <c r="OJH506" s="332"/>
      <c r="OJI506" s="332"/>
      <c r="OJJ506" s="332"/>
      <c r="OJK506" s="332"/>
      <c r="OJL506" s="332"/>
      <c r="OJM506" s="332"/>
      <c r="OJN506" s="332"/>
      <c r="OJO506" s="332"/>
      <c r="OJP506" s="332"/>
      <c r="OJQ506" s="332"/>
      <c r="OJR506" s="332"/>
      <c r="OJS506" s="332"/>
      <c r="OJT506" s="332"/>
      <c r="OJU506" s="332"/>
      <c r="OJV506" s="332"/>
      <c r="OJW506" s="332"/>
      <c r="OJX506" s="332"/>
      <c r="OJY506" s="332"/>
      <c r="OJZ506" s="332"/>
      <c r="OKA506" s="332"/>
      <c r="OKB506" s="332"/>
      <c r="OKC506" s="332"/>
      <c r="OKD506" s="332"/>
      <c r="OKE506" s="332"/>
      <c r="OKF506" s="332"/>
      <c r="OKG506" s="332"/>
      <c r="OKH506" s="332"/>
      <c r="OKI506" s="332"/>
      <c r="OKJ506" s="332"/>
      <c r="OKK506" s="332"/>
      <c r="OKL506" s="332"/>
      <c r="OKM506" s="332"/>
      <c r="OKN506" s="332"/>
      <c r="OKO506" s="332"/>
      <c r="OKP506" s="332"/>
      <c r="OKQ506" s="332"/>
      <c r="OKR506" s="332"/>
      <c r="OKS506" s="332"/>
      <c r="OKT506" s="332"/>
      <c r="OKU506" s="332"/>
      <c r="OKV506" s="332"/>
      <c r="OKW506" s="332"/>
      <c r="OKX506" s="332"/>
      <c r="OKY506" s="332"/>
      <c r="OKZ506" s="332"/>
      <c r="OLA506" s="332"/>
      <c r="OLB506" s="332"/>
      <c r="OLC506" s="332"/>
      <c r="OLD506" s="332"/>
      <c r="OLE506" s="332"/>
      <c r="OLF506" s="332"/>
      <c r="OLG506" s="332"/>
      <c r="OLH506" s="332"/>
      <c r="OLI506" s="332"/>
      <c r="OLJ506" s="332"/>
      <c r="OLK506" s="332"/>
      <c r="OLL506" s="332"/>
      <c r="OLM506" s="332"/>
      <c r="OLN506" s="332"/>
      <c r="OLO506" s="332"/>
      <c r="OLP506" s="332"/>
      <c r="OLQ506" s="332"/>
      <c r="OLR506" s="332"/>
      <c r="OLS506" s="332"/>
      <c r="OLT506" s="332"/>
      <c r="OLU506" s="332"/>
      <c r="OLV506" s="332"/>
      <c r="OLW506" s="332"/>
      <c r="OLX506" s="332"/>
      <c r="OLY506" s="332"/>
      <c r="OLZ506" s="332"/>
      <c r="OMA506" s="332"/>
      <c r="OMB506" s="332"/>
      <c r="OMC506" s="332"/>
      <c r="OMD506" s="332"/>
      <c r="OME506" s="332"/>
      <c r="OMF506" s="332"/>
      <c r="OMG506" s="332"/>
      <c r="OMH506" s="332"/>
      <c r="OMI506" s="332"/>
      <c r="OMJ506" s="332"/>
      <c r="OMK506" s="332"/>
      <c r="OML506" s="332"/>
      <c r="OMM506" s="332"/>
      <c r="OMN506" s="332"/>
      <c r="OMO506" s="332"/>
      <c r="OMP506" s="332"/>
      <c r="OMQ506" s="332"/>
      <c r="OMR506" s="332"/>
      <c r="OMS506" s="332"/>
      <c r="OMT506" s="332"/>
      <c r="OMU506" s="332"/>
      <c r="OMV506" s="332"/>
      <c r="OMW506" s="332"/>
      <c r="OMX506" s="332"/>
      <c r="OMY506" s="332"/>
      <c r="OMZ506" s="332"/>
      <c r="ONA506" s="332"/>
      <c r="ONB506" s="332"/>
      <c r="ONC506" s="332"/>
      <c r="OND506" s="332"/>
      <c r="ONE506" s="332"/>
      <c r="ONF506" s="332"/>
      <c r="ONG506" s="332"/>
      <c r="ONH506" s="332"/>
      <c r="ONI506" s="332"/>
      <c r="ONJ506" s="332"/>
      <c r="ONK506" s="332"/>
      <c r="ONL506" s="332"/>
      <c r="ONM506" s="332"/>
      <c r="ONN506" s="332"/>
      <c r="ONO506" s="332"/>
      <c r="ONP506" s="332"/>
      <c r="ONQ506" s="332"/>
      <c r="ONR506" s="332"/>
      <c r="ONS506" s="332"/>
      <c r="ONT506" s="332"/>
      <c r="ONU506" s="332"/>
      <c r="ONV506" s="332"/>
      <c r="ONW506" s="332"/>
      <c r="ONX506" s="332"/>
      <c r="ONY506" s="332"/>
      <c r="ONZ506" s="332"/>
      <c r="OOA506" s="332"/>
      <c r="OOB506" s="332"/>
      <c r="OOC506" s="332"/>
      <c r="OOD506" s="332"/>
      <c r="OOE506" s="332"/>
      <c r="OOF506" s="332"/>
      <c r="OOG506" s="332"/>
      <c r="OOH506" s="332"/>
      <c r="OOI506" s="332"/>
      <c r="OOJ506" s="332"/>
      <c r="OOK506" s="332"/>
      <c r="OOL506" s="332"/>
      <c r="OOM506" s="332"/>
      <c r="OON506" s="332"/>
      <c r="OOO506" s="332"/>
      <c r="OOP506" s="332"/>
      <c r="OOQ506" s="332"/>
      <c r="OOR506" s="332"/>
      <c r="OOS506" s="332"/>
      <c r="OOT506" s="332"/>
      <c r="OOU506" s="332"/>
      <c r="OOV506" s="332"/>
      <c r="OOW506" s="332"/>
      <c r="OOX506" s="332"/>
      <c r="OOY506" s="332"/>
      <c r="OOZ506" s="332"/>
      <c r="OPA506" s="332"/>
      <c r="OPB506" s="332"/>
      <c r="OPC506" s="332"/>
      <c r="OPD506" s="332"/>
      <c r="OPE506" s="332"/>
      <c r="OPF506" s="332"/>
      <c r="OPG506" s="332"/>
      <c r="OPH506" s="332"/>
      <c r="OPI506" s="332"/>
      <c r="OPJ506" s="332"/>
      <c r="OPK506" s="332"/>
      <c r="OPL506" s="332"/>
      <c r="OPM506" s="332"/>
      <c r="OPN506" s="332"/>
      <c r="OPO506" s="332"/>
      <c r="OPP506" s="332"/>
      <c r="OPQ506" s="332"/>
      <c r="OPR506" s="332"/>
      <c r="OPS506" s="332"/>
      <c r="OPT506" s="332"/>
      <c r="OPU506" s="332"/>
      <c r="OPV506" s="332"/>
      <c r="OPW506" s="332"/>
      <c r="OPX506" s="332"/>
      <c r="OPY506" s="332"/>
      <c r="OPZ506" s="332"/>
      <c r="OQA506" s="332"/>
      <c r="OQB506" s="332"/>
      <c r="OQC506" s="332"/>
      <c r="OQD506" s="332"/>
      <c r="OQE506" s="332"/>
      <c r="OQF506" s="332"/>
      <c r="OQG506" s="332"/>
      <c r="OQH506" s="332"/>
      <c r="OQI506" s="332"/>
      <c r="OQJ506" s="332"/>
      <c r="OQK506" s="332"/>
      <c r="OQL506" s="332"/>
      <c r="OQM506" s="332"/>
      <c r="OQN506" s="332"/>
      <c r="OQO506" s="332"/>
      <c r="OQP506" s="332"/>
      <c r="OQQ506" s="332"/>
      <c r="OQR506" s="332"/>
      <c r="OQS506" s="332"/>
      <c r="OQT506" s="332"/>
      <c r="OQU506" s="332"/>
      <c r="OQV506" s="332"/>
      <c r="OQW506" s="332"/>
      <c r="OQX506" s="332"/>
      <c r="OQY506" s="332"/>
      <c r="OQZ506" s="332"/>
      <c r="ORA506" s="332"/>
      <c r="ORB506" s="332"/>
      <c r="ORC506" s="332"/>
      <c r="ORD506" s="332"/>
      <c r="ORE506" s="332"/>
      <c r="ORF506" s="332"/>
      <c r="ORG506" s="332"/>
      <c r="ORH506" s="332"/>
      <c r="ORI506" s="332"/>
      <c r="ORJ506" s="332"/>
      <c r="ORK506" s="332"/>
      <c r="ORL506" s="332"/>
      <c r="ORM506" s="332"/>
      <c r="ORN506" s="332"/>
      <c r="ORO506" s="332"/>
      <c r="ORP506" s="332"/>
      <c r="ORQ506" s="332"/>
      <c r="ORR506" s="332"/>
      <c r="ORS506" s="332"/>
      <c r="ORT506" s="332"/>
      <c r="ORU506" s="332"/>
      <c r="ORV506" s="332"/>
      <c r="ORW506" s="332"/>
      <c r="ORX506" s="332"/>
      <c r="ORY506" s="332"/>
      <c r="ORZ506" s="332"/>
      <c r="OSA506" s="332"/>
      <c r="OSB506" s="332"/>
      <c r="OSC506" s="332"/>
      <c r="OSD506" s="332"/>
      <c r="OSE506" s="332"/>
      <c r="OSF506" s="332"/>
      <c r="OSG506" s="332"/>
      <c r="OSH506" s="332"/>
      <c r="OSI506" s="332"/>
      <c r="OSJ506" s="332"/>
      <c r="OSK506" s="332"/>
      <c r="OSL506" s="332"/>
      <c r="OSM506" s="332"/>
      <c r="OSN506" s="332"/>
      <c r="OSO506" s="332"/>
      <c r="OSP506" s="332"/>
      <c r="OSQ506" s="332"/>
      <c r="OSR506" s="332"/>
      <c r="OSS506" s="332"/>
      <c r="OST506" s="332"/>
      <c r="OSU506" s="332"/>
      <c r="OSV506" s="332"/>
      <c r="OSW506" s="332"/>
      <c r="OSX506" s="332"/>
      <c r="OSY506" s="332"/>
      <c r="OSZ506" s="332"/>
      <c r="OTA506" s="332"/>
      <c r="OTB506" s="332"/>
      <c r="OTC506" s="332"/>
      <c r="OTD506" s="332"/>
      <c r="OTE506" s="332"/>
      <c r="OTF506" s="332"/>
      <c r="OTG506" s="332"/>
      <c r="OTH506" s="332"/>
      <c r="OTI506" s="332"/>
      <c r="OTJ506" s="332"/>
      <c r="OTK506" s="332"/>
      <c r="OTL506" s="332"/>
      <c r="OTM506" s="332"/>
      <c r="OTN506" s="332"/>
      <c r="OTO506" s="332"/>
      <c r="OTP506" s="332"/>
      <c r="OTQ506" s="332"/>
      <c r="OTR506" s="332"/>
      <c r="OTS506" s="332"/>
      <c r="OTT506" s="332"/>
      <c r="OTU506" s="332"/>
      <c r="OTV506" s="332"/>
      <c r="OTW506" s="332"/>
      <c r="OTX506" s="332"/>
      <c r="OTY506" s="332"/>
      <c r="OTZ506" s="332"/>
      <c r="OUA506" s="332"/>
      <c r="OUB506" s="332"/>
      <c r="OUC506" s="332"/>
      <c r="OUD506" s="332"/>
      <c r="OUE506" s="332"/>
      <c r="OUF506" s="332"/>
      <c r="OUG506" s="332"/>
      <c r="OUH506" s="332"/>
      <c r="OUI506" s="332"/>
      <c r="OUJ506" s="332"/>
      <c r="OUK506" s="332"/>
      <c r="OUL506" s="332"/>
      <c r="OUM506" s="332"/>
      <c r="OUN506" s="332"/>
      <c r="OUO506" s="332"/>
      <c r="OUP506" s="332"/>
      <c r="OUQ506" s="332"/>
      <c r="OUR506" s="332"/>
      <c r="OUS506" s="332"/>
      <c r="OUT506" s="332"/>
      <c r="OUU506" s="332"/>
      <c r="OUV506" s="332"/>
      <c r="OUW506" s="332"/>
      <c r="OUX506" s="332"/>
      <c r="OUY506" s="332"/>
      <c r="OUZ506" s="332"/>
      <c r="OVA506" s="332"/>
      <c r="OVB506" s="332"/>
      <c r="OVC506" s="332"/>
      <c r="OVD506" s="332"/>
      <c r="OVE506" s="332"/>
      <c r="OVF506" s="332"/>
      <c r="OVG506" s="332"/>
      <c r="OVH506" s="332"/>
      <c r="OVI506" s="332"/>
      <c r="OVJ506" s="332"/>
      <c r="OVK506" s="332"/>
      <c r="OVL506" s="332"/>
      <c r="OVM506" s="332"/>
      <c r="OVN506" s="332"/>
      <c r="OVO506" s="332"/>
      <c r="OVP506" s="332"/>
      <c r="OVQ506" s="332"/>
      <c r="OVR506" s="332"/>
      <c r="OVS506" s="332"/>
      <c r="OVT506" s="332"/>
      <c r="OVU506" s="332"/>
      <c r="OVV506" s="332"/>
      <c r="OVW506" s="332"/>
      <c r="OVX506" s="332"/>
      <c r="OVY506" s="332"/>
      <c r="OVZ506" s="332"/>
      <c r="OWA506" s="332"/>
      <c r="OWB506" s="332"/>
      <c r="OWC506" s="332"/>
      <c r="OWD506" s="332"/>
      <c r="OWE506" s="332"/>
      <c r="OWF506" s="332"/>
      <c r="OWG506" s="332"/>
      <c r="OWH506" s="332"/>
      <c r="OWI506" s="332"/>
      <c r="OWJ506" s="332"/>
      <c r="OWK506" s="332"/>
      <c r="OWL506" s="332"/>
      <c r="OWM506" s="332"/>
      <c r="OWN506" s="332"/>
      <c r="OWO506" s="332"/>
      <c r="OWP506" s="332"/>
      <c r="OWQ506" s="332"/>
      <c r="OWR506" s="332"/>
      <c r="OWS506" s="332"/>
      <c r="OWT506" s="332"/>
      <c r="OWU506" s="332"/>
      <c r="OWV506" s="332"/>
      <c r="OWW506" s="332"/>
      <c r="OWX506" s="332"/>
      <c r="OWY506" s="332"/>
      <c r="OWZ506" s="332"/>
      <c r="OXA506" s="332"/>
      <c r="OXB506" s="332"/>
      <c r="OXC506" s="332"/>
      <c r="OXD506" s="332"/>
      <c r="OXE506" s="332"/>
      <c r="OXF506" s="332"/>
      <c r="OXG506" s="332"/>
      <c r="OXH506" s="332"/>
      <c r="OXI506" s="332"/>
      <c r="OXJ506" s="332"/>
      <c r="OXK506" s="332"/>
      <c r="OXL506" s="332"/>
      <c r="OXM506" s="332"/>
      <c r="OXN506" s="332"/>
      <c r="OXO506" s="332"/>
      <c r="OXP506" s="332"/>
      <c r="OXQ506" s="332"/>
      <c r="OXR506" s="332"/>
      <c r="OXS506" s="332"/>
      <c r="OXT506" s="332"/>
      <c r="OXU506" s="332"/>
      <c r="OXV506" s="332"/>
      <c r="OXW506" s="332"/>
      <c r="OXX506" s="332"/>
      <c r="OXY506" s="332"/>
      <c r="OXZ506" s="332"/>
      <c r="OYA506" s="332"/>
      <c r="OYB506" s="332"/>
      <c r="OYC506" s="332"/>
      <c r="OYD506" s="332"/>
      <c r="OYE506" s="332"/>
      <c r="OYF506" s="332"/>
      <c r="OYG506" s="332"/>
      <c r="OYH506" s="332"/>
      <c r="OYI506" s="332"/>
      <c r="OYJ506" s="332"/>
      <c r="OYK506" s="332"/>
      <c r="OYL506" s="332"/>
      <c r="OYM506" s="332"/>
      <c r="OYN506" s="332"/>
      <c r="OYO506" s="332"/>
      <c r="OYP506" s="332"/>
      <c r="OYQ506" s="332"/>
      <c r="OYR506" s="332"/>
      <c r="OYS506" s="332"/>
      <c r="OYT506" s="332"/>
      <c r="OYU506" s="332"/>
      <c r="OYV506" s="332"/>
      <c r="OYW506" s="332"/>
      <c r="OYX506" s="332"/>
      <c r="OYY506" s="332"/>
      <c r="OYZ506" s="332"/>
      <c r="OZA506" s="332"/>
      <c r="OZB506" s="332"/>
      <c r="OZC506" s="332"/>
      <c r="OZD506" s="332"/>
      <c r="OZE506" s="332"/>
      <c r="OZF506" s="332"/>
      <c r="OZG506" s="332"/>
      <c r="OZH506" s="332"/>
      <c r="OZI506" s="332"/>
      <c r="OZJ506" s="332"/>
      <c r="OZK506" s="332"/>
      <c r="OZL506" s="332"/>
      <c r="OZM506" s="332"/>
      <c r="OZN506" s="332"/>
      <c r="OZO506" s="332"/>
      <c r="OZP506" s="332"/>
      <c r="OZQ506" s="332"/>
      <c r="OZR506" s="332"/>
      <c r="OZS506" s="332"/>
      <c r="OZT506" s="332"/>
      <c r="OZU506" s="332"/>
      <c r="OZV506" s="332"/>
      <c r="OZW506" s="332"/>
      <c r="OZX506" s="332"/>
      <c r="OZY506" s="332"/>
      <c r="OZZ506" s="332"/>
      <c r="PAA506" s="332"/>
      <c r="PAB506" s="332"/>
      <c r="PAC506" s="332"/>
      <c r="PAD506" s="332"/>
      <c r="PAE506" s="332"/>
      <c r="PAF506" s="332"/>
      <c r="PAG506" s="332"/>
      <c r="PAH506" s="332"/>
      <c r="PAI506" s="332"/>
      <c r="PAJ506" s="332"/>
      <c r="PAK506" s="332"/>
      <c r="PAL506" s="332"/>
      <c r="PAM506" s="332"/>
      <c r="PAN506" s="332"/>
      <c r="PAO506" s="332"/>
      <c r="PAP506" s="332"/>
      <c r="PAQ506" s="332"/>
      <c r="PAR506" s="332"/>
      <c r="PAS506" s="332"/>
      <c r="PAT506" s="332"/>
      <c r="PAU506" s="332"/>
      <c r="PAV506" s="332"/>
      <c r="PAW506" s="332"/>
      <c r="PAX506" s="332"/>
      <c r="PAY506" s="332"/>
      <c r="PAZ506" s="332"/>
      <c r="PBA506" s="332"/>
      <c r="PBB506" s="332"/>
      <c r="PBC506" s="332"/>
      <c r="PBD506" s="332"/>
      <c r="PBE506" s="332"/>
      <c r="PBF506" s="332"/>
      <c r="PBG506" s="332"/>
      <c r="PBH506" s="332"/>
      <c r="PBI506" s="332"/>
      <c r="PBJ506" s="332"/>
      <c r="PBK506" s="332"/>
      <c r="PBL506" s="332"/>
      <c r="PBM506" s="332"/>
      <c r="PBN506" s="332"/>
      <c r="PBO506" s="332"/>
      <c r="PBP506" s="332"/>
      <c r="PBQ506" s="332"/>
      <c r="PBR506" s="332"/>
      <c r="PBS506" s="332"/>
      <c r="PBT506" s="332"/>
      <c r="PBU506" s="332"/>
      <c r="PBV506" s="332"/>
      <c r="PBW506" s="332"/>
      <c r="PBX506" s="332"/>
      <c r="PBY506" s="332"/>
      <c r="PBZ506" s="332"/>
      <c r="PCA506" s="332"/>
      <c r="PCB506" s="332"/>
      <c r="PCC506" s="332"/>
      <c r="PCD506" s="332"/>
      <c r="PCE506" s="332"/>
      <c r="PCF506" s="332"/>
      <c r="PCG506" s="332"/>
      <c r="PCH506" s="332"/>
      <c r="PCI506" s="332"/>
      <c r="PCJ506" s="332"/>
      <c r="PCK506" s="332"/>
      <c r="PCL506" s="332"/>
      <c r="PCM506" s="332"/>
      <c r="PCN506" s="332"/>
      <c r="PCO506" s="332"/>
      <c r="PCP506" s="332"/>
      <c r="PCQ506" s="332"/>
      <c r="PCR506" s="332"/>
      <c r="PCS506" s="332"/>
      <c r="PCT506" s="332"/>
      <c r="PCU506" s="332"/>
      <c r="PCV506" s="332"/>
      <c r="PCW506" s="332"/>
      <c r="PCX506" s="332"/>
      <c r="PCY506" s="332"/>
      <c r="PCZ506" s="332"/>
      <c r="PDA506" s="332"/>
      <c r="PDB506" s="332"/>
      <c r="PDC506" s="332"/>
      <c r="PDD506" s="332"/>
      <c r="PDE506" s="332"/>
      <c r="PDF506" s="332"/>
      <c r="PDG506" s="332"/>
      <c r="PDH506" s="332"/>
      <c r="PDI506" s="332"/>
      <c r="PDJ506" s="332"/>
      <c r="PDK506" s="332"/>
      <c r="PDL506" s="332"/>
      <c r="PDM506" s="332"/>
      <c r="PDN506" s="332"/>
      <c r="PDO506" s="332"/>
      <c r="PDP506" s="332"/>
      <c r="PDQ506" s="332"/>
      <c r="PDR506" s="332"/>
      <c r="PDS506" s="332"/>
      <c r="PDT506" s="332"/>
      <c r="PDU506" s="332"/>
      <c r="PDV506" s="332"/>
      <c r="PDW506" s="332"/>
      <c r="PDX506" s="332"/>
      <c r="PDY506" s="332"/>
      <c r="PDZ506" s="332"/>
      <c r="PEA506" s="332"/>
      <c r="PEB506" s="332"/>
      <c r="PEC506" s="332"/>
      <c r="PED506" s="332"/>
      <c r="PEE506" s="332"/>
      <c r="PEF506" s="332"/>
      <c r="PEG506" s="332"/>
      <c r="PEH506" s="332"/>
      <c r="PEI506" s="332"/>
      <c r="PEJ506" s="332"/>
      <c r="PEK506" s="332"/>
      <c r="PEL506" s="332"/>
      <c r="PEM506" s="332"/>
      <c r="PEN506" s="332"/>
      <c r="PEO506" s="332"/>
      <c r="PEP506" s="332"/>
      <c r="PEQ506" s="332"/>
      <c r="PER506" s="332"/>
      <c r="PES506" s="332"/>
      <c r="PET506" s="332"/>
      <c r="PEU506" s="332"/>
      <c r="PEV506" s="332"/>
      <c r="PEW506" s="332"/>
      <c r="PEX506" s="332"/>
      <c r="PEY506" s="332"/>
      <c r="PEZ506" s="332"/>
      <c r="PFA506" s="332"/>
      <c r="PFB506" s="332"/>
      <c r="PFC506" s="332"/>
      <c r="PFD506" s="332"/>
      <c r="PFE506" s="332"/>
      <c r="PFF506" s="332"/>
      <c r="PFG506" s="332"/>
      <c r="PFH506" s="332"/>
      <c r="PFI506" s="332"/>
      <c r="PFJ506" s="332"/>
      <c r="PFK506" s="332"/>
      <c r="PFL506" s="332"/>
      <c r="PFM506" s="332"/>
      <c r="PFN506" s="332"/>
      <c r="PFO506" s="332"/>
      <c r="PFP506" s="332"/>
      <c r="PFQ506" s="332"/>
      <c r="PFR506" s="332"/>
      <c r="PFS506" s="332"/>
      <c r="PFT506" s="332"/>
      <c r="PFU506" s="332"/>
      <c r="PFV506" s="332"/>
      <c r="PFW506" s="332"/>
      <c r="PFX506" s="332"/>
      <c r="PFY506" s="332"/>
      <c r="PFZ506" s="332"/>
      <c r="PGA506" s="332"/>
      <c r="PGB506" s="332"/>
      <c r="PGC506" s="332"/>
      <c r="PGD506" s="332"/>
      <c r="PGE506" s="332"/>
      <c r="PGF506" s="332"/>
      <c r="PGG506" s="332"/>
      <c r="PGH506" s="332"/>
      <c r="PGI506" s="332"/>
      <c r="PGJ506" s="332"/>
      <c r="PGK506" s="332"/>
      <c r="PGL506" s="332"/>
      <c r="PGM506" s="332"/>
      <c r="PGN506" s="332"/>
      <c r="PGO506" s="332"/>
      <c r="PGP506" s="332"/>
      <c r="PGQ506" s="332"/>
      <c r="PGR506" s="332"/>
      <c r="PGS506" s="332"/>
      <c r="PGT506" s="332"/>
      <c r="PGU506" s="332"/>
      <c r="PGV506" s="332"/>
      <c r="PGW506" s="332"/>
      <c r="PGX506" s="332"/>
      <c r="PGY506" s="332"/>
      <c r="PGZ506" s="332"/>
      <c r="PHA506" s="332"/>
      <c r="PHB506" s="332"/>
      <c r="PHC506" s="332"/>
      <c r="PHD506" s="332"/>
      <c r="PHE506" s="332"/>
      <c r="PHF506" s="332"/>
      <c r="PHG506" s="332"/>
      <c r="PHH506" s="332"/>
      <c r="PHI506" s="332"/>
      <c r="PHJ506" s="332"/>
      <c r="PHK506" s="332"/>
      <c r="PHL506" s="332"/>
      <c r="PHM506" s="332"/>
      <c r="PHN506" s="332"/>
      <c r="PHO506" s="332"/>
      <c r="PHP506" s="332"/>
      <c r="PHQ506" s="332"/>
      <c r="PHR506" s="332"/>
      <c r="PHS506" s="332"/>
      <c r="PHT506" s="332"/>
      <c r="PHU506" s="332"/>
      <c r="PHV506" s="332"/>
      <c r="PHW506" s="332"/>
      <c r="PHX506" s="332"/>
      <c r="PHY506" s="332"/>
      <c r="PHZ506" s="332"/>
      <c r="PIA506" s="332"/>
      <c r="PIB506" s="332"/>
      <c r="PIC506" s="332"/>
      <c r="PID506" s="332"/>
      <c r="PIE506" s="332"/>
      <c r="PIF506" s="332"/>
      <c r="PIG506" s="332"/>
      <c r="PIH506" s="332"/>
      <c r="PII506" s="332"/>
      <c r="PIJ506" s="332"/>
      <c r="PIK506" s="332"/>
      <c r="PIL506" s="332"/>
      <c r="PIM506" s="332"/>
      <c r="PIN506" s="332"/>
      <c r="PIO506" s="332"/>
      <c r="PIP506" s="332"/>
      <c r="PIQ506" s="332"/>
      <c r="PIR506" s="332"/>
      <c r="PIS506" s="332"/>
      <c r="PIT506" s="332"/>
      <c r="PIU506" s="332"/>
      <c r="PIV506" s="332"/>
      <c r="PIW506" s="332"/>
      <c r="PIX506" s="332"/>
      <c r="PIY506" s="332"/>
      <c r="PIZ506" s="332"/>
      <c r="PJA506" s="332"/>
      <c r="PJB506" s="332"/>
      <c r="PJC506" s="332"/>
      <c r="PJD506" s="332"/>
      <c r="PJE506" s="332"/>
      <c r="PJF506" s="332"/>
      <c r="PJG506" s="332"/>
      <c r="PJH506" s="332"/>
      <c r="PJI506" s="332"/>
      <c r="PJJ506" s="332"/>
      <c r="PJK506" s="332"/>
      <c r="PJL506" s="332"/>
      <c r="PJM506" s="332"/>
      <c r="PJN506" s="332"/>
      <c r="PJO506" s="332"/>
      <c r="PJP506" s="332"/>
      <c r="PJQ506" s="332"/>
      <c r="PJR506" s="332"/>
      <c r="PJS506" s="332"/>
      <c r="PJT506" s="332"/>
      <c r="PJU506" s="332"/>
      <c r="PJV506" s="332"/>
      <c r="PJW506" s="332"/>
      <c r="PJX506" s="332"/>
      <c r="PJY506" s="332"/>
      <c r="PJZ506" s="332"/>
      <c r="PKA506" s="332"/>
      <c r="PKB506" s="332"/>
      <c r="PKC506" s="332"/>
      <c r="PKD506" s="332"/>
      <c r="PKE506" s="332"/>
      <c r="PKF506" s="332"/>
      <c r="PKG506" s="332"/>
      <c r="PKH506" s="332"/>
      <c r="PKI506" s="332"/>
      <c r="PKJ506" s="332"/>
      <c r="PKK506" s="332"/>
      <c r="PKL506" s="332"/>
      <c r="PKM506" s="332"/>
      <c r="PKN506" s="332"/>
      <c r="PKO506" s="332"/>
      <c r="PKP506" s="332"/>
      <c r="PKQ506" s="332"/>
      <c r="PKR506" s="332"/>
      <c r="PKS506" s="332"/>
      <c r="PKT506" s="332"/>
      <c r="PKU506" s="332"/>
      <c r="PKV506" s="332"/>
      <c r="PKW506" s="332"/>
      <c r="PKX506" s="332"/>
      <c r="PKY506" s="332"/>
      <c r="PKZ506" s="332"/>
      <c r="PLA506" s="332"/>
      <c r="PLB506" s="332"/>
      <c r="PLC506" s="332"/>
      <c r="PLD506" s="332"/>
      <c r="PLE506" s="332"/>
      <c r="PLF506" s="332"/>
      <c r="PLG506" s="332"/>
      <c r="PLH506" s="332"/>
      <c r="PLI506" s="332"/>
      <c r="PLJ506" s="332"/>
      <c r="PLK506" s="332"/>
      <c r="PLL506" s="332"/>
      <c r="PLM506" s="332"/>
      <c r="PLN506" s="332"/>
      <c r="PLO506" s="332"/>
      <c r="PLP506" s="332"/>
      <c r="PLQ506" s="332"/>
      <c r="PLR506" s="332"/>
      <c r="PLS506" s="332"/>
      <c r="PLT506" s="332"/>
      <c r="PLU506" s="332"/>
      <c r="PLV506" s="332"/>
      <c r="PLW506" s="332"/>
      <c r="PLX506" s="332"/>
      <c r="PLY506" s="332"/>
      <c r="PLZ506" s="332"/>
      <c r="PMA506" s="332"/>
      <c r="PMB506" s="332"/>
      <c r="PMC506" s="332"/>
      <c r="PMD506" s="332"/>
      <c r="PME506" s="332"/>
      <c r="PMF506" s="332"/>
      <c r="PMG506" s="332"/>
      <c r="PMH506" s="332"/>
      <c r="PMI506" s="332"/>
      <c r="PMJ506" s="332"/>
      <c r="PMK506" s="332"/>
      <c r="PML506" s="332"/>
      <c r="PMM506" s="332"/>
      <c r="PMN506" s="332"/>
      <c r="PMO506" s="332"/>
      <c r="PMP506" s="332"/>
      <c r="PMQ506" s="332"/>
      <c r="PMR506" s="332"/>
      <c r="PMS506" s="332"/>
      <c r="PMT506" s="332"/>
      <c r="PMU506" s="332"/>
      <c r="PMV506" s="332"/>
      <c r="PMW506" s="332"/>
      <c r="PMX506" s="332"/>
      <c r="PMY506" s="332"/>
      <c r="PMZ506" s="332"/>
      <c r="PNA506" s="332"/>
      <c r="PNB506" s="332"/>
      <c r="PNC506" s="332"/>
      <c r="PND506" s="332"/>
      <c r="PNE506" s="332"/>
      <c r="PNF506" s="332"/>
      <c r="PNG506" s="332"/>
      <c r="PNH506" s="332"/>
      <c r="PNI506" s="332"/>
      <c r="PNJ506" s="332"/>
      <c r="PNK506" s="332"/>
      <c r="PNL506" s="332"/>
      <c r="PNM506" s="332"/>
      <c r="PNN506" s="332"/>
      <c r="PNO506" s="332"/>
      <c r="PNP506" s="332"/>
      <c r="PNQ506" s="332"/>
      <c r="PNR506" s="332"/>
      <c r="PNS506" s="332"/>
      <c r="PNT506" s="332"/>
      <c r="PNU506" s="332"/>
      <c r="PNV506" s="332"/>
      <c r="PNW506" s="332"/>
      <c r="PNX506" s="332"/>
      <c r="PNY506" s="332"/>
      <c r="PNZ506" s="332"/>
      <c r="POA506" s="332"/>
      <c r="POB506" s="332"/>
      <c r="POC506" s="332"/>
      <c r="POD506" s="332"/>
      <c r="POE506" s="332"/>
      <c r="POF506" s="332"/>
      <c r="POG506" s="332"/>
      <c r="POH506" s="332"/>
      <c r="POI506" s="332"/>
      <c r="POJ506" s="332"/>
      <c r="POK506" s="332"/>
      <c r="POL506" s="332"/>
      <c r="POM506" s="332"/>
      <c r="PON506" s="332"/>
      <c r="POO506" s="332"/>
      <c r="POP506" s="332"/>
      <c r="POQ506" s="332"/>
      <c r="POR506" s="332"/>
      <c r="POS506" s="332"/>
      <c r="POT506" s="332"/>
      <c r="POU506" s="332"/>
      <c r="POV506" s="332"/>
      <c r="POW506" s="332"/>
      <c r="POX506" s="332"/>
      <c r="POY506" s="332"/>
      <c r="POZ506" s="332"/>
      <c r="PPA506" s="332"/>
      <c r="PPB506" s="332"/>
      <c r="PPC506" s="332"/>
      <c r="PPD506" s="332"/>
      <c r="PPE506" s="332"/>
      <c r="PPF506" s="332"/>
      <c r="PPG506" s="332"/>
      <c r="PPH506" s="332"/>
      <c r="PPI506" s="332"/>
      <c r="PPJ506" s="332"/>
      <c r="PPK506" s="332"/>
      <c r="PPL506" s="332"/>
      <c r="PPM506" s="332"/>
      <c r="PPN506" s="332"/>
      <c r="PPO506" s="332"/>
      <c r="PPP506" s="332"/>
      <c r="PPQ506" s="332"/>
      <c r="PPR506" s="332"/>
      <c r="PPS506" s="332"/>
      <c r="PPT506" s="332"/>
      <c r="PPU506" s="332"/>
      <c r="PPV506" s="332"/>
      <c r="PPW506" s="332"/>
      <c r="PPX506" s="332"/>
      <c r="PPY506" s="332"/>
      <c r="PPZ506" s="332"/>
      <c r="PQA506" s="332"/>
      <c r="PQB506" s="332"/>
      <c r="PQC506" s="332"/>
      <c r="PQD506" s="332"/>
      <c r="PQE506" s="332"/>
      <c r="PQF506" s="332"/>
      <c r="PQG506" s="332"/>
      <c r="PQH506" s="332"/>
      <c r="PQI506" s="332"/>
      <c r="PQJ506" s="332"/>
      <c r="PQK506" s="332"/>
      <c r="PQL506" s="332"/>
      <c r="PQM506" s="332"/>
      <c r="PQN506" s="332"/>
      <c r="PQO506" s="332"/>
      <c r="PQP506" s="332"/>
      <c r="PQQ506" s="332"/>
      <c r="PQR506" s="332"/>
      <c r="PQS506" s="332"/>
      <c r="PQT506" s="332"/>
      <c r="PQU506" s="332"/>
      <c r="PQV506" s="332"/>
      <c r="PQW506" s="332"/>
      <c r="PQX506" s="332"/>
      <c r="PQY506" s="332"/>
      <c r="PQZ506" s="332"/>
      <c r="PRA506" s="332"/>
      <c r="PRB506" s="332"/>
      <c r="PRC506" s="332"/>
      <c r="PRD506" s="332"/>
      <c r="PRE506" s="332"/>
      <c r="PRF506" s="332"/>
      <c r="PRG506" s="332"/>
      <c r="PRH506" s="332"/>
      <c r="PRI506" s="332"/>
      <c r="PRJ506" s="332"/>
      <c r="PRK506" s="332"/>
      <c r="PRL506" s="332"/>
      <c r="PRM506" s="332"/>
      <c r="PRN506" s="332"/>
      <c r="PRO506" s="332"/>
      <c r="PRP506" s="332"/>
      <c r="PRQ506" s="332"/>
      <c r="PRR506" s="332"/>
      <c r="PRS506" s="332"/>
      <c r="PRT506" s="332"/>
      <c r="PRU506" s="332"/>
      <c r="PRV506" s="332"/>
      <c r="PRW506" s="332"/>
      <c r="PRX506" s="332"/>
      <c r="PRY506" s="332"/>
      <c r="PRZ506" s="332"/>
      <c r="PSA506" s="332"/>
      <c r="PSB506" s="332"/>
      <c r="PSC506" s="332"/>
      <c r="PSD506" s="332"/>
      <c r="PSE506" s="332"/>
      <c r="PSF506" s="332"/>
      <c r="PSG506" s="332"/>
      <c r="PSH506" s="332"/>
      <c r="PSI506" s="332"/>
      <c r="PSJ506" s="332"/>
      <c r="PSK506" s="332"/>
      <c r="PSL506" s="332"/>
      <c r="PSM506" s="332"/>
      <c r="PSN506" s="332"/>
      <c r="PSO506" s="332"/>
      <c r="PSP506" s="332"/>
      <c r="PSQ506" s="332"/>
      <c r="PSR506" s="332"/>
      <c r="PSS506" s="332"/>
      <c r="PST506" s="332"/>
      <c r="PSU506" s="332"/>
      <c r="PSV506" s="332"/>
      <c r="PSW506" s="332"/>
      <c r="PSX506" s="332"/>
      <c r="PSY506" s="332"/>
      <c r="PSZ506" s="332"/>
      <c r="PTA506" s="332"/>
      <c r="PTB506" s="332"/>
      <c r="PTC506" s="332"/>
      <c r="PTD506" s="332"/>
      <c r="PTE506" s="332"/>
      <c r="PTF506" s="332"/>
      <c r="PTG506" s="332"/>
      <c r="PTH506" s="332"/>
      <c r="PTI506" s="332"/>
      <c r="PTJ506" s="332"/>
      <c r="PTK506" s="332"/>
      <c r="PTL506" s="332"/>
      <c r="PTM506" s="332"/>
      <c r="PTN506" s="332"/>
      <c r="PTO506" s="332"/>
      <c r="PTP506" s="332"/>
      <c r="PTQ506" s="332"/>
      <c r="PTR506" s="332"/>
      <c r="PTS506" s="332"/>
      <c r="PTT506" s="332"/>
      <c r="PTU506" s="332"/>
      <c r="PTV506" s="332"/>
      <c r="PTW506" s="332"/>
      <c r="PTX506" s="332"/>
      <c r="PTY506" s="332"/>
      <c r="PTZ506" s="332"/>
      <c r="PUA506" s="332"/>
      <c r="PUB506" s="332"/>
      <c r="PUC506" s="332"/>
      <c r="PUD506" s="332"/>
      <c r="PUE506" s="332"/>
      <c r="PUF506" s="332"/>
      <c r="PUG506" s="332"/>
      <c r="PUH506" s="332"/>
      <c r="PUI506" s="332"/>
      <c r="PUJ506" s="332"/>
      <c r="PUK506" s="332"/>
      <c r="PUL506" s="332"/>
      <c r="PUM506" s="332"/>
      <c r="PUN506" s="332"/>
      <c r="PUO506" s="332"/>
      <c r="PUP506" s="332"/>
      <c r="PUQ506" s="332"/>
      <c r="PUR506" s="332"/>
      <c r="PUS506" s="332"/>
      <c r="PUT506" s="332"/>
      <c r="PUU506" s="332"/>
      <c r="PUV506" s="332"/>
      <c r="PUW506" s="332"/>
      <c r="PUX506" s="332"/>
      <c r="PUY506" s="332"/>
      <c r="PUZ506" s="332"/>
      <c r="PVA506" s="332"/>
      <c r="PVB506" s="332"/>
      <c r="PVC506" s="332"/>
      <c r="PVD506" s="332"/>
      <c r="PVE506" s="332"/>
      <c r="PVF506" s="332"/>
      <c r="PVG506" s="332"/>
      <c r="PVH506" s="332"/>
      <c r="PVI506" s="332"/>
      <c r="PVJ506" s="332"/>
      <c r="PVK506" s="332"/>
      <c r="PVL506" s="332"/>
      <c r="PVM506" s="332"/>
      <c r="PVN506" s="332"/>
      <c r="PVO506" s="332"/>
      <c r="PVP506" s="332"/>
      <c r="PVQ506" s="332"/>
      <c r="PVR506" s="332"/>
      <c r="PVS506" s="332"/>
      <c r="PVT506" s="332"/>
      <c r="PVU506" s="332"/>
      <c r="PVV506" s="332"/>
      <c r="PVW506" s="332"/>
      <c r="PVX506" s="332"/>
      <c r="PVY506" s="332"/>
      <c r="PVZ506" s="332"/>
      <c r="PWA506" s="332"/>
      <c r="PWB506" s="332"/>
      <c r="PWC506" s="332"/>
      <c r="PWD506" s="332"/>
      <c r="PWE506" s="332"/>
      <c r="PWF506" s="332"/>
      <c r="PWG506" s="332"/>
      <c r="PWH506" s="332"/>
      <c r="PWI506" s="332"/>
      <c r="PWJ506" s="332"/>
      <c r="PWK506" s="332"/>
      <c r="PWL506" s="332"/>
      <c r="PWM506" s="332"/>
      <c r="PWN506" s="332"/>
      <c r="PWO506" s="332"/>
      <c r="PWP506" s="332"/>
      <c r="PWQ506" s="332"/>
      <c r="PWR506" s="332"/>
      <c r="PWS506" s="332"/>
      <c r="PWT506" s="332"/>
      <c r="PWU506" s="332"/>
      <c r="PWV506" s="332"/>
      <c r="PWW506" s="332"/>
      <c r="PWX506" s="332"/>
      <c r="PWY506" s="332"/>
      <c r="PWZ506" s="332"/>
      <c r="PXA506" s="332"/>
      <c r="PXB506" s="332"/>
      <c r="PXC506" s="332"/>
      <c r="PXD506" s="332"/>
      <c r="PXE506" s="332"/>
      <c r="PXF506" s="332"/>
      <c r="PXG506" s="332"/>
      <c r="PXH506" s="332"/>
      <c r="PXI506" s="332"/>
      <c r="PXJ506" s="332"/>
      <c r="PXK506" s="332"/>
      <c r="PXL506" s="332"/>
      <c r="PXM506" s="332"/>
      <c r="PXN506" s="332"/>
      <c r="PXO506" s="332"/>
      <c r="PXP506" s="332"/>
      <c r="PXQ506" s="332"/>
      <c r="PXR506" s="332"/>
      <c r="PXS506" s="332"/>
      <c r="PXT506" s="332"/>
      <c r="PXU506" s="332"/>
      <c r="PXV506" s="332"/>
      <c r="PXW506" s="332"/>
      <c r="PXX506" s="332"/>
      <c r="PXY506" s="332"/>
      <c r="PXZ506" s="332"/>
      <c r="PYA506" s="332"/>
      <c r="PYB506" s="332"/>
      <c r="PYC506" s="332"/>
      <c r="PYD506" s="332"/>
      <c r="PYE506" s="332"/>
      <c r="PYF506" s="332"/>
      <c r="PYG506" s="332"/>
      <c r="PYH506" s="332"/>
      <c r="PYI506" s="332"/>
      <c r="PYJ506" s="332"/>
      <c r="PYK506" s="332"/>
      <c r="PYL506" s="332"/>
      <c r="PYM506" s="332"/>
      <c r="PYN506" s="332"/>
      <c r="PYO506" s="332"/>
      <c r="PYP506" s="332"/>
      <c r="PYQ506" s="332"/>
      <c r="PYR506" s="332"/>
      <c r="PYS506" s="332"/>
      <c r="PYT506" s="332"/>
      <c r="PYU506" s="332"/>
      <c r="PYV506" s="332"/>
      <c r="PYW506" s="332"/>
      <c r="PYX506" s="332"/>
      <c r="PYY506" s="332"/>
      <c r="PYZ506" s="332"/>
      <c r="PZA506" s="332"/>
      <c r="PZB506" s="332"/>
      <c r="PZC506" s="332"/>
      <c r="PZD506" s="332"/>
      <c r="PZE506" s="332"/>
      <c r="PZF506" s="332"/>
      <c r="PZG506" s="332"/>
      <c r="PZH506" s="332"/>
      <c r="PZI506" s="332"/>
      <c r="PZJ506" s="332"/>
      <c r="PZK506" s="332"/>
      <c r="PZL506" s="332"/>
      <c r="PZM506" s="332"/>
      <c r="PZN506" s="332"/>
      <c r="PZO506" s="332"/>
      <c r="PZP506" s="332"/>
      <c r="PZQ506" s="332"/>
      <c r="PZR506" s="332"/>
      <c r="PZS506" s="332"/>
      <c r="PZT506" s="332"/>
      <c r="PZU506" s="332"/>
      <c r="PZV506" s="332"/>
      <c r="PZW506" s="332"/>
      <c r="PZX506" s="332"/>
      <c r="PZY506" s="332"/>
      <c r="PZZ506" s="332"/>
      <c r="QAA506" s="332"/>
      <c r="QAB506" s="332"/>
      <c r="QAC506" s="332"/>
      <c r="QAD506" s="332"/>
      <c r="QAE506" s="332"/>
      <c r="QAF506" s="332"/>
      <c r="QAG506" s="332"/>
      <c r="QAH506" s="332"/>
      <c r="QAI506" s="332"/>
      <c r="QAJ506" s="332"/>
      <c r="QAK506" s="332"/>
      <c r="QAL506" s="332"/>
      <c r="QAM506" s="332"/>
      <c r="QAN506" s="332"/>
      <c r="QAO506" s="332"/>
      <c r="QAP506" s="332"/>
      <c r="QAQ506" s="332"/>
      <c r="QAR506" s="332"/>
      <c r="QAS506" s="332"/>
      <c r="QAT506" s="332"/>
      <c r="QAU506" s="332"/>
      <c r="QAV506" s="332"/>
      <c r="QAW506" s="332"/>
      <c r="QAX506" s="332"/>
      <c r="QAY506" s="332"/>
      <c r="QAZ506" s="332"/>
      <c r="QBA506" s="332"/>
      <c r="QBB506" s="332"/>
      <c r="QBC506" s="332"/>
      <c r="QBD506" s="332"/>
      <c r="QBE506" s="332"/>
      <c r="QBF506" s="332"/>
      <c r="QBG506" s="332"/>
      <c r="QBH506" s="332"/>
      <c r="QBI506" s="332"/>
      <c r="QBJ506" s="332"/>
      <c r="QBK506" s="332"/>
      <c r="QBL506" s="332"/>
      <c r="QBM506" s="332"/>
      <c r="QBN506" s="332"/>
      <c r="QBO506" s="332"/>
      <c r="QBP506" s="332"/>
      <c r="QBQ506" s="332"/>
      <c r="QBR506" s="332"/>
      <c r="QBS506" s="332"/>
      <c r="QBT506" s="332"/>
      <c r="QBU506" s="332"/>
      <c r="QBV506" s="332"/>
      <c r="QBW506" s="332"/>
      <c r="QBX506" s="332"/>
      <c r="QBY506" s="332"/>
      <c r="QBZ506" s="332"/>
      <c r="QCA506" s="332"/>
      <c r="QCB506" s="332"/>
      <c r="QCC506" s="332"/>
      <c r="QCD506" s="332"/>
      <c r="QCE506" s="332"/>
      <c r="QCF506" s="332"/>
      <c r="QCG506" s="332"/>
      <c r="QCH506" s="332"/>
      <c r="QCI506" s="332"/>
      <c r="QCJ506" s="332"/>
      <c r="QCK506" s="332"/>
      <c r="QCL506" s="332"/>
      <c r="QCM506" s="332"/>
      <c r="QCN506" s="332"/>
      <c r="QCO506" s="332"/>
      <c r="QCP506" s="332"/>
      <c r="QCQ506" s="332"/>
      <c r="QCR506" s="332"/>
      <c r="QCS506" s="332"/>
      <c r="QCT506" s="332"/>
      <c r="QCU506" s="332"/>
      <c r="QCV506" s="332"/>
      <c r="QCW506" s="332"/>
      <c r="QCX506" s="332"/>
      <c r="QCY506" s="332"/>
      <c r="QCZ506" s="332"/>
      <c r="QDA506" s="332"/>
      <c r="QDB506" s="332"/>
      <c r="QDC506" s="332"/>
      <c r="QDD506" s="332"/>
      <c r="QDE506" s="332"/>
      <c r="QDF506" s="332"/>
      <c r="QDG506" s="332"/>
      <c r="QDH506" s="332"/>
      <c r="QDI506" s="332"/>
      <c r="QDJ506" s="332"/>
      <c r="QDK506" s="332"/>
      <c r="QDL506" s="332"/>
      <c r="QDM506" s="332"/>
      <c r="QDN506" s="332"/>
      <c r="QDO506" s="332"/>
      <c r="QDP506" s="332"/>
      <c r="QDQ506" s="332"/>
      <c r="QDR506" s="332"/>
      <c r="QDS506" s="332"/>
      <c r="QDT506" s="332"/>
      <c r="QDU506" s="332"/>
      <c r="QDV506" s="332"/>
      <c r="QDW506" s="332"/>
      <c r="QDX506" s="332"/>
      <c r="QDY506" s="332"/>
      <c r="QDZ506" s="332"/>
      <c r="QEA506" s="332"/>
      <c r="QEB506" s="332"/>
      <c r="QEC506" s="332"/>
      <c r="QED506" s="332"/>
      <c r="QEE506" s="332"/>
      <c r="QEF506" s="332"/>
      <c r="QEG506" s="332"/>
      <c r="QEH506" s="332"/>
      <c r="QEI506" s="332"/>
      <c r="QEJ506" s="332"/>
      <c r="QEK506" s="332"/>
      <c r="QEL506" s="332"/>
      <c r="QEM506" s="332"/>
      <c r="QEN506" s="332"/>
      <c r="QEO506" s="332"/>
      <c r="QEP506" s="332"/>
      <c r="QEQ506" s="332"/>
      <c r="QER506" s="332"/>
      <c r="QES506" s="332"/>
      <c r="QET506" s="332"/>
      <c r="QEU506" s="332"/>
      <c r="QEV506" s="332"/>
      <c r="QEW506" s="332"/>
      <c r="QEX506" s="332"/>
      <c r="QEY506" s="332"/>
      <c r="QEZ506" s="332"/>
      <c r="QFA506" s="332"/>
      <c r="QFB506" s="332"/>
      <c r="QFC506" s="332"/>
      <c r="QFD506" s="332"/>
      <c r="QFE506" s="332"/>
      <c r="QFF506" s="332"/>
      <c r="QFG506" s="332"/>
      <c r="QFH506" s="332"/>
      <c r="QFI506" s="332"/>
      <c r="QFJ506" s="332"/>
      <c r="QFK506" s="332"/>
      <c r="QFL506" s="332"/>
      <c r="QFM506" s="332"/>
      <c r="QFN506" s="332"/>
      <c r="QFO506" s="332"/>
      <c r="QFP506" s="332"/>
      <c r="QFQ506" s="332"/>
      <c r="QFR506" s="332"/>
      <c r="QFS506" s="332"/>
      <c r="QFT506" s="332"/>
      <c r="QFU506" s="332"/>
      <c r="QFV506" s="332"/>
      <c r="QFW506" s="332"/>
      <c r="QFX506" s="332"/>
      <c r="QFY506" s="332"/>
      <c r="QFZ506" s="332"/>
      <c r="QGA506" s="332"/>
      <c r="QGB506" s="332"/>
      <c r="QGC506" s="332"/>
      <c r="QGD506" s="332"/>
      <c r="QGE506" s="332"/>
      <c r="QGF506" s="332"/>
      <c r="QGG506" s="332"/>
      <c r="QGH506" s="332"/>
      <c r="QGI506" s="332"/>
      <c r="QGJ506" s="332"/>
      <c r="QGK506" s="332"/>
      <c r="QGL506" s="332"/>
      <c r="QGM506" s="332"/>
      <c r="QGN506" s="332"/>
      <c r="QGO506" s="332"/>
      <c r="QGP506" s="332"/>
      <c r="QGQ506" s="332"/>
      <c r="QGR506" s="332"/>
      <c r="QGS506" s="332"/>
      <c r="QGT506" s="332"/>
      <c r="QGU506" s="332"/>
      <c r="QGV506" s="332"/>
      <c r="QGW506" s="332"/>
      <c r="QGX506" s="332"/>
      <c r="QGY506" s="332"/>
      <c r="QGZ506" s="332"/>
      <c r="QHA506" s="332"/>
      <c r="QHB506" s="332"/>
      <c r="QHC506" s="332"/>
      <c r="QHD506" s="332"/>
      <c r="QHE506" s="332"/>
      <c r="QHF506" s="332"/>
      <c r="QHG506" s="332"/>
      <c r="QHH506" s="332"/>
      <c r="QHI506" s="332"/>
      <c r="QHJ506" s="332"/>
      <c r="QHK506" s="332"/>
      <c r="QHL506" s="332"/>
      <c r="QHM506" s="332"/>
      <c r="QHN506" s="332"/>
      <c r="QHO506" s="332"/>
      <c r="QHP506" s="332"/>
      <c r="QHQ506" s="332"/>
      <c r="QHR506" s="332"/>
      <c r="QHS506" s="332"/>
      <c r="QHT506" s="332"/>
      <c r="QHU506" s="332"/>
      <c r="QHV506" s="332"/>
      <c r="QHW506" s="332"/>
      <c r="QHX506" s="332"/>
      <c r="QHY506" s="332"/>
      <c r="QHZ506" s="332"/>
      <c r="QIA506" s="332"/>
      <c r="QIB506" s="332"/>
      <c r="QIC506" s="332"/>
      <c r="QID506" s="332"/>
      <c r="QIE506" s="332"/>
      <c r="QIF506" s="332"/>
      <c r="QIG506" s="332"/>
      <c r="QIH506" s="332"/>
      <c r="QII506" s="332"/>
      <c r="QIJ506" s="332"/>
      <c r="QIK506" s="332"/>
      <c r="QIL506" s="332"/>
      <c r="QIM506" s="332"/>
      <c r="QIN506" s="332"/>
      <c r="QIO506" s="332"/>
      <c r="QIP506" s="332"/>
      <c r="QIQ506" s="332"/>
      <c r="QIR506" s="332"/>
      <c r="QIS506" s="332"/>
      <c r="QIT506" s="332"/>
      <c r="QIU506" s="332"/>
      <c r="QIV506" s="332"/>
      <c r="QIW506" s="332"/>
      <c r="QIX506" s="332"/>
      <c r="QIY506" s="332"/>
      <c r="QIZ506" s="332"/>
      <c r="QJA506" s="332"/>
      <c r="QJB506" s="332"/>
      <c r="QJC506" s="332"/>
      <c r="QJD506" s="332"/>
      <c r="QJE506" s="332"/>
      <c r="QJF506" s="332"/>
      <c r="QJG506" s="332"/>
      <c r="QJH506" s="332"/>
      <c r="QJI506" s="332"/>
      <c r="QJJ506" s="332"/>
      <c r="QJK506" s="332"/>
      <c r="QJL506" s="332"/>
      <c r="QJM506" s="332"/>
      <c r="QJN506" s="332"/>
      <c r="QJO506" s="332"/>
      <c r="QJP506" s="332"/>
      <c r="QJQ506" s="332"/>
      <c r="QJR506" s="332"/>
      <c r="QJS506" s="332"/>
      <c r="QJT506" s="332"/>
      <c r="QJU506" s="332"/>
      <c r="QJV506" s="332"/>
      <c r="QJW506" s="332"/>
      <c r="QJX506" s="332"/>
      <c r="QJY506" s="332"/>
      <c r="QJZ506" s="332"/>
      <c r="QKA506" s="332"/>
      <c r="QKB506" s="332"/>
      <c r="QKC506" s="332"/>
      <c r="QKD506" s="332"/>
      <c r="QKE506" s="332"/>
      <c r="QKF506" s="332"/>
      <c r="QKG506" s="332"/>
      <c r="QKH506" s="332"/>
      <c r="QKI506" s="332"/>
      <c r="QKJ506" s="332"/>
      <c r="QKK506" s="332"/>
      <c r="QKL506" s="332"/>
      <c r="QKM506" s="332"/>
      <c r="QKN506" s="332"/>
      <c r="QKO506" s="332"/>
      <c r="QKP506" s="332"/>
      <c r="QKQ506" s="332"/>
      <c r="QKR506" s="332"/>
      <c r="QKS506" s="332"/>
      <c r="QKT506" s="332"/>
      <c r="QKU506" s="332"/>
      <c r="QKV506" s="332"/>
      <c r="QKW506" s="332"/>
      <c r="QKX506" s="332"/>
      <c r="QKY506" s="332"/>
      <c r="QKZ506" s="332"/>
      <c r="QLA506" s="332"/>
      <c r="QLB506" s="332"/>
      <c r="QLC506" s="332"/>
      <c r="QLD506" s="332"/>
      <c r="QLE506" s="332"/>
      <c r="QLF506" s="332"/>
      <c r="QLG506" s="332"/>
      <c r="QLH506" s="332"/>
      <c r="QLI506" s="332"/>
      <c r="QLJ506" s="332"/>
      <c r="QLK506" s="332"/>
      <c r="QLL506" s="332"/>
      <c r="QLM506" s="332"/>
      <c r="QLN506" s="332"/>
      <c r="QLO506" s="332"/>
      <c r="QLP506" s="332"/>
      <c r="QLQ506" s="332"/>
      <c r="QLR506" s="332"/>
      <c r="QLS506" s="332"/>
      <c r="QLT506" s="332"/>
      <c r="QLU506" s="332"/>
      <c r="QLV506" s="332"/>
      <c r="QLW506" s="332"/>
      <c r="QLX506" s="332"/>
      <c r="QLY506" s="332"/>
      <c r="QLZ506" s="332"/>
      <c r="QMA506" s="332"/>
      <c r="QMB506" s="332"/>
      <c r="QMC506" s="332"/>
      <c r="QMD506" s="332"/>
      <c r="QME506" s="332"/>
      <c r="QMF506" s="332"/>
      <c r="QMG506" s="332"/>
      <c r="QMH506" s="332"/>
      <c r="QMI506" s="332"/>
      <c r="QMJ506" s="332"/>
      <c r="QMK506" s="332"/>
      <c r="QML506" s="332"/>
      <c r="QMM506" s="332"/>
      <c r="QMN506" s="332"/>
      <c r="QMO506" s="332"/>
      <c r="QMP506" s="332"/>
      <c r="QMQ506" s="332"/>
      <c r="QMR506" s="332"/>
      <c r="QMS506" s="332"/>
      <c r="QMT506" s="332"/>
      <c r="QMU506" s="332"/>
      <c r="QMV506" s="332"/>
      <c r="QMW506" s="332"/>
      <c r="QMX506" s="332"/>
      <c r="QMY506" s="332"/>
      <c r="QMZ506" s="332"/>
      <c r="QNA506" s="332"/>
      <c r="QNB506" s="332"/>
      <c r="QNC506" s="332"/>
      <c r="QND506" s="332"/>
      <c r="QNE506" s="332"/>
      <c r="QNF506" s="332"/>
      <c r="QNG506" s="332"/>
      <c r="QNH506" s="332"/>
      <c r="QNI506" s="332"/>
      <c r="QNJ506" s="332"/>
      <c r="QNK506" s="332"/>
      <c r="QNL506" s="332"/>
      <c r="QNM506" s="332"/>
      <c r="QNN506" s="332"/>
      <c r="QNO506" s="332"/>
      <c r="QNP506" s="332"/>
      <c r="QNQ506" s="332"/>
      <c r="QNR506" s="332"/>
      <c r="QNS506" s="332"/>
      <c r="QNT506" s="332"/>
      <c r="QNU506" s="332"/>
      <c r="QNV506" s="332"/>
      <c r="QNW506" s="332"/>
      <c r="QNX506" s="332"/>
      <c r="QNY506" s="332"/>
      <c r="QNZ506" s="332"/>
      <c r="QOA506" s="332"/>
      <c r="QOB506" s="332"/>
      <c r="QOC506" s="332"/>
      <c r="QOD506" s="332"/>
      <c r="QOE506" s="332"/>
      <c r="QOF506" s="332"/>
      <c r="QOG506" s="332"/>
      <c r="QOH506" s="332"/>
      <c r="QOI506" s="332"/>
      <c r="QOJ506" s="332"/>
      <c r="QOK506" s="332"/>
      <c r="QOL506" s="332"/>
      <c r="QOM506" s="332"/>
      <c r="QON506" s="332"/>
      <c r="QOO506" s="332"/>
      <c r="QOP506" s="332"/>
      <c r="QOQ506" s="332"/>
      <c r="QOR506" s="332"/>
      <c r="QOS506" s="332"/>
      <c r="QOT506" s="332"/>
      <c r="QOU506" s="332"/>
      <c r="QOV506" s="332"/>
      <c r="QOW506" s="332"/>
      <c r="QOX506" s="332"/>
      <c r="QOY506" s="332"/>
      <c r="QOZ506" s="332"/>
      <c r="QPA506" s="332"/>
      <c r="QPB506" s="332"/>
      <c r="QPC506" s="332"/>
      <c r="QPD506" s="332"/>
      <c r="QPE506" s="332"/>
      <c r="QPF506" s="332"/>
      <c r="QPG506" s="332"/>
      <c r="QPH506" s="332"/>
      <c r="QPI506" s="332"/>
      <c r="QPJ506" s="332"/>
      <c r="QPK506" s="332"/>
      <c r="QPL506" s="332"/>
      <c r="QPM506" s="332"/>
      <c r="QPN506" s="332"/>
      <c r="QPO506" s="332"/>
      <c r="QPP506" s="332"/>
      <c r="QPQ506" s="332"/>
      <c r="QPR506" s="332"/>
      <c r="QPS506" s="332"/>
      <c r="QPT506" s="332"/>
      <c r="QPU506" s="332"/>
      <c r="QPV506" s="332"/>
      <c r="QPW506" s="332"/>
      <c r="QPX506" s="332"/>
      <c r="QPY506" s="332"/>
      <c r="QPZ506" s="332"/>
      <c r="QQA506" s="332"/>
      <c r="QQB506" s="332"/>
      <c r="QQC506" s="332"/>
      <c r="QQD506" s="332"/>
      <c r="QQE506" s="332"/>
      <c r="QQF506" s="332"/>
      <c r="QQG506" s="332"/>
      <c r="QQH506" s="332"/>
      <c r="QQI506" s="332"/>
      <c r="QQJ506" s="332"/>
      <c r="QQK506" s="332"/>
      <c r="QQL506" s="332"/>
      <c r="QQM506" s="332"/>
      <c r="QQN506" s="332"/>
      <c r="QQO506" s="332"/>
      <c r="QQP506" s="332"/>
      <c r="QQQ506" s="332"/>
      <c r="QQR506" s="332"/>
      <c r="QQS506" s="332"/>
      <c r="QQT506" s="332"/>
      <c r="QQU506" s="332"/>
      <c r="QQV506" s="332"/>
      <c r="QQW506" s="332"/>
      <c r="QQX506" s="332"/>
      <c r="QQY506" s="332"/>
      <c r="QQZ506" s="332"/>
      <c r="QRA506" s="332"/>
      <c r="QRB506" s="332"/>
      <c r="QRC506" s="332"/>
      <c r="QRD506" s="332"/>
      <c r="QRE506" s="332"/>
      <c r="QRF506" s="332"/>
      <c r="QRG506" s="332"/>
      <c r="QRH506" s="332"/>
      <c r="QRI506" s="332"/>
      <c r="QRJ506" s="332"/>
      <c r="QRK506" s="332"/>
      <c r="QRL506" s="332"/>
      <c r="QRM506" s="332"/>
      <c r="QRN506" s="332"/>
      <c r="QRO506" s="332"/>
      <c r="QRP506" s="332"/>
      <c r="QRQ506" s="332"/>
      <c r="QRR506" s="332"/>
      <c r="QRS506" s="332"/>
      <c r="QRT506" s="332"/>
      <c r="QRU506" s="332"/>
      <c r="QRV506" s="332"/>
      <c r="QRW506" s="332"/>
      <c r="QRX506" s="332"/>
      <c r="QRY506" s="332"/>
      <c r="QRZ506" s="332"/>
      <c r="QSA506" s="332"/>
      <c r="QSB506" s="332"/>
      <c r="QSC506" s="332"/>
      <c r="QSD506" s="332"/>
      <c r="QSE506" s="332"/>
      <c r="QSF506" s="332"/>
      <c r="QSG506" s="332"/>
      <c r="QSH506" s="332"/>
      <c r="QSI506" s="332"/>
      <c r="QSJ506" s="332"/>
      <c r="QSK506" s="332"/>
      <c r="QSL506" s="332"/>
      <c r="QSM506" s="332"/>
      <c r="QSN506" s="332"/>
      <c r="QSO506" s="332"/>
      <c r="QSP506" s="332"/>
      <c r="QSQ506" s="332"/>
      <c r="QSR506" s="332"/>
      <c r="QSS506" s="332"/>
      <c r="QST506" s="332"/>
      <c r="QSU506" s="332"/>
      <c r="QSV506" s="332"/>
      <c r="QSW506" s="332"/>
      <c r="QSX506" s="332"/>
      <c r="QSY506" s="332"/>
      <c r="QSZ506" s="332"/>
      <c r="QTA506" s="332"/>
      <c r="QTB506" s="332"/>
      <c r="QTC506" s="332"/>
      <c r="QTD506" s="332"/>
      <c r="QTE506" s="332"/>
      <c r="QTF506" s="332"/>
      <c r="QTG506" s="332"/>
      <c r="QTH506" s="332"/>
      <c r="QTI506" s="332"/>
      <c r="QTJ506" s="332"/>
      <c r="QTK506" s="332"/>
      <c r="QTL506" s="332"/>
      <c r="QTM506" s="332"/>
      <c r="QTN506" s="332"/>
      <c r="QTO506" s="332"/>
      <c r="QTP506" s="332"/>
      <c r="QTQ506" s="332"/>
      <c r="QTR506" s="332"/>
      <c r="QTS506" s="332"/>
      <c r="QTT506" s="332"/>
      <c r="QTU506" s="332"/>
      <c r="QTV506" s="332"/>
      <c r="QTW506" s="332"/>
      <c r="QTX506" s="332"/>
      <c r="QTY506" s="332"/>
      <c r="QTZ506" s="332"/>
      <c r="QUA506" s="332"/>
      <c r="QUB506" s="332"/>
      <c r="QUC506" s="332"/>
      <c r="QUD506" s="332"/>
      <c r="QUE506" s="332"/>
      <c r="QUF506" s="332"/>
      <c r="QUG506" s="332"/>
      <c r="QUH506" s="332"/>
      <c r="QUI506" s="332"/>
      <c r="QUJ506" s="332"/>
      <c r="QUK506" s="332"/>
      <c r="QUL506" s="332"/>
      <c r="QUM506" s="332"/>
      <c r="QUN506" s="332"/>
      <c r="QUO506" s="332"/>
      <c r="QUP506" s="332"/>
      <c r="QUQ506" s="332"/>
      <c r="QUR506" s="332"/>
      <c r="QUS506" s="332"/>
      <c r="QUT506" s="332"/>
      <c r="QUU506" s="332"/>
      <c r="QUV506" s="332"/>
      <c r="QUW506" s="332"/>
      <c r="QUX506" s="332"/>
      <c r="QUY506" s="332"/>
      <c r="QUZ506" s="332"/>
      <c r="QVA506" s="332"/>
      <c r="QVB506" s="332"/>
      <c r="QVC506" s="332"/>
      <c r="QVD506" s="332"/>
      <c r="QVE506" s="332"/>
      <c r="QVF506" s="332"/>
      <c r="QVG506" s="332"/>
      <c r="QVH506" s="332"/>
      <c r="QVI506" s="332"/>
      <c r="QVJ506" s="332"/>
      <c r="QVK506" s="332"/>
      <c r="QVL506" s="332"/>
      <c r="QVM506" s="332"/>
      <c r="QVN506" s="332"/>
      <c r="QVO506" s="332"/>
      <c r="QVP506" s="332"/>
      <c r="QVQ506" s="332"/>
      <c r="QVR506" s="332"/>
      <c r="QVS506" s="332"/>
      <c r="QVT506" s="332"/>
      <c r="QVU506" s="332"/>
      <c r="QVV506" s="332"/>
      <c r="QVW506" s="332"/>
      <c r="QVX506" s="332"/>
      <c r="QVY506" s="332"/>
      <c r="QVZ506" s="332"/>
      <c r="QWA506" s="332"/>
      <c r="QWB506" s="332"/>
      <c r="QWC506" s="332"/>
      <c r="QWD506" s="332"/>
      <c r="QWE506" s="332"/>
      <c r="QWF506" s="332"/>
      <c r="QWG506" s="332"/>
      <c r="QWH506" s="332"/>
      <c r="QWI506" s="332"/>
      <c r="QWJ506" s="332"/>
      <c r="QWK506" s="332"/>
      <c r="QWL506" s="332"/>
      <c r="QWM506" s="332"/>
      <c r="QWN506" s="332"/>
      <c r="QWO506" s="332"/>
      <c r="QWP506" s="332"/>
      <c r="QWQ506" s="332"/>
      <c r="QWR506" s="332"/>
      <c r="QWS506" s="332"/>
      <c r="QWT506" s="332"/>
      <c r="QWU506" s="332"/>
      <c r="QWV506" s="332"/>
      <c r="QWW506" s="332"/>
      <c r="QWX506" s="332"/>
      <c r="QWY506" s="332"/>
      <c r="QWZ506" s="332"/>
      <c r="QXA506" s="332"/>
      <c r="QXB506" s="332"/>
      <c r="QXC506" s="332"/>
      <c r="QXD506" s="332"/>
      <c r="QXE506" s="332"/>
      <c r="QXF506" s="332"/>
      <c r="QXG506" s="332"/>
      <c r="QXH506" s="332"/>
      <c r="QXI506" s="332"/>
      <c r="QXJ506" s="332"/>
      <c r="QXK506" s="332"/>
      <c r="QXL506" s="332"/>
      <c r="QXM506" s="332"/>
      <c r="QXN506" s="332"/>
      <c r="QXO506" s="332"/>
      <c r="QXP506" s="332"/>
      <c r="QXQ506" s="332"/>
      <c r="QXR506" s="332"/>
      <c r="QXS506" s="332"/>
      <c r="QXT506" s="332"/>
      <c r="QXU506" s="332"/>
      <c r="QXV506" s="332"/>
      <c r="QXW506" s="332"/>
      <c r="QXX506" s="332"/>
      <c r="QXY506" s="332"/>
      <c r="QXZ506" s="332"/>
      <c r="QYA506" s="332"/>
      <c r="QYB506" s="332"/>
      <c r="QYC506" s="332"/>
      <c r="QYD506" s="332"/>
      <c r="QYE506" s="332"/>
      <c r="QYF506" s="332"/>
      <c r="QYG506" s="332"/>
      <c r="QYH506" s="332"/>
      <c r="QYI506" s="332"/>
      <c r="QYJ506" s="332"/>
      <c r="QYK506" s="332"/>
      <c r="QYL506" s="332"/>
      <c r="QYM506" s="332"/>
      <c r="QYN506" s="332"/>
      <c r="QYO506" s="332"/>
      <c r="QYP506" s="332"/>
      <c r="QYQ506" s="332"/>
      <c r="QYR506" s="332"/>
      <c r="QYS506" s="332"/>
      <c r="QYT506" s="332"/>
      <c r="QYU506" s="332"/>
      <c r="QYV506" s="332"/>
      <c r="QYW506" s="332"/>
      <c r="QYX506" s="332"/>
      <c r="QYY506" s="332"/>
      <c r="QYZ506" s="332"/>
      <c r="QZA506" s="332"/>
      <c r="QZB506" s="332"/>
      <c r="QZC506" s="332"/>
      <c r="QZD506" s="332"/>
      <c r="QZE506" s="332"/>
      <c r="QZF506" s="332"/>
      <c r="QZG506" s="332"/>
      <c r="QZH506" s="332"/>
      <c r="QZI506" s="332"/>
      <c r="QZJ506" s="332"/>
      <c r="QZK506" s="332"/>
      <c r="QZL506" s="332"/>
      <c r="QZM506" s="332"/>
      <c r="QZN506" s="332"/>
      <c r="QZO506" s="332"/>
      <c r="QZP506" s="332"/>
      <c r="QZQ506" s="332"/>
      <c r="QZR506" s="332"/>
      <c r="QZS506" s="332"/>
      <c r="QZT506" s="332"/>
      <c r="QZU506" s="332"/>
      <c r="QZV506" s="332"/>
      <c r="QZW506" s="332"/>
      <c r="QZX506" s="332"/>
      <c r="QZY506" s="332"/>
      <c r="QZZ506" s="332"/>
      <c r="RAA506" s="332"/>
      <c r="RAB506" s="332"/>
      <c r="RAC506" s="332"/>
      <c r="RAD506" s="332"/>
      <c r="RAE506" s="332"/>
      <c r="RAF506" s="332"/>
      <c r="RAG506" s="332"/>
      <c r="RAH506" s="332"/>
      <c r="RAI506" s="332"/>
      <c r="RAJ506" s="332"/>
      <c r="RAK506" s="332"/>
      <c r="RAL506" s="332"/>
      <c r="RAM506" s="332"/>
      <c r="RAN506" s="332"/>
      <c r="RAO506" s="332"/>
      <c r="RAP506" s="332"/>
      <c r="RAQ506" s="332"/>
      <c r="RAR506" s="332"/>
      <c r="RAS506" s="332"/>
      <c r="RAT506" s="332"/>
      <c r="RAU506" s="332"/>
      <c r="RAV506" s="332"/>
      <c r="RAW506" s="332"/>
      <c r="RAX506" s="332"/>
      <c r="RAY506" s="332"/>
      <c r="RAZ506" s="332"/>
      <c r="RBA506" s="332"/>
      <c r="RBB506" s="332"/>
      <c r="RBC506" s="332"/>
      <c r="RBD506" s="332"/>
      <c r="RBE506" s="332"/>
      <c r="RBF506" s="332"/>
      <c r="RBG506" s="332"/>
      <c r="RBH506" s="332"/>
      <c r="RBI506" s="332"/>
      <c r="RBJ506" s="332"/>
      <c r="RBK506" s="332"/>
      <c r="RBL506" s="332"/>
      <c r="RBM506" s="332"/>
      <c r="RBN506" s="332"/>
      <c r="RBO506" s="332"/>
      <c r="RBP506" s="332"/>
      <c r="RBQ506" s="332"/>
      <c r="RBR506" s="332"/>
      <c r="RBS506" s="332"/>
      <c r="RBT506" s="332"/>
      <c r="RBU506" s="332"/>
      <c r="RBV506" s="332"/>
      <c r="RBW506" s="332"/>
      <c r="RBX506" s="332"/>
      <c r="RBY506" s="332"/>
      <c r="RBZ506" s="332"/>
      <c r="RCA506" s="332"/>
      <c r="RCB506" s="332"/>
      <c r="RCC506" s="332"/>
      <c r="RCD506" s="332"/>
      <c r="RCE506" s="332"/>
      <c r="RCF506" s="332"/>
      <c r="RCG506" s="332"/>
      <c r="RCH506" s="332"/>
      <c r="RCI506" s="332"/>
      <c r="RCJ506" s="332"/>
      <c r="RCK506" s="332"/>
      <c r="RCL506" s="332"/>
      <c r="RCM506" s="332"/>
      <c r="RCN506" s="332"/>
      <c r="RCO506" s="332"/>
      <c r="RCP506" s="332"/>
      <c r="RCQ506" s="332"/>
      <c r="RCR506" s="332"/>
      <c r="RCS506" s="332"/>
      <c r="RCT506" s="332"/>
      <c r="RCU506" s="332"/>
      <c r="RCV506" s="332"/>
      <c r="RCW506" s="332"/>
      <c r="RCX506" s="332"/>
      <c r="RCY506" s="332"/>
      <c r="RCZ506" s="332"/>
      <c r="RDA506" s="332"/>
      <c r="RDB506" s="332"/>
      <c r="RDC506" s="332"/>
      <c r="RDD506" s="332"/>
      <c r="RDE506" s="332"/>
      <c r="RDF506" s="332"/>
      <c r="RDG506" s="332"/>
      <c r="RDH506" s="332"/>
      <c r="RDI506" s="332"/>
      <c r="RDJ506" s="332"/>
      <c r="RDK506" s="332"/>
      <c r="RDL506" s="332"/>
      <c r="RDM506" s="332"/>
      <c r="RDN506" s="332"/>
      <c r="RDO506" s="332"/>
      <c r="RDP506" s="332"/>
      <c r="RDQ506" s="332"/>
      <c r="RDR506" s="332"/>
      <c r="RDS506" s="332"/>
      <c r="RDT506" s="332"/>
      <c r="RDU506" s="332"/>
      <c r="RDV506" s="332"/>
      <c r="RDW506" s="332"/>
      <c r="RDX506" s="332"/>
      <c r="RDY506" s="332"/>
      <c r="RDZ506" s="332"/>
      <c r="REA506" s="332"/>
      <c r="REB506" s="332"/>
      <c r="REC506" s="332"/>
      <c r="RED506" s="332"/>
      <c r="REE506" s="332"/>
      <c r="REF506" s="332"/>
      <c r="REG506" s="332"/>
      <c r="REH506" s="332"/>
      <c r="REI506" s="332"/>
      <c r="REJ506" s="332"/>
      <c r="REK506" s="332"/>
      <c r="REL506" s="332"/>
      <c r="REM506" s="332"/>
      <c r="REN506" s="332"/>
      <c r="REO506" s="332"/>
      <c r="REP506" s="332"/>
      <c r="REQ506" s="332"/>
      <c r="RER506" s="332"/>
      <c r="RES506" s="332"/>
      <c r="RET506" s="332"/>
      <c r="REU506" s="332"/>
      <c r="REV506" s="332"/>
      <c r="REW506" s="332"/>
      <c r="REX506" s="332"/>
      <c r="REY506" s="332"/>
      <c r="REZ506" s="332"/>
      <c r="RFA506" s="332"/>
      <c r="RFB506" s="332"/>
      <c r="RFC506" s="332"/>
      <c r="RFD506" s="332"/>
      <c r="RFE506" s="332"/>
      <c r="RFF506" s="332"/>
      <c r="RFG506" s="332"/>
      <c r="RFH506" s="332"/>
      <c r="RFI506" s="332"/>
      <c r="RFJ506" s="332"/>
      <c r="RFK506" s="332"/>
      <c r="RFL506" s="332"/>
      <c r="RFM506" s="332"/>
      <c r="RFN506" s="332"/>
      <c r="RFO506" s="332"/>
      <c r="RFP506" s="332"/>
      <c r="RFQ506" s="332"/>
      <c r="RFR506" s="332"/>
      <c r="RFS506" s="332"/>
      <c r="RFT506" s="332"/>
      <c r="RFU506" s="332"/>
      <c r="RFV506" s="332"/>
      <c r="RFW506" s="332"/>
      <c r="RFX506" s="332"/>
      <c r="RFY506" s="332"/>
      <c r="RFZ506" s="332"/>
      <c r="RGA506" s="332"/>
      <c r="RGB506" s="332"/>
      <c r="RGC506" s="332"/>
      <c r="RGD506" s="332"/>
      <c r="RGE506" s="332"/>
      <c r="RGF506" s="332"/>
      <c r="RGG506" s="332"/>
      <c r="RGH506" s="332"/>
      <c r="RGI506" s="332"/>
      <c r="RGJ506" s="332"/>
      <c r="RGK506" s="332"/>
      <c r="RGL506" s="332"/>
      <c r="RGM506" s="332"/>
      <c r="RGN506" s="332"/>
      <c r="RGO506" s="332"/>
      <c r="RGP506" s="332"/>
      <c r="RGQ506" s="332"/>
      <c r="RGR506" s="332"/>
      <c r="RGS506" s="332"/>
      <c r="RGT506" s="332"/>
      <c r="RGU506" s="332"/>
      <c r="RGV506" s="332"/>
      <c r="RGW506" s="332"/>
      <c r="RGX506" s="332"/>
      <c r="RGY506" s="332"/>
      <c r="RGZ506" s="332"/>
      <c r="RHA506" s="332"/>
      <c r="RHB506" s="332"/>
      <c r="RHC506" s="332"/>
      <c r="RHD506" s="332"/>
      <c r="RHE506" s="332"/>
      <c r="RHF506" s="332"/>
      <c r="RHG506" s="332"/>
      <c r="RHH506" s="332"/>
      <c r="RHI506" s="332"/>
      <c r="RHJ506" s="332"/>
      <c r="RHK506" s="332"/>
      <c r="RHL506" s="332"/>
      <c r="RHM506" s="332"/>
      <c r="RHN506" s="332"/>
      <c r="RHO506" s="332"/>
      <c r="RHP506" s="332"/>
      <c r="RHQ506" s="332"/>
      <c r="RHR506" s="332"/>
      <c r="RHS506" s="332"/>
      <c r="RHT506" s="332"/>
      <c r="RHU506" s="332"/>
      <c r="RHV506" s="332"/>
      <c r="RHW506" s="332"/>
      <c r="RHX506" s="332"/>
      <c r="RHY506" s="332"/>
      <c r="RHZ506" s="332"/>
      <c r="RIA506" s="332"/>
      <c r="RIB506" s="332"/>
      <c r="RIC506" s="332"/>
      <c r="RID506" s="332"/>
      <c r="RIE506" s="332"/>
      <c r="RIF506" s="332"/>
      <c r="RIG506" s="332"/>
      <c r="RIH506" s="332"/>
      <c r="RII506" s="332"/>
      <c r="RIJ506" s="332"/>
      <c r="RIK506" s="332"/>
      <c r="RIL506" s="332"/>
      <c r="RIM506" s="332"/>
      <c r="RIN506" s="332"/>
      <c r="RIO506" s="332"/>
      <c r="RIP506" s="332"/>
      <c r="RIQ506" s="332"/>
      <c r="RIR506" s="332"/>
      <c r="RIS506" s="332"/>
      <c r="RIT506" s="332"/>
      <c r="RIU506" s="332"/>
      <c r="RIV506" s="332"/>
      <c r="RIW506" s="332"/>
      <c r="RIX506" s="332"/>
      <c r="RIY506" s="332"/>
      <c r="RIZ506" s="332"/>
      <c r="RJA506" s="332"/>
      <c r="RJB506" s="332"/>
      <c r="RJC506" s="332"/>
      <c r="RJD506" s="332"/>
      <c r="RJE506" s="332"/>
      <c r="RJF506" s="332"/>
      <c r="RJG506" s="332"/>
      <c r="RJH506" s="332"/>
      <c r="RJI506" s="332"/>
      <c r="RJJ506" s="332"/>
      <c r="RJK506" s="332"/>
      <c r="RJL506" s="332"/>
      <c r="RJM506" s="332"/>
      <c r="RJN506" s="332"/>
      <c r="RJO506" s="332"/>
      <c r="RJP506" s="332"/>
      <c r="RJQ506" s="332"/>
      <c r="RJR506" s="332"/>
      <c r="RJS506" s="332"/>
      <c r="RJT506" s="332"/>
      <c r="RJU506" s="332"/>
      <c r="RJV506" s="332"/>
      <c r="RJW506" s="332"/>
      <c r="RJX506" s="332"/>
      <c r="RJY506" s="332"/>
      <c r="RJZ506" s="332"/>
      <c r="RKA506" s="332"/>
      <c r="RKB506" s="332"/>
      <c r="RKC506" s="332"/>
      <c r="RKD506" s="332"/>
      <c r="RKE506" s="332"/>
      <c r="RKF506" s="332"/>
      <c r="RKG506" s="332"/>
      <c r="RKH506" s="332"/>
      <c r="RKI506" s="332"/>
      <c r="RKJ506" s="332"/>
      <c r="RKK506" s="332"/>
      <c r="RKL506" s="332"/>
      <c r="RKM506" s="332"/>
      <c r="RKN506" s="332"/>
      <c r="RKO506" s="332"/>
      <c r="RKP506" s="332"/>
      <c r="RKQ506" s="332"/>
      <c r="RKR506" s="332"/>
      <c r="RKS506" s="332"/>
      <c r="RKT506" s="332"/>
      <c r="RKU506" s="332"/>
      <c r="RKV506" s="332"/>
      <c r="RKW506" s="332"/>
      <c r="RKX506" s="332"/>
      <c r="RKY506" s="332"/>
      <c r="RKZ506" s="332"/>
      <c r="RLA506" s="332"/>
      <c r="RLB506" s="332"/>
      <c r="RLC506" s="332"/>
      <c r="RLD506" s="332"/>
      <c r="RLE506" s="332"/>
      <c r="RLF506" s="332"/>
      <c r="RLG506" s="332"/>
      <c r="RLH506" s="332"/>
      <c r="RLI506" s="332"/>
      <c r="RLJ506" s="332"/>
      <c r="RLK506" s="332"/>
      <c r="RLL506" s="332"/>
      <c r="RLM506" s="332"/>
      <c r="RLN506" s="332"/>
      <c r="RLO506" s="332"/>
      <c r="RLP506" s="332"/>
      <c r="RLQ506" s="332"/>
      <c r="RLR506" s="332"/>
      <c r="RLS506" s="332"/>
      <c r="RLT506" s="332"/>
      <c r="RLU506" s="332"/>
      <c r="RLV506" s="332"/>
      <c r="RLW506" s="332"/>
      <c r="RLX506" s="332"/>
      <c r="RLY506" s="332"/>
      <c r="RLZ506" s="332"/>
      <c r="RMA506" s="332"/>
      <c r="RMB506" s="332"/>
      <c r="RMC506" s="332"/>
      <c r="RMD506" s="332"/>
      <c r="RME506" s="332"/>
      <c r="RMF506" s="332"/>
      <c r="RMG506" s="332"/>
      <c r="RMH506" s="332"/>
      <c r="RMI506" s="332"/>
      <c r="RMJ506" s="332"/>
      <c r="RMK506" s="332"/>
      <c r="RML506" s="332"/>
      <c r="RMM506" s="332"/>
      <c r="RMN506" s="332"/>
      <c r="RMO506" s="332"/>
      <c r="RMP506" s="332"/>
      <c r="RMQ506" s="332"/>
      <c r="RMR506" s="332"/>
      <c r="RMS506" s="332"/>
      <c r="RMT506" s="332"/>
      <c r="RMU506" s="332"/>
      <c r="RMV506" s="332"/>
      <c r="RMW506" s="332"/>
      <c r="RMX506" s="332"/>
      <c r="RMY506" s="332"/>
      <c r="RMZ506" s="332"/>
      <c r="RNA506" s="332"/>
      <c r="RNB506" s="332"/>
      <c r="RNC506" s="332"/>
      <c r="RND506" s="332"/>
      <c r="RNE506" s="332"/>
      <c r="RNF506" s="332"/>
      <c r="RNG506" s="332"/>
      <c r="RNH506" s="332"/>
      <c r="RNI506" s="332"/>
      <c r="RNJ506" s="332"/>
      <c r="RNK506" s="332"/>
      <c r="RNL506" s="332"/>
      <c r="RNM506" s="332"/>
      <c r="RNN506" s="332"/>
      <c r="RNO506" s="332"/>
      <c r="RNP506" s="332"/>
      <c r="RNQ506" s="332"/>
      <c r="RNR506" s="332"/>
      <c r="RNS506" s="332"/>
      <c r="RNT506" s="332"/>
      <c r="RNU506" s="332"/>
      <c r="RNV506" s="332"/>
      <c r="RNW506" s="332"/>
      <c r="RNX506" s="332"/>
      <c r="RNY506" s="332"/>
      <c r="RNZ506" s="332"/>
      <c r="ROA506" s="332"/>
      <c r="ROB506" s="332"/>
      <c r="ROC506" s="332"/>
      <c r="ROD506" s="332"/>
      <c r="ROE506" s="332"/>
      <c r="ROF506" s="332"/>
      <c r="ROG506" s="332"/>
      <c r="ROH506" s="332"/>
      <c r="ROI506" s="332"/>
      <c r="ROJ506" s="332"/>
      <c r="ROK506" s="332"/>
      <c r="ROL506" s="332"/>
      <c r="ROM506" s="332"/>
      <c r="RON506" s="332"/>
      <c r="ROO506" s="332"/>
      <c r="ROP506" s="332"/>
      <c r="ROQ506" s="332"/>
      <c r="ROR506" s="332"/>
      <c r="ROS506" s="332"/>
      <c r="ROT506" s="332"/>
      <c r="ROU506" s="332"/>
      <c r="ROV506" s="332"/>
      <c r="ROW506" s="332"/>
      <c r="ROX506" s="332"/>
      <c r="ROY506" s="332"/>
      <c r="ROZ506" s="332"/>
      <c r="RPA506" s="332"/>
      <c r="RPB506" s="332"/>
      <c r="RPC506" s="332"/>
      <c r="RPD506" s="332"/>
      <c r="RPE506" s="332"/>
      <c r="RPF506" s="332"/>
      <c r="RPG506" s="332"/>
      <c r="RPH506" s="332"/>
      <c r="RPI506" s="332"/>
      <c r="RPJ506" s="332"/>
      <c r="RPK506" s="332"/>
      <c r="RPL506" s="332"/>
      <c r="RPM506" s="332"/>
      <c r="RPN506" s="332"/>
      <c r="RPO506" s="332"/>
      <c r="RPP506" s="332"/>
      <c r="RPQ506" s="332"/>
      <c r="RPR506" s="332"/>
      <c r="RPS506" s="332"/>
      <c r="RPT506" s="332"/>
      <c r="RPU506" s="332"/>
      <c r="RPV506" s="332"/>
      <c r="RPW506" s="332"/>
      <c r="RPX506" s="332"/>
      <c r="RPY506" s="332"/>
      <c r="RPZ506" s="332"/>
      <c r="RQA506" s="332"/>
      <c r="RQB506" s="332"/>
      <c r="RQC506" s="332"/>
      <c r="RQD506" s="332"/>
      <c r="RQE506" s="332"/>
      <c r="RQF506" s="332"/>
      <c r="RQG506" s="332"/>
      <c r="RQH506" s="332"/>
      <c r="RQI506" s="332"/>
      <c r="RQJ506" s="332"/>
      <c r="RQK506" s="332"/>
      <c r="RQL506" s="332"/>
      <c r="RQM506" s="332"/>
      <c r="RQN506" s="332"/>
      <c r="RQO506" s="332"/>
      <c r="RQP506" s="332"/>
      <c r="RQQ506" s="332"/>
      <c r="RQR506" s="332"/>
      <c r="RQS506" s="332"/>
      <c r="RQT506" s="332"/>
      <c r="RQU506" s="332"/>
      <c r="RQV506" s="332"/>
      <c r="RQW506" s="332"/>
      <c r="RQX506" s="332"/>
      <c r="RQY506" s="332"/>
      <c r="RQZ506" s="332"/>
      <c r="RRA506" s="332"/>
      <c r="RRB506" s="332"/>
      <c r="RRC506" s="332"/>
      <c r="RRD506" s="332"/>
      <c r="RRE506" s="332"/>
      <c r="RRF506" s="332"/>
      <c r="RRG506" s="332"/>
      <c r="RRH506" s="332"/>
      <c r="RRI506" s="332"/>
      <c r="RRJ506" s="332"/>
      <c r="RRK506" s="332"/>
      <c r="RRL506" s="332"/>
      <c r="RRM506" s="332"/>
      <c r="RRN506" s="332"/>
      <c r="RRO506" s="332"/>
      <c r="RRP506" s="332"/>
      <c r="RRQ506" s="332"/>
      <c r="RRR506" s="332"/>
      <c r="RRS506" s="332"/>
      <c r="RRT506" s="332"/>
      <c r="RRU506" s="332"/>
      <c r="RRV506" s="332"/>
      <c r="RRW506" s="332"/>
      <c r="RRX506" s="332"/>
      <c r="RRY506" s="332"/>
      <c r="RRZ506" s="332"/>
      <c r="RSA506" s="332"/>
      <c r="RSB506" s="332"/>
      <c r="RSC506" s="332"/>
      <c r="RSD506" s="332"/>
      <c r="RSE506" s="332"/>
      <c r="RSF506" s="332"/>
      <c r="RSG506" s="332"/>
      <c r="RSH506" s="332"/>
      <c r="RSI506" s="332"/>
      <c r="RSJ506" s="332"/>
      <c r="RSK506" s="332"/>
      <c r="RSL506" s="332"/>
      <c r="RSM506" s="332"/>
      <c r="RSN506" s="332"/>
      <c r="RSO506" s="332"/>
      <c r="RSP506" s="332"/>
      <c r="RSQ506" s="332"/>
      <c r="RSR506" s="332"/>
      <c r="RSS506" s="332"/>
      <c r="RST506" s="332"/>
      <c r="RSU506" s="332"/>
      <c r="RSV506" s="332"/>
      <c r="RSW506" s="332"/>
      <c r="RSX506" s="332"/>
      <c r="RSY506" s="332"/>
      <c r="RSZ506" s="332"/>
      <c r="RTA506" s="332"/>
      <c r="RTB506" s="332"/>
      <c r="RTC506" s="332"/>
      <c r="RTD506" s="332"/>
      <c r="RTE506" s="332"/>
      <c r="RTF506" s="332"/>
      <c r="RTG506" s="332"/>
      <c r="RTH506" s="332"/>
      <c r="RTI506" s="332"/>
      <c r="RTJ506" s="332"/>
      <c r="RTK506" s="332"/>
      <c r="RTL506" s="332"/>
      <c r="RTM506" s="332"/>
      <c r="RTN506" s="332"/>
      <c r="RTO506" s="332"/>
      <c r="RTP506" s="332"/>
      <c r="RTQ506" s="332"/>
      <c r="RTR506" s="332"/>
      <c r="RTS506" s="332"/>
      <c r="RTT506" s="332"/>
      <c r="RTU506" s="332"/>
      <c r="RTV506" s="332"/>
      <c r="RTW506" s="332"/>
      <c r="RTX506" s="332"/>
      <c r="RTY506" s="332"/>
      <c r="RTZ506" s="332"/>
      <c r="RUA506" s="332"/>
      <c r="RUB506" s="332"/>
      <c r="RUC506" s="332"/>
      <c r="RUD506" s="332"/>
      <c r="RUE506" s="332"/>
      <c r="RUF506" s="332"/>
      <c r="RUG506" s="332"/>
      <c r="RUH506" s="332"/>
      <c r="RUI506" s="332"/>
      <c r="RUJ506" s="332"/>
      <c r="RUK506" s="332"/>
      <c r="RUL506" s="332"/>
      <c r="RUM506" s="332"/>
      <c r="RUN506" s="332"/>
      <c r="RUO506" s="332"/>
      <c r="RUP506" s="332"/>
      <c r="RUQ506" s="332"/>
      <c r="RUR506" s="332"/>
      <c r="RUS506" s="332"/>
      <c r="RUT506" s="332"/>
      <c r="RUU506" s="332"/>
      <c r="RUV506" s="332"/>
      <c r="RUW506" s="332"/>
      <c r="RUX506" s="332"/>
      <c r="RUY506" s="332"/>
      <c r="RUZ506" s="332"/>
      <c r="RVA506" s="332"/>
      <c r="RVB506" s="332"/>
      <c r="RVC506" s="332"/>
      <c r="RVD506" s="332"/>
      <c r="RVE506" s="332"/>
      <c r="RVF506" s="332"/>
      <c r="RVG506" s="332"/>
      <c r="RVH506" s="332"/>
      <c r="RVI506" s="332"/>
      <c r="RVJ506" s="332"/>
      <c r="RVK506" s="332"/>
      <c r="RVL506" s="332"/>
      <c r="RVM506" s="332"/>
      <c r="RVN506" s="332"/>
      <c r="RVO506" s="332"/>
      <c r="RVP506" s="332"/>
      <c r="RVQ506" s="332"/>
      <c r="RVR506" s="332"/>
      <c r="RVS506" s="332"/>
      <c r="RVT506" s="332"/>
      <c r="RVU506" s="332"/>
      <c r="RVV506" s="332"/>
      <c r="RVW506" s="332"/>
      <c r="RVX506" s="332"/>
      <c r="RVY506" s="332"/>
      <c r="RVZ506" s="332"/>
      <c r="RWA506" s="332"/>
      <c r="RWB506" s="332"/>
      <c r="RWC506" s="332"/>
      <c r="RWD506" s="332"/>
      <c r="RWE506" s="332"/>
      <c r="RWF506" s="332"/>
      <c r="RWG506" s="332"/>
      <c r="RWH506" s="332"/>
      <c r="RWI506" s="332"/>
      <c r="RWJ506" s="332"/>
      <c r="RWK506" s="332"/>
      <c r="RWL506" s="332"/>
      <c r="RWM506" s="332"/>
      <c r="RWN506" s="332"/>
      <c r="RWO506" s="332"/>
      <c r="RWP506" s="332"/>
      <c r="RWQ506" s="332"/>
      <c r="RWR506" s="332"/>
      <c r="RWS506" s="332"/>
      <c r="RWT506" s="332"/>
      <c r="RWU506" s="332"/>
      <c r="RWV506" s="332"/>
      <c r="RWW506" s="332"/>
      <c r="RWX506" s="332"/>
      <c r="RWY506" s="332"/>
      <c r="RWZ506" s="332"/>
      <c r="RXA506" s="332"/>
      <c r="RXB506" s="332"/>
      <c r="RXC506" s="332"/>
      <c r="RXD506" s="332"/>
      <c r="RXE506" s="332"/>
      <c r="RXF506" s="332"/>
      <c r="RXG506" s="332"/>
      <c r="RXH506" s="332"/>
      <c r="RXI506" s="332"/>
      <c r="RXJ506" s="332"/>
      <c r="RXK506" s="332"/>
      <c r="RXL506" s="332"/>
      <c r="RXM506" s="332"/>
      <c r="RXN506" s="332"/>
      <c r="RXO506" s="332"/>
      <c r="RXP506" s="332"/>
      <c r="RXQ506" s="332"/>
      <c r="RXR506" s="332"/>
      <c r="RXS506" s="332"/>
      <c r="RXT506" s="332"/>
      <c r="RXU506" s="332"/>
      <c r="RXV506" s="332"/>
      <c r="RXW506" s="332"/>
      <c r="RXX506" s="332"/>
      <c r="RXY506" s="332"/>
      <c r="RXZ506" s="332"/>
      <c r="RYA506" s="332"/>
      <c r="RYB506" s="332"/>
      <c r="RYC506" s="332"/>
      <c r="RYD506" s="332"/>
      <c r="RYE506" s="332"/>
      <c r="RYF506" s="332"/>
      <c r="RYG506" s="332"/>
      <c r="RYH506" s="332"/>
      <c r="RYI506" s="332"/>
      <c r="RYJ506" s="332"/>
      <c r="RYK506" s="332"/>
      <c r="RYL506" s="332"/>
      <c r="RYM506" s="332"/>
      <c r="RYN506" s="332"/>
      <c r="RYO506" s="332"/>
      <c r="RYP506" s="332"/>
      <c r="RYQ506" s="332"/>
      <c r="RYR506" s="332"/>
      <c r="RYS506" s="332"/>
      <c r="RYT506" s="332"/>
      <c r="RYU506" s="332"/>
      <c r="RYV506" s="332"/>
      <c r="RYW506" s="332"/>
      <c r="RYX506" s="332"/>
      <c r="RYY506" s="332"/>
      <c r="RYZ506" s="332"/>
      <c r="RZA506" s="332"/>
      <c r="RZB506" s="332"/>
      <c r="RZC506" s="332"/>
      <c r="RZD506" s="332"/>
      <c r="RZE506" s="332"/>
      <c r="RZF506" s="332"/>
      <c r="RZG506" s="332"/>
      <c r="RZH506" s="332"/>
      <c r="RZI506" s="332"/>
      <c r="RZJ506" s="332"/>
      <c r="RZK506" s="332"/>
      <c r="RZL506" s="332"/>
      <c r="RZM506" s="332"/>
      <c r="RZN506" s="332"/>
      <c r="RZO506" s="332"/>
      <c r="RZP506" s="332"/>
      <c r="RZQ506" s="332"/>
      <c r="RZR506" s="332"/>
      <c r="RZS506" s="332"/>
      <c r="RZT506" s="332"/>
      <c r="RZU506" s="332"/>
      <c r="RZV506" s="332"/>
      <c r="RZW506" s="332"/>
      <c r="RZX506" s="332"/>
      <c r="RZY506" s="332"/>
      <c r="RZZ506" s="332"/>
      <c r="SAA506" s="332"/>
      <c r="SAB506" s="332"/>
      <c r="SAC506" s="332"/>
      <c r="SAD506" s="332"/>
      <c r="SAE506" s="332"/>
      <c r="SAF506" s="332"/>
      <c r="SAG506" s="332"/>
      <c r="SAH506" s="332"/>
      <c r="SAI506" s="332"/>
      <c r="SAJ506" s="332"/>
      <c r="SAK506" s="332"/>
      <c r="SAL506" s="332"/>
      <c r="SAM506" s="332"/>
      <c r="SAN506" s="332"/>
      <c r="SAO506" s="332"/>
      <c r="SAP506" s="332"/>
      <c r="SAQ506" s="332"/>
      <c r="SAR506" s="332"/>
      <c r="SAS506" s="332"/>
      <c r="SAT506" s="332"/>
      <c r="SAU506" s="332"/>
      <c r="SAV506" s="332"/>
      <c r="SAW506" s="332"/>
      <c r="SAX506" s="332"/>
      <c r="SAY506" s="332"/>
      <c r="SAZ506" s="332"/>
      <c r="SBA506" s="332"/>
      <c r="SBB506" s="332"/>
      <c r="SBC506" s="332"/>
      <c r="SBD506" s="332"/>
      <c r="SBE506" s="332"/>
      <c r="SBF506" s="332"/>
      <c r="SBG506" s="332"/>
      <c r="SBH506" s="332"/>
      <c r="SBI506" s="332"/>
      <c r="SBJ506" s="332"/>
      <c r="SBK506" s="332"/>
      <c r="SBL506" s="332"/>
      <c r="SBM506" s="332"/>
      <c r="SBN506" s="332"/>
      <c r="SBO506" s="332"/>
      <c r="SBP506" s="332"/>
      <c r="SBQ506" s="332"/>
      <c r="SBR506" s="332"/>
      <c r="SBS506" s="332"/>
      <c r="SBT506" s="332"/>
      <c r="SBU506" s="332"/>
      <c r="SBV506" s="332"/>
      <c r="SBW506" s="332"/>
      <c r="SBX506" s="332"/>
      <c r="SBY506" s="332"/>
      <c r="SBZ506" s="332"/>
      <c r="SCA506" s="332"/>
      <c r="SCB506" s="332"/>
      <c r="SCC506" s="332"/>
      <c r="SCD506" s="332"/>
      <c r="SCE506" s="332"/>
      <c r="SCF506" s="332"/>
      <c r="SCG506" s="332"/>
      <c r="SCH506" s="332"/>
      <c r="SCI506" s="332"/>
      <c r="SCJ506" s="332"/>
      <c r="SCK506" s="332"/>
      <c r="SCL506" s="332"/>
      <c r="SCM506" s="332"/>
      <c r="SCN506" s="332"/>
      <c r="SCO506" s="332"/>
      <c r="SCP506" s="332"/>
      <c r="SCQ506" s="332"/>
      <c r="SCR506" s="332"/>
      <c r="SCS506" s="332"/>
      <c r="SCT506" s="332"/>
      <c r="SCU506" s="332"/>
      <c r="SCV506" s="332"/>
      <c r="SCW506" s="332"/>
      <c r="SCX506" s="332"/>
      <c r="SCY506" s="332"/>
      <c r="SCZ506" s="332"/>
      <c r="SDA506" s="332"/>
      <c r="SDB506" s="332"/>
      <c r="SDC506" s="332"/>
      <c r="SDD506" s="332"/>
      <c r="SDE506" s="332"/>
      <c r="SDF506" s="332"/>
      <c r="SDG506" s="332"/>
      <c r="SDH506" s="332"/>
      <c r="SDI506" s="332"/>
      <c r="SDJ506" s="332"/>
      <c r="SDK506" s="332"/>
      <c r="SDL506" s="332"/>
      <c r="SDM506" s="332"/>
      <c r="SDN506" s="332"/>
      <c r="SDO506" s="332"/>
      <c r="SDP506" s="332"/>
      <c r="SDQ506" s="332"/>
      <c r="SDR506" s="332"/>
      <c r="SDS506" s="332"/>
      <c r="SDT506" s="332"/>
      <c r="SDU506" s="332"/>
      <c r="SDV506" s="332"/>
      <c r="SDW506" s="332"/>
      <c r="SDX506" s="332"/>
      <c r="SDY506" s="332"/>
      <c r="SDZ506" s="332"/>
      <c r="SEA506" s="332"/>
      <c r="SEB506" s="332"/>
      <c r="SEC506" s="332"/>
      <c r="SED506" s="332"/>
      <c r="SEE506" s="332"/>
      <c r="SEF506" s="332"/>
      <c r="SEG506" s="332"/>
      <c r="SEH506" s="332"/>
      <c r="SEI506" s="332"/>
      <c r="SEJ506" s="332"/>
      <c r="SEK506" s="332"/>
      <c r="SEL506" s="332"/>
      <c r="SEM506" s="332"/>
      <c r="SEN506" s="332"/>
      <c r="SEO506" s="332"/>
      <c r="SEP506" s="332"/>
      <c r="SEQ506" s="332"/>
      <c r="SER506" s="332"/>
      <c r="SES506" s="332"/>
      <c r="SET506" s="332"/>
      <c r="SEU506" s="332"/>
      <c r="SEV506" s="332"/>
      <c r="SEW506" s="332"/>
      <c r="SEX506" s="332"/>
      <c r="SEY506" s="332"/>
      <c r="SEZ506" s="332"/>
      <c r="SFA506" s="332"/>
      <c r="SFB506" s="332"/>
      <c r="SFC506" s="332"/>
      <c r="SFD506" s="332"/>
      <c r="SFE506" s="332"/>
      <c r="SFF506" s="332"/>
      <c r="SFG506" s="332"/>
      <c r="SFH506" s="332"/>
      <c r="SFI506" s="332"/>
      <c r="SFJ506" s="332"/>
      <c r="SFK506" s="332"/>
      <c r="SFL506" s="332"/>
      <c r="SFM506" s="332"/>
      <c r="SFN506" s="332"/>
      <c r="SFO506" s="332"/>
      <c r="SFP506" s="332"/>
      <c r="SFQ506" s="332"/>
      <c r="SFR506" s="332"/>
      <c r="SFS506" s="332"/>
      <c r="SFT506" s="332"/>
      <c r="SFU506" s="332"/>
      <c r="SFV506" s="332"/>
      <c r="SFW506" s="332"/>
      <c r="SFX506" s="332"/>
      <c r="SFY506" s="332"/>
      <c r="SFZ506" s="332"/>
      <c r="SGA506" s="332"/>
      <c r="SGB506" s="332"/>
      <c r="SGC506" s="332"/>
      <c r="SGD506" s="332"/>
      <c r="SGE506" s="332"/>
      <c r="SGF506" s="332"/>
      <c r="SGG506" s="332"/>
      <c r="SGH506" s="332"/>
      <c r="SGI506" s="332"/>
      <c r="SGJ506" s="332"/>
      <c r="SGK506" s="332"/>
      <c r="SGL506" s="332"/>
      <c r="SGM506" s="332"/>
      <c r="SGN506" s="332"/>
      <c r="SGO506" s="332"/>
      <c r="SGP506" s="332"/>
      <c r="SGQ506" s="332"/>
      <c r="SGR506" s="332"/>
      <c r="SGS506" s="332"/>
      <c r="SGT506" s="332"/>
      <c r="SGU506" s="332"/>
      <c r="SGV506" s="332"/>
      <c r="SGW506" s="332"/>
      <c r="SGX506" s="332"/>
      <c r="SGY506" s="332"/>
      <c r="SGZ506" s="332"/>
      <c r="SHA506" s="332"/>
      <c r="SHB506" s="332"/>
      <c r="SHC506" s="332"/>
      <c r="SHD506" s="332"/>
      <c r="SHE506" s="332"/>
      <c r="SHF506" s="332"/>
      <c r="SHG506" s="332"/>
      <c r="SHH506" s="332"/>
      <c r="SHI506" s="332"/>
      <c r="SHJ506" s="332"/>
      <c r="SHK506" s="332"/>
      <c r="SHL506" s="332"/>
      <c r="SHM506" s="332"/>
      <c r="SHN506" s="332"/>
      <c r="SHO506" s="332"/>
      <c r="SHP506" s="332"/>
      <c r="SHQ506" s="332"/>
      <c r="SHR506" s="332"/>
      <c r="SHS506" s="332"/>
      <c r="SHT506" s="332"/>
      <c r="SHU506" s="332"/>
      <c r="SHV506" s="332"/>
      <c r="SHW506" s="332"/>
      <c r="SHX506" s="332"/>
      <c r="SHY506" s="332"/>
      <c r="SHZ506" s="332"/>
      <c r="SIA506" s="332"/>
      <c r="SIB506" s="332"/>
      <c r="SIC506" s="332"/>
      <c r="SID506" s="332"/>
      <c r="SIE506" s="332"/>
      <c r="SIF506" s="332"/>
      <c r="SIG506" s="332"/>
      <c r="SIH506" s="332"/>
      <c r="SII506" s="332"/>
      <c r="SIJ506" s="332"/>
      <c r="SIK506" s="332"/>
      <c r="SIL506" s="332"/>
      <c r="SIM506" s="332"/>
      <c r="SIN506" s="332"/>
      <c r="SIO506" s="332"/>
      <c r="SIP506" s="332"/>
      <c r="SIQ506" s="332"/>
      <c r="SIR506" s="332"/>
      <c r="SIS506" s="332"/>
      <c r="SIT506" s="332"/>
      <c r="SIU506" s="332"/>
      <c r="SIV506" s="332"/>
      <c r="SIW506" s="332"/>
      <c r="SIX506" s="332"/>
      <c r="SIY506" s="332"/>
      <c r="SIZ506" s="332"/>
      <c r="SJA506" s="332"/>
      <c r="SJB506" s="332"/>
      <c r="SJC506" s="332"/>
      <c r="SJD506" s="332"/>
      <c r="SJE506" s="332"/>
      <c r="SJF506" s="332"/>
      <c r="SJG506" s="332"/>
      <c r="SJH506" s="332"/>
      <c r="SJI506" s="332"/>
      <c r="SJJ506" s="332"/>
      <c r="SJK506" s="332"/>
      <c r="SJL506" s="332"/>
      <c r="SJM506" s="332"/>
      <c r="SJN506" s="332"/>
      <c r="SJO506" s="332"/>
      <c r="SJP506" s="332"/>
      <c r="SJQ506" s="332"/>
      <c r="SJR506" s="332"/>
      <c r="SJS506" s="332"/>
      <c r="SJT506" s="332"/>
      <c r="SJU506" s="332"/>
      <c r="SJV506" s="332"/>
      <c r="SJW506" s="332"/>
      <c r="SJX506" s="332"/>
      <c r="SJY506" s="332"/>
      <c r="SJZ506" s="332"/>
      <c r="SKA506" s="332"/>
      <c r="SKB506" s="332"/>
      <c r="SKC506" s="332"/>
      <c r="SKD506" s="332"/>
      <c r="SKE506" s="332"/>
      <c r="SKF506" s="332"/>
      <c r="SKG506" s="332"/>
      <c r="SKH506" s="332"/>
      <c r="SKI506" s="332"/>
      <c r="SKJ506" s="332"/>
      <c r="SKK506" s="332"/>
      <c r="SKL506" s="332"/>
      <c r="SKM506" s="332"/>
      <c r="SKN506" s="332"/>
      <c r="SKO506" s="332"/>
      <c r="SKP506" s="332"/>
      <c r="SKQ506" s="332"/>
      <c r="SKR506" s="332"/>
      <c r="SKS506" s="332"/>
      <c r="SKT506" s="332"/>
      <c r="SKU506" s="332"/>
      <c r="SKV506" s="332"/>
      <c r="SKW506" s="332"/>
      <c r="SKX506" s="332"/>
      <c r="SKY506" s="332"/>
      <c r="SKZ506" s="332"/>
      <c r="SLA506" s="332"/>
      <c r="SLB506" s="332"/>
      <c r="SLC506" s="332"/>
      <c r="SLD506" s="332"/>
      <c r="SLE506" s="332"/>
      <c r="SLF506" s="332"/>
      <c r="SLG506" s="332"/>
      <c r="SLH506" s="332"/>
      <c r="SLI506" s="332"/>
      <c r="SLJ506" s="332"/>
      <c r="SLK506" s="332"/>
      <c r="SLL506" s="332"/>
      <c r="SLM506" s="332"/>
      <c r="SLN506" s="332"/>
      <c r="SLO506" s="332"/>
      <c r="SLP506" s="332"/>
      <c r="SLQ506" s="332"/>
      <c r="SLR506" s="332"/>
      <c r="SLS506" s="332"/>
      <c r="SLT506" s="332"/>
      <c r="SLU506" s="332"/>
      <c r="SLV506" s="332"/>
      <c r="SLW506" s="332"/>
      <c r="SLX506" s="332"/>
      <c r="SLY506" s="332"/>
      <c r="SLZ506" s="332"/>
      <c r="SMA506" s="332"/>
      <c r="SMB506" s="332"/>
      <c r="SMC506" s="332"/>
      <c r="SMD506" s="332"/>
      <c r="SME506" s="332"/>
      <c r="SMF506" s="332"/>
      <c r="SMG506" s="332"/>
      <c r="SMH506" s="332"/>
      <c r="SMI506" s="332"/>
      <c r="SMJ506" s="332"/>
      <c r="SMK506" s="332"/>
      <c r="SML506" s="332"/>
      <c r="SMM506" s="332"/>
      <c r="SMN506" s="332"/>
      <c r="SMO506" s="332"/>
      <c r="SMP506" s="332"/>
      <c r="SMQ506" s="332"/>
      <c r="SMR506" s="332"/>
      <c r="SMS506" s="332"/>
      <c r="SMT506" s="332"/>
      <c r="SMU506" s="332"/>
      <c r="SMV506" s="332"/>
      <c r="SMW506" s="332"/>
      <c r="SMX506" s="332"/>
      <c r="SMY506" s="332"/>
      <c r="SMZ506" s="332"/>
      <c r="SNA506" s="332"/>
      <c r="SNB506" s="332"/>
      <c r="SNC506" s="332"/>
      <c r="SND506" s="332"/>
      <c r="SNE506" s="332"/>
      <c r="SNF506" s="332"/>
      <c r="SNG506" s="332"/>
      <c r="SNH506" s="332"/>
      <c r="SNI506" s="332"/>
      <c r="SNJ506" s="332"/>
      <c r="SNK506" s="332"/>
      <c r="SNL506" s="332"/>
      <c r="SNM506" s="332"/>
      <c r="SNN506" s="332"/>
      <c r="SNO506" s="332"/>
      <c r="SNP506" s="332"/>
      <c r="SNQ506" s="332"/>
      <c r="SNR506" s="332"/>
      <c r="SNS506" s="332"/>
      <c r="SNT506" s="332"/>
      <c r="SNU506" s="332"/>
      <c r="SNV506" s="332"/>
      <c r="SNW506" s="332"/>
      <c r="SNX506" s="332"/>
      <c r="SNY506" s="332"/>
      <c r="SNZ506" s="332"/>
      <c r="SOA506" s="332"/>
      <c r="SOB506" s="332"/>
      <c r="SOC506" s="332"/>
      <c r="SOD506" s="332"/>
      <c r="SOE506" s="332"/>
      <c r="SOF506" s="332"/>
      <c r="SOG506" s="332"/>
      <c r="SOH506" s="332"/>
      <c r="SOI506" s="332"/>
      <c r="SOJ506" s="332"/>
      <c r="SOK506" s="332"/>
      <c r="SOL506" s="332"/>
      <c r="SOM506" s="332"/>
      <c r="SON506" s="332"/>
      <c r="SOO506" s="332"/>
      <c r="SOP506" s="332"/>
      <c r="SOQ506" s="332"/>
      <c r="SOR506" s="332"/>
      <c r="SOS506" s="332"/>
      <c r="SOT506" s="332"/>
      <c r="SOU506" s="332"/>
      <c r="SOV506" s="332"/>
      <c r="SOW506" s="332"/>
      <c r="SOX506" s="332"/>
      <c r="SOY506" s="332"/>
      <c r="SOZ506" s="332"/>
      <c r="SPA506" s="332"/>
      <c r="SPB506" s="332"/>
      <c r="SPC506" s="332"/>
      <c r="SPD506" s="332"/>
      <c r="SPE506" s="332"/>
      <c r="SPF506" s="332"/>
      <c r="SPG506" s="332"/>
      <c r="SPH506" s="332"/>
      <c r="SPI506" s="332"/>
      <c r="SPJ506" s="332"/>
      <c r="SPK506" s="332"/>
      <c r="SPL506" s="332"/>
      <c r="SPM506" s="332"/>
      <c r="SPN506" s="332"/>
      <c r="SPO506" s="332"/>
      <c r="SPP506" s="332"/>
      <c r="SPQ506" s="332"/>
      <c r="SPR506" s="332"/>
      <c r="SPS506" s="332"/>
      <c r="SPT506" s="332"/>
      <c r="SPU506" s="332"/>
      <c r="SPV506" s="332"/>
      <c r="SPW506" s="332"/>
      <c r="SPX506" s="332"/>
      <c r="SPY506" s="332"/>
      <c r="SPZ506" s="332"/>
      <c r="SQA506" s="332"/>
      <c r="SQB506" s="332"/>
      <c r="SQC506" s="332"/>
      <c r="SQD506" s="332"/>
      <c r="SQE506" s="332"/>
      <c r="SQF506" s="332"/>
      <c r="SQG506" s="332"/>
      <c r="SQH506" s="332"/>
      <c r="SQI506" s="332"/>
      <c r="SQJ506" s="332"/>
      <c r="SQK506" s="332"/>
      <c r="SQL506" s="332"/>
      <c r="SQM506" s="332"/>
      <c r="SQN506" s="332"/>
      <c r="SQO506" s="332"/>
      <c r="SQP506" s="332"/>
      <c r="SQQ506" s="332"/>
      <c r="SQR506" s="332"/>
      <c r="SQS506" s="332"/>
      <c r="SQT506" s="332"/>
      <c r="SQU506" s="332"/>
      <c r="SQV506" s="332"/>
      <c r="SQW506" s="332"/>
      <c r="SQX506" s="332"/>
      <c r="SQY506" s="332"/>
      <c r="SQZ506" s="332"/>
      <c r="SRA506" s="332"/>
      <c r="SRB506" s="332"/>
      <c r="SRC506" s="332"/>
      <c r="SRD506" s="332"/>
      <c r="SRE506" s="332"/>
      <c r="SRF506" s="332"/>
      <c r="SRG506" s="332"/>
      <c r="SRH506" s="332"/>
      <c r="SRI506" s="332"/>
      <c r="SRJ506" s="332"/>
      <c r="SRK506" s="332"/>
      <c r="SRL506" s="332"/>
      <c r="SRM506" s="332"/>
      <c r="SRN506" s="332"/>
      <c r="SRO506" s="332"/>
      <c r="SRP506" s="332"/>
      <c r="SRQ506" s="332"/>
      <c r="SRR506" s="332"/>
      <c r="SRS506" s="332"/>
      <c r="SRT506" s="332"/>
      <c r="SRU506" s="332"/>
      <c r="SRV506" s="332"/>
      <c r="SRW506" s="332"/>
      <c r="SRX506" s="332"/>
      <c r="SRY506" s="332"/>
      <c r="SRZ506" s="332"/>
      <c r="SSA506" s="332"/>
      <c r="SSB506" s="332"/>
      <c r="SSC506" s="332"/>
      <c r="SSD506" s="332"/>
      <c r="SSE506" s="332"/>
      <c r="SSF506" s="332"/>
      <c r="SSG506" s="332"/>
      <c r="SSH506" s="332"/>
      <c r="SSI506" s="332"/>
      <c r="SSJ506" s="332"/>
      <c r="SSK506" s="332"/>
      <c r="SSL506" s="332"/>
      <c r="SSM506" s="332"/>
      <c r="SSN506" s="332"/>
      <c r="SSO506" s="332"/>
      <c r="SSP506" s="332"/>
      <c r="SSQ506" s="332"/>
      <c r="SSR506" s="332"/>
      <c r="SSS506" s="332"/>
      <c r="SST506" s="332"/>
      <c r="SSU506" s="332"/>
      <c r="SSV506" s="332"/>
      <c r="SSW506" s="332"/>
      <c r="SSX506" s="332"/>
      <c r="SSY506" s="332"/>
      <c r="SSZ506" s="332"/>
      <c r="STA506" s="332"/>
      <c r="STB506" s="332"/>
      <c r="STC506" s="332"/>
      <c r="STD506" s="332"/>
      <c r="STE506" s="332"/>
      <c r="STF506" s="332"/>
      <c r="STG506" s="332"/>
      <c r="STH506" s="332"/>
      <c r="STI506" s="332"/>
      <c r="STJ506" s="332"/>
      <c r="STK506" s="332"/>
      <c r="STL506" s="332"/>
      <c r="STM506" s="332"/>
      <c r="STN506" s="332"/>
      <c r="STO506" s="332"/>
      <c r="STP506" s="332"/>
      <c r="STQ506" s="332"/>
      <c r="STR506" s="332"/>
      <c r="STS506" s="332"/>
      <c r="STT506" s="332"/>
      <c r="STU506" s="332"/>
      <c r="STV506" s="332"/>
      <c r="STW506" s="332"/>
      <c r="STX506" s="332"/>
      <c r="STY506" s="332"/>
      <c r="STZ506" s="332"/>
      <c r="SUA506" s="332"/>
      <c r="SUB506" s="332"/>
      <c r="SUC506" s="332"/>
      <c r="SUD506" s="332"/>
      <c r="SUE506" s="332"/>
      <c r="SUF506" s="332"/>
      <c r="SUG506" s="332"/>
      <c r="SUH506" s="332"/>
      <c r="SUI506" s="332"/>
      <c r="SUJ506" s="332"/>
      <c r="SUK506" s="332"/>
      <c r="SUL506" s="332"/>
      <c r="SUM506" s="332"/>
      <c r="SUN506" s="332"/>
      <c r="SUO506" s="332"/>
      <c r="SUP506" s="332"/>
      <c r="SUQ506" s="332"/>
      <c r="SUR506" s="332"/>
      <c r="SUS506" s="332"/>
      <c r="SUT506" s="332"/>
      <c r="SUU506" s="332"/>
      <c r="SUV506" s="332"/>
      <c r="SUW506" s="332"/>
      <c r="SUX506" s="332"/>
      <c r="SUY506" s="332"/>
      <c r="SUZ506" s="332"/>
      <c r="SVA506" s="332"/>
      <c r="SVB506" s="332"/>
      <c r="SVC506" s="332"/>
      <c r="SVD506" s="332"/>
      <c r="SVE506" s="332"/>
      <c r="SVF506" s="332"/>
      <c r="SVG506" s="332"/>
      <c r="SVH506" s="332"/>
      <c r="SVI506" s="332"/>
      <c r="SVJ506" s="332"/>
      <c r="SVK506" s="332"/>
      <c r="SVL506" s="332"/>
      <c r="SVM506" s="332"/>
      <c r="SVN506" s="332"/>
      <c r="SVO506" s="332"/>
      <c r="SVP506" s="332"/>
      <c r="SVQ506" s="332"/>
      <c r="SVR506" s="332"/>
      <c r="SVS506" s="332"/>
      <c r="SVT506" s="332"/>
      <c r="SVU506" s="332"/>
      <c r="SVV506" s="332"/>
      <c r="SVW506" s="332"/>
      <c r="SVX506" s="332"/>
      <c r="SVY506" s="332"/>
      <c r="SVZ506" s="332"/>
      <c r="SWA506" s="332"/>
      <c r="SWB506" s="332"/>
      <c r="SWC506" s="332"/>
      <c r="SWD506" s="332"/>
      <c r="SWE506" s="332"/>
      <c r="SWF506" s="332"/>
      <c r="SWG506" s="332"/>
      <c r="SWH506" s="332"/>
      <c r="SWI506" s="332"/>
      <c r="SWJ506" s="332"/>
      <c r="SWK506" s="332"/>
      <c r="SWL506" s="332"/>
      <c r="SWM506" s="332"/>
      <c r="SWN506" s="332"/>
      <c r="SWO506" s="332"/>
      <c r="SWP506" s="332"/>
      <c r="SWQ506" s="332"/>
      <c r="SWR506" s="332"/>
      <c r="SWS506" s="332"/>
      <c r="SWT506" s="332"/>
      <c r="SWU506" s="332"/>
      <c r="SWV506" s="332"/>
      <c r="SWW506" s="332"/>
      <c r="SWX506" s="332"/>
      <c r="SWY506" s="332"/>
      <c r="SWZ506" s="332"/>
      <c r="SXA506" s="332"/>
      <c r="SXB506" s="332"/>
      <c r="SXC506" s="332"/>
      <c r="SXD506" s="332"/>
      <c r="SXE506" s="332"/>
      <c r="SXF506" s="332"/>
      <c r="SXG506" s="332"/>
      <c r="SXH506" s="332"/>
      <c r="SXI506" s="332"/>
      <c r="SXJ506" s="332"/>
      <c r="SXK506" s="332"/>
      <c r="SXL506" s="332"/>
      <c r="SXM506" s="332"/>
      <c r="SXN506" s="332"/>
      <c r="SXO506" s="332"/>
      <c r="SXP506" s="332"/>
      <c r="SXQ506" s="332"/>
      <c r="SXR506" s="332"/>
      <c r="SXS506" s="332"/>
      <c r="SXT506" s="332"/>
      <c r="SXU506" s="332"/>
      <c r="SXV506" s="332"/>
      <c r="SXW506" s="332"/>
      <c r="SXX506" s="332"/>
      <c r="SXY506" s="332"/>
      <c r="SXZ506" s="332"/>
      <c r="SYA506" s="332"/>
      <c r="SYB506" s="332"/>
      <c r="SYC506" s="332"/>
      <c r="SYD506" s="332"/>
      <c r="SYE506" s="332"/>
      <c r="SYF506" s="332"/>
      <c r="SYG506" s="332"/>
      <c r="SYH506" s="332"/>
      <c r="SYI506" s="332"/>
      <c r="SYJ506" s="332"/>
      <c r="SYK506" s="332"/>
      <c r="SYL506" s="332"/>
      <c r="SYM506" s="332"/>
      <c r="SYN506" s="332"/>
      <c r="SYO506" s="332"/>
      <c r="SYP506" s="332"/>
      <c r="SYQ506" s="332"/>
      <c r="SYR506" s="332"/>
      <c r="SYS506" s="332"/>
      <c r="SYT506" s="332"/>
      <c r="SYU506" s="332"/>
      <c r="SYV506" s="332"/>
      <c r="SYW506" s="332"/>
      <c r="SYX506" s="332"/>
      <c r="SYY506" s="332"/>
      <c r="SYZ506" s="332"/>
      <c r="SZA506" s="332"/>
      <c r="SZB506" s="332"/>
      <c r="SZC506" s="332"/>
      <c r="SZD506" s="332"/>
      <c r="SZE506" s="332"/>
      <c r="SZF506" s="332"/>
      <c r="SZG506" s="332"/>
      <c r="SZH506" s="332"/>
      <c r="SZI506" s="332"/>
      <c r="SZJ506" s="332"/>
      <c r="SZK506" s="332"/>
      <c r="SZL506" s="332"/>
      <c r="SZM506" s="332"/>
      <c r="SZN506" s="332"/>
      <c r="SZO506" s="332"/>
      <c r="SZP506" s="332"/>
      <c r="SZQ506" s="332"/>
      <c r="SZR506" s="332"/>
      <c r="SZS506" s="332"/>
      <c r="SZT506" s="332"/>
      <c r="SZU506" s="332"/>
      <c r="SZV506" s="332"/>
      <c r="SZW506" s="332"/>
      <c r="SZX506" s="332"/>
      <c r="SZY506" s="332"/>
      <c r="SZZ506" s="332"/>
      <c r="TAA506" s="332"/>
      <c r="TAB506" s="332"/>
      <c r="TAC506" s="332"/>
      <c r="TAD506" s="332"/>
      <c r="TAE506" s="332"/>
      <c r="TAF506" s="332"/>
      <c r="TAG506" s="332"/>
      <c r="TAH506" s="332"/>
      <c r="TAI506" s="332"/>
      <c r="TAJ506" s="332"/>
      <c r="TAK506" s="332"/>
      <c r="TAL506" s="332"/>
      <c r="TAM506" s="332"/>
      <c r="TAN506" s="332"/>
      <c r="TAO506" s="332"/>
      <c r="TAP506" s="332"/>
      <c r="TAQ506" s="332"/>
      <c r="TAR506" s="332"/>
      <c r="TAS506" s="332"/>
      <c r="TAT506" s="332"/>
      <c r="TAU506" s="332"/>
      <c r="TAV506" s="332"/>
      <c r="TAW506" s="332"/>
      <c r="TAX506" s="332"/>
      <c r="TAY506" s="332"/>
      <c r="TAZ506" s="332"/>
      <c r="TBA506" s="332"/>
      <c r="TBB506" s="332"/>
      <c r="TBC506" s="332"/>
      <c r="TBD506" s="332"/>
      <c r="TBE506" s="332"/>
      <c r="TBF506" s="332"/>
      <c r="TBG506" s="332"/>
      <c r="TBH506" s="332"/>
      <c r="TBI506" s="332"/>
      <c r="TBJ506" s="332"/>
      <c r="TBK506" s="332"/>
      <c r="TBL506" s="332"/>
      <c r="TBM506" s="332"/>
      <c r="TBN506" s="332"/>
      <c r="TBO506" s="332"/>
      <c r="TBP506" s="332"/>
      <c r="TBQ506" s="332"/>
      <c r="TBR506" s="332"/>
      <c r="TBS506" s="332"/>
      <c r="TBT506" s="332"/>
      <c r="TBU506" s="332"/>
      <c r="TBV506" s="332"/>
      <c r="TBW506" s="332"/>
      <c r="TBX506" s="332"/>
      <c r="TBY506" s="332"/>
      <c r="TBZ506" s="332"/>
      <c r="TCA506" s="332"/>
      <c r="TCB506" s="332"/>
      <c r="TCC506" s="332"/>
      <c r="TCD506" s="332"/>
      <c r="TCE506" s="332"/>
      <c r="TCF506" s="332"/>
      <c r="TCG506" s="332"/>
      <c r="TCH506" s="332"/>
      <c r="TCI506" s="332"/>
      <c r="TCJ506" s="332"/>
      <c r="TCK506" s="332"/>
      <c r="TCL506" s="332"/>
      <c r="TCM506" s="332"/>
      <c r="TCN506" s="332"/>
      <c r="TCO506" s="332"/>
      <c r="TCP506" s="332"/>
      <c r="TCQ506" s="332"/>
      <c r="TCR506" s="332"/>
      <c r="TCS506" s="332"/>
      <c r="TCT506" s="332"/>
      <c r="TCU506" s="332"/>
      <c r="TCV506" s="332"/>
      <c r="TCW506" s="332"/>
      <c r="TCX506" s="332"/>
      <c r="TCY506" s="332"/>
      <c r="TCZ506" s="332"/>
      <c r="TDA506" s="332"/>
      <c r="TDB506" s="332"/>
      <c r="TDC506" s="332"/>
      <c r="TDD506" s="332"/>
      <c r="TDE506" s="332"/>
      <c r="TDF506" s="332"/>
      <c r="TDG506" s="332"/>
      <c r="TDH506" s="332"/>
      <c r="TDI506" s="332"/>
      <c r="TDJ506" s="332"/>
      <c r="TDK506" s="332"/>
      <c r="TDL506" s="332"/>
      <c r="TDM506" s="332"/>
      <c r="TDN506" s="332"/>
      <c r="TDO506" s="332"/>
      <c r="TDP506" s="332"/>
      <c r="TDQ506" s="332"/>
      <c r="TDR506" s="332"/>
      <c r="TDS506" s="332"/>
      <c r="TDT506" s="332"/>
      <c r="TDU506" s="332"/>
      <c r="TDV506" s="332"/>
      <c r="TDW506" s="332"/>
      <c r="TDX506" s="332"/>
      <c r="TDY506" s="332"/>
      <c r="TDZ506" s="332"/>
      <c r="TEA506" s="332"/>
      <c r="TEB506" s="332"/>
      <c r="TEC506" s="332"/>
      <c r="TED506" s="332"/>
      <c r="TEE506" s="332"/>
      <c r="TEF506" s="332"/>
      <c r="TEG506" s="332"/>
      <c r="TEH506" s="332"/>
      <c r="TEI506" s="332"/>
      <c r="TEJ506" s="332"/>
      <c r="TEK506" s="332"/>
      <c r="TEL506" s="332"/>
      <c r="TEM506" s="332"/>
      <c r="TEN506" s="332"/>
      <c r="TEO506" s="332"/>
      <c r="TEP506" s="332"/>
      <c r="TEQ506" s="332"/>
      <c r="TER506" s="332"/>
      <c r="TES506" s="332"/>
      <c r="TET506" s="332"/>
      <c r="TEU506" s="332"/>
      <c r="TEV506" s="332"/>
      <c r="TEW506" s="332"/>
      <c r="TEX506" s="332"/>
      <c r="TEY506" s="332"/>
      <c r="TEZ506" s="332"/>
      <c r="TFA506" s="332"/>
      <c r="TFB506" s="332"/>
      <c r="TFC506" s="332"/>
      <c r="TFD506" s="332"/>
      <c r="TFE506" s="332"/>
      <c r="TFF506" s="332"/>
      <c r="TFG506" s="332"/>
      <c r="TFH506" s="332"/>
      <c r="TFI506" s="332"/>
      <c r="TFJ506" s="332"/>
      <c r="TFK506" s="332"/>
      <c r="TFL506" s="332"/>
      <c r="TFM506" s="332"/>
      <c r="TFN506" s="332"/>
      <c r="TFO506" s="332"/>
      <c r="TFP506" s="332"/>
      <c r="TFQ506" s="332"/>
      <c r="TFR506" s="332"/>
      <c r="TFS506" s="332"/>
      <c r="TFT506" s="332"/>
      <c r="TFU506" s="332"/>
      <c r="TFV506" s="332"/>
      <c r="TFW506" s="332"/>
      <c r="TFX506" s="332"/>
      <c r="TFY506" s="332"/>
      <c r="TFZ506" s="332"/>
      <c r="TGA506" s="332"/>
      <c r="TGB506" s="332"/>
      <c r="TGC506" s="332"/>
      <c r="TGD506" s="332"/>
      <c r="TGE506" s="332"/>
      <c r="TGF506" s="332"/>
      <c r="TGG506" s="332"/>
      <c r="TGH506" s="332"/>
      <c r="TGI506" s="332"/>
      <c r="TGJ506" s="332"/>
      <c r="TGK506" s="332"/>
      <c r="TGL506" s="332"/>
      <c r="TGM506" s="332"/>
      <c r="TGN506" s="332"/>
      <c r="TGO506" s="332"/>
      <c r="TGP506" s="332"/>
      <c r="TGQ506" s="332"/>
      <c r="TGR506" s="332"/>
      <c r="TGS506" s="332"/>
      <c r="TGT506" s="332"/>
      <c r="TGU506" s="332"/>
      <c r="TGV506" s="332"/>
      <c r="TGW506" s="332"/>
      <c r="TGX506" s="332"/>
      <c r="TGY506" s="332"/>
      <c r="TGZ506" s="332"/>
      <c r="THA506" s="332"/>
      <c r="THB506" s="332"/>
      <c r="THC506" s="332"/>
      <c r="THD506" s="332"/>
      <c r="THE506" s="332"/>
      <c r="THF506" s="332"/>
      <c r="THG506" s="332"/>
      <c r="THH506" s="332"/>
      <c r="THI506" s="332"/>
      <c r="THJ506" s="332"/>
      <c r="THK506" s="332"/>
      <c r="THL506" s="332"/>
      <c r="THM506" s="332"/>
      <c r="THN506" s="332"/>
      <c r="THO506" s="332"/>
      <c r="THP506" s="332"/>
      <c r="THQ506" s="332"/>
      <c r="THR506" s="332"/>
      <c r="THS506" s="332"/>
      <c r="THT506" s="332"/>
      <c r="THU506" s="332"/>
      <c r="THV506" s="332"/>
      <c r="THW506" s="332"/>
      <c r="THX506" s="332"/>
      <c r="THY506" s="332"/>
      <c r="THZ506" s="332"/>
      <c r="TIA506" s="332"/>
      <c r="TIB506" s="332"/>
      <c r="TIC506" s="332"/>
      <c r="TID506" s="332"/>
      <c r="TIE506" s="332"/>
      <c r="TIF506" s="332"/>
      <c r="TIG506" s="332"/>
      <c r="TIH506" s="332"/>
      <c r="TII506" s="332"/>
      <c r="TIJ506" s="332"/>
      <c r="TIK506" s="332"/>
      <c r="TIL506" s="332"/>
      <c r="TIM506" s="332"/>
      <c r="TIN506" s="332"/>
      <c r="TIO506" s="332"/>
      <c r="TIP506" s="332"/>
      <c r="TIQ506" s="332"/>
      <c r="TIR506" s="332"/>
      <c r="TIS506" s="332"/>
      <c r="TIT506" s="332"/>
      <c r="TIU506" s="332"/>
      <c r="TIV506" s="332"/>
      <c r="TIW506" s="332"/>
      <c r="TIX506" s="332"/>
      <c r="TIY506" s="332"/>
      <c r="TIZ506" s="332"/>
      <c r="TJA506" s="332"/>
      <c r="TJB506" s="332"/>
      <c r="TJC506" s="332"/>
      <c r="TJD506" s="332"/>
      <c r="TJE506" s="332"/>
      <c r="TJF506" s="332"/>
      <c r="TJG506" s="332"/>
      <c r="TJH506" s="332"/>
      <c r="TJI506" s="332"/>
      <c r="TJJ506" s="332"/>
      <c r="TJK506" s="332"/>
      <c r="TJL506" s="332"/>
      <c r="TJM506" s="332"/>
      <c r="TJN506" s="332"/>
      <c r="TJO506" s="332"/>
      <c r="TJP506" s="332"/>
      <c r="TJQ506" s="332"/>
      <c r="TJR506" s="332"/>
      <c r="TJS506" s="332"/>
      <c r="TJT506" s="332"/>
      <c r="TJU506" s="332"/>
      <c r="TJV506" s="332"/>
      <c r="TJW506" s="332"/>
      <c r="TJX506" s="332"/>
      <c r="TJY506" s="332"/>
      <c r="TJZ506" s="332"/>
      <c r="TKA506" s="332"/>
      <c r="TKB506" s="332"/>
      <c r="TKC506" s="332"/>
      <c r="TKD506" s="332"/>
      <c r="TKE506" s="332"/>
      <c r="TKF506" s="332"/>
      <c r="TKG506" s="332"/>
      <c r="TKH506" s="332"/>
      <c r="TKI506" s="332"/>
      <c r="TKJ506" s="332"/>
      <c r="TKK506" s="332"/>
      <c r="TKL506" s="332"/>
      <c r="TKM506" s="332"/>
      <c r="TKN506" s="332"/>
      <c r="TKO506" s="332"/>
      <c r="TKP506" s="332"/>
      <c r="TKQ506" s="332"/>
      <c r="TKR506" s="332"/>
      <c r="TKS506" s="332"/>
      <c r="TKT506" s="332"/>
      <c r="TKU506" s="332"/>
      <c r="TKV506" s="332"/>
      <c r="TKW506" s="332"/>
      <c r="TKX506" s="332"/>
      <c r="TKY506" s="332"/>
      <c r="TKZ506" s="332"/>
      <c r="TLA506" s="332"/>
      <c r="TLB506" s="332"/>
      <c r="TLC506" s="332"/>
      <c r="TLD506" s="332"/>
      <c r="TLE506" s="332"/>
      <c r="TLF506" s="332"/>
      <c r="TLG506" s="332"/>
      <c r="TLH506" s="332"/>
      <c r="TLI506" s="332"/>
      <c r="TLJ506" s="332"/>
      <c r="TLK506" s="332"/>
      <c r="TLL506" s="332"/>
      <c r="TLM506" s="332"/>
      <c r="TLN506" s="332"/>
      <c r="TLO506" s="332"/>
      <c r="TLP506" s="332"/>
      <c r="TLQ506" s="332"/>
      <c r="TLR506" s="332"/>
      <c r="TLS506" s="332"/>
      <c r="TLT506" s="332"/>
      <c r="TLU506" s="332"/>
      <c r="TLV506" s="332"/>
      <c r="TLW506" s="332"/>
      <c r="TLX506" s="332"/>
      <c r="TLY506" s="332"/>
      <c r="TLZ506" s="332"/>
      <c r="TMA506" s="332"/>
      <c r="TMB506" s="332"/>
      <c r="TMC506" s="332"/>
      <c r="TMD506" s="332"/>
      <c r="TME506" s="332"/>
      <c r="TMF506" s="332"/>
      <c r="TMG506" s="332"/>
      <c r="TMH506" s="332"/>
      <c r="TMI506" s="332"/>
      <c r="TMJ506" s="332"/>
      <c r="TMK506" s="332"/>
      <c r="TML506" s="332"/>
      <c r="TMM506" s="332"/>
      <c r="TMN506" s="332"/>
      <c r="TMO506" s="332"/>
      <c r="TMP506" s="332"/>
      <c r="TMQ506" s="332"/>
      <c r="TMR506" s="332"/>
      <c r="TMS506" s="332"/>
      <c r="TMT506" s="332"/>
      <c r="TMU506" s="332"/>
      <c r="TMV506" s="332"/>
      <c r="TMW506" s="332"/>
      <c r="TMX506" s="332"/>
      <c r="TMY506" s="332"/>
      <c r="TMZ506" s="332"/>
      <c r="TNA506" s="332"/>
      <c r="TNB506" s="332"/>
      <c r="TNC506" s="332"/>
      <c r="TND506" s="332"/>
      <c r="TNE506" s="332"/>
      <c r="TNF506" s="332"/>
      <c r="TNG506" s="332"/>
      <c r="TNH506" s="332"/>
      <c r="TNI506" s="332"/>
      <c r="TNJ506" s="332"/>
      <c r="TNK506" s="332"/>
      <c r="TNL506" s="332"/>
      <c r="TNM506" s="332"/>
      <c r="TNN506" s="332"/>
      <c r="TNO506" s="332"/>
      <c r="TNP506" s="332"/>
      <c r="TNQ506" s="332"/>
      <c r="TNR506" s="332"/>
      <c r="TNS506" s="332"/>
      <c r="TNT506" s="332"/>
      <c r="TNU506" s="332"/>
      <c r="TNV506" s="332"/>
      <c r="TNW506" s="332"/>
      <c r="TNX506" s="332"/>
      <c r="TNY506" s="332"/>
      <c r="TNZ506" s="332"/>
      <c r="TOA506" s="332"/>
      <c r="TOB506" s="332"/>
      <c r="TOC506" s="332"/>
      <c r="TOD506" s="332"/>
      <c r="TOE506" s="332"/>
      <c r="TOF506" s="332"/>
      <c r="TOG506" s="332"/>
      <c r="TOH506" s="332"/>
      <c r="TOI506" s="332"/>
      <c r="TOJ506" s="332"/>
      <c r="TOK506" s="332"/>
      <c r="TOL506" s="332"/>
      <c r="TOM506" s="332"/>
      <c r="TON506" s="332"/>
      <c r="TOO506" s="332"/>
      <c r="TOP506" s="332"/>
      <c r="TOQ506" s="332"/>
      <c r="TOR506" s="332"/>
      <c r="TOS506" s="332"/>
      <c r="TOT506" s="332"/>
      <c r="TOU506" s="332"/>
      <c r="TOV506" s="332"/>
      <c r="TOW506" s="332"/>
      <c r="TOX506" s="332"/>
      <c r="TOY506" s="332"/>
      <c r="TOZ506" s="332"/>
      <c r="TPA506" s="332"/>
      <c r="TPB506" s="332"/>
      <c r="TPC506" s="332"/>
      <c r="TPD506" s="332"/>
      <c r="TPE506" s="332"/>
      <c r="TPF506" s="332"/>
      <c r="TPG506" s="332"/>
      <c r="TPH506" s="332"/>
      <c r="TPI506" s="332"/>
      <c r="TPJ506" s="332"/>
      <c r="TPK506" s="332"/>
      <c r="TPL506" s="332"/>
      <c r="TPM506" s="332"/>
      <c r="TPN506" s="332"/>
      <c r="TPO506" s="332"/>
      <c r="TPP506" s="332"/>
      <c r="TPQ506" s="332"/>
      <c r="TPR506" s="332"/>
      <c r="TPS506" s="332"/>
      <c r="TPT506" s="332"/>
      <c r="TPU506" s="332"/>
      <c r="TPV506" s="332"/>
      <c r="TPW506" s="332"/>
      <c r="TPX506" s="332"/>
      <c r="TPY506" s="332"/>
      <c r="TPZ506" s="332"/>
      <c r="TQA506" s="332"/>
      <c r="TQB506" s="332"/>
      <c r="TQC506" s="332"/>
      <c r="TQD506" s="332"/>
      <c r="TQE506" s="332"/>
      <c r="TQF506" s="332"/>
      <c r="TQG506" s="332"/>
      <c r="TQH506" s="332"/>
      <c r="TQI506" s="332"/>
      <c r="TQJ506" s="332"/>
      <c r="TQK506" s="332"/>
      <c r="TQL506" s="332"/>
      <c r="TQM506" s="332"/>
      <c r="TQN506" s="332"/>
      <c r="TQO506" s="332"/>
      <c r="TQP506" s="332"/>
      <c r="TQQ506" s="332"/>
      <c r="TQR506" s="332"/>
      <c r="TQS506" s="332"/>
      <c r="TQT506" s="332"/>
      <c r="TQU506" s="332"/>
      <c r="TQV506" s="332"/>
      <c r="TQW506" s="332"/>
      <c r="TQX506" s="332"/>
      <c r="TQY506" s="332"/>
      <c r="TQZ506" s="332"/>
      <c r="TRA506" s="332"/>
      <c r="TRB506" s="332"/>
      <c r="TRC506" s="332"/>
      <c r="TRD506" s="332"/>
      <c r="TRE506" s="332"/>
      <c r="TRF506" s="332"/>
      <c r="TRG506" s="332"/>
      <c r="TRH506" s="332"/>
      <c r="TRI506" s="332"/>
      <c r="TRJ506" s="332"/>
      <c r="TRK506" s="332"/>
      <c r="TRL506" s="332"/>
      <c r="TRM506" s="332"/>
      <c r="TRN506" s="332"/>
      <c r="TRO506" s="332"/>
      <c r="TRP506" s="332"/>
      <c r="TRQ506" s="332"/>
      <c r="TRR506" s="332"/>
      <c r="TRS506" s="332"/>
      <c r="TRT506" s="332"/>
      <c r="TRU506" s="332"/>
      <c r="TRV506" s="332"/>
      <c r="TRW506" s="332"/>
      <c r="TRX506" s="332"/>
      <c r="TRY506" s="332"/>
      <c r="TRZ506" s="332"/>
      <c r="TSA506" s="332"/>
      <c r="TSB506" s="332"/>
      <c r="TSC506" s="332"/>
      <c r="TSD506" s="332"/>
      <c r="TSE506" s="332"/>
      <c r="TSF506" s="332"/>
      <c r="TSG506" s="332"/>
      <c r="TSH506" s="332"/>
      <c r="TSI506" s="332"/>
      <c r="TSJ506" s="332"/>
      <c r="TSK506" s="332"/>
      <c r="TSL506" s="332"/>
      <c r="TSM506" s="332"/>
      <c r="TSN506" s="332"/>
      <c r="TSO506" s="332"/>
      <c r="TSP506" s="332"/>
      <c r="TSQ506" s="332"/>
      <c r="TSR506" s="332"/>
      <c r="TSS506" s="332"/>
      <c r="TST506" s="332"/>
      <c r="TSU506" s="332"/>
      <c r="TSV506" s="332"/>
      <c r="TSW506" s="332"/>
      <c r="TSX506" s="332"/>
      <c r="TSY506" s="332"/>
      <c r="TSZ506" s="332"/>
      <c r="TTA506" s="332"/>
      <c r="TTB506" s="332"/>
      <c r="TTC506" s="332"/>
      <c r="TTD506" s="332"/>
      <c r="TTE506" s="332"/>
      <c r="TTF506" s="332"/>
      <c r="TTG506" s="332"/>
      <c r="TTH506" s="332"/>
      <c r="TTI506" s="332"/>
      <c r="TTJ506" s="332"/>
      <c r="TTK506" s="332"/>
      <c r="TTL506" s="332"/>
      <c r="TTM506" s="332"/>
      <c r="TTN506" s="332"/>
      <c r="TTO506" s="332"/>
      <c r="TTP506" s="332"/>
      <c r="TTQ506" s="332"/>
      <c r="TTR506" s="332"/>
      <c r="TTS506" s="332"/>
      <c r="TTT506" s="332"/>
      <c r="TTU506" s="332"/>
      <c r="TTV506" s="332"/>
      <c r="TTW506" s="332"/>
      <c r="TTX506" s="332"/>
      <c r="TTY506" s="332"/>
      <c r="TTZ506" s="332"/>
      <c r="TUA506" s="332"/>
      <c r="TUB506" s="332"/>
      <c r="TUC506" s="332"/>
      <c r="TUD506" s="332"/>
      <c r="TUE506" s="332"/>
      <c r="TUF506" s="332"/>
      <c r="TUG506" s="332"/>
      <c r="TUH506" s="332"/>
      <c r="TUI506" s="332"/>
      <c r="TUJ506" s="332"/>
      <c r="TUK506" s="332"/>
      <c r="TUL506" s="332"/>
      <c r="TUM506" s="332"/>
      <c r="TUN506" s="332"/>
      <c r="TUO506" s="332"/>
      <c r="TUP506" s="332"/>
      <c r="TUQ506" s="332"/>
      <c r="TUR506" s="332"/>
      <c r="TUS506" s="332"/>
      <c r="TUT506" s="332"/>
      <c r="TUU506" s="332"/>
      <c r="TUV506" s="332"/>
      <c r="TUW506" s="332"/>
      <c r="TUX506" s="332"/>
      <c r="TUY506" s="332"/>
      <c r="TUZ506" s="332"/>
      <c r="TVA506" s="332"/>
      <c r="TVB506" s="332"/>
      <c r="TVC506" s="332"/>
      <c r="TVD506" s="332"/>
      <c r="TVE506" s="332"/>
      <c r="TVF506" s="332"/>
      <c r="TVG506" s="332"/>
      <c r="TVH506" s="332"/>
      <c r="TVI506" s="332"/>
      <c r="TVJ506" s="332"/>
      <c r="TVK506" s="332"/>
      <c r="TVL506" s="332"/>
      <c r="TVM506" s="332"/>
      <c r="TVN506" s="332"/>
      <c r="TVO506" s="332"/>
      <c r="TVP506" s="332"/>
      <c r="TVQ506" s="332"/>
      <c r="TVR506" s="332"/>
      <c r="TVS506" s="332"/>
      <c r="TVT506" s="332"/>
      <c r="TVU506" s="332"/>
      <c r="TVV506" s="332"/>
      <c r="TVW506" s="332"/>
      <c r="TVX506" s="332"/>
      <c r="TVY506" s="332"/>
      <c r="TVZ506" s="332"/>
      <c r="TWA506" s="332"/>
      <c r="TWB506" s="332"/>
      <c r="TWC506" s="332"/>
      <c r="TWD506" s="332"/>
      <c r="TWE506" s="332"/>
      <c r="TWF506" s="332"/>
      <c r="TWG506" s="332"/>
      <c r="TWH506" s="332"/>
      <c r="TWI506" s="332"/>
      <c r="TWJ506" s="332"/>
      <c r="TWK506" s="332"/>
      <c r="TWL506" s="332"/>
      <c r="TWM506" s="332"/>
      <c r="TWN506" s="332"/>
      <c r="TWO506" s="332"/>
      <c r="TWP506" s="332"/>
      <c r="TWQ506" s="332"/>
      <c r="TWR506" s="332"/>
      <c r="TWS506" s="332"/>
      <c r="TWT506" s="332"/>
      <c r="TWU506" s="332"/>
      <c r="TWV506" s="332"/>
      <c r="TWW506" s="332"/>
      <c r="TWX506" s="332"/>
      <c r="TWY506" s="332"/>
      <c r="TWZ506" s="332"/>
      <c r="TXA506" s="332"/>
      <c r="TXB506" s="332"/>
      <c r="TXC506" s="332"/>
      <c r="TXD506" s="332"/>
      <c r="TXE506" s="332"/>
      <c r="TXF506" s="332"/>
      <c r="TXG506" s="332"/>
      <c r="TXH506" s="332"/>
      <c r="TXI506" s="332"/>
      <c r="TXJ506" s="332"/>
      <c r="TXK506" s="332"/>
      <c r="TXL506" s="332"/>
      <c r="TXM506" s="332"/>
      <c r="TXN506" s="332"/>
      <c r="TXO506" s="332"/>
      <c r="TXP506" s="332"/>
      <c r="TXQ506" s="332"/>
      <c r="TXR506" s="332"/>
      <c r="TXS506" s="332"/>
      <c r="TXT506" s="332"/>
      <c r="TXU506" s="332"/>
      <c r="TXV506" s="332"/>
      <c r="TXW506" s="332"/>
      <c r="TXX506" s="332"/>
      <c r="TXY506" s="332"/>
      <c r="TXZ506" s="332"/>
      <c r="TYA506" s="332"/>
      <c r="TYB506" s="332"/>
      <c r="TYC506" s="332"/>
      <c r="TYD506" s="332"/>
      <c r="TYE506" s="332"/>
      <c r="TYF506" s="332"/>
      <c r="TYG506" s="332"/>
      <c r="TYH506" s="332"/>
      <c r="TYI506" s="332"/>
      <c r="TYJ506" s="332"/>
      <c r="TYK506" s="332"/>
      <c r="TYL506" s="332"/>
      <c r="TYM506" s="332"/>
      <c r="TYN506" s="332"/>
      <c r="TYO506" s="332"/>
      <c r="TYP506" s="332"/>
      <c r="TYQ506" s="332"/>
      <c r="TYR506" s="332"/>
      <c r="TYS506" s="332"/>
      <c r="TYT506" s="332"/>
      <c r="TYU506" s="332"/>
      <c r="TYV506" s="332"/>
      <c r="TYW506" s="332"/>
      <c r="TYX506" s="332"/>
      <c r="TYY506" s="332"/>
      <c r="TYZ506" s="332"/>
      <c r="TZA506" s="332"/>
      <c r="TZB506" s="332"/>
      <c r="TZC506" s="332"/>
      <c r="TZD506" s="332"/>
      <c r="TZE506" s="332"/>
      <c r="TZF506" s="332"/>
      <c r="TZG506" s="332"/>
      <c r="TZH506" s="332"/>
      <c r="TZI506" s="332"/>
      <c r="TZJ506" s="332"/>
      <c r="TZK506" s="332"/>
      <c r="TZL506" s="332"/>
      <c r="TZM506" s="332"/>
      <c r="TZN506" s="332"/>
      <c r="TZO506" s="332"/>
      <c r="TZP506" s="332"/>
      <c r="TZQ506" s="332"/>
      <c r="TZR506" s="332"/>
      <c r="TZS506" s="332"/>
      <c r="TZT506" s="332"/>
      <c r="TZU506" s="332"/>
      <c r="TZV506" s="332"/>
      <c r="TZW506" s="332"/>
      <c r="TZX506" s="332"/>
      <c r="TZY506" s="332"/>
      <c r="TZZ506" s="332"/>
      <c r="UAA506" s="332"/>
      <c r="UAB506" s="332"/>
      <c r="UAC506" s="332"/>
      <c r="UAD506" s="332"/>
      <c r="UAE506" s="332"/>
      <c r="UAF506" s="332"/>
      <c r="UAG506" s="332"/>
      <c r="UAH506" s="332"/>
      <c r="UAI506" s="332"/>
      <c r="UAJ506" s="332"/>
      <c r="UAK506" s="332"/>
      <c r="UAL506" s="332"/>
      <c r="UAM506" s="332"/>
      <c r="UAN506" s="332"/>
      <c r="UAO506" s="332"/>
      <c r="UAP506" s="332"/>
      <c r="UAQ506" s="332"/>
      <c r="UAR506" s="332"/>
      <c r="UAS506" s="332"/>
      <c r="UAT506" s="332"/>
      <c r="UAU506" s="332"/>
      <c r="UAV506" s="332"/>
      <c r="UAW506" s="332"/>
      <c r="UAX506" s="332"/>
      <c r="UAY506" s="332"/>
      <c r="UAZ506" s="332"/>
      <c r="UBA506" s="332"/>
      <c r="UBB506" s="332"/>
      <c r="UBC506" s="332"/>
      <c r="UBD506" s="332"/>
      <c r="UBE506" s="332"/>
      <c r="UBF506" s="332"/>
      <c r="UBG506" s="332"/>
      <c r="UBH506" s="332"/>
      <c r="UBI506" s="332"/>
      <c r="UBJ506" s="332"/>
      <c r="UBK506" s="332"/>
      <c r="UBL506" s="332"/>
      <c r="UBM506" s="332"/>
      <c r="UBN506" s="332"/>
      <c r="UBO506" s="332"/>
      <c r="UBP506" s="332"/>
      <c r="UBQ506" s="332"/>
      <c r="UBR506" s="332"/>
      <c r="UBS506" s="332"/>
      <c r="UBT506" s="332"/>
      <c r="UBU506" s="332"/>
      <c r="UBV506" s="332"/>
      <c r="UBW506" s="332"/>
      <c r="UBX506" s="332"/>
      <c r="UBY506" s="332"/>
      <c r="UBZ506" s="332"/>
      <c r="UCA506" s="332"/>
      <c r="UCB506" s="332"/>
      <c r="UCC506" s="332"/>
      <c r="UCD506" s="332"/>
      <c r="UCE506" s="332"/>
      <c r="UCF506" s="332"/>
      <c r="UCG506" s="332"/>
      <c r="UCH506" s="332"/>
      <c r="UCI506" s="332"/>
      <c r="UCJ506" s="332"/>
      <c r="UCK506" s="332"/>
      <c r="UCL506" s="332"/>
      <c r="UCM506" s="332"/>
      <c r="UCN506" s="332"/>
      <c r="UCO506" s="332"/>
      <c r="UCP506" s="332"/>
      <c r="UCQ506" s="332"/>
      <c r="UCR506" s="332"/>
      <c r="UCS506" s="332"/>
      <c r="UCT506" s="332"/>
      <c r="UCU506" s="332"/>
      <c r="UCV506" s="332"/>
      <c r="UCW506" s="332"/>
      <c r="UCX506" s="332"/>
      <c r="UCY506" s="332"/>
      <c r="UCZ506" s="332"/>
      <c r="UDA506" s="332"/>
      <c r="UDB506" s="332"/>
      <c r="UDC506" s="332"/>
      <c r="UDD506" s="332"/>
      <c r="UDE506" s="332"/>
      <c r="UDF506" s="332"/>
      <c r="UDG506" s="332"/>
      <c r="UDH506" s="332"/>
      <c r="UDI506" s="332"/>
      <c r="UDJ506" s="332"/>
      <c r="UDK506" s="332"/>
      <c r="UDL506" s="332"/>
      <c r="UDM506" s="332"/>
      <c r="UDN506" s="332"/>
      <c r="UDO506" s="332"/>
      <c r="UDP506" s="332"/>
      <c r="UDQ506" s="332"/>
      <c r="UDR506" s="332"/>
      <c r="UDS506" s="332"/>
      <c r="UDT506" s="332"/>
      <c r="UDU506" s="332"/>
      <c r="UDV506" s="332"/>
      <c r="UDW506" s="332"/>
      <c r="UDX506" s="332"/>
      <c r="UDY506" s="332"/>
      <c r="UDZ506" s="332"/>
      <c r="UEA506" s="332"/>
      <c r="UEB506" s="332"/>
      <c r="UEC506" s="332"/>
      <c r="UED506" s="332"/>
      <c r="UEE506" s="332"/>
      <c r="UEF506" s="332"/>
      <c r="UEG506" s="332"/>
      <c r="UEH506" s="332"/>
      <c r="UEI506" s="332"/>
      <c r="UEJ506" s="332"/>
      <c r="UEK506" s="332"/>
      <c r="UEL506" s="332"/>
      <c r="UEM506" s="332"/>
      <c r="UEN506" s="332"/>
      <c r="UEO506" s="332"/>
      <c r="UEP506" s="332"/>
      <c r="UEQ506" s="332"/>
      <c r="UER506" s="332"/>
      <c r="UES506" s="332"/>
      <c r="UET506" s="332"/>
      <c r="UEU506" s="332"/>
      <c r="UEV506" s="332"/>
      <c r="UEW506" s="332"/>
      <c r="UEX506" s="332"/>
      <c r="UEY506" s="332"/>
      <c r="UEZ506" s="332"/>
      <c r="UFA506" s="332"/>
      <c r="UFB506" s="332"/>
      <c r="UFC506" s="332"/>
      <c r="UFD506" s="332"/>
      <c r="UFE506" s="332"/>
      <c r="UFF506" s="332"/>
      <c r="UFG506" s="332"/>
      <c r="UFH506" s="332"/>
      <c r="UFI506" s="332"/>
      <c r="UFJ506" s="332"/>
      <c r="UFK506" s="332"/>
      <c r="UFL506" s="332"/>
      <c r="UFM506" s="332"/>
      <c r="UFN506" s="332"/>
      <c r="UFO506" s="332"/>
      <c r="UFP506" s="332"/>
      <c r="UFQ506" s="332"/>
      <c r="UFR506" s="332"/>
      <c r="UFS506" s="332"/>
      <c r="UFT506" s="332"/>
      <c r="UFU506" s="332"/>
      <c r="UFV506" s="332"/>
      <c r="UFW506" s="332"/>
      <c r="UFX506" s="332"/>
      <c r="UFY506" s="332"/>
      <c r="UFZ506" s="332"/>
      <c r="UGA506" s="332"/>
      <c r="UGB506" s="332"/>
      <c r="UGC506" s="332"/>
      <c r="UGD506" s="332"/>
      <c r="UGE506" s="332"/>
      <c r="UGF506" s="332"/>
      <c r="UGG506" s="332"/>
      <c r="UGH506" s="332"/>
      <c r="UGI506" s="332"/>
      <c r="UGJ506" s="332"/>
      <c r="UGK506" s="332"/>
      <c r="UGL506" s="332"/>
      <c r="UGM506" s="332"/>
      <c r="UGN506" s="332"/>
      <c r="UGO506" s="332"/>
      <c r="UGP506" s="332"/>
      <c r="UGQ506" s="332"/>
      <c r="UGR506" s="332"/>
      <c r="UGS506" s="332"/>
      <c r="UGT506" s="332"/>
      <c r="UGU506" s="332"/>
      <c r="UGV506" s="332"/>
      <c r="UGW506" s="332"/>
      <c r="UGX506" s="332"/>
      <c r="UGY506" s="332"/>
      <c r="UGZ506" s="332"/>
      <c r="UHA506" s="332"/>
      <c r="UHB506" s="332"/>
      <c r="UHC506" s="332"/>
      <c r="UHD506" s="332"/>
      <c r="UHE506" s="332"/>
      <c r="UHF506" s="332"/>
      <c r="UHG506" s="332"/>
      <c r="UHH506" s="332"/>
      <c r="UHI506" s="332"/>
      <c r="UHJ506" s="332"/>
      <c r="UHK506" s="332"/>
      <c r="UHL506" s="332"/>
      <c r="UHM506" s="332"/>
      <c r="UHN506" s="332"/>
      <c r="UHO506" s="332"/>
      <c r="UHP506" s="332"/>
      <c r="UHQ506" s="332"/>
      <c r="UHR506" s="332"/>
      <c r="UHS506" s="332"/>
      <c r="UHT506" s="332"/>
      <c r="UHU506" s="332"/>
      <c r="UHV506" s="332"/>
      <c r="UHW506" s="332"/>
      <c r="UHX506" s="332"/>
      <c r="UHY506" s="332"/>
      <c r="UHZ506" s="332"/>
      <c r="UIA506" s="332"/>
      <c r="UIB506" s="332"/>
      <c r="UIC506" s="332"/>
      <c r="UID506" s="332"/>
      <c r="UIE506" s="332"/>
      <c r="UIF506" s="332"/>
      <c r="UIG506" s="332"/>
      <c r="UIH506" s="332"/>
      <c r="UII506" s="332"/>
      <c r="UIJ506" s="332"/>
      <c r="UIK506" s="332"/>
      <c r="UIL506" s="332"/>
      <c r="UIM506" s="332"/>
      <c r="UIN506" s="332"/>
      <c r="UIO506" s="332"/>
      <c r="UIP506" s="332"/>
      <c r="UIQ506" s="332"/>
      <c r="UIR506" s="332"/>
      <c r="UIS506" s="332"/>
      <c r="UIT506" s="332"/>
      <c r="UIU506" s="332"/>
      <c r="UIV506" s="332"/>
      <c r="UIW506" s="332"/>
      <c r="UIX506" s="332"/>
      <c r="UIY506" s="332"/>
      <c r="UIZ506" s="332"/>
      <c r="UJA506" s="332"/>
      <c r="UJB506" s="332"/>
      <c r="UJC506" s="332"/>
      <c r="UJD506" s="332"/>
      <c r="UJE506" s="332"/>
      <c r="UJF506" s="332"/>
      <c r="UJG506" s="332"/>
      <c r="UJH506" s="332"/>
      <c r="UJI506" s="332"/>
      <c r="UJJ506" s="332"/>
      <c r="UJK506" s="332"/>
      <c r="UJL506" s="332"/>
      <c r="UJM506" s="332"/>
      <c r="UJN506" s="332"/>
      <c r="UJO506" s="332"/>
      <c r="UJP506" s="332"/>
      <c r="UJQ506" s="332"/>
      <c r="UJR506" s="332"/>
      <c r="UJS506" s="332"/>
      <c r="UJT506" s="332"/>
      <c r="UJU506" s="332"/>
      <c r="UJV506" s="332"/>
      <c r="UJW506" s="332"/>
      <c r="UJX506" s="332"/>
      <c r="UJY506" s="332"/>
      <c r="UJZ506" s="332"/>
      <c r="UKA506" s="332"/>
      <c r="UKB506" s="332"/>
      <c r="UKC506" s="332"/>
      <c r="UKD506" s="332"/>
      <c r="UKE506" s="332"/>
      <c r="UKF506" s="332"/>
      <c r="UKG506" s="332"/>
      <c r="UKH506" s="332"/>
      <c r="UKI506" s="332"/>
      <c r="UKJ506" s="332"/>
      <c r="UKK506" s="332"/>
      <c r="UKL506" s="332"/>
      <c r="UKM506" s="332"/>
      <c r="UKN506" s="332"/>
      <c r="UKO506" s="332"/>
      <c r="UKP506" s="332"/>
      <c r="UKQ506" s="332"/>
      <c r="UKR506" s="332"/>
      <c r="UKS506" s="332"/>
      <c r="UKT506" s="332"/>
      <c r="UKU506" s="332"/>
      <c r="UKV506" s="332"/>
      <c r="UKW506" s="332"/>
      <c r="UKX506" s="332"/>
      <c r="UKY506" s="332"/>
      <c r="UKZ506" s="332"/>
      <c r="ULA506" s="332"/>
      <c r="ULB506" s="332"/>
      <c r="ULC506" s="332"/>
      <c r="ULD506" s="332"/>
      <c r="ULE506" s="332"/>
      <c r="ULF506" s="332"/>
      <c r="ULG506" s="332"/>
      <c r="ULH506" s="332"/>
      <c r="ULI506" s="332"/>
      <c r="ULJ506" s="332"/>
      <c r="ULK506" s="332"/>
      <c r="ULL506" s="332"/>
      <c r="ULM506" s="332"/>
      <c r="ULN506" s="332"/>
      <c r="ULO506" s="332"/>
      <c r="ULP506" s="332"/>
      <c r="ULQ506" s="332"/>
      <c r="ULR506" s="332"/>
      <c r="ULS506" s="332"/>
      <c r="ULT506" s="332"/>
      <c r="ULU506" s="332"/>
      <c r="ULV506" s="332"/>
      <c r="ULW506" s="332"/>
      <c r="ULX506" s="332"/>
      <c r="ULY506" s="332"/>
      <c r="ULZ506" s="332"/>
      <c r="UMA506" s="332"/>
      <c r="UMB506" s="332"/>
      <c r="UMC506" s="332"/>
      <c r="UMD506" s="332"/>
      <c r="UME506" s="332"/>
      <c r="UMF506" s="332"/>
      <c r="UMG506" s="332"/>
      <c r="UMH506" s="332"/>
      <c r="UMI506" s="332"/>
      <c r="UMJ506" s="332"/>
      <c r="UMK506" s="332"/>
      <c r="UML506" s="332"/>
      <c r="UMM506" s="332"/>
      <c r="UMN506" s="332"/>
      <c r="UMO506" s="332"/>
      <c r="UMP506" s="332"/>
      <c r="UMQ506" s="332"/>
      <c r="UMR506" s="332"/>
      <c r="UMS506" s="332"/>
      <c r="UMT506" s="332"/>
      <c r="UMU506" s="332"/>
      <c r="UMV506" s="332"/>
      <c r="UMW506" s="332"/>
      <c r="UMX506" s="332"/>
      <c r="UMY506" s="332"/>
      <c r="UMZ506" s="332"/>
      <c r="UNA506" s="332"/>
      <c r="UNB506" s="332"/>
      <c r="UNC506" s="332"/>
      <c r="UND506" s="332"/>
      <c r="UNE506" s="332"/>
      <c r="UNF506" s="332"/>
      <c r="UNG506" s="332"/>
      <c r="UNH506" s="332"/>
      <c r="UNI506" s="332"/>
      <c r="UNJ506" s="332"/>
      <c r="UNK506" s="332"/>
      <c r="UNL506" s="332"/>
      <c r="UNM506" s="332"/>
      <c r="UNN506" s="332"/>
      <c r="UNO506" s="332"/>
      <c r="UNP506" s="332"/>
      <c r="UNQ506" s="332"/>
      <c r="UNR506" s="332"/>
      <c r="UNS506" s="332"/>
      <c r="UNT506" s="332"/>
      <c r="UNU506" s="332"/>
      <c r="UNV506" s="332"/>
      <c r="UNW506" s="332"/>
      <c r="UNX506" s="332"/>
      <c r="UNY506" s="332"/>
      <c r="UNZ506" s="332"/>
      <c r="UOA506" s="332"/>
      <c r="UOB506" s="332"/>
      <c r="UOC506" s="332"/>
      <c r="UOD506" s="332"/>
      <c r="UOE506" s="332"/>
      <c r="UOF506" s="332"/>
      <c r="UOG506" s="332"/>
      <c r="UOH506" s="332"/>
      <c r="UOI506" s="332"/>
      <c r="UOJ506" s="332"/>
      <c r="UOK506" s="332"/>
      <c r="UOL506" s="332"/>
      <c r="UOM506" s="332"/>
      <c r="UON506" s="332"/>
      <c r="UOO506" s="332"/>
      <c r="UOP506" s="332"/>
      <c r="UOQ506" s="332"/>
      <c r="UOR506" s="332"/>
      <c r="UOS506" s="332"/>
      <c r="UOT506" s="332"/>
      <c r="UOU506" s="332"/>
      <c r="UOV506" s="332"/>
      <c r="UOW506" s="332"/>
      <c r="UOX506" s="332"/>
      <c r="UOY506" s="332"/>
      <c r="UOZ506" s="332"/>
      <c r="UPA506" s="332"/>
      <c r="UPB506" s="332"/>
      <c r="UPC506" s="332"/>
      <c r="UPD506" s="332"/>
      <c r="UPE506" s="332"/>
      <c r="UPF506" s="332"/>
      <c r="UPG506" s="332"/>
      <c r="UPH506" s="332"/>
      <c r="UPI506" s="332"/>
      <c r="UPJ506" s="332"/>
      <c r="UPK506" s="332"/>
      <c r="UPL506" s="332"/>
      <c r="UPM506" s="332"/>
      <c r="UPN506" s="332"/>
      <c r="UPO506" s="332"/>
      <c r="UPP506" s="332"/>
      <c r="UPQ506" s="332"/>
      <c r="UPR506" s="332"/>
      <c r="UPS506" s="332"/>
      <c r="UPT506" s="332"/>
      <c r="UPU506" s="332"/>
      <c r="UPV506" s="332"/>
      <c r="UPW506" s="332"/>
      <c r="UPX506" s="332"/>
      <c r="UPY506" s="332"/>
      <c r="UPZ506" s="332"/>
      <c r="UQA506" s="332"/>
      <c r="UQB506" s="332"/>
      <c r="UQC506" s="332"/>
      <c r="UQD506" s="332"/>
      <c r="UQE506" s="332"/>
      <c r="UQF506" s="332"/>
      <c r="UQG506" s="332"/>
      <c r="UQH506" s="332"/>
      <c r="UQI506" s="332"/>
      <c r="UQJ506" s="332"/>
      <c r="UQK506" s="332"/>
      <c r="UQL506" s="332"/>
      <c r="UQM506" s="332"/>
      <c r="UQN506" s="332"/>
      <c r="UQO506" s="332"/>
      <c r="UQP506" s="332"/>
      <c r="UQQ506" s="332"/>
      <c r="UQR506" s="332"/>
      <c r="UQS506" s="332"/>
      <c r="UQT506" s="332"/>
      <c r="UQU506" s="332"/>
      <c r="UQV506" s="332"/>
      <c r="UQW506" s="332"/>
      <c r="UQX506" s="332"/>
      <c r="UQY506" s="332"/>
      <c r="UQZ506" s="332"/>
      <c r="URA506" s="332"/>
      <c r="URB506" s="332"/>
      <c r="URC506" s="332"/>
      <c r="URD506" s="332"/>
      <c r="URE506" s="332"/>
      <c r="URF506" s="332"/>
      <c r="URG506" s="332"/>
      <c r="URH506" s="332"/>
      <c r="URI506" s="332"/>
      <c r="URJ506" s="332"/>
      <c r="URK506" s="332"/>
      <c r="URL506" s="332"/>
      <c r="URM506" s="332"/>
      <c r="URN506" s="332"/>
      <c r="URO506" s="332"/>
      <c r="URP506" s="332"/>
      <c r="URQ506" s="332"/>
      <c r="URR506" s="332"/>
      <c r="URS506" s="332"/>
      <c r="URT506" s="332"/>
      <c r="URU506" s="332"/>
      <c r="URV506" s="332"/>
      <c r="URW506" s="332"/>
      <c r="URX506" s="332"/>
      <c r="URY506" s="332"/>
      <c r="URZ506" s="332"/>
      <c r="USA506" s="332"/>
      <c r="USB506" s="332"/>
      <c r="USC506" s="332"/>
      <c r="USD506" s="332"/>
      <c r="USE506" s="332"/>
      <c r="USF506" s="332"/>
      <c r="USG506" s="332"/>
      <c r="USH506" s="332"/>
      <c r="USI506" s="332"/>
      <c r="USJ506" s="332"/>
      <c r="USK506" s="332"/>
      <c r="USL506" s="332"/>
      <c r="USM506" s="332"/>
      <c r="USN506" s="332"/>
      <c r="USO506" s="332"/>
      <c r="USP506" s="332"/>
      <c r="USQ506" s="332"/>
      <c r="USR506" s="332"/>
      <c r="USS506" s="332"/>
      <c r="UST506" s="332"/>
      <c r="USU506" s="332"/>
      <c r="USV506" s="332"/>
      <c r="USW506" s="332"/>
      <c r="USX506" s="332"/>
      <c r="USY506" s="332"/>
      <c r="USZ506" s="332"/>
      <c r="UTA506" s="332"/>
      <c r="UTB506" s="332"/>
      <c r="UTC506" s="332"/>
      <c r="UTD506" s="332"/>
      <c r="UTE506" s="332"/>
      <c r="UTF506" s="332"/>
      <c r="UTG506" s="332"/>
      <c r="UTH506" s="332"/>
      <c r="UTI506" s="332"/>
      <c r="UTJ506" s="332"/>
      <c r="UTK506" s="332"/>
      <c r="UTL506" s="332"/>
      <c r="UTM506" s="332"/>
      <c r="UTN506" s="332"/>
      <c r="UTO506" s="332"/>
      <c r="UTP506" s="332"/>
      <c r="UTQ506" s="332"/>
      <c r="UTR506" s="332"/>
      <c r="UTS506" s="332"/>
      <c r="UTT506" s="332"/>
      <c r="UTU506" s="332"/>
      <c r="UTV506" s="332"/>
      <c r="UTW506" s="332"/>
      <c r="UTX506" s="332"/>
      <c r="UTY506" s="332"/>
      <c r="UTZ506" s="332"/>
      <c r="UUA506" s="332"/>
      <c r="UUB506" s="332"/>
      <c r="UUC506" s="332"/>
      <c r="UUD506" s="332"/>
      <c r="UUE506" s="332"/>
      <c r="UUF506" s="332"/>
      <c r="UUG506" s="332"/>
      <c r="UUH506" s="332"/>
      <c r="UUI506" s="332"/>
      <c r="UUJ506" s="332"/>
      <c r="UUK506" s="332"/>
      <c r="UUL506" s="332"/>
      <c r="UUM506" s="332"/>
      <c r="UUN506" s="332"/>
      <c r="UUO506" s="332"/>
      <c r="UUP506" s="332"/>
      <c r="UUQ506" s="332"/>
      <c r="UUR506" s="332"/>
      <c r="UUS506" s="332"/>
      <c r="UUT506" s="332"/>
      <c r="UUU506" s="332"/>
      <c r="UUV506" s="332"/>
      <c r="UUW506" s="332"/>
      <c r="UUX506" s="332"/>
      <c r="UUY506" s="332"/>
      <c r="UUZ506" s="332"/>
      <c r="UVA506" s="332"/>
      <c r="UVB506" s="332"/>
      <c r="UVC506" s="332"/>
      <c r="UVD506" s="332"/>
      <c r="UVE506" s="332"/>
      <c r="UVF506" s="332"/>
      <c r="UVG506" s="332"/>
      <c r="UVH506" s="332"/>
      <c r="UVI506" s="332"/>
      <c r="UVJ506" s="332"/>
      <c r="UVK506" s="332"/>
      <c r="UVL506" s="332"/>
      <c r="UVM506" s="332"/>
      <c r="UVN506" s="332"/>
      <c r="UVO506" s="332"/>
      <c r="UVP506" s="332"/>
      <c r="UVQ506" s="332"/>
      <c r="UVR506" s="332"/>
      <c r="UVS506" s="332"/>
      <c r="UVT506" s="332"/>
      <c r="UVU506" s="332"/>
      <c r="UVV506" s="332"/>
      <c r="UVW506" s="332"/>
      <c r="UVX506" s="332"/>
      <c r="UVY506" s="332"/>
      <c r="UVZ506" s="332"/>
      <c r="UWA506" s="332"/>
      <c r="UWB506" s="332"/>
      <c r="UWC506" s="332"/>
      <c r="UWD506" s="332"/>
      <c r="UWE506" s="332"/>
      <c r="UWF506" s="332"/>
      <c r="UWG506" s="332"/>
      <c r="UWH506" s="332"/>
      <c r="UWI506" s="332"/>
      <c r="UWJ506" s="332"/>
      <c r="UWK506" s="332"/>
      <c r="UWL506" s="332"/>
      <c r="UWM506" s="332"/>
      <c r="UWN506" s="332"/>
      <c r="UWO506" s="332"/>
      <c r="UWP506" s="332"/>
      <c r="UWQ506" s="332"/>
      <c r="UWR506" s="332"/>
      <c r="UWS506" s="332"/>
      <c r="UWT506" s="332"/>
      <c r="UWU506" s="332"/>
      <c r="UWV506" s="332"/>
      <c r="UWW506" s="332"/>
      <c r="UWX506" s="332"/>
      <c r="UWY506" s="332"/>
      <c r="UWZ506" s="332"/>
      <c r="UXA506" s="332"/>
      <c r="UXB506" s="332"/>
      <c r="UXC506" s="332"/>
      <c r="UXD506" s="332"/>
      <c r="UXE506" s="332"/>
      <c r="UXF506" s="332"/>
      <c r="UXG506" s="332"/>
      <c r="UXH506" s="332"/>
      <c r="UXI506" s="332"/>
      <c r="UXJ506" s="332"/>
      <c r="UXK506" s="332"/>
      <c r="UXL506" s="332"/>
      <c r="UXM506" s="332"/>
      <c r="UXN506" s="332"/>
      <c r="UXO506" s="332"/>
      <c r="UXP506" s="332"/>
      <c r="UXQ506" s="332"/>
      <c r="UXR506" s="332"/>
      <c r="UXS506" s="332"/>
      <c r="UXT506" s="332"/>
      <c r="UXU506" s="332"/>
      <c r="UXV506" s="332"/>
      <c r="UXW506" s="332"/>
      <c r="UXX506" s="332"/>
      <c r="UXY506" s="332"/>
      <c r="UXZ506" s="332"/>
      <c r="UYA506" s="332"/>
      <c r="UYB506" s="332"/>
      <c r="UYC506" s="332"/>
      <c r="UYD506" s="332"/>
      <c r="UYE506" s="332"/>
      <c r="UYF506" s="332"/>
      <c r="UYG506" s="332"/>
      <c r="UYH506" s="332"/>
      <c r="UYI506" s="332"/>
      <c r="UYJ506" s="332"/>
      <c r="UYK506" s="332"/>
      <c r="UYL506" s="332"/>
      <c r="UYM506" s="332"/>
      <c r="UYN506" s="332"/>
      <c r="UYO506" s="332"/>
      <c r="UYP506" s="332"/>
      <c r="UYQ506" s="332"/>
      <c r="UYR506" s="332"/>
      <c r="UYS506" s="332"/>
      <c r="UYT506" s="332"/>
      <c r="UYU506" s="332"/>
      <c r="UYV506" s="332"/>
      <c r="UYW506" s="332"/>
      <c r="UYX506" s="332"/>
      <c r="UYY506" s="332"/>
      <c r="UYZ506" s="332"/>
      <c r="UZA506" s="332"/>
      <c r="UZB506" s="332"/>
      <c r="UZC506" s="332"/>
      <c r="UZD506" s="332"/>
      <c r="UZE506" s="332"/>
      <c r="UZF506" s="332"/>
      <c r="UZG506" s="332"/>
      <c r="UZH506" s="332"/>
      <c r="UZI506" s="332"/>
      <c r="UZJ506" s="332"/>
      <c r="UZK506" s="332"/>
      <c r="UZL506" s="332"/>
      <c r="UZM506" s="332"/>
      <c r="UZN506" s="332"/>
      <c r="UZO506" s="332"/>
      <c r="UZP506" s="332"/>
      <c r="UZQ506" s="332"/>
      <c r="UZR506" s="332"/>
      <c r="UZS506" s="332"/>
      <c r="UZT506" s="332"/>
      <c r="UZU506" s="332"/>
      <c r="UZV506" s="332"/>
      <c r="UZW506" s="332"/>
      <c r="UZX506" s="332"/>
      <c r="UZY506" s="332"/>
      <c r="UZZ506" s="332"/>
      <c r="VAA506" s="332"/>
      <c r="VAB506" s="332"/>
      <c r="VAC506" s="332"/>
      <c r="VAD506" s="332"/>
      <c r="VAE506" s="332"/>
      <c r="VAF506" s="332"/>
      <c r="VAG506" s="332"/>
      <c r="VAH506" s="332"/>
      <c r="VAI506" s="332"/>
      <c r="VAJ506" s="332"/>
      <c r="VAK506" s="332"/>
      <c r="VAL506" s="332"/>
      <c r="VAM506" s="332"/>
      <c r="VAN506" s="332"/>
      <c r="VAO506" s="332"/>
      <c r="VAP506" s="332"/>
      <c r="VAQ506" s="332"/>
      <c r="VAR506" s="332"/>
      <c r="VAS506" s="332"/>
      <c r="VAT506" s="332"/>
      <c r="VAU506" s="332"/>
      <c r="VAV506" s="332"/>
      <c r="VAW506" s="332"/>
      <c r="VAX506" s="332"/>
      <c r="VAY506" s="332"/>
      <c r="VAZ506" s="332"/>
      <c r="VBA506" s="332"/>
      <c r="VBB506" s="332"/>
      <c r="VBC506" s="332"/>
      <c r="VBD506" s="332"/>
      <c r="VBE506" s="332"/>
      <c r="VBF506" s="332"/>
      <c r="VBG506" s="332"/>
      <c r="VBH506" s="332"/>
      <c r="VBI506" s="332"/>
      <c r="VBJ506" s="332"/>
      <c r="VBK506" s="332"/>
      <c r="VBL506" s="332"/>
      <c r="VBM506" s="332"/>
      <c r="VBN506" s="332"/>
      <c r="VBO506" s="332"/>
      <c r="VBP506" s="332"/>
      <c r="VBQ506" s="332"/>
      <c r="VBR506" s="332"/>
      <c r="VBS506" s="332"/>
      <c r="VBT506" s="332"/>
      <c r="VBU506" s="332"/>
      <c r="VBV506" s="332"/>
      <c r="VBW506" s="332"/>
      <c r="VBX506" s="332"/>
      <c r="VBY506" s="332"/>
      <c r="VBZ506" s="332"/>
      <c r="VCA506" s="332"/>
      <c r="VCB506" s="332"/>
      <c r="VCC506" s="332"/>
      <c r="VCD506" s="332"/>
      <c r="VCE506" s="332"/>
      <c r="VCF506" s="332"/>
      <c r="VCG506" s="332"/>
      <c r="VCH506" s="332"/>
      <c r="VCI506" s="332"/>
      <c r="VCJ506" s="332"/>
      <c r="VCK506" s="332"/>
      <c r="VCL506" s="332"/>
      <c r="VCM506" s="332"/>
      <c r="VCN506" s="332"/>
      <c r="VCO506" s="332"/>
      <c r="VCP506" s="332"/>
      <c r="VCQ506" s="332"/>
      <c r="VCR506" s="332"/>
      <c r="VCS506" s="332"/>
      <c r="VCT506" s="332"/>
      <c r="VCU506" s="332"/>
      <c r="VCV506" s="332"/>
      <c r="VCW506" s="332"/>
      <c r="VCX506" s="332"/>
      <c r="VCY506" s="332"/>
      <c r="VCZ506" s="332"/>
      <c r="VDA506" s="332"/>
      <c r="VDB506" s="332"/>
      <c r="VDC506" s="332"/>
      <c r="VDD506" s="332"/>
      <c r="VDE506" s="332"/>
      <c r="VDF506" s="332"/>
      <c r="VDG506" s="332"/>
      <c r="VDH506" s="332"/>
      <c r="VDI506" s="332"/>
      <c r="VDJ506" s="332"/>
      <c r="VDK506" s="332"/>
      <c r="VDL506" s="332"/>
      <c r="VDM506" s="332"/>
      <c r="VDN506" s="332"/>
      <c r="VDO506" s="332"/>
      <c r="VDP506" s="332"/>
      <c r="VDQ506" s="332"/>
      <c r="VDR506" s="332"/>
      <c r="VDS506" s="332"/>
      <c r="VDT506" s="332"/>
      <c r="VDU506" s="332"/>
      <c r="VDV506" s="332"/>
      <c r="VDW506" s="332"/>
      <c r="VDX506" s="332"/>
      <c r="VDY506" s="332"/>
      <c r="VDZ506" s="332"/>
      <c r="VEA506" s="332"/>
      <c r="VEB506" s="332"/>
      <c r="VEC506" s="332"/>
      <c r="VED506" s="332"/>
      <c r="VEE506" s="332"/>
      <c r="VEF506" s="332"/>
      <c r="VEG506" s="332"/>
      <c r="VEH506" s="332"/>
      <c r="VEI506" s="332"/>
      <c r="VEJ506" s="332"/>
      <c r="VEK506" s="332"/>
      <c r="VEL506" s="332"/>
      <c r="VEM506" s="332"/>
      <c r="VEN506" s="332"/>
      <c r="VEO506" s="332"/>
      <c r="VEP506" s="332"/>
      <c r="VEQ506" s="332"/>
      <c r="VER506" s="332"/>
      <c r="VES506" s="332"/>
      <c r="VET506" s="332"/>
      <c r="VEU506" s="332"/>
      <c r="VEV506" s="332"/>
      <c r="VEW506" s="332"/>
      <c r="VEX506" s="332"/>
      <c r="VEY506" s="332"/>
      <c r="VEZ506" s="332"/>
      <c r="VFA506" s="332"/>
      <c r="VFB506" s="332"/>
      <c r="VFC506" s="332"/>
      <c r="VFD506" s="332"/>
      <c r="VFE506" s="332"/>
      <c r="VFF506" s="332"/>
      <c r="VFG506" s="332"/>
      <c r="VFH506" s="332"/>
      <c r="VFI506" s="332"/>
      <c r="VFJ506" s="332"/>
      <c r="VFK506" s="332"/>
      <c r="VFL506" s="332"/>
      <c r="VFM506" s="332"/>
      <c r="VFN506" s="332"/>
      <c r="VFO506" s="332"/>
      <c r="VFP506" s="332"/>
      <c r="VFQ506" s="332"/>
      <c r="VFR506" s="332"/>
      <c r="VFS506" s="332"/>
      <c r="VFT506" s="332"/>
      <c r="VFU506" s="332"/>
      <c r="VFV506" s="332"/>
      <c r="VFW506" s="332"/>
      <c r="VFX506" s="332"/>
      <c r="VFY506" s="332"/>
      <c r="VFZ506" s="332"/>
      <c r="VGA506" s="332"/>
      <c r="VGB506" s="332"/>
      <c r="VGC506" s="332"/>
      <c r="VGD506" s="332"/>
      <c r="VGE506" s="332"/>
      <c r="VGF506" s="332"/>
      <c r="VGG506" s="332"/>
      <c r="VGH506" s="332"/>
      <c r="VGI506" s="332"/>
      <c r="VGJ506" s="332"/>
      <c r="VGK506" s="332"/>
      <c r="VGL506" s="332"/>
      <c r="VGM506" s="332"/>
      <c r="VGN506" s="332"/>
      <c r="VGO506" s="332"/>
      <c r="VGP506" s="332"/>
      <c r="VGQ506" s="332"/>
      <c r="VGR506" s="332"/>
      <c r="VGS506" s="332"/>
      <c r="VGT506" s="332"/>
      <c r="VGU506" s="332"/>
      <c r="VGV506" s="332"/>
      <c r="VGW506" s="332"/>
      <c r="VGX506" s="332"/>
      <c r="VGY506" s="332"/>
      <c r="VGZ506" s="332"/>
      <c r="VHA506" s="332"/>
      <c r="VHB506" s="332"/>
      <c r="VHC506" s="332"/>
      <c r="VHD506" s="332"/>
      <c r="VHE506" s="332"/>
      <c r="VHF506" s="332"/>
      <c r="VHG506" s="332"/>
      <c r="VHH506" s="332"/>
      <c r="VHI506" s="332"/>
      <c r="VHJ506" s="332"/>
      <c r="VHK506" s="332"/>
      <c r="VHL506" s="332"/>
      <c r="VHM506" s="332"/>
      <c r="VHN506" s="332"/>
      <c r="VHO506" s="332"/>
      <c r="VHP506" s="332"/>
      <c r="VHQ506" s="332"/>
      <c r="VHR506" s="332"/>
      <c r="VHS506" s="332"/>
      <c r="VHT506" s="332"/>
      <c r="VHU506" s="332"/>
      <c r="VHV506" s="332"/>
      <c r="VHW506" s="332"/>
      <c r="VHX506" s="332"/>
      <c r="VHY506" s="332"/>
      <c r="VHZ506" s="332"/>
      <c r="VIA506" s="332"/>
      <c r="VIB506" s="332"/>
      <c r="VIC506" s="332"/>
      <c r="VID506" s="332"/>
      <c r="VIE506" s="332"/>
      <c r="VIF506" s="332"/>
      <c r="VIG506" s="332"/>
      <c r="VIH506" s="332"/>
      <c r="VII506" s="332"/>
      <c r="VIJ506" s="332"/>
      <c r="VIK506" s="332"/>
      <c r="VIL506" s="332"/>
      <c r="VIM506" s="332"/>
      <c r="VIN506" s="332"/>
      <c r="VIO506" s="332"/>
      <c r="VIP506" s="332"/>
      <c r="VIQ506" s="332"/>
      <c r="VIR506" s="332"/>
      <c r="VIS506" s="332"/>
      <c r="VIT506" s="332"/>
      <c r="VIU506" s="332"/>
      <c r="VIV506" s="332"/>
      <c r="VIW506" s="332"/>
      <c r="VIX506" s="332"/>
      <c r="VIY506" s="332"/>
      <c r="VIZ506" s="332"/>
      <c r="VJA506" s="332"/>
      <c r="VJB506" s="332"/>
      <c r="VJC506" s="332"/>
      <c r="VJD506" s="332"/>
      <c r="VJE506" s="332"/>
      <c r="VJF506" s="332"/>
      <c r="VJG506" s="332"/>
      <c r="VJH506" s="332"/>
      <c r="VJI506" s="332"/>
      <c r="VJJ506" s="332"/>
      <c r="VJK506" s="332"/>
      <c r="VJL506" s="332"/>
      <c r="VJM506" s="332"/>
      <c r="VJN506" s="332"/>
      <c r="VJO506" s="332"/>
      <c r="VJP506" s="332"/>
      <c r="VJQ506" s="332"/>
      <c r="VJR506" s="332"/>
      <c r="VJS506" s="332"/>
      <c r="VJT506" s="332"/>
      <c r="VJU506" s="332"/>
      <c r="VJV506" s="332"/>
      <c r="VJW506" s="332"/>
      <c r="VJX506" s="332"/>
      <c r="VJY506" s="332"/>
      <c r="VJZ506" s="332"/>
      <c r="VKA506" s="332"/>
      <c r="VKB506" s="332"/>
      <c r="VKC506" s="332"/>
      <c r="VKD506" s="332"/>
      <c r="VKE506" s="332"/>
      <c r="VKF506" s="332"/>
      <c r="VKG506" s="332"/>
      <c r="VKH506" s="332"/>
      <c r="VKI506" s="332"/>
      <c r="VKJ506" s="332"/>
      <c r="VKK506" s="332"/>
      <c r="VKL506" s="332"/>
      <c r="VKM506" s="332"/>
      <c r="VKN506" s="332"/>
      <c r="VKO506" s="332"/>
      <c r="VKP506" s="332"/>
      <c r="VKQ506" s="332"/>
      <c r="VKR506" s="332"/>
      <c r="VKS506" s="332"/>
      <c r="VKT506" s="332"/>
      <c r="VKU506" s="332"/>
      <c r="VKV506" s="332"/>
      <c r="VKW506" s="332"/>
      <c r="VKX506" s="332"/>
      <c r="VKY506" s="332"/>
      <c r="VKZ506" s="332"/>
      <c r="VLA506" s="332"/>
      <c r="VLB506" s="332"/>
      <c r="VLC506" s="332"/>
      <c r="VLD506" s="332"/>
      <c r="VLE506" s="332"/>
      <c r="VLF506" s="332"/>
      <c r="VLG506" s="332"/>
      <c r="VLH506" s="332"/>
      <c r="VLI506" s="332"/>
      <c r="VLJ506" s="332"/>
      <c r="VLK506" s="332"/>
      <c r="VLL506" s="332"/>
      <c r="VLM506" s="332"/>
      <c r="VLN506" s="332"/>
      <c r="VLO506" s="332"/>
      <c r="VLP506" s="332"/>
      <c r="VLQ506" s="332"/>
      <c r="VLR506" s="332"/>
      <c r="VLS506" s="332"/>
      <c r="VLT506" s="332"/>
      <c r="VLU506" s="332"/>
      <c r="VLV506" s="332"/>
      <c r="VLW506" s="332"/>
      <c r="VLX506" s="332"/>
      <c r="VLY506" s="332"/>
      <c r="VLZ506" s="332"/>
      <c r="VMA506" s="332"/>
      <c r="VMB506" s="332"/>
      <c r="VMC506" s="332"/>
      <c r="VMD506" s="332"/>
      <c r="VME506" s="332"/>
      <c r="VMF506" s="332"/>
      <c r="VMG506" s="332"/>
      <c r="VMH506" s="332"/>
      <c r="VMI506" s="332"/>
      <c r="VMJ506" s="332"/>
      <c r="VMK506" s="332"/>
      <c r="VML506" s="332"/>
      <c r="VMM506" s="332"/>
      <c r="VMN506" s="332"/>
      <c r="VMO506" s="332"/>
      <c r="VMP506" s="332"/>
      <c r="VMQ506" s="332"/>
      <c r="VMR506" s="332"/>
      <c r="VMS506" s="332"/>
      <c r="VMT506" s="332"/>
      <c r="VMU506" s="332"/>
      <c r="VMV506" s="332"/>
      <c r="VMW506" s="332"/>
      <c r="VMX506" s="332"/>
      <c r="VMY506" s="332"/>
      <c r="VMZ506" s="332"/>
      <c r="VNA506" s="332"/>
      <c r="VNB506" s="332"/>
      <c r="VNC506" s="332"/>
      <c r="VND506" s="332"/>
      <c r="VNE506" s="332"/>
      <c r="VNF506" s="332"/>
      <c r="VNG506" s="332"/>
      <c r="VNH506" s="332"/>
      <c r="VNI506" s="332"/>
      <c r="VNJ506" s="332"/>
      <c r="VNK506" s="332"/>
      <c r="VNL506" s="332"/>
      <c r="VNM506" s="332"/>
      <c r="VNN506" s="332"/>
      <c r="VNO506" s="332"/>
      <c r="VNP506" s="332"/>
      <c r="VNQ506" s="332"/>
      <c r="VNR506" s="332"/>
      <c r="VNS506" s="332"/>
      <c r="VNT506" s="332"/>
      <c r="VNU506" s="332"/>
      <c r="VNV506" s="332"/>
      <c r="VNW506" s="332"/>
      <c r="VNX506" s="332"/>
      <c r="VNY506" s="332"/>
      <c r="VNZ506" s="332"/>
      <c r="VOA506" s="332"/>
      <c r="VOB506" s="332"/>
      <c r="VOC506" s="332"/>
      <c r="VOD506" s="332"/>
      <c r="VOE506" s="332"/>
      <c r="VOF506" s="332"/>
      <c r="VOG506" s="332"/>
      <c r="VOH506" s="332"/>
      <c r="VOI506" s="332"/>
      <c r="VOJ506" s="332"/>
      <c r="VOK506" s="332"/>
      <c r="VOL506" s="332"/>
      <c r="VOM506" s="332"/>
      <c r="VON506" s="332"/>
      <c r="VOO506" s="332"/>
      <c r="VOP506" s="332"/>
      <c r="VOQ506" s="332"/>
      <c r="VOR506" s="332"/>
      <c r="VOS506" s="332"/>
      <c r="VOT506" s="332"/>
      <c r="VOU506" s="332"/>
      <c r="VOV506" s="332"/>
      <c r="VOW506" s="332"/>
      <c r="VOX506" s="332"/>
      <c r="VOY506" s="332"/>
      <c r="VOZ506" s="332"/>
      <c r="VPA506" s="332"/>
      <c r="VPB506" s="332"/>
      <c r="VPC506" s="332"/>
      <c r="VPD506" s="332"/>
      <c r="VPE506" s="332"/>
      <c r="VPF506" s="332"/>
      <c r="VPG506" s="332"/>
      <c r="VPH506" s="332"/>
      <c r="VPI506" s="332"/>
      <c r="VPJ506" s="332"/>
      <c r="VPK506" s="332"/>
      <c r="VPL506" s="332"/>
      <c r="VPM506" s="332"/>
      <c r="VPN506" s="332"/>
      <c r="VPO506" s="332"/>
      <c r="VPP506" s="332"/>
      <c r="VPQ506" s="332"/>
      <c r="VPR506" s="332"/>
      <c r="VPS506" s="332"/>
      <c r="VPT506" s="332"/>
      <c r="VPU506" s="332"/>
      <c r="VPV506" s="332"/>
      <c r="VPW506" s="332"/>
      <c r="VPX506" s="332"/>
      <c r="VPY506" s="332"/>
      <c r="VPZ506" s="332"/>
      <c r="VQA506" s="332"/>
      <c r="VQB506" s="332"/>
      <c r="VQC506" s="332"/>
      <c r="VQD506" s="332"/>
      <c r="VQE506" s="332"/>
      <c r="VQF506" s="332"/>
      <c r="VQG506" s="332"/>
      <c r="VQH506" s="332"/>
      <c r="VQI506" s="332"/>
      <c r="VQJ506" s="332"/>
      <c r="VQK506" s="332"/>
      <c r="VQL506" s="332"/>
      <c r="VQM506" s="332"/>
      <c r="VQN506" s="332"/>
      <c r="VQO506" s="332"/>
      <c r="VQP506" s="332"/>
      <c r="VQQ506" s="332"/>
      <c r="VQR506" s="332"/>
      <c r="VQS506" s="332"/>
      <c r="VQT506" s="332"/>
      <c r="VQU506" s="332"/>
      <c r="VQV506" s="332"/>
      <c r="VQW506" s="332"/>
      <c r="VQX506" s="332"/>
      <c r="VQY506" s="332"/>
      <c r="VQZ506" s="332"/>
      <c r="VRA506" s="332"/>
      <c r="VRB506" s="332"/>
      <c r="VRC506" s="332"/>
      <c r="VRD506" s="332"/>
      <c r="VRE506" s="332"/>
      <c r="VRF506" s="332"/>
      <c r="VRG506" s="332"/>
      <c r="VRH506" s="332"/>
      <c r="VRI506" s="332"/>
      <c r="VRJ506" s="332"/>
      <c r="VRK506" s="332"/>
      <c r="VRL506" s="332"/>
      <c r="VRM506" s="332"/>
      <c r="VRN506" s="332"/>
      <c r="VRO506" s="332"/>
      <c r="VRP506" s="332"/>
      <c r="VRQ506" s="332"/>
      <c r="VRR506" s="332"/>
      <c r="VRS506" s="332"/>
      <c r="VRT506" s="332"/>
      <c r="VRU506" s="332"/>
      <c r="VRV506" s="332"/>
      <c r="VRW506" s="332"/>
      <c r="VRX506" s="332"/>
      <c r="VRY506" s="332"/>
      <c r="VRZ506" s="332"/>
      <c r="VSA506" s="332"/>
      <c r="VSB506" s="332"/>
      <c r="VSC506" s="332"/>
      <c r="VSD506" s="332"/>
      <c r="VSE506" s="332"/>
      <c r="VSF506" s="332"/>
      <c r="VSG506" s="332"/>
      <c r="VSH506" s="332"/>
      <c r="VSI506" s="332"/>
      <c r="VSJ506" s="332"/>
      <c r="VSK506" s="332"/>
      <c r="VSL506" s="332"/>
      <c r="VSM506" s="332"/>
      <c r="VSN506" s="332"/>
      <c r="VSO506" s="332"/>
      <c r="VSP506" s="332"/>
      <c r="VSQ506" s="332"/>
      <c r="VSR506" s="332"/>
      <c r="VSS506" s="332"/>
      <c r="VST506" s="332"/>
      <c r="VSU506" s="332"/>
      <c r="VSV506" s="332"/>
      <c r="VSW506" s="332"/>
      <c r="VSX506" s="332"/>
      <c r="VSY506" s="332"/>
      <c r="VSZ506" s="332"/>
      <c r="VTA506" s="332"/>
      <c r="VTB506" s="332"/>
      <c r="VTC506" s="332"/>
      <c r="VTD506" s="332"/>
      <c r="VTE506" s="332"/>
      <c r="VTF506" s="332"/>
      <c r="VTG506" s="332"/>
      <c r="VTH506" s="332"/>
      <c r="VTI506" s="332"/>
      <c r="VTJ506" s="332"/>
      <c r="VTK506" s="332"/>
      <c r="VTL506" s="332"/>
      <c r="VTM506" s="332"/>
      <c r="VTN506" s="332"/>
      <c r="VTO506" s="332"/>
      <c r="VTP506" s="332"/>
      <c r="VTQ506" s="332"/>
      <c r="VTR506" s="332"/>
      <c r="VTS506" s="332"/>
      <c r="VTT506" s="332"/>
      <c r="VTU506" s="332"/>
      <c r="VTV506" s="332"/>
      <c r="VTW506" s="332"/>
      <c r="VTX506" s="332"/>
      <c r="VTY506" s="332"/>
      <c r="VTZ506" s="332"/>
      <c r="VUA506" s="332"/>
      <c r="VUB506" s="332"/>
      <c r="VUC506" s="332"/>
      <c r="VUD506" s="332"/>
      <c r="VUE506" s="332"/>
      <c r="VUF506" s="332"/>
      <c r="VUG506" s="332"/>
      <c r="VUH506" s="332"/>
      <c r="VUI506" s="332"/>
      <c r="VUJ506" s="332"/>
      <c r="VUK506" s="332"/>
      <c r="VUL506" s="332"/>
      <c r="VUM506" s="332"/>
      <c r="VUN506" s="332"/>
      <c r="VUO506" s="332"/>
      <c r="VUP506" s="332"/>
      <c r="VUQ506" s="332"/>
      <c r="VUR506" s="332"/>
      <c r="VUS506" s="332"/>
      <c r="VUT506" s="332"/>
      <c r="VUU506" s="332"/>
      <c r="VUV506" s="332"/>
      <c r="VUW506" s="332"/>
      <c r="VUX506" s="332"/>
      <c r="VUY506" s="332"/>
      <c r="VUZ506" s="332"/>
      <c r="VVA506" s="332"/>
      <c r="VVB506" s="332"/>
      <c r="VVC506" s="332"/>
      <c r="VVD506" s="332"/>
      <c r="VVE506" s="332"/>
      <c r="VVF506" s="332"/>
      <c r="VVG506" s="332"/>
      <c r="VVH506" s="332"/>
      <c r="VVI506" s="332"/>
      <c r="VVJ506" s="332"/>
      <c r="VVK506" s="332"/>
      <c r="VVL506" s="332"/>
      <c r="VVM506" s="332"/>
      <c r="VVN506" s="332"/>
      <c r="VVO506" s="332"/>
      <c r="VVP506" s="332"/>
      <c r="VVQ506" s="332"/>
      <c r="VVR506" s="332"/>
      <c r="VVS506" s="332"/>
      <c r="VVT506" s="332"/>
      <c r="VVU506" s="332"/>
      <c r="VVV506" s="332"/>
      <c r="VVW506" s="332"/>
      <c r="VVX506" s="332"/>
      <c r="VVY506" s="332"/>
      <c r="VVZ506" s="332"/>
      <c r="VWA506" s="332"/>
      <c r="VWB506" s="332"/>
      <c r="VWC506" s="332"/>
      <c r="VWD506" s="332"/>
      <c r="VWE506" s="332"/>
      <c r="VWF506" s="332"/>
      <c r="VWG506" s="332"/>
      <c r="VWH506" s="332"/>
      <c r="VWI506" s="332"/>
      <c r="VWJ506" s="332"/>
      <c r="VWK506" s="332"/>
      <c r="VWL506" s="332"/>
      <c r="VWM506" s="332"/>
      <c r="VWN506" s="332"/>
      <c r="VWO506" s="332"/>
      <c r="VWP506" s="332"/>
      <c r="VWQ506" s="332"/>
      <c r="VWR506" s="332"/>
      <c r="VWS506" s="332"/>
      <c r="VWT506" s="332"/>
      <c r="VWU506" s="332"/>
      <c r="VWV506" s="332"/>
      <c r="VWW506" s="332"/>
      <c r="VWX506" s="332"/>
      <c r="VWY506" s="332"/>
      <c r="VWZ506" s="332"/>
      <c r="VXA506" s="332"/>
      <c r="VXB506" s="332"/>
      <c r="VXC506" s="332"/>
      <c r="VXD506" s="332"/>
      <c r="VXE506" s="332"/>
      <c r="VXF506" s="332"/>
      <c r="VXG506" s="332"/>
      <c r="VXH506" s="332"/>
      <c r="VXI506" s="332"/>
      <c r="VXJ506" s="332"/>
      <c r="VXK506" s="332"/>
      <c r="VXL506" s="332"/>
      <c r="VXM506" s="332"/>
      <c r="VXN506" s="332"/>
      <c r="VXO506" s="332"/>
      <c r="VXP506" s="332"/>
      <c r="VXQ506" s="332"/>
      <c r="VXR506" s="332"/>
      <c r="VXS506" s="332"/>
      <c r="VXT506" s="332"/>
      <c r="VXU506" s="332"/>
      <c r="VXV506" s="332"/>
      <c r="VXW506" s="332"/>
      <c r="VXX506" s="332"/>
      <c r="VXY506" s="332"/>
      <c r="VXZ506" s="332"/>
      <c r="VYA506" s="332"/>
      <c r="VYB506" s="332"/>
      <c r="VYC506" s="332"/>
      <c r="VYD506" s="332"/>
      <c r="VYE506" s="332"/>
      <c r="VYF506" s="332"/>
      <c r="VYG506" s="332"/>
      <c r="VYH506" s="332"/>
      <c r="VYI506" s="332"/>
      <c r="VYJ506" s="332"/>
      <c r="VYK506" s="332"/>
      <c r="VYL506" s="332"/>
      <c r="VYM506" s="332"/>
      <c r="VYN506" s="332"/>
      <c r="VYO506" s="332"/>
      <c r="VYP506" s="332"/>
      <c r="VYQ506" s="332"/>
      <c r="VYR506" s="332"/>
      <c r="VYS506" s="332"/>
      <c r="VYT506" s="332"/>
      <c r="VYU506" s="332"/>
      <c r="VYV506" s="332"/>
      <c r="VYW506" s="332"/>
      <c r="VYX506" s="332"/>
      <c r="VYY506" s="332"/>
      <c r="VYZ506" s="332"/>
      <c r="VZA506" s="332"/>
      <c r="VZB506" s="332"/>
      <c r="VZC506" s="332"/>
      <c r="VZD506" s="332"/>
      <c r="VZE506" s="332"/>
      <c r="VZF506" s="332"/>
      <c r="VZG506" s="332"/>
      <c r="VZH506" s="332"/>
      <c r="VZI506" s="332"/>
      <c r="VZJ506" s="332"/>
      <c r="VZK506" s="332"/>
      <c r="VZL506" s="332"/>
      <c r="VZM506" s="332"/>
      <c r="VZN506" s="332"/>
      <c r="VZO506" s="332"/>
      <c r="VZP506" s="332"/>
      <c r="VZQ506" s="332"/>
      <c r="VZR506" s="332"/>
      <c r="VZS506" s="332"/>
      <c r="VZT506" s="332"/>
      <c r="VZU506" s="332"/>
      <c r="VZV506" s="332"/>
      <c r="VZW506" s="332"/>
      <c r="VZX506" s="332"/>
      <c r="VZY506" s="332"/>
      <c r="VZZ506" s="332"/>
      <c r="WAA506" s="332"/>
      <c r="WAB506" s="332"/>
      <c r="WAC506" s="332"/>
      <c r="WAD506" s="332"/>
      <c r="WAE506" s="332"/>
      <c r="WAF506" s="332"/>
      <c r="WAG506" s="332"/>
      <c r="WAH506" s="332"/>
      <c r="WAI506" s="332"/>
      <c r="WAJ506" s="332"/>
      <c r="WAK506" s="332"/>
      <c r="WAL506" s="332"/>
      <c r="WAM506" s="332"/>
      <c r="WAN506" s="332"/>
      <c r="WAO506" s="332"/>
      <c r="WAP506" s="332"/>
      <c r="WAQ506" s="332"/>
      <c r="WAR506" s="332"/>
      <c r="WAS506" s="332"/>
      <c r="WAT506" s="332"/>
      <c r="WAU506" s="332"/>
      <c r="WAV506" s="332"/>
      <c r="WAW506" s="332"/>
      <c r="WAX506" s="332"/>
      <c r="WAY506" s="332"/>
      <c r="WAZ506" s="332"/>
      <c r="WBA506" s="332"/>
      <c r="WBB506" s="332"/>
      <c r="WBC506" s="332"/>
      <c r="WBD506" s="332"/>
      <c r="WBE506" s="332"/>
      <c r="WBF506" s="332"/>
      <c r="WBG506" s="332"/>
      <c r="WBH506" s="332"/>
      <c r="WBI506" s="332"/>
      <c r="WBJ506" s="332"/>
      <c r="WBK506" s="332"/>
      <c r="WBL506" s="332"/>
      <c r="WBM506" s="332"/>
      <c r="WBN506" s="332"/>
      <c r="WBO506" s="332"/>
      <c r="WBP506" s="332"/>
      <c r="WBQ506" s="332"/>
      <c r="WBR506" s="332"/>
      <c r="WBS506" s="332"/>
      <c r="WBT506" s="332"/>
      <c r="WBU506" s="332"/>
      <c r="WBV506" s="332"/>
      <c r="WBW506" s="332"/>
      <c r="WBX506" s="332"/>
      <c r="WBY506" s="332"/>
      <c r="WBZ506" s="332"/>
      <c r="WCA506" s="332"/>
      <c r="WCB506" s="332"/>
      <c r="WCC506" s="332"/>
      <c r="WCD506" s="332"/>
      <c r="WCE506" s="332"/>
      <c r="WCF506" s="332"/>
      <c r="WCG506" s="332"/>
      <c r="WCH506" s="332"/>
      <c r="WCI506" s="332"/>
      <c r="WCJ506" s="332"/>
      <c r="WCK506" s="332"/>
      <c r="WCL506" s="332"/>
      <c r="WCM506" s="332"/>
      <c r="WCN506" s="332"/>
      <c r="WCO506" s="332"/>
      <c r="WCP506" s="332"/>
      <c r="WCQ506" s="332"/>
      <c r="WCR506" s="332"/>
      <c r="WCS506" s="332"/>
      <c r="WCT506" s="332"/>
      <c r="WCU506" s="332"/>
      <c r="WCV506" s="332"/>
      <c r="WCW506" s="332"/>
      <c r="WCX506" s="332"/>
      <c r="WCY506" s="332"/>
      <c r="WCZ506" s="332"/>
      <c r="WDA506" s="332"/>
      <c r="WDB506" s="332"/>
      <c r="WDC506" s="332"/>
      <c r="WDD506" s="332"/>
      <c r="WDE506" s="332"/>
      <c r="WDF506" s="332"/>
      <c r="WDG506" s="332"/>
      <c r="WDH506" s="332"/>
      <c r="WDI506" s="332"/>
      <c r="WDJ506" s="332"/>
      <c r="WDK506" s="332"/>
      <c r="WDL506" s="332"/>
      <c r="WDM506" s="332"/>
      <c r="WDN506" s="332"/>
      <c r="WDO506" s="332"/>
      <c r="WDP506" s="332"/>
      <c r="WDQ506" s="332"/>
      <c r="WDR506" s="332"/>
      <c r="WDS506" s="332"/>
      <c r="WDT506" s="332"/>
      <c r="WDU506" s="332"/>
      <c r="WDV506" s="332"/>
      <c r="WDW506" s="332"/>
      <c r="WDX506" s="332"/>
      <c r="WDY506" s="332"/>
      <c r="WDZ506" s="332"/>
      <c r="WEA506" s="332"/>
      <c r="WEB506" s="332"/>
      <c r="WEC506" s="332"/>
      <c r="WED506" s="332"/>
      <c r="WEE506" s="332"/>
      <c r="WEF506" s="332"/>
      <c r="WEG506" s="332"/>
      <c r="WEH506" s="332"/>
      <c r="WEI506" s="332"/>
      <c r="WEJ506" s="332"/>
      <c r="WEK506" s="332"/>
      <c r="WEL506" s="332"/>
      <c r="WEM506" s="332"/>
      <c r="WEN506" s="332"/>
      <c r="WEO506" s="332"/>
      <c r="WEP506" s="332"/>
      <c r="WEQ506" s="332"/>
      <c r="WER506" s="332"/>
      <c r="WES506" s="332"/>
      <c r="WET506" s="332"/>
      <c r="WEU506" s="332"/>
      <c r="WEV506" s="332"/>
      <c r="WEW506" s="332"/>
      <c r="WEX506" s="332"/>
      <c r="WEY506" s="332"/>
      <c r="WEZ506" s="332"/>
      <c r="WFA506" s="332"/>
      <c r="WFB506" s="332"/>
      <c r="WFC506" s="332"/>
      <c r="WFD506" s="332"/>
      <c r="WFE506" s="332"/>
      <c r="WFF506" s="332"/>
      <c r="WFG506" s="332"/>
      <c r="WFH506" s="332"/>
      <c r="WFI506" s="332"/>
      <c r="WFJ506" s="332"/>
      <c r="WFK506" s="332"/>
      <c r="WFL506" s="332"/>
      <c r="WFM506" s="332"/>
      <c r="WFN506" s="332"/>
      <c r="WFO506" s="332"/>
      <c r="WFP506" s="332"/>
      <c r="WFQ506" s="332"/>
      <c r="WFR506" s="332"/>
      <c r="WFS506" s="332"/>
      <c r="WFT506" s="332"/>
      <c r="WFU506" s="332"/>
      <c r="WFV506" s="332"/>
      <c r="WFW506" s="332"/>
      <c r="WFX506" s="332"/>
      <c r="WFY506" s="332"/>
      <c r="WFZ506" s="332"/>
      <c r="WGA506" s="332"/>
      <c r="WGB506" s="332"/>
      <c r="WGC506" s="332"/>
      <c r="WGD506" s="332"/>
      <c r="WGE506" s="332"/>
      <c r="WGF506" s="332"/>
      <c r="WGG506" s="332"/>
      <c r="WGH506" s="332"/>
      <c r="WGI506" s="332"/>
      <c r="WGJ506" s="332"/>
      <c r="WGK506" s="332"/>
      <c r="WGL506" s="332"/>
      <c r="WGM506" s="332"/>
      <c r="WGN506" s="332"/>
      <c r="WGO506" s="332"/>
      <c r="WGP506" s="332"/>
      <c r="WGQ506" s="332"/>
      <c r="WGR506" s="332"/>
      <c r="WGS506" s="332"/>
      <c r="WGT506" s="332"/>
      <c r="WGU506" s="332"/>
      <c r="WGV506" s="332"/>
      <c r="WGW506" s="332"/>
      <c r="WGX506" s="332"/>
      <c r="WGY506" s="332"/>
      <c r="WGZ506" s="332"/>
      <c r="WHA506" s="332"/>
      <c r="WHB506" s="332"/>
      <c r="WHC506" s="332"/>
      <c r="WHD506" s="332"/>
      <c r="WHE506" s="332"/>
      <c r="WHF506" s="332"/>
      <c r="WHG506" s="332"/>
      <c r="WHH506" s="332"/>
      <c r="WHI506" s="332"/>
      <c r="WHJ506" s="332"/>
      <c r="WHK506" s="332"/>
      <c r="WHL506" s="332"/>
      <c r="WHM506" s="332"/>
      <c r="WHN506" s="332"/>
      <c r="WHO506" s="332"/>
      <c r="WHP506" s="332"/>
      <c r="WHQ506" s="332"/>
      <c r="WHR506" s="332"/>
      <c r="WHS506" s="332"/>
      <c r="WHT506" s="332"/>
      <c r="WHU506" s="332"/>
      <c r="WHV506" s="332"/>
      <c r="WHW506" s="332"/>
      <c r="WHX506" s="332"/>
      <c r="WHY506" s="332"/>
      <c r="WHZ506" s="332"/>
      <c r="WIA506" s="332"/>
      <c r="WIB506" s="332"/>
      <c r="WIC506" s="332"/>
      <c r="WID506" s="332"/>
      <c r="WIE506" s="332"/>
      <c r="WIF506" s="332"/>
      <c r="WIG506" s="332"/>
      <c r="WIH506" s="332"/>
      <c r="WII506" s="332"/>
      <c r="WIJ506" s="332"/>
      <c r="WIK506" s="332"/>
      <c r="WIL506" s="332"/>
      <c r="WIM506" s="332"/>
      <c r="WIN506" s="332"/>
      <c r="WIO506" s="332"/>
      <c r="WIP506" s="332"/>
      <c r="WIQ506" s="332"/>
      <c r="WIR506" s="332"/>
      <c r="WIS506" s="332"/>
      <c r="WIT506" s="332"/>
      <c r="WIU506" s="332"/>
      <c r="WIV506" s="332"/>
      <c r="WIW506" s="332"/>
      <c r="WIX506" s="332"/>
      <c r="WIY506" s="332"/>
      <c r="WIZ506" s="332"/>
      <c r="WJA506" s="332"/>
      <c r="WJB506" s="332"/>
      <c r="WJC506" s="332"/>
      <c r="WJD506" s="332"/>
      <c r="WJE506" s="332"/>
      <c r="WJF506" s="332"/>
      <c r="WJG506" s="332"/>
      <c r="WJH506" s="332"/>
      <c r="WJI506" s="332"/>
      <c r="WJJ506" s="332"/>
      <c r="WJK506" s="332"/>
      <c r="WJL506" s="332"/>
      <c r="WJM506" s="332"/>
      <c r="WJN506" s="332"/>
      <c r="WJO506" s="332"/>
      <c r="WJP506" s="332"/>
      <c r="WJQ506" s="332"/>
      <c r="WJR506" s="332"/>
      <c r="WJS506" s="332"/>
      <c r="WJT506" s="332"/>
      <c r="WJU506" s="332"/>
      <c r="WJV506" s="332"/>
      <c r="WJW506" s="332"/>
      <c r="WJX506" s="332"/>
      <c r="WJY506" s="332"/>
      <c r="WJZ506" s="332"/>
      <c r="WKA506" s="332"/>
      <c r="WKB506" s="332"/>
      <c r="WKC506" s="332"/>
      <c r="WKD506" s="332"/>
      <c r="WKE506" s="332"/>
      <c r="WKF506" s="332"/>
      <c r="WKG506" s="332"/>
      <c r="WKH506" s="332"/>
      <c r="WKI506" s="332"/>
      <c r="WKJ506" s="332"/>
      <c r="WKK506" s="332"/>
      <c r="WKL506" s="332"/>
      <c r="WKM506" s="332"/>
      <c r="WKN506" s="332"/>
      <c r="WKO506" s="332"/>
      <c r="WKP506" s="332"/>
      <c r="WKQ506" s="332"/>
      <c r="WKR506" s="332"/>
      <c r="WKS506" s="332"/>
      <c r="WKT506" s="332"/>
      <c r="WKU506" s="332"/>
      <c r="WKV506" s="332"/>
      <c r="WKW506" s="332"/>
      <c r="WKX506" s="332"/>
      <c r="WKY506" s="332"/>
      <c r="WKZ506" s="332"/>
      <c r="WLA506" s="332"/>
      <c r="WLB506" s="332"/>
      <c r="WLC506" s="332"/>
      <c r="WLD506" s="332"/>
      <c r="WLE506" s="332"/>
      <c r="WLF506" s="332"/>
      <c r="WLG506" s="332"/>
      <c r="WLH506" s="332"/>
      <c r="WLI506" s="332"/>
      <c r="WLJ506" s="332"/>
      <c r="WLK506" s="332"/>
      <c r="WLL506" s="332"/>
      <c r="WLM506" s="332"/>
      <c r="WLN506" s="332"/>
      <c r="WLO506" s="332"/>
      <c r="WLP506" s="332"/>
      <c r="WLQ506" s="332"/>
      <c r="WLR506" s="332"/>
      <c r="WLS506" s="332"/>
      <c r="WLT506" s="332"/>
      <c r="WLU506" s="332"/>
      <c r="WLV506" s="332"/>
      <c r="WLW506" s="332"/>
      <c r="WLX506" s="332"/>
      <c r="WLY506" s="332"/>
      <c r="WLZ506" s="332"/>
      <c r="WMA506" s="332"/>
      <c r="WMB506" s="332"/>
      <c r="WMC506" s="332"/>
      <c r="WMD506" s="332"/>
      <c r="WME506" s="332"/>
      <c r="WMF506" s="332"/>
      <c r="WMG506" s="332"/>
      <c r="WMH506" s="332"/>
      <c r="WMI506" s="332"/>
      <c r="WMJ506" s="332"/>
      <c r="WMK506" s="332"/>
      <c r="WML506" s="332"/>
      <c r="WMM506" s="332"/>
      <c r="WMN506" s="332"/>
      <c r="WMO506" s="332"/>
      <c r="WMP506" s="332"/>
      <c r="WMQ506" s="332"/>
      <c r="WMR506" s="332"/>
      <c r="WMS506" s="332"/>
      <c r="WMT506" s="332"/>
      <c r="WMU506" s="332"/>
      <c r="WMV506" s="332"/>
      <c r="WMW506" s="332"/>
      <c r="WMX506" s="332"/>
      <c r="WMY506" s="332"/>
      <c r="WMZ506" s="332"/>
      <c r="WNA506" s="332"/>
      <c r="WNB506" s="332"/>
      <c r="WNC506" s="332"/>
      <c r="WND506" s="332"/>
      <c r="WNE506" s="332"/>
      <c r="WNF506" s="332"/>
      <c r="WNG506" s="332"/>
      <c r="WNH506" s="332"/>
      <c r="WNI506" s="332"/>
      <c r="WNJ506" s="332"/>
      <c r="WNK506" s="332"/>
      <c r="WNL506" s="332"/>
      <c r="WNM506" s="332"/>
      <c r="WNN506" s="332"/>
      <c r="WNO506" s="332"/>
      <c r="WNP506" s="332"/>
      <c r="WNQ506" s="332"/>
      <c r="WNR506" s="332"/>
      <c r="WNS506" s="332"/>
      <c r="WNT506" s="332"/>
      <c r="WNU506" s="332"/>
      <c r="WNV506" s="332"/>
      <c r="WNW506" s="332"/>
      <c r="WNX506" s="332"/>
      <c r="WNY506" s="332"/>
      <c r="WNZ506" s="332"/>
      <c r="WOA506" s="332"/>
      <c r="WOB506" s="332"/>
      <c r="WOC506" s="332"/>
      <c r="WOD506" s="332"/>
      <c r="WOE506" s="332"/>
      <c r="WOF506" s="332"/>
      <c r="WOG506" s="332"/>
      <c r="WOH506" s="332"/>
      <c r="WOI506" s="332"/>
      <c r="WOJ506" s="332"/>
      <c r="WOK506" s="332"/>
      <c r="WOL506" s="332"/>
      <c r="WOM506" s="332"/>
      <c r="WON506" s="332"/>
      <c r="WOO506" s="332"/>
      <c r="WOP506" s="332"/>
      <c r="WOQ506" s="332"/>
      <c r="WOR506" s="332"/>
      <c r="WOS506" s="332"/>
      <c r="WOT506" s="332"/>
      <c r="WOU506" s="332"/>
      <c r="WOV506" s="332"/>
      <c r="WOW506" s="332"/>
      <c r="WOX506" s="332"/>
      <c r="WOY506" s="332"/>
      <c r="WOZ506" s="332"/>
      <c r="WPA506" s="332"/>
      <c r="WPB506" s="332"/>
      <c r="WPC506" s="332"/>
      <c r="WPD506" s="332"/>
      <c r="WPE506" s="332"/>
      <c r="WPF506" s="332"/>
      <c r="WPG506" s="332"/>
      <c r="WPH506" s="332"/>
      <c r="WPI506" s="332"/>
      <c r="WPJ506" s="332"/>
      <c r="WPK506" s="332"/>
      <c r="WPL506" s="332"/>
      <c r="WPM506" s="332"/>
      <c r="WPN506" s="332"/>
      <c r="WPO506" s="332"/>
      <c r="WPP506" s="332"/>
      <c r="WPQ506" s="332"/>
      <c r="WPR506" s="332"/>
      <c r="WPS506" s="332"/>
      <c r="WPT506" s="332"/>
      <c r="WPU506" s="332"/>
      <c r="WPV506" s="332"/>
      <c r="WPW506" s="332"/>
      <c r="WPX506" s="332"/>
      <c r="WPY506" s="332"/>
      <c r="WPZ506" s="332"/>
      <c r="WQA506" s="332"/>
      <c r="WQB506" s="332"/>
      <c r="WQC506" s="332"/>
      <c r="WQD506" s="332"/>
      <c r="WQE506" s="332"/>
      <c r="WQF506" s="332"/>
      <c r="WQG506" s="332"/>
      <c r="WQH506" s="332"/>
      <c r="WQI506" s="332"/>
      <c r="WQJ506" s="332"/>
      <c r="WQK506" s="332"/>
      <c r="WQL506" s="332"/>
      <c r="WQM506" s="332"/>
      <c r="WQN506" s="332"/>
      <c r="WQO506" s="332"/>
      <c r="WQP506" s="332"/>
      <c r="WQQ506" s="332"/>
      <c r="WQR506" s="332"/>
      <c r="WQS506" s="332"/>
      <c r="WQT506" s="332"/>
      <c r="WQU506" s="332"/>
      <c r="WQV506" s="332"/>
      <c r="WQW506" s="332"/>
      <c r="WQX506" s="332"/>
      <c r="WQY506" s="332"/>
      <c r="WQZ506" s="332"/>
      <c r="WRA506" s="332"/>
      <c r="WRB506" s="332"/>
      <c r="WRC506" s="332"/>
      <c r="WRD506" s="332"/>
      <c r="WRE506" s="332"/>
      <c r="WRF506" s="332"/>
      <c r="WRG506" s="332"/>
      <c r="WRH506" s="332"/>
      <c r="WRI506" s="332"/>
      <c r="WRJ506" s="332"/>
      <c r="WRK506" s="332"/>
      <c r="WRL506" s="332"/>
      <c r="WRM506" s="332"/>
      <c r="WRN506" s="332"/>
      <c r="WRO506" s="332"/>
      <c r="WRP506" s="332"/>
      <c r="WRQ506" s="332"/>
      <c r="WRR506" s="332"/>
      <c r="WRS506" s="332"/>
      <c r="WRT506" s="332"/>
      <c r="WRU506" s="332"/>
      <c r="WRV506" s="332"/>
      <c r="WRW506" s="332"/>
      <c r="WRX506" s="332"/>
      <c r="WRY506" s="332"/>
      <c r="WRZ506" s="332"/>
      <c r="WSA506" s="332"/>
      <c r="WSB506" s="332"/>
      <c r="WSC506" s="332"/>
      <c r="WSD506" s="332"/>
      <c r="WSE506" s="332"/>
      <c r="WSF506" s="332"/>
      <c r="WSG506" s="332"/>
      <c r="WSH506" s="332"/>
      <c r="WSI506" s="332"/>
      <c r="WSJ506" s="332"/>
      <c r="WSK506" s="332"/>
      <c r="WSL506" s="332"/>
      <c r="WSM506" s="332"/>
      <c r="WSN506" s="332"/>
      <c r="WSO506" s="332"/>
      <c r="WSP506" s="332"/>
      <c r="WSQ506" s="332"/>
      <c r="WSR506" s="332"/>
      <c r="WSS506" s="332"/>
      <c r="WST506" s="332"/>
      <c r="WSU506" s="332"/>
      <c r="WSV506" s="332"/>
      <c r="WSW506" s="332"/>
      <c r="WSX506" s="332"/>
      <c r="WSY506" s="332"/>
      <c r="WSZ506" s="332"/>
      <c r="WTA506" s="332"/>
      <c r="WTB506" s="332"/>
      <c r="WTC506" s="332"/>
      <c r="WTD506" s="332"/>
      <c r="WTE506" s="332"/>
      <c r="WTF506" s="332"/>
      <c r="WTG506" s="332"/>
      <c r="WTH506" s="332"/>
      <c r="WTI506" s="332"/>
      <c r="WTJ506" s="332"/>
      <c r="WTK506" s="332"/>
      <c r="WTL506" s="332"/>
      <c r="WTM506" s="332"/>
      <c r="WTN506" s="332"/>
      <c r="WTO506" s="332"/>
      <c r="WTP506" s="332"/>
      <c r="WTQ506" s="332"/>
      <c r="WTR506" s="332"/>
      <c r="WTS506" s="332"/>
      <c r="WTT506" s="332"/>
      <c r="WTU506" s="332"/>
      <c r="WTV506" s="332"/>
      <c r="WTW506" s="332"/>
      <c r="WTX506" s="332"/>
      <c r="WTY506" s="332"/>
      <c r="WTZ506" s="332"/>
      <c r="WUA506" s="332"/>
      <c r="WUB506" s="332"/>
      <c r="WUC506" s="332"/>
      <c r="WUD506" s="332"/>
      <c r="WUE506" s="332"/>
      <c r="WUF506" s="332"/>
      <c r="WUG506" s="332"/>
      <c r="WUH506" s="332"/>
      <c r="WUI506" s="332"/>
      <c r="WUJ506" s="332"/>
      <c r="WUK506" s="332"/>
      <c r="WUL506" s="332"/>
      <c r="WUM506" s="332"/>
      <c r="WUN506" s="332"/>
      <c r="WUO506" s="332"/>
      <c r="WUP506" s="332"/>
      <c r="WUQ506" s="332"/>
      <c r="WUR506" s="332"/>
      <c r="WUS506" s="332"/>
      <c r="WUT506" s="332"/>
      <c r="WUU506" s="332"/>
      <c r="WUV506" s="332"/>
      <c r="WUW506" s="332"/>
      <c r="WUX506" s="332"/>
      <c r="WUY506" s="332"/>
      <c r="WUZ506" s="332"/>
      <c r="WVA506" s="332"/>
      <c r="WVB506" s="332"/>
      <c r="WVC506" s="332"/>
      <c r="WVD506" s="332"/>
      <c r="WVE506" s="332"/>
      <c r="WVF506" s="332"/>
      <c r="WVG506" s="332"/>
      <c r="WVH506" s="332"/>
      <c r="WVI506" s="332"/>
      <c r="WVJ506" s="332"/>
      <c r="WVK506" s="332"/>
      <c r="WVL506" s="332"/>
      <c r="WVM506" s="332"/>
      <c r="WVN506" s="332"/>
      <c r="WVO506" s="332"/>
      <c r="WVP506" s="332"/>
      <c r="WVQ506" s="332"/>
      <c r="WVR506" s="332"/>
      <c r="WVS506" s="332"/>
      <c r="WVT506" s="332"/>
      <c r="WVU506" s="332"/>
      <c r="WVV506" s="332"/>
      <c r="WVW506" s="332"/>
      <c r="WVX506" s="332"/>
      <c r="WVY506" s="332"/>
      <c r="WVZ506" s="332"/>
      <c r="WWA506" s="332"/>
      <c r="WWB506" s="332"/>
      <c r="WWC506" s="332"/>
      <c r="WWD506" s="332"/>
      <c r="WWE506" s="332"/>
      <c r="WWF506" s="332"/>
      <c r="WWG506" s="332"/>
      <c r="WWH506" s="332"/>
      <c r="WWI506" s="332"/>
      <c r="WWJ506" s="332"/>
      <c r="WWK506" s="332"/>
      <c r="WWL506" s="332"/>
      <c r="WWM506" s="332"/>
      <c r="WWN506" s="332"/>
      <c r="WWO506" s="332"/>
      <c r="WWP506" s="332"/>
      <c r="WWQ506" s="332"/>
      <c r="WWR506" s="332"/>
      <c r="WWS506" s="332"/>
      <c r="WWT506" s="332"/>
      <c r="WWU506" s="332"/>
      <c r="WWV506" s="332"/>
      <c r="WWW506" s="332"/>
      <c r="WWX506" s="332"/>
      <c r="WWY506" s="332"/>
      <c r="WWZ506" s="332"/>
      <c r="WXA506" s="332"/>
      <c r="WXB506" s="332"/>
      <c r="WXC506" s="332"/>
      <c r="WXD506" s="332"/>
      <c r="WXE506" s="332"/>
      <c r="WXF506" s="332"/>
      <c r="WXG506" s="332"/>
      <c r="WXH506" s="332"/>
      <c r="WXI506" s="332"/>
      <c r="WXJ506" s="332"/>
      <c r="WXK506" s="332"/>
      <c r="WXL506" s="332"/>
      <c r="WXM506" s="332"/>
      <c r="WXN506" s="332"/>
      <c r="WXO506" s="332"/>
      <c r="WXP506" s="332"/>
      <c r="WXQ506" s="332"/>
      <c r="WXR506" s="332"/>
      <c r="WXS506" s="332"/>
      <c r="WXT506" s="332"/>
      <c r="WXU506" s="332"/>
      <c r="WXV506" s="332"/>
      <c r="WXW506" s="332"/>
      <c r="WXX506" s="332"/>
      <c r="WXY506" s="332"/>
      <c r="WXZ506" s="332"/>
      <c r="WYA506" s="332"/>
      <c r="WYB506" s="332"/>
      <c r="WYC506" s="332"/>
      <c r="WYD506" s="332"/>
      <c r="WYE506" s="332"/>
      <c r="WYF506" s="332"/>
      <c r="WYG506" s="332"/>
      <c r="WYH506" s="332"/>
      <c r="WYI506" s="332"/>
      <c r="WYJ506" s="332"/>
      <c r="WYK506" s="332"/>
      <c r="WYL506" s="332"/>
      <c r="WYM506" s="332"/>
      <c r="WYN506" s="332"/>
      <c r="WYO506" s="332"/>
      <c r="WYP506" s="332"/>
      <c r="WYQ506" s="332"/>
      <c r="WYR506" s="332"/>
      <c r="WYS506" s="332"/>
      <c r="WYT506" s="332"/>
      <c r="WYU506" s="332"/>
      <c r="WYV506" s="332"/>
      <c r="WYW506" s="332"/>
      <c r="WYX506" s="332"/>
      <c r="WYY506" s="332"/>
      <c r="WYZ506" s="332"/>
      <c r="WZA506" s="332"/>
      <c r="WZB506" s="332"/>
      <c r="WZC506" s="332"/>
      <c r="WZD506" s="332"/>
      <c r="WZE506" s="332"/>
      <c r="WZF506" s="332"/>
      <c r="WZG506" s="332"/>
      <c r="WZH506" s="332"/>
      <c r="WZI506" s="332"/>
      <c r="WZJ506" s="332"/>
      <c r="WZK506" s="332"/>
      <c r="WZL506" s="332"/>
      <c r="WZM506" s="332"/>
      <c r="WZN506" s="332"/>
      <c r="WZO506" s="332"/>
      <c r="WZP506" s="332"/>
      <c r="WZQ506" s="332"/>
      <c r="WZR506" s="332"/>
      <c r="WZS506" s="332"/>
      <c r="WZT506" s="332"/>
      <c r="WZU506" s="332"/>
      <c r="WZV506" s="332"/>
      <c r="WZW506" s="332"/>
      <c r="WZX506" s="332"/>
      <c r="WZY506" s="332"/>
      <c r="WZZ506" s="332"/>
      <c r="XAA506" s="332"/>
      <c r="XAB506" s="332"/>
      <c r="XAC506" s="332"/>
      <c r="XAD506" s="332"/>
      <c r="XAE506" s="332"/>
      <c r="XAF506" s="332"/>
      <c r="XAG506" s="332"/>
      <c r="XAH506" s="332"/>
      <c r="XAI506" s="332"/>
      <c r="XAJ506" s="332"/>
      <c r="XAK506" s="332"/>
      <c r="XAL506" s="332"/>
      <c r="XAM506" s="332"/>
      <c r="XAN506" s="332"/>
      <c r="XAO506" s="332"/>
      <c r="XAP506" s="332"/>
      <c r="XAQ506" s="332"/>
      <c r="XAR506" s="332"/>
      <c r="XAS506" s="332"/>
      <c r="XAT506" s="332"/>
      <c r="XAU506" s="332"/>
      <c r="XAV506" s="332"/>
      <c r="XAW506" s="332"/>
      <c r="XAX506" s="332"/>
      <c r="XAY506" s="332"/>
      <c r="XAZ506" s="332"/>
      <c r="XBA506" s="332"/>
      <c r="XBB506" s="332"/>
      <c r="XBC506" s="332"/>
      <c r="XBD506" s="332"/>
      <c r="XBE506" s="332"/>
      <c r="XBF506" s="332"/>
      <c r="XBG506" s="332"/>
      <c r="XBH506" s="332"/>
      <c r="XBI506" s="332"/>
      <c r="XBJ506" s="332"/>
      <c r="XBK506" s="332"/>
      <c r="XBL506" s="332"/>
      <c r="XBM506" s="332"/>
      <c r="XBN506" s="332"/>
      <c r="XBO506" s="332"/>
      <c r="XBP506" s="332"/>
      <c r="XBQ506" s="332"/>
      <c r="XBR506" s="332"/>
      <c r="XBS506" s="332"/>
      <c r="XBT506" s="332"/>
      <c r="XBU506" s="332"/>
      <c r="XBV506" s="332"/>
      <c r="XBW506" s="332"/>
      <c r="XBX506" s="332"/>
      <c r="XBY506" s="332"/>
      <c r="XBZ506" s="332"/>
      <c r="XCA506" s="332"/>
      <c r="XCB506" s="332"/>
      <c r="XCC506" s="332"/>
      <c r="XCD506" s="332"/>
      <c r="XCE506" s="332"/>
      <c r="XCF506" s="332"/>
      <c r="XCG506" s="332"/>
      <c r="XCH506" s="332"/>
      <c r="XCI506" s="332"/>
      <c r="XCJ506" s="332"/>
      <c r="XCK506" s="332"/>
      <c r="XCL506" s="332"/>
      <c r="XCM506" s="332"/>
      <c r="XCN506" s="332"/>
      <c r="XCO506" s="332"/>
      <c r="XCP506" s="332"/>
      <c r="XCQ506" s="332"/>
      <c r="XCR506" s="332"/>
      <c r="XCS506" s="332"/>
      <c r="XCT506" s="332"/>
      <c r="XCU506" s="332"/>
      <c r="XCV506" s="332"/>
      <c r="XCW506" s="332"/>
      <c r="XCX506" s="332"/>
      <c r="XCY506" s="332"/>
      <c r="XCZ506" s="332"/>
      <c r="XDA506" s="332"/>
      <c r="XDB506" s="332"/>
      <c r="XDC506" s="332"/>
      <c r="XDD506" s="332"/>
      <c r="XDE506" s="332"/>
      <c r="XDF506" s="332"/>
      <c r="XDG506" s="332"/>
      <c r="XDH506" s="332"/>
      <c r="XDI506" s="332"/>
      <c r="XDJ506" s="332"/>
      <c r="XDK506" s="332"/>
      <c r="XDL506" s="332"/>
      <c r="XDM506" s="332"/>
      <c r="XDN506" s="332"/>
      <c r="XDO506" s="332"/>
      <c r="XDP506" s="332"/>
      <c r="XDQ506" s="332"/>
      <c r="XDR506" s="332"/>
      <c r="XDS506" s="332"/>
      <c r="XDT506" s="332"/>
      <c r="XDU506" s="332"/>
      <c r="XDV506" s="332"/>
      <c r="XDW506" s="332"/>
      <c r="XDX506" s="332"/>
      <c r="XDY506" s="332"/>
      <c r="XDZ506" s="332"/>
      <c r="XEA506" s="332"/>
      <c r="XEB506" s="332"/>
      <c r="XEC506" s="332"/>
      <c r="XED506" s="332"/>
      <c r="XEE506" s="332"/>
      <c r="XEF506" s="332"/>
      <c r="XEG506" s="332"/>
      <c r="XEH506" s="332"/>
      <c r="XEI506" s="332"/>
      <c r="XEJ506" s="332"/>
      <c r="XEK506" s="332"/>
      <c r="XEL506" s="332"/>
      <c r="XEM506" s="332"/>
      <c r="XEN506" s="332"/>
      <c r="XEO506" s="332"/>
      <c r="XEP506" s="332"/>
      <c r="XEQ506" s="332"/>
      <c r="XER506" s="332"/>
      <c r="XES506" s="332"/>
      <c r="XET506" s="332"/>
      <c r="XEU506" s="332"/>
      <c r="XEV506" s="332"/>
      <c r="XEW506" s="332"/>
      <c r="XEX506" s="332"/>
      <c r="XEY506" s="332"/>
      <c r="XEZ506" s="332"/>
      <c r="XFA506" s="332"/>
      <c r="XFB506" s="332"/>
      <c r="XFC506" s="332"/>
      <c r="XFD506" s="333"/>
    </row>
    <row r="507" spans="1:16384" s="264" customFormat="1" ht="12.75" hidden="1">
      <c r="A507" s="1642"/>
      <c r="B507" s="1643"/>
      <c r="C507" s="1643"/>
      <c r="D507" s="1644"/>
      <c r="E507" s="330"/>
      <c r="F507" s="330"/>
      <c r="G507" s="330"/>
      <c r="H507" s="330"/>
      <c r="I507" s="330"/>
      <c r="J507" s="330"/>
      <c r="K507" s="330"/>
      <c r="L507" s="330"/>
      <c r="M507" s="330"/>
      <c r="N507" s="330"/>
      <c r="O507" s="330"/>
      <c r="P507" s="330"/>
      <c r="Q507" s="330"/>
      <c r="R507" s="330"/>
      <c r="S507" s="330"/>
      <c r="T507" s="330"/>
      <c r="U507" s="330"/>
      <c r="V507" s="330"/>
      <c r="W507" s="330"/>
      <c r="X507" s="330"/>
      <c r="Y507" s="330"/>
      <c r="Z507" s="330"/>
      <c r="AA507" s="330"/>
      <c r="AB507" s="330"/>
      <c r="AC507" s="330"/>
      <c r="AD507" s="330"/>
      <c r="AE507" s="330"/>
      <c r="AF507" s="330"/>
      <c r="AG507" s="330"/>
      <c r="AH507" s="330"/>
      <c r="AI507" s="330"/>
      <c r="AJ507" s="330"/>
      <c r="AK507" s="330"/>
      <c r="AL507" s="330"/>
      <c r="AM507" s="330"/>
      <c r="AN507" s="330"/>
      <c r="AO507" s="330"/>
      <c r="AP507" s="330"/>
      <c r="AQ507" s="330"/>
      <c r="AR507" s="330"/>
      <c r="AS507" s="330"/>
      <c r="AT507" s="330"/>
      <c r="AU507" s="330"/>
      <c r="AV507" s="330"/>
      <c r="AW507" s="330"/>
      <c r="AX507" s="330"/>
      <c r="AY507" s="330"/>
      <c r="AZ507" s="330"/>
      <c r="BA507" s="330"/>
      <c r="BB507" s="330"/>
      <c r="BC507" s="330"/>
      <c r="BD507" s="330"/>
      <c r="BE507" s="330"/>
      <c r="BF507" s="330"/>
      <c r="BG507" s="330"/>
      <c r="BH507" s="330"/>
      <c r="BI507" s="330"/>
      <c r="BJ507" s="330"/>
      <c r="BK507" s="330"/>
      <c r="BL507" s="330"/>
      <c r="BM507" s="330"/>
      <c r="BN507" s="330"/>
      <c r="BO507" s="330"/>
      <c r="BP507" s="330"/>
      <c r="BQ507" s="330"/>
      <c r="BR507" s="330"/>
      <c r="BS507" s="330"/>
      <c r="BT507" s="330"/>
      <c r="BU507" s="330"/>
      <c r="BV507" s="330"/>
      <c r="BW507" s="330"/>
      <c r="BX507" s="330"/>
      <c r="BY507" s="330"/>
      <c r="BZ507" s="330"/>
      <c r="CA507" s="330"/>
      <c r="CB507" s="330"/>
      <c r="CC507" s="330"/>
      <c r="CD507" s="330"/>
      <c r="CE507" s="330"/>
      <c r="CF507" s="330"/>
      <c r="CG507" s="330"/>
      <c r="CH507" s="330"/>
      <c r="CI507" s="330"/>
      <c r="CJ507" s="330"/>
      <c r="CK507" s="330"/>
      <c r="CL507" s="330"/>
      <c r="CM507" s="330"/>
      <c r="CN507" s="330"/>
      <c r="CO507" s="330"/>
      <c r="CP507" s="330"/>
      <c r="CQ507" s="330"/>
      <c r="CR507" s="330"/>
      <c r="CS507" s="330"/>
      <c r="CT507" s="330"/>
      <c r="CU507" s="330"/>
      <c r="CV507" s="330"/>
      <c r="CW507" s="330"/>
      <c r="CX507" s="330"/>
      <c r="CY507" s="330"/>
      <c r="CZ507" s="330"/>
      <c r="DA507" s="330"/>
      <c r="DB507" s="330"/>
      <c r="DC507" s="330"/>
      <c r="DD507" s="330"/>
      <c r="DE507" s="330"/>
      <c r="DF507" s="330"/>
      <c r="DG507" s="330"/>
      <c r="DH507" s="330"/>
      <c r="DI507" s="330"/>
      <c r="DJ507" s="330"/>
      <c r="DK507" s="330"/>
      <c r="DL507" s="330"/>
      <c r="DM507" s="330"/>
      <c r="DN507" s="330"/>
      <c r="DO507" s="330"/>
      <c r="DP507" s="330"/>
      <c r="DQ507" s="330"/>
      <c r="DR507" s="330"/>
      <c r="DS507" s="330"/>
      <c r="DT507" s="330"/>
      <c r="DU507" s="330"/>
      <c r="DV507" s="330"/>
      <c r="DW507" s="330"/>
      <c r="DX507" s="330"/>
      <c r="DY507" s="330"/>
      <c r="DZ507" s="330"/>
      <c r="EA507" s="330"/>
      <c r="EB507" s="330"/>
      <c r="EC507" s="330"/>
      <c r="ED507" s="330"/>
      <c r="EE507" s="330"/>
      <c r="EF507" s="330"/>
      <c r="EG507" s="330"/>
      <c r="EH507" s="330"/>
      <c r="EI507" s="330"/>
      <c r="EJ507" s="330"/>
      <c r="EK507" s="330"/>
      <c r="EL507" s="330"/>
      <c r="EM507" s="330"/>
      <c r="EN507" s="330"/>
      <c r="EO507" s="330"/>
      <c r="EP507" s="330"/>
      <c r="EQ507" s="330"/>
      <c r="ER507" s="330"/>
      <c r="ES507" s="330"/>
      <c r="ET507" s="330"/>
      <c r="EU507" s="330"/>
      <c r="EV507" s="330"/>
      <c r="EW507" s="330"/>
      <c r="EX507" s="330"/>
      <c r="EY507" s="330"/>
      <c r="EZ507" s="330"/>
      <c r="FA507" s="330"/>
      <c r="FB507" s="330"/>
      <c r="FC507" s="330"/>
      <c r="FD507" s="330"/>
      <c r="FE507" s="330"/>
      <c r="FF507" s="330"/>
      <c r="FG507" s="330"/>
      <c r="FH507" s="330"/>
      <c r="FI507" s="330"/>
      <c r="FJ507" s="330"/>
      <c r="FK507" s="330"/>
      <c r="FL507" s="330"/>
      <c r="FM507" s="330"/>
      <c r="FN507" s="330"/>
      <c r="FO507" s="330"/>
      <c r="FP507" s="330"/>
      <c r="FQ507" s="330"/>
    </row>
    <row r="508" spans="1:16384" s="336" customFormat="1" ht="15" hidden="1" customHeight="1">
      <c r="A508" s="335"/>
      <c r="B508" s="332"/>
      <c r="C508" s="332"/>
      <c r="D508" s="332"/>
      <c r="E508" s="332"/>
      <c r="F508" s="332"/>
      <c r="G508" s="332"/>
      <c r="H508" s="332"/>
      <c r="I508" s="332"/>
      <c r="J508" s="332"/>
      <c r="K508" s="332"/>
      <c r="L508" s="332"/>
      <c r="M508" s="332"/>
      <c r="N508" s="332"/>
      <c r="O508" s="332"/>
      <c r="P508" s="332"/>
      <c r="Q508" s="332"/>
      <c r="R508" s="332"/>
      <c r="S508" s="332"/>
      <c r="T508" s="332"/>
      <c r="U508" s="332"/>
      <c r="V508" s="332"/>
      <c r="W508" s="332"/>
      <c r="X508" s="332"/>
      <c r="Y508" s="332"/>
      <c r="Z508" s="332"/>
      <c r="AA508" s="332"/>
      <c r="AB508" s="332"/>
      <c r="AC508" s="332"/>
      <c r="AD508" s="332"/>
      <c r="AE508" s="332"/>
      <c r="AF508" s="332"/>
      <c r="AG508" s="332"/>
      <c r="AH508" s="332"/>
      <c r="AI508" s="332"/>
      <c r="AJ508" s="332"/>
      <c r="AK508" s="332"/>
      <c r="AL508" s="332"/>
      <c r="AM508" s="332"/>
      <c r="AN508" s="332"/>
      <c r="AO508" s="332"/>
      <c r="AP508" s="332"/>
      <c r="AQ508" s="332"/>
      <c r="AR508" s="332"/>
      <c r="AS508" s="332"/>
      <c r="AT508" s="332"/>
      <c r="AU508" s="332"/>
      <c r="AV508" s="332"/>
      <c r="AW508" s="332"/>
      <c r="AX508" s="332"/>
      <c r="AY508" s="332"/>
      <c r="AZ508" s="332"/>
      <c r="BA508" s="332"/>
      <c r="BB508" s="332"/>
      <c r="BC508" s="332"/>
      <c r="BD508" s="332"/>
      <c r="BE508" s="332"/>
      <c r="BF508" s="332"/>
      <c r="BG508" s="332"/>
      <c r="BH508" s="332"/>
      <c r="BI508" s="332"/>
      <c r="BJ508" s="332"/>
      <c r="BK508" s="332"/>
      <c r="BL508" s="332"/>
      <c r="BM508" s="332"/>
      <c r="BN508" s="332"/>
      <c r="BO508" s="332"/>
      <c r="BP508" s="332"/>
      <c r="BQ508" s="332"/>
      <c r="BR508" s="332"/>
      <c r="BS508" s="332"/>
      <c r="BT508" s="332"/>
      <c r="BU508" s="332"/>
      <c r="BV508" s="332"/>
      <c r="BW508" s="332"/>
      <c r="BX508" s="332"/>
      <c r="BY508" s="332"/>
      <c r="BZ508" s="332"/>
      <c r="CA508" s="332"/>
      <c r="CB508" s="332"/>
      <c r="CC508" s="332"/>
      <c r="CD508" s="332"/>
      <c r="CE508" s="332"/>
      <c r="CF508" s="332"/>
      <c r="CG508" s="332"/>
      <c r="CH508" s="332"/>
      <c r="CI508" s="332"/>
      <c r="CJ508" s="332"/>
      <c r="CK508" s="332"/>
      <c r="CL508" s="332"/>
      <c r="CM508" s="332"/>
      <c r="CN508" s="332"/>
      <c r="CO508" s="332"/>
      <c r="CP508" s="332"/>
      <c r="CQ508" s="332"/>
      <c r="CR508" s="332"/>
      <c r="CS508" s="332"/>
      <c r="CT508" s="332"/>
      <c r="CU508" s="332"/>
      <c r="CV508" s="332"/>
      <c r="CW508" s="332"/>
      <c r="CX508" s="332"/>
      <c r="CY508" s="332"/>
      <c r="CZ508" s="332"/>
      <c r="DA508" s="332"/>
      <c r="DB508" s="332"/>
      <c r="DC508" s="332"/>
      <c r="DD508" s="332"/>
      <c r="DE508" s="332"/>
      <c r="DF508" s="332"/>
      <c r="DG508" s="332"/>
      <c r="DH508" s="332"/>
      <c r="DI508" s="332"/>
      <c r="DJ508" s="332"/>
      <c r="DK508" s="332"/>
      <c r="DL508" s="332"/>
      <c r="DM508" s="332"/>
      <c r="DN508" s="332"/>
      <c r="DO508" s="332"/>
      <c r="DP508" s="332"/>
      <c r="DQ508" s="332"/>
      <c r="DR508" s="332"/>
      <c r="DS508" s="332"/>
      <c r="DT508" s="332"/>
      <c r="DU508" s="332"/>
      <c r="DV508" s="332"/>
      <c r="DW508" s="332"/>
      <c r="DX508" s="332"/>
      <c r="DY508" s="332"/>
      <c r="DZ508" s="332"/>
      <c r="EA508" s="332"/>
      <c r="EB508" s="332"/>
      <c r="EC508" s="332"/>
      <c r="ED508" s="332"/>
      <c r="EE508" s="332"/>
      <c r="EF508" s="332"/>
      <c r="EG508" s="332"/>
      <c r="EH508" s="332"/>
      <c r="EI508" s="332"/>
      <c r="EJ508" s="332"/>
      <c r="EK508" s="332"/>
      <c r="EL508" s="332"/>
      <c r="EM508" s="332"/>
      <c r="EN508" s="332"/>
      <c r="EO508" s="332"/>
      <c r="EP508" s="332"/>
      <c r="EQ508" s="332"/>
      <c r="ER508" s="332"/>
      <c r="ES508" s="332"/>
      <c r="ET508" s="332"/>
      <c r="EU508" s="332"/>
      <c r="EV508" s="332"/>
      <c r="EW508" s="332"/>
      <c r="EX508" s="332"/>
      <c r="EY508" s="332"/>
      <c r="EZ508" s="332"/>
      <c r="FA508" s="332"/>
      <c r="FB508" s="332"/>
      <c r="FC508" s="332"/>
      <c r="FD508" s="332"/>
      <c r="FE508" s="332"/>
      <c r="FF508" s="332"/>
      <c r="FG508" s="332"/>
      <c r="FH508" s="332"/>
      <c r="FI508" s="332"/>
      <c r="FJ508" s="332"/>
      <c r="FK508" s="332"/>
      <c r="FL508" s="332"/>
      <c r="FM508" s="332"/>
      <c r="FN508" s="332"/>
      <c r="FO508" s="332"/>
      <c r="FP508" s="332"/>
      <c r="FQ508" s="332"/>
      <c r="FR508" s="332"/>
      <c r="FS508" s="332"/>
      <c r="FT508" s="332"/>
      <c r="FU508" s="332"/>
      <c r="FV508" s="332"/>
      <c r="FW508" s="332"/>
      <c r="FX508" s="332"/>
      <c r="FY508" s="332"/>
      <c r="FZ508" s="332"/>
      <c r="GA508" s="332"/>
      <c r="GB508" s="332"/>
      <c r="GC508" s="332"/>
      <c r="GD508" s="332"/>
      <c r="GE508" s="332"/>
      <c r="GF508" s="332"/>
      <c r="GG508" s="332"/>
      <c r="GH508" s="332"/>
      <c r="GI508" s="332"/>
      <c r="GJ508" s="332"/>
      <c r="GK508" s="332"/>
      <c r="GL508" s="332"/>
      <c r="GM508" s="332"/>
      <c r="GN508" s="332"/>
      <c r="GO508" s="332"/>
      <c r="GP508" s="332"/>
      <c r="GQ508" s="332"/>
      <c r="GR508" s="332"/>
      <c r="GS508" s="332"/>
      <c r="GT508" s="332"/>
      <c r="GU508" s="332"/>
      <c r="GV508" s="332"/>
      <c r="GW508" s="332"/>
      <c r="GX508" s="332"/>
      <c r="GY508" s="332"/>
      <c r="GZ508" s="332"/>
      <c r="HA508" s="332"/>
      <c r="HB508" s="332"/>
      <c r="HC508" s="332"/>
      <c r="HD508" s="332"/>
      <c r="HE508" s="332"/>
      <c r="HF508" s="332"/>
      <c r="HG508" s="332"/>
      <c r="HH508" s="332"/>
      <c r="HI508" s="332"/>
      <c r="HJ508" s="332"/>
      <c r="HK508" s="332"/>
      <c r="HL508" s="332"/>
      <c r="HM508" s="332"/>
      <c r="HN508" s="332"/>
      <c r="HO508" s="332"/>
      <c r="HP508" s="332"/>
      <c r="HQ508" s="332"/>
      <c r="HR508" s="332"/>
      <c r="HS508" s="332"/>
      <c r="HT508" s="332"/>
      <c r="HU508" s="332"/>
      <c r="HV508" s="332"/>
      <c r="HW508" s="332"/>
      <c r="HX508" s="332"/>
      <c r="HY508" s="332"/>
      <c r="HZ508" s="332"/>
      <c r="IA508" s="332"/>
      <c r="IB508" s="332"/>
      <c r="IC508" s="332"/>
      <c r="ID508" s="332"/>
      <c r="IE508" s="332"/>
      <c r="IF508" s="332"/>
      <c r="IG508" s="332"/>
      <c r="IH508" s="332"/>
      <c r="II508" s="332"/>
      <c r="IJ508" s="332"/>
      <c r="IK508" s="332"/>
      <c r="IL508" s="332"/>
      <c r="IM508" s="332"/>
      <c r="IN508" s="332"/>
      <c r="IO508" s="332"/>
      <c r="IP508" s="332"/>
      <c r="IQ508" s="332"/>
      <c r="IR508" s="332"/>
      <c r="IS508" s="332"/>
      <c r="IT508" s="332"/>
      <c r="IU508" s="332"/>
      <c r="IV508" s="332"/>
      <c r="IW508" s="332"/>
      <c r="IX508" s="332"/>
      <c r="IY508" s="332"/>
      <c r="IZ508" s="332"/>
      <c r="JA508" s="332"/>
      <c r="JB508" s="332"/>
      <c r="JC508" s="332"/>
      <c r="JD508" s="332"/>
      <c r="JE508" s="332"/>
      <c r="JF508" s="332"/>
      <c r="JG508" s="332"/>
      <c r="JH508" s="332"/>
      <c r="JI508" s="332"/>
      <c r="JJ508" s="332"/>
      <c r="JK508" s="332"/>
      <c r="JL508" s="332"/>
      <c r="JM508" s="332"/>
      <c r="JN508" s="332"/>
      <c r="JO508" s="332"/>
      <c r="JP508" s="332"/>
      <c r="JQ508" s="332"/>
      <c r="JR508" s="332"/>
      <c r="JS508" s="332"/>
      <c r="JT508" s="332"/>
      <c r="JU508" s="332"/>
      <c r="JV508" s="332"/>
      <c r="JW508" s="332"/>
      <c r="JX508" s="332"/>
      <c r="JY508" s="332"/>
      <c r="JZ508" s="332"/>
      <c r="KA508" s="332"/>
      <c r="KB508" s="332"/>
      <c r="KC508" s="332"/>
      <c r="KD508" s="332"/>
      <c r="KE508" s="332"/>
      <c r="KF508" s="332"/>
      <c r="KG508" s="332"/>
      <c r="KH508" s="332"/>
      <c r="KI508" s="332"/>
      <c r="KJ508" s="332"/>
      <c r="KK508" s="332"/>
      <c r="KL508" s="332"/>
      <c r="KM508" s="332"/>
      <c r="KN508" s="332"/>
      <c r="KO508" s="332"/>
      <c r="KP508" s="332"/>
      <c r="KQ508" s="332"/>
      <c r="KR508" s="332"/>
      <c r="KS508" s="332"/>
      <c r="KT508" s="332"/>
      <c r="KU508" s="332"/>
      <c r="KV508" s="332"/>
      <c r="KW508" s="332"/>
      <c r="KX508" s="332"/>
      <c r="KY508" s="332"/>
      <c r="KZ508" s="332"/>
      <c r="LA508" s="332"/>
      <c r="LB508" s="332"/>
      <c r="LC508" s="332"/>
      <c r="LD508" s="332"/>
      <c r="LE508" s="332"/>
      <c r="LF508" s="332"/>
      <c r="LG508" s="332"/>
      <c r="LH508" s="332"/>
      <c r="LI508" s="332"/>
      <c r="LJ508" s="332"/>
      <c r="LK508" s="332"/>
      <c r="LL508" s="332"/>
      <c r="LM508" s="332"/>
      <c r="LN508" s="332"/>
      <c r="LO508" s="332"/>
      <c r="LP508" s="332"/>
      <c r="LQ508" s="332"/>
      <c r="LR508" s="332"/>
      <c r="LS508" s="332"/>
      <c r="LT508" s="332"/>
      <c r="LU508" s="332"/>
      <c r="LV508" s="332"/>
      <c r="LW508" s="332"/>
      <c r="LX508" s="332"/>
      <c r="LY508" s="332"/>
      <c r="LZ508" s="332"/>
      <c r="MA508" s="332"/>
      <c r="MB508" s="332"/>
      <c r="MC508" s="332"/>
      <c r="MD508" s="332"/>
      <c r="ME508" s="332"/>
      <c r="MF508" s="332"/>
      <c r="MG508" s="332"/>
      <c r="MH508" s="332"/>
      <c r="MI508" s="332"/>
      <c r="MJ508" s="332"/>
      <c r="MK508" s="332"/>
      <c r="ML508" s="332"/>
      <c r="MM508" s="332"/>
      <c r="MN508" s="332"/>
      <c r="MO508" s="332"/>
      <c r="MP508" s="332"/>
      <c r="MQ508" s="332"/>
      <c r="MR508" s="332"/>
      <c r="MS508" s="332"/>
      <c r="MT508" s="332"/>
      <c r="MU508" s="332"/>
      <c r="MV508" s="332"/>
      <c r="MW508" s="332"/>
      <c r="MX508" s="332"/>
      <c r="MY508" s="332"/>
      <c r="MZ508" s="332"/>
      <c r="NA508" s="332"/>
      <c r="NB508" s="332"/>
      <c r="NC508" s="332"/>
      <c r="ND508" s="332"/>
      <c r="NE508" s="332"/>
      <c r="NF508" s="332"/>
      <c r="NG508" s="332"/>
      <c r="NH508" s="332"/>
      <c r="NI508" s="332"/>
      <c r="NJ508" s="332"/>
      <c r="NK508" s="332"/>
      <c r="NL508" s="332"/>
      <c r="NM508" s="332"/>
      <c r="NN508" s="332"/>
      <c r="NO508" s="332"/>
      <c r="NP508" s="332"/>
      <c r="NQ508" s="332"/>
      <c r="NR508" s="332"/>
      <c r="NS508" s="332"/>
      <c r="NT508" s="332"/>
      <c r="NU508" s="332"/>
      <c r="NV508" s="332"/>
      <c r="NW508" s="332"/>
      <c r="NX508" s="332"/>
      <c r="NY508" s="332"/>
      <c r="NZ508" s="332"/>
      <c r="OA508" s="332"/>
      <c r="OB508" s="332"/>
      <c r="OC508" s="332"/>
      <c r="OD508" s="332"/>
      <c r="OE508" s="332"/>
      <c r="OF508" s="332"/>
      <c r="OG508" s="332"/>
      <c r="OH508" s="332"/>
      <c r="OI508" s="332"/>
      <c r="OJ508" s="332"/>
      <c r="OK508" s="332"/>
      <c r="OL508" s="332"/>
      <c r="OM508" s="332"/>
      <c r="ON508" s="332"/>
      <c r="OO508" s="332"/>
      <c r="OP508" s="332"/>
      <c r="OQ508" s="332"/>
      <c r="OR508" s="332"/>
      <c r="OS508" s="332"/>
      <c r="OT508" s="332"/>
      <c r="OU508" s="332"/>
      <c r="OV508" s="332"/>
      <c r="OW508" s="332"/>
      <c r="OX508" s="332"/>
      <c r="OY508" s="332"/>
      <c r="OZ508" s="332"/>
      <c r="PA508" s="332"/>
      <c r="PB508" s="332"/>
      <c r="PC508" s="332"/>
      <c r="PD508" s="332"/>
      <c r="PE508" s="332"/>
      <c r="PF508" s="332"/>
      <c r="PG508" s="332"/>
      <c r="PH508" s="332"/>
      <c r="PI508" s="332"/>
      <c r="PJ508" s="332"/>
      <c r="PK508" s="332"/>
      <c r="PL508" s="332"/>
      <c r="PM508" s="332"/>
      <c r="PN508" s="332"/>
      <c r="PO508" s="332"/>
      <c r="PP508" s="332"/>
      <c r="PQ508" s="332"/>
      <c r="PR508" s="332"/>
      <c r="PS508" s="332"/>
      <c r="PT508" s="332"/>
      <c r="PU508" s="332"/>
      <c r="PV508" s="332"/>
      <c r="PW508" s="332"/>
      <c r="PX508" s="332"/>
      <c r="PY508" s="332"/>
      <c r="PZ508" s="332"/>
      <c r="QA508" s="332"/>
      <c r="QB508" s="332"/>
      <c r="QC508" s="332"/>
      <c r="QD508" s="332"/>
      <c r="QE508" s="332"/>
      <c r="QF508" s="332"/>
      <c r="QG508" s="332"/>
      <c r="QH508" s="332"/>
      <c r="QI508" s="332"/>
      <c r="QJ508" s="332"/>
      <c r="QK508" s="332"/>
      <c r="QL508" s="332"/>
      <c r="QM508" s="332"/>
      <c r="QN508" s="332"/>
      <c r="QO508" s="332"/>
      <c r="QP508" s="332"/>
      <c r="QQ508" s="332"/>
      <c r="QR508" s="332"/>
      <c r="QS508" s="332"/>
      <c r="QT508" s="332"/>
      <c r="QU508" s="332"/>
      <c r="QV508" s="332"/>
      <c r="QW508" s="332"/>
      <c r="QX508" s="332"/>
      <c r="QY508" s="332"/>
      <c r="QZ508" s="332"/>
      <c r="RA508" s="332"/>
      <c r="RB508" s="332"/>
      <c r="RC508" s="332"/>
      <c r="RD508" s="332"/>
      <c r="RE508" s="332"/>
      <c r="RF508" s="332"/>
      <c r="RG508" s="332"/>
      <c r="RH508" s="332"/>
      <c r="RI508" s="332"/>
      <c r="RJ508" s="332"/>
      <c r="RK508" s="332"/>
      <c r="RL508" s="332"/>
      <c r="RM508" s="332"/>
      <c r="RN508" s="332"/>
      <c r="RO508" s="332"/>
      <c r="RP508" s="332"/>
      <c r="RQ508" s="332"/>
      <c r="RR508" s="332"/>
      <c r="RS508" s="332"/>
      <c r="RT508" s="332"/>
      <c r="RU508" s="332"/>
      <c r="RV508" s="332"/>
      <c r="RW508" s="332"/>
      <c r="RX508" s="332"/>
      <c r="RY508" s="332"/>
      <c r="RZ508" s="332"/>
      <c r="SA508" s="332"/>
      <c r="SB508" s="332"/>
      <c r="SC508" s="332"/>
      <c r="SD508" s="332"/>
      <c r="SE508" s="332"/>
      <c r="SF508" s="332"/>
      <c r="SG508" s="332"/>
      <c r="SH508" s="332"/>
      <c r="SI508" s="332"/>
      <c r="SJ508" s="332"/>
      <c r="SK508" s="332"/>
      <c r="SL508" s="332"/>
      <c r="SM508" s="332"/>
      <c r="SN508" s="332"/>
      <c r="SO508" s="332"/>
      <c r="SP508" s="332"/>
      <c r="SQ508" s="332"/>
      <c r="SR508" s="332"/>
      <c r="SS508" s="332"/>
      <c r="ST508" s="332"/>
      <c r="SU508" s="332"/>
      <c r="SV508" s="332"/>
      <c r="SW508" s="332"/>
      <c r="SX508" s="332"/>
      <c r="SY508" s="332"/>
      <c r="SZ508" s="332"/>
      <c r="TA508" s="332"/>
      <c r="TB508" s="332"/>
      <c r="TC508" s="332"/>
      <c r="TD508" s="332"/>
      <c r="TE508" s="332"/>
      <c r="TF508" s="332"/>
      <c r="TG508" s="332"/>
      <c r="TH508" s="332"/>
      <c r="TI508" s="332"/>
      <c r="TJ508" s="332"/>
      <c r="TK508" s="332"/>
      <c r="TL508" s="332"/>
      <c r="TM508" s="332"/>
      <c r="TN508" s="332"/>
      <c r="TO508" s="332"/>
      <c r="TP508" s="332"/>
      <c r="TQ508" s="332"/>
      <c r="TR508" s="332"/>
      <c r="TS508" s="332"/>
      <c r="TT508" s="332"/>
      <c r="TU508" s="332"/>
      <c r="TV508" s="332"/>
      <c r="TW508" s="332"/>
      <c r="TX508" s="332"/>
      <c r="TY508" s="332"/>
      <c r="TZ508" s="332"/>
      <c r="UA508" s="332"/>
      <c r="UB508" s="332"/>
      <c r="UC508" s="332"/>
      <c r="UD508" s="332"/>
      <c r="UE508" s="332"/>
      <c r="UF508" s="332"/>
      <c r="UG508" s="332"/>
      <c r="UH508" s="332"/>
      <c r="UI508" s="332"/>
      <c r="UJ508" s="332"/>
      <c r="UK508" s="332"/>
      <c r="UL508" s="332"/>
      <c r="UM508" s="332"/>
      <c r="UN508" s="332"/>
      <c r="UO508" s="332"/>
      <c r="UP508" s="332"/>
      <c r="UQ508" s="332"/>
      <c r="UR508" s="332"/>
      <c r="US508" s="332"/>
      <c r="UT508" s="332"/>
      <c r="UU508" s="332"/>
      <c r="UV508" s="332"/>
      <c r="UW508" s="332"/>
      <c r="UX508" s="332"/>
      <c r="UY508" s="332"/>
      <c r="UZ508" s="332"/>
      <c r="VA508" s="332"/>
      <c r="VB508" s="332"/>
      <c r="VC508" s="332"/>
      <c r="VD508" s="332"/>
      <c r="VE508" s="332"/>
      <c r="VF508" s="332"/>
      <c r="VG508" s="332"/>
      <c r="VH508" s="332"/>
      <c r="VI508" s="332"/>
      <c r="VJ508" s="332"/>
      <c r="VK508" s="332"/>
      <c r="VL508" s="332"/>
      <c r="VM508" s="332"/>
      <c r="VN508" s="332"/>
      <c r="VO508" s="332"/>
      <c r="VP508" s="332"/>
      <c r="VQ508" s="332"/>
      <c r="VR508" s="332"/>
      <c r="VS508" s="332"/>
      <c r="VT508" s="332"/>
      <c r="VU508" s="332"/>
      <c r="VV508" s="332"/>
      <c r="VW508" s="332"/>
      <c r="VX508" s="332"/>
      <c r="VY508" s="332"/>
      <c r="VZ508" s="332"/>
      <c r="WA508" s="332"/>
      <c r="WB508" s="332"/>
      <c r="WC508" s="332"/>
      <c r="WD508" s="332"/>
      <c r="WE508" s="332"/>
      <c r="WF508" s="332"/>
      <c r="WG508" s="332"/>
      <c r="WH508" s="332"/>
      <c r="WI508" s="332"/>
      <c r="WJ508" s="332"/>
      <c r="WK508" s="332"/>
      <c r="WL508" s="332"/>
      <c r="WM508" s="332"/>
      <c r="WN508" s="332"/>
      <c r="WO508" s="332"/>
      <c r="WP508" s="332"/>
      <c r="WQ508" s="332"/>
      <c r="WR508" s="332"/>
      <c r="WS508" s="332"/>
      <c r="WT508" s="332"/>
      <c r="WU508" s="332"/>
      <c r="WV508" s="332"/>
      <c r="WW508" s="332"/>
      <c r="WX508" s="332"/>
      <c r="WY508" s="332"/>
      <c r="WZ508" s="332"/>
      <c r="XA508" s="332"/>
      <c r="XB508" s="332"/>
      <c r="XC508" s="332"/>
      <c r="XD508" s="332"/>
      <c r="XE508" s="332"/>
      <c r="XF508" s="332"/>
      <c r="XG508" s="332"/>
      <c r="XH508" s="332"/>
      <c r="XI508" s="332"/>
      <c r="XJ508" s="332"/>
      <c r="XK508" s="332"/>
      <c r="XL508" s="332"/>
      <c r="XM508" s="332"/>
      <c r="XN508" s="332"/>
      <c r="XO508" s="332"/>
      <c r="XP508" s="332"/>
      <c r="XQ508" s="332"/>
      <c r="XR508" s="332"/>
      <c r="XS508" s="332"/>
      <c r="XT508" s="332"/>
      <c r="XU508" s="332"/>
      <c r="XV508" s="332"/>
      <c r="XW508" s="332"/>
      <c r="XX508" s="332"/>
      <c r="XY508" s="332"/>
      <c r="XZ508" s="332"/>
      <c r="YA508" s="332"/>
      <c r="YB508" s="332"/>
      <c r="YC508" s="332"/>
      <c r="YD508" s="332"/>
      <c r="YE508" s="332"/>
      <c r="YF508" s="332"/>
      <c r="YG508" s="332"/>
      <c r="YH508" s="332"/>
      <c r="YI508" s="332"/>
      <c r="YJ508" s="332"/>
      <c r="YK508" s="332"/>
      <c r="YL508" s="332"/>
      <c r="YM508" s="332"/>
      <c r="YN508" s="332"/>
      <c r="YO508" s="332"/>
      <c r="YP508" s="332"/>
      <c r="YQ508" s="332"/>
      <c r="YR508" s="332"/>
      <c r="YS508" s="332"/>
      <c r="YT508" s="332"/>
      <c r="YU508" s="332"/>
      <c r="YV508" s="332"/>
      <c r="YW508" s="332"/>
      <c r="YX508" s="332"/>
      <c r="YY508" s="332"/>
      <c r="YZ508" s="332"/>
      <c r="ZA508" s="332"/>
      <c r="ZB508" s="332"/>
      <c r="ZC508" s="332"/>
      <c r="ZD508" s="332"/>
      <c r="ZE508" s="332"/>
      <c r="ZF508" s="332"/>
      <c r="ZG508" s="332"/>
      <c r="ZH508" s="332"/>
      <c r="ZI508" s="332"/>
      <c r="ZJ508" s="332"/>
      <c r="ZK508" s="332"/>
      <c r="ZL508" s="332"/>
      <c r="ZM508" s="332"/>
      <c r="ZN508" s="332"/>
      <c r="ZO508" s="332"/>
      <c r="ZP508" s="332"/>
      <c r="ZQ508" s="332"/>
      <c r="ZR508" s="332"/>
      <c r="ZS508" s="332"/>
      <c r="ZT508" s="332"/>
      <c r="ZU508" s="332"/>
      <c r="ZV508" s="332"/>
      <c r="ZW508" s="332"/>
      <c r="ZX508" s="332"/>
      <c r="ZY508" s="332"/>
      <c r="ZZ508" s="332"/>
      <c r="AAA508" s="332"/>
      <c r="AAB508" s="332"/>
      <c r="AAC508" s="332"/>
      <c r="AAD508" s="332"/>
      <c r="AAE508" s="332"/>
      <c r="AAF508" s="332"/>
      <c r="AAG508" s="332"/>
      <c r="AAH508" s="332"/>
      <c r="AAI508" s="332"/>
      <c r="AAJ508" s="332"/>
      <c r="AAK508" s="332"/>
      <c r="AAL508" s="332"/>
      <c r="AAM508" s="332"/>
      <c r="AAN508" s="332"/>
      <c r="AAO508" s="332"/>
      <c r="AAP508" s="332"/>
      <c r="AAQ508" s="332"/>
      <c r="AAR508" s="332"/>
      <c r="AAS508" s="332"/>
      <c r="AAT508" s="332"/>
      <c r="AAU508" s="332"/>
      <c r="AAV508" s="332"/>
      <c r="AAW508" s="332"/>
      <c r="AAX508" s="332"/>
      <c r="AAY508" s="332"/>
      <c r="AAZ508" s="332"/>
      <c r="ABA508" s="332"/>
      <c r="ABB508" s="332"/>
      <c r="ABC508" s="332"/>
      <c r="ABD508" s="332"/>
      <c r="ABE508" s="332"/>
      <c r="ABF508" s="332"/>
      <c r="ABG508" s="332"/>
      <c r="ABH508" s="332"/>
      <c r="ABI508" s="332"/>
      <c r="ABJ508" s="332"/>
      <c r="ABK508" s="332"/>
      <c r="ABL508" s="332"/>
      <c r="ABM508" s="332"/>
      <c r="ABN508" s="332"/>
      <c r="ABO508" s="332"/>
      <c r="ABP508" s="332"/>
      <c r="ABQ508" s="332"/>
      <c r="ABR508" s="332"/>
      <c r="ABS508" s="332"/>
      <c r="ABT508" s="332"/>
      <c r="ABU508" s="332"/>
      <c r="ABV508" s="332"/>
      <c r="ABW508" s="332"/>
      <c r="ABX508" s="332"/>
      <c r="ABY508" s="332"/>
      <c r="ABZ508" s="332"/>
      <c r="ACA508" s="332"/>
      <c r="ACB508" s="332"/>
      <c r="ACC508" s="332"/>
      <c r="ACD508" s="332"/>
      <c r="ACE508" s="332"/>
      <c r="ACF508" s="332"/>
      <c r="ACG508" s="332"/>
      <c r="ACH508" s="332"/>
      <c r="ACI508" s="332"/>
      <c r="ACJ508" s="332"/>
      <c r="ACK508" s="332"/>
      <c r="ACL508" s="332"/>
      <c r="ACM508" s="332"/>
      <c r="ACN508" s="332"/>
      <c r="ACO508" s="332"/>
      <c r="ACP508" s="332"/>
      <c r="ACQ508" s="332"/>
      <c r="ACR508" s="332"/>
      <c r="ACS508" s="332"/>
      <c r="ACT508" s="332"/>
      <c r="ACU508" s="332"/>
      <c r="ACV508" s="332"/>
      <c r="ACW508" s="332"/>
      <c r="ACX508" s="332"/>
      <c r="ACY508" s="332"/>
      <c r="ACZ508" s="332"/>
      <c r="ADA508" s="332"/>
      <c r="ADB508" s="332"/>
      <c r="ADC508" s="332"/>
      <c r="ADD508" s="332"/>
      <c r="ADE508" s="332"/>
      <c r="ADF508" s="332"/>
      <c r="ADG508" s="332"/>
      <c r="ADH508" s="332"/>
      <c r="ADI508" s="332"/>
      <c r="ADJ508" s="332"/>
      <c r="ADK508" s="332"/>
      <c r="ADL508" s="332"/>
      <c r="ADM508" s="332"/>
      <c r="ADN508" s="332"/>
      <c r="ADO508" s="332"/>
      <c r="ADP508" s="332"/>
      <c r="ADQ508" s="332"/>
      <c r="ADR508" s="332"/>
      <c r="ADS508" s="332"/>
      <c r="ADT508" s="332"/>
      <c r="ADU508" s="332"/>
      <c r="ADV508" s="332"/>
      <c r="ADW508" s="332"/>
      <c r="ADX508" s="332"/>
      <c r="ADY508" s="332"/>
      <c r="ADZ508" s="332"/>
      <c r="AEA508" s="332"/>
      <c r="AEB508" s="332"/>
      <c r="AEC508" s="332"/>
      <c r="AED508" s="332"/>
      <c r="AEE508" s="332"/>
      <c r="AEF508" s="332"/>
      <c r="AEG508" s="332"/>
      <c r="AEH508" s="332"/>
      <c r="AEI508" s="332"/>
      <c r="AEJ508" s="332"/>
      <c r="AEK508" s="332"/>
      <c r="AEL508" s="332"/>
      <c r="AEM508" s="332"/>
      <c r="AEN508" s="332"/>
      <c r="AEO508" s="332"/>
      <c r="AEP508" s="332"/>
      <c r="AEQ508" s="332"/>
      <c r="AER508" s="332"/>
      <c r="AES508" s="332"/>
      <c r="AET508" s="332"/>
      <c r="AEU508" s="332"/>
      <c r="AEV508" s="332"/>
      <c r="AEW508" s="332"/>
      <c r="AEX508" s="332"/>
      <c r="AEY508" s="332"/>
      <c r="AEZ508" s="332"/>
      <c r="AFA508" s="332"/>
      <c r="AFB508" s="332"/>
      <c r="AFC508" s="332"/>
      <c r="AFD508" s="332"/>
      <c r="AFE508" s="332"/>
      <c r="AFF508" s="332"/>
      <c r="AFG508" s="332"/>
      <c r="AFH508" s="332"/>
      <c r="AFI508" s="332"/>
      <c r="AFJ508" s="332"/>
      <c r="AFK508" s="332"/>
      <c r="AFL508" s="332"/>
      <c r="AFM508" s="332"/>
      <c r="AFN508" s="332"/>
      <c r="AFO508" s="332"/>
      <c r="AFP508" s="332"/>
      <c r="AFQ508" s="332"/>
      <c r="AFR508" s="332"/>
      <c r="AFS508" s="332"/>
      <c r="AFT508" s="332"/>
      <c r="AFU508" s="332"/>
      <c r="AFV508" s="332"/>
      <c r="AFW508" s="332"/>
      <c r="AFX508" s="332"/>
      <c r="AFY508" s="332"/>
      <c r="AFZ508" s="332"/>
      <c r="AGA508" s="332"/>
      <c r="AGB508" s="332"/>
      <c r="AGC508" s="332"/>
      <c r="AGD508" s="332"/>
      <c r="AGE508" s="332"/>
      <c r="AGF508" s="332"/>
      <c r="AGG508" s="332"/>
      <c r="AGH508" s="332"/>
      <c r="AGI508" s="332"/>
      <c r="AGJ508" s="332"/>
      <c r="AGK508" s="332"/>
      <c r="AGL508" s="332"/>
      <c r="AGM508" s="332"/>
      <c r="AGN508" s="332"/>
      <c r="AGO508" s="332"/>
      <c r="AGP508" s="332"/>
      <c r="AGQ508" s="332"/>
      <c r="AGR508" s="332"/>
      <c r="AGS508" s="332"/>
      <c r="AGT508" s="332"/>
      <c r="AGU508" s="332"/>
      <c r="AGV508" s="332"/>
      <c r="AGW508" s="332"/>
      <c r="AGX508" s="332"/>
      <c r="AGY508" s="332"/>
      <c r="AGZ508" s="332"/>
      <c r="AHA508" s="332"/>
      <c r="AHB508" s="332"/>
      <c r="AHC508" s="332"/>
      <c r="AHD508" s="332"/>
      <c r="AHE508" s="332"/>
      <c r="AHF508" s="332"/>
      <c r="AHG508" s="332"/>
      <c r="AHH508" s="332"/>
      <c r="AHI508" s="332"/>
      <c r="AHJ508" s="332"/>
      <c r="AHK508" s="332"/>
      <c r="AHL508" s="332"/>
      <c r="AHM508" s="332"/>
      <c r="AHN508" s="332"/>
      <c r="AHO508" s="332"/>
      <c r="AHP508" s="332"/>
      <c r="AHQ508" s="332"/>
      <c r="AHR508" s="332"/>
      <c r="AHS508" s="332"/>
      <c r="AHT508" s="332"/>
      <c r="AHU508" s="332"/>
      <c r="AHV508" s="332"/>
      <c r="AHW508" s="332"/>
      <c r="AHX508" s="332"/>
      <c r="AHY508" s="332"/>
      <c r="AHZ508" s="332"/>
      <c r="AIA508" s="332"/>
      <c r="AIB508" s="332"/>
      <c r="AIC508" s="332"/>
      <c r="AID508" s="332"/>
      <c r="AIE508" s="332"/>
      <c r="AIF508" s="332"/>
      <c r="AIG508" s="332"/>
      <c r="AIH508" s="332"/>
      <c r="AII508" s="332"/>
      <c r="AIJ508" s="332"/>
      <c r="AIK508" s="332"/>
      <c r="AIL508" s="332"/>
      <c r="AIM508" s="332"/>
      <c r="AIN508" s="332"/>
      <c r="AIO508" s="332"/>
      <c r="AIP508" s="332"/>
      <c r="AIQ508" s="332"/>
      <c r="AIR508" s="332"/>
      <c r="AIS508" s="332"/>
      <c r="AIT508" s="332"/>
      <c r="AIU508" s="332"/>
      <c r="AIV508" s="332"/>
      <c r="AIW508" s="332"/>
      <c r="AIX508" s="332"/>
      <c r="AIY508" s="332"/>
      <c r="AIZ508" s="332"/>
      <c r="AJA508" s="332"/>
      <c r="AJB508" s="332"/>
      <c r="AJC508" s="332"/>
      <c r="AJD508" s="332"/>
      <c r="AJE508" s="332"/>
      <c r="AJF508" s="332"/>
      <c r="AJG508" s="332"/>
      <c r="AJH508" s="332"/>
      <c r="AJI508" s="332"/>
      <c r="AJJ508" s="332"/>
      <c r="AJK508" s="332"/>
      <c r="AJL508" s="332"/>
      <c r="AJM508" s="332"/>
      <c r="AJN508" s="332"/>
      <c r="AJO508" s="332"/>
      <c r="AJP508" s="332"/>
      <c r="AJQ508" s="332"/>
      <c r="AJR508" s="332"/>
      <c r="AJS508" s="332"/>
      <c r="AJT508" s="332"/>
      <c r="AJU508" s="332"/>
      <c r="AJV508" s="332"/>
      <c r="AJW508" s="332"/>
      <c r="AJX508" s="332"/>
      <c r="AJY508" s="332"/>
      <c r="AJZ508" s="332"/>
      <c r="AKA508" s="332"/>
      <c r="AKB508" s="332"/>
      <c r="AKC508" s="332"/>
      <c r="AKD508" s="332"/>
      <c r="AKE508" s="332"/>
      <c r="AKF508" s="332"/>
      <c r="AKG508" s="332"/>
      <c r="AKH508" s="332"/>
      <c r="AKI508" s="332"/>
      <c r="AKJ508" s="332"/>
      <c r="AKK508" s="332"/>
      <c r="AKL508" s="332"/>
      <c r="AKM508" s="332"/>
      <c r="AKN508" s="332"/>
      <c r="AKO508" s="332"/>
      <c r="AKP508" s="332"/>
      <c r="AKQ508" s="332"/>
      <c r="AKR508" s="332"/>
      <c r="AKS508" s="332"/>
      <c r="AKT508" s="332"/>
      <c r="AKU508" s="332"/>
      <c r="AKV508" s="332"/>
      <c r="AKW508" s="332"/>
      <c r="AKX508" s="332"/>
      <c r="AKY508" s="332"/>
      <c r="AKZ508" s="332"/>
      <c r="ALA508" s="332"/>
      <c r="ALB508" s="332"/>
      <c r="ALC508" s="332"/>
      <c r="ALD508" s="332"/>
      <c r="ALE508" s="332"/>
      <c r="ALF508" s="332"/>
      <c r="ALG508" s="332"/>
      <c r="ALH508" s="332"/>
      <c r="ALI508" s="332"/>
      <c r="ALJ508" s="332"/>
      <c r="ALK508" s="332"/>
      <c r="ALL508" s="332"/>
      <c r="ALM508" s="332"/>
      <c r="ALN508" s="332"/>
      <c r="ALO508" s="332"/>
      <c r="ALP508" s="332"/>
      <c r="ALQ508" s="332"/>
      <c r="ALR508" s="332"/>
      <c r="ALS508" s="332"/>
      <c r="ALT508" s="332"/>
      <c r="ALU508" s="332"/>
      <c r="ALV508" s="332"/>
      <c r="ALW508" s="332"/>
      <c r="ALX508" s="332"/>
      <c r="ALY508" s="332"/>
      <c r="ALZ508" s="332"/>
      <c r="AMA508" s="332"/>
      <c r="AMB508" s="332"/>
      <c r="AMC508" s="332"/>
      <c r="AMD508" s="332"/>
      <c r="AME508" s="332"/>
      <c r="AMF508" s="332"/>
      <c r="AMG508" s="332"/>
      <c r="AMH508" s="332"/>
      <c r="AMI508" s="332"/>
      <c r="AMJ508" s="332"/>
      <c r="AMK508" s="332"/>
      <c r="AML508" s="332"/>
      <c r="AMM508" s="332"/>
      <c r="AMN508" s="332"/>
      <c r="AMO508" s="332"/>
      <c r="AMP508" s="332"/>
      <c r="AMQ508" s="332"/>
      <c r="AMR508" s="332"/>
      <c r="AMS508" s="332"/>
      <c r="AMT508" s="332"/>
      <c r="AMU508" s="332"/>
      <c r="AMV508" s="332"/>
      <c r="AMW508" s="332"/>
      <c r="AMX508" s="332"/>
      <c r="AMY508" s="332"/>
      <c r="AMZ508" s="332"/>
      <c r="ANA508" s="332"/>
      <c r="ANB508" s="332"/>
      <c r="ANC508" s="332"/>
      <c r="AND508" s="332"/>
      <c r="ANE508" s="332"/>
      <c r="ANF508" s="332"/>
      <c r="ANG508" s="332"/>
      <c r="ANH508" s="332"/>
      <c r="ANI508" s="332"/>
      <c r="ANJ508" s="332"/>
      <c r="ANK508" s="332"/>
      <c r="ANL508" s="332"/>
      <c r="ANM508" s="332"/>
      <c r="ANN508" s="332"/>
      <c r="ANO508" s="332"/>
      <c r="ANP508" s="332"/>
      <c r="ANQ508" s="332"/>
      <c r="ANR508" s="332"/>
      <c r="ANS508" s="332"/>
      <c r="ANT508" s="332"/>
      <c r="ANU508" s="332"/>
      <c r="ANV508" s="332"/>
      <c r="ANW508" s="332"/>
      <c r="ANX508" s="332"/>
      <c r="ANY508" s="332"/>
      <c r="ANZ508" s="332"/>
      <c r="AOA508" s="332"/>
      <c r="AOB508" s="332"/>
      <c r="AOC508" s="332"/>
      <c r="AOD508" s="332"/>
      <c r="AOE508" s="332"/>
      <c r="AOF508" s="332"/>
      <c r="AOG508" s="332"/>
      <c r="AOH508" s="332"/>
      <c r="AOI508" s="332"/>
      <c r="AOJ508" s="332"/>
      <c r="AOK508" s="332"/>
      <c r="AOL508" s="332"/>
      <c r="AOM508" s="332"/>
      <c r="AON508" s="332"/>
      <c r="AOO508" s="332"/>
      <c r="AOP508" s="332"/>
      <c r="AOQ508" s="332"/>
      <c r="AOR508" s="332"/>
      <c r="AOS508" s="332"/>
      <c r="AOT508" s="332"/>
      <c r="AOU508" s="332"/>
      <c r="AOV508" s="332"/>
      <c r="AOW508" s="332"/>
      <c r="AOX508" s="332"/>
      <c r="AOY508" s="332"/>
      <c r="AOZ508" s="332"/>
      <c r="APA508" s="332"/>
      <c r="APB508" s="332"/>
      <c r="APC508" s="332"/>
      <c r="APD508" s="332"/>
      <c r="APE508" s="332"/>
      <c r="APF508" s="332"/>
      <c r="APG508" s="332"/>
      <c r="APH508" s="332"/>
      <c r="API508" s="332"/>
      <c r="APJ508" s="332"/>
      <c r="APK508" s="332"/>
      <c r="APL508" s="332"/>
      <c r="APM508" s="332"/>
      <c r="APN508" s="332"/>
      <c r="APO508" s="332"/>
      <c r="APP508" s="332"/>
      <c r="APQ508" s="332"/>
      <c r="APR508" s="332"/>
      <c r="APS508" s="332"/>
      <c r="APT508" s="332"/>
      <c r="APU508" s="332"/>
      <c r="APV508" s="332"/>
      <c r="APW508" s="332"/>
      <c r="APX508" s="332"/>
      <c r="APY508" s="332"/>
      <c r="APZ508" s="332"/>
      <c r="AQA508" s="332"/>
      <c r="AQB508" s="332"/>
      <c r="AQC508" s="332"/>
      <c r="AQD508" s="332"/>
      <c r="AQE508" s="332"/>
      <c r="AQF508" s="332"/>
      <c r="AQG508" s="332"/>
      <c r="AQH508" s="332"/>
      <c r="AQI508" s="332"/>
      <c r="AQJ508" s="332"/>
      <c r="AQK508" s="332"/>
      <c r="AQL508" s="332"/>
      <c r="AQM508" s="332"/>
      <c r="AQN508" s="332"/>
      <c r="AQO508" s="332"/>
      <c r="AQP508" s="332"/>
      <c r="AQQ508" s="332"/>
      <c r="AQR508" s="332"/>
      <c r="AQS508" s="332"/>
      <c r="AQT508" s="332"/>
      <c r="AQU508" s="332"/>
      <c r="AQV508" s="332"/>
      <c r="AQW508" s="332"/>
      <c r="AQX508" s="332"/>
      <c r="AQY508" s="332"/>
      <c r="AQZ508" s="332"/>
      <c r="ARA508" s="332"/>
      <c r="ARB508" s="332"/>
      <c r="ARC508" s="332"/>
      <c r="ARD508" s="332"/>
      <c r="ARE508" s="332"/>
      <c r="ARF508" s="332"/>
      <c r="ARG508" s="332"/>
      <c r="ARH508" s="332"/>
      <c r="ARI508" s="332"/>
      <c r="ARJ508" s="332"/>
      <c r="ARK508" s="332"/>
      <c r="ARL508" s="332"/>
      <c r="ARM508" s="332"/>
      <c r="ARN508" s="332"/>
      <c r="ARO508" s="332"/>
      <c r="ARP508" s="332"/>
      <c r="ARQ508" s="332"/>
      <c r="ARR508" s="332"/>
      <c r="ARS508" s="332"/>
      <c r="ART508" s="332"/>
      <c r="ARU508" s="332"/>
      <c r="ARV508" s="332"/>
      <c r="ARW508" s="332"/>
      <c r="ARX508" s="332"/>
      <c r="ARY508" s="332"/>
      <c r="ARZ508" s="332"/>
      <c r="ASA508" s="332"/>
      <c r="ASB508" s="332"/>
      <c r="ASC508" s="332"/>
      <c r="ASD508" s="332"/>
      <c r="ASE508" s="332"/>
      <c r="ASF508" s="332"/>
      <c r="ASG508" s="332"/>
      <c r="ASH508" s="332"/>
      <c r="ASI508" s="332"/>
      <c r="ASJ508" s="332"/>
      <c r="ASK508" s="332"/>
      <c r="ASL508" s="332"/>
      <c r="ASM508" s="332"/>
      <c r="ASN508" s="332"/>
      <c r="ASO508" s="332"/>
      <c r="ASP508" s="332"/>
      <c r="ASQ508" s="332"/>
      <c r="ASR508" s="332"/>
      <c r="ASS508" s="332"/>
      <c r="AST508" s="332"/>
      <c r="ASU508" s="332"/>
      <c r="ASV508" s="332"/>
      <c r="ASW508" s="332"/>
      <c r="ASX508" s="332"/>
      <c r="ASY508" s="332"/>
      <c r="ASZ508" s="332"/>
      <c r="ATA508" s="332"/>
      <c r="ATB508" s="332"/>
      <c r="ATC508" s="332"/>
      <c r="ATD508" s="332"/>
      <c r="ATE508" s="332"/>
      <c r="ATF508" s="332"/>
      <c r="ATG508" s="332"/>
      <c r="ATH508" s="332"/>
      <c r="ATI508" s="332"/>
      <c r="ATJ508" s="332"/>
      <c r="ATK508" s="332"/>
      <c r="ATL508" s="332"/>
      <c r="ATM508" s="332"/>
      <c r="ATN508" s="332"/>
      <c r="ATO508" s="332"/>
      <c r="ATP508" s="332"/>
      <c r="ATQ508" s="332"/>
      <c r="ATR508" s="332"/>
      <c r="ATS508" s="332"/>
      <c r="ATT508" s="332"/>
      <c r="ATU508" s="332"/>
      <c r="ATV508" s="332"/>
      <c r="ATW508" s="332"/>
      <c r="ATX508" s="332"/>
      <c r="ATY508" s="332"/>
      <c r="ATZ508" s="332"/>
      <c r="AUA508" s="332"/>
      <c r="AUB508" s="332"/>
      <c r="AUC508" s="332"/>
      <c r="AUD508" s="332"/>
      <c r="AUE508" s="332"/>
      <c r="AUF508" s="332"/>
      <c r="AUG508" s="332"/>
      <c r="AUH508" s="332"/>
      <c r="AUI508" s="332"/>
      <c r="AUJ508" s="332"/>
      <c r="AUK508" s="332"/>
      <c r="AUL508" s="332"/>
      <c r="AUM508" s="332"/>
      <c r="AUN508" s="332"/>
      <c r="AUO508" s="332"/>
      <c r="AUP508" s="332"/>
      <c r="AUQ508" s="332"/>
      <c r="AUR508" s="332"/>
      <c r="AUS508" s="332"/>
      <c r="AUT508" s="332"/>
      <c r="AUU508" s="332"/>
      <c r="AUV508" s="332"/>
      <c r="AUW508" s="332"/>
      <c r="AUX508" s="332"/>
      <c r="AUY508" s="332"/>
      <c r="AUZ508" s="332"/>
      <c r="AVA508" s="332"/>
      <c r="AVB508" s="332"/>
      <c r="AVC508" s="332"/>
      <c r="AVD508" s="332"/>
      <c r="AVE508" s="332"/>
      <c r="AVF508" s="332"/>
      <c r="AVG508" s="332"/>
      <c r="AVH508" s="332"/>
      <c r="AVI508" s="332"/>
      <c r="AVJ508" s="332"/>
      <c r="AVK508" s="332"/>
      <c r="AVL508" s="332"/>
      <c r="AVM508" s="332"/>
      <c r="AVN508" s="332"/>
      <c r="AVO508" s="332"/>
      <c r="AVP508" s="332"/>
      <c r="AVQ508" s="332"/>
      <c r="AVR508" s="332"/>
      <c r="AVS508" s="332"/>
      <c r="AVT508" s="332"/>
      <c r="AVU508" s="332"/>
      <c r="AVV508" s="332"/>
      <c r="AVW508" s="332"/>
      <c r="AVX508" s="332"/>
      <c r="AVY508" s="332"/>
      <c r="AVZ508" s="332"/>
      <c r="AWA508" s="332"/>
      <c r="AWB508" s="332"/>
      <c r="AWC508" s="332"/>
      <c r="AWD508" s="332"/>
      <c r="AWE508" s="332"/>
      <c r="AWF508" s="332"/>
      <c r="AWG508" s="332"/>
      <c r="AWH508" s="332"/>
      <c r="AWI508" s="332"/>
      <c r="AWJ508" s="332"/>
      <c r="AWK508" s="332"/>
      <c r="AWL508" s="332"/>
      <c r="AWM508" s="332"/>
      <c r="AWN508" s="332"/>
      <c r="AWO508" s="332"/>
      <c r="AWP508" s="332"/>
      <c r="AWQ508" s="332"/>
      <c r="AWR508" s="332"/>
      <c r="AWS508" s="332"/>
      <c r="AWT508" s="332"/>
      <c r="AWU508" s="332"/>
      <c r="AWV508" s="332"/>
      <c r="AWW508" s="332"/>
      <c r="AWX508" s="332"/>
      <c r="AWY508" s="332"/>
      <c r="AWZ508" s="332"/>
      <c r="AXA508" s="332"/>
      <c r="AXB508" s="332"/>
      <c r="AXC508" s="332"/>
      <c r="AXD508" s="332"/>
      <c r="AXE508" s="332"/>
      <c r="AXF508" s="332"/>
      <c r="AXG508" s="332"/>
      <c r="AXH508" s="332"/>
      <c r="AXI508" s="332"/>
      <c r="AXJ508" s="332"/>
      <c r="AXK508" s="332"/>
      <c r="AXL508" s="332"/>
      <c r="AXM508" s="332"/>
      <c r="AXN508" s="332"/>
      <c r="AXO508" s="332"/>
      <c r="AXP508" s="332"/>
      <c r="AXQ508" s="332"/>
      <c r="AXR508" s="332"/>
      <c r="AXS508" s="332"/>
      <c r="AXT508" s="332"/>
      <c r="AXU508" s="332"/>
      <c r="AXV508" s="332"/>
      <c r="AXW508" s="332"/>
      <c r="AXX508" s="332"/>
      <c r="AXY508" s="332"/>
      <c r="AXZ508" s="332"/>
      <c r="AYA508" s="332"/>
      <c r="AYB508" s="332"/>
      <c r="AYC508" s="332"/>
      <c r="AYD508" s="332"/>
      <c r="AYE508" s="332"/>
      <c r="AYF508" s="332"/>
      <c r="AYG508" s="332"/>
      <c r="AYH508" s="332"/>
      <c r="AYI508" s="332"/>
      <c r="AYJ508" s="332"/>
      <c r="AYK508" s="332"/>
      <c r="AYL508" s="332"/>
      <c r="AYM508" s="332"/>
      <c r="AYN508" s="332"/>
      <c r="AYO508" s="332"/>
      <c r="AYP508" s="332"/>
      <c r="AYQ508" s="332"/>
      <c r="AYR508" s="332"/>
      <c r="AYS508" s="332"/>
      <c r="AYT508" s="332"/>
      <c r="AYU508" s="332"/>
      <c r="AYV508" s="332"/>
      <c r="AYW508" s="332"/>
      <c r="AYX508" s="332"/>
      <c r="AYY508" s="332"/>
      <c r="AYZ508" s="332"/>
      <c r="AZA508" s="332"/>
      <c r="AZB508" s="332"/>
      <c r="AZC508" s="332"/>
      <c r="AZD508" s="332"/>
      <c r="AZE508" s="332"/>
      <c r="AZF508" s="332"/>
      <c r="AZG508" s="332"/>
      <c r="AZH508" s="332"/>
      <c r="AZI508" s="332"/>
      <c r="AZJ508" s="332"/>
      <c r="AZK508" s="332"/>
      <c r="AZL508" s="332"/>
      <c r="AZM508" s="332"/>
      <c r="AZN508" s="332"/>
      <c r="AZO508" s="332"/>
      <c r="AZP508" s="332"/>
      <c r="AZQ508" s="332"/>
      <c r="AZR508" s="332"/>
      <c r="AZS508" s="332"/>
      <c r="AZT508" s="332"/>
      <c r="AZU508" s="332"/>
      <c r="AZV508" s="332"/>
      <c r="AZW508" s="332"/>
      <c r="AZX508" s="332"/>
      <c r="AZY508" s="332"/>
      <c r="AZZ508" s="332"/>
      <c r="BAA508" s="332"/>
      <c r="BAB508" s="332"/>
      <c r="BAC508" s="332"/>
      <c r="BAD508" s="332"/>
      <c r="BAE508" s="332"/>
      <c r="BAF508" s="332"/>
      <c r="BAG508" s="332"/>
      <c r="BAH508" s="332"/>
      <c r="BAI508" s="332"/>
      <c r="BAJ508" s="332"/>
      <c r="BAK508" s="332"/>
      <c r="BAL508" s="332"/>
      <c r="BAM508" s="332"/>
      <c r="BAN508" s="332"/>
      <c r="BAO508" s="332"/>
      <c r="BAP508" s="332"/>
      <c r="BAQ508" s="332"/>
      <c r="BAR508" s="332"/>
      <c r="BAS508" s="332"/>
      <c r="BAT508" s="332"/>
      <c r="BAU508" s="332"/>
      <c r="BAV508" s="332"/>
      <c r="BAW508" s="332"/>
      <c r="BAX508" s="332"/>
      <c r="BAY508" s="332"/>
      <c r="BAZ508" s="332"/>
      <c r="BBA508" s="332"/>
      <c r="BBB508" s="332"/>
      <c r="BBC508" s="332"/>
      <c r="BBD508" s="332"/>
      <c r="BBE508" s="332"/>
      <c r="BBF508" s="332"/>
      <c r="BBG508" s="332"/>
      <c r="BBH508" s="332"/>
      <c r="BBI508" s="332"/>
      <c r="BBJ508" s="332"/>
      <c r="BBK508" s="332"/>
      <c r="BBL508" s="332"/>
      <c r="BBM508" s="332"/>
      <c r="BBN508" s="332"/>
      <c r="BBO508" s="332"/>
      <c r="BBP508" s="332"/>
      <c r="BBQ508" s="332"/>
      <c r="BBR508" s="332"/>
      <c r="BBS508" s="332"/>
      <c r="BBT508" s="332"/>
      <c r="BBU508" s="332"/>
      <c r="BBV508" s="332"/>
      <c r="BBW508" s="332"/>
      <c r="BBX508" s="332"/>
      <c r="BBY508" s="332"/>
      <c r="BBZ508" s="332"/>
      <c r="BCA508" s="332"/>
      <c r="BCB508" s="332"/>
      <c r="BCC508" s="332"/>
      <c r="BCD508" s="332"/>
      <c r="BCE508" s="332"/>
      <c r="BCF508" s="332"/>
      <c r="BCG508" s="332"/>
      <c r="BCH508" s="332"/>
      <c r="BCI508" s="332"/>
      <c r="BCJ508" s="332"/>
      <c r="BCK508" s="332"/>
      <c r="BCL508" s="332"/>
      <c r="BCM508" s="332"/>
      <c r="BCN508" s="332"/>
      <c r="BCO508" s="332"/>
      <c r="BCP508" s="332"/>
      <c r="BCQ508" s="332"/>
      <c r="BCR508" s="332"/>
      <c r="BCS508" s="332"/>
      <c r="BCT508" s="332"/>
      <c r="BCU508" s="332"/>
      <c r="BCV508" s="332"/>
      <c r="BCW508" s="332"/>
      <c r="BCX508" s="332"/>
      <c r="BCY508" s="332"/>
      <c r="BCZ508" s="332"/>
      <c r="BDA508" s="332"/>
      <c r="BDB508" s="332"/>
      <c r="BDC508" s="332"/>
      <c r="BDD508" s="332"/>
      <c r="BDE508" s="332"/>
      <c r="BDF508" s="332"/>
      <c r="BDG508" s="332"/>
      <c r="BDH508" s="332"/>
      <c r="BDI508" s="332"/>
      <c r="BDJ508" s="332"/>
      <c r="BDK508" s="332"/>
      <c r="BDL508" s="332"/>
      <c r="BDM508" s="332"/>
      <c r="BDN508" s="332"/>
      <c r="BDO508" s="332"/>
      <c r="BDP508" s="332"/>
      <c r="BDQ508" s="332"/>
      <c r="BDR508" s="332"/>
      <c r="BDS508" s="332"/>
      <c r="BDT508" s="332"/>
      <c r="BDU508" s="332"/>
      <c r="BDV508" s="332"/>
      <c r="BDW508" s="332"/>
      <c r="BDX508" s="332"/>
      <c r="BDY508" s="332"/>
      <c r="BDZ508" s="332"/>
      <c r="BEA508" s="332"/>
      <c r="BEB508" s="332"/>
      <c r="BEC508" s="332"/>
      <c r="BED508" s="332"/>
      <c r="BEE508" s="332"/>
      <c r="BEF508" s="332"/>
      <c r="BEG508" s="332"/>
      <c r="BEH508" s="332"/>
      <c r="BEI508" s="332"/>
      <c r="BEJ508" s="332"/>
      <c r="BEK508" s="332"/>
      <c r="BEL508" s="332"/>
      <c r="BEM508" s="332"/>
      <c r="BEN508" s="332"/>
      <c r="BEO508" s="332"/>
      <c r="BEP508" s="332"/>
      <c r="BEQ508" s="332"/>
      <c r="BER508" s="332"/>
      <c r="BES508" s="332"/>
      <c r="BET508" s="332"/>
      <c r="BEU508" s="332"/>
      <c r="BEV508" s="332"/>
      <c r="BEW508" s="332"/>
      <c r="BEX508" s="332"/>
      <c r="BEY508" s="332"/>
      <c r="BEZ508" s="332"/>
      <c r="BFA508" s="332"/>
      <c r="BFB508" s="332"/>
      <c r="BFC508" s="332"/>
      <c r="BFD508" s="332"/>
      <c r="BFE508" s="332"/>
      <c r="BFF508" s="332"/>
      <c r="BFG508" s="332"/>
      <c r="BFH508" s="332"/>
      <c r="BFI508" s="332"/>
      <c r="BFJ508" s="332"/>
      <c r="BFK508" s="332"/>
      <c r="BFL508" s="332"/>
      <c r="BFM508" s="332"/>
      <c r="BFN508" s="332"/>
      <c r="BFO508" s="332"/>
      <c r="BFP508" s="332"/>
      <c r="BFQ508" s="332"/>
      <c r="BFR508" s="332"/>
      <c r="BFS508" s="332"/>
      <c r="BFT508" s="332"/>
      <c r="BFU508" s="332"/>
      <c r="BFV508" s="332"/>
      <c r="BFW508" s="332"/>
      <c r="BFX508" s="332"/>
      <c r="BFY508" s="332"/>
      <c r="BFZ508" s="332"/>
      <c r="BGA508" s="332"/>
      <c r="BGB508" s="332"/>
      <c r="BGC508" s="332"/>
      <c r="BGD508" s="332"/>
      <c r="BGE508" s="332"/>
      <c r="BGF508" s="332"/>
      <c r="BGG508" s="332"/>
      <c r="BGH508" s="332"/>
      <c r="BGI508" s="332"/>
      <c r="BGJ508" s="332"/>
      <c r="BGK508" s="332"/>
      <c r="BGL508" s="332"/>
      <c r="BGM508" s="332"/>
      <c r="BGN508" s="332"/>
      <c r="BGO508" s="332"/>
      <c r="BGP508" s="332"/>
      <c r="BGQ508" s="332"/>
      <c r="BGR508" s="332"/>
      <c r="BGS508" s="332"/>
      <c r="BGT508" s="332"/>
      <c r="BGU508" s="332"/>
      <c r="BGV508" s="332"/>
      <c r="BGW508" s="332"/>
      <c r="BGX508" s="332"/>
      <c r="BGY508" s="332"/>
      <c r="BGZ508" s="332"/>
      <c r="BHA508" s="332"/>
      <c r="BHB508" s="332"/>
      <c r="BHC508" s="332"/>
      <c r="BHD508" s="332"/>
      <c r="BHE508" s="332"/>
      <c r="BHF508" s="332"/>
      <c r="BHG508" s="332"/>
      <c r="BHH508" s="332"/>
      <c r="BHI508" s="332"/>
      <c r="BHJ508" s="332"/>
      <c r="BHK508" s="332"/>
      <c r="BHL508" s="332"/>
      <c r="BHM508" s="332"/>
      <c r="BHN508" s="332"/>
      <c r="BHO508" s="332"/>
      <c r="BHP508" s="332"/>
      <c r="BHQ508" s="332"/>
      <c r="BHR508" s="332"/>
      <c r="BHS508" s="332"/>
      <c r="BHT508" s="332"/>
      <c r="BHU508" s="332"/>
      <c r="BHV508" s="332"/>
      <c r="BHW508" s="332"/>
      <c r="BHX508" s="332"/>
      <c r="BHY508" s="332"/>
      <c r="BHZ508" s="332"/>
      <c r="BIA508" s="332"/>
      <c r="BIB508" s="332"/>
      <c r="BIC508" s="332"/>
      <c r="BID508" s="332"/>
      <c r="BIE508" s="332"/>
      <c r="BIF508" s="332"/>
      <c r="BIG508" s="332"/>
      <c r="BIH508" s="332"/>
      <c r="BII508" s="332"/>
      <c r="BIJ508" s="332"/>
      <c r="BIK508" s="332"/>
      <c r="BIL508" s="332"/>
      <c r="BIM508" s="332"/>
      <c r="BIN508" s="332"/>
      <c r="BIO508" s="332"/>
      <c r="BIP508" s="332"/>
      <c r="BIQ508" s="332"/>
      <c r="BIR508" s="332"/>
      <c r="BIS508" s="332"/>
      <c r="BIT508" s="332"/>
      <c r="BIU508" s="332"/>
      <c r="BIV508" s="332"/>
      <c r="BIW508" s="332"/>
      <c r="BIX508" s="332"/>
      <c r="BIY508" s="332"/>
      <c r="BIZ508" s="332"/>
      <c r="BJA508" s="332"/>
      <c r="BJB508" s="332"/>
      <c r="BJC508" s="332"/>
      <c r="BJD508" s="332"/>
      <c r="BJE508" s="332"/>
      <c r="BJF508" s="332"/>
      <c r="BJG508" s="332"/>
      <c r="BJH508" s="332"/>
      <c r="BJI508" s="332"/>
      <c r="BJJ508" s="332"/>
      <c r="BJK508" s="332"/>
      <c r="BJL508" s="332"/>
      <c r="BJM508" s="332"/>
      <c r="BJN508" s="332"/>
      <c r="BJO508" s="332"/>
      <c r="BJP508" s="332"/>
      <c r="BJQ508" s="332"/>
      <c r="BJR508" s="332"/>
      <c r="BJS508" s="332"/>
      <c r="BJT508" s="332"/>
      <c r="BJU508" s="332"/>
      <c r="BJV508" s="332"/>
      <c r="BJW508" s="332"/>
      <c r="BJX508" s="332"/>
      <c r="BJY508" s="332"/>
      <c r="BJZ508" s="332"/>
      <c r="BKA508" s="332"/>
      <c r="BKB508" s="332"/>
      <c r="BKC508" s="332"/>
      <c r="BKD508" s="332"/>
      <c r="BKE508" s="332"/>
      <c r="BKF508" s="332"/>
      <c r="BKG508" s="332"/>
      <c r="BKH508" s="332"/>
      <c r="BKI508" s="332"/>
      <c r="BKJ508" s="332"/>
      <c r="BKK508" s="332"/>
      <c r="BKL508" s="332"/>
      <c r="BKM508" s="332"/>
      <c r="BKN508" s="332"/>
      <c r="BKO508" s="332"/>
      <c r="BKP508" s="332"/>
      <c r="BKQ508" s="332"/>
      <c r="BKR508" s="332"/>
      <c r="BKS508" s="332"/>
      <c r="BKT508" s="332"/>
      <c r="BKU508" s="332"/>
      <c r="BKV508" s="332"/>
      <c r="BKW508" s="332"/>
      <c r="BKX508" s="332"/>
      <c r="BKY508" s="332"/>
      <c r="BKZ508" s="332"/>
      <c r="BLA508" s="332"/>
      <c r="BLB508" s="332"/>
      <c r="BLC508" s="332"/>
      <c r="BLD508" s="332"/>
      <c r="BLE508" s="332"/>
      <c r="BLF508" s="332"/>
      <c r="BLG508" s="332"/>
      <c r="BLH508" s="332"/>
      <c r="BLI508" s="332"/>
      <c r="BLJ508" s="332"/>
      <c r="BLK508" s="332"/>
      <c r="BLL508" s="332"/>
      <c r="BLM508" s="332"/>
      <c r="BLN508" s="332"/>
      <c r="BLO508" s="332"/>
      <c r="BLP508" s="332"/>
      <c r="BLQ508" s="332"/>
      <c r="BLR508" s="332"/>
      <c r="BLS508" s="332"/>
      <c r="BLT508" s="332"/>
      <c r="BLU508" s="332"/>
      <c r="BLV508" s="332"/>
      <c r="BLW508" s="332"/>
      <c r="BLX508" s="332"/>
      <c r="BLY508" s="332"/>
      <c r="BLZ508" s="332"/>
      <c r="BMA508" s="332"/>
      <c r="BMB508" s="332"/>
      <c r="BMC508" s="332"/>
      <c r="BMD508" s="332"/>
      <c r="BME508" s="332"/>
      <c r="BMF508" s="332"/>
      <c r="BMG508" s="332"/>
      <c r="BMH508" s="332"/>
      <c r="BMI508" s="332"/>
      <c r="BMJ508" s="332"/>
      <c r="BMK508" s="332"/>
      <c r="BML508" s="332"/>
      <c r="BMM508" s="332"/>
      <c r="BMN508" s="332"/>
      <c r="BMO508" s="332"/>
      <c r="BMP508" s="332"/>
      <c r="BMQ508" s="332"/>
      <c r="BMR508" s="332"/>
      <c r="BMS508" s="332"/>
      <c r="BMT508" s="332"/>
      <c r="BMU508" s="332"/>
      <c r="BMV508" s="332"/>
      <c r="BMW508" s="332"/>
      <c r="BMX508" s="332"/>
      <c r="BMY508" s="332"/>
      <c r="BMZ508" s="332"/>
      <c r="BNA508" s="332"/>
      <c r="BNB508" s="332"/>
      <c r="BNC508" s="332"/>
      <c r="BND508" s="332"/>
      <c r="BNE508" s="332"/>
      <c r="BNF508" s="332"/>
      <c r="BNG508" s="332"/>
      <c r="BNH508" s="332"/>
      <c r="BNI508" s="332"/>
      <c r="BNJ508" s="332"/>
      <c r="BNK508" s="332"/>
      <c r="BNL508" s="332"/>
      <c r="BNM508" s="332"/>
      <c r="BNN508" s="332"/>
      <c r="BNO508" s="332"/>
      <c r="BNP508" s="332"/>
      <c r="BNQ508" s="332"/>
      <c r="BNR508" s="332"/>
      <c r="BNS508" s="332"/>
      <c r="BNT508" s="332"/>
      <c r="BNU508" s="332"/>
      <c r="BNV508" s="332"/>
      <c r="BNW508" s="332"/>
      <c r="BNX508" s="332"/>
      <c r="BNY508" s="332"/>
      <c r="BNZ508" s="332"/>
      <c r="BOA508" s="332"/>
      <c r="BOB508" s="332"/>
      <c r="BOC508" s="332"/>
      <c r="BOD508" s="332"/>
      <c r="BOE508" s="332"/>
      <c r="BOF508" s="332"/>
      <c r="BOG508" s="332"/>
      <c r="BOH508" s="332"/>
      <c r="BOI508" s="332"/>
      <c r="BOJ508" s="332"/>
      <c r="BOK508" s="332"/>
      <c r="BOL508" s="332"/>
      <c r="BOM508" s="332"/>
      <c r="BON508" s="332"/>
      <c r="BOO508" s="332"/>
      <c r="BOP508" s="332"/>
      <c r="BOQ508" s="332"/>
      <c r="BOR508" s="332"/>
      <c r="BOS508" s="332"/>
      <c r="BOT508" s="332"/>
      <c r="BOU508" s="332"/>
      <c r="BOV508" s="332"/>
      <c r="BOW508" s="332"/>
      <c r="BOX508" s="332"/>
      <c r="BOY508" s="332"/>
      <c r="BOZ508" s="332"/>
      <c r="BPA508" s="332"/>
      <c r="BPB508" s="332"/>
      <c r="BPC508" s="332"/>
      <c r="BPD508" s="332"/>
      <c r="BPE508" s="332"/>
      <c r="BPF508" s="332"/>
      <c r="BPG508" s="332"/>
      <c r="BPH508" s="332"/>
      <c r="BPI508" s="332"/>
      <c r="BPJ508" s="332"/>
      <c r="BPK508" s="332"/>
      <c r="BPL508" s="332"/>
      <c r="BPM508" s="332"/>
      <c r="BPN508" s="332"/>
      <c r="BPO508" s="332"/>
      <c r="BPP508" s="332"/>
      <c r="BPQ508" s="332"/>
      <c r="BPR508" s="332"/>
      <c r="BPS508" s="332"/>
      <c r="BPT508" s="332"/>
      <c r="BPU508" s="332"/>
      <c r="BPV508" s="332"/>
      <c r="BPW508" s="332"/>
      <c r="BPX508" s="332"/>
      <c r="BPY508" s="332"/>
      <c r="BPZ508" s="332"/>
      <c r="BQA508" s="332"/>
      <c r="BQB508" s="332"/>
      <c r="BQC508" s="332"/>
      <c r="BQD508" s="332"/>
      <c r="BQE508" s="332"/>
      <c r="BQF508" s="332"/>
      <c r="BQG508" s="332"/>
      <c r="BQH508" s="332"/>
      <c r="BQI508" s="332"/>
      <c r="BQJ508" s="332"/>
      <c r="BQK508" s="332"/>
      <c r="BQL508" s="332"/>
      <c r="BQM508" s="332"/>
      <c r="BQN508" s="332"/>
      <c r="BQO508" s="332"/>
      <c r="BQP508" s="332"/>
      <c r="BQQ508" s="332"/>
      <c r="BQR508" s="332"/>
      <c r="BQS508" s="332"/>
      <c r="BQT508" s="332"/>
      <c r="BQU508" s="332"/>
      <c r="BQV508" s="332"/>
      <c r="BQW508" s="332"/>
      <c r="BQX508" s="332"/>
      <c r="BQY508" s="332"/>
      <c r="BQZ508" s="332"/>
      <c r="BRA508" s="332"/>
      <c r="BRB508" s="332"/>
      <c r="BRC508" s="332"/>
      <c r="BRD508" s="332"/>
      <c r="BRE508" s="332"/>
      <c r="BRF508" s="332"/>
      <c r="BRG508" s="332"/>
      <c r="BRH508" s="332"/>
      <c r="BRI508" s="332"/>
      <c r="BRJ508" s="332"/>
      <c r="BRK508" s="332"/>
      <c r="BRL508" s="332"/>
      <c r="BRM508" s="332"/>
      <c r="BRN508" s="332"/>
      <c r="BRO508" s="332"/>
      <c r="BRP508" s="332"/>
      <c r="BRQ508" s="332"/>
      <c r="BRR508" s="332"/>
      <c r="BRS508" s="332"/>
      <c r="BRT508" s="332"/>
      <c r="BRU508" s="332"/>
      <c r="BRV508" s="332"/>
      <c r="BRW508" s="332"/>
      <c r="BRX508" s="332"/>
      <c r="BRY508" s="332"/>
      <c r="BRZ508" s="332"/>
      <c r="BSA508" s="332"/>
      <c r="BSB508" s="332"/>
      <c r="BSC508" s="332"/>
      <c r="BSD508" s="332"/>
      <c r="BSE508" s="332"/>
      <c r="BSF508" s="332"/>
      <c r="BSG508" s="332"/>
      <c r="BSH508" s="332"/>
      <c r="BSI508" s="332"/>
      <c r="BSJ508" s="332"/>
      <c r="BSK508" s="332"/>
      <c r="BSL508" s="332"/>
      <c r="BSM508" s="332"/>
      <c r="BSN508" s="332"/>
      <c r="BSO508" s="332"/>
      <c r="BSP508" s="332"/>
      <c r="BSQ508" s="332"/>
      <c r="BSR508" s="332"/>
      <c r="BSS508" s="332"/>
      <c r="BST508" s="332"/>
      <c r="BSU508" s="332"/>
      <c r="BSV508" s="332"/>
      <c r="BSW508" s="332"/>
      <c r="BSX508" s="332"/>
      <c r="BSY508" s="332"/>
      <c r="BSZ508" s="332"/>
      <c r="BTA508" s="332"/>
      <c r="BTB508" s="332"/>
      <c r="BTC508" s="332"/>
      <c r="BTD508" s="332"/>
      <c r="BTE508" s="332"/>
      <c r="BTF508" s="332"/>
      <c r="BTG508" s="332"/>
      <c r="BTH508" s="332"/>
      <c r="BTI508" s="332"/>
      <c r="BTJ508" s="332"/>
      <c r="BTK508" s="332"/>
      <c r="BTL508" s="332"/>
      <c r="BTM508" s="332"/>
      <c r="BTN508" s="332"/>
      <c r="BTO508" s="332"/>
      <c r="BTP508" s="332"/>
      <c r="BTQ508" s="332"/>
      <c r="BTR508" s="332"/>
      <c r="BTS508" s="332"/>
      <c r="BTT508" s="332"/>
      <c r="BTU508" s="332"/>
      <c r="BTV508" s="332"/>
      <c r="BTW508" s="332"/>
      <c r="BTX508" s="332"/>
      <c r="BTY508" s="332"/>
      <c r="BTZ508" s="332"/>
      <c r="BUA508" s="332"/>
      <c r="BUB508" s="332"/>
      <c r="BUC508" s="332"/>
      <c r="BUD508" s="332"/>
      <c r="BUE508" s="332"/>
      <c r="BUF508" s="332"/>
      <c r="BUG508" s="332"/>
      <c r="BUH508" s="332"/>
      <c r="BUI508" s="332"/>
      <c r="BUJ508" s="332"/>
      <c r="BUK508" s="332"/>
      <c r="BUL508" s="332"/>
      <c r="BUM508" s="332"/>
      <c r="BUN508" s="332"/>
      <c r="BUO508" s="332"/>
      <c r="BUP508" s="332"/>
      <c r="BUQ508" s="332"/>
      <c r="BUR508" s="332"/>
      <c r="BUS508" s="332"/>
      <c r="BUT508" s="332"/>
      <c r="BUU508" s="332"/>
      <c r="BUV508" s="332"/>
      <c r="BUW508" s="332"/>
      <c r="BUX508" s="332"/>
      <c r="BUY508" s="332"/>
      <c r="BUZ508" s="332"/>
      <c r="BVA508" s="332"/>
      <c r="BVB508" s="332"/>
      <c r="BVC508" s="332"/>
      <c r="BVD508" s="332"/>
      <c r="BVE508" s="332"/>
      <c r="BVF508" s="332"/>
      <c r="BVG508" s="332"/>
      <c r="BVH508" s="332"/>
      <c r="BVI508" s="332"/>
      <c r="BVJ508" s="332"/>
      <c r="BVK508" s="332"/>
      <c r="BVL508" s="332"/>
      <c r="BVM508" s="332"/>
      <c r="BVN508" s="332"/>
      <c r="BVO508" s="332"/>
      <c r="BVP508" s="332"/>
      <c r="BVQ508" s="332"/>
      <c r="BVR508" s="332"/>
      <c r="BVS508" s="332"/>
      <c r="BVT508" s="332"/>
      <c r="BVU508" s="332"/>
      <c r="BVV508" s="332"/>
      <c r="BVW508" s="332"/>
      <c r="BVX508" s="332"/>
      <c r="BVY508" s="332"/>
      <c r="BVZ508" s="332"/>
      <c r="BWA508" s="332"/>
      <c r="BWB508" s="332"/>
      <c r="BWC508" s="332"/>
      <c r="BWD508" s="332"/>
      <c r="BWE508" s="332"/>
      <c r="BWF508" s="332"/>
      <c r="BWG508" s="332"/>
      <c r="BWH508" s="332"/>
      <c r="BWI508" s="332"/>
      <c r="BWJ508" s="332"/>
      <c r="BWK508" s="332"/>
      <c r="BWL508" s="332"/>
      <c r="BWM508" s="332"/>
      <c r="BWN508" s="332"/>
      <c r="BWO508" s="332"/>
      <c r="BWP508" s="332"/>
      <c r="BWQ508" s="332"/>
      <c r="BWR508" s="332"/>
      <c r="BWS508" s="332"/>
      <c r="BWT508" s="332"/>
      <c r="BWU508" s="332"/>
      <c r="BWV508" s="332"/>
      <c r="BWW508" s="332"/>
      <c r="BWX508" s="332"/>
      <c r="BWY508" s="332"/>
      <c r="BWZ508" s="332"/>
      <c r="BXA508" s="332"/>
      <c r="BXB508" s="332"/>
      <c r="BXC508" s="332"/>
      <c r="BXD508" s="332"/>
      <c r="BXE508" s="332"/>
      <c r="BXF508" s="332"/>
      <c r="BXG508" s="332"/>
      <c r="BXH508" s="332"/>
      <c r="BXI508" s="332"/>
      <c r="BXJ508" s="332"/>
      <c r="BXK508" s="332"/>
      <c r="BXL508" s="332"/>
      <c r="BXM508" s="332"/>
      <c r="BXN508" s="332"/>
      <c r="BXO508" s="332"/>
      <c r="BXP508" s="332"/>
      <c r="BXQ508" s="332"/>
      <c r="BXR508" s="332"/>
      <c r="BXS508" s="332"/>
      <c r="BXT508" s="332"/>
      <c r="BXU508" s="332"/>
      <c r="BXV508" s="332"/>
      <c r="BXW508" s="332"/>
      <c r="BXX508" s="332"/>
      <c r="BXY508" s="332"/>
      <c r="BXZ508" s="332"/>
      <c r="BYA508" s="332"/>
      <c r="BYB508" s="332"/>
      <c r="BYC508" s="332"/>
      <c r="BYD508" s="332"/>
      <c r="BYE508" s="332"/>
      <c r="BYF508" s="332"/>
      <c r="BYG508" s="332"/>
      <c r="BYH508" s="332"/>
      <c r="BYI508" s="332"/>
      <c r="BYJ508" s="332"/>
      <c r="BYK508" s="332"/>
      <c r="BYL508" s="332"/>
      <c r="BYM508" s="332"/>
      <c r="BYN508" s="332"/>
      <c r="BYO508" s="332"/>
      <c r="BYP508" s="332"/>
      <c r="BYQ508" s="332"/>
      <c r="BYR508" s="332"/>
      <c r="BYS508" s="332"/>
      <c r="BYT508" s="332"/>
      <c r="BYU508" s="332"/>
      <c r="BYV508" s="332"/>
      <c r="BYW508" s="332"/>
      <c r="BYX508" s="332"/>
      <c r="BYY508" s="332"/>
      <c r="BYZ508" s="332"/>
      <c r="BZA508" s="332"/>
      <c r="BZB508" s="332"/>
      <c r="BZC508" s="332"/>
      <c r="BZD508" s="332"/>
      <c r="BZE508" s="332"/>
      <c r="BZF508" s="332"/>
      <c r="BZG508" s="332"/>
      <c r="BZH508" s="332"/>
      <c r="BZI508" s="332"/>
      <c r="BZJ508" s="332"/>
      <c r="BZK508" s="332"/>
      <c r="BZL508" s="332"/>
      <c r="BZM508" s="332"/>
      <c r="BZN508" s="332"/>
      <c r="BZO508" s="332"/>
      <c r="BZP508" s="332"/>
      <c r="BZQ508" s="332"/>
      <c r="BZR508" s="332"/>
      <c r="BZS508" s="332"/>
      <c r="BZT508" s="332"/>
      <c r="BZU508" s="332"/>
      <c r="BZV508" s="332"/>
      <c r="BZW508" s="332"/>
      <c r="BZX508" s="332"/>
      <c r="BZY508" s="332"/>
      <c r="BZZ508" s="332"/>
      <c r="CAA508" s="332"/>
      <c r="CAB508" s="332"/>
      <c r="CAC508" s="332"/>
      <c r="CAD508" s="332"/>
      <c r="CAE508" s="332"/>
      <c r="CAF508" s="332"/>
      <c r="CAG508" s="332"/>
      <c r="CAH508" s="332"/>
      <c r="CAI508" s="332"/>
      <c r="CAJ508" s="332"/>
      <c r="CAK508" s="332"/>
      <c r="CAL508" s="332"/>
      <c r="CAM508" s="332"/>
      <c r="CAN508" s="332"/>
      <c r="CAO508" s="332"/>
      <c r="CAP508" s="332"/>
      <c r="CAQ508" s="332"/>
      <c r="CAR508" s="332"/>
      <c r="CAS508" s="332"/>
      <c r="CAT508" s="332"/>
      <c r="CAU508" s="332"/>
      <c r="CAV508" s="332"/>
      <c r="CAW508" s="332"/>
      <c r="CAX508" s="332"/>
      <c r="CAY508" s="332"/>
      <c r="CAZ508" s="332"/>
      <c r="CBA508" s="332"/>
      <c r="CBB508" s="332"/>
      <c r="CBC508" s="332"/>
      <c r="CBD508" s="332"/>
      <c r="CBE508" s="332"/>
      <c r="CBF508" s="332"/>
      <c r="CBG508" s="332"/>
      <c r="CBH508" s="332"/>
      <c r="CBI508" s="332"/>
      <c r="CBJ508" s="332"/>
      <c r="CBK508" s="332"/>
      <c r="CBL508" s="332"/>
      <c r="CBM508" s="332"/>
      <c r="CBN508" s="332"/>
      <c r="CBO508" s="332"/>
      <c r="CBP508" s="332"/>
      <c r="CBQ508" s="332"/>
      <c r="CBR508" s="332"/>
      <c r="CBS508" s="332"/>
      <c r="CBT508" s="332"/>
      <c r="CBU508" s="332"/>
      <c r="CBV508" s="332"/>
      <c r="CBW508" s="332"/>
      <c r="CBX508" s="332"/>
      <c r="CBY508" s="332"/>
      <c r="CBZ508" s="332"/>
      <c r="CCA508" s="332"/>
      <c r="CCB508" s="332"/>
      <c r="CCC508" s="332"/>
      <c r="CCD508" s="332"/>
      <c r="CCE508" s="332"/>
      <c r="CCF508" s="332"/>
      <c r="CCG508" s="332"/>
      <c r="CCH508" s="332"/>
      <c r="CCI508" s="332"/>
      <c r="CCJ508" s="332"/>
      <c r="CCK508" s="332"/>
      <c r="CCL508" s="332"/>
      <c r="CCM508" s="332"/>
      <c r="CCN508" s="332"/>
      <c r="CCO508" s="332"/>
      <c r="CCP508" s="332"/>
      <c r="CCQ508" s="332"/>
      <c r="CCR508" s="332"/>
      <c r="CCS508" s="332"/>
      <c r="CCT508" s="332"/>
      <c r="CCU508" s="332"/>
      <c r="CCV508" s="332"/>
      <c r="CCW508" s="332"/>
      <c r="CCX508" s="332"/>
      <c r="CCY508" s="332"/>
      <c r="CCZ508" s="332"/>
      <c r="CDA508" s="332"/>
      <c r="CDB508" s="332"/>
      <c r="CDC508" s="332"/>
      <c r="CDD508" s="332"/>
      <c r="CDE508" s="332"/>
      <c r="CDF508" s="332"/>
      <c r="CDG508" s="332"/>
      <c r="CDH508" s="332"/>
      <c r="CDI508" s="332"/>
      <c r="CDJ508" s="332"/>
      <c r="CDK508" s="332"/>
      <c r="CDL508" s="332"/>
      <c r="CDM508" s="332"/>
      <c r="CDN508" s="332"/>
      <c r="CDO508" s="332"/>
      <c r="CDP508" s="332"/>
      <c r="CDQ508" s="332"/>
      <c r="CDR508" s="332"/>
      <c r="CDS508" s="332"/>
      <c r="CDT508" s="332"/>
      <c r="CDU508" s="332"/>
      <c r="CDV508" s="332"/>
      <c r="CDW508" s="332"/>
      <c r="CDX508" s="332"/>
      <c r="CDY508" s="332"/>
      <c r="CDZ508" s="332"/>
      <c r="CEA508" s="332"/>
      <c r="CEB508" s="332"/>
      <c r="CEC508" s="332"/>
      <c r="CED508" s="332"/>
      <c r="CEE508" s="332"/>
      <c r="CEF508" s="332"/>
      <c r="CEG508" s="332"/>
      <c r="CEH508" s="332"/>
      <c r="CEI508" s="332"/>
      <c r="CEJ508" s="332"/>
      <c r="CEK508" s="332"/>
      <c r="CEL508" s="332"/>
      <c r="CEM508" s="332"/>
      <c r="CEN508" s="332"/>
      <c r="CEO508" s="332"/>
      <c r="CEP508" s="332"/>
      <c r="CEQ508" s="332"/>
      <c r="CER508" s="332"/>
      <c r="CES508" s="332"/>
      <c r="CET508" s="332"/>
      <c r="CEU508" s="332"/>
      <c r="CEV508" s="332"/>
      <c r="CEW508" s="332"/>
      <c r="CEX508" s="332"/>
      <c r="CEY508" s="332"/>
      <c r="CEZ508" s="332"/>
      <c r="CFA508" s="332"/>
      <c r="CFB508" s="332"/>
      <c r="CFC508" s="332"/>
      <c r="CFD508" s="332"/>
      <c r="CFE508" s="332"/>
      <c r="CFF508" s="332"/>
      <c r="CFG508" s="332"/>
      <c r="CFH508" s="332"/>
      <c r="CFI508" s="332"/>
      <c r="CFJ508" s="332"/>
      <c r="CFK508" s="332"/>
      <c r="CFL508" s="332"/>
      <c r="CFM508" s="332"/>
      <c r="CFN508" s="332"/>
      <c r="CFO508" s="332"/>
      <c r="CFP508" s="332"/>
      <c r="CFQ508" s="332"/>
      <c r="CFR508" s="332"/>
      <c r="CFS508" s="332"/>
      <c r="CFT508" s="332"/>
      <c r="CFU508" s="332"/>
      <c r="CFV508" s="332"/>
      <c r="CFW508" s="332"/>
      <c r="CFX508" s="332"/>
      <c r="CFY508" s="332"/>
      <c r="CFZ508" s="332"/>
      <c r="CGA508" s="332"/>
      <c r="CGB508" s="332"/>
      <c r="CGC508" s="332"/>
      <c r="CGD508" s="332"/>
      <c r="CGE508" s="332"/>
      <c r="CGF508" s="332"/>
      <c r="CGG508" s="332"/>
      <c r="CGH508" s="332"/>
      <c r="CGI508" s="332"/>
      <c r="CGJ508" s="332"/>
      <c r="CGK508" s="332"/>
      <c r="CGL508" s="332"/>
      <c r="CGM508" s="332"/>
      <c r="CGN508" s="332"/>
      <c r="CGO508" s="332"/>
      <c r="CGP508" s="332"/>
      <c r="CGQ508" s="332"/>
      <c r="CGR508" s="332"/>
      <c r="CGS508" s="332"/>
      <c r="CGT508" s="332"/>
      <c r="CGU508" s="332"/>
      <c r="CGV508" s="332"/>
      <c r="CGW508" s="332"/>
      <c r="CGX508" s="332"/>
      <c r="CGY508" s="332"/>
      <c r="CGZ508" s="332"/>
      <c r="CHA508" s="332"/>
      <c r="CHB508" s="332"/>
      <c r="CHC508" s="332"/>
      <c r="CHD508" s="332"/>
      <c r="CHE508" s="332"/>
      <c r="CHF508" s="332"/>
      <c r="CHG508" s="332"/>
      <c r="CHH508" s="332"/>
      <c r="CHI508" s="332"/>
      <c r="CHJ508" s="332"/>
      <c r="CHK508" s="332"/>
      <c r="CHL508" s="332"/>
      <c r="CHM508" s="332"/>
      <c r="CHN508" s="332"/>
      <c r="CHO508" s="332"/>
      <c r="CHP508" s="332"/>
      <c r="CHQ508" s="332"/>
      <c r="CHR508" s="332"/>
      <c r="CHS508" s="332"/>
      <c r="CHT508" s="332"/>
      <c r="CHU508" s="332"/>
      <c r="CHV508" s="332"/>
      <c r="CHW508" s="332"/>
      <c r="CHX508" s="332"/>
      <c r="CHY508" s="332"/>
      <c r="CHZ508" s="332"/>
      <c r="CIA508" s="332"/>
      <c r="CIB508" s="332"/>
      <c r="CIC508" s="332"/>
      <c r="CID508" s="332"/>
      <c r="CIE508" s="332"/>
      <c r="CIF508" s="332"/>
      <c r="CIG508" s="332"/>
      <c r="CIH508" s="332"/>
      <c r="CII508" s="332"/>
      <c r="CIJ508" s="332"/>
      <c r="CIK508" s="332"/>
      <c r="CIL508" s="332"/>
      <c r="CIM508" s="332"/>
      <c r="CIN508" s="332"/>
      <c r="CIO508" s="332"/>
      <c r="CIP508" s="332"/>
      <c r="CIQ508" s="332"/>
      <c r="CIR508" s="332"/>
      <c r="CIS508" s="332"/>
      <c r="CIT508" s="332"/>
      <c r="CIU508" s="332"/>
      <c r="CIV508" s="332"/>
      <c r="CIW508" s="332"/>
      <c r="CIX508" s="332"/>
      <c r="CIY508" s="332"/>
      <c r="CIZ508" s="332"/>
      <c r="CJA508" s="332"/>
      <c r="CJB508" s="332"/>
      <c r="CJC508" s="332"/>
      <c r="CJD508" s="332"/>
      <c r="CJE508" s="332"/>
      <c r="CJF508" s="332"/>
      <c r="CJG508" s="332"/>
      <c r="CJH508" s="332"/>
      <c r="CJI508" s="332"/>
      <c r="CJJ508" s="332"/>
      <c r="CJK508" s="332"/>
      <c r="CJL508" s="332"/>
      <c r="CJM508" s="332"/>
      <c r="CJN508" s="332"/>
      <c r="CJO508" s="332"/>
      <c r="CJP508" s="332"/>
      <c r="CJQ508" s="332"/>
      <c r="CJR508" s="332"/>
      <c r="CJS508" s="332"/>
      <c r="CJT508" s="332"/>
      <c r="CJU508" s="332"/>
      <c r="CJV508" s="332"/>
      <c r="CJW508" s="332"/>
      <c r="CJX508" s="332"/>
      <c r="CJY508" s="332"/>
      <c r="CJZ508" s="332"/>
      <c r="CKA508" s="332"/>
      <c r="CKB508" s="332"/>
      <c r="CKC508" s="332"/>
      <c r="CKD508" s="332"/>
      <c r="CKE508" s="332"/>
      <c r="CKF508" s="332"/>
      <c r="CKG508" s="332"/>
      <c r="CKH508" s="332"/>
      <c r="CKI508" s="332"/>
      <c r="CKJ508" s="332"/>
      <c r="CKK508" s="332"/>
      <c r="CKL508" s="332"/>
      <c r="CKM508" s="332"/>
      <c r="CKN508" s="332"/>
      <c r="CKO508" s="332"/>
      <c r="CKP508" s="332"/>
      <c r="CKQ508" s="332"/>
      <c r="CKR508" s="332"/>
      <c r="CKS508" s="332"/>
      <c r="CKT508" s="332"/>
      <c r="CKU508" s="332"/>
      <c r="CKV508" s="332"/>
      <c r="CKW508" s="332"/>
      <c r="CKX508" s="332"/>
      <c r="CKY508" s="332"/>
      <c r="CKZ508" s="332"/>
      <c r="CLA508" s="332"/>
      <c r="CLB508" s="332"/>
      <c r="CLC508" s="332"/>
      <c r="CLD508" s="332"/>
      <c r="CLE508" s="332"/>
      <c r="CLF508" s="332"/>
      <c r="CLG508" s="332"/>
      <c r="CLH508" s="332"/>
      <c r="CLI508" s="332"/>
      <c r="CLJ508" s="332"/>
      <c r="CLK508" s="332"/>
      <c r="CLL508" s="332"/>
      <c r="CLM508" s="332"/>
      <c r="CLN508" s="332"/>
      <c r="CLO508" s="332"/>
      <c r="CLP508" s="332"/>
      <c r="CLQ508" s="332"/>
      <c r="CLR508" s="332"/>
      <c r="CLS508" s="332"/>
      <c r="CLT508" s="332"/>
      <c r="CLU508" s="332"/>
      <c r="CLV508" s="332"/>
      <c r="CLW508" s="332"/>
      <c r="CLX508" s="332"/>
      <c r="CLY508" s="332"/>
      <c r="CLZ508" s="332"/>
      <c r="CMA508" s="332"/>
      <c r="CMB508" s="332"/>
      <c r="CMC508" s="332"/>
      <c r="CMD508" s="332"/>
      <c r="CME508" s="332"/>
      <c r="CMF508" s="332"/>
      <c r="CMG508" s="332"/>
      <c r="CMH508" s="332"/>
      <c r="CMI508" s="332"/>
      <c r="CMJ508" s="332"/>
      <c r="CMK508" s="332"/>
      <c r="CML508" s="332"/>
      <c r="CMM508" s="332"/>
      <c r="CMN508" s="332"/>
      <c r="CMO508" s="332"/>
      <c r="CMP508" s="332"/>
      <c r="CMQ508" s="332"/>
      <c r="CMR508" s="332"/>
      <c r="CMS508" s="332"/>
      <c r="CMT508" s="332"/>
      <c r="CMU508" s="332"/>
      <c r="CMV508" s="332"/>
      <c r="CMW508" s="332"/>
      <c r="CMX508" s="332"/>
      <c r="CMY508" s="332"/>
      <c r="CMZ508" s="332"/>
      <c r="CNA508" s="332"/>
      <c r="CNB508" s="332"/>
      <c r="CNC508" s="332"/>
      <c r="CND508" s="332"/>
      <c r="CNE508" s="332"/>
      <c r="CNF508" s="332"/>
      <c r="CNG508" s="332"/>
      <c r="CNH508" s="332"/>
      <c r="CNI508" s="332"/>
      <c r="CNJ508" s="332"/>
      <c r="CNK508" s="332"/>
      <c r="CNL508" s="332"/>
      <c r="CNM508" s="332"/>
      <c r="CNN508" s="332"/>
      <c r="CNO508" s="332"/>
      <c r="CNP508" s="332"/>
      <c r="CNQ508" s="332"/>
      <c r="CNR508" s="332"/>
      <c r="CNS508" s="332"/>
      <c r="CNT508" s="332"/>
      <c r="CNU508" s="332"/>
      <c r="CNV508" s="332"/>
      <c r="CNW508" s="332"/>
      <c r="CNX508" s="332"/>
      <c r="CNY508" s="332"/>
      <c r="CNZ508" s="332"/>
      <c r="COA508" s="332"/>
      <c r="COB508" s="332"/>
      <c r="COC508" s="332"/>
      <c r="COD508" s="332"/>
      <c r="COE508" s="332"/>
      <c r="COF508" s="332"/>
      <c r="COG508" s="332"/>
      <c r="COH508" s="332"/>
      <c r="COI508" s="332"/>
      <c r="COJ508" s="332"/>
      <c r="COK508" s="332"/>
      <c r="COL508" s="332"/>
      <c r="COM508" s="332"/>
      <c r="CON508" s="332"/>
      <c r="COO508" s="332"/>
      <c r="COP508" s="332"/>
      <c r="COQ508" s="332"/>
      <c r="COR508" s="332"/>
      <c r="COS508" s="332"/>
      <c r="COT508" s="332"/>
      <c r="COU508" s="332"/>
      <c r="COV508" s="332"/>
      <c r="COW508" s="332"/>
      <c r="COX508" s="332"/>
      <c r="COY508" s="332"/>
      <c r="COZ508" s="332"/>
      <c r="CPA508" s="332"/>
      <c r="CPB508" s="332"/>
      <c r="CPC508" s="332"/>
      <c r="CPD508" s="332"/>
      <c r="CPE508" s="332"/>
      <c r="CPF508" s="332"/>
      <c r="CPG508" s="332"/>
      <c r="CPH508" s="332"/>
      <c r="CPI508" s="332"/>
      <c r="CPJ508" s="332"/>
      <c r="CPK508" s="332"/>
      <c r="CPL508" s="332"/>
      <c r="CPM508" s="332"/>
      <c r="CPN508" s="332"/>
      <c r="CPO508" s="332"/>
      <c r="CPP508" s="332"/>
      <c r="CPQ508" s="332"/>
      <c r="CPR508" s="332"/>
      <c r="CPS508" s="332"/>
      <c r="CPT508" s="332"/>
      <c r="CPU508" s="332"/>
      <c r="CPV508" s="332"/>
      <c r="CPW508" s="332"/>
      <c r="CPX508" s="332"/>
      <c r="CPY508" s="332"/>
      <c r="CPZ508" s="332"/>
      <c r="CQA508" s="332"/>
      <c r="CQB508" s="332"/>
      <c r="CQC508" s="332"/>
      <c r="CQD508" s="332"/>
      <c r="CQE508" s="332"/>
      <c r="CQF508" s="332"/>
      <c r="CQG508" s="332"/>
      <c r="CQH508" s="332"/>
      <c r="CQI508" s="332"/>
      <c r="CQJ508" s="332"/>
      <c r="CQK508" s="332"/>
      <c r="CQL508" s="332"/>
      <c r="CQM508" s="332"/>
      <c r="CQN508" s="332"/>
      <c r="CQO508" s="332"/>
      <c r="CQP508" s="332"/>
      <c r="CQQ508" s="332"/>
      <c r="CQR508" s="332"/>
      <c r="CQS508" s="332"/>
      <c r="CQT508" s="332"/>
      <c r="CQU508" s="332"/>
      <c r="CQV508" s="332"/>
      <c r="CQW508" s="332"/>
      <c r="CQX508" s="332"/>
      <c r="CQY508" s="332"/>
      <c r="CQZ508" s="332"/>
      <c r="CRA508" s="332"/>
      <c r="CRB508" s="332"/>
      <c r="CRC508" s="332"/>
      <c r="CRD508" s="332"/>
      <c r="CRE508" s="332"/>
      <c r="CRF508" s="332"/>
      <c r="CRG508" s="332"/>
      <c r="CRH508" s="332"/>
      <c r="CRI508" s="332"/>
      <c r="CRJ508" s="332"/>
      <c r="CRK508" s="332"/>
      <c r="CRL508" s="332"/>
      <c r="CRM508" s="332"/>
      <c r="CRN508" s="332"/>
      <c r="CRO508" s="332"/>
      <c r="CRP508" s="332"/>
      <c r="CRQ508" s="332"/>
      <c r="CRR508" s="332"/>
      <c r="CRS508" s="332"/>
      <c r="CRT508" s="332"/>
      <c r="CRU508" s="332"/>
      <c r="CRV508" s="332"/>
      <c r="CRW508" s="332"/>
      <c r="CRX508" s="332"/>
      <c r="CRY508" s="332"/>
      <c r="CRZ508" s="332"/>
      <c r="CSA508" s="332"/>
      <c r="CSB508" s="332"/>
      <c r="CSC508" s="332"/>
      <c r="CSD508" s="332"/>
      <c r="CSE508" s="332"/>
      <c r="CSF508" s="332"/>
      <c r="CSG508" s="332"/>
      <c r="CSH508" s="332"/>
      <c r="CSI508" s="332"/>
      <c r="CSJ508" s="332"/>
      <c r="CSK508" s="332"/>
      <c r="CSL508" s="332"/>
      <c r="CSM508" s="332"/>
      <c r="CSN508" s="332"/>
      <c r="CSO508" s="332"/>
      <c r="CSP508" s="332"/>
      <c r="CSQ508" s="332"/>
      <c r="CSR508" s="332"/>
      <c r="CSS508" s="332"/>
      <c r="CST508" s="332"/>
      <c r="CSU508" s="332"/>
      <c r="CSV508" s="332"/>
      <c r="CSW508" s="332"/>
      <c r="CSX508" s="332"/>
      <c r="CSY508" s="332"/>
      <c r="CSZ508" s="332"/>
      <c r="CTA508" s="332"/>
      <c r="CTB508" s="332"/>
      <c r="CTC508" s="332"/>
      <c r="CTD508" s="332"/>
      <c r="CTE508" s="332"/>
      <c r="CTF508" s="332"/>
      <c r="CTG508" s="332"/>
      <c r="CTH508" s="332"/>
      <c r="CTI508" s="332"/>
      <c r="CTJ508" s="332"/>
      <c r="CTK508" s="332"/>
      <c r="CTL508" s="332"/>
      <c r="CTM508" s="332"/>
      <c r="CTN508" s="332"/>
      <c r="CTO508" s="332"/>
      <c r="CTP508" s="332"/>
      <c r="CTQ508" s="332"/>
      <c r="CTR508" s="332"/>
      <c r="CTS508" s="332"/>
      <c r="CTT508" s="332"/>
      <c r="CTU508" s="332"/>
      <c r="CTV508" s="332"/>
      <c r="CTW508" s="332"/>
      <c r="CTX508" s="332"/>
      <c r="CTY508" s="332"/>
      <c r="CTZ508" s="332"/>
      <c r="CUA508" s="332"/>
      <c r="CUB508" s="332"/>
      <c r="CUC508" s="332"/>
      <c r="CUD508" s="332"/>
      <c r="CUE508" s="332"/>
      <c r="CUF508" s="332"/>
      <c r="CUG508" s="332"/>
      <c r="CUH508" s="332"/>
      <c r="CUI508" s="332"/>
      <c r="CUJ508" s="332"/>
      <c r="CUK508" s="332"/>
      <c r="CUL508" s="332"/>
      <c r="CUM508" s="332"/>
      <c r="CUN508" s="332"/>
      <c r="CUO508" s="332"/>
      <c r="CUP508" s="332"/>
      <c r="CUQ508" s="332"/>
      <c r="CUR508" s="332"/>
      <c r="CUS508" s="332"/>
      <c r="CUT508" s="332"/>
      <c r="CUU508" s="332"/>
      <c r="CUV508" s="332"/>
      <c r="CUW508" s="332"/>
      <c r="CUX508" s="332"/>
      <c r="CUY508" s="332"/>
      <c r="CUZ508" s="332"/>
      <c r="CVA508" s="332"/>
      <c r="CVB508" s="332"/>
      <c r="CVC508" s="332"/>
      <c r="CVD508" s="332"/>
      <c r="CVE508" s="332"/>
      <c r="CVF508" s="332"/>
      <c r="CVG508" s="332"/>
      <c r="CVH508" s="332"/>
      <c r="CVI508" s="332"/>
      <c r="CVJ508" s="332"/>
      <c r="CVK508" s="332"/>
      <c r="CVL508" s="332"/>
      <c r="CVM508" s="332"/>
      <c r="CVN508" s="332"/>
      <c r="CVO508" s="332"/>
      <c r="CVP508" s="332"/>
      <c r="CVQ508" s="332"/>
      <c r="CVR508" s="332"/>
      <c r="CVS508" s="332"/>
      <c r="CVT508" s="332"/>
      <c r="CVU508" s="332"/>
      <c r="CVV508" s="332"/>
      <c r="CVW508" s="332"/>
      <c r="CVX508" s="332"/>
      <c r="CVY508" s="332"/>
      <c r="CVZ508" s="332"/>
      <c r="CWA508" s="332"/>
      <c r="CWB508" s="332"/>
      <c r="CWC508" s="332"/>
      <c r="CWD508" s="332"/>
      <c r="CWE508" s="332"/>
      <c r="CWF508" s="332"/>
      <c r="CWG508" s="332"/>
      <c r="CWH508" s="332"/>
      <c r="CWI508" s="332"/>
      <c r="CWJ508" s="332"/>
      <c r="CWK508" s="332"/>
      <c r="CWL508" s="332"/>
      <c r="CWM508" s="332"/>
      <c r="CWN508" s="332"/>
      <c r="CWO508" s="332"/>
      <c r="CWP508" s="332"/>
      <c r="CWQ508" s="332"/>
      <c r="CWR508" s="332"/>
      <c r="CWS508" s="332"/>
      <c r="CWT508" s="332"/>
      <c r="CWU508" s="332"/>
      <c r="CWV508" s="332"/>
      <c r="CWW508" s="332"/>
      <c r="CWX508" s="332"/>
      <c r="CWY508" s="332"/>
      <c r="CWZ508" s="332"/>
      <c r="CXA508" s="332"/>
      <c r="CXB508" s="332"/>
      <c r="CXC508" s="332"/>
      <c r="CXD508" s="332"/>
      <c r="CXE508" s="332"/>
      <c r="CXF508" s="332"/>
      <c r="CXG508" s="332"/>
      <c r="CXH508" s="332"/>
      <c r="CXI508" s="332"/>
      <c r="CXJ508" s="332"/>
      <c r="CXK508" s="332"/>
      <c r="CXL508" s="332"/>
      <c r="CXM508" s="332"/>
      <c r="CXN508" s="332"/>
      <c r="CXO508" s="332"/>
      <c r="CXP508" s="332"/>
      <c r="CXQ508" s="332"/>
      <c r="CXR508" s="332"/>
      <c r="CXS508" s="332"/>
      <c r="CXT508" s="332"/>
      <c r="CXU508" s="332"/>
      <c r="CXV508" s="332"/>
      <c r="CXW508" s="332"/>
      <c r="CXX508" s="332"/>
      <c r="CXY508" s="332"/>
      <c r="CXZ508" s="332"/>
      <c r="CYA508" s="332"/>
      <c r="CYB508" s="332"/>
      <c r="CYC508" s="332"/>
      <c r="CYD508" s="332"/>
      <c r="CYE508" s="332"/>
      <c r="CYF508" s="332"/>
      <c r="CYG508" s="332"/>
      <c r="CYH508" s="332"/>
      <c r="CYI508" s="332"/>
      <c r="CYJ508" s="332"/>
      <c r="CYK508" s="332"/>
      <c r="CYL508" s="332"/>
      <c r="CYM508" s="332"/>
      <c r="CYN508" s="332"/>
      <c r="CYO508" s="332"/>
      <c r="CYP508" s="332"/>
      <c r="CYQ508" s="332"/>
      <c r="CYR508" s="332"/>
      <c r="CYS508" s="332"/>
      <c r="CYT508" s="332"/>
      <c r="CYU508" s="332"/>
      <c r="CYV508" s="332"/>
      <c r="CYW508" s="332"/>
      <c r="CYX508" s="332"/>
      <c r="CYY508" s="332"/>
      <c r="CYZ508" s="332"/>
      <c r="CZA508" s="332"/>
      <c r="CZB508" s="332"/>
      <c r="CZC508" s="332"/>
      <c r="CZD508" s="332"/>
      <c r="CZE508" s="332"/>
      <c r="CZF508" s="332"/>
      <c r="CZG508" s="332"/>
      <c r="CZH508" s="332"/>
      <c r="CZI508" s="332"/>
      <c r="CZJ508" s="332"/>
      <c r="CZK508" s="332"/>
      <c r="CZL508" s="332"/>
      <c r="CZM508" s="332"/>
      <c r="CZN508" s="332"/>
      <c r="CZO508" s="332"/>
      <c r="CZP508" s="332"/>
      <c r="CZQ508" s="332"/>
      <c r="CZR508" s="332"/>
      <c r="CZS508" s="332"/>
      <c r="CZT508" s="332"/>
      <c r="CZU508" s="332"/>
      <c r="CZV508" s="332"/>
      <c r="CZW508" s="332"/>
      <c r="CZX508" s="332"/>
      <c r="CZY508" s="332"/>
      <c r="CZZ508" s="332"/>
      <c r="DAA508" s="332"/>
      <c r="DAB508" s="332"/>
      <c r="DAC508" s="332"/>
      <c r="DAD508" s="332"/>
      <c r="DAE508" s="332"/>
      <c r="DAF508" s="332"/>
      <c r="DAG508" s="332"/>
      <c r="DAH508" s="332"/>
      <c r="DAI508" s="332"/>
      <c r="DAJ508" s="332"/>
      <c r="DAK508" s="332"/>
      <c r="DAL508" s="332"/>
      <c r="DAM508" s="332"/>
      <c r="DAN508" s="332"/>
      <c r="DAO508" s="332"/>
      <c r="DAP508" s="332"/>
      <c r="DAQ508" s="332"/>
      <c r="DAR508" s="332"/>
      <c r="DAS508" s="332"/>
      <c r="DAT508" s="332"/>
      <c r="DAU508" s="332"/>
      <c r="DAV508" s="332"/>
      <c r="DAW508" s="332"/>
      <c r="DAX508" s="332"/>
      <c r="DAY508" s="332"/>
      <c r="DAZ508" s="332"/>
      <c r="DBA508" s="332"/>
      <c r="DBB508" s="332"/>
      <c r="DBC508" s="332"/>
      <c r="DBD508" s="332"/>
      <c r="DBE508" s="332"/>
      <c r="DBF508" s="332"/>
      <c r="DBG508" s="332"/>
      <c r="DBH508" s="332"/>
      <c r="DBI508" s="332"/>
      <c r="DBJ508" s="332"/>
      <c r="DBK508" s="332"/>
      <c r="DBL508" s="332"/>
      <c r="DBM508" s="332"/>
      <c r="DBN508" s="332"/>
      <c r="DBO508" s="332"/>
      <c r="DBP508" s="332"/>
      <c r="DBQ508" s="332"/>
      <c r="DBR508" s="332"/>
      <c r="DBS508" s="332"/>
      <c r="DBT508" s="332"/>
      <c r="DBU508" s="332"/>
      <c r="DBV508" s="332"/>
      <c r="DBW508" s="332"/>
      <c r="DBX508" s="332"/>
      <c r="DBY508" s="332"/>
      <c r="DBZ508" s="332"/>
      <c r="DCA508" s="332"/>
      <c r="DCB508" s="332"/>
      <c r="DCC508" s="332"/>
      <c r="DCD508" s="332"/>
      <c r="DCE508" s="332"/>
      <c r="DCF508" s="332"/>
      <c r="DCG508" s="332"/>
      <c r="DCH508" s="332"/>
      <c r="DCI508" s="332"/>
      <c r="DCJ508" s="332"/>
      <c r="DCK508" s="332"/>
      <c r="DCL508" s="332"/>
      <c r="DCM508" s="332"/>
      <c r="DCN508" s="332"/>
      <c r="DCO508" s="332"/>
      <c r="DCP508" s="332"/>
      <c r="DCQ508" s="332"/>
      <c r="DCR508" s="332"/>
      <c r="DCS508" s="332"/>
      <c r="DCT508" s="332"/>
      <c r="DCU508" s="332"/>
      <c r="DCV508" s="332"/>
      <c r="DCW508" s="332"/>
      <c r="DCX508" s="332"/>
      <c r="DCY508" s="332"/>
      <c r="DCZ508" s="332"/>
      <c r="DDA508" s="332"/>
      <c r="DDB508" s="332"/>
      <c r="DDC508" s="332"/>
      <c r="DDD508" s="332"/>
      <c r="DDE508" s="332"/>
      <c r="DDF508" s="332"/>
      <c r="DDG508" s="332"/>
      <c r="DDH508" s="332"/>
      <c r="DDI508" s="332"/>
      <c r="DDJ508" s="332"/>
      <c r="DDK508" s="332"/>
      <c r="DDL508" s="332"/>
      <c r="DDM508" s="332"/>
      <c r="DDN508" s="332"/>
      <c r="DDO508" s="332"/>
      <c r="DDP508" s="332"/>
      <c r="DDQ508" s="332"/>
      <c r="DDR508" s="332"/>
      <c r="DDS508" s="332"/>
      <c r="DDT508" s="332"/>
      <c r="DDU508" s="332"/>
      <c r="DDV508" s="332"/>
      <c r="DDW508" s="332"/>
      <c r="DDX508" s="332"/>
      <c r="DDY508" s="332"/>
      <c r="DDZ508" s="332"/>
      <c r="DEA508" s="332"/>
      <c r="DEB508" s="332"/>
      <c r="DEC508" s="332"/>
      <c r="DED508" s="332"/>
      <c r="DEE508" s="332"/>
      <c r="DEF508" s="332"/>
      <c r="DEG508" s="332"/>
      <c r="DEH508" s="332"/>
      <c r="DEI508" s="332"/>
      <c r="DEJ508" s="332"/>
      <c r="DEK508" s="332"/>
      <c r="DEL508" s="332"/>
      <c r="DEM508" s="332"/>
      <c r="DEN508" s="332"/>
      <c r="DEO508" s="332"/>
      <c r="DEP508" s="332"/>
      <c r="DEQ508" s="332"/>
      <c r="DER508" s="332"/>
      <c r="DES508" s="332"/>
      <c r="DET508" s="332"/>
      <c r="DEU508" s="332"/>
      <c r="DEV508" s="332"/>
      <c r="DEW508" s="332"/>
      <c r="DEX508" s="332"/>
      <c r="DEY508" s="332"/>
      <c r="DEZ508" s="332"/>
      <c r="DFA508" s="332"/>
      <c r="DFB508" s="332"/>
      <c r="DFC508" s="332"/>
      <c r="DFD508" s="332"/>
      <c r="DFE508" s="332"/>
      <c r="DFF508" s="332"/>
      <c r="DFG508" s="332"/>
      <c r="DFH508" s="332"/>
      <c r="DFI508" s="332"/>
      <c r="DFJ508" s="332"/>
      <c r="DFK508" s="332"/>
      <c r="DFL508" s="332"/>
      <c r="DFM508" s="332"/>
      <c r="DFN508" s="332"/>
      <c r="DFO508" s="332"/>
      <c r="DFP508" s="332"/>
      <c r="DFQ508" s="332"/>
      <c r="DFR508" s="332"/>
      <c r="DFS508" s="332"/>
      <c r="DFT508" s="332"/>
      <c r="DFU508" s="332"/>
      <c r="DFV508" s="332"/>
      <c r="DFW508" s="332"/>
      <c r="DFX508" s="332"/>
      <c r="DFY508" s="332"/>
      <c r="DFZ508" s="332"/>
      <c r="DGA508" s="332"/>
      <c r="DGB508" s="332"/>
      <c r="DGC508" s="332"/>
      <c r="DGD508" s="332"/>
      <c r="DGE508" s="332"/>
      <c r="DGF508" s="332"/>
      <c r="DGG508" s="332"/>
      <c r="DGH508" s="332"/>
      <c r="DGI508" s="332"/>
      <c r="DGJ508" s="332"/>
      <c r="DGK508" s="332"/>
      <c r="DGL508" s="332"/>
      <c r="DGM508" s="332"/>
      <c r="DGN508" s="332"/>
      <c r="DGO508" s="332"/>
      <c r="DGP508" s="332"/>
      <c r="DGQ508" s="332"/>
      <c r="DGR508" s="332"/>
      <c r="DGS508" s="332"/>
      <c r="DGT508" s="332"/>
      <c r="DGU508" s="332"/>
      <c r="DGV508" s="332"/>
      <c r="DGW508" s="332"/>
      <c r="DGX508" s="332"/>
      <c r="DGY508" s="332"/>
      <c r="DGZ508" s="332"/>
      <c r="DHA508" s="332"/>
      <c r="DHB508" s="332"/>
      <c r="DHC508" s="332"/>
      <c r="DHD508" s="332"/>
      <c r="DHE508" s="332"/>
      <c r="DHF508" s="332"/>
      <c r="DHG508" s="332"/>
      <c r="DHH508" s="332"/>
      <c r="DHI508" s="332"/>
      <c r="DHJ508" s="332"/>
      <c r="DHK508" s="332"/>
      <c r="DHL508" s="332"/>
      <c r="DHM508" s="332"/>
      <c r="DHN508" s="332"/>
      <c r="DHO508" s="332"/>
      <c r="DHP508" s="332"/>
      <c r="DHQ508" s="332"/>
      <c r="DHR508" s="332"/>
      <c r="DHS508" s="332"/>
      <c r="DHT508" s="332"/>
      <c r="DHU508" s="332"/>
      <c r="DHV508" s="332"/>
      <c r="DHW508" s="332"/>
      <c r="DHX508" s="332"/>
      <c r="DHY508" s="332"/>
      <c r="DHZ508" s="332"/>
      <c r="DIA508" s="332"/>
      <c r="DIB508" s="332"/>
      <c r="DIC508" s="332"/>
      <c r="DID508" s="332"/>
      <c r="DIE508" s="332"/>
      <c r="DIF508" s="332"/>
      <c r="DIG508" s="332"/>
      <c r="DIH508" s="332"/>
      <c r="DII508" s="332"/>
      <c r="DIJ508" s="332"/>
      <c r="DIK508" s="332"/>
      <c r="DIL508" s="332"/>
      <c r="DIM508" s="332"/>
      <c r="DIN508" s="332"/>
      <c r="DIO508" s="332"/>
      <c r="DIP508" s="332"/>
      <c r="DIQ508" s="332"/>
      <c r="DIR508" s="332"/>
      <c r="DIS508" s="332"/>
      <c r="DIT508" s="332"/>
      <c r="DIU508" s="332"/>
      <c r="DIV508" s="332"/>
      <c r="DIW508" s="332"/>
      <c r="DIX508" s="332"/>
      <c r="DIY508" s="332"/>
      <c r="DIZ508" s="332"/>
      <c r="DJA508" s="332"/>
      <c r="DJB508" s="332"/>
      <c r="DJC508" s="332"/>
      <c r="DJD508" s="332"/>
      <c r="DJE508" s="332"/>
      <c r="DJF508" s="332"/>
      <c r="DJG508" s="332"/>
      <c r="DJH508" s="332"/>
      <c r="DJI508" s="332"/>
      <c r="DJJ508" s="332"/>
      <c r="DJK508" s="332"/>
      <c r="DJL508" s="332"/>
      <c r="DJM508" s="332"/>
      <c r="DJN508" s="332"/>
      <c r="DJO508" s="332"/>
      <c r="DJP508" s="332"/>
      <c r="DJQ508" s="332"/>
      <c r="DJR508" s="332"/>
      <c r="DJS508" s="332"/>
      <c r="DJT508" s="332"/>
      <c r="DJU508" s="332"/>
      <c r="DJV508" s="332"/>
      <c r="DJW508" s="332"/>
      <c r="DJX508" s="332"/>
      <c r="DJY508" s="332"/>
      <c r="DJZ508" s="332"/>
      <c r="DKA508" s="332"/>
      <c r="DKB508" s="332"/>
      <c r="DKC508" s="332"/>
      <c r="DKD508" s="332"/>
      <c r="DKE508" s="332"/>
      <c r="DKF508" s="332"/>
      <c r="DKG508" s="332"/>
      <c r="DKH508" s="332"/>
      <c r="DKI508" s="332"/>
      <c r="DKJ508" s="332"/>
      <c r="DKK508" s="332"/>
      <c r="DKL508" s="332"/>
      <c r="DKM508" s="332"/>
      <c r="DKN508" s="332"/>
      <c r="DKO508" s="332"/>
      <c r="DKP508" s="332"/>
      <c r="DKQ508" s="332"/>
      <c r="DKR508" s="332"/>
      <c r="DKS508" s="332"/>
      <c r="DKT508" s="332"/>
      <c r="DKU508" s="332"/>
      <c r="DKV508" s="332"/>
      <c r="DKW508" s="332"/>
      <c r="DKX508" s="332"/>
      <c r="DKY508" s="332"/>
      <c r="DKZ508" s="332"/>
      <c r="DLA508" s="332"/>
      <c r="DLB508" s="332"/>
      <c r="DLC508" s="332"/>
      <c r="DLD508" s="332"/>
      <c r="DLE508" s="332"/>
      <c r="DLF508" s="332"/>
      <c r="DLG508" s="332"/>
      <c r="DLH508" s="332"/>
      <c r="DLI508" s="332"/>
      <c r="DLJ508" s="332"/>
      <c r="DLK508" s="332"/>
      <c r="DLL508" s="332"/>
      <c r="DLM508" s="332"/>
      <c r="DLN508" s="332"/>
      <c r="DLO508" s="332"/>
      <c r="DLP508" s="332"/>
      <c r="DLQ508" s="332"/>
      <c r="DLR508" s="332"/>
      <c r="DLS508" s="332"/>
      <c r="DLT508" s="332"/>
      <c r="DLU508" s="332"/>
      <c r="DLV508" s="332"/>
      <c r="DLW508" s="332"/>
      <c r="DLX508" s="332"/>
      <c r="DLY508" s="332"/>
      <c r="DLZ508" s="332"/>
      <c r="DMA508" s="332"/>
      <c r="DMB508" s="332"/>
      <c r="DMC508" s="332"/>
      <c r="DMD508" s="332"/>
      <c r="DME508" s="332"/>
      <c r="DMF508" s="332"/>
      <c r="DMG508" s="332"/>
      <c r="DMH508" s="332"/>
      <c r="DMI508" s="332"/>
      <c r="DMJ508" s="332"/>
      <c r="DMK508" s="332"/>
      <c r="DML508" s="332"/>
      <c r="DMM508" s="332"/>
      <c r="DMN508" s="332"/>
      <c r="DMO508" s="332"/>
      <c r="DMP508" s="332"/>
      <c r="DMQ508" s="332"/>
      <c r="DMR508" s="332"/>
      <c r="DMS508" s="332"/>
      <c r="DMT508" s="332"/>
      <c r="DMU508" s="332"/>
      <c r="DMV508" s="332"/>
      <c r="DMW508" s="332"/>
      <c r="DMX508" s="332"/>
      <c r="DMY508" s="332"/>
      <c r="DMZ508" s="332"/>
      <c r="DNA508" s="332"/>
      <c r="DNB508" s="332"/>
      <c r="DNC508" s="332"/>
      <c r="DND508" s="332"/>
      <c r="DNE508" s="332"/>
      <c r="DNF508" s="332"/>
      <c r="DNG508" s="332"/>
      <c r="DNH508" s="332"/>
      <c r="DNI508" s="332"/>
      <c r="DNJ508" s="332"/>
      <c r="DNK508" s="332"/>
      <c r="DNL508" s="332"/>
      <c r="DNM508" s="332"/>
      <c r="DNN508" s="332"/>
      <c r="DNO508" s="332"/>
      <c r="DNP508" s="332"/>
      <c r="DNQ508" s="332"/>
      <c r="DNR508" s="332"/>
      <c r="DNS508" s="332"/>
      <c r="DNT508" s="332"/>
      <c r="DNU508" s="332"/>
      <c r="DNV508" s="332"/>
      <c r="DNW508" s="332"/>
      <c r="DNX508" s="332"/>
      <c r="DNY508" s="332"/>
      <c r="DNZ508" s="332"/>
      <c r="DOA508" s="332"/>
      <c r="DOB508" s="332"/>
      <c r="DOC508" s="332"/>
      <c r="DOD508" s="332"/>
      <c r="DOE508" s="332"/>
      <c r="DOF508" s="332"/>
      <c r="DOG508" s="332"/>
      <c r="DOH508" s="332"/>
      <c r="DOI508" s="332"/>
      <c r="DOJ508" s="332"/>
      <c r="DOK508" s="332"/>
      <c r="DOL508" s="332"/>
      <c r="DOM508" s="332"/>
      <c r="DON508" s="332"/>
      <c r="DOO508" s="332"/>
      <c r="DOP508" s="332"/>
      <c r="DOQ508" s="332"/>
      <c r="DOR508" s="332"/>
      <c r="DOS508" s="332"/>
      <c r="DOT508" s="332"/>
      <c r="DOU508" s="332"/>
      <c r="DOV508" s="332"/>
      <c r="DOW508" s="332"/>
      <c r="DOX508" s="332"/>
      <c r="DOY508" s="332"/>
      <c r="DOZ508" s="332"/>
      <c r="DPA508" s="332"/>
      <c r="DPB508" s="332"/>
      <c r="DPC508" s="332"/>
      <c r="DPD508" s="332"/>
      <c r="DPE508" s="332"/>
      <c r="DPF508" s="332"/>
      <c r="DPG508" s="332"/>
      <c r="DPH508" s="332"/>
      <c r="DPI508" s="332"/>
      <c r="DPJ508" s="332"/>
      <c r="DPK508" s="332"/>
      <c r="DPL508" s="332"/>
      <c r="DPM508" s="332"/>
      <c r="DPN508" s="332"/>
      <c r="DPO508" s="332"/>
      <c r="DPP508" s="332"/>
      <c r="DPQ508" s="332"/>
      <c r="DPR508" s="332"/>
      <c r="DPS508" s="332"/>
      <c r="DPT508" s="332"/>
      <c r="DPU508" s="332"/>
      <c r="DPV508" s="332"/>
      <c r="DPW508" s="332"/>
      <c r="DPX508" s="332"/>
      <c r="DPY508" s="332"/>
      <c r="DPZ508" s="332"/>
      <c r="DQA508" s="332"/>
      <c r="DQB508" s="332"/>
      <c r="DQC508" s="332"/>
      <c r="DQD508" s="332"/>
      <c r="DQE508" s="332"/>
      <c r="DQF508" s="332"/>
      <c r="DQG508" s="332"/>
      <c r="DQH508" s="332"/>
      <c r="DQI508" s="332"/>
      <c r="DQJ508" s="332"/>
      <c r="DQK508" s="332"/>
      <c r="DQL508" s="332"/>
      <c r="DQM508" s="332"/>
      <c r="DQN508" s="332"/>
      <c r="DQO508" s="332"/>
      <c r="DQP508" s="332"/>
      <c r="DQQ508" s="332"/>
      <c r="DQR508" s="332"/>
      <c r="DQS508" s="332"/>
      <c r="DQT508" s="332"/>
      <c r="DQU508" s="332"/>
      <c r="DQV508" s="332"/>
      <c r="DQW508" s="332"/>
      <c r="DQX508" s="332"/>
      <c r="DQY508" s="332"/>
      <c r="DQZ508" s="332"/>
      <c r="DRA508" s="332"/>
      <c r="DRB508" s="332"/>
      <c r="DRC508" s="332"/>
      <c r="DRD508" s="332"/>
      <c r="DRE508" s="332"/>
      <c r="DRF508" s="332"/>
      <c r="DRG508" s="332"/>
      <c r="DRH508" s="332"/>
      <c r="DRI508" s="332"/>
      <c r="DRJ508" s="332"/>
      <c r="DRK508" s="332"/>
      <c r="DRL508" s="332"/>
      <c r="DRM508" s="332"/>
      <c r="DRN508" s="332"/>
      <c r="DRO508" s="332"/>
      <c r="DRP508" s="332"/>
      <c r="DRQ508" s="332"/>
      <c r="DRR508" s="332"/>
      <c r="DRS508" s="332"/>
      <c r="DRT508" s="332"/>
      <c r="DRU508" s="332"/>
      <c r="DRV508" s="332"/>
      <c r="DRW508" s="332"/>
      <c r="DRX508" s="332"/>
      <c r="DRY508" s="332"/>
      <c r="DRZ508" s="332"/>
      <c r="DSA508" s="332"/>
      <c r="DSB508" s="332"/>
      <c r="DSC508" s="332"/>
      <c r="DSD508" s="332"/>
      <c r="DSE508" s="332"/>
      <c r="DSF508" s="332"/>
      <c r="DSG508" s="332"/>
      <c r="DSH508" s="332"/>
      <c r="DSI508" s="332"/>
      <c r="DSJ508" s="332"/>
      <c r="DSK508" s="332"/>
      <c r="DSL508" s="332"/>
      <c r="DSM508" s="332"/>
      <c r="DSN508" s="332"/>
      <c r="DSO508" s="332"/>
      <c r="DSP508" s="332"/>
      <c r="DSQ508" s="332"/>
      <c r="DSR508" s="332"/>
      <c r="DSS508" s="332"/>
      <c r="DST508" s="332"/>
      <c r="DSU508" s="332"/>
      <c r="DSV508" s="332"/>
      <c r="DSW508" s="332"/>
      <c r="DSX508" s="332"/>
      <c r="DSY508" s="332"/>
      <c r="DSZ508" s="332"/>
      <c r="DTA508" s="332"/>
      <c r="DTB508" s="332"/>
      <c r="DTC508" s="332"/>
      <c r="DTD508" s="332"/>
      <c r="DTE508" s="332"/>
      <c r="DTF508" s="332"/>
      <c r="DTG508" s="332"/>
      <c r="DTH508" s="332"/>
      <c r="DTI508" s="332"/>
      <c r="DTJ508" s="332"/>
      <c r="DTK508" s="332"/>
      <c r="DTL508" s="332"/>
      <c r="DTM508" s="332"/>
      <c r="DTN508" s="332"/>
      <c r="DTO508" s="332"/>
      <c r="DTP508" s="332"/>
      <c r="DTQ508" s="332"/>
      <c r="DTR508" s="332"/>
      <c r="DTS508" s="332"/>
      <c r="DTT508" s="332"/>
      <c r="DTU508" s="332"/>
      <c r="DTV508" s="332"/>
      <c r="DTW508" s="332"/>
      <c r="DTX508" s="332"/>
      <c r="DTY508" s="332"/>
      <c r="DTZ508" s="332"/>
      <c r="DUA508" s="332"/>
      <c r="DUB508" s="332"/>
      <c r="DUC508" s="332"/>
      <c r="DUD508" s="332"/>
      <c r="DUE508" s="332"/>
      <c r="DUF508" s="332"/>
      <c r="DUG508" s="332"/>
      <c r="DUH508" s="332"/>
      <c r="DUI508" s="332"/>
      <c r="DUJ508" s="332"/>
      <c r="DUK508" s="332"/>
      <c r="DUL508" s="332"/>
      <c r="DUM508" s="332"/>
      <c r="DUN508" s="332"/>
      <c r="DUO508" s="332"/>
      <c r="DUP508" s="332"/>
      <c r="DUQ508" s="332"/>
      <c r="DUR508" s="332"/>
      <c r="DUS508" s="332"/>
      <c r="DUT508" s="332"/>
      <c r="DUU508" s="332"/>
      <c r="DUV508" s="332"/>
      <c r="DUW508" s="332"/>
      <c r="DUX508" s="332"/>
      <c r="DUY508" s="332"/>
      <c r="DUZ508" s="332"/>
      <c r="DVA508" s="332"/>
      <c r="DVB508" s="332"/>
      <c r="DVC508" s="332"/>
      <c r="DVD508" s="332"/>
      <c r="DVE508" s="332"/>
      <c r="DVF508" s="332"/>
      <c r="DVG508" s="332"/>
      <c r="DVH508" s="332"/>
      <c r="DVI508" s="332"/>
      <c r="DVJ508" s="332"/>
      <c r="DVK508" s="332"/>
      <c r="DVL508" s="332"/>
      <c r="DVM508" s="332"/>
      <c r="DVN508" s="332"/>
      <c r="DVO508" s="332"/>
      <c r="DVP508" s="332"/>
      <c r="DVQ508" s="332"/>
      <c r="DVR508" s="332"/>
      <c r="DVS508" s="332"/>
      <c r="DVT508" s="332"/>
      <c r="DVU508" s="332"/>
      <c r="DVV508" s="332"/>
      <c r="DVW508" s="332"/>
      <c r="DVX508" s="332"/>
      <c r="DVY508" s="332"/>
      <c r="DVZ508" s="332"/>
      <c r="DWA508" s="332"/>
      <c r="DWB508" s="332"/>
      <c r="DWC508" s="332"/>
      <c r="DWD508" s="332"/>
      <c r="DWE508" s="332"/>
      <c r="DWF508" s="332"/>
      <c r="DWG508" s="332"/>
      <c r="DWH508" s="332"/>
      <c r="DWI508" s="332"/>
      <c r="DWJ508" s="332"/>
      <c r="DWK508" s="332"/>
      <c r="DWL508" s="332"/>
      <c r="DWM508" s="332"/>
      <c r="DWN508" s="332"/>
      <c r="DWO508" s="332"/>
      <c r="DWP508" s="332"/>
      <c r="DWQ508" s="332"/>
      <c r="DWR508" s="332"/>
      <c r="DWS508" s="332"/>
      <c r="DWT508" s="332"/>
      <c r="DWU508" s="332"/>
      <c r="DWV508" s="332"/>
      <c r="DWW508" s="332"/>
      <c r="DWX508" s="332"/>
      <c r="DWY508" s="332"/>
      <c r="DWZ508" s="332"/>
      <c r="DXA508" s="332"/>
      <c r="DXB508" s="332"/>
      <c r="DXC508" s="332"/>
      <c r="DXD508" s="332"/>
      <c r="DXE508" s="332"/>
      <c r="DXF508" s="332"/>
      <c r="DXG508" s="332"/>
      <c r="DXH508" s="332"/>
      <c r="DXI508" s="332"/>
      <c r="DXJ508" s="332"/>
      <c r="DXK508" s="332"/>
      <c r="DXL508" s="332"/>
      <c r="DXM508" s="332"/>
      <c r="DXN508" s="332"/>
      <c r="DXO508" s="332"/>
      <c r="DXP508" s="332"/>
      <c r="DXQ508" s="332"/>
      <c r="DXR508" s="332"/>
      <c r="DXS508" s="332"/>
      <c r="DXT508" s="332"/>
      <c r="DXU508" s="332"/>
      <c r="DXV508" s="332"/>
      <c r="DXW508" s="332"/>
      <c r="DXX508" s="332"/>
      <c r="DXY508" s="332"/>
      <c r="DXZ508" s="332"/>
      <c r="DYA508" s="332"/>
      <c r="DYB508" s="332"/>
      <c r="DYC508" s="332"/>
      <c r="DYD508" s="332"/>
      <c r="DYE508" s="332"/>
      <c r="DYF508" s="332"/>
      <c r="DYG508" s="332"/>
      <c r="DYH508" s="332"/>
      <c r="DYI508" s="332"/>
      <c r="DYJ508" s="332"/>
      <c r="DYK508" s="332"/>
      <c r="DYL508" s="332"/>
      <c r="DYM508" s="332"/>
      <c r="DYN508" s="332"/>
      <c r="DYO508" s="332"/>
      <c r="DYP508" s="332"/>
      <c r="DYQ508" s="332"/>
      <c r="DYR508" s="332"/>
      <c r="DYS508" s="332"/>
      <c r="DYT508" s="332"/>
      <c r="DYU508" s="332"/>
      <c r="DYV508" s="332"/>
      <c r="DYW508" s="332"/>
      <c r="DYX508" s="332"/>
      <c r="DYY508" s="332"/>
      <c r="DYZ508" s="332"/>
      <c r="DZA508" s="332"/>
      <c r="DZB508" s="332"/>
      <c r="DZC508" s="332"/>
      <c r="DZD508" s="332"/>
      <c r="DZE508" s="332"/>
      <c r="DZF508" s="332"/>
      <c r="DZG508" s="332"/>
      <c r="DZH508" s="332"/>
      <c r="DZI508" s="332"/>
      <c r="DZJ508" s="332"/>
      <c r="DZK508" s="332"/>
      <c r="DZL508" s="332"/>
      <c r="DZM508" s="332"/>
      <c r="DZN508" s="332"/>
      <c r="DZO508" s="332"/>
      <c r="DZP508" s="332"/>
      <c r="DZQ508" s="332"/>
      <c r="DZR508" s="332"/>
      <c r="DZS508" s="332"/>
      <c r="DZT508" s="332"/>
      <c r="DZU508" s="332"/>
      <c r="DZV508" s="332"/>
      <c r="DZW508" s="332"/>
      <c r="DZX508" s="332"/>
      <c r="DZY508" s="332"/>
      <c r="DZZ508" s="332"/>
      <c r="EAA508" s="332"/>
      <c r="EAB508" s="332"/>
      <c r="EAC508" s="332"/>
      <c r="EAD508" s="332"/>
      <c r="EAE508" s="332"/>
      <c r="EAF508" s="332"/>
      <c r="EAG508" s="332"/>
      <c r="EAH508" s="332"/>
      <c r="EAI508" s="332"/>
      <c r="EAJ508" s="332"/>
      <c r="EAK508" s="332"/>
      <c r="EAL508" s="332"/>
      <c r="EAM508" s="332"/>
      <c r="EAN508" s="332"/>
      <c r="EAO508" s="332"/>
      <c r="EAP508" s="332"/>
      <c r="EAQ508" s="332"/>
      <c r="EAR508" s="332"/>
      <c r="EAS508" s="332"/>
      <c r="EAT508" s="332"/>
      <c r="EAU508" s="332"/>
      <c r="EAV508" s="332"/>
      <c r="EAW508" s="332"/>
      <c r="EAX508" s="332"/>
      <c r="EAY508" s="332"/>
      <c r="EAZ508" s="332"/>
      <c r="EBA508" s="332"/>
      <c r="EBB508" s="332"/>
      <c r="EBC508" s="332"/>
      <c r="EBD508" s="332"/>
      <c r="EBE508" s="332"/>
      <c r="EBF508" s="332"/>
      <c r="EBG508" s="332"/>
      <c r="EBH508" s="332"/>
      <c r="EBI508" s="332"/>
      <c r="EBJ508" s="332"/>
      <c r="EBK508" s="332"/>
      <c r="EBL508" s="332"/>
      <c r="EBM508" s="332"/>
      <c r="EBN508" s="332"/>
      <c r="EBO508" s="332"/>
      <c r="EBP508" s="332"/>
      <c r="EBQ508" s="332"/>
      <c r="EBR508" s="332"/>
      <c r="EBS508" s="332"/>
      <c r="EBT508" s="332"/>
      <c r="EBU508" s="332"/>
      <c r="EBV508" s="332"/>
      <c r="EBW508" s="332"/>
      <c r="EBX508" s="332"/>
      <c r="EBY508" s="332"/>
      <c r="EBZ508" s="332"/>
      <c r="ECA508" s="332"/>
      <c r="ECB508" s="332"/>
      <c r="ECC508" s="332"/>
      <c r="ECD508" s="332"/>
      <c r="ECE508" s="332"/>
      <c r="ECF508" s="332"/>
      <c r="ECG508" s="332"/>
      <c r="ECH508" s="332"/>
      <c r="ECI508" s="332"/>
      <c r="ECJ508" s="332"/>
      <c r="ECK508" s="332"/>
      <c r="ECL508" s="332"/>
      <c r="ECM508" s="332"/>
      <c r="ECN508" s="332"/>
      <c r="ECO508" s="332"/>
      <c r="ECP508" s="332"/>
      <c r="ECQ508" s="332"/>
      <c r="ECR508" s="332"/>
      <c r="ECS508" s="332"/>
      <c r="ECT508" s="332"/>
      <c r="ECU508" s="332"/>
      <c r="ECV508" s="332"/>
      <c r="ECW508" s="332"/>
      <c r="ECX508" s="332"/>
      <c r="ECY508" s="332"/>
      <c r="ECZ508" s="332"/>
      <c r="EDA508" s="332"/>
      <c r="EDB508" s="332"/>
      <c r="EDC508" s="332"/>
      <c r="EDD508" s="332"/>
      <c r="EDE508" s="332"/>
      <c r="EDF508" s="332"/>
      <c r="EDG508" s="332"/>
      <c r="EDH508" s="332"/>
      <c r="EDI508" s="332"/>
      <c r="EDJ508" s="332"/>
      <c r="EDK508" s="332"/>
      <c r="EDL508" s="332"/>
      <c r="EDM508" s="332"/>
      <c r="EDN508" s="332"/>
      <c r="EDO508" s="332"/>
      <c r="EDP508" s="332"/>
      <c r="EDQ508" s="332"/>
      <c r="EDR508" s="332"/>
      <c r="EDS508" s="332"/>
      <c r="EDT508" s="332"/>
      <c r="EDU508" s="332"/>
      <c r="EDV508" s="332"/>
      <c r="EDW508" s="332"/>
      <c r="EDX508" s="332"/>
      <c r="EDY508" s="332"/>
      <c r="EDZ508" s="332"/>
      <c r="EEA508" s="332"/>
      <c r="EEB508" s="332"/>
      <c r="EEC508" s="332"/>
      <c r="EED508" s="332"/>
      <c r="EEE508" s="332"/>
      <c r="EEF508" s="332"/>
      <c r="EEG508" s="332"/>
      <c r="EEH508" s="332"/>
      <c r="EEI508" s="332"/>
      <c r="EEJ508" s="332"/>
      <c r="EEK508" s="332"/>
      <c r="EEL508" s="332"/>
      <c r="EEM508" s="332"/>
      <c r="EEN508" s="332"/>
      <c r="EEO508" s="332"/>
      <c r="EEP508" s="332"/>
      <c r="EEQ508" s="332"/>
      <c r="EER508" s="332"/>
      <c r="EES508" s="332"/>
      <c r="EET508" s="332"/>
      <c r="EEU508" s="332"/>
      <c r="EEV508" s="332"/>
      <c r="EEW508" s="332"/>
      <c r="EEX508" s="332"/>
      <c r="EEY508" s="332"/>
      <c r="EEZ508" s="332"/>
      <c r="EFA508" s="332"/>
      <c r="EFB508" s="332"/>
      <c r="EFC508" s="332"/>
      <c r="EFD508" s="332"/>
      <c r="EFE508" s="332"/>
      <c r="EFF508" s="332"/>
      <c r="EFG508" s="332"/>
      <c r="EFH508" s="332"/>
      <c r="EFI508" s="332"/>
      <c r="EFJ508" s="332"/>
      <c r="EFK508" s="332"/>
      <c r="EFL508" s="332"/>
      <c r="EFM508" s="332"/>
      <c r="EFN508" s="332"/>
      <c r="EFO508" s="332"/>
      <c r="EFP508" s="332"/>
      <c r="EFQ508" s="332"/>
      <c r="EFR508" s="332"/>
      <c r="EFS508" s="332"/>
      <c r="EFT508" s="332"/>
      <c r="EFU508" s="332"/>
      <c r="EFV508" s="332"/>
      <c r="EFW508" s="332"/>
      <c r="EFX508" s="332"/>
      <c r="EFY508" s="332"/>
      <c r="EFZ508" s="332"/>
      <c r="EGA508" s="332"/>
      <c r="EGB508" s="332"/>
      <c r="EGC508" s="332"/>
      <c r="EGD508" s="332"/>
      <c r="EGE508" s="332"/>
      <c r="EGF508" s="332"/>
      <c r="EGG508" s="332"/>
      <c r="EGH508" s="332"/>
      <c r="EGI508" s="332"/>
      <c r="EGJ508" s="332"/>
      <c r="EGK508" s="332"/>
      <c r="EGL508" s="332"/>
      <c r="EGM508" s="332"/>
      <c r="EGN508" s="332"/>
      <c r="EGO508" s="332"/>
      <c r="EGP508" s="332"/>
      <c r="EGQ508" s="332"/>
      <c r="EGR508" s="332"/>
      <c r="EGS508" s="332"/>
      <c r="EGT508" s="332"/>
      <c r="EGU508" s="332"/>
      <c r="EGV508" s="332"/>
      <c r="EGW508" s="332"/>
      <c r="EGX508" s="332"/>
      <c r="EGY508" s="332"/>
      <c r="EGZ508" s="332"/>
      <c r="EHA508" s="332"/>
      <c r="EHB508" s="332"/>
      <c r="EHC508" s="332"/>
      <c r="EHD508" s="332"/>
      <c r="EHE508" s="332"/>
      <c r="EHF508" s="332"/>
      <c r="EHG508" s="332"/>
      <c r="EHH508" s="332"/>
      <c r="EHI508" s="332"/>
      <c r="EHJ508" s="332"/>
      <c r="EHK508" s="332"/>
      <c r="EHL508" s="332"/>
      <c r="EHM508" s="332"/>
      <c r="EHN508" s="332"/>
      <c r="EHO508" s="332"/>
      <c r="EHP508" s="332"/>
      <c r="EHQ508" s="332"/>
      <c r="EHR508" s="332"/>
      <c r="EHS508" s="332"/>
      <c r="EHT508" s="332"/>
      <c r="EHU508" s="332"/>
      <c r="EHV508" s="332"/>
      <c r="EHW508" s="332"/>
      <c r="EHX508" s="332"/>
      <c r="EHY508" s="332"/>
      <c r="EHZ508" s="332"/>
      <c r="EIA508" s="332"/>
      <c r="EIB508" s="332"/>
      <c r="EIC508" s="332"/>
      <c r="EID508" s="332"/>
      <c r="EIE508" s="332"/>
      <c r="EIF508" s="332"/>
      <c r="EIG508" s="332"/>
      <c r="EIH508" s="332"/>
      <c r="EII508" s="332"/>
      <c r="EIJ508" s="332"/>
      <c r="EIK508" s="332"/>
      <c r="EIL508" s="332"/>
      <c r="EIM508" s="332"/>
      <c r="EIN508" s="332"/>
      <c r="EIO508" s="332"/>
      <c r="EIP508" s="332"/>
      <c r="EIQ508" s="332"/>
      <c r="EIR508" s="332"/>
      <c r="EIS508" s="332"/>
      <c r="EIT508" s="332"/>
      <c r="EIU508" s="332"/>
      <c r="EIV508" s="332"/>
      <c r="EIW508" s="332"/>
      <c r="EIX508" s="332"/>
      <c r="EIY508" s="332"/>
      <c r="EIZ508" s="332"/>
      <c r="EJA508" s="332"/>
      <c r="EJB508" s="332"/>
      <c r="EJC508" s="332"/>
      <c r="EJD508" s="332"/>
      <c r="EJE508" s="332"/>
      <c r="EJF508" s="332"/>
      <c r="EJG508" s="332"/>
      <c r="EJH508" s="332"/>
      <c r="EJI508" s="332"/>
      <c r="EJJ508" s="332"/>
      <c r="EJK508" s="332"/>
      <c r="EJL508" s="332"/>
      <c r="EJM508" s="332"/>
      <c r="EJN508" s="332"/>
      <c r="EJO508" s="332"/>
      <c r="EJP508" s="332"/>
      <c r="EJQ508" s="332"/>
      <c r="EJR508" s="332"/>
      <c r="EJS508" s="332"/>
      <c r="EJT508" s="332"/>
      <c r="EJU508" s="332"/>
      <c r="EJV508" s="332"/>
      <c r="EJW508" s="332"/>
      <c r="EJX508" s="332"/>
      <c r="EJY508" s="332"/>
      <c r="EJZ508" s="332"/>
      <c r="EKA508" s="332"/>
      <c r="EKB508" s="332"/>
      <c r="EKC508" s="332"/>
      <c r="EKD508" s="332"/>
      <c r="EKE508" s="332"/>
      <c r="EKF508" s="332"/>
      <c r="EKG508" s="332"/>
      <c r="EKH508" s="332"/>
      <c r="EKI508" s="332"/>
      <c r="EKJ508" s="332"/>
      <c r="EKK508" s="332"/>
      <c r="EKL508" s="332"/>
      <c r="EKM508" s="332"/>
      <c r="EKN508" s="332"/>
      <c r="EKO508" s="332"/>
      <c r="EKP508" s="332"/>
      <c r="EKQ508" s="332"/>
      <c r="EKR508" s="332"/>
      <c r="EKS508" s="332"/>
      <c r="EKT508" s="332"/>
      <c r="EKU508" s="332"/>
      <c r="EKV508" s="332"/>
      <c r="EKW508" s="332"/>
      <c r="EKX508" s="332"/>
      <c r="EKY508" s="332"/>
      <c r="EKZ508" s="332"/>
      <c r="ELA508" s="332"/>
      <c r="ELB508" s="332"/>
      <c r="ELC508" s="332"/>
      <c r="ELD508" s="332"/>
      <c r="ELE508" s="332"/>
      <c r="ELF508" s="332"/>
      <c r="ELG508" s="332"/>
      <c r="ELH508" s="332"/>
      <c r="ELI508" s="332"/>
      <c r="ELJ508" s="332"/>
      <c r="ELK508" s="332"/>
      <c r="ELL508" s="332"/>
      <c r="ELM508" s="332"/>
      <c r="ELN508" s="332"/>
      <c r="ELO508" s="332"/>
      <c r="ELP508" s="332"/>
      <c r="ELQ508" s="332"/>
      <c r="ELR508" s="332"/>
      <c r="ELS508" s="332"/>
      <c r="ELT508" s="332"/>
      <c r="ELU508" s="332"/>
      <c r="ELV508" s="332"/>
      <c r="ELW508" s="332"/>
      <c r="ELX508" s="332"/>
      <c r="ELY508" s="332"/>
      <c r="ELZ508" s="332"/>
      <c r="EMA508" s="332"/>
      <c r="EMB508" s="332"/>
      <c r="EMC508" s="332"/>
      <c r="EMD508" s="332"/>
      <c r="EME508" s="332"/>
      <c r="EMF508" s="332"/>
      <c r="EMG508" s="332"/>
      <c r="EMH508" s="332"/>
      <c r="EMI508" s="332"/>
      <c r="EMJ508" s="332"/>
      <c r="EMK508" s="332"/>
      <c r="EML508" s="332"/>
      <c r="EMM508" s="332"/>
      <c r="EMN508" s="332"/>
      <c r="EMO508" s="332"/>
      <c r="EMP508" s="332"/>
      <c r="EMQ508" s="332"/>
      <c r="EMR508" s="332"/>
      <c r="EMS508" s="332"/>
      <c r="EMT508" s="332"/>
      <c r="EMU508" s="332"/>
      <c r="EMV508" s="332"/>
      <c r="EMW508" s="332"/>
      <c r="EMX508" s="332"/>
      <c r="EMY508" s="332"/>
      <c r="EMZ508" s="332"/>
      <c r="ENA508" s="332"/>
      <c r="ENB508" s="332"/>
      <c r="ENC508" s="332"/>
      <c r="END508" s="332"/>
      <c r="ENE508" s="332"/>
      <c r="ENF508" s="332"/>
      <c r="ENG508" s="332"/>
      <c r="ENH508" s="332"/>
      <c r="ENI508" s="332"/>
      <c r="ENJ508" s="332"/>
      <c r="ENK508" s="332"/>
      <c r="ENL508" s="332"/>
      <c r="ENM508" s="332"/>
      <c r="ENN508" s="332"/>
      <c r="ENO508" s="332"/>
      <c r="ENP508" s="332"/>
      <c r="ENQ508" s="332"/>
      <c r="ENR508" s="332"/>
      <c r="ENS508" s="332"/>
      <c r="ENT508" s="332"/>
      <c r="ENU508" s="332"/>
      <c r="ENV508" s="332"/>
      <c r="ENW508" s="332"/>
      <c r="ENX508" s="332"/>
      <c r="ENY508" s="332"/>
      <c r="ENZ508" s="332"/>
      <c r="EOA508" s="332"/>
      <c r="EOB508" s="332"/>
      <c r="EOC508" s="332"/>
      <c r="EOD508" s="332"/>
      <c r="EOE508" s="332"/>
      <c r="EOF508" s="332"/>
      <c r="EOG508" s="332"/>
      <c r="EOH508" s="332"/>
      <c r="EOI508" s="332"/>
      <c r="EOJ508" s="332"/>
      <c r="EOK508" s="332"/>
      <c r="EOL508" s="332"/>
      <c r="EOM508" s="332"/>
      <c r="EON508" s="332"/>
      <c r="EOO508" s="332"/>
      <c r="EOP508" s="332"/>
      <c r="EOQ508" s="332"/>
      <c r="EOR508" s="332"/>
      <c r="EOS508" s="332"/>
      <c r="EOT508" s="332"/>
      <c r="EOU508" s="332"/>
      <c r="EOV508" s="332"/>
      <c r="EOW508" s="332"/>
      <c r="EOX508" s="332"/>
      <c r="EOY508" s="332"/>
      <c r="EOZ508" s="332"/>
      <c r="EPA508" s="332"/>
      <c r="EPB508" s="332"/>
      <c r="EPC508" s="332"/>
      <c r="EPD508" s="332"/>
      <c r="EPE508" s="332"/>
      <c r="EPF508" s="332"/>
      <c r="EPG508" s="332"/>
      <c r="EPH508" s="332"/>
      <c r="EPI508" s="332"/>
      <c r="EPJ508" s="332"/>
      <c r="EPK508" s="332"/>
      <c r="EPL508" s="332"/>
      <c r="EPM508" s="332"/>
      <c r="EPN508" s="332"/>
      <c r="EPO508" s="332"/>
      <c r="EPP508" s="332"/>
      <c r="EPQ508" s="332"/>
      <c r="EPR508" s="332"/>
      <c r="EPS508" s="332"/>
      <c r="EPT508" s="332"/>
      <c r="EPU508" s="332"/>
      <c r="EPV508" s="332"/>
      <c r="EPW508" s="332"/>
      <c r="EPX508" s="332"/>
      <c r="EPY508" s="332"/>
      <c r="EPZ508" s="332"/>
      <c r="EQA508" s="332"/>
      <c r="EQB508" s="332"/>
      <c r="EQC508" s="332"/>
      <c r="EQD508" s="332"/>
      <c r="EQE508" s="332"/>
      <c r="EQF508" s="332"/>
      <c r="EQG508" s="332"/>
      <c r="EQH508" s="332"/>
      <c r="EQI508" s="332"/>
      <c r="EQJ508" s="332"/>
      <c r="EQK508" s="332"/>
      <c r="EQL508" s="332"/>
      <c r="EQM508" s="332"/>
      <c r="EQN508" s="332"/>
      <c r="EQO508" s="332"/>
      <c r="EQP508" s="332"/>
      <c r="EQQ508" s="332"/>
      <c r="EQR508" s="332"/>
      <c r="EQS508" s="332"/>
      <c r="EQT508" s="332"/>
      <c r="EQU508" s="332"/>
      <c r="EQV508" s="332"/>
      <c r="EQW508" s="332"/>
      <c r="EQX508" s="332"/>
      <c r="EQY508" s="332"/>
      <c r="EQZ508" s="332"/>
      <c r="ERA508" s="332"/>
      <c r="ERB508" s="332"/>
      <c r="ERC508" s="332"/>
      <c r="ERD508" s="332"/>
      <c r="ERE508" s="332"/>
      <c r="ERF508" s="332"/>
      <c r="ERG508" s="332"/>
      <c r="ERH508" s="332"/>
      <c r="ERI508" s="332"/>
      <c r="ERJ508" s="332"/>
      <c r="ERK508" s="332"/>
      <c r="ERL508" s="332"/>
      <c r="ERM508" s="332"/>
      <c r="ERN508" s="332"/>
      <c r="ERO508" s="332"/>
      <c r="ERP508" s="332"/>
      <c r="ERQ508" s="332"/>
      <c r="ERR508" s="332"/>
      <c r="ERS508" s="332"/>
      <c r="ERT508" s="332"/>
      <c r="ERU508" s="332"/>
      <c r="ERV508" s="332"/>
      <c r="ERW508" s="332"/>
      <c r="ERX508" s="332"/>
      <c r="ERY508" s="332"/>
      <c r="ERZ508" s="332"/>
      <c r="ESA508" s="332"/>
      <c r="ESB508" s="332"/>
      <c r="ESC508" s="332"/>
      <c r="ESD508" s="332"/>
      <c r="ESE508" s="332"/>
      <c r="ESF508" s="332"/>
      <c r="ESG508" s="332"/>
      <c r="ESH508" s="332"/>
      <c r="ESI508" s="332"/>
      <c r="ESJ508" s="332"/>
      <c r="ESK508" s="332"/>
      <c r="ESL508" s="332"/>
      <c r="ESM508" s="332"/>
      <c r="ESN508" s="332"/>
      <c r="ESO508" s="332"/>
      <c r="ESP508" s="332"/>
      <c r="ESQ508" s="332"/>
      <c r="ESR508" s="332"/>
      <c r="ESS508" s="332"/>
      <c r="EST508" s="332"/>
      <c r="ESU508" s="332"/>
      <c r="ESV508" s="332"/>
      <c r="ESW508" s="332"/>
      <c r="ESX508" s="332"/>
      <c r="ESY508" s="332"/>
      <c r="ESZ508" s="332"/>
      <c r="ETA508" s="332"/>
      <c r="ETB508" s="332"/>
      <c r="ETC508" s="332"/>
      <c r="ETD508" s="332"/>
      <c r="ETE508" s="332"/>
      <c r="ETF508" s="332"/>
      <c r="ETG508" s="332"/>
      <c r="ETH508" s="332"/>
      <c r="ETI508" s="332"/>
      <c r="ETJ508" s="332"/>
      <c r="ETK508" s="332"/>
      <c r="ETL508" s="332"/>
      <c r="ETM508" s="332"/>
      <c r="ETN508" s="332"/>
      <c r="ETO508" s="332"/>
      <c r="ETP508" s="332"/>
      <c r="ETQ508" s="332"/>
      <c r="ETR508" s="332"/>
      <c r="ETS508" s="332"/>
      <c r="ETT508" s="332"/>
      <c r="ETU508" s="332"/>
      <c r="ETV508" s="332"/>
      <c r="ETW508" s="332"/>
      <c r="ETX508" s="332"/>
      <c r="ETY508" s="332"/>
      <c r="ETZ508" s="332"/>
      <c r="EUA508" s="332"/>
      <c r="EUB508" s="332"/>
      <c r="EUC508" s="332"/>
      <c r="EUD508" s="332"/>
      <c r="EUE508" s="332"/>
      <c r="EUF508" s="332"/>
      <c r="EUG508" s="332"/>
      <c r="EUH508" s="332"/>
      <c r="EUI508" s="332"/>
      <c r="EUJ508" s="332"/>
      <c r="EUK508" s="332"/>
      <c r="EUL508" s="332"/>
      <c r="EUM508" s="332"/>
      <c r="EUN508" s="332"/>
      <c r="EUO508" s="332"/>
      <c r="EUP508" s="332"/>
      <c r="EUQ508" s="332"/>
      <c r="EUR508" s="332"/>
      <c r="EUS508" s="332"/>
      <c r="EUT508" s="332"/>
      <c r="EUU508" s="332"/>
      <c r="EUV508" s="332"/>
      <c r="EUW508" s="332"/>
      <c r="EUX508" s="332"/>
      <c r="EUY508" s="332"/>
      <c r="EUZ508" s="332"/>
      <c r="EVA508" s="332"/>
      <c r="EVB508" s="332"/>
      <c r="EVC508" s="332"/>
      <c r="EVD508" s="332"/>
      <c r="EVE508" s="332"/>
      <c r="EVF508" s="332"/>
      <c r="EVG508" s="332"/>
      <c r="EVH508" s="332"/>
      <c r="EVI508" s="332"/>
      <c r="EVJ508" s="332"/>
      <c r="EVK508" s="332"/>
      <c r="EVL508" s="332"/>
      <c r="EVM508" s="332"/>
      <c r="EVN508" s="332"/>
      <c r="EVO508" s="332"/>
      <c r="EVP508" s="332"/>
      <c r="EVQ508" s="332"/>
      <c r="EVR508" s="332"/>
      <c r="EVS508" s="332"/>
      <c r="EVT508" s="332"/>
      <c r="EVU508" s="332"/>
      <c r="EVV508" s="332"/>
      <c r="EVW508" s="332"/>
      <c r="EVX508" s="332"/>
      <c r="EVY508" s="332"/>
      <c r="EVZ508" s="332"/>
      <c r="EWA508" s="332"/>
      <c r="EWB508" s="332"/>
      <c r="EWC508" s="332"/>
      <c r="EWD508" s="332"/>
      <c r="EWE508" s="332"/>
      <c r="EWF508" s="332"/>
      <c r="EWG508" s="332"/>
      <c r="EWH508" s="332"/>
      <c r="EWI508" s="332"/>
      <c r="EWJ508" s="332"/>
      <c r="EWK508" s="332"/>
      <c r="EWL508" s="332"/>
      <c r="EWM508" s="332"/>
      <c r="EWN508" s="332"/>
      <c r="EWO508" s="332"/>
      <c r="EWP508" s="332"/>
      <c r="EWQ508" s="332"/>
      <c r="EWR508" s="332"/>
      <c r="EWS508" s="332"/>
      <c r="EWT508" s="332"/>
      <c r="EWU508" s="332"/>
      <c r="EWV508" s="332"/>
      <c r="EWW508" s="332"/>
      <c r="EWX508" s="332"/>
      <c r="EWY508" s="332"/>
      <c r="EWZ508" s="332"/>
      <c r="EXA508" s="332"/>
      <c r="EXB508" s="332"/>
      <c r="EXC508" s="332"/>
      <c r="EXD508" s="332"/>
      <c r="EXE508" s="332"/>
      <c r="EXF508" s="332"/>
      <c r="EXG508" s="332"/>
      <c r="EXH508" s="332"/>
      <c r="EXI508" s="332"/>
      <c r="EXJ508" s="332"/>
      <c r="EXK508" s="332"/>
      <c r="EXL508" s="332"/>
      <c r="EXM508" s="332"/>
      <c r="EXN508" s="332"/>
      <c r="EXO508" s="332"/>
      <c r="EXP508" s="332"/>
      <c r="EXQ508" s="332"/>
      <c r="EXR508" s="332"/>
      <c r="EXS508" s="332"/>
      <c r="EXT508" s="332"/>
      <c r="EXU508" s="332"/>
      <c r="EXV508" s="332"/>
      <c r="EXW508" s="332"/>
      <c r="EXX508" s="332"/>
      <c r="EXY508" s="332"/>
      <c r="EXZ508" s="332"/>
      <c r="EYA508" s="332"/>
      <c r="EYB508" s="332"/>
      <c r="EYC508" s="332"/>
      <c r="EYD508" s="332"/>
      <c r="EYE508" s="332"/>
      <c r="EYF508" s="332"/>
      <c r="EYG508" s="332"/>
      <c r="EYH508" s="332"/>
      <c r="EYI508" s="332"/>
      <c r="EYJ508" s="332"/>
      <c r="EYK508" s="332"/>
      <c r="EYL508" s="332"/>
      <c r="EYM508" s="332"/>
      <c r="EYN508" s="332"/>
      <c r="EYO508" s="332"/>
      <c r="EYP508" s="332"/>
      <c r="EYQ508" s="332"/>
      <c r="EYR508" s="332"/>
      <c r="EYS508" s="332"/>
      <c r="EYT508" s="332"/>
      <c r="EYU508" s="332"/>
      <c r="EYV508" s="332"/>
      <c r="EYW508" s="332"/>
      <c r="EYX508" s="332"/>
      <c r="EYY508" s="332"/>
      <c r="EYZ508" s="332"/>
      <c r="EZA508" s="332"/>
      <c r="EZB508" s="332"/>
      <c r="EZC508" s="332"/>
      <c r="EZD508" s="332"/>
      <c r="EZE508" s="332"/>
      <c r="EZF508" s="332"/>
      <c r="EZG508" s="332"/>
      <c r="EZH508" s="332"/>
      <c r="EZI508" s="332"/>
      <c r="EZJ508" s="332"/>
      <c r="EZK508" s="332"/>
      <c r="EZL508" s="332"/>
      <c r="EZM508" s="332"/>
      <c r="EZN508" s="332"/>
      <c r="EZO508" s="332"/>
      <c r="EZP508" s="332"/>
      <c r="EZQ508" s="332"/>
      <c r="EZR508" s="332"/>
      <c r="EZS508" s="332"/>
      <c r="EZT508" s="332"/>
      <c r="EZU508" s="332"/>
      <c r="EZV508" s="332"/>
      <c r="EZW508" s="332"/>
      <c r="EZX508" s="332"/>
      <c r="EZY508" s="332"/>
      <c r="EZZ508" s="332"/>
      <c r="FAA508" s="332"/>
      <c r="FAB508" s="332"/>
      <c r="FAC508" s="332"/>
      <c r="FAD508" s="332"/>
      <c r="FAE508" s="332"/>
      <c r="FAF508" s="332"/>
      <c r="FAG508" s="332"/>
      <c r="FAH508" s="332"/>
      <c r="FAI508" s="332"/>
      <c r="FAJ508" s="332"/>
      <c r="FAK508" s="332"/>
      <c r="FAL508" s="332"/>
      <c r="FAM508" s="332"/>
      <c r="FAN508" s="332"/>
      <c r="FAO508" s="332"/>
      <c r="FAP508" s="332"/>
      <c r="FAQ508" s="332"/>
      <c r="FAR508" s="332"/>
      <c r="FAS508" s="332"/>
      <c r="FAT508" s="332"/>
      <c r="FAU508" s="332"/>
      <c r="FAV508" s="332"/>
      <c r="FAW508" s="332"/>
      <c r="FAX508" s="332"/>
      <c r="FAY508" s="332"/>
      <c r="FAZ508" s="332"/>
      <c r="FBA508" s="332"/>
      <c r="FBB508" s="332"/>
      <c r="FBC508" s="332"/>
      <c r="FBD508" s="332"/>
      <c r="FBE508" s="332"/>
      <c r="FBF508" s="332"/>
      <c r="FBG508" s="332"/>
      <c r="FBH508" s="332"/>
      <c r="FBI508" s="332"/>
      <c r="FBJ508" s="332"/>
      <c r="FBK508" s="332"/>
      <c r="FBL508" s="332"/>
      <c r="FBM508" s="332"/>
      <c r="FBN508" s="332"/>
      <c r="FBO508" s="332"/>
      <c r="FBP508" s="332"/>
      <c r="FBQ508" s="332"/>
      <c r="FBR508" s="332"/>
      <c r="FBS508" s="332"/>
      <c r="FBT508" s="332"/>
      <c r="FBU508" s="332"/>
      <c r="FBV508" s="332"/>
      <c r="FBW508" s="332"/>
      <c r="FBX508" s="332"/>
      <c r="FBY508" s="332"/>
      <c r="FBZ508" s="332"/>
      <c r="FCA508" s="332"/>
      <c r="FCB508" s="332"/>
      <c r="FCC508" s="332"/>
      <c r="FCD508" s="332"/>
      <c r="FCE508" s="332"/>
      <c r="FCF508" s="332"/>
      <c r="FCG508" s="332"/>
      <c r="FCH508" s="332"/>
      <c r="FCI508" s="332"/>
      <c r="FCJ508" s="332"/>
      <c r="FCK508" s="332"/>
      <c r="FCL508" s="332"/>
      <c r="FCM508" s="332"/>
      <c r="FCN508" s="332"/>
      <c r="FCO508" s="332"/>
      <c r="FCP508" s="332"/>
      <c r="FCQ508" s="332"/>
      <c r="FCR508" s="332"/>
      <c r="FCS508" s="332"/>
      <c r="FCT508" s="332"/>
      <c r="FCU508" s="332"/>
      <c r="FCV508" s="332"/>
      <c r="FCW508" s="332"/>
      <c r="FCX508" s="332"/>
      <c r="FCY508" s="332"/>
      <c r="FCZ508" s="332"/>
      <c r="FDA508" s="332"/>
      <c r="FDB508" s="332"/>
      <c r="FDC508" s="332"/>
      <c r="FDD508" s="332"/>
      <c r="FDE508" s="332"/>
      <c r="FDF508" s="332"/>
      <c r="FDG508" s="332"/>
      <c r="FDH508" s="332"/>
      <c r="FDI508" s="332"/>
      <c r="FDJ508" s="332"/>
      <c r="FDK508" s="332"/>
      <c r="FDL508" s="332"/>
      <c r="FDM508" s="332"/>
      <c r="FDN508" s="332"/>
      <c r="FDO508" s="332"/>
      <c r="FDP508" s="332"/>
      <c r="FDQ508" s="332"/>
      <c r="FDR508" s="332"/>
      <c r="FDS508" s="332"/>
      <c r="FDT508" s="332"/>
      <c r="FDU508" s="332"/>
      <c r="FDV508" s="332"/>
      <c r="FDW508" s="332"/>
      <c r="FDX508" s="332"/>
      <c r="FDY508" s="332"/>
      <c r="FDZ508" s="332"/>
      <c r="FEA508" s="332"/>
      <c r="FEB508" s="332"/>
      <c r="FEC508" s="332"/>
      <c r="FED508" s="332"/>
      <c r="FEE508" s="332"/>
      <c r="FEF508" s="332"/>
      <c r="FEG508" s="332"/>
      <c r="FEH508" s="332"/>
      <c r="FEI508" s="332"/>
      <c r="FEJ508" s="332"/>
      <c r="FEK508" s="332"/>
      <c r="FEL508" s="332"/>
      <c r="FEM508" s="332"/>
      <c r="FEN508" s="332"/>
      <c r="FEO508" s="332"/>
      <c r="FEP508" s="332"/>
      <c r="FEQ508" s="332"/>
      <c r="FER508" s="332"/>
      <c r="FES508" s="332"/>
      <c r="FET508" s="332"/>
      <c r="FEU508" s="332"/>
      <c r="FEV508" s="332"/>
      <c r="FEW508" s="332"/>
      <c r="FEX508" s="332"/>
      <c r="FEY508" s="332"/>
      <c r="FEZ508" s="332"/>
      <c r="FFA508" s="332"/>
      <c r="FFB508" s="332"/>
      <c r="FFC508" s="332"/>
      <c r="FFD508" s="332"/>
      <c r="FFE508" s="332"/>
      <c r="FFF508" s="332"/>
      <c r="FFG508" s="332"/>
      <c r="FFH508" s="332"/>
      <c r="FFI508" s="332"/>
      <c r="FFJ508" s="332"/>
      <c r="FFK508" s="332"/>
      <c r="FFL508" s="332"/>
      <c r="FFM508" s="332"/>
      <c r="FFN508" s="332"/>
      <c r="FFO508" s="332"/>
      <c r="FFP508" s="332"/>
      <c r="FFQ508" s="332"/>
      <c r="FFR508" s="332"/>
      <c r="FFS508" s="332"/>
      <c r="FFT508" s="332"/>
      <c r="FFU508" s="332"/>
      <c r="FFV508" s="332"/>
      <c r="FFW508" s="332"/>
      <c r="FFX508" s="332"/>
      <c r="FFY508" s="332"/>
      <c r="FFZ508" s="332"/>
      <c r="FGA508" s="332"/>
      <c r="FGB508" s="332"/>
      <c r="FGC508" s="332"/>
      <c r="FGD508" s="332"/>
      <c r="FGE508" s="332"/>
      <c r="FGF508" s="332"/>
      <c r="FGG508" s="332"/>
      <c r="FGH508" s="332"/>
      <c r="FGI508" s="332"/>
      <c r="FGJ508" s="332"/>
      <c r="FGK508" s="332"/>
      <c r="FGL508" s="332"/>
      <c r="FGM508" s="332"/>
      <c r="FGN508" s="332"/>
      <c r="FGO508" s="332"/>
      <c r="FGP508" s="332"/>
      <c r="FGQ508" s="332"/>
      <c r="FGR508" s="332"/>
      <c r="FGS508" s="332"/>
      <c r="FGT508" s="332"/>
      <c r="FGU508" s="332"/>
      <c r="FGV508" s="332"/>
      <c r="FGW508" s="332"/>
      <c r="FGX508" s="332"/>
      <c r="FGY508" s="332"/>
      <c r="FGZ508" s="332"/>
      <c r="FHA508" s="332"/>
      <c r="FHB508" s="332"/>
      <c r="FHC508" s="332"/>
      <c r="FHD508" s="332"/>
      <c r="FHE508" s="332"/>
      <c r="FHF508" s="332"/>
      <c r="FHG508" s="332"/>
      <c r="FHH508" s="332"/>
      <c r="FHI508" s="332"/>
      <c r="FHJ508" s="332"/>
      <c r="FHK508" s="332"/>
      <c r="FHL508" s="332"/>
      <c r="FHM508" s="332"/>
      <c r="FHN508" s="332"/>
      <c r="FHO508" s="332"/>
      <c r="FHP508" s="332"/>
      <c r="FHQ508" s="332"/>
      <c r="FHR508" s="332"/>
      <c r="FHS508" s="332"/>
      <c r="FHT508" s="332"/>
      <c r="FHU508" s="332"/>
      <c r="FHV508" s="332"/>
      <c r="FHW508" s="332"/>
      <c r="FHX508" s="332"/>
      <c r="FHY508" s="332"/>
      <c r="FHZ508" s="332"/>
      <c r="FIA508" s="332"/>
      <c r="FIB508" s="332"/>
      <c r="FIC508" s="332"/>
      <c r="FID508" s="332"/>
      <c r="FIE508" s="332"/>
      <c r="FIF508" s="332"/>
      <c r="FIG508" s="332"/>
      <c r="FIH508" s="332"/>
      <c r="FII508" s="332"/>
      <c r="FIJ508" s="332"/>
      <c r="FIK508" s="332"/>
      <c r="FIL508" s="332"/>
      <c r="FIM508" s="332"/>
      <c r="FIN508" s="332"/>
      <c r="FIO508" s="332"/>
      <c r="FIP508" s="332"/>
      <c r="FIQ508" s="332"/>
      <c r="FIR508" s="332"/>
      <c r="FIS508" s="332"/>
      <c r="FIT508" s="332"/>
      <c r="FIU508" s="332"/>
      <c r="FIV508" s="332"/>
      <c r="FIW508" s="332"/>
      <c r="FIX508" s="332"/>
      <c r="FIY508" s="332"/>
      <c r="FIZ508" s="332"/>
      <c r="FJA508" s="332"/>
      <c r="FJB508" s="332"/>
      <c r="FJC508" s="332"/>
      <c r="FJD508" s="332"/>
      <c r="FJE508" s="332"/>
      <c r="FJF508" s="332"/>
      <c r="FJG508" s="332"/>
      <c r="FJH508" s="332"/>
      <c r="FJI508" s="332"/>
      <c r="FJJ508" s="332"/>
      <c r="FJK508" s="332"/>
      <c r="FJL508" s="332"/>
      <c r="FJM508" s="332"/>
      <c r="FJN508" s="332"/>
      <c r="FJO508" s="332"/>
      <c r="FJP508" s="332"/>
      <c r="FJQ508" s="332"/>
      <c r="FJR508" s="332"/>
      <c r="FJS508" s="332"/>
      <c r="FJT508" s="332"/>
      <c r="FJU508" s="332"/>
      <c r="FJV508" s="332"/>
      <c r="FJW508" s="332"/>
      <c r="FJX508" s="332"/>
      <c r="FJY508" s="332"/>
      <c r="FJZ508" s="332"/>
      <c r="FKA508" s="332"/>
      <c r="FKB508" s="332"/>
      <c r="FKC508" s="332"/>
      <c r="FKD508" s="332"/>
      <c r="FKE508" s="332"/>
      <c r="FKF508" s="332"/>
      <c r="FKG508" s="332"/>
      <c r="FKH508" s="332"/>
      <c r="FKI508" s="332"/>
      <c r="FKJ508" s="332"/>
      <c r="FKK508" s="332"/>
      <c r="FKL508" s="332"/>
      <c r="FKM508" s="332"/>
      <c r="FKN508" s="332"/>
      <c r="FKO508" s="332"/>
      <c r="FKP508" s="332"/>
      <c r="FKQ508" s="332"/>
      <c r="FKR508" s="332"/>
      <c r="FKS508" s="332"/>
      <c r="FKT508" s="332"/>
      <c r="FKU508" s="332"/>
      <c r="FKV508" s="332"/>
      <c r="FKW508" s="332"/>
      <c r="FKX508" s="332"/>
      <c r="FKY508" s="332"/>
      <c r="FKZ508" s="332"/>
      <c r="FLA508" s="332"/>
      <c r="FLB508" s="332"/>
      <c r="FLC508" s="332"/>
      <c r="FLD508" s="332"/>
      <c r="FLE508" s="332"/>
      <c r="FLF508" s="332"/>
      <c r="FLG508" s="332"/>
      <c r="FLH508" s="332"/>
      <c r="FLI508" s="332"/>
      <c r="FLJ508" s="332"/>
      <c r="FLK508" s="332"/>
      <c r="FLL508" s="332"/>
      <c r="FLM508" s="332"/>
      <c r="FLN508" s="332"/>
      <c r="FLO508" s="332"/>
      <c r="FLP508" s="332"/>
      <c r="FLQ508" s="332"/>
      <c r="FLR508" s="332"/>
      <c r="FLS508" s="332"/>
      <c r="FLT508" s="332"/>
      <c r="FLU508" s="332"/>
      <c r="FLV508" s="332"/>
      <c r="FLW508" s="332"/>
      <c r="FLX508" s="332"/>
      <c r="FLY508" s="332"/>
      <c r="FLZ508" s="332"/>
      <c r="FMA508" s="332"/>
      <c r="FMB508" s="332"/>
      <c r="FMC508" s="332"/>
      <c r="FMD508" s="332"/>
      <c r="FME508" s="332"/>
      <c r="FMF508" s="332"/>
      <c r="FMG508" s="332"/>
      <c r="FMH508" s="332"/>
      <c r="FMI508" s="332"/>
      <c r="FMJ508" s="332"/>
      <c r="FMK508" s="332"/>
      <c r="FML508" s="332"/>
      <c r="FMM508" s="332"/>
      <c r="FMN508" s="332"/>
      <c r="FMO508" s="332"/>
      <c r="FMP508" s="332"/>
      <c r="FMQ508" s="332"/>
      <c r="FMR508" s="332"/>
      <c r="FMS508" s="332"/>
      <c r="FMT508" s="332"/>
      <c r="FMU508" s="332"/>
      <c r="FMV508" s="332"/>
      <c r="FMW508" s="332"/>
      <c r="FMX508" s="332"/>
      <c r="FMY508" s="332"/>
      <c r="FMZ508" s="332"/>
      <c r="FNA508" s="332"/>
      <c r="FNB508" s="332"/>
      <c r="FNC508" s="332"/>
      <c r="FND508" s="332"/>
      <c r="FNE508" s="332"/>
      <c r="FNF508" s="332"/>
      <c r="FNG508" s="332"/>
      <c r="FNH508" s="332"/>
      <c r="FNI508" s="332"/>
      <c r="FNJ508" s="332"/>
      <c r="FNK508" s="332"/>
      <c r="FNL508" s="332"/>
      <c r="FNM508" s="332"/>
      <c r="FNN508" s="332"/>
      <c r="FNO508" s="332"/>
      <c r="FNP508" s="332"/>
      <c r="FNQ508" s="332"/>
      <c r="FNR508" s="332"/>
      <c r="FNS508" s="332"/>
      <c r="FNT508" s="332"/>
      <c r="FNU508" s="332"/>
      <c r="FNV508" s="332"/>
      <c r="FNW508" s="332"/>
      <c r="FNX508" s="332"/>
      <c r="FNY508" s="332"/>
      <c r="FNZ508" s="332"/>
      <c r="FOA508" s="332"/>
      <c r="FOB508" s="332"/>
      <c r="FOC508" s="332"/>
      <c r="FOD508" s="332"/>
      <c r="FOE508" s="332"/>
      <c r="FOF508" s="332"/>
      <c r="FOG508" s="332"/>
      <c r="FOH508" s="332"/>
      <c r="FOI508" s="332"/>
      <c r="FOJ508" s="332"/>
      <c r="FOK508" s="332"/>
      <c r="FOL508" s="332"/>
      <c r="FOM508" s="332"/>
      <c r="FON508" s="332"/>
      <c r="FOO508" s="332"/>
      <c r="FOP508" s="332"/>
      <c r="FOQ508" s="332"/>
      <c r="FOR508" s="332"/>
      <c r="FOS508" s="332"/>
      <c r="FOT508" s="332"/>
      <c r="FOU508" s="332"/>
      <c r="FOV508" s="332"/>
      <c r="FOW508" s="332"/>
      <c r="FOX508" s="332"/>
      <c r="FOY508" s="332"/>
      <c r="FOZ508" s="332"/>
      <c r="FPA508" s="332"/>
      <c r="FPB508" s="332"/>
      <c r="FPC508" s="332"/>
      <c r="FPD508" s="332"/>
      <c r="FPE508" s="332"/>
      <c r="FPF508" s="332"/>
      <c r="FPG508" s="332"/>
      <c r="FPH508" s="332"/>
      <c r="FPI508" s="332"/>
      <c r="FPJ508" s="332"/>
      <c r="FPK508" s="332"/>
      <c r="FPL508" s="332"/>
      <c r="FPM508" s="332"/>
      <c r="FPN508" s="332"/>
      <c r="FPO508" s="332"/>
      <c r="FPP508" s="332"/>
      <c r="FPQ508" s="332"/>
      <c r="FPR508" s="332"/>
      <c r="FPS508" s="332"/>
      <c r="FPT508" s="332"/>
      <c r="FPU508" s="332"/>
      <c r="FPV508" s="332"/>
      <c r="FPW508" s="332"/>
      <c r="FPX508" s="332"/>
      <c r="FPY508" s="332"/>
      <c r="FPZ508" s="332"/>
      <c r="FQA508" s="332"/>
      <c r="FQB508" s="332"/>
      <c r="FQC508" s="332"/>
      <c r="FQD508" s="332"/>
      <c r="FQE508" s="332"/>
      <c r="FQF508" s="332"/>
      <c r="FQG508" s="332"/>
      <c r="FQH508" s="332"/>
      <c r="FQI508" s="332"/>
      <c r="FQJ508" s="332"/>
      <c r="FQK508" s="332"/>
      <c r="FQL508" s="332"/>
      <c r="FQM508" s="332"/>
      <c r="FQN508" s="332"/>
      <c r="FQO508" s="332"/>
      <c r="FQP508" s="332"/>
      <c r="FQQ508" s="332"/>
      <c r="FQR508" s="332"/>
      <c r="FQS508" s="332"/>
      <c r="FQT508" s="332"/>
      <c r="FQU508" s="332"/>
      <c r="FQV508" s="332"/>
      <c r="FQW508" s="332"/>
      <c r="FQX508" s="332"/>
      <c r="FQY508" s="332"/>
      <c r="FQZ508" s="332"/>
      <c r="FRA508" s="332"/>
      <c r="FRB508" s="332"/>
      <c r="FRC508" s="332"/>
      <c r="FRD508" s="332"/>
      <c r="FRE508" s="332"/>
      <c r="FRF508" s="332"/>
      <c r="FRG508" s="332"/>
      <c r="FRH508" s="332"/>
      <c r="FRI508" s="332"/>
      <c r="FRJ508" s="332"/>
      <c r="FRK508" s="332"/>
      <c r="FRL508" s="332"/>
      <c r="FRM508" s="332"/>
      <c r="FRN508" s="332"/>
      <c r="FRO508" s="332"/>
      <c r="FRP508" s="332"/>
      <c r="FRQ508" s="332"/>
      <c r="FRR508" s="332"/>
      <c r="FRS508" s="332"/>
      <c r="FRT508" s="332"/>
      <c r="FRU508" s="332"/>
      <c r="FRV508" s="332"/>
      <c r="FRW508" s="332"/>
      <c r="FRX508" s="332"/>
      <c r="FRY508" s="332"/>
      <c r="FRZ508" s="332"/>
      <c r="FSA508" s="332"/>
      <c r="FSB508" s="332"/>
      <c r="FSC508" s="332"/>
      <c r="FSD508" s="332"/>
      <c r="FSE508" s="332"/>
      <c r="FSF508" s="332"/>
      <c r="FSG508" s="332"/>
      <c r="FSH508" s="332"/>
      <c r="FSI508" s="332"/>
      <c r="FSJ508" s="332"/>
      <c r="FSK508" s="332"/>
      <c r="FSL508" s="332"/>
      <c r="FSM508" s="332"/>
      <c r="FSN508" s="332"/>
      <c r="FSO508" s="332"/>
      <c r="FSP508" s="332"/>
      <c r="FSQ508" s="332"/>
      <c r="FSR508" s="332"/>
      <c r="FSS508" s="332"/>
      <c r="FST508" s="332"/>
      <c r="FSU508" s="332"/>
      <c r="FSV508" s="332"/>
      <c r="FSW508" s="332"/>
      <c r="FSX508" s="332"/>
      <c r="FSY508" s="332"/>
      <c r="FSZ508" s="332"/>
      <c r="FTA508" s="332"/>
      <c r="FTB508" s="332"/>
      <c r="FTC508" s="332"/>
      <c r="FTD508" s="332"/>
      <c r="FTE508" s="332"/>
      <c r="FTF508" s="332"/>
      <c r="FTG508" s="332"/>
      <c r="FTH508" s="332"/>
      <c r="FTI508" s="332"/>
      <c r="FTJ508" s="332"/>
      <c r="FTK508" s="332"/>
      <c r="FTL508" s="332"/>
      <c r="FTM508" s="332"/>
      <c r="FTN508" s="332"/>
      <c r="FTO508" s="332"/>
      <c r="FTP508" s="332"/>
      <c r="FTQ508" s="332"/>
      <c r="FTR508" s="332"/>
      <c r="FTS508" s="332"/>
      <c r="FTT508" s="332"/>
      <c r="FTU508" s="332"/>
      <c r="FTV508" s="332"/>
      <c r="FTW508" s="332"/>
      <c r="FTX508" s="332"/>
      <c r="FTY508" s="332"/>
      <c r="FTZ508" s="332"/>
      <c r="FUA508" s="332"/>
      <c r="FUB508" s="332"/>
      <c r="FUC508" s="332"/>
      <c r="FUD508" s="332"/>
      <c r="FUE508" s="332"/>
      <c r="FUF508" s="332"/>
      <c r="FUG508" s="332"/>
      <c r="FUH508" s="332"/>
      <c r="FUI508" s="332"/>
      <c r="FUJ508" s="332"/>
      <c r="FUK508" s="332"/>
      <c r="FUL508" s="332"/>
      <c r="FUM508" s="332"/>
      <c r="FUN508" s="332"/>
      <c r="FUO508" s="332"/>
      <c r="FUP508" s="332"/>
      <c r="FUQ508" s="332"/>
      <c r="FUR508" s="332"/>
      <c r="FUS508" s="332"/>
      <c r="FUT508" s="332"/>
      <c r="FUU508" s="332"/>
      <c r="FUV508" s="332"/>
      <c r="FUW508" s="332"/>
      <c r="FUX508" s="332"/>
      <c r="FUY508" s="332"/>
      <c r="FUZ508" s="332"/>
      <c r="FVA508" s="332"/>
      <c r="FVB508" s="332"/>
      <c r="FVC508" s="332"/>
      <c r="FVD508" s="332"/>
      <c r="FVE508" s="332"/>
      <c r="FVF508" s="332"/>
      <c r="FVG508" s="332"/>
      <c r="FVH508" s="332"/>
      <c r="FVI508" s="332"/>
      <c r="FVJ508" s="332"/>
      <c r="FVK508" s="332"/>
      <c r="FVL508" s="332"/>
      <c r="FVM508" s="332"/>
      <c r="FVN508" s="332"/>
      <c r="FVO508" s="332"/>
      <c r="FVP508" s="332"/>
      <c r="FVQ508" s="332"/>
      <c r="FVR508" s="332"/>
      <c r="FVS508" s="332"/>
      <c r="FVT508" s="332"/>
      <c r="FVU508" s="332"/>
      <c r="FVV508" s="332"/>
      <c r="FVW508" s="332"/>
      <c r="FVX508" s="332"/>
      <c r="FVY508" s="332"/>
      <c r="FVZ508" s="332"/>
      <c r="FWA508" s="332"/>
      <c r="FWB508" s="332"/>
      <c r="FWC508" s="332"/>
      <c r="FWD508" s="332"/>
      <c r="FWE508" s="332"/>
      <c r="FWF508" s="332"/>
      <c r="FWG508" s="332"/>
      <c r="FWH508" s="332"/>
      <c r="FWI508" s="332"/>
      <c r="FWJ508" s="332"/>
      <c r="FWK508" s="332"/>
      <c r="FWL508" s="332"/>
      <c r="FWM508" s="332"/>
      <c r="FWN508" s="332"/>
      <c r="FWO508" s="332"/>
      <c r="FWP508" s="332"/>
      <c r="FWQ508" s="332"/>
      <c r="FWR508" s="332"/>
      <c r="FWS508" s="332"/>
      <c r="FWT508" s="332"/>
      <c r="FWU508" s="332"/>
      <c r="FWV508" s="332"/>
      <c r="FWW508" s="332"/>
      <c r="FWX508" s="332"/>
      <c r="FWY508" s="332"/>
      <c r="FWZ508" s="332"/>
      <c r="FXA508" s="332"/>
      <c r="FXB508" s="332"/>
      <c r="FXC508" s="332"/>
      <c r="FXD508" s="332"/>
      <c r="FXE508" s="332"/>
      <c r="FXF508" s="332"/>
      <c r="FXG508" s="332"/>
      <c r="FXH508" s="332"/>
      <c r="FXI508" s="332"/>
      <c r="FXJ508" s="332"/>
      <c r="FXK508" s="332"/>
      <c r="FXL508" s="332"/>
      <c r="FXM508" s="332"/>
      <c r="FXN508" s="332"/>
      <c r="FXO508" s="332"/>
      <c r="FXP508" s="332"/>
      <c r="FXQ508" s="332"/>
      <c r="FXR508" s="332"/>
      <c r="FXS508" s="332"/>
      <c r="FXT508" s="332"/>
      <c r="FXU508" s="332"/>
      <c r="FXV508" s="332"/>
      <c r="FXW508" s="332"/>
      <c r="FXX508" s="332"/>
      <c r="FXY508" s="332"/>
      <c r="FXZ508" s="332"/>
      <c r="FYA508" s="332"/>
      <c r="FYB508" s="332"/>
      <c r="FYC508" s="332"/>
      <c r="FYD508" s="332"/>
      <c r="FYE508" s="332"/>
      <c r="FYF508" s="332"/>
      <c r="FYG508" s="332"/>
      <c r="FYH508" s="332"/>
      <c r="FYI508" s="332"/>
      <c r="FYJ508" s="332"/>
      <c r="FYK508" s="332"/>
      <c r="FYL508" s="332"/>
      <c r="FYM508" s="332"/>
      <c r="FYN508" s="332"/>
      <c r="FYO508" s="332"/>
      <c r="FYP508" s="332"/>
      <c r="FYQ508" s="332"/>
      <c r="FYR508" s="332"/>
      <c r="FYS508" s="332"/>
      <c r="FYT508" s="332"/>
      <c r="FYU508" s="332"/>
      <c r="FYV508" s="332"/>
      <c r="FYW508" s="332"/>
      <c r="FYX508" s="332"/>
      <c r="FYY508" s="332"/>
      <c r="FYZ508" s="332"/>
      <c r="FZA508" s="332"/>
      <c r="FZB508" s="332"/>
      <c r="FZC508" s="332"/>
      <c r="FZD508" s="332"/>
      <c r="FZE508" s="332"/>
      <c r="FZF508" s="332"/>
      <c r="FZG508" s="332"/>
      <c r="FZH508" s="332"/>
      <c r="FZI508" s="332"/>
      <c r="FZJ508" s="332"/>
      <c r="FZK508" s="332"/>
      <c r="FZL508" s="332"/>
      <c r="FZM508" s="332"/>
      <c r="FZN508" s="332"/>
      <c r="FZO508" s="332"/>
      <c r="FZP508" s="332"/>
      <c r="FZQ508" s="332"/>
      <c r="FZR508" s="332"/>
      <c r="FZS508" s="332"/>
      <c r="FZT508" s="332"/>
      <c r="FZU508" s="332"/>
      <c r="FZV508" s="332"/>
      <c r="FZW508" s="332"/>
      <c r="FZX508" s="332"/>
      <c r="FZY508" s="332"/>
      <c r="FZZ508" s="332"/>
      <c r="GAA508" s="332"/>
      <c r="GAB508" s="332"/>
      <c r="GAC508" s="332"/>
      <c r="GAD508" s="332"/>
      <c r="GAE508" s="332"/>
      <c r="GAF508" s="332"/>
      <c r="GAG508" s="332"/>
      <c r="GAH508" s="332"/>
      <c r="GAI508" s="332"/>
      <c r="GAJ508" s="332"/>
      <c r="GAK508" s="332"/>
      <c r="GAL508" s="332"/>
      <c r="GAM508" s="332"/>
      <c r="GAN508" s="332"/>
      <c r="GAO508" s="332"/>
      <c r="GAP508" s="332"/>
      <c r="GAQ508" s="332"/>
      <c r="GAR508" s="332"/>
      <c r="GAS508" s="332"/>
      <c r="GAT508" s="332"/>
      <c r="GAU508" s="332"/>
      <c r="GAV508" s="332"/>
      <c r="GAW508" s="332"/>
      <c r="GAX508" s="332"/>
      <c r="GAY508" s="332"/>
      <c r="GAZ508" s="332"/>
      <c r="GBA508" s="332"/>
      <c r="GBB508" s="332"/>
      <c r="GBC508" s="332"/>
      <c r="GBD508" s="332"/>
      <c r="GBE508" s="332"/>
      <c r="GBF508" s="332"/>
      <c r="GBG508" s="332"/>
      <c r="GBH508" s="332"/>
      <c r="GBI508" s="332"/>
      <c r="GBJ508" s="332"/>
      <c r="GBK508" s="332"/>
      <c r="GBL508" s="332"/>
      <c r="GBM508" s="332"/>
      <c r="GBN508" s="332"/>
      <c r="GBO508" s="332"/>
      <c r="GBP508" s="332"/>
      <c r="GBQ508" s="332"/>
      <c r="GBR508" s="332"/>
      <c r="GBS508" s="332"/>
      <c r="GBT508" s="332"/>
      <c r="GBU508" s="332"/>
      <c r="GBV508" s="332"/>
      <c r="GBW508" s="332"/>
      <c r="GBX508" s="332"/>
      <c r="GBY508" s="332"/>
      <c r="GBZ508" s="332"/>
      <c r="GCA508" s="332"/>
      <c r="GCB508" s="332"/>
      <c r="GCC508" s="332"/>
      <c r="GCD508" s="332"/>
      <c r="GCE508" s="332"/>
      <c r="GCF508" s="332"/>
      <c r="GCG508" s="332"/>
      <c r="GCH508" s="332"/>
      <c r="GCI508" s="332"/>
      <c r="GCJ508" s="332"/>
      <c r="GCK508" s="332"/>
      <c r="GCL508" s="332"/>
      <c r="GCM508" s="332"/>
      <c r="GCN508" s="332"/>
      <c r="GCO508" s="332"/>
      <c r="GCP508" s="332"/>
      <c r="GCQ508" s="332"/>
      <c r="GCR508" s="332"/>
      <c r="GCS508" s="332"/>
      <c r="GCT508" s="332"/>
      <c r="GCU508" s="332"/>
      <c r="GCV508" s="332"/>
      <c r="GCW508" s="332"/>
      <c r="GCX508" s="332"/>
      <c r="GCY508" s="332"/>
      <c r="GCZ508" s="332"/>
      <c r="GDA508" s="332"/>
      <c r="GDB508" s="332"/>
      <c r="GDC508" s="332"/>
      <c r="GDD508" s="332"/>
      <c r="GDE508" s="332"/>
      <c r="GDF508" s="332"/>
      <c r="GDG508" s="332"/>
      <c r="GDH508" s="332"/>
      <c r="GDI508" s="332"/>
      <c r="GDJ508" s="332"/>
      <c r="GDK508" s="332"/>
      <c r="GDL508" s="332"/>
      <c r="GDM508" s="332"/>
      <c r="GDN508" s="332"/>
      <c r="GDO508" s="332"/>
      <c r="GDP508" s="332"/>
      <c r="GDQ508" s="332"/>
      <c r="GDR508" s="332"/>
      <c r="GDS508" s="332"/>
      <c r="GDT508" s="332"/>
      <c r="GDU508" s="332"/>
      <c r="GDV508" s="332"/>
      <c r="GDW508" s="332"/>
      <c r="GDX508" s="332"/>
      <c r="GDY508" s="332"/>
      <c r="GDZ508" s="332"/>
      <c r="GEA508" s="332"/>
      <c r="GEB508" s="332"/>
      <c r="GEC508" s="332"/>
      <c r="GED508" s="332"/>
      <c r="GEE508" s="332"/>
      <c r="GEF508" s="332"/>
      <c r="GEG508" s="332"/>
      <c r="GEH508" s="332"/>
      <c r="GEI508" s="332"/>
      <c r="GEJ508" s="332"/>
      <c r="GEK508" s="332"/>
      <c r="GEL508" s="332"/>
      <c r="GEM508" s="332"/>
      <c r="GEN508" s="332"/>
      <c r="GEO508" s="332"/>
      <c r="GEP508" s="332"/>
      <c r="GEQ508" s="332"/>
      <c r="GER508" s="332"/>
      <c r="GES508" s="332"/>
      <c r="GET508" s="332"/>
      <c r="GEU508" s="332"/>
      <c r="GEV508" s="332"/>
      <c r="GEW508" s="332"/>
      <c r="GEX508" s="332"/>
      <c r="GEY508" s="332"/>
      <c r="GEZ508" s="332"/>
      <c r="GFA508" s="332"/>
      <c r="GFB508" s="332"/>
      <c r="GFC508" s="332"/>
      <c r="GFD508" s="332"/>
      <c r="GFE508" s="332"/>
      <c r="GFF508" s="332"/>
      <c r="GFG508" s="332"/>
      <c r="GFH508" s="332"/>
      <c r="GFI508" s="332"/>
      <c r="GFJ508" s="332"/>
      <c r="GFK508" s="332"/>
      <c r="GFL508" s="332"/>
      <c r="GFM508" s="332"/>
      <c r="GFN508" s="332"/>
      <c r="GFO508" s="332"/>
      <c r="GFP508" s="332"/>
      <c r="GFQ508" s="332"/>
      <c r="GFR508" s="332"/>
      <c r="GFS508" s="332"/>
      <c r="GFT508" s="332"/>
      <c r="GFU508" s="332"/>
      <c r="GFV508" s="332"/>
      <c r="GFW508" s="332"/>
      <c r="GFX508" s="332"/>
      <c r="GFY508" s="332"/>
      <c r="GFZ508" s="332"/>
      <c r="GGA508" s="332"/>
      <c r="GGB508" s="332"/>
      <c r="GGC508" s="332"/>
      <c r="GGD508" s="332"/>
      <c r="GGE508" s="332"/>
      <c r="GGF508" s="332"/>
      <c r="GGG508" s="332"/>
      <c r="GGH508" s="332"/>
      <c r="GGI508" s="332"/>
      <c r="GGJ508" s="332"/>
      <c r="GGK508" s="332"/>
      <c r="GGL508" s="332"/>
      <c r="GGM508" s="332"/>
      <c r="GGN508" s="332"/>
      <c r="GGO508" s="332"/>
      <c r="GGP508" s="332"/>
      <c r="GGQ508" s="332"/>
      <c r="GGR508" s="332"/>
      <c r="GGS508" s="332"/>
      <c r="GGT508" s="332"/>
      <c r="GGU508" s="332"/>
      <c r="GGV508" s="332"/>
      <c r="GGW508" s="332"/>
      <c r="GGX508" s="332"/>
      <c r="GGY508" s="332"/>
      <c r="GGZ508" s="332"/>
      <c r="GHA508" s="332"/>
      <c r="GHB508" s="332"/>
      <c r="GHC508" s="332"/>
      <c r="GHD508" s="332"/>
      <c r="GHE508" s="332"/>
      <c r="GHF508" s="332"/>
      <c r="GHG508" s="332"/>
      <c r="GHH508" s="332"/>
      <c r="GHI508" s="332"/>
      <c r="GHJ508" s="332"/>
      <c r="GHK508" s="332"/>
      <c r="GHL508" s="332"/>
      <c r="GHM508" s="332"/>
      <c r="GHN508" s="332"/>
      <c r="GHO508" s="332"/>
      <c r="GHP508" s="332"/>
      <c r="GHQ508" s="332"/>
      <c r="GHR508" s="332"/>
      <c r="GHS508" s="332"/>
      <c r="GHT508" s="332"/>
      <c r="GHU508" s="332"/>
      <c r="GHV508" s="332"/>
      <c r="GHW508" s="332"/>
      <c r="GHX508" s="332"/>
      <c r="GHY508" s="332"/>
      <c r="GHZ508" s="332"/>
      <c r="GIA508" s="332"/>
      <c r="GIB508" s="332"/>
      <c r="GIC508" s="332"/>
      <c r="GID508" s="332"/>
      <c r="GIE508" s="332"/>
      <c r="GIF508" s="332"/>
      <c r="GIG508" s="332"/>
      <c r="GIH508" s="332"/>
      <c r="GII508" s="332"/>
      <c r="GIJ508" s="332"/>
      <c r="GIK508" s="332"/>
      <c r="GIL508" s="332"/>
      <c r="GIM508" s="332"/>
      <c r="GIN508" s="332"/>
      <c r="GIO508" s="332"/>
      <c r="GIP508" s="332"/>
      <c r="GIQ508" s="332"/>
      <c r="GIR508" s="332"/>
      <c r="GIS508" s="332"/>
      <c r="GIT508" s="332"/>
      <c r="GIU508" s="332"/>
      <c r="GIV508" s="332"/>
      <c r="GIW508" s="332"/>
      <c r="GIX508" s="332"/>
      <c r="GIY508" s="332"/>
      <c r="GIZ508" s="332"/>
      <c r="GJA508" s="332"/>
      <c r="GJB508" s="332"/>
      <c r="GJC508" s="332"/>
      <c r="GJD508" s="332"/>
      <c r="GJE508" s="332"/>
      <c r="GJF508" s="332"/>
      <c r="GJG508" s="332"/>
      <c r="GJH508" s="332"/>
      <c r="GJI508" s="332"/>
      <c r="GJJ508" s="332"/>
      <c r="GJK508" s="332"/>
      <c r="GJL508" s="332"/>
      <c r="GJM508" s="332"/>
      <c r="GJN508" s="332"/>
      <c r="GJO508" s="332"/>
      <c r="GJP508" s="332"/>
      <c r="GJQ508" s="332"/>
      <c r="GJR508" s="332"/>
      <c r="GJS508" s="332"/>
      <c r="GJT508" s="332"/>
      <c r="GJU508" s="332"/>
      <c r="GJV508" s="332"/>
      <c r="GJW508" s="332"/>
      <c r="GJX508" s="332"/>
      <c r="GJY508" s="332"/>
      <c r="GJZ508" s="332"/>
      <c r="GKA508" s="332"/>
      <c r="GKB508" s="332"/>
      <c r="GKC508" s="332"/>
      <c r="GKD508" s="332"/>
      <c r="GKE508" s="332"/>
      <c r="GKF508" s="332"/>
      <c r="GKG508" s="332"/>
      <c r="GKH508" s="332"/>
      <c r="GKI508" s="332"/>
      <c r="GKJ508" s="332"/>
      <c r="GKK508" s="332"/>
      <c r="GKL508" s="332"/>
      <c r="GKM508" s="332"/>
      <c r="GKN508" s="332"/>
      <c r="GKO508" s="332"/>
      <c r="GKP508" s="332"/>
      <c r="GKQ508" s="332"/>
      <c r="GKR508" s="332"/>
      <c r="GKS508" s="332"/>
      <c r="GKT508" s="332"/>
      <c r="GKU508" s="332"/>
      <c r="GKV508" s="332"/>
      <c r="GKW508" s="332"/>
      <c r="GKX508" s="332"/>
      <c r="GKY508" s="332"/>
      <c r="GKZ508" s="332"/>
      <c r="GLA508" s="332"/>
      <c r="GLB508" s="332"/>
      <c r="GLC508" s="332"/>
      <c r="GLD508" s="332"/>
      <c r="GLE508" s="332"/>
      <c r="GLF508" s="332"/>
      <c r="GLG508" s="332"/>
      <c r="GLH508" s="332"/>
      <c r="GLI508" s="332"/>
      <c r="GLJ508" s="332"/>
      <c r="GLK508" s="332"/>
      <c r="GLL508" s="332"/>
      <c r="GLM508" s="332"/>
      <c r="GLN508" s="332"/>
      <c r="GLO508" s="332"/>
      <c r="GLP508" s="332"/>
      <c r="GLQ508" s="332"/>
      <c r="GLR508" s="332"/>
      <c r="GLS508" s="332"/>
      <c r="GLT508" s="332"/>
      <c r="GLU508" s="332"/>
      <c r="GLV508" s="332"/>
      <c r="GLW508" s="332"/>
      <c r="GLX508" s="332"/>
      <c r="GLY508" s="332"/>
      <c r="GLZ508" s="332"/>
      <c r="GMA508" s="332"/>
      <c r="GMB508" s="332"/>
      <c r="GMC508" s="332"/>
      <c r="GMD508" s="332"/>
      <c r="GME508" s="332"/>
      <c r="GMF508" s="332"/>
      <c r="GMG508" s="332"/>
      <c r="GMH508" s="332"/>
      <c r="GMI508" s="332"/>
      <c r="GMJ508" s="332"/>
      <c r="GMK508" s="332"/>
      <c r="GML508" s="332"/>
      <c r="GMM508" s="332"/>
      <c r="GMN508" s="332"/>
      <c r="GMO508" s="332"/>
      <c r="GMP508" s="332"/>
      <c r="GMQ508" s="332"/>
      <c r="GMR508" s="332"/>
      <c r="GMS508" s="332"/>
      <c r="GMT508" s="332"/>
      <c r="GMU508" s="332"/>
      <c r="GMV508" s="332"/>
      <c r="GMW508" s="332"/>
      <c r="GMX508" s="332"/>
      <c r="GMY508" s="332"/>
      <c r="GMZ508" s="332"/>
      <c r="GNA508" s="332"/>
      <c r="GNB508" s="332"/>
      <c r="GNC508" s="332"/>
      <c r="GND508" s="332"/>
      <c r="GNE508" s="332"/>
      <c r="GNF508" s="332"/>
      <c r="GNG508" s="332"/>
      <c r="GNH508" s="332"/>
      <c r="GNI508" s="332"/>
      <c r="GNJ508" s="332"/>
      <c r="GNK508" s="332"/>
      <c r="GNL508" s="332"/>
      <c r="GNM508" s="332"/>
      <c r="GNN508" s="332"/>
      <c r="GNO508" s="332"/>
      <c r="GNP508" s="332"/>
      <c r="GNQ508" s="332"/>
      <c r="GNR508" s="332"/>
      <c r="GNS508" s="332"/>
      <c r="GNT508" s="332"/>
      <c r="GNU508" s="332"/>
      <c r="GNV508" s="332"/>
      <c r="GNW508" s="332"/>
      <c r="GNX508" s="332"/>
      <c r="GNY508" s="332"/>
      <c r="GNZ508" s="332"/>
      <c r="GOA508" s="332"/>
      <c r="GOB508" s="332"/>
      <c r="GOC508" s="332"/>
      <c r="GOD508" s="332"/>
      <c r="GOE508" s="332"/>
      <c r="GOF508" s="332"/>
      <c r="GOG508" s="332"/>
      <c r="GOH508" s="332"/>
      <c r="GOI508" s="332"/>
      <c r="GOJ508" s="332"/>
      <c r="GOK508" s="332"/>
      <c r="GOL508" s="332"/>
      <c r="GOM508" s="332"/>
      <c r="GON508" s="332"/>
      <c r="GOO508" s="332"/>
      <c r="GOP508" s="332"/>
      <c r="GOQ508" s="332"/>
      <c r="GOR508" s="332"/>
      <c r="GOS508" s="332"/>
      <c r="GOT508" s="332"/>
      <c r="GOU508" s="332"/>
      <c r="GOV508" s="332"/>
      <c r="GOW508" s="332"/>
      <c r="GOX508" s="332"/>
      <c r="GOY508" s="332"/>
      <c r="GOZ508" s="332"/>
      <c r="GPA508" s="332"/>
      <c r="GPB508" s="332"/>
      <c r="GPC508" s="332"/>
      <c r="GPD508" s="332"/>
      <c r="GPE508" s="332"/>
      <c r="GPF508" s="332"/>
      <c r="GPG508" s="332"/>
      <c r="GPH508" s="332"/>
      <c r="GPI508" s="332"/>
      <c r="GPJ508" s="332"/>
      <c r="GPK508" s="332"/>
      <c r="GPL508" s="332"/>
      <c r="GPM508" s="332"/>
      <c r="GPN508" s="332"/>
      <c r="GPO508" s="332"/>
      <c r="GPP508" s="332"/>
      <c r="GPQ508" s="332"/>
      <c r="GPR508" s="332"/>
      <c r="GPS508" s="332"/>
      <c r="GPT508" s="332"/>
      <c r="GPU508" s="332"/>
      <c r="GPV508" s="332"/>
      <c r="GPW508" s="332"/>
      <c r="GPX508" s="332"/>
      <c r="GPY508" s="332"/>
      <c r="GPZ508" s="332"/>
      <c r="GQA508" s="332"/>
      <c r="GQB508" s="332"/>
      <c r="GQC508" s="332"/>
      <c r="GQD508" s="332"/>
      <c r="GQE508" s="332"/>
      <c r="GQF508" s="332"/>
      <c r="GQG508" s="332"/>
      <c r="GQH508" s="332"/>
      <c r="GQI508" s="332"/>
      <c r="GQJ508" s="332"/>
      <c r="GQK508" s="332"/>
      <c r="GQL508" s="332"/>
      <c r="GQM508" s="332"/>
      <c r="GQN508" s="332"/>
      <c r="GQO508" s="332"/>
      <c r="GQP508" s="332"/>
      <c r="GQQ508" s="332"/>
      <c r="GQR508" s="332"/>
      <c r="GQS508" s="332"/>
      <c r="GQT508" s="332"/>
      <c r="GQU508" s="332"/>
      <c r="GQV508" s="332"/>
      <c r="GQW508" s="332"/>
      <c r="GQX508" s="332"/>
      <c r="GQY508" s="332"/>
      <c r="GQZ508" s="332"/>
      <c r="GRA508" s="332"/>
      <c r="GRB508" s="332"/>
      <c r="GRC508" s="332"/>
      <c r="GRD508" s="332"/>
      <c r="GRE508" s="332"/>
      <c r="GRF508" s="332"/>
      <c r="GRG508" s="332"/>
      <c r="GRH508" s="332"/>
      <c r="GRI508" s="332"/>
      <c r="GRJ508" s="332"/>
      <c r="GRK508" s="332"/>
      <c r="GRL508" s="332"/>
      <c r="GRM508" s="332"/>
      <c r="GRN508" s="332"/>
      <c r="GRO508" s="332"/>
      <c r="GRP508" s="332"/>
      <c r="GRQ508" s="332"/>
      <c r="GRR508" s="332"/>
      <c r="GRS508" s="332"/>
      <c r="GRT508" s="332"/>
      <c r="GRU508" s="332"/>
      <c r="GRV508" s="332"/>
      <c r="GRW508" s="332"/>
      <c r="GRX508" s="332"/>
      <c r="GRY508" s="332"/>
      <c r="GRZ508" s="332"/>
      <c r="GSA508" s="332"/>
      <c r="GSB508" s="332"/>
      <c r="GSC508" s="332"/>
      <c r="GSD508" s="332"/>
      <c r="GSE508" s="332"/>
      <c r="GSF508" s="332"/>
      <c r="GSG508" s="332"/>
      <c r="GSH508" s="332"/>
      <c r="GSI508" s="332"/>
      <c r="GSJ508" s="332"/>
      <c r="GSK508" s="332"/>
      <c r="GSL508" s="332"/>
      <c r="GSM508" s="332"/>
      <c r="GSN508" s="332"/>
      <c r="GSO508" s="332"/>
      <c r="GSP508" s="332"/>
      <c r="GSQ508" s="332"/>
      <c r="GSR508" s="332"/>
      <c r="GSS508" s="332"/>
      <c r="GST508" s="332"/>
      <c r="GSU508" s="332"/>
      <c r="GSV508" s="332"/>
      <c r="GSW508" s="332"/>
      <c r="GSX508" s="332"/>
      <c r="GSY508" s="332"/>
      <c r="GSZ508" s="332"/>
      <c r="GTA508" s="332"/>
      <c r="GTB508" s="332"/>
      <c r="GTC508" s="332"/>
      <c r="GTD508" s="332"/>
      <c r="GTE508" s="332"/>
      <c r="GTF508" s="332"/>
      <c r="GTG508" s="332"/>
      <c r="GTH508" s="332"/>
      <c r="GTI508" s="332"/>
      <c r="GTJ508" s="332"/>
      <c r="GTK508" s="332"/>
      <c r="GTL508" s="332"/>
      <c r="GTM508" s="332"/>
      <c r="GTN508" s="332"/>
      <c r="GTO508" s="332"/>
      <c r="GTP508" s="332"/>
      <c r="GTQ508" s="332"/>
      <c r="GTR508" s="332"/>
      <c r="GTS508" s="332"/>
      <c r="GTT508" s="332"/>
      <c r="GTU508" s="332"/>
      <c r="GTV508" s="332"/>
      <c r="GTW508" s="332"/>
      <c r="GTX508" s="332"/>
      <c r="GTY508" s="332"/>
      <c r="GTZ508" s="332"/>
      <c r="GUA508" s="332"/>
      <c r="GUB508" s="332"/>
      <c r="GUC508" s="332"/>
      <c r="GUD508" s="332"/>
      <c r="GUE508" s="332"/>
      <c r="GUF508" s="332"/>
      <c r="GUG508" s="332"/>
      <c r="GUH508" s="332"/>
      <c r="GUI508" s="332"/>
      <c r="GUJ508" s="332"/>
      <c r="GUK508" s="332"/>
      <c r="GUL508" s="332"/>
      <c r="GUM508" s="332"/>
      <c r="GUN508" s="332"/>
      <c r="GUO508" s="332"/>
      <c r="GUP508" s="332"/>
      <c r="GUQ508" s="332"/>
      <c r="GUR508" s="332"/>
      <c r="GUS508" s="332"/>
      <c r="GUT508" s="332"/>
      <c r="GUU508" s="332"/>
      <c r="GUV508" s="332"/>
      <c r="GUW508" s="332"/>
      <c r="GUX508" s="332"/>
      <c r="GUY508" s="332"/>
      <c r="GUZ508" s="332"/>
      <c r="GVA508" s="332"/>
      <c r="GVB508" s="332"/>
      <c r="GVC508" s="332"/>
      <c r="GVD508" s="332"/>
      <c r="GVE508" s="332"/>
      <c r="GVF508" s="332"/>
      <c r="GVG508" s="332"/>
      <c r="GVH508" s="332"/>
      <c r="GVI508" s="332"/>
      <c r="GVJ508" s="332"/>
      <c r="GVK508" s="332"/>
      <c r="GVL508" s="332"/>
      <c r="GVM508" s="332"/>
      <c r="GVN508" s="332"/>
      <c r="GVO508" s="332"/>
      <c r="GVP508" s="332"/>
      <c r="GVQ508" s="332"/>
      <c r="GVR508" s="332"/>
      <c r="GVS508" s="332"/>
      <c r="GVT508" s="332"/>
      <c r="GVU508" s="332"/>
      <c r="GVV508" s="332"/>
      <c r="GVW508" s="332"/>
      <c r="GVX508" s="332"/>
      <c r="GVY508" s="332"/>
      <c r="GVZ508" s="332"/>
      <c r="GWA508" s="332"/>
      <c r="GWB508" s="332"/>
      <c r="GWC508" s="332"/>
      <c r="GWD508" s="332"/>
      <c r="GWE508" s="332"/>
      <c r="GWF508" s="332"/>
      <c r="GWG508" s="332"/>
      <c r="GWH508" s="332"/>
      <c r="GWI508" s="332"/>
      <c r="GWJ508" s="332"/>
      <c r="GWK508" s="332"/>
      <c r="GWL508" s="332"/>
      <c r="GWM508" s="332"/>
      <c r="GWN508" s="332"/>
      <c r="GWO508" s="332"/>
      <c r="GWP508" s="332"/>
      <c r="GWQ508" s="332"/>
      <c r="GWR508" s="332"/>
      <c r="GWS508" s="332"/>
      <c r="GWT508" s="332"/>
      <c r="GWU508" s="332"/>
      <c r="GWV508" s="332"/>
      <c r="GWW508" s="332"/>
      <c r="GWX508" s="332"/>
      <c r="GWY508" s="332"/>
      <c r="GWZ508" s="332"/>
      <c r="GXA508" s="332"/>
      <c r="GXB508" s="332"/>
      <c r="GXC508" s="332"/>
      <c r="GXD508" s="332"/>
      <c r="GXE508" s="332"/>
      <c r="GXF508" s="332"/>
      <c r="GXG508" s="332"/>
      <c r="GXH508" s="332"/>
      <c r="GXI508" s="332"/>
      <c r="GXJ508" s="332"/>
      <c r="GXK508" s="332"/>
      <c r="GXL508" s="332"/>
      <c r="GXM508" s="332"/>
      <c r="GXN508" s="332"/>
      <c r="GXO508" s="332"/>
      <c r="GXP508" s="332"/>
      <c r="GXQ508" s="332"/>
      <c r="GXR508" s="332"/>
      <c r="GXS508" s="332"/>
      <c r="GXT508" s="332"/>
      <c r="GXU508" s="332"/>
      <c r="GXV508" s="332"/>
      <c r="GXW508" s="332"/>
      <c r="GXX508" s="332"/>
      <c r="GXY508" s="332"/>
      <c r="GXZ508" s="332"/>
      <c r="GYA508" s="332"/>
      <c r="GYB508" s="332"/>
      <c r="GYC508" s="332"/>
      <c r="GYD508" s="332"/>
      <c r="GYE508" s="332"/>
      <c r="GYF508" s="332"/>
      <c r="GYG508" s="332"/>
      <c r="GYH508" s="332"/>
      <c r="GYI508" s="332"/>
      <c r="GYJ508" s="332"/>
      <c r="GYK508" s="332"/>
      <c r="GYL508" s="332"/>
      <c r="GYM508" s="332"/>
      <c r="GYN508" s="332"/>
      <c r="GYO508" s="332"/>
      <c r="GYP508" s="332"/>
      <c r="GYQ508" s="332"/>
      <c r="GYR508" s="332"/>
      <c r="GYS508" s="332"/>
      <c r="GYT508" s="332"/>
      <c r="GYU508" s="332"/>
      <c r="GYV508" s="332"/>
      <c r="GYW508" s="332"/>
      <c r="GYX508" s="332"/>
      <c r="GYY508" s="332"/>
      <c r="GYZ508" s="332"/>
      <c r="GZA508" s="332"/>
      <c r="GZB508" s="332"/>
      <c r="GZC508" s="332"/>
      <c r="GZD508" s="332"/>
      <c r="GZE508" s="332"/>
      <c r="GZF508" s="332"/>
      <c r="GZG508" s="332"/>
      <c r="GZH508" s="332"/>
      <c r="GZI508" s="332"/>
      <c r="GZJ508" s="332"/>
      <c r="GZK508" s="332"/>
      <c r="GZL508" s="332"/>
      <c r="GZM508" s="332"/>
      <c r="GZN508" s="332"/>
      <c r="GZO508" s="332"/>
      <c r="GZP508" s="332"/>
      <c r="GZQ508" s="332"/>
      <c r="GZR508" s="332"/>
      <c r="GZS508" s="332"/>
      <c r="GZT508" s="332"/>
      <c r="GZU508" s="332"/>
      <c r="GZV508" s="332"/>
      <c r="GZW508" s="332"/>
      <c r="GZX508" s="332"/>
      <c r="GZY508" s="332"/>
      <c r="GZZ508" s="332"/>
      <c r="HAA508" s="332"/>
      <c r="HAB508" s="332"/>
      <c r="HAC508" s="332"/>
      <c r="HAD508" s="332"/>
      <c r="HAE508" s="332"/>
      <c r="HAF508" s="332"/>
      <c r="HAG508" s="332"/>
      <c r="HAH508" s="332"/>
      <c r="HAI508" s="332"/>
      <c r="HAJ508" s="332"/>
      <c r="HAK508" s="332"/>
      <c r="HAL508" s="332"/>
      <c r="HAM508" s="332"/>
      <c r="HAN508" s="332"/>
      <c r="HAO508" s="332"/>
      <c r="HAP508" s="332"/>
      <c r="HAQ508" s="332"/>
      <c r="HAR508" s="332"/>
      <c r="HAS508" s="332"/>
      <c r="HAT508" s="332"/>
      <c r="HAU508" s="332"/>
      <c r="HAV508" s="332"/>
      <c r="HAW508" s="332"/>
      <c r="HAX508" s="332"/>
      <c r="HAY508" s="332"/>
      <c r="HAZ508" s="332"/>
      <c r="HBA508" s="332"/>
      <c r="HBB508" s="332"/>
      <c r="HBC508" s="332"/>
      <c r="HBD508" s="332"/>
      <c r="HBE508" s="332"/>
      <c r="HBF508" s="332"/>
      <c r="HBG508" s="332"/>
      <c r="HBH508" s="332"/>
      <c r="HBI508" s="332"/>
      <c r="HBJ508" s="332"/>
      <c r="HBK508" s="332"/>
      <c r="HBL508" s="332"/>
      <c r="HBM508" s="332"/>
      <c r="HBN508" s="332"/>
      <c r="HBO508" s="332"/>
      <c r="HBP508" s="332"/>
      <c r="HBQ508" s="332"/>
      <c r="HBR508" s="332"/>
      <c r="HBS508" s="332"/>
      <c r="HBT508" s="332"/>
      <c r="HBU508" s="332"/>
      <c r="HBV508" s="332"/>
      <c r="HBW508" s="332"/>
      <c r="HBX508" s="332"/>
      <c r="HBY508" s="332"/>
      <c r="HBZ508" s="332"/>
      <c r="HCA508" s="332"/>
      <c r="HCB508" s="332"/>
      <c r="HCC508" s="332"/>
      <c r="HCD508" s="332"/>
      <c r="HCE508" s="332"/>
      <c r="HCF508" s="332"/>
      <c r="HCG508" s="332"/>
      <c r="HCH508" s="332"/>
      <c r="HCI508" s="332"/>
      <c r="HCJ508" s="332"/>
      <c r="HCK508" s="332"/>
      <c r="HCL508" s="332"/>
      <c r="HCM508" s="332"/>
      <c r="HCN508" s="332"/>
      <c r="HCO508" s="332"/>
      <c r="HCP508" s="332"/>
      <c r="HCQ508" s="332"/>
      <c r="HCR508" s="332"/>
      <c r="HCS508" s="332"/>
      <c r="HCT508" s="332"/>
      <c r="HCU508" s="332"/>
      <c r="HCV508" s="332"/>
      <c r="HCW508" s="332"/>
      <c r="HCX508" s="332"/>
      <c r="HCY508" s="332"/>
      <c r="HCZ508" s="332"/>
      <c r="HDA508" s="332"/>
      <c r="HDB508" s="332"/>
      <c r="HDC508" s="332"/>
      <c r="HDD508" s="332"/>
      <c r="HDE508" s="332"/>
      <c r="HDF508" s="332"/>
      <c r="HDG508" s="332"/>
      <c r="HDH508" s="332"/>
      <c r="HDI508" s="332"/>
      <c r="HDJ508" s="332"/>
      <c r="HDK508" s="332"/>
      <c r="HDL508" s="332"/>
      <c r="HDM508" s="332"/>
      <c r="HDN508" s="332"/>
      <c r="HDO508" s="332"/>
      <c r="HDP508" s="332"/>
      <c r="HDQ508" s="332"/>
      <c r="HDR508" s="332"/>
      <c r="HDS508" s="332"/>
      <c r="HDT508" s="332"/>
      <c r="HDU508" s="332"/>
      <c r="HDV508" s="332"/>
      <c r="HDW508" s="332"/>
      <c r="HDX508" s="332"/>
      <c r="HDY508" s="332"/>
      <c r="HDZ508" s="332"/>
      <c r="HEA508" s="332"/>
      <c r="HEB508" s="332"/>
      <c r="HEC508" s="332"/>
      <c r="HED508" s="332"/>
      <c r="HEE508" s="332"/>
      <c r="HEF508" s="332"/>
      <c r="HEG508" s="332"/>
      <c r="HEH508" s="332"/>
      <c r="HEI508" s="332"/>
      <c r="HEJ508" s="332"/>
      <c r="HEK508" s="332"/>
      <c r="HEL508" s="332"/>
      <c r="HEM508" s="332"/>
      <c r="HEN508" s="332"/>
      <c r="HEO508" s="332"/>
      <c r="HEP508" s="332"/>
      <c r="HEQ508" s="332"/>
      <c r="HER508" s="332"/>
      <c r="HES508" s="332"/>
      <c r="HET508" s="332"/>
      <c r="HEU508" s="332"/>
      <c r="HEV508" s="332"/>
      <c r="HEW508" s="332"/>
      <c r="HEX508" s="332"/>
      <c r="HEY508" s="332"/>
      <c r="HEZ508" s="332"/>
      <c r="HFA508" s="332"/>
      <c r="HFB508" s="332"/>
      <c r="HFC508" s="332"/>
      <c r="HFD508" s="332"/>
      <c r="HFE508" s="332"/>
      <c r="HFF508" s="332"/>
      <c r="HFG508" s="332"/>
      <c r="HFH508" s="332"/>
      <c r="HFI508" s="332"/>
      <c r="HFJ508" s="332"/>
      <c r="HFK508" s="332"/>
      <c r="HFL508" s="332"/>
      <c r="HFM508" s="332"/>
      <c r="HFN508" s="332"/>
      <c r="HFO508" s="332"/>
      <c r="HFP508" s="332"/>
      <c r="HFQ508" s="332"/>
      <c r="HFR508" s="332"/>
      <c r="HFS508" s="332"/>
      <c r="HFT508" s="332"/>
      <c r="HFU508" s="332"/>
      <c r="HFV508" s="332"/>
      <c r="HFW508" s="332"/>
      <c r="HFX508" s="332"/>
      <c r="HFY508" s="332"/>
      <c r="HFZ508" s="332"/>
      <c r="HGA508" s="332"/>
      <c r="HGB508" s="332"/>
      <c r="HGC508" s="332"/>
      <c r="HGD508" s="332"/>
      <c r="HGE508" s="332"/>
      <c r="HGF508" s="332"/>
      <c r="HGG508" s="332"/>
      <c r="HGH508" s="332"/>
      <c r="HGI508" s="332"/>
      <c r="HGJ508" s="332"/>
      <c r="HGK508" s="332"/>
      <c r="HGL508" s="332"/>
      <c r="HGM508" s="332"/>
      <c r="HGN508" s="332"/>
      <c r="HGO508" s="332"/>
      <c r="HGP508" s="332"/>
      <c r="HGQ508" s="332"/>
      <c r="HGR508" s="332"/>
      <c r="HGS508" s="332"/>
      <c r="HGT508" s="332"/>
      <c r="HGU508" s="332"/>
      <c r="HGV508" s="332"/>
      <c r="HGW508" s="332"/>
      <c r="HGX508" s="332"/>
      <c r="HGY508" s="332"/>
      <c r="HGZ508" s="332"/>
      <c r="HHA508" s="332"/>
      <c r="HHB508" s="332"/>
      <c r="HHC508" s="332"/>
      <c r="HHD508" s="332"/>
      <c r="HHE508" s="332"/>
      <c r="HHF508" s="332"/>
      <c r="HHG508" s="332"/>
      <c r="HHH508" s="332"/>
      <c r="HHI508" s="332"/>
      <c r="HHJ508" s="332"/>
      <c r="HHK508" s="332"/>
      <c r="HHL508" s="332"/>
      <c r="HHM508" s="332"/>
      <c r="HHN508" s="332"/>
      <c r="HHO508" s="332"/>
      <c r="HHP508" s="332"/>
      <c r="HHQ508" s="332"/>
      <c r="HHR508" s="332"/>
      <c r="HHS508" s="332"/>
      <c r="HHT508" s="332"/>
      <c r="HHU508" s="332"/>
      <c r="HHV508" s="332"/>
      <c r="HHW508" s="332"/>
      <c r="HHX508" s="332"/>
      <c r="HHY508" s="332"/>
      <c r="HHZ508" s="332"/>
      <c r="HIA508" s="332"/>
      <c r="HIB508" s="332"/>
      <c r="HIC508" s="332"/>
      <c r="HID508" s="332"/>
      <c r="HIE508" s="332"/>
      <c r="HIF508" s="332"/>
      <c r="HIG508" s="332"/>
      <c r="HIH508" s="332"/>
      <c r="HII508" s="332"/>
      <c r="HIJ508" s="332"/>
      <c r="HIK508" s="332"/>
      <c r="HIL508" s="332"/>
      <c r="HIM508" s="332"/>
      <c r="HIN508" s="332"/>
      <c r="HIO508" s="332"/>
      <c r="HIP508" s="332"/>
      <c r="HIQ508" s="332"/>
      <c r="HIR508" s="332"/>
      <c r="HIS508" s="332"/>
      <c r="HIT508" s="332"/>
      <c r="HIU508" s="332"/>
      <c r="HIV508" s="332"/>
      <c r="HIW508" s="332"/>
      <c r="HIX508" s="332"/>
      <c r="HIY508" s="332"/>
      <c r="HIZ508" s="332"/>
      <c r="HJA508" s="332"/>
      <c r="HJB508" s="332"/>
      <c r="HJC508" s="332"/>
      <c r="HJD508" s="332"/>
      <c r="HJE508" s="332"/>
      <c r="HJF508" s="332"/>
      <c r="HJG508" s="332"/>
      <c r="HJH508" s="332"/>
      <c r="HJI508" s="332"/>
      <c r="HJJ508" s="332"/>
      <c r="HJK508" s="332"/>
      <c r="HJL508" s="332"/>
      <c r="HJM508" s="332"/>
      <c r="HJN508" s="332"/>
      <c r="HJO508" s="332"/>
      <c r="HJP508" s="332"/>
      <c r="HJQ508" s="332"/>
      <c r="HJR508" s="332"/>
      <c r="HJS508" s="332"/>
      <c r="HJT508" s="332"/>
      <c r="HJU508" s="332"/>
      <c r="HJV508" s="332"/>
      <c r="HJW508" s="332"/>
      <c r="HJX508" s="332"/>
      <c r="HJY508" s="332"/>
      <c r="HJZ508" s="332"/>
      <c r="HKA508" s="332"/>
      <c r="HKB508" s="332"/>
      <c r="HKC508" s="332"/>
      <c r="HKD508" s="332"/>
      <c r="HKE508" s="332"/>
      <c r="HKF508" s="332"/>
      <c r="HKG508" s="332"/>
      <c r="HKH508" s="332"/>
      <c r="HKI508" s="332"/>
      <c r="HKJ508" s="332"/>
      <c r="HKK508" s="332"/>
      <c r="HKL508" s="332"/>
      <c r="HKM508" s="332"/>
      <c r="HKN508" s="332"/>
      <c r="HKO508" s="332"/>
      <c r="HKP508" s="332"/>
      <c r="HKQ508" s="332"/>
      <c r="HKR508" s="332"/>
      <c r="HKS508" s="332"/>
      <c r="HKT508" s="332"/>
      <c r="HKU508" s="332"/>
      <c r="HKV508" s="332"/>
      <c r="HKW508" s="332"/>
      <c r="HKX508" s="332"/>
      <c r="HKY508" s="332"/>
      <c r="HKZ508" s="332"/>
      <c r="HLA508" s="332"/>
      <c r="HLB508" s="332"/>
      <c r="HLC508" s="332"/>
      <c r="HLD508" s="332"/>
      <c r="HLE508" s="332"/>
      <c r="HLF508" s="332"/>
      <c r="HLG508" s="332"/>
      <c r="HLH508" s="332"/>
      <c r="HLI508" s="332"/>
      <c r="HLJ508" s="332"/>
      <c r="HLK508" s="332"/>
      <c r="HLL508" s="332"/>
      <c r="HLM508" s="332"/>
      <c r="HLN508" s="332"/>
      <c r="HLO508" s="332"/>
      <c r="HLP508" s="332"/>
      <c r="HLQ508" s="332"/>
      <c r="HLR508" s="332"/>
      <c r="HLS508" s="332"/>
      <c r="HLT508" s="332"/>
      <c r="HLU508" s="332"/>
      <c r="HLV508" s="332"/>
      <c r="HLW508" s="332"/>
      <c r="HLX508" s="332"/>
      <c r="HLY508" s="332"/>
      <c r="HLZ508" s="332"/>
      <c r="HMA508" s="332"/>
      <c r="HMB508" s="332"/>
      <c r="HMC508" s="332"/>
      <c r="HMD508" s="332"/>
      <c r="HME508" s="332"/>
      <c r="HMF508" s="332"/>
      <c r="HMG508" s="332"/>
      <c r="HMH508" s="332"/>
      <c r="HMI508" s="332"/>
      <c r="HMJ508" s="332"/>
      <c r="HMK508" s="332"/>
      <c r="HML508" s="332"/>
      <c r="HMM508" s="332"/>
      <c r="HMN508" s="332"/>
      <c r="HMO508" s="332"/>
      <c r="HMP508" s="332"/>
      <c r="HMQ508" s="332"/>
      <c r="HMR508" s="332"/>
      <c r="HMS508" s="332"/>
      <c r="HMT508" s="332"/>
      <c r="HMU508" s="332"/>
      <c r="HMV508" s="332"/>
      <c r="HMW508" s="332"/>
      <c r="HMX508" s="332"/>
      <c r="HMY508" s="332"/>
      <c r="HMZ508" s="332"/>
      <c r="HNA508" s="332"/>
      <c r="HNB508" s="332"/>
      <c r="HNC508" s="332"/>
      <c r="HND508" s="332"/>
      <c r="HNE508" s="332"/>
      <c r="HNF508" s="332"/>
      <c r="HNG508" s="332"/>
      <c r="HNH508" s="332"/>
      <c r="HNI508" s="332"/>
      <c r="HNJ508" s="332"/>
      <c r="HNK508" s="332"/>
      <c r="HNL508" s="332"/>
      <c r="HNM508" s="332"/>
      <c r="HNN508" s="332"/>
      <c r="HNO508" s="332"/>
      <c r="HNP508" s="332"/>
      <c r="HNQ508" s="332"/>
      <c r="HNR508" s="332"/>
      <c r="HNS508" s="332"/>
      <c r="HNT508" s="332"/>
      <c r="HNU508" s="332"/>
      <c r="HNV508" s="332"/>
      <c r="HNW508" s="332"/>
      <c r="HNX508" s="332"/>
      <c r="HNY508" s="332"/>
      <c r="HNZ508" s="332"/>
      <c r="HOA508" s="332"/>
      <c r="HOB508" s="332"/>
      <c r="HOC508" s="332"/>
      <c r="HOD508" s="332"/>
      <c r="HOE508" s="332"/>
      <c r="HOF508" s="332"/>
      <c r="HOG508" s="332"/>
      <c r="HOH508" s="332"/>
      <c r="HOI508" s="332"/>
      <c r="HOJ508" s="332"/>
      <c r="HOK508" s="332"/>
      <c r="HOL508" s="332"/>
      <c r="HOM508" s="332"/>
      <c r="HON508" s="332"/>
      <c r="HOO508" s="332"/>
      <c r="HOP508" s="332"/>
      <c r="HOQ508" s="332"/>
      <c r="HOR508" s="332"/>
      <c r="HOS508" s="332"/>
      <c r="HOT508" s="332"/>
      <c r="HOU508" s="332"/>
      <c r="HOV508" s="332"/>
      <c r="HOW508" s="332"/>
      <c r="HOX508" s="332"/>
      <c r="HOY508" s="332"/>
      <c r="HOZ508" s="332"/>
      <c r="HPA508" s="332"/>
      <c r="HPB508" s="332"/>
      <c r="HPC508" s="332"/>
      <c r="HPD508" s="332"/>
      <c r="HPE508" s="332"/>
      <c r="HPF508" s="332"/>
      <c r="HPG508" s="332"/>
      <c r="HPH508" s="332"/>
      <c r="HPI508" s="332"/>
      <c r="HPJ508" s="332"/>
      <c r="HPK508" s="332"/>
      <c r="HPL508" s="332"/>
      <c r="HPM508" s="332"/>
      <c r="HPN508" s="332"/>
      <c r="HPO508" s="332"/>
      <c r="HPP508" s="332"/>
      <c r="HPQ508" s="332"/>
      <c r="HPR508" s="332"/>
      <c r="HPS508" s="332"/>
      <c r="HPT508" s="332"/>
      <c r="HPU508" s="332"/>
      <c r="HPV508" s="332"/>
      <c r="HPW508" s="332"/>
      <c r="HPX508" s="332"/>
      <c r="HPY508" s="332"/>
      <c r="HPZ508" s="332"/>
      <c r="HQA508" s="332"/>
      <c r="HQB508" s="332"/>
      <c r="HQC508" s="332"/>
      <c r="HQD508" s="332"/>
      <c r="HQE508" s="332"/>
      <c r="HQF508" s="332"/>
      <c r="HQG508" s="332"/>
      <c r="HQH508" s="332"/>
      <c r="HQI508" s="332"/>
      <c r="HQJ508" s="332"/>
      <c r="HQK508" s="332"/>
      <c r="HQL508" s="332"/>
      <c r="HQM508" s="332"/>
      <c r="HQN508" s="332"/>
      <c r="HQO508" s="332"/>
      <c r="HQP508" s="332"/>
      <c r="HQQ508" s="332"/>
      <c r="HQR508" s="332"/>
      <c r="HQS508" s="332"/>
      <c r="HQT508" s="332"/>
      <c r="HQU508" s="332"/>
      <c r="HQV508" s="332"/>
      <c r="HQW508" s="332"/>
      <c r="HQX508" s="332"/>
      <c r="HQY508" s="332"/>
      <c r="HQZ508" s="332"/>
      <c r="HRA508" s="332"/>
      <c r="HRB508" s="332"/>
      <c r="HRC508" s="332"/>
      <c r="HRD508" s="332"/>
      <c r="HRE508" s="332"/>
      <c r="HRF508" s="332"/>
      <c r="HRG508" s="332"/>
      <c r="HRH508" s="332"/>
      <c r="HRI508" s="332"/>
      <c r="HRJ508" s="332"/>
      <c r="HRK508" s="332"/>
      <c r="HRL508" s="332"/>
      <c r="HRM508" s="332"/>
      <c r="HRN508" s="332"/>
      <c r="HRO508" s="332"/>
      <c r="HRP508" s="332"/>
      <c r="HRQ508" s="332"/>
      <c r="HRR508" s="332"/>
      <c r="HRS508" s="332"/>
      <c r="HRT508" s="332"/>
      <c r="HRU508" s="332"/>
      <c r="HRV508" s="332"/>
      <c r="HRW508" s="332"/>
      <c r="HRX508" s="332"/>
      <c r="HRY508" s="332"/>
      <c r="HRZ508" s="332"/>
      <c r="HSA508" s="332"/>
      <c r="HSB508" s="332"/>
      <c r="HSC508" s="332"/>
      <c r="HSD508" s="332"/>
      <c r="HSE508" s="332"/>
      <c r="HSF508" s="332"/>
      <c r="HSG508" s="332"/>
      <c r="HSH508" s="332"/>
      <c r="HSI508" s="332"/>
      <c r="HSJ508" s="332"/>
      <c r="HSK508" s="332"/>
      <c r="HSL508" s="332"/>
      <c r="HSM508" s="332"/>
      <c r="HSN508" s="332"/>
      <c r="HSO508" s="332"/>
      <c r="HSP508" s="332"/>
      <c r="HSQ508" s="332"/>
      <c r="HSR508" s="332"/>
      <c r="HSS508" s="332"/>
      <c r="HST508" s="332"/>
      <c r="HSU508" s="332"/>
      <c r="HSV508" s="332"/>
      <c r="HSW508" s="332"/>
      <c r="HSX508" s="332"/>
      <c r="HSY508" s="332"/>
      <c r="HSZ508" s="332"/>
      <c r="HTA508" s="332"/>
      <c r="HTB508" s="332"/>
      <c r="HTC508" s="332"/>
      <c r="HTD508" s="332"/>
      <c r="HTE508" s="332"/>
      <c r="HTF508" s="332"/>
      <c r="HTG508" s="332"/>
      <c r="HTH508" s="332"/>
      <c r="HTI508" s="332"/>
      <c r="HTJ508" s="332"/>
      <c r="HTK508" s="332"/>
      <c r="HTL508" s="332"/>
      <c r="HTM508" s="332"/>
      <c r="HTN508" s="332"/>
      <c r="HTO508" s="332"/>
      <c r="HTP508" s="332"/>
      <c r="HTQ508" s="332"/>
      <c r="HTR508" s="332"/>
      <c r="HTS508" s="332"/>
      <c r="HTT508" s="332"/>
      <c r="HTU508" s="332"/>
      <c r="HTV508" s="332"/>
      <c r="HTW508" s="332"/>
      <c r="HTX508" s="332"/>
      <c r="HTY508" s="332"/>
      <c r="HTZ508" s="332"/>
      <c r="HUA508" s="332"/>
      <c r="HUB508" s="332"/>
      <c r="HUC508" s="332"/>
      <c r="HUD508" s="332"/>
      <c r="HUE508" s="332"/>
      <c r="HUF508" s="332"/>
      <c r="HUG508" s="332"/>
      <c r="HUH508" s="332"/>
      <c r="HUI508" s="332"/>
      <c r="HUJ508" s="332"/>
      <c r="HUK508" s="332"/>
      <c r="HUL508" s="332"/>
      <c r="HUM508" s="332"/>
      <c r="HUN508" s="332"/>
      <c r="HUO508" s="332"/>
      <c r="HUP508" s="332"/>
      <c r="HUQ508" s="332"/>
      <c r="HUR508" s="332"/>
      <c r="HUS508" s="332"/>
      <c r="HUT508" s="332"/>
      <c r="HUU508" s="332"/>
      <c r="HUV508" s="332"/>
      <c r="HUW508" s="332"/>
      <c r="HUX508" s="332"/>
      <c r="HUY508" s="332"/>
      <c r="HUZ508" s="332"/>
      <c r="HVA508" s="332"/>
      <c r="HVB508" s="332"/>
      <c r="HVC508" s="332"/>
      <c r="HVD508" s="332"/>
      <c r="HVE508" s="332"/>
      <c r="HVF508" s="332"/>
      <c r="HVG508" s="332"/>
      <c r="HVH508" s="332"/>
      <c r="HVI508" s="332"/>
      <c r="HVJ508" s="332"/>
      <c r="HVK508" s="332"/>
      <c r="HVL508" s="332"/>
      <c r="HVM508" s="332"/>
      <c r="HVN508" s="332"/>
      <c r="HVO508" s="332"/>
      <c r="HVP508" s="332"/>
      <c r="HVQ508" s="332"/>
      <c r="HVR508" s="332"/>
      <c r="HVS508" s="332"/>
      <c r="HVT508" s="332"/>
      <c r="HVU508" s="332"/>
      <c r="HVV508" s="332"/>
      <c r="HVW508" s="332"/>
      <c r="HVX508" s="332"/>
      <c r="HVY508" s="332"/>
      <c r="HVZ508" s="332"/>
      <c r="HWA508" s="332"/>
      <c r="HWB508" s="332"/>
      <c r="HWC508" s="332"/>
      <c r="HWD508" s="332"/>
      <c r="HWE508" s="332"/>
      <c r="HWF508" s="332"/>
      <c r="HWG508" s="332"/>
      <c r="HWH508" s="332"/>
      <c r="HWI508" s="332"/>
      <c r="HWJ508" s="332"/>
      <c r="HWK508" s="332"/>
      <c r="HWL508" s="332"/>
      <c r="HWM508" s="332"/>
      <c r="HWN508" s="332"/>
      <c r="HWO508" s="332"/>
      <c r="HWP508" s="332"/>
      <c r="HWQ508" s="332"/>
      <c r="HWR508" s="332"/>
      <c r="HWS508" s="332"/>
      <c r="HWT508" s="332"/>
      <c r="HWU508" s="332"/>
      <c r="HWV508" s="332"/>
      <c r="HWW508" s="332"/>
      <c r="HWX508" s="332"/>
      <c r="HWY508" s="332"/>
      <c r="HWZ508" s="332"/>
      <c r="HXA508" s="332"/>
      <c r="HXB508" s="332"/>
      <c r="HXC508" s="332"/>
      <c r="HXD508" s="332"/>
      <c r="HXE508" s="332"/>
      <c r="HXF508" s="332"/>
      <c r="HXG508" s="332"/>
      <c r="HXH508" s="332"/>
      <c r="HXI508" s="332"/>
      <c r="HXJ508" s="332"/>
      <c r="HXK508" s="332"/>
      <c r="HXL508" s="332"/>
      <c r="HXM508" s="332"/>
      <c r="HXN508" s="332"/>
      <c r="HXO508" s="332"/>
      <c r="HXP508" s="332"/>
      <c r="HXQ508" s="332"/>
      <c r="HXR508" s="332"/>
      <c r="HXS508" s="332"/>
      <c r="HXT508" s="332"/>
      <c r="HXU508" s="332"/>
      <c r="HXV508" s="332"/>
      <c r="HXW508" s="332"/>
      <c r="HXX508" s="332"/>
      <c r="HXY508" s="332"/>
      <c r="HXZ508" s="332"/>
      <c r="HYA508" s="332"/>
      <c r="HYB508" s="332"/>
      <c r="HYC508" s="332"/>
      <c r="HYD508" s="332"/>
      <c r="HYE508" s="332"/>
      <c r="HYF508" s="332"/>
      <c r="HYG508" s="332"/>
      <c r="HYH508" s="332"/>
      <c r="HYI508" s="332"/>
      <c r="HYJ508" s="332"/>
      <c r="HYK508" s="332"/>
      <c r="HYL508" s="332"/>
      <c r="HYM508" s="332"/>
      <c r="HYN508" s="332"/>
      <c r="HYO508" s="332"/>
      <c r="HYP508" s="332"/>
      <c r="HYQ508" s="332"/>
      <c r="HYR508" s="332"/>
      <c r="HYS508" s="332"/>
      <c r="HYT508" s="332"/>
      <c r="HYU508" s="332"/>
      <c r="HYV508" s="332"/>
      <c r="HYW508" s="332"/>
      <c r="HYX508" s="332"/>
      <c r="HYY508" s="332"/>
      <c r="HYZ508" s="332"/>
      <c r="HZA508" s="332"/>
      <c r="HZB508" s="332"/>
      <c r="HZC508" s="332"/>
      <c r="HZD508" s="332"/>
      <c r="HZE508" s="332"/>
      <c r="HZF508" s="332"/>
      <c r="HZG508" s="332"/>
      <c r="HZH508" s="332"/>
      <c r="HZI508" s="332"/>
      <c r="HZJ508" s="332"/>
      <c r="HZK508" s="332"/>
      <c r="HZL508" s="332"/>
      <c r="HZM508" s="332"/>
      <c r="HZN508" s="332"/>
      <c r="HZO508" s="332"/>
      <c r="HZP508" s="332"/>
      <c r="HZQ508" s="332"/>
      <c r="HZR508" s="332"/>
      <c r="HZS508" s="332"/>
      <c r="HZT508" s="332"/>
      <c r="HZU508" s="332"/>
      <c r="HZV508" s="332"/>
      <c r="HZW508" s="332"/>
      <c r="HZX508" s="332"/>
      <c r="HZY508" s="332"/>
      <c r="HZZ508" s="332"/>
      <c r="IAA508" s="332"/>
      <c r="IAB508" s="332"/>
      <c r="IAC508" s="332"/>
      <c r="IAD508" s="332"/>
      <c r="IAE508" s="332"/>
      <c r="IAF508" s="332"/>
      <c r="IAG508" s="332"/>
      <c r="IAH508" s="332"/>
      <c r="IAI508" s="332"/>
      <c r="IAJ508" s="332"/>
      <c r="IAK508" s="332"/>
      <c r="IAL508" s="332"/>
      <c r="IAM508" s="332"/>
      <c r="IAN508" s="332"/>
      <c r="IAO508" s="332"/>
      <c r="IAP508" s="332"/>
      <c r="IAQ508" s="332"/>
      <c r="IAR508" s="332"/>
      <c r="IAS508" s="332"/>
      <c r="IAT508" s="332"/>
      <c r="IAU508" s="332"/>
      <c r="IAV508" s="332"/>
      <c r="IAW508" s="332"/>
      <c r="IAX508" s="332"/>
      <c r="IAY508" s="332"/>
      <c r="IAZ508" s="332"/>
      <c r="IBA508" s="332"/>
      <c r="IBB508" s="332"/>
      <c r="IBC508" s="332"/>
      <c r="IBD508" s="332"/>
      <c r="IBE508" s="332"/>
      <c r="IBF508" s="332"/>
      <c r="IBG508" s="332"/>
      <c r="IBH508" s="332"/>
      <c r="IBI508" s="332"/>
      <c r="IBJ508" s="332"/>
      <c r="IBK508" s="332"/>
      <c r="IBL508" s="332"/>
      <c r="IBM508" s="332"/>
      <c r="IBN508" s="332"/>
      <c r="IBO508" s="332"/>
      <c r="IBP508" s="332"/>
      <c r="IBQ508" s="332"/>
      <c r="IBR508" s="332"/>
      <c r="IBS508" s="332"/>
      <c r="IBT508" s="332"/>
      <c r="IBU508" s="332"/>
      <c r="IBV508" s="332"/>
      <c r="IBW508" s="332"/>
      <c r="IBX508" s="332"/>
      <c r="IBY508" s="332"/>
      <c r="IBZ508" s="332"/>
      <c r="ICA508" s="332"/>
      <c r="ICB508" s="332"/>
      <c r="ICC508" s="332"/>
      <c r="ICD508" s="332"/>
      <c r="ICE508" s="332"/>
      <c r="ICF508" s="332"/>
      <c r="ICG508" s="332"/>
      <c r="ICH508" s="332"/>
      <c r="ICI508" s="332"/>
      <c r="ICJ508" s="332"/>
      <c r="ICK508" s="332"/>
      <c r="ICL508" s="332"/>
      <c r="ICM508" s="332"/>
      <c r="ICN508" s="332"/>
      <c r="ICO508" s="332"/>
      <c r="ICP508" s="332"/>
      <c r="ICQ508" s="332"/>
      <c r="ICR508" s="332"/>
      <c r="ICS508" s="332"/>
      <c r="ICT508" s="332"/>
      <c r="ICU508" s="332"/>
      <c r="ICV508" s="332"/>
      <c r="ICW508" s="332"/>
      <c r="ICX508" s="332"/>
      <c r="ICY508" s="332"/>
      <c r="ICZ508" s="332"/>
      <c r="IDA508" s="332"/>
      <c r="IDB508" s="332"/>
      <c r="IDC508" s="332"/>
      <c r="IDD508" s="332"/>
      <c r="IDE508" s="332"/>
      <c r="IDF508" s="332"/>
      <c r="IDG508" s="332"/>
      <c r="IDH508" s="332"/>
      <c r="IDI508" s="332"/>
      <c r="IDJ508" s="332"/>
      <c r="IDK508" s="332"/>
      <c r="IDL508" s="332"/>
      <c r="IDM508" s="332"/>
      <c r="IDN508" s="332"/>
      <c r="IDO508" s="332"/>
      <c r="IDP508" s="332"/>
      <c r="IDQ508" s="332"/>
      <c r="IDR508" s="332"/>
      <c r="IDS508" s="332"/>
      <c r="IDT508" s="332"/>
      <c r="IDU508" s="332"/>
      <c r="IDV508" s="332"/>
      <c r="IDW508" s="332"/>
      <c r="IDX508" s="332"/>
      <c r="IDY508" s="332"/>
      <c r="IDZ508" s="332"/>
      <c r="IEA508" s="332"/>
      <c r="IEB508" s="332"/>
      <c r="IEC508" s="332"/>
      <c r="IED508" s="332"/>
      <c r="IEE508" s="332"/>
      <c r="IEF508" s="332"/>
      <c r="IEG508" s="332"/>
      <c r="IEH508" s="332"/>
      <c r="IEI508" s="332"/>
      <c r="IEJ508" s="332"/>
      <c r="IEK508" s="332"/>
      <c r="IEL508" s="332"/>
      <c r="IEM508" s="332"/>
      <c r="IEN508" s="332"/>
      <c r="IEO508" s="332"/>
      <c r="IEP508" s="332"/>
      <c r="IEQ508" s="332"/>
      <c r="IER508" s="332"/>
      <c r="IES508" s="332"/>
      <c r="IET508" s="332"/>
      <c r="IEU508" s="332"/>
      <c r="IEV508" s="332"/>
      <c r="IEW508" s="332"/>
      <c r="IEX508" s="332"/>
      <c r="IEY508" s="332"/>
      <c r="IEZ508" s="332"/>
      <c r="IFA508" s="332"/>
      <c r="IFB508" s="332"/>
      <c r="IFC508" s="332"/>
      <c r="IFD508" s="332"/>
      <c r="IFE508" s="332"/>
      <c r="IFF508" s="332"/>
      <c r="IFG508" s="332"/>
      <c r="IFH508" s="332"/>
      <c r="IFI508" s="332"/>
      <c r="IFJ508" s="332"/>
      <c r="IFK508" s="332"/>
      <c r="IFL508" s="332"/>
      <c r="IFM508" s="332"/>
      <c r="IFN508" s="332"/>
      <c r="IFO508" s="332"/>
      <c r="IFP508" s="332"/>
      <c r="IFQ508" s="332"/>
      <c r="IFR508" s="332"/>
      <c r="IFS508" s="332"/>
      <c r="IFT508" s="332"/>
      <c r="IFU508" s="332"/>
      <c r="IFV508" s="332"/>
      <c r="IFW508" s="332"/>
      <c r="IFX508" s="332"/>
      <c r="IFY508" s="332"/>
      <c r="IFZ508" s="332"/>
      <c r="IGA508" s="332"/>
      <c r="IGB508" s="332"/>
      <c r="IGC508" s="332"/>
      <c r="IGD508" s="332"/>
      <c r="IGE508" s="332"/>
      <c r="IGF508" s="332"/>
      <c r="IGG508" s="332"/>
      <c r="IGH508" s="332"/>
      <c r="IGI508" s="332"/>
      <c r="IGJ508" s="332"/>
      <c r="IGK508" s="332"/>
      <c r="IGL508" s="332"/>
      <c r="IGM508" s="332"/>
      <c r="IGN508" s="332"/>
      <c r="IGO508" s="332"/>
      <c r="IGP508" s="332"/>
      <c r="IGQ508" s="332"/>
      <c r="IGR508" s="332"/>
      <c r="IGS508" s="332"/>
      <c r="IGT508" s="332"/>
      <c r="IGU508" s="332"/>
      <c r="IGV508" s="332"/>
      <c r="IGW508" s="332"/>
      <c r="IGX508" s="332"/>
      <c r="IGY508" s="332"/>
      <c r="IGZ508" s="332"/>
      <c r="IHA508" s="332"/>
      <c r="IHB508" s="332"/>
      <c r="IHC508" s="332"/>
      <c r="IHD508" s="332"/>
      <c r="IHE508" s="332"/>
      <c r="IHF508" s="332"/>
      <c r="IHG508" s="332"/>
      <c r="IHH508" s="332"/>
      <c r="IHI508" s="332"/>
      <c r="IHJ508" s="332"/>
      <c r="IHK508" s="332"/>
      <c r="IHL508" s="332"/>
      <c r="IHM508" s="332"/>
      <c r="IHN508" s="332"/>
      <c r="IHO508" s="332"/>
      <c r="IHP508" s="332"/>
      <c r="IHQ508" s="332"/>
      <c r="IHR508" s="332"/>
      <c r="IHS508" s="332"/>
      <c r="IHT508" s="332"/>
      <c r="IHU508" s="332"/>
      <c r="IHV508" s="332"/>
      <c r="IHW508" s="332"/>
      <c r="IHX508" s="332"/>
      <c r="IHY508" s="332"/>
      <c r="IHZ508" s="332"/>
      <c r="IIA508" s="332"/>
      <c r="IIB508" s="332"/>
      <c r="IIC508" s="332"/>
      <c r="IID508" s="332"/>
      <c r="IIE508" s="332"/>
      <c r="IIF508" s="332"/>
      <c r="IIG508" s="332"/>
      <c r="IIH508" s="332"/>
      <c r="III508" s="332"/>
      <c r="IIJ508" s="332"/>
      <c r="IIK508" s="332"/>
      <c r="IIL508" s="332"/>
      <c r="IIM508" s="332"/>
      <c r="IIN508" s="332"/>
      <c r="IIO508" s="332"/>
      <c r="IIP508" s="332"/>
      <c r="IIQ508" s="332"/>
      <c r="IIR508" s="332"/>
      <c r="IIS508" s="332"/>
      <c r="IIT508" s="332"/>
      <c r="IIU508" s="332"/>
      <c r="IIV508" s="332"/>
      <c r="IIW508" s="332"/>
      <c r="IIX508" s="332"/>
      <c r="IIY508" s="332"/>
      <c r="IIZ508" s="332"/>
      <c r="IJA508" s="332"/>
      <c r="IJB508" s="332"/>
      <c r="IJC508" s="332"/>
      <c r="IJD508" s="332"/>
      <c r="IJE508" s="332"/>
      <c r="IJF508" s="332"/>
      <c r="IJG508" s="332"/>
      <c r="IJH508" s="332"/>
      <c r="IJI508" s="332"/>
      <c r="IJJ508" s="332"/>
      <c r="IJK508" s="332"/>
      <c r="IJL508" s="332"/>
      <c r="IJM508" s="332"/>
      <c r="IJN508" s="332"/>
      <c r="IJO508" s="332"/>
      <c r="IJP508" s="332"/>
      <c r="IJQ508" s="332"/>
      <c r="IJR508" s="332"/>
      <c r="IJS508" s="332"/>
      <c r="IJT508" s="332"/>
      <c r="IJU508" s="332"/>
      <c r="IJV508" s="332"/>
      <c r="IJW508" s="332"/>
      <c r="IJX508" s="332"/>
      <c r="IJY508" s="332"/>
      <c r="IJZ508" s="332"/>
      <c r="IKA508" s="332"/>
      <c r="IKB508" s="332"/>
      <c r="IKC508" s="332"/>
      <c r="IKD508" s="332"/>
      <c r="IKE508" s="332"/>
      <c r="IKF508" s="332"/>
      <c r="IKG508" s="332"/>
      <c r="IKH508" s="332"/>
      <c r="IKI508" s="332"/>
      <c r="IKJ508" s="332"/>
      <c r="IKK508" s="332"/>
      <c r="IKL508" s="332"/>
      <c r="IKM508" s="332"/>
      <c r="IKN508" s="332"/>
      <c r="IKO508" s="332"/>
      <c r="IKP508" s="332"/>
      <c r="IKQ508" s="332"/>
      <c r="IKR508" s="332"/>
      <c r="IKS508" s="332"/>
      <c r="IKT508" s="332"/>
      <c r="IKU508" s="332"/>
      <c r="IKV508" s="332"/>
      <c r="IKW508" s="332"/>
      <c r="IKX508" s="332"/>
      <c r="IKY508" s="332"/>
      <c r="IKZ508" s="332"/>
      <c r="ILA508" s="332"/>
      <c r="ILB508" s="332"/>
      <c r="ILC508" s="332"/>
      <c r="ILD508" s="332"/>
      <c r="ILE508" s="332"/>
      <c r="ILF508" s="332"/>
      <c r="ILG508" s="332"/>
      <c r="ILH508" s="332"/>
      <c r="ILI508" s="332"/>
      <c r="ILJ508" s="332"/>
      <c r="ILK508" s="332"/>
      <c r="ILL508" s="332"/>
      <c r="ILM508" s="332"/>
      <c r="ILN508" s="332"/>
      <c r="ILO508" s="332"/>
      <c r="ILP508" s="332"/>
      <c r="ILQ508" s="332"/>
      <c r="ILR508" s="332"/>
      <c r="ILS508" s="332"/>
      <c r="ILT508" s="332"/>
      <c r="ILU508" s="332"/>
      <c r="ILV508" s="332"/>
      <c r="ILW508" s="332"/>
      <c r="ILX508" s="332"/>
      <c r="ILY508" s="332"/>
      <c r="ILZ508" s="332"/>
      <c r="IMA508" s="332"/>
      <c r="IMB508" s="332"/>
      <c r="IMC508" s="332"/>
      <c r="IMD508" s="332"/>
      <c r="IME508" s="332"/>
      <c r="IMF508" s="332"/>
      <c r="IMG508" s="332"/>
      <c r="IMH508" s="332"/>
      <c r="IMI508" s="332"/>
      <c r="IMJ508" s="332"/>
      <c r="IMK508" s="332"/>
      <c r="IML508" s="332"/>
      <c r="IMM508" s="332"/>
      <c r="IMN508" s="332"/>
      <c r="IMO508" s="332"/>
      <c r="IMP508" s="332"/>
      <c r="IMQ508" s="332"/>
      <c r="IMR508" s="332"/>
      <c r="IMS508" s="332"/>
      <c r="IMT508" s="332"/>
      <c r="IMU508" s="332"/>
      <c r="IMV508" s="332"/>
      <c r="IMW508" s="332"/>
      <c r="IMX508" s="332"/>
      <c r="IMY508" s="332"/>
      <c r="IMZ508" s="332"/>
      <c r="INA508" s="332"/>
      <c r="INB508" s="332"/>
      <c r="INC508" s="332"/>
      <c r="IND508" s="332"/>
      <c r="INE508" s="332"/>
      <c r="INF508" s="332"/>
      <c r="ING508" s="332"/>
      <c r="INH508" s="332"/>
      <c r="INI508" s="332"/>
      <c r="INJ508" s="332"/>
      <c r="INK508" s="332"/>
      <c r="INL508" s="332"/>
      <c r="INM508" s="332"/>
      <c r="INN508" s="332"/>
      <c r="INO508" s="332"/>
      <c r="INP508" s="332"/>
      <c r="INQ508" s="332"/>
      <c r="INR508" s="332"/>
      <c r="INS508" s="332"/>
      <c r="INT508" s="332"/>
      <c r="INU508" s="332"/>
      <c r="INV508" s="332"/>
      <c r="INW508" s="332"/>
      <c r="INX508" s="332"/>
      <c r="INY508" s="332"/>
      <c r="INZ508" s="332"/>
      <c r="IOA508" s="332"/>
      <c r="IOB508" s="332"/>
      <c r="IOC508" s="332"/>
      <c r="IOD508" s="332"/>
      <c r="IOE508" s="332"/>
      <c r="IOF508" s="332"/>
      <c r="IOG508" s="332"/>
      <c r="IOH508" s="332"/>
      <c r="IOI508" s="332"/>
      <c r="IOJ508" s="332"/>
      <c r="IOK508" s="332"/>
      <c r="IOL508" s="332"/>
      <c r="IOM508" s="332"/>
      <c r="ION508" s="332"/>
      <c r="IOO508" s="332"/>
      <c r="IOP508" s="332"/>
      <c r="IOQ508" s="332"/>
      <c r="IOR508" s="332"/>
      <c r="IOS508" s="332"/>
      <c r="IOT508" s="332"/>
      <c r="IOU508" s="332"/>
      <c r="IOV508" s="332"/>
      <c r="IOW508" s="332"/>
      <c r="IOX508" s="332"/>
      <c r="IOY508" s="332"/>
      <c r="IOZ508" s="332"/>
      <c r="IPA508" s="332"/>
      <c r="IPB508" s="332"/>
      <c r="IPC508" s="332"/>
      <c r="IPD508" s="332"/>
      <c r="IPE508" s="332"/>
      <c r="IPF508" s="332"/>
      <c r="IPG508" s="332"/>
      <c r="IPH508" s="332"/>
      <c r="IPI508" s="332"/>
      <c r="IPJ508" s="332"/>
      <c r="IPK508" s="332"/>
      <c r="IPL508" s="332"/>
      <c r="IPM508" s="332"/>
      <c r="IPN508" s="332"/>
      <c r="IPO508" s="332"/>
      <c r="IPP508" s="332"/>
      <c r="IPQ508" s="332"/>
      <c r="IPR508" s="332"/>
      <c r="IPS508" s="332"/>
      <c r="IPT508" s="332"/>
      <c r="IPU508" s="332"/>
      <c r="IPV508" s="332"/>
      <c r="IPW508" s="332"/>
      <c r="IPX508" s="332"/>
      <c r="IPY508" s="332"/>
      <c r="IPZ508" s="332"/>
      <c r="IQA508" s="332"/>
      <c r="IQB508" s="332"/>
      <c r="IQC508" s="332"/>
      <c r="IQD508" s="332"/>
      <c r="IQE508" s="332"/>
      <c r="IQF508" s="332"/>
      <c r="IQG508" s="332"/>
      <c r="IQH508" s="332"/>
      <c r="IQI508" s="332"/>
      <c r="IQJ508" s="332"/>
      <c r="IQK508" s="332"/>
      <c r="IQL508" s="332"/>
      <c r="IQM508" s="332"/>
      <c r="IQN508" s="332"/>
      <c r="IQO508" s="332"/>
      <c r="IQP508" s="332"/>
      <c r="IQQ508" s="332"/>
      <c r="IQR508" s="332"/>
      <c r="IQS508" s="332"/>
      <c r="IQT508" s="332"/>
      <c r="IQU508" s="332"/>
      <c r="IQV508" s="332"/>
      <c r="IQW508" s="332"/>
      <c r="IQX508" s="332"/>
      <c r="IQY508" s="332"/>
      <c r="IQZ508" s="332"/>
      <c r="IRA508" s="332"/>
      <c r="IRB508" s="332"/>
      <c r="IRC508" s="332"/>
      <c r="IRD508" s="332"/>
      <c r="IRE508" s="332"/>
      <c r="IRF508" s="332"/>
      <c r="IRG508" s="332"/>
      <c r="IRH508" s="332"/>
      <c r="IRI508" s="332"/>
      <c r="IRJ508" s="332"/>
      <c r="IRK508" s="332"/>
      <c r="IRL508" s="332"/>
      <c r="IRM508" s="332"/>
      <c r="IRN508" s="332"/>
      <c r="IRO508" s="332"/>
      <c r="IRP508" s="332"/>
      <c r="IRQ508" s="332"/>
      <c r="IRR508" s="332"/>
      <c r="IRS508" s="332"/>
      <c r="IRT508" s="332"/>
      <c r="IRU508" s="332"/>
      <c r="IRV508" s="332"/>
      <c r="IRW508" s="332"/>
      <c r="IRX508" s="332"/>
      <c r="IRY508" s="332"/>
      <c r="IRZ508" s="332"/>
      <c r="ISA508" s="332"/>
      <c r="ISB508" s="332"/>
      <c r="ISC508" s="332"/>
      <c r="ISD508" s="332"/>
      <c r="ISE508" s="332"/>
      <c r="ISF508" s="332"/>
      <c r="ISG508" s="332"/>
      <c r="ISH508" s="332"/>
      <c r="ISI508" s="332"/>
      <c r="ISJ508" s="332"/>
      <c r="ISK508" s="332"/>
      <c r="ISL508" s="332"/>
      <c r="ISM508" s="332"/>
      <c r="ISN508" s="332"/>
      <c r="ISO508" s="332"/>
      <c r="ISP508" s="332"/>
      <c r="ISQ508" s="332"/>
      <c r="ISR508" s="332"/>
      <c r="ISS508" s="332"/>
      <c r="IST508" s="332"/>
      <c r="ISU508" s="332"/>
      <c r="ISV508" s="332"/>
      <c r="ISW508" s="332"/>
      <c r="ISX508" s="332"/>
      <c r="ISY508" s="332"/>
      <c r="ISZ508" s="332"/>
      <c r="ITA508" s="332"/>
      <c r="ITB508" s="332"/>
      <c r="ITC508" s="332"/>
      <c r="ITD508" s="332"/>
      <c r="ITE508" s="332"/>
      <c r="ITF508" s="332"/>
      <c r="ITG508" s="332"/>
      <c r="ITH508" s="332"/>
      <c r="ITI508" s="332"/>
      <c r="ITJ508" s="332"/>
      <c r="ITK508" s="332"/>
      <c r="ITL508" s="332"/>
      <c r="ITM508" s="332"/>
      <c r="ITN508" s="332"/>
      <c r="ITO508" s="332"/>
      <c r="ITP508" s="332"/>
      <c r="ITQ508" s="332"/>
      <c r="ITR508" s="332"/>
      <c r="ITS508" s="332"/>
      <c r="ITT508" s="332"/>
      <c r="ITU508" s="332"/>
      <c r="ITV508" s="332"/>
      <c r="ITW508" s="332"/>
      <c r="ITX508" s="332"/>
      <c r="ITY508" s="332"/>
      <c r="ITZ508" s="332"/>
      <c r="IUA508" s="332"/>
      <c r="IUB508" s="332"/>
      <c r="IUC508" s="332"/>
      <c r="IUD508" s="332"/>
      <c r="IUE508" s="332"/>
      <c r="IUF508" s="332"/>
      <c r="IUG508" s="332"/>
      <c r="IUH508" s="332"/>
      <c r="IUI508" s="332"/>
      <c r="IUJ508" s="332"/>
      <c r="IUK508" s="332"/>
      <c r="IUL508" s="332"/>
      <c r="IUM508" s="332"/>
      <c r="IUN508" s="332"/>
      <c r="IUO508" s="332"/>
      <c r="IUP508" s="332"/>
      <c r="IUQ508" s="332"/>
      <c r="IUR508" s="332"/>
      <c r="IUS508" s="332"/>
      <c r="IUT508" s="332"/>
      <c r="IUU508" s="332"/>
      <c r="IUV508" s="332"/>
      <c r="IUW508" s="332"/>
      <c r="IUX508" s="332"/>
      <c r="IUY508" s="332"/>
      <c r="IUZ508" s="332"/>
      <c r="IVA508" s="332"/>
      <c r="IVB508" s="332"/>
      <c r="IVC508" s="332"/>
      <c r="IVD508" s="332"/>
      <c r="IVE508" s="332"/>
      <c r="IVF508" s="332"/>
      <c r="IVG508" s="332"/>
      <c r="IVH508" s="332"/>
      <c r="IVI508" s="332"/>
      <c r="IVJ508" s="332"/>
      <c r="IVK508" s="332"/>
      <c r="IVL508" s="332"/>
      <c r="IVM508" s="332"/>
      <c r="IVN508" s="332"/>
      <c r="IVO508" s="332"/>
      <c r="IVP508" s="332"/>
      <c r="IVQ508" s="332"/>
      <c r="IVR508" s="332"/>
      <c r="IVS508" s="332"/>
      <c r="IVT508" s="332"/>
      <c r="IVU508" s="332"/>
      <c r="IVV508" s="332"/>
      <c r="IVW508" s="332"/>
      <c r="IVX508" s="332"/>
      <c r="IVY508" s="332"/>
      <c r="IVZ508" s="332"/>
      <c r="IWA508" s="332"/>
      <c r="IWB508" s="332"/>
      <c r="IWC508" s="332"/>
      <c r="IWD508" s="332"/>
      <c r="IWE508" s="332"/>
      <c r="IWF508" s="332"/>
      <c r="IWG508" s="332"/>
      <c r="IWH508" s="332"/>
      <c r="IWI508" s="332"/>
      <c r="IWJ508" s="332"/>
      <c r="IWK508" s="332"/>
      <c r="IWL508" s="332"/>
      <c r="IWM508" s="332"/>
      <c r="IWN508" s="332"/>
      <c r="IWO508" s="332"/>
      <c r="IWP508" s="332"/>
      <c r="IWQ508" s="332"/>
      <c r="IWR508" s="332"/>
      <c r="IWS508" s="332"/>
      <c r="IWT508" s="332"/>
      <c r="IWU508" s="332"/>
      <c r="IWV508" s="332"/>
      <c r="IWW508" s="332"/>
      <c r="IWX508" s="332"/>
      <c r="IWY508" s="332"/>
      <c r="IWZ508" s="332"/>
      <c r="IXA508" s="332"/>
      <c r="IXB508" s="332"/>
      <c r="IXC508" s="332"/>
      <c r="IXD508" s="332"/>
      <c r="IXE508" s="332"/>
      <c r="IXF508" s="332"/>
      <c r="IXG508" s="332"/>
      <c r="IXH508" s="332"/>
      <c r="IXI508" s="332"/>
      <c r="IXJ508" s="332"/>
      <c r="IXK508" s="332"/>
      <c r="IXL508" s="332"/>
      <c r="IXM508" s="332"/>
      <c r="IXN508" s="332"/>
      <c r="IXO508" s="332"/>
      <c r="IXP508" s="332"/>
      <c r="IXQ508" s="332"/>
      <c r="IXR508" s="332"/>
      <c r="IXS508" s="332"/>
      <c r="IXT508" s="332"/>
      <c r="IXU508" s="332"/>
      <c r="IXV508" s="332"/>
      <c r="IXW508" s="332"/>
      <c r="IXX508" s="332"/>
      <c r="IXY508" s="332"/>
      <c r="IXZ508" s="332"/>
      <c r="IYA508" s="332"/>
      <c r="IYB508" s="332"/>
      <c r="IYC508" s="332"/>
      <c r="IYD508" s="332"/>
      <c r="IYE508" s="332"/>
      <c r="IYF508" s="332"/>
      <c r="IYG508" s="332"/>
      <c r="IYH508" s="332"/>
      <c r="IYI508" s="332"/>
      <c r="IYJ508" s="332"/>
      <c r="IYK508" s="332"/>
      <c r="IYL508" s="332"/>
      <c r="IYM508" s="332"/>
      <c r="IYN508" s="332"/>
      <c r="IYO508" s="332"/>
      <c r="IYP508" s="332"/>
      <c r="IYQ508" s="332"/>
      <c r="IYR508" s="332"/>
      <c r="IYS508" s="332"/>
      <c r="IYT508" s="332"/>
      <c r="IYU508" s="332"/>
      <c r="IYV508" s="332"/>
      <c r="IYW508" s="332"/>
      <c r="IYX508" s="332"/>
      <c r="IYY508" s="332"/>
      <c r="IYZ508" s="332"/>
      <c r="IZA508" s="332"/>
      <c r="IZB508" s="332"/>
      <c r="IZC508" s="332"/>
      <c r="IZD508" s="332"/>
      <c r="IZE508" s="332"/>
      <c r="IZF508" s="332"/>
      <c r="IZG508" s="332"/>
      <c r="IZH508" s="332"/>
      <c r="IZI508" s="332"/>
      <c r="IZJ508" s="332"/>
      <c r="IZK508" s="332"/>
      <c r="IZL508" s="332"/>
      <c r="IZM508" s="332"/>
      <c r="IZN508" s="332"/>
      <c r="IZO508" s="332"/>
      <c r="IZP508" s="332"/>
      <c r="IZQ508" s="332"/>
      <c r="IZR508" s="332"/>
      <c r="IZS508" s="332"/>
      <c r="IZT508" s="332"/>
      <c r="IZU508" s="332"/>
      <c r="IZV508" s="332"/>
      <c r="IZW508" s="332"/>
      <c r="IZX508" s="332"/>
      <c r="IZY508" s="332"/>
      <c r="IZZ508" s="332"/>
      <c r="JAA508" s="332"/>
      <c r="JAB508" s="332"/>
      <c r="JAC508" s="332"/>
      <c r="JAD508" s="332"/>
      <c r="JAE508" s="332"/>
      <c r="JAF508" s="332"/>
      <c r="JAG508" s="332"/>
      <c r="JAH508" s="332"/>
      <c r="JAI508" s="332"/>
      <c r="JAJ508" s="332"/>
      <c r="JAK508" s="332"/>
      <c r="JAL508" s="332"/>
      <c r="JAM508" s="332"/>
      <c r="JAN508" s="332"/>
      <c r="JAO508" s="332"/>
      <c r="JAP508" s="332"/>
      <c r="JAQ508" s="332"/>
      <c r="JAR508" s="332"/>
      <c r="JAS508" s="332"/>
      <c r="JAT508" s="332"/>
      <c r="JAU508" s="332"/>
      <c r="JAV508" s="332"/>
      <c r="JAW508" s="332"/>
      <c r="JAX508" s="332"/>
      <c r="JAY508" s="332"/>
      <c r="JAZ508" s="332"/>
      <c r="JBA508" s="332"/>
      <c r="JBB508" s="332"/>
      <c r="JBC508" s="332"/>
      <c r="JBD508" s="332"/>
      <c r="JBE508" s="332"/>
      <c r="JBF508" s="332"/>
      <c r="JBG508" s="332"/>
      <c r="JBH508" s="332"/>
      <c r="JBI508" s="332"/>
      <c r="JBJ508" s="332"/>
      <c r="JBK508" s="332"/>
      <c r="JBL508" s="332"/>
      <c r="JBM508" s="332"/>
      <c r="JBN508" s="332"/>
      <c r="JBO508" s="332"/>
      <c r="JBP508" s="332"/>
      <c r="JBQ508" s="332"/>
      <c r="JBR508" s="332"/>
      <c r="JBS508" s="332"/>
      <c r="JBT508" s="332"/>
      <c r="JBU508" s="332"/>
      <c r="JBV508" s="332"/>
      <c r="JBW508" s="332"/>
      <c r="JBX508" s="332"/>
      <c r="JBY508" s="332"/>
      <c r="JBZ508" s="332"/>
      <c r="JCA508" s="332"/>
      <c r="JCB508" s="332"/>
      <c r="JCC508" s="332"/>
      <c r="JCD508" s="332"/>
      <c r="JCE508" s="332"/>
      <c r="JCF508" s="332"/>
      <c r="JCG508" s="332"/>
      <c r="JCH508" s="332"/>
      <c r="JCI508" s="332"/>
      <c r="JCJ508" s="332"/>
      <c r="JCK508" s="332"/>
      <c r="JCL508" s="332"/>
      <c r="JCM508" s="332"/>
      <c r="JCN508" s="332"/>
      <c r="JCO508" s="332"/>
      <c r="JCP508" s="332"/>
      <c r="JCQ508" s="332"/>
      <c r="JCR508" s="332"/>
      <c r="JCS508" s="332"/>
      <c r="JCT508" s="332"/>
      <c r="JCU508" s="332"/>
      <c r="JCV508" s="332"/>
      <c r="JCW508" s="332"/>
      <c r="JCX508" s="332"/>
      <c r="JCY508" s="332"/>
      <c r="JCZ508" s="332"/>
      <c r="JDA508" s="332"/>
      <c r="JDB508" s="332"/>
      <c r="JDC508" s="332"/>
      <c r="JDD508" s="332"/>
      <c r="JDE508" s="332"/>
      <c r="JDF508" s="332"/>
      <c r="JDG508" s="332"/>
      <c r="JDH508" s="332"/>
      <c r="JDI508" s="332"/>
      <c r="JDJ508" s="332"/>
      <c r="JDK508" s="332"/>
      <c r="JDL508" s="332"/>
      <c r="JDM508" s="332"/>
      <c r="JDN508" s="332"/>
      <c r="JDO508" s="332"/>
      <c r="JDP508" s="332"/>
      <c r="JDQ508" s="332"/>
      <c r="JDR508" s="332"/>
      <c r="JDS508" s="332"/>
      <c r="JDT508" s="332"/>
      <c r="JDU508" s="332"/>
      <c r="JDV508" s="332"/>
      <c r="JDW508" s="332"/>
      <c r="JDX508" s="332"/>
      <c r="JDY508" s="332"/>
      <c r="JDZ508" s="332"/>
      <c r="JEA508" s="332"/>
      <c r="JEB508" s="332"/>
      <c r="JEC508" s="332"/>
      <c r="JED508" s="332"/>
      <c r="JEE508" s="332"/>
      <c r="JEF508" s="332"/>
      <c r="JEG508" s="332"/>
      <c r="JEH508" s="332"/>
      <c r="JEI508" s="332"/>
      <c r="JEJ508" s="332"/>
      <c r="JEK508" s="332"/>
      <c r="JEL508" s="332"/>
      <c r="JEM508" s="332"/>
      <c r="JEN508" s="332"/>
      <c r="JEO508" s="332"/>
      <c r="JEP508" s="332"/>
      <c r="JEQ508" s="332"/>
      <c r="JER508" s="332"/>
      <c r="JES508" s="332"/>
      <c r="JET508" s="332"/>
      <c r="JEU508" s="332"/>
      <c r="JEV508" s="332"/>
      <c r="JEW508" s="332"/>
      <c r="JEX508" s="332"/>
      <c r="JEY508" s="332"/>
      <c r="JEZ508" s="332"/>
      <c r="JFA508" s="332"/>
      <c r="JFB508" s="332"/>
      <c r="JFC508" s="332"/>
      <c r="JFD508" s="332"/>
      <c r="JFE508" s="332"/>
      <c r="JFF508" s="332"/>
      <c r="JFG508" s="332"/>
      <c r="JFH508" s="332"/>
      <c r="JFI508" s="332"/>
      <c r="JFJ508" s="332"/>
      <c r="JFK508" s="332"/>
      <c r="JFL508" s="332"/>
      <c r="JFM508" s="332"/>
      <c r="JFN508" s="332"/>
      <c r="JFO508" s="332"/>
      <c r="JFP508" s="332"/>
      <c r="JFQ508" s="332"/>
      <c r="JFR508" s="332"/>
      <c r="JFS508" s="332"/>
      <c r="JFT508" s="332"/>
      <c r="JFU508" s="332"/>
      <c r="JFV508" s="332"/>
      <c r="JFW508" s="332"/>
      <c r="JFX508" s="332"/>
      <c r="JFY508" s="332"/>
      <c r="JFZ508" s="332"/>
      <c r="JGA508" s="332"/>
      <c r="JGB508" s="332"/>
      <c r="JGC508" s="332"/>
      <c r="JGD508" s="332"/>
      <c r="JGE508" s="332"/>
      <c r="JGF508" s="332"/>
      <c r="JGG508" s="332"/>
      <c r="JGH508" s="332"/>
      <c r="JGI508" s="332"/>
      <c r="JGJ508" s="332"/>
      <c r="JGK508" s="332"/>
      <c r="JGL508" s="332"/>
      <c r="JGM508" s="332"/>
      <c r="JGN508" s="332"/>
      <c r="JGO508" s="332"/>
      <c r="JGP508" s="332"/>
      <c r="JGQ508" s="332"/>
      <c r="JGR508" s="332"/>
      <c r="JGS508" s="332"/>
      <c r="JGT508" s="332"/>
      <c r="JGU508" s="332"/>
      <c r="JGV508" s="332"/>
      <c r="JGW508" s="332"/>
      <c r="JGX508" s="332"/>
      <c r="JGY508" s="332"/>
      <c r="JGZ508" s="332"/>
      <c r="JHA508" s="332"/>
      <c r="JHB508" s="332"/>
      <c r="JHC508" s="332"/>
      <c r="JHD508" s="332"/>
      <c r="JHE508" s="332"/>
      <c r="JHF508" s="332"/>
      <c r="JHG508" s="332"/>
      <c r="JHH508" s="332"/>
      <c r="JHI508" s="332"/>
      <c r="JHJ508" s="332"/>
      <c r="JHK508" s="332"/>
      <c r="JHL508" s="332"/>
      <c r="JHM508" s="332"/>
      <c r="JHN508" s="332"/>
      <c r="JHO508" s="332"/>
      <c r="JHP508" s="332"/>
      <c r="JHQ508" s="332"/>
      <c r="JHR508" s="332"/>
      <c r="JHS508" s="332"/>
      <c r="JHT508" s="332"/>
      <c r="JHU508" s="332"/>
      <c r="JHV508" s="332"/>
      <c r="JHW508" s="332"/>
      <c r="JHX508" s="332"/>
      <c r="JHY508" s="332"/>
      <c r="JHZ508" s="332"/>
      <c r="JIA508" s="332"/>
      <c r="JIB508" s="332"/>
      <c r="JIC508" s="332"/>
      <c r="JID508" s="332"/>
      <c r="JIE508" s="332"/>
      <c r="JIF508" s="332"/>
      <c r="JIG508" s="332"/>
      <c r="JIH508" s="332"/>
      <c r="JII508" s="332"/>
      <c r="JIJ508" s="332"/>
      <c r="JIK508" s="332"/>
      <c r="JIL508" s="332"/>
      <c r="JIM508" s="332"/>
      <c r="JIN508" s="332"/>
      <c r="JIO508" s="332"/>
      <c r="JIP508" s="332"/>
      <c r="JIQ508" s="332"/>
      <c r="JIR508" s="332"/>
      <c r="JIS508" s="332"/>
      <c r="JIT508" s="332"/>
      <c r="JIU508" s="332"/>
      <c r="JIV508" s="332"/>
      <c r="JIW508" s="332"/>
      <c r="JIX508" s="332"/>
      <c r="JIY508" s="332"/>
      <c r="JIZ508" s="332"/>
      <c r="JJA508" s="332"/>
      <c r="JJB508" s="332"/>
      <c r="JJC508" s="332"/>
      <c r="JJD508" s="332"/>
      <c r="JJE508" s="332"/>
      <c r="JJF508" s="332"/>
      <c r="JJG508" s="332"/>
      <c r="JJH508" s="332"/>
      <c r="JJI508" s="332"/>
      <c r="JJJ508" s="332"/>
      <c r="JJK508" s="332"/>
      <c r="JJL508" s="332"/>
      <c r="JJM508" s="332"/>
      <c r="JJN508" s="332"/>
      <c r="JJO508" s="332"/>
      <c r="JJP508" s="332"/>
      <c r="JJQ508" s="332"/>
      <c r="JJR508" s="332"/>
      <c r="JJS508" s="332"/>
      <c r="JJT508" s="332"/>
      <c r="JJU508" s="332"/>
      <c r="JJV508" s="332"/>
      <c r="JJW508" s="332"/>
      <c r="JJX508" s="332"/>
      <c r="JJY508" s="332"/>
      <c r="JJZ508" s="332"/>
      <c r="JKA508" s="332"/>
      <c r="JKB508" s="332"/>
      <c r="JKC508" s="332"/>
      <c r="JKD508" s="332"/>
      <c r="JKE508" s="332"/>
      <c r="JKF508" s="332"/>
      <c r="JKG508" s="332"/>
      <c r="JKH508" s="332"/>
      <c r="JKI508" s="332"/>
      <c r="JKJ508" s="332"/>
      <c r="JKK508" s="332"/>
      <c r="JKL508" s="332"/>
      <c r="JKM508" s="332"/>
      <c r="JKN508" s="332"/>
      <c r="JKO508" s="332"/>
      <c r="JKP508" s="332"/>
      <c r="JKQ508" s="332"/>
      <c r="JKR508" s="332"/>
      <c r="JKS508" s="332"/>
      <c r="JKT508" s="332"/>
      <c r="JKU508" s="332"/>
      <c r="JKV508" s="332"/>
      <c r="JKW508" s="332"/>
      <c r="JKX508" s="332"/>
      <c r="JKY508" s="332"/>
      <c r="JKZ508" s="332"/>
      <c r="JLA508" s="332"/>
      <c r="JLB508" s="332"/>
      <c r="JLC508" s="332"/>
      <c r="JLD508" s="332"/>
      <c r="JLE508" s="332"/>
      <c r="JLF508" s="332"/>
      <c r="JLG508" s="332"/>
      <c r="JLH508" s="332"/>
      <c r="JLI508" s="332"/>
      <c r="JLJ508" s="332"/>
      <c r="JLK508" s="332"/>
      <c r="JLL508" s="332"/>
      <c r="JLM508" s="332"/>
      <c r="JLN508" s="332"/>
      <c r="JLO508" s="332"/>
      <c r="JLP508" s="332"/>
      <c r="JLQ508" s="332"/>
      <c r="JLR508" s="332"/>
      <c r="JLS508" s="332"/>
      <c r="JLT508" s="332"/>
      <c r="JLU508" s="332"/>
      <c r="JLV508" s="332"/>
      <c r="JLW508" s="332"/>
      <c r="JLX508" s="332"/>
      <c r="JLY508" s="332"/>
      <c r="JLZ508" s="332"/>
      <c r="JMA508" s="332"/>
      <c r="JMB508" s="332"/>
      <c r="JMC508" s="332"/>
      <c r="JMD508" s="332"/>
      <c r="JME508" s="332"/>
      <c r="JMF508" s="332"/>
      <c r="JMG508" s="332"/>
      <c r="JMH508" s="332"/>
      <c r="JMI508" s="332"/>
      <c r="JMJ508" s="332"/>
      <c r="JMK508" s="332"/>
      <c r="JML508" s="332"/>
      <c r="JMM508" s="332"/>
      <c r="JMN508" s="332"/>
      <c r="JMO508" s="332"/>
      <c r="JMP508" s="332"/>
      <c r="JMQ508" s="332"/>
      <c r="JMR508" s="332"/>
      <c r="JMS508" s="332"/>
      <c r="JMT508" s="332"/>
      <c r="JMU508" s="332"/>
      <c r="JMV508" s="332"/>
      <c r="JMW508" s="332"/>
      <c r="JMX508" s="332"/>
      <c r="JMY508" s="332"/>
      <c r="JMZ508" s="332"/>
      <c r="JNA508" s="332"/>
      <c r="JNB508" s="332"/>
      <c r="JNC508" s="332"/>
      <c r="JND508" s="332"/>
      <c r="JNE508" s="332"/>
      <c r="JNF508" s="332"/>
      <c r="JNG508" s="332"/>
      <c r="JNH508" s="332"/>
      <c r="JNI508" s="332"/>
      <c r="JNJ508" s="332"/>
      <c r="JNK508" s="332"/>
      <c r="JNL508" s="332"/>
      <c r="JNM508" s="332"/>
      <c r="JNN508" s="332"/>
      <c r="JNO508" s="332"/>
      <c r="JNP508" s="332"/>
      <c r="JNQ508" s="332"/>
      <c r="JNR508" s="332"/>
      <c r="JNS508" s="332"/>
      <c r="JNT508" s="332"/>
      <c r="JNU508" s="332"/>
      <c r="JNV508" s="332"/>
      <c r="JNW508" s="332"/>
      <c r="JNX508" s="332"/>
      <c r="JNY508" s="332"/>
      <c r="JNZ508" s="332"/>
      <c r="JOA508" s="332"/>
      <c r="JOB508" s="332"/>
      <c r="JOC508" s="332"/>
      <c r="JOD508" s="332"/>
      <c r="JOE508" s="332"/>
      <c r="JOF508" s="332"/>
      <c r="JOG508" s="332"/>
      <c r="JOH508" s="332"/>
      <c r="JOI508" s="332"/>
      <c r="JOJ508" s="332"/>
      <c r="JOK508" s="332"/>
      <c r="JOL508" s="332"/>
      <c r="JOM508" s="332"/>
      <c r="JON508" s="332"/>
      <c r="JOO508" s="332"/>
      <c r="JOP508" s="332"/>
      <c r="JOQ508" s="332"/>
      <c r="JOR508" s="332"/>
      <c r="JOS508" s="332"/>
      <c r="JOT508" s="332"/>
      <c r="JOU508" s="332"/>
      <c r="JOV508" s="332"/>
      <c r="JOW508" s="332"/>
      <c r="JOX508" s="332"/>
      <c r="JOY508" s="332"/>
      <c r="JOZ508" s="332"/>
      <c r="JPA508" s="332"/>
      <c r="JPB508" s="332"/>
      <c r="JPC508" s="332"/>
      <c r="JPD508" s="332"/>
      <c r="JPE508" s="332"/>
      <c r="JPF508" s="332"/>
      <c r="JPG508" s="332"/>
      <c r="JPH508" s="332"/>
      <c r="JPI508" s="332"/>
      <c r="JPJ508" s="332"/>
      <c r="JPK508" s="332"/>
      <c r="JPL508" s="332"/>
      <c r="JPM508" s="332"/>
      <c r="JPN508" s="332"/>
      <c r="JPO508" s="332"/>
      <c r="JPP508" s="332"/>
      <c r="JPQ508" s="332"/>
      <c r="JPR508" s="332"/>
      <c r="JPS508" s="332"/>
      <c r="JPT508" s="332"/>
      <c r="JPU508" s="332"/>
      <c r="JPV508" s="332"/>
      <c r="JPW508" s="332"/>
      <c r="JPX508" s="332"/>
      <c r="JPY508" s="332"/>
      <c r="JPZ508" s="332"/>
      <c r="JQA508" s="332"/>
      <c r="JQB508" s="332"/>
      <c r="JQC508" s="332"/>
      <c r="JQD508" s="332"/>
      <c r="JQE508" s="332"/>
      <c r="JQF508" s="332"/>
      <c r="JQG508" s="332"/>
      <c r="JQH508" s="332"/>
      <c r="JQI508" s="332"/>
      <c r="JQJ508" s="332"/>
      <c r="JQK508" s="332"/>
      <c r="JQL508" s="332"/>
      <c r="JQM508" s="332"/>
      <c r="JQN508" s="332"/>
      <c r="JQO508" s="332"/>
      <c r="JQP508" s="332"/>
      <c r="JQQ508" s="332"/>
      <c r="JQR508" s="332"/>
      <c r="JQS508" s="332"/>
      <c r="JQT508" s="332"/>
      <c r="JQU508" s="332"/>
      <c r="JQV508" s="332"/>
      <c r="JQW508" s="332"/>
      <c r="JQX508" s="332"/>
      <c r="JQY508" s="332"/>
      <c r="JQZ508" s="332"/>
      <c r="JRA508" s="332"/>
      <c r="JRB508" s="332"/>
      <c r="JRC508" s="332"/>
      <c r="JRD508" s="332"/>
      <c r="JRE508" s="332"/>
      <c r="JRF508" s="332"/>
      <c r="JRG508" s="332"/>
      <c r="JRH508" s="332"/>
      <c r="JRI508" s="332"/>
      <c r="JRJ508" s="332"/>
      <c r="JRK508" s="332"/>
      <c r="JRL508" s="332"/>
      <c r="JRM508" s="332"/>
      <c r="JRN508" s="332"/>
      <c r="JRO508" s="332"/>
      <c r="JRP508" s="332"/>
      <c r="JRQ508" s="332"/>
      <c r="JRR508" s="332"/>
      <c r="JRS508" s="332"/>
      <c r="JRT508" s="332"/>
      <c r="JRU508" s="332"/>
      <c r="JRV508" s="332"/>
      <c r="JRW508" s="332"/>
      <c r="JRX508" s="332"/>
      <c r="JRY508" s="332"/>
      <c r="JRZ508" s="332"/>
      <c r="JSA508" s="332"/>
      <c r="JSB508" s="332"/>
      <c r="JSC508" s="332"/>
      <c r="JSD508" s="332"/>
      <c r="JSE508" s="332"/>
      <c r="JSF508" s="332"/>
      <c r="JSG508" s="332"/>
      <c r="JSH508" s="332"/>
      <c r="JSI508" s="332"/>
      <c r="JSJ508" s="332"/>
      <c r="JSK508" s="332"/>
      <c r="JSL508" s="332"/>
      <c r="JSM508" s="332"/>
      <c r="JSN508" s="332"/>
      <c r="JSO508" s="332"/>
      <c r="JSP508" s="332"/>
      <c r="JSQ508" s="332"/>
      <c r="JSR508" s="332"/>
      <c r="JSS508" s="332"/>
      <c r="JST508" s="332"/>
      <c r="JSU508" s="332"/>
      <c r="JSV508" s="332"/>
      <c r="JSW508" s="332"/>
      <c r="JSX508" s="332"/>
      <c r="JSY508" s="332"/>
      <c r="JSZ508" s="332"/>
      <c r="JTA508" s="332"/>
      <c r="JTB508" s="332"/>
      <c r="JTC508" s="332"/>
      <c r="JTD508" s="332"/>
      <c r="JTE508" s="332"/>
      <c r="JTF508" s="332"/>
      <c r="JTG508" s="332"/>
      <c r="JTH508" s="332"/>
      <c r="JTI508" s="332"/>
      <c r="JTJ508" s="332"/>
      <c r="JTK508" s="332"/>
      <c r="JTL508" s="332"/>
      <c r="JTM508" s="332"/>
      <c r="JTN508" s="332"/>
      <c r="JTO508" s="332"/>
      <c r="JTP508" s="332"/>
      <c r="JTQ508" s="332"/>
      <c r="JTR508" s="332"/>
      <c r="JTS508" s="332"/>
      <c r="JTT508" s="332"/>
      <c r="JTU508" s="332"/>
      <c r="JTV508" s="332"/>
      <c r="JTW508" s="332"/>
      <c r="JTX508" s="332"/>
      <c r="JTY508" s="332"/>
      <c r="JTZ508" s="332"/>
      <c r="JUA508" s="332"/>
      <c r="JUB508" s="332"/>
      <c r="JUC508" s="332"/>
      <c r="JUD508" s="332"/>
      <c r="JUE508" s="332"/>
      <c r="JUF508" s="332"/>
      <c r="JUG508" s="332"/>
      <c r="JUH508" s="332"/>
      <c r="JUI508" s="332"/>
      <c r="JUJ508" s="332"/>
      <c r="JUK508" s="332"/>
      <c r="JUL508" s="332"/>
      <c r="JUM508" s="332"/>
      <c r="JUN508" s="332"/>
      <c r="JUO508" s="332"/>
      <c r="JUP508" s="332"/>
      <c r="JUQ508" s="332"/>
      <c r="JUR508" s="332"/>
      <c r="JUS508" s="332"/>
      <c r="JUT508" s="332"/>
      <c r="JUU508" s="332"/>
      <c r="JUV508" s="332"/>
      <c r="JUW508" s="332"/>
      <c r="JUX508" s="332"/>
      <c r="JUY508" s="332"/>
      <c r="JUZ508" s="332"/>
      <c r="JVA508" s="332"/>
      <c r="JVB508" s="332"/>
      <c r="JVC508" s="332"/>
      <c r="JVD508" s="332"/>
      <c r="JVE508" s="332"/>
      <c r="JVF508" s="332"/>
      <c r="JVG508" s="332"/>
      <c r="JVH508" s="332"/>
      <c r="JVI508" s="332"/>
      <c r="JVJ508" s="332"/>
      <c r="JVK508" s="332"/>
      <c r="JVL508" s="332"/>
      <c r="JVM508" s="332"/>
      <c r="JVN508" s="332"/>
      <c r="JVO508" s="332"/>
      <c r="JVP508" s="332"/>
      <c r="JVQ508" s="332"/>
      <c r="JVR508" s="332"/>
      <c r="JVS508" s="332"/>
      <c r="JVT508" s="332"/>
      <c r="JVU508" s="332"/>
      <c r="JVV508" s="332"/>
      <c r="JVW508" s="332"/>
      <c r="JVX508" s="332"/>
      <c r="JVY508" s="332"/>
      <c r="JVZ508" s="332"/>
      <c r="JWA508" s="332"/>
      <c r="JWB508" s="332"/>
      <c r="JWC508" s="332"/>
      <c r="JWD508" s="332"/>
      <c r="JWE508" s="332"/>
      <c r="JWF508" s="332"/>
      <c r="JWG508" s="332"/>
      <c r="JWH508" s="332"/>
      <c r="JWI508" s="332"/>
      <c r="JWJ508" s="332"/>
      <c r="JWK508" s="332"/>
      <c r="JWL508" s="332"/>
      <c r="JWM508" s="332"/>
      <c r="JWN508" s="332"/>
      <c r="JWO508" s="332"/>
      <c r="JWP508" s="332"/>
      <c r="JWQ508" s="332"/>
      <c r="JWR508" s="332"/>
      <c r="JWS508" s="332"/>
      <c r="JWT508" s="332"/>
      <c r="JWU508" s="332"/>
      <c r="JWV508" s="332"/>
      <c r="JWW508" s="332"/>
      <c r="JWX508" s="332"/>
      <c r="JWY508" s="332"/>
      <c r="JWZ508" s="332"/>
      <c r="JXA508" s="332"/>
      <c r="JXB508" s="332"/>
      <c r="JXC508" s="332"/>
      <c r="JXD508" s="332"/>
      <c r="JXE508" s="332"/>
      <c r="JXF508" s="332"/>
      <c r="JXG508" s="332"/>
      <c r="JXH508" s="332"/>
      <c r="JXI508" s="332"/>
      <c r="JXJ508" s="332"/>
      <c r="JXK508" s="332"/>
      <c r="JXL508" s="332"/>
      <c r="JXM508" s="332"/>
      <c r="JXN508" s="332"/>
      <c r="JXO508" s="332"/>
      <c r="JXP508" s="332"/>
      <c r="JXQ508" s="332"/>
      <c r="JXR508" s="332"/>
      <c r="JXS508" s="332"/>
      <c r="JXT508" s="332"/>
      <c r="JXU508" s="332"/>
      <c r="JXV508" s="332"/>
      <c r="JXW508" s="332"/>
      <c r="JXX508" s="332"/>
      <c r="JXY508" s="332"/>
      <c r="JXZ508" s="332"/>
      <c r="JYA508" s="332"/>
      <c r="JYB508" s="332"/>
      <c r="JYC508" s="332"/>
      <c r="JYD508" s="332"/>
      <c r="JYE508" s="332"/>
      <c r="JYF508" s="332"/>
      <c r="JYG508" s="332"/>
      <c r="JYH508" s="332"/>
      <c r="JYI508" s="332"/>
      <c r="JYJ508" s="332"/>
      <c r="JYK508" s="332"/>
      <c r="JYL508" s="332"/>
      <c r="JYM508" s="332"/>
      <c r="JYN508" s="332"/>
      <c r="JYO508" s="332"/>
      <c r="JYP508" s="332"/>
      <c r="JYQ508" s="332"/>
      <c r="JYR508" s="332"/>
      <c r="JYS508" s="332"/>
      <c r="JYT508" s="332"/>
      <c r="JYU508" s="332"/>
      <c r="JYV508" s="332"/>
      <c r="JYW508" s="332"/>
      <c r="JYX508" s="332"/>
      <c r="JYY508" s="332"/>
      <c r="JYZ508" s="332"/>
      <c r="JZA508" s="332"/>
      <c r="JZB508" s="332"/>
      <c r="JZC508" s="332"/>
      <c r="JZD508" s="332"/>
      <c r="JZE508" s="332"/>
      <c r="JZF508" s="332"/>
      <c r="JZG508" s="332"/>
      <c r="JZH508" s="332"/>
      <c r="JZI508" s="332"/>
      <c r="JZJ508" s="332"/>
      <c r="JZK508" s="332"/>
      <c r="JZL508" s="332"/>
      <c r="JZM508" s="332"/>
      <c r="JZN508" s="332"/>
      <c r="JZO508" s="332"/>
      <c r="JZP508" s="332"/>
      <c r="JZQ508" s="332"/>
      <c r="JZR508" s="332"/>
      <c r="JZS508" s="332"/>
      <c r="JZT508" s="332"/>
      <c r="JZU508" s="332"/>
      <c r="JZV508" s="332"/>
      <c r="JZW508" s="332"/>
      <c r="JZX508" s="332"/>
      <c r="JZY508" s="332"/>
      <c r="JZZ508" s="332"/>
      <c r="KAA508" s="332"/>
      <c r="KAB508" s="332"/>
      <c r="KAC508" s="332"/>
      <c r="KAD508" s="332"/>
      <c r="KAE508" s="332"/>
      <c r="KAF508" s="332"/>
      <c r="KAG508" s="332"/>
      <c r="KAH508" s="332"/>
      <c r="KAI508" s="332"/>
      <c r="KAJ508" s="332"/>
      <c r="KAK508" s="332"/>
      <c r="KAL508" s="332"/>
      <c r="KAM508" s="332"/>
      <c r="KAN508" s="332"/>
      <c r="KAO508" s="332"/>
      <c r="KAP508" s="332"/>
      <c r="KAQ508" s="332"/>
      <c r="KAR508" s="332"/>
      <c r="KAS508" s="332"/>
      <c r="KAT508" s="332"/>
      <c r="KAU508" s="332"/>
      <c r="KAV508" s="332"/>
      <c r="KAW508" s="332"/>
      <c r="KAX508" s="332"/>
      <c r="KAY508" s="332"/>
      <c r="KAZ508" s="332"/>
      <c r="KBA508" s="332"/>
      <c r="KBB508" s="332"/>
      <c r="KBC508" s="332"/>
      <c r="KBD508" s="332"/>
      <c r="KBE508" s="332"/>
      <c r="KBF508" s="332"/>
      <c r="KBG508" s="332"/>
      <c r="KBH508" s="332"/>
      <c r="KBI508" s="332"/>
      <c r="KBJ508" s="332"/>
      <c r="KBK508" s="332"/>
      <c r="KBL508" s="332"/>
      <c r="KBM508" s="332"/>
      <c r="KBN508" s="332"/>
      <c r="KBO508" s="332"/>
      <c r="KBP508" s="332"/>
      <c r="KBQ508" s="332"/>
      <c r="KBR508" s="332"/>
      <c r="KBS508" s="332"/>
      <c r="KBT508" s="332"/>
      <c r="KBU508" s="332"/>
      <c r="KBV508" s="332"/>
      <c r="KBW508" s="332"/>
      <c r="KBX508" s="332"/>
      <c r="KBY508" s="332"/>
      <c r="KBZ508" s="332"/>
      <c r="KCA508" s="332"/>
      <c r="KCB508" s="332"/>
      <c r="KCC508" s="332"/>
      <c r="KCD508" s="332"/>
      <c r="KCE508" s="332"/>
      <c r="KCF508" s="332"/>
      <c r="KCG508" s="332"/>
      <c r="KCH508" s="332"/>
      <c r="KCI508" s="332"/>
      <c r="KCJ508" s="332"/>
      <c r="KCK508" s="332"/>
      <c r="KCL508" s="332"/>
      <c r="KCM508" s="332"/>
      <c r="KCN508" s="332"/>
      <c r="KCO508" s="332"/>
      <c r="KCP508" s="332"/>
      <c r="KCQ508" s="332"/>
      <c r="KCR508" s="332"/>
      <c r="KCS508" s="332"/>
      <c r="KCT508" s="332"/>
      <c r="KCU508" s="332"/>
      <c r="KCV508" s="332"/>
      <c r="KCW508" s="332"/>
      <c r="KCX508" s="332"/>
      <c r="KCY508" s="332"/>
      <c r="KCZ508" s="332"/>
      <c r="KDA508" s="332"/>
      <c r="KDB508" s="332"/>
      <c r="KDC508" s="332"/>
      <c r="KDD508" s="332"/>
      <c r="KDE508" s="332"/>
      <c r="KDF508" s="332"/>
      <c r="KDG508" s="332"/>
      <c r="KDH508" s="332"/>
      <c r="KDI508" s="332"/>
      <c r="KDJ508" s="332"/>
      <c r="KDK508" s="332"/>
      <c r="KDL508" s="332"/>
      <c r="KDM508" s="332"/>
      <c r="KDN508" s="332"/>
      <c r="KDO508" s="332"/>
      <c r="KDP508" s="332"/>
      <c r="KDQ508" s="332"/>
      <c r="KDR508" s="332"/>
      <c r="KDS508" s="332"/>
      <c r="KDT508" s="332"/>
      <c r="KDU508" s="332"/>
      <c r="KDV508" s="332"/>
      <c r="KDW508" s="332"/>
      <c r="KDX508" s="332"/>
      <c r="KDY508" s="332"/>
      <c r="KDZ508" s="332"/>
      <c r="KEA508" s="332"/>
      <c r="KEB508" s="332"/>
      <c r="KEC508" s="332"/>
      <c r="KED508" s="332"/>
      <c r="KEE508" s="332"/>
      <c r="KEF508" s="332"/>
      <c r="KEG508" s="332"/>
      <c r="KEH508" s="332"/>
      <c r="KEI508" s="332"/>
      <c r="KEJ508" s="332"/>
      <c r="KEK508" s="332"/>
      <c r="KEL508" s="332"/>
      <c r="KEM508" s="332"/>
      <c r="KEN508" s="332"/>
      <c r="KEO508" s="332"/>
      <c r="KEP508" s="332"/>
      <c r="KEQ508" s="332"/>
      <c r="KER508" s="332"/>
      <c r="KES508" s="332"/>
      <c r="KET508" s="332"/>
      <c r="KEU508" s="332"/>
      <c r="KEV508" s="332"/>
      <c r="KEW508" s="332"/>
      <c r="KEX508" s="332"/>
      <c r="KEY508" s="332"/>
      <c r="KEZ508" s="332"/>
      <c r="KFA508" s="332"/>
      <c r="KFB508" s="332"/>
      <c r="KFC508" s="332"/>
      <c r="KFD508" s="332"/>
      <c r="KFE508" s="332"/>
      <c r="KFF508" s="332"/>
      <c r="KFG508" s="332"/>
      <c r="KFH508" s="332"/>
      <c r="KFI508" s="332"/>
      <c r="KFJ508" s="332"/>
      <c r="KFK508" s="332"/>
      <c r="KFL508" s="332"/>
      <c r="KFM508" s="332"/>
      <c r="KFN508" s="332"/>
      <c r="KFO508" s="332"/>
      <c r="KFP508" s="332"/>
      <c r="KFQ508" s="332"/>
      <c r="KFR508" s="332"/>
      <c r="KFS508" s="332"/>
      <c r="KFT508" s="332"/>
      <c r="KFU508" s="332"/>
      <c r="KFV508" s="332"/>
      <c r="KFW508" s="332"/>
      <c r="KFX508" s="332"/>
      <c r="KFY508" s="332"/>
      <c r="KFZ508" s="332"/>
      <c r="KGA508" s="332"/>
      <c r="KGB508" s="332"/>
      <c r="KGC508" s="332"/>
      <c r="KGD508" s="332"/>
      <c r="KGE508" s="332"/>
      <c r="KGF508" s="332"/>
      <c r="KGG508" s="332"/>
      <c r="KGH508" s="332"/>
      <c r="KGI508" s="332"/>
      <c r="KGJ508" s="332"/>
      <c r="KGK508" s="332"/>
      <c r="KGL508" s="332"/>
      <c r="KGM508" s="332"/>
      <c r="KGN508" s="332"/>
      <c r="KGO508" s="332"/>
      <c r="KGP508" s="332"/>
      <c r="KGQ508" s="332"/>
      <c r="KGR508" s="332"/>
      <c r="KGS508" s="332"/>
      <c r="KGT508" s="332"/>
      <c r="KGU508" s="332"/>
      <c r="KGV508" s="332"/>
      <c r="KGW508" s="332"/>
      <c r="KGX508" s="332"/>
      <c r="KGY508" s="332"/>
      <c r="KGZ508" s="332"/>
      <c r="KHA508" s="332"/>
      <c r="KHB508" s="332"/>
      <c r="KHC508" s="332"/>
      <c r="KHD508" s="332"/>
      <c r="KHE508" s="332"/>
      <c r="KHF508" s="332"/>
      <c r="KHG508" s="332"/>
      <c r="KHH508" s="332"/>
      <c r="KHI508" s="332"/>
      <c r="KHJ508" s="332"/>
      <c r="KHK508" s="332"/>
      <c r="KHL508" s="332"/>
      <c r="KHM508" s="332"/>
      <c r="KHN508" s="332"/>
      <c r="KHO508" s="332"/>
      <c r="KHP508" s="332"/>
      <c r="KHQ508" s="332"/>
      <c r="KHR508" s="332"/>
      <c r="KHS508" s="332"/>
      <c r="KHT508" s="332"/>
      <c r="KHU508" s="332"/>
      <c r="KHV508" s="332"/>
      <c r="KHW508" s="332"/>
      <c r="KHX508" s="332"/>
      <c r="KHY508" s="332"/>
      <c r="KHZ508" s="332"/>
      <c r="KIA508" s="332"/>
      <c r="KIB508" s="332"/>
      <c r="KIC508" s="332"/>
      <c r="KID508" s="332"/>
      <c r="KIE508" s="332"/>
      <c r="KIF508" s="332"/>
      <c r="KIG508" s="332"/>
      <c r="KIH508" s="332"/>
      <c r="KII508" s="332"/>
      <c r="KIJ508" s="332"/>
      <c r="KIK508" s="332"/>
      <c r="KIL508" s="332"/>
      <c r="KIM508" s="332"/>
      <c r="KIN508" s="332"/>
      <c r="KIO508" s="332"/>
      <c r="KIP508" s="332"/>
      <c r="KIQ508" s="332"/>
      <c r="KIR508" s="332"/>
      <c r="KIS508" s="332"/>
      <c r="KIT508" s="332"/>
      <c r="KIU508" s="332"/>
      <c r="KIV508" s="332"/>
      <c r="KIW508" s="332"/>
      <c r="KIX508" s="332"/>
      <c r="KIY508" s="332"/>
      <c r="KIZ508" s="332"/>
      <c r="KJA508" s="332"/>
      <c r="KJB508" s="332"/>
      <c r="KJC508" s="332"/>
      <c r="KJD508" s="332"/>
      <c r="KJE508" s="332"/>
      <c r="KJF508" s="332"/>
      <c r="KJG508" s="332"/>
      <c r="KJH508" s="332"/>
      <c r="KJI508" s="332"/>
      <c r="KJJ508" s="332"/>
      <c r="KJK508" s="332"/>
      <c r="KJL508" s="332"/>
      <c r="KJM508" s="332"/>
      <c r="KJN508" s="332"/>
      <c r="KJO508" s="332"/>
      <c r="KJP508" s="332"/>
      <c r="KJQ508" s="332"/>
      <c r="KJR508" s="332"/>
      <c r="KJS508" s="332"/>
      <c r="KJT508" s="332"/>
      <c r="KJU508" s="332"/>
      <c r="KJV508" s="332"/>
      <c r="KJW508" s="332"/>
      <c r="KJX508" s="332"/>
      <c r="KJY508" s="332"/>
      <c r="KJZ508" s="332"/>
      <c r="KKA508" s="332"/>
      <c r="KKB508" s="332"/>
      <c r="KKC508" s="332"/>
      <c r="KKD508" s="332"/>
      <c r="KKE508" s="332"/>
      <c r="KKF508" s="332"/>
      <c r="KKG508" s="332"/>
      <c r="KKH508" s="332"/>
      <c r="KKI508" s="332"/>
      <c r="KKJ508" s="332"/>
      <c r="KKK508" s="332"/>
      <c r="KKL508" s="332"/>
      <c r="KKM508" s="332"/>
      <c r="KKN508" s="332"/>
      <c r="KKO508" s="332"/>
      <c r="KKP508" s="332"/>
      <c r="KKQ508" s="332"/>
      <c r="KKR508" s="332"/>
      <c r="KKS508" s="332"/>
      <c r="KKT508" s="332"/>
      <c r="KKU508" s="332"/>
      <c r="KKV508" s="332"/>
      <c r="KKW508" s="332"/>
      <c r="KKX508" s="332"/>
      <c r="KKY508" s="332"/>
      <c r="KKZ508" s="332"/>
      <c r="KLA508" s="332"/>
      <c r="KLB508" s="332"/>
      <c r="KLC508" s="332"/>
      <c r="KLD508" s="332"/>
      <c r="KLE508" s="332"/>
      <c r="KLF508" s="332"/>
      <c r="KLG508" s="332"/>
      <c r="KLH508" s="332"/>
      <c r="KLI508" s="332"/>
      <c r="KLJ508" s="332"/>
      <c r="KLK508" s="332"/>
      <c r="KLL508" s="332"/>
      <c r="KLM508" s="332"/>
      <c r="KLN508" s="332"/>
      <c r="KLO508" s="332"/>
      <c r="KLP508" s="332"/>
      <c r="KLQ508" s="332"/>
      <c r="KLR508" s="332"/>
      <c r="KLS508" s="332"/>
      <c r="KLT508" s="332"/>
      <c r="KLU508" s="332"/>
      <c r="KLV508" s="332"/>
      <c r="KLW508" s="332"/>
      <c r="KLX508" s="332"/>
      <c r="KLY508" s="332"/>
      <c r="KLZ508" s="332"/>
      <c r="KMA508" s="332"/>
      <c r="KMB508" s="332"/>
      <c r="KMC508" s="332"/>
      <c r="KMD508" s="332"/>
      <c r="KME508" s="332"/>
      <c r="KMF508" s="332"/>
      <c r="KMG508" s="332"/>
      <c r="KMH508" s="332"/>
      <c r="KMI508" s="332"/>
      <c r="KMJ508" s="332"/>
      <c r="KMK508" s="332"/>
      <c r="KML508" s="332"/>
      <c r="KMM508" s="332"/>
      <c r="KMN508" s="332"/>
      <c r="KMO508" s="332"/>
      <c r="KMP508" s="332"/>
      <c r="KMQ508" s="332"/>
      <c r="KMR508" s="332"/>
      <c r="KMS508" s="332"/>
      <c r="KMT508" s="332"/>
      <c r="KMU508" s="332"/>
      <c r="KMV508" s="332"/>
      <c r="KMW508" s="332"/>
      <c r="KMX508" s="332"/>
      <c r="KMY508" s="332"/>
      <c r="KMZ508" s="332"/>
      <c r="KNA508" s="332"/>
      <c r="KNB508" s="332"/>
      <c r="KNC508" s="332"/>
      <c r="KND508" s="332"/>
      <c r="KNE508" s="332"/>
      <c r="KNF508" s="332"/>
      <c r="KNG508" s="332"/>
      <c r="KNH508" s="332"/>
      <c r="KNI508" s="332"/>
      <c r="KNJ508" s="332"/>
      <c r="KNK508" s="332"/>
      <c r="KNL508" s="332"/>
      <c r="KNM508" s="332"/>
      <c r="KNN508" s="332"/>
      <c r="KNO508" s="332"/>
      <c r="KNP508" s="332"/>
      <c r="KNQ508" s="332"/>
      <c r="KNR508" s="332"/>
      <c r="KNS508" s="332"/>
      <c r="KNT508" s="332"/>
      <c r="KNU508" s="332"/>
      <c r="KNV508" s="332"/>
      <c r="KNW508" s="332"/>
      <c r="KNX508" s="332"/>
      <c r="KNY508" s="332"/>
      <c r="KNZ508" s="332"/>
      <c r="KOA508" s="332"/>
      <c r="KOB508" s="332"/>
      <c r="KOC508" s="332"/>
      <c r="KOD508" s="332"/>
      <c r="KOE508" s="332"/>
      <c r="KOF508" s="332"/>
      <c r="KOG508" s="332"/>
      <c r="KOH508" s="332"/>
      <c r="KOI508" s="332"/>
      <c r="KOJ508" s="332"/>
      <c r="KOK508" s="332"/>
      <c r="KOL508" s="332"/>
      <c r="KOM508" s="332"/>
      <c r="KON508" s="332"/>
      <c r="KOO508" s="332"/>
      <c r="KOP508" s="332"/>
      <c r="KOQ508" s="332"/>
      <c r="KOR508" s="332"/>
      <c r="KOS508" s="332"/>
      <c r="KOT508" s="332"/>
      <c r="KOU508" s="332"/>
      <c r="KOV508" s="332"/>
      <c r="KOW508" s="332"/>
      <c r="KOX508" s="332"/>
      <c r="KOY508" s="332"/>
      <c r="KOZ508" s="332"/>
      <c r="KPA508" s="332"/>
      <c r="KPB508" s="332"/>
      <c r="KPC508" s="332"/>
      <c r="KPD508" s="332"/>
      <c r="KPE508" s="332"/>
      <c r="KPF508" s="332"/>
      <c r="KPG508" s="332"/>
      <c r="KPH508" s="332"/>
      <c r="KPI508" s="332"/>
      <c r="KPJ508" s="332"/>
      <c r="KPK508" s="332"/>
      <c r="KPL508" s="332"/>
      <c r="KPM508" s="332"/>
      <c r="KPN508" s="332"/>
      <c r="KPO508" s="332"/>
      <c r="KPP508" s="332"/>
      <c r="KPQ508" s="332"/>
      <c r="KPR508" s="332"/>
      <c r="KPS508" s="332"/>
      <c r="KPT508" s="332"/>
      <c r="KPU508" s="332"/>
      <c r="KPV508" s="332"/>
      <c r="KPW508" s="332"/>
      <c r="KPX508" s="332"/>
      <c r="KPY508" s="332"/>
      <c r="KPZ508" s="332"/>
      <c r="KQA508" s="332"/>
      <c r="KQB508" s="332"/>
      <c r="KQC508" s="332"/>
      <c r="KQD508" s="332"/>
      <c r="KQE508" s="332"/>
      <c r="KQF508" s="332"/>
      <c r="KQG508" s="332"/>
      <c r="KQH508" s="332"/>
      <c r="KQI508" s="332"/>
      <c r="KQJ508" s="332"/>
      <c r="KQK508" s="332"/>
      <c r="KQL508" s="332"/>
      <c r="KQM508" s="332"/>
      <c r="KQN508" s="332"/>
      <c r="KQO508" s="332"/>
      <c r="KQP508" s="332"/>
      <c r="KQQ508" s="332"/>
      <c r="KQR508" s="332"/>
      <c r="KQS508" s="332"/>
      <c r="KQT508" s="332"/>
      <c r="KQU508" s="332"/>
      <c r="KQV508" s="332"/>
      <c r="KQW508" s="332"/>
      <c r="KQX508" s="332"/>
      <c r="KQY508" s="332"/>
      <c r="KQZ508" s="332"/>
      <c r="KRA508" s="332"/>
      <c r="KRB508" s="332"/>
      <c r="KRC508" s="332"/>
      <c r="KRD508" s="332"/>
      <c r="KRE508" s="332"/>
      <c r="KRF508" s="332"/>
      <c r="KRG508" s="332"/>
      <c r="KRH508" s="332"/>
      <c r="KRI508" s="332"/>
      <c r="KRJ508" s="332"/>
      <c r="KRK508" s="332"/>
      <c r="KRL508" s="332"/>
      <c r="KRM508" s="332"/>
      <c r="KRN508" s="332"/>
      <c r="KRO508" s="332"/>
      <c r="KRP508" s="332"/>
      <c r="KRQ508" s="332"/>
      <c r="KRR508" s="332"/>
      <c r="KRS508" s="332"/>
      <c r="KRT508" s="332"/>
      <c r="KRU508" s="332"/>
      <c r="KRV508" s="332"/>
      <c r="KRW508" s="332"/>
      <c r="KRX508" s="332"/>
      <c r="KRY508" s="332"/>
      <c r="KRZ508" s="332"/>
      <c r="KSA508" s="332"/>
      <c r="KSB508" s="332"/>
      <c r="KSC508" s="332"/>
      <c r="KSD508" s="332"/>
      <c r="KSE508" s="332"/>
      <c r="KSF508" s="332"/>
      <c r="KSG508" s="332"/>
      <c r="KSH508" s="332"/>
      <c r="KSI508" s="332"/>
      <c r="KSJ508" s="332"/>
      <c r="KSK508" s="332"/>
      <c r="KSL508" s="332"/>
      <c r="KSM508" s="332"/>
      <c r="KSN508" s="332"/>
      <c r="KSO508" s="332"/>
      <c r="KSP508" s="332"/>
      <c r="KSQ508" s="332"/>
      <c r="KSR508" s="332"/>
      <c r="KSS508" s="332"/>
      <c r="KST508" s="332"/>
      <c r="KSU508" s="332"/>
      <c r="KSV508" s="332"/>
      <c r="KSW508" s="332"/>
      <c r="KSX508" s="332"/>
      <c r="KSY508" s="332"/>
      <c r="KSZ508" s="332"/>
      <c r="KTA508" s="332"/>
      <c r="KTB508" s="332"/>
      <c r="KTC508" s="332"/>
      <c r="KTD508" s="332"/>
      <c r="KTE508" s="332"/>
      <c r="KTF508" s="332"/>
      <c r="KTG508" s="332"/>
      <c r="KTH508" s="332"/>
      <c r="KTI508" s="332"/>
      <c r="KTJ508" s="332"/>
      <c r="KTK508" s="332"/>
      <c r="KTL508" s="332"/>
      <c r="KTM508" s="332"/>
      <c r="KTN508" s="332"/>
      <c r="KTO508" s="332"/>
      <c r="KTP508" s="332"/>
      <c r="KTQ508" s="332"/>
      <c r="KTR508" s="332"/>
      <c r="KTS508" s="332"/>
      <c r="KTT508" s="332"/>
      <c r="KTU508" s="332"/>
      <c r="KTV508" s="332"/>
      <c r="KTW508" s="332"/>
      <c r="KTX508" s="332"/>
      <c r="KTY508" s="332"/>
      <c r="KTZ508" s="332"/>
      <c r="KUA508" s="332"/>
      <c r="KUB508" s="332"/>
      <c r="KUC508" s="332"/>
      <c r="KUD508" s="332"/>
      <c r="KUE508" s="332"/>
      <c r="KUF508" s="332"/>
      <c r="KUG508" s="332"/>
      <c r="KUH508" s="332"/>
      <c r="KUI508" s="332"/>
      <c r="KUJ508" s="332"/>
      <c r="KUK508" s="332"/>
      <c r="KUL508" s="332"/>
      <c r="KUM508" s="332"/>
      <c r="KUN508" s="332"/>
      <c r="KUO508" s="332"/>
      <c r="KUP508" s="332"/>
      <c r="KUQ508" s="332"/>
      <c r="KUR508" s="332"/>
      <c r="KUS508" s="332"/>
      <c r="KUT508" s="332"/>
      <c r="KUU508" s="332"/>
      <c r="KUV508" s="332"/>
      <c r="KUW508" s="332"/>
      <c r="KUX508" s="332"/>
      <c r="KUY508" s="332"/>
      <c r="KUZ508" s="332"/>
      <c r="KVA508" s="332"/>
      <c r="KVB508" s="332"/>
      <c r="KVC508" s="332"/>
      <c r="KVD508" s="332"/>
      <c r="KVE508" s="332"/>
      <c r="KVF508" s="332"/>
      <c r="KVG508" s="332"/>
      <c r="KVH508" s="332"/>
      <c r="KVI508" s="332"/>
      <c r="KVJ508" s="332"/>
      <c r="KVK508" s="332"/>
      <c r="KVL508" s="332"/>
      <c r="KVM508" s="332"/>
      <c r="KVN508" s="332"/>
      <c r="KVO508" s="332"/>
      <c r="KVP508" s="332"/>
      <c r="KVQ508" s="332"/>
      <c r="KVR508" s="332"/>
      <c r="KVS508" s="332"/>
      <c r="KVT508" s="332"/>
      <c r="KVU508" s="332"/>
      <c r="KVV508" s="332"/>
      <c r="KVW508" s="332"/>
      <c r="KVX508" s="332"/>
      <c r="KVY508" s="332"/>
      <c r="KVZ508" s="332"/>
      <c r="KWA508" s="332"/>
      <c r="KWB508" s="332"/>
      <c r="KWC508" s="332"/>
      <c r="KWD508" s="332"/>
      <c r="KWE508" s="332"/>
      <c r="KWF508" s="332"/>
      <c r="KWG508" s="332"/>
      <c r="KWH508" s="332"/>
      <c r="KWI508" s="332"/>
      <c r="KWJ508" s="332"/>
      <c r="KWK508" s="332"/>
      <c r="KWL508" s="332"/>
      <c r="KWM508" s="332"/>
      <c r="KWN508" s="332"/>
      <c r="KWO508" s="332"/>
      <c r="KWP508" s="332"/>
      <c r="KWQ508" s="332"/>
      <c r="KWR508" s="332"/>
      <c r="KWS508" s="332"/>
      <c r="KWT508" s="332"/>
      <c r="KWU508" s="332"/>
      <c r="KWV508" s="332"/>
      <c r="KWW508" s="332"/>
      <c r="KWX508" s="332"/>
      <c r="KWY508" s="332"/>
      <c r="KWZ508" s="332"/>
      <c r="KXA508" s="332"/>
      <c r="KXB508" s="332"/>
      <c r="KXC508" s="332"/>
      <c r="KXD508" s="332"/>
      <c r="KXE508" s="332"/>
      <c r="KXF508" s="332"/>
      <c r="KXG508" s="332"/>
      <c r="KXH508" s="332"/>
      <c r="KXI508" s="332"/>
      <c r="KXJ508" s="332"/>
      <c r="KXK508" s="332"/>
      <c r="KXL508" s="332"/>
      <c r="KXM508" s="332"/>
      <c r="KXN508" s="332"/>
      <c r="KXO508" s="332"/>
      <c r="KXP508" s="332"/>
      <c r="KXQ508" s="332"/>
      <c r="KXR508" s="332"/>
      <c r="KXS508" s="332"/>
      <c r="KXT508" s="332"/>
      <c r="KXU508" s="332"/>
      <c r="KXV508" s="332"/>
      <c r="KXW508" s="332"/>
      <c r="KXX508" s="332"/>
      <c r="KXY508" s="332"/>
      <c r="KXZ508" s="332"/>
      <c r="KYA508" s="332"/>
      <c r="KYB508" s="332"/>
      <c r="KYC508" s="332"/>
      <c r="KYD508" s="332"/>
      <c r="KYE508" s="332"/>
      <c r="KYF508" s="332"/>
      <c r="KYG508" s="332"/>
      <c r="KYH508" s="332"/>
      <c r="KYI508" s="332"/>
      <c r="KYJ508" s="332"/>
      <c r="KYK508" s="332"/>
      <c r="KYL508" s="332"/>
      <c r="KYM508" s="332"/>
      <c r="KYN508" s="332"/>
      <c r="KYO508" s="332"/>
      <c r="KYP508" s="332"/>
      <c r="KYQ508" s="332"/>
      <c r="KYR508" s="332"/>
      <c r="KYS508" s="332"/>
      <c r="KYT508" s="332"/>
      <c r="KYU508" s="332"/>
      <c r="KYV508" s="332"/>
      <c r="KYW508" s="332"/>
      <c r="KYX508" s="332"/>
      <c r="KYY508" s="332"/>
      <c r="KYZ508" s="332"/>
      <c r="KZA508" s="332"/>
      <c r="KZB508" s="332"/>
      <c r="KZC508" s="332"/>
      <c r="KZD508" s="332"/>
      <c r="KZE508" s="332"/>
      <c r="KZF508" s="332"/>
      <c r="KZG508" s="332"/>
      <c r="KZH508" s="332"/>
      <c r="KZI508" s="332"/>
      <c r="KZJ508" s="332"/>
      <c r="KZK508" s="332"/>
      <c r="KZL508" s="332"/>
      <c r="KZM508" s="332"/>
      <c r="KZN508" s="332"/>
      <c r="KZO508" s="332"/>
      <c r="KZP508" s="332"/>
      <c r="KZQ508" s="332"/>
      <c r="KZR508" s="332"/>
      <c r="KZS508" s="332"/>
      <c r="KZT508" s="332"/>
      <c r="KZU508" s="332"/>
      <c r="KZV508" s="332"/>
      <c r="KZW508" s="332"/>
      <c r="KZX508" s="332"/>
      <c r="KZY508" s="332"/>
      <c r="KZZ508" s="332"/>
      <c r="LAA508" s="332"/>
      <c r="LAB508" s="332"/>
      <c r="LAC508" s="332"/>
      <c r="LAD508" s="332"/>
      <c r="LAE508" s="332"/>
      <c r="LAF508" s="332"/>
      <c r="LAG508" s="332"/>
      <c r="LAH508" s="332"/>
      <c r="LAI508" s="332"/>
      <c r="LAJ508" s="332"/>
      <c r="LAK508" s="332"/>
      <c r="LAL508" s="332"/>
      <c r="LAM508" s="332"/>
      <c r="LAN508" s="332"/>
      <c r="LAO508" s="332"/>
      <c r="LAP508" s="332"/>
      <c r="LAQ508" s="332"/>
      <c r="LAR508" s="332"/>
      <c r="LAS508" s="332"/>
      <c r="LAT508" s="332"/>
      <c r="LAU508" s="332"/>
      <c r="LAV508" s="332"/>
      <c r="LAW508" s="332"/>
      <c r="LAX508" s="332"/>
      <c r="LAY508" s="332"/>
      <c r="LAZ508" s="332"/>
      <c r="LBA508" s="332"/>
      <c r="LBB508" s="332"/>
      <c r="LBC508" s="332"/>
      <c r="LBD508" s="332"/>
      <c r="LBE508" s="332"/>
      <c r="LBF508" s="332"/>
      <c r="LBG508" s="332"/>
      <c r="LBH508" s="332"/>
      <c r="LBI508" s="332"/>
      <c r="LBJ508" s="332"/>
      <c r="LBK508" s="332"/>
      <c r="LBL508" s="332"/>
      <c r="LBM508" s="332"/>
      <c r="LBN508" s="332"/>
      <c r="LBO508" s="332"/>
      <c r="LBP508" s="332"/>
      <c r="LBQ508" s="332"/>
      <c r="LBR508" s="332"/>
      <c r="LBS508" s="332"/>
      <c r="LBT508" s="332"/>
      <c r="LBU508" s="332"/>
      <c r="LBV508" s="332"/>
      <c r="LBW508" s="332"/>
      <c r="LBX508" s="332"/>
      <c r="LBY508" s="332"/>
      <c r="LBZ508" s="332"/>
      <c r="LCA508" s="332"/>
      <c r="LCB508" s="332"/>
      <c r="LCC508" s="332"/>
      <c r="LCD508" s="332"/>
      <c r="LCE508" s="332"/>
      <c r="LCF508" s="332"/>
      <c r="LCG508" s="332"/>
      <c r="LCH508" s="332"/>
      <c r="LCI508" s="332"/>
      <c r="LCJ508" s="332"/>
      <c r="LCK508" s="332"/>
      <c r="LCL508" s="332"/>
      <c r="LCM508" s="332"/>
      <c r="LCN508" s="332"/>
      <c r="LCO508" s="332"/>
      <c r="LCP508" s="332"/>
      <c r="LCQ508" s="332"/>
      <c r="LCR508" s="332"/>
      <c r="LCS508" s="332"/>
      <c r="LCT508" s="332"/>
      <c r="LCU508" s="332"/>
      <c r="LCV508" s="332"/>
      <c r="LCW508" s="332"/>
      <c r="LCX508" s="332"/>
      <c r="LCY508" s="332"/>
      <c r="LCZ508" s="332"/>
      <c r="LDA508" s="332"/>
      <c r="LDB508" s="332"/>
      <c r="LDC508" s="332"/>
      <c r="LDD508" s="332"/>
      <c r="LDE508" s="332"/>
      <c r="LDF508" s="332"/>
      <c r="LDG508" s="332"/>
      <c r="LDH508" s="332"/>
      <c r="LDI508" s="332"/>
      <c r="LDJ508" s="332"/>
      <c r="LDK508" s="332"/>
      <c r="LDL508" s="332"/>
      <c r="LDM508" s="332"/>
      <c r="LDN508" s="332"/>
      <c r="LDO508" s="332"/>
      <c r="LDP508" s="332"/>
      <c r="LDQ508" s="332"/>
      <c r="LDR508" s="332"/>
      <c r="LDS508" s="332"/>
      <c r="LDT508" s="332"/>
      <c r="LDU508" s="332"/>
      <c r="LDV508" s="332"/>
      <c r="LDW508" s="332"/>
      <c r="LDX508" s="332"/>
      <c r="LDY508" s="332"/>
      <c r="LDZ508" s="332"/>
      <c r="LEA508" s="332"/>
      <c r="LEB508" s="332"/>
      <c r="LEC508" s="332"/>
      <c r="LED508" s="332"/>
      <c r="LEE508" s="332"/>
      <c r="LEF508" s="332"/>
      <c r="LEG508" s="332"/>
      <c r="LEH508" s="332"/>
      <c r="LEI508" s="332"/>
      <c r="LEJ508" s="332"/>
      <c r="LEK508" s="332"/>
      <c r="LEL508" s="332"/>
      <c r="LEM508" s="332"/>
      <c r="LEN508" s="332"/>
      <c r="LEO508" s="332"/>
      <c r="LEP508" s="332"/>
      <c r="LEQ508" s="332"/>
      <c r="LER508" s="332"/>
      <c r="LES508" s="332"/>
      <c r="LET508" s="332"/>
      <c r="LEU508" s="332"/>
      <c r="LEV508" s="332"/>
      <c r="LEW508" s="332"/>
      <c r="LEX508" s="332"/>
      <c r="LEY508" s="332"/>
      <c r="LEZ508" s="332"/>
      <c r="LFA508" s="332"/>
      <c r="LFB508" s="332"/>
      <c r="LFC508" s="332"/>
      <c r="LFD508" s="332"/>
      <c r="LFE508" s="332"/>
      <c r="LFF508" s="332"/>
      <c r="LFG508" s="332"/>
      <c r="LFH508" s="332"/>
      <c r="LFI508" s="332"/>
      <c r="LFJ508" s="332"/>
      <c r="LFK508" s="332"/>
      <c r="LFL508" s="332"/>
      <c r="LFM508" s="332"/>
      <c r="LFN508" s="332"/>
      <c r="LFO508" s="332"/>
      <c r="LFP508" s="332"/>
      <c r="LFQ508" s="332"/>
      <c r="LFR508" s="332"/>
      <c r="LFS508" s="332"/>
      <c r="LFT508" s="332"/>
      <c r="LFU508" s="332"/>
      <c r="LFV508" s="332"/>
      <c r="LFW508" s="332"/>
      <c r="LFX508" s="332"/>
      <c r="LFY508" s="332"/>
      <c r="LFZ508" s="332"/>
      <c r="LGA508" s="332"/>
      <c r="LGB508" s="332"/>
      <c r="LGC508" s="332"/>
      <c r="LGD508" s="332"/>
      <c r="LGE508" s="332"/>
      <c r="LGF508" s="332"/>
      <c r="LGG508" s="332"/>
      <c r="LGH508" s="332"/>
      <c r="LGI508" s="332"/>
      <c r="LGJ508" s="332"/>
      <c r="LGK508" s="332"/>
      <c r="LGL508" s="332"/>
      <c r="LGM508" s="332"/>
      <c r="LGN508" s="332"/>
      <c r="LGO508" s="332"/>
      <c r="LGP508" s="332"/>
      <c r="LGQ508" s="332"/>
      <c r="LGR508" s="332"/>
      <c r="LGS508" s="332"/>
      <c r="LGT508" s="332"/>
      <c r="LGU508" s="332"/>
      <c r="LGV508" s="332"/>
      <c r="LGW508" s="332"/>
      <c r="LGX508" s="332"/>
      <c r="LGY508" s="332"/>
      <c r="LGZ508" s="332"/>
      <c r="LHA508" s="332"/>
      <c r="LHB508" s="332"/>
      <c r="LHC508" s="332"/>
      <c r="LHD508" s="332"/>
      <c r="LHE508" s="332"/>
      <c r="LHF508" s="332"/>
      <c r="LHG508" s="332"/>
      <c r="LHH508" s="332"/>
      <c r="LHI508" s="332"/>
      <c r="LHJ508" s="332"/>
      <c r="LHK508" s="332"/>
      <c r="LHL508" s="332"/>
      <c r="LHM508" s="332"/>
      <c r="LHN508" s="332"/>
      <c r="LHO508" s="332"/>
      <c r="LHP508" s="332"/>
      <c r="LHQ508" s="332"/>
      <c r="LHR508" s="332"/>
      <c r="LHS508" s="332"/>
      <c r="LHT508" s="332"/>
      <c r="LHU508" s="332"/>
      <c r="LHV508" s="332"/>
      <c r="LHW508" s="332"/>
      <c r="LHX508" s="332"/>
      <c r="LHY508" s="332"/>
      <c r="LHZ508" s="332"/>
      <c r="LIA508" s="332"/>
      <c r="LIB508" s="332"/>
      <c r="LIC508" s="332"/>
      <c r="LID508" s="332"/>
      <c r="LIE508" s="332"/>
      <c r="LIF508" s="332"/>
      <c r="LIG508" s="332"/>
      <c r="LIH508" s="332"/>
      <c r="LII508" s="332"/>
      <c r="LIJ508" s="332"/>
      <c r="LIK508" s="332"/>
      <c r="LIL508" s="332"/>
      <c r="LIM508" s="332"/>
      <c r="LIN508" s="332"/>
      <c r="LIO508" s="332"/>
      <c r="LIP508" s="332"/>
      <c r="LIQ508" s="332"/>
      <c r="LIR508" s="332"/>
      <c r="LIS508" s="332"/>
      <c r="LIT508" s="332"/>
      <c r="LIU508" s="332"/>
      <c r="LIV508" s="332"/>
      <c r="LIW508" s="332"/>
      <c r="LIX508" s="332"/>
      <c r="LIY508" s="332"/>
      <c r="LIZ508" s="332"/>
      <c r="LJA508" s="332"/>
      <c r="LJB508" s="332"/>
      <c r="LJC508" s="332"/>
      <c r="LJD508" s="332"/>
      <c r="LJE508" s="332"/>
      <c r="LJF508" s="332"/>
      <c r="LJG508" s="332"/>
      <c r="LJH508" s="332"/>
      <c r="LJI508" s="332"/>
      <c r="LJJ508" s="332"/>
      <c r="LJK508" s="332"/>
      <c r="LJL508" s="332"/>
      <c r="LJM508" s="332"/>
      <c r="LJN508" s="332"/>
      <c r="LJO508" s="332"/>
      <c r="LJP508" s="332"/>
      <c r="LJQ508" s="332"/>
      <c r="LJR508" s="332"/>
      <c r="LJS508" s="332"/>
      <c r="LJT508" s="332"/>
      <c r="LJU508" s="332"/>
      <c r="LJV508" s="332"/>
      <c r="LJW508" s="332"/>
      <c r="LJX508" s="332"/>
      <c r="LJY508" s="332"/>
      <c r="LJZ508" s="332"/>
      <c r="LKA508" s="332"/>
      <c r="LKB508" s="332"/>
      <c r="LKC508" s="332"/>
      <c r="LKD508" s="332"/>
      <c r="LKE508" s="332"/>
      <c r="LKF508" s="332"/>
      <c r="LKG508" s="332"/>
      <c r="LKH508" s="332"/>
      <c r="LKI508" s="332"/>
      <c r="LKJ508" s="332"/>
      <c r="LKK508" s="332"/>
      <c r="LKL508" s="332"/>
      <c r="LKM508" s="332"/>
      <c r="LKN508" s="332"/>
      <c r="LKO508" s="332"/>
      <c r="LKP508" s="332"/>
      <c r="LKQ508" s="332"/>
      <c r="LKR508" s="332"/>
      <c r="LKS508" s="332"/>
      <c r="LKT508" s="332"/>
      <c r="LKU508" s="332"/>
      <c r="LKV508" s="332"/>
      <c r="LKW508" s="332"/>
      <c r="LKX508" s="332"/>
      <c r="LKY508" s="332"/>
      <c r="LKZ508" s="332"/>
      <c r="LLA508" s="332"/>
      <c r="LLB508" s="332"/>
      <c r="LLC508" s="332"/>
      <c r="LLD508" s="332"/>
      <c r="LLE508" s="332"/>
      <c r="LLF508" s="332"/>
      <c r="LLG508" s="332"/>
      <c r="LLH508" s="332"/>
      <c r="LLI508" s="332"/>
      <c r="LLJ508" s="332"/>
      <c r="LLK508" s="332"/>
      <c r="LLL508" s="332"/>
      <c r="LLM508" s="332"/>
      <c r="LLN508" s="332"/>
      <c r="LLO508" s="332"/>
      <c r="LLP508" s="332"/>
      <c r="LLQ508" s="332"/>
      <c r="LLR508" s="332"/>
      <c r="LLS508" s="332"/>
      <c r="LLT508" s="332"/>
      <c r="LLU508" s="332"/>
      <c r="LLV508" s="332"/>
      <c r="LLW508" s="332"/>
      <c r="LLX508" s="332"/>
      <c r="LLY508" s="332"/>
      <c r="LLZ508" s="332"/>
      <c r="LMA508" s="332"/>
      <c r="LMB508" s="332"/>
      <c r="LMC508" s="332"/>
      <c r="LMD508" s="332"/>
      <c r="LME508" s="332"/>
      <c r="LMF508" s="332"/>
      <c r="LMG508" s="332"/>
      <c r="LMH508" s="332"/>
      <c r="LMI508" s="332"/>
      <c r="LMJ508" s="332"/>
      <c r="LMK508" s="332"/>
      <c r="LML508" s="332"/>
      <c r="LMM508" s="332"/>
      <c r="LMN508" s="332"/>
      <c r="LMO508" s="332"/>
      <c r="LMP508" s="332"/>
      <c r="LMQ508" s="332"/>
      <c r="LMR508" s="332"/>
      <c r="LMS508" s="332"/>
      <c r="LMT508" s="332"/>
      <c r="LMU508" s="332"/>
      <c r="LMV508" s="332"/>
      <c r="LMW508" s="332"/>
      <c r="LMX508" s="332"/>
      <c r="LMY508" s="332"/>
      <c r="LMZ508" s="332"/>
      <c r="LNA508" s="332"/>
      <c r="LNB508" s="332"/>
      <c r="LNC508" s="332"/>
      <c r="LND508" s="332"/>
      <c r="LNE508" s="332"/>
      <c r="LNF508" s="332"/>
      <c r="LNG508" s="332"/>
      <c r="LNH508" s="332"/>
      <c r="LNI508" s="332"/>
      <c r="LNJ508" s="332"/>
      <c r="LNK508" s="332"/>
      <c r="LNL508" s="332"/>
      <c r="LNM508" s="332"/>
      <c r="LNN508" s="332"/>
      <c r="LNO508" s="332"/>
      <c r="LNP508" s="332"/>
      <c r="LNQ508" s="332"/>
      <c r="LNR508" s="332"/>
      <c r="LNS508" s="332"/>
      <c r="LNT508" s="332"/>
      <c r="LNU508" s="332"/>
      <c r="LNV508" s="332"/>
      <c r="LNW508" s="332"/>
      <c r="LNX508" s="332"/>
      <c r="LNY508" s="332"/>
      <c r="LNZ508" s="332"/>
      <c r="LOA508" s="332"/>
      <c r="LOB508" s="332"/>
      <c r="LOC508" s="332"/>
      <c r="LOD508" s="332"/>
      <c r="LOE508" s="332"/>
      <c r="LOF508" s="332"/>
      <c r="LOG508" s="332"/>
      <c r="LOH508" s="332"/>
      <c r="LOI508" s="332"/>
      <c r="LOJ508" s="332"/>
      <c r="LOK508" s="332"/>
      <c r="LOL508" s="332"/>
      <c r="LOM508" s="332"/>
      <c r="LON508" s="332"/>
      <c r="LOO508" s="332"/>
      <c r="LOP508" s="332"/>
      <c r="LOQ508" s="332"/>
      <c r="LOR508" s="332"/>
      <c r="LOS508" s="332"/>
      <c r="LOT508" s="332"/>
      <c r="LOU508" s="332"/>
      <c r="LOV508" s="332"/>
      <c r="LOW508" s="332"/>
      <c r="LOX508" s="332"/>
      <c r="LOY508" s="332"/>
      <c r="LOZ508" s="332"/>
      <c r="LPA508" s="332"/>
      <c r="LPB508" s="332"/>
      <c r="LPC508" s="332"/>
      <c r="LPD508" s="332"/>
      <c r="LPE508" s="332"/>
      <c r="LPF508" s="332"/>
      <c r="LPG508" s="332"/>
      <c r="LPH508" s="332"/>
      <c r="LPI508" s="332"/>
      <c r="LPJ508" s="332"/>
      <c r="LPK508" s="332"/>
      <c r="LPL508" s="332"/>
      <c r="LPM508" s="332"/>
      <c r="LPN508" s="332"/>
      <c r="LPO508" s="332"/>
      <c r="LPP508" s="332"/>
      <c r="LPQ508" s="332"/>
      <c r="LPR508" s="332"/>
      <c r="LPS508" s="332"/>
      <c r="LPT508" s="332"/>
      <c r="LPU508" s="332"/>
      <c r="LPV508" s="332"/>
      <c r="LPW508" s="332"/>
      <c r="LPX508" s="332"/>
      <c r="LPY508" s="332"/>
      <c r="LPZ508" s="332"/>
      <c r="LQA508" s="332"/>
      <c r="LQB508" s="332"/>
      <c r="LQC508" s="332"/>
      <c r="LQD508" s="332"/>
      <c r="LQE508" s="332"/>
      <c r="LQF508" s="332"/>
      <c r="LQG508" s="332"/>
      <c r="LQH508" s="332"/>
      <c r="LQI508" s="332"/>
      <c r="LQJ508" s="332"/>
      <c r="LQK508" s="332"/>
      <c r="LQL508" s="332"/>
      <c r="LQM508" s="332"/>
      <c r="LQN508" s="332"/>
      <c r="LQO508" s="332"/>
      <c r="LQP508" s="332"/>
      <c r="LQQ508" s="332"/>
      <c r="LQR508" s="332"/>
      <c r="LQS508" s="332"/>
      <c r="LQT508" s="332"/>
      <c r="LQU508" s="332"/>
      <c r="LQV508" s="332"/>
      <c r="LQW508" s="332"/>
      <c r="LQX508" s="332"/>
      <c r="LQY508" s="332"/>
      <c r="LQZ508" s="332"/>
      <c r="LRA508" s="332"/>
      <c r="LRB508" s="332"/>
      <c r="LRC508" s="332"/>
      <c r="LRD508" s="332"/>
      <c r="LRE508" s="332"/>
      <c r="LRF508" s="332"/>
      <c r="LRG508" s="332"/>
      <c r="LRH508" s="332"/>
      <c r="LRI508" s="332"/>
      <c r="LRJ508" s="332"/>
      <c r="LRK508" s="332"/>
      <c r="LRL508" s="332"/>
      <c r="LRM508" s="332"/>
      <c r="LRN508" s="332"/>
      <c r="LRO508" s="332"/>
      <c r="LRP508" s="332"/>
      <c r="LRQ508" s="332"/>
      <c r="LRR508" s="332"/>
      <c r="LRS508" s="332"/>
      <c r="LRT508" s="332"/>
      <c r="LRU508" s="332"/>
      <c r="LRV508" s="332"/>
      <c r="LRW508" s="332"/>
      <c r="LRX508" s="332"/>
      <c r="LRY508" s="332"/>
      <c r="LRZ508" s="332"/>
      <c r="LSA508" s="332"/>
      <c r="LSB508" s="332"/>
      <c r="LSC508" s="332"/>
      <c r="LSD508" s="332"/>
      <c r="LSE508" s="332"/>
      <c r="LSF508" s="332"/>
      <c r="LSG508" s="332"/>
      <c r="LSH508" s="332"/>
      <c r="LSI508" s="332"/>
      <c r="LSJ508" s="332"/>
      <c r="LSK508" s="332"/>
      <c r="LSL508" s="332"/>
      <c r="LSM508" s="332"/>
      <c r="LSN508" s="332"/>
      <c r="LSO508" s="332"/>
      <c r="LSP508" s="332"/>
      <c r="LSQ508" s="332"/>
      <c r="LSR508" s="332"/>
      <c r="LSS508" s="332"/>
      <c r="LST508" s="332"/>
      <c r="LSU508" s="332"/>
      <c r="LSV508" s="332"/>
      <c r="LSW508" s="332"/>
      <c r="LSX508" s="332"/>
      <c r="LSY508" s="332"/>
      <c r="LSZ508" s="332"/>
      <c r="LTA508" s="332"/>
      <c r="LTB508" s="332"/>
      <c r="LTC508" s="332"/>
      <c r="LTD508" s="332"/>
      <c r="LTE508" s="332"/>
      <c r="LTF508" s="332"/>
      <c r="LTG508" s="332"/>
      <c r="LTH508" s="332"/>
      <c r="LTI508" s="332"/>
      <c r="LTJ508" s="332"/>
      <c r="LTK508" s="332"/>
      <c r="LTL508" s="332"/>
      <c r="LTM508" s="332"/>
      <c r="LTN508" s="332"/>
      <c r="LTO508" s="332"/>
      <c r="LTP508" s="332"/>
      <c r="LTQ508" s="332"/>
      <c r="LTR508" s="332"/>
      <c r="LTS508" s="332"/>
      <c r="LTT508" s="332"/>
      <c r="LTU508" s="332"/>
      <c r="LTV508" s="332"/>
      <c r="LTW508" s="332"/>
      <c r="LTX508" s="332"/>
      <c r="LTY508" s="332"/>
      <c r="LTZ508" s="332"/>
      <c r="LUA508" s="332"/>
      <c r="LUB508" s="332"/>
      <c r="LUC508" s="332"/>
      <c r="LUD508" s="332"/>
      <c r="LUE508" s="332"/>
      <c r="LUF508" s="332"/>
      <c r="LUG508" s="332"/>
      <c r="LUH508" s="332"/>
      <c r="LUI508" s="332"/>
      <c r="LUJ508" s="332"/>
      <c r="LUK508" s="332"/>
      <c r="LUL508" s="332"/>
      <c r="LUM508" s="332"/>
      <c r="LUN508" s="332"/>
      <c r="LUO508" s="332"/>
      <c r="LUP508" s="332"/>
      <c r="LUQ508" s="332"/>
      <c r="LUR508" s="332"/>
      <c r="LUS508" s="332"/>
      <c r="LUT508" s="332"/>
      <c r="LUU508" s="332"/>
      <c r="LUV508" s="332"/>
      <c r="LUW508" s="332"/>
      <c r="LUX508" s="332"/>
      <c r="LUY508" s="332"/>
      <c r="LUZ508" s="332"/>
      <c r="LVA508" s="332"/>
      <c r="LVB508" s="332"/>
      <c r="LVC508" s="332"/>
      <c r="LVD508" s="332"/>
      <c r="LVE508" s="332"/>
      <c r="LVF508" s="332"/>
      <c r="LVG508" s="332"/>
      <c r="LVH508" s="332"/>
      <c r="LVI508" s="332"/>
      <c r="LVJ508" s="332"/>
      <c r="LVK508" s="332"/>
      <c r="LVL508" s="332"/>
      <c r="LVM508" s="332"/>
      <c r="LVN508" s="332"/>
      <c r="LVO508" s="332"/>
      <c r="LVP508" s="332"/>
      <c r="LVQ508" s="332"/>
      <c r="LVR508" s="332"/>
      <c r="LVS508" s="332"/>
      <c r="LVT508" s="332"/>
      <c r="LVU508" s="332"/>
      <c r="LVV508" s="332"/>
      <c r="LVW508" s="332"/>
      <c r="LVX508" s="332"/>
      <c r="LVY508" s="332"/>
      <c r="LVZ508" s="332"/>
      <c r="LWA508" s="332"/>
      <c r="LWB508" s="332"/>
      <c r="LWC508" s="332"/>
      <c r="LWD508" s="332"/>
      <c r="LWE508" s="332"/>
      <c r="LWF508" s="332"/>
      <c r="LWG508" s="332"/>
      <c r="LWH508" s="332"/>
      <c r="LWI508" s="332"/>
      <c r="LWJ508" s="332"/>
      <c r="LWK508" s="332"/>
      <c r="LWL508" s="332"/>
      <c r="LWM508" s="332"/>
      <c r="LWN508" s="332"/>
      <c r="LWO508" s="332"/>
      <c r="LWP508" s="332"/>
      <c r="LWQ508" s="332"/>
      <c r="LWR508" s="332"/>
      <c r="LWS508" s="332"/>
      <c r="LWT508" s="332"/>
      <c r="LWU508" s="332"/>
      <c r="LWV508" s="332"/>
      <c r="LWW508" s="332"/>
      <c r="LWX508" s="332"/>
      <c r="LWY508" s="332"/>
      <c r="LWZ508" s="332"/>
      <c r="LXA508" s="332"/>
      <c r="LXB508" s="332"/>
      <c r="LXC508" s="332"/>
      <c r="LXD508" s="332"/>
      <c r="LXE508" s="332"/>
      <c r="LXF508" s="332"/>
      <c r="LXG508" s="332"/>
      <c r="LXH508" s="332"/>
      <c r="LXI508" s="332"/>
      <c r="LXJ508" s="332"/>
      <c r="LXK508" s="332"/>
      <c r="LXL508" s="332"/>
      <c r="LXM508" s="332"/>
      <c r="LXN508" s="332"/>
      <c r="LXO508" s="332"/>
      <c r="LXP508" s="332"/>
      <c r="LXQ508" s="332"/>
      <c r="LXR508" s="332"/>
      <c r="LXS508" s="332"/>
      <c r="LXT508" s="332"/>
      <c r="LXU508" s="332"/>
      <c r="LXV508" s="332"/>
      <c r="LXW508" s="332"/>
      <c r="LXX508" s="332"/>
      <c r="LXY508" s="332"/>
      <c r="LXZ508" s="332"/>
      <c r="LYA508" s="332"/>
      <c r="LYB508" s="332"/>
      <c r="LYC508" s="332"/>
      <c r="LYD508" s="332"/>
      <c r="LYE508" s="332"/>
      <c r="LYF508" s="332"/>
      <c r="LYG508" s="332"/>
      <c r="LYH508" s="332"/>
      <c r="LYI508" s="332"/>
      <c r="LYJ508" s="332"/>
      <c r="LYK508" s="332"/>
      <c r="LYL508" s="332"/>
      <c r="LYM508" s="332"/>
      <c r="LYN508" s="332"/>
      <c r="LYO508" s="332"/>
      <c r="LYP508" s="332"/>
      <c r="LYQ508" s="332"/>
      <c r="LYR508" s="332"/>
      <c r="LYS508" s="332"/>
      <c r="LYT508" s="332"/>
      <c r="LYU508" s="332"/>
      <c r="LYV508" s="332"/>
      <c r="LYW508" s="332"/>
      <c r="LYX508" s="332"/>
      <c r="LYY508" s="332"/>
      <c r="LYZ508" s="332"/>
      <c r="LZA508" s="332"/>
      <c r="LZB508" s="332"/>
      <c r="LZC508" s="332"/>
      <c r="LZD508" s="332"/>
      <c r="LZE508" s="332"/>
      <c r="LZF508" s="332"/>
      <c r="LZG508" s="332"/>
      <c r="LZH508" s="332"/>
      <c r="LZI508" s="332"/>
      <c r="LZJ508" s="332"/>
      <c r="LZK508" s="332"/>
      <c r="LZL508" s="332"/>
      <c r="LZM508" s="332"/>
      <c r="LZN508" s="332"/>
      <c r="LZO508" s="332"/>
      <c r="LZP508" s="332"/>
      <c r="LZQ508" s="332"/>
      <c r="LZR508" s="332"/>
      <c r="LZS508" s="332"/>
      <c r="LZT508" s="332"/>
      <c r="LZU508" s="332"/>
      <c r="LZV508" s="332"/>
      <c r="LZW508" s="332"/>
      <c r="LZX508" s="332"/>
      <c r="LZY508" s="332"/>
      <c r="LZZ508" s="332"/>
      <c r="MAA508" s="332"/>
      <c r="MAB508" s="332"/>
      <c r="MAC508" s="332"/>
      <c r="MAD508" s="332"/>
      <c r="MAE508" s="332"/>
      <c r="MAF508" s="332"/>
      <c r="MAG508" s="332"/>
      <c r="MAH508" s="332"/>
      <c r="MAI508" s="332"/>
      <c r="MAJ508" s="332"/>
      <c r="MAK508" s="332"/>
      <c r="MAL508" s="332"/>
      <c r="MAM508" s="332"/>
      <c r="MAN508" s="332"/>
      <c r="MAO508" s="332"/>
      <c r="MAP508" s="332"/>
      <c r="MAQ508" s="332"/>
      <c r="MAR508" s="332"/>
      <c r="MAS508" s="332"/>
      <c r="MAT508" s="332"/>
      <c r="MAU508" s="332"/>
      <c r="MAV508" s="332"/>
      <c r="MAW508" s="332"/>
      <c r="MAX508" s="332"/>
      <c r="MAY508" s="332"/>
      <c r="MAZ508" s="332"/>
      <c r="MBA508" s="332"/>
      <c r="MBB508" s="332"/>
      <c r="MBC508" s="332"/>
      <c r="MBD508" s="332"/>
      <c r="MBE508" s="332"/>
      <c r="MBF508" s="332"/>
      <c r="MBG508" s="332"/>
      <c r="MBH508" s="332"/>
      <c r="MBI508" s="332"/>
      <c r="MBJ508" s="332"/>
      <c r="MBK508" s="332"/>
      <c r="MBL508" s="332"/>
      <c r="MBM508" s="332"/>
      <c r="MBN508" s="332"/>
      <c r="MBO508" s="332"/>
      <c r="MBP508" s="332"/>
      <c r="MBQ508" s="332"/>
      <c r="MBR508" s="332"/>
      <c r="MBS508" s="332"/>
      <c r="MBT508" s="332"/>
      <c r="MBU508" s="332"/>
      <c r="MBV508" s="332"/>
      <c r="MBW508" s="332"/>
      <c r="MBX508" s="332"/>
      <c r="MBY508" s="332"/>
      <c r="MBZ508" s="332"/>
      <c r="MCA508" s="332"/>
      <c r="MCB508" s="332"/>
      <c r="MCC508" s="332"/>
      <c r="MCD508" s="332"/>
      <c r="MCE508" s="332"/>
      <c r="MCF508" s="332"/>
      <c r="MCG508" s="332"/>
      <c r="MCH508" s="332"/>
      <c r="MCI508" s="332"/>
      <c r="MCJ508" s="332"/>
      <c r="MCK508" s="332"/>
      <c r="MCL508" s="332"/>
      <c r="MCM508" s="332"/>
      <c r="MCN508" s="332"/>
      <c r="MCO508" s="332"/>
      <c r="MCP508" s="332"/>
      <c r="MCQ508" s="332"/>
      <c r="MCR508" s="332"/>
      <c r="MCS508" s="332"/>
      <c r="MCT508" s="332"/>
      <c r="MCU508" s="332"/>
      <c r="MCV508" s="332"/>
      <c r="MCW508" s="332"/>
      <c r="MCX508" s="332"/>
      <c r="MCY508" s="332"/>
      <c r="MCZ508" s="332"/>
      <c r="MDA508" s="332"/>
      <c r="MDB508" s="332"/>
      <c r="MDC508" s="332"/>
      <c r="MDD508" s="332"/>
      <c r="MDE508" s="332"/>
      <c r="MDF508" s="332"/>
      <c r="MDG508" s="332"/>
      <c r="MDH508" s="332"/>
      <c r="MDI508" s="332"/>
      <c r="MDJ508" s="332"/>
      <c r="MDK508" s="332"/>
      <c r="MDL508" s="332"/>
      <c r="MDM508" s="332"/>
      <c r="MDN508" s="332"/>
      <c r="MDO508" s="332"/>
      <c r="MDP508" s="332"/>
      <c r="MDQ508" s="332"/>
      <c r="MDR508" s="332"/>
      <c r="MDS508" s="332"/>
      <c r="MDT508" s="332"/>
      <c r="MDU508" s="332"/>
      <c r="MDV508" s="332"/>
      <c r="MDW508" s="332"/>
      <c r="MDX508" s="332"/>
      <c r="MDY508" s="332"/>
      <c r="MDZ508" s="332"/>
      <c r="MEA508" s="332"/>
      <c r="MEB508" s="332"/>
      <c r="MEC508" s="332"/>
      <c r="MED508" s="332"/>
      <c r="MEE508" s="332"/>
      <c r="MEF508" s="332"/>
      <c r="MEG508" s="332"/>
      <c r="MEH508" s="332"/>
      <c r="MEI508" s="332"/>
      <c r="MEJ508" s="332"/>
      <c r="MEK508" s="332"/>
      <c r="MEL508" s="332"/>
      <c r="MEM508" s="332"/>
      <c r="MEN508" s="332"/>
      <c r="MEO508" s="332"/>
      <c r="MEP508" s="332"/>
      <c r="MEQ508" s="332"/>
      <c r="MER508" s="332"/>
      <c r="MES508" s="332"/>
      <c r="MET508" s="332"/>
      <c r="MEU508" s="332"/>
      <c r="MEV508" s="332"/>
      <c r="MEW508" s="332"/>
      <c r="MEX508" s="332"/>
      <c r="MEY508" s="332"/>
      <c r="MEZ508" s="332"/>
      <c r="MFA508" s="332"/>
      <c r="MFB508" s="332"/>
      <c r="MFC508" s="332"/>
      <c r="MFD508" s="332"/>
      <c r="MFE508" s="332"/>
      <c r="MFF508" s="332"/>
      <c r="MFG508" s="332"/>
      <c r="MFH508" s="332"/>
      <c r="MFI508" s="332"/>
      <c r="MFJ508" s="332"/>
      <c r="MFK508" s="332"/>
      <c r="MFL508" s="332"/>
      <c r="MFM508" s="332"/>
      <c r="MFN508" s="332"/>
      <c r="MFO508" s="332"/>
      <c r="MFP508" s="332"/>
      <c r="MFQ508" s="332"/>
      <c r="MFR508" s="332"/>
      <c r="MFS508" s="332"/>
      <c r="MFT508" s="332"/>
      <c r="MFU508" s="332"/>
      <c r="MFV508" s="332"/>
      <c r="MFW508" s="332"/>
      <c r="MFX508" s="332"/>
      <c r="MFY508" s="332"/>
      <c r="MFZ508" s="332"/>
      <c r="MGA508" s="332"/>
      <c r="MGB508" s="332"/>
      <c r="MGC508" s="332"/>
      <c r="MGD508" s="332"/>
      <c r="MGE508" s="332"/>
      <c r="MGF508" s="332"/>
      <c r="MGG508" s="332"/>
      <c r="MGH508" s="332"/>
      <c r="MGI508" s="332"/>
      <c r="MGJ508" s="332"/>
      <c r="MGK508" s="332"/>
      <c r="MGL508" s="332"/>
      <c r="MGM508" s="332"/>
      <c r="MGN508" s="332"/>
      <c r="MGO508" s="332"/>
      <c r="MGP508" s="332"/>
      <c r="MGQ508" s="332"/>
      <c r="MGR508" s="332"/>
      <c r="MGS508" s="332"/>
      <c r="MGT508" s="332"/>
      <c r="MGU508" s="332"/>
      <c r="MGV508" s="332"/>
      <c r="MGW508" s="332"/>
      <c r="MGX508" s="332"/>
      <c r="MGY508" s="332"/>
      <c r="MGZ508" s="332"/>
      <c r="MHA508" s="332"/>
      <c r="MHB508" s="332"/>
      <c r="MHC508" s="332"/>
      <c r="MHD508" s="332"/>
      <c r="MHE508" s="332"/>
      <c r="MHF508" s="332"/>
      <c r="MHG508" s="332"/>
      <c r="MHH508" s="332"/>
      <c r="MHI508" s="332"/>
      <c r="MHJ508" s="332"/>
      <c r="MHK508" s="332"/>
      <c r="MHL508" s="332"/>
      <c r="MHM508" s="332"/>
      <c r="MHN508" s="332"/>
      <c r="MHO508" s="332"/>
      <c r="MHP508" s="332"/>
      <c r="MHQ508" s="332"/>
      <c r="MHR508" s="332"/>
      <c r="MHS508" s="332"/>
      <c r="MHT508" s="332"/>
      <c r="MHU508" s="332"/>
      <c r="MHV508" s="332"/>
      <c r="MHW508" s="332"/>
      <c r="MHX508" s="332"/>
      <c r="MHY508" s="332"/>
      <c r="MHZ508" s="332"/>
      <c r="MIA508" s="332"/>
      <c r="MIB508" s="332"/>
      <c r="MIC508" s="332"/>
      <c r="MID508" s="332"/>
      <c r="MIE508" s="332"/>
      <c r="MIF508" s="332"/>
      <c r="MIG508" s="332"/>
      <c r="MIH508" s="332"/>
      <c r="MII508" s="332"/>
      <c r="MIJ508" s="332"/>
      <c r="MIK508" s="332"/>
      <c r="MIL508" s="332"/>
      <c r="MIM508" s="332"/>
      <c r="MIN508" s="332"/>
      <c r="MIO508" s="332"/>
      <c r="MIP508" s="332"/>
      <c r="MIQ508" s="332"/>
      <c r="MIR508" s="332"/>
      <c r="MIS508" s="332"/>
      <c r="MIT508" s="332"/>
      <c r="MIU508" s="332"/>
      <c r="MIV508" s="332"/>
      <c r="MIW508" s="332"/>
      <c r="MIX508" s="332"/>
      <c r="MIY508" s="332"/>
      <c r="MIZ508" s="332"/>
      <c r="MJA508" s="332"/>
      <c r="MJB508" s="332"/>
      <c r="MJC508" s="332"/>
      <c r="MJD508" s="332"/>
      <c r="MJE508" s="332"/>
      <c r="MJF508" s="332"/>
      <c r="MJG508" s="332"/>
      <c r="MJH508" s="332"/>
      <c r="MJI508" s="332"/>
      <c r="MJJ508" s="332"/>
      <c r="MJK508" s="332"/>
      <c r="MJL508" s="332"/>
      <c r="MJM508" s="332"/>
      <c r="MJN508" s="332"/>
      <c r="MJO508" s="332"/>
      <c r="MJP508" s="332"/>
      <c r="MJQ508" s="332"/>
      <c r="MJR508" s="332"/>
      <c r="MJS508" s="332"/>
      <c r="MJT508" s="332"/>
      <c r="MJU508" s="332"/>
      <c r="MJV508" s="332"/>
      <c r="MJW508" s="332"/>
      <c r="MJX508" s="332"/>
      <c r="MJY508" s="332"/>
      <c r="MJZ508" s="332"/>
      <c r="MKA508" s="332"/>
      <c r="MKB508" s="332"/>
      <c r="MKC508" s="332"/>
      <c r="MKD508" s="332"/>
      <c r="MKE508" s="332"/>
      <c r="MKF508" s="332"/>
      <c r="MKG508" s="332"/>
      <c r="MKH508" s="332"/>
      <c r="MKI508" s="332"/>
      <c r="MKJ508" s="332"/>
      <c r="MKK508" s="332"/>
      <c r="MKL508" s="332"/>
      <c r="MKM508" s="332"/>
      <c r="MKN508" s="332"/>
      <c r="MKO508" s="332"/>
      <c r="MKP508" s="332"/>
      <c r="MKQ508" s="332"/>
      <c r="MKR508" s="332"/>
      <c r="MKS508" s="332"/>
      <c r="MKT508" s="332"/>
      <c r="MKU508" s="332"/>
      <c r="MKV508" s="332"/>
      <c r="MKW508" s="332"/>
      <c r="MKX508" s="332"/>
      <c r="MKY508" s="332"/>
      <c r="MKZ508" s="332"/>
      <c r="MLA508" s="332"/>
      <c r="MLB508" s="332"/>
      <c r="MLC508" s="332"/>
      <c r="MLD508" s="332"/>
      <c r="MLE508" s="332"/>
      <c r="MLF508" s="332"/>
      <c r="MLG508" s="332"/>
      <c r="MLH508" s="332"/>
      <c r="MLI508" s="332"/>
      <c r="MLJ508" s="332"/>
      <c r="MLK508" s="332"/>
      <c r="MLL508" s="332"/>
      <c r="MLM508" s="332"/>
      <c r="MLN508" s="332"/>
      <c r="MLO508" s="332"/>
      <c r="MLP508" s="332"/>
      <c r="MLQ508" s="332"/>
      <c r="MLR508" s="332"/>
      <c r="MLS508" s="332"/>
      <c r="MLT508" s="332"/>
      <c r="MLU508" s="332"/>
      <c r="MLV508" s="332"/>
      <c r="MLW508" s="332"/>
      <c r="MLX508" s="332"/>
      <c r="MLY508" s="332"/>
      <c r="MLZ508" s="332"/>
      <c r="MMA508" s="332"/>
      <c r="MMB508" s="332"/>
      <c r="MMC508" s="332"/>
      <c r="MMD508" s="332"/>
      <c r="MME508" s="332"/>
      <c r="MMF508" s="332"/>
      <c r="MMG508" s="332"/>
      <c r="MMH508" s="332"/>
      <c r="MMI508" s="332"/>
      <c r="MMJ508" s="332"/>
      <c r="MMK508" s="332"/>
      <c r="MML508" s="332"/>
      <c r="MMM508" s="332"/>
      <c r="MMN508" s="332"/>
      <c r="MMO508" s="332"/>
      <c r="MMP508" s="332"/>
      <c r="MMQ508" s="332"/>
      <c r="MMR508" s="332"/>
      <c r="MMS508" s="332"/>
      <c r="MMT508" s="332"/>
      <c r="MMU508" s="332"/>
      <c r="MMV508" s="332"/>
      <c r="MMW508" s="332"/>
      <c r="MMX508" s="332"/>
      <c r="MMY508" s="332"/>
      <c r="MMZ508" s="332"/>
      <c r="MNA508" s="332"/>
      <c r="MNB508" s="332"/>
      <c r="MNC508" s="332"/>
      <c r="MND508" s="332"/>
      <c r="MNE508" s="332"/>
      <c r="MNF508" s="332"/>
      <c r="MNG508" s="332"/>
      <c r="MNH508" s="332"/>
      <c r="MNI508" s="332"/>
      <c r="MNJ508" s="332"/>
      <c r="MNK508" s="332"/>
      <c r="MNL508" s="332"/>
      <c r="MNM508" s="332"/>
      <c r="MNN508" s="332"/>
      <c r="MNO508" s="332"/>
      <c r="MNP508" s="332"/>
      <c r="MNQ508" s="332"/>
      <c r="MNR508" s="332"/>
      <c r="MNS508" s="332"/>
      <c r="MNT508" s="332"/>
      <c r="MNU508" s="332"/>
      <c r="MNV508" s="332"/>
      <c r="MNW508" s="332"/>
      <c r="MNX508" s="332"/>
      <c r="MNY508" s="332"/>
      <c r="MNZ508" s="332"/>
      <c r="MOA508" s="332"/>
      <c r="MOB508" s="332"/>
      <c r="MOC508" s="332"/>
      <c r="MOD508" s="332"/>
      <c r="MOE508" s="332"/>
      <c r="MOF508" s="332"/>
      <c r="MOG508" s="332"/>
      <c r="MOH508" s="332"/>
      <c r="MOI508" s="332"/>
      <c r="MOJ508" s="332"/>
      <c r="MOK508" s="332"/>
      <c r="MOL508" s="332"/>
      <c r="MOM508" s="332"/>
      <c r="MON508" s="332"/>
      <c r="MOO508" s="332"/>
      <c r="MOP508" s="332"/>
      <c r="MOQ508" s="332"/>
      <c r="MOR508" s="332"/>
      <c r="MOS508" s="332"/>
      <c r="MOT508" s="332"/>
      <c r="MOU508" s="332"/>
      <c r="MOV508" s="332"/>
      <c r="MOW508" s="332"/>
      <c r="MOX508" s="332"/>
      <c r="MOY508" s="332"/>
      <c r="MOZ508" s="332"/>
      <c r="MPA508" s="332"/>
      <c r="MPB508" s="332"/>
      <c r="MPC508" s="332"/>
      <c r="MPD508" s="332"/>
      <c r="MPE508" s="332"/>
      <c r="MPF508" s="332"/>
      <c r="MPG508" s="332"/>
      <c r="MPH508" s="332"/>
      <c r="MPI508" s="332"/>
      <c r="MPJ508" s="332"/>
      <c r="MPK508" s="332"/>
      <c r="MPL508" s="332"/>
      <c r="MPM508" s="332"/>
      <c r="MPN508" s="332"/>
      <c r="MPO508" s="332"/>
      <c r="MPP508" s="332"/>
      <c r="MPQ508" s="332"/>
      <c r="MPR508" s="332"/>
      <c r="MPS508" s="332"/>
      <c r="MPT508" s="332"/>
      <c r="MPU508" s="332"/>
      <c r="MPV508" s="332"/>
      <c r="MPW508" s="332"/>
      <c r="MPX508" s="332"/>
      <c r="MPY508" s="332"/>
      <c r="MPZ508" s="332"/>
      <c r="MQA508" s="332"/>
      <c r="MQB508" s="332"/>
      <c r="MQC508" s="332"/>
      <c r="MQD508" s="332"/>
      <c r="MQE508" s="332"/>
      <c r="MQF508" s="332"/>
      <c r="MQG508" s="332"/>
      <c r="MQH508" s="332"/>
      <c r="MQI508" s="332"/>
      <c r="MQJ508" s="332"/>
      <c r="MQK508" s="332"/>
      <c r="MQL508" s="332"/>
      <c r="MQM508" s="332"/>
      <c r="MQN508" s="332"/>
      <c r="MQO508" s="332"/>
      <c r="MQP508" s="332"/>
      <c r="MQQ508" s="332"/>
      <c r="MQR508" s="332"/>
      <c r="MQS508" s="332"/>
      <c r="MQT508" s="332"/>
      <c r="MQU508" s="332"/>
      <c r="MQV508" s="332"/>
      <c r="MQW508" s="332"/>
      <c r="MQX508" s="332"/>
      <c r="MQY508" s="332"/>
      <c r="MQZ508" s="332"/>
      <c r="MRA508" s="332"/>
      <c r="MRB508" s="332"/>
      <c r="MRC508" s="332"/>
      <c r="MRD508" s="332"/>
      <c r="MRE508" s="332"/>
      <c r="MRF508" s="332"/>
      <c r="MRG508" s="332"/>
      <c r="MRH508" s="332"/>
      <c r="MRI508" s="332"/>
      <c r="MRJ508" s="332"/>
      <c r="MRK508" s="332"/>
      <c r="MRL508" s="332"/>
      <c r="MRM508" s="332"/>
      <c r="MRN508" s="332"/>
      <c r="MRO508" s="332"/>
      <c r="MRP508" s="332"/>
      <c r="MRQ508" s="332"/>
      <c r="MRR508" s="332"/>
      <c r="MRS508" s="332"/>
      <c r="MRT508" s="332"/>
      <c r="MRU508" s="332"/>
      <c r="MRV508" s="332"/>
      <c r="MRW508" s="332"/>
      <c r="MRX508" s="332"/>
      <c r="MRY508" s="332"/>
      <c r="MRZ508" s="332"/>
      <c r="MSA508" s="332"/>
      <c r="MSB508" s="332"/>
      <c r="MSC508" s="332"/>
      <c r="MSD508" s="332"/>
      <c r="MSE508" s="332"/>
      <c r="MSF508" s="332"/>
      <c r="MSG508" s="332"/>
      <c r="MSH508" s="332"/>
      <c r="MSI508" s="332"/>
      <c r="MSJ508" s="332"/>
      <c r="MSK508" s="332"/>
      <c r="MSL508" s="332"/>
      <c r="MSM508" s="332"/>
      <c r="MSN508" s="332"/>
      <c r="MSO508" s="332"/>
      <c r="MSP508" s="332"/>
      <c r="MSQ508" s="332"/>
      <c r="MSR508" s="332"/>
      <c r="MSS508" s="332"/>
      <c r="MST508" s="332"/>
      <c r="MSU508" s="332"/>
      <c r="MSV508" s="332"/>
      <c r="MSW508" s="332"/>
      <c r="MSX508" s="332"/>
      <c r="MSY508" s="332"/>
      <c r="MSZ508" s="332"/>
      <c r="MTA508" s="332"/>
      <c r="MTB508" s="332"/>
      <c r="MTC508" s="332"/>
      <c r="MTD508" s="332"/>
      <c r="MTE508" s="332"/>
      <c r="MTF508" s="332"/>
      <c r="MTG508" s="332"/>
      <c r="MTH508" s="332"/>
      <c r="MTI508" s="332"/>
      <c r="MTJ508" s="332"/>
      <c r="MTK508" s="332"/>
      <c r="MTL508" s="332"/>
      <c r="MTM508" s="332"/>
      <c r="MTN508" s="332"/>
      <c r="MTO508" s="332"/>
      <c r="MTP508" s="332"/>
      <c r="MTQ508" s="332"/>
      <c r="MTR508" s="332"/>
      <c r="MTS508" s="332"/>
      <c r="MTT508" s="332"/>
      <c r="MTU508" s="332"/>
      <c r="MTV508" s="332"/>
      <c r="MTW508" s="332"/>
      <c r="MTX508" s="332"/>
      <c r="MTY508" s="332"/>
      <c r="MTZ508" s="332"/>
      <c r="MUA508" s="332"/>
      <c r="MUB508" s="332"/>
      <c r="MUC508" s="332"/>
      <c r="MUD508" s="332"/>
      <c r="MUE508" s="332"/>
      <c r="MUF508" s="332"/>
      <c r="MUG508" s="332"/>
      <c r="MUH508" s="332"/>
      <c r="MUI508" s="332"/>
      <c r="MUJ508" s="332"/>
      <c r="MUK508" s="332"/>
      <c r="MUL508" s="332"/>
      <c r="MUM508" s="332"/>
      <c r="MUN508" s="332"/>
      <c r="MUO508" s="332"/>
      <c r="MUP508" s="332"/>
      <c r="MUQ508" s="332"/>
      <c r="MUR508" s="332"/>
      <c r="MUS508" s="332"/>
      <c r="MUT508" s="332"/>
      <c r="MUU508" s="332"/>
      <c r="MUV508" s="332"/>
      <c r="MUW508" s="332"/>
      <c r="MUX508" s="332"/>
      <c r="MUY508" s="332"/>
      <c r="MUZ508" s="332"/>
      <c r="MVA508" s="332"/>
      <c r="MVB508" s="332"/>
      <c r="MVC508" s="332"/>
      <c r="MVD508" s="332"/>
      <c r="MVE508" s="332"/>
      <c r="MVF508" s="332"/>
      <c r="MVG508" s="332"/>
      <c r="MVH508" s="332"/>
      <c r="MVI508" s="332"/>
      <c r="MVJ508" s="332"/>
      <c r="MVK508" s="332"/>
      <c r="MVL508" s="332"/>
      <c r="MVM508" s="332"/>
      <c r="MVN508" s="332"/>
      <c r="MVO508" s="332"/>
      <c r="MVP508" s="332"/>
      <c r="MVQ508" s="332"/>
      <c r="MVR508" s="332"/>
      <c r="MVS508" s="332"/>
      <c r="MVT508" s="332"/>
      <c r="MVU508" s="332"/>
      <c r="MVV508" s="332"/>
      <c r="MVW508" s="332"/>
      <c r="MVX508" s="332"/>
      <c r="MVY508" s="332"/>
      <c r="MVZ508" s="332"/>
      <c r="MWA508" s="332"/>
      <c r="MWB508" s="332"/>
      <c r="MWC508" s="332"/>
      <c r="MWD508" s="332"/>
      <c r="MWE508" s="332"/>
      <c r="MWF508" s="332"/>
      <c r="MWG508" s="332"/>
      <c r="MWH508" s="332"/>
      <c r="MWI508" s="332"/>
      <c r="MWJ508" s="332"/>
      <c r="MWK508" s="332"/>
      <c r="MWL508" s="332"/>
      <c r="MWM508" s="332"/>
      <c r="MWN508" s="332"/>
      <c r="MWO508" s="332"/>
      <c r="MWP508" s="332"/>
      <c r="MWQ508" s="332"/>
      <c r="MWR508" s="332"/>
      <c r="MWS508" s="332"/>
      <c r="MWT508" s="332"/>
      <c r="MWU508" s="332"/>
      <c r="MWV508" s="332"/>
      <c r="MWW508" s="332"/>
      <c r="MWX508" s="332"/>
      <c r="MWY508" s="332"/>
      <c r="MWZ508" s="332"/>
      <c r="MXA508" s="332"/>
      <c r="MXB508" s="332"/>
      <c r="MXC508" s="332"/>
      <c r="MXD508" s="332"/>
      <c r="MXE508" s="332"/>
      <c r="MXF508" s="332"/>
      <c r="MXG508" s="332"/>
      <c r="MXH508" s="332"/>
      <c r="MXI508" s="332"/>
      <c r="MXJ508" s="332"/>
      <c r="MXK508" s="332"/>
      <c r="MXL508" s="332"/>
      <c r="MXM508" s="332"/>
      <c r="MXN508" s="332"/>
      <c r="MXO508" s="332"/>
      <c r="MXP508" s="332"/>
      <c r="MXQ508" s="332"/>
      <c r="MXR508" s="332"/>
      <c r="MXS508" s="332"/>
      <c r="MXT508" s="332"/>
      <c r="MXU508" s="332"/>
      <c r="MXV508" s="332"/>
      <c r="MXW508" s="332"/>
      <c r="MXX508" s="332"/>
      <c r="MXY508" s="332"/>
      <c r="MXZ508" s="332"/>
      <c r="MYA508" s="332"/>
      <c r="MYB508" s="332"/>
      <c r="MYC508" s="332"/>
      <c r="MYD508" s="332"/>
      <c r="MYE508" s="332"/>
      <c r="MYF508" s="332"/>
      <c r="MYG508" s="332"/>
      <c r="MYH508" s="332"/>
      <c r="MYI508" s="332"/>
      <c r="MYJ508" s="332"/>
      <c r="MYK508" s="332"/>
      <c r="MYL508" s="332"/>
      <c r="MYM508" s="332"/>
      <c r="MYN508" s="332"/>
      <c r="MYO508" s="332"/>
      <c r="MYP508" s="332"/>
      <c r="MYQ508" s="332"/>
      <c r="MYR508" s="332"/>
      <c r="MYS508" s="332"/>
      <c r="MYT508" s="332"/>
      <c r="MYU508" s="332"/>
      <c r="MYV508" s="332"/>
      <c r="MYW508" s="332"/>
      <c r="MYX508" s="332"/>
      <c r="MYY508" s="332"/>
      <c r="MYZ508" s="332"/>
      <c r="MZA508" s="332"/>
      <c r="MZB508" s="332"/>
      <c r="MZC508" s="332"/>
      <c r="MZD508" s="332"/>
      <c r="MZE508" s="332"/>
      <c r="MZF508" s="332"/>
      <c r="MZG508" s="332"/>
      <c r="MZH508" s="332"/>
      <c r="MZI508" s="332"/>
      <c r="MZJ508" s="332"/>
      <c r="MZK508" s="332"/>
      <c r="MZL508" s="332"/>
      <c r="MZM508" s="332"/>
      <c r="MZN508" s="332"/>
      <c r="MZO508" s="332"/>
      <c r="MZP508" s="332"/>
      <c r="MZQ508" s="332"/>
      <c r="MZR508" s="332"/>
      <c r="MZS508" s="332"/>
      <c r="MZT508" s="332"/>
      <c r="MZU508" s="332"/>
      <c r="MZV508" s="332"/>
      <c r="MZW508" s="332"/>
      <c r="MZX508" s="332"/>
      <c r="MZY508" s="332"/>
      <c r="MZZ508" s="332"/>
      <c r="NAA508" s="332"/>
      <c r="NAB508" s="332"/>
      <c r="NAC508" s="332"/>
      <c r="NAD508" s="332"/>
      <c r="NAE508" s="332"/>
      <c r="NAF508" s="332"/>
      <c r="NAG508" s="332"/>
      <c r="NAH508" s="332"/>
      <c r="NAI508" s="332"/>
      <c r="NAJ508" s="332"/>
      <c r="NAK508" s="332"/>
      <c r="NAL508" s="332"/>
      <c r="NAM508" s="332"/>
      <c r="NAN508" s="332"/>
      <c r="NAO508" s="332"/>
      <c r="NAP508" s="332"/>
      <c r="NAQ508" s="332"/>
      <c r="NAR508" s="332"/>
      <c r="NAS508" s="332"/>
      <c r="NAT508" s="332"/>
      <c r="NAU508" s="332"/>
      <c r="NAV508" s="332"/>
      <c r="NAW508" s="332"/>
      <c r="NAX508" s="332"/>
      <c r="NAY508" s="332"/>
      <c r="NAZ508" s="332"/>
      <c r="NBA508" s="332"/>
      <c r="NBB508" s="332"/>
      <c r="NBC508" s="332"/>
      <c r="NBD508" s="332"/>
      <c r="NBE508" s="332"/>
      <c r="NBF508" s="332"/>
      <c r="NBG508" s="332"/>
      <c r="NBH508" s="332"/>
      <c r="NBI508" s="332"/>
      <c r="NBJ508" s="332"/>
      <c r="NBK508" s="332"/>
      <c r="NBL508" s="332"/>
      <c r="NBM508" s="332"/>
      <c r="NBN508" s="332"/>
      <c r="NBO508" s="332"/>
      <c r="NBP508" s="332"/>
      <c r="NBQ508" s="332"/>
      <c r="NBR508" s="332"/>
      <c r="NBS508" s="332"/>
      <c r="NBT508" s="332"/>
      <c r="NBU508" s="332"/>
      <c r="NBV508" s="332"/>
      <c r="NBW508" s="332"/>
      <c r="NBX508" s="332"/>
      <c r="NBY508" s="332"/>
      <c r="NBZ508" s="332"/>
      <c r="NCA508" s="332"/>
      <c r="NCB508" s="332"/>
      <c r="NCC508" s="332"/>
      <c r="NCD508" s="332"/>
      <c r="NCE508" s="332"/>
      <c r="NCF508" s="332"/>
      <c r="NCG508" s="332"/>
      <c r="NCH508" s="332"/>
      <c r="NCI508" s="332"/>
      <c r="NCJ508" s="332"/>
      <c r="NCK508" s="332"/>
      <c r="NCL508" s="332"/>
      <c r="NCM508" s="332"/>
      <c r="NCN508" s="332"/>
      <c r="NCO508" s="332"/>
      <c r="NCP508" s="332"/>
      <c r="NCQ508" s="332"/>
      <c r="NCR508" s="332"/>
      <c r="NCS508" s="332"/>
      <c r="NCT508" s="332"/>
      <c r="NCU508" s="332"/>
      <c r="NCV508" s="332"/>
      <c r="NCW508" s="332"/>
      <c r="NCX508" s="332"/>
      <c r="NCY508" s="332"/>
      <c r="NCZ508" s="332"/>
      <c r="NDA508" s="332"/>
      <c r="NDB508" s="332"/>
      <c r="NDC508" s="332"/>
      <c r="NDD508" s="332"/>
      <c r="NDE508" s="332"/>
      <c r="NDF508" s="332"/>
      <c r="NDG508" s="332"/>
      <c r="NDH508" s="332"/>
      <c r="NDI508" s="332"/>
      <c r="NDJ508" s="332"/>
      <c r="NDK508" s="332"/>
      <c r="NDL508" s="332"/>
      <c r="NDM508" s="332"/>
      <c r="NDN508" s="332"/>
      <c r="NDO508" s="332"/>
      <c r="NDP508" s="332"/>
      <c r="NDQ508" s="332"/>
      <c r="NDR508" s="332"/>
      <c r="NDS508" s="332"/>
      <c r="NDT508" s="332"/>
      <c r="NDU508" s="332"/>
      <c r="NDV508" s="332"/>
      <c r="NDW508" s="332"/>
      <c r="NDX508" s="332"/>
      <c r="NDY508" s="332"/>
      <c r="NDZ508" s="332"/>
      <c r="NEA508" s="332"/>
      <c r="NEB508" s="332"/>
      <c r="NEC508" s="332"/>
      <c r="NED508" s="332"/>
      <c r="NEE508" s="332"/>
      <c r="NEF508" s="332"/>
      <c r="NEG508" s="332"/>
      <c r="NEH508" s="332"/>
      <c r="NEI508" s="332"/>
      <c r="NEJ508" s="332"/>
      <c r="NEK508" s="332"/>
      <c r="NEL508" s="332"/>
      <c r="NEM508" s="332"/>
      <c r="NEN508" s="332"/>
      <c r="NEO508" s="332"/>
      <c r="NEP508" s="332"/>
      <c r="NEQ508" s="332"/>
      <c r="NER508" s="332"/>
      <c r="NES508" s="332"/>
      <c r="NET508" s="332"/>
      <c r="NEU508" s="332"/>
      <c r="NEV508" s="332"/>
      <c r="NEW508" s="332"/>
      <c r="NEX508" s="332"/>
      <c r="NEY508" s="332"/>
      <c r="NEZ508" s="332"/>
      <c r="NFA508" s="332"/>
      <c r="NFB508" s="332"/>
      <c r="NFC508" s="332"/>
      <c r="NFD508" s="332"/>
      <c r="NFE508" s="332"/>
      <c r="NFF508" s="332"/>
      <c r="NFG508" s="332"/>
      <c r="NFH508" s="332"/>
      <c r="NFI508" s="332"/>
      <c r="NFJ508" s="332"/>
      <c r="NFK508" s="332"/>
      <c r="NFL508" s="332"/>
      <c r="NFM508" s="332"/>
      <c r="NFN508" s="332"/>
      <c r="NFO508" s="332"/>
      <c r="NFP508" s="332"/>
      <c r="NFQ508" s="332"/>
      <c r="NFR508" s="332"/>
      <c r="NFS508" s="332"/>
      <c r="NFT508" s="332"/>
      <c r="NFU508" s="332"/>
      <c r="NFV508" s="332"/>
      <c r="NFW508" s="332"/>
      <c r="NFX508" s="332"/>
      <c r="NFY508" s="332"/>
      <c r="NFZ508" s="332"/>
      <c r="NGA508" s="332"/>
      <c r="NGB508" s="332"/>
      <c r="NGC508" s="332"/>
      <c r="NGD508" s="332"/>
      <c r="NGE508" s="332"/>
      <c r="NGF508" s="332"/>
      <c r="NGG508" s="332"/>
      <c r="NGH508" s="332"/>
      <c r="NGI508" s="332"/>
      <c r="NGJ508" s="332"/>
      <c r="NGK508" s="332"/>
      <c r="NGL508" s="332"/>
      <c r="NGM508" s="332"/>
      <c r="NGN508" s="332"/>
      <c r="NGO508" s="332"/>
      <c r="NGP508" s="332"/>
      <c r="NGQ508" s="332"/>
      <c r="NGR508" s="332"/>
      <c r="NGS508" s="332"/>
      <c r="NGT508" s="332"/>
      <c r="NGU508" s="332"/>
      <c r="NGV508" s="332"/>
      <c r="NGW508" s="332"/>
      <c r="NGX508" s="332"/>
      <c r="NGY508" s="332"/>
      <c r="NGZ508" s="332"/>
      <c r="NHA508" s="332"/>
      <c r="NHB508" s="332"/>
      <c r="NHC508" s="332"/>
      <c r="NHD508" s="332"/>
      <c r="NHE508" s="332"/>
      <c r="NHF508" s="332"/>
      <c r="NHG508" s="332"/>
      <c r="NHH508" s="332"/>
      <c r="NHI508" s="332"/>
      <c r="NHJ508" s="332"/>
      <c r="NHK508" s="332"/>
      <c r="NHL508" s="332"/>
      <c r="NHM508" s="332"/>
      <c r="NHN508" s="332"/>
      <c r="NHO508" s="332"/>
      <c r="NHP508" s="332"/>
      <c r="NHQ508" s="332"/>
      <c r="NHR508" s="332"/>
      <c r="NHS508" s="332"/>
      <c r="NHT508" s="332"/>
      <c r="NHU508" s="332"/>
      <c r="NHV508" s="332"/>
      <c r="NHW508" s="332"/>
      <c r="NHX508" s="332"/>
      <c r="NHY508" s="332"/>
      <c r="NHZ508" s="332"/>
      <c r="NIA508" s="332"/>
      <c r="NIB508" s="332"/>
      <c r="NIC508" s="332"/>
      <c r="NID508" s="332"/>
      <c r="NIE508" s="332"/>
      <c r="NIF508" s="332"/>
      <c r="NIG508" s="332"/>
      <c r="NIH508" s="332"/>
      <c r="NII508" s="332"/>
      <c r="NIJ508" s="332"/>
      <c r="NIK508" s="332"/>
      <c r="NIL508" s="332"/>
      <c r="NIM508" s="332"/>
      <c r="NIN508" s="332"/>
      <c r="NIO508" s="332"/>
      <c r="NIP508" s="332"/>
      <c r="NIQ508" s="332"/>
      <c r="NIR508" s="332"/>
      <c r="NIS508" s="332"/>
      <c r="NIT508" s="332"/>
      <c r="NIU508" s="332"/>
      <c r="NIV508" s="332"/>
      <c r="NIW508" s="332"/>
      <c r="NIX508" s="332"/>
      <c r="NIY508" s="332"/>
      <c r="NIZ508" s="332"/>
      <c r="NJA508" s="332"/>
      <c r="NJB508" s="332"/>
      <c r="NJC508" s="332"/>
      <c r="NJD508" s="332"/>
      <c r="NJE508" s="332"/>
      <c r="NJF508" s="332"/>
      <c r="NJG508" s="332"/>
      <c r="NJH508" s="332"/>
      <c r="NJI508" s="332"/>
      <c r="NJJ508" s="332"/>
      <c r="NJK508" s="332"/>
      <c r="NJL508" s="332"/>
      <c r="NJM508" s="332"/>
      <c r="NJN508" s="332"/>
      <c r="NJO508" s="332"/>
      <c r="NJP508" s="332"/>
      <c r="NJQ508" s="332"/>
      <c r="NJR508" s="332"/>
      <c r="NJS508" s="332"/>
      <c r="NJT508" s="332"/>
      <c r="NJU508" s="332"/>
      <c r="NJV508" s="332"/>
      <c r="NJW508" s="332"/>
      <c r="NJX508" s="332"/>
      <c r="NJY508" s="332"/>
      <c r="NJZ508" s="332"/>
      <c r="NKA508" s="332"/>
      <c r="NKB508" s="332"/>
      <c r="NKC508" s="332"/>
      <c r="NKD508" s="332"/>
      <c r="NKE508" s="332"/>
      <c r="NKF508" s="332"/>
      <c r="NKG508" s="332"/>
      <c r="NKH508" s="332"/>
      <c r="NKI508" s="332"/>
      <c r="NKJ508" s="332"/>
      <c r="NKK508" s="332"/>
      <c r="NKL508" s="332"/>
      <c r="NKM508" s="332"/>
      <c r="NKN508" s="332"/>
      <c r="NKO508" s="332"/>
      <c r="NKP508" s="332"/>
      <c r="NKQ508" s="332"/>
      <c r="NKR508" s="332"/>
      <c r="NKS508" s="332"/>
      <c r="NKT508" s="332"/>
      <c r="NKU508" s="332"/>
      <c r="NKV508" s="332"/>
      <c r="NKW508" s="332"/>
      <c r="NKX508" s="332"/>
      <c r="NKY508" s="332"/>
      <c r="NKZ508" s="332"/>
      <c r="NLA508" s="332"/>
      <c r="NLB508" s="332"/>
      <c r="NLC508" s="332"/>
      <c r="NLD508" s="332"/>
      <c r="NLE508" s="332"/>
      <c r="NLF508" s="332"/>
      <c r="NLG508" s="332"/>
      <c r="NLH508" s="332"/>
      <c r="NLI508" s="332"/>
      <c r="NLJ508" s="332"/>
      <c r="NLK508" s="332"/>
      <c r="NLL508" s="332"/>
      <c r="NLM508" s="332"/>
      <c r="NLN508" s="332"/>
      <c r="NLO508" s="332"/>
      <c r="NLP508" s="332"/>
      <c r="NLQ508" s="332"/>
      <c r="NLR508" s="332"/>
      <c r="NLS508" s="332"/>
      <c r="NLT508" s="332"/>
      <c r="NLU508" s="332"/>
      <c r="NLV508" s="332"/>
      <c r="NLW508" s="332"/>
      <c r="NLX508" s="332"/>
      <c r="NLY508" s="332"/>
      <c r="NLZ508" s="332"/>
      <c r="NMA508" s="332"/>
      <c r="NMB508" s="332"/>
      <c r="NMC508" s="332"/>
      <c r="NMD508" s="332"/>
      <c r="NME508" s="332"/>
      <c r="NMF508" s="332"/>
      <c r="NMG508" s="332"/>
      <c r="NMH508" s="332"/>
      <c r="NMI508" s="332"/>
      <c r="NMJ508" s="332"/>
      <c r="NMK508" s="332"/>
      <c r="NML508" s="332"/>
      <c r="NMM508" s="332"/>
      <c r="NMN508" s="332"/>
      <c r="NMO508" s="332"/>
      <c r="NMP508" s="332"/>
      <c r="NMQ508" s="332"/>
      <c r="NMR508" s="332"/>
      <c r="NMS508" s="332"/>
      <c r="NMT508" s="332"/>
      <c r="NMU508" s="332"/>
      <c r="NMV508" s="332"/>
      <c r="NMW508" s="332"/>
      <c r="NMX508" s="332"/>
      <c r="NMY508" s="332"/>
      <c r="NMZ508" s="332"/>
      <c r="NNA508" s="332"/>
      <c r="NNB508" s="332"/>
      <c r="NNC508" s="332"/>
      <c r="NND508" s="332"/>
      <c r="NNE508" s="332"/>
      <c r="NNF508" s="332"/>
      <c r="NNG508" s="332"/>
      <c r="NNH508" s="332"/>
      <c r="NNI508" s="332"/>
      <c r="NNJ508" s="332"/>
      <c r="NNK508" s="332"/>
      <c r="NNL508" s="332"/>
      <c r="NNM508" s="332"/>
      <c r="NNN508" s="332"/>
      <c r="NNO508" s="332"/>
      <c r="NNP508" s="332"/>
      <c r="NNQ508" s="332"/>
      <c r="NNR508" s="332"/>
      <c r="NNS508" s="332"/>
      <c r="NNT508" s="332"/>
      <c r="NNU508" s="332"/>
      <c r="NNV508" s="332"/>
      <c r="NNW508" s="332"/>
      <c r="NNX508" s="332"/>
      <c r="NNY508" s="332"/>
      <c r="NNZ508" s="332"/>
      <c r="NOA508" s="332"/>
      <c r="NOB508" s="332"/>
      <c r="NOC508" s="332"/>
      <c r="NOD508" s="332"/>
      <c r="NOE508" s="332"/>
      <c r="NOF508" s="332"/>
      <c r="NOG508" s="332"/>
      <c r="NOH508" s="332"/>
      <c r="NOI508" s="332"/>
      <c r="NOJ508" s="332"/>
      <c r="NOK508" s="332"/>
      <c r="NOL508" s="332"/>
      <c r="NOM508" s="332"/>
      <c r="NON508" s="332"/>
      <c r="NOO508" s="332"/>
      <c r="NOP508" s="332"/>
      <c r="NOQ508" s="332"/>
      <c r="NOR508" s="332"/>
      <c r="NOS508" s="332"/>
      <c r="NOT508" s="332"/>
      <c r="NOU508" s="332"/>
      <c r="NOV508" s="332"/>
      <c r="NOW508" s="332"/>
      <c r="NOX508" s="332"/>
      <c r="NOY508" s="332"/>
      <c r="NOZ508" s="332"/>
      <c r="NPA508" s="332"/>
      <c r="NPB508" s="332"/>
      <c r="NPC508" s="332"/>
      <c r="NPD508" s="332"/>
      <c r="NPE508" s="332"/>
      <c r="NPF508" s="332"/>
      <c r="NPG508" s="332"/>
      <c r="NPH508" s="332"/>
      <c r="NPI508" s="332"/>
      <c r="NPJ508" s="332"/>
      <c r="NPK508" s="332"/>
      <c r="NPL508" s="332"/>
      <c r="NPM508" s="332"/>
      <c r="NPN508" s="332"/>
      <c r="NPO508" s="332"/>
      <c r="NPP508" s="332"/>
      <c r="NPQ508" s="332"/>
      <c r="NPR508" s="332"/>
      <c r="NPS508" s="332"/>
      <c r="NPT508" s="332"/>
      <c r="NPU508" s="332"/>
      <c r="NPV508" s="332"/>
      <c r="NPW508" s="332"/>
      <c r="NPX508" s="332"/>
      <c r="NPY508" s="332"/>
      <c r="NPZ508" s="332"/>
      <c r="NQA508" s="332"/>
      <c r="NQB508" s="332"/>
      <c r="NQC508" s="332"/>
      <c r="NQD508" s="332"/>
      <c r="NQE508" s="332"/>
      <c r="NQF508" s="332"/>
      <c r="NQG508" s="332"/>
      <c r="NQH508" s="332"/>
      <c r="NQI508" s="332"/>
      <c r="NQJ508" s="332"/>
      <c r="NQK508" s="332"/>
      <c r="NQL508" s="332"/>
      <c r="NQM508" s="332"/>
      <c r="NQN508" s="332"/>
      <c r="NQO508" s="332"/>
      <c r="NQP508" s="332"/>
      <c r="NQQ508" s="332"/>
      <c r="NQR508" s="332"/>
      <c r="NQS508" s="332"/>
      <c r="NQT508" s="332"/>
      <c r="NQU508" s="332"/>
      <c r="NQV508" s="332"/>
      <c r="NQW508" s="332"/>
      <c r="NQX508" s="332"/>
      <c r="NQY508" s="332"/>
      <c r="NQZ508" s="332"/>
      <c r="NRA508" s="332"/>
      <c r="NRB508" s="332"/>
      <c r="NRC508" s="332"/>
      <c r="NRD508" s="332"/>
      <c r="NRE508" s="332"/>
      <c r="NRF508" s="332"/>
      <c r="NRG508" s="332"/>
      <c r="NRH508" s="332"/>
      <c r="NRI508" s="332"/>
      <c r="NRJ508" s="332"/>
      <c r="NRK508" s="332"/>
      <c r="NRL508" s="332"/>
      <c r="NRM508" s="332"/>
      <c r="NRN508" s="332"/>
      <c r="NRO508" s="332"/>
      <c r="NRP508" s="332"/>
      <c r="NRQ508" s="332"/>
      <c r="NRR508" s="332"/>
      <c r="NRS508" s="332"/>
      <c r="NRT508" s="332"/>
      <c r="NRU508" s="332"/>
      <c r="NRV508" s="332"/>
      <c r="NRW508" s="332"/>
      <c r="NRX508" s="332"/>
      <c r="NRY508" s="332"/>
      <c r="NRZ508" s="332"/>
      <c r="NSA508" s="332"/>
      <c r="NSB508" s="332"/>
      <c r="NSC508" s="332"/>
      <c r="NSD508" s="332"/>
      <c r="NSE508" s="332"/>
      <c r="NSF508" s="332"/>
      <c r="NSG508" s="332"/>
      <c r="NSH508" s="332"/>
      <c r="NSI508" s="332"/>
      <c r="NSJ508" s="332"/>
      <c r="NSK508" s="332"/>
      <c r="NSL508" s="332"/>
      <c r="NSM508" s="332"/>
      <c r="NSN508" s="332"/>
      <c r="NSO508" s="332"/>
      <c r="NSP508" s="332"/>
      <c r="NSQ508" s="332"/>
      <c r="NSR508" s="332"/>
      <c r="NSS508" s="332"/>
      <c r="NST508" s="332"/>
      <c r="NSU508" s="332"/>
      <c r="NSV508" s="332"/>
      <c r="NSW508" s="332"/>
      <c r="NSX508" s="332"/>
      <c r="NSY508" s="332"/>
      <c r="NSZ508" s="332"/>
      <c r="NTA508" s="332"/>
      <c r="NTB508" s="332"/>
      <c r="NTC508" s="332"/>
      <c r="NTD508" s="332"/>
      <c r="NTE508" s="332"/>
      <c r="NTF508" s="332"/>
      <c r="NTG508" s="332"/>
      <c r="NTH508" s="332"/>
      <c r="NTI508" s="332"/>
      <c r="NTJ508" s="332"/>
      <c r="NTK508" s="332"/>
      <c r="NTL508" s="332"/>
      <c r="NTM508" s="332"/>
      <c r="NTN508" s="332"/>
      <c r="NTO508" s="332"/>
      <c r="NTP508" s="332"/>
      <c r="NTQ508" s="332"/>
      <c r="NTR508" s="332"/>
      <c r="NTS508" s="332"/>
      <c r="NTT508" s="332"/>
      <c r="NTU508" s="332"/>
      <c r="NTV508" s="332"/>
      <c r="NTW508" s="332"/>
      <c r="NTX508" s="332"/>
      <c r="NTY508" s="332"/>
      <c r="NTZ508" s="332"/>
      <c r="NUA508" s="332"/>
      <c r="NUB508" s="332"/>
      <c r="NUC508" s="332"/>
      <c r="NUD508" s="332"/>
      <c r="NUE508" s="332"/>
      <c r="NUF508" s="332"/>
      <c r="NUG508" s="332"/>
      <c r="NUH508" s="332"/>
      <c r="NUI508" s="332"/>
      <c r="NUJ508" s="332"/>
      <c r="NUK508" s="332"/>
      <c r="NUL508" s="332"/>
      <c r="NUM508" s="332"/>
      <c r="NUN508" s="332"/>
      <c r="NUO508" s="332"/>
      <c r="NUP508" s="332"/>
      <c r="NUQ508" s="332"/>
      <c r="NUR508" s="332"/>
      <c r="NUS508" s="332"/>
      <c r="NUT508" s="332"/>
      <c r="NUU508" s="332"/>
      <c r="NUV508" s="332"/>
      <c r="NUW508" s="332"/>
      <c r="NUX508" s="332"/>
      <c r="NUY508" s="332"/>
      <c r="NUZ508" s="332"/>
      <c r="NVA508" s="332"/>
      <c r="NVB508" s="332"/>
      <c r="NVC508" s="332"/>
      <c r="NVD508" s="332"/>
      <c r="NVE508" s="332"/>
      <c r="NVF508" s="332"/>
      <c r="NVG508" s="332"/>
      <c r="NVH508" s="332"/>
      <c r="NVI508" s="332"/>
      <c r="NVJ508" s="332"/>
      <c r="NVK508" s="332"/>
      <c r="NVL508" s="332"/>
      <c r="NVM508" s="332"/>
      <c r="NVN508" s="332"/>
      <c r="NVO508" s="332"/>
      <c r="NVP508" s="332"/>
      <c r="NVQ508" s="332"/>
      <c r="NVR508" s="332"/>
      <c r="NVS508" s="332"/>
      <c r="NVT508" s="332"/>
      <c r="NVU508" s="332"/>
      <c r="NVV508" s="332"/>
      <c r="NVW508" s="332"/>
      <c r="NVX508" s="332"/>
      <c r="NVY508" s="332"/>
      <c r="NVZ508" s="332"/>
      <c r="NWA508" s="332"/>
      <c r="NWB508" s="332"/>
      <c r="NWC508" s="332"/>
      <c r="NWD508" s="332"/>
      <c r="NWE508" s="332"/>
      <c r="NWF508" s="332"/>
      <c r="NWG508" s="332"/>
      <c r="NWH508" s="332"/>
      <c r="NWI508" s="332"/>
      <c r="NWJ508" s="332"/>
      <c r="NWK508" s="332"/>
      <c r="NWL508" s="332"/>
      <c r="NWM508" s="332"/>
      <c r="NWN508" s="332"/>
      <c r="NWO508" s="332"/>
      <c r="NWP508" s="332"/>
      <c r="NWQ508" s="332"/>
      <c r="NWR508" s="332"/>
      <c r="NWS508" s="332"/>
      <c r="NWT508" s="332"/>
      <c r="NWU508" s="332"/>
      <c r="NWV508" s="332"/>
      <c r="NWW508" s="332"/>
      <c r="NWX508" s="332"/>
      <c r="NWY508" s="332"/>
      <c r="NWZ508" s="332"/>
      <c r="NXA508" s="332"/>
      <c r="NXB508" s="332"/>
      <c r="NXC508" s="332"/>
      <c r="NXD508" s="332"/>
      <c r="NXE508" s="332"/>
      <c r="NXF508" s="332"/>
      <c r="NXG508" s="332"/>
      <c r="NXH508" s="332"/>
      <c r="NXI508" s="332"/>
      <c r="NXJ508" s="332"/>
      <c r="NXK508" s="332"/>
      <c r="NXL508" s="332"/>
      <c r="NXM508" s="332"/>
      <c r="NXN508" s="332"/>
      <c r="NXO508" s="332"/>
      <c r="NXP508" s="332"/>
      <c r="NXQ508" s="332"/>
      <c r="NXR508" s="332"/>
      <c r="NXS508" s="332"/>
      <c r="NXT508" s="332"/>
      <c r="NXU508" s="332"/>
      <c r="NXV508" s="332"/>
      <c r="NXW508" s="332"/>
      <c r="NXX508" s="332"/>
      <c r="NXY508" s="332"/>
      <c r="NXZ508" s="332"/>
      <c r="NYA508" s="332"/>
      <c r="NYB508" s="332"/>
      <c r="NYC508" s="332"/>
      <c r="NYD508" s="332"/>
      <c r="NYE508" s="332"/>
      <c r="NYF508" s="332"/>
      <c r="NYG508" s="332"/>
      <c r="NYH508" s="332"/>
      <c r="NYI508" s="332"/>
      <c r="NYJ508" s="332"/>
      <c r="NYK508" s="332"/>
      <c r="NYL508" s="332"/>
      <c r="NYM508" s="332"/>
      <c r="NYN508" s="332"/>
      <c r="NYO508" s="332"/>
      <c r="NYP508" s="332"/>
      <c r="NYQ508" s="332"/>
      <c r="NYR508" s="332"/>
      <c r="NYS508" s="332"/>
      <c r="NYT508" s="332"/>
      <c r="NYU508" s="332"/>
      <c r="NYV508" s="332"/>
      <c r="NYW508" s="332"/>
      <c r="NYX508" s="332"/>
      <c r="NYY508" s="332"/>
      <c r="NYZ508" s="332"/>
      <c r="NZA508" s="332"/>
      <c r="NZB508" s="332"/>
      <c r="NZC508" s="332"/>
      <c r="NZD508" s="332"/>
      <c r="NZE508" s="332"/>
      <c r="NZF508" s="332"/>
      <c r="NZG508" s="332"/>
      <c r="NZH508" s="332"/>
      <c r="NZI508" s="332"/>
      <c r="NZJ508" s="332"/>
      <c r="NZK508" s="332"/>
      <c r="NZL508" s="332"/>
      <c r="NZM508" s="332"/>
      <c r="NZN508" s="332"/>
      <c r="NZO508" s="332"/>
      <c r="NZP508" s="332"/>
      <c r="NZQ508" s="332"/>
      <c r="NZR508" s="332"/>
      <c r="NZS508" s="332"/>
      <c r="NZT508" s="332"/>
      <c r="NZU508" s="332"/>
      <c r="NZV508" s="332"/>
      <c r="NZW508" s="332"/>
      <c r="NZX508" s="332"/>
      <c r="NZY508" s="332"/>
      <c r="NZZ508" s="332"/>
      <c r="OAA508" s="332"/>
      <c r="OAB508" s="332"/>
      <c r="OAC508" s="332"/>
      <c r="OAD508" s="332"/>
      <c r="OAE508" s="332"/>
      <c r="OAF508" s="332"/>
      <c r="OAG508" s="332"/>
      <c r="OAH508" s="332"/>
      <c r="OAI508" s="332"/>
      <c r="OAJ508" s="332"/>
      <c r="OAK508" s="332"/>
      <c r="OAL508" s="332"/>
      <c r="OAM508" s="332"/>
      <c r="OAN508" s="332"/>
      <c r="OAO508" s="332"/>
      <c r="OAP508" s="332"/>
      <c r="OAQ508" s="332"/>
      <c r="OAR508" s="332"/>
      <c r="OAS508" s="332"/>
      <c r="OAT508" s="332"/>
      <c r="OAU508" s="332"/>
      <c r="OAV508" s="332"/>
      <c r="OAW508" s="332"/>
      <c r="OAX508" s="332"/>
      <c r="OAY508" s="332"/>
      <c r="OAZ508" s="332"/>
      <c r="OBA508" s="332"/>
      <c r="OBB508" s="332"/>
      <c r="OBC508" s="332"/>
      <c r="OBD508" s="332"/>
      <c r="OBE508" s="332"/>
      <c r="OBF508" s="332"/>
      <c r="OBG508" s="332"/>
      <c r="OBH508" s="332"/>
      <c r="OBI508" s="332"/>
      <c r="OBJ508" s="332"/>
      <c r="OBK508" s="332"/>
      <c r="OBL508" s="332"/>
      <c r="OBM508" s="332"/>
      <c r="OBN508" s="332"/>
      <c r="OBO508" s="332"/>
      <c r="OBP508" s="332"/>
      <c r="OBQ508" s="332"/>
      <c r="OBR508" s="332"/>
      <c r="OBS508" s="332"/>
      <c r="OBT508" s="332"/>
      <c r="OBU508" s="332"/>
      <c r="OBV508" s="332"/>
      <c r="OBW508" s="332"/>
      <c r="OBX508" s="332"/>
      <c r="OBY508" s="332"/>
      <c r="OBZ508" s="332"/>
      <c r="OCA508" s="332"/>
      <c r="OCB508" s="332"/>
      <c r="OCC508" s="332"/>
      <c r="OCD508" s="332"/>
      <c r="OCE508" s="332"/>
      <c r="OCF508" s="332"/>
      <c r="OCG508" s="332"/>
      <c r="OCH508" s="332"/>
      <c r="OCI508" s="332"/>
      <c r="OCJ508" s="332"/>
      <c r="OCK508" s="332"/>
      <c r="OCL508" s="332"/>
      <c r="OCM508" s="332"/>
      <c r="OCN508" s="332"/>
      <c r="OCO508" s="332"/>
      <c r="OCP508" s="332"/>
      <c r="OCQ508" s="332"/>
      <c r="OCR508" s="332"/>
      <c r="OCS508" s="332"/>
      <c r="OCT508" s="332"/>
      <c r="OCU508" s="332"/>
      <c r="OCV508" s="332"/>
      <c r="OCW508" s="332"/>
      <c r="OCX508" s="332"/>
      <c r="OCY508" s="332"/>
      <c r="OCZ508" s="332"/>
      <c r="ODA508" s="332"/>
      <c r="ODB508" s="332"/>
      <c r="ODC508" s="332"/>
      <c r="ODD508" s="332"/>
      <c r="ODE508" s="332"/>
      <c r="ODF508" s="332"/>
      <c r="ODG508" s="332"/>
      <c r="ODH508" s="332"/>
      <c r="ODI508" s="332"/>
      <c r="ODJ508" s="332"/>
      <c r="ODK508" s="332"/>
      <c r="ODL508" s="332"/>
      <c r="ODM508" s="332"/>
      <c r="ODN508" s="332"/>
      <c r="ODO508" s="332"/>
      <c r="ODP508" s="332"/>
      <c r="ODQ508" s="332"/>
      <c r="ODR508" s="332"/>
      <c r="ODS508" s="332"/>
      <c r="ODT508" s="332"/>
      <c r="ODU508" s="332"/>
      <c r="ODV508" s="332"/>
      <c r="ODW508" s="332"/>
      <c r="ODX508" s="332"/>
      <c r="ODY508" s="332"/>
      <c r="ODZ508" s="332"/>
      <c r="OEA508" s="332"/>
      <c r="OEB508" s="332"/>
      <c r="OEC508" s="332"/>
      <c r="OED508" s="332"/>
      <c r="OEE508" s="332"/>
      <c r="OEF508" s="332"/>
      <c r="OEG508" s="332"/>
      <c r="OEH508" s="332"/>
      <c r="OEI508" s="332"/>
      <c r="OEJ508" s="332"/>
      <c r="OEK508" s="332"/>
      <c r="OEL508" s="332"/>
      <c r="OEM508" s="332"/>
      <c r="OEN508" s="332"/>
      <c r="OEO508" s="332"/>
      <c r="OEP508" s="332"/>
      <c r="OEQ508" s="332"/>
      <c r="OER508" s="332"/>
      <c r="OES508" s="332"/>
      <c r="OET508" s="332"/>
      <c r="OEU508" s="332"/>
      <c r="OEV508" s="332"/>
      <c r="OEW508" s="332"/>
      <c r="OEX508" s="332"/>
      <c r="OEY508" s="332"/>
      <c r="OEZ508" s="332"/>
      <c r="OFA508" s="332"/>
      <c r="OFB508" s="332"/>
      <c r="OFC508" s="332"/>
      <c r="OFD508" s="332"/>
      <c r="OFE508" s="332"/>
      <c r="OFF508" s="332"/>
      <c r="OFG508" s="332"/>
      <c r="OFH508" s="332"/>
      <c r="OFI508" s="332"/>
      <c r="OFJ508" s="332"/>
      <c r="OFK508" s="332"/>
      <c r="OFL508" s="332"/>
      <c r="OFM508" s="332"/>
      <c r="OFN508" s="332"/>
      <c r="OFO508" s="332"/>
      <c r="OFP508" s="332"/>
      <c r="OFQ508" s="332"/>
      <c r="OFR508" s="332"/>
      <c r="OFS508" s="332"/>
      <c r="OFT508" s="332"/>
      <c r="OFU508" s="332"/>
      <c r="OFV508" s="332"/>
      <c r="OFW508" s="332"/>
      <c r="OFX508" s="332"/>
      <c r="OFY508" s="332"/>
      <c r="OFZ508" s="332"/>
      <c r="OGA508" s="332"/>
      <c r="OGB508" s="332"/>
      <c r="OGC508" s="332"/>
      <c r="OGD508" s="332"/>
      <c r="OGE508" s="332"/>
      <c r="OGF508" s="332"/>
      <c r="OGG508" s="332"/>
      <c r="OGH508" s="332"/>
      <c r="OGI508" s="332"/>
      <c r="OGJ508" s="332"/>
      <c r="OGK508" s="332"/>
      <c r="OGL508" s="332"/>
      <c r="OGM508" s="332"/>
      <c r="OGN508" s="332"/>
      <c r="OGO508" s="332"/>
      <c r="OGP508" s="332"/>
      <c r="OGQ508" s="332"/>
      <c r="OGR508" s="332"/>
      <c r="OGS508" s="332"/>
      <c r="OGT508" s="332"/>
      <c r="OGU508" s="332"/>
      <c r="OGV508" s="332"/>
      <c r="OGW508" s="332"/>
      <c r="OGX508" s="332"/>
      <c r="OGY508" s="332"/>
      <c r="OGZ508" s="332"/>
      <c r="OHA508" s="332"/>
      <c r="OHB508" s="332"/>
      <c r="OHC508" s="332"/>
      <c r="OHD508" s="332"/>
      <c r="OHE508" s="332"/>
      <c r="OHF508" s="332"/>
      <c r="OHG508" s="332"/>
      <c r="OHH508" s="332"/>
      <c r="OHI508" s="332"/>
      <c r="OHJ508" s="332"/>
      <c r="OHK508" s="332"/>
      <c r="OHL508" s="332"/>
      <c r="OHM508" s="332"/>
      <c r="OHN508" s="332"/>
      <c r="OHO508" s="332"/>
      <c r="OHP508" s="332"/>
      <c r="OHQ508" s="332"/>
      <c r="OHR508" s="332"/>
      <c r="OHS508" s="332"/>
      <c r="OHT508" s="332"/>
      <c r="OHU508" s="332"/>
      <c r="OHV508" s="332"/>
      <c r="OHW508" s="332"/>
      <c r="OHX508" s="332"/>
      <c r="OHY508" s="332"/>
      <c r="OHZ508" s="332"/>
      <c r="OIA508" s="332"/>
      <c r="OIB508" s="332"/>
      <c r="OIC508" s="332"/>
      <c r="OID508" s="332"/>
      <c r="OIE508" s="332"/>
      <c r="OIF508" s="332"/>
      <c r="OIG508" s="332"/>
      <c r="OIH508" s="332"/>
      <c r="OII508" s="332"/>
      <c r="OIJ508" s="332"/>
      <c r="OIK508" s="332"/>
      <c r="OIL508" s="332"/>
      <c r="OIM508" s="332"/>
      <c r="OIN508" s="332"/>
      <c r="OIO508" s="332"/>
      <c r="OIP508" s="332"/>
      <c r="OIQ508" s="332"/>
      <c r="OIR508" s="332"/>
      <c r="OIS508" s="332"/>
      <c r="OIT508" s="332"/>
      <c r="OIU508" s="332"/>
      <c r="OIV508" s="332"/>
      <c r="OIW508" s="332"/>
      <c r="OIX508" s="332"/>
      <c r="OIY508" s="332"/>
      <c r="OIZ508" s="332"/>
      <c r="OJA508" s="332"/>
      <c r="OJB508" s="332"/>
      <c r="OJC508" s="332"/>
      <c r="OJD508" s="332"/>
      <c r="OJE508" s="332"/>
      <c r="OJF508" s="332"/>
      <c r="OJG508" s="332"/>
      <c r="OJH508" s="332"/>
      <c r="OJI508" s="332"/>
      <c r="OJJ508" s="332"/>
      <c r="OJK508" s="332"/>
      <c r="OJL508" s="332"/>
      <c r="OJM508" s="332"/>
      <c r="OJN508" s="332"/>
      <c r="OJO508" s="332"/>
      <c r="OJP508" s="332"/>
      <c r="OJQ508" s="332"/>
      <c r="OJR508" s="332"/>
      <c r="OJS508" s="332"/>
      <c r="OJT508" s="332"/>
      <c r="OJU508" s="332"/>
      <c r="OJV508" s="332"/>
      <c r="OJW508" s="332"/>
      <c r="OJX508" s="332"/>
      <c r="OJY508" s="332"/>
      <c r="OJZ508" s="332"/>
      <c r="OKA508" s="332"/>
      <c r="OKB508" s="332"/>
      <c r="OKC508" s="332"/>
      <c r="OKD508" s="332"/>
      <c r="OKE508" s="332"/>
      <c r="OKF508" s="332"/>
      <c r="OKG508" s="332"/>
      <c r="OKH508" s="332"/>
      <c r="OKI508" s="332"/>
      <c r="OKJ508" s="332"/>
      <c r="OKK508" s="332"/>
      <c r="OKL508" s="332"/>
      <c r="OKM508" s="332"/>
      <c r="OKN508" s="332"/>
      <c r="OKO508" s="332"/>
      <c r="OKP508" s="332"/>
      <c r="OKQ508" s="332"/>
      <c r="OKR508" s="332"/>
      <c r="OKS508" s="332"/>
      <c r="OKT508" s="332"/>
      <c r="OKU508" s="332"/>
      <c r="OKV508" s="332"/>
      <c r="OKW508" s="332"/>
      <c r="OKX508" s="332"/>
      <c r="OKY508" s="332"/>
      <c r="OKZ508" s="332"/>
      <c r="OLA508" s="332"/>
      <c r="OLB508" s="332"/>
      <c r="OLC508" s="332"/>
      <c r="OLD508" s="332"/>
      <c r="OLE508" s="332"/>
      <c r="OLF508" s="332"/>
      <c r="OLG508" s="332"/>
      <c r="OLH508" s="332"/>
      <c r="OLI508" s="332"/>
      <c r="OLJ508" s="332"/>
      <c r="OLK508" s="332"/>
      <c r="OLL508" s="332"/>
      <c r="OLM508" s="332"/>
      <c r="OLN508" s="332"/>
      <c r="OLO508" s="332"/>
      <c r="OLP508" s="332"/>
      <c r="OLQ508" s="332"/>
      <c r="OLR508" s="332"/>
      <c r="OLS508" s="332"/>
      <c r="OLT508" s="332"/>
      <c r="OLU508" s="332"/>
      <c r="OLV508" s="332"/>
      <c r="OLW508" s="332"/>
      <c r="OLX508" s="332"/>
      <c r="OLY508" s="332"/>
      <c r="OLZ508" s="332"/>
      <c r="OMA508" s="332"/>
      <c r="OMB508" s="332"/>
      <c r="OMC508" s="332"/>
      <c r="OMD508" s="332"/>
      <c r="OME508" s="332"/>
      <c r="OMF508" s="332"/>
      <c r="OMG508" s="332"/>
      <c r="OMH508" s="332"/>
      <c r="OMI508" s="332"/>
      <c r="OMJ508" s="332"/>
      <c r="OMK508" s="332"/>
      <c r="OML508" s="332"/>
      <c r="OMM508" s="332"/>
      <c r="OMN508" s="332"/>
      <c r="OMO508" s="332"/>
      <c r="OMP508" s="332"/>
      <c r="OMQ508" s="332"/>
      <c r="OMR508" s="332"/>
      <c r="OMS508" s="332"/>
      <c r="OMT508" s="332"/>
      <c r="OMU508" s="332"/>
      <c r="OMV508" s="332"/>
      <c r="OMW508" s="332"/>
      <c r="OMX508" s="332"/>
      <c r="OMY508" s="332"/>
      <c r="OMZ508" s="332"/>
      <c r="ONA508" s="332"/>
      <c r="ONB508" s="332"/>
      <c r="ONC508" s="332"/>
      <c r="OND508" s="332"/>
      <c r="ONE508" s="332"/>
      <c r="ONF508" s="332"/>
      <c r="ONG508" s="332"/>
      <c r="ONH508" s="332"/>
      <c r="ONI508" s="332"/>
      <c r="ONJ508" s="332"/>
      <c r="ONK508" s="332"/>
      <c r="ONL508" s="332"/>
      <c r="ONM508" s="332"/>
      <c r="ONN508" s="332"/>
      <c r="ONO508" s="332"/>
      <c r="ONP508" s="332"/>
      <c r="ONQ508" s="332"/>
      <c r="ONR508" s="332"/>
      <c r="ONS508" s="332"/>
      <c r="ONT508" s="332"/>
      <c r="ONU508" s="332"/>
      <c r="ONV508" s="332"/>
      <c r="ONW508" s="332"/>
      <c r="ONX508" s="332"/>
      <c r="ONY508" s="332"/>
      <c r="ONZ508" s="332"/>
      <c r="OOA508" s="332"/>
      <c r="OOB508" s="332"/>
      <c r="OOC508" s="332"/>
      <c r="OOD508" s="332"/>
      <c r="OOE508" s="332"/>
      <c r="OOF508" s="332"/>
      <c r="OOG508" s="332"/>
      <c r="OOH508" s="332"/>
      <c r="OOI508" s="332"/>
      <c r="OOJ508" s="332"/>
      <c r="OOK508" s="332"/>
      <c r="OOL508" s="332"/>
      <c r="OOM508" s="332"/>
      <c r="OON508" s="332"/>
      <c r="OOO508" s="332"/>
      <c r="OOP508" s="332"/>
      <c r="OOQ508" s="332"/>
      <c r="OOR508" s="332"/>
      <c r="OOS508" s="332"/>
      <c r="OOT508" s="332"/>
      <c r="OOU508" s="332"/>
      <c r="OOV508" s="332"/>
      <c r="OOW508" s="332"/>
      <c r="OOX508" s="332"/>
      <c r="OOY508" s="332"/>
      <c r="OOZ508" s="332"/>
      <c r="OPA508" s="332"/>
      <c r="OPB508" s="332"/>
      <c r="OPC508" s="332"/>
      <c r="OPD508" s="332"/>
      <c r="OPE508" s="332"/>
      <c r="OPF508" s="332"/>
      <c r="OPG508" s="332"/>
      <c r="OPH508" s="332"/>
      <c r="OPI508" s="332"/>
      <c r="OPJ508" s="332"/>
      <c r="OPK508" s="332"/>
      <c r="OPL508" s="332"/>
      <c r="OPM508" s="332"/>
      <c r="OPN508" s="332"/>
      <c r="OPO508" s="332"/>
      <c r="OPP508" s="332"/>
      <c r="OPQ508" s="332"/>
      <c r="OPR508" s="332"/>
      <c r="OPS508" s="332"/>
      <c r="OPT508" s="332"/>
      <c r="OPU508" s="332"/>
      <c r="OPV508" s="332"/>
      <c r="OPW508" s="332"/>
      <c r="OPX508" s="332"/>
      <c r="OPY508" s="332"/>
      <c r="OPZ508" s="332"/>
      <c r="OQA508" s="332"/>
      <c r="OQB508" s="332"/>
      <c r="OQC508" s="332"/>
      <c r="OQD508" s="332"/>
      <c r="OQE508" s="332"/>
      <c r="OQF508" s="332"/>
      <c r="OQG508" s="332"/>
      <c r="OQH508" s="332"/>
      <c r="OQI508" s="332"/>
      <c r="OQJ508" s="332"/>
      <c r="OQK508" s="332"/>
      <c r="OQL508" s="332"/>
      <c r="OQM508" s="332"/>
      <c r="OQN508" s="332"/>
      <c r="OQO508" s="332"/>
      <c r="OQP508" s="332"/>
      <c r="OQQ508" s="332"/>
      <c r="OQR508" s="332"/>
      <c r="OQS508" s="332"/>
      <c r="OQT508" s="332"/>
      <c r="OQU508" s="332"/>
      <c r="OQV508" s="332"/>
      <c r="OQW508" s="332"/>
      <c r="OQX508" s="332"/>
      <c r="OQY508" s="332"/>
      <c r="OQZ508" s="332"/>
      <c r="ORA508" s="332"/>
      <c r="ORB508" s="332"/>
      <c r="ORC508" s="332"/>
      <c r="ORD508" s="332"/>
      <c r="ORE508" s="332"/>
      <c r="ORF508" s="332"/>
      <c r="ORG508" s="332"/>
      <c r="ORH508" s="332"/>
      <c r="ORI508" s="332"/>
      <c r="ORJ508" s="332"/>
      <c r="ORK508" s="332"/>
      <c r="ORL508" s="332"/>
      <c r="ORM508" s="332"/>
      <c r="ORN508" s="332"/>
      <c r="ORO508" s="332"/>
      <c r="ORP508" s="332"/>
      <c r="ORQ508" s="332"/>
      <c r="ORR508" s="332"/>
      <c r="ORS508" s="332"/>
      <c r="ORT508" s="332"/>
      <c r="ORU508" s="332"/>
      <c r="ORV508" s="332"/>
      <c r="ORW508" s="332"/>
      <c r="ORX508" s="332"/>
      <c r="ORY508" s="332"/>
      <c r="ORZ508" s="332"/>
      <c r="OSA508" s="332"/>
      <c r="OSB508" s="332"/>
      <c r="OSC508" s="332"/>
      <c r="OSD508" s="332"/>
      <c r="OSE508" s="332"/>
      <c r="OSF508" s="332"/>
      <c r="OSG508" s="332"/>
      <c r="OSH508" s="332"/>
      <c r="OSI508" s="332"/>
      <c r="OSJ508" s="332"/>
      <c r="OSK508" s="332"/>
      <c r="OSL508" s="332"/>
      <c r="OSM508" s="332"/>
      <c r="OSN508" s="332"/>
      <c r="OSO508" s="332"/>
      <c r="OSP508" s="332"/>
      <c r="OSQ508" s="332"/>
      <c r="OSR508" s="332"/>
      <c r="OSS508" s="332"/>
      <c r="OST508" s="332"/>
      <c r="OSU508" s="332"/>
      <c r="OSV508" s="332"/>
      <c r="OSW508" s="332"/>
      <c r="OSX508" s="332"/>
      <c r="OSY508" s="332"/>
      <c r="OSZ508" s="332"/>
      <c r="OTA508" s="332"/>
      <c r="OTB508" s="332"/>
      <c r="OTC508" s="332"/>
      <c r="OTD508" s="332"/>
      <c r="OTE508" s="332"/>
      <c r="OTF508" s="332"/>
      <c r="OTG508" s="332"/>
      <c r="OTH508" s="332"/>
      <c r="OTI508" s="332"/>
      <c r="OTJ508" s="332"/>
      <c r="OTK508" s="332"/>
      <c r="OTL508" s="332"/>
      <c r="OTM508" s="332"/>
      <c r="OTN508" s="332"/>
      <c r="OTO508" s="332"/>
      <c r="OTP508" s="332"/>
      <c r="OTQ508" s="332"/>
      <c r="OTR508" s="332"/>
      <c r="OTS508" s="332"/>
      <c r="OTT508" s="332"/>
      <c r="OTU508" s="332"/>
      <c r="OTV508" s="332"/>
      <c r="OTW508" s="332"/>
      <c r="OTX508" s="332"/>
      <c r="OTY508" s="332"/>
      <c r="OTZ508" s="332"/>
      <c r="OUA508" s="332"/>
      <c r="OUB508" s="332"/>
      <c r="OUC508" s="332"/>
      <c r="OUD508" s="332"/>
      <c r="OUE508" s="332"/>
      <c r="OUF508" s="332"/>
      <c r="OUG508" s="332"/>
      <c r="OUH508" s="332"/>
      <c r="OUI508" s="332"/>
      <c r="OUJ508" s="332"/>
      <c r="OUK508" s="332"/>
      <c r="OUL508" s="332"/>
      <c r="OUM508" s="332"/>
      <c r="OUN508" s="332"/>
      <c r="OUO508" s="332"/>
      <c r="OUP508" s="332"/>
      <c r="OUQ508" s="332"/>
      <c r="OUR508" s="332"/>
      <c r="OUS508" s="332"/>
      <c r="OUT508" s="332"/>
      <c r="OUU508" s="332"/>
      <c r="OUV508" s="332"/>
      <c r="OUW508" s="332"/>
      <c r="OUX508" s="332"/>
      <c r="OUY508" s="332"/>
      <c r="OUZ508" s="332"/>
      <c r="OVA508" s="332"/>
      <c r="OVB508" s="332"/>
      <c r="OVC508" s="332"/>
      <c r="OVD508" s="332"/>
      <c r="OVE508" s="332"/>
      <c r="OVF508" s="332"/>
      <c r="OVG508" s="332"/>
      <c r="OVH508" s="332"/>
      <c r="OVI508" s="332"/>
      <c r="OVJ508" s="332"/>
      <c r="OVK508" s="332"/>
      <c r="OVL508" s="332"/>
      <c r="OVM508" s="332"/>
      <c r="OVN508" s="332"/>
      <c r="OVO508" s="332"/>
      <c r="OVP508" s="332"/>
      <c r="OVQ508" s="332"/>
      <c r="OVR508" s="332"/>
      <c r="OVS508" s="332"/>
      <c r="OVT508" s="332"/>
      <c r="OVU508" s="332"/>
      <c r="OVV508" s="332"/>
      <c r="OVW508" s="332"/>
      <c r="OVX508" s="332"/>
      <c r="OVY508" s="332"/>
      <c r="OVZ508" s="332"/>
      <c r="OWA508" s="332"/>
      <c r="OWB508" s="332"/>
      <c r="OWC508" s="332"/>
      <c r="OWD508" s="332"/>
      <c r="OWE508" s="332"/>
      <c r="OWF508" s="332"/>
      <c r="OWG508" s="332"/>
      <c r="OWH508" s="332"/>
      <c r="OWI508" s="332"/>
      <c r="OWJ508" s="332"/>
      <c r="OWK508" s="332"/>
      <c r="OWL508" s="332"/>
      <c r="OWM508" s="332"/>
      <c r="OWN508" s="332"/>
      <c r="OWO508" s="332"/>
      <c r="OWP508" s="332"/>
      <c r="OWQ508" s="332"/>
      <c r="OWR508" s="332"/>
      <c r="OWS508" s="332"/>
      <c r="OWT508" s="332"/>
      <c r="OWU508" s="332"/>
      <c r="OWV508" s="332"/>
      <c r="OWW508" s="332"/>
      <c r="OWX508" s="332"/>
      <c r="OWY508" s="332"/>
      <c r="OWZ508" s="332"/>
      <c r="OXA508" s="332"/>
      <c r="OXB508" s="332"/>
      <c r="OXC508" s="332"/>
      <c r="OXD508" s="332"/>
      <c r="OXE508" s="332"/>
      <c r="OXF508" s="332"/>
      <c r="OXG508" s="332"/>
      <c r="OXH508" s="332"/>
      <c r="OXI508" s="332"/>
      <c r="OXJ508" s="332"/>
      <c r="OXK508" s="332"/>
      <c r="OXL508" s="332"/>
      <c r="OXM508" s="332"/>
      <c r="OXN508" s="332"/>
      <c r="OXO508" s="332"/>
      <c r="OXP508" s="332"/>
      <c r="OXQ508" s="332"/>
      <c r="OXR508" s="332"/>
      <c r="OXS508" s="332"/>
      <c r="OXT508" s="332"/>
      <c r="OXU508" s="332"/>
      <c r="OXV508" s="332"/>
      <c r="OXW508" s="332"/>
      <c r="OXX508" s="332"/>
      <c r="OXY508" s="332"/>
      <c r="OXZ508" s="332"/>
      <c r="OYA508" s="332"/>
      <c r="OYB508" s="332"/>
      <c r="OYC508" s="332"/>
      <c r="OYD508" s="332"/>
      <c r="OYE508" s="332"/>
      <c r="OYF508" s="332"/>
      <c r="OYG508" s="332"/>
      <c r="OYH508" s="332"/>
      <c r="OYI508" s="332"/>
      <c r="OYJ508" s="332"/>
      <c r="OYK508" s="332"/>
      <c r="OYL508" s="332"/>
      <c r="OYM508" s="332"/>
      <c r="OYN508" s="332"/>
      <c r="OYO508" s="332"/>
      <c r="OYP508" s="332"/>
      <c r="OYQ508" s="332"/>
      <c r="OYR508" s="332"/>
      <c r="OYS508" s="332"/>
      <c r="OYT508" s="332"/>
      <c r="OYU508" s="332"/>
      <c r="OYV508" s="332"/>
      <c r="OYW508" s="332"/>
      <c r="OYX508" s="332"/>
      <c r="OYY508" s="332"/>
      <c r="OYZ508" s="332"/>
      <c r="OZA508" s="332"/>
      <c r="OZB508" s="332"/>
      <c r="OZC508" s="332"/>
      <c r="OZD508" s="332"/>
      <c r="OZE508" s="332"/>
      <c r="OZF508" s="332"/>
      <c r="OZG508" s="332"/>
      <c r="OZH508" s="332"/>
      <c r="OZI508" s="332"/>
      <c r="OZJ508" s="332"/>
      <c r="OZK508" s="332"/>
      <c r="OZL508" s="332"/>
      <c r="OZM508" s="332"/>
      <c r="OZN508" s="332"/>
      <c r="OZO508" s="332"/>
      <c r="OZP508" s="332"/>
      <c r="OZQ508" s="332"/>
      <c r="OZR508" s="332"/>
      <c r="OZS508" s="332"/>
      <c r="OZT508" s="332"/>
      <c r="OZU508" s="332"/>
      <c r="OZV508" s="332"/>
      <c r="OZW508" s="332"/>
      <c r="OZX508" s="332"/>
      <c r="OZY508" s="332"/>
      <c r="OZZ508" s="332"/>
      <c r="PAA508" s="332"/>
      <c r="PAB508" s="332"/>
      <c r="PAC508" s="332"/>
      <c r="PAD508" s="332"/>
      <c r="PAE508" s="332"/>
      <c r="PAF508" s="332"/>
      <c r="PAG508" s="332"/>
      <c r="PAH508" s="332"/>
      <c r="PAI508" s="332"/>
      <c r="PAJ508" s="332"/>
      <c r="PAK508" s="332"/>
      <c r="PAL508" s="332"/>
      <c r="PAM508" s="332"/>
      <c r="PAN508" s="332"/>
      <c r="PAO508" s="332"/>
      <c r="PAP508" s="332"/>
      <c r="PAQ508" s="332"/>
      <c r="PAR508" s="332"/>
      <c r="PAS508" s="332"/>
      <c r="PAT508" s="332"/>
      <c r="PAU508" s="332"/>
      <c r="PAV508" s="332"/>
      <c r="PAW508" s="332"/>
      <c r="PAX508" s="332"/>
      <c r="PAY508" s="332"/>
      <c r="PAZ508" s="332"/>
      <c r="PBA508" s="332"/>
      <c r="PBB508" s="332"/>
      <c r="PBC508" s="332"/>
      <c r="PBD508" s="332"/>
      <c r="PBE508" s="332"/>
      <c r="PBF508" s="332"/>
      <c r="PBG508" s="332"/>
      <c r="PBH508" s="332"/>
      <c r="PBI508" s="332"/>
      <c r="PBJ508" s="332"/>
      <c r="PBK508" s="332"/>
      <c r="PBL508" s="332"/>
      <c r="PBM508" s="332"/>
      <c r="PBN508" s="332"/>
      <c r="PBO508" s="332"/>
      <c r="PBP508" s="332"/>
      <c r="PBQ508" s="332"/>
      <c r="PBR508" s="332"/>
      <c r="PBS508" s="332"/>
      <c r="PBT508" s="332"/>
      <c r="PBU508" s="332"/>
      <c r="PBV508" s="332"/>
      <c r="PBW508" s="332"/>
      <c r="PBX508" s="332"/>
      <c r="PBY508" s="332"/>
      <c r="PBZ508" s="332"/>
      <c r="PCA508" s="332"/>
      <c r="PCB508" s="332"/>
      <c r="PCC508" s="332"/>
      <c r="PCD508" s="332"/>
      <c r="PCE508" s="332"/>
      <c r="PCF508" s="332"/>
      <c r="PCG508" s="332"/>
      <c r="PCH508" s="332"/>
      <c r="PCI508" s="332"/>
      <c r="PCJ508" s="332"/>
      <c r="PCK508" s="332"/>
      <c r="PCL508" s="332"/>
      <c r="PCM508" s="332"/>
      <c r="PCN508" s="332"/>
      <c r="PCO508" s="332"/>
      <c r="PCP508" s="332"/>
      <c r="PCQ508" s="332"/>
      <c r="PCR508" s="332"/>
      <c r="PCS508" s="332"/>
      <c r="PCT508" s="332"/>
      <c r="PCU508" s="332"/>
      <c r="PCV508" s="332"/>
      <c r="PCW508" s="332"/>
      <c r="PCX508" s="332"/>
      <c r="PCY508" s="332"/>
      <c r="PCZ508" s="332"/>
      <c r="PDA508" s="332"/>
      <c r="PDB508" s="332"/>
      <c r="PDC508" s="332"/>
      <c r="PDD508" s="332"/>
      <c r="PDE508" s="332"/>
      <c r="PDF508" s="332"/>
      <c r="PDG508" s="332"/>
      <c r="PDH508" s="332"/>
      <c r="PDI508" s="332"/>
      <c r="PDJ508" s="332"/>
      <c r="PDK508" s="332"/>
      <c r="PDL508" s="332"/>
      <c r="PDM508" s="332"/>
      <c r="PDN508" s="332"/>
      <c r="PDO508" s="332"/>
      <c r="PDP508" s="332"/>
      <c r="PDQ508" s="332"/>
      <c r="PDR508" s="332"/>
      <c r="PDS508" s="332"/>
      <c r="PDT508" s="332"/>
      <c r="PDU508" s="332"/>
      <c r="PDV508" s="332"/>
      <c r="PDW508" s="332"/>
      <c r="PDX508" s="332"/>
      <c r="PDY508" s="332"/>
      <c r="PDZ508" s="332"/>
      <c r="PEA508" s="332"/>
      <c r="PEB508" s="332"/>
      <c r="PEC508" s="332"/>
      <c r="PED508" s="332"/>
      <c r="PEE508" s="332"/>
      <c r="PEF508" s="332"/>
      <c r="PEG508" s="332"/>
      <c r="PEH508" s="332"/>
      <c r="PEI508" s="332"/>
      <c r="PEJ508" s="332"/>
      <c r="PEK508" s="332"/>
      <c r="PEL508" s="332"/>
      <c r="PEM508" s="332"/>
      <c r="PEN508" s="332"/>
      <c r="PEO508" s="332"/>
      <c r="PEP508" s="332"/>
      <c r="PEQ508" s="332"/>
      <c r="PER508" s="332"/>
      <c r="PES508" s="332"/>
      <c r="PET508" s="332"/>
      <c r="PEU508" s="332"/>
      <c r="PEV508" s="332"/>
      <c r="PEW508" s="332"/>
      <c r="PEX508" s="332"/>
      <c r="PEY508" s="332"/>
      <c r="PEZ508" s="332"/>
      <c r="PFA508" s="332"/>
      <c r="PFB508" s="332"/>
      <c r="PFC508" s="332"/>
      <c r="PFD508" s="332"/>
      <c r="PFE508" s="332"/>
      <c r="PFF508" s="332"/>
      <c r="PFG508" s="332"/>
      <c r="PFH508" s="332"/>
      <c r="PFI508" s="332"/>
      <c r="PFJ508" s="332"/>
      <c r="PFK508" s="332"/>
      <c r="PFL508" s="332"/>
      <c r="PFM508" s="332"/>
      <c r="PFN508" s="332"/>
      <c r="PFO508" s="332"/>
      <c r="PFP508" s="332"/>
      <c r="PFQ508" s="332"/>
      <c r="PFR508" s="332"/>
      <c r="PFS508" s="332"/>
      <c r="PFT508" s="332"/>
      <c r="PFU508" s="332"/>
      <c r="PFV508" s="332"/>
      <c r="PFW508" s="332"/>
      <c r="PFX508" s="332"/>
      <c r="PFY508" s="332"/>
      <c r="PFZ508" s="332"/>
      <c r="PGA508" s="332"/>
      <c r="PGB508" s="332"/>
      <c r="PGC508" s="332"/>
      <c r="PGD508" s="332"/>
      <c r="PGE508" s="332"/>
      <c r="PGF508" s="332"/>
      <c r="PGG508" s="332"/>
      <c r="PGH508" s="332"/>
      <c r="PGI508" s="332"/>
      <c r="PGJ508" s="332"/>
      <c r="PGK508" s="332"/>
      <c r="PGL508" s="332"/>
      <c r="PGM508" s="332"/>
      <c r="PGN508" s="332"/>
      <c r="PGO508" s="332"/>
      <c r="PGP508" s="332"/>
      <c r="PGQ508" s="332"/>
      <c r="PGR508" s="332"/>
      <c r="PGS508" s="332"/>
      <c r="PGT508" s="332"/>
      <c r="PGU508" s="332"/>
      <c r="PGV508" s="332"/>
      <c r="PGW508" s="332"/>
      <c r="PGX508" s="332"/>
      <c r="PGY508" s="332"/>
      <c r="PGZ508" s="332"/>
      <c r="PHA508" s="332"/>
      <c r="PHB508" s="332"/>
      <c r="PHC508" s="332"/>
      <c r="PHD508" s="332"/>
      <c r="PHE508" s="332"/>
      <c r="PHF508" s="332"/>
      <c r="PHG508" s="332"/>
      <c r="PHH508" s="332"/>
      <c r="PHI508" s="332"/>
      <c r="PHJ508" s="332"/>
      <c r="PHK508" s="332"/>
      <c r="PHL508" s="332"/>
      <c r="PHM508" s="332"/>
      <c r="PHN508" s="332"/>
      <c r="PHO508" s="332"/>
      <c r="PHP508" s="332"/>
      <c r="PHQ508" s="332"/>
      <c r="PHR508" s="332"/>
      <c r="PHS508" s="332"/>
      <c r="PHT508" s="332"/>
      <c r="PHU508" s="332"/>
      <c r="PHV508" s="332"/>
      <c r="PHW508" s="332"/>
      <c r="PHX508" s="332"/>
      <c r="PHY508" s="332"/>
      <c r="PHZ508" s="332"/>
      <c r="PIA508" s="332"/>
      <c r="PIB508" s="332"/>
      <c r="PIC508" s="332"/>
      <c r="PID508" s="332"/>
      <c r="PIE508" s="332"/>
      <c r="PIF508" s="332"/>
      <c r="PIG508" s="332"/>
      <c r="PIH508" s="332"/>
      <c r="PII508" s="332"/>
      <c r="PIJ508" s="332"/>
      <c r="PIK508" s="332"/>
      <c r="PIL508" s="332"/>
      <c r="PIM508" s="332"/>
      <c r="PIN508" s="332"/>
      <c r="PIO508" s="332"/>
      <c r="PIP508" s="332"/>
      <c r="PIQ508" s="332"/>
      <c r="PIR508" s="332"/>
      <c r="PIS508" s="332"/>
      <c r="PIT508" s="332"/>
      <c r="PIU508" s="332"/>
      <c r="PIV508" s="332"/>
      <c r="PIW508" s="332"/>
      <c r="PIX508" s="332"/>
      <c r="PIY508" s="332"/>
      <c r="PIZ508" s="332"/>
      <c r="PJA508" s="332"/>
      <c r="PJB508" s="332"/>
      <c r="PJC508" s="332"/>
      <c r="PJD508" s="332"/>
      <c r="PJE508" s="332"/>
      <c r="PJF508" s="332"/>
      <c r="PJG508" s="332"/>
      <c r="PJH508" s="332"/>
      <c r="PJI508" s="332"/>
      <c r="PJJ508" s="332"/>
      <c r="PJK508" s="332"/>
      <c r="PJL508" s="332"/>
      <c r="PJM508" s="332"/>
      <c r="PJN508" s="332"/>
      <c r="PJO508" s="332"/>
      <c r="PJP508" s="332"/>
      <c r="PJQ508" s="332"/>
      <c r="PJR508" s="332"/>
      <c r="PJS508" s="332"/>
      <c r="PJT508" s="332"/>
      <c r="PJU508" s="332"/>
      <c r="PJV508" s="332"/>
      <c r="PJW508" s="332"/>
      <c r="PJX508" s="332"/>
      <c r="PJY508" s="332"/>
      <c r="PJZ508" s="332"/>
      <c r="PKA508" s="332"/>
      <c r="PKB508" s="332"/>
      <c r="PKC508" s="332"/>
      <c r="PKD508" s="332"/>
      <c r="PKE508" s="332"/>
      <c r="PKF508" s="332"/>
      <c r="PKG508" s="332"/>
      <c r="PKH508" s="332"/>
      <c r="PKI508" s="332"/>
      <c r="PKJ508" s="332"/>
      <c r="PKK508" s="332"/>
      <c r="PKL508" s="332"/>
      <c r="PKM508" s="332"/>
      <c r="PKN508" s="332"/>
      <c r="PKO508" s="332"/>
      <c r="PKP508" s="332"/>
      <c r="PKQ508" s="332"/>
      <c r="PKR508" s="332"/>
      <c r="PKS508" s="332"/>
      <c r="PKT508" s="332"/>
      <c r="PKU508" s="332"/>
      <c r="PKV508" s="332"/>
      <c r="PKW508" s="332"/>
      <c r="PKX508" s="332"/>
      <c r="PKY508" s="332"/>
      <c r="PKZ508" s="332"/>
      <c r="PLA508" s="332"/>
      <c r="PLB508" s="332"/>
      <c r="PLC508" s="332"/>
      <c r="PLD508" s="332"/>
      <c r="PLE508" s="332"/>
      <c r="PLF508" s="332"/>
      <c r="PLG508" s="332"/>
      <c r="PLH508" s="332"/>
      <c r="PLI508" s="332"/>
      <c r="PLJ508" s="332"/>
      <c r="PLK508" s="332"/>
      <c r="PLL508" s="332"/>
      <c r="PLM508" s="332"/>
      <c r="PLN508" s="332"/>
      <c r="PLO508" s="332"/>
      <c r="PLP508" s="332"/>
      <c r="PLQ508" s="332"/>
      <c r="PLR508" s="332"/>
      <c r="PLS508" s="332"/>
      <c r="PLT508" s="332"/>
      <c r="PLU508" s="332"/>
      <c r="PLV508" s="332"/>
      <c r="PLW508" s="332"/>
      <c r="PLX508" s="332"/>
      <c r="PLY508" s="332"/>
      <c r="PLZ508" s="332"/>
      <c r="PMA508" s="332"/>
      <c r="PMB508" s="332"/>
      <c r="PMC508" s="332"/>
      <c r="PMD508" s="332"/>
      <c r="PME508" s="332"/>
      <c r="PMF508" s="332"/>
      <c r="PMG508" s="332"/>
      <c r="PMH508" s="332"/>
      <c r="PMI508" s="332"/>
      <c r="PMJ508" s="332"/>
      <c r="PMK508" s="332"/>
      <c r="PML508" s="332"/>
      <c r="PMM508" s="332"/>
      <c r="PMN508" s="332"/>
      <c r="PMO508" s="332"/>
      <c r="PMP508" s="332"/>
      <c r="PMQ508" s="332"/>
      <c r="PMR508" s="332"/>
      <c r="PMS508" s="332"/>
      <c r="PMT508" s="332"/>
      <c r="PMU508" s="332"/>
      <c r="PMV508" s="332"/>
      <c r="PMW508" s="332"/>
      <c r="PMX508" s="332"/>
      <c r="PMY508" s="332"/>
      <c r="PMZ508" s="332"/>
      <c r="PNA508" s="332"/>
      <c r="PNB508" s="332"/>
      <c r="PNC508" s="332"/>
      <c r="PND508" s="332"/>
      <c r="PNE508" s="332"/>
      <c r="PNF508" s="332"/>
      <c r="PNG508" s="332"/>
      <c r="PNH508" s="332"/>
      <c r="PNI508" s="332"/>
      <c r="PNJ508" s="332"/>
      <c r="PNK508" s="332"/>
      <c r="PNL508" s="332"/>
      <c r="PNM508" s="332"/>
      <c r="PNN508" s="332"/>
      <c r="PNO508" s="332"/>
      <c r="PNP508" s="332"/>
      <c r="PNQ508" s="332"/>
      <c r="PNR508" s="332"/>
      <c r="PNS508" s="332"/>
      <c r="PNT508" s="332"/>
      <c r="PNU508" s="332"/>
      <c r="PNV508" s="332"/>
      <c r="PNW508" s="332"/>
      <c r="PNX508" s="332"/>
      <c r="PNY508" s="332"/>
      <c r="PNZ508" s="332"/>
      <c r="POA508" s="332"/>
      <c r="POB508" s="332"/>
      <c r="POC508" s="332"/>
      <c r="POD508" s="332"/>
      <c r="POE508" s="332"/>
      <c r="POF508" s="332"/>
      <c r="POG508" s="332"/>
      <c r="POH508" s="332"/>
      <c r="POI508" s="332"/>
      <c r="POJ508" s="332"/>
      <c r="POK508" s="332"/>
      <c r="POL508" s="332"/>
      <c r="POM508" s="332"/>
      <c r="PON508" s="332"/>
      <c r="POO508" s="332"/>
      <c r="POP508" s="332"/>
      <c r="POQ508" s="332"/>
      <c r="POR508" s="332"/>
      <c r="POS508" s="332"/>
      <c r="POT508" s="332"/>
      <c r="POU508" s="332"/>
      <c r="POV508" s="332"/>
      <c r="POW508" s="332"/>
      <c r="POX508" s="332"/>
      <c r="POY508" s="332"/>
      <c r="POZ508" s="332"/>
      <c r="PPA508" s="332"/>
      <c r="PPB508" s="332"/>
      <c r="PPC508" s="332"/>
      <c r="PPD508" s="332"/>
      <c r="PPE508" s="332"/>
      <c r="PPF508" s="332"/>
      <c r="PPG508" s="332"/>
      <c r="PPH508" s="332"/>
      <c r="PPI508" s="332"/>
      <c r="PPJ508" s="332"/>
      <c r="PPK508" s="332"/>
      <c r="PPL508" s="332"/>
      <c r="PPM508" s="332"/>
      <c r="PPN508" s="332"/>
      <c r="PPO508" s="332"/>
      <c r="PPP508" s="332"/>
      <c r="PPQ508" s="332"/>
      <c r="PPR508" s="332"/>
      <c r="PPS508" s="332"/>
      <c r="PPT508" s="332"/>
      <c r="PPU508" s="332"/>
      <c r="PPV508" s="332"/>
      <c r="PPW508" s="332"/>
      <c r="PPX508" s="332"/>
      <c r="PPY508" s="332"/>
      <c r="PPZ508" s="332"/>
      <c r="PQA508" s="332"/>
      <c r="PQB508" s="332"/>
      <c r="PQC508" s="332"/>
      <c r="PQD508" s="332"/>
      <c r="PQE508" s="332"/>
      <c r="PQF508" s="332"/>
      <c r="PQG508" s="332"/>
      <c r="PQH508" s="332"/>
      <c r="PQI508" s="332"/>
      <c r="PQJ508" s="332"/>
      <c r="PQK508" s="332"/>
      <c r="PQL508" s="332"/>
      <c r="PQM508" s="332"/>
      <c r="PQN508" s="332"/>
      <c r="PQO508" s="332"/>
      <c r="PQP508" s="332"/>
      <c r="PQQ508" s="332"/>
      <c r="PQR508" s="332"/>
      <c r="PQS508" s="332"/>
      <c r="PQT508" s="332"/>
      <c r="PQU508" s="332"/>
      <c r="PQV508" s="332"/>
      <c r="PQW508" s="332"/>
      <c r="PQX508" s="332"/>
      <c r="PQY508" s="332"/>
      <c r="PQZ508" s="332"/>
      <c r="PRA508" s="332"/>
      <c r="PRB508" s="332"/>
      <c r="PRC508" s="332"/>
      <c r="PRD508" s="332"/>
      <c r="PRE508" s="332"/>
      <c r="PRF508" s="332"/>
      <c r="PRG508" s="332"/>
      <c r="PRH508" s="332"/>
      <c r="PRI508" s="332"/>
      <c r="PRJ508" s="332"/>
      <c r="PRK508" s="332"/>
      <c r="PRL508" s="332"/>
      <c r="PRM508" s="332"/>
      <c r="PRN508" s="332"/>
      <c r="PRO508" s="332"/>
      <c r="PRP508" s="332"/>
      <c r="PRQ508" s="332"/>
      <c r="PRR508" s="332"/>
      <c r="PRS508" s="332"/>
      <c r="PRT508" s="332"/>
      <c r="PRU508" s="332"/>
      <c r="PRV508" s="332"/>
      <c r="PRW508" s="332"/>
      <c r="PRX508" s="332"/>
      <c r="PRY508" s="332"/>
      <c r="PRZ508" s="332"/>
      <c r="PSA508" s="332"/>
      <c r="PSB508" s="332"/>
      <c r="PSC508" s="332"/>
      <c r="PSD508" s="332"/>
      <c r="PSE508" s="332"/>
      <c r="PSF508" s="332"/>
      <c r="PSG508" s="332"/>
      <c r="PSH508" s="332"/>
      <c r="PSI508" s="332"/>
      <c r="PSJ508" s="332"/>
      <c r="PSK508" s="332"/>
      <c r="PSL508" s="332"/>
      <c r="PSM508" s="332"/>
      <c r="PSN508" s="332"/>
      <c r="PSO508" s="332"/>
      <c r="PSP508" s="332"/>
      <c r="PSQ508" s="332"/>
      <c r="PSR508" s="332"/>
      <c r="PSS508" s="332"/>
      <c r="PST508" s="332"/>
      <c r="PSU508" s="332"/>
      <c r="PSV508" s="332"/>
      <c r="PSW508" s="332"/>
      <c r="PSX508" s="332"/>
      <c r="PSY508" s="332"/>
      <c r="PSZ508" s="332"/>
      <c r="PTA508" s="332"/>
      <c r="PTB508" s="332"/>
      <c r="PTC508" s="332"/>
      <c r="PTD508" s="332"/>
      <c r="PTE508" s="332"/>
      <c r="PTF508" s="332"/>
      <c r="PTG508" s="332"/>
      <c r="PTH508" s="332"/>
      <c r="PTI508" s="332"/>
      <c r="PTJ508" s="332"/>
      <c r="PTK508" s="332"/>
      <c r="PTL508" s="332"/>
      <c r="PTM508" s="332"/>
      <c r="PTN508" s="332"/>
      <c r="PTO508" s="332"/>
      <c r="PTP508" s="332"/>
      <c r="PTQ508" s="332"/>
      <c r="PTR508" s="332"/>
      <c r="PTS508" s="332"/>
      <c r="PTT508" s="332"/>
      <c r="PTU508" s="332"/>
      <c r="PTV508" s="332"/>
      <c r="PTW508" s="332"/>
      <c r="PTX508" s="332"/>
      <c r="PTY508" s="332"/>
      <c r="PTZ508" s="332"/>
      <c r="PUA508" s="332"/>
      <c r="PUB508" s="332"/>
      <c r="PUC508" s="332"/>
      <c r="PUD508" s="332"/>
      <c r="PUE508" s="332"/>
      <c r="PUF508" s="332"/>
      <c r="PUG508" s="332"/>
      <c r="PUH508" s="332"/>
      <c r="PUI508" s="332"/>
      <c r="PUJ508" s="332"/>
      <c r="PUK508" s="332"/>
      <c r="PUL508" s="332"/>
      <c r="PUM508" s="332"/>
      <c r="PUN508" s="332"/>
      <c r="PUO508" s="332"/>
      <c r="PUP508" s="332"/>
      <c r="PUQ508" s="332"/>
      <c r="PUR508" s="332"/>
      <c r="PUS508" s="332"/>
      <c r="PUT508" s="332"/>
      <c r="PUU508" s="332"/>
      <c r="PUV508" s="332"/>
      <c r="PUW508" s="332"/>
      <c r="PUX508" s="332"/>
      <c r="PUY508" s="332"/>
      <c r="PUZ508" s="332"/>
      <c r="PVA508" s="332"/>
      <c r="PVB508" s="332"/>
      <c r="PVC508" s="332"/>
      <c r="PVD508" s="332"/>
      <c r="PVE508" s="332"/>
      <c r="PVF508" s="332"/>
      <c r="PVG508" s="332"/>
      <c r="PVH508" s="332"/>
      <c r="PVI508" s="332"/>
      <c r="PVJ508" s="332"/>
      <c r="PVK508" s="332"/>
      <c r="PVL508" s="332"/>
      <c r="PVM508" s="332"/>
      <c r="PVN508" s="332"/>
      <c r="PVO508" s="332"/>
      <c r="PVP508" s="332"/>
      <c r="PVQ508" s="332"/>
      <c r="PVR508" s="332"/>
      <c r="PVS508" s="332"/>
      <c r="PVT508" s="332"/>
      <c r="PVU508" s="332"/>
      <c r="PVV508" s="332"/>
      <c r="PVW508" s="332"/>
      <c r="PVX508" s="332"/>
      <c r="PVY508" s="332"/>
      <c r="PVZ508" s="332"/>
      <c r="PWA508" s="332"/>
      <c r="PWB508" s="332"/>
      <c r="PWC508" s="332"/>
      <c r="PWD508" s="332"/>
      <c r="PWE508" s="332"/>
      <c r="PWF508" s="332"/>
      <c r="PWG508" s="332"/>
      <c r="PWH508" s="332"/>
      <c r="PWI508" s="332"/>
      <c r="PWJ508" s="332"/>
      <c r="PWK508" s="332"/>
      <c r="PWL508" s="332"/>
      <c r="PWM508" s="332"/>
      <c r="PWN508" s="332"/>
      <c r="PWO508" s="332"/>
      <c r="PWP508" s="332"/>
      <c r="PWQ508" s="332"/>
      <c r="PWR508" s="332"/>
      <c r="PWS508" s="332"/>
      <c r="PWT508" s="332"/>
      <c r="PWU508" s="332"/>
      <c r="PWV508" s="332"/>
      <c r="PWW508" s="332"/>
      <c r="PWX508" s="332"/>
      <c r="PWY508" s="332"/>
      <c r="PWZ508" s="332"/>
      <c r="PXA508" s="332"/>
      <c r="PXB508" s="332"/>
      <c r="PXC508" s="332"/>
      <c r="PXD508" s="332"/>
      <c r="PXE508" s="332"/>
      <c r="PXF508" s="332"/>
      <c r="PXG508" s="332"/>
      <c r="PXH508" s="332"/>
      <c r="PXI508" s="332"/>
      <c r="PXJ508" s="332"/>
      <c r="PXK508" s="332"/>
      <c r="PXL508" s="332"/>
      <c r="PXM508" s="332"/>
      <c r="PXN508" s="332"/>
      <c r="PXO508" s="332"/>
      <c r="PXP508" s="332"/>
      <c r="PXQ508" s="332"/>
      <c r="PXR508" s="332"/>
      <c r="PXS508" s="332"/>
      <c r="PXT508" s="332"/>
      <c r="PXU508" s="332"/>
      <c r="PXV508" s="332"/>
      <c r="PXW508" s="332"/>
      <c r="PXX508" s="332"/>
      <c r="PXY508" s="332"/>
      <c r="PXZ508" s="332"/>
      <c r="PYA508" s="332"/>
      <c r="PYB508" s="332"/>
      <c r="PYC508" s="332"/>
      <c r="PYD508" s="332"/>
      <c r="PYE508" s="332"/>
      <c r="PYF508" s="332"/>
      <c r="PYG508" s="332"/>
      <c r="PYH508" s="332"/>
      <c r="PYI508" s="332"/>
      <c r="PYJ508" s="332"/>
      <c r="PYK508" s="332"/>
      <c r="PYL508" s="332"/>
      <c r="PYM508" s="332"/>
      <c r="PYN508" s="332"/>
      <c r="PYO508" s="332"/>
      <c r="PYP508" s="332"/>
      <c r="PYQ508" s="332"/>
      <c r="PYR508" s="332"/>
      <c r="PYS508" s="332"/>
      <c r="PYT508" s="332"/>
      <c r="PYU508" s="332"/>
      <c r="PYV508" s="332"/>
      <c r="PYW508" s="332"/>
      <c r="PYX508" s="332"/>
      <c r="PYY508" s="332"/>
      <c r="PYZ508" s="332"/>
      <c r="PZA508" s="332"/>
      <c r="PZB508" s="332"/>
      <c r="PZC508" s="332"/>
      <c r="PZD508" s="332"/>
      <c r="PZE508" s="332"/>
      <c r="PZF508" s="332"/>
      <c r="PZG508" s="332"/>
      <c r="PZH508" s="332"/>
      <c r="PZI508" s="332"/>
      <c r="PZJ508" s="332"/>
      <c r="PZK508" s="332"/>
      <c r="PZL508" s="332"/>
      <c r="PZM508" s="332"/>
      <c r="PZN508" s="332"/>
      <c r="PZO508" s="332"/>
      <c r="PZP508" s="332"/>
      <c r="PZQ508" s="332"/>
      <c r="PZR508" s="332"/>
      <c r="PZS508" s="332"/>
      <c r="PZT508" s="332"/>
      <c r="PZU508" s="332"/>
      <c r="PZV508" s="332"/>
      <c r="PZW508" s="332"/>
      <c r="PZX508" s="332"/>
      <c r="PZY508" s="332"/>
      <c r="PZZ508" s="332"/>
      <c r="QAA508" s="332"/>
      <c r="QAB508" s="332"/>
      <c r="QAC508" s="332"/>
      <c r="QAD508" s="332"/>
      <c r="QAE508" s="332"/>
      <c r="QAF508" s="332"/>
      <c r="QAG508" s="332"/>
      <c r="QAH508" s="332"/>
      <c r="QAI508" s="332"/>
      <c r="QAJ508" s="332"/>
      <c r="QAK508" s="332"/>
      <c r="QAL508" s="332"/>
      <c r="QAM508" s="332"/>
      <c r="QAN508" s="332"/>
      <c r="QAO508" s="332"/>
      <c r="QAP508" s="332"/>
      <c r="QAQ508" s="332"/>
      <c r="QAR508" s="332"/>
      <c r="QAS508" s="332"/>
      <c r="QAT508" s="332"/>
      <c r="QAU508" s="332"/>
      <c r="QAV508" s="332"/>
      <c r="QAW508" s="332"/>
      <c r="QAX508" s="332"/>
      <c r="QAY508" s="332"/>
      <c r="QAZ508" s="332"/>
      <c r="QBA508" s="332"/>
      <c r="QBB508" s="332"/>
      <c r="QBC508" s="332"/>
      <c r="QBD508" s="332"/>
      <c r="QBE508" s="332"/>
      <c r="QBF508" s="332"/>
      <c r="QBG508" s="332"/>
      <c r="QBH508" s="332"/>
      <c r="QBI508" s="332"/>
      <c r="QBJ508" s="332"/>
      <c r="QBK508" s="332"/>
      <c r="QBL508" s="332"/>
      <c r="QBM508" s="332"/>
      <c r="QBN508" s="332"/>
      <c r="QBO508" s="332"/>
      <c r="QBP508" s="332"/>
      <c r="QBQ508" s="332"/>
      <c r="QBR508" s="332"/>
      <c r="QBS508" s="332"/>
      <c r="QBT508" s="332"/>
      <c r="QBU508" s="332"/>
      <c r="QBV508" s="332"/>
      <c r="QBW508" s="332"/>
      <c r="QBX508" s="332"/>
      <c r="QBY508" s="332"/>
      <c r="QBZ508" s="332"/>
      <c r="QCA508" s="332"/>
      <c r="QCB508" s="332"/>
      <c r="QCC508" s="332"/>
      <c r="QCD508" s="332"/>
      <c r="QCE508" s="332"/>
      <c r="QCF508" s="332"/>
      <c r="QCG508" s="332"/>
      <c r="QCH508" s="332"/>
      <c r="QCI508" s="332"/>
      <c r="QCJ508" s="332"/>
      <c r="QCK508" s="332"/>
      <c r="QCL508" s="332"/>
      <c r="QCM508" s="332"/>
      <c r="QCN508" s="332"/>
      <c r="QCO508" s="332"/>
      <c r="QCP508" s="332"/>
      <c r="QCQ508" s="332"/>
      <c r="QCR508" s="332"/>
      <c r="QCS508" s="332"/>
      <c r="QCT508" s="332"/>
      <c r="QCU508" s="332"/>
      <c r="QCV508" s="332"/>
      <c r="QCW508" s="332"/>
      <c r="QCX508" s="332"/>
      <c r="QCY508" s="332"/>
      <c r="QCZ508" s="332"/>
      <c r="QDA508" s="332"/>
      <c r="QDB508" s="332"/>
      <c r="QDC508" s="332"/>
      <c r="QDD508" s="332"/>
      <c r="QDE508" s="332"/>
      <c r="QDF508" s="332"/>
      <c r="QDG508" s="332"/>
      <c r="QDH508" s="332"/>
      <c r="QDI508" s="332"/>
      <c r="QDJ508" s="332"/>
      <c r="QDK508" s="332"/>
      <c r="QDL508" s="332"/>
      <c r="QDM508" s="332"/>
      <c r="QDN508" s="332"/>
      <c r="QDO508" s="332"/>
      <c r="QDP508" s="332"/>
      <c r="QDQ508" s="332"/>
      <c r="QDR508" s="332"/>
      <c r="QDS508" s="332"/>
      <c r="QDT508" s="332"/>
      <c r="QDU508" s="332"/>
      <c r="QDV508" s="332"/>
      <c r="QDW508" s="332"/>
      <c r="QDX508" s="332"/>
      <c r="QDY508" s="332"/>
      <c r="QDZ508" s="332"/>
      <c r="QEA508" s="332"/>
      <c r="QEB508" s="332"/>
      <c r="QEC508" s="332"/>
      <c r="QED508" s="332"/>
      <c r="QEE508" s="332"/>
      <c r="QEF508" s="332"/>
      <c r="QEG508" s="332"/>
      <c r="QEH508" s="332"/>
      <c r="QEI508" s="332"/>
      <c r="QEJ508" s="332"/>
      <c r="QEK508" s="332"/>
      <c r="QEL508" s="332"/>
      <c r="QEM508" s="332"/>
      <c r="QEN508" s="332"/>
      <c r="QEO508" s="332"/>
      <c r="QEP508" s="332"/>
      <c r="QEQ508" s="332"/>
      <c r="QER508" s="332"/>
      <c r="QES508" s="332"/>
      <c r="QET508" s="332"/>
      <c r="QEU508" s="332"/>
      <c r="QEV508" s="332"/>
      <c r="QEW508" s="332"/>
      <c r="QEX508" s="332"/>
      <c r="QEY508" s="332"/>
      <c r="QEZ508" s="332"/>
      <c r="QFA508" s="332"/>
      <c r="QFB508" s="332"/>
      <c r="QFC508" s="332"/>
      <c r="QFD508" s="332"/>
      <c r="QFE508" s="332"/>
      <c r="QFF508" s="332"/>
      <c r="QFG508" s="332"/>
      <c r="QFH508" s="332"/>
      <c r="QFI508" s="332"/>
      <c r="QFJ508" s="332"/>
      <c r="QFK508" s="332"/>
      <c r="QFL508" s="332"/>
      <c r="QFM508" s="332"/>
      <c r="QFN508" s="332"/>
      <c r="QFO508" s="332"/>
      <c r="QFP508" s="332"/>
      <c r="QFQ508" s="332"/>
      <c r="QFR508" s="332"/>
      <c r="QFS508" s="332"/>
      <c r="QFT508" s="332"/>
      <c r="QFU508" s="332"/>
      <c r="QFV508" s="332"/>
      <c r="QFW508" s="332"/>
      <c r="QFX508" s="332"/>
      <c r="QFY508" s="332"/>
      <c r="QFZ508" s="332"/>
      <c r="QGA508" s="332"/>
      <c r="QGB508" s="332"/>
      <c r="QGC508" s="332"/>
      <c r="QGD508" s="332"/>
      <c r="QGE508" s="332"/>
      <c r="QGF508" s="332"/>
      <c r="QGG508" s="332"/>
      <c r="QGH508" s="332"/>
      <c r="QGI508" s="332"/>
      <c r="QGJ508" s="332"/>
      <c r="QGK508" s="332"/>
      <c r="QGL508" s="332"/>
      <c r="QGM508" s="332"/>
      <c r="QGN508" s="332"/>
      <c r="QGO508" s="332"/>
      <c r="QGP508" s="332"/>
      <c r="QGQ508" s="332"/>
      <c r="QGR508" s="332"/>
      <c r="QGS508" s="332"/>
      <c r="QGT508" s="332"/>
      <c r="QGU508" s="332"/>
      <c r="QGV508" s="332"/>
      <c r="QGW508" s="332"/>
      <c r="QGX508" s="332"/>
      <c r="QGY508" s="332"/>
      <c r="QGZ508" s="332"/>
      <c r="QHA508" s="332"/>
      <c r="QHB508" s="332"/>
      <c r="QHC508" s="332"/>
      <c r="QHD508" s="332"/>
      <c r="QHE508" s="332"/>
      <c r="QHF508" s="332"/>
      <c r="QHG508" s="332"/>
      <c r="QHH508" s="332"/>
      <c r="QHI508" s="332"/>
      <c r="QHJ508" s="332"/>
      <c r="QHK508" s="332"/>
      <c r="QHL508" s="332"/>
      <c r="QHM508" s="332"/>
      <c r="QHN508" s="332"/>
      <c r="QHO508" s="332"/>
      <c r="QHP508" s="332"/>
      <c r="QHQ508" s="332"/>
      <c r="QHR508" s="332"/>
      <c r="QHS508" s="332"/>
      <c r="QHT508" s="332"/>
      <c r="QHU508" s="332"/>
      <c r="QHV508" s="332"/>
      <c r="QHW508" s="332"/>
      <c r="QHX508" s="332"/>
      <c r="QHY508" s="332"/>
      <c r="QHZ508" s="332"/>
      <c r="QIA508" s="332"/>
      <c r="QIB508" s="332"/>
      <c r="QIC508" s="332"/>
      <c r="QID508" s="332"/>
      <c r="QIE508" s="332"/>
      <c r="QIF508" s="332"/>
      <c r="QIG508" s="332"/>
      <c r="QIH508" s="332"/>
      <c r="QII508" s="332"/>
      <c r="QIJ508" s="332"/>
      <c r="QIK508" s="332"/>
      <c r="QIL508" s="332"/>
      <c r="QIM508" s="332"/>
      <c r="QIN508" s="332"/>
      <c r="QIO508" s="332"/>
      <c r="QIP508" s="332"/>
      <c r="QIQ508" s="332"/>
      <c r="QIR508" s="332"/>
      <c r="QIS508" s="332"/>
      <c r="QIT508" s="332"/>
      <c r="QIU508" s="332"/>
      <c r="QIV508" s="332"/>
      <c r="QIW508" s="332"/>
      <c r="QIX508" s="332"/>
      <c r="QIY508" s="332"/>
      <c r="QIZ508" s="332"/>
      <c r="QJA508" s="332"/>
      <c r="QJB508" s="332"/>
      <c r="QJC508" s="332"/>
      <c r="QJD508" s="332"/>
      <c r="QJE508" s="332"/>
      <c r="QJF508" s="332"/>
      <c r="QJG508" s="332"/>
      <c r="QJH508" s="332"/>
      <c r="QJI508" s="332"/>
      <c r="QJJ508" s="332"/>
      <c r="QJK508" s="332"/>
      <c r="QJL508" s="332"/>
      <c r="QJM508" s="332"/>
      <c r="QJN508" s="332"/>
      <c r="QJO508" s="332"/>
      <c r="QJP508" s="332"/>
      <c r="QJQ508" s="332"/>
      <c r="QJR508" s="332"/>
      <c r="QJS508" s="332"/>
      <c r="QJT508" s="332"/>
      <c r="QJU508" s="332"/>
      <c r="QJV508" s="332"/>
      <c r="QJW508" s="332"/>
      <c r="QJX508" s="332"/>
      <c r="QJY508" s="332"/>
      <c r="QJZ508" s="332"/>
      <c r="QKA508" s="332"/>
      <c r="QKB508" s="332"/>
      <c r="QKC508" s="332"/>
      <c r="QKD508" s="332"/>
      <c r="QKE508" s="332"/>
      <c r="QKF508" s="332"/>
      <c r="QKG508" s="332"/>
      <c r="QKH508" s="332"/>
      <c r="QKI508" s="332"/>
      <c r="QKJ508" s="332"/>
      <c r="QKK508" s="332"/>
      <c r="QKL508" s="332"/>
      <c r="QKM508" s="332"/>
      <c r="QKN508" s="332"/>
      <c r="QKO508" s="332"/>
      <c r="QKP508" s="332"/>
      <c r="QKQ508" s="332"/>
      <c r="QKR508" s="332"/>
      <c r="QKS508" s="332"/>
      <c r="QKT508" s="332"/>
      <c r="QKU508" s="332"/>
      <c r="QKV508" s="332"/>
      <c r="QKW508" s="332"/>
      <c r="QKX508" s="332"/>
      <c r="QKY508" s="332"/>
      <c r="QKZ508" s="332"/>
      <c r="QLA508" s="332"/>
      <c r="QLB508" s="332"/>
      <c r="QLC508" s="332"/>
      <c r="QLD508" s="332"/>
      <c r="QLE508" s="332"/>
      <c r="QLF508" s="332"/>
      <c r="QLG508" s="332"/>
      <c r="QLH508" s="332"/>
      <c r="QLI508" s="332"/>
      <c r="QLJ508" s="332"/>
      <c r="QLK508" s="332"/>
      <c r="QLL508" s="332"/>
      <c r="QLM508" s="332"/>
      <c r="QLN508" s="332"/>
      <c r="QLO508" s="332"/>
      <c r="QLP508" s="332"/>
      <c r="QLQ508" s="332"/>
      <c r="QLR508" s="332"/>
      <c r="QLS508" s="332"/>
      <c r="QLT508" s="332"/>
      <c r="QLU508" s="332"/>
      <c r="QLV508" s="332"/>
      <c r="QLW508" s="332"/>
      <c r="QLX508" s="332"/>
      <c r="QLY508" s="332"/>
      <c r="QLZ508" s="332"/>
      <c r="QMA508" s="332"/>
      <c r="QMB508" s="332"/>
      <c r="QMC508" s="332"/>
      <c r="QMD508" s="332"/>
      <c r="QME508" s="332"/>
      <c r="QMF508" s="332"/>
      <c r="QMG508" s="332"/>
      <c r="QMH508" s="332"/>
      <c r="QMI508" s="332"/>
      <c r="QMJ508" s="332"/>
      <c r="QMK508" s="332"/>
      <c r="QML508" s="332"/>
      <c r="QMM508" s="332"/>
      <c r="QMN508" s="332"/>
      <c r="QMO508" s="332"/>
      <c r="QMP508" s="332"/>
      <c r="QMQ508" s="332"/>
      <c r="QMR508" s="332"/>
      <c r="QMS508" s="332"/>
      <c r="QMT508" s="332"/>
      <c r="QMU508" s="332"/>
      <c r="QMV508" s="332"/>
      <c r="QMW508" s="332"/>
      <c r="QMX508" s="332"/>
      <c r="QMY508" s="332"/>
      <c r="QMZ508" s="332"/>
      <c r="QNA508" s="332"/>
      <c r="QNB508" s="332"/>
      <c r="QNC508" s="332"/>
      <c r="QND508" s="332"/>
      <c r="QNE508" s="332"/>
      <c r="QNF508" s="332"/>
      <c r="QNG508" s="332"/>
      <c r="QNH508" s="332"/>
      <c r="QNI508" s="332"/>
      <c r="QNJ508" s="332"/>
      <c r="QNK508" s="332"/>
      <c r="QNL508" s="332"/>
      <c r="QNM508" s="332"/>
      <c r="QNN508" s="332"/>
      <c r="QNO508" s="332"/>
      <c r="QNP508" s="332"/>
      <c r="QNQ508" s="332"/>
      <c r="QNR508" s="332"/>
      <c r="QNS508" s="332"/>
      <c r="QNT508" s="332"/>
      <c r="QNU508" s="332"/>
      <c r="QNV508" s="332"/>
      <c r="QNW508" s="332"/>
      <c r="QNX508" s="332"/>
      <c r="QNY508" s="332"/>
      <c r="QNZ508" s="332"/>
      <c r="QOA508" s="332"/>
      <c r="QOB508" s="332"/>
      <c r="QOC508" s="332"/>
      <c r="QOD508" s="332"/>
      <c r="QOE508" s="332"/>
      <c r="QOF508" s="332"/>
      <c r="QOG508" s="332"/>
      <c r="QOH508" s="332"/>
      <c r="QOI508" s="332"/>
      <c r="QOJ508" s="332"/>
      <c r="QOK508" s="332"/>
      <c r="QOL508" s="332"/>
      <c r="QOM508" s="332"/>
      <c r="QON508" s="332"/>
      <c r="QOO508" s="332"/>
      <c r="QOP508" s="332"/>
      <c r="QOQ508" s="332"/>
      <c r="QOR508" s="332"/>
      <c r="QOS508" s="332"/>
      <c r="QOT508" s="332"/>
      <c r="QOU508" s="332"/>
      <c r="QOV508" s="332"/>
      <c r="QOW508" s="332"/>
      <c r="QOX508" s="332"/>
      <c r="QOY508" s="332"/>
      <c r="QOZ508" s="332"/>
      <c r="QPA508" s="332"/>
      <c r="QPB508" s="332"/>
      <c r="QPC508" s="332"/>
      <c r="QPD508" s="332"/>
      <c r="QPE508" s="332"/>
      <c r="QPF508" s="332"/>
      <c r="QPG508" s="332"/>
      <c r="QPH508" s="332"/>
      <c r="QPI508" s="332"/>
      <c r="QPJ508" s="332"/>
      <c r="QPK508" s="332"/>
      <c r="QPL508" s="332"/>
      <c r="QPM508" s="332"/>
      <c r="QPN508" s="332"/>
      <c r="QPO508" s="332"/>
      <c r="QPP508" s="332"/>
      <c r="QPQ508" s="332"/>
      <c r="QPR508" s="332"/>
      <c r="QPS508" s="332"/>
      <c r="QPT508" s="332"/>
      <c r="QPU508" s="332"/>
      <c r="QPV508" s="332"/>
      <c r="QPW508" s="332"/>
      <c r="QPX508" s="332"/>
      <c r="QPY508" s="332"/>
      <c r="QPZ508" s="332"/>
      <c r="QQA508" s="332"/>
      <c r="QQB508" s="332"/>
      <c r="QQC508" s="332"/>
      <c r="QQD508" s="332"/>
      <c r="QQE508" s="332"/>
      <c r="QQF508" s="332"/>
      <c r="QQG508" s="332"/>
      <c r="QQH508" s="332"/>
      <c r="QQI508" s="332"/>
      <c r="QQJ508" s="332"/>
      <c r="QQK508" s="332"/>
      <c r="QQL508" s="332"/>
      <c r="QQM508" s="332"/>
      <c r="QQN508" s="332"/>
      <c r="QQO508" s="332"/>
      <c r="QQP508" s="332"/>
      <c r="QQQ508" s="332"/>
      <c r="QQR508" s="332"/>
      <c r="QQS508" s="332"/>
      <c r="QQT508" s="332"/>
      <c r="QQU508" s="332"/>
      <c r="QQV508" s="332"/>
      <c r="QQW508" s="332"/>
      <c r="QQX508" s="332"/>
      <c r="QQY508" s="332"/>
      <c r="QQZ508" s="332"/>
      <c r="QRA508" s="332"/>
      <c r="QRB508" s="332"/>
      <c r="QRC508" s="332"/>
      <c r="QRD508" s="332"/>
      <c r="QRE508" s="332"/>
      <c r="QRF508" s="332"/>
      <c r="QRG508" s="332"/>
      <c r="QRH508" s="332"/>
      <c r="QRI508" s="332"/>
      <c r="QRJ508" s="332"/>
      <c r="QRK508" s="332"/>
      <c r="QRL508" s="332"/>
      <c r="QRM508" s="332"/>
      <c r="QRN508" s="332"/>
      <c r="QRO508" s="332"/>
      <c r="QRP508" s="332"/>
      <c r="QRQ508" s="332"/>
      <c r="QRR508" s="332"/>
      <c r="QRS508" s="332"/>
      <c r="QRT508" s="332"/>
      <c r="QRU508" s="332"/>
      <c r="QRV508" s="332"/>
      <c r="QRW508" s="332"/>
      <c r="QRX508" s="332"/>
      <c r="QRY508" s="332"/>
      <c r="QRZ508" s="332"/>
      <c r="QSA508" s="332"/>
      <c r="QSB508" s="332"/>
      <c r="QSC508" s="332"/>
      <c r="QSD508" s="332"/>
      <c r="QSE508" s="332"/>
      <c r="QSF508" s="332"/>
      <c r="QSG508" s="332"/>
      <c r="QSH508" s="332"/>
      <c r="QSI508" s="332"/>
      <c r="QSJ508" s="332"/>
      <c r="QSK508" s="332"/>
      <c r="QSL508" s="332"/>
      <c r="QSM508" s="332"/>
      <c r="QSN508" s="332"/>
      <c r="QSO508" s="332"/>
      <c r="QSP508" s="332"/>
      <c r="QSQ508" s="332"/>
      <c r="QSR508" s="332"/>
      <c r="QSS508" s="332"/>
      <c r="QST508" s="332"/>
      <c r="QSU508" s="332"/>
      <c r="QSV508" s="332"/>
      <c r="QSW508" s="332"/>
      <c r="QSX508" s="332"/>
      <c r="QSY508" s="332"/>
      <c r="QSZ508" s="332"/>
      <c r="QTA508" s="332"/>
      <c r="QTB508" s="332"/>
      <c r="QTC508" s="332"/>
      <c r="QTD508" s="332"/>
      <c r="QTE508" s="332"/>
      <c r="QTF508" s="332"/>
      <c r="QTG508" s="332"/>
      <c r="QTH508" s="332"/>
      <c r="QTI508" s="332"/>
      <c r="QTJ508" s="332"/>
      <c r="QTK508" s="332"/>
      <c r="QTL508" s="332"/>
      <c r="QTM508" s="332"/>
      <c r="QTN508" s="332"/>
      <c r="QTO508" s="332"/>
      <c r="QTP508" s="332"/>
      <c r="QTQ508" s="332"/>
      <c r="QTR508" s="332"/>
      <c r="QTS508" s="332"/>
      <c r="QTT508" s="332"/>
      <c r="QTU508" s="332"/>
      <c r="QTV508" s="332"/>
      <c r="QTW508" s="332"/>
      <c r="QTX508" s="332"/>
      <c r="QTY508" s="332"/>
      <c r="QTZ508" s="332"/>
      <c r="QUA508" s="332"/>
      <c r="QUB508" s="332"/>
      <c r="QUC508" s="332"/>
      <c r="QUD508" s="332"/>
      <c r="QUE508" s="332"/>
      <c r="QUF508" s="332"/>
      <c r="QUG508" s="332"/>
      <c r="QUH508" s="332"/>
      <c r="QUI508" s="332"/>
      <c r="QUJ508" s="332"/>
      <c r="QUK508" s="332"/>
      <c r="QUL508" s="332"/>
      <c r="QUM508" s="332"/>
      <c r="QUN508" s="332"/>
      <c r="QUO508" s="332"/>
      <c r="QUP508" s="332"/>
      <c r="QUQ508" s="332"/>
      <c r="QUR508" s="332"/>
      <c r="QUS508" s="332"/>
      <c r="QUT508" s="332"/>
      <c r="QUU508" s="332"/>
      <c r="QUV508" s="332"/>
      <c r="QUW508" s="332"/>
      <c r="QUX508" s="332"/>
      <c r="QUY508" s="332"/>
      <c r="QUZ508" s="332"/>
      <c r="QVA508" s="332"/>
      <c r="QVB508" s="332"/>
      <c r="QVC508" s="332"/>
      <c r="QVD508" s="332"/>
      <c r="QVE508" s="332"/>
      <c r="QVF508" s="332"/>
      <c r="QVG508" s="332"/>
      <c r="QVH508" s="332"/>
      <c r="QVI508" s="332"/>
      <c r="QVJ508" s="332"/>
      <c r="QVK508" s="332"/>
      <c r="QVL508" s="332"/>
      <c r="QVM508" s="332"/>
      <c r="QVN508" s="332"/>
      <c r="QVO508" s="332"/>
      <c r="QVP508" s="332"/>
      <c r="QVQ508" s="332"/>
      <c r="QVR508" s="332"/>
      <c r="QVS508" s="332"/>
      <c r="QVT508" s="332"/>
      <c r="QVU508" s="332"/>
      <c r="QVV508" s="332"/>
      <c r="QVW508" s="332"/>
      <c r="QVX508" s="332"/>
      <c r="QVY508" s="332"/>
      <c r="QVZ508" s="332"/>
      <c r="QWA508" s="332"/>
      <c r="QWB508" s="332"/>
      <c r="QWC508" s="332"/>
      <c r="QWD508" s="332"/>
      <c r="QWE508" s="332"/>
      <c r="QWF508" s="332"/>
      <c r="QWG508" s="332"/>
      <c r="QWH508" s="332"/>
      <c r="QWI508" s="332"/>
      <c r="QWJ508" s="332"/>
      <c r="QWK508" s="332"/>
      <c r="QWL508" s="332"/>
      <c r="QWM508" s="332"/>
      <c r="QWN508" s="332"/>
      <c r="QWO508" s="332"/>
      <c r="QWP508" s="332"/>
      <c r="QWQ508" s="332"/>
      <c r="QWR508" s="332"/>
      <c r="QWS508" s="332"/>
      <c r="QWT508" s="332"/>
      <c r="QWU508" s="332"/>
      <c r="QWV508" s="332"/>
      <c r="QWW508" s="332"/>
      <c r="QWX508" s="332"/>
      <c r="QWY508" s="332"/>
      <c r="QWZ508" s="332"/>
      <c r="QXA508" s="332"/>
      <c r="QXB508" s="332"/>
      <c r="QXC508" s="332"/>
      <c r="QXD508" s="332"/>
      <c r="QXE508" s="332"/>
      <c r="QXF508" s="332"/>
      <c r="QXG508" s="332"/>
      <c r="QXH508" s="332"/>
      <c r="QXI508" s="332"/>
      <c r="QXJ508" s="332"/>
      <c r="QXK508" s="332"/>
      <c r="QXL508" s="332"/>
      <c r="QXM508" s="332"/>
      <c r="QXN508" s="332"/>
      <c r="QXO508" s="332"/>
      <c r="QXP508" s="332"/>
      <c r="QXQ508" s="332"/>
      <c r="QXR508" s="332"/>
      <c r="QXS508" s="332"/>
      <c r="QXT508" s="332"/>
      <c r="QXU508" s="332"/>
      <c r="QXV508" s="332"/>
      <c r="QXW508" s="332"/>
      <c r="QXX508" s="332"/>
      <c r="QXY508" s="332"/>
      <c r="QXZ508" s="332"/>
      <c r="QYA508" s="332"/>
      <c r="QYB508" s="332"/>
      <c r="QYC508" s="332"/>
      <c r="QYD508" s="332"/>
      <c r="QYE508" s="332"/>
      <c r="QYF508" s="332"/>
      <c r="QYG508" s="332"/>
      <c r="QYH508" s="332"/>
      <c r="QYI508" s="332"/>
      <c r="QYJ508" s="332"/>
      <c r="QYK508" s="332"/>
      <c r="QYL508" s="332"/>
      <c r="QYM508" s="332"/>
      <c r="QYN508" s="332"/>
      <c r="QYO508" s="332"/>
      <c r="QYP508" s="332"/>
      <c r="QYQ508" s="332"/>
      <c r="QYR508" s="332"/>
      <c r="QYS508" s="332"/>
      <c r="QYT508" s="332"/>
      <c r="QYU508" s="332"/>
      <c r="QYV508" s="332"/>
      <c r="QYW508" s="332"/>
      <c r="QYX508" s="332"/>
      <c r="QYY508" s="332"/>
      <c r="QYZ508" s="332"/>
      <c r="QZA508" s="332"/>
      <c r="QZB508" s="332"/>
      <c r="QZC508" s="332"/>
      <c r="QZD508" s="332"/>
      <c r="QZE508" s="332"/>
      <c r="QZF508" s="332"/>
      <c r="QZG508" s="332"/>
      <c r="QZH508" s="332"/>
      <c r="QZI508" s="332"/>
      <c r="QZJ508" s="332"/>
      <c r="QZK508" s="332"/>
      <c r="QZL508" s="332"/>
      <c r="QZM508" s="332"/>
      <c r="QZN508" s="332"/>
      <c r="QZO508" s="332"/>
      <c r="QZP508" s="332"/>
      <c r="QZQ508" s="332"/>
      <c r="QZR508" s="332"/>
      <c r="QZS508" s="332"/>
      <c r="QZT508" s="332"/>
      <c r="QZU508" s="332"/>
      <c r="QZV508" s="332"/>
      <c r="QZW508" s="332"/>
      <c r="QZX508" s="332"/>
      <c r="QZY508" s="332"/>
      <c r="QZZ508" s="332"/>
      <c r="RAA508" s="332"/>
      <c r="RAB508" s="332"/>
      <c r="RAC508" s="332"/>
      <c r="RAD508" s="332"/>
      <c r="RAE508" s="332"/>
      <c r="RAF508" s="332"/>
      <c r="RAG508" s="332"/>
      <c r="RAH508" s="332"/>
      <c r="RAI508" s="332"/>
      <c r="RAJ508" s="332"/>
      <c r="RAK508" s="332"/>
      <c r="RAL508" s="332"/>
      <c r="RAM508" s="332"/>
      <c r="RAN508" s="332"/>
      <c r="RAO508" s="332"/>
      <c r="RAP508" s="332"/>
      <c r="RAQ508" s="332"/>
      <c r="RAR508" s="332"/>
      <c r="RAS508" s="332"/>
      <c r="RAT508" s="332"/>
      <c r="RAU508" s="332"/>
      <c r="RAV508" s="332"/>
      <c r="RAW508" s="332"/>
      <c r="RAX508" s="332"/>
      <c r="RAY508" s="332"/>
      <c r="RAZ508" s="332"/>
      <c r="RBA508" s="332"/>
      <c r="RBB508" s="332"/>
      <c r="RBC508" s="332"/>
      <c r="RBD508" s="332"/>
      <c r="RBE508" s="332"/>
      <c r="RBF508" s="332"/>
      <c r="RBG508" s="332"/>
      <c r="RBH508" s="332"/>
      <c r="RBI508" s="332"/>
      <c r="RBJ508" s="332"/>
      <c r="RBK508" s="332"/>
      <c r="RBL508" s="332"/>
      <c r="RBM508" s="332"/>
      <c r="RBN508" s="332"/>
      <c r="RBO508" s="332"/>
      <c r="RBP508" s="332"/>
      <c r="RBQ508" s="332"/>
      <c r="RBR508" s="332"/>
      <c r="RBS508" s="332"/>
      <c r="RBT508" s="332"/>
      <c r="RBU508" s="332"/>
      <c r="RBV508" s="332"/>
      <c r="RBW508" s="332"/>
      <c r="RBX508" s="332"/>
      <c r="RBY508" s="332"/>
      <c r="RBZ508" s="332"/>
      <c r="RCA508" s="332"/>
      <c r="RCB508" s="332"/>
      <c r="RCC508" s="332"/>
      <c r="RCD508" s="332"/>
      <c r="RCE508" s="332"/>
      <c r="RCF508" s="332"/>
      <c r="RCG508" s="332"/>
      <c r="RCH508" s="332"/>
      <c r="RCI508" s="332"/>
      <c r="RCJ508" s="332"/>
      <c r="RCK508" s="332"/>
      <c r="RCL508" s="332"/>
      <c r="RCM508" s="332"/>
      <c r="RCN508" s="332"/>
      <c r="RCO508" s="332"/>
      <c r="RCP508" s="332"/>
      <c r="RCQ508" s="332"/>
      <c r="RCR508" s="332"/>
      <c r="RCS508" s="332"/>
      <c r="RCT508" s="332"/>
      <c r="RCU508" s="332"/>
      <c r="RCV508" s="332"/>
      <c r="RCW508" s="332"/>
      <c r="RCX508" s="332"/>
      <c r="RCY508" s="332"/>
      <c r="RCZ508" s="332"/>
      <c r="RDA508" s="332"/>
      <c r="RDB508" s="332"/>
      <c r="RDC508" s="332"/>
      <c r="RDD508" s="332"/>
      <c r="RDE508" s="332"/>
      <c r="RDF508" s="332"/>
      <c r="RDG508" s="332"/>
      <c r="RDH508" s="332"/>
      <c r="RDI508" s="332"/>
      <c r="RDJ508" s="332"/>
      <c r="RDK508" s="332"/>
      <c r="RDL508" s="332"/>
      <c r="RDM508" s="332"/>
      <c r="RDN508" s="332"/>
      <c r="RDO508" s="332"/>
      <c r="RDP508" s="332"/>
      <c r="RDQ508" s="332"/>
      <c r="RDR508" s="332"/>
      <c r="RDS508" s="332"/>
      <c r="RDT508" s="332"/>
      <c r="RDU508" s="332"/>
      <c r="RDV508" s="332"/>
      <c r="RDW508" s="332"/>
      <c r="RDX508" s="332"/>
      <c r="RDY508" s="332"/>
      <c r="RDZ508" s="332"/>
      <c r="REA508" s="332"/>
      <c r="REB508" s="332"/>
      <c r="REC508" s="332"/>
      <c r="RED508" s="332"/>
      <c r="REE508" s="332"/>
      <c r="REF508" s="332"/>
      <c r="REG508" s="332"/>
      <c r="REH508" s="332"/>
      <c r="REI508" s="332"/>
      <c r="REJ508" s="332"/>
      <c r="REK508" s="332"/>
      <c r="REL508" s="332"/>
      <c r="REM508" s="332"/>
      <c r="REN508" s="332"/>
      <c r="REO508" s="332"/>
      <c r="REP508" s="332"/>
      <c r="REQ508" s="332"/>
      <c r="RER508" s="332"/>
      <c r="RES508" s="332"/>
      <c r="RET508" s="332"/>
      <c r="REU508" s="332"/>
      <c r="REV508" s="332"/>
      <c r="REW508" s="332"/>
      <c r="REX508" s="332"/>
      <c r="REY508" s="332"/>
      <c r="REZ508" s="332"/>
      <c r="RFA508" s="332"/>
      <c r="RFB508" s="332"/>
      <c r="RFC508" s="332"/>
      <c r="RFD508" s="332"/>
      <c r="RFE508" s="332"/>
      <c r="RFF508" s="332"/>
      <c r="RFG508" s="332"/>
      <c r="RFH508" s="332"/>
      <c r="RFI508" s="332"/>
      <c r="RFJ508" s="332"/>
      <c r="RFK508" s="332"/>
      <c r="RFL508" s="332"/>
      <c r="RFM508" s="332"/>
      <c r="RFN508" s="332"/>
      <c r="RFO508" s="332"/>
      <c r="RFP508" s="332"/>
      <c r="RFQ508" s="332"/>
      <c r="RFR508" s="332"/>
      <c r="RFS508" s="332"/>
      <c r="RFT508" s="332"/>
      <c r="RFU508" s="332"/>
      <c r="RFV508" s="332"/>
      <c r="RFW508" s="332"/>
      <c r="RFX508" s="332"/>
      <c r="RFY508" s="332"/>
      <c r="RFZ508" s="332"/>
      <c r="RGA508" s="332"/>
      <c r="RGB508" s="332"/>
      <c r="RGC508" s="332"/>
      <c r="RGD508" s="332"/>
      <c r="RGE508" s="332"/>
      <c r="RGF508" s="332"/>
      <c r="RGG508" s="332"/>
      <c r="RGH508" s="332"/>
      <c r="RGI508" s="332"/>
      <c r="RGJ508" s="332"/>
      <c r="RGK508" s="332"/>
      <c r="RGL508" s="332"/>
      <c r="RGM508" s="332"/>
      <c r="RGN508" s="332"/>
      <c r="RGO508" s="332"/>
      <c r="RGP508" s="332"/>
      <c r="RGQ508" s="332"/>
      <c r="RGR508" s="332"/>
      <c r="RGS508" s="332"/>
      <c r="RGT508" s="332"/>
      <c r="RGU508" s="332"/>
      <c r="RGV508" s="332"/>
      <c r="RGW508" s="332"/>
      <c r="RGX508" s="332"/>
      <c r="RGY508" s="332"/>
      <c r="RGZ508" s="332"/>
      <c r="RHA508" s="332"/>
      <c r="RHB508" s="332"/>
      <c r="RHC508" s="332"/>
      <c r="RHD508" s="332"/>
      <c r="RHE508" s="332"/>
      <c r="RHF508" s="332"/>
      <c r="RHG508" s="332"/>
      <c r="RHH508" s="332"/>
      <c r="RHI508" s="332"/>
      <c r="RHJ508" s="332"/>
      <c r="RHK508" s="332"/>
      <c r="RHL508" s="332"/>
      <c r="RHM508" s="332"/>
      <c r="RHN508" s="332"/>
      <c r="RHO508" s="332"/>
      <c r="RHP508" s="332"/>
      <c r="RHQ508" s="332"/>
      <c r="RHR508" s="332"/>
      <c r="RHS508" s="332"/>
      <c r="RHT508" s="332"/>
      <c r="RHU508" s="332"/>
      <c r="RHV508" s="332"/>
      <c r="RHW508" s="332"/>
      <c r="RHX508" s="332"/>
      <c r="RHY508" s="332"/>
      <c r="RHZ508" s="332"/>
      <c r="RIA508" s="332"/>
      <c r="RIB508" s="332"/>
      <c r="RIC508" s="332"/>
      <c r="RID508" s="332"/>
      <c r="RIE508" s="332"/>
      <c r="RIF508" s="332"/>
      <c r="RIG508" s="332"/>
      <c r="RIH508" s="332"/>
      <c r="RII508" s="332"/>
      <c r="RIJ508" s="332"/>
      <c r="RIK508" s="332"/>
      <c r="RIL508" s="332"/>
      <c r="RIM508" s="332"/>
      <c r="RIN508" s="332"/>
      <c r="RIO508" s="332"/>
      <c r="RIP508" s="332"/>
      <c r="RIQ508" s="332"/>
      <c r="RIR508" s="332"/>
      <c r="RIS508" s="332"/>
      <c r="RIT508" s="332"/>
      <c r="RIU508" s="332"/>
      <c r="RIV508" s="332"/>
      <c r="RIW508" s="332"/>
      <c r="RIX508" s="332"/>
      <c r="RIY508" s="332"/>
      <c r="RIZ508" s="332"/>
      <c r="RJA508" s="332"/>
      <c r="RJB508" s="332"/>
      <c r="RJC508" s="332"/>
      <c r="RJD508" s="332"/>
      <c r="RJE508" s="332"/>
      <c r="RJF508" s="332"/>
      <c r="RJG508" s="332"/>
      <c r="RJH508" s="332"/>
      <c r="RJI508" s="332"/>
      <c r="RJJ508" s="332"/>
      <c r="RJK508" s="332"/>
      <c r="RJL508" s="332"/>
      <c r="RJM508" s="332"/>
      <c r="RJN508" s="332"/>
      <c r="RJO508" s="332"/>
      <c r="RJP508" s="332"/>
      <c r="RJQ508" s="332"/>
      <c r="RJR508" s="332"/>
      <c r="RJS508" s="332"/>
      <c r="RJT508" s="332"/>
      <c r="RJU508" s="332"/>
      <c r="RJV508" s="332"/>
      <c r="RJW508" s="332"/>
      <c r="RJX508" s="332"/>
      <c r="RJY508" s="332"/>
      <c r="RJZ508" s="332"/>
      <c r="RKA508" s="332"/>
      <c r="RKB508" s="332"/>
      <c r="RKC508" s="332"/>
      <c r="RKD508" s="332"/>
      <c r="RKE508" s="332"/>
      <c r="RKF508" s="332"/>
      <c r="RKG508" s="332"/>
      <c r="RKH508" s="332"/>
      <c r="RKI508" s="332"/>
      <c r="RKJ508" s="332"/>
      <c r="RKK508" s="332"/>
      <c r="RKL508" s="332"/>
      <c r="RKM508" s="332"/>
      <c r="RKN508" s="332"/>
      <c r="RKO508" s="332"/>
      <c r="RKP508" s="332"/>
      <c r="RKQ508" s="332"/>
      <c r="RKR508" s="332"/>
      <c r="RKS508" s="332"/>
      <c r="RKT508" s="332"/>
      <c r="RKU508" s="332"/>
      <c r="RKV508" s="332"/>
      <c r="RKW508" s="332"/>
      <c r="RKX508" s="332"/>
      <c r="RKY508" s="332"/>
      <c r="RKZ508" s="332"/>
      <c r="RLA508" s="332"/>
      <c r="RLB508" s="332"/>
      <c r="RLC508" s="332"/>
      <c r="RLD508" s="332"/>
      <c r="RLE508" s="332"/>
      <c r="RLF508" s="332"/>
      <c r="RLG508" s="332"/>
      <c r="RLH508" s="332"/>
      <c r="RLI508" s="332"/>
      <c r="RLJ508" s="332"/>
      <c r="RLK508" s="332"/>
      <c r="RLL508" s="332"/>
      <c r="RLM508" s="332"/>
      <c r="RLN508" s="332"/>
      <c r="RLO508" s="332"/>
      <c r="RLP508" s="332"/>
      <c r="RLQ508" s="332"/>
      <c r="RLR508" s="332"/>
      <c r="RLS508" s="332"/>
      <c r="RLT508" s="332"/>
      <c r="RLU508" s="332"/>
      <c r="RLV508" s="332"/>
      <c r="RLW508" s="332"/>
      <c r="RLX508" s="332"/>
      <c r="RLY508" s="332"/>
      <c r="RLZ508" s="332"/>
      <c r="RMA508" s="332"/>
      <c r="RMB508" s="332"/>
      <c r="RMC508" s="332"/>
      <c r="RMD508" s="332"/>
      <c r="RME508" s="332"/>
      <c r="RMF508" s="332"/>
      <c r="RMG508" s="332"/>
      <c r="RMH508" s="332"/>
      <c r="RMI508" s="332"/>
      <c r="RMJ508" s="332"/>
      <c r="RMK508" s="332"/>
      <c r="RML508" s="332"/>
      <c r="RMM508" s="332"/>
      <c r="RMN508" s="332"/>
      <c r="RMO508" s="332"/>
      <c r="RMP508" s="332"/>
      <c r="RMQ508" s="332"/>
      <c r="RMR508" s="332"/>
      <c r="RMS508" s="332"/>
      <c r="RMT508" s="332"/>
      <c r="RMU508" s="332"/>
      <c r="RMV508" s="332"/>
      <c r="RMW508" s="332"/>
      <c r="RMX508" s="332"/>
      <c r="RMY508" s="332"/>
      <c r="RMZ508" s="332"/>
      <c r="RNA508" s="332"/>
      <c r="RNB508" s="332"/>
      <c r="RNC508" s="332"/>
      <c r="RND508" s="332"/>
      <c r="RNE508" s="332"/>
      <c r="RNF508" s="332"/>
      <c r="RNG508" s="332"/>
      <c r="RNH508" s="332"/>
      <c r="RNI508" s="332"/>
      <c r="RNJ508" s="332"/>
      <c r="RNK508" s="332"/>
      <c r="RNL508" s="332"/>
      <c r="RNM508" s="332"/>
      <c r="RNN508" s="332"/>
      <c r="RNO508" s="332"/>
      <c r="RNP508" s="332"/>
      <c r="RNQ508" s="332"/>
      <c r="RNR508" s="332"/>
      <c r="RNS508" s="332"/>
      <c r="RNT508" s="332"/>
      <c r="RNU508" s="332"/>
      <c r="RNV508" s="332"/>
      <c r="RNW508" s="332"/>
      <c r="RNX508" s="332"/>
      <c r="RNY508" s="332"/>
      <c r="RNZ508" s="332"/>
      <c r="ROA508" s="332"/>
      <c r="ROB508" s="332"/>
      <c r="ROC508" s="332"/>
      <c r="ROD508" s="332"/>
      <c r="ROE508" s="332"/>
      <c r="ROF508" s="332"/>
      <c r="ROG508" s="332"/>
      <c r="ROH508" s="332"/>
      <c r="ROI508" s="332"/>
      <c r="ROJ508" s="332"/>
      <c r="ROK508" s="332"/>
      <c r="ROL508" s="332"/>
      <c r="ROM508" s="332"/>
      <c r="RON508" s="332"/>
      <c r="ROO508" s="332"/>
      <c r="ROP508" s="332"/>
      <c r="ROQ508" s="332"/>
      <c r="ROR508" s="332"/>
      <c r="ROS508" s="332"/>
      <c r="ROT508" s="332"/>
      <c r="ROU508" s="332"/>
      <c r="ROV508" s="332"/>
      <c r="ROW508" s="332"/>
      <c r="ROX508" s="332"/>
      <c r="ROY508" s="332"/>
      <c r="ROZ508" s="332"/>
      <c r="RPA508" s="332"/>
      <c r="RPB508" s="332"/>
      <c r="RPC508" s="332"/>
      <c r="RPD508" s="332"/>
      <c r="RPE508" s="332"/>
      <c r="RPF508" s="332"/>
      <c r="RPG508" s="332"/>
      <c r="RPH508" s="332"/>
      <c r="RPI508" s="332"/>
      <c r="RPJ508" s="332"/>
      <c r="RPK508" s="332"/>
      <c r="RPL508" s="332"/>
      <c r="RPM508" s="332"/>
      <c r="RPN508" s="332"/>
      <c r="RPO508" s="332"/>
      <c r="RPP508" s="332"/>
      <c r="RPQ508" s="332"/>
      <c r="RPR508" s="332"/>
      <c r="RPS508" s="332"/>
      <c r="RPT508" s="332"/>
      <c r="RPU508" s="332"/>
      <c r="RPV508" s="332"/>
      <c r="RPW508" s="332"/>
      <c r="RPX508" s="332"/>
      <c r="RPY508" s="332"/>
      <c r="RPZ508" s="332"/>
      <c r="RQA508" s="332"/>
      <c r="RQB508" s="332"/>
      <c r="RQC508" s="332"/>
      <c r="RQD508" s="332"/>
      <c r="RQE508" s="332"/>
      <c r="RQF508" s="332"/>
      <c r="RQG508" s="332"/>
      <c r="RQH508" s="332"/>
      <c r="RQI508" s="332"/>
      <c r="RQJ508" s="332"/>
      <c r="RQK508" s="332"/>
      <c r="RQL508" s="332"/>
      <c r="RQM508" s="332"/>
      <c r="RQN508" s="332"/>
      <c r="RQO508" s="332"/>
      <c r="RQP508" s="332"/>
      <c r="RQQ508" s="332"/>
      <c r="RQR508" s="332"/>
      <c r="RQS508" s="332"/>
      <c r="RQT508" s="332"/>
      <c r="RQU508" s="332"/>
      <c r="RQV508" s="332"/>
      <c r="RQW508" s="332"/>
      <c r="RQX508" s="332"/>
      <c r="RQY508" s="332"/>
      <c r="RQZ508" s="332"/>
      <c r="RRA508" s="332"/>
      <c r="RRB508" s="332"/>
      <c r="RRC508" s="332"/>
      <c r="RRD508" s="332"/>
      <c r="RRE508" s="332"/>
      <c r="RRF508" s="332"/>
      <c r="RRG508" s="332"/>
      <c r="RRH508" s="332"/>
      <c r="RRI508" s="332"/>
      <c r="RRJ508" s="332"/>
      <c r="RRK508" s="332"/>
      <c r="RRL508" s="332"/>
      <c r="RRM508" s="332"/>
      <c r="RRN508" s="332"/>
      <c r="RRO508" s="332"/>
      <c r="RRP508" s="332"/>
      <c r="RRQ508" s="332"/>
      <c r="RRR508" s="332"/>
      <c r="RRS508" s="332"/>
      <c r="RRT508" s="332"/>
      <c r="RRU508" s="332"/>
      <c r="RRV508" s="332"/>
      <c r="RRW508" s="332"/>
      <c r="RRX508" s="332"/>
      <c r="RRY508" s="332"/>
      <c r="RRZ508" s="332"/>
      <c r="RSA508" s="332"/>
      <c r="RSB508" s="332"/>
      <c r="RSC508" s="332"/>
      <c r="RSD508" s="332"/>
      <c r="RSE508" s="332"/>
      <c r="RSF508" s="332"/>
      <c r="RSG508" s="332"/>
      <c r="RSH508" s="332"/>
      <c r="RSI508" s="332"/>
      <c r="RSJ508" s="332"/>
      <c r="RSK508" s="332"/>
      <c r="RSL508" s="332"/>
      <c r="RSM508" s="332"/>
      <c r="RSN508" s="332"/>
      <c r="RSO508" s="332"/>
      <c r="RSP508" s="332"/>
      <c r="RSQ508" s="332"/>
      <c r="RSR508" s="332"/>
      <c r="RSS508" s="332"/>
      <c r="RST508" s="332"/>
      <c r="RSU508" s="332"/>
      <c r="RSV508" s="332"/>
      <c r="RSW508" s="332"/>
      <c r="RSX508" s="332"/>
      <c r="RSY508" s="332"/>
      <c r="RSZ508" s="332"/>
      <c r="RTA508" s="332"/>
      <c r="RTB508" s="332"/>
      <c r="RTC508" s="332"/>
      <c r="RTD508" s="332"/>
      <c r="RTE508" s="332"/>
      <c r="RTF508" s="332"/>
      <c r="RTG508" s="332"/>
      <c r="RTH508" s="332"/>
      <c r="RTI508" s="332"/>
      <c r="RTJ508" s="332"/>
      <c r="RTK508" s="332"/>
      <c r="RTL508" s="332"/>
      <c r="RTM508" s="332"/>
      <c r="RTN508" s="332"/>
      <c r="RTO508" s="332"/>
      <c r="RTP508" s="332"/>
      <c r="RTQ508" s="332"/>
      <c r="RTR508" s="332"/>
      <c r="RTS508" s="332"/>
      <c r="RTT508" s="332"/>
      <c r="RTU508" s="332"/>
      <c r="RTV508" s="332"/>
      <c r="RTW508" s="332"/>
      <c r="RTX508" s="332"/>
      <c r="RTY508" s="332"/>
      <c r="RTZ508" s="332"/>
      <c r="RUA508" s="332"/>
      <c r="RUB508" s="332"/>
      <c r="RUC508" s="332"/>
      <c r="RUD508" s="332"/>
      <c r="RUE508" s="332"/>
      <c r="RUF508" s="332"/>
      <c r="RUG508" s="332"/>
      <c r="RUH508" s="332"/>
      <c r="RUI508" s="332"/>
      <c r="RUJ508" s="332"/>
      <c r="RUK508" s="332"/>
      <c r="RUL508" s="332"/>
      <c r="RUM508" s="332"/>
      <c r="RUN508" s="332"/>
      <c r="RUO508" s="332"/>
      <c r="RUP508" s="332"/>
      <c r="RUQ508" s="332"/>
      <c r="RUR508" s="332"/>
      <c r="RUS508" s="332"/>
      <c r="RUT508" s="332"/>
      <c r="RUU508" s="332"/>
      <c r="RUV508" s="332"/>
      <c r="RUW508" s="332"/>
      <c r="RUX508" s="332"/>
      <c r="RUY508" s="332"/>
      <c r="RUZ508" s="332"/>
      <c r="RVA508" s="332"/>
      <c r="RVB508" s="332"/>
      <c r="RVC508" s="332"/>
      <c r="RVD508" s="332"/>
      <c r="RVE508" s="332"/>
      <c r="RVF508" s="332"/>
      <c r="RVG508" s="332"/>
      <c r="RVH508" s="332"/>
      <c r="RVI508" s="332"/>
      <c r="RVJ508" s="332"/>
      <c r="RVK508" s="332"/>
      <c r="RVL508" s="332"/>
      <c r="RVM508" s="332"/>
      <c r="RVN508" s="332"/>
      <c r="RVO508" s="332"/>
      <c r="RVP508" s="332"/>
      <c r="RVQ508" s="332"/>
      <c r="RVR508" s="332"/>
      <c r="RVS508" s="332"/>
      <c r="RVT508" s="332"/>
      <c r="RVU508" s="332"/>
      <c r="RVV508" s="332"/>
      <c r="RVW508" s="332"/>
      <c r="RVX508" s="332"/>
      <c r="RVY508" s="332"/>
      <c r="RVZ508" s="332"/>
      <c r="RWA508" s="332"/>
      <c r="RWB508" s="332"/>
      <c r="RWC508" s="332"/>
      <c r="RWD508" s="332"/>
      <c r="RWE508" s="332"/>
      <c r="RWF508" s="332"/>
      <c r="RWG508" s="332"/>
      <c r="RWH508" s="332"/>
      <c r="RWI508" s="332"/>
      <c r="RWJ508" s="332"/>
      <c r="RWK508" s="332"/>
      <c r="RWL508" s="332"/>
      <c r="RWM508" s="332"/>
      <c r="RWN508" s="332"/>
      <c r="RWO508" s="332"/>
      <c r="RWP508" s="332"/>
      <c r="RWQ508" s="332"/>
      <c r="RWR508" s="332"/>
      <c r="RWS508" s="332"/>
      <c r="RWT508" s="332"/>
      <c r="RWU508" s="332"/>
      <c r="RWV508" s="332"/>
      <c r="RWW508" s="332"/>
      <c r="RWX508" s="332"/>
      <c r="RWY508" s="332"/>
      <c r="RWZ508" s="332"/>
      <c r="RXA508" s="332"/>
      <c r="RXB508" s="332"/>
      <c r="RXC508" s="332"/>
      <c r="RXD508" s="332"/>
      <c r="RXE508" s="332"/>
      <c r="RXF508" s="332"/>
      <c r="RXG508" s="332"/>
      <c r="RXH508" s="332"/>
      <c r="RXI508" s="332"/>
      <c r="RXJ508" s="332"/>
      <c r="RXK508" s="332"/>
      <c r="RXL508" s="332"/>
      <c r="RXM508" s="332"/>
      <c r="RXN508" s="332"/>
      <c r="RXO508" s="332"/>
      <c r="RXP508" s="332"/>
      <c r="RXQ508" s="332"/>
      <c r="RXR508" s="332"/>
      <c r="RXS508" s="332"/>
      <c r="RXT508" s="332"/>
      <c r="RXU508" s="332"/>
      <c r="RXV508" s="332"/>
      <c r="RXW508" s="332"/>
      <c r="RXX508" s="332"/>
      <c r="RXY508" s="332"/>
      <c r="RXZ508" s="332"/>
      <c r="RYA508" s="332"/>
      <c r="RYB508" s="332"/>
      <c r="RYC508" s="332"/>
      <c r="RYD508" s="332"/>
      <c r="RYE508" s="332"/>
      <c r="RYF508" s="332"/>
      <c r="RYG508" s="332"/>
      <c r="RYH508" s="332"/>
      <c r="RYI508" s="332"/>
      <c r="RYJ508" s="332"/>
      <c r="RYK508" s="332"/>
      <c r="RYL508" s="332"/>
      <c r="RYM508" s="332"/>
      <c r="RYN508" s="332"/>
      <c r="RYO508" s="332"/>
      <c r="RYP508" s="332"/>
      <c r="RYQ508" s="332"/>
      <c r="RYR508" s="332"/>
      <c r="RYS508" s="332"/>
      <c r="RYT508" s="332"/>
      <c r="RYU508" s="332"/>
      <c r="RYV508" s="332"/>
      <c r="RYW508" s="332"/>
      <c r="RYX508" s="332"/>
      <c r="RYY508" s="332"/>
      <c r="RYZ508" s="332"/>
      <c r="RZA508" s="332"/>
      <c r="RZB508" s="332"/>
      <c r="RZC508" s="332"/>
      <c r="RZD508" s="332"/>
      <c r="RZE508" s="332"/>
      <c r="RZF508" s="332"/>
      <c r="RZG508" s="332"/>
      <c r="RZH508" s="332"/>
      <c r="RZI508" s="332"/>
      <c r="RZJ508" s="332"/>
      <c r="RZK508" s="332"/>
      <c r="RZL508" s="332"/>
      <c r="RZM508" s="332"/>
      <c r="RZN508" s="332"/>
      <c r="RZO508" s="332"/>
      <c r="RZP508" s="332"/>
      <c r="RZQ508" s="332"/>
      <c r="RZR508" s="332"/>
      <c r="RZS508" s="332"/>
      <c r="RZT508" s="332"/>
      <c r="RZU508" s="332"/>
      <c r="RZV508" s="332"/>
      <c r="RZW508" s="332"/>
      <c r="RZX508" s="332"/>
      <c r="RZY508" s="332"/>
      <c r="RZZ508" s="332"/>
      <c r="SAA508" s="332"/>
      <c r="SAB508" s="332"/>
      <c r="SAC508" s="332"/>
      <c r="SAD508" s="332"/>
      <c r="SAE508" s="332"/>
      <c r="SAF508" s="332"/>
      <c r="SAG508" s="332"/>
      <c r="SAH508" s="332"/>
      <c r="SAI508" s="332"/>
      <c r="SAJ508" s="332"/>
      <c r="SAK508" s="332"/>
      <c r="SAL508" s="332"/>
      <c r="SAM508" s="332"/>
      <c r="SAN508" s="332"/>
      <c r="SAO508" s="332"/>
      <c r="SAP508" s="332"/>
      <c r="SAQ508" s="332"/>
      <c r="SAR508" s="332"/>
      <c r="SAS508" s="332"/>
      <c r="SAT508" s="332"/>
      <c r="SAU508" s="332"/>
      <c r="SAV508" s="332"/>
      <c r="SAW508" s="332"/>
      <c r="SAX508" s="332"/>
      <c r="SAY508" s="332"/>
      <c r="SAZ508" s="332"/>
      <c r="SBA508" s="332"/>
      <c r="SBB508" s="332"/>
      <c r="SBC508" s="332"/>
      <c r="SBD508" s="332"/>
      <c r="SBE508" s="332"/>
      <c r="SBF508" s="332"/>
      <c r="SBG508" s="332"/>
      <c r="SBH508" s="332"/>
      <c r="SBI508" s="332"/>
      <c r="SBJ508" s="332"/>
      <c r="SBK508" s="332"/>
      <c r="SBL508" s="332"/>
      <c r="SBM508" s="332"/>
      <c r="SBN508" s="332"/>
      <c r="SBO508" s="332"/>
      <c r="SBP508" s="332"/>
      <c r="SBQ508" s="332"/>
      <c r="SBR508" s="332"/>
      <c r="SBS508" s="332"/>
      <c r="SBT508" s="332"/>
      <c r="SBU508" s="332"/>
      <c r="SBV508" s="332"/>
      <c r="SBW508" s="332"/>
      <c r="SBX508" s="332"/>
      <c r="SBY508" s="332"/>
      <c r="SBZ508" s="332"/>
      <c r="SCA508" s="332"/>
      <c r="SCB508" s="332"/>
      <c r="SCC508" s="332"/>
      <c r="SCD508" s="332"/>
      <c r="SCE508" s="332"/>
      <c r="SCF508" s="332"/>
      <c r="SCG508" s="332"/>
      <c r="SCH508" s="332"/>
      <c r="SCI508" s="332"/>
      <c r="SCJ508" s="332"/>
      <c r="SCK508" s="332"/>
      <c r="SCL508" s="332"/>
      <c r="SCM508" s="332"/>
      <c r="SCN508" s="332"/>
      <c r="SCO508" s="332"/>
      <c r="SCP508" s="332"/>
      <c r="SCQ508" s="332"/>
      <c r="SCR508" s="332"/>
      <c r="SCS508" s="332"/>
      <c r="SCT508" s="332"/>
      <c r="SCU508" s="332"/>
      <c r="SCV508" s="332"/>
      <c r="SCW508" s="332"/>
      <c r="SCX508" s="332"/>
      <c r="SCY508" s="332"/>
      <c r="SCZ508" s="332"/>
      <c r="SDA508" s="332"/>
      <c r="SDB508" s="332"/>
      <c r="SDC508" s="332"/>
      <c r="SDD508" s="332"/>
      <c r="SDE508" s="332"/>
      <c r="SDF508" s="332"/>
      <c r="SDG508" s="332"/>
      <c r="SDH508" s="332"/>
      <c r="SDI508" s="332"/>
      <c r="SDJ508" s="332"/>
      <c r="SDK508" s="332"/>
      <c r="SDL508" s="332"/>
      <c r="SDM508" s="332"/>
      <c r="SDN508" s="332"/>
      <c r="SDO508" s="332"/>
      <c r="SDP508" s="332"/>
      <c r="SDQ508" s="332"/>
      <c r="SDR508" s="332"/>
      <c r="SDS508" s="332"/>
      <c r="SDT508" s="332"/>
      <c r="SDU508" s="332"/>
      <c r="SDV508" s="332"/>
      <c r="SDW508" s="332"/>
      <c r="SDX508" s="332"/>
      <c r="SDY508" s="332"/>
      <c r="SDZ508" s="332"/>
      <c r="SEA508" s="332"/>
      <c r="SEB508" s="332"/>
      <c r="SEC508" s="332"/>
      <c r="SED508" s="332"/>
      <c r="SEE508" s="332"/>
      <c r="SEF508" s="332"/>
      <c r="SEG508" s="332"/>
      <c r="SEH508" s="332"/>
      <c r="SEI508" s="332"/>
      <c r="SEJ508" s="332"/>
      <c r="SEK508" s="332"/>
      <c r="SEL508" s="332"/>
      <c r="SEM508" s="332"/>
      <c r="SEN508" s="332"/>
      <c r="SEO508" s="332"/>
      <c r="SEP508" s="332"/>
      <c r="SEQ508" s="332"/>
      <c r="SER508" s="332"/>
      <c r="SES508" s="332"/>
      <c r="SET508" s="332"/>
      <c r="SEU508" s="332"/>
      <c r="SEV508" s="332"/>
      <c r="SEW508" s="332"/>
      <c r="SEX508" s="332"/>
      <c r="SEY508" s="332"/>
      <c r="SEZ508" s="332"/>
      <c r="SFA508" s="332"/>
      <c r="SFB508" s="332"/>
      <c r="SFC508" s="332"/>
      <c r="SFD508" s="332"/>
      <c r="SFE508" s="332"/>
      <c r="SFF508" s="332"/>
      <c r="SFG508" s="332"/>
      <c r="SFH508" s="332"/>
      <c r="SFI508" s="332"/>
      <c r="SFJ508" s="332"/>
      <c r="SFK508" s="332"/>
      <c r="SFL508" s="332"/>
      <c r="SFM508" s="332"/>
      <c r="SFN508" s="332"/>
      <c r="SFO508" s="332"/>
      <c r="SFP508" s="332"/>
      <c r="SFQ508" s="332"/>
      <c r="SFR508" s="332"/>
      <c r="SFS508" s="332"/>
      <c r="SFT508" s="332"/>
      <c r="SFU508" s="332"/>
      <c r="SFV508" s="332"/>
      <c r="SFW508" s="332"/>
      <c r="SFX508" s="332"/>
      <c r="SFY508" s="332"/>
      <c r="SFZ508" s="332"/>
      <c r="SGA508" s="332"/>
      <c r="SGB508" s="332"/>
      <c r="SGC508" s="332"/>
      <c r="SGD508" s="332"/>
      <c r="SGE508" s="332"/>
      <c r="SGF508" s="332"/>
      <c r="SGG508" s="332"/>
      <c r="SGH508" s="332"/>
      <c r="SGI508" s="332"/>
      <c r="SGJ508" s="332"/>
      <c r="SGK508" s="332"/>
      <c r="SGL508" s="332"/>
      <c r="SGM508" s="332"/>
      <c r="SGN508" s="332"/>
      <c r="SGO508" s="332"/>
      <c r="SGP508" s="332"/>
      <c r="SGQ508" s="332"/>
      <c r="SGR508" s="332"/>
      <c r="SGS508" s="332"/>
      <c r="SGT508" s="332"/>
      <c r="SGU508" s="332"/>
      <c r="SGV508" s="332"/>
      <c r="SGW508" s="332"/>
      <c r="SGX508" s="332"/>
      <c r="SGY508" s="332"/>
      <c r="SGZ508" s="332"/>
      <c r="SHA508" s="332"/>
      <c r="SHB508" s="332"/>
      <c r="SHC508" s="332"/>
      <c r="SHD508" s="332"/>
      <c r="SHE508" s="332"/>
      <c r="SHF508" s="332"/>
      <c r="SHG508" s="332"/>
      <c r="SHH508" s="332"/>
      <c r="SHI508" s="332"/>
      <c r="SHJ508" s="332"/>
      <c r="SHK508" s="332"/>
      <c r="SHL508" s="332"/>
      <c r="SHM508" s="332"/>
      <c r="SHN508" s="332"/>
      <c r="SHO508" s="332"/>
      <c r="SHP508" s="332"/>
      <c r="SHQ508" s="332"/>
      <c r="SHR508" s="332"/>
      <c r="SHS508" s="332"/>
      <c r="SHT508" s="332"/>
      <c r="SHU508" s="332"/>
      <c r="SHV508" s="332"/>
      <c r="SHW508" s="332"/>
      <c r="SHX508" s="332"/>
      <c r="SHY508" s="332"/>
      <c r="SHZ508" s="332"/>
      <c r="SIA508" s="332"/>
      <c r="SIB508" s="332"/>
      <c r="SIC508" s="332"/>
      <c r="SID508" s="332"/>
      <c r="SIE508" s="332"/>
      <c r="SIF508" s="332"/>
      <c r="SIG508" s="332"/>
      <c r="SIH508" s="332"/>
      <c r="SII508" s="332"/>
      <c r="SIJ508" s="332"/>
      <c r="SIK508" s="332"/>
      <c r="SIL508" s="332"/>
      <c r="SIM508" s="332"/>
      <c r="SIN508" s="332"/>
      <c r="SIO508" s="332"/>
      <c r="SIP508" s="332"/>
      <c r="SIQ508" s="332"/>
      <c r="SIR508" s="332"/>
      <c r="SIS508" s="332"/>
      <c r="SIT508" s="332"/>
      <c r="SIU508" s="332"/>
      <c r="SIV508" s="332"/>
      <c r="SIW508" s="332"/>
      <c r="SIX508" s="332"/>
      <c r="SIY508" s="332"/>
      <c r="SIZ508" s="332"/>
      <c r="SJA508" s="332"/>
      <c r="SJB508" s="332"/>
      <c r="SJC508" s="332"/>
      <c r="SJD508" s="332"/>
      <c r="SJE508" s="332"/>
      <c r="SJF508" s="332"/>
      <c r="SJG508" s="332"/>
      <c r="SJH508" s="332"/>
      <c r="SJI508" s="332"/>
      <c r="SJJ508" s="332"/>
      <c r="SJK508" s="332"/>
      <c r="SJL508" s="332"/>
      <c r="SJM508" s="332"/>
      <c r="SJN508" s="332"/>
      <c r="SJO508" s="332"/>
      <c r="SJP508" s="332"/>
      <c r="SJQ508" s="332"/>
      <c r="SJR508" s="332"/>
      <c r="SJS508" s="332"/>
      <c r="SJT508" s="332"/>
      <c r="SJU508" s="332"/>
      <c r="SJV508" s="332"/>
      <c r="SJW508" s="332"/>
      <c r="SJX508" s="332"/>
      <c r="SJY508" s="332"/>
      <c r="SJZ508" s="332"/>
      <c r="SKA508" s="332"/>
      <c r="SKB508" s="332"/>
      <c r="SKC508" s="332"/>
      <c r="SKD508" s="332"/>
      <c r="SKE508" s="332"/>
      <c r="SKF508" s="332"/>
      <c r="SKG508" s="332"/>
      <c r="SKH508" s="332"/>
      <c r="SKI508" s="332"/>
      <c r="SKJ508" s="332"/>
      <c r="SKK508" s="332"/>
      <c r="SKL508" s="332"/>
      <c r="SKM508" s="332"/>
      <c r="SKN508" s="332"/>
      <c r="SKO508" s="332"/>
      <c r="SKP508" s="332"/>
      <c r="SKQ508" s="332"/>
      <c r="SKR508" s="332"/>
      <c r="SKS508" s="332"/>
      <c r="SKT508" s="332"/>
      <c r="SKU508" s="332"/>
      <c r="SKV508" s="332"/>
      <c r="SKW508" s="332"/>
      <c r="SKX508" s="332"/>
      <c r="SKY508" s="332"/>
      <c r="SKZ508" s="332"/>
      <c r="SLA508" s="332"/>
      <c r="SLB508" s="332"/>
      <c r="SLC508" s="332"/>
      <c r="SLD508" s="332"/>
      <c r="SLE508" s="332"/>
      <c r="SLF508" s="332"/>
      <c r="SLG508" s="332"/>
      <c r="SLH508" s="332"/>
      <c r="SLI508" s="332"/>
      <c r="SLJ508" s="332"/>
      <c r="SLK508" s="332"/>
      <c r="SLL508" s="332"/>
      <c r="SLM508" s="332"/>
      <c r="SLN508" s="332"/>
      <c r="SLO508" s="332"/>
      <c r="SLP508" s="332"/>
      <c r="SLQ508" s="332"/>
      <c r="SLR508" s="332"/>
      <c r="SLS508" s="332"/>
      <c r="SLT508" s="332"/>
      <c r="SLU508" s="332"/>
      <c r="SLV508" s="332"/>
      <c r="SLW508" s="332"/>
      <c r="SLX508" s="332"/>
      <c r="SLY508" s="332"/>
      <c r="SLZ508" s="332"/>
      <c r="SMA508" s="332"/>
      <c r="SMB508" s="332"/>
      <c r="SMC508" s="332"/>
      <c r="SMD508" s="332"/>
      <c r="SME508" s="332"/>
      <c r="SMF508" s="332"/>
      <c r="SMG508" s="332"/>
      <c r="SMH508" s="332"/>
      <c r="SMI508" s="332"/>
      <c r="SMJ508" s="332"/>
      <c r="SMK508" s="332"/>
      <c r="SML508" s="332"/>
      <c r="SMM508" s="332"/>
      <c r="SMN508" s="332"/>
      <c r="SMO508" s="332"/>
      <c r="SMP508" s="332"/>
      <c r="SMQ508" s="332"/>
      <c r="SMR508" s="332"/>
      <c r="SMS508" s="332"/>
      <c r="SMT508" s="332"/>
      <c r="SMU508" s="332"/>
      <c r="SMV508" s="332"/>
      <c r="SMW508" s="332"/>
      <c r="SMX508" s="332"/>
      <c r="SMY508" s="332"/>
      <c r="SMZ508" s="332"/>
      <c r="SNA508" s="332"/>
      <c r="SNB508" s="332"/>
      <c r="SNC508" s="332"/>
      <c r="SND508" s="332"/>
      <c r="SNE508" s="332"/>
      <c r="SNF508" s="332"/>
      <c r="SNG508" s="332"/>
      <c r="SNH508" s="332"/>
      <c r="SNI508" s="332"/>
      <c r="SNJ508" s="332"/>
      <c r="SNK508" s="332"/>
      <c r="SNL508" s="332"/>
      <c r="SNM508" s="332"/>
      <c r="SNN508" s="332"/>
      <c r="SNO508" s="332"/>
      <c r="SNP508" s="332"/>
      <c r="SNQ508" s="332"/>
      <c r="SNR508" s="332"/>
      <c r="SNS508" s="332"/>
      <c r="SNT508" s="332"/>
      <c r="SNU508" s="332"/>
      <c r="SNV508" s="332"/>
      <c r="SNW508" s="332"/>
      <c r="SNX508" s="332"/>
      <c r="SNY508" s="332"/>
      <c r="SNZ508" s="332"/>
      <c r="SOA508" s="332"/>
      <c r="SOB508" s="332"/>
      <c r="SOC508" s="332"/>
      <c r="SOD508" s="332"/>
      <c r="SOE508" s="332"/>
      <c r="SOF508" s="332"/>
      <c r="SOG508" s="332"/>
      <c r="SOH508" s="332"/>
      <c r="SOI508" s="332"/>
      <c r="SOJ508" s="332"/>
      <c r="SOK508" s="332"/>
      <c r="SOL508" s="332"/>
      <c r="SOM508" s="332"/>
      <c r="SON508" s="332"/>
      <c r="SOO508" s="332"/>
      <c r="SOP508" s="332"/>
      <c r="SOQ508" s="332"/>
      <c r="SOR508" s="332"/>
      <c r="SOS508" s="332"/>
      <c r="SOT508" s="332"/>
      <c r="SOU508" s="332"/>
      <c r="SOV508" s="332"/>
      <c r="SOW508" s="332"/>
      <c r="SOX508" s="332"/>
      <c r="SOY508" s="332"/>
      <c r="SOZ508" s="332"/>
      <c r="SPA508" s="332"/>
      <c r="SPB508" s="332"/>
      <c r="SPC508" s="332"/>
      <c r="SPD508" s="332"/>
      <c r="SPE508" s="332"/>
      <c r="SPF508" s="332"/>
      <c r="SPG508" s="332"/>
      <c r="SPH508" s="332"/>
      <c r="SPI508" s="332"/>
      <c r="SPJ508" s="332"/>
      <c r="SPK508" s="332"/>
      <c r="SPL508" s="332"/>
      <c r="SPM508" s="332"/>
      <c r="SPN508" s="332"/>
      <c r="SPO508" s="332"/>
      <c r="SPP508" s="332"/>
      <c r="SPQ508" s="332"/>
      <c r="SPR508" s="332"/>
      <c r="SPS508" s="332"/>
      <c r="SPT508" s="332"/>
      <c r="SPU508" s="332"/>
      <c r="SPV508" s="332"/>
      <c r="SPW508" s="332"/>
      <c r="SPX508" s="332"/>
      <c r="SPY508" s="332"/>
      <c r="SPZ508" s="332"/>
      <c r="SQA508" s="332"/>
      <c r="SQB508" s="332"/>
      <c r="SQC508" s="332"/>
      <c r="SQD508" s="332"/>
      <c r="SQE508" s="332"/>
      <c r="SQF508" s="332"/>
      <c r="SQG508" s="332"/>
      <c r="SQH508" s="332"/>
      <c r="SQI508" s="332"/>
      <c r="SQJ508" s="332"/>
      <c r="SQK508" s="332"/>
      <c r="SQL508" s="332"/>
      <c r="SQM508" s="332"/>
      <c r="SQN508" s="332"/>
      <c r="SQO508" s="332"/>
      <c r="SQP508" s="332"/>
      <c r="SQQ508" s="332"/>
      <c r="SQR508" s="332"/>
      <c r="SQS508" s="332"/>
      <c r="SQT508" s="332"/>
      <c r="SQU508" s="332"/>
      <c r="SQV508" s="332"/>
      <c r="SQW508" s="332"/>
      <c r="SQX508" s="332"/>
      <c r="SQY508" s="332"/>
      <c r="SQZ508" s="332"/>
      <c r="SRA508" s="332"/>
      <c r="SRB508" s="332"/>
      <c r="SRC508" s="332"/>
      <c r="SRD508" s="332"/>
      <c r="SRE508" s="332"/>
      <c r="SRF508" s="332"/>
      <c r="SRG508" s="332"/>
      <c r="SRH508" s="332"/>
      <c r="SRI508" s="332"/>
      <c r="SRJ508" s="332"/>
      <c r="SRK508" s="332"/>
      <c r="SRL508" s="332"/>
      <c r="SRM508" s="332"/>
      <c r="SRN508" s="332"/>
      <c r="SRO508" s="332"/>
      <c r="SRP508" s="332"/>
      <c r="SRQ508" s="332"/>
      <c r="SRR508" s="332"/>
      <c r="SRS508" s="332"/>
      <c r="SRT508" s="332"/>
      <c r="SRU508" s="332"/>
      <c r="SRV508" s="332"/>
      <c r="SRW508" s="332"/>
      <c r="SRX508" s="332"/>
      <c r="SRY508" s="332"/>
      <c r="SRZ508" s="332"/>
      <c r="SSA508" s="332"/>
      <c r="SSB508" s="332"/>
      <c r="SSC508" s="332"/>
      <c r="SSD508" s="332"/>
      <c r="SSE508" s="332"/>
      <c r="SSF508" s="332"/>
      <c r="SSG508" s="332"/>
      <c r="SSH508" s="332"/>
      <c r="SSI508" s="332"/>
      <c r="SSJ508" s="332"/>
      <c r="SSK508" s="332"/>
      <c r="SSL508" s="332"/>
      <c r="SSM508" s="332"/>
      <c r="SSN508" s="332"/>
      <c r="SSO508" s="332"/>
      <c r="SSP508" s="332"/>
      <c r="SSQ508" s="332"/>
      <c r="SSR508" s="332"/>
      <c r="SSS508" s="332"/>
      <c r="SST508" s="332"/>
      <c r="SSU508" s="332"/>
      <c r="SSV508" s="332"/>
      <c r="SSW508" s="332"/>
      <c r="SSX508" s="332"/>
      <c r="SSY508" s="332"/>
      <c r="SSZ508" s="332"/>
      <c r="STA508" s="332"/>
      <c r="STB508" s="332"/>
      <c r="STC508" s="332"/>
      <c r="STD508" s="332"/>
      <c r="STE508" s="332"/>
      <c r="STF508" s="332"/>
      <c r="STG508" s="332"/>
      <c r="STH508" s="332"/>
      <c r="STI508" s="332"/>
      <c r="STJ508" s="332"/>
      <c r="STK508" s="332"/>
      <c r="STL508" s="332"/>
      <c r="STM508" s="332"/>
      <c r="STN508" s="332"/>
      <c r="STO508" s="332"/>
      <c r="STP508" s="332"/>
      <c r="STQ508" s="332"/>
      <c r="STR508" s="332"/>
      <c r="STS508" s="332"/>
      <c r="STT508" s="332"/>
      <c r="STU508" s="332"/>
      <c r="STV508" s="332"/>
      <c r="STW508" s="332"/>
      <c r="STX508" s="332"/>
      <c r="STY508" s="332"/>
      <c r="STZ508" s="332"/>
      <c r="SUA508" s="332"/>
      <c r="SUB508" s="332"/>
      <c r="SUC508" s="332"/>
      <c r="SUD508" s="332"/>
      <c r="SUE508" s="332"/>
      <c r="SUF508" s="332"/>
      <c r="SUG508" s="332"/>
      <c r="SUH508" s="332"/>
      <c r="SUI508" s="332"/>
      <c r="SUJ508" s="332"/>
      <c r="SUK508" s="332"/>
      <c r="SUL508" s="332"/>
      <c r="SUM508" s="332"/>
      <c r="SUN508" s="332"/>
      <c r="SUO508" s="332"/>
      <c r="SUP508" s="332"/>
      <c r="SUQ508" s="332"/>
      <c r="SUR508" s="332"/>
      <c r="SUS508" s="332"/>
      <c r="SUT508" s="332"/>
      <c r="SUU508" s="332"/>
      <c r="SUV508" s="332"/>
      <c r="SUW508" s="332"/>
      <c r="SUX508" s="332"/>
      <c r="SUY508" s="332"/>
      <c r="SUZ508" s="332"/>
      <c r="SVA508" s="332"/>
      <c r="SVB508" s="332"/>
      <c r="SVC508" s="332"/>
      <c r="SVD508" s="332"/>
      <c r="SVE508" s="332"/>
      <c r="SVF508" s="332"/>
      <c r="SVG508" s="332"/>
      <c r="SVH508" s="332"/>
      <c r="SVI508" s="332"/>
      <c r="SVJ508" s="332"/>
      <c r="SVK508" s="332"/>
      <c r="SVL508" s="332"/>
      <c r="SVM508" s="332"/>
      <c r="SVN508" s="332"/>
      <c r="SVO508" s="332"/>
      <c r="SVP508" s="332"/>
      <c r="SVQ508" s="332"/>
      <c r="SVR508" s="332"/>
      <c r="SVS508" s="332"/>
      <c r="SVT508" s="332"/>
      <c r="SVU508" s="332"/>
      <c r="SVV508" s="332"/>
      <c r="SVW508" s="332"/>
      <c r="SVX508" s="332"/>
      <c r="SVY508" s="332"/>
      <c r="SVZ508" s="332"/>
      <c r="SWA508" s="332"/>
      <c r="SWB508" s="332"/>
      <c r="SWC508" s="332"/>
      <c r="SWD508" s="332"/>
      <c r="SWE508" s="332"/>
      <c r="SWF508" s="332"/>
      <c r="SWG508" s="332"/>
      <c r="SWH508" s="332"/>
      <c r="SWI508" s="332"/>
      <c r="SWJ508" s="332"/>
      <c r="SWK508" s="332"/>
      <c r="SWL508" s="332"/>
      <c r="SWM508" s="332"/>
      <c r="SWN508" s="332"/>
      <c r="SWO508" s="332"/>
      <c r="SWP508" s="332"/>
      <c r="SWQ508" s="332"/>
      <c r="SWR508" s="332"/>
      <c r="SWS508" s="332"/>
      <c r="SWT508" s="332"/>
      <c r="SWU508" s="332"/>
      <c r="SWV508" s="332"/>
      <c r="SWW508" s="332"/>
      <c r="SWX508" s="332"/>
      <c r="SWY508" s="332"/>
      <c r="SWZ508" s="332"/>
      <c r="SXA508" s="332"/>
      <c r="SXB508" s="332"/>
      <c r="SXC508" s="332"/>
      <c r="SXD508" s="332"/>
      <c r="SXE508" s="332"/>
      <c r="SXF508" s="332"/>
      <c r="SXG508" s="332"/>
      <c r="SXH508" s="332"/>
      <c r="SXI508" s="332"/>
      <c r="SXJ508" s="332"/>
      <c r="SXK508" s="332"/>
      <c r="SXL508" s="332"/>
      <c r="SXM508" s="332"/>
      <c r="SXN508" s="332"/>
      <c r="SXO508" s="332"/>
      <c r="SXP508" s="332"/>
      <c r="SXQ508" s="332"/>
      <c r="SXR508" s="332"/>
      <c r="SXS508" s="332"/>
      <c r="SXT508" s="332"/>
      <c r="SXU508" s="332"/>
      <c r="SXV508" s="332"/>
      <c r="SXW508" s="332"/>
      <c r="SXX508" s="332"/>
      <c r="SXY508" s="332"/>
      <c r="SXZ508" s="332"/>
      <c r="SYA508" s="332"/>
      <c r="SYB508" s="332"/>
      <c r="SYC508" s="332"/>
      <c r="SYD508" s="332"/>
      <c r="SYE508" s="332"/>
      <c r="SYF508" s="332"/>
      <c r="SYG508" s="332"/>
      <c r="SYH508" s="332"/>
      <c r="SYI508" s="332"/>
      <c r="SYJ508" s="332"/>
      <c r="SYK508" s="332"/>
      <c r="SYL508" s="332"/>
      <c r="SYM508" s="332"/>
      <c r="SYN508" s="332"/>
      <c r="SYO508" s="332"/>
      <c r="SYP508" s="332"/>
      <c r="SYQ508" s="332"/>
      <c r="SYR508" s="332"/>
      <c r="SYS508" s="332"/>
      <c r="SYT508" s="332"/>
      <c r="SYU508" s="332"/>
      <c r="SYV508" s="332"/>
      <c r="SYW508" s="332"/>
      <c r="SYX508" s="332"/>
      <c r="SYY508" s="332"/>
      <c r="SYZ508" s="332"/>
      <c r="SZA508" s="332"/>
      <c r="SZB508" s="332"/>
      <c r="SZC508" s="332"/>
      <c r="SZD508" s="332"/>
      <c r="SZE508" s="332"/>
      <c r="SZF508" s="332"/>
      <c r="SZG508" s="332"/>
      <c r="SZH508" s="332"/>
      <c r="SZI508" s="332"/>
      <c r="SZJ508" s="332"/>
      <c r="SZK508" s="332"/>
      <c r="SZL508" s="332"/>
      <c r="SZM508" s="332"/>
      <c r="SZN508" s="332"/>
      <c r="SZO508" s="332"/>
      <c r="SZP508" s="332"/>
      <c r="SZQ508" s="332"/>
      <c r="SZR508" s="332"/>
      <c r="SZS508" s="332"/>
      <c r="SZT508" s="332"/>
      <c r="SZU508" s="332"/>
      <c r="SZV508" s="332"/>
      <c r="SZW508" s="332"/>
      <c r="SZX508" s="332"/>
      <c r="SZY508" s="332"/>
      <c r="SZZ508" s="332"/>
      <c r="TAA508" s="332"/>
      <c r="TAB508" s="332"/>
      <c r="TAC508" s="332"/>
      <c r="TAD508" s="332"/>
      <c r="TAE508" s="332"/>
      <c r="TAF508" s="332"/>
      <c r="TAG508" s="332"/>
      <c r="TAH508" s="332"/>
      <c r="TAI508" s="332"/>
      <c r="TAJ508" s="332"/>
      <c r="TAK508" s="332"/>
      <c r="TAL508" s="332"/>
      <c r="TAM508" s="332"/>
      <c r="TAN508" s="332"/>
      <c r="TAO508" s="332"/>
      <c r="TAP508" s="332"/>
      <c r="TAQ508" s="332"/>
      <c r="TAR508" s="332"/>
      <c r="TAS508" s="332"/>
      <c r="TAT508" s="332"/>
      <c r="TAU508" s="332"/>
      <c r="TAV508" s="332"/>
      <c r="TAW508" s="332"/>
      <c r="TAX508" s="332"/>
      <c r="TAY508" s="332"/>
      <c r="TAZ508" s="332"/>
      <c r="TBA508" s="332"/>
      <c r="TBB508" s="332"/>
      <c r="TBC508" s="332"/>
      <c r="TBD508" s="332"/>
      <c r="TBE508" s="332"/>
      <c r="TBF508" s="332"/>
      <c r="TBG508" s="332"/>
      <c r="TBH508" s="332"/>
      <c r="TBI508" s="332"/>
      <c r="TBJ508" s="332"/>
      <c r="TBK508" s="332"/>
      <c r="TBL508" s="332"/>
      <c r="TBM508" s="332"/>
      <c r="TBN508" s="332"/>
      <c r="TBO508" s="332"/>
      <c r="TBP508" s="332"/>
      <c r="TBQ508" s="332"/>
      <c r="TBR508" s="332"/>
      <c r="TBS508" s="332"/>
      <c r="TBT508" s="332"/>
      <c r="TBU508" s="332"/>
      <c r="TBV508" s="332"/>
      <c r="TBW508" s="332"/>
      <c r="TBX508" s="332"/>
      <c r="TBY508" s="332"/>
      <c r="TBZ508" s="332"/>
      <c r="TCA508" s="332"/>
      <c r="TCB508" s="332"/>
      <c r="TCC508" s="332"/>
      <c r="TCD508" s="332"/>
      <c r="TCE508" s="332"/>
      <c r="TCF508" s="332"/>
      <c r="TCG508" s="332"/>
      <c r="TCH508" s="332"/>
      <c r="TCI508" s="332"/>
      <c r="TCJ508" s="332"/>
      <c r="TCK508" s="332"/>
      <c r="TCL508" s="332"/>
      <c r="TCM508" s="332"/>
      <c r="TCN508" s="332"/>
      <c r="TCO508" s="332"/>
      <c r="TCP508" s="332"/>
      <c r="TCQ508" s="332"/>
      <c r="TCR508" s="332"/>
      <c r="TCS508" s="332"/>
      <c r="TCT508" s="332"/>
      <c r="TCU508" s="332"/>
      <c r="TCV508" s="332"/>
      <c r="TCW508" s="332"/>
      <c r="TCX508" s="332"/>
      <c r="TCY508" s="332"/>
      <c r="TCZ508" s="332"/>
      <c r="TDA508" s="332"/>
      <c r="TDB508" s="332"/>
      <c r="TDC508" s="332"/>
      <c r="TDD508" s="332"/>
      <c r="TDE508" s="332"/>
      <c r="TDF508" s="332"/>
      <c r="TDG508" s="332"/>
      <c r="TDH508" s="332"/>
      <c r="TDI508" s="332"/>
      <c r="TDJ508" s="332"/>
      <c r="TDK508" s="332"/>
      <c r="TDL508" s="332"/>
      <c r="TDM508" s="332"/>
      <c r="TDN508" s="332"/>
      <c r="TDO508" s="332"/>
      <c r="TDP508" s="332"/>
      <c r="TDQ508" s="332"/>
      <c r="TDR508" s="332"/>
      <c r="TDS508" s="332"/>
      <c r="TDT508" s="332"/>
      <c r="TDU508" s="332"/>
      <c r="TDV508" s="332"/>
      <c r="TDW508" s="332"/>
      <c r="TDX508" s="332"/>
      <c r="TDY508" s="332"/>
      <c r="TDZ508" s="332"/>
      <c r="TEA508" s="332"/>
      <c r="TEB508" s="332"/>
      <c r="TEC508" s="332"/>
      <c r="TED508" s="332"/>
      <c r="TEE508" s="332"/>
      <c r="TEF508" s="332"/>
      <c r="TEG508" s="332"/>
      <c r="TEH508" s="332"/>
      <c r="TEI508" s="332"/>
      <c r="TEJ508" s="332"/>
      <c r="TEK508" s="332"/>
      <c r="TEL508" s="332"/>
      <c r="TEM508" s="332"/>
      <c r="TEN508" s="332"/>
      <c r="TEO508" s="332"/>
      <c r="TEP508" s="332"/>
      <c r="TEQ508" s="332"/>
      <c r="TER508" s="332"/>
      <c r="TES508" s="332"/>
      <c r="TET508" s="332"/>
      <c r="TEU508" s="332"/>
      <c r="TEV508" s="332"/>
      <c r="TEW508" s="332"/>
      <c r="TEX508" s="332"/>
      <c r="TEY508" s="332"/>
      <c r="TEZ508" s="332"/>
      <c r="TFA508" s="332"/>
      <c r="TFB508" s="332"/>
      <c r="TFC508" s="332"/>
      <c r="TFD508" s="332"/>
      <c r="TFE508" s="332"/>
      <c r="TFF508" s="332"/>
      <c r="TFG508" s="332"/>
      <c r="TFH508" s="332"/>
      <c r="TFI508" s="332"/>
      <c r="TFJ508" s="332"/>
      <c r="TFK508" s="332"/>
      <c r="TFL508" s="332"/>
      <c r="TFM508" s="332"/>
      <c r="TFN508" s="332"/>
      <c r="TFO508" s="332"/>
      <c r="TFP508" s="332"/>
      <c r="TFQ508" s="332"/>
      <c r="TFR508" s="332"/>
      <c r="TFS508" s="332"/>
      <c r="TFT508" s="332"/>
      <c r="TFU508" s="332"/>
      <c r="TFV508" s="332"/>
      <c r="TFW508" s="332"/>
      <c r="TFX508" s="332"/>
      <c r="TFY508" s="332"/>
      <c r="TFZ508" s="332"/>
      <c r="TGA508" s="332"/>
      <c r="TGB508" s="332"/>
      <c r="TGC508" s="332"/>
      <c r="TGD508" s="332"/>
      <c r="TGE508" s="332"/>
      <c r="TGF508" s="332"/>
      <c r="TGG508" s="332"/>
      <c r="TGH508" s="332"/>
      <c r="TGI508" s="332"/>
      <c r="TGJ508" s="332"/>
      <c r="TGK508" s="332"/>
      <c r="TGL508" s="332"/>
      <c r="TGM508" s="332"/>
      <c r="TGN508" s="332"/>
      <c r="TGO508" s="332"/>
      <c r="TGP508" s="332"/>
      <c r="TGQ508" s="332"/>
      <c r="TGR508" s="332"/>
      <c r="TGS508" s="332"/>
      <c r="TGT508" s="332"/>
      <c r="TGU508" s="332"/>
      <c r="TGV508" s="332"/>
      <c r="TGW508" s="332"/>
      <c r="TGX508" s="332"/>
      <c r="TGY508" s="332"/>
      <c r="TGZ508" s="332"/>
      <c r="THA508" s="332"/>
      <c r="THB508" s="332"/>
      <c r="THC508" s="332"/>
      <c r="THD508" s="332"/>
      <c r="THE508" s="332"/>
      <c r="THF508" s="332"/>
      <c r="THG508" s="332"/>
      <c r="THH508" s="332"/>
      <c r="THI508" s="332"/>
      <c r="THJ508" s="332"/>
      <c r="THK508" s="332"/>
      <c r="THL508" s="332"/>
      <c r="THM508" s="332"/>
      <c r="THN508" s="332"/>
      <c r="THO508" s="332"/>
      <c r="THP508" s="332"/>
      <c r="THQ508" s="332"/>
      <c r="THR508" s="332"/>
      <c r="THS508" s="332"/>
      <c r="THT508" s="332"/>
      <c r="THU508" s="332"/>
      <c r="THV508" s="332"/>
      <c r="THW508" s="332"/>
      <c r="THX508" s="332"/>
      <c r="THY508" s="332"/>
      <c r="THZ508" s="332"/>
      <c r="TIA508" s="332"/>
      <c r="TIB508" s="332"/>
      <c r="TIC508" s="332"/>
      <c r="TID508" s="332"/>
      <c r="TIE508" s="332"/>
      <c r="TIF508" s="332"/>
      <c r="TIG508" s="332"/>
      <c r="TIH508" s="332"/>
      <c r="TII508" s="332"/>
      <c r="TIJ508" s="332"/>
      <c r="TIK508" s="332"/>
      <c r="TIL508" s="332"/>
      <c r="TIM508" s="332"/>
      <c r="TIN508" s="332"/>
      <c r="TIO508" s="332"/>
      <c r="TIP508" s="332"/>
      <c r="TIQ508" s="332"/>
      <c r="TIR508" s="332"/>
      <c r="TIS508" s="332"/>
      <c r="TIT508" s="332"/>
      <c r="TIU508" s="332"/>
      <c r="TIV508" s="332"/>
      <c r="TIW508" s="332"/>
      <c r="TIX508" s="332"/>
      <c r="TIY508" s="332"/>
      <c r="TIZ508" s="332"/>
      <c r="TJA508" s="332"/>
      <c r="TJB508" s="332"/>
      <c r="TJC508" s="332"/>
      <c r="TJD508" s="332"/>
      <c r="TJE508" s="332"/>
      <c r="TJF508" s="332"/>
      <c r="TJG508" s="332"/>
      <c r="TJH508" s="332"/>
      <c r="TJI508" s="332"/>
      <c r="TJJ508" s="332"/>
      <c r="TJK508" s="332"/>
      <c r="TJL508" s="332"/>
      <c r="TJM508" s="332"/>
      <c r="TJN508" s="332"/>
      <c r="TJO508" s="332"/>
      <c r="TJP508" s="332"/>
      <c r="TJQ508" s="332"/>
      <c r="TJR508" s="332"/>
      <c r="TJS508" s="332"/>
      <c r="TJT508" s="332"/>
      <c r="TJU508" s="332"/>
      <c r="TJV508" s="332"/>
      <c r="TJW508" s="332"/>
      <c r="TJX508" s="332"/>
      <c r="TJY508" s="332"/>
      <c r="TJZ508" s="332"/>
      <c r="TKA508" s="332"/>
      <c r="TKB508" s="332"/>
      <c r="TKC508" s="332"/>
      <c r="TKD508" s="332"/>
      <c r="TKE508" s="332"/>
      <c r="TKF508" s="332"/>
      <c r="TKG508" s="332"/>
      <c r="TKH508" s="332"/>
      <c r="TKI508" s="332"/>
      <c r="TKJ508" s="332"/>
      <c r="TKK508" s="332"/>
      <c r="TKL508" s="332"/>
      <c r="TKM508" s="332"/>
      <c r="TKN508" s="332"/>
      <c r="TKO508" s="332"/>
      <c r="TKP508" s="332"/>
      <c r="TKQ508" s="332"/>
      <c r="TKR508" s="332"/>
      <c r="TKS508" s="332"/>
      <c r="TKT508" s="332"/>
      <c r="TKU508" s="332"/>
      <c r="TKV508" s="332"/>
      <c r="TKW508" s="332"/>
      <c r="TKX508" s="332"/>
      <c r="TKY508" s="332"/>
      <c r="TKZ508" s="332"/>
      <c r="TLA508" s="332"/>
      <c r="TLB508" s="332"/>
      <c r="TLC508" s="332"/>
      <c r="TLD508" s="332"/>
      <c r="TLE508" s="332"/>
      <c r="TLF508" s="332"/>
      <c r="TLG508" s="332"/>
      <c r="TLH508" s="332"/>
      <c r="TLI508" s="332"/>
      <c r="TLJ508" s="332"/>
      <c r="TLK508" s="332"/>
      <c r="TLL508" s="332"/>
      <c r="TLM508" s="332"/>
      <c r="TLN508" s="332"/>
      <c r="TLO508" s="332"/>
      <c r="TLP508" s="332"/>
      <c r="TLQ508" s="332"/>
      <c r="TLR508" s="332"/>
      <c r="TLS508" s="332"/>
      <c r="TLT508" s="332"/>
      <c r="TLU508" s="332"/>
      <c r="TLV508" s="332"/>
      <c r="TLW508" s="332"/>
      <c r="TLX508" s="332"/>
      <c r="TLY508" s="332"/>
      <c r="TLZ508" s="332"/>
      <c r="TMA508" s="332"/>
      <c r="TMB508" s="332"/>
      <c r="TMC508" s="332"/>
      <c r="TMD508" s="332"/>
      <c r="TME508" s="332"/>
      <c r="TMF508" s="332"/>
      <c r="TMG508" s="332"/>
      <c r="TMH508" s="332"/>
      <c r="TMI508" s="332"/>
      <c r="TMJ508" s="332"/>
      <c r="TMK508" s="332"/>
      <c r="TML508" s="332"/>
      <c r="TMM508" s="332"/>
      <c r="TMN508" s="332"/>
      <c r="TMO508" s="332"/>
      <c r="TMP508" s="332"/>
      <c r="TMQ508" s="332"/>
      <c r="TMR508" s="332"/>
      <c r="TMS508" s="332"/>
      <c r="TMT508" s="332"/>
      <c r="TMU508" s="332"/>
      <c r="TMV508" s="332"/>
      <c r="TMW508" s="332"/>
      <c r="TMX508" s="332"/>
      <c r="TMY508" s="332"/>
      <c r="TMZ508" s="332"/>
      <c r="TNA508" s="332"/>
      <c r="TNB508" s="332"/>
      <c r="TNC508" s="332"/>
      <c r="TND508" s="332"/>
      <c r="TNE508" s="332"/>
      <c r="TNF508" s="332"/>
      <c r="TNG508" s="332"/>
      <c r="TNH508" s="332"/>
      <c r="TNI508" s="332"/>
      <c r="TNJ508" s="332"/>
      <c r="TNK508" s="332"/>
      <c r="TNL508" s="332"/>
      <c r="TNM508" s="332"/>
      <c r="TNN508" s="332"/>
      <c r="TNO508" s="332"/>
      <c r="TNP508" s="332"/>
      <c r="TNQ508" s="332"/>
      <c r="TNR508" s="332"/>
      <c r="TNS508" s="332"/>
      <c r="TNT508" s="332"/>
      <c r="TNU508" s="332"/>
      <c r="TNV508" s="332"/>
      <c r="TNW508" s="332"/>
      <c r="TNX508" s="332"/>
      <c r="TNY508" s="332"/>
      <c r="TNZ508" s="332"/>
      <c r="TOA508" s="332"/>
      <c r="TOB508" s="332"/>
      <c r="TOC508" s="332"/>
      <c r="TOD508" s="332"/>
      <c r="TOE508" s="332"/>
      <c r="TOF508" s="332"/>
      <c r="TOG508" s="332"/>
      <c r="TOH508" s="332"/>
      <c r="TOI508" s="332"/>
      <c r="TOJ508" s="332"/>
      <c r="TOK508" s="332"/>
      <c r="TOL508" s="332"/>
      <c r="TOM508" s="332"/>
      <c r="TON508" s="332"/>
      <c r="TOO508" s="332"/>
      <c r="TOP508" s="332"/>
      <c r="TOQ508" s="332"/>
      <c r="TOR508" s="332"/>
      <c r="TOS508" s="332"/>
      <c r="TOT508" s="332"/>
      <c r="TOU508" s="332"/>
      <c r="TOV508" s="332"/>
      <c r="TOW508" s="332"/>
      <c r="TOX508" s="332"/>
      <c r="TOY508" s="332"/>
      <c r="TOZ508" s="332"/>
      <c r="TPA508" s="332"/>
      <c r="TPB508" s="332"/>
      <c r="TPC508" s="332"/>
      <c r="TPD508" s="332"/>
      <c r="TPE508" s="332"/>
      <c r="TPF508" s="332"/>
      <c r="TPG508" s="332"/>
      <c r="TPH508" s="332"/>
      <c r="TPI508" s="332"/>
      <c r="TPJ508" s="332"/>
      <c r="TPK508" s="332"/>
      <c r="TPL508" s="332"/>
      <c r="TPM508" s="332"/>
      <c r="TPN508" s="332"/>
      <c r="TPO508" s="332"/>
      <c r="TPP508" s="332"/>
      <c r="TPQ508" s="332"/>
      <c r="TPR508" s="332"/>
      <c r="TPS508" s="332"/>
      <c r="TPT508" s="332"/>
      <c r="TPU508" s="332"/>
      <c r="TPV508" s="332"/>
      <c r="TPW508" s="332"/>
      <c r="TPX508" s="332"/>
      <c r="TPY508" s="332"/>
      <c r="TPZ508" s="332"/>
      <c r="TQA508" s="332"/>
      <c r="TQB508" s="332"/>
      <c r="TQC508" s="332"/>
      <c r="TQD508" s="332"/>
      <c r="TQE508" s="332"/>
      <c r="TQF508" s="332"/>
      <c r="TQG508" s="332"/>
      <c r="TQH508" s="332"/>
      <c r="TQI508" s="332"/>
      <c r="TQJ508" s="332"/>
      <c r="TQK508" s="332"/>
      <c r="TQL508" s="332"/>
      <c r="TQM508" s="332"/>
      <c r="TQN508" s="332"/>
      <c r="TQO508" s="332"/>
      <c r="TQP508" s="332"/>
      <c r="TQQ508" s="332"/>
      <c r="TQR508" s="332"/>
      <c r="TQS508" s="332"/>
      <c r="TQT508" s="332"/>
      <c r="TQU508" s="332"/>
      <c r="TQV508" s="332"/>
      <c r="TQW508" s="332"/>
      <c r="TQX508" s="332"/>
      <c r="TQY508" s="332"/>
      <c r="TQZ508" s="332"/>
      <c r="TRA508" s="332"/>
      <c r="TRB508" s="332"/>
      <c r="TRC508" s="332"/>
      <c r="TRD508" s="332"/>
      <c r="TRE508" s="332"/>
      <c r="TRF508" s="332"/>
      <c r="TRG508" s="332"/>
      <c r="TRH508" s="332"/>
      <c r="TRI508" s="332"/>
      <c r="TRJ508" s="332"/>
      <c r="TRK508" s="332"/>
      <c r="TRL508" s="332"/>
      <c r="TRM508" s="332"/>
      <c r="TRN508" s="332"/>
      <c r="TRO508" s="332"/>
      <c r="TRP508" s="332"/>
      <c r="TRQ508" s="332"/>
      <c r="TRR508" s="332"/>
      <c r="TRS508" s="332"/>
      <c r="TRT508" s="332"/>
      <c r="TRU508" s="332"/>
      <c r="TRV508" s="332"/>
      <c r="TRW508" s="332"/>
      <c r="TRX508" s="332"/>
      <c r="TRY508" s="332"/>
      <c r="TRZ508" s="332"/>
      <c r="TSA508" s="332"/>
      <c r="TSB508" s="332"/>
      <c r="TSC508" s="332"/>
      <c r="TSD508" s="332"/>
      <c r="TSE508" s="332"/>
      <c r="TSF508" s="332"/>
      <c r="TSG508" s="332"/>
      <c r="TSH508" s="332"/>
      <c r="TSI508" s="332"/>
      <c r="TSJ508" s="332"/>
      <c r="TSK508" s="332"/>
      <c r="TSL508" s="332"/>
      <c r="TSM508" s="332"/>
      <c r="TSN508" s="332"/>
      <c r="TSO508" s="332"/>
      <c r="TSP508" s="332"/>
      <c r="TSQ508" s="332"/>
      <c r="TSR508" s="332"/>
      <c r="TSS508" s="332"/>
      <c r="TST508" s="332"/>
      <c r="TSU508" s="332"/>
      <c r="TSV508" s="332"/>
      <c r="TSW508" s="332"/>
      <c r="TSX508" s="332"/>
      <c r="TSY508" s="332"/>
      <c r="TSZ508" s="332"/>
      <c r="TTA508" s="332"/>
      <c r="TTB508" s="332"/>
      <c r="TTC508" s="332"/>
      <c r="TTD508" s="332"/>
      <c r="TTE508" s="332"/>
      <c r="TTF508" s="332"/>
      <c r="TTG508" s="332"/>
      <c r="TTH508" s="332"/>
      <c r="TTI508" s="332"/>
      <c r="TTJ508" s="332"/>
      <c r="TTK508" s="332"/>
      <c r="TTL508" s="332"/>
      <c r="TTM508" s="332"/>
      <c r="TTN508" s="332"/>
      <c r="TTO508" s="332"/>
      <c r="TTP508" s="332"/>
      <c r="TTQ508" s="332"/>
      <c r="TTR508" s="332"/>
      <c r="TTS508" s="332"/>
      <c r="TTT508" s="332"/>
      <c r="TTU508" s="332"/>
      <c r="TTV508" s="332"/>
      <c r="TTW508" s="332"/>
      <c r="TTX508" s="332"/>
      <c r="TTY508" s="332"/>
      <c r="TTZ508" s="332"/>
      <c r="TUA508" s="332"/>
      <c r="TUB508" s="332"/>
      <c r="TUC508" s="332"/>
      <c r="TUD508" s="332"/>
      <c r="TUE508" s="332"/>
      <c r="TUF508" s="332"/>
      <c r="TUG508" s="332"/>
      <c r="TUH508" s="332"/>
      <c r="TUI508" s="332"/>
      <c r="TUJ508" s="332"/>
      <c r="TUK508" s="332"/>
      <c r="TUL508" s="332"/>
      <c r="TUM508" s="332"/>
      <c r="TUN508" s="332"/>
      <c r="TUO508" s="332"/>
      <c r="TUP508" s="332"/>
      <c r="TUQ508" s="332"/>
      <c r="TUR508" s="332"/>
      <c r="TUS508" s="332"/>
      <c r="TUT508" s="332"/>
      <c r="TUU508" s="332"/>
      <c r="TUV508" s="332"/>
      <c r="TUW508" s="332"/>
      <c r="TUX508" s="332"/>
      <c r="TUY508" s="332"/>
      <c r="TUZ508" s="332"/>
      <c r="TVA508" s="332"/>
      <c r="TVB508" s="332"/>
      <c r="TVC508" s="332"/>
      <c r="TVD508" s="332"/>
      <c r="TVE508" s="332"/>
      <c r="TVF508" s="332"/>
      <c r="TVG508" s="332"/>
      <c r="TVH508" s="332"/>
      <c r="TVI508" s="332"/>
      <c r="TVJ508" s="332"/>
      <c r="TVK508" s="332"/>
      <c r="TVL508" s="332"/>
      <c r="TVM508" s="332"/>
      <c r="TVN508" s="332"/>
      <c r="TVO508" s="332"/>
      <c r="TVP508" s="332"/>
      <c r="TVQ508" s="332"/>
      <c r="TVR508" s="332"/>
      <c r="TVS508" s="332"/>
      <c r="TVT508" s="332"/>
      <c r="TVU508" s="332"/>
      <c r="TVV508" s="332"/>
      <c r="TVW508" s="332"/>
      <c r="TVX508" s="332"/>
      <c r="TVY508" s="332"/>
      <c r="TVZ508" s="332"/>
      <c r="TWA508" s="332"/>
      <c r="TWB508" s="332"/>
      <c r="TWC508" s="332"/>
      <c r="TWD508" s="332"/>
      <c r="TWE508" s="332"/>
      <c r="TWF508" s="332"/>
      <c r="TWG508" s="332"/>
      <c r="TWH508" s="332"/>
      <c r="TWI508" s="332"/>
      <c r="TWJ508" s="332"/>
      <c r="TWK508" s="332"/>
      <c r="TWL508" s="332"/>
      <c r="TWM508" s="332"/>
      <c r="TWN508" s="332"/>
      <c r="TWO508" s="332"/>
      <c r="TWP508" s="332"/>
      <c r="TWQ508" s="332"/>
      <c r="TWR508" s="332"/>
      <c r="TWS508" s="332"/>
      <c r="TWT508" s="332"/>
      <c r="TWU508" s="332"/>
      <c r="TWV508" s="332"/>
      <c r="TWW508" s="332"/>
      <c r="TWX508" s="332"/>
      <c r="TWY508" s="332"/>
      <c r="TWZ508" s="332"/>
      <c r="TXA508" s="332"/>
      <c r="TXB508" s="332"/>
      <c r="TXC508" s="332"/>
      <c r="TXD508" s="332"/>
      <c r="TXE508" s="332"/>
      <c r="TXF508" s="332"/>
      <c r="TXG508" s="332"/>
      <c r="TXH508" s="332"/>
      <c r="TXI508" s="332"/>
      <c r="TXJ508" s="332"/>
      <c r="TXK508" s="332"/>
      <c r="TXL508" s="332"/>
      <c r="TXM508" s="332"/>
      <c r="TXN508" s="332"/>
      <c r="TXO508" s="332"/>
      <c r="TXP508" s="332"/>
      <c r="TXQ508" s="332"/>
      <c r="TXR508" s="332"/>
      <c r="TXS508" s="332"/>
      <c r="TXT508" s="332"/>
      <c r="TXU508" s="332"/>
      <c r="TXV508" s="332"/>
      <c r="TXW508" s="332"/>
      <c r="TXX508" s="332"/>
      <c r="TXY508" s="332"/>
      <c r="TXZ508" s="332"/>
      <c r="TYA508" s="332"/>
      <c r="TYB508" s="332"/>
      <c r="TYC508" s="332"/>
      <c r="TYD508" s="332"/>
      <c r="TYE508" s="332"/>
      <c r="TYF508" s="332"/>
      <c r="TYG508" s="332"/>
      <c r="TYH508" s="332"/>
      <c r="TYI508" s="332"/>
      <c r="TYJ508" s="332"/>
      <c r="TYK508" s="332"/>
      <c r="TYL508" s="332"/>
      <c r="TYM508" s="332"/>
      <c r="TYN508" s="332"/>
      <c r="TYO508" s="332"/>
      <c r="TYP508" s="332"/>
      <c r="TYQ508" s="332"/>
      <c r="TYR508" s="332"/>
      <c r="TYS508" s="332"/>
      <c r="TYT508" s="332"/>
      <c r="TYU508" s="332"/>
      <c r="TYV508" s="332"/>
      <c r="TYW508" s="332"/>
      <c r="TYX508" s="332"/>
      <c r="TYY508" s="332"/>
      <c r="TYZ508" s="332"/>
      <c r="TZA508" s="332"/>
      <c r="TZB508" s="332"/>
      <c r="TZC508" s="332"/>
      <c r="TZD508" s="332"/>
      <c r="TZE508" s="332"/>
      <c r="TZF508" s="332"/>
      <c r="TZG508" s="332"/>
      <c r="TZH508" s="332"/>
      <c r="TZI508" s="332"/>
      <c r="TZJ508" s="332"/>
      <c r="TZK508" s="332"/>
      <c r="TZL508" s="332"/>
      <c r="TZM508" s="332"/>
      <c r="TZN508" s="332"/>
      <c r="TZO508" s="332"/>
      <c r="TZP508" s="332"/>
      <c r="TZQ508" s="332"/>
      <c r="TZR508" s="332"/>
      <c r="TZS508" s="332"/>
      <c r="TZT508" s="332"/>
      <c r="TZU508" s="332"/>
      <c r="TZV508" s="332"/>
      <c r="TZW508" s="332"/>
      <c r="TZX508" s="332"/>
      <c r="TZY508" s="332"/>
      <c r="TZZ508" s="332"/>
      <c r="UAA508" s="332"/>
      <c r="UAB508" s="332"/>
      <c r="UAC508" s="332"/>
      <c r="UAD508" s="332"/>
      <c r="UAE508" s="332"/>
      <c r="UAF508" s="332"/>
      <c r="UAG508" s="332"/>
      <c r="UAH508" s="332"/>
      <c r="UAI508" s="332"/>
      <c r="UAJ508" s="332"/>
      <c r="UAK508" s="332"/>
      <c r="UAL508" s="332"/>
      <c r="UAM508" s="332"/>
      <c r="UAN508" s="332"/>
      <c r="UAO508" s="332"/>
      <c r="UAP508" s="332"/>
      <c r="UAQ508" s="332"/>
      <c r="UAR508" s="332"/>
      <c r="UAS508" s="332"/>
      <c r="UAT508" s="332"/>
      <c r="UAU508" s="332"/>
      <c r="UAV508" s="332"/>
      <c r="UAW508" s="332"/>
      <c r="UAX508" s="332"/>
      <c r="UAY508" s="332"/>
      <c r="UAZ508" s="332"/>
      <c r="UBA508" s="332"/>
      <c r="UBB508" s="332"/>
      <c r="UBC508" s="332"/>
      <c r="UBD508" s="332"/>
      <c r="UBE508" s="332"/>
      <c r="UBF508" s="332"/>
      <c r="UBG508" s="332"/>
      <c r="UBH508" s="332"/>
      <c r="UBI508" s="332"/>
      <c r="UBJ508" s="332"/>
      <c r="UBK508" s="332"/>
      <c r="UBL508" s="332"/>
      <c r="UBM508" s="332"/>
      <c r="UBN508" s="332"/>
      <c r="UBO508" s="332"/>
      <c r="UBP508" s="332"/>
      <c r="UBQ508" s="332"/>
      <c r="UBR508" s="332"/>
      <c r="UBS508" s="332"/>
      <c r="UBT508" s="332"/>
      <c r="UBU508" s="332"/>
      <c r="UBV508" s="332"/>
      <c r="UBW508" s="332"/>
      <c r="UBX508" s="332"/>
      <c r="UBY508" s="332"/>
      <c r="UBZ508" s="332"/>
      <c r="UCA508" s="332"/>
      <c r="UCB508" s="332"/>
      <c r="UCC508" s="332"/>
      <c r="UCD508" s="332"/>
      <c r="UCE508" s="332"/>
      <c r="UCF508" s="332"/>
      <c r="UCG508" s="332"/>
      <c r="UCH508" s="332"/>
      <c r="UCI508" s="332"/>
      <c r="UCJ508" s="332"/>
      <c r="UCK508" s="332"/>
      <c r="UCL508" s="332"/>
      <c r="UCM508" s="332"/>
      <c r="UCN508" s="332"/>
      <c r="UCO508" s="332"/>
      <c r="UCP508" s="332"/>
      <c r="UCQ508" s="332"/>
      <c r="UCR508" s="332"/>
      <c r="UCS508" s="332"/>
      <c r="UCT508" s="332"/>
      <c r="UCU508" s="332"/>
      <c r="UCV508" s="332"/>
      <c r="UCW508" s="332"/>
      <c r="UCX508" s="332"/>
      <c r="UCY508" s="332"/>
      <c r="UCZ508" s="332"/>
      <c r="UDA508" s="332"/>
      <c r="UDB508" s="332"/>
      <c r="UDC508" s="332"/>
      <c r="UDD508" s="332"/>
      <c r="UDE508" s="332"/>
      <c r="UDF508" s="332"/>
      <c r="UDG508" s="332"/>
      <c r="UDH508" s="332"/>
      <c r="UDI508" s="332"/>
      <c r="UDJ508" s="332"/>
      <c r="UDK508" s="332"/>
      <c r="UDL508" s="332"/>
      <c r="UDM508" s="332"/>
      <c r="UDN508" s="332"/>
      <c r="UDO508" s="332"/>
      <c r="UDP508" s="332"/>
      <c r="UDQ508" s="332"/>
      <c r="UDR508" s="332"/>
      <c r="UDS508" s="332"/>
      <c r="UDT508" s="332"/>
      <c r="UDU508" s="332"/>
      <c r="UDV508" s="332"/>
      <c r="UDW508" s="332"/>
      <c r="UDX508" s="332"/>
      <c r="UDY508" s="332"/>
      <c r="UDZ508" s="332"/>
      <c r="UEA508" s="332"/>
      <c r="UEB508" s="332"/>
      <c r="UEC508" s="332"/>
      <c r="UED508" s="332"/>
      <c r="UEE508" s="332"/>
      <c r="UEF508" s="332"/>
      <c r="UEG508" s="332"/>
      <c r="UEH508" s="332"/>
      <c r="UEI508" s="332"/>
      <c r="UEJ508" s="332"/>
      <c r="UEK508" s="332"/>
      <c r="UEL508" s="332"/>
      <c r="UEM508" s="332"/>
      <c r="UEN508" s="332"/>
      <c r="UEO508" s="332"/>
      <c r="UEP508" s="332"/>
      <c r="UEQ508" s="332"/>
      <c r="UER508" s="332"/>
      <c r="UES508" s="332"/>
      <c r="UET508" s="332"/>
      <c r="UEU508" s="332"/>
      <c r="UEV508" s="332"/>
      <c r="UEW508" s="332"/>
      <c r="UEX508" s="332"/>
      <c r="UEY508" s="332"/>
      <c r="UEZ508" s="332"/>
      <c r="UFA508" s="332"/>
      <c r="UFB508" s="332"/>
      <c r="UFC508" s="332"/>
      <c r="UFD508" s="332"/>
      <c r="UFE508" s="332"/>
      <c r="UFF508" s="332"/>
      <c r="UFG508" s="332"/>
      <c r="UFH508" s="332"/>
      <c r="UFI508" s="332"/>
      <c r="UFJ508" s="332"/>
      <c r="UFK508" s="332"/>
      <c r="UFL508" s="332"/>
      <c r="UFM508" s="332"/>
      <c r="UFN508" s="332"/>
      <c r="UFO508" s="332"/>
      <c r="UFP508" s="332"/>
      <c r="UFQ508" s="332"/>
      <c r="UFR508" s="332"/>
      <c r="UFS508" s="332"/>
      <c r="UFT508" s="332"/>
      <c r="UFU508" s="332"/>
      <c r="UFV508" s="332"/>
      <c r="UFW508" s="332"/>
      <c r="UFX508" s="332"/>
      <c r="UFY508" s="332"/>
      <c r="UFZ508" s="332"/>
      <c r="UGA508" s="332"/>
      <c r="UGB508" s="332"/>
      <c r="UGC508" s="332"/>
      <c r="UGD508" s="332"/>
      <c r="UGE508" s="332"/>
      <c r="UGF508" s="332"/>
      <c r="UGG508" s="332"/>
      <c r="UGH508" s="332"/>
      <c r="UGI508" s="332"/>
      <c r="UGJ508" s="332"/>
      <c r="UGK508" s="332"/>
      <c r="UGL508" s="332"/>
      <c r="UGM508" s="332"/>
      <c r="UGN508" s="332"/>
      <c r="UGO508" s="332"/>
      <c r="UGP508" s="332"/>
      <c r="UGQ508" s="332"/>
      <c r="UGR508" s="332"/>
      <c r="UGS508" s="332"/>
      <c r="UGT508" s="332"/>
      <c r="UGU508" s="332"/>
      <c r="UGV508" s="332"/>
      <c r="UGW508" s="332"/>
      <c r="UGX508" s="332"/>
      <c r="UGY508" s="332"/>
      <c r="UGZ508" s="332"/>
      <c r="UHA508" s="332"/>
      <c r="UHB508" s="332"/>
      <c r="UHC508" s="332"/>
      <c r="UHD508" s="332"/>
      <c r="UHE508" s="332"/>
      <c r="UHF508" s="332"/>
      <c r="UHG508" s="332"/>
      <c r="UHH508" s="332"/>
      <c r="UHI508" s="332"/>
      <c r="UHJ508" s="332"/>
      <c r="UHK508" s="332"/>
      <c r="UHL508" s="332"/>
      <c r="UHM508" s="332"/>
      <c r="UHN508" s="332"/>
      <c r="UHO508" s="332"/>
      <c r="UHP508" s="332"/>
      <c r="UHQ508" s="332"/>
      <c r="UHR508" s="332"/>
      <c r="UHS508" s="332"/>
      <c r="UHT508" s="332"/>
      <c r="UHU508" s="332"/>
      <c r="UHV508" s="332"/>
      <c r="UHW508" s="332"/>
      <c r="UHX508" s="332"/>
      <c r="UHY508" s="332"/>
      <c r="UHZ508" s="332"/>
      <c r="UIA508" s="332"/>
      <c r="UIB508" s="332"/>
      <c r="UIC508" s="332"/>
      <c r="UID508" s="332"/>
      <c r="UIE508" s="332"/>
      <c r="UIF508" s="332"/>
      <c r="UIG508" s="332"/>
      <c r="UIH508" s="332"/>
      <c r="UII508" s="332"/>
      <c r="UIJ508" s="332"/>
      <c r="UIK508" s="332"/>
      <c r="UIL508" s="332"/>
      <c r="UIM508" s="332"/>
      <c r="UIN508" s="332"/>
      <c r="UIO508" s="332"/>
      <c r="UIP508" s="332"/>
      <c r="UIQ508" s="332"/>
      <c r="UIR508" s="332"/>
      <c r="UIS508" s="332"/>
      <c r="UIT508" s="332"/>
      <c r="UIU508" s="332"/>
      <c r="UIV508" s="332"/>
      <c r="UIW508" s="332"/>
      <c r="UIX508" s="332"/>
      <c r="UIY508" s="332"/>
      <c r="UIZ508" s="332"/>
      <c r="UJA508" s="332"/>
      <c r="UJB508" s="332"/>
      <c r="UJC508" s="332"/>
      <c r="UJD508" s="332"/>
      <c r="UJE508" s="332"/>
      <c r="UJF508" s="332"/>
      <c r="UJG508" s="332"/>
      <c r="UJH508" s="332"/>
      <c r="UJI508" s="332"/>
      <c r="UJJ508" s="332"/>
      <c r="UJK508" s="332"/>
      <c r="UJL508" s="332"/>
      <c r="UJM508" s="332"/>
      <c r="UJN508" s="332"/>
      <c r="UJO508" s="332"/>
      <c r="UJP508" s="332"/>
      <c r="UJQ508" s="332"/>
      <c r="UJR508" s="332"/>
      <c r="UJS508" s="332"/>
      <c r="UJT508" s="332"/>
      <c r="UJU508" s="332"/>
      <c r="UJV508" s="332"/>
      <c r="UJW508" s="332"/>
      <c r="UJX508" s="332"/>
      <c r="UJY508" s="332"/>
      <c r="UJZ508" s="332"/>
      <c r="UKA508" s="332"/>
      <c r="UKB508" s="332"/>
      <c r="UKC508" s="332"/>
      <c r="UKD508" s="332"/>
      <c r="UKE508" s="332"/>
      <c r="UKF508" s="332"/>
      <c r="UKG508" s="332"/>
      <c r="UKH508" s="332"/>
      <c r="UKI508" s="332"/>
      <c r="UKJ508" s="332"/>
      <c r="UKK508" s="332"/>
      <c r="UKL508" s="332"/>
      <c r="UKM508" s="332"/>
      <c r="UKN508" s="332"/>
      <c r="UKO508" s="332"/>
      <c r="UKP508" s="332"/>
      <c r="UKQ508" s="332"/>
      <c r="UKR508" s="332"/>
      <c r="UKS508" s="332"/>
      <c r="UKT508" s="332"/>
      <c r="UKU508" s="332"/>
      <c r="UKV508" s="332"/>
      <c r="UKW508" s="332"/>
      <c r="UKX508" s="332"/>
      <c r="UKY508" s="332"/>
      <c r="UKZ508" s="332"/>
      <c r="ULA508" s="332"/>
      <c r="ULB508" s="332"/>
      <c r="ULC508" s="332"/>
      <c r="ULD508" s="332"/>
      <c r="ULE508" s="332"/>
      <c r="ULF508" s="332"/>
      <c r="ULG508" s="332"/>
      <c r="ULH508" s="332"/>
      <c r="ULI508" s="332"/>
      <c r="ULJ508" s="332"/>
      <c r="ULK508" s="332"/>
      <c r="ULL508" s="332"/>
      <c r="ULM508" s="332"/>
      <c r="ULN508" s="332"/>
      <c r="ULO508" s="332"/>
      <c r="ULP508" s="332"/>
      <c r="ULQ508" s="332"/>
      <c r="ULR508" s="332"/>
      <c r="ULS508" s="332"/>
      <c r="ULT508" s="332"/>
      <c r="ULU508" s="332"/>
      <c r="ULV508" s="332"/>
      <c r="ULW508" s="332"/>
      <c r="ULX508" s="332"/>
      <c r="ULY508" s="332"/>
      <c r="ULZ508" s="332"/>
      <c r="UMA508" s="332"/>
      <c r="UMB508" s="332"/>
      <c r="UMC508" s="332"/>
      <c r="UMD508" s="332"/>
      <c r="UME508" s="332"/>
      <c r="UMF508" s="332"/>
      <c r="UMG508" s="332"/>
      <c r="UMH508" s="332"/>
      <c r="UMI508" s="332"/>
      <c r="UMJ508" s="332"/>
      <c r="UMK508" s="332"/>
      <c r="UML508" s="332"/>
      <c r="UMM508" s="332"/>
      <c r="UMN508" s="332"/>
      <c r="UMO508" s="332"/>
      <c r="UMP508" s="332"/>
      <c r="UMQ508" s="332"/>
      <c r="UMR508" s="332"/>
      <c r="UMS508" s="332"/>
      <c r="UMT508" s="332"/>
      <c r="UMU508" s="332"/>
      <c r="UMV508" s="332"/>
      <c r="UMW508" s="332"/>
      <c r="UMX508" s="332"/>
      <c r="UMY508" s="332"/>
      <c r="UMZ508" s="332"/>
      <c r="UNA508" s="332"/>
      <c r="UNB508" s="332"/>
      <c r="UNC508" s="332"/>
      <c r="UND508" s="332"/>
      <c r="UNE508" s="332"/>
      <c r="UNF508" s="332"/>
      <c r="UNG508" s="332"/>
      <c r="UNH508" s="332"/>
      <c r="UNI508" s="332"/>
      <c r="UNJ508" s="332"/>
      <c r="UNK508" s="332"/>
      <c r="UNL508" s="332"/>
      <c r="UNM508" s="332"/>
      <c r="UNN508" s="332"/>
      <c r="UNO508" s="332"/>
      <c r="UNP508" s="332"/>
      <c r="UNQ508" s="332"/>
      <c r="UNR508" s="332"/>
      <c r="UNS508" s="332"/>
      <c r="UNT508" s="332"/>
      <c r="UNU508" s="332"/>
      <c r="UNV508" s="332"/>
      <c r="UNW508" s="332"/>
      <c r="UNX508" s="332"/>
      <c r="UNY508" s="332"/>
      <c r="UNZ508" s="332"/>
      <c r="UOA508" s="332"/>
      <c r="UOB508" s="332"/>
      <c r="UOC508" s="332"/>
      <c r="UOD508" s="332"/>
      <c r="UOE508" s="332"/>
      <c r="UOF508" s="332"/>
      <c r="UOG508" s="332"/>
      <c r="UOH508" s="332"/>
      <c r="UOI508" s="332"/>
      <c r="UOJ508" s="332"/>
      <c r="UOK508" s="332"/>
      <c r="UOL508" s="332"/>
      <c r="UOM508" s="332"/>
      <c r="UON508" s="332"/>
      <c r="UOO508" s="332"/>
      <c r="UOP508" s="332"/>
      <c r="UOQ508" s="332"/>
      <c r="UOR508" s="332"/>
      <c r="UOS508" s="332"/>
      <c r="UOT508" s="332"/>
      <c r="UOU508" s="332"/>
      <c r="UOV508" s="332"/>
      <c r="UOW508" s="332"/>
      <c r="UOX508" s="332"/>
      <c r="UOY508" s="332"/>
      <c r="UOZ508" s="332"/>
      <c r="UPA508" s="332"/>
      <c r="UPB508" s="332"/>
      <c r="UPC508" s="332"/>
      <c r="UPD508" s="332"/>
      <c r="UPE508" s="332"/>
      <c r="UPF508" s="332"/>
      <c r="UPG508" s="332"/>
      <c r="UPH508" s="332"/>
      <c r="UPI508" s="332"/>
      <c r="UPJ508" s="332"/>
      <c r="UPK508" s="332"/>
      <c r="UPL508" s="332"/>
      <c r="UPM508" s="332"/>
      <c r="UPN508" s="332"/>
      <c r="UPO508" s="332"/>
      <c r="UPP508" s="332"/>
      <c r="UPQ508" s="332"/>
      <c r="UPR508" s="332"/>
      <c r="UPS508" s="332"/>
      <c r="UPT508" s="332"/>
      <c r="UPU508" s="332"/>
      <c r="UPV508" s="332"/>
      <c r="UPW508" s="332"/>
      <c r="UPX508" s="332"/>
      <c r="UPY508" s="332"/>
      <c r="UPZ508" s="332"/>
      <c r="UQA508" s="332"/>
      <c r="UQB508" s="332"/>
      <c r="UQC508" s="332"/>
      <c r="UQD508" s="332"/>
      <c r="UQE508" s="332"/>
      <c r="UQF508" s="332"/>
      <c r="UQG508" s="332"/>
      <c r="UQH508" s="332"/>
      <c r="UQI508" s="332"/>
      <c r="UQJ508" s="332"/>
      <c r="UQK508" s="332"/>
      <c r="UQL508" s="332"/>
      <c r="UQM508" s="332"/>
      <c r="UQN508" s="332"/>
      <c r="UQO508" s="332"/>
      <c r="UQP508" s="332"/>
      <c r="UQQ508" s="332"/>
      <c r="UQR508" s="332"/>
      <c r="UQS508" s="332"/>
      <c r="UQT508" s="332"/>
      <c r="UQU508" s="332"/>
      <c r="UQV508" s="332"/>
      <c r="UQW508" s="332"/>
      <c r="UQX508" s="332"/>
      <c r="UQY508" s="332"/>
      <c r="UQZ508" s="332"/>
      <c r="URA508" s="332"/>
      <c r="URB508" s="332"/>
      <c r="URC508" s="332"/>
      <c r="URD508" s="332"/>
      <c r="URE508" s="332"/>
      <c r="URF508" s="332"/>
      <c r="URG508" s="332"/>
      <c r="URH508" s="332"/>
      <c r="URI508" s="332"/>
      <c r="URJ508" s="332"/>
      <c r="URK508" s="332"/>
      <c r="URL508" s="332"/>
      <c r="URM508" s="332"/>
      <c r="URN508" s="332"/>
      <c r="URO508" s="332"/>
      <c r="URP508" s="332"/>
      <c r="URQ508" s="332"/>
      <c r="URR508" s="332"/>
      <c r="URS508" s="332"/>
      <c r="URT508" s="332"/>
      <c r="URU508" s="332"/>
      <c r="URV508" s="332"/>
      <c r="URW508" s="332"/>
      <c r="URX508" s="332"/>
      <c r="URY508" s="332"/>
      <c r="URZ508" s="332"/>
      <c r="USA508" s="332"/>
      <c r="USB508" s="332"/>
      <c r="USC508" s="332"/>
      <c r="USD508" s="332"/>
      <c r="USE508" s="332"/>
      <c r="USF508" s="332"/>
      <c r="USG508" s="332"/>
      <c r="USH508" s="332"/>
      <c r="USI508" s="332"/>
      <c r="USJ508" s="332"/>
      <c r="USK508" s="332"/>
      <c r="USL508" s="332"/>
      <c r="USM508" s="332"/>
      <c r="USN508" s="332"/>
      <c r="USO508" s="332"/>
      <c r="USP508" s="332"/>
      <c r="USQ508" s="332"/>
      <c r="USR508" s="332"/>
      <c r="USS508" s="332"/>
      <c r="UST508" s="332"/>
      <c r="USU508" s="332"/>
      <c r="USV508" s="332"/>
      <c r="USW508" s="332"/>
      <c r="USX508" s="332"/>
      <c r="USY508" s="332"/>
      <c r="USZ508" s="332"/>
      <c r="UTA508" s="332"/>
      <c r="UTB508" s="332"/>
      <c r="UTC508" s="332"/>
      <c r="UTD508" s="332"/>
      <c r="UTE508" s="332"/>
      <c r="UTF508" s="332"/>
      <c r="UTG508" s="332"/>
      <c r="UTH508" s="332"/>
      <c r="UTI508" s="332"/>
      <c r="UTJ508" s="332"/>
      <c r="UTK508" s="332"/>
      <c r="UTL508" s="332"/>
      <c r="UTM508" s="332"/>
      <c r="UTN508" s="332"/>
      <c r="UTO508" s="332"/>
      <c r="UTP508" s="332"/>
      <c r="UTQ508" s="332"/>
      <c r="UTR508" s="332"/>
      <c r="UTS508" s="332"/>
      <c r="UTT508" s="332"/>
      <c r="UTU508" s="332"/>
      <c r="UTV508" s="332"/>
      <c r="UTW508" s="332"/>
      <c r="UTX508" s="332"/>
      <c r="UTY508" s="332"/>
      <c r="UTZ508" s="332"/>
      <c r="UUA508" s="332"/>
      <c r="UUB508" s="332"/>
      <c r="UUC508" s="332"/>
      <c r="UUD508" s="332"/>
      <c r="UUE508" s="332"/>
      <c r="UUF508" s="332"/>
      <c r="UUG508" s="332"/>
      <c r="UUH508" s="332"/>
      <c r="UUI508" s="332"/>
      <c r="UUJ508" s="332"/>
      <c r="UUK508" s="332"/>
      <c r="UUL508" s="332"/>
      <c r="UUM508" s="332"/>
      <c r="UUN508" s="332"/>
      <c r="UUO508" s="332"/>
      <c r="UUP508" s="332"/>
      <c r="UUQ508" s="332"/>
      <c r="UUR508" s="332"/>
      <c r="UUS508" s="332"/>
      <c r="UUT508" s="332"/>
      <c r="UUU508" s="332"/>
      <c r="UUV508" s="332"/>
      <c r="UUW508" s="332"/>
      <c r="UUX508" s="332"/>
      <c r="UUY508" s="332"/>
      <c r="UUZ508" s="332"/>
      <c r="UVA508" s="332"/>
      <c r="UVB508" s="332"/>
      <c r="UVC508" s="332"/>
      <c r="UVD508" s="332"/>
      <c r="UVE508" s="332"/>
      <c r="UVF508" s="332"/>
      <c r="UVG508" s="332"/>
      <c r="UVH508" s="332"/>
      <c r="UVI508" s="332"/>
      <c r="UVJ508" s="332"/>
      <c r="UVK508" s="332"/>
      <c r="UVL508" s="332"/>
      <c r="UVM508" s="332"/>
      <c r="UVN508" s="332"/>
      <c r="UVO508" s="332"/>
      <c r="UVP508" s="332"/>
      <c r="UVQ508" s="332"/>
      <c r="UVR508" s="332"/>
      <c r="UVS508" s="332"/>
      <c r="UVT508" s="332"/>
      <c r="UVU508" s="332"/>
      <c r="UVV508" s="332"/>
      <c r="UVW508" s="332"/>
      <c r="UVX508" s="332"/>
      <c r="UVY508" s="332"/>
      <c r="UVZ508" s="332"/>
      <c r="UWA508" s="332"/>
      <c r="UWB508" s="332"/>
      <c r="UWC508" s="332"/>
      <c r="UWD508" s="332"/>
      <c r="UWE508" s="332"/>
      <c r="UWF508" s="332"/>
      <c r="UWG508" s="332"/>
      <c r="UWH508" s="332"/>
      <c r="UWI508" s="332"/>
      <c r="UWJ508" s="332"/>
      <c r="UWK508" s="332"/>
      <c r="UWL508" s="332"/>
      <c r="UWM508" s="332"/>
      <c r="UWN508" s="332"/>
      <c r="UWO508" s="332"/>
      <c r="UWP508" s="332"/>
      <c r="UWQ508" s="332"/>
      <c r="UWR508" s="332"/>
      <c r="UWS508" s="332"/>
      <c r="UWT508" s="332"/>
      <c r="UWU508" s="332"/>
      <c r="UWV508" s="332"/>
      <c r="UWW508" s="332"/>
      <c r="UWX508" s="332"/>
      <c r="UWY508" s="332"/>
      <c r="UWZ508" s="332"/>
      <c r="UXA508" s="332"/>
      <c r="UXB508" s="332"/>
      <c r="UXC508" s="332"/>
      <c r="UXD508" s="332"/>
      <c r="UXE508" s="332"/>
      <c r="UXF508" s="332"/>
      <c r="UXG508" s="332"/>
      <c r="UXH508" s="332"/>
      <c r="UXI508" s="332"/>
      <c r="UXJ508" s="332"/>
      <c r="UXK508" s="332"/>
      <c r="UXL508" s="332"/>
      <c r="UXM508" s="332"/>
      <c r="UXN508" s="332"/>
      <c r="UXO508" s="332"/>
      <c r="UXP508" s="332"/>
      <c r="UXQ508" s="332"/>
      <c r="UXR508" s="332"/>
      <c r="UXS508" s="332"/>
      <c r="UXT508" s="332"/>
      <c r="UXU508" s="332"/>
      <c r="UXV508" s="332"/>
      <c r="UXW508" s="332"/>
      <c r="UXX508" s="332"/>
      <c r="UXY508" s="332"/>
      <c r="UXZ508" s="332"/>
      <c r="UYA508" s="332"/>
      <c r="UYB508" s="332"/>
      <c r="UYC508" s="332"/>
      <c r="UYD508" s="332"/>
      <c r="UYE508" s="332"/>
      <c r="UYF508" s="332"/>
      <c r="UYG508" s="332"/>
      <c r="UYH508" s="332"/>
      <c r="UYI508" s="332"/>
      <c r="UYJ508" s="332"/>
      <c r="UYK508" s="332"/>
      <c r="UYL508" s="332"/>
      <c r="UYM508" s="332"/>
      <c r="UYN508" s="332"/>
      <c r="UYO508" s="332"/>
      <c r="UYP508" s="332"/>
      <c r="UYQ508" s="332"/>
      <c r="UYR508" s="332"/>
      <c r="UYS508" s="332"/>
      <c r="UYT508" s="332"/>
      <c r="UYU508" s="332"/>
      <c r="UYV508" s="332"/>
      <c r="UYW508" s="332"/>
      <c r="UYX508" s="332"/>
      <c r="UYY508" s="332"/>
      <c r="UYZ508" s="332"/>
      <c r="UZA508" s="332"/>
      <c r="UZB508" s="332"/>
      <c r="UZC508" s="332"/>
      <c r="UZD508" s="332"/>
      <c r="UZE508" s="332"/>
      <c r="UZF508" s="332"/>
      <c r="UZG508" s="332"/>
      <c r="UZH508" s="332"/>
      <c r="UZI508" s="332"/>
      <c r="UZJ508" s="332"/>
      <c r="UZK508" s="332"/>
      <c r="UZL508" s="332"/>
      <c r="UZM508" s="332"/>
      <c r="UZN508" s="332"/>
      <c r="UZO508" s="332"/>
      <c r="UZP508" s="332"/>
      <c r="UZQ508" s="332"/>
      <c r="UZR508" s="332"/>
      <c r="UZS508" s="332"/>
      <c r="UZT508" s="332"/>
      <c r="UZU508" s="332"/>
      <c r="UZV508" s="332"/>
      <c r="UZW508" s="332"/>
      <c r="UZX508" s="332"/>
      <c r="UZY508" s="332"/>
      <c r="UZZ508" s="332"/>
      <c r="VAA508" s="332"/>
      <c r="VAB508" s="332"/>
      <c r="VAC508" s="332"/>
      <c r="VAD508" s="332"/>
      <c r="VAE508" s="332"/>
      <c r="VAF508" s="332"/>
      <c r="VAG508" s="332"/>
      <c r="VAH508" s="332"/>
      <c r="VAI508" s="332"/>
      <c r="VAJ508" s="332"/>
      <c r="VAK508" s="332"/>
      <c r="VAL508" s="332"/>
      <c r="VAM508" s="332"/>
      <c r="VAN508" s="332"/>
      <c r="VAO508" s="332"/>
      <c r="VAP508" s="332"/>
      <c r="VAQ508" s="332"/>
      <c r="VAR508" s="332"/>
      <c r="VAS508" s="332"/>
      <c r="VAT508" s="332"/>
      <c r="VAU508" s="332"/>
      <c r="VAV508" s="332"/>
      <c r="VAW508" s="332"/>
      <c r="VAX508" s="332"/>
      <c r="VAY508" s="332"/>
      <c r="VAZ508" s="332"/>
      <c r="VBA508" s="332"/>
      <c r="VBB508" s="332"/>
      <c r="VBC508" s="332"/>
      <c r="VBD508" s="332"/>
      <c r="VBE508" s="332"/>
      <c r="VBF508" s="332"/>
      <c r="VBG508" s="332"/>
      <c r="VBH508" s="332"/>
      <c r="VBI508" s="332"/>
      <c r="VBJ508" s="332"/>
      <c r="VBK508" s="332"/>
      <c r="VBL508" s="332"/>
      <c r="VBM508" s="332"/>
      <c r="VBN508" s="332"/>
      <c r="VBO508" s="332"/>
      <c r="VBP508" s="332"/>
      <c r="VBQ508" s="332"/>
      <c r="VBR508" s="332"/>
      <c r="VBS508" s="332"/>
      <c r="VBT508" s="332"/>
      <c r="VBU508" s="332"/>
      <c r="VBV508" s="332"/>
      <c r="VBW508" s="332"/>
      <c r="VBX508" s="332"/>
      <c r="VBY508" s="332"/>
      <c r="VBZ508" s="332"/>
      <c r="VCA508" s="332"/>
      <c r="VCB508" s="332"/>
      <c r="VCC508" s="332"/>
      <c r="VCD508" s="332"/>
      <c r="VCE508" s="332"/>
      <c r="VCF508" s="332"/>
      <c r="VCG508" s="332"/>
      <c r="VCH508" s="332"/>
      <c r="VCI508" s="332"/>
      <c r="VCJ508" s="332"/>
      <c r="VCK508" s="332"/>
      <c r="VCL508" s="332"/>
      <c r="VCM508" s="332"/>
      <c r="VCN508" s="332"/>
      <c r="VCO508" s="332"/>
      <c r="VCP508" s="332"/>
      <c r="VCQ508" s="332"/>
      <c r="VCR508" s="332"/>
      <c r="VCS508" s="332"/>
      <c r="VCT508" s="332"/>
      <c r="VCU508" s="332"/>
      <c r="VCV508" s="332"/>
      <c r="VCW508" s="332"/>
      <c r="VCX508" s="332"/>
      <c r="VCY508" s="332"/>
      <c r="VCZ508" s="332"/>
      <c r="VDA508" s="332"/>
      <c r="VDB508" s="332"/>
      <c r="VDC508" s="332"/>
      <c r="VDD508" s="332"/>
      <c r="VDE508" s="332"/>
      <c r="VDF508" s="332"/>
      <c r="VDG508" s="332"/>
      <c r="VDH508" s="332"/>
      <c r="VDI508" s="332"/>
      <c r="VDJ508" s="332"/>
      <c r="VDK508" s="332"/>
      <c r="VDL508" s="332"/>
      <c r="VDM508" s="332"/>
      <c r="VDN508" s="332"/>
      <c r="VDO508" s="332"/>
      <c r="VDP508" s="332"/>
      <c r="VDQ508" s="332"/>
      <c r="VDR508" s="332"/>
      <c r="VDS508" s="332"/>
      <c r="VDT508" s="332"/>
      <c r="VDU508" s="332"/>
      <c r="VDV508" s="332"/>
      <c r="VDW508" s="332"/>
      <c r="VDX508" s="332"/>
      <c r="VDY508" s="332"/>
      <c r="VDZ508" s="332"/>
      <c r="VEA508" s="332"/>
      <c r="VEB508" s="332"/>
      <c r="VEC508" s="332"/>
      <c r="VED508" s="332"/>
      <c r="VEE508" s="332"/>
      <c r="VEF508" s="332"/>
      <c r="VEG508" s="332"/>
      <c r="VEH508" s="332"/>
      <c r="VEI508" s="332"/>
      <c r="VEJ508" s="332"/>
      <c r="VEK508" s="332"/>
      <c r="VEL508" s="332"/>
      <c r="VEM508" s="332"/>
      <c r="VEN508" s="332"/>
      <c r="VEO508" s="332"/>
      <c r="VEP508" s="332"/>
      <c r="VEQ508" s="332"/>
      <c r="VER508" s="332"/>
      <c r="VES508" s="332"/>
      <c r="VET508" s="332"/>
      <c r="VEU508" s="332"/>
      <c r="VEV508" s="332"/>
      <c r="VEW508" s="332"/>
      <c r="VEX508" s="332"/>
      <c r="VEY508" s="332"/>
      <c r="VEZ508" s="332"/>
      <c r="VFA508" s="332"/>
      <c r="VFB508" s="332"/>
      <c r="VFC508" s="332"/>
      <c r="VFD508" s="332"/>
      <c r="VFE508" s="332"/>
      <c r="VFF508" s="332"/>
      <c r="VFG508" s="332"/>
      <c r="VFH508" s="332"/>
      <c r="VFI508" s="332"/>
      <c r="VFJ508" s="332"/>
      <c r="VFK508" s="332"/>
      <c r="VFL508" s="332"/>
      <c r="VFM508" s="332"/>
      <c r="VFN508" s="332"/>
      <c r="VFO508" s="332"/>
      <c r="VFP508" s="332"/>
      <c r="VFQ508" s="332"/>
      <c r="VFR508" s="332"/>
      <c r="VFS508" s="332"/>
      <c r="VFT508" s="332"/>
      <c r="VFU508" s="332"/>
      <c r="VFV508" s="332"/>
      <c r="VFW508" s="332"/>
      <c r="VFX508" s="332"/>
      <c r="VFY508" s="332"/>
      <c r="VFZ508" s="332"/>
      <c r="VGA508" s="332"/>
      <c r="VGB508" s="332"/>
      <c r="VGC508" s="332"/>
      <c r="VGD508" s="332"/>
      <c r="VGE508" s="332"/>
      <c r="VGF508" s="332"/>
      <c r="VGG508" s="332"/>
      <c r="VGH508" s="332"/>
      <c r="VGI508" s="332"/>
      <c r="VGJ508" s="332"/>
      <c r="VGK508" s="332"/>
      <c r="VGL508" s="332"/>
      <c r="VGM508" s="332"/>
      <c r="VGN508" s="332"/>
      <c r="VGO508" s="332"/>
      <c r="VGP508" s="332"/>
      <c r="VGQ508" s="332"/>
      <c r="VGR508" s="332"/>
      <c r="VGS508" s="332"/>
      <c r="VGT508" s="332"/>
      <c r="VGU508" s="332"/>
      <c r="VGV508" s="332"/>
      <c r="VGW508" s="332"/>
      <c r="VGX508" s="332"/>
      <c r="VGY508" s="332"/>
      <c r="VGZ508" s="332"/>
      <c r="VHA508" s="332"/>
      <c r="VHB508" s="332"/>
      <c r="VHC508" s="332"/>
      <c r="VHD508" s="332"/>
      <c r="VHE508" s="332"/>
      <c r="VHF508" s="332"/>
      <c r="VHG508" s="332"/>
      <c r="VHH508" s="332"/>
      <c r="VHI508" s="332"/>
      <c r="VHJ508" s="332"/>
      <c r="VHK508" s="332"/>
      <c r="VHL508" s="332"/>
      <c r="VHM508" s="332"/>
      <c r="VHN508" s="332"/>
      <c r="VHO508" s="332"/>
      <c r="VHP508" s="332"/>
      <c r="VHQ508" s="332"/>
      <c r="VHR508" s="332"/>
      <c r="VHS508" s="332"/>
      <c r="VHT508" s="332"/>
      <c r="VHU508" s="332"/>
      <c r="VHV508" s="332"/>
      <c r="VHW508" s="332"/>
      <c r="VHX508" s="332"/>
      <c r="VHY508" s="332"/>
      <c r="VHZ508" s="332"/>
      <c r="VIA508" s="332"/>
      <c r="VIB508" s="332"/>
      <c r="VIC508" s="332"/>
      <c r="VID508" s="332"/>
      <c r="VIE508" s="332"/>
      <c r="VIF508" s="332"/>
      <c r="VIG508" s="332"/>
      <c r="VIH508" s="332"/>
      <c r="VII508" s="332"/>
      <c r="VIJ508" s="332"/>
      <c r="VIK508" s="332"/>
      <c r="VIL508" s="332"/>
      <c r="VIM508" s="332"/>
      <c r="VIN508" s="332"/>
      <c r="VIO508" s="332"/>
      <c r="VIP508" s="332"/>
      <c r="VIQ508" s="332"/>
      <c r="VIR508" s="332"/>
      <c r="VIS508" s="332"/>
      <c r="VIT508" s="332"/>
      <c r="VIU508" s="332"/>
      <c r="VIV508" s="332"/>
      <c r="VIW508" s="332"/>
      <c r="VIX508" s="332"/>
      <c r="VIY508" s="332"/>
      <c r="VIZ508" s="332"/>
      <c r="VJA508" s="332"/>
      <c r="VJB508" s="332"/>
      <c r="VJC508" s="332"/>
      <c r="VJD508" s="332"/>
      <c r="VJE508" s="332"/>
      <c r="VJF508" s="332"/>
      <c r="VJG508" s="332"/>
      <c r="VJH508" s="332"/>
      <c r="VJI508" s="332"/>
      <c r="VJJ508" s="332"/>
      <c r="VJK508" s="332"/>
      <c r="VJL508" s="332"/>
      <c r="VJM508" s="332"/>
      <c r="VJN508" s="332"/>
      <c r="VJO508" s="332"/>
      <c r="VJP508" s="332"/>
      <c r="VJQ508" s="332"/>
      <c r="VJR508" s="332"/>
      <c r="VJS508" s="332"/>
      <c r="VJT508" s="332"/>
      <c r="VJU508" s="332"/>
      <c r="VJV508" s="332"/>
      <c r="VJW508" s="332"/>
      <c r="VJX508" s="332"/>
      <c r="VJY508" s="332"/>
      <c r="VJZ508" s="332"/>
      <c r="VKA508" s="332"/>
      <c r="VKB508" s="332"/>
      <c r="VKC508" s="332"/>
      <c r="VKD508" s="332"/>
      <c r="VKE508" s="332"/>
      <c r="VKF508" s="332"/>
      <c r="VKG508" s="332"/>
      <c r="VKH508" s="332"/>
      <c r="VKI508" s="332"/>
      <c r="VKJ508" s="332"/>
      <c r="VKK508" s="332"/>
      <c r="VKL508" s="332"/>
      <c r="VKM508" s="332"/>
      <c r="VKN508" s="332"/>
      <c r="VKO508" s="332"/>
      <c r="VKP508" s="332"/>
      <c r="VKQ508" s="332"/>
      <c r="VKR508" s="332"/>
      <c r="VKS508" s="332"/>
      <c r="VKT508" s="332"/>
      <c r="VKU508" s="332"/>
      <c r="VKV508" s="332"/>
      <c r="VKW508" s="332"/>
      <c r="VKX508" s="332"/>
      <c r="VKY508" s="332"/>
      <c r="VKZ508" s="332"/>
      <c r="VLA508" s="332"/>
      <c r="VLB508" s="332"/>
      <c r="VLC508" s="332"/>
      <c r="VLD508" s="332"/>
      <c r="VLE508" s="332"/>
      <c r="VLF508" s="332"/>
      <c r="VLG508" s="332"/>
      <c r="VLH508" s="332"/>
      <c r="VLI508" s="332"/>
      <c r="VLJ508" s="332"/>
      <c r="VLK508" s="332"/>
      <c r="VLL508" s="332"/>
      <c r="VLM508" s="332"/>
      <c r="VLN508" s="332"/>
      <c r="VLO508" s="332"/>
      <c r="VLP508" s="332"/>
      <c r="VLQ508" s="332"/>
      <c r="VLR508" s="332"/>
      <c r="VLS508" s="332"/>
      <c r="VLT508" s="332"/>
      <c r="VLU508" s="332"/>
      <c r="VLV508" s="332"/>
      <c r="VLW508" s="332"/>
      <c r="VLX508" s="332"/>
      <c r="VLY508" s="332"/>
      <c r="VLZ508" s="332"/>
      <c r="VMA508" s="332"/>
      <c r="VMB508" s="332"/>
      <c r="VMC508" s="332"/>
      <c r="VMD508" s="332"/>
      <c r="VME508" s="332"/>
      <c r="VMF508" s="332"/>
      <c r="VMG508" s="332"/>
      <c r="VMH508" s="332"/>
      <c r="VMI508" s="332"/>
      <c r="VMJ508" s="332"/>
      <c r="VMK508" s="332"/>
      <c r="VML508" s="332"/>
      <c r="VMM508" s="332"/>
      <c r="VMN508" s="332"/>
      <c r="VMO508" s="332"/>
      <c r="VMP508" s="332"/>
      <c r="VMQ508" s="332"/>
      <c r="VMR508" s="332"/>
      <c r="VMS508" s="332"/>
      <c r="VMT508" s="332"/>
      <c r="VMU508" s="332"/>
      <c r="VMV508" s="332"/>
      <c r="VMW508" s="332"/>
      <c r="VMX508" s="332"/>
      <c r="VMY508" s="332"/>
      <c r="VMZ508" s="332"/>
      <c r="VNA508" s="332"/>
      <c r="VNB508" s="332"/>
      <c r="VNC508" s="332"/>
      <c r="VND508" s="332"/>
      <c r="VNE508" s="332"/>
      <c r="VNF508" s="332"/>
      <c r="VNG508" s="332"/>
      <c r="VNH508" s="332"/>
      <c r="VNI508" s="332"/>
      <c r="VNJ508" s="332"/>
      <c r="VNK508" s="332"/>
      <c r="VNL508" s="332"/>
      <c r="VNM508" s="332"/>
      <c r="VNN508" s="332"/>
      <c r="VNO508" s="332"/>
      <c r="VNP508" s="332"/>
      <c r="VNQ508" s="332"/>
      <c r="VNR508" s="332"/>
      <c r="VNS508" s="332"/>
      <c r="VNT508" s="332"/>
      <c r="VNU508" s="332"/>
      <c r="VNV508" s="332"/>
      <c r="VNW508" s="332"/>
      <c r="VNX508" s="332"/>
      <c r="VNY508" s="332"/>
      <c r="VNZ508" s="332"/>
      <c r="VOA508" s="332"/>
      <c r="VOB508" s="332"/>
      <c r="VOC508" s="332"/>
      <c r="VOD508" s="332"/>
      <c r="VOE508" s="332"/>
      <c r="VOF508" s="332"/>
      <c r="VOG508" s="332"/>
      <c r="VOH508" s="332"/>
      <c r="VOI508" s="332"/>
      <c r="VOJ508" s="332"/>
      <c r="VOK508" s="332"/>
      <c r="VOL508" s="332"/>
      <c r="VOM508" s="332"/>
      <c r="VON508" s="332"/>
      <c r="VOO508" s="332"/>
      <c r="VOP508" s="332"/>
      <c r="VOQ508" s="332"/>
      <c r="VOR508" s="332"/>
      <c r="VOS508" s="332"/>
      <c r="VOT508" s="332"/>
      <c r="VOU508" s="332"/>
      <c r="VOV508" s="332"/>
      <c r="VOW508" s="332"/>
      <c r="VOX508" s="332"/>
      <c r="VOY508" s="332"/>
      <c r="VOZ508" s="332"/>
      <c r="VPA508" s="332"/>
      <c r="VPB508" s="332"/>
      <c r="VPC508" s="332"/>
      <c r="VPD508" s="332"/>
      <c r="VPE508" s="332"/>
      <c r="VPF508" s="332"/>
      <c r="VPG508" s="332"/>
      <c r="VPH508" s="332"/>
      <c r="VPI508" s="332"/>
      <c r="VPJ508" s="332"/>
      <c r="VPK508" s="332"/>
      <c r="VPL508" s="332"/>
      <c r="VPM508" s="332"/>
      <c r="VPN508" s="332"/>
      <c r="VPO508" s="332"/>
      <c r="VPP508" s="332"/>
      <c r="VPQ508" s="332"/>
      <c r="VPR508" s="332"/>
      <c r="VPS508" s="332"/>
      <c r="VPT508" s="332"/>
      <c r="VPU508" s="332"/>
      <c r="VPV508" s="332"/>
      <c r="VPW508" s="332"/>
      <c r="VPX508" s="332"/>
      <c r="VPY508" s="332"/>
      <c r="VPZ508" s="332"/>
      <c r="VQA508" s="332"/>
      <c r="VQB508" s="332"/>
      <c r="VQC508" s="332"/>
      <c r="VQD508" s="332"/>
      <c r="VQE508" s="332"/>
      <c r="VQF508" s="332"/>
      <c r="VQG508" s="332"/>
      <c r="VQH508" s="332"/>
      <c r="VQI508" s="332"/>
      <c r="VQJ508" s="332"/>
      <c r="VQK508" s="332"/>
      <c r="VQL508" s="332"/>
      <c r="VQM508" s="332"/>
      <c r="VQN508" s="332"/>
      <c r="VQO508" s="332"/>
      <c r="VQP508" s="332"/>
      <c r="VQQ508" s="332"/>
      <c r="VQR508" s="332"/>
      <c r="VQS508" s="332"/>
      <c r="VQT508" s="332"/>
      <c r="VQU508" s="332"/>
      <c r="VQV508" s="332"/>
      <c r="VQW508" s="332"/>
      <c r="VQX508" s="332"/>
      <c r="VQY508" s="332"/>
      <c r="VQZ508" s="332"/>
      <c r="VRA508" s="332"/>
      <c r="VRB508" s="332"/>
      <c r="VRC508" s="332"/>
      <c r="VRD508" s="332"/>
      <c r="VRE508" s="332"/>
      <c r="VRF508" s="332"/>
      <c r="VRG508" s="332"/>
      <c r="VRH508" s="332"/>
      <c r="VRI508" s="332"/>
      <c r="VRJ508" s="332"/>
      <c r="VRK508" s="332"/>
      <c r="VRL508" s="332"/>
      <c r="VRM508" s="332"/>
      <c r="VRN508" s="332"/>
      <c r="VRO508" s="332"/>
      <c r="VRP508" s="332"/>
      <c r="VRQ508" s="332"/>
      <c r="VRR508" s="332"/>
      <c r="VRS508" s="332"/>
      <c r="VRT508" s="332"/>
      <c r="VRU508" s="332"/>
      <c r="VRV508" s="332"/>
      <c r="VRW508" s="332"/>
      <c r="VRX508" s="332"/>
      <c r="VRY508" s="332"/>
      <c r="VRZ508" s="332"/>
      <c r="VSA508" s="332"/>
      <c r="VSB508" s="332"/>
      <c r="VSC508" s="332"/>
      <c r="VSD508" s="332"/>
      <c r="VSE508" s="332"/>
      <c r="VSF508" s="332"/>
      <c r="VSG508" s="332"/>
      <c r="VSH508" s="332"/>
      <c r="VSI508" s="332"/>
      <c r="VSJ508" s="332"/>
      <c r="VSK508" s="332"/>
      <c r="VSL508" s="332"/>
      <c r="VSM508" s="332"/>
      <c r="VSN508" s="332"/>
      <c r="VSO508" s="332"/>
      <c r="VSP508" s="332"/>
      <c r="VSQ508" s="332"/>
      <c r="VSR508" s="332"/>
      <c r="VSS508" s="332"/>
      <c r="VST508" s="332"/>
      <c r="VSU508" s="332"/>
      <c r="VSV508" s="332"/>
      <c r="VSW508" s="332"/>
      <c r="VSX508" s="332"/>
      <c r="VSY508" s="332"/>
      <c r="VSZ508" s="332"/>
      <c r="VTA508" s="332"/>
      <c r="VTB508" s="332"/>
      <c r="VTC508" s="332"/>
      <c r="VTD508" s="332"/>
      <c r="VTE508" s="332"/>
      <c r="VTF508" s="332"/>
      <c r="VTG508" s="332"/>
      <c r="VTH508" s="332"/>
      <c r="VTI508" s="332"/>
      <c r="VTJ508" s="332"/>
      <c r="VTK508" s="332"/>
      <c r="VTL508" s="332"/>
      <c r="VTM508" s="332"/>
      <c r="VTN508" s="332"/>
      <c r="VTO508" s="332"/>
      <c r="VTP508" s="332"/>
      <c r="VTQ508" s="332"/>
      <c r="VTR508" s="332"/>
      <c r="VTS508" s="332"/>
      <c r="VTT508" s="332"/>
      <c r="VTU508" s="332"/>
      <c r="VTV508" s="332"/>
      <c r="VTW508" s="332"/>
      <c r="VTX508" s="332"/>
      <c r="VTY508" s="332"/>
      <c r="VTZ508" s="332"/>
      <c r="VUA508" s="332"/>
      <c r="VUB508" s="332"/>
      <c r="VUC508" s="332"/>
      <c r="VUD508" s="332"/>
      <c r="VUE508" s="332"/>
      <c r="VUF508" s="332"/>
      <c r="VUG508" s="332"/>
      <c r="VUH508" s="332"/>
      <c r="VUI508" s="332"/>
      <c r="VUJ508" s="332"/>
      <c r="VUK508" s="332"/>
      <c r="VUL508" s="332"/>
      <c r="VUM508" s="332"/>
      <c r="VUN508" s="332"/>
      <c r="VUO508" s="332"/>
      <c r="VUP508" s="332"/>
      <c r="VUQ508" s="332"/>
      <c r="VUR508" s="332"/>
      <c r="VUS508" s="332"/>
      <c r="VUT508" s="332"/>
      <c r="VUU508" s="332"/>
      <c r="VUV508" s="332"/>
      <c r="VUW508" s="332"/>
      <c r="VUX508" s="332"/>
      <c r="VUY508" s="332"/>
      <c r="VUZ508" s="332"/>
      <c r="VVA508" s="332"/>
      <c r="VVB508" s="332"/>
      <c r="VVC508" s="332"/>
      <c r="VVD508" s="332"/>
      <c r="VVE508" s="332"/>
      <c r="VVF508" s="332"/>
      <c r="VVG508" s="332"/>
      <c r="VVH508" s="332"/>
      <c r="VVI508" s="332"/>
      <c r="VVJ508" s="332"/>
      <c r="VVK508" s="332"/>
      <c r="VVL508" s="332"/>
      <c r="VVM508" s="332"/>
      <c r="VVN508" s="332"/>
      <c r="VVO508" s="332"/>
      <c r="VVP508" s="332"/>
      <c r="VVQ508" s="332"/>
      <c r="VVR508" s="332"/>
      <c r="VVS508" s="332"/>
      <c r="VVT508" s="332"/>
      <c r="VVU508" s="332"/>
      <c r="VVV508" s="332"/>
      <c r="VVW508" s="332"/>
      <c r="VVX508" s="332"/>
      <c r="VVY508" s="332"/>
      <c r="VVZ508" s="332"/>
      <c r="VWA508" s="332"/>
      <c r="VWB508" s="332"/>
      <c r="VWC508" s="332"/>
      <c r="VWD508" s="332"/>
      <c r="VWE508" s="332"/>
      <c r="VWF508" s="332"/>
      <c r="VWG508" s="332"/>
      <c r="VWH508" s="332"/>
      <c r="VWI508" s="332"/>
      <c r="VWJ508" s="332"/>
      <c r="VWK508" s="332"/>
      <c r="VWL508" s="332"/>
      <c r="VWM508" s="332"/>
      <c r="VWN508" s="332"/>
      <c r="VWO508" s="332"/>
      <c r="VWP508" s="332"/>
      <c r="VWQ508" s="332"/>
      <c r="VWR508" s="332"/>
      <c r="VWS508" s="332"/>
      <c r="VWT508" s="332"/>
      <c r="VWU508" s="332"/>
      <c r="VWV508" s="332"/>
      <c r="VWW508" s="332"/>
      <c r="VWX508" s="332"/>
      <c r="VWY508" s="332"/>
      <c r="VWZ508" s="332"/>
      <c r="VXA508" s="332"/>
      <c r="VXB508" s="332"/>
      <c r="VXC508" s="332"/>
      <c r="VXD508" s="332"/>
      <c r="VXE508" s="332"/>
      <c r="VXF508" s="332"/>
      <c r="VXG508" s="332"/>
      <c r="VXH508" s="332"/>
      <c r="VXI508" s="332"/>
      <c r="VXJ508" s="332"/>
      <c r="VXK508" s="332"/>
      <c r="VXL508" s="332"/>
      <c r="VXM508" s="332"/>
      <c r="VXN508" s="332"/>
      <c r="VXO508" s="332"/>
      <c r="VXP508" s="332"/>
      <c r="VXQ508" s="332"/>
      <c r="VXR508" s="332"/>
      <c r="VXS508" s="332"/>
      <c r="VXT508" s="332"/>
      <c r="VXU508" s="332"/>
      <c r="VXV508" s="332"/>
      <c r="VXW508" s="332"/>
      <c r="VXX508" s="332"/>
      <c r="VXY508" s="332"/>
      <c r="VXZ508" s="332"/>
      <c r="VYA508" s="332"/>
      <c r="VYB508" s="332"/>
      <c r="VYC508" s="332"/>
      <c r="VYD508" s="332"/>
      <c r="VYE508" s="332"/>
      <c r="VYF508" s="332"/>
      <c r="VYG508" s="332"/>
      <c r="VYH508" s="332"/>
      <c r="VYI508" s="332"/>
      <c r="VYJ508" s="332"/>
      <c r="VYK508" s="332"/>
      <c r="VYL508" s="332"/>
      <c r="VYM508" s="332"/>
      <c r="VYN508" s="332"/>
      <c r="VYO508" s="332"/>
      <c r="VYP508" s="332"/>
      <c r="VYQ508" s="332"/>
      <c r="VYR508" s="332"/>
      <c r="VYS508" s="332"/>
      <c r="VYT508" s="332"/>
      <c r="VYU508" s="332"/>
      <c r="VYV508" s="332"/>
      <c r="VYW508" s="332"/>
      <c r="VYX508" s="332"/>
      <c r="VYY508" s="332"/>
      <c r="VYZ508" s="332"/>
      <c r="VZA508" s="332"/>
      <c r="VZB508" s="332"/>
      <c r="VZC508" s="332"/>
      <c r="VZD508" s="332"/>
      <c r="VZE508" s="332"/>
      <c r="VZF508" s="332"/>
      <c r="VZG508" s="332"/>
      <c r="VZH508" s="332"/>
      <c r="VZI508" s="332"/>
      <c r="VZJ508" s="332"/>
      <c r="VZK508" s="332"/>
      <c r="VZL508" s="332"/>
      <c r="VZM508" s="332"/>
      <c r="VZN508" s="332"/>
      <c r="VZO508" s="332"/>
      <c r="VZP508" s="332"/>
      <c r="VZQ508" s="332"/>
      <c r="VZR508" s="332"/>
      <c r="VZS508" s="332"/>
      <c r="VZT508" s="332"/>
      <c r="VZU508" s="332"/>
      <c r="VZV508" s="332"/>
      <c r="VZW508" s="332"/>
      <c r="VZX508" s="332"/>
      <c r="VZY508" s="332"/>
      <c r="VZZ508" s="332"/>
      <c r="WAA508" s="332"/>
      <c r="WAB508" s="332"/>
      <c r="WAC508" s="332"/>
      <c r="WAD508" s="332"/>
      <c r="WAE508" s="332"/>
      <c r="WAF508" s="332"/>
      <c r="WAG508" s="332"/>
      <c r="WAH508" s="332"/>
      <c r="WAI508" s="332"/>
      <c r="WAJ508" s="332"/>
      <c r="WAK508" s="332"/>
      <c r="WAL508" s="332"/>
      <c r="WAM508" s="332"/>
      <c r="WAN508" s="332"/>
      <c r="WAO508" s="332"/>
      <c r="WAP508" s="332"/>
      <c r="WAQ508" s="332"/>
      <c r="WAR508" s="332"/>
      <c r="WAS508" s="332"/>
      <c r="WAT508" s="332"/>
      <c r="WAU508" s="332"/>
      <c r="WAV508" s="332"/>
      <c r="WAW508" s="332"/>
      <c r="WAX508" s="332"/>
      <c r="WAY508" s="332"/>
      <c r="WAZ508" s="332"/>
      <c r="WBA508" s="332"/>
      <c r="WBB508" s="332"/>
      <c r="WBC508" s="332"/>
      <c r="WBD508" s="332"/>
      <c r="WBE508" s="332"/>
      <c r="WBF508" s="332"/>
      <c r="WBG508" s="332"/>
      <c r="WBH508" s="332"/>
      <c r="WBI508" s="332"/>
      <c r="WBJ508" s="332"/>
      <c r="WBK508" s="332"/>
      <c r="WBL508" s="332"/>
      <c r="WBM508" s="332"/>
      <c r="WBN508" s="332"/>
      <c r="WBO508" s="332"/>
      <c r="WBP508" s="332"/>
      <c r="WBQ508" s="332"/>
      <c r="WBR508" s="332"/>
      <c r="WBS508" s="332"/>
      <c r="WBT508" s="332"/>
      <c r="WBU508" s="332"/>
      <c r="WBV508" s="332"/>
      <c r="WBW508" s="332"/>
      <c r="WBX508" s="332"/>
      <c r="WBY508" s="332"/>
      <c r="WBZ508" s="332"/>
      <c r="WCA508" s="332"/>
      <c r="WCB508" s="332"/>
      <c r="WCC508" s="332"/>
      <c r="WCD508" s="332"/>
      <c r="WCE508" s="332"/>
      <c r="WCF508" s="332"/>
      <c r="WCG508" s="332"/>
      <c r="WCH508" s="332"/>
      <c r="WCI508" s="332"/>
      <c r="WCJ508" s="332"/>
      <c r="WCK508" s="332"/>
      <c r="WCL508" s="332"/>
      <c r="WCM508" s="332"/>
      <c r="WCN508" s="332"/>
      <c r="WCO508" s="332"/>
      <c r="WCP508" s="332"/>
      <c r="WCQ508" s="332"/>
      <c r="WCR508" s="332"/>
      <c r="WCS508" s="332"/>
      <c r="WCT508" s="332"/>
      <c r="WCU508" s="332"/>
      <c r="WCV508" s="332"/>
      <c r="WCW508" s="332"/>
      <c r="WCX508" s="332"/>
      <c r="WCY508" s="332"/>
      <c r="WCZ508" s="332"/>
      <c r="WDA508" s="332"/>
      <c r="WDB508" s="332"/>
      <c r="WDC508" s="332"/>
      <c r="WDD508" s="332"/>
      <c r="WDE508" s="332"/>
      <c r="WDF508" s="332"/>
      <c r="WDG508" s="332"/>
      <c r="WDH508" s="332"/>
      <c r="WDI508" s="332"/>
      <c r="WDJ508" s="332"/>
      <c r="WDK508" s="332"/>
      <c r="WDL508" s="332"/>
      <c r="WDM508" s="332"/>
      <c r="WDN508" s="332"/>
      <c r="WDO508" s="332"/>
      <c r="WDP508" s="332"/>
      <c r="WDQ508" s="332"/>
      <c r="WDR508" s="332"/>
      <c r="WDS508" s="332"/>
      <c r="WDT508" s="332"/>
      <c r="WDU508" s="332"/>
      <c r="WDV508" s="332"/>
      <c r="WDW508" s="332"/>
      <c r="WDX508" s="332"/>
      <c r="WDY508" s="332"/>
      <c r="WDZ508" s="332"/>
      <c r="WEA508" s="332"/>
      <c r="WEB508" s="332"/>
      <c r="WEC508" s="332"/>
      <c r="WED508" s="332"/>
      <c r="WEE508" s="332"/>
      <c r="WEF508" s="332"/>
      <c r="WEG508" s="332"/>
      <c r="WEH508" s="332"/>
      <c r="WEI508" s="332"/>
      <c r="WEJ508" s="332"/>
      <c r="WEK508" s="332"/>
      <c r="WEL508" s="332"/>
      <c r="WEM508" s="332"/>
      <c r="WEN508" s="332"/>
      <c r="WEO508" s="332"/>
      <c r="WEP508" s="332"/>
      <c r="WEQ508" s="332"/>
      <c r="WER508" s="332"/>
      <c r="WES508" s="332"/>
      <c r="WET508" s="332"/>
      <c r="WEU508" s="332"/>
      <c r="WEV508" s="332"/>
      <c r="WEW508" s="332"/>
      <c r="WEX508" s="332"/>
      <c r="WEY508" s="332"/>
      <c r="WEZ508" s="332"/>
      <c r="WFA508" s="332"/>
      <c r="WFB508" s="332"/>
      <c r="WFC508" s="332"/>
      <c r="WFD508" s="332"/>
      <c r="WFE508" s="332"/>
      <c r="WFF508" s="332"/>
      <c r="WFG508" s="332"/>
      <c r="WFH508" s="332"/>
      <c r="WFI508" s="332"/>
      <c r="WFJ508" s="332"/>
      <c r="WFK508" s="332"/>
      <c r="WFL508" s="332"/>
      <c r="WFM508" s="332"/>
      <c r="WFN508" s="332"/>
      <c r="WFO508" s="332"/>
      <c r="WFP508" s="332"/>
      <c r="WFQ508" s="332"/>
      <c r="WFR508" s="332"/>
      <c r="WFS508" s="332"/>
      <c r="WFT508" s="332"/>
      <c r="WFU508" s="332"/>
      <c r="WFV508" s="332"/>
      <c r="WFW508" s="332"/>
      <c r="WFX508" s="332"/>
      <c r="WFY508" s="332"/>
      <c r="WFZ508" s="332"/>
      <c r="WGA508" s="332"/>
      <c r="WGB508" s="332"/>
      <c r="WGC508" s="332"/>
      <c r="WGD508" s="332"/>
      <c r="WGE508" s="332"/>
      <c r="WGF508" s="332"/>
      <c r="WGG508" s="332"/>
      <c r="WGH508" s="332"/>
      <c r="WGI508" s="332"/>
      <c r="WGJ508" s="332"/>
      <c r="WGK508" s="332"/>
      <c r="WGL508" s="332"/>
      <c r="WGM508" s="332"/>
      <c r="WGN508" s="332"/>
      <c r="WGO508" s="332"/>
      <c r="WGP508" s="332"/>
      <c r="WGQ508" s="332"/>
      <c r="WGR508" s="332"/>
      <c r="WGS508" s="332"/>
      <c r="WGT508" s="332"/>
      <c r="WGU508" s="332"/>
      <c r="WGV508" s="332"/>
      <c r="WGW508" s="332"/>
      <c r="WGX508" s="332"/>
      <c r="WGY508" s="332"/>
      <c r="WGZ508" s="332"/>
      <c r="WHA508" s="332"/>
      <c r="WHB508" s="332"/>
      <c r="WHC508" s="332"/>
      <c r="WHD508" s="332"/>
      <c r="WHE508" s="332"/>
      <c r="WHF508" s="332"/>
      <c r="WHG508" s="332"/>
      <c r="WHH508" s="332"/>
      <c r="WHI508" s="332"/>
      <c r="WHJ508" s="332"/>
      <c r="WHK508" s="332"/>
      <c r="WHL508" s="332"/>
      <c r="WHM508" s="332"/>
      <c r="WHN508" s="332"/>
      <c r="WHO508" s="332"/>
      <c r="WHP508" s="332"/>
      <c r="WHQ508" s="332"/>
      <c r="WHR508" s="332"/>
      <c r="WHS508" s="332"/>
      <c r="WHT508" s="332"/>
      <c r="WHU508" s="332"/>
      <c r="WHV508" s="332"/>
      <c r="WHW508" s="332"/>
      <c r="WHX508" s="332"/>
      <c r="WHY508" s="332"/>
      <c r="WHZ508" s="332"/>
      <c r="WIA508" s="332"/>
      <c r="WIB508" s="332"/>
      <c r="WIC508" s="332"/>
      <c r="WID508" s="332"/>
      <c r="WIE508" s="332"/>
      <c r="WIF508" s="332"/>
      <c r="WIG508" s="332"/>
      <c r="WIH508" s="332"/>
      <c r="WII508" s="332"/>
      <c r="WIJ508" s="332"/>
      <c r="WIK508" s="332"/>
      <c r="WIL508" s="332"/>
      <c r="WIM508" s="332"/>
      <c r="WIN508" s="332"/>
      <c r="WIO508" s="332"/>
      <c r="WIP508" s="332"/>
      <c r="WIQ508" s="332"/>
      <c r="WIR508" s="332"/>
      <c r="WIS508" s="332"/>
      <c r="WIT508" s="332"/>
      <c r="WIU508" s="332"/>
      <c r="WIV508" s="332"/>
      <c r="WIW508" s="332"/>
      <c r="WIX508" s="332"/>
      <c r="WIY508" s="332"/>
      <c r="WIZ508" s="332"/>
      <c r="WJA508" s="332"/>
      <c r="WJB508" s="332"/>
      <c r="WJC508" s="332"/>
      <c r="WJD508" s="332"/>
      <c r="WJE508" s="332"/>
      <c r="WJF508" s="332"/>
      <c r="WJG508" s="332"/>
      <c r="WJH508" s="332"/>
      <c r="WJI508" s="332"/>
      <c r="WJJ508" s="332"/>
      <c r="WJK508" s="332"/>
      <c r="WJL508" s="332"/>
      <c r="WJM508" s="332"/>
      <c r="WJN508" s="332"/>
      <c r="WJO508" s="332"/>
      <c r="WJP508" s="332"/>
      <c r="WJQ508" s="332"/>
      <c r="WJR508" s="332"/>
      <c r="WJS508" s="332"/>
      <c r="WJT508" s="332"/>
      <c r="WJU508" s="332"/>
      <c r="WJV508" s="332"/>
      <c r="WJW508" s="332"/>
      <c r="WJX508" s="332"/>
      <c r="WJY508" s="332"/>
      <c r="WJZ508" s="332"/>
      <c r="WKA508" s="332"/>
      <c r="WKB508" s="332"/>
      <c r="WKC508" s="332"/>
      <c r="WKD508" s="332"/>
      <c r="WKE508" s="332"/>
      <c r="WKF508" s="332"/>
      <c r="WKG508" s="332"/>
      <c r="WKH508" s="332"/>
      <c r="WKI508" s="332"/>
      <c r="WKJ508" s="332"/>
      <c r="WKK508" s="332"/>
      <c r="WKL508" s="332"/>
      <c r="WKM508" s="332"/>
      <c r="WKN508" s="332"/>
      <c r="WKO508" s="332"/>
      <c r="WKP508" s="332"/>
      <c r="WKQ508" s="332"/>
      <c r="WKR508" s="332"/>
      <c r="WKS508" s="332"/>
      <c r="WKT508" s="332"/>
      <c r="WKU508" s="332"/>
      <c r="WKV508" s="332"/>
      <c r="WKW508" s="332"/>
      <c r="WKX508" s="332"/>
      <c r="WKY508" s="332"/>
      <c r="WKZ508" s="332"/>
      <c r="WLA508" s="332"/>
      <c r="WLB508" s="332"/>
      <c r="WLC508" s="332"/>
      <c r="WLD508" s="332"/>
      <c r="WLE508" s="332"/>
      <c r="WLF508" s="332"/>
      <c r="WLG508" s="332"/>
      <c r="WLH508" s="332"/>
      <c r="WLI508" s="332"/>
      <c r="WLJ508" s="332"/>
      <c r="WLK508" s="332"/>
      <c r="WLL508" s="332"/>
      <c r="WLM508" s="332"/>
      <c r="WLN508" s="332"/>
      <c r="WLO508" s="332"/>
      <c r="WLP508" s="332"/>
      <c r="WLQ508" s="332"/>
      <c r="WLR508" s="332"/>
      <c r="WLS508" s="332"/>
      <c r="WLT508" s="332"/>
      <c r="WLU508" s="332"/>
      <c r="WLV508" s="332"/>
      <c r="WLW508" s="332"/>
      <c r="WLX508" s="332"/>
      <c r="WLY508" s="332"/>
      <c r="WLZ508" s="332"/>
      <c r="WMA508" s="332"/>
      <c r="WMB508" s="332"/>
      <c r="WMC508" s="332"/>
      <c r="WMD508" s="332"/>
      <c r="WME508" s="332"/>
      <c r="WMF508" s="332"/>
      <c r="WMG508" s="332"/>
      <c r="WMH508" s="332"/>
      <c r="WMI508" s="332"/>
      <c r="WMJ508" s="332"/>
      <c r="WMK508" s="332"/>
      <c r="WML508" s="332"/>
      <c r="WMM508" s="332"/>
      <c r="WMN508" s="332"/>
      <c r="WMO508" s="332"/>
      <c r="WMP508" s="332"/>
      <c r="WMQ508" s="332"/>
      <c r="WMR508" s="332"/>
      <c r="WMS508" s="332"/>
      <c r="WMT508" s="332"/>
      <c r="WMU508" s="332"/>
      <c r="WMV508" s="332"/>
      <c r="WMW508" s="332"/>
      <c r="WMX508" s="332"/>
      <c r="WMY508" s="332"/>
      <c r="WMZ508" s="332"/>
      <c r="WNA508" s="332"/>
      <c r="WNB508" s="332"/>
      <c r="WNC508" s="332"/>
      <c r="WND508" s="332"/>
      <c r="WNE508" s="332"/>
      <c r="WNF508" s="332"/>
      <c r="WNG508" s="332"/>
      <c r="WNH508" s="332"/>
      <c r="WNI508" s="332"/>
      <c r="WNJ508" s="332"/>
      <c r="WNK508" s="332"/>
      <c r="WNL508" s="332"/>
      <c r="WNM508" s="332"/>
      <c r="WNN508" s="332"/>
      <c r="WNO508" s="332"/>
      <c r="WNP508" s="332"/>
      <c r="WNQ508" s="332"/>
      <c r="WNR508" s="332"/>
      <c r="WNS508" s="332"/>
      <c r="WNT508" s="332"/>
      <c r="WNU508" s="332"/>
      <c r="WNV508" s="332"/>
      <c r="WNW508" s="332"/>
      <c r="WNX508" s="332"/>
      <c r="WNY508" s="332"/>
      <c r="WNZ508" s="332"/>
      <c r="WOA508" s="332"/>
      <c r="WOB508" s="332"/>
      <c r="WOC508" s="332"/>
      <c r="WOD508" s="332"/>
      <c r="WOE508" s="332"/>
      <c r="WOF508" s="332"/>
      <c r="WOG508" s="332"/>
      <c r="WOH508" s="332"/>
      <c r="WOI508" s="332"/>
      <c r="WOJ508" s="332"/>
      <c r="WOK508" s="332"/>
      <c r="WOL508" s="332"/>
      <c r="WOM508" s="332"/>
      <c r="WON508" s="332"/>
      <c r="WOO508" s="332"/>
      <c r="WOP508" s="332"/>
      <c r="WOQ508" s="332"/>
      <c r="WOR508" s="332"/>
      <c r="WOS508" s="332"/>
      <c r="WOT508" s="332"/>
      <c r="WOU508" s="332"/>
      <c r="WOV508" s="332"/>
      <c r="WOW508" s="332"/>
      <c r="WOX508" s="332"/>
      <c r="WOY508" s="332"/>
      <c r="WOZ508" s="332"/>
      <c r="WPA508" s="332"/>
      <c r="WPB508" s="332"/>
      <c r="WPC508" s="332"/>
      <c r="WPD508" s="332"/>
      <c r="WPE508" s="332"/>
      <c r="WPF508" s="332"/>
      <c r="WPG508" s="332"/>
      <c r="WPH508" s="332"/>
      <c r="WPI508" s="332"/>
      <c r="WPJ508" s="332"/>
      <c r="WPK508" s="332"/>
      <c r="WPL508" s="332"/>
      <c r="WPM508" s="332"/>
      <c r="WPN508" s="332"/>
      <c r="WPO508" s="332"/>
      <c r="WPP508" s="332"/>
      <c r="WPQ508" s="332"/>
      <c r="WPR508" s="332"/>
      <c r="WPS508" s="332"/>
      <c r="WPT508" s="332"/>
      <c r="WPU508" s="332"/>
      <c r="WPV508" s="332"/>
      <c r="WPW508" s="332"/>
      <c r="WPX508" s="332"/>
      <c r="WPY508" s="332"/>
      <c r="WPZ508" s="332"/>
      <c r="WQA508" s="332"/>
      <c r="WQB508" s="332"/>
      <c r="WQC508" s="332"/>
      <c r="WQD508" s="332"/>
      <c r="WQE508" s="332"/>
      <c r="WQF508" s="332"/>
      <c r="WQG508" s="332"/>
      <c r="WQH508" s="332"/>
      <c r="WQI508" s="332"/>
      <c r="WQJ508" s="332"/>
      <c r="WQK508" s="332"/>
      <c r="WQL508" s="332"/>
      <c r="WQM508" s="332"/>
      <c r="WQN508" s="332"/>
      <c r="WQO508" s="332"/>
      <c r="WQP508" s="332"/>
      <c r="WQQ508" s="332"/>
      <c r="WQR508" s="332"/>
      <c r="WQS508" s="332"/>
      <c r="WQT508" s="332"/>
      <c r="WQU508" s="332"/>
      <c r="WQV508" s="332"/>
      <c r="WQW508" s="332"/>
      <c r="WQX508" s="332"/>
      <c r="WQY508" s="332"/>
      <c r="WQZ508" s="332"/>
      <c r="WRA508" s="332"/>
      <c r="WRB508" s="332"/>
      <c r="WRC508" s="332"/>
      <c r="WRD508" s="332"/>
      <c r="WRE508" s="332"/>
      <c r="WRF508" s="332"/>
      <c r="WRG508" s="332"/>
      <c r="WRH508" s="332"/>
      <c r="WRI508" s="332"/>
      <c r="WRJ508" s="332"/>
      <c r="WRK508" s="332"/>
      <c r="WRL508" s="332"/>
      <c r="WRM508" s="332"/>
      <c r="WRN508" s="332"/>
      <c r="WRO508" s="332"/>
      <c r="WRP508" s="332"/>
      <c r="WRQ508" s="332"/>
      <c r="WRR508" s="332"/>
      <c r="WRS508" s="332"/>
      <c r="WRT508" s="332"/>
      <c r="WRU508" s="332"/>
      <c r="WRV508" s="332"/>
      <c r="WRW508" s="332"/>
      <c r="WRX508" s="332"/>
      <c r="WRY508" s="332"/>
      <c r="WRZ508" s="332"/>
      <c r="WSA508" s="332"/>
      <c r="WSB508" s="332"/>
      <c r="WSC508" s="332"/>
      <c r="WSD508" s="332"/>
      <c r="WSE508" s="332"/>
      <c r="WSF508" s="332"/>
      <c r="WSG508" s="332"/>
      <c r="WSH508" s="332"/>
      <c r="WSI508" s="332"/>
      <c r="WSJ508" s="332"/>
      <c r="WSK508" s="332"/>
      <c r="WSL508" s="332"/>
      <c r="WSM508" s="332"/>
      <c r="WSN508" s="332"/>
      <c r="WSO508" s="332"/>
      <c r="WSP508" s="332"/>
      <c r="WSQ508" s="332"/>
      <c r="WSR508" s="332"/>
      <c r="WSS508" s="332"/>
      <c r="WST508" s="332"/>
      <c r="WSU508" s="332"/>
      <c r="WSV508" s="332"/>
      <c r="WSW508" s="332"/>
      <c r="WSX508" s="332"/>
      <c r="WSY508" s="332"/>
      <c r="WSZ508" s="332"/>
      <c r="WTA508" s="332"/>
      <c r="WTB508" s="332"/>
      <c r="WTC508" s="332"/>
      <c r="WTD508" s="332"/>
      <c r="WTE508" s="332"/>
      <c r="WTF508" s="332"/>
      <c r="WTG508" s="332"/>
      <c r="WTH508" s="332"/>
      <c r="WTI508" s="332"/>
      <c r="WTJ508" s="332"/>
      <c r="WTK508" s="332"/>
      <c r="WTL508" s="332"/>
      <c r="WTM508" s="332"/>
      <c r="WTN508" s="332"/>
      <c r="WTO508" s="332"/>
      <c r="WTP508" s="332"/>
      <c r="WTQ508" s="332"/>
      <c r="WTR508" s="332"/>
      <c r="WTS508" s="332"/>
      <c r="WTT508" s="332"/>
      <c r="WTU508" s="332"/>
      <c r="WTV508" s="332"/>
      <c r="WTW508" s="332"/>
      <c r="WTX508" s="332"/>
      <c r="WTY508" s="332"/>
      <c r="WTZ508" s="332"/>
      <c r="WUA508" s="332"/>
      <c r="WUB508" s="332"/>
      <c r="WUC508" s="332"/>
      <c r="WUD508" s="332"/>
      <c r="WUE508" s="332"/>
      <c r="WUF508" s="332"/>
      <c r="WUG508" s="332"/>
      <c r="WUH508" s="332"/>
      <c r="WUI508" s="332"/>
      <c r="WUJ508" s="332"/>
      <c r="WUK508" s="332"/>
      <c r="WUL508" s="332"/>
      <c r="WUM508" s="332"/>
      <c r="WUN508" s="332"/>
      <c r="WUO508" s="332"/>
      <c r="WUP508" s="332"/>
      <c r="WUQ508" s="332"/>
      <c r="WUR508" s="332"/>
      <c r="WUS508" s="332"/>
      <c r="WUT508" s="332"/>
      <c r="WUU508" s="332"/>
      <c r="WUV508" s="332"/>
      <c r="WUW508" s="332"/>
      <c r="WUX508" s="332"/>
      <c r="WUY508" s="332"/>
      <c r="WUZ508" s="332"/>
      <c r="WVA508" s="332"/>
      <c r="WVB508" s="332"/>
      <c r="WVC508" s="332"/>
      <c r="WVD508" s="332"/>
      <c r="WVE508" s="332"/>
      <c r="WVF508" s="332"/>
      <c r="WVG508" s="332"/>
      <c r="WVH508" s="332"/>
      <c r="WVI508" s="332"/>
      <c r="WVJ508" s="332"/>
      <c r="WVK508" s="332"/>
      <c r="WVL508" s="332"/>
      <c r="WVM508" s="332"/>
      <c r="WVN508" s="332"/>
      <c r="WVO508" s="332"/>
      <c r="WVP508" s="332"/>
      <c r="WVQ508" s="332"/>
      <c r="WVR508" s="332"/>
      <c r="WVS508" s="332"/>
      <c r="WVT508" s="332"/>
      <c r="WVU508" s="332"/>
      <c r="WVV508" s="332"/>
      <c r="WVW508" s="332"/>
      <c r="WVX508" s="332"/>
      <c r="WVY508" s="332"/>
      <c r="WVZ508" s="332"/>
      <c r="WWA508" s="332"/>
      <c r="WWB508" s="332"/>
      <c r="WWC508" s="332"/>
      <c r="WWD508" s="332"/>
      <c r="WWE508" s="332"/>
      <c r="WWF508" s="332"/>
      <c r="WWG508" s="332"/>
      <c r="WWH508" s="332"/>
      <c r="WWI508" s="332"/>
      <c r="WWJ508" s="332"/>
      <c r="WWK508" s="332"/>
      <c r="WWL508" s="332"/>
      <c r="WWM508" s="332"/>
      <c r="WWN508" s="332"/>
      <c r="WWO508" s="332"/>
      <c r="WWP508" s="332"/>
      <c r="WWQ508" s="332"/>
      <c r="WWR508" s="332"/>
      <c r="WWS508" s="332"/>
      <c r="WWT508" s="332"/>
      <c r="WWU508" s="332"/>
      <c r="WWV508" s="332"/>
      <c r="WWW508" s="332"/>
      <c r="WWX508" s="332"/>
      <c r="WWY508" s="332"/>
      <c r="WWZ508" s="332"/>
      <c r="WXA508" s="332"/>
      <c r="WXB508" s="332"/>
      <c r="WXC508" s="332"/>
      <c r="WXD508" s="332"/>
      <c r="WXE508" s="332"/>
      <c r="WXF508" s="332"/>
      <c r="WXG508" s="332"/>
      <c r="WXH508" s="332"/>
      <c r="WXI508" s="332"/>
      <c r="WXJ508" s="332"/>
      <c r="WXK508" s="332"/>
      <c r="WXL508" s="332"/>
      <c r="WXM508" s="332"/>
      <c r="WXN508" s="332"/>
      <c r="WXO508" s="332"/>
      <c r="WXP508" s="332"/>
      <c r="WXQ508" s="332"/>
      <c r="WXR508" s="332"/>
      <c r="WXS508" s="332"/>
      <c r="WXT508" s="332"/>
      <c r="WXU508" s="332"/>
      <c r="WXV508" s="332"/>
      <c r="WXW508" s="332"/>
      <c r="WXX508" s="332"/>
      <c r="WXY508" s="332"/>
      <c r="WXZ508" s="332"/>
      <c r="WYA508" s="332"/>
      <c r="WYB508" s="332"/>
      <c r="WYC508" s="332"/>
      <c r="WYD508" s="332"/>
      <c r="WYE508" s="332"/>
      <c r="WYF508" s="332"/>
      <c r="WYG508" s="332"/>
      <c r="WYH508" s="332"/>
      <c r="WYI508" s="332"/>
      <c r="WYJ508" s="332"/>
      <c r="WYK508" s="332"/>
      <c r="WYL508" s="332"/>
      <c r="WYM508" s="332"/>
      <c r="WYN508" s="332"/>
      <c r="WYO508" s="332"/>
      <c r="WYP508" s="332"/>
      <c r="WYQ508" s="332"/>
      <c r="WYR508" s="332"/>
      <c r="WYS508" s="332"/>
      <c r="WYT508" s="332"/>
      <c r="WYU508" s="332"/>
      <c r="WYV508" s="332"/>
      <c r="WYW508" s="332"/>
      <c r="WYX508" s="332"/>
      <c r="WYY508" s="332"/>
      <c r="WYZ508" s="332"/>
      <c r="WZA508" s="332"/>
      <c r="WZB508" s="332"/>
      <c r="WZC508" s="332"/>
      <c r="WZD508" s="332"/>
      <c r="WZE508" s="332"/>
      <c r="WZF508" s="332"/>
      <c r="WZG508" s="332"/>
      <c r="WZH508" s="332"/>
      <c r="WZI508" s="332"/>
      <c r="WZJ508" s="332"/>
      <c r="WZK508" s="332"/>
      <c r="WZL508" s="332"/>
      <c r="WZM508" s="332"/>
      <c r="WZN508" s="332"/>
      <c r="WZO508" s="332"/>
      <c r="WZP508" s="332"/>
      <c r="WZQ508" s="332"/>
      <c r="WZR508" s="332"/>
      <c r="WZS508" s="332"/>
      <c r="WZT508" s="332"/>
      <c r="WZU508" s="332"/>
      <c r="WZV508" s="332"/>
      <c r="WZW508" s="332"/>
      <c r="WZX508" s="332"/>
      <c r="WZY508" s="332"/>
      <c r="WZZ508" s="332"/>
      <c r="XAA508" s="332"/>
      <c r="XAB508" s="332"/>
      <c r="XAC508" s="332"/>
      <c r="XAD508" s="332"/>
      <c r="XAE508" s="332"/>
      <c r="XAF508" s="332"/>
      <c r="XAG508" s="332"/>
      <c r="XAH508" s="332"/>
      <c r="XAI508" s="332"/>
      <c r="XAJ508" s="332"/>
      <c r="XAK508" s="332"/>
      <c r="XAL508" s="332"/>
      <c r="XAM508" s="332"/>
      <c r="XAN508" s="332"/>
      <c r="XAO508" s="332"/>
      <c r="XAP508" s="332"/>
      <c r="XAQ508" s="332"/>
      <c r="XAR508" s="332"/>
      <c r="XAS508" s="332"/>
      <c r="XAT508" s="332"/>
      <c r="XAU508" s="332"/>
      <c r="XAV508" s="332"/>
      <c r="XAW508" s="332"/>
      <c r="XAX508" s="332"/>
      <c r="XAY508" s="332"/>
      <c r="XAZ508" s="332"/>
      <c r="XBA508" s="332"/>
      <c r="XBB508" s="332"/>
      <c r="XBC508" s="332"/>
      <c r="XBD508" s="332"/>
      <c r="XBE508" s="332"/>
      <c r="XBF508" s="332"/>
      <c r="XBG508" s="332"/>
      <c r="XBH508" s="332"/>
      <c r="XBI508" s="332"/>
      <c r="XBJ508" s="332"/>
      <c r="XBK508" s="332"/>
      <c r="XBL508" s="332"/>
      <c r="XBM508" s="332"/>
      <c r="XBN508" s="332"/>
      <c r="XBO508" s="332"/>
      <c r="XBP508" s="332"/>
      <c r="XBQ508" s="332"/>
      <c r="XBR508" s="332"/>
      <c r="XBS508" s="332"/>
      <c r="XBT508" s="332"/>
      <c r="XBU508" s="332"/>
      <c r="XBV508" s="332"/>
      <c r="XBW508" s="332"/>
      <c r="XBX508" s="332"/>
      <c r="XBY508" s="332"/>
      <c r="XBZ508" s="332"/>
      <c r="XCA508" s="332"/>
      <c r="XCB508" s="332"/>
      <c r="XCC508" s="332"/>
      <c r="XCD508" s="332"/>
      <c r="XCE508" s="332"/>
      <c r="XCF508" s="332"/>
      <c r="XCG508" s="332"/>
      <c r="XCH508" s="332"/>
      <c r="XCI508" s="332"/>
      <c r="XCJ508" s="332"/>
      <c r="XCK508" s="332"/>
      <c r="XCL508" s="332"/>
      <c r="XCM508" s="332"/>
      <c r="XCN508" s="332"/>
      <c r="XCO508" s="332"/>
      <c r="XCP508" s="332"/>
      <c r="XCQ508" s="332"/>
      <c r="XCR508" s="332"/>
      <c r="XCS508" s="332"/>
      <c r="XCT508" s="332"/>
      <c r="XCU508" s="332"/>
      <c r="XCV508" s="332"/>
      <c r="XCW508" s="332"/>
      <c r="XCX508" s="332"/>
      <c r="XCY508" s="332"/>
      <c r="XCZ508" s="332"/>
      <c r="XDA508" s="332"/>
      <c r="XDB508" s="332"/>
      <c r="XDC508" s="332"/>
      <c r="XDD508" s="332"/>
      <c r="XDE508" s="332"/>
      <c r="XDF508" s="332"/>
      <c r="XDG508" s="332"/>
      <c r="XDH508" s="332"/>
      <c r="XDI508" s="332"/>
      <c r="XDJ508" s="332"/>
      <c r="XDK508" s="332"/>
      <c r="XDL508" s="332"/>
      <c r="XDM508" s="332"/>
      <c r="XDN508" s="332"/>
      <c r="XDO508" s="332"/>
      <c r="XDP508" s="332"/>
      <c r="XDQ508" s="332"/>
      <c r="XDR508" s="332"/>
      <c r="XDS508" s="332"/>
      <c r="XDT508" s="332"/>
      <c r="XDU508" s="332"/>
      <c r="XDV508" s="332"/>
      <c r="XDW508" s="332"/>
      <c r="XDX508" s="332"/>
      <c r="XDY508" s="332"/>
      <c r="XDZ508" s="332"/>
      <c r="XEA508" s="332"/>
      <c r="XEB508" s="332"/>
      <c r="XEC508" s="332"/>
      <c r="XED508" s="332"/>
      <c r="XEE508" s="332"/>
      <c r="XEF508" s="332"/>
      <c r="XEG508" s="332"/>
      <c r="XEH508" s="332"/>
      <c r="XEI508" s="332"/>
      <c r="XEJ508" s="332"/>
      <c r="XEK508" s="332"/>
      <c r="XEL508" s="332"/>
      <c r="XEM508" s="332"/>
      <c r="XEN508" s="332"/>
      <c r="XEO508" s="332"/>
      <c r="XEP508" s="332"/>
      <c r="XEQ508" s="332"/>
      <c r="XER508" s="332"/>
      <c r="XES508" s="332"/>
      <c r="XET508" s="332"/>
      <c r="XEU508" s="332"/>
      <c r="XEV508" s="332"/>
      <c r="XEW508" s="332"/>
      <c r="XEX508" s="332"/>
      <c r="XEY508" s="332"/>
      <c r="XEZ508" s="332"/>
      <c r="XFA508" s="332"/>
      <c r="XFB508" s="332"/>
      <c r="XFC508" s="332"/>
      <c r="XFD508" s="333"/>
    </row>
    <row r="509" spans="1:16384" s="264" customFormat="1" ht="12.75" hidden="1">
      <c r="A509" s="1642"/>
      <c r="B509" s="1643"/>
      <c r="C509" s="1643"/>
      <c r="D509" s="1644"/>
      <c r="E509" s="330"/>
      <c r="F509" s="330"/>
      <c r="G509" s="330"/>
      <c r="H509" s="330"/>
      <c r="I509" s="330"/>
      <c r="J509" s="330"/>
      <c r="K509" s="330"/>
      <c r="L509" s="330"/>
      <c r="M509" s="330"/>
      <c r="N509" s="330"/>
      <c r="O509" s="330"/>
      <c r="P509" s="330"/>
      <c r="Q509" s="330"/>
      <c r="R509" s="330"/>
      <c r="S509" s="330"/>
      <c r="T509" s="330"/>
      <c r="U509" s="330"/>
      <c r="V509" s="330"/>
      <c r="W509" s="330"/>
      <c r="X509" s="330"/>
      <c r="Y509" s="330"/>
      <c r="Z509" s="330"/>
      <c r="AA509" s="330"/>
      <c r="AB509" s="330"/>
      <c r="AC509" s="330"/>
      <c r="AD509" s="330"/>
      <c r="AE509" s="330"/>
      <c r="AF509" s="330"/>
      <c r="AG509" s="330"/>
      <c r="AH509" s="330"/>
      <c r="AI509" s="330"/>
      <c r="AJ509" s="330"/>
      <c r="AK509" s="330"/>
      <c r="AL509" s="330"/>
      <c r="AM509" s="330"/>
      <c r="AN509" s="330"/>
      <c r="AO509" s="330"/>
      <c r="AP509" s="330"/>
      <c r="AQ509" s="330"/>
      <c r="AR509" s="330"/>
      <c r="AS509" s="330"/>
      <c r="AT509" s="330"/>
      <c r="AU509" s="330"/>
      <c r="AV509" s="330"/>
      <c r="AW509" s="330"/>
      <c r="AX509" s="330"/>
      <c r="AY509" s="330"/>
      <c r="AZ509" s="330"/>
      <c r="BA509" s="330"/>
      <c r="BB509" s="330"/>
      <c r="BC509" s="330"/>
      <c r="BD509" s="330"/>
      <c r="BE509" s="330"/>
      <c r="BF509" s="330"/>
      <c r="BG509" s="330"/>
      <c r="BH509" s="330"/>
      <c r="BI509" s="330"/>
      <c r="BJ509" s="330"/>
      <c r="BK509" s="330"/>
      <c r="BL509" s="330"/>
      <c r="BM509" s="330"/>
      <c r="BN509" s="330"/>
      <c r="BO509" s="330"/>
      <c r="BP509" s="330"/>
      <c r="BQ509" s="330"/>
      <c r="BR509" s="330"/>
      <c r="BS509" s="330"/>
      <c r="BT509" s="330"/>
      <c r="BU509" s="330"/>
      <c r="BV509" s="330"/>
      <c r="BW509" s="330"/>
      <c r="BX509" s="330"/>
      <c r="BY509" s="330"/>
      <c r="BZ509" s="330"/>
      <c r="CA509" s="330"/>
      <c r="CB509" s="330"/>
      <c r="CC509" s="330"/>
      <c r="CD509" s="330"/>
      <c r="CE509" s="330"/>
      <c r="CF509" s="330"/>
      <c r="CG509" s="330"/>
      <c r="CH509" s="330"/>
      <c r="CI509" s="330"/>
      <c r="CJ509" s="330"/>
      <c r="CK509" s="330"/>
      <c r="CL509" s="330"/>
      <c r="CM509" s="330"/>
      <c r="CN509" s="330"/>
      <c r="CO509" s="330"/>
      <c r="CP509" s="330"/>
      <c r="CQ509" s="330"/>
      <c r="CR509" s="330"/>
      <c r="CS509" s="330"/>
      <c r="CT509" s="330"/>
      <c r="CU509" s="330"/>
      <c r="CV509" s="330"/>
      <c r="CW509" s="330"/>
      <c r="CX509" s="330"/>
      <c r="CY509" s="330"/>
      <c r="CZ509" s="330"/>
      <c r="DA509" s="330"/>
      <c r="DB509" s="330"/>
      <c r="DC509" s="330"/>
      <c r="DD509" s="330"/>
      <c r="DE509" s="330"/>
      <c r="DF509" s="330"/>
      <c r="DG509" s="330"/>
      <c r="DH509" s="330"/>
      <c r="DI509" s="330"/>
      <c r="DJ509" s="330"/>
      <c r="DK509" s="330"/>
      <c r="DL509" s="330"/>
      <c r="DM509" s="330"/>
      <c r="DN509" s="330"/>
      <c r="DO509" s="330"/>
      <c r="DP509" s="330"/>
      <c r="DQ509" s="330"/>
      <c r="DR509" s="330"/>
      <c r="DS509" s="330"/>
      <c r="DT509" s="330"/>
      <c r="DU509" s="330"/>
      <c r="DV509" s="330"/>
      <c r="DW509" s="330"/>
      <c r="DX509" s="330"/>
      <c r="DY509" s="330"/>
      <c r="DZ509" s="330"/>
      <c r="EA509" s="330"/>
      <c r="EB509" s="330"/>
      <c r="EC509" s="330"/>
      <c r="ED509" s="330"/>
      <c r="EE509" s="330"/>
      <c r="EF509" s="330"/>
      <c r="EG509" s="330"/>
      <c r="EH509" s="330"/>
      <c r="EI509" s="330"/>
      <c r="EJ509" s="330"/>
      <c r="EK509" s="330"/>
      <c r="EL509" s="330"/>
      <c r="EM509" s="330"/>
      <c r="EN509" s="330"/>
      <c r="EO509" s="330"/>
      <c r="EP509" s="330"/>
      <c r="EQ509" s="330"/>
      <c r="ER509" s="330"/>
      <c r="ES509" s="330"/>
      <c r="ET509" s="330"/>
      <c r="EU509" s="330"/>
      <c r="EV509" s="330"/>
      <c r="EW509" s="330"/>
      <c r="EX509" s="330"/>
      <c r="EY509" s="330"/>
      <c r="EZ509" s="330"/>
      <c r="FA509" s="330"/>
      <c r="FB509" s="330"/>
      <c r="FC509" s="330"/>
      <c r="FD509" s="330"/>
      <c r="FE509" s="330"/>
      <c r="FF509" s="330"/>
      <c r="FG509" s="330"/>
      <c r="FH509" s="330"/>
      <c r="FI509" s="330"/>
      <c r="FJ509" s="330"/>
      <c r="FK509" s="330"/>
      <c r="FL509" s="330"/>
      <c r="FM509" s="330"/>
    </row>
    <row r="510" spans="1:16384" s="336" customFormat="1" ht="15" customHeight="1">
      <c r="A510" s="335"/>
      <c r="B510" s="332"/>
      <c r="C510" s="332"/>
      <c r="D510" s="332"/>
      <c r="E510" s="332"/>
      <c r="F510" s="332"/>
      <c r="G510" s="332"/>
      <c r="H510" s="332"/>
      <c r="I510" s="332"/>
      <c r="J510" s="332"/>
      <c r="K510" s="332"/>
      <c r="L510" s="332"/>
      <c r="M510" s="332"/>
      <c r="N510" s="332"/>
      <c r="O510" s="332"/>
      <c r="P510" s="332"/>
      <c r="Q510" s="332"/>
      <c r="R510" s="332"/>
      <c r="S510" s="332"/>
      <c r="T510" s="332"/>
      <c r="U510" s="332"/>
      <c r="V510" s="332"/>
      <c r="W510" s="332"/>
      <c r="X510" s="332"/>
      <c r="Y510" s="332"/>
      <c r="Z510" s="332"/>
      <c r="AA510" s="332"/>
      <c r="AB510" s="332"/>
      <c r="AC510" s="332"/>
      <c r="AD510" s="332"/>
      <c r="AE510" s="332"/>
      <c r="AF510" s="332"/>
      <c r="AG510" s="332"/>
      <c r="AH510" s="332"/>
      <c r="AI510" s="332"/>
      <c r="AJ510" s="332"/>
      <c r="AK510" s="332"/>
      <c r="AL510" s="332"/>
      <c r="AM510" s="332"/>
      <c r="AN510" s="332"/>
      <c r="AO510" s="332"/>
      <c r="AP510" s="332"/>
      <c r="AQ510" s="332"/>
      <c r="AR510" s="332"/>
      <c r="AS510" s="332"/>
      <c r="AT510" s="332"/>
      <c r="AU510" s="332"/>
      <c r="AV510" s="332"/>
      <c r="AW510" s="332"/>
      <c r="AX510" s="332"/>
      <c r="AY510" s="332"/>
      <c r="AZ510" s="332"/>
      <c r="BA510" s="332"/>
      <c r="BB510" s="332"/>
      <c r="BC510" s="332"/>
      <c r="BD510" s="332"/>
      <c r="BE510" s="332"/>
      <c r="BF510" s="332"/>
      <c r="BG510" s="332"/>
      <c r="BH510" s="332"/>
      <c r="BI510" s="332"/>
      <c r="BJ510" s="332"/>
      <c r="BK510" s="332"/>
      <c r="BL510" s="332"/>
      <c r="BM510" s="332"/>
      <c r="BN510" s="332"/>
      <c r="BO510" s="332"/>
      <c r="BP510" s="332"/>
      <c r="BQ510" s="332"/>
      <c r="BR510" s="332"/>
      <c r="BS510" s="332"/>
      <c r="BT510" s="332"/>
      <c r="BU510" s="332"/>
      <c r="BV510" s="332"/>
      <c r="BW510" s="332"/>
      <c r="BX510" s="332"/>
      <c r="BY510" s="332"/>
      <c r="BZ510" s="332"/>
      <c r="CA510" s="332"/>
      <c r="CB510" s="332"/>
      <c r="CC510" s="332"/>
      <c r="CD510" s="332"/>
      <c r="CE510" s="332"/>
      <c r="CF510" s="332"/>
      <c r="CG510" s="332"/>
      <c r="CH510" s="332"/>
      <c r="CI510" s="332"/>
      <c r="CJ510" s="332"/>
      <c r="CK510" s="332"/>
      <c r="CL510" s="332"/>
      <c r="CM510" s="332"/>
      <c r="CN510" s="332"/>
      <c r="CO510" s="332"/>
      <c r="CP510" s="332"/>
      <c r="CQ510" s="332"/>
      <c r="CR510" s="332"/>
      <c r="CS510" s="332"/>
      <c r="CT510" s="332"/>
      <c r="CU510" s="332"/>
      <c r="CV510" s="332"/>
      <c r="CW510" s="332"/>
      <c r="CX510" s="332"/>
      <c r="CY510" s="332"/>
      <c r="CZ510" s="332"/>
      <c r="DA510" s="332"/>
      <c r="DB510" s="332"/>
      <c r="DC510" s="332"/>
      <c r="DD510" s="332"/>
      <c r="DE510" s="332"/>
      <c r="DF510" s="332"/>
      <c r="DG510" s="332"/>
      <c r="DH510" s="332"/>
      <c r="DI510" s="332"/>
      <c r="DJ510" s="332"/>
      <c r="DK510" s="332"/>
      <c r="DL510" s="332"/>
      <c r="DM510" s="332"/>
      <c r="DN510" s="332"/>
      <c r="DO510" s="332"/>
      <c r="DP510" s="332"/>
      <c r="DQ510" s="332"/>
      <c r="DR510" s="332"/>
      <c r="DS510" s="332"/>
      <c r="DT510" s="332"/>
      <c r="DU510" s="332"/>
      <c r="DV510" s="332"/>
      <c r="DW510" s="332"/>
      <c r="DX510" s="332"/>
      <c r="DY510" s="332"/>
      <c r="DZ510" s="332"/>
      <c r="EA510" s="332"/>
      <c r="EB510" s="332"/>
      <c r="EC510" s="332"/>
      <c r="ED510" s="332"/>
      <c r="EE510" s="332"/>
      <c r="EF510" s="332"/>
      <c r="EG510" s="332"/>
      <c r="EH510" s="332"/>
      <c r="EI510" s="332"/>
      <c r="EJ510" s="332"/>
      <c r="EK510" s="332"/>
      <c r="EL510" s="332"/>
      <c r="EM510" s="332"/>
      <c r="EN510" s="332"/>
      <c r="EO510" s="332"/>
      <c r="EP510" s="332"/>
      <c r="EQ510" s="332"/>
      <c r="ER510" s="332"/>
      <c r="ES510" s="332"/>
      <c r="ET510" s="332"/>
      <c r="EU510" s="332"/>
      <c r="EV510" s="332"/>
      <c r="EW510" s="332"/>
      <c r="EX510" s="332"/>
      <c r="EY510" s="332"/>
      <c r="EZ510" s="332"/>
      <c r="FA510" s="332"/>
      <c r="FB510" s="332"/>
      <c r="FC510" s="332"/>
      <c r="FD510" s="332"/>
      <c r="FE510" s="332"/>
      <c r="FF510" s="332"/>
      <c r="FG510" s="332"/>
      <c r="FH510" s="332"/>
      <c r="FI510" s="332"/>
      <c r="FJ510" s="332"/>
      <c r="FK510" s="332"/>
      <c r="FL510" s="332"/>
      <c r="FM510" s="332"/>
      <c r="FN510" s="332"/>
      <c r="FO510" s="332"/>
      <c r="FP510" s="332"/>
      <c r="FQ510" s="332"/>
      <c r="FR510" s="332"/>
      <c r="FS510" s="332"/>
      <c r="FT510" s="332"/>
      <c r="FU510" s="332"/>
      <c r="FV510" s="332"/>
      <c r="FW510" s="332"/>
      <c r="FX510" s="332"/>
      <c r="FY510" s="332"/>
      <c r="FZ510" s="332"/>
      <c r="GA510" s="332"/>
      <c r="GB510" s="332"/>
      <c r="GC510" s="332"/>
      <c r="GD510" s="332"/>
      <c r="GE510" s="332"/>
      <c r="GF510" s="332"/>
      <c r="GG510" s="332"/>
      <c r="GH510" s="332"/>
      <c r="GI510" s="332"/>
      <c r="GJ510" s="332"/>
      <c r="GK510" s="332"/>
      <c r="GL510" s="332"/>
      <c r="GM510" s="332"/>
      <c r="GN510" s="332"/>
      <c r="GO510" s="332"/>
      <c r="GP510" s="332"/>
      <c r="GQ510" s="332"/>
      <c r="GR510" s="332"/>
      <c r="GS510" s="332"/>
      <c r="GT510" s="332"/>
      <c r="GU510" s="332"/>
      <c r="GV510" s="332"/>
      <c r="GW510" s="332"/>
      <c r="GX510" s="332"/>
      <c r="GY510" s="332"/>
      <c r="GZ510" s="332"/>
      <c r="HA510" s="332"/>
      <c r="HB510" s="332"/>
      <c r="HC510" s="332"/>
      <c r="HD510" s="332"/>
      <c r="HE510" s="332"/>
      <c r="HF510" s="332"/>
      <c r="HG510" s="332"/>
      <c r="HH510" s="332"/>
      <c r="HI510" s="332"/>
      <c r="HJ510" s="332"/>
      <c r="HK510" s="332"/>
      <c r="HL510" s="332"/>
      <c r="HM510" s="332"/>
      <c r="HN510" s="332"/>
      <c r="HO510" s="332"/>
      <c r="HP510" s="332"/>
      <c r="HQ510" s="332"/>
      <c r="HR510" s="332"/>
      <c r="HS510" s="332"/>
      <c r="HT510" s="332"/>
      <c r="HU510" s="332"/>
      <c r="HV510" s="332"/>
      <c r="HW510" s="332"/>
      <c r="HX510" s="332"/>
      <c r="HY510" s="332"/>
      <c r="HZ510" s="332"/>
      <c r="IA510" s="332"/>
      <c r="IB510" s="332"/>
      <c r="IC510" s="332"/>
      <c r="ID510" s="332"/>
      <c r="IE510" s="332"/>
      <c r="IF510" s="332"/>
      <c r="IG510" s="332"/>
      <c r="IH510" s="332"/>
      <c r="II510" s="332"/>
      <c r="IJ510" s="332"/>
      <c r="IK510" s="332"/>
      <c r="IL510" s="332"/>
      <c r="IM510" s="332"/>
      <c r="IN510" s="332"/>
      <c r="IO510" s="332"/>
      <c r="IP510" s="332"/>
      <c r="IQ510" s="332"/>
      <c r="IR510" s="332"/>
      <c r="IS510" s="332"/>
      <c r="IT510" s="332"/>
      <c r="IU510" s="332"/>
      <c r="IV510" s="332"/>
      <c r="IW510" s="332"/>
      <c r="IX510" s="332"/>
      <c r="IY510" s="332"/>
      <c r="IZ510" s="332"/>
      <c r="JA510" s="332"/>
      <c r="JB510" s="332"/>
      <c r="JC510" s="332"/>
      <c r="JD510" s="332"/>
      <c r="JE510" s="332"/>
      <c r="JF510" s="332"/>
      <c r="JG510" s="332"/>
      <c r="JH510" s="332"/>
      <c r="JI510" s="332"/>
      <c r="JJ510" s="332"/>
      <c r="JK510" s="332"/>
      <c r="JL510" s="332"/>
      <c r="JM510" s="332"/>
      <c r="JN510" s="332"/>
      <c r="JO510" s="332"/>
      <c r="JP510" s="332"/>
      <c r="JQ510" s="332"/>
      <c r="JR510" s="332"/>
      <c r="JS510" s="332"/>
      <c r="JT510" s="332"/>
      <c r="JU510" s="332"/>
      <c r="JV510" s="332"/>
      <c r="JW510" s="332"/>
      <c r="JX510" s="332"/>
      <c r="JY510" s="332"/>
      <c r="JZ510" s="332"/>
      <c r="KA510" s="332"/>
      <c r="KB510" s="332"/>
      <c r="KC510" s="332"/>
      <c r="KD510" s="332"/>
      <c r="KE510" s="332"/>
      <c r="KF510" s="332"/>
      <c r="KG510" s="332"/>
      <c r="KH510" s="332"/>
      <c r="KI510" s="332"/>
      <c r="KJ510" s="332"/>
      <c r="KK510" s="332"/>
      <c r="KL510" s="332"/>
      <c r="KM510" s="332"/>
      <c r="KN510" s="332"/>
      <c r="KO510" s="332"/>
      <c r="KP510" s="332"/>
      <c r="KQ510" s="332"/>
      <c r="KR510" s="332"/>
      <c r="KS510" s="332"/>
      <c r="KT510" s="332"/>
      <c r="KU510" s="332"/>
      <c r="KV510" s="332"/>
      <c r="KW510" s="332"/>
      <c r="KX510" s="332"/>
      <c r="KY510" s="332"/>
      <c r="KZ510" s="332"/>
      <c r="LA510" s="332"/>
      <c r="LB510" s="332"/>
      <c r="LC510" s="332"/>
      <c r="LD510" s="332"/>
      <c r="LE510" s="332"/>
      <c r="LF510" s="332"/>
      <c r="LG510" s="332"/>
      <c r="LH510" s="332"/>
      <c r="LI510" s="332"/>
      <c r="LJ510" s="332"/>
      <c r="LK510" s="332"/>
      <c r="LL510" s="332"/>
      <c r="LM510" s="332"/>
      <c r="LN510" s="332"/>
      <c r="LO510" s="332"/>
      <c r="LP510" s="332"/>
      <c r="LQ510" s="332"/>
      <c r="LR510" s="332"/>
      <c r="LS510" s="332"/>
      <c r="LT510" s="332"/>
      <c r="LU510" s="332"/>
      <c r="LV510" s="332"/>
      <c r="LW510" s="332"/>
      <c r="LX510" s="332"/>
      <c r="LY510" s="332"/>
      <c r="LZ510" s="332"/>
      <c r="MA510" s="332"/>
      <c r="MB510" s="332"/>
      <c r="MC510" s="332"/>
      <c r="MD510" s="332"/>
      <c r="ME510" s="332"/>
      <c r="MF510" s="332"/>
      <c r="MG510" s="332"/>
      <c r="MH510" s="332"/>
      <c r="MI510" s="332"/>
      <c r="MJ510" s="332"/>
      <c r="MK510" s="332"/>
      <c r="ML510" s="332"/>
      <c r="MM510" s="332"/>
      <c r="MN510" s="332"/>
      <c r="MO510" s="332"/>
      <c r="MP510" s="332"/>
      <c r="MQ510" s="332"/>
      <c r="MR510" s="332"/>
      <c r="MS510" s="332"/>
      <c r="MT510" s="332"/>
      <c r="MU510" s="332"/>
      <c r="MV510" s="332"/>
      <c r="MW510" s="332"/>
      <c r="MX510" s="332"/>
      <c r="MY510" s="332"/>
      <c r="MZ510" s="332"/>
      <c r="NA510" s="332"/>
      <c r="NB510" s="332"/>
      <c r="NC510" s="332"/>
      <c r="ND510" s="332"/>
      <c r="NE510" s="332"/>
      <c r="NF510" s="332"/>
      <c r="NG510" s="332"/>
      <c r="NH510" s="332"/>
      <c r="NI510" s="332"/>
      <c r="NJ510" s="332"/>
      <c r="NK510" s="332"/>
      <c r="NL510" s="332"/>
      <c r="NM510" s="332"/>
      <c r="NN510" s="332"/>
      <c r="NO510" s="332"/>
      <c r="NP510" s="332"/>
      <c r="NQ510" s="332"/>
      <c r="NR510" s="332"/>
      <c r="NS510" s="332"/>
      <c r="NT510" s="332"/>
      <c r="NU510" s="332"/>
      <c r="NV510" s="332"/>
      <c r="NW510" s="332"/>
      <c r="NX510" s="332"/>
      <c r="NY510" s="332"/>
      <c r="NZ510" s="332"/>
      <c r="OA510" s="332"/>
      <c r="OB510" s="332"/>
      <c r="OC510" s="332"/>
      <c r="OD510" s="332"/>
      <c r="OE510" s="332"/>
      <c r="OF510" s="332"/>
      <c r="OG510" s="332"/>
      <c r="OH510" s="332"/>
      <c r="OI510" s="332"/>
      <c r="OJ510" s="332"/>
      <c r="OK510" s="332"/>
      <c r="OL510" s="332"/>
      <c r="OM510" s="332"/>
      <c r="ON510" s="332"/>
      <c r="OO510" s="332"/>
      <c r="OP510" s="332"/>
      <c r="OQ510" s="332"/>
      <c r="OR510" s="332"/>
      <c r="OS510" s="332"/>
      <c r="OT510" s="332"/>
      <c r="OU510" s="332"/>
      <c r="OV510" s="332"/>
      <c r="OW510" s="332"/>
      <c r="OX510" s="332"/>
      <c r="OY510" s="332"/>
      <c r="OZ510" s="332"/>
      <c r="PA510" s="332"/>
      <c r="PB510" s="332"/>
      <c r="PC510" s="332"/>
      <c r="PD510" s="332"/>
      <c r="PE510" s="332"/>
      <c r="PF510" s="332"/>
      <c r="PG510" s="332"/>
      <c r="PH510" s="332"/>
      <c r="PI510" s="332"/>
      <c r="PJ510" s="332"/>
      <c r="PK510" s="332"/>
      <c r="PL510" s="332"/>
      <c r="PM510" s="332"/>
      <c r="PN510" s="332"/>
      <c r="PO510" s="332"/>
      <c r="PP510" s="332"/>
      <c r="PQ510" s="332"/>
      <c r="PR510" s="332"/>
      <c r="PS510" s="332"/>
      <c r="PT510" s="332"/>
      <c r="PU510" s="332"/>
      <c r="PV510" s="332"/>
      <c r="PW510" s="332"/>
      <c r="PX510" s="332"/>
      <c r="PY510" s="332"/>
      <c r="PZ510" s="332"/>
      <c r="QA510" s="332"/>
      <c r="QB510" s="332"/>
      <c r="QC510" s="332"/>
      <c r="QD510" s="332"/>
      <c r="QE510" s="332"/>
      <c r="QF510" s="332"/>
      <c r="QG510" s="332"/>
      <c r="QH510" s="332"/>
      <c r="QI510" s="332"/>
      <c r="QJ510" s="332"/>
      <c r="QK510" s="332"/>
      <c r="QL510" s="332"/>
      <c r="QM510" s="332"/>
      <c r="QN510" s="332"/>
      <c r="QO510" s="332"/>
      <c r="QP510" s="332"/>
      <c r="QQ510" s="332"/>
      <c r="QR510" s="332"/>
      <c r="QS510" s="332"/>
      <c r="QT510" s="332"/>
      <c r="QU510" s="332"/>
      <c r="QV510" s="332"/>
      <c r="QW510" s="332"/>
      <c r="QX510" s="332"/>
      <c r="QY510" s="332"/>
      <c r="QZ510" s="332"/>
      <c r="RA510" s="332"/>
      <c r="RB510" s="332"/>
      <c r="RC510" s="332"/>
      <c r="RD510" s="332"/>
      <c r="RE510" s="332"/>
      <c r="RF510" s="332"/>
      <c r="RG510" s="332"/>
      <c r="RH510" s="332"/>
      <c r="RI510" s="332"/>
      <c r="RJ510" s="332"/>
      <c r="RK510" s="332"/>
      <c r="RL510" s="332"/>
      <c r="RM510" s="332"/>
      <c r="RN510" s="332"/>
      <c r="RO510" s="332"/>
      <c r="RP510" s="332"/>
      <c r="RQ510" s="332"/>
      <c r="RR510" s="332"/>
      <c r="RS510" s="332"/>
      <c r="RT510" s="332"/>
      <c r="RU510" s="332"/>
      <c r="RV510" s="332"/>
      <c r="RW510" s="332"/>
      <c r="RX510" s="332"/>
      <c r="RY510" s="332"/>
      <c r="RZ510" s="332"/>
      <c r="SA510" s="332"/>
      <c r="SB510" s="332"/>
      <c r="SC510" s="332"/>
      <c r="SD510" s="332"/>
      <c r="SE510" s="332"/>
      <c r="SF510" s="332"/>
      <c r="SG510" s="332"/>
      <c r="SH510" s="332"/>
      <c r="SI510" s="332"/>
      <c r="SJ510" s="332"/>
      <c r="SK510" s="332"/>
      <c r="SL510" s="332"/>
      <c r="SM510" s="332"/>
      <c r="SN510" s="332"/>
      <c r="SO510" s="332"/>
      <c r="SP510" s="332"/>
      <c r="SQ510" s="332"/>
      <c r="SR510" s="332"/>
      <c r="SS510" s="332"/>
      <c r="ST510" s="332"/>
      <c r="SU510" s="332"/>
      <c r="SV510" s="332"/>
      <c r="SW510" s="332"/>
      <c r="SX510" s="332"/>
      <c r="SY510" s="332"/>
      <c r="SZ510" s="332"/>
      <c r="TA510" s="332"/>
      <c r="TB510" s="332"/>
      <c r="TC510" s="332"/>
      <c r="TD510" s="332"/>
      <c r="TE510" s="332"/>
      <c r="TF510" s="332"/>
      <c r="TG510" s="332"/>
      <c r="TH510" s="332"/>
      <c r="TI510" s="332"/>
      <c r="TJ510" s="332"/>
      <c r="TK510" s="332"/>
      <c r="TL510" s="332"/>
      <c r="TM510" s="332"/>
      <c r="TN510" s="332"/>
      <c r="TO510" s="332"/>
      <c r="TP510" s="332"/>
      <c r="TQ510" s="332"/>
      <c r="TR510" s="332"/>
      <c r="TS510" s="332"/>
      <c r="TT510" s="332"/>
      <c r="TU510" s="332"/>
      <c r="TV510" s="332"/>
      <c r="TW510" s="332"/>
      <c r="TX510" s="332"/>
      <c r="TY510" s="332"/>
      <c r="TZ510" s="332"/>
      <c r="UA510" s="332"/>
      <c r="UB510" s="332"/>
      <c r="UC510" s="332"/>
      <c r="UD510" s="332"/>
      <c r="UE510" s="332"/>
      <c r="UF510" s="332"/>
      <c r="UG510" s="332"/>
      <c r="UH510" s="332"/>
      <c r="UI510" s="332"/>
      <c r="UJ510" s="332"/>
      <c r="UK510" s="332"/>
      <c r="UL510" s="332"/>
      <c r="UM510" s="332"/>
      <c r="UN510" s="332"/>
      <c r="UO510" s="332"/>
      <c r="UP510" s="332"/>
      <c r="UQ510" s="332"/>
      <c r="UR510" s="332"/>
      <c r="US510" s="332"/>
      <c r="UT510" s="332"/>
      <c r="UU510" s="332"/>
      <c r="UV510" s="332"/>
      <c r="UW510" s="332"/>
      <c r="UX510" s="332"/>
      <c r="UY510" s="332"/>
      <c r="UZ510" s="332"/>
      <c r="VA510" s="332"/>
      <c r="VB510" s="332"/>
      <c r="VC510" s="332"/>
      <c r="VD510" s="332"/>
      <c r="VE510" s="332"/>
      <c r="VF510" s="332"/>
      <c r="VG510" s="332"/>
      <c r="VH510" s="332"/>
      <c r="VI510" s="332"/>
      <c r="VJ510" s="332"/>
      <c r="VK510" s="332"/>
      <c r="VL510" s="332"/>
      <c r="VM510" s="332"/>
      <c r="VN510" s="332"/>
      <c r="VO510" s="332"/>
      <c r="VP510" s="332"/>
      <c r="VQ510" s="332"/>
      <c r="VR510" s="332"/>
      <c r="VS510" s="332"/>
      <c r="VT510" s="332"/>
      <c r="VU510" s="332"/>
      <c r="VV510" s="332"/>
      <c r="VW510" s="332"/>
      <c r="VX510" s="332"/>
      <c r="VY510" s="332"/>
      <c r="VZ510" s="332"/>
      <c r="WA510" s="332"/>
      <c r="WB510" s="332"/>
      <c r="WC510" s="332"/>
      <c r="WD510" s="332"/>
      <c r="WE510" s="332"/>
      <c r="WF510" s="332"/>
      <c r="WG510" s="332"/>
      <c r="WH510" s="332"/>
      <c r="WI510" s="332"/>
      <c r="WJ510" s="332"/>
      <c r="WK510" s="332"/>
      <c r="WL510" s="332"/>
      <c r="WM510" s="332"/>
      <c r="WN510" s="332"/>
      <c r="WO510" s="332"/>
      <c r="WP510" s="332"/>
      <c r="WQ510" s="332"/>
      <c r="WR510" s="332"/>
      <c r="WS510" s="332"/>
      <c r="WT510" s="332"/>
      <c r="WU510" s="332"/>
      <c r="WV510" s="332"/>
      <c r="WW510" s="332"/>
      <c r="WX510" s="332"/>
      <c r="WY510" s="332"/>
      <c r="WZ510" s="332"/>
      <c r="XA510" s="332"/>
      <c r="XB510" s="332"/>
      <c r="XC510" s="332"/>
      <c r="XD510" s="332"/>
      <c r="XE510" s="332"/>
      <c r="XF510" s="332"/>
      <c r="XG510" s="332"/>
      <c r="XH510" s="332"/>
      <c r="XI510" s="332"/>
      <c r="XJ510" s="332"/>
      <c r="XK510" s="332"/>
      <c r="XL510" s="332"/>
      <c r="XM510" s="332"/>
      <c r="XN510" s="332"/>
      <c r="XO510" s="332"/>
      <c r="XP510" s="332"/>
      <c r="XQ510" s="332"/>
      <c r="XR510" s="332"/>
      <c r="XS510" s="332"/>
      <c r="XT510" s="332"/>
      <c r="XU510" s="332"/>
      <c r="XV510" s="332"/>
      <c r="XW510" s="332"/>
      <c r="XX510" s="332"/>
      <c r="XY510" s="332"/>
      <c r="XZ510" s="332"/>
      <c r="YA510" s="332"/>
      <c r="YB510" s="332"/>
      <c r="YC510" s="332"/>
      <c r="YD510" s="332"/>
      <c r="YE510" s="332"/>
      <c r="YF510" s="332"/>
      <c r="YG510" s="332"/>
      <c r="YH510" s="332"/>
      <c r="YI510" s="332"/>
      <c r="YJ510" s="332"/>
      <c r="YK510" s="332"/>
      <c r="YL510" s="332"/>
      <c r="YM510" s="332"/>
      <c r="YN510" s="332"/>
      <c r="YO510" s="332"/>
      <c r="YP510" s="332"/>
      <c r="YQ510" s="332"/>
      <c r="YR510" s="332"/>
      <c r="YS510" s="332"/>
      <c r="YT510" s="332"/>
      <c r="YU510" s="332"/>
      <c r="YV510" s="332"/>
      <c r="YW510" s="332"/>
      <c r="YX510" s="332"/>
      <c r="YY510" s="332"/>
      <c r="YZ510" s="332"/>
      <c r="ZA510" s="332"/>
      <c r="ZB510" s="332"/>
      <c r="ZC510" s="332"/>
      <c r="ZD510" s="332"/>
      <c r="ZE510" s="332"/>
      <c r="ZF510" s="332"/>
      <c r="ZG510" s="332"/>
      <c r="ZH510" s="332"/>
      <c r="ZI510" s="332"/>
      <c r="ZJ510" s="332"/>
      <c r="ZK510" s="332"/>
      <c r="ZL510" s="332"/>
      <c r="ZM510" s="332"/>
      <c r="ZN510" s="332"/>
      <c r="ZO510" s="332"/>
      <c r="ZP510" s="332"/>
      <c r="ZQ510" s="332"/>
      <c r="ZR510" s="332"/>
      <c r="ZS510" s="332"/>
      <c r="ZT510" s="332"/>
      <c r="ZU510" s="332"/>
      <c r="ZV510" s="332"/>
      <c r="ZW510" s="332"/>
      <c r="ZX510" s="332"/>
      <c r="ZY510" s="332"/>
      <c r="ZZ510" s="332"/>
      <c r="AAA510" s="332"/>
      <c r="AAB510" s="332"/>
      <c r="AAC510" s="332"/>
      <c r="AAD510" s="332"/>
      <c r="AAE510" s="332"/>
      <c r="AAF510" s="332"/>
      <c r="AAG510" s="332"/>
      <c r="AAH510" s="332"/>
      <c r="AAI510" s="332"/>
      <c r="AAJ510" s="332"/>
      <c r="AAK510" s="332"/>
      <c r="AAL510" s="332"/>
      <c r="AAM510" s="332"/>
      <c r="AAN510" s="332"/>
      <c r="AAO510" s="332"/>
      <c r="AAP510" s="332"/>
      <c r="AAQ510" s="332"/>
      <c r="AAR510" s="332"/>
      <c r="AAS510" s="332"/>
      <c r="AAT510" s="332"/>
      <c r="AAU510" s="332"/>
      <c r="AAV510" s="332"/>
      <c r="AAW510" s="332"/>
      <c r="AAX510" s="332"/>
      <c r="AAY510" s="332"/>
      <c r="AAZ510" s="332"/>
      <c r="ABA510" s="332"/>
      <c r="ABB510" s="332"/>
      <c r="ABC510" s="332"/>
      <c r="ABD510" s="332"/>
      <c r="ABE510" s="332"/>
      <c r="ABF510" s="332"/>
      <c r="ABG510" s="332"/>
      <c r="ABH510" s="332"/>
      <c r="ABI510" s="332"/>
      <c r="ABJ510" s="332"/>
      <c r="ABK510" s="332"/>
      <c r="ABL510" s="332"/>
      <c r="ABM510" s="332"/>
      <c r="ABN510" s="332"/>
      <c r="ABO510" s="332"/>
      <c r="ABP510" s="332"/>
      <c r="ABQ510" s="332"/>
      <c r="ABR510" s="332"/>
      <c r="ABS510" s="332"/>
      <c r="ABT510" s="332"/>
      <c r="ABU510" s="332"/>
      <c r="ABV510" s="332"/>
      <c r="ABW510" s="332"/>
      <c r="ABX510" s="332"/>
      <c r="ABY510" s="332"/>
      <c r="ABZ510" s="332"/>
      <c r="ACA510" s="332"/>
      <c r="ACB510" s="332"/>
      <c r="ACC510" s="332"/>
      <c r="ACD510" s="332"/>
      <c r="ACE510" s="332"/>
      <c r="ACF510" s="332"/>
      <c r="ACG510" s="332"/>
      <c r="ACH510" s="332"/>
      <c r="ACI510" s="332"/>
      <c r="ACJ510" s="332"/>
      <c r="ACK510" s="332"/>
      <c r="ACL510" s="332"/>
      <c r="ACM510" s="332"/>
      <c r="ACN510" s="332"/>
      <c r="ACO510" s="332"/>
      <c r="ACP510" s="332"/>
      <c r="ACQ510" s="332"/>
      <c r="ACR510" s="332"/>
      <c r="ACS510" s="332"/>
      <c r="ACT510" s="332"/>
      <c r="ACU510" s="332"/>
      <c r="ACV510" s="332"/>
      <c r="ACW510" s="332"/>
      <c r="ACX510" s="332"/>
      <c r="ACY510" s="332"/>
      <c r="ACZ510" s="332"/>
      <c r="ADA510" s="332"/>
      <c r="ADB510" s="332"/>
      <c r="ADC510" s="332"/>
      <c r="ADD510" s="332"/>
      <c r="ADE510" s="332"/>
      <c r="ADF510" s="332"/>
      <c r="ADG510" s="332"/>
      <c r="ADH510" s="332"/>
      <c r="ADI510" s="332"/>
      <c r="ADJ510" s="332"/>
      <c r="ADK510" s="332"/>
      <c r="ADL510" s="332"/>
      <c r="ADM510" s="332"/>
      <c r="ADN510" s="332"/>
      <c r="ADO510" s="332"/>
      <c r="ADP510" s="332"/>
      <c r="ADQ510" s="332"/>
      <c r="ADR510" s="332"/>
      <c r="ADS510" s="332"/>
      <c r="ADT510" s="332"/>
      <c r="ADU510" s="332"/>
      <c r="ADV510" s="332"/>
      <c r="ADW510" s="332"/>
      <c r="ADX510" s="332"/>
      <c r="ADY510" s="332"/>
      <c r="ADZ510" s="332"/>
      <c r="AEA510" s="332"/>
      <c r="AEB510" s="332"/>
      <c r="AEC510" s="332"/>
      <c r="AED510" s="332"/>
      <c r="AEE510" s="332"/>
      <c r="AEF510" s="332"/>
      <c r="AEG510" s="332"/>
      <c r="AEH510" s="332"/>
      <c r="AEI510" s="332"/>
      <c r="AEJ510" s="332"/>
      <c r="AEK510" s="332"/>
      <c r="AEL510" s="332"/>
      <c r="AEM510" s="332"/>
      <c r="AEN510" s="332"/>
      <c r="AEO510" s="332"/>
      <c r="AEP510" s="332"/>
      <c r="AEQ510" s="332"/>
      <c r="AER510" s="332"/>
      <c r="AES510" s="332"/>
      <c r="AET510" s="332"/>
      <c r="AEU510" s="332"/>
      <c r="AEV510" s="332"/>
      <c r="AEW510" s="332"/>
      <c r="AEX510" s="332"/>
      <c r="AEY510" s="332"/>
      <c r="AEZ510" s="332"/>
      <c r="AFA510" s="332"/>
      <c r="AFB510" s="332"/>
      <c r="AFC510" s="332"/>
      <c r="AFD510" s="332"/>
      <c r="AFE510" s="332"/>
      <c r="AFF510" s="332"/>
      <c r="AFG510" s="332"/>
      <c r="AFH510" s="332"/>
      <c r="AFI510" s="332"/>
      <c r="AFJ510" s="332"/>
      <c r="AFK510" s="332"/>
      <c r="AFL510" s="332"/>
      <c r="AFM510" s="332"/>
      <c r="AFN510" s="332"/>
      <c r="AFO510" s="332"/>
      <c r="AFP510" s="332"/>
      <c r="AFQ510" s="332"/>
      <c r="AFR510" s="332"/>
      <c r="AFS510" s="332"/>
      <c r="AFT510" s="332"/>
      <c r="AFU510" s="332"/>
      <c r="AFV510" s="332"/>
      <c r="AFW510" s="332"/>
      <c r="AFX510" s="332"/>
      <c r="AFY510" s="332"/>
      <c r="AFZ510" s="332"/>
      <c r="AGA510" s="332"/>
      <c r="AGB510" s="332"/>
      <c r="AGC510" s="332"/>
      <c r="AGD510" s="332"/>
      <c r="AGE510" s="332"/>
      <c r="AGF510" s="332"/>
      <c r="AGG510" s="332"/>
      <c r="AGH510" s="332"/>
      <c r="AGI510" s="332"/>
      <c r="AGJ510" s="332"/>
      <c r="AGK510" s="332"/>
      <c r="AGL510" s="332"/>
      <c r="AGM510" s="332"/>
      <c r="AGN510" s="332"/>
      <c r="AGO510" s="332"/>
      <c r="AGP510" s="332"/>
      <c r="AGQ510" s="332"/>
      <c r="AGR510" s="332"/>
      <c r="AGS510" s="332"/>
      <c r="AGT510" s="332"/>
      <c r="AGU510" s="332"/>
      <c r="AGV510" s="332"/>
      <c r="AGW510" s="332"/>
      <c r="AGX510" s="332"/>
      <c r="AGY510" s="332"/>
      <c r="AGZ510" s="332"/>
      <c r="AHA510" s="332"/>
      <c r="AHB510" s="332"/>
      <c r="AHC510" s="332"/>
      <c r="AHD510" s="332"/>
      <c r="AHE510" s="332"/>
      <c r="AHF510" s="332"/>
      <c r="AHG510" s="332"/>
      <c r="AHH510" s="332"/>
      <c r="AHI510" s="332"/>
      <c r="AHJ510" s="332"/>
      <c r="AHK510" s="332"/>
      <c r="AHL510" s="332"/>
      <c r="AHM510" s="332"/>
      <c r="AHN510" s="332"/>
      <c r="AHO510" s="332"/>
      <c r="AHP510" s="332"/>
      <c r="AHQ510" s="332"/>
      <c r="AHR510" s="332"/>
      <c r="AHS510" s="332"/>
      <c r="AHT510" s="332"/>
      <c r="AHU510" s="332"/>
      <c r="AHV510" s="332"/>
      <c r="AHW510" s="332"/>
      <c r="AHX510" s="332"/>
      <c r="AHY510" s="332"/>
      <c r="AHZ510" s="332"/>
      <c r="AIA510" s="332"/>
      <c r="AIB510" s="332"/>
      <c r="AIC510" s="332"/>
      <c r="AID510" s="332"/>
      <c r="AIE510" s="332"/>
      <c r="AIF510" s="332"/>
      <c r="AIG510" s="332"/>
      <c r="AIH510" s="332"/>
      <c r="AII510" s="332"/>
      <c r="AIJ510" s="332"/>
      <c r="AIK510" s="332"/>
      <c r="AIL510" s="332"/>
      <c r="AIM510" s="332"/>
      <c r="AIN510" s="332"/>
      <c r="AIO510" s="332"/>
      <c r="AIP510" s="332"/>
      <c r="AIQ510" s="332"/>
      <c r="AIR510" s="332"/>
      <c r="AIS510" s="332"/>
      <c r="AIT510" s="332"/>
      <c r="AIU510" s="332"/>
      <c r="AIV510" s="332"/>
      <c r="AIW510" s="332"/>
      <c r="AIX510" s="332"/>
      <c r="AIY510" s="332"/>
      <c r="AIZ510" s="332"/>
      <c r="AJA510" s="332"/>
      <c r="AJB510" s="332"/>
      <c r="AJC510" s="332"/>
      <c r="AJD510" s="332"/>
      <c r="AJE510" s="332"/>
      <c r="AJF510" s="332"/>
      <c r="AJG510" s="332"/>
      <c r="AJH510" s="332"/>
      <c r="AJI510" s="332"/>
      <c r="AJJ510" s="332"/>
      <c r="AJK510" s="332"/>
      <c r="AJL510" s="332"/>
      <c r="AJM510" s="332"/>
      <c r="AJN510" s="332"/>
      <c r="AJO510" s="332"/>
      <c r="AJP510" s="332"/>
      <c r="AJQ510" s="332"/>
      <c r="AJR510" s="332"/>
      <c r="AJS510" s="332"/>
      <c r="AJT510" s="332"/>
      <c r="AJU510" s="332"/>
      <c r="AJV510" s="332"/>
      <c r="AJW510" s="332"/>
      <c r="AJX510" s="332"/>
      <c r="AJY510" s="332"/>
      <c r="AJZ510" s="332"/>
      <c r="AKA510" s="332"/>
      <c r="AKB510" s="332"/>
      <c r="AKC510" s="332"/>
      <c r="AKD510" s="332"/>
      <c r="AKE510" s="332"/>
      <c r="AKF510" s="332"/>
      <c r="AKG510" s="332"/>
      <c r="AKH510" s="332"/>
      <c r="AKI510" s="332"/>
      <c r="AKJ510" s="332"/>
      <c r="AKK510" s="332"/>
      <c r="AKL510" s="332"/>
      <c r="AKM510" s="332"/>
      <c r="AKN510" s="332"/>
      <c r="AKO510" s="332"/>
      <c r="AKP510" s="332"/>
      <c r="AKQ510" s="332"/>
      <c r="AKR510" s="332"/>
      <c r="AKS510" s="332"/>
      <c r="AKT510" s="332"/>
      <c r="AKU510" s="332"/>
      <c r="AKV510" s="332"/>
      <c r="AKW510" s="332"/>
      <c r="AKX510" s="332"/>
      <c r="AKY510" s="332"/>
      <c r="AKZ510" s="332"/>
      <c r="ALA510" s="332"/>
      <c r="ALB510" s="332"/>
      <c r="ALC510" s="332"/>
      <c r="ALD510" s="332"/>
      <c r="ALE510" s="332"/>
      <c r="ALF510" s="332"/>
      <c r="ALG510" s="332"/>
      <c r="ALH510" s="332"/>
      <c r="ALI510" s="332"/>
      <c r="ALJ510" s="332"/>
      <c r="ALK510" s="332"/>
      <c r="ALL510" s="332"/>
      <c r="ALM510" s="332"/>
      <c r="ALN510" s="332"/>
      <c r="ALO510" s="332"/>
      <c r="ALP510" s="332"/>
      <c r="ALQ510" s="332"/>
      <c r="ALR510" s="332"/>
      <c r="ALS510" s="332"/>
      <c r="ALT510" s="332"/>
      <c r="ALU510" s="332"/>
      <c r="ALV510" s="332"/>
      <c r="ALW510" s="332"/>
      <c r="ALX510" s="332"/>
      <c r="ALY510" s="332"/>
      <c r="ALZ510" s="332"/>
      <c r="AMA510" s="332"/>
      <c r="AMB510" s="332"/>
      <c r="AMC510" s="332"/>
      <c r="AMD510" s="332"/>
      <c r="AME510" s="332"/>
      <c r="AMF510" s="332"/>
      <c r="AMG510" s="332"/>
      <c r="AMH510" s="332"/>
      <c r="AMI510" s="332"/>
      <c r="AMJ510" s="332"/>
      <c r="AMK510" s="332"/>
      <c r="AML510" s="332"/>
      <c r="AMM510" s="332"/>
      <c r="AMN510" s="332"/>
      <c r="AMO510" s="332"/>
      <c r="AMP510" s="332"/>
      <c r="AMQ510" s="332"/>
      <c r="AMR510" s="332"/>
      <c r="AMS510" s="332"/>
      <c r="AMT510" s="332"/>
      <c r="AMU510" s="332"/>
      <c r="AMV510" s="332"/>
      <c r="AMW510" s="332"/>
      <c r="AMX510" s="332"/>
      <c r="AMY510" s="332"/>
      <c r="AMZ510" s="332"/>
      <c r="ANA510" s="332"/>
      <c r="ANB510" s="332"/>
      <c r="ANC510" s="332"/>
      <c r="AND510" s="332"/>
      <c r="ANE510" s="332"/>
      <c r="ANF510" s="332"/>
      <c r="ANG510" s="332"/>
      <c r="ANH510" s="332"/>
      <c r="ANI510" s="332"/>
      <c r="ANJ510" s="332"/>
      <c r="ANK510" s="332"/>
      <c r="ANL510" s="332"/>
      <c r="ANM510" s="332"/>
      <c r="ANN510" s="332"/>
      <c r="ANO510" s="332"/>
      <c r="ANP510" s="332"/>
      <c r="ANQ510" s="332"/>
      <c r="ANR510" s="332"/>
      <c r="ANS510" s="332"/>
      <c r="ANT510" s="332"/>
      <c r="ANU510" s="332"/>
      <c r="ANV510" s="332"/>
      <c r="ANW510" s="332"/>
      <c r="ANX510" s="332"/>
      <c r="ANY510" s="332"/>
      <c r="ANZ510" s="332"/>
      <c r="AOA510" s="332"/>
      <c r="AOB510" s="332"/>
      <c r="AOC510" s="332"/>
      <c r="AOD510" s="332"/>
      <c r="AOE510" s="332"/>
      <c r="AOF510" s="332"/>
      <c r="AOG510" s="332"/>
      <c r="AOH510" s="332"/>
      <c r="AOI510" s="332"/>
      <c r="AOJ510" s="332"/>
      <c r="AOK510" s="332"/>
      <c r="AOL510" s="332"/>
      <c r="AOM510" s="332"/>
      <c r="AON510" s="332"/>
      <c r="AOO510" s="332"/>
      <c r="AOP510" s="332"/>
      <c r="AOQ510" s="332"/>
      <c r="AOR510" s="332"/>
      <c r="AOS510" s="332"/>
      <c r="AOT510" s="332"/>
      <c r="AOU510" s="332"/>
      <c r="AOV510" s="332"/>
      <c r="AOW510" s="332"/>
      <c r="AOX510" s="332"/>
      <c r="AOY510" s="332"/>
      <c r="AOZ510" s="332"/>
      <c r="APA510" s="332"/>
      <c r="APB510" s="332"/>
      <c r="APC510" s="332"/>
      <c r="APD510" s="332"/>
      <c r="APE510" s="332"/>
      <c r="APF510" s="332"/>
      <c r="APG510" s="332"/>
      <c r="APH510" s="332"/>
      <c r="API510" s="332"/>
      <c r="APJ510" s="332"/>
      <c r="APK510" s="332"/>
      <c r="APL510" s="332"/>
      <c r="APM510" s="332"/>
      <c r="APN510" s="332"/>
      <c r="APO510" s="332"/>
      <c r="APP510" s="332"/>
      <c r="APQ510" s="332"/>
      <c r="APR510" s="332"/>
      <c r="APS510" s="332"/>
      <c r="APT510" s="332"/>
      <c r="APU510" s="332"/>
      <c r="APV510" s="332"/>
      <c r="APW510" s="332"/>
      <c r="APX510" s="332"/>
      <c r="APY510" s="332"/>
      <c r="APZ510" s="332"/>
      <c r="AQA510" s="332"/>
      <c r="AQB510" s="332"/>
      <c r="AQC510" s="332"/>
      <c r="AQD510" s="332"/>
      <c r="AQE510" s="332"/>
      <c r="AQF510" s="332"/>
      <c r="AQG510" s="332"/>
      <c r="AQH510" s="332"/>
      <c r="AQI510" s="332"/>
      <c r="AQJ510" s="332"/>
      <c r="AQK510" s="332"/>
      <c r="AQL510" s="332"/>
      <c r="AQM510" s="332"/>
      <c r="AQN510" s="332"/>
      <c r="AQO510" s="332"/>
      <c r="AQP510" s="332"/>
      <c r="AQQ510" s="332"/>
      <c r="AQR510" s="332"/>
      <c r="AQS510" s="332"/>
      <c r="AQT510" s="332"/>
      <c r="AQU510" s="332"/>
      <c r="AQV510" s="332"/>
      <c r="AQW510" s="332"/>
      <c r="AQX510" s="332"/>
      <c r="AQY510" s="332"/>
      <c r="AQZ510" s="332"/>
      <c r="ARA510" s="332"/>
      <c r="ARB510" s="332"/>
      <c r="ARC510" s="332"/>
      <c r="ARD510" s="332"/>
      <c r="ARE510" s="332"/>
      <c r="ARF510" s="332"/>
      <c r="ARG510" s="332"/>
      <c r="ARH510" s="332"/>
      <c r="ARI510" s="332"/>
      <c r="ARJ510" s="332"/>
      <c r="ARK510" s="332"/>
      <c r="ARL510" s="332"/>
      <c r="ARM510" s="332"/>
      <c r="ARN510" s="332"/>
      <c r="ARO510" s="332"/>
      <c r="ARP510" s="332"/>
      <c r="ARQ510" s="332"/>
      <c r="ARR510" s="332"/>
      <c r="ARS510" s="332"/>
      <c r="ART510" s="332"/>
      <c r="ARU510" s="332"/>
      <c r="ARV510" s="332"/>
      <c r="ARW510" s="332"/>
      <c r="ARX510" s="332"/>
      <c r="ARY510" s="332"/>
      <c r="ARZ510" s="332"/>
      <c r="ASA510" s="332"/>
      <c r="ASB510" s="332"/>
      <c r="ASC510" s="332"/>
      <c r="ASD510" s="332"/>
      <c r="ASE510" s="332"/>
      <c r="ASF510" s="332"/>
      <c r="ASG510" s="332"/>
      <c r="ASH510" s="332"/>
      <c r="ASI510" s="332"/>
      <c r="ASJ510" s="332"/>
      <c r="ASK510" s="332"/>
      <c r="ASL510" s="332"/>
      <c r="ASM510" s="332"/>
      <c r="ASN510" s="332"/>
      <c r="ASO510" s="332"/>
      <c r="ASP510" s="332"/>
      <c r="ASQ510" s="332"/>
      <c r="ASR510" s="332"/>
      <c r="ASS510" s="332"/>
      <c r="AST510" s="332"/>
      <c r="ASU510" s="332"/>
      <c r="ASV510" s="332"/>
      <c r="ASW510" s="332"/>
      <c r="ASX510" s="332"/>
      <c r="ASY510" s="332"/>
      <c r="ASZ510" s="332"/>
      <c r="ATA510" s="332"/>
      <c r="ATB510" s="332"/>
      <c r="ATC510" s="332"/>
      <c r="ATD510" s="332"/>
      <c r="ATE510" s="332"/>
      <c r="ATF510" s="332"/>
      <c r="ATG510" s="332"/>
      <c r="ATH510" s="332"/>
      <c r="ATI510" s="332"/>
      <c r="ATJ510" s="332"/>
      <c r="ATK510" s="332"/>
      <c r="ATL510" s="332"/>
      <c r="ATM510" s="332"/>
      <c r="ATN510" s="332"/>
      <c r="ATO510" s="332"/>
      <c r="ATP510" s="332"/>
      <c r="ATQ510" s="332"/>
      <c r="ATR510" s="332"/>
      <c r="ATS510" s="332"/>
      <c r="ATT510" s="332"/>
      <c r="ATU510" s="332"/>
      <c r="ATV510" s="332"/>
      <c r="ATW510" s="332"/>
      <c r="ATX510" s="332"/>
      <c r="ATY510" s="332"/>
      <c r="ATZ510" s="332"/>
      <c r="AUA510" s="332"/>
      <c r="AUB510" s="332"/>
      <c r="AUC510" s="332"/>
      <c r="AUD510" s="332"/>
      <c r="AUE510" s="332"/>
      <c r="AUF510" s="332"/>
      <c r="AUG510" s="332"/>
      <c r="AUH510" s="332"/>
      <c r="AUI510" s="332"/>
      <c r="AUJ510" s="332"/>
      <c r="AUK510" s="332"/>
      <c r="AUL510" s="332"/>
      <c r="AUM510" s="332"/>
      <c r="AUN510" s="332"/>
      <c r="AUO510" s="332"/>
      <c r="AUP510" s="332"/>
      <c r="AUQ510" s="332"/>
      <c r="AUR510" s="332"/>
      <c r="AUS510" s="332"/>
      <c r="AUT510" s="332"/>
      <c r="AUU510" s="332"/>
      <c r="AUV510" s="332"/>
      <c r="AUW510" s="332"/>
      <c r="AUX510" s="332"/>
      <c r="AUY510" s="332"/>
      <c r="AUZ510" s="332"/>
      <c r="AVA510" s="332"/>
      <c r="AVB510" s="332"/>
      <c r="AVC510" s="332"/>
      <c r="AVD510" s="332"/>
      <c r="AVE510" s="332"/>
      <c r="AVF510" s="332"/>
      <c r="AVG510" s="332"/>
      <c r="AVH510" s="332"/>
      <c r="AVI510" s="332"/>
      <c r="AVJ510" s="332"/>
      <c r="AVK510" s="332"/>
      <c r="AVL510" s="332"/>
      <c r="AVM510" s="332"/>
      <c r="AVN510" s="332"/>
      <c r="AVO510" s="332"/>
      <c r="AVP510" s="332"/>
      <c r="AVQ510" s="332"/>
      <c r="AVR510" s="332"/>
      <c r="AVS510" s="332"/>
      <c r="AVT510" s="332"/>
      <c r="AVU510" s="332"/>
      <c r="AVV510" s="332"/>
      <c r="AVW510" s="332"/>
      <c r="AVX510" s="332"/>
      <c r="AVY510" s="332"/>
      <c r="AVZ510" s="332"/>
      <c r="AWA510" s="332"/>
      <c r="AWB510" s="332"/>
      <c r="AWC510" s="332"/>
      <c r="AWD510" s="332"/>
      <c r="AWE510" s="332"/>
      <c r="AWF510" s="332"/>
      <c r="AWG510" s="332"/>
      <c r="AWH510" s="332"/>
      <c r="AWI510" s="332"/>
      <c r="AWJ510" s="332"/>
      <c r="AWK510" s="332"/>
      <c r="AWL510" s="332"/>
      <c r="AWM510" s="332"/>
      <c r="AWN510" s="332"/>
      <c r="AWO510" s="332"/>
      <c r="AWP510" s="332"/>
      <c r="AWQ510" s="332"/>
      <c r="AWR510" s="332"/>
      <c r="AWS510" s="332"/>
      <c r="AWT510" s="332"/>
      <c r="AWU510" s="332"/>
      <c r="AWV510" s="332"/>
      <c r="AWW510" s="332"/>
      <c r="AWX510" s="332"/>
      <c r="AWY510" s="332"/>
      <c r="AWZ510" s="332"/>
      <c r="AXA510" s="332"/>
      <c r="AXB510" s="332"/>
      <c r="AXC510" s="332"/>
      <c r="AXD510" s="332"/>
      <c r="AXE510" s="332"/>
      <c r="AXF510" s="332"/>
      <c r="AXG510" s="332"/>
      <c r="AXH510" s="332"/>
      <c r="AXI510" s="332"/>
      <c r="AXJ510" s="332"/>
      <c r="AXK510" s="332"/>
      <c r="AXL510" s="332"/>
      <c r="AXM510" s="332"/>
      <c r="AXN510" s="332"/>
      <c r="AXO510" s="332"/>
      <c r="AXP510" s="332"/>
      <c r="AXQ510" s="332"/>
      <c r="AXR510" s="332"/>
      <c r="AXS510" s="332"/>
      <c r="AXT510" s="332"/>
      <c r="AXU510" s="332"/>
      <c r="AXV510" s="332"/>
      <c r="AXW510" s="332"/>
      <c r="AXX510" s="332"/>
      <c r="AXY510" s="332"/>
      <c r="AXZ510" s="332"/>
      <c r="AYA510" s="332"/>
      <c r="AYB510" s="332"/>
      <c r="AYC510" s="332"/>
      <c r="AYD510" s="332"/>
      <c r="AYE510" s="332"/>
      <c r="AYF510" s="332"/>
      <c r="AYG510" s="332"/>
      <c r="AYH510" s="332"/>
      <c r="AYI510" s="332"/>
      <c r="AYJ510" s="332"/>
      <c r="AYK510" s="332"/>
      <c r="AYL510" s="332"/>
      <c r="AYM510" s="332"/>
      <c r="AYN510" s="332"/>
      <c r="AYO510" s="332"/>
      <c r="AYP510" s="332"/>
      <c r="AYQ510" s="332"/>
      <c r="AYR510" s="332"/>
      <c r="AYS510" s="332"/>
      <c r="AYT510" s="332"/>
      <c r="AYU510" s="332"/>
      <c r="AYV510" s="332"/>
      <c r="AYW510" s="332"/>
      <c r="AYX510" s="332"/>
      <c r="AYY510" s="332"/>
      <c r="AYZ510" s="332"/>
      <c r="AZA510" s="332"/>
      <c r="AZB510" s="332"/>
      <c r="AZC510" s="332"/>
      <c r="AZD510" s="332"/>
      <c r="AZE510" s="332"/>
      <c r="AZF510" s="332"/>
      <c r="AZG510" s="332"/>
      <c r="AZH510" s="332"/>
      <c r="AZI510" s="332"/>
      <c r="AZJ510" s="332"/>
      <c r="AZK510" s="332"/>
      <c r="AZL510" s="332"/>
      <c r="AZM510" s="332"/>
      <c r="AZN510" s="332"/>
      <c r="AZO510" s="332"/>
      <c r="AZP510" s="332"/>
      <c r="AZQ510" s="332"/>
      <c r="AZR510" s="332"/>
      <c r="AZS510" s="332"/>
      <c r="AZT510" s="332"/>
      <c r="AZU510" s="332"/>
      <c r="AZV510" s="332"/>
      <c r="AZW510" s="332"/>
      <c r="AZX510" s="332"/>
      <c r="AZY510" s="332"/>
      <c r="AZZ510" s="332"/>
      <c r="BAA510" s="332"/>
      <c r="BAB510" s="332"/>
      <c r="BAC510" s="332"/>
      <c r="BAD510" s="332"/>
      <c r="BAE510" s="332"/>
      <c r="BAF510" s="332"/>
      <c r="BAG510" s="332"/>
      <c r="BAH510" s="332"/>
      <c r="BAI510" s="332"/>
      <c r="BAJ510" s="332"/>
      <c r="BAK510" s="332"/>
      <c r="BAL510" s="332"/>
      <c r="BAM510" s="332"/>
      <c r="BAN510" s="332"/>
      <c r="BAO510" s="332"/>
      <c r="BAP510" s="332"/>
      <c r="BAQ510" s="332"/>
      <c r="BAR510" s="332"/>
      <c r="BAS510" s="332"/>
      <c r="BAT510" s="332"/>
      <c r="BAU510" s="332"/>
      <c r="BAV510" s="332"/>
      <c r="BAW510" s="332"/>
      <c r="BAX510" s="332"/>
      <c r="BAY510" s="332"/>
      <c r="BAZ510" s="332"/>
      <c r="BBA510" s="332"/>
      <c r="BBB510" s="332"/>
      <c r="BBC510" s="332"/>
      <c r="BBD510" s="332"/>
      <c r="BBE510" s="332"/>
      <c r="BBF510" s="332"/>
      <c r="BBG510" s="332"/>
      <c r="BBH510" s="332"/>
      <c r="BBI510" s="332"/>
      <c r="BBJ510" s="332"/>
      <c r="BBK510" s="332"/>
      <c r="BBL510" s="332"/>
      <c r="BBM510" s="332"/>
      <c r="BBN510" s="332"/>
      <c r="BBO510" s="332"/>
      <c r="BBP510" s="332"/>
      <c r="BBQ510" s="332"/>
      <c r="BBR510" s="332"/>
      <c r="BBS510" s="332"/>
      <c r="BBT510" s="332"/>
      <c r="BBU510" s="332"/>
      <c r="BBV510" s="332"/>
      <c r="BBW510" s="332"/>
      <c r="BBX510" s="332"/>
      <c r="BBY510" s="332"/>
      <c r="BBZ510" s="332"/>
      <c r="BCA510" s="332"/>
      <c r="BCB510" s="332"/>
      <c r="BCC510" s="332"/>
      <c r="BCD510" s="332"/>
      <c r="BCE510" s="332"/>
      <c r="BCF510" s="332"/>
      <c r="BCG510" s="332"/>
      <c r="BCH510" s="332"/>
      <c r="BCI510" s="332"/>
      <c r="BCJ510" s="332"/>
      <c r="BCK510" s="332"/>
      <c r="BCL510" s="332"/>
      <c r="BCM510" s="332"/>
      <c r="BCN510" s="332"/>
      <c r="BCO510" s="332"/>
      <c r="BCP510" s="332"/>
      <c r="BCQ510" s="332"/>
      <c r="BCR510" s="332"/>
      <c r="BCS510" s="332"/>
      <c r="BCT510" s="332"/>
      <c r="BCU510" s="332"/>
      <c r="BCV510" s="332"/>
      <c r="BCW510" s="332"/>
      <c r="BCX510" s="332"/>
      <c r="BCY510" s="332"/>
      <c r="BCZ510" s="332"/>
      <c r="BDA510" s="332"/>
      <c r="BDB510" s="332"/>
      <c r="BDC510" s="332"/>
      <c r="BDD510" s="332"/>
      <c r="BDE510" s="332"/>
      <c r="BDF510" s="332"/>
      <c r="BDG510" s="332"/>
      <c r="BDH510" s="332"/>
      <c r="BDI510" s="332"/>
      <c r="BDJ510" s="332"/>
      <c r="BDK510" s="332"/>
      <c r="BDL510" s="332"/>
      <c r="BDM510" s="332"/>
      <c r="BDN510" s="332"/>
      <c r="BDO510" s="332"/>
      <c r="BDP510" s="332"/>
      <c r="BDQ510" s="332"/>
      <c r="BDR510" s="332"/>
      <c r="BDS510" s="332"/>
      <c r="BDT510" s="332"/>
      <c r="BDU510" s="332"/>
      <c r="BDV510" s="332"/>
      <c r="BDW510" s="332"/>
      <c r="BDX510" s="332"/>
      <c r="BDY510" s="332"/>
      <c r="BDZ510" s="332"/>
      <c r="BEA510" s="332"/>
      <c r="BEB510" s="332"/>
      <c r="BEC510" s="332"/>
      <c r="BED510" s="332"/>
      <c r="BEE510" s="332"/>
      <c r="BEF510" s="332"/>
      <c r="BEG510" s="332"/>
      <c r="BEH510" s="332"/>
      <c r="BEI510" s="332"/>
      <c r="BEJ510" s="332"/>
      <c r="BEK510" s="332"/>
      <c r="BEL510" s="332"/>
      <c r="BEM510" s="332"/>
      <c r="BEN510" s="332"/>
      <c r="BEO510" s="332"/>
      <c r="BEP510" s="332"/>
      <c r="BEQ510" s="332"/>
      <c r="BER510" s="332"/>
      <c r="BES510" s="332"/>
      <c r="BET510" s="332"/>
      <c r="BEU510" s="332"/>
      <c r="BEV510" s="332"/>
      <c r="BEW510" s="332"/>
      <c r="BEX510" s="332"/>
      <c r="BEY510" s="332"/>
      <c r="BEZ510" s="332"/>
      <c r="BFA510" s="332"/>
      <c r="BFB510" s="332"/>
      <c r="BFC510" s="332"/>
      <c r="BFD510" s="332"/>
      <c r="BFE510" s="332"/>
      <c r="BFF510" s="332"/>
      <c r="BFG510" s="332"/>
      <c r="BFH510" s="332"/>
      <c r="BFI510" s="332"/>
      <c r="BFJ510" s="332"/>
      <c r="BFK510" s="332"/>
      <c r="BFL510" s="332"/>
      <c r="BFM510" s="332"/>
      <c r="BFN510" s="332"/>
      <c r="BFO510" s="332"/>
      <c r="BFP510" s="332"/>
      <c r="BFQ510" s="332"/>
      <c r="BFR510" s="332"/>
      <c r="BFS510" s="332"/>
      <c r="BFT510" s="332"/>
      <c r="BFU510" s="332"/>
      <c r="BFV510" s="332"/>
      <c r="BFW510" s="332"/>
      <c r="BFX510" s="332"/>
      <c r="BFY510" s="332"/>
      <c r="BFZ510" s="332"/>
      <c r="BGA510" s="332"/>
      <c r="BGB510" s="332"/>
      <c r="BGC510" s="332"/>
      <c r="BGD510" s="332"/>
      <c r="BGE510" s="332"/>
      <c r="BGF510" s="332"/>
      <c r="BGG510" s="332"/>
      <c r="BGH510" s="332"/>
      <c r="BGI510" s="332"/>
      <c r="BGJ510" s="332"/>
      <c r="BGK510" s="332"/>
      <c r="BGL510" s="332"/>
      <c r="BGM510" s="332"/>
      <c r="BGN510" s="332"/>
      <c r="BGO510" s="332"/>
      <c r="BGP510" s="332"/>
      <c r="BGQ510" s="332"/>
      <c r="BGR510" s="332"/>
      <c r="BGS510" s="332"/>
      <c r="BGT510" s="332"/>
      <c r="BGU510" s="332"/>
      <c r="BGV510" s="332"/>
      <c r="BGW510" s="332"/>
      <c r="BGX510" s="332"/>
      <c r="BGY510" s="332"/>
      <c r="BGZ510" s="332"/>
      <c r="BHA510" s="332"/>
      <c r="BHB510" s="332"/>
      <c r="BHC510" s="332"/>
      <c r="BHD510" s="332"/>
      <c r="BHE510" s="332"/>
      <c r="BHF510" s="332"/>
      <c r="BHG510" s="332"/>
      <c r="BHH510" s="332"/>
      <c r="BHI510" s="332"/>
      <c r="BHJ510" s="332"/>
      <c r="BHK510" s="332"/>
      <c r="BHL510" s="332"/>
      <c r="BHM510" s="332"/>
      <c r="BHN510" s="332"/>
      <c r="BHO510" s="332"/>
      <c r="BHP510" s="332"/>
      <c r="BHQ510" s="332"/>
      <c r="BHR510" s="332"/>
      <c r="BHS510" s="332"/>
      <c r="BHT510" s="332"/>
      <c r="BHU510" s="332"/>
      <c r="BHV510" s="332"/>
      <c r="BHW510" s="332"/>
      <c r="BHX510" s="332"/>
      <c r="BHY510" s="332"/>
      <c r="BHZ510" s="332"/>
      <c r="BIA510" s="332"/>
      <c r="BIB510" s="332"/>
      <c r="BIC510" s="332"/>
      <c r="BID510" s="332"/>
      <c r="BIE510" s="332"/>
      <c r="BIF510" s="332"/>
      <c r="BIG510" s="332"/>
      <c r="BIH510" s="332"/>
      <c r="BII510" s="332"/>
      <c r="BIJ510" s="332"/>
      <c r="BIK510" s="332"/>
      <c r="BIL510" s="332"/>
      <c r="BIM510" s="332"/>
      <c r="BIN510" s="332"/>
      <c r="BIO510" s="332"/>
      <c r="BIP510" s="332"/>
      <c r="BIQ510" s="332"/>
      <c r="BIR510" s="332"/>
      <c r="BIS510" s="332"/>
      <c r="BIT510" s="332"/>
      <c r="BIU510" s="332"/>
      <c r="BIV510" s="332"/>
      <c r="BIW510" s="332"/>
      <c r="BIX510" s="332"/>
      <c r="BIY510" s="332"/>
      <c r="BIZ510" s="332"/>
      <c r="BJA510" s="332"/>
      <c r="BJB510" s="332"/>
      <c r="BJC510" s="332"/>
      <c r="BJD510" s="332"/>
      <c r="BJE510" s="332"/>
      <c r="BJF510" s="332"/>
      <c r="BJG510" s="332"/>
      <c r="BJH510" s="332"/>
      <c r="BJI510" s="332"/>
      <c r="BJJ510" s="332"/>
      <c r="BJK510" s="332"/>
      <c r="BJL510" s="332"/>
      <c r="BJM510" s="332"/>
      <c r="BJN510" s="332"/>
      <c r="BJO510" s="332"/>
      <c r="BJP510" s="332"/>
      <c r="BJQ510" s="332"/>
      <c r="BJR510" s="332"/>
      <c r="BJS510" s="332"/>
      <c r="BJT510" s="332"/>
      <c r="BJU510" s="332"/>
      <c r="BJV510" s="332"/>
      <c r="BJW510" s="332"/>
      <c r="BJX510" s="332"/>
      <c r="BJY510" s="332"/>
      <c r="BJZ510" s="332"/>
      <c r="BKA510" s="332"/>
      <c r="BKB510" s="332"/>
      <c r="BKC510" s="332"/>
      <c r="BKD510" s="332"/>
      <c r="BKE510" s="332"/>
      <c r="BKF510" s="332"/>
      <c r="BKG510" s="332"/>
      <c r="BKH510" s="332"/>
      <c r="BKI510" s="332"/>
      <c r="BKJ510" s="332"/>
      <c r="BKK510" s="332"/>
      <c r="BKL510" s="332"/>
      <c r="BKM510" s="332"/>
      <c r="BKN510" s="332"/>
      <c r="BKO510" s="332"/>
      <c r="BKP510" s="332"/>
      <c r="BKQ510" s="332"/>
      <c r="BKR510" s="332"/>
      <c r="BKS510" s="332"/>
      <c r="BKT510" s="332"/>
      <c r="BKU510" s="332"/>
      <c r="BKV510" s="332"/>
      <c r="BKW510" s="332"/>
      <c r="BKX510" s="332"/>
      <c r="BKY510" s="332"/>
      <c r="BKZ510" s="332"/>
      <c r="BLA510" s="332"/>
      <c r="BLB510" s="332"/>
      <c r="BLC510" s="332"/>
      <c r="BLD510" s="332"/>
      <c r="BLE510" s="332"/>
      <c r="BLF510" s="332"/>
      <c r="BLG510" s="332"/>
      <c r="BLH510" s="332"/>
      <c r="BLI510" s="332"/>
      <c r="BLJ510" s="332"/>
      <c r="BLK510" s="332"/>
      <c r="BLL510" s="332"/>
      <c r="BLM510" s="332"/>
      <c r="BLN510" s="332"/>
      <c r="BLO510" s="332"/>
      <c r="BLP510" s="332"/>
      <c r="BLQ510" s="332"/>
      <c r="BLR510" s="332"/>
      <c r="BLS510" s="332"/>
      <c r="BLT510" s="332"/>
      <c r="BLU510" s="332"/>
      <c r="BLV510" s="332"/>
      <c r="BLW510" s="332"/>
      <c r="BLX510" s="332"/>
      <c r="BLY510" s="332"/>
      <c r="BLZ510" s="332"/>
      <c r="BMA510" s="332"/>
      <c r="BMB510" s="332"/>
      <c r="BMC510" s="332"/>
      <c r="BMD510" s="332"/>
      <c r="BME510" s="332"/>
      <c r="BMF510" s="332"/>
      <c r="BMG510" s="332"/>
      <c r="BMH510" s="332"/>
      <c r="BMI510" s="332"/>
      <c r="BMJ510" s="332"/>
      <c r="BMK510" s="332"/>
      <c r="BML510" s="332"/>
      <c r="BMM510" s="332"/>
      <c r="BMN510" s="332"/>
      <c r="BMO510" s="332"/>
      <c r="BMP510" s="332"/>
      <c r="BMQ510" s="332"/>
      <c r="BMR510" s="332"/>
      <c r="BMS510" s="332"/>
      <c r="BMT510" s="332"/>
      <c r="BMU510" s="332"/>
      <c r="BMV510" s="332"/>
      <c r="BMW510" s="332"/>
      <c r="BMX510" s="332"/>
      <c r="BMY510" s="332"/>
      <c r="BMZ510" s="332"/>
      <c r="BNA510" s="332"/>
      <c r="BNB510" s="332"/>
      <c r="BNC510" s="332"/>
      <c r="BND510" s="332"/>
      <c r="BNE510" s="332"/>
      <c r="BNF510" s="332"/>
      <c r="BNG510" s="332"/>
      <c r="BNH510" s="332"/>
      <c r="BNI510" s="332"/>
      <c r="BNJ510" s="332"/>
      <c r="BNK510" s="332"/>
      <c r="BNL510" s="332"/>
      <c r="BNM510" s="332"/>
      <c r="BNN510" s="332"/>
      <c r="BNO510" s="332"/>
      <c r="BNP510" s="332"/>
      <c r="BNQ510" s="332"/>
      <c r="BNR510" s="332"/>
      <c r="BNS510" s="332"/>
      <c r="BNT510" s="332"/>
      <c r="BNU510" s="332"/>
      <c r="BNV510" s="332"/>
      <c r="BNW510" s="332"/>
      <c r="BNX510" s="332"/>
      <c r="BNY510" s="332"/>
      <c r="BNZ510" s="332"/>
      <c r="BOA510" s="332"/>
      <c r="BOB510" s="332"/>
      <c r="BOC510" s="332"/>
      <c r="BOD510" s="332"/>
      <c r="BOE510" s="332"/>
      <c r="BOF510" s="332"/>
      <c r="BOG510" s="332"/>
      <c r="BOH510" s="332"/>
      <c r="BOI510" s="332"/>
      <c r="BOJ510" s="332"/>
      <c r="BOK510" s="332"/>
      <c r="BOL510" s="332"/>
      <c r="BOM510" s="332"/>
      <c r="BON510" s="332"/>
      <c r="BOO510" s="332"/>
      <c r="BOP510" s="332"/>
      <c r="BOQ510" s="332"/>
      <c r="BOR510" s="332"/>
      <c r="BOS510" s="332"/>
      <c r="BOT510" s="332"/>
      <c r="BOU510" s="332"/>
      <c r="BOV510" s="332"/>
      <c r="BOW510" s="332"/>
      <c r="BOX510" s="332"/>
      <c r="BOY510" s="332"/>
      <c r="BOZ510" s="332"/>
      <c r="BPA510" s="332"/>
      <c r="BPB510" s="332"/>
      <c r="BPC510" s="332"/>
      <c r="BPD510" s="332"/>
      <c r="BPE510" s="332"/>
      <c r="BPF510" s="332"/>
      <c r="BPG510" s="332"/>
      <c r="BPH510" s="332"/>
      <c r="BPI510" s="332"/>
      <c r="BPJ510" s="332"/>
      <c r="BPK510" s="332"/>
      <c r="BPL510" s="332"/>
      <c r="BPM510" s="332"/>
      <c r="BPN510" s="332"/>
      <c r="BPO510" s="332"/>
      <c r="BPP510" s="332"/>
      <c r="BPQ510" s="332"/>
      <c r="BPR510" s="332"/>
      <c r="BPS510" s="332"/>
      <c r="BPT510" s="332"/>
      <c r="BPU510" s="332"/>
      <c r="BPV510" s="332"/>
      <c r="BPW510" s="332"/>
      <c r="BPX510" s="332"/>
      <c r="BPY510" s="332"/>
      <c r="BPZ510" s="332"/>
      <c r="BQA510" s="332"/>
      <c r="BQB510" s="332"/>
      <c r="BQC510" s="332"/>
      <c r="BQD510" s="332"/>
      <c r="BQE510" s="332"/>
      <c r="BQF510" s="332"/>
      <c r="BQG510" s="332"/>
      <c r="BQH510" s="332"/>
      <c r="BQI510" s="332"/>
      <c r="BQJ510" s="332"/>
      <c r="BQK510" s="332"/>
      <c r="BQL510" s="332"/>
      <c r="BQM510" s="332"/>
      <c r="BQN510" s="332"/>
      <c r="BQO510" s="332"/>
      <c r="BQP510" s="332"/>
      <c r="BQQ510" s="332"/>
      <c r="BQR510" s="332"/>
      <c r="BQS510" s="332"/>
      <c r="BQT510" s="332"/>
      <c r="BQU510" s="332"/>
      <c r="BQV510" s="332"/>
      <c r="BQW510" s="332"/>
      <c r="BQX510" s="332"/>
      <c r="BQY510" s="332"/>
      <c r="BQZ510" s="332"/>
      <c r="BRA510" s="332"/>
      <c r="BRB510" s="332"/>
      <c r="BRC510" s="332"/>
      <c r="BRD510" s="332"/>
      <c r="BRE510" s="332"/>
      <c r="BRF510" s="332"/>
      <c r="BRG510" s="332"/>
      <c r="BRH510" s="332"/>
      <c r="BRI510" s="332"/>
      <c r="BRJ510" s="332"/>
      <c r="BRK510" s="332"/>
      <c r="BRL510" s="332"/>
      <c r="BRM510" s="332"/>
      <c r="BRN510" s="332"/>
      <c r="BRO510" s="332"/>
      <c r="BRP510" s="332"/>
      <c r="BRQ510" s="332"/>
      <c r="BRR510" s="332"/>
      <c r="BRS510" s="332"/>
      <c r="BRT510" s="332"/>
      <c r="BRU510" s="332"/>
      <c r="BRV510" s="332"/>
      <c r="BRW510" s="332"/>
      <c r="BRX510" s="332"/>
      <c r="BRY510" s="332"/>
      <c r="BRZ510" s="332"/>
      <c r="BSA510" s="332"/>
      <c r="BSB510" s="332"/>
      <c r="BSC510" s="332"/>
      <c r="BSD510" s="332"/>
      <c r="BSE510" s="332"/>
      <c r="BSF510" s="332"/>
      <c r="BSG510" s="332"/>
      <c r="BSH510" s="332"/>
      <c r="BSI510" s="332"/>
      <c r="BSJ510" s="332"/>
      <c r="BSK510" s="332"/>
      <c r="BSL510" s="332"/>
      <c r="BSM510" s="332"/>
      <c r="BSN510" s="332"/>
      <c r="BSO510" s="332"/>
      <c r="BSP510" s="332"/>
      <c r="BSQ510" s="332"/>
      <c r="BSR510" s="332"/>
      <c r="BSS510" s="332"/>
      <c r="BST510" s="332"/>
      <c r="BSU510" s="332"/>
      <c r="BSV510" s="332"/>
      <c r="BSW510" s="332"/>
      <c r="BSX510" s="332"/>
      <c r="BSY510" s="332"/>
      <c r="BSZ510" s="332"/>
      <c r="BTA510" s="332"/>
      <c r="BTB510" s="332"/>
      <c r="BTC510" s="332"/>
      <c r="BTD510" s="332"/>
      <c r="BTE510" s="332"/>
      <c r="BTF510" s="332"/>
      <c r="BTG510" s="332"/>
      <c r="BTH510" s="332"/>
      <c r="BTI510" s="332"/>
      <c r="BTJ510" s="332"/>
      <c r="BTK510" s="332"/>
      <c r="BTL510" s="332"/>
      <c r="BTM510" s="332"/>
      <c r="BTN510" s="332"/>
      <c r="BTO510" s="332"/>
      <c r="BTP510" s="332"/>
      <c r="BTQ510" s="332"/>
      <c r="BTR510" s="332"/>
      <c r="BTS510" s="332"/>
      <c r="BTT510" s="332"/>
      <c r="BTU510" s="332"/>
      <c r="BTV510" s="332"/>
      <c r="BTW510" s="332"/>
      <c r="BTX510" s="332"/>
      <c r="BTY510" s="332"/>
      <c r="BTZ510" s="332"/>
      <c r="BUA510" s="332"/>
      <c r="BUB510" s="332"/>
      <c r="BUC510" s="332"/>
      <c r="BUD510" s="332"/>
      <c r="BUE510" s="332"/>
      <c r="BUF510" s="332"/>
      <c r="BUG510" s="332"/>
      <c r="BUH510" s="332"/>
      <c r="BUI510" s="332"/>
      <c r="BUJ510" s="332"/>
      <c r="BUK510" s="332"/>
      <c r="BUL510" s="332"/>
      <c r="BUM510" s="332"/>
      <c r="BUN510" s="332"/>
      <c r="BUO510" s="332"/>
      <c r="BUP510" s="332"/>
      <c r="BUQ510" s="332"/>
      <c r="BUR510" s="332"/>
      <c r="BUS510" s="332"/>
      <c r="BUT510" s="332"/>
      <c r="BUU510" s="332"/>
      <c r="BUV510" s="332"/>
      <c r="BUW510" s="332"/>
      <c r="BUX510" s="332"/>
      <c r="BUY510" s="332"/>
      <c r="BUZ510" s="332"/>
      <c r="BVA510" s="332"/>
      <c r="BVB510" s="332"/>
      <c r="BVC510" s="332"/>
      <c r="BVD510" s="332"/>
      <c r="BVE510" s="332"/>
      <c r="BVF510" s="332"/>
      <c r="BVG510" s="332"/>
      <c r="BVH510" s="332"/>
      <c r="BVI510" s="332"/>
      <c r="BVJ510" s="332"/>
      <c r="BVK510" s="332"/>
      <c r="BVL510" s="332"/>
      <c r="BVM510" s="332"/>
      <c r="BVN510" s="332"/>
      <c r="BVO510" s="332"/>
      <c r="BVP510" s="332"/>
      <c r="BVQ510" s="332"/>
      <c r="BVR510" s="332"/>
      <c r="BVS510" s="332"/>
      <c r="BVT510" s="332"/>
      <c r="BVU510" s="332"/>
      <c r="BVV510" s="332"/>
      <c r="BVW510" s="332"/>
      <c r="BVX510" s="332"/>
      <c r="BVY510" s="332"/>
      <c r="BVZ510" s="332"/>
      <c r="BWA510" s="332"/>
      <c r="BWB510" s="332"/>
      <c r="BWC510" s="332"/>
      <c r="BWD510" s="332"/>
      <c r="BWE510" s="332"/>
      <c r="BWF510" s="332"/>
      <c r="BWG510" s="332"/>
      <c r="BWH510" s="332"/>
      <c r="BWI510" s="332"/>
      <c r="BWJ510" s="332"/>
      <c r="BWK510" s="332"/>
      <c r="BWL510" s="332"/>
      <c r="BWM510" s="332"/>
      <c r="BWN510" s="332"/>
      <c r="BWO510" s="332"/>
      <c r="BWP510" s="332"/>
      <c r="BWQ510" s="332"/>
      <c r="BWR510" s="332"/>
      <c r="BWS510" s="332"/>
      <c r="BWT510" s="332"/>
      <c r="BWU510" s="332"/>
      <c r="BWV510" s="332"/>
      <c r="BWW510" s="332"/>
      <c r="BWX510" s="332"/>
      <c r="BWY510" s="332"/>
      <c r="BWZ510" s="332"/>
      <c r="BXA510" s="332"/>
      <c r="BXB510" s="332"/>
      <c r="BXC510" s="332"/>
      <c r="BXD510" s="332"/>
      <c r="BXE510" s="332"/>
      <c r="BXF510" s="332"/>
      <c r="BXG510" s="332"/>
      <c r="BXH510" s="332"/>
      <c r="BXI510" s="332"/>
      <c r="BXJ510" s="332"/>
      <c r="BXK510" s="332"/>
      <c r="BXL510" s="332"/>
      <c r="BXM510" s="332"/>
      <c r="BXN510" s="332"/>
      <c r="BXO510" s="332"/>
      <c r="BXP510" s="332"/>
      <c r="BXQ510" s="332"/>
      <c r="BXR510" s="332"/>
      <c r="BXS510" s="332"/>
      <c r="BXT510" s="332"/>
      <c r="BXU510" s="332"/>
      <c r="BXV510" s="332"/>
      <c r="BXW510" s="332"/>
      <c r="BXX510" s="332"/>
      <c r="BXY510" s="332"/>
      <c r="BXZ510" s="332"/>
      <c r="BYA510" s="332"/>
      <c r="BYB510" s="332"/>
      <c r="BYC510" s="332"/>
      <c r="BYD510" s="332"/>
      <c r="BYE510" s="332"/>
      <c r="BYF510" s="332"/>
      <c r="BYG510" s="332"/>
      <c r="BYH510" s="332"/>
      <c r="BYI510" s="332"/>
      <c r="BYJ510" s="332"/>
      <c r="BYK510" s="332"/>
      <c r="BYL510" s="332"/>
      <c r="BYM510" s="332"/>
      <c r="BYN510" s="332"/>
      <c r="BYO510" s="332"/>
      <c r="BYP510" s="332"/>
      <c r="BYQ510" s="332"/>
      <c r="BYR510" s="332"/>
      <c r="BYS510" s="332"/>
      <c r="BYT510" s="332"/>
      <c r="BYU510" s="332"/>
      <c r="BYV510" s="332"/>
      <c r="BYW510" s="332"/>
      <c r="BYX510" s="332"/>
      <c r="BYY510" s="332"/>
      <c r="BYZ510" s="332"/>
      <c r="BZA510" s="332"/>
      <c r="BZB510" s="332"/>
      <c r="BZC510" s="332"/>
      <c r="BZD510" s="332"/>
      <c r="BZE510" s="332"/>
      <c r="BZF510" s="332"/>
      <c r="BZG510" s="332"/>
      <c r="BZH510" s="332"/>
      <c r="BZI510" s="332"/>
      <c r="BZJ510" s="332"/>
      <c r="BZK510" s="332"/>
      <c r="BZL510" s="332"/>
      <c r="BZM510" s="332"/>
      <c r="BZN510" s="332"/>
      <c r="BZO510" s="332"/>
      <c r="BZP510" s="332"/>
      <c r="BZQ510" s="332"/>
      <c r="BZR510" s="332"/>
      <c r="BZS510" s="332"/>
      <c r="BZT510" s="332"/>
      <c r="BZU510" s="332"/>
      <c r="BZV510" s="332"/>
      <c r="BZW510" s="332"/>
      <c r="BZX510" s="332"/>
      <c r="BZY510" s="332"/>
      <c r="BZZ510" s="332"/>
      <c r="CAA510" s="332"/>
      <c r="CAB510" s="332"/>
      <c r="CAC510" s="332"/>
      <c r="CAD510" s="332"/>
      <c r="CAE510" s="332"/>
      <c r="CAF510" s="332"/>
      <c r="CAG510" s="332"/>
      <c r="CAH510" s="332"/>
      <c r="CAI510" s="332"/>
      <c r="CAJ510" s="332"/>
      <c r="CAK510" s="332"/>
      <c r="CAL510" s="332"/>
      <c r="CAM510" s="332"/>
      <c r="CAN510" s="332"/>
      <c r="CAO510" s="332"/>
      <c r="CAP510" s="332"/>
      <c r="CAQ510" s="332"/>
      <c r="CAR510" s="332"/>
      <c r="CAS510" s="332"/>
      <c r="CAT510" s="332"/>
      <c r="CAU510" s="332"/>
      <c r="CAV510" s="332"/>
      <c r="CAW510" s="332"/>
      <c r="CAX510" s="332"/>
      <c r="CAY510" s="332"/>
      <c r="CAZ510" s="332"/>
      <c r="CBA510" s="332"/>
      <c r="CBB510" s="332"/>
      <c r="CBC510" s="332"/>
      <c r="CBD510" s="332"/>
      <c r="CBE510" s="332"/>
      <c r="CBF510" s="332"/>
      <c r="CBG510" s="332"/>
      <c r="CBH510" s="332"/>
      <c r="CBI510" s="332"/>
      <c r="CBJ510" s="332"/>
      <c r="CBK510" s="332"/>
      <c r="CBL510" s="332"/>
      <c r="CBM510" s="332"/>
      <c r="CBN510" s="332"/>
      <c r="CBO510" s="332"/>
      <c r="CBP510" s="332"/>
      <c r="CBQ510" s="332"/>
      <c r="CBR510" s="332"/>
      <c r="CBS510" s="332"/>
      <c r="CBT510" s="332"/>
      <c r="CBU510" s="332"/>
      <c r="CBV510" s="332"/>
      <c r="CBW510" s="332"/>
      <c r="CBX510" s="332"/>
      <c r="CBY510" s="332"/>
      <c r="CBZ510" s="332"/>
      <c r="CCA510" s="332"/>
      <c r="CCB510" s="332"/>
      <c r="CCC510" s="332"/>
      <c r="CCD510" s="332"/>
      <c r="CCE510" s="332"/>
      <c r="CCF510" s="332"/>
      <c r="CCG510" s="332"/>
      <c r="CCH510" s="332"/>
      <c r="CCI510" s="332"/>
      <c r="CCJ510" s="332"/>
      <c r="CCK510" s="332"/>
      <c r="CCL510" s="332"/>
      <c r="CCM510" s="332"/>
      <c r="CCN510" s="332"/>
      <c r="CCO510" s="332"/>
      <c r="CCP510" s="332"/>
      <c r="CCQ510" s="332"/>
      <c r="CCR510" s="332"/>
      <c r="CCS510" s="332"/>
      <c r="CCT510" s="332"/>
      <c r="CCU510" s="332"/>
      <c r="CCV510" s="332"/>
      <c r="CCW510" s="332"/>
      <c r="CCX510" s="332"/>
      <c r="CCY510" s="332"/>
      <c r="CCZ510" s="332"/>
      <c r="CDA510" s="332"/>
      <c r="CDB510" s="332"/>
      <c r="CDC510" s="332"/>
      <c r="CDD510" s="332"/>
      <c r="CDE510" s="332"/>
      <c r="CDF510" s="332"/>
      <c r="CDG510" s="332"/>
      <c r="CDH510" s="332"/>
      <c r="CDI510" s="332"/>
      <c r="CDJ510" s="332"/>
      <c r="CDK510" s="332"/>
      <c r="CDL510" s="332"/>
      <c r="CDM510" s="332"/>
      <c r="CDN510" s="332"/>
      <c r="CDO510" s="332"/>
      <c r="CDP510" s="332"/>
      <c r="CDQ510" s="332"/>
      <c r="CDR510" s="332"/>
      <c r="CDS510" s="332"/>
      <c r="CDT510" s="332"/>
      <c r="CDU510" s="332"/>
      <c r="CDV510" s="332"/>
      <c r="CDW510" s="332"/>
      <c r="CDX510" s="332"/>
      <c r="CDY510" s="332"/>
      <c r="CDZ510" s="332"/>
      <c r="CEA510" s="332"/>
      <c r="CEB510" s="332"/>
      <c r="CEC510" s="332"/>
      <c r="CED510" s="332"/>
      <c r="CEE510" s="332"/>
      <c r="CEF510" s="332"/>
      <c r="CEG510" s="332"/>
      <c r="CEH510" s="332"/>
      <c r="CEI510" s="332"/>
      <c r="CEJ510" s="332"/>
      <c r="CEK510" s="332"/>
      <c r="CEL510" s="332"/>
      <c r="CEM510" s="332"/>
      <c r="CEN510" s="332"/>
      <c r="CEO510" s="332"/>
      <c r="CEP510" s="332"/>
      <c r="CEQ510" s="332"/>
      <c r="CER510" s="332"/>
      <c r="CES510" s="332"/>
      <c r="CET510" s="332"/>
      <c r="CEU510" s="332"/>
      <c r="CEV510" s="332"/>
      <c r="CEW510" s="332"/>
      <c r="CEX510" s="332"/>
      <c r="CEY510" s="332"/>
      <c r="CEZ510" s="332"/>
      <c r="CFA510" s="332"/>
      <c r="CFB510" s="332"/>
      <c r="CFC510" s="332"/>
      <c r="CFD510" s="332"/>
      <c r="CFE510" s="332"/>
      <c r="CFF510" s="332"/>
      <c r="CFG510" s="332"/>
      <c r="CFH510" s="332"/>
      <c r="CFI510" s="332"/>
      <c r="CFJ510" s="332"/>
      <c r="CFK510" s="332"/>
      <c r="CFL510" s="332"/>
      <c r="CFM510" s="332"/>
      <c r="CFN510" s="332"/>
      <c r="CFO510" s="332"/>
      <c r="CFP510" s="332"/>
      <c r="CFQ510" s="332"/>
      <c r="CFR510" s="332"/>
      <c r="CFS510" s="332"/>
      <c r="CFT510" s="332"/>
      <c r="CFU510" s="332"/>
      <c r="CFV510" s="332"/>
      <c r="CFW510" s="332"/>
      <c r="CFX510" s="332"/>
      <c r="CFY510" s="332"/>
      <c r="CFZ510" s="332"/>
      <c r="CGA510" s="332"/>
      <c r="CGB510" s="332"/>
      <c r="CGC510" s="332"/>
      <c r="CGD510" s="332"/>
      <c r="CGE510" s="332"/>
      <c r="CGF510" s="332"/>
      <c r="CGG510" s="332"/>
      <c r="CGH510" s="332"/>
      <c r="CGI510" s="332"/>
      <c r="CGJ510" s="332"/>
      <c r="CGK510" s="332"/>
      <c r="CGL510" s="332"/>
      <c r="CGM510" s="332"/>
      <c r="CGN510" s="332"/>
      <c r="CGO510" s="332"/>
      <c r="CGP510" s="332"/>
      <c r="CGQ510" s="332"/>
      <c r="CGR510" s="332"/>
      <c r="CGS510" s="332"/>
      <c r="CGT510" s="332"/>
      <c r="CGU510" s="332"/>
      <c r="CGV510" s="332"/>
      <c r="CGW510" s="332"/>
      <c r="CGX510" s="332"/>
      <c r="CGY510" s="332"/>
      <c r="CGZ510" s="332"/>
      <c r="CHA510" s="332"/>
      <c r="CHB510" s="332"/>
      <c r="CHC510" s="332"/>
      <c r="CHD510" s="332"/>
      <c r="CHE510" s="332"/>
      <c r="CHF510" s="332"/>
      <c r="CHG510" s="332"/>
      <c r="CHH510" s="332"/>
      <c r="CHI510" s="332"/>
      <c r="CHJ510" s="332"/>
      <c r="CHK510" s="332"/>
      <c r="CHL510" s="332"/>
      <c r="CHM510" s="332"/>
      <c r="CHN510" s="332"/>
      <c r="CHO510" s="332"/>
      <c r="CHP510" s="332"/>
      <c r="CHQ510" s="332"/>
      <c r="CHR510" s="332"/>
      <c r="CHS510" s="332"/>
      <c r="CHT510" s="332"/>
      <c r="CHU510" s="332"/>
      <c r="CHV510" s="332"/>
      <c r="CHW510" s="332"/>
      <c r="CHX510" s="332"/>
      <c r="CHY510" s="332"/>
      <c r="CHZ510" s="332"/>
      <c r="CIA510" s="332"/>
      <c r="CIB510" s="332"/>
      <c r="CIC510" s="332"/>
      <c r="CID510" s="332"/>
      <c r="CIE510" s="332"/>
      <c r="CIF510" s="332"/>
      <c r="CIG510" s="332"/>
      <c r="CIH510" s="332"/>
      <c r="CII510" s="332"/>
      <c r="CIJ510" s="332"/>
      <c r="CIK510" s="332"/>
      <c r="CIL510" s="332"/>
      <c r="CIM510" s="332"/>
      <c r="CIN510" s="332"/>
      <c r="CIO510" s="332"/>
      <c r="CIP510" s="332"/>
      <c r="CIQ510" s="332"/>
      <c r="CIR510" s="332"/>
      <c r="CIS510" s="332"/>
      <c r="CIT510" s="332"/>
      <c r="CIU510" s="332"/>
      <c r="CIV510" s="332"/>
      <c r="CIW510" s="332"/>
      <c r="CIX510" s="332"/>
      <c r="CIY510" s="332"/>
      <c r="CIZ510" s="332"/>
      <c r="CJA510" s="332"/>
      <c r="CJB510" s="332"/>
      <c r="CJC510" s="332"/>
      <c r="CJD510" s="332"/>
      <c r="CJE510" s="332"/>
      <c r="CJF510" s="332"/>
      <c r="CJG510" s="332"/>
      <c r="CJH510" s="332"/>
      <c r="CJI510" s="332"/>
      <c r="CJJ510" s="332"/>
      <c r="CJK510" s="332"/>
      <c r="CJL510" s="332"/>
      <c r="CJM510" s="332"/>
      <c r="CJN510" s="332"/>
      <c r="CJO510" s="332"/>
      <c r="CJP510" s="332"/>
      <c r="CJQ510" s="332"/>
      <c r="CJR510" s="332"/>
      <c r="CJS510" s="332"/>
      <c r="CJT510" s="332"/>
      <c r="CJU510" s="332"/>
      <c r="CJV510" s="332"/>
      <c r="CJW510" s="332"/>
      <c r="CJX510" s="332"/>
      <c r="CJY510" s="332"/>
      <c r="CJZ510" s="332"/>
      <c r="CKA510" s="332"/>
      <c r="CKB510" s="332"/>
      <c r="CKC510" s="332"/>
      <c r="CKD510" s="332"/>
      <c r="CKE510" s="332"/>
      <c r="CKF510" s="332"/>
      <c r="CKG510" s="332"/>
      <c r="CKH510" s="332"/>
      <c r="CKI510" s="332"/>
      <c r="CKJ510" s="332"/>
      <c r="CKK510" s="332"/>
      <c r="CKL510" s="332"/>
      <c r="CKM510" s="332"/>
      <c r="CKN510" s="332"/>
      <c r="CKO510" s="332"/>
      <c r="CKP510" s="332"/>
      <c r="CKQ510" s="332"/>
      <c r="CKR510" s="332"/>
      <c r="CKS510" s="332"/>
      <c r="CKT510" s="332"/>
      <c r="CKU510" s="332"/>
      <c r="CKV510" s="332"/>
      <c r="CKW510" s="332"/>
      <c r="CKX510" s="332"/>
      <c r="CKY510" s="332"/>
      <c r="CKZ510" s="332"/>
      <c r="CLA510" s="332"/>
      <c r="CLB510" s="332"/>
      <c r="CLC510" s="332"/>
      <c r="CLD510" s="332"/>
      <c r="CLE510" s="332"/>
      <c r="CLF510" s="332"/>
      <c r="CLG510" s="332"/>
      <c r="CLH510" s="332"/>
      <c r="CLI510" s="332"/>
      <c r="CLJ510" s="332"/>
      <c r="CLK510" s="332"/>
      <c r="CLL510" s="332"/>
      <c r="CLM510" s="332"/>
      <c r="CLN510" s="332"/>
      <c r="CLO510" s="332"/>
      <c r="CLP510" s="332"/>
      <c r="CLQ510" s="332"/>
      <c r="CLR510" s="332"/>
      <c r="CLS510" s="332"/>
      <c r="CLT510" s="332"/>
      <c r="CLU510" s="332"/>
      <c r="CLV510" s="332"/>
      <c r="CLW510" s="332"/>
      <c r="CLX510" s="332"/>
      <c r="CLY510" s="332"/>
      <c r="CLZ510" s="332"/>
      <c r="CMA510" s="332"/>
      <c r="CMB510" s="332"/>
      <c r="CMC510" s="332"/>
      <c r="CMD510" s="332"/>
      <c r="CME510" s="332"/>
      <c r="CMF510" s="332"/>
      <c r="CMG510" s="332"/>
      <c r="CMH510" s="332"/>
      <c r="CMI510" s="332"/>
      <c r="CMJ510" s="332"/>
      <c r="CMK510" s="332"/>
      <c r="CML510" s="332"/>
      <c r="CMM510" s="332"/>
      <c r="CMN510" s="332"/>
      <c r="CMO510" s="332"/>
      <c r="CMP510" s="332"/>
      <c r="CMQ510" s="332"/>
      <c r="CMR510" s="332"/>
      <c r="CMS510" s="332"/>
      <c r="CMT510" s="332"/>
      <c r="CMU510" s="332"/>
      <c r="CMV510" s="332"/>
      <c r="CMW510" s="332"/>
      <c r="CMX510" s="332"/>
      <c r="CMY510" s="332"/>
      <c r="CMZ510" s="332"/>
      <c r="CNA510" s="332"/>
      <c r="CNB510" s="332"/>
      <c r="CNC510" s="332"/>
      <c r="CND510" s="332"/>
      <c r="CNE510" s="332"/>
      <c r="CNF510" s="332"/>
      <c r="CNG510" s="332"/>
      <c r="CNH510" s="332"/>
      <c r="CNI510" s="332"/>
      <c r="CNJ510" s="332"/>
      <c r="CNK510" s="332"/>
      <c r="CNL510" s="332"/>
      <c r="CNM510" s="332"/>
      <c r="CNN510" s="332"/>
      <c r="CNO510" s="332"/>
      <c r="CNP510" s="332"/>
      <c r="CNQ510" s="332"/>
      <c r="CNR510" s="332"/>
      <c r="CNS510" s="332"/>
      <c r="CNT510" s="332"/>
      <c r="CNU510" s="332"/>
      <c r="CNV510" s="332"/>
      <c r="CNW510" s="332"/>
      <c r="CNX510" s="332"/>
      <c r="CNY510" s="332"/>
      <c r="CNZ510" s="332"/>
      <c r="COA510" s="332"/>
      <c r="COB510" s="332"/>
      <c r="COC510" s="332"/>
      <c r="COD510" s="332"/>
      <c r="COE510" s="332"/>
      <c r="COF510" s="332"/>
      <c r="COG510" s="332"/>
      <c r="COH510" s="332"/>
      <c r="COI510" s="332"/>
      <c r="COJ510" s="332"/>
      <c r="COK510" s="332"/>
      <c r="COL510" s="332"/>
      <c r="COM510" s="332"/>
      <c r="CON510" s="332"/>
      <c r="COO510" s="332"/>
      <c r="COP510" s="332"/>
      <c r="COQ510" s="332"/>
      <c r="COR510" s="332"/>
      <c r="COS510" s="332"/>
      <c r="COT510" s="332"/>
      <c r="COU510" s="332"/>
      <c r="COV510" s="332"/>
      <c r="COW510" s="332"/>
      <c r="COX510" s="332"/>
      <c r="COY510" s="332"/>
      <c r="COZ510" s="332"/>
      <c r="CPA510" s="332"/>
      <c r="CPB510" s="332"/>
      <c r="CPC510" s="332"/>
      <c r="CPD510" s="332"/>
      <c r="CPE510" s="332"/>
      <c r="CPF510" s="332"/>
      <c r="CPG510" s="332"/>
      <c r="CPH510" s="332"/>
      <c r="CPI510" s="332"/>
      <c r="CPJ510" s="332"/>
      <c r="CPK510" s="332"/>
      <c r="CPL510" s="332"/>
      <c r="CPM510" s="332"/>
      <c r="CPN510" s="332"/>
      <c r="CPO510" s="332"/>
      <c r="CPP510" s="332"/>
      <c r="CPQ510" s="332"/>
      <c r="CPR510" s="332"/>
      <c r="CPS510" s="332"/>
      <c r="CPT510" s="332"/>
      <c r="CPU510" s="332"/>
      <c r="CPV510" s="332"/>
      <c r="CPW510" s="332"/>
      <c r="CPX510" s="332"/>
      <c r="CPY510" s="332"/>
      <c r="CPZ510" s="332"/>
      <c r="CQA510" s="332"/>
      <c r="CQB510" s="332"/>
      <c r="CQC510" s="332"/>
      <c r="CQD510" s="332"/>
      <c r="CQE510" s="332"/>
      <c r="CQF510" s="332"/>
      <c r="CQG510" s="332"/>
      <c r="CQH510" s="332"/>
      <c r="CQI510" s="332"/>
      <c r="CQJ510" s="332"/>
      <c r="CQK510" s="332"/>
      <c r="CQL510" s="332"/>
      <c r="CQM510" s="332"/>
      <c r="CQN510" s="332"/>
      <c r="CQO510" s="332"/>
      <c r="CQP510" s="332"/>
      <c r="CQQ510" s="332"/>
      <c r="CQR510" s="332"/>
      <c r="CQS510" s="332"/>
      <c r="CQT510" s="332"/>
      <c r="CQU510" s="332"/>
      <c r="CQV510" s="332"/>
      <c r="CQW510" s="332"/>
      <c r="CQX510" s="332"/>
      <c r="CQY510" s="332"/>
      <c r="CQZ510" s="332"/>
      <c r="CRA510" s="332"/>
      <c r="CRB510" s="332"/>
      <c r="CRC510" s="332"/>
      <c r="CRD510" s="332"/>
      <c r="CRE510" s="332"/>
      <c r="CRF510" s="332"/>
      <c r="CRG510" s="332"/>
      <c r="CRH510" s="332"/>
      <c r="CRI510" s="332"/>
      <c r="CRJ510" s="332"/>
      <c r="CRK510" s="332"/>
      <c r="CRL510" s="332"/>
      <c r="CRM510" s="332"/>
      <c r="CRN510" s="332"/>
      <c r="CRO510" s="332"/>
      <c r="CRP510" s="332"/>
      <c r="CRQ510" s="332"/>
      <c r="CRR510" s="332"/>
      <c r="CRS510" s="332"/>
      <c r="CRT510" s="332"/>
      <c r="CRU510" s="332"/>
      <c r="CRV510" s="332"/>
      <c r="CRW510" s="332"/>
      <c r="CRX510" s="332"/>
      <c r="CRY510" s="332"/>
      <c r="CRZ510" s="332"/>
      <c r="CSA510" s="332"/>
      <c r="CSB510" s="332"/>
      <c r="CSC510" s="332"/>
      <c r="CSD510" s="332"/>
      <c r="CSE510" s="332"/>
      <c r="CSF510" s="332"/>
      <c r="CSG510" s="332"/>
      <c r="CSH510" s="332"/>
      <c r="CSI510" s="332"/>
      <c r="CSJ510" s="332"/>
      <c r="CSK510" s="332"/>
      <c r="CSL510" s="332"/>
      <c r="CSM510" s="332"/>
      <c r="CSN510" s="332"/>
      <c r="CSO510" s="332"/>
      <c r="CSP510" s="332"/>
      <c r="CSQ510" s="332"/>
      <c r="CSR510" s="332"/>
      <c r="CSS510" s="332"/>
      <c r="CST510" s="332"/>
      <c r="CSU510" s="332"/>
      <c r="CSV510" s="332"/>
      <c r="CSW510" s="332"/>
      <c r="CSX510" s="332"/>
      <c r="CSY510" s="332"/>
      <c r="CSZ510" s="332"/>
      <c r="CTA510" s="332"/>
      <c r="CTB510" s="332"/>
      <c r="CTC510" s="332"/>
      <c r="CTD510" s="332"/>
      <c r="CTE510" s="332"/>
      <c r="CTF510" s="332"/>
      <c r="CTG510" s="332"/>
      <c r="CTH510" s="332"/>
      <c r="CTI510" s="332"/>
      <c r="CTJ510" s="332"/>
      <c r="CTK510" s="332"/>
      <c r="CTL510" s="332"/>
      <c r="CTM510" s="332"/>
      <c r="CTN510" s="332"/>
      <c r="CTO510" s="332"/>
      <c r="CTP510" s="332"/>
      <c r="CTQ510" s="332"/>
      <c r="CTR510" s="332"/>
      <c r="CTS510" s="332"/>
      <c r="CTT510" s="332"/>
      <c r="CTU510" s="332"/>
      <c r="CTV510" s="332"/>
      <c r="CTW510" s="332"/>
      <c r="CTX510" s="332"/>
      <c r="CTY510" s="332"/>
      <c r="CTZ510" s="332"/>
      <c r="CUA510" s="332"/>
      <c r="CUB510" s="332"/>
      <c r="CUC510" s="332"/>
      <c r="CUD510" s="332"/>
      <c r="CUE510" s="332"/>
      <c r="CUF510" s="332"/>
      <c r="CUG510" s="332"/>
      <c r="CUH510" s="332"/>
      <c r="CUI510" s="332"/>
      <c r="CUJ510" s="332"/>
      <c r="CUK510" s="332"/>
      <c r="CUL510" s="332"/>
      <c r="CUM510" s="332"/>
      <c r="CUN510" s="332"/>
      <c r="CUO510" s="332"/>
      <c r="CUP510" s="332"/>
      <c r="CUQ510" s="332"/>
      <c r="CUR510" s="332"/>
      <c r="CUS510" s="332"/>
      <c r="CUT510" s="332"/>
      <c r="CUU510" s="332"/>
      <c r="CUV510" s="332"/>
      <c r="CUW510" s="332"/>
      <c r="CUX510" s="332"/>
      <c r="CUY510" s="332"/>
      <c r="CUZ510" s="332"/>
      <c r="CVA510" s="332"/>
      <c r="CVB510" s="332"/>
      <c r="CVC510" s="332"/>
      <c r="CVD510" s="332"/>
      <c r="CVE510" s="332"/>
      <c r="CVF510" s="332"/>
      <c r="CVG510" s="332"/>
      <c r="CVH510" s="332"/>
      <c r="CVI510" s="332"/>
      <c r="CVJ510" s="332"/>
      <c r="CVK510" s="332"/>
      <c r="CVL510" s="332"/>
      <c r="CVM510" s="332"/>
      <c r="CVN510" s="332"/>
      <c r="CVO510" s="332"/>
      <c r="CVP510" s="332"/>
      <c r="CVQ510" s="332"/>
      <c r="CVR510" s="332"/>
      <c r="CVS510" s="332"/>
      <c r="CVT510" s="332"/>
      <c r="CVU510" s="332"/>
      <c r="CVV510" s="332"/>
      <c r="CVW510" s="332"/>
      <c r="CVX510" s="332"/>
      <c r="CVY510" s="332"/>
      <c r="CVZ510" s="332"/>
      <c r="CWA510" s="332"/>
      <c r="CWB510" s="332"/>
      <c r="CWC510" s="332"/>
      <c r="CWD510" s="332"/>
      <c r="CWE510" s="332"/>
      <c r="CWF510" s="332"/>
      <c r="CWG510" s="332"/>
      <c r="CWH510" s="332"/>
      <c r="CWI510" s="332"/>
      <c r="CWJ510" s="332"/>
      <c r="CWK510" s="332"/>
      <c r="CWL510" s="332"/>
      <c r="CWM510" s="332"/>
      <c r="CWN510" s="332"/>
      <c r="CWO510" s="332"/>
      <c r="CWP510" s="332"/>
      <c r="CWQ510" s="332"/>
      <c r="CWR510" s="332"/>
      <c r="CWS510" s="332"/>
      <c r="CWT510" s="332"/>
      <c r="CWU510" s="332"/>
      <c r="CWV510" s="332"/>
      <c r="CWW510" s="332"/>
      <c r="CWX510" s="332"/>
      <c r="CWY510" s="332"/>
      <c r="CWZ510" s="332"/>
      <c r="CXA510" s="332"/>
      <c r="CXB510" s="332"/>
      <c r="CXC510" s="332"/>
      <c r="CXD510" s="332"/>
      <c r="CXE510" s="332"/>
      <c r="CXF510" s="332"/>
      <c r="CXG510" s="332"/>
      <c r="CXH510" s="332"/>
      <c r="CXI510" s="332"/>
      <c r="CXJ510" s="332"/>
      <c r="CXK510" s="332"/>
      <c r="CXL510" s="332"/>
      <c r="CXM510" s="332"/>
      <c r="CXN510" s="332"/>
      <c r="CXO510" s="332"/>
      <c r="CXP510" s="332"/>
      <c r="CXQ510" s="332"/>
      <c r="CXR510" s="332"/>
      <c r="CXS510" s="332"/>
      <c r="CXT510" s="332"/>
      <c r="CXU510" s="332"/>
      <c r="CXV510" s="332"/>
      <c r="CXW510" s="332"/>
      <c r="CXX510" s="332"/>
      <c r="CXY510" s="332"/>
      <c r="CXZ510" s="332"/>
      <c r="CYA510" s="332"/>
      <c r="CYB510" s="332"/>
      <c r="CYC510" s="332"/>
      <c r="CYD510" s="332"/>
      <c r="CYE510" s="332"/>
      <c r="CYF510" s="332"/>
      <c r="CYG510" s="332"/>
      <c r="CYH510" s="332"/>
      <c r="CYI510" s="332"/>
      <c r="CYJ510" s="332"/>
      <c r="CYK510" s="332"/>
      <c r="CYL510" s="332"/>
      <c r="CYM510" s="332"/>
      <c r="CYN510" s="332"/>
      <c r="CYO510" s="332"/>
      <c r="CYP510" s="332"/>
      <c r="CYQ510" s="332"/>
      <c r="CYR510" s="332"/>
      <c r="CYS510" s="332"/>
      <c r="CYT510" s="332"/>
      <c r="CYU510" s="332"/>
      <c r="CYV510" s="332"/>
      <c r="CYW510" s="332"/>
      <c r="CYX510" s="332"/>
      <c r="CYY510" s="332"/>
      <c r="CYZ510" s="332"/>
      <c r="CZA510" s="332"/>
      <c r="CZB510" s="332"/>
      <c r="CZC510" s="332"/>
      <c r="CZD510" s="332"/>
      <c r="CZE510" s="332"/>
      <c r="CZF510" s="332"/>
      <c r="CZG510" s="332"/>
      <c r="CZH510" s="332"/>
      <c r="CZI510" s="332"/>
      <c r="CZJ510" s="332"/>
      <c r="CZK510" s="332"/>
      <c r="CZL510" s="332"/>
      <c r="CZM510" s="332"/>
      <c r="CZN510" s="332"/>
      <c r="CZO510" s="332"/>
      <c r="CZP510" s="332"/>
      <c r="CZQ510" s="332"/>
      <c r="CZR510" s="332"/>
      <c r="CZS510" s="332"/>
      <c r="CZT510" s="332"/>
      <c r="CZU510" s="332"/>
      <c r="CZV510" s="332"/>
      <c r="CZW510" s="332"/>
      <c r="CZX510" s="332"/>
      <c r="CZY510" s="332"/>
      <c r="CZZ510" s="332"/>
      <c r="DAA510" s="332"/>
      <c r="DAB510" s="332"/>
      <c r="DAC510" s="332"/>
      <c r="DAD510" s="332"/>
      <c r="DAE510" s="332"/>
      <c r="DAF510" s="332"/>
      <c r="DAG510" s="332"/>
      <c r="DAH510" s="332"/>
      <c r="DAI510" s="332"/>
      <c r="DAJ510" s="332"/>
      <c r="DAK510" s="332"/>
      <c r="DAL510" s="332"/>
      <c r="DAM510" s="332"/>
      <c r="DAN510" s="332"/>
      <c r="DAO510" s="332"/>
      <c r="DAP510" s="332"/>
      <c r="DAQ510" s="332"/>
      <c r="DAR510" s="332"/>
      <c r="DAS510" s="332"/>
      <c r="DAT510" s="332"/>
      <c r="DAU510" s="332"/>
      <c r="DAV510" s="332"/>
      <c r="DAW510" s="332"/>
      <c r="DAX510" s="332"/>
      <c r="DAY510" s="332"/>
      <c r="DAZ510" s="332"/>
      <c r="DBA510" s="332"/>
      <c r="DBB510" s="332"/>
      <c r="DBC510" s="332"/>
      <c r="DBD510" s="332"/>
      <c r="DBE510" s="332"/>
      <c r="DBF510" s="332"/>
      <c r="DBG510" s="332"/>
      <c r="DBH510" s="332"/>
      <c r="DBI510" s="332"/>
      <c r="DBJ510" s="332"/>
      <c r="DBK510" s="332"/>
      <c r="DBL510" s="332"/>
      <c r="DBM510" s="332"/>
      <c r="DBN510" s="332"/>
      <c r="DBO510" s="332"/>
      <c r="DBP510" s="332"/>
      <c r="DBQ510" s="332"/>
      <c r="DBR510" s="332"/>
      <c r="DBS510" s="332"/>
      <c r="DBT510" s="332"/>
      <c r="DBU510" s="332"/>
      <c r="DBV510" s="332"/>
      <c r="DBW510" s="332"/>
      <c r="DBX510" s="332"/>
      <c r="DBY510" s="332"/>
      <c r="DBZ510" s="332"/>
      <c r="DCA510" s="332"/>
      <c r="DCB510" s="332"/>
      <c r="DCC510" s="332"/>
      <c r="DCD510" s="332"/>
      <c r="DCE510" s="332"/>
      <c r="DCF510" s="332"/>
      <c r="DCG510" s="332"/>
      <c r="DCH510" s="332"/>
      <c r="DCI510" s="332"/>
      <c r="DCJ510" s="332"/>
      <c r="DCK510" s="332"/>
      <c r="DCL510" s="332"/>
      <c r="DCM510" s="332"/>
      <c r="DCN510" s="332"/>
      <c r="DCO510" s="332"/>
      <c r="DCP510" s="332"/>
      <c r="DCQ510" s="332"/>
      <c r="DCR510" s="332"/>
      <c r="DCS510" s="332"/>
      <c r="DCT510" s="332"/>
      <c r="DCU510" s="332"/>
      <c r="DCV510" s="332"/>
      <c r="DCW510" s="332"/>
      <c r="DCX510" s="332"/>
      <c r="DCY510" s="332"/>
      <c r="DCZ510" s="332"/>
      <c r="DDA510" s="332"/>
      <c r="DDB510" s="332"/>
      <c r="DDC510" s="332"/>
      <c r="DDD510" s="332"/>
      <c r="DDE510" s="332"/>
      <c r="DDF510" s="332"/>
      <c r="DDG510" s="332"/>
      <c r="DDH510" s="332"/>
      <c r="DDI510" s="332"/>
      <c r="DDJ510" s="332"/>
      <c r="DDK510" s="332"/>
      <c r="DDL510" s="332"/>
      <c r="DDM510" s="332"/>
      <c r="DDN510" s="332"/>
      <c r="DDO510" s="332"/>
      <c r="DDP510" s="332"/>
      <c r="DDQ510" s="332"/>
      <c r="DDR510" s="332"/>
      <c r="DDS510" s="332"/>
      <c r="DDT510" s="332"/>
      <c r="DDU510" s="332"/>
      <c r="DDV510" s="332"/>
      <c r="DDW510" s="332"/>
      <c r="DDX510" s="332"/>
      <c r="DDY510" s="332"/>
      <c r="DDZ510" s="332"/>
      <c r="DEA510" s="332"/>
      <c r="DEB510" s="332"/>
      <c r="DEC510" s="332"/>
      <c r="DED510" s="332"/>
      <c r="DEE510" s="332"/>
      <c r="DEF510" s="332"/>
      <c r="DEG510" s="332"/>
      <c r="DEH510" s="332"/>
      <c r="DEI510" s="332"/>
      <c r="DEJ510" s="332"/>
      <c r="DEK510" s="332"/>
      <c r="DEL510" s="332"/>
      <c r="DEM510" s="332"/>
      <c r="DEN510" s="332"/>
      <c r="DEO510" s="332"/>
      <c r="DEP510" s="332"/>
      <c r="DEQ510" s="332"/>
      <c r="DER510" s="332"/>
      <c r="DES510" s="332"/>
      <c r="DET510" s="332"/>
      <c r="DEU510" s="332"/>
      <c r="DEV510" s="332"/>
      <c r="DEW510" s="332"/>
      <c r="DEX510" s="332"/>
      <c r="DEY510" s="332"/>
      <c r="DEZ510" s="332"/>
      <c r="DFA510" s="332"/>
      <c r="DFB510" s="332"/>
      <c r="DFC510" s="332"/>
      <c r="DFD510" s="332"/>
      <c r="DFE510" s="332"/>
      <c r="DFF510" s="332"/>
      <c r="DFG510" s="332"/>
      <c r="DFH510" s="332"/>
      <c r="DFI510" s="332"/>
      <c r="DFJ510" s="332"/>
      <c r="DFK510" s="332"/>
      <c r="DFL510" s="332"/>
      <c r="DFM510" s="332"/>
      <c r="DFN510" s="332"/>
      <c r="DFO510" s="332"/>
      <c r="DFP510" s="332"/>
      <c r="DFQ510" s="332"/>
      <c r="DFR510" s="332"/>
      <c r="DFS510" s="332"/>
      <c r="DFT510" s="332"/>
      <c r="DFU510" s="332"/>
      <c r="DFV510" s="332"/>
      <c r="DFW510" s="332"/>
      <c r="DFX510" s="332"/>
      <c r="DFY510" s="332"/>
      <c r="DFZ510" s="332"/>
      <c r="DGA510" s="332"/>
      <c r="DGB510" s="332"/>
      <c r="DGC510" s="332"/>
      <c r="DGD510" s="332"/>
      <c r="DGE510" s="332"/>
      <c r="DGF510" s="332"/>
      <c r="DGG510" s="332"/>
      <c r="DGH510" s="332"/>
      <c r="DGI510" s="332"/>
      <c r="DGJ510" s="332"/>
      <c r="DGK510" s="332"/>
      <c r="DGL510" s="332"/>
      <c r="DGM510" s="332"/>
      <c r="DGN510" s="332"/>
      <c r="DGO510" s="332"/>
      <c r="DGP510" s="332"/>
      <c r="DGQ510" s="332"/>
      <c r="DGR510" s="332"/>
      <c r="DGS510" s="332"/>
      <c r="DGT510" s="332"/>
      <c r="DGU510" s="332"/>
      <c r="DGV510" s="332"/>
      <c r="DGW510" s="332"/>
      <c r="DGX510" s="332"/>
      <c r="DGY510" s="332"/>
      <c r="DGZ510" s="332"/>
      <c r="DHA510" s="332"/>
      <c r="DHB510" s="332"/>
      <c r="DHC510" s="332"/>
      <c r="DHD510" s="332"/>
      <c r="DHE510" s="332"/>
      <c r="DHF510" s="332"/>
      <c r="DHG510" s="332"/>
      <c r="DHH510" s="332"/>
      <c r="DHI510" s="332"/>
      <c r="DHJ510" s="332"/>
      <c r="DHK510" s="332"/>
      <c r="DHL510" s="332"/>
      <c r="DHM510" s="332"/>
      <c r="DHN510" s="332"/>
      <c r="DHO510" s="332"/>
      <c r="DHP510" s="332"/>
      <c r="DHQ510" s="332"/>
      <c r="DHR510" s="332"/>
      <c r="DHS510" s="332"/>
      <c r="DHT510" s="332"/>
      <c r="DHU510" s="332"/>
      <c r="DHV510" s="332"/>
      <c r="DHW510" s="332"/>
      <c r="DHX510" s="332"/>
      <c r="DHY510" s="332"/>
      <c r="DHZ510" s="332"/>
      <c r="DIA510" s="332"/>
      <c r="DIB510" s="332"/>
      <c r="DIC510" s="332"/>
      <c r="DID510" s="332"/>
      <c r="DIE510" s="332"/>
      <c r="DIF510" s="332"/>
      <c r="DIG510" s="332"/>
      <c r="DIH510" s="332"/>
      <c r="DII510" s="332"/>
      <c r="DIJ510" s="332"/>
      <c r="DIK510" s="332"/>
      <c r="DIL510" s="332"/>
      <c r="DIM510" s="332"/>
      <c r="DIN510" s="332"/>
      <c r="DIO510" s="332"/>
      <c r="DIP510" s="332"/>
      <c r="DIQ510" s="332"/>
      <c r="DIR510" s="332"/>
      <c r="DIS510" s="332"/>
      <c r="DIT510" s="332"/>
      <c r="DIU510" s="332"/>
      <c r="DIV510" s="332"/>
      <c r="DIW510" s="332"/>
      <c r="DIX510" s="332"/>
      <c r="DIY510" s="332"/>
      <c r="DIZ510" s="332"/>
      <c r="DJA510" s="332"/>
      <c r="DJB510" s="332"/>
      <c r="DJC510" s="332"/>
      <c r="DJD510" s="332"/>
      <c r="DJE510" s="332"/>
      <c r="DJF510" s="332"/>
      <c r="DJG510" s="332"/>
      <c r="DJH510" s="332"/>
      <c r="DJI510" s="332"/>
      <c r="DJJ510" s="332"/>
      <c r="DJK510" s="332"/>
      <c r="DJL510" s="332"/>
      <c r="DJM510" s="332"/>
      <c r="DJN510" s="332"/>
      <c r="DJO510" s="332"/>
      <c r="DJP510" s="332"/>
      <c r="DJQ510" s="332"/>
      <c r="DJR510" s="332"/>
      <c r="DJS510" s="332"/>
      <c r="DJT510" s="332"/>
      <c r="DJU510" s="332"/>
      <c r="DJV510" s="332"/>
      <c r="DJW510" s="332"/>
      <c r="DJX510" s="332"/>
      <c r="DJY510" s="332"/>
      <c r="DJZ510" s="332"/>
      <c r="DKA510" s="332"/>
      <c r="DKB510" s="332"/>
      <c r="DKC510" s="332"/>
      <c r="DKD510" s="332"/>
      <c r="DKE510" s="332"/>
      <c r="DKF510" s="332"/>
      <c r="DKG510" s="332"/>
      <c r="DKH510" s="332"/>
      <c r="DKI510" s="332"/>
      <c r="DKJ510" s="332"/>
      <c r="DKK510" s="332"/>
      <c r="DKL510" s="332"/>
      <c r="DKM510" s="332"/>
      <c r="DKN510" s="332"/>
      <c r="DKO510" s="332"/>
      <c r="DKP510" s="332"/>
      <c r="DKQ510" s="332"/>
      <c r="DKR510" s="332"/>
      <c r="DKS510" s="332"/>
      <c r="DKT510" s="332"/>
      <c r="DKU510" s="332"/>
      <c r="DKV510" s="332"/>
      <c r="DKW510" s="332"/>
      <c r="DKX510" s="332"/>
      <c r="DKY510" s="332"/>
      <c r="DKZ510" s="332"/>
      <c r="DLA510" s="332"/>
      <c r="DLB510" s="332"/>
      <c r="DLC510" s="332"/>
      <c r="DLD510" s="332"/>
      <c r="DLE510" s="332"/>
      <c r="DLF510" s="332"/>
      <c r="DLG510" s="332"/>
      <c r="DLH510" s="332"/>
      <c r="DLI510" s="332"/>
      <c r="DLJ510" s="332"/>
      <c r="DLK510" s="332"/>
      <c r="DLL510" s="332"/>
      <c r="DLM510" s="332"/>
      <c r="DLN510" s="332"/>
      <c r="DLO510" s="332"/>
      <c r="DLP510" s="332"/>
      <c r="DLQ510" s="332"/>
      <c r="DLR510" s="332"/>
      <c r="DLS510" s="332"/>
      <c r="DLT510" s="332"/>
      <c r="DLU510" s="332"/>
      <c r="DLV510" s="332"/>
      <c r="DLW510" s="332"/>
      <c r="DLX510" s="332"/>
      <c r="DLY510" s="332"/>
      <c r="DLZ510" s="332"/>
      <c r="DMA510" s="332"/>
      <c r="DMB510" s="332"/>
      <c r="DMC510" s="332"/>
      <c r="DMD510" s="332"/>
      <c r="DME510" s="332"/>
      <c r="DMF510" s="332"/>
      <c r="DMG510" s="332"/>
      <c r="DMH510" s="332"/>
      <c r="DMI510" s="332"/>
      <c r="DMJ510" s="332"/>
      <c r="DMK510" s="332"/>
      <c r="DML510" s="332"/>
      <c r="DMM510" s="332"/>
      <c r="DMN510" s="332"/>
      <c r="DMO510" s="332"/>
      <c r="DMP510" s="332"/>
      <c r="DMQ510" s="332"/>
      <c r="DMR510" s="332"/>
      <c r="DMS510" s="332"/>
      <c r="DMT510" s="332"/>
      <c r="DMU510" s="332"/>
      <c r="DMV510" s="332"/>
      <c r="DMW510" s="332"/>
      <c r="DMX510" s="332"/>
      <c r="DMY510" s="332"/>
      <c r="DMZ510" s="332"/>
      <c r="DNA510" s="332"/>
      <c r="DNB510" s="332"/>
      <c r="DNC510" s="332"/>
      <c r="DND510" s="332"/>
      <c r="DNE510" s="332"/>
      <c r="DNF510" s="332"/>
      <c r="DNG510" s="332"/>
      <c r="DNH510" s="332"/>
      <c r="DNI510" s="332"/>
      <c r="DNJ510" s="332"/>
      <c r="DNK510" s="332"/>
      <c r="DNL510" s="332"/>
      <c r="DNM510" s="332"/>
      <c r="DNN510" s="332"/>
      <c r="DNO510" s="332"/>
      <c r="DNP510" s="332"/>
      <c r="DNQ510" s="332"/>
      <c r="DNR510" s="332"/>
      <c r="DNS510" s="332"/>
      <c r="DNT510" s="332"/>
      <c r="DNU510" s="332"/>
      <c r="DNV510" s="332"/>
      <c r="DNW510" s="332"/>
      <c r="DNX510" s="332"/>
      <c r="DNY510" s="332"/>
      <c r="DNZ510" s="332"/>
      <c r="DOA510" s="332"/>
      <c r="DOB510" s="332"/>
      <c r="DOC510" s="332"/>
      <c r="DOD510" s="332"/>
      <c r="DOE510" s="332"/>
      <c r="DOF510" s="332"/>
      <c r="DOG510" s="332"/>
      <c r="DOH510" s="332"/>
      <c r="DOI510" s="332"/>
      <c r="DOJ510" s="332"/>
      <c r="DOK510" s="332"/>
      <c r="DOL510" s="332"/>
      <c r="DOM510" s="332"/>
      <c r="DON510" s="332"/>
      <c r="DOO510" s="332"/>
      <c r="DOP510" s="332"/>
      <c r="DOQ510" s="332"/>
      <c r="DOR510" s="332"/>
      <c r="DOS510" s="332"/>
      <c r="DOT510" s="332"/>
      <c r="DOU510" s="332"/>
      <c r="DOV510" s="332"/>
      <c r="DOW510" s="332"/>
      <c r="DOX510" s="332"/>
      <c r="DOY510" s="332"/>
      <c r="DOZ510" s="332"/>
      <c r="DPA510" s="332"/>
      <c r="DPB510" s="332"/>
      <c r="DPC510" s="332"/>
      <c r="DPD510" s="332"/>
      <c r="DPE510" s="332"/>
      <c r="DPF510" s="332"/>
      <c r="DPG510" s="332"/>
      <c r="DPH510" s="332"/>
      <c r="DPI510" s="332"/>
      <c r="DPJ510" s="332"/>
      <c r="DPK510" s="332"/>
      <c r="DPL510" s="332"/>
      <c r="DPM510" s="332"/>
      <c r="DPN510" s="332"/>
      <c r="DPO510" s="332"/>
      <c r="DPP510" s="332"/>
      <c r="DPQ510" s="332"/>
      <c r="DPR510" s="332"/>
      <c r="DPS510" s="332"/>
      <c r="DPT510" s="332"/>
      <c r="DPU510" s="332"/>
      <c r="DPV510" s="332"/>
      <c r="DPW510" s="332"/>
      <c r="DPX510" s="332"/>
      <c r="DPY510" s="332"/>
      <c r="DPZ510" s="332"/>
      <c r="DQA510" s="332"/>
      <c r="DQB510" s="332"/>
      <c r="DQC510" s="332"/>
      <c r="DQD510" s="332"/>
      <c r="DQE510" s="332"/>
      <c r="DQF510" s="332"/>
      <c r="DQG510" s="332"/>
      <c r="DQH510" s="332"/>
      <c r="DQI510" s="332"/>
      <c r="DQJ510" s="332"/>
      <c r="DQK510" s="332"/>
      <c r="DQL510" s="332"/>
      <c r="DQM510" s="332"/>
      <c r="DQN510" s="332"/>
      <c r="DQO510" s="332"/>
      <c r="DQP510" s="332"/>
      <c r="DQQ510" s="332"/>
      <c r="DQR510" s="332"/>
      <c r="DQS510" s="332"/>
      <c r="DQT510" s="332"/>
      <c r="DQU510" s="332"/>
      <c r="DQV510" s="332"/>
      <c r="DQW510" s="332"/>
      <c r="DQX510" s="332"/>
      <c r="DQY510" s="332"/>
      <c r="DQZ510" s="332"/>
      <c r="DRA510" s="332"/>
      <c r="DRB510" s="332"/>
      <c r="DRC510" s="332"/>
      <c r="DRD510" s="332"/>
      <c r="DRE510" s="332"/>
      <c r="DRF510" s="332"/>
      <c r="DRG510" s="332"/>
      <c r="DRH510" s="332"/>
      <c r="DRI510" s="332"/>
      <c r="DRJ510" s="332"/>
      <c r="DRK510" s="332"/>
      <c r="DRL510" s="332"/>
      <c r="DRM510" s="332"/>
      <c r="DRN510" s="332"/>
      <c r="DRO510" s="332"/>
      <c r="DRP510" s="332"/>
      <c r="DRQ510" s="332"/>
      <c r="DRR510" s="332"/>
      <c r="DRS510" s="332"/>
      <c r="DRT510" s="332"/>
      <c r="DRU510" s="332"/>
      <c r="DRV510" s="332"/>
      <c r="DRW510" s="332"/>
      <c r="DRX510" s="332"/>
      <c r="DRY510" s="332"/>
      <c r="DRZ510" s="332"/>
      <c r="DSA510" s="332"/>
      <c r="DSB510" s="332"/>
      <c r="DSC510" s="332"/>
      <c r="DSD510" s="332"/>
      <c r="DSE510" s="332"/>
      <c r="DSF510" s="332"/>
      <c r="DSG510" s="332"/>
      <c r="DSH510" s="332"/>
      <c r="DSI510" s="332"/>
      <c r="DSJ510" s="332"/>
      <c r="DSK510" s="332"/>
      <c r="DSL510" s="332"/>
      <c r="DSM510" s="332"/>
      <c r="DSN510" s="332"/>
      <c r="DSO510" s="332"/>
      <c r="DSP510" s="332"/>
      <c r="DSQ510" s="332"/>
      <c r="DSR510" s="332"/>
      <c r="DSS510" s="332"/>
      <c r="DST510" s="332"/>
      <c r="DSU510" s="332"/>
      <c r="DSV510" s="332"/>
      <c r="DSW510" s="332"/>
      <c r="DSX510" s="332"/>
      <c r="DSY510" s="332"/>
      <c r="DSZ510" s="332"/>
      <c r="DTA510" s="332"/>
      <c r="DTB510" s="332"/>
      <c r="DTC510" s="332"/>
      <c r="DTD510" s="332"/>
      <c r="DTE510" s="332"/>
      <c r="DTF510" s="332"/>
      <c r="DTG510" s="332"/>
      <c r="DTH510" s="332"/>
      <c r="DTI510" s="332"/>
      <c r="DTJ510" s="332"/>
      <c r="DTK510" s="332"/>
      <c r="DTL510" s="332"/>
      <c r="DTM510" s="332"/>
      <c r="DTN510" s="332"/>
      <c r="DTO510" s="332"/>
      <c r="DTP510" s="332"/>
      <c r="DTQ510" s="332"/>
      <c r="DTR510" s="332"/>
      <c r="DTS510" s="332"/>
      <c r="DTT510" s="332"/>
      <c r="DTU510" s="332"/>
      <c r="DTV510" s="332"/>
      <c r="DTW510" s="332"/>
      <c r="DTX510" s="332"/>
      <c r="DTY510" s="332"/>
      <c r="DTZ510" s="332"/>
      <c r="DUA510" s="332"/>
      <c r="DUB510" s="332"/>
      <c r="DUC510" s="332"/>
      <c r="DUD510" s="332"/>
      <c r="DUE510" s="332"/>
      <c r="DUF510" s="332"/>
      <c r="DUG510" s="332"/>
      <c r="DUH510" s="332"/>
      <c r="DUI510" s="332"/>
      <c r="DUJ510" s="332"/>
      <c r="DUK510" s="332"/>
      <c r="DUL510" s="332"/>
      <c r="DUM510" s="332"/>
      <c r="DUN510" s="332"/>
      <c r="DUO510" s="332"/>
      <c r="DUP510" s="332"/>
      <c r="DUQ510" s="332"/>
      <c r="DUR510" s="332"/>
      <c r="DUS510" s="332"/>
      <c r="DUT510" s="332"/>
      <c r="DUU510" s="332"/>
      <c r="DUV510" s="332"/>
      <c r="DUW510" s="332"/>
      <c r="DUX510" s="332"/>
      <c r="DUY510" s="332"/>
      <c r="DUZ510" s="332"/>
      <c r="DVA510" s="332"/>
      <c r="DVB510" s="332"/>
      <c r="DVC510" s="332"/>
      <c r="DVD510" s="332"/>
      <c r="DVE510" s="332"/>
      <c r="DVF510" s="332"/>
      <c r="DVG510" s="332"/>
      <c r="DVH510" s="332"/>
      <c r="DVI510" s="332"/>
      <c r="DVJ510" s="332"/>
      <c r="DVK510" s="332"/>
      <c r="DVL510" s="332"/>
      <c r="DVM510" s="332"/>
      <c r="DVN510" s="332"/>
      <c r="DVO510" s="332"/>
      <c r="DVP510" s="332"/>
      <c r="DVQ510" s="332"/>
      <c r="DVR510" s="332"/>
      <c r="DVS510" s="332"/>
      <c r="DVT510" s="332"/>
      <c r="DVU510" s="332"/>
      <c r="DVV510" s="332"/>
      <c r="DVW510" s="332"/>
      <c r="DVX510" s="332"/>
      <c r="DVY510" s="332"/>
      <c r="DVZ510" s="332"/>
      <c r="DWA510" s="332"/>
      <c r="DWB510" s="332"/>
      <c r="DWC510" s="332"/>
      <c r="DWD510" s="332"/>
      <c r="DWE510" s="332"/>
      <c r="DWF510" s="332"/>
      <c r="DWG510" s="332"/>
      <c r="DWH510" s="332"/>
      <c r="DWI510" s="332"/>
      <c r="DWJ510" s="332"/>
      <c r="DWK510" s="332"/>
      <c r="DWL510" s="332"/>
      <c r="DWM510" s="332"/>
      <c r="DWN510" s="332"/>
      <c r="DWO510" s="332"/>
      <c r="DWP510" s="332"/>
      <c r="DWQ510" s="332"/>
      <c r="DWR510" s="332"/>
      <c r="DWS510" s="332"/>
      <c r="DWT510" s="332"/>
      <c r="DWU510" s="332"/>
      <c r="DWV510" s="332"/>
      <c r="DWW510" s="332"/>
      <c r="DWX510" s="332"/>
      <c r="DWY510" s="332"/>
      <c r="DWZ510" s="332"/>
      <c r="DXA510" s="332"/>
      <c r="DXB510" s="332"/>
      <c r="DXC510" s="332"/>
      <c r="DXD510" s="332"/>
      <c r="DXE510" s="332"/>
      <c r="DXF510" s="332"/>
      <c r="DXG510" s="332"/>
      <c r="DXH510" s="332"/>
      <c r="DXI510" s="332"/>
      <c r="DXJ510" s="332"/>
      <c r="DXK510" s="332"/>
      <c r="DXL510" s="332"/>
      <c r="DXM510" s="332"/>
      <c r="DXN510" s="332"/>
      <c r="DXO510" s="332"/>
      <c r="DXP510" s="332"/>
      <c r="DXQ510" s="332"/>
      <c r="DXR510" s="332"/>
      <c r="DXS510" s="332"/>
      <c r="DXT510" s="332"/>
      <c r="DXU510" s="332"/>
      <c r="DXV510" s="332"/>
      <c r="DXW510" s="332"/>
      <c r="DXX510" s="332"/>
      <c r="DXY510" s="332"/>
      <c r="DXZ510" s="332"/>
      <c r="DYA510" s="332"/>
      <c r="DYB510" s="332"/>
      <c r="DYC510" s="332"/>
      <c r="DYD510" s="332"/>
      <c r="DYE510" s="332"/>
      <c r="DYF510" s="332"/>
      <c r="DYG510" s="332"/>
      <c r="DYH510" s="332"/>
      <c r="DYI510" s="332"/>
      <c r="DYJ510" s="332"/>
      <c r="DYK510" s="332"/>
      <c r="DYL510" s="332"/>
      <c r="DYM510" s="332"/>
      <c r="DYN510" s="332"/>
      <c r="DYO510" s="332"/>
      <c r="DYP510" s="332"/>
      <c r="DYQ510" s="332"/>
      <c r="DYR510" s="332"/>
      <c r="DYS510" s="332"/>
      <c r="DYT510" s="332"/>
      <c r="DYU510" s="332"/>
      <c r="DYV510" s="332"/>
      <c r="DYW510" s="332"/>
      <c r="DYX510" s="332"/>
      <c r="DYY510" s="332"/>
      <c r="DYZ510" s="332"/>
      <c r="DZA510" s="332"/>
      <c r="DZB510" s="332"/>
      <c r="DZC510" s="332"/>
      <c r="DZD510" s="332"/>
      <c r="DZE510" s="332"/>
      <c r="DZF510" s="332"/>
      <c r="DZG510" s="332"/>
      <c r="DZH510" s="332"/>
      <c r="DZI510" s="332"/>
      <c r="DZJ510" s="332"/>
      <c r="DZK510" s="332"/>
      <c r="DZL510" s="332"/>
      <c r="DZM510" s="332"/>
      <c r="DZN510" s="332"/>
      <c r="DZO510" s="332"/>
      <c r="DZP510" s="332"/>
      <c r="DZQ510" s="332"/>
      <c r="DZR510" s="332"/>
      <c r="DZS510" s="332"/>
      <c r="DZT510" s="332"/>
      <c r="DZU510" s="332"/>
      <c r="DZV510" s="332"/>
      <c r="DZW510" s="332"/>
      <c r="DZX510" s="332"/>
      <c r="DZY510" s="332"/>
      <c r="DZZ510" s="332"/>
      <c r="EAA510" s="332"/>
      <c r="EAB510" s="332"/>
      <c r="EAC510" s="332"/>
      <c r="EAD510" s="332"/>
      <c r="EAE510" s="332"/>
      <c r="EAF510" s="332"/>
      <c r="EAG510" s="332"/>
      <c r="EAH510" s="332"/>
      <c r="EAI510" s="332"/>
      <c r="EAJ510" s="332"/>
      <c r="EAK510" s="332"/>
      <c r="EAL510" s="332"/>
      <c r="EAM510" s="332"/>
      <c r="EAN510" s="332"/>
      <c r="EAO510" s="332"/>
      <c r="EAP510" s="332"/>
      <c r="EAQ510" s="332"/>
      <c r="EAR510" s="332"/>
      <c r="EAS510" s="332"/>
      <c r="EAT510" s="332"/>
      <c r="EAU510" s="332"/>
      <c r="EAV510" s="332"/>
      <c r="EAW510" s="332"/>
      <c r="EAX510" s="332"/>
      <c r="EAY510" s="332"/>
      <c r="EAZ510" s="332"/>
      <c r="EBA510" s="332"/>
      <c r="EBB510" s="332"/>
      <c r="EBC510" s="332"/>
      <c r="EBD510" s="332"/>
      <c r="EBE510" s="332"/>
      <c r="EBF510" s="332"/>
      <c r="EBG510" s="332"/>
      <c r="EBH510" s="332"/>
      <c r="EBI510" s="332"/>
      <c r="EBJ510" s="332"/>
      <c r="EBK510" s="332"/>
      <c r="EBL510" s="332"/>
      <c r="EBM510" s="332"/>
      <c r="EBN510" s="332"/>
      <c r="EBO510" s="332"/>
      <c r="EBP510" s="332"/>
      <c r="EBQ510" s="332"/>
      <c r="EBR510" s="332"/>
      <c r="EBS510" s="332"/>
      <c r="EBT510" s="332"/>
      <c r="EBU510" s="332"/>
      <c r="EBV510" s="332"/>
      <c r="EBW510" s="332"/>
      <c r="EBX510" s="332"/>
      <c r="EBY510" s="332"/>
      <c r="EBZ510" s="332"/>
      <c r="ECA510" s="332"/>
      <c r="ECB510" s="332"/>
      <c r="ECC510" s="332"/>
      <c r="ECD510" s="332"/>
      <c r="ECE510" s="332"/>
      <c r="ECF510" s="332"/>
      <c r="ECG510" s="332"/>
      <c r="ECH510" s="332"/>
      <c r="ECI510" s="332"/>
      <c r="ECJ510" s="332"/>
      <c r="ECK510" s="332"/>
      <c r="ECL510" s="332"/>
      <c r="ECM510" s="332"/>
      <c r="ECN510" s="332"/>
      <c r="ECO510" s="332"/>
      <c r="ECP510" s="332"/>
      <c r="ECQ510" s="332"/>
      <c r="ECR510" s="332"/>
      <c r="ECS510" s="332"/>
      <c r="ECT510" s="332"/>
      <c r="ECU510" s="332"/>
      <c r="ECV510" s="332"/>
      <c r="ECW510" s="332"/>
      <c r="ECX510" s="332"/>
      <c r="ECY510" s="332"/>
      <c r="ECZ510" s="332"/>
      <c r="EDA510" s="332"/>
      <c r="EDB510" s="332"/>
      <c r="EDC510" s="332"/>
      <c r="EDD510" s="332"/>
      <c r="EDE510" s="332"/>
      <c r="EDF510" s="332"/>
      <c r="EDG510" s="332"/>
      <c r="EDH510" s="332"/>
      <c r="EDI510" s="332"/>
      <c r="EDJ510" s="332"/>
      <c r="EDK510" s="332"/>
      <c r="EDL510" s="332"/>
      <c r="EDM510" s="332"/>
      <c r="EDN510" s="332"/>
      <c r="EDO510" s="332"/>
      <c r="EDP510" s="332"/>
      <c r="EDQ510" s="332"/>
      <c r="EDR510" s="332"/>
      <c r="EDS510" s="332"/>
      <c r="EDT510" s="332"/>
      <c r="EDU510" s="332"/>
      <c r="EDV510" s="332"/>
      <c r="EDW510" s="332"/>
      <c r="EDX510" s="332"/>
      <c r="EDY510" s="332"/>
      <c r="EDZ510" s="332"/>
      <c r="EEA510" s="332"/>
      <c r="EEB510" s="332"/>
      <c r="EEC510" s="332"/>
      <c r="EED510" s="332"/>
      <c r="EEE510" s="332"/>
      <c r="EEF510" s="332"/>
      <c r="EEG510" s="332"/>
      <c r="EEH510" s="332"/>
      <c r="EEI510" s="332"/>
      <c r="EEJ510" s="332"/>
      <c r="EEK510" s="332"/>
      <c r="EEL510" s="332"/>
      <c r="EEM510" s="332"/>
      <c r="EEN510" s="332"/>
      <c r="EEO510" s="332"/>
      <c r="EEP510" s="332"/>
      <c r="EEQ510" s="332"/>
      <c r="EER510" s="332"/>
      <c r="EES510" s="332"/>
      <c r="EET510" s="332"/>
      <c r="EEU510" s="332"/>
      <c r="EEV510" s="332"/>
      <c r="EEW510" s="332"/>
      <c r="EEX510" s="332"/>
      <c r="EEY510" s="332"/>
      <c r="EEZ510" s="332"/>
      <c r="EFA510" s="332"/>
      <c r="EFB510" s="332"/>
      <c r="EFC510" s="332"/>
      <c r="EFD510" s="332"/>
      <c r="EFE510" s="332"/>
      <c r="EFF510" s="332"/>
      <c r="EFG510" s="332"/>
      <c r="EFH510" s="332"/>
      <c r="EFI510" s="332"/>
      <c r="EFJ510" s="332"/>
      <c r="EFK510" s="332"/>
      <c r="EFL510" s="332"/>
      <c r="EFM510" s="332"/>
      <c r="EFN510" s="332"/>
      <c r="EFO510" s="332"/>
      <c r="EFP510" s="332"/>
      <c r="EFQ510" s="332"/>
      <c r="EFR510" s="332"/>
      <c r="EFS510" s="332"/>
      <c r="EFT510" s="332"/>
      <c r="EFU510" s="332"/>
      <c r="EFV510" s="332"/>
      <c r="EFW510" s="332"/>
      <c r="EFX510" s="332"/>
      <c r="EFY510" s="332"/>
      <c r="EFZ510" s="332"/>
      <c r="EGA510" s="332"/>
      <c r="EGB510" s="332"/>
      <c r="EGC510" s="332"/>
      <c r="EGD510" s="332"/>
      <c r="EGE510" s="332"/>
      <c r="EGF510" s="332"/>
      <c r="EGG510" s="332"/>
      <c r="EGH510" s="332"/>
      <c r="EGI510" s="332"/>
      <c r="EGJ510" s="332"/>
      <c r="EGK510" s="332"/>
      <c r="EGL510" s="332"/>
      <c r="EGM510" s="332"/>
      <c r="EGN510" s="332"/>
      <c r="EGO510" s="332"/>
      <c r="EGP510" s="332"/>
      <c r="EGQ510" s="332"/>
      <c r="EGR510" s="332"/>
      <c r="EGS510" s="332"/>
      <c r="EGT510" s="332"/>
      <c r="EGU510" s="332"/>
      <c r="EGV510" s="332"/>
      <c r="EGW510" s="332"/>
      <c r="EGX510" s="332"/>
      <c r="EGY510" s="332"/>
      <c r="EGZ510" s="332"/>
      <c r="EHA510" s="332"/>
      <c r="EHB510" s="332"/>
      <c r="EHC510" s="332"/>
      <c r="EHD510" s="332"/>
      <c r="EHE510" s="332"/>
      <c r="EHF510" s="332"/>
      <c r="EHG510" s="332"/>
      <c r="EHH510" s="332"/>
      <c r="EHI510" s="332"/>
      <c r="EHJ510" s="332"/>
      <c r="EHK510" s="332"/>
      <c r="EHL510" s="332"/>
      <c r="EHM510" s="332"/>
      <c r="EHN510" s="332"/>
      <c r="EHO510" s="332"/>
      <c r="EHP510" s="332"/>
      <c r="EHQ510" s="332"/>
      <c r="EHR510" s="332"/>
      <c r="EHS510" s="332"/>
      <c r="EHT510" s="332"/>
      <c r="EHU510" s="332"/>
      <c r="EHV510" s="332"/>
      <c r="EHW510" s="332"/>
      <c r="EHX510" s="332"/>
      <c r="EHY510" s="332"/>
      <c r="EHZ510" s="332"/>
      <c r="EIA510" s="332"/>
      <c r="EIB510" s="332"/>
      <c r="EIC510" s="332"/>
      <c r="EID510" s="332"/>
      <c r="EIE510" s="332"/>
      <c r="EIF510" s="332"/>
      <c r="EIG510" s="332"/>
      <c r="EIH510" s="332"/>
      <c r="EII510" s="332"/>
      <c r="EIJ510" s="332"/>
      <c r="EIK510" s="332"/>
      <c r="EIL510" s="332"/>
      <c r="EIM510" s="332"/>
      <c r="EIN510" s="332"/>
      <c r="EIO510" s="332"/>
      <c r="EIP510" s="332"/>
      <c r="EIQ510" s="332"/>
      <c r="EIR510" s="332"/>
      <c r="EIS510" s="332"/>
      <c r="EIT510" s="332"/>
      <c r="EIU510" s="332"/>
      <c r="EIV510" s="332"/>
      <c r="EIW510" s="332"/>
      <c r="EIX510" s="332"/>
      <c r="EIY510" s="332"/>
      <c r="EIZ510" s="332"/>
      <c r="EJA510" s="332"/>
      <c r="EJB510" s="332"/>
      <c r="EJC510" s="332"/>
      <c r="EJD510" s="332"/>
      <c r="EJE510" s="332"/>
      <c r="EJF510" s="332"/>
      <c r="EJG510" s="332"/>
      <c r="EJH510" s="332"/>
      <c r="EJI510" s="332"/>
      <c r="EJJ510" s="332"/>
      <c r="EJK510" s="332"/>
      <c r="EJL510" s="332"/>
      <c r="EJM510" s="332"/>
      <c r="EJN510" s="332"/>
      <c r="EJO510" s="332"/>
      <c r="EJP510" s="332"/>
      <c r="EJQ510" s="332"/>
      <c r="EJR510" s="332"/>
      <c r="EJS510" s="332"/>
      <c r="EJT510" s="332"/>
      <c r="EJU510" s="332"/>
      <c r="EJV510" s="332"/>
      <c r="EJW510" s="332"/>
      <c r="EJX510" s="332"/>
      <c r="EJY510" s="332"/>
      <c r="EJZ510" s="332"/>
      <c r="EKA510" s="332"/>
      <c r="EKB510" s="332"/>
      <c r="EKC510" s="332"/>
      <c r="EKD510" s="332"/>
      <c r="EKE510" s="332"/>
      <c r="EKF510" s="332"/>
      <c r="EKG510" s="332"/>
      <c r="EKH510" s="332"/>
      <c r="EKI510" s="332"/>
      <c r="EKJ510" s="332"/>
      <c r="EKK510" s="332"/>
      <c r="EKL510" s="332"/>
      <c r="EKM510" s="332"/>
      <c r="EKN510" s="332"/>
      <c r="EKO510" s="332"/>
      <c r="EKP510" s="332"/>
      <c r="EKQ510" s="332"/>
      <c r="EKR510" s="332"/>
      <c r="EKS510" s="332"/>
      <c r="EKT510" s="332"/>
      <c r="EKU510" s="332"/>
      <c r="EKV510" s="332"/>
      <c r="EKW510" s="332"/>
      <c r="EKX510" s="332"/>
      <c r="EKY510" s="332"/>
      <c r="EKZ510" s="332"/>
      <c r="ELA510" s="332"/>
      <c r="ELB510" s="332"/>
      <c r="ELC510" s="332"/>
      <c r="ELD510" s="332"/>
      <c r="ELE510" s="332"/>
      <c r="ELF510" s="332"/>
      <c r="ELG510" s="332"/>
      <c r="ELH510" s="332"/>
      <c r="ELI510" s="332"/>
      <c r="ELJ510" s="332"/>
      <c r="ELK510" s="332"/>
      <c r="ELL510" s="332"/>
      <c r="ELM510" s="332"/>
      <c r="ELN510" s="332"/>
      <c r="ELO510" s="332"/>
      <c r="ELP510" s="332"/>
      <c r="ELQ510" s="332"/>
      <c r="ELR510" s="332"/>
      <c r="ELS510" s="332"/>
      <c r="ELT510" s="332"/>
      <c r="ELU510" s="332"/>
      <c r="ELV510" s="332"/>
      <c r="ELW510" s="332"/>
      <c r="ELX510" s="332"/>
      <c r="ELY510" s="332"/>
      <c r="ELZ510" s="332"/>
      <c r="EMA510" s="332"/>
      <c r="EMB510" s="332"/>
      <c r="EMC510" s="332"/>
      <c r="EMD510" s="332"/>
      <c r="EME510" s="332"/>
      <c r="EMF510" s="332"/>
      <c r="EMG510" s="332"/>
      <c r="EMH510" s="332"/>
      <c r="EMI510" s="332"/>
      <c r="EMJ510" s="332"/>
      <c r="EMK510" s="332"/>
      <c r="EML510" s="332"/>
      <c r="EMM510" s="332"/>
      <c r="EMN510" s="332"/>
      <c r="EMO510" s="332"/>
      <c r="EMP510" s="332"/>
      <c r="EMQ510" s="332"/>
      <c r="EMR510" s="332"/>
      <c r="EMS510" s="332"/>
      <c r="EMT510" s="332"/>
      <c r="EMU510" s="332"/>
      <c r="EMV510" s="332"/>
      <c r="EMW510" s="332"/>
      <c r="EMX510" s="332"/>
      <c r="EMY510" s="332"/>
      <c r="EMZ510" s="332"/>
      <c r="ENA510" s="332"/>
      <c r="ENB510" s="332"/>
      <c r="ENC510" s="332"/>
      <c r="END510" s="332"/>
      <c r="ENE510" s="332"/>
      <c r="ENF510" s="332"/>
      <c r="ENG510" s="332"/>
      <c r="ENH510" s="332"/>
      <c r="ENI510" s="332"/>
      <c r="ENJ510" s="332"/>
      <c r="ENK510" s="332"/>
      <c r="ENL510" s="332"/>
      <c r="ENM510" s="332"/>
      <c r="ENN510" s="332"/>
      <c r="ENO510" s="332"/>
      <c r="ENP510" s="332"/>
      <c r="ENQ510" s="332"/>
      <c r="ENR510" s="332"/>
      <c r="ENS510" s="332"/>
      <c r="ENT510" s="332"/>
      <c r="ENU510" s="332"/>
      <c r="ENV510" s="332"/>
      <c r="ENW510" s="332"/>
      <c r="ENX510" s="332"/>
      <c r="ENY510" s="332"/>
      <c r="ENZ510" s="332"/>
      <c r="EOA510" s="332"/>
      <c r="EOB510" s="332"/>
      <c r="EOC510" s="332"/>
      <c r="EOD510" s="332"/>
      <c r="EOE510" s="332"/>
      <c r="EOF510" s="332"/>
      <c r="EOG510" s="332"/>
      <c r="EOH510" s="332"/>
      <c r="EOI510" s="332"/>
      <c r="EOJ510" s="332"/>
      <c r="EOK510" s="332"/>
      <c r="EOL510" s="332"/>
      <c r="EOM510" s="332"/>
      <c r="EON510" s="332"/>
      <c r="EOO510" s="332"/>
      <c r="EOP510" s="332"/>
      <c r="EOQ510" s="332"/>
      <c r="EOR510" s="332"/>
      <c r="EOS510" s="332"/>
      <c r="EOT510" s="332"/>
      <c r="EOU510" s="332"/>
      <c r="EOV510" s="332"/>
      <c r="EOW510" s="332"/>
      <c r="EOX510" s="332"/>
      <c r="EOY510" s="332"/>
      <c r="EOZ510" s="332"/>
      <c r="EPA510" s="332"/>
      <c r="EPB510" s="332"/>
      <c r="EPC510" s="332"/>
      <c r="EPD510" s="332"/>
      <c r="EPE510" s="332"/>
      <c r="EPF510" s="332"/>
      <c r="EPG510" s="332"/>
      <c r="EPH510" s="332"/>
      <c r="EPI510" s="332"/>
      <c r="EPJ510" s="332"/>
      <c r="EPK510" s="332"/>
      <c r="EPL510" s="332"/>
      <c r="EPM510" s="332"/>
      <c r="EPN510" s="332"/>
      <c r="EPO510" s="332"/>
      <c r="EPP510" s="332"/>
      <c r="EPQ510" s="332"/>
      <c r="EPR510" s="332"/>
      <c r="EPS510" s="332"/>
      <c r="EPT510" s="332"/>
      <c r="EPU510" s="332"/>
      <c r="EPV510" s="332"/>
      <c r="EPW510" s="332"/>
      <c r="EPX510" s="332"/>
      <c r="EPY510" s="332"/>
      <c r="EPZ510" s="332"/>
      <c r="EQA510" s="332"/>
      <c r="EQB510" s="332"/>
      <c r="EQC510" s="332"/>
      <c r="EQD510" s="332"/>
      <c r="EQE510" s="332"/>
      <c r="EQF510" s="332"/>
      <c r="EQG510" s="332"/>
      <c r="EQH510" s="332"/>
      <c r="EQI510" s="332"/>
      <c r="EQJ510" s="332"/>
      <c r="EQK510" s="332"/>
      <c r="EQL510" s="332"/>
      <c r="EQM510" s="332"/>
      <c r="EQN510" s="332"/>
      <c r="EQO510" s="332"/>
      <c r="EQP510" s="332"/>
      <c r="EQQ510" s="332"/>
      <c r="EQR510" s="332"/>
      <c r="EQS510" s="332"/>
      <c r="EQT510" s="332"/>
      <c r="EQU510" s="332"/>
      <c r="EQV510" s="332"/>
      <c r="EQW510" s="332"/>
      <c r="EQX510" s="332"/>
      <c r="EQY510" s="332"/>
      <c r="EQZ510" s="332"/>
      <c r="ERA510" s="332"/>
      <c r="ERB510" s="332"/>
      <c r="ERC510" s="332"/>
      <c r="ERD510" s="332"/>
      <c r="ERE510" s="332"/>
      <c r="ERF510" s="332"/>
      <c r="ERG510" s="332"/>
      <c r="ERH510" s="332"/>
      <c r="ERI510" s="332"/>
      <c r="ERJ510" s="332"/>
      <c r="ERK510" s="332"/>
      <c r="ERL510" s="332"/>
      <c r="ERM510" s="332"/>
      <c r="ERN510" s="332"/>
      <c r="ERO510" s="332"/>
      <c r="ERP510" s="332"/>
      <c r="ERQ510" s="332"/>
      <c r="ERR510" s="332"/>
      <c r="ERS510" s="332"/>
      <c r="ERT510" s="332"/>
      <c r="ERU510" s="332"/>
      <c r="ERV510" s="332"/>
      <c r="ERW510" s="332"/>
      <c r="ERX510" s="332"/>
      <c r="ERY510" s="332"/>
      <c r="ERZ510" s="332"/>
      <c r="ESA510" s="332"/>
      <c r="ESB510" s="332"/>
      <c r="ESC510" s="332"/>
      <c r="ESD510" s="332"/>
      <c r="ESE510" s="332"/>
      <c r="ESF510" s="332"/>
      <c r="ESG510" s="332"/>
      <c r="ESH510" s="332"/>
      <c r="ESI510" s="332"/>
      <c r="ESJ510" s="332"/>
      <c r="ESK510" s="332"/>
      <c r="ESL510" s="332"/>
      <c r="ESM510" s="332"/>
      <c r="ESN510" s="332"/>
      <c r="ESO510" s="332"/>
      <c r="ESP510" s="332"/>
      <c r="ESQ510" s="332"/>
      <c r="ESR510" s="332"/>
      <c r="ESS510" s="332"/>
      <c r="EST510" s="332"/>
      <c r="ESU510" s="332"/>
      <c r="ESV510" s="332"/>
      <c r="ESW510" s="332"/>
      <c r="ESX510" s="332"/>
      <c r="ESY510" s="332"/>
      <c r="ESZ510" s="332"/>
      <c r="ETA510" s="332"/>
      <c r="ETB510" s="332"/>
      <c r="ETC510" s="332"/>
      <c r="ETD510" s="332"/>
      <c r="ETE510" s="332"/>
      <c r="ETF510" s="332"/>
      <c r="ETG510" s="332"/>
      <c r="ETH510" s="332"/>
      <c r="ETI510" s="332"/>
      <c r="ETJ510" s="332"/>
      <c r="ETK510" s="332"/>
      <c r="ETL510" s="332"/>
      <c r="ETM510" s="332"/>
      <c r="ETN510" s="332"/>
      <c r="ETO510" s="332"/>
      <c r="ETP510" s="332"/>
      <c r="ETQ510" s="332"/>
      <c r="ETR510" s="332"/>
      <c r="ETS510" s="332"/>
      <c r="ETT510" s="332"/>
      <c r="ETU510" s="332"/>
      <c r="ETV510" s="332"/>
      <c r="ETW510" s="332"/>
      <c r="ETX510" s="332"/>
      <c r="ETY510" s="332"/>
      <c r="ETZ510" s="332"/>
      <c r="EUA510" s="332"/>
      <c r="EUB510" s="332"/>
      <c r="EUC510" s="332"/>
      <c r="EUD510" s="332"/>
      <c r="EUE510" s="332"/>
      <c r="EUF510" s="332"/>
      <c r="EUG510" s="332"/>
      <c r="EUH510" s="332"/>
      <c r="EUI510" s="332"/>
      <c r="EUJ510" s="332"/>
      <c r="EUK510" s="332"/>
      <c r="EUL510" s="332"/>
      <c r="EUM510" s="332"/>
      <c r="EUN510" s="332"/>
      <c r="EUO510" s="332"/>
      <c r="EUP510" s="332"/>
      <c r="EUQ510" s="332"/>
      <c r="EUR510" s="332"/>
      <c r="EUS510" s="332"/>
      <c r="EUT510" s="332"/>
      <c r="EUU510" s="332"/>
      <c r="EUV510" s="332"/>
      <c r="EUW510" s="332"/>
      <c r="EUX510" s="332"/>
      <c r="EUY510" s="332"/>
      <c r="EUZ510" s="332"/>
      <c r="EVA510" s="332"/>
      <c r="EVB510" s="332"/>
      <c r="EVC510" s="332"/>
      <c r="EVD510" s="332"/>
      <c r="EVE510" s="332"/>
      <c r="EVF510" s="332"/>
      <c r="EVG510" s="332"/>
      <c r="EVH510" s="332"/>
      <c r="EVI510" s="332"/>
      <c r="EVJ510" s="332"/>
      <c r="EVK510" s="332"/>
      <c r="EVL510" s="332"/>
      <c r="EVM510" s="332"/>
      <c r="EVN510" s="332"/>
      <c r="EVO510" s="332"/>
      <c r="EVP510" s="332"/>
      <c r="EVQ510" s="332"/>
      <c r="EVR510" s="332"/>
      <c r="EVS510" s="332"/>
      <c r="EVT510" s="332"/>
      <c r="EVU510" s="332"/>
      <c r="EVV510" s="332"/>
      <c r="EVW510" s="332"/>
      <c r="EVX510" s="332"/>
      <c r="EVY510" s="332"/>
      <c r="EVZ510" s="332"/>
      <c r="EWA510" s="332"/>
      <c r="EWB510" s="332"/>
      <c r="EWC510" s="332"/>
      <c r="EWD510" s="332"/>
      <c r="EWE510" s="332"/>
      <c r="EWF510" s="332"/>
      <c r="EWG510" s="332"/>
      <c r="EWH510" s="332"/>
      <c r="EWI510" s="332"/>
      <c r="EWJ510" s="332"/>
      <c r="EWK510" s="332"/>
      <c r="EWL510" s="332"/>
      <c r="EWM510" s="332"/>
      <c r="EWN510" s="332"/>
      <c r="EWO510" s="332"/>
      <c r="EWP510" s="332"/>
      <c r="EWQ510" s="332"/>
      <c r="EWR510" s="332"/>
      <c r="EWS510" s="332"/>
      <c r="EWT510" s="332"/>
      <c r="EWU510" s="332"/>
      <c r="EWV510" s="332"/>
      <c r="EWW510" s="332"/>
      <c r="EWX510" s="332"/>
      <c r="EWY510" s="332"/>
      <c r="EWZ510" s="332"/>
      <c r="EXA510" s="332"/>
      <c r="EXB510" s="332"/>
      <c r="EXC510" s="332"/>
      <c r="EXD510" s="332"/>
      <c r="EXE510" s="332"/>
      <c r="EXF510" s="332"/>
      <c r="EXG510" s="332"/>
      <c r="EXH510" s="332"/>
      <c r="EXI510" s="332"/>
      <c r="EXJ510" s="332"/>
      <c r="EXK510" s="332"/>
      <c r="EXL510" s="332"/>
      <c r="EXM510" s="332"/>
      <c r="EXN510" s="332"/>
      <c r="EXO510" s="332"/>
      <c r="EXP510" s="332"/>
      <c r="EXQ510" s="332"/>
      <c r="EXR510" s="332"/>
      <c r="EXS510" s="332"/>
      <c r="EXT510" s="332"/>
      <c r="EXU510" s="332"/>
      <c r="EXV510" s="332"/>
      <c r="EXW510" s="332"/>
      <c r="EXX510" s="332"/>
      <c r="EXY510" s="332"/>
      <c r="EXZ510" s="332"/>
      <c r="EYA510" s="332"/>
      <c r="EYB510" s="332"/>
      <c r="EYC510" s="332"/>
      <c r="EYD510" s="332"/>
      <c r="EYE510" s="332"/>
      <c r="EYF510" s="332"/>
      <c r="EYG510" s="332"/>
      <c r="EYH510" s="332"/>
      <c r="EYI510" s="332"/>
      <c r="EYJ510" s="332"/>
      <c r="EYK510" s="332"/>
      <c r="EYL510" s="332"/>
      <c r="EYM510" s="332"/>
      <c r="EYN510" s="332"/>
      <c r="EYO510" s="332"/>
      <c r="EYP510" s="332"/>
      <c r="EYQ510" s="332"/>
      <c r="EYR510" s="332"/>
      <c r="EYS510" s="332"/>
      <c r="EYT510" s="332"/>
      <c r="EYU510" s="332"/>
      <c r="EYV510" s="332"/>
      <c r="EYW510" s="332"/>
      <c r="EYX510" s="332"/>
      <c r="EYY510" s="332"/>
      <c r="EYZ510" s="332"/>
      <c r="EZA510" s="332"/>
      <c r="EZB510" s="332"/>
      <c r="EZC510" s="332"/>
      <c r="EZD510" s="332"/>
      <c r="EZE510" s="332"/>
      <c r="EZF510" s="332"/>
      <c r="EZG510" s="332"/>
      <c r="EZH510" s="332"/>
      <c r="EZI510" s="332"/>
      <c r="EZJ510" s="332"/>
      <c r="EZK510" s="332"/>
      <c r="EZL510" s="332"/>
      <c r="EZM510" s="332"/>
      <c r="EZN510" s="332"/>
      <c r="EZO510" s="332"/>
      <c r="EZP510" s="332"/>
      <c r="EZQ510" s="332"/>
      <c r="EZR510" s="332"/>
      <c r="EZS510" s="332"/>
      <c r="EZT510" s="332"/>
      <c r="EZU510" s="332"/>
      <c r="EZV510" s="332"/>
      <c r="EZW510" s="332"/>
      <c r="EZX510" s="332"/>
      <c r="EZY510" s="332"/>
      <c r="EZZ510" s="332"/>
      <c r="FAA510" s="332"/>
      <c r="FAB510" s="332"/>
      <c r="FAC510" s="332"/>
      <c r="FAD510" s="332"/>
      <c r="FAE510" s="332"/>
      <c r="FAF510" s="332"/>
      <c r="FAG510" s="332"/>
      <c r="FAH510" s="332"/>
      <c r="FAI510" s="332"/>
      <c r="FAJ510" s="332"/>
      <c r="FAK510" s="332"/>
      <c r="FAL510" s="332"/>
      <c r="FAM510" s="332"/>
      <c r="FAN510" s="332"/>
      <c r="FAO510" s="332"/>
      <c r="FAP510" s="332"/>
      <c r="FAQ510" s="332"/>
      <c r="FAR510" s="332"/>
      <c r="FAS510" s="332"/>
      <c r="FAT510" s="332"/>
      <c r="FAU510" s="332"/>
      <c r="FAV510" s="332"/>
      <c r="FAW510" s="332"/>
      <c r="FAX510" s="332"/>
      <c r="FAY510" s="332"/>
      <c r="FAZ510" s="332"/>
      <c r="FBA510" s="332"/>
      <c r="FBB510" s="332"/>
      <c r="FBC510" s="332"/>
      <c r="FBD510" s="332"/>
      <c r="FBE510" s="332"/>
      <c r="FBF510" s="332"/>
      <c r="FBG510" s="332"/>
      <c r="FBH510" s="332"/>
      <c r="FBI510" s="332"/>
      <c r="FBJ510" s="332"/>
      <c r="FBK510" s="332"/>
      <c r="FBL510" s="332"/>
      <c r="FBM510" s="332"/>
      <c r="FBN510" s="332"/>
      <c r="FBO510" s="332"/>
      <c r="FBP510" s="332"/>
      <c r="FBQ510" s="332"/>
      <c r="FBR510" s="332"/>
      <c r="FBS510" s="332"/>
      <c r="FBT510" s="332"/>
      <c r="FBU510" s="332"/>
      <c r="FBV510" s="332"/>
      <c r="FBW510" s="332"/>
      <c r="FBX510" s="332"/>
      <c r="FBY510" s="332"/>
      <c r="FBZ510" s="332"/>
      <c r="FCA510" s="332"/>
      <c r="FCB510" s="332"/>
      <c r="FCC510" s="332"/>
      <c r="FCD510" s="332"/>
      <c r="FCE510" s="332"/>
      <c r="FCF510" s="332"/>
      <c r="FCG510" s="332"/>
      <c r="FCH510" s="332"/>
      <c r="FCI510" s="332"/>
      <c r="FCJ510" s="332"/>
      <c r="FCK510" s="332"/>
      <c r="FCL510" s="332"/>
      <c r="FCM510" s="332"/>
      <c r="FCN510" s="332"/>
      <c r="FCO510" s="332"/>
      <c r="FCP510" s="332"/>
      <c r="FCQ510" s="332"/>
      <c r="FCR510" s="332"/>
      <c r="FCS510" s="332"/>
      <c r="FCT510" s="332"/>
      <c r="FCU510" s="332"/>
      <c r="FCV510" s="332"/>
      <c r="FCW510" s="332"/>
      <c r="FCX510" s="332"/>
      <c r="FCY510" s="332"/>
      <c r="FCZ510" s="332"/>
      <c r="FDA510" s="332"/>
      <c r="FDB510" s="332"/>
      <c r="FDC510" s="332"/>
      <c r="FDD510" s="332"/>
      <c r="FDE510" s="332"/>
      <c r="FDF510" s="332"/>
      <c r="FDG510" s="332"/>
      <c r="FDH510" s="332"/>
      <c r="FDI510" s="332"/>
      <c r="FDJ510" s="332"/>
      <c r="FDK510" s="332"/>
      <c r="FDL510" s="332"/>
      <c r="FDM510" s="332"/>
      <c r="FDN510" s="332"/>
      <c r="FDO510" s="332"/>
      <c r="FDP510" s="332"/>
      <c r="FDQ510" s="332"/>
      <c r="FDR510" s="332"/>
      <c r="FDS510" s="332"/>
      <c r="FDT510" s="332"/>
      <c r="FDU510" s="332"/>
      <c r="FDV510" s="332"/>
      <c r="FDW510" s="332"/>
      <c r="FDX510" s="332"/>
      <c r="FDY510" s="332"/>
      <c r="FDZ510" s="332"/>
      <c r="FEA510" s="332"/>
      <c r="FEB510" s="332"/>
      <c r="FEC510" s="332"/>
      <c r="FED510" s="332"/>
      <c r="FEE510" s="332"/>
      <c r="FEF510" s="332"/>
      <c r="FEG510" s="332"/>
      <c r="FEH510" s="332"/>
      <c r="FEI510" s="332"/>
      <c r="FEJ510" s="332"/>
      <c r="FEK510" s="332"/>
      <c r="FEL510" s="332"/>
      <c r="FEM510" s="332"/>
      <c r="FEN510" s="332"/>
      <c r="FEO510" s="332"/>
      <c r="FEP510" s="332"/>
      <c r="FEQ510" s="332"/>
      <c r="FER510" s="332"/>
      <c r="FES510" s="332"/>
      <c r="FET510" s="332"/>
      <c r="FEU510" s="332"/>
      <c r="FEV510" s="332"/>
      <c r="FEW510" s="332"/>
      <c r="FEX510" s="332"/>
      <c r="FEY510" s="332"/>
      <c r="FEZ510" s="332"/>
      <c r="FFA510" s="332"/>
      <c r="FFB510" s="332"/>
      <c r="FFC510" s="332"/>
      <c r="FFD510" s="332"/>
      <c r="FFE510" s="332"/>
      <c r="FFF510" s="332"/>
      <c r="FFG510" s="332"/>
      <c r="FFH510" s="332"/>
      <c r="FFI510" s="332"/>
      <c r="FFJ510" s="332"/>
      <c r="FFK510" s="332"/>
      <c r="FFL510" s="332"/>
      <c r="FFM510" s="332"/>
      <c r="FFN510" s="332"/>
      <c r="FFO510" s="332"/>
      <c r="FFP510" s="332"/>
      <c r="FFQ510" s="332"/>
      <c r="FFR510" s="332"/>
      <c r="FFS510" s="332"/>
      <c r="FFT510" s="332"/>
      <c r="FFU510" s="332"/>
      <c r="FFV510" s="332"/>
      <c r="FFW510" s="332"/>
      <c r="FFX510" s="332"/>
      <c r="FFY510" s="332"/>
      <c r="FFZ510" s="332"/>
      <c r="FGA510" s="332"/>
      <c r="FGB510" s="332"/>
      <c r="FGC510" s="332"/>
      <c r="FGD510" s="332"/>
      <c r="FGE510" s="332"/>
      <c r="FGF510" s="332"/>
      <c r="FGG510" s="332"/>
      <c r="FGH510" s="332"/>
      <c r="FGI510" s="332"/>
      <c r="FGJ510" s="332"/>
      <c r="FGK510" s="332"/>
      <c r="FGL510" s="332"/>
      <c r="FGM510" s="332"/>
      <c r="FGN510" s="332"/>
      <c r="FGO510" s="332"/>
      <c r="FGP510" s="332"/>
      <c r="FGQ510" s="332"/>
      <c r="FGR510" s="332"/>
      <c r="FGS510" s="332"/>
      <c r="FGT510" s="332"/>
      <c r="FGU510" s="332"/>
      <c r="FGV510" s="332"/>
      <c r="FGW510" s="332"/>
      <c r="FGX510" s="332"/>
      <c r="FGY510" s="332"/>
      <c r="FGZ510" s="332"/>
      <c r="FHA510" s="332"/>
      <c r="FHB510" s="332"/>
      <c r="FHC510" s="332"/>
      <c r="FHD510" s="332"/>
      <c r="FHE510" s="332"/>
      <c r="FHF510" s="332"/>
      <c r="FHG510" s="332"/>
      <c r="FHH510" s="332"/>
      <c r="FHI510" s="332"/>
      <c r="FHJ510" s="332"/>
      <c r="FHK510" s="332"/>
      <c r="FHL510" s="332"/>
      <c r="FHM510" s="332"/>
      <c r="FHN510" s="332"/>
      <c r="FHO510" s="332"/>
      <c r="FHP510" s="332"/>
      <c r="FHQ510" s="332"/>
      <c r="FHR510" s="332"/>
      <c r="FHS510" s="332"/>
      <c r="FHT510" s="332"/>
      <c r="FHU510" s="332"/>
      <c r="FHV510" s="332"/>
      <c r="FHW510" s="332"/>
      <c r="FHX510" s="332"/>
      <c r="FHY510" s="332"/>
      <c r="FHZ510" s="332"/>
      <c r="FIA510" s="332"/>
      <c r="FIB510" s="332"/>
      <c r="FIC510" s="332"/>
      <c r="FID510" s="332"/>
      <c r="FIE510" s="332"/>
      <c r="FIF510" s="332"/>
      <c r="FIG510" s="332"/>
      <c r="FIH510" s="332"/>
      <c r="FII510" s="332"/>
      <c r="FIJ510" s="332"/>
      <c r="FIK510" s="332"/>
      <c r="FIL510" s="332"/>
      <c r="FIM510" s="332"/>
      <c r="FIN510" s="332"/>
      <c r="FIO510" s="332"/>
      <c r="FIP510" s="332"/>
      <c r="FIQ510" s="332"/>
      <c r="FIR510" s="332"/>
      <c r="FIS510" s="332"/>
      <c r="FIT510" s="332"/>
      <c r="FIU510" s="332"/>
      <c r="FIV510" s="332"/>
      <c r="FIW510" s="332"/>
      <c r="FIX510" s="332"/>
      <c r="FIY510" s="332"/>
      <c r="FIZ510" s="332"/>
      <c r="FJA510" s="332"/>
      <c r="FJB510" s="332"/>
      <c r="FJC510" s="332"/>
      <c r="FJD510" s="332"/>
      <c r="FJE510" s="332"/>
      <c r="FJF510" s="332"/>
      <c r="FJG510" s="332"/>
      <c r="FJH510" s="332"/>
      <c r="FJI510" s="332"/>
      <c r="FJJ510" s="332"/>
      <c r="FJK510" s="332"/>
      <c r="FJL510" s="332"/>
      <c r="FJM510" s="332"/>
      <c r="FJN510" s="332"/>
      <c r="FJO510" s="332"/>
      <c r="FJP510" s="332"/>
      <c r="FJQ510" s="332"/>
      <c r="FJR510" s="332"/>
      <c r="FJS510" s="332"/>
      <c r="FJT510" s="332"/>
      <c r="FJU510" s="332"/>
      <c r="FJV510" s="332"/>
      <c r="FJW510" s="332"/>
      <c r="FJX510" s="332"/>
      <c r="FJY510" s="332"/>
      <c r="FJZ510" s="332"/>
      <c r="FKA510" s="332"/>
      <c r="FKB510" s="332"/>
      <c r="FKC510" s="332"/>
      <c r="FKD510" s="332"/>
      <c r="FKE510" s="332"/>
      <c r="FKF510" s="332"/>
      <c r="FKG510" s="332"/>
      <c r="FKH510" s="332"/>
      <c r="FKI510" s="332"/>
      <c r="FKJ510" s="332"/>
      <c r="FKK510" s="332"/>
      <c r="FKL510" s="332"/>
      <c r="FKM510" s="332"/>
      <c r="FKN510" s="332"/>
      <c r="FKO510" s="332"/>
      <c r="FKP510" s="332"/>
      <c r="FKQ510" s="332"/>
      <c r="FKR510" s="332"/>
      <c r="FKS510" s="332"/>
      <c r="FKT510" s="332"/>
      <c r="FKU510" s="332"/>
      <c r="FKV510" s="332"/>
      <c r="FKW510" s="332"/>
      <c r="FKX510" s="332"/>
      <c r="FKY510" s="332"/>
      <c r="FKZ510" s="332"/>
      <c r="FLA510" s="332"/>
      <c r="FLB510" s="332"/>
      <c r="FLC510" s="332"/>
      <c r="FLD510" s="332"/>
      <c r="FLE510" s="332"/>
      <c r="FLF510" s="332"/>
      <c r="FLG510" s="332"/>
      <c r="FLH510" s="332"/>
      <c r="FLI510" s="332"/>
      <c r="FLJ510" s="332"/>
      <c r="FLK510" s="332"/>
      <c r="FLL510" s="332"/>
      <c r="FLM510" s="332"/>
      <c r="FLN510" s="332"/>
      <c r="FLO510" s="332"/>
      <c r="FLP510" s="332"/>
      <c r="FLQ510" s="332"/>
      <c r="FLR510" s="332"/>
      <c r="FLS510" s="332"/>
      <c r="FLT510" s="332"/>
      <c r="FLU510" s="332"/>
      <c r="FLV510" s="332"/>
      <c r="FLW510" s="332"/>
      <c r="FLX510" s="332"/>
      <c r="FLY510" s="332"/>
      <c r="FLZ510" s="332"/>
      <c r="FMA510" s="332"/>
      <c r="FMB510" s="332"/>
      <c r="FMC510" s="332"/>
      <c r="FMD510" s="332"/>
      <c r="FME510" s="332"/>
      <c r="FMF510" s="332"/>
      <c r="FMG510" s="332"/>
      <c r="FMH510" s="332"/>
      <c r="FMI510" s="332"/>
      <c r="FMJ510" s="332"/>
      <c r="FMK510" s="332"/>
      <c r="FML510" s="332"/>
      <c r="FMM510" s="332"/>
      <c r="FMN510" s="332"/>
      <c r="FMO510" s="332"/>
      <c r="FMP510" s="332"/>
      <c r="FMQ510" s="332"/>
      <c r="FMR510" s="332"/>
      <c r="FMS510" s="332"/>
      <c r="FMT510" s="332"/>
      <c r="FMU510" s="332"/>
      <c r="FMV510" s="332"/>
      <c r="FMW510" s="332"/>
      <c r="FMX510" s="332"/>
      <c r="FMY510" s="332"/>
      <c r="FMZ510" s="332"/>
      <c r="FNA510" s="332"/>
      <c r="FNB510" s="332"/>
      <c r="FNC510" s="332"/>
      <c r="FND510" s="332"/>
      <c r="FNE510" s="332"/>
      <c r="FNF510" s="332"/>
      <c r="FNG510" s="332"/>
      <c r="FNH510" s="332"/>
      <c r="FNI510" s="332"/>
      <c r="FNJ510" s="332"/>
      <c r="FNK510" s="332"/>
      <c r="FNL510" s="332"/>
      <c r="FNM510" s="332"/>
      <c r="FNN510" s="332"/>
      <c r="FNO510" s="332"/>
      <c r="FNP510" s="332"/>
      <c r="FNQ510" s="332"/>
      <c r="FNR510" s="332"/>
      <c r="FNS510" s="332"/>
      <c r="FNT510" s="332"/>
      <c r="FNU510" s="332"/>
      <c r="FNV510" s="332"/>
      <c r="FNW510" s="332"/>
      <c r="FNX510" s="332"/>
      <c r="FNY510" s="332"/>
      <c r="FNZ510" s="332"/>
      <c r="FOA510" s="332"/>
      <c r="FOB510" s="332"/>
      <c r="FOC510" s="332"/>
      <c r="FOD510" s="332"/>
      <c r="FOE510" s="332"/>
      <c r="FOF510" s="332"/>
      <c r="FOG510" s="332"/>
      <c r="FOH510" s="332"/>
      <c r="FOI510" s="332"/>
      <c r="FOJ510" s="332"/>
      <c r="FOK510" s="332"/>
      <c r="FOL510" s="332"/>
      <c r="FOM510" s="332"/>
      <c r="FON510" s="332"/>
      <c r="FOO510" s="332"/>
      <c r="FOP510" s="332"/>
      <c r="FOQ510" s="332"/>
      <c r="FOR510" s="332"/>
      <c r="FOS510" s="332"/>
      <c r="FOT510" s="332"/>
      <c r="FOU510" s="332"/>
      <c r="FOV510" s="332"/>
      <c r="FOW510" s="332"/>
      <c r="FOX510" s="332"/>
      <c r="FOY510" s="332"/>
      <c r="FOZ510" s="332"/>
      <c r="FPA510" s="332"/>
      <c r="FPB510" s="332"/>
      <c r="FPC510" s="332"/>
      <c r="FPD510" s="332"/>
      <c r="FPE510" s="332"/>
      <c r="FPF510" s="332"/>
      <c r="FPG510" s="332"/>
      <c r="FPH510" s="332"/>
      <c r="FPI510" s="332"/>
      <c r="FPJ510" s="332"/>
      <c r="FPK510" s="332"/>
      <c r="FPL510" s="332"/>
      <c r="FPM510" s="332"/>
      <c r="FPN510" s="332"/>
      <c r="FPO510" s="332"/>
      <c r="FPP510" s="332"/>
      <c r="FPQ510" s="332"/>
      <c r="FPR510" s="332"/>
      <c r="FPS510" s="332"/>
      <c r="FPT510" s="332"/>
      <c r="FPU510" s="332"/>
      <c r="FPV510" s="332"/>
      <c r="FPW510" s="332"/>
      <c r="FPX510" s="332"/>
      <c r="FPY510" s="332"/>
      <c r="FPZ510" s="332"/>
      <c r="FQA510" s="332"/>
      <c r="FQB510" s="332"/>
      <c r="FQC510" s="332"/>
      <c r="FQD510" s="332"/>
      <c r="FQE510" s="332"/>
      <c r="FQF510" s="332"/>
      <c r="FQG510" s="332"/>
      <c r="FQH510" s="332"/>
      <c r="FQI510" s="332"/>
      <c r="FQJ510" s="332"/>
      <c r="FQK510" s="332"/>
      <c r="FQL510" s="332"/>
      <c r="FQM510" s="332"/>
      <c r="FQN510" s="332"/>
      <c r="FQO510" s="332"/>
      <c r="FQP510" s="332"/>
      <c r="FQQ510" s="332"/>
      <c r="FQR510" s="332"/>
      <c r="FQS510" s="332"/>
      <c r="FQT510" s="332"/>
      <c r="FQU510" s="332"/>
      <c r="FQV510" s="332"/>
      <c r="FQW510" s="332"/>
      <c r="FQX510" s="332"/>
      <c r="FQY510" s="332"/>
      <c r="FQZ510" s="332"/>
      <c r="FRA510" s="332"/>
      <c r="FRB510" s="332"/>
      <c r="FRC510" s="332"/>
      <c r="FRD510" s="332"/>
      <c r="FRE510" s="332"/>
      <c r="FRF510" s="332"/>
      <c r="FRG510" s="332"/>
      <c r="FRH510" s="332"/>
      <c r="FRI510" s="332"/>
      <c r="FRJ510" s="332"/>
      <c r="FRK510" s="332"/>
      <c r="FRL510" s="332"/>
      <c r="FRM510" s="332"/>
      <c r="FRN510" s="332"/>
      <c r="FRO510" s="332"/>
      <c r="FRP510" s="332"/>
      <c r="FRQ510" s="332"/>
      <c r="FRR510" s="332"/>
      <c r="FRS510" s="332"/>
      <c r="FRT510" s="332"/>
      <c r="FRU510" s="332"/>
      <c r="FRV510" s="332"/>
      <c r="FRW510" s="332"/>
      <c r="FRX510" s="332"/>
      <c r="FRY510" s="332"/>
      <c r="FRZ510" s="332"/>
      <c r="FSA510" s="332"/>
      <c r="FSB510" s="332"/>
      <c r="FSC510" s="332"/>
      <c r="FSD510" s="332"/>
      <c r="FSE510" s="332"/>
      <c r="FSF510" s="332"/>
      <c r="FSG510" s="332"/>
      <c r="FSH510" s="332"/>
      <c r="FSI510" s="332"/>
      <c r="FSJ510" s="332"/>
      <c r="FSK510" s="332"/>
      <c r="FSL510" s="332"/>
      <c r="FSM510" s="332"/>
      <c r="FSN510" s="332"/>
      <c r="FSO510" s="332"/>
      <c r="FSP510" s="332"/>
      <c r="FSQ510" s="332"/>
      <c r="FSR510" s="332"/>
      <c r="FSS510" s="332"/>
      <c r="FST510" s="332"/>
      <c r="FSU510" s="332"/>
      <c r="FSV510" s="332"/>
      <c r="FSW510" s="332"/>
      <c r="FSX510" s="332"/>
      <c r="FSY510" s="332"/>
      <c r="FSZ510" s="332"/>
      <c r="FTA510" s="332"/>
      <c r="FTB510" s="332"/>
      <c r="FTC510" s="332"/>
      <c r="FTD510" s="332"/>
      <c r="FTE510" s="332"/>
      <c r="FTF510" s="332"/>
      <c r="FTG510" s="332"/>
      <c r="FTH510" s="332"/>
      <c r="FTI510" s="332"/>
      <c r="FTJ510" s="332"/>
      <c r="FTK510" s="332"/>
      <c r="FTL510" s="332"/>
      <c r="FTM510" s="332"/>
      <c r="FTN510" s="332"/>
      <c r="FTO510" s="332"/>
      <c r="FTP510" s="332"/>
      <c r="FTQ510" s="332"/>
      <c r="FTR510" s="332"/>
      <c r="FTS510" s="332"/>
      <c r="FTT510" s="332"/>
      <c r="FTU510" s="332"/>
      <c r="FTV510" s="332"/>
      <c r="FTW510" s="332"/>
      <c r="FTX510" s="332"/>
      <c r="FTY510" s="332"/>
      <c r="FTZ510" s="332"/>
      <c r="FUA510" s="332"/>
      <c r="FUB510" s="332"/>
      <c r="FUC510" s="332"/>
      <c r="FUD510" s="332"/>
      <c r="FUE510" s="332"/>
      <c r="FUF510" s="332"/>
      <c r="FUG510" s="332"/>
      <c r="FUH510" s="332"/>
      <c r="FUI510" s="332"/>
      <c r="FUJ510" s="332"/>
      <c r="FUK510" s="332"/>
      <c r="FUL510" s="332"/>
      <c r="FUM510" s="332"/>
      <c r="FUN510" s="332"/>
      <c r="FUO510" s="332"/>
      <c r="FUP510" s="332"/>
      <c r="FUQ510" s="332"/>
      <c r="FUR510" s="332"/>
      <c r="FUS510" s="332"/>
      <c r="FUT510" s="332"/>
      <c r="FUU510" s="332"/>
      <c r="FUV510" s="332"/>
      <c r="FUW510" s="332"/>
      <c r="FUX510" s="332"/>
      <c r="FUY510" s="332"/>
      <c r="FUZ510" s="332"/>
      <c r="FVA510" s="332"/>
      <c r="FVB510" s="332"/>
      <c r="FVC510" s="332"/>
      <c r="FVD510" s="332"/>
      <c r="FVE510" s="332"/>
      <c r="FVF510" s="332"/>
      <c r="FVG510" s="332"/>
      <c r="FVH510" s="332"/>
      <c r="FVI510" s="332"/>
      <c r="FVJ510" s="332"/>
      <c r="FVK510" s="332"/>
      <c r="FVL510" s="332"/>
      <c r="FVM510" s="332"/>
      <c r="FVN510" s="332"/>
      <c r="FVO510" s="332"/>
      <c r="FVP510" s="332"/>
      <c r="FVQ510" s="332"/>
      <c r="FVR510" s="332"/>
      <c r="FVS510" s="332"/>
      <c r="FVT510" s="332"/>
      <c r="FVU510" s="332"/>
      <c r="FVV510" s="332"/>
      <c r="FVW510" s="332"/>
      <c r="FVX510" s="332"/>
      <c r="FVY510" s="332"/>
      <c r="FVZ510" s="332"/>
      <c r="FWA510" s="332"/>
      <c r="FWB510" s="332"/>
      <c r="FWC510" s="332"/>
      <c r="FWD510" s="332"/>
      <c r="FWE510" s="332"/>
      <c r="FWF510" s="332"/>
      <c r="FWG510" s="332"/>
      <c r="FWH510" s="332"/>
      <c r="FWI510" s="332"/>
      <c r="FWJ510" s="332"/>
      <c r="FWK510" s="332"/>
      <c r="FWL510" s="332"/>
      <c r="FWM510" s="332"/>
      <c r="FWN510" s="332"/>
      <c r="FWO510" s="332"/>
      <c r="FWP510" s="332"/>
      <c r="FWQ510" s="332"/>
      <c r="FWR510" s="332"/>
      <c r="FWS510" s="332"/>
      <c r="FWT510" s="332"/>
      <c r="FWU510" s="332"/>
      <c r="FWV510" s="332"/>
      <c r="FWW510" s="332"/>
      <c r="FWX510" s="332"/>
      <c r="FWY510" s="332"/>
      <c r="FWZ510" s="332"/>
      <c r="FXA510" s="332"/>
      <c r="FXB510" s="332"/>
      <c r="FXC510" s="332"/>
      <c r="FXD510" s="332"/>
      <c r="FXE510" s="332"/>
      <c r="FXF510" s="332"/>
      <c r="FXG510" s="332"/>
      <c r="FXH510" s="332"/>
      <c r="FXI510" s="332"/>
      <c r="FXJ510" s="332"/>
      <c r="FXK510" s="332"/>
      <c r="FXL510" s="332"/>
      <c r="FXM510" s="332"/>
      <c r="FXN510" s="332"/>
      <c r="FXO510" s="332"/>
      <c r="FXP510" s="332"/>
      <c r="FXQ510" s="332"/>
      <c r="FXR510" s="332"/>
      <c r="FXS510" s="332"/>
      <c r="FXT510" s="332"/>
      <c r="FXU510" s="332"/>
      <c r="FXV510" s="332"/>
      <c r="FXW510" s="332"/>
      <c r="FXX510" s="332"/>
      <c r="FXY510" s="332"/>
      <c r="FXZ510" s="332"/>
      <c r="FYA510" s="332"/>
      <c r="FYB510" s="332"/>
      <c r="FYC510" s="332"/>
      <c r="FYD510" s="332"/>
      <c r="FYE510" s="332"/>
      <c r="FYF510" s="332"/>
      <c r="FYG510" s="332"/>
      <c r="FYH510" s="332"/>
      <c r="FYI510" s="332"/>
      <c r="FYJ510" s="332"/>
      <c r="FYK510" s="332"/>
      <c r="FYL510" s="332"/>
      <c r="FYM510" s="332"/>
      <c r="FYN510" s="332"/>
      <c r="FYO510" s="332"/>
      <c r="FYP510" s="332"/>
      <c r="FYQ510" s="332"/>
      <c r="FYR510" s="332"/>
      <c r="FYS510" s="332"/>
      <c r="FYT510" s="332"/>
      <c r="FYU510" s="332"/>
      <c r="FYV510" s="332"/>
      <c r="FYW510" s="332"/>
      <c r="FYX510" s="332"/>
      <c r="FYY510" s="332"/>
      <c r="FYZ510" s="332"/>
      <c r="FZA510" s="332"/>
      <c r="FZB510" s="332"/>
      <c r="FZC510" s="332"/>
      <c r="FZD510" s="332"/>
      <c r="FZE510" s="332"/>
      <c r="FZF510" s="332"/>
      <c r="FZG510" s="332"/>
      <c r="FZH510" s="332"/>
      <c r="FZI510" s="332"/>
      <c r="FZJ510" s="332"/>
      <c r="FZK510" s="332"/>
      <c r="FZL510" s="332"/>
      <c r="FZM510" s="332"/>
      <c r="FZN510" s="332"/>
      <c r="FZO510" s="332"/>
      <c r="FZP510" s="332"/>
      <c r="FZQ510" s="332"/>
      <c r="FZR510" s="332"/>
      <c r="FZS510" s="332"/>
      <c r="FZT510" s="332"/>
      <c r="FZU510" s="332"/>
      <c r="FZV510" s="332"/>
      <c r="FZW510" s="332"/>
      <c r="FZX510" s="332"/>
      <c r="FZY510" s="332"/>
      <c r="FZZ510" s="332"/>
      <c r="GAA510" s="332"/>
      <c r="GAB510" s="332"/>
      <c r="GAC510" s="332"/>
      <c r="GAD510" s="332"/>
      <c r="GAE510" s="332"/>
      <c r="GAF510" s="332"/>
      <c r="GAG510" s="332"/>
      <c r="GAH510" s="332"/>
      <c r="GAI510" s="332"/>
      <c r="GAJ510" s="332"/>
      <c r="GAK510" s="332"/>
      <c r="GAL510" s="332"/>
      <c r="GAM510" s="332"/>
      <c r="GAN510" s="332"/>
      <c r="GAO510" s="332"/>
      <c r="GAP510" s="332"/>
      <c r="GAQ510" s="332"/>
      <c r="GAR510" s="332"/>
      <c r="GAS510" s="332"/>
      <c r="GAT510" s="332"/>
      <c r="GAU510" s="332"/>
      <c r="GAV510" s="332"/>
      <c r="GAW510" s="332"/>
      <c r="GAX510" s="332"/>
      <c r="GAY510" s="332"/>
      <c r="GAZ510" s="332"/>
      <c r="GBA510" s="332"/>
      <c r="GBB510" s="332"/>
      <c r="GBC510" s="332"/>
      <c r="GBD510" s="332"/>
      <c r="GBE510" s="332"/>
      <c r="GBF510" s="332"/>
      <c r="GBG510" s="332"/>
      <c r="GBH510" s="332"/>
      <c r="GBI510" s="332"/>
      <c r="GBJ510" s="332"/>
      <c r="GBK510" s="332"/>
      <c r="GBL510" s="332"/>
      <c r="GBM510" s="332"/>
      <c r="GBN510" s="332"/>
      <c r="GBO510" s="332"/>
      <c r="GBP510" s="332"/>
      <c r="GBQ510" s="332"/>
      <c r="GBR510" s="332"/>
      <c r="GBS510" s="332"/>
      <c r="GBT510" s="332"/>
      <c r="GBU510" s="332"/>
      <c r="GBV510" s="332"/>
      <c r="GBW510" s="332"/>
      <c r="GBX510" s="332"/>
      <c r="GBY510" s="332"/>
      <c r="GBZ510" s="332"/>
      <c r="GCA510" s="332"/>
      <c r="GCB510" s="332"/>
      <c r="GCC510" s="332"/>
      <c r="GCD510" s="332"/>
      <c r="GCE510" s="332"/>
      <c r="GCF510" s="332"/>
      <c r="GCG510" s="332"/>
      <c r="GCH510" s="332"/>
      <c r="GCI510" s="332"/>
      <c r="GCJ510" s="332"/>
      <c r="GCK510" s="332"/>
      <c r="GCL510" s="332"/>
      <c r="GCM510" s="332"/>
      <c r="GCN510" s="332"/>
      <c r="GCO510" s="332"/>
      <c r="GCP510" s="332"/>
      <c r="GCQ510" s="332"/>
      <c r="GCR510" s="332"/>
      <c r="GCS510" s="332"/>
      <c r="GCT510" s="332"/>
      <c r="GCU510" s="332"/>
      <c r="GCV510" s="332"/>
      <c r="GCW510" s="332"/>
      <c r="GCX510" s="332"/>
      <c r="GCY510" s="332"/>
      <c r="GCZ510" s="332"/>
      <c r="GDA510" s="332"/>
      <c r="GDB510" s="332"/>
      <c r="GDC510" s="332"/>
      <c r="GDD510" s="332"/>
      <c r="GDE510" s="332"/>
      <c r="GDF510" s="332"/>
      <c r="GDG510" s="332"/>
      <c r="GDH510" s="332"/>
      <c r="GDI510" s="332"/>
      <c r="GDJ510" s="332"/>
      <c r="GDK510" s="332"/>
      <c r="GDL510" s="332"/>
      <c r="GDM510" s="332"/>
      <c r="GDN510" s="332"/>
      <c r="GDO510" s="332"/>
      <c r="GDP510" s="332"/>
      <c r="GDQ510" s="332"/>
      <c r="GDR510" s="332"/>
      <c r="GDS510" s="332"/>
      <c r="GDT510" s="332"/>
      <c r="GDU510" s="332"/>
      <c r="GDV510" s="332"/>
      <c r="GDW510" s="332"/>
      <c r="GDX510" s="332"/>
      <c r="GDY510" s="332"/>
      <c r="GDZ510" s="332"/>
      <c r="GEA510" s="332"/>
      <c r="GEB510" s="332"/>
      <c r="GEC510" s="332"/>
      <c r="GED510" s="332"/>
      <c r="GEE510" s="332"/>
      <c r="GEF510" s="332"/>
      <c r="GEG510" s="332"/>
      <c r="GEH510" s="332"/>
      <c r="GEI510" s="332"/>
      <c r="GEJ510" s="332"/>
      <c r="GEK510" s="332"/>
      <c r="GEL510" s="332"/>
      <c r="GEM510" s="332"/>
      <c r="GEN510" s="332"/>
      <c r="GEO510" s="332"/>
      <c r="GEP510" s="332"/>
      <c r="GEQ510" s="332"/>
      <c r="GER510" s="332"/>
      <c r="GES510" s="332"/>
      <c r="GET510" s="332"/>
      <c r="GEU510" s="332"/>
      <c r="GEV510" s="332"/>
      <c r="GEW510" s="332"/>
      <c r="GEX510" s="332"/>
      <c r="GEY510" s="332"/>
      <c r="GEZ510" s="332"/>
      <c r="GFA510" s="332"/>
      <c r="GFB510" s="332"/>
      <c r="GFC510" s="332"/>
      <c r="GFD510" s="332"/>
      <c r="GFE510" s="332"/>
      <c r="GFF510" s="332"/>
      <c r="GFG510" s="332"/>
      <c r="GFH510" s="332"/>
      <c r="GFI510" s="332"/>
      <c r="GFJ510" s="332"/>
      <c r="GFK510" s="332"/>
      <c r="GFL510" s="332"/>
      <c r="GFM510" s="332"/>
      <c r="GFN510" s="332"/>
      <c r="GFO510" s="332"/>
      <c r="GFP510" s="332"/>
      <c r="GFQ510" s="332"/>
      <c r="GFR510" s="332"/>
      <c r="GFS510" s="332"/>
      <c r="GFT510" s="332"/>
      <c r="GFU510" s="332"/>
      <c r="GFV510" s="332"/>
      <c r="GFW510" s="332"/>
      <c r="GFX510" s="332"/>
      <c r="GFY510" s="332"/>
      <c r="GFZ510" s="332"/>
      <c r="GGA510" s="332"/>
      <c r="GGB510" s="332"/>
      <c r="GGC510" s="332"/>
      <c r="GGD510" s="332"/>
      <c r="GGE510" s="332"/>
      <c r="GGF510" s="332"/>
      <c r="GGG510" s="332"/>
      <c r="GGH510" s="332"/>
      <c r="GGI510" s="332"/>
      <c r="GGJ510" s="332"/>
      <c r="GGK510" s="332"/>
      <c r="GGL510" s="332"/>
      <c r="GGM510" s="332"/>
      <c r="GGN510" s="332"/>
      <c r="GGO510" s="332"/>
      <c r="GGP510" s="332"/>
      <c r="GGQ510" s="332"/>
      <c r="GGR510" s="332"/>
      <c r="GGS510" s="332"/>
      <c r="GGT510" s="332"/>
      <c r="GGU510" s="332"/>
      <c r="GGV510" s="332"/>
      <c r="GGW510" s="332"/>
      <c r="GGX510" s="332"/>
      <c r="GGY510" s="332"/>
      <c r="GGZ510" s="332"/>
      <c r="GHA510" s="332"/>
      <c r="GHB510" s="332"/>
      <c r="GHC510" s="332"/>
      <c r="GHD510" s="332"/>
      <c r="GHE510" s="332"/>
      <c r="GHF510" s="332"/>
      <c r="GHG510" s="332"/>
      <c r="GHH510" s="332"/>
      <c r="GHI510" s="332"/>
      <c r="GHJ510" s="332"/>
      <c r="GHK510" s="332"/>
      <c r="GHL510" s="332"/>
      <c r="GHM510" s="332"/>
      <c r="GHN510" s="332"/>
      <c r="GHO510" s="332"/>
      <c r="GHP510" s="332"/>
      <c r="GHQ510" s="332"/>
      <c r="GHR510" s="332"/>
      <c r="GHS510" s="332"/>
      <c r="GHT510" s="332"/>
      <c r="GHU510" s="332"/>
      <c r="GHV510" s="332"/>
      <c r="GHW510" s="332"/>
      <c r="GHX510" s="332"/>
      <c r="GHY510" s="332"/>
      <c r="GHZ510" s="332"/>
      <c r="GIA510" s="332"/>
      <c r="GIB510" s="332"/>
      <c r="GIC510" s="332"/>
      <c r="GID510" s="332"/>
      <c r="GIE510" s="332"/>
      <c r="GIF510" s="332"/>
      <c r="GIG510" s="332"/>
      <c r="GIH510" s="332"/>
      <c r="GII510" s="332"/>
      <c r="GIJ510" s="332"/>
      <c r="GIK510" s="332"/>
      <c r="GIL510" s="332"/>
      <c r="GIM510" s="332"/>
      <c r="GIN510" s="332"/>
      <c r="GIO510" s="332"/>
      <c r="GIP510" s="332"/>
      <c r="GIQ510" s="332"/>
      <c r="GIR510" s="332"/>
      <c r="GIS510" s="332"/>
      <c r="GIT510" s="332"/>
      <c r="GIU510" s="332"/>
      <c r="GIV510" s="332"/>
      <c r="GIW510" s="332"/>
      <c r="GIX510" s="332"/>
      <c r="GIY510" s="332"/>
      <c r="GIZ510" s="332"/>
      <c r="GJA510" s="332"/>
      <c r="GJB510" s="332"/>
      <c r="GJC510" s="332"/>
      <c r="GJD510" s="332"/>
      <c r="GJE510" s="332"/>
      <c r="GJF510" s="332"/>
      <c r="GJG510" s="332"/>
      <c r="GJH510" s="332"/>
      <c r="GJI510" s="332"/>
      <c r="GJJ510" s="332"/>
      <c r="GJK510" s="332"/>
      <c r="GJL510" s="332"/>
      <c r="GJM510" s="332"/>
      <c r="GJN510" s="332"/>
      <c r="GJO510" s="332"/>
      <c r="GJP510" s="332"/>
      <c r="GJQ510" s="332"/>
      <c r="GJR510" s="332"/>
      <c r="GJS510" s="332"/>
      <c r="GJT510" s="332"/>
      <c r="GJU510" s="332"/>
      <c r="GJV510" s="332"/>
      <c r="GJW510" s="332"/>
      <c r="GJX510" s="332"/>
      <c r="GJY510" s="332"/>
      <c r="GJZ510" s="332"/>
      <c r="GKA510" s="332"/>
      <c r="GKB510" s="332"/>
      <c r="GKC510" s="332"/>
      <c r="GKD510" s="332"/>
      <c r="GKE510" s="332"/>
      <c r="GKF510" s="332"/>
      <c r="GKG510" s="332"/>
      <c r="GKH510" s="332"/>
      <c r="GKI510" s="332"/>
      <c r="GKJ510" s="332"/>
      <c r="GKK510" s="332"/>
      <c r="GKL510" s="332"/>
      <c r="GKM510" s="332"/>
      <c r="GKN510" s="332"/>
      <c r="GKO510" s="332"/>
      <c r="GKP510" s="332"/>
      <c r="GKQ510" s="332"/>
      <c r="GKR510" s="332"/>
      <c r="GKS510" s="332"/>
      <c r="GKT510" s="332"/>
      <c r="GKU510" s="332"/>
      <c r="GKV510" s="332"/>
      <c r="GKW510" s="332"/>
      <c r="GKX510" s="332"/>
      <c r="GKY510" s="332"/>
      <c r="GKZ510" s="332"/>
      <c r="GLA510" s="332"/>
      <c r="GLB510" s="332"/>
      <c r="GLC510" s="332"/>
      <c r="GLD510" s="332"/>
      <c r="GLE510" s="332"/>
      <c r="GLF510" s="332"/>
      <c r="GLG510" s="332"/>
      <c r="GLH510" s="332"/>
      <c r="GLI510" s="332"/>
      <c r="GLJ510" s="332"/>
      <c r="GLK510" s="332"/>
      <c r="GLL510" s="332"/>
      <c r="GLM510" s="332"/>
      <c r="GLN510" s="332"/>
      <c r="GLO510" s="332"/>
      <c r="GLP510" s="332"/>
      <c r="GLQ510" s="332"/>
      <c r="GLR510" s="332"/>
      <c r="GLS510" s="332"/>
      <c r="GLT510" s="332"/>
      <c r="GLU510" s="332"/>
      <c r="GLV510" s="332"/>
      <c r="GLW510" s="332"/>
      <c r="GLX510" s="332"/>
      <c r="GLY510" s="332"/>
      <c r="GLZ510" s="332"/>
      <c r="GMA510" s="332"/>
      <c r="GMB510" s="332"/>
      <c r="GMC510" s="332"/>
      <c r="GMD510" s="332"/>
      <c r="GME510" s="332"/>
      <c r="GMF510" s="332"/>
      <c r="GMG510" s="332"/>
      <c r="GMH510" s="332"/>
      <c r="GMI510" s="332"/>
      <c r="GMJ510" s="332"/>
      <c r="GMK510" s="332"/>
      <c r="GML510" s="332"/>
      <c r="GMM510" s="332"/>
      <c r="GMN510" s="332"/>
      <c r="GMO510" s="332"/>
      <c r="GMP510" s="332"/>
      <c r="GMQ510" s="332"/>
      <c r="GMR510" s="332"/>
      <c r="GMS510" s="332"/>
      <c r="GMT510" s="332"/>
      <c r="GMU510" s="332"/>
      <c r="GMV510" s="332"/>
      <c r="GMW510" s="332"/>
      <c r="GMX510" s="332"/>
      <c r="GMY510" s="332"/>
      <c r="GMZ510" s="332"/>
      <c r="GNA510" s="332"/>
      <c r="GNB510" s="332"/>
      <c r="GNC510" s="332"/>
      <c r="GND510" s="332"/>
      <c r="GNE510" s="332"/>
      <c r="GNF510" s="332"/>
      <c r="GNG510" s="332"/>
      <c r="GNH510" s="332"/>
      <c r="GNI510" s="332"/>
      <c r="GNJ510" s="332"/>
      <c r="GNK510" s="332"/>
      <c r="GNL510" s="332"/>
      <c r="GNM510" s="332"/>
      <c r="GNN510" s="332"/>
      <c r="GNO510" s="332"/>
      <c r="GNP510" s="332"/>
      <c r="GNQ510" s="332"/>
      <c r="GNR510" s="332"/>
      <c r="GNS510" s="332"/>
      <c r="GNT510" s="332"/>
      <c r="GNU510" s="332"/>
      <c r="GNV510" s="332"/>
      <c r="GNW510" s="332"/>
      <c r="GNX510" s="332"/>
      <c r="GNY510" s="332"/>
      <c r="GNZ510" s="332"/>
      <c r="GOA510" s="332"/>
      <c r="GOB510" s="332"/>
      <c r="GOC510" s="332"/>
      <c r="GOD510" s="332"/>
      <c r="GOE510" s="332"/>
      <c r="GOF510" s="332"/>
      <c r="GOG510" s="332"/>
      <c r="GOH510" s="332"/>
      <c r="GOI510" s="332"/>
      <c r="GOJ510" s="332"/>
      <c r="GOK510" s="332"/>
      <c r="GOL510" s="332"/>
      <c r="GOM510" s="332"/>
      <c r="GON510" s="332"/>
      <c r="GOO510" s="332"/>
      <c r="GOP510" s="332"/>
      <c r="GOQ510" s="332"/>
      <c r="GOR510" s="332"/>
      <c r="GOS510" s="332"/>
      <c r="GOT510" s="332"/>
      <c r="GOU510" s="332"/>
      <c r="GOV510" s="332"/>
      <c r="GOW510" s="332"/>
      <c r="GOX510" s="332"/>
      <c r="GOY510" s="332"/>
      <c r="GOZ510" s="332"/>
      <c r="GPA510" s="332"/>
      <c r="GPB510" s="332"/>
      <c r="GPC510" s="332"/>
      <c r="GPD510" s="332"/>
      <c r="GPE510" s="332"/>
      <c r="GPF510" s="332"/>
      <c r="GPG510" s="332"/>
      <c r="GPH510" s="332"/>
      <c r="GPI510" s="332"/>
      <c r="GPJ510" s="332"/>
      <c r="GPK510" s="332"/>
      <c r="GPL510" s="332"/>
      <c r="GPM510" s="332"/>
      <c r="GPN510" s="332"/>
      <c r="GPO510" s="332"/>
      <c r="GPP510" s="332"/>
      <c r="GPQ510" s="332"/>
      <c r="GPR510" s="332"/>
      <c r="GPS510" s="332"/>
      <c r="GPT510" s="332"/>
      <c r="GPU510" s="332"/>
      <c r="GPV510" s="332"/>
      <c r="GPW510" s="332"/>
      <c r="GPX510" s="332"/>
      <c r="GPY510" s="332"/>
      <c r="GPZ510" s="332"/>
      <c r="GQA510" s="332"/>
      <c r="GQB510" s="332"/>
      <c r="GQC510" s="332"/>
      <c r="GQD510" s="332"/>
      <c r="GQE510" s="332"/>
      <c r="GQF510" s="332"/>
      <c r="GQG510" s="332"/>
      <c r="GQH510" s="332"/>
      <c r="GQI510" s="332"/>
      <c r="GQJ510" s="332"/>
      <c r="GQK510" s="332"/>
      <c r="GQL510" s="332"/>
      <c r="GQM510" s="332"/>
      <c r="GQN510" s="332"/>
      <c r="GQO510" s="332"/>
      <c r="GQP510" s="332"/>
      <c r="GQQ510" s="332"/>
      <c r="GQR510" s="332"/>
      <c r="GQS510" s="332"/>
      <c r="GQT510" s="332"/>
      <c r="GQU510" s="332"/>
      <c r="GQV510" s="332"/>
      <c r="GQW510" s="332"/>
      <c r="GQX510" s="332"/>
      <c r="GQY510" s="332"/>
      <c r="GQZ510" s="332"/>
      <c r="GRA510" s="332"/>
      <c r="GRB510" s="332"/>
      <c r="GRC510" s="332"/>
      <c r="GRD510" s="332"/>
      <c r="GRE510" s="332"/>
      <c r="GRF510" s="332"/>
      <c r="GRG510" s="332"/>
      <c r="GRH510" s="332"/>
      <c r="GRI510" s="332"/>
      <c r="GRJ510" s="332"/>
      <c r="GRK510" s="332"/>
      <c r="GRL510" s="332"/>
      <c r="GRM510" s="332"/>
      <c r="GRN510" s="332"/>
      <c r="GRO510" s="332"/>
      <c r="GRP510" s="332"/>
      <c r="GRQ510" s="332"/>
      <c r="GRR510" s="332"/>
      <c r="GRS510" s="332"/>
      <c r="GRT510" s="332"/>
      <c r="GRU510" s="332"/>
      <c r="GRV510" s="332"/>
      <c r="GRW510" s="332"/>
      <c r="GRX510" s="332"/>
      <c r="GRY510" s="332"/>
      <c r="GRZ510" s="332"/>
      <c r="GSA510" s="332"/>
      <c r="GSB510" s="332"/>
      <c r="GSC510" s="332"/>
      <c r="GSD510" s="332"/>
      <c r="GSE510" s="332"/>
      <c r="GSF510" s="332"/>
      <c r="GSG510" s="332"/>
      <c r="GSH510" s="332"/>
      <c r="GSI510" s="332"/>
      <c r="GSJ510" s="332"/>
      <c r="GSK510" s="332"/>
      <c r="GSL510" s="332"/>
      <c r="GSM510" s="332"/>
      <c r="GSN510" s="332"/>
      <c r="GSO510" s="332"/>
      <c r="GSP510" s="332"/>
      <c r="GSQ510" s="332"/>
      <c r="GSR510" s="332"/>
      <c r="GSS510" s="332"/>
      <c r="GST510" s="332"/>
      <c r="GSU510" s="332"/>
      <c r="GSV510" s="332"/>
      <c r="GSW510" s="332"/>
      <c r="GSX510" s="332"/>
      <c r="GSY510" s="332"/>
      <c r="GSZ510" s="332"/>
      <c r="GTA510" s="332"/>
      <c r="GTB510" s="332"/>
      <c r="GTC510" s="332"/>
      <c r="GTD510" s="332"/>
      <c r="GTE510" s="332"/>
      <c r="GTF510" s="332"/>
      <c r="GTG510" s="332"/>
      <c r="GTH510" s="332"/>
      <c r="GTI510" s="332"/>
      <c r="GTJ510" s="332"/>
      <c r="GTK510" s="332"/>
      <c r="GTL510" s="332"/>
      <c r="GTM510" s="332"/>
      <c r="GTN510" s="332"/>
      <c r="GTO510" s="332"/>
      <c r="GTP510" s="332"/>
      <c r="GTQ510" s="332"/>
      <c r="GTR510" s="332"/>
      <c r="GTS510" s="332"/>
      <c r="GTT510" s="332"/>
      <c r="GTU510" s="332"/>
      <c r="GTV510" s="332"/>
      <c r="GTW510" s="332"/>
      <c r="GTX510" s="332"/>
      <c r="GTY510" s="332"/>
      <c r="GTZ510" s="332"/>
      <c r="GUA510" s="332"/>
      <c r="GUB510" s="332"/>
      <c r="GUC510" s="332"/>
      <c r="GUD510" s="332"/>
      <c r="GUE510" s="332"/>
      <c r="GUF510" s="332"/>
      <c r="GUG510" s="332"/>
      <c r="GUH510" s="332"/>
      <c r="GUI510" s="332"/>
      <c r="GUJ510" s="332"/>
      <c r="GUK510" s="332"/>
      <c r="GUL510" s="332"/>
      <c r="GUM510" s="332"/>
      <c r="GUN510" s="332"/>
      <c r="GUO510" s="332"/>
      <c r="GUP510" s="332"/>
      <c r="GUQ510" s="332"/>
      <c r="GUR510" s="332"/>
      <c r="GUS510" s="332"/>
      <c r="GUT510" s="332"/>
      <c r="GUU510" s="332"/>
      <c r="GUV510" s="332"/>
      <c r="GUW510" s="332"/>
      <c r="GUX510" s="332"/>
      <c r="GUY510" s="332"/>
      <c r="GUZ510" s="332"/>
      <c r="GVA510" s="332"/>
      <c r="GVB510" s="332"/>
      <c r="GVC510" s="332"/>
      <c r="GVD510" s="332"/>
      <c r="GVE510" s="332"/>
      <c r="GVF510" s="332"/>
      <c r="GVG510" s="332"/>
      <c r="GVH510" s="332"/>
      <c r="GVI510" s="332"/>
      <c r="GVJ510" s="332"/>
      <c r="GVK510" s="332"/>
      <c r="GVL510" s="332"/>
      <c r="GVM510" s="332"/>
      <c r="GVN510" s="332"/>
      <c r="GVO510" s="332"/>
      <c r="GVP510" s="332"/>
      <c r="GVQ510" s="332"/>
      <c r="GVR510" s="332"/>
      <c r="GVS510" s="332"/>
      <c r="GVT510" s="332"/>
      <c r="GVU510" s="332"/>
      <c r="GVV510" s="332"/>
      <c r="GVW510" s="332"/>
      <c r="GVX510" s="332"/>
      <c r="GVY510" s="332"/>
      <c r="GVZ510" s="332"/>
      <c r="GWA510" s="332"/>
      <c r="GWB510" s="332"/>
      <c r="GWC510" s="332"/>
      <c r="GWD510" s="332"/>
      <c r="GWE510" s="332"/>
      <c r="GWF510" s="332"/>
      <c r="GWG510" s="332"/>
      <c r="GWH510" s="332"/>
      <c r="GWI510" s="332"/>
      <c r="GWJ510" s="332"/>
      <c r="GWK510" s="332"/>
      <c r="GWL510" s="332"/>
      <c r="GWM510" s="332"/>
      <c r="GWN510" s="332"/>
      <c r="GWO510" s="332"/>
      <c r="GWP510" s="332"/>
      <c r="GWQ510" s="332"/>
      <c r="GWR510" s="332"/>
      <c r="GWS510" s="332"/>
      <c r="GWT510" s="332"/>
      <c r="GWU510" s="332"/>
      <c r="GWV510" s="332"/>
      <c r="GWW510" s="332"/>
      <c r="GWX510" s="332"/>
      <c r="GWY510" s="332"/>
      <c r="GWZ510" s="332"/>
      <c r="GXA510" s="332"/>
      <c r="GXB510" s="332"/>
      <c r="GXC510" s="332"/>
      <c r="GXD510" s="332"/>
      <c r="GXE510" s="332"/>
      <c r="GXF510" s="332"/>
      <c r="GXG510" s="332"/>
      <c r="GXH510" s="332"/>
      <c r="GXI510" s="332"/>
      <c r="GXJ510" s="332"/>
      <c r="GXK510" s="332"/>
      <c r="GXL510" s="332"/>
      <c r="GXM510" s="332"/>
      <c r="GXN510" s="332"/>
      <c r="GXO510" s="332"/>
      <c r="GXP510" s="332"/>
      <c r="GXQ510" s="332"/>
      <c r="GXR510" s="332"/>
      <c r="GXS510" s="332"/>
      <c r="GXT510" s="332"/>
      <c r="GXU510" s="332"/>
      <c r="GXV510" s="332"/>
      <c r="GXW510" s="332"/>
      <c r="GXX510" s="332"/>
      <c r="GXY510" s="332"/>
      <c r="GXZ510" s="332"/>
      <c r="GYA510" s="332"/>
      <c r="GYB510" s="332"/>
      <c r="GYC510" s="332"/>
      <c r="GYD510" s="332"/>
      <c r="GYE510" s="332"/>
      <c r="GYF510" s="332"/>
      <c r="GYG510" s="332"/>
      <c r="GYH510" s="332"/>
      <c r="GYI510" s="332"/>
      <c r="GYJ510" s="332"/>
      <c r="GYK510" s="332"/>
      <c r="GYL510" s="332"/>
      <c r="GYM510" s="332"/>
      <c r="GYN510" s="332"/>
      <c r="GYO510" s="332"/>
      <c r="GYP510" s="332"/>
      <c r="GYQ510" s="332"/>
      <c r="GYR510" s="332"/>
      <c r="GYS510" s="332"/>
      <c r="GYT510" s="332"/>
      <c r="GYU510" s="332"/>
      <c r="GYV510" s="332"/>
      <c r="GYW510" s="332"/>
      <c r="GYX510" s="332"/>
      <c r="GYY510" s="332"/>
      <c r="GYZ510" s="332"/>
      <c r="GZA510" s="332"/>
      <c r="GZB510" s="332"/>
      <c r="GZC510" s="332"/>
      <c r="GZD510" s="332"/>
      <c r="GZE510" s="332"/>
      <c r="GZF510" s="332"/>
      <c r="GZG510" s="332"/>
      <c r="GZH510" s="332"/>
      <c r="GZI510" s="332"/>
      <c r="GZJ510" s="332"/>
      <c r="GZK510" s="332"/>
      <c r="GZL510" s="332"/>
      <c r="GZM510" s="332"/>
      <c r="GZN510" s="332"/>
      <c r="GZO510" s="332"/>
      <c r="GZP510" s="332"/>
      <c r="GZQ510" s="332"/>
      <c r="GZR510" s="332"/>
      <c r="GZS510" s="332"/>
      <c r="GZT510" s="332"/>
      <c r="GZU510" s="332"/>
      <c r="GZV510" s="332"/>
      <c r="GZW510" s="332"/>
      <c r="GZX510" s="332"/>
      <c r="GZY510" s="332"/>
      <c r="GZZ510" s="332"/>
      <c r="HAA510" s="332"/>
      <c r="HAB510" s="332"/>
      <c r="HAC510" s="332"/>
      <c r="HAD510" s="332"/>
      <c r="HAE510" s="332"/>
      <c r="HAF510" s="332"/>
      <c r="HAG510" s="332"/>
      <c r="HAH510" s="332"/>
      <c r="HAI510" s="332"/>
      <c r="HAJ510" s="332"/>
      <c r="HAK510" s="332"/>
      <c r="HAL510" s="332"/>
      <c r="HAM510" s="332"/>
      <c r="HAN510" s="332"/>
      <c r="HAO510" s="332"/>
      <c r="HAP510" s="332"/>
      <c r="HAQ510" s="332"/>
      <c r="HAR510" s="332"/>
      <c r="HAS510" s="332"/>
      <c r="HAT510" s="332"/>
      <c r="HAU510" s="332"/>
      <c r="HAV510" s="332"/>
      <c r="HAW510" s="332"/>
      <c r="HAX510" s="332"/>
      <c r="HAY510" s="332"/>
      <c r="HAZ510" s="332"/>
      <c r="HBA510" s="332"/>
      <c r="HBB510" s="332"/>
      <c r="HBC510" s="332"/>
      <c r="HBD510" s="332"/>
      <c r="HBE510" s="332"/>
      <c r="HBF510" s="332"/>
      <c r="HBG510" s="332"/>
      <c r="HBH510" s="332"/>
      <c r="HBI510" s="332"/>
      <c r="HBJ510" s="332"/>
      <c r="HBK510" s="332"/>
      <c r="HBL510" s="332"/>
      <c r="HBM510" s="332"/>
      <c r="HBN510" s="332"/>
      <c r="HBO510" s="332"/>
      <c r="HBP510" s="332"/>
      <c r="HBQ510" s="332"/>
      <c r="HBR510" s="332"/>
      <c r="HBS510" s="332"/>
      <c r="HBT510" s="332"/>
      <c r="HBU510" s="332"/>
      <c r="HBV510" s="332"/>
      <c r="HBW510" s="332"/>
      <c r="HBX510" s="332"/>
      <c r="HBY510" s="332"/>
      <c r="HBZ510" s="332"/>
      <c r="HCA510" s="332"/>
      <c r="HCB510" s="332"/>
      <c r="HCC510" s="332"/>
      <c r="HCD510" s="332"/>
      <c r="HCE510" s="332"/>
      <c r="HCF510" s="332"/>
      <c r="HCG510" s="332"/>
      <c r="HCH510" s="332"/>
      <c r="HCI510" s="332"/>
      <c r="HCJ510" s="332"/>
      <c r="HCK510" s="332"/>
      <c r="HCL510" s="332"/>
      <c r="HCM510" s="332"/>
      <c r="HCN510" s="332"/>
      <c r="HCO510" s="332"/>
      <c r="HCP510" s="332"/>
      <c r="HCQ510" s="332"/>
      <c r="HCR510" s="332"/>
      <c r="HCS510" s="332"/>
      <c r="HCT510" s="332"/>
      <c r="HCU510" s="332"/>
      <c r="HCV510" s="332"/>
      <c r="HCW510" s="332"/>
      <c r="HCX510" s="332"/>
      <c r="HCY510" s="332"/>
      <c r="HCZ510" s="332"/>
      <c r="HDA510" s="332"/>
      <c r="HDB510" s="332"/>
      <c r="HDC510" s="332"/>
      <c r="HDD510" s="332"/>
      <c r="HDE510" s="332"/>
      <c r="HDF510" s="332"/>
      <c r="HDG510" s="332"/>
      <c r="HDH510" s="332"/>
      <c r="HDI510" s="332"/>
      <c r="HDJ510" s="332"/>
      <c r="HDK510" s="332"/>
      <c r="HDL510" s="332"/>
      <c r="HDM510" s="332"/>
      <c r="HDN510" s="332"/>
      <c r="HDO510" s="332"/>
      <c r="HDP510" s="332"/>
      <c r="HDQ510" s="332"/>
      <c r="HDR510" s="332"/>
      <c r="HDS510" s="332"/>
      <c r="HDT510" s="332"/>
      <c r="HDU510" s="332"/>
      <c r="HDV510" s="332"/>
      <c r="HDW510" s="332"/>
      <c r="HDX510" s="332"/>
      <c r="HDY510" s="332"/>
      <c r="HDZ510" s="332"/>
      <c r="HEA510" s="332"/>
      <c r="HEB510" s="332"/>
      <c r="HEC510" s="332"/>
      <c r="HED510" s="332"/>
      <c r="HEE510" s="332"/>
      <c r="HEF510" s="332"/>
      <c r="HEG510" s="332"/>
      <c r="HEH510" s="332"/>
      <c r="HEI510" s="332"/>
      <c r="HEJ510" s="332"/>
      <c r="HEK510" s="332"/>
      <c r="HEL510" s="332"/>
      <c r="HEM510" s="332"/>
      <c r="HEN510" s="332"/>
      <c r="HEO510" s="332"/>
      <c r="HEP510" s="332"/>
      <c r="HEQ510" s="332"/>
      <c r="HER510" s="332"/>
      <c r="HES510" s="332"/>
      <c r="HET510" s="332"/>
      <c r="HEU510" s="332"/>
      <c r="HEV510" s="332"/>
      <c r="HEW510" s="332"/>
      <c r="HEX510" s="332"/>
      <c r="HEY510" s="332"/>
      <c r="HEZ510" s="332"/>
      <c r="HFA510" s="332"/>
      <c r="HFB510" s="332"/>
      <c r="HFC510" s="332"/>
      <c r="HFD510" s="332"/>
      <c r="HFE510" s="332"/>
      <c r="HFF510" s="332"/>
      <c r="HFG510" s="332"/>
      <c r="HFH510" s="332"/>
      <c r="HFI510" s="332"/>
      <c r="HFJ510" s="332"/>
      <c r="HFK510" s="332"/>
      <c r="HFL510" s="332"/>
      <c r="HFM510" s="332"/>
      <c r="HFN510" s="332"/>
      <c r="HFO510" s="332"/>
      <c r="HFP510" s="332"/>
      <c r="HFQ510" s="332"/>
      <c r="HFR510" s="332"/>
      <c r="HFS510" s="332"/>
      <c r="HFT510" s="332"/>
      <c r="HFU510" s="332"/>
      <c r="HFV510" s="332"/>
      <c r="HFW510" s="332"/>
      <c r="HFX510" s="332"/>
      <c r="HFY510" s="332"/>
      <c r="HFZ510" s="332"/>
      <c r="HGA510" s="332"/>
      <c r="HGB510" s="332"/>
      <c r="HGC510" s="332"/>
      <c r="HGD510" s="332"/>
      <c r="HGE510" s="332"/>
      <c r="HGF510" s="332"/>
      <c r="HGG510" s="332"/>
      <c r="HGH510" s="332"/>
      <c r="HGI510" s="332"/>
      <c r="HGJ510" s="332"/>
      <c r="HGK510" s="332"/>
      <c r="HGL510" s="332"/>
      <c r="HGM510" s="332"/>
      <c r="HGN510" s="332"/>
      <c r="HGO510" s="332"/>
      <c r="HGP510" s="332"/>
      <c r="HGQ510" s="332"/>
      <c r="HGR510" s="332"/>
      <c r="HGS510" s="332"/>
      <c r="HGT510" s="332"/>
      <c r="HGU510" s="332"/>
      <c r="HGV510" s="332"/>
      <c r="HGW510" s="332"/>
      <c r="HGX510" s="332"/>
      <c r="HGY510" s="332"/>
      <c r="HGZ510" s="332"/>
      <c r="HHA510" s="332"/>
      <c r="HHB510" s="332"/>
      <c r="HHC510" s="332"/>
      <c r="HHD510" s="332"/>
      <c r="HHE510" s="332"/>
      <c r="HHF510" s="332"/>
      <c r="HHG510" s="332"/>
      <c r="HHH510" s="332"/>
      <c r="HHI510" s="332"/>
      <c r="HHJ510" s="332"/>
      <c r="HHK510" s="332"/>
      <c r="HHL510" s="332"/>
      <c r="HHM510" s="332"/>
      <c r="HHN510" s="332"/>
      <c r="HHO510" s="332"/>
      <c r="HHP510" s="332"/>
      <c r="HHQ510" s="332"/>
      <c r="HHR510" s="332"/>
      <c r="HHS510" s="332"/>
      <c r="HHT510" s="332"/>
      <c r="HHU510" s="332"/>
      <c r="HHV510" s="332"/>
      <c r="HHW510" s="332"/>
      <c r="HHX510" s="332"/>
      <c r="HHY510" s="332"/>
      <c r="HHZ510" s="332"/>
      <c r="HIA510" s="332"/>
      <c r="HIB510" s="332"/>
      <c r="HIC510" s="332"/>
      <c r="HID510" s="332"/>
      <c r="HIE510" s="332"/>
      <c r="HIF510" s="332"/>
      <c r="HIG510" s="332"/>
      <c r="HIH510" s="332"/>
      <c r="HII510" s="332"/>
      <c r="HIJ510" s="332"/>
      <c r="HIK510" s="332"/>
      <c r="HIL510" s="332"/>
      <c r="HIM510" s="332"/>
      <c r="HIN510" s="332"/>
      <c r="HIO510" s="332"/>
      <c r="HIP510" s="332"/>
      <c r="HIQ510" s="332"/>
      <c r="HIR510" s="332"/>
      <c r="HIS510" s="332"/>
      <c r="HIT510" s="332"/>
      <c r="HIU510" s="332"/>
      <c r="HIV510" s="332"/>
      <c r="HIW510" s="332"/>
      <c r="HIX510" s="332"/>
      <c r="HIY510" s="332"/>
      <c r="HIZ510" s="332"/>
      <c r="HJA510" s="332"/>
      <c r="HJB510" s="332"/>
      <c r="HJC510" s="332"/>
      <c r="HJD510" s="332"/>
      <c r="HJE510" s="332"/>
      <c r="HJF510" s="332"/>
      <c r="HJG510" s="332"/>
      <c r="HJH510" s="332"/>
      <c r="HJI510" s="332"/>
      <c r="HJJ510" s="332"/>
      <c r="HJK510" s="332"/>
      <c r="HJL510" s="332"/>
      <c r="HJM510" s="332"/>
      <c r="HJN510" s="332"/>
      <c r="HJO510" s="332"/>
      <c r="HJP510" s="332"/>
      <c r="HJQ510" s="332"/>
      <c r="HJR510" s="332"/>
      <c r="HJS510" s="332"/>
      <c r="HJT510" s="332"/>
      <c r="HJU510" s="332"/>
      <c r="HJV510" s="332"/>
      <c r="HJW510" s="332"/>
      <c r="HJX510" s="332"/>
      <c r="HJY510" s="332"/>
      <c r="HJZ510" s="332"/>
      <c r="HKA510" s="332"/>
      <c r="HKB510" s="332"/>
      <c r="HKC510" s="332"/>
      <c r="HKD510" s="332"/>
      <c r="HKE510" s="332"/>
      <c r="HKF510" s="332"/>
      <c r="HKG510" s="332"/>
      <c r="HKH510" s="332"/>
      <c r="HKI510" s="332"/>
      <c r="HKJ510" s="332"/>
      <c r="HKK510" s="332"/>
      <c r="HKL510" s="332"/>
      <c r="HKM510" s="332"/>
      <c r="HKN510" s="332"/>
      <c r="HKO510" s="332"/>
      <c r="HKP510" s="332"/>
      <c r="HKQ510" s="332"/>
      <c r="HKR510" s="332"/>
      <c r="HKS510" s="332"/>
      <c r="HKT510" s="332"/>
      <c r="HKU510" s="332"/>
      <c r="HKV510" s="332"/>
      <c r="HKW510" s="332"/>
      <c r="HKX510" s="332"/>
      <c r="HKY510" s="332"/>
      <c r="HKZ510" s="332"/>
      <c r="HLA510" s="332"/>
      <c r="HLB510" s="332"/>
      <c r="HLC510" s="332"/>
      <c r="HLD510" s="332"/>
      <c r="HLE510" s="332"/>
      <c r="HLF510" s="332"/>
      <c r="HLG510" s="332"/>
      <c r="HLH510" s="332"/>
      <c r="HLI510" s="332"/>
      <c r="HLJ510" s="332"/>
      <c r="HLK510" s="332"/>
      <c r="HLL510" s="332"/>
      <c r="HLM510" s="332"/>
      <c r="HLN510" s="332"/>
      <c r="HLO510" s="332"/>
      <c r="HLP510" s="332"/>
      <c r="HLQ510" s="332"/>
      <c r="HLR510" s="332"/>
      <c r="HLS510" s="332"/>
      <c r="HLT510" s="332"/>
      <c r="HLU510" s="332"/>
      <c r="HLV510" s="332"/>
      <c r="HLW510" s="332"/>
      <c r="HLX510" s="332"/>
      <c r="HLY510" s="332"/>
      <c r="HLZ510" s="332"/>
      <c r="HMA510" s="332"/>
      <c r="HMB510" s="332"/>
      <c r="HMC510" s="332"/>
      <c r="HMD510" s="332"/>
      <c r="HME510" s="332"/>
      <c r="HMF510" s="332"/>
      <c r="HMG510" s="332"/>
      <c r="HMH510" s="332"/>
      <c r="HMI510" s="332"/>
      <c r="HMJ510" s="332"/>
      <c r="HMK510" s="332"/>
      <c r="HML510" s="332"/>
      <c r="HMM510" s="332"/>
      <c r="HMN510" s="332"/>
      <c r="HMO510" s="332"/>
      <c r="HMP510" s="332"/>
      <c r="HMQ510" s="332"/>
      <c r="HMR510" s="332"/>
      <c r="HMS510" s="332"/>
      <c r="HMT510" s="332"/>
      <c r="HMU510" s="332"/>
      <c r="HMV510" s="332"/>
      <c r="HMW510" s="332"/>
      <c r="HMX510" s="332"/>
      <c r="HMY510" s="332"/>
      <c r="HMZ510" s="332"/>
      <c r="HNA510" s="332"/>
      <c r="HNB510" s="332"/>
      <c r="HNC510" s="332"/>
      <c r="HND510" s="332"/>
      <c r="HNE510" s="332"/>
      <c r="HNF510" s="332"/>
      <c r="HNG510" s="332"/>
      <c r="HNH510" s="332"/>
      <c r="HNI510" s="332"/>
      <c r="HNJ510" s="332"/>
      <c r="HNK510" s="332"/>
      <c r="HNL510" s="332"/>
      <c r="HNM510" s="332"/>
      <c r="HNN510" s="332"/>
      <c r="HNO510" s="332"/>
      <c r="HNP510" s="332"/>
      <c r="HNQ510" s="332"/>
      <c r="HNR510" s="332"/>
      <c r="HNS510" s="332"/>
      <c r="HNT510" s="332"/>
      <c r="HNU510" s="332"/>
      <c r="HNV510" s="332"/>
      <c r="HNW510" s="332"/>
      <c r="HNX510" s="332"/>
      <c r="HNY510" s="332"/>
      <c r="HNZ510" s="332"/>
      <c r="HOA510" s="332"/>
      <c r="HOB510" s="332"/>
      <c r="HOC510" s="332"/>
      <c r="HOD510" s="332"/>
      <c r="HOE510" s="332"/>
      <c r="HOF510" s="332"/>
      <c r="HOG510" s="332"/>
      <c r="HOH510" s="332"/>
      <c r="HOI510" s="332"/>
      <c r="HOJ510" s="332"/>
      <c r="HOK510" s="332"/>
      <c r="HOL510" s="332"/>
      <c r="HOM510" s="332"/>
      <c r="HON510" s="332"/>
      <c r="HOO510" s="332"/>
      <c r="HOP510" s="332"/>
      <c r="HOQ510" s="332"/>
      <c r="HOR510" s="332"/>
      <c r="HOS510" s="332"/>
      <c r="HOT510" s="332"/>
      <c r="HOU510" s="332"/>
      <c r="HOV510" s="332"/>
      <c r="HOW510" s="332"/>
      <c r="HOX510" s="332"/>
      <c r="HOY510" s="332"/>
      <c r="HOZ510" s="332"/>
      <c r="HPA510" s="332"/>
      <c r="HPB510" s="332"/>
      <c r="HPC510" s="332"/>
      <c r="HPD510" s="332"/>
      <c r="HPE510" s="332"/>
      <c r="HPF510" s="332"/>
      <c r="HPG510" s="332"/>
      <c r="HPH510" s="332"/>
      <c r="HPI510" s="332"/>
      <c r="HPJ510" s="332"/>
      <c r="HPK510" s="332"/>
      <c r="HPL510" s="332"/>
      <c r="HPM510" s="332"/>
      <c r="HPN510" s="332"/>
      <c r="HPO510" s="332"/>
      <c r="HPP510" s="332"/>
      <c r="HPQ510" s="332"/>
      <c r="HPR510" s="332"/>
      <c r="HPS510" s="332"/>
      <c r="HPT510" s="332"/>
      <c r="HPU510" s="332"/>
      <c r="HPV510" s="332"/>
      <c r="HPW510" s="332"/>
      <c r="HPX510" s="332"/>
      <c r="HPY510" s="332"/>
      <c r="HPZ510" s="332"/>
      <c r="HQA510" s="332"/>
      <c r="HQB510" s="332"/>
      <c r="HQC510" s="332"/>
      <c r="HQD510" s="332"/>
      <c r="HQE510" s="332"/>
      <c r="HQF510" s="332"/>
      <c r="HQG510" s="332"/>
      <c r="HQH510" s="332"/>
      <c r="HQI510" s="332"/>
      <c r="HQJ510" s="332"/>
      <c r="HQK510" s="332"/>
      <c r="HQL510" s="332"/>
      <c r="HQM510" s="332"/>
      <c r="HQN510" s="332"/>
      <c r="HQO510" s="332"/>
      <c r="HQP510" s="332"/>
      <c r="HQQ510" s="332"/>
      <c r="HQR510" s="332"/>
      <c r="HQS510" s="332"/>
      <c r="HQT510" s="332"/>
      <c r="HQU510" s="332"/>
      <c r="HQV510" s="332"/>
      <c r="HQW510" s="332"/>
      <c r="HQX510" s="332"/>
      <c r="HQY510" s="332"/>
      <c r="HQZ510" s="332"/>
      <c r="HRA510" s="332"/>
      <c r="HRB510" s="332"/>
      <c r="HRC510" s="332"/>
      <c r="HRD510" s="332"/>
      <c r="HRE510" s="332"/>
      <c r="HRF510" s="332"/>
      <c r="HRG510" s="332"/>
      <c r="HRH510" s="332"/>
      <c r="HRI510" s="332"/>
      <c r="HRJ510" s="332"/>
      <c r="HRK510" s="332"/>
      <c r="HRL510" s="332"/>
      <c r="HRM510" s="332"/>
      <c r="HRN510" s="332"/>
      <c r="HRO510" s="332"/>
      <c r="HRP510" s="332"/>
      <c r="HRQ510" s="332"/>
      <c r="HRR510" s="332"/>
      <c r="HRS510" s="332"/>
      <c r="HRT510" s="332"/>
      <c r="HRU510" s="332"/>
      <c r="HRV510" s="332"/>
      <c r="HRW510" s="332"/>
      <c r="HRX510" s="332"/>
      <c r="HRY510" s="332"/>
      <c r="HRZ510" s="332"/>
      <c r="HSA510" s="332"/>
      <c r="HSB510" s="332"/>
      <c r="HSC510" s="332"/>
      <c r="HSD510" s="332"/>
      <c r="HSE510" s="332"/>
      <c r="HSF510" s="332"/>
      <c r="HSG510" s="332"/>
      <c r="HSH510" s="332"/>
      <c r="HSI510" s="332"/>
      <c r="HSJ510" s="332"/>
      <c r="HSK510" s="332"/>
      <c r="HSL510" s="332"/>
      <c r="HSM510" s="332"/>
      <c r="HSN510" s="332"/>
      <c r="HSO510" s="332"/>
      <c r="HSP510" s="332"/>
      <c r="HSQ510" s="332"/>
      <c r="HSR510" s="332"/>
      <c r="HSS510" s="332"/>
      <c r="HST510" s="332"/>
      <c r="HSU510" s="332"/>
      <c r="HSV510" s="332"/>
      <c r="HSW510" s="332"/>
      <c r="HSX510" s="332"/>
      <c r="HSY510" s="332"/>
      <c r="HSZ510" s="332"/>
      <c r="HTA510" s="332"/>
      <c r="HTB510" s="332"/>
      <c r="HTC510" s="332"/>
      <c r="HTD510" s="332"/>
      <c r="HTE510" s="332"/>
      <c r="HTF510" s="332"/>
      <c r="HTG510" s="332"/>
      <c r="HTH510" s="332"/>
      <c r="HTI510" s="332"/>
      <c r="HTJ510" s="332"/>
      <c r="HTK510" s="332"/>
      <c r="HTL510" s="332"/>
      <c r="HTM510" s="332"/>
      <c r="HTN510" s="332"/>
      <c r="HTO510" s="332"/>
      <c r="HTP510" s="332"/>
      <c r="HTQ510" s="332"/>
      <c r="HTR510" s="332"/>
      <c r="HTS510" s="332"/>
      <c r="HTT510" s="332"/>
      <c r="HTU510" s="332"/>
      <c r="HTV510" s="332"/>
      <c r="HTW510" s="332"/>
      <c r="HTX510" s="332"/>
      <c r="HTY510" s="332"/>
      <c r="HTZ510" s="332"/>
      <c r="HUA510" s="332"/>
      <c r="HUB510" s="332"/>
      <c r="HUC510" s="332"/>
      <c r="HUD510" s="332"/>
      <c r="HUE510" s="332"/>
      <c r="HUF510" s="332"/>
      <c r="HUG510" s="332"/>
      <c r="HUH510" s="332"/>
      <c r="HUI510" s="332"/>
      <c r="HUJ510" s="332"/>
      <c r="HUK510" s="332"/>
      <c r="HUL510" s="332"/>
      <c r="HUM510" s="332"/>
      <c r="HUN510" s="332"/>
      <c r="HUO510" s="332"/>
      <c r="HUP510" s="332"/>
      <c r="HUQ510" s="332"/>
      <c r="HUR510" s="332"/>
      <c r="HUS510" s="332"/>
      <c r="HUT510" s="332"/>
      <c r="HUU510" s="332"/>
      <c r="HUV510" s="332"/>
      <c r="HUW510" s="332"/>
      <c r="HUX510" s="332"/>
      <c r="HUY510" s="332"/>
      <c r="HUZ510" s="332"/>
      <c r="HVA510" s="332"/>
      <c r="HVB510" s="332"/>
      <c r="HVC510" s="332"/>
      <c r="HVD510" s="332"/>
      <c r="HVE510" s="332"/>
      <c r="HVF510" s="332"/>
      <c r="HVG510" s="332"/>
      <c r="HVH510" s="332"/>
      <c r="HVI510" s="332"/>
      <c r="HVJ510" s="332"/>
      <c r="HVK510" s="332"/>
      <c r="HVL510" s="332"/>
      <c r="HVM510" s="332"/>
      <c r="HVN510" s="332"/>
      <c r="HVO510" s="332"/>
      <c r="HVP510" s="332"/>
      <c r="HVQ510" s="332"/>
      <c r="HVR510" s="332"/>
      <c r="HVS510" s="332"/>
      <c r="HVT510" s="332"/>
      <c r="HVU510" s="332"/>
      <c r="HVV510" s="332"/>
      <c r="HVW510" s="332"/>
      <c r="HVX510" s="332"/>
      <c r="HVY510" s="332"/>
      <c r="HVZ510" s="332"/>
      <c r="HWA510" s="332"/>
      <c r="HWB510" s="332"/>
      <c r="HWC510" s="332"/>
      <c r="HWD510" s="332"/>
      <c r="HWE510" s="332"/>
      <c r="HWF510" s="332"/>
      <c r="HWG510" s="332"/>
      <c r="HWH510" s="332"/>
      <c r="HWI510" s="332"/>
      <c r="HWJ510" s="332"/>
      <c r="HWK510" s="332"/>
      <c r="HWL510" s="332"/>
      <c r="HWM510" s="332"/>
      <c r="HWN510" s="332"/>
      <c r="HWO510" s="332"/>
      <c r="HWP510" s="332"/>
      <c r="HWQ510" s="332"/>
      <c r="HWR510" s="332"/>
      <c r="HWS510" s="332"/>
      <c r="HWT510" s="332"/>
      <c r="HWU510" s="332"/>
      <c r="HWV510" s="332"/>
      <c r="HWW510" s="332"/>
      <c r="HWX510" s="332"/>
      <c r="HWY510" s="332"/>
      <c r="HWZ510" s="332"/>
      <c r="HXA510" s="332"/>
      <c r="HXB510" s="332"/>
      <c r="HXC510" s="332"/>
      <c r="HXD510" s="332"/>
      <c r="HXE510" s="332"/>
      <c r="HXF510" s="332"/>
      <c r="HXG510" s="332"/>
      <c r="HXH510" s="332"/>
      <c r="HXI510" s="332"/>
      <c r="HXJ510" s="332"/>
      <c r="HXK510" s="332"/>
      <c r="HXL510" s="332"/>
      <c r="HXM510" s="332"/>
      <c r="HXN510" s="332"/>
      <c r="HXO510" s="332"/>
      <c r="HXP510" s="332"/>
      <c r="HXQ510" s="332"/>
      <c r="HXR510" s="332"/>
      <c r="HXS510" s="332"/>
      <c r="HXT510" s="332"/>
      <c r="HXU510" s="332"/>
      <c r="HXV510" s="332"/>
      <c r="HXW510" s="332"/>
      <c r="HXX510" s="332"/>
      <c r="HXY510" s="332"/>
      <c r="HXZ510" s="332"/>
      <c r="HYA510" s="332"/>
      <c r="HYB510" s="332"/>
      <c r="HYC510" s="332"/>
      <c r="HYD510" s="332"/>
      <c r="HYE510" s="332"/>
      <c r="HYF510" s="332"/>
      <c r="HYG510" s="332"/>
      <c r="HYH510" s="332"/>
      <c r="HYI510" s="332"/>
      <c r="HYJ510" s="332"/>
      <c r="HYK510" s="332"/>
      <c r="HYL510" s="332"/>
      <c r="HYM510" s="332"/>
      <c r="HYN510" s="332"/>
      <c r="HYO510" s="332"/>
      <c r="HYP510" s="332"/>
      <c r="HYQ510" s="332"/>
      <c r="HYR510" s="332"/>
      <c r="HYS510" s="332"/>
      <c r="HYT510" s="332"/>
      <c r="HYU510" s="332"/>
      <c r="HYV510" s="332"/>
      <c r="HYW510" s="332"/>
      <c r="HYX510" s="332"/>
      <c r="HYY510" s="332"/>
      <c r="HYZ510" s="332"/>
      <c r="HZA510" s="332"/>
      <c r="HZB510" s="332"/>
      <c r="HZC510" s="332"/>
      <c r="HZD510" s="332"/>
      <c r="HZE510" s="332"/>
      <c r="HZF510" s="332"/>
      <c r="HZG510" s="332"/>
      <c r="HZH510" s="332"/>
      <c r="HZI510" s="332"/>
      <c r="HZJ510" s="332"/>
      <c r="HZK510" s="332"/>
      <c r="HZL510" s="332"/>
      <c r="HZM510" s="332"/>
      <c r="HZN510" s="332"/>
      <c r="HZO510" s="332"/>
      <c r="HZP510" s="332"/>
      <c r="HZQ510" s="332"/>
      <c r="HZR510" s="332"/>
      <c r="HZS510" s="332"/>
      <c r="HZT510" s="332"/>
      <c r="HZU510" s="332"/>
      <c r="HZV510" s="332"/>
      <c r="HZW510" s="332"/>
      <c r="HZX510" s="332"/>
      <c r="HZY510" s="332"/>
      <c r="HZZ510" s="332"/>
      <c r="IAA510" s="332"/>
      <c r="IAB510" s="332"/>
      <c r="IAC510" s="332"/>
      <c r="IAD510" s="332"/>
      <c r="IAE510" s="332"/>
      <c r="IAF510" s="332"/>
      <c r="IAG510" s="332"/>
      <c r="IAH510" s="332"/>
      <c r="IAI510" s="332"/>
      <c r="IAJ510" s="332"/>
      <c r="IAK510" s="332"/>
      <c r="IAL510" s="332"/>
      <c r="IAM510" s="332"/>
      <c r="IAN510" s="332"/>
      <c r="IAO510" s="332"/>
      <c r="IAP510" s="332"/>
      <c r="IAQ510" s="332"/>
      <c r="IAR510" s="332"/>
      <c r="IAS510" s="332"/>
      <c r="IAT510" s="332"/>
      <c r="IAU510" s="332"/>
      <c r="IAV510" s="332"/>
      <c r="IAW510" s="332"/>
      <c r="IAX510" s="332"/>
      <c r="IAY510" s="332"/>
      <c r="IAZ510" s="332"/>
      <c r="IBA510" s="332"/>
      <c r="IBB510" s="332"/>
      <c r="IBC510" s="332"/>
      <c r="IBD510" s="332"/>
      <c r="IBE510" s="332"/>
      <c r="IBF510" s="332"/>
      <c r="IBG510" s="332"/>
      <c r="IBH510" s="332"/>
      <c r="IBI510" s="332"/>
      <c r="IBJ510" s="332"/>
      <c r="IBK510" s="332"/>
      <c r="IBL510" s="332"/>
      <c r="IBM510" s="332"/>
      <c r="IBN510" s="332"/>
      <c r="IBO510" s="332"/>
      <c r="IBP510" s="332"/>
      <c r="IBQ510" s="332"/>
      <c r="IBR510" s="332"/>
      <c r="IBS510" s="332"/>
      <c r="IBT510" s="332"/>
      <c r="IBU510" s="332"/>
      <c r="IBV510" s="332"/>
      <c r="IBW510" s="332"/>
      <c r="IBX510" s="332"/>
      <c r="IBY510" s="332"/>
      <c r="IBZ510" s="332"/>
      <c r="ICA510" s="332"/>
      <c r="ICB510" s="332"/>
      <c r="ICC510" s="332"/>
      <c r="ICD510" s="332"/>
      <c r="ICE510" s="332"/>
      <c r="ICF510" s="332"/>
      <c r="ICG510" s="332"/>
      <c r="ICH510" s="332"/>
      <c r="ICI510" s="332"/>
      <c r="ICJ510" s="332"/>
      <c r="ICK510" s="332"/>
      <c r="ICL510" s="332"/>
      <c r="ICM510" s="332"/>
      <c r="ICN510" s="332"/>
      <c r="ICO510" s="332"/>
      <c r="ICP510" s="332"/>
      <c r="ICQ510" s="332"/>
      <c r="ICR510" s="332"/>
      <c r="ICS510" s="332"/>
      <c r="ICT510" s="332"/>
      <c r="ICU510" s="332"/>
      <c r="ICV510" s="332"/>
      <c r="ICW510" s="332"/>
      <c r="ICX510" s="332"/>
      <c r="ICY510" s="332"/>
      <c r="ICZ510" s="332"/>
      <c r="IDA510" s="332"/>
      <c r="IDB510" s="332"/>
      <c r="IDC510" s="332"/>
      <c r="IDD510" s="332"/>
      <c r="IDE510" s="332"/>
      <c r="IDF510" s="332"/>
      <c r="IDG510" s="332"/>
      <c r="IDH510" s="332"/>
      <c r="IDI510" s="332"/>
      <c r="IDJ510" s="332"/>
      <c r="IDK510" s="332"/>
      <c r="IDL510" s="332"/>
      <c r="IDM510" s="332"/>
      <c r="IDN510" s="332"/>
      <c r="IDO510" s="332"/>
      <c r="IDP510" s="332"/>
      <c r="IDQ510" s="332"/>
      <c r="IDR510" s="332"/>
      <c r="IDS510" s="332"/>
      <c r="IDT510" s="332"/>
      <c r="IDU510" s="332"/>
      <c r="IDV510" s="332"/>
      <c r="IDW510" s="332"/>
      <c r="IDX510" s="332"/>
      <c r="IDY510" s="332"/>
      <c r="IDZ510" s="332"/>
      <c r="IEA510" s="332"/>
      <c r="IEB510" s="332"/>
      <c r="IEC510" s="332"/>
      <c r="IED510" s="332"/>
      <c r="IEE510" s="332"/>
      <c r="IEF510" s="332"/>
      <c r="IEG510" s="332"/>
      <c r="IEH510" s="332"/>
      <c r="IEI510" s="332"/>
      <c r="IEJ510" s="332"/>
      <c r="IEK510" s="332"/>
      <c r="IEL510" s="332"/>
      <c r="IEM510" s="332"/>
      <c r="IEN510" s="332"/>
      <c r="IEO510" s="332"/>
      <c r="IEP510" s="332"/>
      <c r="IEQ510" s="332"/>
      <c r="IER510" s="332"/>
      <c r="IES510" s="332"/>
      <c r="IET510" s="332"/>
      <c r="IEU510" s="332"/>
      <c r="IEV510" s="332"/>
      <c r="IEW510" s="332"/>
      <c r="IEX510" s="332"/>
      <c r="IEY510" s="332"/>
      <c r="IEZ510" s="332"/>
      <c r="IFA510" s="332"/>
      <c r="IFB510" s="332"/>
      <c r="IFC510" s="332"/>
      <c r="IFD510" s="332"/>
      <c r="IFE510" s="332"/>
      <c r="IFF510" s="332"/>
      <c r="IFG510" s="332"/>
      <c r="IFH510" s="332"/>
      <c r="IFI510" s="332"/>
      <c r="IFJ510" s="332"/>
      <c r="IFK510" s="332"/>
      <c r="IFL510" s="332"/>
      <c r="IFM510" s="332"/>
      <c r="IFN510" s="332"/>
      <c r="IFO510" s="332"/>
      <c r="IFP510" s="332"/>
      <c r="IFQ510" s="332"/>
      <c r="IFR510" s="332"/>
      <c r="IFS510" s="332"/>
      <c r="IFT510" s="332"/>
      <c r="IFU510" s="332"/>
      <c r="IFV510" s="332"/>
      <c r="IFW510" s="332"/>
      <c r="IFX510" s="332"/>
      <c r="IFY510" s="332"/>
      <c r="IFZ510" s="332"/>
      <c r="IGA510" s="332"/>
      <c r="IGB510" s="332"/>
      <c r="IGC510" s="332"/>
      <c r="IGD510" s="332"/>
      <c r="IGE510" s="332"/>
      <c r="IGF510" s="332"/>
      <c r="IGG510" s="332"/>
      <c r="IGH510" s="332"/>
      <c r="IGI510" s="332"/>
      <c r="IGJ510" s="332"/>
      <c r="IGK510" s="332"/>
      <c r="IGL510" s="332"/>
      <c r="IGM510" s="332"/>
      <c r="IGN510" s="332"/>
      <c r="IGO510" s="332"/>
      <c r="IGP510" s="332"/>
      <c r="IGQ510" s="332"/>
      <c r="IGR510" s="332"/>
      <c r="IGS510" s="332"/>
      <c r="IGT510" s="332"/>
      <c r="IGU510" s="332"/>
      <c r="IGV510" s="332"/>
      <c r="IGW510" s="332"/>
      <c r="IGX510" s="332"/>
      <c r="IGY510" s="332"/>
      <c r="IGZ510" s="332"/>
      <c r="IHA510" s="332"/>
      <c r="IHB510" s="332"/>
      <c r="IHC510" s="332"/>
      <c r="IHD510" s="332"/>
      <c r="IHE510" s="332"/>
      <c r="IHF510" s="332"/>
      <c r="IHG510" s="332"/>
      <c r="IHH510" s="332"/>
      <c r="IHI510" s="332"/>
      <c r="IHJ510" s="332"/>
      <c r="IHK510" s="332"/>
      <c r="IHL510" s="332"/>
      <c r="IHM510" s="332"/>
      <c r="IHN510" s="332"/>
      <c r="IHO510" s="332"/>
      <c r="IHP510" s="332"/>
      <c r="IHQ510" s="332"/>
      <c r="IHR510" s="332"/>
      <c r="IHS510" s="332"/>
      <c r="IHT510" s="332"/>
      <c r="IHU510" s="332"/>
      <c r="IHV510" s="332"/>
      <c r="IHW510" s="332"/>
      <c r="IHX510" s="332"/>
      <c r="IHY510" s="332"/>
      <c r="IHZ510" s="332"/>
      <c r="IIA510" s="332"/>
      <c r="IIB510" s="332"/>
      <c r="IIC510" s="332"/>
      <c r="IID510" s="332"/>
      <c r="IIE510" s="332"/>
      <c r="IIF510" s="332"/>
      <c r="IIG510" s="332"/>
      <c r="IIH510" s="332"/>
      <c r="III510" s="332"/>
      <c r="IIJ510" s="332"/>
      <c r="IIK510" s="332"/>
      <c r="IIL510" s="332"/>
      <c r="IIM510" s="332"/>
      <c r="IIN510" s="332"/>
      <c r="IIO510" s="332"/>
      <c r="IIP510" s="332"/>
      <c r="IIQ510" s="332"/>
      <c r="IIR510" s="332"/>
      <c r="IIS510" s="332"/>
      <c r="IIT510" s="332"/>
      <c r="IIU510" s="332"/>
      <c r="IIV510" s="332"/>
      <c r="IIW510" s="332"/>
      <c r="IIX510" s="332"/>
      <c r="IIY510" s="332"/>
      <c r="IIZ510" s="332"/>
      <c r="IJA510" s="332"/>
      <c r="IJB510" s="332"/>
      <c r="IJC510" s="332"/>
      <c r="IJD510" s="332"/>
      <c r="IJE510" s="332"/>
      <c r="IJF510" s="332"/>
      <c r="IJG510" s="332"/>
      <c r="IJH510" s="332"/>
      <c r="IJI510" s="332"/>
      <c r="IJJ510" s="332"/>
      <c r="IJK510" s="332"/>
      <c r="IJL510" s="332"/>
      <c r="IJM510" s="332"/>
      <c r="IJN510" s="332"/>
      <c r="IJO510" s="332"/>
      <c r="IJP510" s="332"/>
      <c r="IJQ510" s="332"/>
      <c r="IJR510" s="332"/>
      <c r="IJS510" s="332"/>
      <c r="IJT510" s="332"/>
      <c r="IJU510" s="332"/>
      <c r="IJV510" s="332"/>
      <c r="IJW510" s="332"/>
      <c r="IJX510" s="332"/>
      <c r="IJY510" s="332"/>
      <c r="IJZ510" s="332"/>
      <c r="IKA510" s="332"/>
      <c r="IKB510" s="332"/>
      <c r="IKC510" s="332"/>
      <c r="IKD510" s="332"/>
      <c r="IKE510" s="332"/>
      <c r="IKF510" s="332"/>
      <c r="IKG510" s="332"/>
      <c r="IKH510" s="332"/>
      <c r="IKI510" s="332"/>
      <c r="IKJ510" s="332"/>
      <c r="IKK510" s="332"/>
      <c r="IKL510" s="332"/>
      <c r="IKM510" s="332"/>
      <c r="IKN510" s="332"/>
      <c r="IKO510" s="332"/>
      <c r="IKP510" s="332"/>
      <c r="IKQ510" s="332"/>
      <c r="IKR510" s="332"/>
      <c r="IKS510" s="332"/>
      <c r="IKT510" s="332"/>
      <c r="IKU510" s="332"/>
      <c r="IKV510" s="332"/>
      <c r="IKW510" s="332"/>
      <c r="IKX510" s="332"/>
      <c r="IKY510" s="332"/>
      <c r="IKZ510" s="332"/>
      <c r="ILA510" s="332"/>
      <c r="ILB510" s="332"/>
      <c r="ILC510" s="332"/>
      <c r="ILD510" s="332"/>
      <c r="ILE510" s="332"/>
      <c r="ILF510" s="332"/>
      <c r="ILG510" s="332"/>
      <c r="ILH510" s="332"/>
      <c r="ILI510" s="332"/>
      <c r="ILJ510" s="332"/>
      <c r="ILK510" s="332"/>
      <c r="ILL510" s="332"/>
      <c r="ILM510" s="332"/>
      <c r="ILN510" s="332"/>
      <c r="ILO510" s="332"/>
      <c r="ILP510" s="332"/>
      <c r="ILQ510" s="332"/>
      <c r="ILR510" s="332"/>
      <c r="ILS510" s="332"/>
      <c r="ILT510" s="332"/>
      <c r="ILU510" s="332"/>
      <c r="ILV510" s="332"/>
      <c r="ILW510" s="332"/>
      <c r="ILX510" s="332"/>
      <c r="ILY510" s="332"/>
      <c r="ILZ510" s="332"/>
      <c r="IMA510" s="332"/>
      <c r="IMB510" s="332"/>
      <c r="IMC510" s="332"/>
      <c r="IMD510" s="332"/>
      <c r="IME510" s="332"/>
      <c r="IMF510" s="332"/>
      <c r="IMG510" s="332"/>
      <c r="IMH510" s="332"/>
      <c r="IMI510" s="332"/>
      <c r="IMJ510" s="332"/>
      <c r="IMK510" s="332"/>
      <c r="IML510" s="332"/>
      <c r="IMM510" s="332"/>
      <c r="IMN510" s="332"/>
      <c r="IMO510" s="332"/>
      <c r="IMP510" s="332"/>
      <c r="IMQ510" s="332"/>
      <c r="IMR510" s="332"/>
      <c r="IMS510" s="332"/>
      <c r="IMT510" s="332"/>
      <c r="IMU510" s="332"/>
      <c r="IMV510" s="332"/>
      <c r="IMW510" s="332"/>
      <c r="IMX510" s="332"/>
      <c r="IMY510" s="332"/>
      <c r="IMZ510" s="332"/>
      <c r="INA510" s="332"/>
      <c r="INB510" s="332"/>
      <c r="INC510" s="332"/>
      <c r="IND510" s="332"/>
      <c r="INE510" s="332"/>
      <c r="INF510" s="332"/>
      <c r="ING510" s="332"/>
      <c r="INH510" s="332"/>
      <c r="INI510" s="332"/>
      <c r="INJ510" s="332"/>
      <c r="INK510" s="332"/>
      <c r="INL510" s="332"/>
      <c r="INM510" s="332"/>
      <c r="INN510" s="332"/>
      <c r="INO510" s="332"/>
      <c r="INP510" s="332"/>
      <c r="INQ510" s="332"/>
      <c r="INR510" s="332"/>
      <c r="INS510" s="332"/>
      <c r="INT510" s="332"/>
      <c r="INU510" s="332"/>
      <c r="INV510" s="332"/>
      <c r="INW510" s="332"/>
      <c r="INX510" s="332"/>
      <c r="INY510" s="332"/>
      <c r="INZ510" s="332"/>
      <c r="IOA510" s="332"/>
      <c r="IOB510" s="332"/>
      <c r="IOC510" s="332"/>
      <c r="IOD510" s="332"/>
      <c r="IOE510" s="332"/>
      <c r="IOF510" s="332"/>
      <c r="IOG510" s="332"/>
      <c r="IOH510" s="332"/>
      <c r="IOI510" s="332"/>
      <c r="IOJ510" s="332"/>
      <c r="IOK510" s="332"/>
      <c r="IOL510" s="332"/>
      <c r="IOM510" s="332"/>
      <c r="ION510" s="332"/>
      <c r="IOO510" s="332"/>
      <c r="IOP510" s="332"/>
      <c r="IOQ510" s="332"/>
      <c r="IOR510" s="332"/>
      <c r="IOS510" s="332"/>
      <c r="IOT510" s="332"/>
      <c r="IOU510" s="332"/>
      <c r="IOV510" s="332"/>
      <c r="IOW510" s="332"/>
      <c r="IOX510" s="332"/>
      <c r="IOY510" s="332"/>
      <c r="IOZ510" s="332"/>
      <c r="IPA510" s="332"/>
      <c r="IPB510" s="332"/>
      <c r="IPC510" s="332"/>
      <c r="IPD510" s="332"/>
      <c r="IPE510" s="332"/>
      <c r="IPF510" s="332"/>
      <c r="IPG510" s="332"/>
      <c r="IPH510" s="332"/>
      <c r="IPI510" s="332"/>
      <c r="IPJ510" s="332"/>
      <c r="IPK510" s="332"/>
      <c r="IPL510" s="332"/>
      <c r="IPM510" s="332"/>
      <c r="IPN510" s="332"/>
      <c r="IPO510" s="332"/>
      <c r="IPP510" s="332"/>
      <c r="IPQ510" s="332"/>
      <c r="IPR510" s="332"/>
      <c r="IPS510" s="332"/>
      <c r="IPT510" s="332"/>
      <c r="IPU510" s="332"/>
      <c r="IPV510" s="332"/>
      <c r="IPW510" s="332"/>
      <c r="IPX510" s="332"/>
      <c r="IPY510" s="332"/>
      <c r="IPZ510" s="332"/>
      <c r="IQA510" s="332"/>
      <c r="IQB510" s="332"/>
      <c r="IQC510" s="332"/>
      <c r="IQD510" s="332"/>
      <c r="IQE510" s="332"/>
      <c r="IQF510" s="332"/>
      <c r="IQG510" s="332"/>
      <c r="IQH510" s="332"/>
      <c r="IQI510" s="332"/>
      <c r="IQJ510" s="332"/>
      <c r="IQK510" s="332"/>
      <c r="IQL510" s="332"/>
      <c r="IQM510" s="332"/>
      <c r="IQN510" s="332"/>
      <c r="IQO510" s="332"/>
      <c r="IQP510" s="332"/>
      <c r="IQQ510" s="332"/>
      <c r="IQR510" s="332"/>
      <c r="IQS510" s="332"/>
      <c r="IQT510" s="332"/>
      <c r="IQU510" s="332"/>
      <c r="IQV510" s="332"/>
      <c r="IQW510" s="332"/>
      <c r="IQX510" s="332"/>
      <c r="IQY510" s="332"/>
      <c r="IQZ510" s="332"/>
      <c r="IRA510" s="332"/>
      <c r="IRB510" s="332"/>
      <c r="IRC510" s="332"/>
      <c r="IRD510" s="332"/>
      <c r="IRE510" s="332"/>
      <c r="IRF510" s="332"/>
      <c r="IRG510" s="332"/>
      <c r="IRH510" s="332"/>
      <c r="IRI510" s="332"/>
      <c r="IRJ510" s="332"/>
      <c r="IRK510" s="332"/>
      <c r="IRL510" s="332"/>
      <c r="IRM510" s="332"/>
      <c r="IRN510" s="332"/>
      <c r="IRO510" s="332"/>
      <c r="IRP510" s="332"/>
      <c r="IRQ510" s="332"/>
      <c r="IRR510" s="332"/>
      <c r="IRS510" s="332"/>
      <c r="IRT510" s="332"/>
      <c r="IRU510" s="332"/>
      <c r="IRV510" s="332"/>
      <c r="IRW510" s="332"/>
      <c r="IRX510" s="332"/>
      <c r="IRY510" s="332"/>
      <c r="IRZ510" s="332"/>
      <c r="ISA510" s="332"/>
      <c r="ISB510" s="332"/>
      <c r="ISC510" s="332"/>
      <c r="ISD510" s="332"/>
      <c r="ISE510" s="332"/>
      <c r="ISF510" s="332"/>
      <c r="ISG510" s="332"/>
      <c r="ISH510" s="332"/>
      <c r="ISI510" s="332"/>
      <c r="ISJ510" s="332"/>
      <c r="ISK510" s="332"/>
      <c r="ISL510" s="332"/>
      <c r="ISM510" s="332"/>
      <c r="ISN510" s="332"/>
      <c r="ISO510" s="332"/>
      <c r="ISP510" s="332"/>
      <c r="ISQ510" s="332"/>
      <c r="ISR510" s="332"/>
      <c r="ISS510" s="332"/>
      <c r="IST510" s="332"/>
      <c r="ISU510" s="332"/>
      <c r="ISV510" s="332"/>
      <c r="ISW510" s="332"/>
      <c r="ISX510" s="332"/>
      <c r="ISY510" s="332"/>
      <c r="ISZ510" s="332"/>
      <c r="ITA510" s="332"/>
      <c r="ITB510" s="332"/>
      <c r="ITC510" s="332"/>
      <c r="ITD510" s="332"/>
      <c r="ITE510" s="332"/>
      <c r="ITF510" s="332"/>
      <c r="ITG510" s="332"/>
      <c r="ITH510" s="332"/>
      <c r="ITI510" s="332"/>
      <c r="ITJ510" s="332"/>
      <c r="ITK510" s="332"/>
      <c r="ITL510" s="332"/>
      <c r="ITM510" s="332"/>
      <c r="ITN510" s="332"/>
      <c r="ITO510" s="332"/>
      <c r="ITP510" s="332"/>
      <c r="ITQ510" s="332"/>
      <c r="ITR510" s="332"/>
      <c r="ITS510" s="332"/>
      <c r="ITT510" s="332"/>
      <c r="ITU510" s="332"/>
      <c r="ITV510" s="332"/>
      <c r="ITW510" s="332"/>
      <c r="ITX510" s="332"/>
      <c r="ITY510" s="332"/>
      <c r="ITZ510" s="332"/>
      <c r="IUA510" s="332"/>
      <c r="IUB510" s="332"/>
      <c r="IUC510" s="332"/>
      <c r="IUD510" s="332"/>
      <c r="IUE510" s="332"/>
      <c r="IUF510" s="332"/>
      <c r="IUG510" s="332"/>
      <c r="IUH510" s="332"/>
      <c r="IUI510" s="332"/>
      <c r="IUJ510" s="332"/>
      <c r="IUK510" s="332"/>
      <c r="IUL510" s="332"/>
      <c r="IUM510" s="332"/>
      <c r="IUN510" s="332"/>
      <c r="IUO510" s="332"/>
      <c r="IUP510" s="332"/>
      <c r="IUQ510" s="332"/>
      <c r="IUR510" s="332"/>
      <c r="IUS510" s="332"/>
      <c r="IUT510" s="332"/>
      <c r="IUU510" s="332"/>
      <c r="IUV510" s="332"/>
      <c r="IUW510" s="332"/>
      <c r="IUX510" s="332"/>
      <c r="IUY510" s="332"/>
      <c r="IUZ510" s="332"/>
      <c r="IVA510" s="332"/>
      <c r="IVB510" s="332"/>
      <c r="IVC510" s="332"/>
      <c r="IVD510" s="332"/>
      <c r="IVE510" s="332"/>
      <c r="IVF510" s="332"/>
      <c r="IVG510" s="332"/>
      <c r="IVH510" s="332"/>
      <c r="IVI510" s="332"/>
      <c r="IVJ510" s="332"/>
      <c r="IVK510" s="332"/>
      <c r="IVL510" s="332"/>
      <c r="IVM510" s="332"/>
      <c r="IVN510" s="332"/>
      <c r="IVO510" s="332"/>
      <c r="IVP510" s="332"/>
      <c r="IVQ510" s="332"/>
      <c r="IVR510" s="332"/>
      <c r="IVS510" s="332"/>
      <c r="IVT510" s="332"/>
      <c r="IVU510" s="332"/>
      <c r="IVV510" s="332"/>
      <c r="IVW510" s="332"/>
      <c r="IVX510" s="332"/>
      <c r="IVY510" s="332"/>
      <c r="IVZ510" s="332"/>
      <c r="IWA510" s="332"/>
      <c r="IWB510" s="332"/>
      <c r="IWC510" s="332"/>
      <c r="IWD510" s="332"/>
      <c r="IWE510" s="332"/>
      <c r="IWF510" s="332"/>
      <c r="IWG510" s="332"/>
      <c r="IWH510" s="332"/>
      <c r="IWI510" s="332"/>
      <c r="IWJ510" s="332"/>
      <c r="IWK510" s="332"/>
      <c r="IWL510" s="332"/>
      <c r="IWM510" s="332"/>
      <c r="IWN510" s="332"/>
      <c r="IWO510" s="332"/>
      <c r="IWP510" s="332"/>
      <c r="IWQ510" s="332"/>
      <c r="IWR510" s="332"/>
      <c r="IWS510" s="332"/>
      <c r="IWT510" s="332"/>
      <c r="IWU510" s="332"/>
      <c r="IWV510" s="332"/>
      <c r="IWW510" s="332"/>
      <c r="IWX510" s="332"/>
      <c r="IWY510" s="332"/>
      <c r="IWZ510" s="332"/>
      <c r="IXA510" s="332"/>
      <c r="IXB510" s="332"/>
      <c r="IXC510" s="332"/>
      <c r="IXD510" s="332"/>
      <c r="IXE510" s="332"/>
      <c r="IXF510" s="332"/>
      <c r="IXG510" s="332"/>
      <c r="IXH510" s="332"/>
      <c r="IXI510" s="332"/>
      <c r="IXJ510" s="332"/>
      <c r="IXK510" s="332"/>
      <c r="IXL510" s="332"/>
      <c r="IXM510" s="332"/>
      <c r="IXN510" s="332"/>
      <c r="IXO510" s="332"/>
      <c r="IXP510" s="332"/>
      <c r="IXQ510" s="332"/>
      <c r="IXR510" s="332"/>
      <c r="IXS510" s="332"/>
      <c r="IXT510" s="332"/>
      <c r="IXU510" s="332"/>
      <c r="IXV510" s="332"/>
      <c r="IXW510" s="332"/>
      <c r="IXX510" s="332"/>
      <c r="IXY510" s="332"/>
      <c r="IXZ510" s="332"/>
      <c r="IYA510" s="332"/>
      <c r="IYB510" s="332"/>
      <c r="IYC510" s="332"/>
      <c r="IYD510" s="332"/>
      <c r="IYE510" s="332"/>
      <c r="IYF510" s="332"/>
      <c r="IYG510" s="332"/>
      <c r="IYH510" s="332"/>
      <c r="IYI510" s="332"/>
      <c r="IYJ510" s="332"/>
      <c r="IYK510" s="332"/>
      <c r="IYL510" s="332"/>
      <c r="IYM510" s="332"/>
      <c r="IYN510" s="332"/>
      <c r="IYO510" s="332"/>
      <c r="IYP510" s="332"/>
      <c r="IYQ510" s="332"/>
      <c r="IYR510" s="332"/>
      <c r="IYS510" s="332"/>
      <c r="IYT510" s="332"/>
      <c r="IYU510" s="332"/>
      <c r="IYV510" s="332"/>
      <c r="IYW510" s="332"/>
      <c r="IYX510" s="332"/>
      <c r="IYY510" s="332"/>
      <c r="IYZ510" s="332"/>
      <c r="IZA510" s="332"/>
      <c r="IZB510" s="332"/>
      <c r="IZC510" s="332"/>
      <c r="IZD510" s="332"/>
      <c r="IZE510" s="332"/>
      <c r="IZF510" s="332"/>
      <c r="IZG510" s="332"/>
      <c r="IZH510" s="332"/>
      <c r="IZI510" s="332"/>
      <c r="IZJ510" s="332"/>
      <c r="IZK510" s="332"/>
      <c r="IZL510" s="332"/>
      <c r="IZM510" s="332"/>
      <c r="IZN510" s="332"/>
      <c r="IZO510" s="332"/>
      <c r="IZP510" s="332"/>
      <c r="IZQ510" s="332"/>
      <c r="IZR510" s="332"/>
      <c r="IZS510" s="332"/>
      <c r="IZT510" s="332"/>
      <c r="IZU510" s="332"/>
      <c r="IZV510" s="332"/>
      <c r="IZW510" s="332"/>
      <c r="IZX510" s="332"/>
      <c r="IZY510" s="332"/>
      <c r="IZZ510" s="332"/>
      <c r="JAA510" s="332"/>
      <c r="JAB510" s="332"/>
      <c r="JAC510" s="332"/>
      <c r="JAD510" s="332"/>
      <c r="JAE510" s="332"/>
      <c r="JAF510" s="332"/>
      <c r="JAG510" s="332"/>
      <c r="JAH510" s="332"/>
      <c r="JAI510" s="332"/>
      <c r="JAJ510" s="332"/>
      <c r="JAK510" s="332"/>
      <c r="JAL510" s="332"/>
      <c r="JAM510" s="332"/>
      <c r="JAN510" s="332"/>
      <c r="JAO510" s="332"/>
      <c r="JAP510" s="332"/>
      <c r="JAQ510" s="332"/>
      <c r="JAR510" s="332"/>
      <c r="JAS510" s="332"/>
      <c r="JAT510" s="332"/>
      <c r="JAU510" s="332"/>
      <c r="JAV510" s="332"/>
      <c r="JAW510" s="332"/>
      <c r="JAX510" s="332"/>
      <c r="JAY510" s="332"/>
      <c r="JAZ510" s="332"/>
      <c r="JBA510" s="332"/>
      <c r="JBB510" s="332"/>
      <c r="JBC510" s="332"/>
      <c r="JBD510" s="332"/>
      <c r="JBE510" s="332"/>
      <c r="JBF510" s="332"/>
      <c r="JBG510" s="332"/>
      <c r="JBH510" s="332"/>
      <c r="JBI510" s="332"/>
      <c r="JBJ510" s="332"/>
      <c r="JBK510" s="332"/>
      <c r="JBL510" s="332"/>
      <c r="JBM510" s="332"/>
      <c r="JBN510" s="332"/>
      <c r="JBO510" s="332"/>
      <c r="JBP510" s="332"/>
      <c r="JBQ510" s="332"/>
      <c r="JBR510" s="332"/>
      <c r="JBS510" s="332"/>
      <c r="JBT510" s="332"/>
      <c r="JBU510" s="332"/>
      <c r="JBV510" s="332"/>
      <c r="JBW510" s="332"/>
      <c r="JBX510" s="332"/>
      <c r="JBY510" s="332"/>
      <c r="JBZ510" s="332"/>
      <c r="JCA510" s="332"/>
      <c r="JCB510" s="332"/>
      <c r="JCC510" s="332"/>
      <c r="JCD510" s="332"/>
      <c r="JCE510" s="332"/>
      <c r="JCF510" s="332"/>
      <c r="JCG510" s="332"/>
      <c r="JCH510" s="332"/>
      <c r="JCI510" s="332"/>
      <c r="JCJ510" s="332"/>
      <c r="JCK510" s="332"/>
      <c r="JCL510" s="332"/>
      <c r="JCM510" s="332"/>
      <c r="JCN510" s="332"/>
      <c r="JCO510" s="332"/>
      <c r="JCP510" s="332"/>
      <c r="JCQ510" s="332"/>
      <c r="JCR510" s="332"/>
      <c r="JCS510" s="332"/>
      <c r="JCT510" s="332"/>
      <c r="JCU510" s="332"/>
      <c r="JCV510" s="332"/>
      <c r="JCW510" s="332"/>
      <c r="JCX510" s="332"/>
      <c r="JCY510" s="332"/>
      <c r="JCZ510" s="332"/>
      <c r="JDA510" s="332"/>
      <c r="JDB510" s="332"/>
      <c r="JDC510" s="332"/>
      <c r="JDD510" s="332"/>
      <c r="JDE510" s="332"/>
      <c r="JDF510" s="332"/>
      <c r="JDG510" s="332"/>
      <c r="JDH510" s="332"/>
      <c r="JDI510" s="332"/>
      <c r="JDJ510" s="332"/>
      <c r="JDK510" s="332"/>
      <c r="JDL510" s="332"/>
      <c r="JDM510" s="332"/>
      <c r="JDN510" s="332"/>
      <c r="JDO510" s="332"/>
      <c r="JDP510" s="332"/>
      <c r="JDQ510" s="332"/>
      <c r="JDR510" s="332"/>
      <c r="JDS510" s="332"/>
      <c r="JDT510" s="332"/>
      <c r="JDU510" s="332"/>
      <c r="JDV510" s="332"/>
      <c r="JDW510" s="332"/>
      <c r="JDX510" s="332"/>
      <c r="JDY510" s="332"/>
      <c r="JDZ510" s="332"/>
      <c r="JEA510" s="332"/>
      <c r="JEB510" s="332"/>
      <c r="JEC510" s="332"/>
      <c r="JED510" s="332"/>
      <c r="JEE510" s="332"/>
      <c r="JEF510" s="332"/>
      <c r="JEG510" s="332"/>
      <c r="JEH510" s="332"/>
      <c r="JEI510" s="332"/>
      <c r="JEJ510" s="332"/>
      <c r="JEK510" s="332"/>
      <c r="JEL510" s="332"/>
      <c r="JEM510" s="332"/>
      <c r="JEN510" s="332"/>
      <c r="JEO510" s="332"/>
      <c r="JEP510" s="332"/>
      <c r="JEQ510" s="332"/>
      <c r="JER510" s="332"/>
      <c r="JES510" s="332"/>
      <c r="JET510" s="332"/>
      <c r="JEU510" s="332"/>
      <c r="JEV510" s="332"/>
      <c r="JEW510" s="332"/>
      <c r="JEX510" s="332"/>
      <c r="JEY510" s="332"/>
      <c r="JEZ510" s="332"/>
      <c r="JFA510" s="332"/>
      <c r="JFB510" s="332"/>
      <c r="JFC510" s="332"/>
      <c r="JFD510" s="332"/>
      <c r="JFE510" s="332"/>
      <c r="JFF510" s="332"/>
      <c r="JFG510" s="332"/>
      <c r="JFH510" s="332"/>
      <c r="JFI510" s="332"/>
      <c r="JFJ510" s="332"/>
      <c r="JFK510" s="332"/>
      <c r="JFL510" s="332"/>
      <c r="JFM510" s="332"/>
      <c r="JFN510" s="332"/>
      <c r="JFO510" s="332"/>
      <c r="JFP510" s="332"/>
      <c r="JFQ510" s="332"/>
      <c r="JFR510" s="332"/>
      <c r="JFS510" s="332"/>
      <c r="JFT510" s="332"/>
      <c r="JFU510" s="332"/>
      <c r="JFV510" s="332"/>
      <c r="JFW510" s="332"/>
      <c r="JFX510" s="332"/>
      <c r="JFY510" s="332"/>
      <c r="JFZ510" s="332"/>
      <c r="JGA510" s="332"/>
      <c r="JGB510" s="332"/>
      <c r="JGC510" s="332"/>
      <c r="JGD510" s="332"/>
      <c r="JGE510" s="332"/>
      <c r="JGF510" s="332"/>
      <c r="JGG510" s="332"/>
      <c r="JGH510" s="332"/>
      <c r="JGI510" s="332"/>
      <c r="JGJ510" s="332"/>
      <c r="JGK510" s="332"/>
      <c r="JGL510" s="332"/>
      <c r="JGM510" s="332"/>
      <c r="JGN510" s="332"/>
      <c r="JGO510" s="332"/>
      <c r="JGP510" s="332"/>
      <c r="JGQ510" s="332"/>
      <c r="JGR510" s="332"/>
      <c r="JGS510" s="332"/>
      <c r="JGT510" s="332"/>
      <c r="JGU510" s="332"/>
      <c r="JGV510" s="332"/>
      <c r="JGW510" s="332"/>
      <c r="JGX510" s="332"/>
      <c r="JGY510" s="332"/>
      <c r="JGZ510" s="332"/>
      <c r="JHA510" s="332"/>
      <c r="JHB510" s="332"/>
      <c r="JHC510" s="332"/>
      <c r="JHD510" s="332"/>
      <c r="JHE510" s="332"/>
      <c r="JHF510" s="332"/>
      <c r="JHG510" s="332"/>
      <c r="JHH510" s="332"/>
      <c r="JHI510" s="332"/>
      <c r="JHJ510" s="332"/>
      <c r="JHK510" s="332"/>
      <c r="JHL510" s="332"/>
      <c r="JHM510" s="332"/>
      <c r="JHN510" s="332"/>
      <c r="JHO510" s="332"/>
      <c r="JHP510" s="332"/>
      <c r="JHQ510" s="332"/>
      <c r="JHR510" s="332"/>
      <c r="JHS510" s="332"/>
      <c r="JHT510" s="332"/>
      <c r="JHU510" s="332"/>
      <c r="JHV510" s="332"/>
      <c r="JHW510" s="332"/>
      <c r="JHX510" s="332"/>
      <c r="JHY510" s="332"/>
      <c r="JHZ510" s="332"/>
      <c r="JIA510" s="332"/>
      <c r="JIB510" s="332"/>
      <c r="JIC510" s="332"/>
      <c r="JID510" s="332"/>
      <c r="JIE510" s="332"/>
      <c r="JIF510" s="332"/>
      <c r="JIG510" s="332"/>
      <c r="JIH510" s="332"/>
      <c r="JII510" s="332"/>
      <c r="JIJ510" s="332"/>
      <c r="JIK510" s="332"/>
      <c r="JIL510" s="332"/>
      <c r="JIM510" s="332"/>
      <c r="JIN510" s="332"/>
      <c r="JIO510" s="332"/>
      <c r="JIP510" s="332"/>
      <c r="JIQ510" s="332"/>
      <c r="JIR510" s="332"/>
      <c r="JIS510" s="332"/>
      <c r="JIT510" s="332"/>
      <c r="JIU510" s="332"/>
      <c r="JIV510" s="332"/>
      <c r="JIW510" s="332"/>
      <c r="JIX510" s="332"/>
      <c r="JIY510" s="332"/>
      <c r="JIZ510" s="332"/>
      <c r="JJA510" s="332"/>
      <c r="JJB510" s="332"/>
      <c r="JJC510" s="332"/>
      <c r="JJD510" s="332"/>
      <c r="JJE510" s="332"/>
      <c r="JJF510" s="332"/>
      <c r="JJG510" s="332"/>
      <c r="JJH510" s="332"/>
      <c r="JJI510" s="332"/>
      <c r="JJJ510" s="332"/>
      <c r="JJK510" s="332"/>
      <c r="JJL510" s="332"/>
      <c r="JJM510" s="332"/>
      <c r="JJN510" s="332"/>
      <c r="JJO510" s="332"/>
      <c r="JJP510" s="332"/>
      <c r="JJQ510" s="332"/>
      <c r="JJR510" s="332"/>
      <c r="JJS510" s="332"/>
      <c r="JJT510" s="332"/>
      <c r="JJU510" s="332"/>
      <c r="JJV510" s="332"/>
      <c r="JJW510" s="332"/>
      <c r="JJX510" s="332"/>
      <c r="JJY510" s="332"/>
      <c r="JJZ510" s="332"/>
      <c r="JKA510" s="332"/>
      <c r="JKB510" s="332"/>
      <c r="JKC510" s="332"/>
      <c r="JKD510" s="332"/>
      <c r="JKE510" s="332"/>
      <c r="JKF510" s="332"/>
      <c r="JKG510" s="332"/>
      <c r="JKH510" s="332"/>
      <c r="JKI510" s="332"/>
      <c r="JKJ510" s="332"/>
      <c r="JKK510" s="332"/>
      <c r="JKL510" s="332"/>
      <c r="JKM510" s="332"/>
      <c r="JKN510" s="332"/>
      <c r="JKO510" s="332"/>
      <c r="JKP510" s="332"/>
      <c r="JKQ510" s="332"/>
      <c r="JKR510" s="332"/>
      <c r="JKS510" s="332"/>
      <c r="JKT510" s="332"/>
      <c r="JKU510" s="332"/>
      <c r="JKV510" s="332"/>
      <c r="JKW510" s="332"/>
      <c r="JKX510" s="332"/>
      <c r="JKY510" s="332"/>
      <c r="JKZ510" s="332"/>
      <c r="JLA510" s="332"/>
      <c r="JLB510" s="332"/>
      <c r="JLC510" s="332"/>
      <c r="JLD510" s="332"/>
      <c r="JLE510" s="332"/>
      <c r="JLF510" s="332"/>
      <c r="JLG510" s="332"/>
      <c r="JLH510" s="332"/>
      <c r="JLI510" s="332"/>
      <c r="JLJ510" s="332"/>
      <c r="JLK510" s="332"/>
      <c r="JLL510" s="332"/>
      <c r="JLM510" s="332"/>
      <c r="JLN510" s="332"/>
      <c r="JLO510" s="332"/>
      <c r="JLP510" s="332"/>
      <c r="JLQ510" s="332"/>
      <c r="JLR510" s="332"/>
      <c r="JLS510" s="332"/>
      <c r="JLT510" s="332"/>
      <c r="JLU510" s="332"/>
      <c r="JLV510" s="332"/>
      <c r="JLW510" s="332"/>
      <c r="JLX510" s="332"/>
      <c r="JLY510" s="332"/>
      <c r="JLZ510" s="332"/>
      <c r="JMA510" s="332"/>
      <c r="JMB510" s="332"/>
      <c r="JMC510" s="332"/>
      <c r="JMD510" s="332"/>
      <c r="JME510" s="332"/>
      <c r="JMF510" s="332"/>
      <c r="JMG510" s="332"/>
      <c r="JMH510" s="332"/>
      <c r="JMI510" s="332"/>
      <c r="JMJ510" s="332"/>
      <c r="JMK510" s="332"/>
      <c r="JML510" s="332"/>
      <c r="JMM510" s="332"/>
      <c r="JMN510" s="332"/>
      <c r="JMO510" s="332"/>
      <c r="JMP510" s="332"/>
      <c r="JMQ510" s="332"/>
      <c r="JMR510" s="332"/>
      <c r="JMS510" s="332"/>
      <c r="JMT510" s="332"/>
      <c r="JMU510" s="332"/>
      <c r="JMV510" s="332"/>
      <c r="JMW510" s="332"/>
      <c r="JMX510" s="332"/>
      <c r="JMY510" s="332"/>
      <c r="JMZ510" s="332"/>
      <c r="JNA510" s="332"/>
      <c r="JNB510" s="332"/>
      <c r="JNC510" s="332"/>
      <c r="JND510" s="332"/>
      <c r="JNE510" s="332"/>
      <c r="JNF510" s="332"/>
      <c r="JNG510" s="332"/>
      <c r="JNH510" s="332"/>
      <c r="JNI510" s="332"/>
      <c r="JNJ510" s="332"/>
      <c r="JNK510" s="332"/>
      <c r="JNL510" s="332"/>
      <c r="JNM510" s="332"/>
      <c r="JNN510" s="332"/>
      <c r="JNO510" s="332"/>
      <c r="JNP510" s="332"/>
      <c r="JNQ510" s="332"/>
      <c r="JNR510" s="332"/>
      <c r="JNS510" s="332"/>
      <c r="JNT510" s="332"/>
      <c r="JNU510" s="332"/>
      <c r="JNV510" s="332"/>
      <c r="JNW510" s="332"/>
      <c r="JNX510" s="332"/>
      <c r="JNY510" s="332"/>
      <c r="JNZ510" s="332"/>
      <c r="JOA510" s="332"/>
      <c r="JOB510" s="332"/>
      <c r="JOC510" s="332"/>
      <c r="JOD510" s="332"/>
      <c r="JOE510" s="332"/>
      <c r="JOF510" s="332"/>
      <c r="JOG510" s="332"/>
      <c r="JOH510" s="332"/>
      <c r="JOI510" s="332"/>
      <c r="JOJ510" s="332"/>
      <c r="JOK510" s="332"/>
      <c r="JOL510" s="332"/>
      <c r="JOM510" s="332"/>
      <c r="JON510" s="332"/>
      <c r="JOO510" s="332"/>
      <c r="JOP510" s="332"/>
      <c r="JOQ510" s="332"/>
      <c r="JOR510" s="332"/>
      <c r="JOS510" s="332"/>
      <c r="JOT510" s="332"/>
      <c r="JOU510" s="332"/>
      <c r="JOV510" s="332"/>
      <c r="JOW510" s="332"/>
      <c r="JOX510" s="332"/>
      <c r="JOY510" s="332"/>
      <c r="JOZ510" s="332"/>
      <c r="JPA510" s="332"/>
      <c r="JPB510" s="332"/>
      <c r="JPC510" s="332"/>
      <c r="JPD510" s="332"/>
      <c r="JPE510" s="332"/>
      <c r="JPF510" s="332"/>
      <c r="JPG510" s="332"/>
      <c r="JPH510" s="332"/>
      <c r="JPI510" s="332"/>
      <c r="JPJ510" s="332"/>
      <c r="JPK510" s="332"/>
      <c r="JPL510" s="332"/>
      <c r="JPM510" s="332"/>
      <c r="JPN510" s="332"/>
      <c r="JPO510" s="332"/>
      <c r="JPP510" s="332"/>
      <c r="JPQ510" s="332"/>
      <c r="JPR510" s="332"/>
      <c r="JPS510" s="332"/>
      <c r="JPT510" s="332"/>
      <c r="JPU510" s="332"/>
      <c r="JPV510" s="332"/>
      <c r="JPW510" s="332"/>
      <c r="JPX510" s="332"/>
      <c r="JPY510" s="332"/>
      <c r="JPZ510" s="332"/>
      <c r="JQA510" s="332"/>
      <c r="JQB510" s="332"/>
      <c r="JQC510" s="332"/>
      <c r="JQD510" s="332"/>
      <c r="JQE510" s="332"/>
      <c r="JQF510" s="332"/>
      <c r="JQG510" s="332"/>
      <c r="JQH510" s="332"/>
      <c r="JQI510" s="332"/>
      <c r="JQJ510" s="332"/>
      <c r="JQK510" s="332"/>
      <c r="JQL510" s="332"/>
      <c r="JQM510" s="332"/>
      <c r="JQN510" s="332"/>
      <c r="JQO510" s="332"/>
      <c r="JQP510" s="332"/>
      <c r="JQQ510" s="332"/>
      <c r="JQR510" s="332"/>
      <c r="JQS510" s="332"/>
      <c r="JQT510" s="332"/>
      <c r="JQU510" s="332"/>
      <c r="JQV510" s="332"/>
      <c r="JQW510" s="332"/>
      <c r="JQX510" s="332"/>
      <c r="JQY510" s="332"/>
      <c r="JQZ510" s="332"/>
      <c r="JRA510" s="332"/>
      <c r="JRB510" s="332"/>
      <c r="JRC510" s="332"/>
      <c r="JRD510" s="332"/>
      <c r="JRE510" s="332"/>
      <c r="JRF510" s="332"/>
      <c r="JRG510" s="332"/>
      <c r="JRH510" s="332"/>
      <c r="JRI510" s="332"/>
      <c r="JRJ510" s="332"/>
      <c r="JRK510" s="332"/>
      <c r="JRL510" s="332"/>
      <c r="JRM510" s="332"/>
      <c r="JRN510" s="332"/>
      <c r="JRO510" s="332"/>
      <c r="JRP510" s="332"/>
      <c r="JRQ510" s="332"/>
      <c r="JRR510" s="332"/>
      <c r="JRS510" s="332"/>
      <c r="JRT510" s="332"/>
      <c r="JRU510" s="332"/>
      <c r="JRV510" s="332"/>
      <c r="JRW510" s="332"/>
      <c r="JRX510" s="332"/>
      <c r="JRY510" s="332"/>
      <c r="JRZ510" s="332"/>
      <c r="JSA510" s="332"/>
      <c r="JSB510" s="332"/>
      <c r="JSC510" s="332"/>
      <c r="JSD510" s="332"/>
      <c r="JSE510" s="332"/>
      <c r="JSF510" s="332"/>
      <c r="JSG510" s="332"/>
      <c r="JSH510" s="332"/>
      <c r="JSI510" s="332"/>
      <c r="JSJ510" s="332"/>
      <c r="JSK510" s="332"/>
      <c r="JSL510" s="332"/>
      <c r="JSM510" s="332"/>
      <c r="JSN510" s="332"/>
      <c r="JSO510" s="332"/>
      <c r="JSP510" s="332"/>
      <c r="JSQ510" s="332"/>
      <c r="JSR510" s="332"/>
      <c r="JSS510" s="332"/>
      <c r="JST510" s="332"/>
      <c r="JSU510" s="332"/>
      <c r="JSV510" s="332"/>
      <c r="JSW510" s="332"/>
      <c r="JSX510" s="332"/>
      <c r="JSY510" s="332"/>
      <c r="JSZ510" s="332"/>
      <c r="JTA510" s="332"/>
      <c r="JTB510" s="332"/>
      <c r="JTC510" s="332"/>
      <c r="JTD510" s="332"/>
      <c r="JTE510" s="332"/>
      <c r="JTF510" s="332"/>
      <c r="JTG510" s="332"/>
      <c r="JTH510" s="332"/>
      <c r="JTI510" s="332"/>
      <c r="JTJ510" s="332"/>
      <c r="JTK510" s="332"/>
      <c r="JTL510" s="332"/>
      <c r="JTM510" s="332"/>
      <c r="JTN510" s="332"/>
      <c r="JTO510" s="332"/>
      <c r="JTP510" s="332"/>
      <c r="JTQ510" s="332"/>
      <c r="JTR510" s="332"/>
      <c r="JTS510" s="332"/>
      <c r="JTT510" s="332"/>
      <c r="JTU510" s="332"/>
      <c r="JTV510" s="332"/>
      <c r="JTW510" s="332"/>
      <c r="JTX510" s="332"/>
      <c r="JTY510" s="332"/>
      <c r="JTZ510" s="332"/>
      <c r="JUA510" s="332"/>
      <c r="JUB510" s="332"/>
      <c r="JUC510" s="332"/>
      <c r="JUD510" s="332"/>
      <c r="JUE510" s="332"/>
      <c r="JUF510" s="332"/>
      <c r="JUG510" s="332"/>
      <c r="JUH510" s="332"/>
      <c r="JUI510" s="332"/>
      <c r="JUJ510" s="332"/>
      <c r="JUK510" s="332"/>
      <c r="JUL510" s="332"/>
      <c r="JUM510" s="332"/>
      <c r="JUN510" s="332"/>
      <c r="JUO510" s="332"/>
      <c r="JUP510" s="332"/>
      <c r="JUQ510" s="332"/>
      <c r="JUR510" s="332"/>
      <c r="JUS510" s="332"/>
      <c r="JUT510" s="332"/>
      <c r="JUU510" s="332"/>
      <c r="JUV510" s="332"/>
      <c r="JUW510" s="332"/>
      <c r="JUX510" s="332"/>
      <c r="JUY510" s="332"/>
      <c r="JUZ510" s="332"/>
      <c r="JVA510" s="332"/>
      <c r="JVB510" s="332"/>
      <c r="JVC510" s="332"/>
      <c r="JVD510" s="332"/>
      <c r="JVE510" s="332"/>
      <c r="JVF510" s="332"/>
      <c r="JVG510" s="332"/>
      <c r="JVH510" s="332"/>
      <c r="JVI510" s="332"/>
      <c r="JVJ510" s="332"/>
      <c r="JVK510" s="332"/>
      <c r="JVL510" s="332"/>
      <c r="JVM510" s="332"/>
      <c r="JVN510" s="332"/>
      <c r="JVO510" s="332"/>
      <c r="JVP510" s="332"/>
      <c r="JVQ510" s="332"/>
      <c r="JVR510" s="332"/>
      <c r="JVS510" s="332"/>
      <c r="JVT510" s="332"/>
      <c r="JVU510" s="332"/>
      <c r="JVV510" s="332"/>
      <c r="JVW510" s="332"/>
      <c r="JVX510" s="332"/>
      <c r="JVY510" s="332"/>
      <c r="JVZ510" s="332"/>
      <c r="JWA510" s="332"/>
      <c r="JWB510" s="332"/>
      <c r="JWC510" s="332"/>
      <c r="JWD510" s="332"/>
      <c r="JWE510" s="332"/>
      <c r="JWF510" s="332"/>
      <c r="JWG510" s="332"/>
      <c r="JWH510" s="332"/>
      <c r="JWI510" s="332"/>
      <c r="JWJ510" s="332"/>
      <c r="JWK510" s="332"/>
      <c r="JWL510" s="332"/>
      <c r="JWM510" s="332"/>
      <c r="JWN510" s="332"/>
      <c r="JWO510" s="332"/>
      <c r="JWP510" s="332"/>
      <c r="JWQ510" s="332"/>
      <c r="JWR510" s="332"/>
      <c r="JWS510" s="332"/>
      <c r="JWT510" s="332"/>
      <c r="JWU510" s="332"/>
      <c r="JWV510" s="332"/>
      <c r="JWW510" s="332"/>
      <c r="JWX510" s="332"/>
      <c r="JWY510" s="332"/>
      <c r="JWZ510" s="332"/>
      <c r="JXA510" s="332"/>
      <c r="JXB510" s="332"/>
      <c r="JXC510" s="332"/>
      <c r="JXD510" s="332"/>
      <c r="JXE510" s="332"/>
      <c r="JXF510" s="332"/>
      <c r="JXG510" s="332"/>
      <c r="JXH510" s="332"/>
      <c r="JXI510" s="332"/>
      <c r="JXJ510" s="332"/>
      <c r="JXK510" s="332"/>
      <c r="JXL510" s="332"/>
      <c r="JXM510" s="332"/>
      <c r="JXN510" s="332"/>
      <c r="JXO510" s="332"/>
      <c r="JXP510" s="332"/>
      <c r="JXQ510" s="332"/>
      <c r="JXR510" s="332"/>
      <c r="JXS510" s="332"/>
      <c r="JXT510" s="332"/>
      <c r="JXU510" s="332"/>
      <c r="JXV510" s="332"/>
      <c r="JXW510" s="332"/>
      <c r="JXX510" s="332"/>
      <c r="JXY510" s="332"/>
      <c r="JXZ510" s="332"/>
      <c r="JYA510" s="332"/>
      <c r="JYB510" s="332"/>
      <c r="JYC510" s="332"/>
      <c r="JYD510" s="332"/>
      <c r="JYE510" s="332"/>
      <c r="JYF510" s="332"/>
      <c r="JYG510" s="332"/>
      <c r="JYH510" s="332"/>
      <c r="JYI510" s="332"/>
      <c r="JYJ510" s="332"/>
      <c r="JYK510" s="332"/>
      <c r="JYL510" s="332"/>
      <c r="JYM510" s="332"/>
      <c r="JYN510" s="332"/>
      <c r="JYO510" s="332"/>
      <c r="JYP510" s="332"/>
      <c r="JYQ510" s="332"/>
      <c r="JYR510" s="332"/>
      <c r="JYS510" s="332"/>
      <c r="JYT510" s="332"/>
      <c r="JYU510" s="332"/>
      <c r="JYV510" s="332"/>
      <c r="JYW510" s="332"/>
      <c r="JYX510" s="332"/>
      <c r="JYY510" s="332"/>
      <c r="JYZ510" s="332"/>
      <c r="JZA510" s="332"/>
      <c r="JZB510" s="332"/>
      <c r="JZC510" s="332"/>
      <c r="JZD510" s="332"/>
      <c r="JZE510" s="332"/>
      <c r="JZF510" s="332"/>
      <c r="JZG510" s="332"/>
      <c r="JZH510" s="332"/>
      <c r="JZI510" s="332"/>
      <c r="JZJ510" s="332"/>
      <c r="JZK510" s="332"/>
      <c r="JZL510" s="332"/>
      <c r="JZM510" s="332"/>
      <c r="JZN510" s="332"/>
      <c r="JZO510" s="332"/>
      <c r="JZP510" s="332"/>
      <c r="JZQ510" s="332"/>
      <c r="JZR510" s="332"/>
      <c r="JZS510" s="332"/>
      <c r="JZT510" s="332"/>
      <c r="JZU510" s="332"/>
      <c r="JZV510" s="332"/>
      <c r="JZW510" s="332"/>
      <c r="JZX510" s="332"/>
      <c r="JZY510" s="332"/>
      <c r="JZZ510" s="332"/>
      <c r="KAA510" s="332"/>
      <c r="KAB510" s="332"/>
      <c r="KAC510" s="332"/>
      <c r="KAD510" s="332"/>
      <c r="KAE510" s="332"/>
      <c r="KAF510" s="332"/>
      <c r="KAG510" s="332"/>
      <c r="KAH510" s="332"/>
      <c r="KAI510" s="332"/>
      <c r="KAJ510" s="332"/>
      <c r="KAK510" s="332"/>
      <c r="KAL510" s="332"/>
      <c r="KAM510" s="332"/>
      <c r="KAN510" s="332"/>
      <c r="KAO510" s="332"/>
      <c r="KAP510" s="332"/>
      <c r="KAQ510" s="332"/>
      <c r="KAR510" s="332"/>
      <c r="KAS510" s="332"/>
      <c r="KAT510" s="332"/>
      <c r="KAU510" s="332"/>
      <c r="KAV510" s="332"/>
      <c r="KAW510" s="332"/>
      <c r="KAX510" s="332"/>
      <c r="KAY510" s="332"/>
      <c r="KAZ510" s="332"/>
      <c r="KBA510" s="332"/>
      <c r="KBB510" s="332"/>
      <c r="KBC510" s="332"/>
      <c r="KBD510" s="332"/>
      <c r="KBE510" s="332"/>
      <c r="KBF510" s="332"/>
      <c r="KBG510" s="332"/>
      <c r="KBH510" s="332"/>
      <c r="KBI510" s="332"/>
      <c r="KBJ510" s="332"/>
      <c r="KBK510" s="332"/>
      <c r="KBL510" s="332"/>
      <c r="KBM510" s="332"/>
      <c r="KBN510" s="332"/>
      <c r="KBO510" s="332"/>
      <c r="KBP510" s="332"/>
      <c r="KBQ510" s="332"/>
      <c r="KBR510" s="332"/>
      <c r="KBS510" s="332"/>
      <c r="KBT510" s="332"/>
      <c r="KBU510" s="332"/>
      <c r="KBV510" s="332"/>
      <c r="KBW510" s="332"/>
      <c r="KBX510" s="332"/>
      <c r="KBY510" s="332"/>
      <c r="KBZ510" s="332"/>
      <c r="KCA510" s="332"/>
      <c r="KCB510" s="332"/>
      <c r="KCC510" s="332"/>
      <c r="KCD510" s="332"/>
      <c r="KCE510" s="332"/>
      <c r="KCF510" s="332"/>
      <c r="KCG510" s="332"/>
      <c r="KCH510" s="332"/>
      <c r="KCI510" s="332"/>
      <c r="KCJ510" s="332"/>
      <c r="KCK510" s="332"/>
      <c r="KCL510" s="332"/>
      <c r="KCM510" s="332"/>
      <c r="KCN510" s="332"/>
      <c r="KCO510" s="332"/>
      <c r="KCP510" s="332"/>
      <c r="KCQ510" s="332"/>
      <c r="KCR510" s="332"/>
      <c r="KCS510" s="332"/>
      <c r="KCT510" s="332"/>
      <c r="KCU510" s="332"/>
      <c r="KCV510" s="332"/>
      <c r="KCW510" s="332"/>
      <c r="KCX510" s="332"/>
      <c r="KCY510" s="332"/>
      <c r="KCZ510" s="332"/>
      <c r="KDA510" s="332"/>
      <c r="KDB510" s="332"/>
      <c r="KDC510" s="332"/>
      <c r="KDD510" s="332"/>
      <c r="KDE510" s="332"/>
      <c r="KDF510" s="332"/>
      <c r="KDG510" s="332"/>
      <c r="KDH510" s="332"/>
      <c r="KDI510" s="332"/>
      <c r="KDJ510" s="332"/>
      <c r="KDK510" s="332"/>
      <c r="KDL510" s="332"/>
      <c r="KDM510" s="332"/>
      <c r="KDN510" s="332"/>
      <c r="KDO510" s="332"/>
      <c r="KDP510" s="332"/>
      <c r="KDQ510" s="332"/>
      <c r="KDR510" s="332"/>
      <c r="KDS510" s="332"/>
      <c r="KDT510" s="332"/>
      <c r="KDU510" s="332"/>
      <c r="KDV510" s="332"/>
      <c r="KDW510" s="332"/>
      <c r="KDX510" s="332"/>
      <c r="KDY510" s="332"/>
      <c r="KDZ510" s="332"/>
      <c r="KEA510" s="332"/>
      <c r="KEB510" s="332"/>
      <c r="KEC510" s="332"/>
      <c r="KED510" s="332"/>
      <c r="KEE510" s="332"/>
      <c r="KEF510" s="332"/>
      <c r="KEG510" s="332"/>
      <c r="KEH510" s="332"/>
      <c r="KEI510" s="332"/>
      <c r="KEJ510" s="332"/>
      <c r="KEK510" s="332"/>
      <c r="KEL510" s="332"/>
      <c r="KEM510" s="332"/>
      <c r="KEN510" s="332"/>
      <c r="KEO510" s="332"/>
      <c r="KEP510" s="332"/>
      <c r="KEQ510" s="332"/>
      <c r="KER510" s="332"/>
      <c r="KES510" s="332"/>
      <c r="KET510" s="332"/>
      <c r="KEU510" s="332"/>
      <c r="KEV510" s="332"/>
      <c r="KEW510" s="332"/>
      <c r="KEX510" s="332"/>
      <c r="KEY510" s="332"/>
      <c r="KEZ510" s="332"/>
      <c r="KFA510" s="332"/>
      <c r="KFB510" s="332"/>
      <c r="KFC510" s="332"/>
      <c r="KFD510" s="332"/>
      <c r="KFE510" s="332"/>
      <c r="KFF510" s="332"/>
      <c r="KFG510" s="332"/>
      <c r="KFH510" s="332"/>
      <c r="KFI510" s="332"/>
      <c r="KFJ510" s="332"/>
      <c r="KFK510" s="332"/>
      <c r="KFL510" s="332"/>
      <c r="KFM510" s="332"/>
      <c r="KFN510" s="332"/>
      <c r="KFO510" s="332"/>
      <c r="KFP510" s="332"/>
      <c r="KFQ510" s="332"/>
      <c r="KFR510" s="332"/>
      <c r="KFS510" s="332"/>
      <c r="KFT510" s="332"/>
      <c r="KFU510" s="332"/>
      <c r="KFV510" s="332"/>
      <c r="KFW510" s="332"/>
      <c r="KFX510" s="332"/>
      <c r="KFY510" s="332"/>
      <c r="KFZ510" s="332"/>
      <c r="KGA510" s="332"/>
      <c r="KGB510" s="332"/>
      <c r="KGC510" s="332"/>
      <c r="KGD510" s="332"/>
      <c r="KGE510" s="332"/>
      <c r="KGF510" s="332"/>
      <c r="KGG510" s="332"/>
      <c r="KGH510" s="332"/>
      <c r="KGI510" s="332"/>
      <c r="KGJ510" s="332"/>
      <c r="KGK510" s="332"/>
      <c r="KGL510" s="332"/>
      <c r="KGM510" s="332"/>
      <c r="KGN510" s="332"/>
      <c r="KGO510" s="332"/>
      <c r="KGP510" s="332"/>
      <c r="KGQ510" s="332"/>
      <c r="KGR510" s="332"/>
      <c r="KGS510" s="332"/>
      <c r="KGT510" s="332"/>
      <c r="KGU510" s="332"/>
      <c r="KGV510" s="332"/>
      <c r="KGW510" s="332"/>
      <c r="KGX510" s="332"/>
      <c r="KGY510" s="332"/>
      <c r="KGZ510" s="332"/>
      <c r="KHA510" s="332"/>
      <c r="KHB510" s="332"/>
      <c r="KHC510" s="332"/>
      <c r="KHD510" s="332"/>
      <c r="KHE510" s="332"/>
      <c r="KHF510" s="332"/>
      <c r="KHG510" s="332"/>
      <c r="KHH510" s="332"/>
      <c r="KHI510" s="332"/>
      <c r="KHJ510" s="332"/>
      <c r="KHK510" s="332"/>
      <c r="KHL510" s="332"/>
      <c r="KHM510" s="332"/>
      <c r="KHN510" s="332"/>
      <c r="KHO510" s="332"/>
      <c r="KHP510" s="332"/>
      <c r="KHQ510" s="332"/>
      <c r="KHR510" s="332"/>
      <c r="KHS510" s="332"/>
      <c r="KHT510" s="332"/>
      <c r="KHU510" s="332"/>
      <c r="KHV510" s="332"/>
      <c r="KHW510" s="332"/>
      <c r="KHX510" s="332"/>
      <c r="KHY510" s="332"/>
      <c r="KHZ510" s="332"/>
      <c r="KIA510" s="332"/>
      <c r="KIB510" s="332"/>
      <c r="KIC510" s="332"/>
      <c r="KID510" s="332"/>
      <c r="KIE510" s="332"/>
      <c r="KIF510" s="332"/>
      <c r="KIG510" s="332"/>
      <c r="KIH510" s="332"/>
      <c r="KII510" s="332"/>
      <c r="KIJ510" s="332"/>
      <c r="KIK510" s="332"/>
      <c r="KIL510" s="332"/>
      <c r="KIM510" s="332"/>
      <c r="KIN510" s="332"/>
      <c r="KIO510" s="332"/>
      <c r="KIP510" s="332"/>
      <c r="KIQ510" s="332"/>
      <c r="KIR510" s="332"/>
      <c r="KIS510" s="332"/>
      <c r="KIT510" s="332"/>
      <c r="KIU510" s="332"/>
      <c r="KIV510" s="332"/>
      <c r="KIW510" s="332"/>
      <c r="KIX510" s="332"/>
      <c r="KIY510" s="332"/>
      <c r="KIZ510" s="332"/>
      <c r="KJA510" s="332"/>
      <c r="KJB510" s="332"/>
      <c r="KJC510" s="332"/>
      <c r="KJD510" s="332"/>
      <c r="KJE510" s="332"/>
      <c r="KJF510" s="332"/>
      <c r="KJG510" s="332"/>
      <c r="KJH510" s="332"/>
      <c r="KJI510" s="332"/>
      <c r="KJJ510" s="332"/>
      <c r="KJK510" s="332"/>
      <c r="KJL510" s="332"/>
      <c r="KJM510" s="332"/>
      <c r="KJN510" s="332"/>
      <c r="KJO510" s="332"/>
      <c r="KJP510" s="332"/>
      <c r="KJQ510" s="332"/>
      <c r="KJR510" s="332"/>
      <c r="KJS510" s="332"/>
      <c r="KJT510" s="332"/>
      <c r="KJU510" s="332"/>
      <c r="KJV510" s="332"/>
      <c r="KJW510" s="332"/>
      <c r="KJX510" s="332"/>
      <c r="KJY510" s="332"/>
      <c r="KJZ510" s="332"/>
      <c r="KKA510" s="332"/>
      <c r="KKB510" s="332"/>
      <c r="KKC510" s="332"/>
      <c r="KKD510" s="332"/>
      <c r="KKE510" s="332"/>
      <c r="KKF510" s="332"/>
      <c r="KKG510" s="332"/>
      <c r="KKH510" s="332"/>
      <c r="KKI510" s="332"/>
      <c r="KKJ510" s="332"/>
      <c r="KKK510" s="332"/>
      <c r="KKL510" s="332"/>
      <c r="KKM510" s="332"/>
      <c r="KKN510" s="332"/>
      <c r="KKO510" s="332"/>
      <c r="KKP510" s="332"/>
      <c r="KKQ510" s="332"/>
      <c r="KKR510" s="332"/>
      <c r="KKS510" s="332"/>
      <c r="KKT510" s="332"/>
      <c r="KKU510" s="332"/>
      <c r="KKV510" s="332"/>
      <c r="KKW510" s="332"/>
      <c r="KKX510" s="332"/>
      <c r="KKY510" s="332"/>
      <c r="KKZ510" s="332"/>
      <c r="KLA510" s="332"/>
      <c r="KLB510" s="332"/>
      <c r="KLC510" s="332"/>
      <c r="KLD510" s="332"/>
      <c r="KLE510" s="332"/>
      <c r="KLF510" s="332"/>
      <c r="KLG510" s="332"/>
      <c r="KLH510" s="332"/>
      <c r="KLI510" s="332"/>
      <c r="KLJ510" s="332"/>
      <c r="KLK510" s="332"/>
      <c r="KLL510" s="332"/>
      <c r="KLM510" s="332"/>
      <c r="KLN510" s="332"/>
      <c r="KLO510" s="332"/>
      <c r="KLP510" s="332"/>
      <c r="KLQ510" s="332"/>
      <c r="KLR510" s="332"/>
      <c r="KLS510" s="332"/>
      <c r="KLT510" s="332"/>
      <c r="KLU510" s="332"/>
      <c r="KLV510" s="332"/>
      <c r="KLW510" s="332"/>
      <c r="KLX510" s="332"/>
      <c r="KLY510" s="332"/>
      <c r="KLZ510" s="332"/>
      <c r="KMA510" s="332"/>
      <c r="KMB510" s="332"/>
      <c r="KMC510" s="332"/>
      <c r="KMD510" s="332"/>
      <c r="KME510" s="332"/>
      <c r="KMF510" s="332"/>
      <c r="KMG510" s="332"/>
      <c r="KMH510" s="332"/>
      <c r="KMI510" s="332"/>
      <c r="KMJ510" s="332"/>
      <c r="KMK510" s="332"/>
      <c r="KML510" s="332"/>
      <c r="KMM510" s="332"/>
      <c r="KMN510" s="332"/>
      <c r="KMO510" s="332"/>
      <c r="KMP510" s="332"/>
      <c r="KMQ510" s="332"/>
      <c r="KMR510" s="332"/>
      <c r="KMS510" s="332"/>
      <c r="KMT510" s="332"/>
      <c r="KMU510" s="332"/>
      <c r="KMV510" s="332"/>
      <c r="KMW510" s="332"/>
      <c r="KMX510" s="332"/>
      <c r="KMY510" s="332"/>
      <c r="KMZ510" s="332"/>
      <c r="KNA510" s="332"/>
      <c r="KNB510" s="332"/>
      <c r="KNC510" s="332"/>
      <c r="KND510" s="332"/>
      <c r="KNE510" s="332"/>
      <c r="KNF510" s="332"/>
      <c r="KNG510" s="332"/>
      <c r="KNH510" s="332"/>
      <c r="KNI510" s="332"/>
      <c r="KNJ510" s="332"/>
      <c r="KNK510" s="332"/>
      <c r="KNL510" s="332"/>
      <c r="KNM510" s="332"/>
      <c r="KNN510" s="332"/>
      <c r="KNO510" s="332"/>
      <c r="KNP510" s="332"/>
      <c r="KNQ510" s="332"/>
      <c r="KNR510" s="332"/>
      <c r="KNS510" s="332"/>
      <c r="KNT510" s="332"/>
      <c r="KNU510" s="332"/>
      <c r="KNV510" s="332"/>
      <c r="KNW510" s="332"/>
      <c r="KNX510" s="332"/>
      <c r="KNY510" s="332"/>
      <c r="KNZ510" s="332"/>
      <c r="KOA510" s="332"/>
      <c r="KOB510" s="332"/>
      <c r="KOC510" s="332"/>
      <c r="KOD510" s="332"/>
      <c r="KOE510" s="332"/>
      <c r="KOF510" s="332"/>
      <c r="KOG510" s="332"/>
      <c r="KOH510" s="332"/>
      <c r="KOI510" s="332"/>
      <c r="KOJ510" s="332"/>
      <c r="KOK510" s="332"/>
      <c r="KOL510" s="332"/>
      <c r="KOM510" s="332"/>
      <c r="KON510" s="332"/>
      <c r="KOO510" s="332"/>
      <c r="KOP510" s="332"/>
      <c r="KOQ510" s="332"/>
      <c r="KOR510" s="332"/>
      <c r="KOS510" s="332"/>
      <c r="KOT510" s="332"/>
      <c r="KOU510" s="332"/>
      <c r="KOV510" s="332"/>
      <c r="KOW510" s="332"/>
      <c r="KOX510" s="332"/>
      <c r="KOY510" s="332"/>
      <c r="KOZ510" s="332"/>
      <c r="KPA510" s="332"/>
      <c r="KPB510" s="332"/>
      <c r="KPC510" s="332"/>
      <c r="KPD510" s="332"/>
      <c r="KPE510" s="332"/>
      <c r="KPF510" s="332"/>
      <c r="KPG510" s="332"/>
      <c r="KPH510" s="332"/>
      <c r="KPI510" s="332"/>
      <c r="KPJ510" s="332"/>
      <c r="KPK510" s="332"/>
      <c r="KPL510" s="332"/>
      <c r="KPM510" s="332"/>
      <c r="KPN510" s="332"/>
      <c r="KPO510" s="332"/>
      <c r="KPP510" s="332"/>
      <c r="KPQ510" s="332"/>
      <c r="KPR510" s="332"/>
      <c r="KPS510" s="332"/>
      <c r="KPT510" s="332"/>
      <c r="KPU510" s="332"/>
      <c r="KPV510" s="332"/>
      <c r="KPW510" s="332"/>
      <c r="KPX510" s="332"/>
      <c r="KPY510" s="332"/>
      <c r="KPZ510" s="332"/>
      <c r="KQA510" s="332"/>
      <c r="KQB510" s="332"/>
      <c r="KQC510" s="332"/>
      <c r="KQD510" s="332"/>
      <c r="KQE510" s="332"/>
      <c r="KQF510" s="332"/>
      <c r="KQG510" s="332"/>
      <c r="KQH510" s="332"/>
      <c r="KQI510" s="332"/>
      <c r="KQJ510" s="332"/>
      <c r="KQK510" s="332"/>
      <c r="KQL510" s="332"/>
      <c r="KQM510" s="332"/>
      <c r="KQN510" s="332"/>
      <c r="KQO510" s="332"/>
      <c r="KQP510" s="332"/>
      <c r="KQQ510" s="332"/>
      <c r="KQR510" s="332"/>
      <c r="KQS510" s="332"/>
      <c r="KQT510" s="332"/>
      <c r="KQU510" s="332"/>
      <c r="KQV510" s="332"/>
      <c r="KQW510" s="332"/>
      <c r="KQX510" s="332"/>
      <c r="KQY510" s="332"/>
      <c r="KQZ510" s="332"/>
      <c r="KRA510" s="332"/>
      <c r="KRB510" s="332"/>
      <c r="KRC510" s="332"/>
      <c r="KRD510" s="332"/>
      <c r="KRE510" s="332"/>
      <c r="KRF510" s="332"/>
      <c r="KRG510" s="332"/>
      <c r="KRH510" s="332"/>
      <c r="KRI510" s="332"/>
      <c r="KRJ510" s="332"/>
      <c r="KRK510" s="332"/>
      <c r="KRL510" s="332"/>
      <c r="KRM510" s="332"/>
      <c r="KRN510" s="332"/>
      <c r="KRO510" s="332"/>
      <c r="KRP510" s="332"/>
      <c r="KRQ510" s="332"/>
      <c r="KRR510" s="332"/>
      <c r="KRS510" s="332"/>
      <c r="KRT510" s="332"/>
      <c r="KRU510" s="332"/>
      <c r="KRV510" s="332"/>
      <c r="KRW510" s="332"/>
      <c r="KRX510" s="332"/>
      <c r="KRY510" s="332"/>
      <c r="KRZ510" s="332"/>
      <c r="KSA510" s="332"/>
      <c r="KSB510" s="332"/>
      <c r="KSC510" s="332"/>
      <c r="KSD510" s="332"/>
      <c r="KSE510" s="332"/>
      <c r="KSF510" s="332"/>
      <c r="KSG510" s="332"/>
      <c r="KSH510" s="332"/>
      <c r="KSI510" s="332"/>
      <c r="KSJ510" s="332"/>
      <c r="KSK510" s="332"/>
      <c r="KSL510" s="332"/>
      <c r="KSM510" s="332"/>
      <c r="KSN510" s="332"/>
      <c r="KSO510" s="332"/>
      <c r="KSP510" s="332"/>
      <c r="KSQ510" s="332"/>
      <c r="KSR510" s="332"/>
      <c r="KSS510" s="332"/>
      <c r="KST510" s="332"/>
      <c r="KSU510" s="332"/>
      <c r="KSV510" s="332"/>
      <c r="KSW510" s="332"/>
      <c r="KSX510" s="332"/>
      <c r="KSY510" s="332"/>
      <c r="KSZ510" s="332"/>
      <c r="KTA510" s="332"/>
      <c r="KTB510" s="332"/>
      <c r="KTC510" s="332"/>
      <c r="KTD510" s="332"/>
      <c r="KTE510" s="332"/>
      <c r="KTF510" s="332"/>
      <c r="KTG510" s="332"/>
      <c r="KTH510" s="332"/>
      <c r="KTI510" s="332"/>
      <c r="KTJ510" s="332"/>
      <c r="KTK510" s="332"/>
      <c r="KTL510" s="332"/>
      <c r="KTM510" s="332"/>
      <c r="KTN510" s="332"/>
      <c r="KTO510" s="332"/>
      <c r="KTP510" s="332"/>
      <c r="KTQ510" s="332"/>
      <c r="KTR510" s="332"/>
      <c r="KTS510" s="332"/>
      <c r="KTT510" s="332"/>
      <c r="KTU510" s="332"/>
      <c r="KTV510" s="332"/>
      <c r="KTW510" s="332"/>
      <c r="KTX510" s="332"/>
      <c r="KTY510" s="332"/>
      <c r="KTZ510" s="332"/>
      <c r="KUA510" s="332"/>
      <c r="KUB510" s="332"/>
      <c r="KUC510" s="332"/>
      <c r="KUD510" s="332"/>
      <c r="KUE510" s="332"/>
      <c r="KUF510" s="332"/>
      <c r="KUG510" s="332"/>
      <c r="KUH510" s="332"/>
      <c r="KUI510" s="332"/>
      <c r="KUJ510" s="332"/>
      <c r="KUK510" s="332"/>
      <c r="KUL510" s="332"/>
      <c r="KUM510" s="332"/>
      <c r="KUN510" s="332"/>
      <c r="KUO510" s="332"/>
      <c r="KUP510" s="332"/>
      <c r="KUQ510" s="332"/>
      <c r="KUR510" s="332"/>
      <c r="KUS510" s="332"/>
      <c r="KUT510" s="332"/>
      <c r="KUU510" s="332"/>
      <c r="KUV510" s="332"/>
      <c r="KUW510" s="332"/>
      <c r="KUX510" s="332"/>
      <c r="KUY510" s="332"/>
      <c r="KUZ510" s="332"/>
      <c r="KVA510" s="332"/>
      <c r="KVB510" s="332"/>
      <c r="KVC510" s="332"/>
      <c r="KVD510" s="332"/>
      <c r="KVE510" s="332"/>
      <c r="KVF510" s="332"/>
      <c r="KVG510" s="332"/>
      <c r="KVH510" s="332"/>
      <c r="KVI510" s="332"/>
      <c r="KVJ510" s="332"/>
      <c r="KVK510" s="332"/>
      <c r="KVL510" s="332"/>
      <c r="KVM510" s="332"/>
      <c r="KVN510" s="332"/>
      <c r="KVO510" s="332"/>
      <c r="KVP510" s="332"/>
      <c r="KVQ510" s="332"/>
      <c r="KVR510" s="332"/>
      <c r="KVS510" s="332"/>
      <c r="KVT510" s="332"/>
      <c r="KVU510" s="332"/>
      <c r="KVV510" s="332"/>
      <c r="KVW510" s="332"/>
      <c r="KVX510" s="332"/>
      <c r="KVY510" s="332"/>
      <c r="KVZ510" s="332"/>
      <c r="KWA510" s="332"/>
      <c r="KWB510" s="332"/>
      <c r="KWC510" s="332"/>
      <c r="KWD510" s="332"/>
      <c r="KWE510" s="332"/>
      <c r="KWF510" s="332"/>
      <c r="KWG510" s="332"/>
      <c r="KWH510" s="332"/>
      <c r="KWI510" s="332"/>
      <c r="KWJ510" s="332"/>
      <c r="KWK510" s="332"/>
      <c r="KWL510" s="332"/>
      <c r="KWM510" s="332"/>
      <c r="KWN510" s="332"/>
      <c r="KWO510" s="332"/>
      <c r="KWP510" s="332"/>
      <c r="KWQ510" s="332"/>
      <c r="KWR510" s="332"/>
      <c r="KWS510" s="332"/>
      <c r="KWT510" s="332"/>
      <c r="KWU510" s="332"/>
      <c r="KWV510" s="332"/>
      <c r="KWW510" s="332"/>
      <c r="KWX510" s="332"/>
      <c r="KWY510" s="332"/>
      <c r="KWZ510" s="332"/>
      <c r="KXA510" s="332"/>
      <c r="KXB510" s="332"/>
      <c r="KXC510" s="332"/>
      <c r="KXD510" s="332"/>
      <c r="KXE510" s="332"/>
      <c r="KXF510" s="332"/>
      <c r="KXG510" s="332"/>
      <c r="KXH510" s="332"/>
      <c r="KXI510" s="332"/>
      <c r="KXJ510" s="332"/>
      <c r="KXK510" s="332"/>
      <c r="KXL510" s="332"/>
      <c r="KXM510" s="332"/>
      <c r="KXN510" s="332"/>
      <c r="KXO510" s="332"/>
      <c r="KXP510" s="332"/>
      <c r="KXQ510" s="332"/>
      <c r="KXR510" s="332"/>
      <c r="KXS510" s="332"/>
      <c r="KXT510" s="332"/>
      <c r="KXU510" s="332"/>
      <c r="KXV510" s="332"/>
      <c r="KXW510" s="332"/>
      <c r="KXX510" s="332"/>
      <c r="KXY510" s="332"/>
      <c r="KXZ510" s="332"/>
      <c r="KYA510" s="332"/>
      <c r="KYB510" s="332"/>
      <c r="KYC510" s="332"/>
      <c r="KYD510" s="332"/>
      <c r="KYE510" s="332"/>
      <c r="KYF510" s="332"/>
      <c r="KYG510" s="332"/>
      <c r="KYH510" s="332"/>
      <c r="KYI510" s="332"/>
      <c r="KYJ510" s="332"/>
      <c r="KYK510" s="332"/>
      <c r="KYL510" s="332"/>
      <c r="KYM510" s="332"/>
      <c r="KYN510" s="332"/>
      <c r="KYO510" s="332"/>
      <c r="KYP510" s="332"/>
      <c r="KYQ510" s="332"/>
      <c r="KYR510" s="332"/>
      <c r="KYS510" s="332"/>
      <c r="KYT510" s="332"/>
      <c r="KYU510" s="332"/>
      <c r="KYV510" s="332"/>
      <c r="KYW510" s="332"/>
      <c r="KYX510" s="332"/>
      <c r="KYY510" s="332"/>
      <c r="KYZ510" s="332"/>
      <c r="KZA510" s="332"/>
      <c r="KZB510" s="332"/>
      <c r="KZC510" s="332"/>
      <c r="KZD510" s="332"/>
      <c r="KZE510" s="332"/>
      <c r="KZF510" s="332"/>
      <c r="KZG510" s="332"/>
      <c r="KZH510" s="332"/>
      <c r="KZI510" s="332"/>
      <c r="KZJ510" s="332"/>
      <c r="KZK510" s="332"/>
      <c r="KZL510" s="332"/>
      <c r="KZM510" s="332"/>
      <c r="KZN510" s="332"/>
      <c r="KZO510" s="332"/>
      <c r="KZP510" s="332"/>
      <c r="KZQ510" s="332"/>
      <c r="KZR510" s="332"/>
      <c r="KZS510" s="332"/>
      <c r="KZT510" s="332"/>
      <c r="KZU510" s="332"/>
      <c r="KZV510" s="332"/>
      <c r="KZW510" s="332"/>
      <c r="KZX510" s="332"/>
      <c r="KZY510" s="332"/>
      <c r="KZZ510" s="332"/>
      <c r="LAA510" s="332"/>
      <c r="LAB510" s="332"/>
      <c r="LAC510" s="332"/>
      <c r="LAD510" s="332"/>
      <c r="LAE510" s="332"/>
      <c r="LAF510" s="332"/>
      <c r="LAG510" s="332"/>
      <c r="LAH510" s="332"/>
      <c r="LAI510" s="332"/>
      <c r="LAJ510" s="332"/>
      <c r="LAK510" s="332"/>
      <c r="LAL510" s="332"/>
      <c r="LAM510" s="332"/>
      <c r="LAN510" s="332"/>
      <c r="LAO510" s="332"/>
      <c r="LAP510" s="332"/>
      <c r="LAQ510" s="332"/>
      <c r="LAR510" s="332"/>
      <c r="LAS510" s="332"/>
      <c r="LAT510" s="332"/>
      <c r="LAU510" s="332"/>
      <c r="LAV510" s="332"/>
      <c r="LAW510" s="332"/>
      <c r="LAX510" s="332"/>
      <c r="LAY510" s="332"/>
      <c r="LAZ510" s="332"/>
      <c r="LBA510" s="332"/>
      <c r="LBB510" s="332"/>
      <c r="LBC510" s="332"/>
      <c r="LBD510" s="332"/>
      <c r="LBE510" s="332"/>
      <c r="LBF510" s="332"/>
      <c r="LBG510" s="332"/>
      <c r="LBH510" s="332"/>
      <c r="LBI510" s="332"/>
      <c r="LBJ510" s="332"/>
      <c r="LBK510" s="332"/>
      <c r="LBL510" s="332"/>
      <c r="LBM510" s="332"/>
      <c r="LBN510" s="332"/>
      <c r="LBO510" s="332"/>
      <c r="LBP510" s="332"/>
      <c r="LBQ510" s="332"/>
      <c r="LBR510" s="332"/>
      <c r="LBS510" s="332"/>
      <c r="LBT510" s="332"/>
      <c r="LBU510" s="332"/>
      <c r="LBV510" s="332"/>
      <c r="LBW510" s="332"/>
      <c r="LBX510" s="332"/>
      <c r="LBY510" s="332"/>
      <c r="LBZ510" s="332"/>
      <c r="LCA510" s="332"/>
      <c r="LCB510" s="332"/>
      <c r="LCC510" s="332"/>
      <c r="LCD510" s="332"/>
      <c r="LCE510" s="332"/>
      <c r="LCF510" s="332"/>
      <c r="LCG510" s="332"/>
      <c r="LCH510" s="332"/>
      <c r="LCI510" s="332"/>
      <c r="LCJ510" s="332"/>
      <c r="LCK510" s="332"/>
      <c r="LCL510" s="332"/>
      <c r="LCM510" s="332"/>
      <c r="LCN510" s="332"/>
      <c r="LCO510" s="332"/>
      <c r="LCP510" s="332"/>
      <c r="LCQ510" s="332"/>
      <c r="LCR510" s="332"/>
      <c r="LCS510" s="332"/>
      <c r="LCT510" s="332"/>
      <c r="LCU510" s="332"/>
      <c r="LCV510" s="332"/>
      <c r="LCW510" s="332"/>
      <c r="LCX510" s="332"/>
      <c r="LCY510" s="332"/>
      <c r="LCZ510" s="332"/>
      <c r="LDA510" s="332"/>
      <c r="LDB510" s="332"/>
      <c r="LDC510" s="332"/>
      <c r="LDD510" s="332"/>
      <c r="LDE510" s="332"/>
      <c r="LDF510" s="332"/>
      <c r="LDG510" s="332"/>
      <c r="LDH510" s="332"/>
      <c r="LDI510" s="332"/>
      <c r="LDJ510" s="332"/>
      <c r="LDK510" s="332"/>
      <c r="LDL510" s="332"/>
      <c r="LDM510" s="332"/>
      <c r="LDN510" s="332"/>
      <c r="LDO510" s="332"/>
      <c r="LDP510" s="332"/>
      <c r="LDQ510" s="332"/>
      <c r="LDR510" s="332"/>
      <c r="LDS510" s="332"/>
      <c r="LDT510" s="332"/>
      <c r="LDU510" s="332"/>
      <c r="LDV510" s="332"/>
      <c r="LDW510" s="332"/>
      <c r="LDX510" s="332"/>
      <c r="LDY510" s="332"/>
      <c r="LDZ510" s="332"/>
      <c r="LEA510" s="332"/>
      <c r="LEB510" s="332"/>
      <c r="LEC510" s="332"/>
      <c r="LED510" s="332"/>
      <c r="LEE510" s="332"/>
      <c r="LEF510" s="332"/>
      <c r="LEG510" s="332"/>
      <c r="LEH510" s="332"/>
      <c r="LEI510" s="332"/>
      <c r="LEJ510" s="332"/>
      <c r="LEK510" s="332"/>
      <c r="LEL510" s="332"/>
      <c r="LEM510" s="332"/>
      <c r="LEN510" s="332"/>
      <c r="LEO510" s="332"/>
      <c r="LEP510" s="332"/>
      <c r="LEQ510" s="332"/>
      <c r="LER510" s="332"/>
      <c r="LES510" s="332"/>
      <c r="LET510" s="332"/>
      <c r="LEU510" s="332"/>
      <c r="LEV510" s="332"/>
      <c r="LEW510" s="332"/>
      <c r="LEX510" s="332"/>
      <c r="LEY510" s="332"/>
      <c r="LEZ510" s="332"/>
      <c r="LFA510" s="332"/>
      <c r="LFB510" s="332"/>
      <c r="LFC510" s="332"/>
      <c r="LFD510" s="332"/>
      <c r="LFE510" s="332"/>
      <c r="LFF510" s="332"/>
      <c r="LFG510" s="332"/>
      <c r="LFH510" s="332"/>
      <c r="LFI510" s="332"/>
      <c r="LFJ510" s="332"/>
      <c r="LFK510" s="332"/>
      <c r="LFL510" s="332"/>
      <c r="LFM510" s="332"/>
      <c r="LFN510" s="332"/>
      <c r="LFO510" s="332"/>
      <c r="LFP510" s="332"/>
      <c r="LFQ510" s="332"/>
      <c r="LFR510" s="332"/>
      <c r="LFS510" s="332"/>
      <c r="LFT510" s="332"/>
      <c r="LFU510" s="332"/>
      <c r="LFV510" s="332"/>
      <c r="LFW510" s="332"/>
      <c r="LFX510" s="332"/>
      <c r="LFY510" s="332"/>
      <c r="LFZ510" s="332"/>
      <c r="LGA510" s="332"/>
      <c r="LGB510" s="332"/>
      <c r="LGC510" s="332"/>
      <c r="LGD510" s="332"/>
      <c r="LGE510" s="332"/>
      <c r="LGF510" s="332"/>
      <c r="LGG510" s="332"/>
      <c r="LGH510" s="332"/>
      <c r="LGI510" s="332"/>
      <c r="LGJ510" s="332"/>
      <c r="LGK510" s="332"/>
      <c r="LGL510" s="332"/>
      <c r="LGM510" s="332"/>
      <c r="LGN510" s="332"/>
      <c r="LGO510" s="332"/>
      <c r="LGP510" s="332"/>
      <c r="LGQ510" s="332"/>
      <c r="LGR510" s="332"/>
      <c r="LGS510" s="332"/>
      <c r="LGT510" s="332"/>
      <c r="LGU510" s="332"/>
      <c r="LGV510" s="332"/>
      <c r="LGW510" s="332"/>
      <c r="LGX510" s="332"/>
      <c r="LGY510" s="332"/>
      <c r="LGZ510" s="332"/>
      <c r="LHA510" s="332"/>
      <c r="LHB510" s="332"/>
      <c r="LHC510" s="332"/>
      <c r="LHD510" s="332"/>
      <c r="LHE510" s="332"/>
      <c r="LHF510" s="332"/>
      <c r="LHG510" s="332"/>
      <c r="LHH510" s="332"/>
      <c r="LHI510" s="332"/>
      <c r="LHJ510" s="332"/>
      <c r="LHK510" s="332"/>
      <c r="LHL510" s="332"/>
      <c r="LHM510" s="332"/>
      <c r="LHN510" s="332"/>
      <c r="LHO510" s="332"/>
      <c r="LHP510" s="332"/>
      <c r="LHQ510" s="332"/>
      <c r="LHR510" s="332"/>
      <c r="LHS510" s="332"/>
      <c r="LHT510" s="332"/>
      <c r="LHU510" s="332"/>
      <c r="LHV510" s="332"/>
      <c r="LHW510" s="332"/>
      <c r="LHX510" s="332"/>
      <c r="LHY510" s="332"/>
      <c r="LHZ510" s="332"/>
      <c r="LIA510" s="332"/>
      <c r="LIB510" s="332"/>
      <c r="LIC510" s="332"/>
      <c r="LID510" s="332"/>
      <c r="LIE510" s="332"/>
      <c r="LIF510" s="332"/>
      <c r="LIG510" s="332"/>
      <c r="LIH510" s="332"/>
      <c r="LII510" s="332"/>
      <c r="LIJ510" s="332"/>
      <c r="LIK510" s="332"/>
      <c r="LIL510" s="332"/>
      <c r="LIM510" s="332"/>
      <c r="LIN510" s="332"/>
      <c r="LIO510" s="332"/>
      <c r="LIP510" s="332"/>
      <c r="LIQ510" s="332"/>
      <c r="LIR510" s="332"/>
      <c r="LIS510" s="332"/>
      <c r="LIT510" s="332"/>
      <c r="LIU510" s="332"/>
      <c r="LIV510" s="332"/>
      <c r="LIW510" s="332"/>
      <c r="LIX510" s="332"/>
      <c r="LIY510" s="332"/>
      <c r="LIZ510" s="332"/>
      <c r="LJA510" s="332"/>
      <c r="LJB510" s="332"/>
      <c r="LJC510" s="332"/>
      <c r="LJD510" s="332"/>
      <c r="LJE510" s="332"/>
      <c r="LJF510" s="332"/>
      <c r="LJG510" s="332"/>
      <c r="LJH510" s="332"/>
      <c r="LJI510" s="332"/>
      <c r="LJJ510" s="332"/>
      <c r="LJK510" s="332"/>
      <c r="LJL510" s="332"/>
      <c r="LJM510" s="332"/>
      <c r="LJN510" s="332"/>
      <c r="LJO510" s="332"/>
      <c r="LJP510" s="332"/>
      <c r="LJQ510" s="332"/>
      <c r="LJR510" s="332"/>
      <c r="LJS510" s="332"/>
      <c r="LJT510" s="332"/>
      <c r="LJU510" s="332"/>
      <c r="LJV510" s="332"/>
      <c r="LJW510" s="332"/>
      <c r="LJX510" s="332"/>
      <c r="LJY510" s="332"/>
      <c r="LJZ510" s="332"/>
      <c r="LKA510" s="332"/>
      <c r="LKB510" s="332"/>
      <c r="LKC510" s="332"/>
      <c r="LKD510" s="332"/>
      <c r="LKE510" s="332"/>
      <c r="LKF510" s="332"/>
      <c r="LKG510" s="332"/>
      <c r="LKH510" s="332"/>
      <c r="LKI510" s="332"/>
      <c r="LKJ510" s="332"/>
      <c r="LKK510" s="332"/>
      <c r="LKL510" s="332"/>
      <c r="LKM510" s="332"/>
      <c r="LKN510" s="332"/>
      <c r="LKO510" s="332"/>
      <c r="LKP510" s="332"/>
      <c r="LKQ510" s="332"/>
      <c r="LKR510" s="332"/>
      <c r="LKS510" s="332"/>
      <c r="LKT510" s="332"/>
      <c r="LKU510" s="332"/>
      <c r="LKV510" s="332"/>
      <c r="LKW510" s="332"/>
      <c r="LKX510" s="332"/>
      <c r="LKY510" s="332"/>
      <c r="LKZ510" s="332"/>
      <c r="LLA510" s="332"/>
      <c r="LLB510" s="332"/>
      <c r="LLC510" s="332"/>
      <c r="LLD510" s="332"/>
      <c r="LLE510" s="332"/>
      <c r="LLF510" s="332"/>
      <c r="LLG510" s="332"/>
      <c r="LLH510" s="332"/>
      <c r="LLI510" s="332"/>
      <c r="LLJ510" s="332"/>
      <c r="LLK510" s="332"/>
      <c r="LLL510" s="332"/>
      <c r="LLM510" s="332"/>
      <c r="LLN510" s="332"/>
      <c r="LLO510" s="332"/>
      <c r="LLP510" s="332"/>
      <c r="LLQ510" s="332"/>
      <c r="LLR510" s="332"/>
      <c r="LLS510" s="332"/>
      <c r="LLT510" s="332"/>
      <c r="LLU510" s="332"/>
      <c r="LLV510" s="332"/>
      <c r="LLW510" s="332"/>
      <c r="LLX510" s="332"/>
      <c r="LLY510" s="332"/>
      <c r="LLZ510" s="332"/>
      <c r="LMA510" s="332"/>
      <c r="LMB510" s="332"/>
      <c r="LMC510" s="332"/>
      <c r="LMD510" s="332"/>
      <c r="LME510" s="332"/>
      <c r="LMF510" s="332"/>
      <c r="LMG510" s="332"/>
      <c r="LMH510" s="332"/>
      <c r="LMI510" s="332"/>
      <c r="LMJ510" s="332"/>
      <c r="LMK510" s="332"/>
      <c r="LML510" s="332"/>
      <c r="LMM510" s="332"/>
      <c r="LMN510" s="332"/>
      <c r="LMO510" s="332"/>
      <c r="LMP510" s="332"/>
      <c r="LMQ510" s="332"/>
      <c r="LMR510" s="332"/>
      <c r="LMS510" s="332"/>
      <c r="LMT510" s="332"/>
      <c r="LMU510" s="332"/>
      <c r="LMV510" s="332"/>
      <c r="LMW510" s="332"/>
      <c r="LMX510" s="332"/>
      <c r="LMY510" s="332"/>
      <c r="LMZ510" s="332"/>
      <c r="LNA510" s="332"/>
      <c r="LNB510" s="332"/>
      <c r="LNC510" s="332"/>
      <c r="LND510" s="332"/>
      <c r="LNE510" s="332"/>
      <c r="LNF510" s="332"/>
      <c r="LNG510" s="332"/>
      <c r="LNH510" s="332"/>
      <c r="LNI510" s="332"/>
      <c r="LNJ510" s="332"/>
      <c r="LNK510" s="332"/>
      <c r="LNL510" s="332"/>
      <c r="LNM510" s="332"/>
      <c r="LNN510" s="332"/>
      <c r="LNO510" s="332"/>
      <c r="LNP510" s="332"/>
      <c r="LNQ510" s="332"/>
      <c r="LNR510" s="332"/>
      <c r="LNS510" s="332"/>
      <c r="LNT510" s="332"/>
      <c r="LNU510" s="332"/>
      <c r="LNV510" s="332"/>
      <c r="LNW510" s="332"/>
      <c r="LNX510" s="332"/>
      <c r="LNY510" s="332"/>
      <c r="LNZ510" s="332"/>
      <c r="LOA510" s="332"/>
      <c r="LOB510" s="332"/>
      <c r="LOC510" s="332"/>
      <c r="LOD510" s="332"/>
      <c r="LOE510" s="332"/>
      <c r="LOF510" s="332"/>
      <c r="LOG510" s="332"/>
      <c r="LOH510" s="332"/>
      <c r="LOI510" s="332"/>
      <c r="LOJ510" s="332"/>
      <c r="LOK510" s="332"/>
      <c r="LOL510" s="332"/>
      <c r="LOM510" s="332"/>
      <c r="LON510" s="332"/>
      <c r="LOO510" s="332"/>
      <c r="LOP510" s="332"/>
      <c r="LOQ510" s="332"/>
      <c r="LOR510" s="332"/>
      <c r="LOS510" s="332"/>
      <c r="LOT510" s="332"/>
      <c r="LOU510" s="332"/>
      <c r="LOV510" s="332"/>
      <c r="LOW510" s="332"/>
      <c r="LOX510" s="332"/>
      <c r="LOY510" s="332"/>
      <c r="LOZ510" s="332"/>
      <c r="LPA510" s="332"/>
      <c r="LPB510" s="332"/>
      <c r="LPC510" s="332"/>
      <c r="LPD510" s="332"/>
      <c r="LPE510" s="332"/>
      <c r="LPF510" s="332"/>
      <c r="LPG510" s="332"/>
      <c r="LPH510" s="332"/>
      <c r="LPI510" s="332"/>
      <c r="LPJ510" s="332"/>
      <c r="LPK510" s="332"/>
      <c r="LPL510" s="332"/>
      <c r="LPM510" s="332"/>
      <c r="LPN510" s="332"/>
      <c r="LPO510" s="332"/>
      <c r="LPP510" s="332"/>
      <c r="LPQ510" s="332"/>
      <c r="LPR510" s="332"/>
      <c r="LPS510" s="332"/>
      <c r="LPT510" s="332"/>
      <c r="LPU510" s="332"/>
      <c r="LPV510" s="332"/>
      <c r="LPW510" s="332"/>
      <c r="LPX510" s="332"/>
      <c r="LPY510" s="332"/>
      <c r="LPZ510" s="332"/>
      <c r="LQA510" s="332"/>
      <c r="LQB510" s="332"/>
      <c r="LQC510" s="332"/>
      <c r="LQD510" s="332"/>
      <c r="LQE510" s="332"/>
      <c r="LQF510" s="332"/>
      <c r="LQG510" s="332"/>
      <c r="LQH510" s="332"/>
      <c r="LQI510" s="332"/>
      <c r="LQJ510" s="332"/>
      <c r="LQK510" s="332"/>
      <c r="LQL510" s="332"/>
      <c r="LQM510" s="332"/>
      <c r="LQN510" s="332"/>
      <c r="LQO510" s="332"/>
      <c r="LQP510" s="332"/>
      <c r="LQQ510" s="332"/>
      <c r="LQR510" s="332"/>
      <c r="LQS510" s="332"/>
      <c r="LQT510" s="332"/>
      <c r="LQU510" s="332"/>
      <c r="LQV510" s="332"/>
      <c r="LQW510" s="332"/>
      <c r="LQX510" s="332"/>
      <c r="LQY510" s="332"/>
      <c r="LQZ510" s="332"/>
      <c r="LRA510" s="332"/>
      <c r="LRB510" s="332"/>
      <c r="LRC510" s="332"/>
      <c r="LRD510" s="332"/>
      <c r="LRE510" s="332"/>
      <c r="LRF510" s="332"/>
      <c r="LRG510" s="332"/>
      <c r="LRH510" s="332"/>
      <c r="LRI510" s="332"/>
      <c r="LRJ510" s="332"/>
      <c r="LRK510" s="332"/>
      <c r="LRL510" s="332"/>
      <c r="LRM510" s="332"/>
      <c r="LRN510" s="332"/>
      <c r="LRO510" s="332"/>
      <c r="LRP510" s="332"/>
      <c r="LRQ510" s="332"/>
      <c r="LRR510" s="332"/>
      <c r="LRS510" s="332"/>
      <c r="LRT510" s="332"/>
      <c r="LRU510" s="332"/>
      <c r="LRV510" s="332"/>
      <c r="LRW510" s="332"/>
      <c r="LRX510" s="332"/>
      <c r="LRY510" s="332"/>
      <c r="LRZ510" s="332"/>
      <c r="LSA510" s="332"/>
      <c r="LSB510" s="332"/>
      <c r="LSC510" s="332"/>
      <c r="LSD510" s="332"/>
      <c r="LSE510" s="332"/>
      <c r="LSF510" s="332"/>
      <c r="LSG510" s="332"/>
      <c r="LSH510" s="332"/>
      <c r="LSI510" s="332"/>
      <c r="LSJ510" s="332"/>
      <c r="LSK510" s="332"/>
      <c r="LSL510" s="332"/>
      <c r="LSM510" s="332"/>
      <c r="LSN510" s="332"/>
      <c r="LSO510" s="332"/>
      <c r="LSP510" s="332"/>
      <c r="LSQ510" s="332"/>
      <c r="LSR510" s="332"/>
      <c r="LSS510" s="332"/>
      <c r="LST510" s="332"/>
      <c r="LSU510" s="332"/>
      <c r="LSV510" s="332"/>
      <c r="LSW510" s="332"/>
      <c r="LSX510" s="332"/>
      <c r="LSY510" s="332"/>
      <c r="LSZ510" s="332"/>
      <c r="LTA510" s="332"/>
      <c r="LTB510" s="332"/>
      <c r="LTC510" s="332"/>
      <c r="LTD510" s="332"/>
      <c r="LTE510" s="332"/>
      <c r="LTF510" s="332"/>
      <c r="LTG510" s="332"/>
      <c r="LTH510" s="332"/>
      <c r="LTI510" s="332"/>
      <c r="LTJ510" s="332"/>
      <c r="LTK510" s="332"/>
      <c r="LTL510" s="332"/>
      <c r="LTM510" s="332"/>
      <c r="LTN510" s="332"/>
      <c r="LTO510" s="332"/>
      <c r="LTP510" s="332"/>
      <c r="LTQ510" s="332"/>
      <c r="LTR510" s="332"/>
      <c r="LTS510" s="332"/>
      <c r="LTT510" s="332"/>
      <c r="LTU510" s="332"/>
      <c r="LTV510" s="332"/>
      <c r="LTW510" s="332"/>
      <c r="LTX510" s="332"/>
      <c r="LTY510" s="332"/>
      <c r="LTZ510" s="332"/>
      <c r="LUA510" s="332"/>
      <c r="LUB510" s="332"/>
      <c r="LUC510" s="332"/>
      <c r="LUD510" s="332"/>
      <c r="LUE510" s="332"/>
      <c r="LUF510" s="332"/>
      <c r="LUG510" s="332"/>
      <c r="LUH510" s="332"/>
      <c r="LUI510" s="332"/>
      <c r="LUJ510" s="332"/>
      <c r="LUK510" s="332"/>
      <c r="LUL510" s="332"/>
      <c r="LUM510" s="332"/>
      <c r="LUN510" s="332"/>
      <c r="LUO510" s="332"/>
      <c r="LUP510" s="332"/>
      <c r="LUQ510" s="332"/>
      <c r="LUR510" s="332"/>
      <c r="LUS510" s="332"/>
      <c r="LUT510" s="332"/>
      <c r="LUU510" s="332"/>
      <c r="LUV510" s="332"/>
      <c r="LUW510" s="332"/>
      <c r="LUX510" s="332"/>
      <c r="LUY510" s="332"/>
      <c r="LUZ510" s="332"/>
      <c r="LVA510" s="332"/>
      <c r="LVB510" s="332"/>
      <c r="LVC510" s="332"/>
      <c r="LVD510" s="332"/>
      <c r="LVE510" s="332"/>
      <c r="LVF510" s="332"/>
      <c r="LVG510" s="332"/>
      <c r="LVH510" s="332"/>
      <c r="LVI510" s="332"/>
      <c r="LVJ510" s="332"/>
      <c r="LVK510" s="332"/>
      <c r="LVL510" s="332"/>
      <c r="LVM510" s="332"/>
      <c r="LVN510" s="332"/>
      <c r="LVO510" s="332"/>
      <c r="LVP510" s="332"/>
      <c r="LVQ510" s="332"/>
      <c r="LVR510" s="332"/>
      <c r="LVS510" s="332"/>
      <c r="LVT510" s="332"/>
      <c r="LVU510" s="332"/>
      <c r="LVV510" s="332"/>
      <c r="LVW510" s="332"/>
      <c r="LVX510" s="332"/>
      <c r="LVY510" s="332"/>
      <c r="LVZ510" s="332"/>
      <c r="LWA510" s="332"/>
      <c r="LWB510" s="332"/>
      <c r="LWC510" s="332"/>
      <c r="LWD510" s="332"/>
      <c r="LWE510" s="332"/>
      <c r="LWF510" s="332"/>
      <c r="LWG510" s="332"/>
      <c r="LWH510" s="332"/>
      <c r="LWI510" s="332"/>
      <c r="LWJ510" s="332"/>
      <c r="LWK510" s="332"/>
      <c r="LWL510" s="332"/>
      <c r="LWM510" s="332"/>
      <c r="LWN510" s="332"/>
      <c r="LWO510" s="332"/>
      <c r="LWP510" s="332"/>
      <c r="LWQ510" s="332"/>
      <c r="LWR510" s="332"/>
      <c r="LWS510" s="332"/>
      <c r="LWT510" s="332"/>
      <c r="LWU510" s="332"/>
      <c r="LWV510" s="332"/>
      <c r="LWW510" s="332"/>
      <c r="LWX510" s="332"/>
      <c r="LWY510" s="332"/>
      <c r="LWZ510" s="332"/>
      <c r="LXA510" s="332"/>
      <c r="LXB510" s="332"/>
      <c r="LXC510" s="332"/>
      <c r="LXD510" s="332"/>
      <c r="LXE510" s="332"/>
      <c r="LXF510" s="332"/>
      <c r="LXG510" s="332"/>
      <c r="LXH510" s="332"/>
      <c r="LXI510" s="332"/>
      <c r="LXJ510" s="332"/>
      <c r="LXK510" s="332"/>
      <c r="LXL510" s="332"/>
      <c r="LXM510" s="332"/>
      <c r="LXN510" s="332"/>
      <c r="LXO510" s="332"/>
      <c r="LXP510" s="332"/>
      <c r="LXQ510" s="332"/>
      <c r="LXR510" s="332"/>
      <c r="LXS510" s="332"/>
      <c r="LXT510" s="332"/>
      <c r="LXU510" s="332"/>
      <c r="LXV510" s="332"/>
      <c r="LXW510" s="332"/>
      <c r="LXX510" s="332"/>
      <c r="LXY510" s="332"/>
      <c r="LXZ510" s="332"/>
      <c r="LYA510" s="332"/>
      <c r="LYB510" s="332"/>
      <c r="LYC510" s="332"/>
      <c r="LYD510" s="332"/>
      <c r="LYE510" s="332"/>
      <c r="LYF510" s="332"/>
      <c r="LYG510" s="332"/>
      <c r="LYH510" s="332"/>
      <c r="LYI510" s="332"/>
      <c r="LYJ510" s="332"/>
      <c r="LYK510" s="332"/>
      <c r="LYL510" s="332"/>
      <c r="LYM510" s="332"/>
      <c r="LYN510" s="332"/>
      <c r="LYO510" s="332"/>
      <c r="LYP510" s="332"/>
      <c r="LYQ510" s="332"/>
      <c r="LYR510" s="332"/>
      <c r="LYS510" s="332"/>
      <c r="LYT510" s="332"/>
      <c r="LYU510" s="332"/>
      <c r="LYV510" s="332"/>
      <c r="LYW510" s="332"/>
      <c r="LYX510" s="332"/>
      <c r="LYY510" s="332"/>
      <c r="LYZ510" s="332"/>
      <c r="LZA510" s="332"/>
      <c r="LZB510" s="332"/>
      <c r="LZC510" s="332"/>
      <c r="LZD510" s="332"/>
      <c r="LZE510" s="332"/>
      <c r="LZF510" s="332"/>
      <c r="LZG510" s="332"/>
      <c r="LZH510" s="332"/>
      <c r="LZI510" s="332"/>
      <c r="LZJ510" s="332"/>
      <c r="LZK510" s="332"/>
      <c r="LZL510" s="332"/>
      <c r="LZM510" s="332"/>
      <c r="LZN510" s="332"/>
      <c r="LZO510" s="332"/>
      <c r="LZP510" s="332"/>
      <c r="LZQ510" s="332"/>
      <c r="LZR510" s="332"/>
      <c r="LZS510" s="332"/>
      <c r="LZT510" s="332"/>
      <c r="LZU510" s="332"/>
      <c r="LZV510" s="332"/>
      <c r="LZW510" s="332"/>
      <c r="LZX510" s="332"/>
      <c r="LZY510" s="332"/>
      <c r="LZZ510" s="332"/>
      <c r="MAA510" s="332"/>
      <c r="MAB510" s="332"/>
      <c r="MAC510" s="332"/>
      <c r="MAD510" s="332"/>
      <c r="MAE510" s="332"/>
      <c r="MAF510" s="332"/>
      <c r="MAG510" s="332"/>
      <c r="MAH510" s="332"/>
      <c r="MAI510" s="332"/>
      <c r="MAJ510" s="332"/>
      <c r="MAK510" s="332"/>
      <c r="MAL510" s="332"/>
      <c r="MAM510" s="332"/>
      <c r="MAN510" s="332"/>
      <c r="MAO510" s="332"/>
      <c r="MAP510" s="332"/>
      <c r="MAQ510" s="332"/>
      <c r="MAR510" s="332"/>
      <c r="MAS510" s="332"/>
      <c r="MAT510" s="332"/>
      <c r="MAU510" s="332"/>
      <c r="MAV510" s="332"/>
      <c r="MAW510" s="332"/>
      <c r="MAX510" s="332"/>
      <c r="MAY510" s="332"/>
      <c r="MAZ510" s="332"/>
      <c r="MBA510" s="332"/>
      <c r="MBB510" s="332"/>
      <c r="MBC510" s="332"/>
      <c r="MBD510" s="332"/>
      <c r="MBE510" s="332"/>
      <c r="MBF510" s="332"/>
      <c r="MBG510" s="332"/>
      <c r="MBH510" s="332"/>
      <c r="MBI510" s="332"/>
      <c r="MBJ510" s="332"/>
      <c r="MBK510" s="332"/>
      <c r="MBL510" s="332"/>
      <c r="MBM510" s="332"/>
      <c r="MBN510" s="332"/>
      <c r="MBO510" s="332"/>
      <c r="MBP510" s="332"/>
      <c r="MBQ510" s="332"/>
      <c r="MBR510" s="332"/>
      <c r="MBS510" s="332"/>
      <c r="MBT510" s="332"/>
      <c r="MBU510" s="332"/>
      <c r="MBV510" s="332"/>
      <c r="MBW510" s="332"/>
      <c r="MBX510" s="332"/>
      <c r="MBY510" s="332"/>
      <c r="MBZ510" s="332"/>
      <c r="MCA510" s="332"/>
      <c r="MCB510" s="332"/>
      <c r="MCC510" s="332"/>
      <c r="MCD510" s="332"/>
      <c r="MCE510" s="332"/>
      <c r="MCF510" s="332"/>
      <c r="MCG510" s="332"/>
      <c r="MCH510" s="332"/>
      <c r="MCI510" s="332"/>
      <c r="MCJ510" s="332"/>
      <c r="MCK510" s="332"/>
      <c r="MCL510" s="332"/>
      <c r="MCM510" s="332"/>
      <c r="MCN510" s="332"/>
      <c r="MCO510" s="332"/>
      <c r="MCP510" s="332"/>
      <c r="MCQ510" s="332"/>
      <c r="MCR510" s="332"/>
      <c r="MCS510" s="332"/>
      <c r="MCT510" s="332"/>
      <c r="MCU510" s="332"/>
      <c r="MCV510" s="332"/>
      <c r="MCW510" s="332"/>
      <c r="MCX510" s="332"/>
      <c r="MCY510" s="332"/>
      <c r="MCZ510" s="332"/>
      <c r="MDA510" s="332"/>
      <c r="MDB510" s="332"/>
      <c r="MDC510" s="332"/>
      <c r="MDD510" s="332"/>
      <c r="MDE510" s="332"/>
      <c r="MDF510" s="332"/>
      <c r="MDG510" s="332"/>
      <c r="MDH510" s="332"/>
      <c r="MDI510" s="332"/>
      <c r="MDJ510" s="332"/>
      <c r="MDK510" s="332"/>
      <c r="MDL510" s="332"/>
      <c r="MDM510" s="332"/>
      <c r="MDN510" s="332"/>
      <c r="MDO510" s="332"/>
      <c r="MDP510" s="332"/>
      <c r="MDQ510" s="332"/>
      <c r="MDR510" s="332"/>
      <c r="MDS510" s="332"/>
      <c r="MDT510" s="332"/>
      <c r="MDU510" s="332"/>
      <c r="MDV510" s="332"/>
      <c r="MDW510" s="332"/>
      <c r="MDX510" s="332"/>
      <c r="MDY510" s="332"/>
      <c r="MDZ510" s="332"/>
      <c r="MEA510" s="332"/>
      <c r="MEB510" s="332"/>
      <c r="MEC510" s="332"/>
      <c r="MED510" s="332"/>
      <c r="MEE510" s="332"/>
      <c r="MEF510" s="332"/>
      <c r="MEG510" s="332"/>
      <c r="MEH510" s="332"/>
      <c r="MEI510" s="332"/>
      <c r="MEJ510" s="332"/>
      <c r="MEK510" s="332"/>
      <c r="MEL510" s="332"/>
      <c r="MEM510" s="332"/>
      <c r="MEN510" s="332"/>
      <c r="MEO510" s="332"/>
      <c r="MEP510" s="332"/>
      <c r="MEQ510" s="332"/>
      <c r="MER510" s="332"/>
      <c r="MES510" s="332"/>
      <c r="MET510" s="332"/>
      <c r="MEU510" s="332"/>
      <c r="MEV510" s="332"/>
      <c r="MEW510" s="332"/>
      <c r="MEX510" s="332"/>
      <c r="MEY510" s="332"/>
      <c r="MEZ510" s="332"/>
      <c r="MFA510" s="332"/>
      <c r="MFB510" s="332"/>
      <c r="MFC510" s="332"/>
      <c r="MFD510" s="332"/>
      <c r="MFE510" s="332"/>
      <c r="MFF510" s="332"/>
      <c r="MFG510" s="332"/>
      <c r="MFH510" s="332"/>
      <c r="MFI510" s="332"/>
      <c r="MFJ510" s="332"/>
      <c r="MFK510" s="332"/>
      <c r="MFL510" s="332"/>
      <c r="MFM510" s="332"/>
      <c r="MFN510" s="332"/>
      <c r="MFO510" s="332"/>
      <c r="MFP510" s="332"/>
      <c r="MFQ510" s="332"/>
      <c r="MFR510" s="332"/>
      <c r="MFS510" s="332"/>
      <c r="MFT510" s="332"/>
      <c r="MFU510" s="332"/>
      <c r="MFV510" s="332"/>
      <c r="MFW510" s="332"/>
      <c r="MFX510" s="332"/>
      <c r="MFY510" s="332"/>
      <c r="MFZ510" s="332"/>
      <c r="MGA510" s="332"/>
      <c r="MGB510" s="332"/>
      <c r="MGC510" s="332"/>
      <c r="MGD510" s="332"/>
      <c r="MGE510" s="332"/>
      <c r="MGF510" s="332"/>
      <c r="MGG510" s="332"/>
      <c r="MGH510" s="332"/>
      <c r="MGI510" s="332"/>
      <c r="MGJ510" s="332"/>
      <c r="MGK510" s="332"/>
      <c r="MGL510" s="332"/>
      <c r="MGM510" s="332"/>
      <c r="MGN510" s="332"/>
      <c r="MGO510" s="332"/>
      <c r="MGP510" s="332"/>
      <c r="MGQ510" s="332"/>
      <c r="MGR510" s="332"/>
      <c r="MGS510" s="332"/>
      <c r="MGT510" s="332"/>
      <c r="MGU510" s="332"/>
      <c r="MGV510" s="332"/>
      <c r="MGW510" s="332"/>
      <c r="MGX510" s="332"/>
      <c r="MGY510" s="332"/>
      <c r="MGZ510" s="332"/>
      <c r="MHA510" s="332"/>
      <c r="MHB510" s="332"/>
      <c r="MHC510" s="332"/>
      <c r="MHD510" s="332"/>
      <c r="MHE510" s="332"/>
      <c r="MHF510" s="332"/>
      <c r="MHG510" s="332"/>
      <c r="MHH510" s="332"/>
      <c r="MHI510" s="332"/>
      <c r="MHJ510" s="332"/>
      <c r="MHK510" s="332"/>
      <c r="MHL510" s="332"/>
      <c r="MHM510" s="332"/>
      <c r="MHN510" s="332"/>
      <c r="MHO510" s="332"/>
      <c r="MHP510" s="332"/>
      <c r="MHQ510" s="332"/>
      <c r="MHR510" s="332"/>
      <c r="MHS510" s="332"/>
      <c r="MHT510" s="332"/>
      <c r="MHU510" s="332"/>
      <c r="MHV510" s="332"/>
      <c r="MHW510" s="332"/>
      <c r="MHX510" s="332"/>
      <c r="MHY510" s="332"/>
      <c r="MHZ510" s="332"/>
      <c r="MIA510" s="332"/>
      <c r="MIB510" s="332"/>
      <c r="MIC510" s="332"/>
      <c r="MID510" s="332"/>
      <c r="MIE510" s="332"/>
      <c r="MIF510" s="332"/>
      <c r="MIG510" s="332"/>
      <c r="MIH510" s="332"/>
      <c r="MII510" s="332"/>
      <c r="MIJ510" s="332"/>
      <c r="MIK510" s="332"/>
      <c r="MIL510" s="332"/>
      <c r="MIM510" s="332"/>
      <c r="MIN510" s="332"/>
      <c r="MIO510" s="332"/>
      <c r="MIP510" s="332"/>
      <c r="MIQ510" s="332"/>
      <c r="MIR510" s="332"/>
      <c r="MIS510" s="332"/>
      <c r="MIT510" s="332"/>
      <c r="MIU510" s="332"/>
      <c r="MIV510" s="332"/>
      <c r="MIW510" s="332"/>
      <c r="MIX510" s="332"/>
      <c r="MIY510" s="332"/>
      <c r="MIZ510" s="332"/>
      <c r="MJA510" s="332"/>
      <c r="MJB510" s="332"/>
      <c r="MJC510" s="332"/>
      <c r="MJD510" s="332"/>
      <c r="MJE510" s="332"/>
      <c r="MJF510" s="332"/>
      <c r="MJG510" s="332"/>
      <c r="MJH510" s="332"/>
      <c r="MJI510" s="332"/>
      <c r="MJJ510" s="332"/>
      <c r="MJK510" s="332"/>
      <c r="MJL510" s="332"/>
      <c r="MJM510" s="332"/>
      <c r="MJN510" s="332"/>
      <c r="MJO510" s="332"/>
      <c r="MJP510" s="332"/>
      <c r="MJQ510" s="332"/>
      <c r="MJR510" s="332"/>
      <c r="MJS510" s="332"/>
      <c r="MJT510" s="332"/>
      <c r="MJU510" s="332"/>
      <c r="MJV510" s="332"/>
      <c r="MJW510" s="332"/>
      <c r="MJX510" s="332"/>
      <c r="MJY510" s="332"/>
      <c r="MJZ510" s="332"/>
      <c r="MKA510" s="332"/>
      <c r="MKB510" s="332"/>
      <c r="MKC510" s="332"/>
      <c r="MKD510" s="332"/>
      <c r="MKE510" s="332"/>
      <c r="MKF510" s="332"/>
      <c r="MKG510" s="332"/>
      <c r="MKH510" s="332"/>
      <c r="MKI510" s="332"/>
      <c r="MKJ510" s="332"/>
      <c r="MKK510" s="332"/>
      <c r="MKL510" s="332"/>
      <c r="MKM510" s="332"/>
      <c r="MKN510" s="332"/>
      <c r="MKO510" s="332"/>
      <c r="MKP510" s="332"/>
      <c r="MKQ510" s="332"/>
      <c r="MKR510" s="332"/>
      <c r="MKS510" s="332"/>
      <c r="MKT510" s="332"/>
      <c r="MKU510" s="332"/>
      <c r="MKV510" s="332"/>
      <c r="MKW510" s="332"/>
      <c r="MKX510" s="332"/>
      <c r="MKY510" s="332"/>
      <c r="MKZ510" s="332"/>
      <c r="MLA510" s="332"/>
      <c r="MLB510" s="332"/>
      <c r="MLC510" s="332"/>
      <c r="MLD510" s="332"/>
      <c r="MLE510" s="332"/>
      <c r="MLF510" s="332"/>
      <c r="MLG510" s="332"/>
      <c r="MLH510" s="332"/>
      <c r="MLI510" s="332"/>
      <c r="MLJ510" s="332"/>
      <c r="MLK510" s="332"/>
      <c r="MLL510" s="332"/>
      <c r="MLM510" s="332"/>
      <c r="MLN510" s="332"/>
      <c r="MLO510" s="332"/>
      <c r="MLP510" s="332"/>
      <c r="MLQ510" s="332"/>
      <c r="MLR510" s="332"/>
      <c r="MLS510" s="332"/>
      <c r="MLT510" s="332"/>
      <c r="MLU510" s="332"/>
      <c r="MLV510" s="332"/>
      <c r="MLW510" s="332"/>
      <c r="MLX510" s="332"/>
      <c r="MLY510" s="332"/>
      <c r="MLZ510" s="332"/>
      <c r="MMA510" s="332"/>
      <c r="MMB510" s="332"/>
      <c r="MMC510" s="332"/>
      <c r="MMD510" s="332"/>
      <c r="MME510" s="332"/>
      <c r="MMF510" s="332"/>
      <c r="MMG510" s="332"/>
      <c r="MMH510" s="332"/>
      <c r="MMI510" s="332"/>
      <c r="MMJ510" s="332"/>
      <c r="MMK510" s="332"/>
      <c r="MML510" s="332"/>
      <c r="MMM510" s="332"/>
      <c r="MMN510" s="332"/>
      <c r="MMO510" s="332"/>
      <c r="MMP510" s="332"/>
      <c r="MMQ510" s="332"/>
      <c r="MMR510" s="332"/>
      <c r="MMS510" s="332"/>
      <c r="MMT510" s="332"/>
      <c r="MMU510" s="332"/>
      <c r="MMV510" s="332"/>
      <c r="MMW510" s="332"/>
      <c r="MMX510" s="332"/>
      <c r="MMY510" s="332"/>
      <c r="MMZ510" s="332"/>
      <c r="MNA510" s="332"/>
      <c r="MNB510" s="332"/>
      <c r="MNC510" s="332"/>
      <c r="MND510" s="332"/>
      <c r="MNE510" s="332"/>
      <c r="MNF510" s="332"/>
      <c r="MNG510" s="332"/>
      <c r="MNH510" s="332"/>
      <c r="MNI510" s="332"/>
      <c r="MNJ510" s="332"/>
      <c r="MNK510" s="332"/>
      <c r="MNL510" s="332"/>
      <c r="MNM510" s="332"/>
      <c r="MNN510" s="332"/>
      <c r="MNO510" s="332"/>
      <c r="MNP510" s="332"/>
      <c r="MNQ510" s="332"/>
      <c r="MNR510" s="332"/>
      <c r="MNS510" s="332"/>
      <c r="MNT510" s="332"/>
      <c r="MNU510" s="332"/>
      <c r="MNV510" s="332"/>
      <c r="MNW510" s="332"/>
      <c r="MNX510" s="332"/>
      <c r="MNY510" s="332"/>
      <c r="MNZ510" s="332"/>
      <c r="MOA510" s="332"/>
      <c r="MOB510" s="332"/>
      <c r="MOC510" s="332"/>
      <c r="MOD510" s="332"/>
      <c r="MOE510" s="332"/>
      <c r="MOF510" s="332"/>
      <c r="MOG510" s="332"/>
      <c r="MOH510" s="332"/>
      <c r="MOI510" s="332"/>
      <c r="MOJ510" s="332"/>
      <c r="MOK510" s="332"/>
      <c r="MOL510" s="332"/>
      <c r="MOM510" s="332"/>
      <c r="MON510" s="332"/>
      <c r="MOO510" s="332"/>
      <c r="MOP510" s="332"/>
      <c r="MOQ510" s="332"/>
      <c r="MOR510" s="332"/>
      <c r="MOS510" s="332"/>
      <c r="MOT510" s="332"/>
      <c r="MOU510" s="332"/>
      <c r="MOV510" s="332"/>
      <c r="MOW510" s="332"/>
      <c r="MOX510" s="332"/>
      <c r="MOY510" s="332"/>
      <c r="MOZ510" s="332"/>
      <c r="MPA510" s="332"/>
      <c r="MPB510" s="332"/>
      <c r="MPC510" s="332"/>
      <c r="MPD510" s="332"/>
      <c r="MPE510" s="332"/>
      <c r="MPF510" s="332"/>
      <c r="MPG510" s="332"/>
      <c r="MPH510" s="332"/>
      <c r="MPI510" s="332"/>
      <c r="MPJ510" s="332"/>
      <c r="MPK510" s="332"/>
      <c r="MPL510" s="332"/>
      <c r="MPM510" s="332"/>
      <c r="MPN510" s="332"/>
      <c r="MPO510" s="332"/>
      <c r="MPP510" s="332"/>
      <c r="MPQ510" s="332"/>
      <c r="MPR510" s="332"/>
      <c r="MPS510" s="332"/>
      <c r="MPT510" s="332"/>
      <c r="MPU510" s="332"/>
      <c r="MPV510" s="332"/>
      <c r="MPW510" s="332"/>
      <c r="MPX510" s="332"/>
      <c r="MPY510" s="332"/>
      <c r="MPZ510" s="332"/>
      <c r="MQA510" s="332"/>
      <c r="MQB510" s="332"/>
      <c r="MQC510" s="332"/>
      <c r="MQD510" s="332"/>
      <c r="MQE510" s="332"/>
      <c r="MQF510" s="332"/>
      <c r="MQG510" s="332"/>
      <c r="MQH510" s="332"/>
      <c r="MQI510" s="332"/>
      <c r="MQJ510" s="332"/>
      <c r="MQK510" s="332"/>
      <c r="MQL510" s="332"/>
      <c r="MQM510" s="332"/>
      <c r="MQN510" s="332"/>
      <c r="MQO510" s="332"/>
      <c r="MQP510" s="332"/>
      <c r="MQQ510" s="332"/>
      <c r="MQR510" s="332"/>
      <c r="MQS510" s="332"/>
      <c r="MQT510" s="332"/>
      <c r="MQU510" s="332"/>
      <c r="MQV510" s="332"/>
      <c r="MQW510" s="332"/>
      <c r="MQX510" s="332"/>
      <c r="MQY510" s="332"/>
      <c r="MQZ510" s="332"/>
      <c r="MRA510" s="332"/>
      <c r="MRB510" s="332"/>
      <c r="MRC510" s="332"/>
      <c r="MRD510" s="332"/>
      <c r="MRE510" s="332"/>
      <c r="MRF510" s="332"/>
      <c r="MRG510" s="332"/>
      <c r="MRH510" s="332"/>
      <c r="MRI510" s="332"/>
      <c r="MRJ510" s="332"/>
      <c r="MRK510" s="332"/>
      <c r="MRL510" s="332"/>
      <c r="MRM510" s="332"/>
      <c r="MRN510" s="332"/>
      <c r="MRO510" s="332"/>
      <c r="MRP510" s="332"/>
      <c r="MRQ510" s="332"/>
      <c r="MRR510" s="332"/>
      <c r="MRS510" s="332"/>
      <c r="MRT510" s="332"/>
      <c r="MRU510" s="332"/>
      <c r="MRV510" s="332"/>
      <c r="MRW510" s="332"/>
      <c r="MRX510" s="332"/>
      <c r="MRY510" s="332"/>
      <c r="MRZ510" s="332"/>
      <c r="MSA510" s="332"/>
      <c r="MSB510" s="332"/>
      <c r="MSC510" s="332"/>
      <c r="MSD510" s="332"/>
      <c r="MSE510" s="332"/>
      <c r="MSF510" s="332"/>
      <c r="MSG510" s="332"/>
      <c r="MSH510" s="332"/>
      <c r="MSI510" s="332"/>
      <c r="MSJ510" s="332"/>
      <c r="MSK510" s="332"/>
      <c r="MSL510" s="332"/>
      <c r="MSM510" s="332"/>
      <c r="MSN510" s="332"/>
      <c r="MSO510" s="332"/>
      <c r="MSP510" s="332"/>
      <c r="MSQ510" s="332"/>
      <c r="MSR510" s="332"/>
      <c r="MSS510" s="332"/>
      <c r="MST510" s="332"/>
      <c r="MSU510" s="332"/>
      <c r="MSV510" s="332"/>
      <c r="MSW510" s="332"/>
      <c r="MSX510" s="332"/>
      <c r="MSY510" s="332"/>
      <c r="MSZ510" s="332"/>
      <c r="MTA510" s="332"/>
      <c r="MTB510" s="332"/>
      <c r="MTC510" s="332"/>
      <c r="MTD510" s="332"/>
      <c r="MTE510" s="332"/>
      <c r="MTF510" s="332"/>
      <c r="MTG510" s="332"/>
      <c r="MTH510" s="332"/>
      <c r="MTI510" s="332"/>
      <c r="MTJ510" s="332"/>
      <c r="MTK510" s="332"/>
      <c r="MTL510" s="332"/>
      <c r="MTM510" s="332"/>
      <c r="MTN510" s="332"/>
      <c r="MTO510" s="332"/>
      <c r="MTP510" s="332"/>
      <c r="MTQ510" s="332"/>
      <c r="MTR510" s="332"/>
      <c r="MTS510" s="332"/>
      <c r="MTT510" s="332"/>
      <c r="MTU510" s="332"/>
      <c r="MTV510" s="332"/>
      <c r="MTW510" s="332"/>
      <c r="MTX510" s="332"/>
      <c r="MTY510" s="332"/>
      <c r="MTZ510" s="332"/>
      <c r="MUA510" s="332"/>
      <c r="MUB510" s="332"/>
      <c r="MUC510" s="332"/>
      <c r="MUD510" s="332"/>
      <c r="MUE510" s="332"/>
      <c r="MUF510" s="332"/>
      <c r="MUG510" s="332"/>
      <c r="MUH510" s="332"/>
      <c r="MUI510" s="332"/>
      <c r="MUJ510" s="332"/>
      <c r="MUK510" s="332"/>
      <c r="MUL510" s="332"/>
      <c r="MUM510" s="332"/>
      <c r="MUN510" s="332"/>
      <c r="MUO510" s="332"/>
      <c r="MUP510" s="332"/>
      <c r="MUQ510" s="332"/>
      <c r="MUR510" s="332"/>
      <c r="MUS510" s="332"/>
      <c r="MUT510" s="332"/>
      <c r="MUU510" s="332"/>
      <c r="MUV510" s="332"/>
      <c r="MUW510" s="332"/>
      <c r="MUX510" s="332"/>
      <c r="MUY510" s="332"/>
      <c r="MUZ510" s="332"/>
      <c r="MVA510" s="332"/>
      <c r="MVB510" s="332"/>
      <c r="MVC510" s="332"/>
      <c r="MVD510" s="332"/>
      <c r="MVE510" s="332"/>
      <c r="MVF510" s="332"/>
      <c r="MVG510" s="332"/>
      <c r="MVH510" s="332"/>
      <c r="MVI510" s="332"/>
      <c r="MVJ510" s="332"/>
      <c r="MVK510" s="332"/>
      <c r="MVL510" s="332"/>
      <c r="MVM510" s="332"/>
      <c r="MVN510" s="332"/>
      <c r="MVO510" s="332"/>
      <c r="MVP510" s="332"/>
      <c r="MVQ510" s="332"/>
      <c r="MVR510" s="332"/>
      <c r="MVS510" s="332"/>
      <c r="MVT510" s="332"/>
      <c r="MVU510" s="332"/>
      <c r="MVV510" s="332"/>
      <c r="MVW510" s="332"/>
      <c r="MVX510" s="332"/>
      <c r="MVY510" s="332"/>
      <c r="MVZ510" s="332"/>
      <c r="MWA510" s="332"/>
      <c r="MWB510" s="332"/>
      <c r="MWC510" s="332"/>
      <c r="MWD510" s="332"/>
      <c r="MWE510" s="332"/>
      <c r="MWF510" s="332"/>
      <c r="MWG510" s="332"/>
      <c r="MWH510" s="332"/>
      <c r="MWI510" s="332"/>
      <c r="MWJ510" s="332"/>
      <c r="MWK510" s="332"/>
      <c r="MWL510" s="332"/>
      <c r="MWM510" s="332"/>
      <c r="MWN510" s="332"/>
      <c r="MWO510" s="332"/>
      <c r="MWP510" s="332"/>
      <c r="MWQ510" s="332"/>
      <c r="MWR510" s="332"/>
      <c r="MWS510" s="332"/>
      <c r="MWT510" s="332"/>
      <c r="MWU510" s="332"/>
      <c r="MWV510" s="332"/>
      <c r="MWW510" s="332"/>
      <c r="MWX510" s="332"/>
      <c r="MWY510" s="332"/>
      <c r="MWZ510" s="332"/>
      <c r="MXA510" s="332"/>
      <c r="MXB510" s="332"/>
      <c r="MXC510" s="332"/>
      <c r="MXD510" s="332"/>
      <c r="MXE510" s="332"/>
      <c r="MXF510" s="332"/>
      <c r="MXG510" s="332"/>
      <c r="MXH510" s="332"/>
      <c r="MXI510" s="332"/>
      <c r="MXJ510" s="332"/>
      <c r="MXK510" s="332"/>
      <c r="MXL510" s="332"/>
      <c r="MXM510" s="332"/>
      <c r="MXN510" s="332"/>
      <c r="MXO510" s="332"/>
      <c r="MXP510" s="332"/>
      <c r="MXQ510" s="332"/>
      <c r="MXR510" s="332"/>
      <c r="MXS510" s="332"/>
      <c r="MXT510" s="332"/>
      <c r="MXU510" s="332"/>
      <c r="MXV510" s="332"/>
      <c r="MXW510" s="332"/>
      <c r="MXX510" s="332"/>
      <c r="MXY510" s="332"/>
      <c r="MXZ510" s="332"/>
      <c r="MYA510" s="332"/>
      <c r="MYB510" s="332"/>
      <c r="MYC510" s="332"/>
      <c r="MYD510" s="332"/>
      <c r="MYE510" s="332"/>
      <c r="MYF510" s="332"/>
      <c r="MYG510" s="332"/>
      <c r="MYH510" s="332"/>
      <c r="MYI510" s="332"/>
      <c r="MYJ510" s="332"/>
      <c r="MYK510" s="332"/>
      <c r="MYL510" s="332"/>
      <c r="MYM510" s="332"/>
      <c r="MYN510" s="332"/>
      <c r="MYO510" s="332"/>
      <c r="MYP510" s="332"/>
      <c r="MYQ510" s="332"/>
      <c r="MYR510" s="332"/>
      <c r="MYS510" s="332"/>
      <c r="MYT510" s="332"/>
      <c r="MYU510" s="332"/>
      <c r="MYV510" s="332"/>
      <c r="MYW510" s="332"/>
      <c r="MYX510" s="332"/>
      <c r="MYY510" s="332"/>
      <c r="MYZ510" s="332"/>
      <c r="MZA510" s="332"/>
      <c r="MZB510" s="332"/>
      <c r="MZC510" s="332"/>
      <c r="MZD510" s="332"/>
      <c r="MZE510" s="332"/>
      <c r="MZF510" s="332"/>
      <c r="MZG510" s="332"/>
      <c r="MZH510" s="332"/>
      <c r="MZI510" s="332"/>
      <c r="MZJ510" s="332"/>
      <c r="MZK510" s="332"/>
      <c r="MZL510" s="332"/>
      <c r="MZM510" s="332"/>
      <c r="MZN510" s="332"/>
      <c r="MZO510" s="332"/>
      <c r="MZP510" s="332"/>
      <c r="MZQ510" s="332"/>
      <c r="MZR510" s="332"/>
      <c r="MZS510" s="332"/>
      <c r="MZT510" s="332"/>
      <c r="MZU510" s="332"/>
      <c r="MZV510" s="332"/>
      <c r="MZW510" s="332"/>
      <c r="MZX510" s="332"/>
      <c r="MZY510" s="332"/>
      <c r="MZZ510" s="332"/>
      <c r="NAA510" s="332"/>
      <c r="NAB510" s="332"/>
      <c r="NAC510" s="332"/>
      <c r="NAD510" s="332"/>
      <c r="NAE510" s="332"/>
      <c r="NAF510" s="332"/>
      <c r="NAG510" s="332"/>
      <c r="NAH510" s="332"/>
      <c r="NAI510" s="332"/>
      <c r="NAJ510" s="332"/>
      <c r="NAK510" s="332"/>
      <c r="NAL510" s="332"/>
      <c r="NAM510" s="332"/>
      <c r="NAN510" s="332"/>
      <c r="NAO510" s="332"/>
      <c r="NAP510" s="332"/>
      <c r="NAQ510" s="332"/>
      <c r="NAR510" s="332"/>
      <c r="NAS510" s="332"/>
      <c r="NAT510" s="332"/>
      <c r="NAU510" s="332"/>
      <c r="NAV510" s="332"/>
      <c r="NAW510" s="332"/>
      <c r="NAX510" s="332"/>
      <c r="NAY510" s="332"/>
      <c r="NAZ510" s="332"/>
      <c r="NBA510" s="332"/>
      <c r="NBB510" s="332"/>
      <c r="NBC510" s="332"/>
      <c r="NBD510" s="332"/>
      <c r="NBE510" s="332"/>
      <c r="NBF510" s="332"/>
      <c r="NBG510" s="332"/>
      <c r="NBH510" s="332"/>
      <c r="NBI510" s="332"/>
      <c r="NBJ510" s="332"/>
      <c r="NBK510" s="332"/>
      <c r="NBL510" s="332"/>
      <c r="NBM510" s="332"/>
      <c r="NBN510" s="332"/>
      <c r="NBO510" s="332"/>
      <c r="NBP510" s="332"/>
      <c r="NBQ510" s="332"/>
      <c r="NBR510" s="332"/>
      <c r="NBS510" s="332"/>
      <c r="NBT510" s="332"/>
      <c r="NBU510" s="332"/>
      <c r="NBV510" s="332"/>
      <c r="NBW510" s="332"/>
      <c r="NBX510" s="332"/>
      <c r="NBY510" s="332"/>
      <c r="NBZ510" s="332"/>
      <c r="NCA510" s="332"/>
      <c r="NCB510" s="332"/>
      <c r="NCC510" s="332"/>
      <c r="NCD510" s="332"/>
      <c r="NCE510" s="332"/>
      <c r="NCF510" s="332"/>
      <c r="NCG510" s="332"/>
      <c r="NCH510" s="332"/>
      <c r="NCI510" s="332"/>
      <c r="NCJ510" s="332"/>
      <c r="NCK510" s="332"/>
      <c r="NCL510" s="332"/>
      <c r="NCM510" s="332"/>
      <c r="NCN510" s="332"/>
      <c r="NCO510" s="332"/>
      <c r="NCP510" s="332"/>
      <c r="NCQ510" s="332"/>
      <c r="NCR510" s="332"/>
      <c r="NCS510" s="332"/>
      <c r="NCT510" s="332"/>
      <c r="NCU510" s="332"/>
      <c r="NCV510" s="332"/>
      <c r="NCW510" s="332"/>
      <c r="NCX510" s="332"/>
      <c r="NCY510" s="332"/>
      <c r="NCZ510" s="332"/>
      <c r="NDA510" s="332"/>
      <c r="NDB510" s="332"/>
      <c r="NDC510" s="332"/>
      <c r="NDD510" s="332"/>
      <c r="NDE510" s="332"/>
      <c r="NDF510" s="332"/>
      <c r="NDG510" s="332"/>
      <c r="NDH510" s="332"/>
      <c r="NDI510" s="332"/>
      <c r="NDJ510" s="332"/>
      <c r="NDK510" s="332"/>
      <c r="NDL510" s="332"/>
      <c r="NDM510" s="332"/>
      <c r="NDN510" s="332"/>
      <c r="NDO510" s="332"/>
      <c r="NDP510" s="332"/>
      <c r="NDQ510" s="332"/>
      <c r="NDR510" s="332"/>
      <c r="NDS510" s="332"/>
      <c r="NDT510" s="332"/>
      <c r="NDU510" s="332"/>
      <c r="NDV510" s="332"/>
      <c r="NDW510" s="332"/>
      <c r="NDX510" s="332"/>
      <c r="NDY510" s="332"/>
      <c r="NDZ510" s="332"/>
      <c r="NEA510" s="332"/>
      <c r="NEB510" s="332"/>
      <c r="NEC510" s="332"/>
      <c r="NED510" s="332"/>
      <c r="NEE510" s="332"/>
      <c r="NEF510" s="332"/>
      <c r="NEG510" s="332"/>
      <c r="NEH510" s="332"/>
      <c r="NEI510" s="332"/>
      <c r="NEJ510" s="332"/>
      <c r="NEK510" s="332"/>
      <c r="NEL510" s="332"/>
      <c r="NEM510" s="332"/>
      <c r="NEN510" s="332"/>
      <c r="NEO510" s="332"/>
      <c r="NEP510" s="332"/>
      <c r="NEQ510" s="332"/>
      <c r="NER510" s="332"/>
      <c r="NES510" s="332"/>
      <c r="NET510" s="332"/>
      <c r="NEU510" s="332"/>
      <c r="NEV510" s="332"/>
      <c r="NEW510" s="332"/>
      <c r="NEX510" s="332"/>
      <c r="NEY510" s="332"/>
      <c r="NEZ510" s="332"/>
      <c r="NFA510" s="332"/>
      <c r="NFB510" s="332"/>
      <c r="NFC510" s="332"/>
      <c r="NFD510" s="332"/>
      <c r="NFE510" s="332"/>
      <c r="NFF510" s="332"/>
      <c r="NFG510" s="332"/>
      <c r="NFH510" s="332"/>
      <c r="NFI510" s="332"/>
      <c r="NFJ510" s="332"/>
      <c r="NFK510" s="332"/>
      <c r="NFL510" s="332"/>
      <c r="NFM510" s="332"/>
      <c r="NFN510" s="332"/>
      <c r="NFO510" s="332"/>
      <c r="NFP510" s="332"/>
      <c r="NFQ510" s="332"/>
      <c r="NFR510" s="332"/>
      <c r="NFS510" s="332"/>
      <c r="NFT510" s="332"/>
      <c r="NFU510" s="332"/>
      <c r="NFV510" s="332"/>
      <c r="NFW510" s="332"/>
      <c r="NFX510" s="332"/>
      <c r="NFY510" s="332"/>
      <c r="NFZ510" s="332"/>
      <c r="NGA510" s="332"/>
      <c r="NGB510" s="332"/>
      <c r="NGC510" s="332"/>
      <c r="NGD510" s="332"/>
      <c r="NGE510" s="332"/>
      <c r="NGF510" s="332"/>
      <c r="NGG510" s="332"/>
      <c r="NGH510" s="332"/>
      <c r="NGI510" s="332"/>
      <c r="NGJ510" s="332"/>
      <c r="NGK510" s="332"/>
      <c r="NGL510" s="332"/>
      <c r="NGM510" s="332"/>
      <c r="NGN510" s="332"/>
      <c r="NGO510" s="332"/>
      <c r="NGP510" s="332"/>
      <c r="NGQ510" s="332"/>
      <c r="NGR510" s="332"/>
      <c r="NGS510" s="332"/>
      <c r="NGT510" s="332"/>
      <c r="NGU510" s="332"/>
      <c r="NGV510" s="332"/>
      <c r="NGW510" s="332"/>
      <c r="NGX510" s="332"/>
      <c r="NGY510" s="332"/>
      <c r="NGZ510" s="332"/>
      <c r="NHA510" s="332"/>
      <c r="NHB510" s="332"/>
      <c r="NHC510" s="332"/>
      <c r="NHD510" s="332"/>
      <c r="NHE510" s="332"/>
      <c r="NHF510" s="332"/>
      <c r="NHG510" s="332"/>
      <c r="NHH510" s="332"/>
      <c r="NHI510" s="332"/>
      <c r="NHJ510" s="332"/>
      <c r="NHK510" s="332"/>
      <c r="NHL510" s="332"/>
      <c r="NHM510" s="332"/>
      <c r="NHN510" s="332"/>
      <c r="NHO510" s="332"/>
      <c r="NHP510" s="332"/>
      <c r="NHQ510" s="332"/>
      <c r="NHR510" s="332"/>
      <c r="NHS510" s="332"/>
      <c r="NHT510" s="332"/>
      <c r="NHU510" s="332"/>
      <c r="NHV510" s="332"/>
      <c r="NHW510" s="332"/>
      <c r="NHX510" s="332"/>
      <c r="NHY510" s="332"/>
      <c r="NHZ510" s="332"/>
      <c r="NIA510" s="332"/>
      <c r="NIB510" s="332"/>
      <c r="NIC510" s="332"/>
      <c r="NID510" s="332"/>
      <c r="NIE510" s="332"/>
      <c r="NIF510" s="332"/>
      <c r="NIG510" s="332"/>
      <c r="NIH510" s="332"/>
      <c r="NII510" s="332"/>
      <c r="NIJ510" s="332"/>
      <c r="NIK510" s="332"/>
      <c r="NIL510" s="332"/>
      <c r="NIM510" s="332"/>
      <c r="NIN510" s="332"/>
      <c r="NIO510" s="332"/>
      <c r="NIP510" s="332"/>
      <c r="NIQ510" s="332"/>
      <c r="NIR510" s="332"/>
      <c r="NIS510" s="332"/>
      <c r="NIT510" s="332"/>
      <c r="NIU510" s="332"/>
      <c r="NIV510" s="332"/>
      <c r="NIW510" s="332"/>
      <c r="NIX510" s="332"/>
      <c r="NIY510" s="332"/>
      <c r="NIZ510" s="332"/>
      <c r="NJA510" s="332"/>
      <c r="NJB510" s="332"/>
      <c r="NJC510" s="332"/>
      <c r="NJD510" s="332"/>
      <c r="NJE510" s="332"/>
      <c r="NJF510" s="332"/>
      <c r="NJG510" s="332"/>
      <c r="NJH510" s="332"/>
      <c r="NJI510" s="332"/>
      <c r="NJJ510" s="332"/>
      <c r="NJK510" s="332"/>
      <c r="NJL510" s="332"/>
      <c r="NJM510" s="332"/>
      <c r="NJN510" s="332"/>
      <c r="NJO510" s="332"/>
      <c r="NJP510" s="332"/>
      <c r="NJQ510" s="332"/>
      <c r="NJR510" s="332"/>
      <c r="NJS510" s="332"/>
      <c r="NJT510" s="332"/>
      <c r="NJU510" s="332"/>
      <c r="NJV510" s="332"/>
      <c r="NJW510" s="332"/>
      <c r="NJX510" s="332"/>
      <c r="NJY510" s="332"/>
      <c r="NJZ510" s="332"/>
      <c r="NKA510" s="332"/>
      <c r="NKB510" s="332"/>
      <c r="NKC510" s="332"/>
      <c r="NKD510" s="332"/>
      <c r="NKE510" s="332"/>
      <c r="NKF510" s="332"/>
      <c r="NKG510" s="332"/>
      <c r="NKH510" s="332"/>
      <c r="NKI510" s="332"/>
      <c r="NKJ510" s="332"/>
      <c r="NKK510" s="332"/>
      <c r="NKL510" s="332"/>
      <c r="NKM510" s="332"/>
      <c r="NKN510" s="332"/>
      <c r="NKO510" s="332"/>
      <c r="NKP510" s="332"/>
      <c r="NKQ510" s="332"/>
      <c r="NKR510" s="332"/>
      <c r="NKS510" s="332"/>
      <c r="NKT510" s="332"/>
      <c r="NKU510" s="332"/>
      <c r="NKV510" s="332"/>
      <c r="NKW510" s="332"/>
      <c r="NKX510" s="332"/>
      <c r="NKY510" s="332"/>
      <c r="NKZ510" s="332"/>
      <c r="NLA510" s="332"/>
      <c r="NLB510" s="332"/>
      <c r="NLC510" s="332"/>
      <c r="NLD510" s="332"/>
      <c r="NLE510" s="332"/>
      <c r="NLF510" s="332"/>
      <c r="NLG510" s="332"/>
      <c r="NLH510" s="332"/>
      <c r="NLI510" s="332"/>
      <c r="NLJ510" s="332"/>
      <c r="NLK510" s="332"/>
      <c r="NLL510" s="332"/>
      <c r="NLM510" s="332"/>
      <c r="NLN510" s="332"/>
      <c r="NLO510" s="332"/>
      <c r="NLP510" s="332"/>
      <c r="NLQ510" s="332"/>
      <c r="NLR510" s="332"/>
      <c r="NLS510" s="332"/>
      <c r="NLT510" s="332"/>
      <c r="NLU510" s="332"/>
      <c r="NLV510" s="332"/>
      <c r="NLW510" s="332"/>
      <c r="NLX510" s="332"/>
      <c r="NLY510" s="332"/>
      <c r="NLZ510" s="332"/>
      <c r="NMA510" s="332"/>
      <c r="NMB510" s="332"/>
      <c r="NMC510" s="332"/>
      <c r="NMD510" s="332"/>
      <c r="NME510" s="332"/>
      <c r="NMF510" s="332"/>
      <c r="NMG510" s="332"/>
      <c r="NMH510" s="332"/>
      <c r="NMI510" s="332"/>
      <c r="NMJ510" s="332"/>
      <c r="NMK510" s="332"/>
      <c r="NML510" s="332"/>
      <c r="NMM510" s="332"/>
      <c r="NMN510" s="332"/>
      <c r="NMO510" s="332"/>
      <c r="NMP510" s="332"/>
      <c r="NMQ510" s="332"/>
      <c r="NMR510" s="332"/>
      <c r="NMS510" s="332"/>
      <c r="NMT510" s="332"/>
      <c r="NMU510" s="332"/>
      <c r="NMV510" s="332"/>
      <c r="NMW510" s="332"/>
      <c r="NMX510" s="332"/>
      <c r="NMY510" s="332"/>
      <c r="NMZ510" s="332"/>
      <c r="NNA510" s="332"/>
      <c r="NNB510" s="332"/>
      <c r="NNC510" s="332"/>
      <c r="NND510" s="332"/>
      <c r="NNE510" s="332"/>
      <c r="NNF510" s="332"/>
      <c r="NNG510" s="332"/>
      <c r="NNH510" s="332"/>
      <c r="NNI510" s="332"/>
      <c r="NNJ510" s="332"/>
      <c r="NNK510" s="332"/>
      <c r="NNL510" s="332"/>
      <c r="NNM510" s="332"/>
      <c r="NNN510" s="332"/>
      <c r="NNO510" s="332"/>
      <c r="NNP510" s="332"/>
      <c r="NNQ510" s="332"/>
      <c r="NNR510" s="332"/>
      <c r="NNS510" s="332"/>
      <c r="NNT510" s="332"/>
      <c r="NNU510" s="332"/>
      <c r="NNV510" s="332"/>
      <c r="NNW510" s="332"/>
      <c r="NNX510" s="332"/>
      <c r="NNY510" s="332"/>
      <c r="NNZ510" s="332"/>
      <c r="NOA510" s="332"/>
      <c r="NOB510" s="332"/>
      <c r="NOC510" s="332"/>
      <c r="NOD510" s="332"/>
      <c r="NOE510" s="332"/>
      <c r="NOF510" s="332"/>
      <c r="NOG510" s="332"/>
      <c r="NOH510" s="332"/>
      <c r="NOI510" s="332"/>
      <c r="NOJ510" s="332"/>
      <c r="NOK510" s="332"/>
      <c r="NOL510" s="332"/>
      <c r="NOM510" s="332"/>
      <c r="NON510" s="332"/>
      <c r="NOO510" s="332"/>
      <c r="NOP510" s="332"/>
      <c r="NOQ510" s="332"/>
      <c r="NOR510" s="332"/>
      <c r="NOS510" s="332"/>
      <c r="NOT510" s="332"/>
      <c r="NOU510" s="332"/>
      <c r="NOV510" s="332"/>
      <c r="NOW510" s="332"/>
      <c r="NOX510" s="332"/>
      <c r="NOY510" s="332"/>
      <c r="NOZ510" s="332"/>
      <c r="NPA510" s="332"/>
      <c r="NPB510" s="332"/>
      <c r="NPC510" s="332"/>
      <c r="NPD510" s="332"/>
      <c r="NPE510" s="332"/>
      <c r="NPF510" s="332"/>
      <c r="NPG510" s="332"/>
      <c r="NPH510" s="332"/>
      <c r="NPI510" s="332"/>
      <c r="NPJ510" s="332"/>
      <c r="NPK510" s="332"/>
      <c r="NPL510" s="332"/>
      <c r="NPM510" s="332"/>
      <c r="NPN510" s="332"/>
      <c r="NPO510" s="332"/>
      <c r="NPP510" s="332"/>
      <c r="NPQ510" s="332"/>
      <c r="NPR510" s="332"/>
      <c r="NPS510" s="332"/>
      <c r="NPT510" s="332"/>
      <c r="NPU510" s="332"/>
      <c r="NPV510" s="332"/>
      <c r="NPW510" s="332"/>
      <c r="NPX510" s="332"/>
      <c r="NPY510" s="332"/>
      <c r="NPZ510" s="332"/>
      <c r="NQA510" s="332"/>
      <c r="NQB510" s="332"/>
      <c r="NQC510" s="332"/>
      <c r="NQD510" s="332"/>
      <c r="NQE510" s="332"/>
      <c r="NQF510" s="332"/>
      <c r="NQG510" s="332"/>
      <c r="NQH510" s="332"/>
      <c r="NQI510" s="332"/>
      <c r="NQJ510" s="332"/>
      <c r="NQK510" s="332"/>
      <c r="NQL510" s="332"/>
      <c r="NQM510" s="332"/>
      <c r="NQN510" s="332"/>
      <c r="NQO510" s="332"/>
      <c r="NQP510" s="332"/>
      <c r="NQQ510" s="332"/>
      <c r="NQR510" s="332"/>
      <c r="NQS510" s="332"/>
      <c r="NQT510" s="332"/>
      <c r="NQU510" s="332"/>
      <c r="NQV510" s="332"/>
      <c r="NQW510" s="332"/>
      <c r="NQX510" s="332"/>
      <c r="NQY510" s="332"/>
      <c r="NQZ510" s="332"/>
      <c r="NRA510" s="332"/>
      <c r="NRB510" s="332"/>
      <c r="NRC510" s="332"/>
      <c r="NRD510" s="332"/>
      <c r="NRE510" s="332"/>
      <c r="NRF510" s="332"/>
      <c r="NRG510" s="332"/>
      <c r="NRH510" s="332"/>
      <c r="NRI510" s="332"/>
      <c r="NRJ510" s="332"/>
      <c r="NRK510" s="332"/>
      <c r="NRL510" s="332"/>
      <c r="NRM510" s="332"/>
      <c r="NRN510" s="332"/>
      <c r="NRO510" s="332"/>
      <c r="NRP510" s="332"/>
      <c r="NRQ510" s="332"/>
      <c r="NRR510" s="332"/>
      <c r="NRS510" s="332"/>
      <c r="NRT510" s="332"/>
      <c r="NRU510" s="332"/>
      <c r="NRV510" s="332"/>
      <c r="NRW510" s="332"/>
      <c r="NRX510" s="332"/>
      <c r="NRY510" s="332"/>
      <c r="NRZ510" s="332"/>
      <c r="NSA510" s="332"/>
      <c r="NSB510" s="332"/>
      <c r="NSC510" s="332"/>
      <c r="NSD510" s="332"/>
      <c r="NSE510" s="332"/>
      <c r="NSF510" s="332"/>
      <c r="NSG510" s="332"/>
      <c r="NSH510" s="332"/>
      <c r="NSI510" s="332"/>
      <c r="NSJ510" s="332"/>
      <c r="NSK510" s="332"/>
      <c r="NSL510" s="332"/>
      <c r="NSM510" s="332"/>
      <c r="NSN510" s="332"/>
      <c r="NSO510" s="332"/>
      <c r="NSP510" s="332"/>
      <c r="NSQ510" s="332"/>
      <c r="NSR510" s="332"/>
      <c r="NSS510" s="332"/>
      <c r="NST510" s="332"/>
      <c r="NSU510" s="332"/>
      <c r="NSV510" s="332"/>
      <c r="NSW510" s="332"/>
      <c r="NSX510" s="332"/>
      <c r="NSY510" s="332"/>
      <c r="NSZ510" s="332"/>
      <c r="NTA510" s="332"/>
      <c r="NTB510" s="332"/>
      <c r="NTC510" s="332"/>
      <c r="NTD510" s="332"/>
      <c r="NTE510" s="332"/>
      <c r="NTF510" s="332"/>
      <c r="NTG510" s="332"/>
      <c r="NTH510" s="332"/>
      <c r="NTI510" s="332"/>
      <c r="NTJ510" s="332"/>
      <c r="NTK510" s="332"/>
      <c r="NTL510" s="332"/>
      <c r="NTM510" s="332"/>
      <c r="NTN510" s="332"/>
      <c r="NTO510" s="332"/>
      <c r="NTP510" s="332"/>
      <c r="NTQ510" s="332"/>
      <c r="NTR510" s="332"/>
      <c r="NTS510" s="332"/>
      <c r="NTT510" s="332"/>
      <c r="NTU510" s="332"/>
      <c r="NTV510" s="332"/>
      <c r="NTW510" s="332"/>
      <c r="NTX510" s="332"/>
      <c r="NTY510" s="332"/>
      <c r="NTZ510" s="332"/>
      <c r="NUA510" s="332"/>
      <c r="NUB510" s="332"/>
      <c r="NUC510" s="332"/>
      <c r="NUD510" s="332"/>
      <c r="NUE510" s="332"/>
      <c r="NUF510" s="332"/>
      <c r="NUG510" s="332"/>
      <c r="NUH510" s="332"/>
      <c r="NUI510" s="332"/>
      <c r="NUJ510" s="332"/>
      <c r="NUK510" s="332"/>
      <c r="NUL510" s="332"/>
      <c r="NUM510" s="332"/>
      <c r="NUN510" s="332"/>
      <c r="NUO510" s="332"/>
      <c r="NUP510" s="332"/>
      <c r="NUQ510" s="332"/>
      <c r="NUR510" s="332"/>
      <c r="NUS510" s="332"/>
      <c r="NUT510" s="332"/>
      <c r="NUU510" s="332"/>
      <c r="NUV510" s="332"/>
      <c r="NUW510" s="332"/>
      <c r="NUX510" s="332"/>
      <c r="NUY510" s="332"/>
      <c r="NUZ510" s="332"/>
      <c r="NVA510" s="332"/>
      <c r="NVB510" s="332"/>
      <c r="NVC510" s="332"/>
      <c r="NVD510" s="332"/>
      <c r="NVE510" s="332"/>
      <c r="NVF510" s="332"/>
      <c r="NVG510" s="332"/>
      <c r="NVH510" s="332"/>
      <c r="NVI510" s="332"/>
      <c r="NVJ510" s="332"/>
      <c r="NVK510" s="332"/>
      <c r="NVL510" s="332"/>
      <c r="NVM510" s="332"/>
      <c r="NVN510" s="332"/>
      <c r="NVO510" s="332"/>
      <c r="NVP510" s="332"/>
      <c r="NVQ510" s="332"/>
      <c r="NVR510" s="332"/>
      <c r="NVS510" s="332"/>
      <c r="NVT510" s="332"/>
      <c r="NVU510" s="332"/>
      <c r="NVV510" s="332"/>
      <c r="NVW510" s="332"/>
      <c r="NVX510" s="332"/>
      <c r="NVY510" s="332"/>
      <c r="NVZ510" s="332"/>
      <c r="NWA510" s="332"/>
      <c r="NWB510" s="332"/>
      <c r="NWC510" s="332"/>
      <c r="NWD510" s="332"/>
      <c r="NWE510" s="332"/>
      <c r="NWF510" s="332"/>
      <c r="NWG510" s="332"/>
      <c r="NWH510" s="332"/>
      <c r="NWI510" s="332"/>
      <c r="NWJ510" s="332"/>
      <c r="NWK510" s="332"/>
      <c r="NWL510" s="332"/>
      <c r="NWM510" s="332"/>
      <c r="NWN510" s="332"/>
      <c r="NWO510" s="332"/>
      <c r="NWP510" s="332"/>
      <c r="NWQ510" s="332"/>
      <c r="NWR510" s="332"/>
      <c r="NWS510" s="332"/>
      <c r="NWT510" s="332"/>
      <c r="NWU510" s="332"/>
      <c r="NWV510" s="332"/>
      <c r="NWW510" s="332"/>
      <c r="NWX510" s="332"/>
      <c r="NWY510" s="332"/>
      <c r="NWZ510" s="332"/>
      <c r="NXA510" s="332"/>
      <c r="NXB510" s="332"/>
      <c r="NXC510" s="332"/>
      <c r="NXD510" s="332"/>
      <c r="NXE510" s="332"/>
      <c r="NXF510" s="332"/>
      <c r="NXG510" s="332"/>
      <c r="NXH510" s="332"/>
      <c r="NXI510" s="332"/>
      <c r="NXJ510" s="332"/>
      <c r="NXK510" s="332"/>
      <c r="NXL510" s="332"/>
      <c r="NXM510" s="332"/>
      <c r="NXN510" s="332"/>
      <c r="NXO510" s="332"/>
      <c r="NXP510" s="332"/>
      <c r="NXQ510" s="332"/>
      <c r="NXR510" s="332"/>
      <c r="NXS510" s="332"/>
      <c r="NXT510" s="332"/>
      <c r="NXU510" s="332"/>
      <c r="NXV510" s="332"/>
      <c r="NXW510" s="332"/>
      <c r="NXX510" s="332"/>
      <c r="NXY510" s="332"/>
      <c r="NXZ510" s="332"/>
      <c r="NYA510" s="332"/>
      <c r="NYB510" s="332"/>
      <c r="NYC510" s="332"/>
      <c r="NYD510" s="332"/>
      <c r="NYE510" s="332"/>
      <c r="NYF510" s="332"/>
      <c r="NYG510" s="332"/>
      <c r="NYH510" s="332"/>
      <c r="NYI510" s="332"/>
      <c r="NYJ510" s="332"/>
      <c r="NYK510" s="332"/>
      <c r="NYL510" s="332"/>
      <c r="NYM510" s="332"/>
      <c r="NYN510" s="332"/>
      <c r="NYO510" s="332"/>
      <c r="NYP510" s="332"/>
      <c r="NYQ510" s="332"/>
      <c r="NYR510" s="332"/>
      <c r="NYS510" s="332"/>
      <c r="NYT510" s="332"/>
      <c r="NYU510" s="332"/>
      <c r="NYV510" s="332"/>
      <c r="NYW510" s="332"/>
      <c r="NYX510" s="332"/>
      <c r="NYY510" s="332"/>
      <c r="NYZ510" s="332"/>
      <c r="NZA510" s="332"/>
      <c r="NZB510" s="332"/>
      <c r="NZC510" s="332"/>
      <c r="NZD510" s="332"/>
      <c r="NZE510" s="332"/>
      <c r="NZF510" s="332"/>
      <c r="NZG510" s="332"/>
      <c r="NZH510" s="332"/>
      <c r="NZI510" s="332"/>
      <c r="NZJ510" s="332"/>
      <c r="NZK510" s="332"/>
      <c r="NZL510" s="332"/>
      <c r="NZM510" s="332"/>
      <c r="NZN510" s="332"/>
      <c r="NZO510" s="332"/>
      <c r="NZP510" s="332"/>
      <c r="NZQ510" s="332"/>
      <c r="NZR510" s="332"/>
      <c r="NZS510" s="332"/>
      <c r="NZT510" s="332"/>
      <c r="NZU510" s="332"/>
      <c r="NZV510" s="332"/>
      <c r="NZW510" s="332"/>
      <c r="NZX510" s="332"/>
      <c r="NZY510" s="332"/>
      <c r="NZZ510" s="332"/>
      <c r="OAA510" s="332"/>
      <c r="OAB510" s="332"/>
      <c r="OAC510" s="332"/>
      <c r="OAD510" s="332"/>
      <c r="OAE510" s="332"/>
      <c r="OAF510" s="332"/>
      <c r="OAG510" s="332"/>
      <c r="OAH510" s="332"/>
      <c r="OAI510" s="332"/>
      <c r="OAJ510" s="332"/>
      <c r="OAK510" s="332"/>
      <c r="OAL510" s="332"/>
      <c r="OAM510" s="332"/>
      <c r="OAN510" s="332"/>
      <c r="OAO510" s="332"/>
      <c r="OAP510" s="332"/>
      <c r="OAQ510" s="332"/>
      <c r="OAR510" s="332"/>
      <c r="OAS510" s="332"/>
      <c r="OAT510" s="332"/>
      <c r="OAU510" s="332"/>
      <c r="OAV510" s="332"/>
      <c r="OAW510" s="332"/>
      <c r="OAX510" s="332"/>
      <c r="OAY510" s="332"/>
      <c r="OAZ510" s="332"/>
      <c r="OBA510" s="332"/>
      <c r="OBB510" s="332"/>
      <c r="OBC510" s="332"/>
      <c r="OBD510" s="332"/>
      <c r="OBE510" s="332"/>
      <c r="OBF510" s="332"/>
      <c r="OBG510" s="332"/>
      <c r="OBH510" s="332"/>
      <c r="OBI510" s="332"/>
      <c r="OBJ510" s="332"/>
      <c r="OBK510" s="332"/>
      <c r="OBL510" s="332"/>
      <c r="OBM510" s="332"/>
      <c r="OBN510" s="332"/>
      <c r="OBO510" s="332"/>
      <c r="OBP510" s="332"/>
      <c r="OBQ510" s="332"/>
      <c r="OBR510" s="332"/>
      <c r="OBS510" s="332"/>
      <c r="OBT510" s="332"/>
      <c r="OBU510" s="332"/>
      <c r="OBV510" s="332"/>
      <c r="OBW510" s="332"/>
      <c r="OBX510" s="332"/>
      <c r="OBY510" s="332"/>
      <c r="OBZ510" s="332"/>
      <c r="OCA510" s="332"/>
      <c r="OCB510" s="332"/>
      <c r="OCC510" s="332"/>
      <c r="OCD510" s="332"/>
      <c r="OCE510" s="332"/>
      <c r="OCF510" s="332"/>
      <c r="OCG510" s="332"/>
      <c r="OCH510" s="332"/>
      <c r="OCI510" s="332"/>
      <c r="OCJ510" s="332"/>
      <c r="OCK510" s="332"/>
      <c r="OCL510" s="332"/>
      <c r="OCM510" s="332"/>
      <c r="OCN510" s="332"/>
      <c r="OCO510" s="332"/>
      <c r="OCP510" s="332"/>
      <c r="OCQ510" s="332"/>
      <c r="OCR510" s="332"/>
      <c r="OCS510" s="332"/>
      <c r="OCT510" s="332"/>
      <c r="OCU510" s="332"/>
      <c r="OCV510" s="332"/>
      <c r="OCW510" s="332"/>
      <c r="OCX510" s="332"/>
      <c r="OCY510" s="332"/>
      <c r="OCZ510" s="332"/>
      <c r="ODA510" s="332"/>
      <c r="ODB510" s="332"/>
      <c r="ODC510" s="332"/>
      <c r="ODD510" s="332"/>
      <c r="ODE510" s="332"/>
      <c r="ODF510" s="332"/>
      <c r="ODG510" s="332"/>
      <c r="ODH510" s="332"/>
      <c r="ODI510" s="332"/>
      <c r="ODJ510" s="332"/>
      <c r="ODK510" s="332"/>
      <c r="ODL510" s="332"/>
      <c r="ODM510" s="332"/>
      <c r="ODN510" s="332"/>
      <c r="ODO510" s="332"/>
      <c r="ODP510" s="332"/>
      <c r="ODQ510" s="332"/>
      <c r="ODR510" s="332"/>
      <c r="ODS510" s="332"/>
      <c r="ODT510" s="332"/>
      <c r="ODU510" s="332"/>
      <c r="ODV510" s="332"/>
      <c r="ODW510" s="332"/>
      <c r="ODX510" s="332"/>
      <c r="ODY510" s="332"/>
      <c r="ODZ510" s="332"/>
      <c r="OEA510" s="332"/>
      <c r="OEB510" s="332"/>
      <c r="OEC510" s="332"/>
      <c r="OED510" s="332"/>
      <c r="OEE510" s="332"/>
      <c r="OEF510" s="332"/>
      <c r="OEG510" s="332"/>
      <c r="OEH510" s="332"/>
      <c r="OEI510" s="332"/>
      <c r="OEJ510" s="332"/>
      <c r="OEK510" s="332"/>
      <c r="OEL510" s="332"/>
      <c r="OEM510" s="332"/>
      <c r="OEN510" s="332"/>
      <c r="OEO510" s="332"/>
      <c r="OEP510" s="332"/>
      <c r="OEQ510" s="332"/>
      <c r="OER510" s="332"/>
      <c r="OES510" s="332"/>
      <c r="OET510" s="332"/>
      <c r="OEU510" s="332"/>
      <c r="OEV510" s="332"/>
      <c r="OEW510" s="332"/>
      <c r="OEX510" s="332"/>
      <c r="OEY510" s="332"/>
      <c r="OEZ510" s="332"/>
      <c r="OFA510" s="332"/>
      <c r="OFB510" s="332"/>
      <c r="OFC510" s="332"/>
      <c r="OFD510" s="332"/>
      <c r="OFE510" s="332"/>
      <c r="OFF510" s="332"/>
      <c r="OFG510" s="332"/>
      <c r="OFH510" s="332"/>
      <c r="OFI510" s="332"/>
      <c r="OFJ510" s="332"/>
      <c r="OFK510" s="332"/>
      <c r="OFL510" s="332"/>
      <c r="OFM510" s="332"/>
      <c r="OFN510" s="332"/>
      <c r="OFO510" s="332"/>
      <c r="OFP510" s="332"/>
      <c r="OFQ510" s="332"/>
      <c r="OFR510" s="332"/>
      <c r="OFS510" s="332"/>
      <c r="OFT510" s="332"/>
      <c r="OFU510" s="332"/>
      <c r="OFV510" s="332"/>
      <c r="OFW510" s="332"/>
      <c r="OFX510" s="332"/>
      <c r="OFY510" s="332"/>
      <c r="OFZ510" s="332"/>
      <c r="OGA510" s="332"/>
      <c r="OGB510" s="332"/>
      <c r="OGC510" s="332"/>
      <c r="OGD510" s="332"/>
      <c r="OGE510" s="332"/>
      <c r="OGF510" s="332"/>
      <c r="OGG510" s="332"/>
      <c r="OGH510" s="332"/>
      <c r="OGI510" s="332"/>
      <c r="OGJ510" s="332"/>
      <c r="OGK510" s="332"/>
      <c r="OGL510" s="332"/>
      <c r="OGM510" s="332"/>
      <c r="OGN510" s="332"/>
      <c r="OGO510" s="332"/>
      <c r="OGP510" s="332"/>
      <c r="OGQ510" s="332"/>
      <c r="OGR510" s="332"/>
      <c r="OGS510" s="332"/>
      <c r="OGT510" s="332"/>
      <c r="OGU510" s="332"/>
      <c r="OGV510" s="332"/>
      <c r="OGW510" s="332"/>
      <c r="OGX510" s="332"/>
      <c r="OGY510" s="332"/>
      <c r="OGZ510" s="332"/>
      <c r="OHA510" s="332"/>
      <c r="OHB510" s="332"/>
      <c r="OHC510" s="332"/>
      <c r="OHD510" s="332"/>
      <c r="OHE510" s="332"/>
      <c r="OHF510" s="332"/>
      <c r="OHG510" s="332"/>
      <c r="OHH510" s="332"/>
      <c r="OHI510" s="332"/>
      <c r="OHJ510" s="332"/>
      <c r="OHK510" s="332"/>
      <c r="OHL510" s="332"/>
      <c r="OHM510" s="332"/>
      <c r="OHN510" s="332"/>
      <c r="OHO510" s="332"/>
      <c r="OHP510" s="332"/>
      <c r="OHQ510" s="332"/>
      <c r="OHR510" s="332"/>
      <c r="OHS510" s="332"/>
      <c r="OHT510" s="332"/>
      <c r="OHU510" s="332"/>
      <c r="OHV510" s="332"/>
      <c r="OHW510" s="332"/>
      <c r="OHX510" s="332"/>
      <c r="OHY510" s="332"/>
      <c r="OHZ510" s="332"/>
      <c r="OIA510" s="332"/>
      <c r="OIB510" s="332"/>
      <c r="OIC510" s="332"/>
      <c r="OID510" s="332"/>
      <c r="OIE510" s="332"/>
      <c r="OIF510" s="332"/>
      <c r="OIG510" s="332"/>
      <c r="OIH510" s="332"/>
      <c r="OII510" s="332"/>
      <c r="OIJ510" s="332"/>
      <c r="OIK510" s="332"/>
      <c r="OIL510" s="332"/>
      <c r="OIM510" s="332"/>
      <c r="OIN510" s="332"/>
      <c r="OIO510" s="332"/>
      <c r="OIP510" s="332"/>
      <c r="OIQ510" s="332"/>
      <c r="OIR510" s="332"/>
      <c r="OIS510" s="332"/>
      <c r="OIT510" s="332"/>
      <c r="OIU510" s="332"/>
      <c r="OIV510" s="332"/>
      <c r="OIW510" s="332"/>
      <c r="OIX510" s="332"/>
      <c r="OIY510" s="332"/>
      <c r="OIZ510" s="332"/>
      <c r="OJA510" s="332"/>
      <c r="OJB510" s="332"/>
      <c r="OJC510" s="332"/>
      <c r="OJD510" s="332"/>
      <c r="OJE510" s="332"/>
      <c r="OJF510" s="332"/>
      <c r="OJG510" s="332"/>
      <c r="OJH510" s="332"/>
      <c r="OJI510" s="332"/>
      <c r="OJJ510" s="332"/>
      <c r="OJK510" s="332"/>
      <c r="OJL510" s="332"/>
      <c r="OJM510" s="332"/>
      <c r="OJN510" s="332"/>
      <c r="OJO510" s="332"/>
      <c r="OJP510" s="332"/>
      <c r="OJQ510" s="332"/>
      <c r="OJR510" s="332"/>
      <c r="OJS510" s="332"/>
      <c r="OJT510" s="332"/>
      <c r="OJU510" s="332"/>
      <c r="OJV510" s="332"/>
      <c r="OJW510" s="332"/>
      <c r="OJX510" s="332"/>
      <c r="OJY510" s="332"/>
      <c r="OJZ510" s="332"/>
      <c r="OKA510" s="332"/>
      <c r="OKB510" s="332"/>
      <c r="OKC510" s="332"/>
      <c r="OKD510" s="332"/>
      <c r="OKE510" s="332"/>
      <c r="OKF510" s="332"/>
      <c r="OKG510" s="332"/>
      <c r="OKH510" s="332"/>
      <c r="OKI510" s="332"/>
      <c r="OKJ510" s="332"/>
      <c r="OKK510" s="332"/>
      <c r="OKL510" s="332"/>
      <c r="OKM510" s="332"/>
      <c r="OKN510" s="332"/>
      <c r="OKO510" s="332"/>
      <c r="OKP510" s="332"/>
      <c r="OKQ510" s="332"/>
      <c r="OKR510" s="332"/>
      <c r="OKS510" s="332"/>
      <c r="OKT510" s="332"/>
      <c r="OKU510" s="332"/>
      <c r="OKV510" s="332"/>
      <c r="OKW510" s="332"/>
      <c r="OKX510" s="332"/>
      <c r="OKY510" s="332"/>
      <c r="OKZ510" s="332"/>
      <c r="OLA510" s="332"/>
      <c r="OLB510" s="332"/>
      <c r="OLC510" s="332"/>
      <c r="OLD510" s="332"/>
      <c r="OLE510" s="332"/>
      <c r="OLF510" s="332"/>
      <c r="OLG510" s="332"/>
      <c r="OLH510" s="332"/>
      <c r="OLI510" s="332"/>
      <c r="OLJ510" s="332"/>
      <c r="OLK510" s="332"/>
      <c r="OLL510" s="332"/>
      <c r="OLM510" s="332"/>
      <c r="OLN510" s="332"/>
      <c r="OLO510" s="332"/>
      <c r="OLP510" s="332"/>
      <c r="OLQ510" s="332"/>
      <c r="OLR510" s="332"/>
      <c r="OLS510" s="332"/>
      <c r="OLT510" s="332"/>
      <c r="OLU510" s="332"/>
      <c r="OLV510" s="332"/>
      <c r="OLW510" s="332"/>
      <c r="OLX510" s="332"/>
      <c r="OLY510" s="332"/>
      <c r="OLZ510" s="332"/>
      <c r="OMA510" s="332"/>
      <c r="OMB510" s="332"/>
      <c r="OMC510" s="332"/>
      <c r="OMD510" s="332"/>
      <c r="OME510" s="332"/>
      <c r="OMF510" s="332"/>
      <c r="OMG510" s="332"/>
      <c r="OMH510" s="332"/>
      <c r="OMI510" s="332"/>
      <c r="OMJ510" s="332"/>
      <c r="OMK510" s="332"/>
      <c r="OML510" s="332"/>
      <c r="OMM510" s="332"/>
      <c r="OMN510" s="332"/>
      <c r="OMO510" s="332"/>
      <c r="OMP510" s="332"/>
      <c r="OMQ510" s="332"/>
      <c r="OMR510" s="332"/>
      <c r="OMS510" s="332"/>
      <c r="OMT510" s="332"/>
      <c r="OMU510" s="332"/>
      <c r="OMV510" s="332"/>
      <c r="OMW510" s="332"/>
      <c r="OMX510" s="332"/>
      <c r="OMY510" s="332"/>
      <c r="OMZ510" s="332"/>
      <c r="ONA510" s="332"/>
      <c r="ONB510" s="332"/>
      <c r="ONC510" s="332"/>
      <c r="OND510" s="332"/>
      <c r="ONE510" s="332"/>
      <c r="ONF510" s="332"/>
      <c r="ONG510" s="332"/>
      <c r="ONH510" s="332"/>
      <c r="ONI510" s="332"/>
      <c r="ONJ510" s="332"/>
      <c r="ONK510" s="332"/>
      <c r="ONL510" s="332"/>
      <c r="ONM510" s="332"/>
      <c r="ONN510" s="332"/>
      <c r="ONO510" s="332"/>
      <c r="ONP510" s="332"/>
      <c r="ONQ510" s="332"/>
      <c r="ONR510" s="332"/>
      <c r="ONS510" s="332"/>
      <c r="ONT510" s="332"/>
      <c r="ONU510" s="332"/>
      <c r="ONV510" s="332"/>
      <c r="ONW510" s="332"/>
      <c r="ONX510" s="332"/>
      <c r="ONY510" s="332"/>
      <c r="ONZ510" s="332"/>
      <c r="OOA510" s="332"/>
      <c r="OOB510" s="332"/>
      <c r="OOC510" s="332"/>
      <c r="OOD510" s="332"/>
      <c r="OOE510" s="332"/>
      <c r="OOF510" s="332"/>
      <c r="OOG510" s="332"/>
      <c r="OOH510" s="332"/>
      <c r="OOI510" s="332"/>
      <c r="OOJ510" s="332"/>
      <c r="OOK510" s="332"/>
      <c r="OOL510" s="332"/>
      <c r="OOM510" s="332"/>
      <c r="OON510" s="332"/>
      <c r="OOO510" s="332"/>
      <c r="OOP510" s="332"/>
      <c r="OOQ510" s="332"/>
      <c r="OOR510" s="332"/>
      <c r="OOS510" s="332"/>
      <c r="OOT510" s="332"/>
      <c r="OOU510" s="332"/>
      <c r="OOV510" s="332"/>
      <c r="OOW510" s="332"/>
      <c r="OOX510" s="332"/>
      <c r="OOY510" s="332"/>
      <c r="OOZ510" s="332"/>
      <c r="OPA510" s="332"/>
      <c r="OPB510" s="332"/>
      <c r="OPC510" s="332"/>
      <c r="OPD510" s="332"/>
      <c r="OPE510" s="332"/>
      <c r="OPF510" s="332"/>
      <c r="OPG510" s="332"/>
      <c r="OPH510" s="332"/>
      <c r="OPI510" s="332"/>
      <c r="OPJ510" s="332"/>
      <c r="OPK510" s="332"/>
      <c r="OPL510" s="332"/>
      <c r="OPM510" s="332"/>
      <c r="OPN510" s="332"/>
      <c r="OPO510" s="332"/>
      <c r="OPP510" s="332"/>
      <c r="OPQ510" s="332"/>
      <c r="OPR510" s="332"/>
      <c r="OPS510" s="332"/>
      <c r="OPT510" s="332"/>
      <c r="OPU510" s="332"/>
      <c r="OPV510" s="332"/>
      <c r="OPW510" s="332"/>
      <c r="OPX510" s="332"/>
      <c r="OPY510" s="332"/>
      <c r="OPZ510" s="332"/>
      <c r="OQA510" s="332"/>
      <c r="OQB510" s="332"/>
      <c r="OQC510" s="332"/>
      <c r="OQD510" s="332"/>
      <c r="OQE510" s="332"/>
      <c r="OQF510" s="332"/>
      <c r="OQG510" s="332"/>
      <c r="OQH510" s="332"/>
      <c r="OQI510" s="332"/>
      <c r="OQJ510" s="332"/>
      <c r="OQK510" s="332"/>
      <c r="OQL510" s="332"/>
      <c r="OQM510" s="332"/>
      <c r="OQN510" s="332"/>
      <c r="OQO510" s="332"/>
      <c r="OQP510" s="332"/>
      <c r="OQQ510" s="332"/>
      <c r="OQR510" s="332"/>
      <c r="OQS510" s="332"/>
      <c r="OQT510" s="332"/>
      <c r="OQU510" s="332"/>
      <c r="OQV510" s="332"/>
      <c r="OQW510" s="332"/>
      <c r="OQX510" s="332"/>
      <c r="OQY510" s="332"/>
      <c r="OQZ510" s="332"/>
      <c r="ORA510" s="332"/>
      <c r="ORB510" s="332"/>
      <c r="ORC510" s="332"/>
      <c r="ORD510" s="332"/>
      <c r="ORE510" s="332"/>
      <c r="ORF510" s="332"/>
      <c r="ORG510" s="332"/>
      <c r="ORH510" s="332"/>
      <c r="ORI510" s="332"/>
      <c r="ORJ510" s="332"/>
      <c r="ORK510" s="332"/>
      <c r="ORL510" s="332"/>
      <c r="ORM510" s="332"/>
      <c r="ORN510" s="332"/>
      <c r="ORO510" s="332"/>
      <c r="ORP510" s="332"/>
      <c r="ORQ510" s="332"/>
      <c r="ORR510" s="332"/>
      <c r="ORS510" s="332"/>
      <c r="ORT510" s="332"/>
      <c r="ORU510" s="332"/>
      <c r="ORV510" s="332"/>
      <c r="ORW510" s="332"/>
      <c r="ORX510" s="332"/>
      <c r="ORY510" s="332"/>
      <c r="ORZ510" s="332"/>
      <c r="OSA510" s="332"/>
      <c r="OSB510" s="332"/>
      <c r="OSC510" s="332"/>
      <c r="OSD510" s="332"/>
      <c r="OSE510" s="332"/>
      <c r="OSF510" s="332"/>
      <c r="OSG510" s="332"/>
      <c r="OSH510" s="332"/>
      <c r="OSI510" s="332"/>
      <c r="OSJ510" s="332"/>
      <c r="OSK510" s="332"/>
      <c r="OSL510" s="332"/>
      <c r="OSM510" s="332"/>
      <c r="OSN510" s="332"/>
      <c r="OSO510" s="332"/>
      <c r="OSP510" s="332"/>
      <c r="OSQ510" s="332"/>
      <c r="OSR510" s="332"/>
      <c r="OSS510" s="332"/>
      <c r="OST510" s="332"/>
      <c r="OSU510" s="332"/>
      <c r="OSV510" s="332"/>
      <c r="OSW510" s="332"/>
      <c r="OSX510" s="332"/>
      <c r="OSY510" s="332"/>
      <c r="OSZ510" s="332"/>
      <c r="OTA510" s="332"/>
      <c r="OTB510" s="332"/>
      <c r="OTC510" s="332"/>
      <c r="OTD510" s="332"/>
      <c r="OTE510" s="332"/>
      <c r="OTF510" s="332"/>
      <c r="OTG510" s="332"/>
      <c r="OTH510" s="332"/>
      <c r="OTI510" s="332"/>
      <c r="OTJ510" s="332"/>
      <c r="OTK510" s="332"/>
      <c r="OTL510" s="332"/>
      <c r="OTM510" s="332"/>
      <c r="OTN510" s="332"/>
      <c r="OTO510" s="332"/>
      <c r="OTP510" s="332"/>
      <c r="OTQ510" s="332"/>
      <c r="OTR510" s="332"/>
      <c r="OTS510" s="332"/>
      <c r="OTT510" s="332"/>
      <c r="OTU510" s="332"/>
      <c r="OTV510" s="332"/>
      <c r="OTW510" s="332"/>
      <c r="OTX510" s="332"/>
      <c r="OTY510" s="332"/>
      <c r="OTZ510" s="332"/>
      <c r="OUA510" s="332"/>
      <c r="OUB510" s="332"/>
      <c r="OUC510" s="332"/>
      <c r="OUD510" s="332"/>
      <c r="OUE510" s="332"/>
      <c r="OUF510" s="332"/>
      <c r="OUG510" s="332"/>
      <c r="OUH510" s="332"/>
      <c r="OUI510" s="332"/>
      <c r="OUJ510" s="332"/>
      <c r="OUK510" s="332"/>
      <c r="OUL510" s="332"/>
      <c r="OUM510" s="332"/>
      <c r="OUN510" s="332"/>
      <c r="OUO510" s="332"/>
      <c r="OUP510" s="332"/>
      <c r="OUQ510" s="332"/>
      <c r="OUR510" s="332"/>
      <c r="OUS510" s="332"/>
      <c r="OUT510" s="332"/>
      <c r="OUU510" s="332"/>
      <c r="OUV510" s="332"/>
      <c r="OUW510" s="332"/>
      <c r="OUX510" s="332"/>
      <c r="OUY510" s="332"/>
      <c r="OUZ510" s="332"/>
      <c r="OVA510" s="332"/>
      <c r="OVB510" s="332"/>
      <c r="OVC510" s="332"/>
      <c r="OVD510" s="332"/>
      <c r="OVE510" s="332"/>
      <c r="OVF510" s="332"/>
      <c r="OVG510" s="332"/>
      <c r="OVH510" s="332"/>
      <c r="OVI510" s="332"/>
      <c r="OVJ510" s="332"/>
      <c r="OVK510" s="332"/>
      <c r="OVL510" s="332"/>
      <c r="OVM510" s="332"/>
      <c r="OVN510" s="332"/>
      <c r="OVO510" s="332"/>
      <c r="OVP510" s="332"/>
      <c r="OVQ510" s="332"/>
      <c r="OVR510" s="332"/>
      <c r="OVS510" s="332"/>
      <c r="OVT510" s="332"/>
      <c r="OVU510" s="332"/>
      <c r="OVV510" s="332"/>
      <c r="OVW510" s="332"/>
      <c r="OVX510" s="332"/>
      <c r="OVY510" s="332"/>
      <c r="OVZ510" s="332"/>
      <c r="OWA510" s="332"/>
      <c r="OWB510" s="332"/>
      <c r="OWC510" s="332"/>
      <c r="OWD510" s="332"/>
      <c r="OWE510" s="332"/>
      <c r="OWF510" s="332"/>
      <c r="OWG510" s="332"/>
      <c r="OWH510" s="332"/>
      <c r="OWI510" s="332"/>
      <c r="OWJ510" s="332"/>
      <c r="OWK510" s="332"/>
      <c r="OWL510" s="332"/>
      <c r="OWM510" s="332"/>
      <c r="OWN510" s="332"/>
      <c r="OWO510" s="332"/>
      <c r="OWP510" s="332"/>
      <c r="OWQ510" s="332"/>
      <c r="OWR510" s="332"/>
      <c r="OWS510" s="332"/>
      <c r="OWT510" s="332"/>
      <c r="OWU510" s="332"/>
      <c r="OWV510" s="332"/>
      <c r="OWW510" s="332"/>
      <c r="OWX510" s="332"/>
      <c r="OWY510" s="332"/>
      <c r="OWZ510" s="332"/>
      <c r="OXA510" s="332"/>
      <c r="OXB510" s="332"/>
      <c r="OXC510" s="332"/>
      <c r="OXD510" s="332"/>
      <c r="OXE510" s="332"/>
      <c r="OXF510" s="332"/>
      <c r="OXG510" s="332"/>
      <c r="OXH510" s="332"/>
      <c r="OXI510" s="332"/>
      <c r="OXJ510" s="332"/>
      <c r="OXK510" s="332"/>
      <c r="OXL510" s="332"/>
      <c r="OXM510" s="332"/>
      <c r="OXN510" s="332"/>
      <c r="OXO510" s="332"/>
      <c r="OXP510" s="332"/>
      <c r="OXQ510" s="332"/>
      <c r="OXR510" s="332"/>
      <c r="OXS510" s="332"/>
      <c r="OXT510" s="332"/>
      <c r="OXU510" s="332"/>
      <c r="OXV510" s="332"/>
      <c r="OXW510" s="332"/>
      <c r="OXX510" s="332"/>
      <c r="OXY510" s="332"/>
      <c r="OXZ510" s="332"/>
      <c r="OYA510" s="332"/>
      <c r="OYB510" s="332"/>
      <c r="OYC510" s="332"/>
      <c r="OYD510" s="332"/>
      <c r="OYE510" s="332"/>
      <c r="OYF510" s="332"/>
      <c r="OYG510" s="332"/>
      <c r="OYH510" s="332"/>
      <c r="OYI510" s="332"/>
      <c r="OYJ510" s="332"/>
      <c r="OYK510" s="332"/>
      <c r="OYL510" s="332"/>
      <c r="OYM510" s="332"/>
      <c r="OYN510" s="332"/>
      <c r="OYO510" s="332"/>
      <c r="OYP510" s="332"/>
      <c r="OYQ510" s="332"/>
      <c r="OYR510" s="332"/>
      <c r="OYS510" s="332"/>
      <c r="OYT510" s="332"/>
      <c r="OYU510" s="332"/>
      <c r="OYV510" s="332"/>
      <c r="OYW510" s="332"/>
      <c r="OYX510" s="332"/>
      <c r="OYY510" s="332"/>
      <c r="OYZ510" s="332"/>
      <c r="OZA510" s="332"/>
      <c r="OZB510" s="332"/>
      <c r="OZC510" s="332"/>
      <c r="OZD510" s="332"/>
      <c r="OZE510" s="332"/>
      <c r="OZF510" s="332"/>
      <c r="OZG510" s="332"/>
      <c r="OZH510" s="332"/>
      <c r="OZI510" s="332"/>
      <c r="OZJ510" s="332"/>
      <c r="OZK510" s="332"/>
      <c r="OZL510" s="332"/>
      <c r="OZM510" s="332"/>
      <c r="OZN510" s="332"/>
      <c r="OZO510" s="332"/>
      <c r="OZP510" s="332"/>
      <c r="OZQ510" s="332"/>
      <c r="OZR510" s="332"/>
      <c r="OZS510" s="332"/>
      <c r="OZT510" s="332"/>
      <c r="OZU510" s="332"/>
      <c r="OZV510" s="332"/>
      <c r="OZW510" s="332"/>
      <c r="OZX510" s="332"/>
      <c r="OZY510" s="332"/>
      <c r="OZZ510" s="332"/>
      <c r="PAA510" s="332"/>
      <c r="PAB510" s="332"/>
      <c r="PAC510" s="332"/>
      <c r="PAD510" s="332"/>
      <c r="PAE510" s="332"/>
      <c r="PAF510" s="332"/>
      <c r="PAG510" s="332"/>
      <c r="PAH510" s="332"/>
      <c r="PAI510" s="332"/>
      <c r="PAJ510" s="332"/>
      <c r="PAK510" s="332"/>
      <c r="PAL510" s="332"/>
      <c r="PAM510" s="332"/>
      <c r="PAN510" s="332"/>
      <c r="PAO510" s="332"/>
      <c r="PAP510" s="332"/>
      <c r="PAQ510" s="332"/>
      <c r="PAR510" s="332"/>
      <c r="PAS510" s="332"/>
      <c r="PAT510" s="332"/>
      <c r="PAU510" s="332"/>
      <c r="PAV510" s="332"/>
      <c r="PAW510" s="332"/>
      <c r="PAX510" s="332"/>
      <c r="PAY510" s="332"/>
      <c r="PAZ510" s="332"/>
      <c r="PBA510" s="332"/>
      <c r="PBB510" s="332"/>
      <c r="PBC510" s="332"/>
      <c r="PBD510" s="332"/>
      <c r="PBE510" s="332"/>
      <c r="PBF510" s="332"/>
      <c r="PBG510" s="332"/>
      <c r="PBH510" s="332"/>
      <c r="PBI510" s="332"/>
      <c r="PBJ510" s="332"/>
      <c r="PBK510" s="332"/>
      <c r="PBL510" s="332"/>
      <c r="PBM510" s="332"/>
      <c r="PBN510" s="332"/>
      <c r="PBO510" s="332"/>
      <c r="PBP510" s="332"/>
      <c r="PBQ510" s="332"/>
      <c r="PBR510" s="332"/>
      <c r="PBS510" s="332"/>
      <c r="PBT510" s="332"/>
      <c r="PBU510" s="332"/>
      <c r="PBV510" s="332"/>
      <c r="PBW510" s="332"/>
      <c r="PBX510" s="332"/>
      <c r="PBY510" s="332"/>
      <c r="PBZ510" s="332"/>
      <c r="PCA510" s="332"/>
      <c r="PCB510" s="332"/>
      <c r="PCC510" s="332"/>
      <c r="PCD510" s="332"/>
      <c r="PCE510" s="332"/>
      <c r="PCF510" s="332"/>
      <c r="PCG510" s="332"/>
      <c r="PCH510" s="332"/>
      <c r="PCI510" s="332"/>
      <c r="PCJ510" s="332"/>
      <c r="PCK510" s="332"/>
      <c r="PCL510" s="332"/>
      <c r="PCM510" s="332"/>
      <c r="PCN510" s="332"/>
      <c r="PCO510" s="332"/>
      <c r="PCP510" s="332"/>
      <c r="PCQ510" s="332"/>
      <c r="PCR510" s="332"/>
      <c r="PCS510" s="332"/>
      <c r="PCT510" s="332"/>
      <c r="PCU510" s="332"/>
      <c r="PCV510" s="332"/>
      <c r="PCW510" s="332"/>
      <c r="PCX510" s="332"/>
      <c r="PCY510" s="332"/>
      <c r="PCZ510" s="332"/>
      <c r="PDA510" s="332"/>
      <c r="PDB510" s="332"/>
      <c r="PDC510" s="332"/>
      <c r="PDD510" s="332"/>
      <c r="PDE510" s="332"/>
      <c r="PDF510" s="332"/>
      <c r="PDG510" s="332"/>
      <c r="PDH510" s="332"/>
      <c r="PDI510" s="332"/>
      <c r="PDJ510" s="332"/>
      <c r="PDK510" s="332"/>
      <c r="PDL510" s="332"/>
      <c r="PDM510" s="332"/>
      <c r="PDN510" s="332"/>
      <c r="PDO510" s="332"/>
      <c r="PDP510" s="332"/>
      <c r="PDQ510" s="332"/>
      <c r="PDR510" s="332"/>
      <c r="PDS510" s="332"/>
      <c r="PDT510" s="332"/>
      <c r="PDU510" s="332"/>
      <c r="PDV510" s="332"/>
      <c r="PDW510" s="332"/>
      <c r="PDX510" s="332"/>
      <c r="PDY510" s="332"/>
      <c r="PDZ510" s="332"/>
      <c r="PEA510" s="332"/>
      <c r="PEB510" s="332"/>
      <c r="PEC510" s="332"/>
      <c r="PED510" s="332"/>
      <c r="PEE510" s="332"/>
      <c r="PEF510" s="332"/>
      <c r="PEG510" s="332"/>
      <c r="PEH510" s="332"/>
      <c r="PEI510" s="332"/>
      <c r="PEJ510" s="332"/>
      <c r="PEK510" s="332"/>
      <c r="PEL510" s="332"/>
      <c r="PEM510" s="332"/>
      <c r="PEN510" s="332"/>
      <c r="PEO510" s="332"/>
      <c r="PEP510" s="332"/>
      <c r="PEQ510" s="332"/>
      <c r="PER510" s="332"/>
      <c r="PES510" s="332"/>
      <c r="PET510" s="332"/>
      <c r="PEU510" s="332"/>
      <c r="PEV510" s="332"/>
      <c r="PEW510" s="332"/>
      <c r="PEX510" s="332"/>
      <c r="PEY510" s="332"/>
      <c r="PEZ510" s="332"/>
      <c r="PFA510" s="332"/>
      <c r="PFB510" s="332"/>
      <c r="PFC510" s="332"/>
      <c r="PFD510" s="332"/>
      <c r="PFE510" s="332"/>
      <c r="PFF510" s="332"/>
      <c r="PFG510" s="332"/>
      <c r="PFH510" s="332"/>
      <c r="PFI510" s="332"/>
      <c r="PFJ510" s="332"/>
      <c r="PFK510" s="332"/>
      <c r="PFL510" s="332"/>
      <c r="PFM510" s="332"/>
      <c r="PFN510" s="332"/>
      <c r="PFO510" s="332"/>
      <c r="PFP510" s="332"/>
      <c r="PFQ510" s="332"/>
      <c r="PFR510" s="332"/>
      <c r="PFS510" s="332"/>
      <c r="PFT510" s="332"/>
      <c r="PFU510" s="332"/>
      <c r="PFV510" s="332"/>
      <c r="PFW510" s="332"/>
      <c r="PFX510" s="332"/>
      <c r="PFY510" s="332"/>
      <c r="PFZ510" s="332"/>
      <c r="PGA510" s="332"/>
      <c r="PGB510" s="332"/>
      <c r="PGC510" s="332"/>
      <c r="PGD510" s="332"/>
      <c r="PGE510" s="332"/>
      <c r="PGF510" s="332"/>
      <c r="PGG510" s="332"/>
      <c r="PGH510" s="332"/>
      <c r="PGI510" s="332"/>
      <c r="PGJ510" s="332"/>
      <c r="PGK510" s="332"/>
      <c r="PGL510" s="332"/>
      <c r="PGM510" s="332"/>
      <c r="PGN510" s="332"/>
      <c r="PGO510" s="332"/>
      <c r="PGP510" s="332"/>
      <c r="PGQ510" s="332"/>
      <c r="PGR510" s="332"/>
      <c r="PGS510" s="332"/>
      <c r="PGT510" s="332"/>
      <c r="PGU510" s="332"/>
      <c r="PGV510" s="332"/>
      <c r="PGW510" s="332"/>
      <c r="PGX510" s="332"/>
      <c r="PGY510" s="332"/>
      <c r="PGZ510" s="332"/>
      <c r="PHA510" s="332"/>
      <c r="PHB510" s="332"/>
      <c r="PHC510" s="332"/>
      <c r="PHD510" s="332"/>
      <c r="PHE510" s="332"/>
      <c r="PHF510" s="332"/>
      <c r="PHG510" s="332"/>
      <c r="PHH510" s="332"/>
      <c r="PHI510" s="332"/>
      <c r="PHJ510" s="332"/>
      <c r="PHK510" s="332"/>
      <c r="PHL510" s="332"/>
      <c r="PHM510" s="332"/>
      <c r="PHN510" s="332"/>
      <c r="PHO510" s="332"/>
      <c r="PHP510" s="332"/>
      <c r="PHQ510" s="332"/>
      <c r="PHR510" s="332"/>
      <c r="PHS510" s="332"/>
      <c r="PHT510" s="332"/>
      <c r="PHU510" s="332"/>
      <c r="PHV510" s="332"/>
      <c r="PHW510" s="332"/>
      <c r="PHX510" s="332"/>
      <c r="PHY510" s="332"/>
      <c r="PHZ510" s="332"/>
      <c r="PIA510" s="332"/>
      <c r="PIB510" s="332"/>
      <c r="PIC510" s="332"/>
      <c r="PID510" s="332"/>
      <c r="PIE510" s="332"/>
      <c r="PIF510" s="332"/>
      <c r="PIG510" s="332"/>
      <c r="PIH510" s="332"/>
      <c r="PII510" s="332"/>
      <c r="PIJ510" s="332"/>
      <c r="PIK510" s="332"/>
      <c r="PIL510" s="332"/>
      <c r="PIM510" s="332"/>
      <c r="PIN510" s="332"/>
      <c r="PIO510" s="332"/>
      <c r="PIP510" s="332"/>
      <c r="PIQ510" s="332"/>
      <c r="PIR510" s="332"/>
      <c r="PIS510" s="332"/>
      <c r="PIT510" s="332"/>
      <c r="PIU510" s="332"/>
      <c r="PIV510" s="332"/>
      <c r="PIW510" s="332"/>
      <c r="PIX510" s="332"/>
      <c r="PIY510" s="332"/>
      <c r="PIZ510" s="332"/>
      <c r="PJA510" s="332"/>
      <c r="PJB510" s="332"/>
      <c r="PJC510" s="332"/>
      <c r="PJD510" s="332"/>
      <c r="PJE510" s="332"/>
      <c r="PJF510" s="332"/>
      <c r="PJG510" s="332"/>
      <c r="PJH510" s="332"/>
      <c r="PJI510" s="332"/>
      <c r="PJJ510" s="332"/>
      <c r="PJK510" s="332"/>
      <c r="PJL510" s="332"/>
      <c r="PJM510" s="332"/>
      <c r="PJN510" s="332"/>
      <c r="PJO510" s="332"/>
      <c r="PJP510" s="332"/>
      <c r="PJQ510" s="332"/>
      <c r="PJR510" s="332"/>
      <c r="PJS510" s="332"/>
      <c r="PJT510" s="332"/>
      <c r="PJU510" s="332"/>
      <c r="PJV510" s="332"/>
      <c r="PJW510" s="332"/>
      <c r="PJX510" s="332"/>
      <c r="PJY510" s="332"/>
      <c r="PJZ510" s="332"/>
      <c r="PKA510" s="332"/>
      <c r="PKB510" s="332"/>
      <c r="PKC510" s="332"/>
      <c r="PKD510" s="332"/>
      <c r="PKE510" s="332"/>
      <c r="PKF510" s="332"/>
      <c r="PKG510" s="332"/>
      <c r="PKH510" s="332"/>
      <c r="PKI510" s="332"/>
      <c r="PKJ510" s="332"/>
      <c r="PKK510" s="332"/>
      <c r="PKL510" s="332"/>
      <c r="PKM510" s="332"/>
      <c r="PKN510" s="332"/>
      <c r="PKO510" s="332"/>
      <c r="PKP510" s="332"/>
      <c r="PKQ510" s="332"/>
      <c r="PKR510" s="332"/>
      <c r="PKS510" s="332"/>
      <c r="PKT510" s="332"/>
      <c r="PKU510" s="332"/>
      <c r="PKV510" s="332"/>
      <c r="PKW510" s="332"/>
      <c r="PKX510" s="332"/>
      <c r="PKY510" s="332"/>
      <c r="PKZ510" s="332"/>
      <c r="PLA510" s="332"/>
      <c r="PLB510" s="332"/>
      <c r="PLC510" s="332"/>
      <c r="PLD510" s="332"/>
      <c r="PLE510" s="332"/>
      <c r="PLF510" s="332"/>
      <c r="PLG510" s="332"/>
      <c r="PLH510" s="332"/>
      <c r="PLI510" s="332"/>
      <c r="PLJ510" s="332"/>
      <c r="PLK510" s="332"/>
      <c r="PLL510" s="332"/>
      <c r="PLM510" s="332"/>
      <c r="PLN510" s="332"/>
      <c r="PLO510" s="332"/>
      <c r="PLP510" s="332"/>
      <c r="PLQ510" s="332"/>
      <c r="PLR510" s="332"/>
      <c r="PLS510" s="332"/>
      <c r="PLT510" s="332"/>
      <c r="PLU510" s="332"/>
      <c r="PLV510" s="332"/>
      <c r="PLW510" s="332"/>
      <c r="PLX510" s="332"/>
      <c r="PLY510" s="332"/>
      <c r="PLZ510" s="332"/>
      <c r="PMA510" s="332"/>
      <c r="PMB510" s="332"/>
      <c r="PMC510" s="332"/>
      <c r="PMD510" s="332"/>
      <c r="PME510" s="332"/>
      <c r="PMF510" s="332"/>
      <c r="PMG510" s="332"/>
      <c r="PMH510" s="332"/>
      <c r="PMI510" s="332"/>
      <c r="PMJ510" s="332"/>
      <c r="PMK510" s="332"/>
      <c r="PML510" s="332"/>
      <c r="PMM510" s="332"/>
      <c r="PMN510" s="332"/>
      <c r="PMO510" s="332"/>
      <c r="PMP510" s="332"/>
      <c r="PMQ510" s="332"/>
      <c r="PMR510" s="332"/>
      <c r="PMS510" s="332"/>
      <c r="PMT510" s="332"/>
      <c r="PMU510" s="332"/>
      <c r="PMV510" s="332"/>
      <c r="PMW510" s="332"/>
      <c r="PMX510" s="332"/>
      <c r="PMY510" s="332"/>
      <c r="PMZ510" s="332"/>
      <c r="PNA510" s="332"/>
      <c r="PNB510" s="332"/>
      <c r="PNC510" s="332"/>
      <c r="PND510" s="332"/>
      <c r="PNE510" s="332"/>
      <c r="PNF510" s="332"/>
      <c r="PNG510" s="332"/>
      <c r="PNH510" s="332"/>
      <c r="PNI510" s="332"/>
      <c r="PNJ510" s="332"/>
      <c r="PNK510" s="332"/>
      <c r="PNL510" s="332"/>
      <c r="PNM510" s="332"/>
      <c r="PNN510" s="332"/>
      <c r="PNO510" s="332"/>
      <c r="PNP510" s="332"/>
      <c r="PNQ510" s="332"/>
      <c r="PNR510" s="332"/>
      <c r="PNS510" s="332"/>
      <c r="PNT510" s="332"/>
      <c r="PNU510" s="332"/>
      <c r="PNV510" s="332"/>
      <c r="PNW510" s="332"/>
      <c r="PNX510" s="332"/>
      <c r="PNY510" s="332"/>
      <c r="PNZ510" s="332"/>
      <c r="POA510" s="332"/>
      <c r="POB510" s="332"/>
      <c r="POC510" s="332"/>
      <c r="POD510" s="332"/>
      <c r="POE510" s="332"/>
      <c r="POF510" s="332"/>
      <c r="POG510" s="332"/>
      <c r="POH510" s="332"/>
      <c r="POI510" s="332"/>
      <c r="POJ510" s="332"/>
      <c r="POK510" s="332"/>
      <c r="POL510" s="332"/>
      <c r="POM510" s="332"/>
      <c r="PON510" s="332"/>
      <c r="POO510" s="332"/>
      <c r="POP510" s="332"/>
      <c r="POQ510" s="332"/>
      <c r="POR510" s="332"/>
      <c r="POS510" s="332"/>
      <c r="POT510" s="332"/>
      <c r="POU510" s="332"/>
      <c r="POV510" s="332"/>
      <c r="POW510" s="332"/>
      <c r="POX510" s="332"/>
      <c r="POY510" s="332"/>
      <c r="POZ510" s="332"/>
      <c r="PPA510" s="332"/>
      <c r="PPB510" s="332"/>
      <c r="PPC510" s="332"/>
      <c r="PPD510" s="332"/>
      <c r="PPE510" s="332"/>
      <c r="PPF510" s="332"/>
      <c r="PPG510" s="332"/>
      <c r="PPH510" s="332"/>
      <c r="PPI510" s="332"/>
      <c r="PPJ510" s="332"/>
      <c r="PPK510" s="332"/>
      <c r="PPL510" s="332"/>
      <c r="PPM510" s="332"/>
      <c r="PPN510" s="332"/>
      <c r="PPO510" s="332"/>
      <c r="PPP510" s="332"/>
      <c r="PPQ510" s="332"/>
      <c r="PPR510" s="332"/>
      <c r="PPS510" s="332"/>
      <c r="PPT510" s="332"/>
      <c r="PPU510" s="332"/>
      <c r="PPV510" s="332"/>
      <c r="PPW510" s="332"/>
      <c r="PPX510" s="332"/>
      <c r="PPY510" s="332"/>
      <c r="PPZ510" s="332"/>
      <c r="PQA510" s="332"/>
      <c r="PQB510" s="332"/>
      <c r="PQC510" s="332"/>
      <c r="PQD510" s="332"/>
      <c r="PQE510" s="332"/>
      <c r="PQF510" s="332"/>
      <c r="PQG510" s="332"/>
      <c r="PQH510" s="332"/>
      <c r="PQI510" s="332"/>
      <c r="PQJ510" s="332"/>
      <c r="PQK510" s="332"/>
      <c r="PQL510" s="332"/>
      <c r="PQM510" s="332"/>
      <c r="PQN510" s="332"/>
      <c r="PQO510" s="332"/>
      <c r="PQP510" s="332"/>
      <c r="PQQ510" s="332"/>
      <c r="PQR510" s="332"/>
      <c r="PQS510" s="332"/>
      <c r="PQT510" s="332"/>
      <c r="PQU510" s="332"/>
      <c r="PQV510" s="332"/>
      <c r="PQW510" s="332"/>
      <c r="PQX510" s="332"/>
      <c r="PQY510" s="332"/>
      <c r="PQZ510" s="332"/>
      <c r="PRA510" s="332"/>
      <c r="PRB510" s="332"/>
      <c r="PRC510" s="332"/>
      <c r="PRD510" s="332"/>
      <c r="PRE510" s="332"/>
      <c r="PRF510" s="332"/>
      <c r="PRG510" s="332"/>
      <c r="PRH510" s="332"/>
      <c r="PRI510" s="332"/>
      <c r="PRJ510" s="332"/>
      <c r="PRK510" s="332"/>
      <c r="PRL510" s="332"/>
      <c r="PRM510" s="332"/>
      <c r="PRN510" s="332"/>
      <c r="PRO510" s="332"/>
      <c r="PRP510" s="332"/>
      <c r="PRQ510" s="332"/>
      <c r="PRR510" s="332"/>
      <c r="PRS510" s="332"/>
      <c r="PRT510" s="332"/>
      <c r="PRU510" s="332"/>
      <c r="PRV510" s="332"/>
      <c r="PRW510" s="332"/>
      <c r="PRX510" s="332"/>
      <c r="PRY510" s="332"/>
      <c r="PRZ510" s="332"/>
      <c r="PSA510" s="332"/>
      <c r="PSB510" s="332"/>
      <c r="PSC510" s="332"/>
      <c r="PSD510" s="332"/>
      <c r="PSE510" s="332"/>
      <c r="PSF510" s="332"/>
      <c r="PSG510" s="332"/>
      <c r="PSH510" s="332"/>
      <c r="PSI510" s="332"/>
      <c r="PSJ510" s="332"/>
      <c r="PSK510" s="332"/>
      <c r="PSL510" s="332"/>
      <c r="PSM510" s="332"/>
      <c r="PSN510" s="332"/>
      <c r="PSO510" s="332"/>
      <c r="PSP510" s="332"/>
      <c r="PSQ510" s="332"/>
      <c r="PSR510" s="332"/>
      <c r="PSS510" s="332"/>
      <c r="PST510" s="332"/>
      <c r="PSU510" s="332"/>
      <c r="PSV510" s="332"/>
      <c r="PSW510" s="332"/>
      <c r="PSX510" s="332"/>
      <c r="PSY510" s="332"/>
      <c r="PSZ510" s="332"/>
      <c r="PTA510" s="332"/>
      <c r="PTB510" s="332"/>
      <c r="PTC510" s="332"/>
      <c r="PTD510" s="332"/>
      <c r="PTE510" s="332"/>
      <c r="PTF510" s="332"/>
      <c r="PTG510" s="332"/>
      <c r="PTH510" s="332"/>
      <c r="PTI510" s="332"/>
      <c r="PTJ510" s="332"/>
      <c r="PTK510" s="332"/>
      <c r="PTL510" s="332"/>
      <c r="PTM510" s="332"/>
      <c r="PTN510" s="332"/>
      <c r="PTO510" s="332"/>
      <c r="PTP510" s="332"/>
      <c r="PTQ510" s="332"/>
      <c r="PTR510" s="332"/>
      <c r="PTS510" s="332"/>
      <c r="PTT510" s="332"/>
      <c r="PTU510" s="332"/>
      <c r="PTV510" s="332"/>
      <c r="PTW510" s="332"/>
      <c r="PTX510" s="332"/>
      <c r="PTY510" s="332"/>
      <c r="PTZ510" s="332"/>
      <c r="PUA510" s="332"/>
      <c r="PUB510" s="332"/>
      <c r="PUC510" s="332"/>
      <c r="PUD510" s="332"/>
      <c r="PUE510" s="332"/>
      <c r="PUF510" s="332"/>
      <c r="PUG510" s="332"/>
      <c r="PUH510" s="332"/>
      <c r="PUI510" s="332"/>
      <c r="PUJ510" s="332"/>
      <c r="PUK510" s="332"/>
      <c r="PUL510" s="332"/>
      <c r="PUM510" s="332"/>
      <c r="PUN510" s="332"/>
      <c r="PUO510" s="332"/>
      <c r="PUP510" s="332"/>
      <c r="PUQ510" s="332"/>
      <c r="PUR510" s="332"/>
      <c r="PUS510" s="332"/>
      <c r="PUT510" s="332"/>
      <c r="PUU510" s="332"/>
      <c r="PUV510" s="332"/>
      <c r="PUW510" s="332"/>
      <c r="PUX510" s="332"/>
      <c r="PUY510" s="332"/>
      <c r="PUZ510" s="332"/>
      <c r="PVA510" s="332"/>
      <c r="PVB510" s="332"/>
      <c r="PVC510" s="332"/>
      <c r="PVD510" s="332"/>
      <c r="PVE510" s="332"/>
      <c r="PVF510" s="332"/>
      <c r="PVG510" s="332"/>
      <c r="PVH510" s="332"/>
      <c r="PVI510" s="332"/>
      <c r="PVJ510" s="332"/>
      <c r="PVK510" s="332"/>
      <c r="PVL510" s="332"/>
      <c r="PVM510" s="332"/>
      <c r="PVN510" s="332"/>
      <c r="PVO510" s="332"/>
      <c r="PVP510" s="332"/>
      <c r="PVQ510" s="332"/>
      <c r="PVR510" s="332"/>
      <c r="PVS510" s="332"/>
      <c r="PVT510" s="332"/>
      <c r="PVU510" s="332"/>
      <c r="PVV510" s="332"/>
      <c r="PVW510" s="332"/>
      <c r="PVX510" s="332"/>
      <c r="PVY510" s="332"/>
      <c r="PVZ510" s="332"/>
      <c r="PWA510" s="332"/>
      <c r="PWB510" s="332"/>
      <c r="PWC510" s="332"/>
      <c r="PWD510" s="332"/>
      <c r="PWE510" s="332"/>
      <c r="PWF510" s="332"/>
      <c r="PWG510" s="332"/>
      <c r="PWH510" s="332"/>
      <c r="PWI510" s="332"/>
      <c r="PWJ510" s="332"/>
      <c r="PWK510" s="332"/>
      <c r="PWL510" s="332"/>
      <c r="PWM510" s="332"/>
      <c r="PWN510" s="332"/>
      <c r="PWO510" s="332"/>
      <c r="PWP510" s="332"/>
      <c r="PWQ510" s="332"/>
      <c r="PWR510" s="332"/>
      <c r="PWS510" s="332"/>
      <c r="PWT510" s="332"/>
      <c r="PWU510" s="332"/>
      <c r="PWV510" s="332"/>
      <c r="PWW510" s="332"/>
      <c r="PWX510" s="332"/>
      <c r="PWY510" s="332"/>
      <c r="PWZ510" s="332"/>
      <c r="PXA510" s="332"/>
      <c r="PXB510" s="332"/>
      <c r="PXC510" s="332"/>
      <c r="PXD510" s="332"/>
      <c r="PXE510" s="332"/>
      <c r="PXF510" s="332"/>
      <c r="PXG510" s="332"/>
      <c r="PXH510" s="332"/>
      <c r="PXI510" s="332"/>
      <c r="PXJ510" s="332"/>
      <c r="PXK510" s="332"/>
      <c r="PXL510" s="332"/>
      <c r="PXM510" s="332"/>
      <c r="PXN510" s="332"/>
      <c r="PXO510" s="332"/>
      <c r="PXP510" s="332"/>
      <c r="PXQ510" s="332"/>
      <c r="PXR510" s="332"/>
      <c r="PXS510" s="332"/>
      <c r="PXT510" s="332"/>
      <c r="PXU510" s="332"/>
      <c r="PXV510" s="332"/>
      <c r="PXW510" s="332"/>
      <c r="PXX510" s="332"/>
      <c r="PXY510" s="332"/>
      <c r="PXZ510" s="332"/>
      <c r="PYA510" s="332"/>
      <c r="PYB510" s="332"/>
      <c r="PYC510" s="332"/>
      <c r="PYD510" s="332"/>
      <c r="PYE510" s="332"/>
      <c r="PYF510" s="332"/>
      <c r="PYG510" s="332"/>
      <c r="PYH510" s="332"/>
      <c r="PYI510" s="332"/>
      <c r="PYJ510" s="332"/>
      <c r="PYK510" s="332"/>
      <c r="PYL510" s="332"/>
      <c r="PYM510" s="332"/>
      <c r="PYN510" s="332"/>
      <c r="PYO510" s="332"/>
      <c r="PYP510" s="332"/>
      <c r="PYQ510" s="332"/>
      <c r="PYR510" s="332"/>
      <c r="PYS510" s="332"/>
      <c r="PYT510" s="332"/>
      <c r="PYU510" s="332"/>
      <c r="PYV510" s="332"/>
      <c r="PYW510" s="332"/>
      <c r="PYX510" s="332"/>
      <c r="PYY510" s="332"/>
      <c r="PYZ510" s="332"/>
      <c r="PZA510" s="332"/>
      <c r="PZB510" s="332"/>
      <c r="PZC510" s="332"/>
      <c r="PZD510" s="332"/>
      <c r="PZE510" s="332"/>
      <c r="PZF510" s="332"/>
      <c r="PZG510" s="332"/>
      <c r="PZH510" s="332"/>
      <c r="PZI510" s="332"/>
      <c r="PZJ510" s="332"/>
      <c r="PZK510" s="332"/>
      <c r="PZL510" s="332"/>
      <c r="PZM510" s="332"/>
      <c r="PZN510" s="332"/>
      <c r="PZO510" s="332"/>
      <c r="PZP510" s="332"/>
      <c r="PZQ510" s="332"/>
      <c r="PZR510" s="332"/>
      <c r="PZS510" s="332"/>
      <c r="PZT510" s="332"/>
      <c r="PZU510" s="332"/>
      <c r="PZV510" s="332"/>
      <c r="PZW510" s="332"/>
      <c r="PZX510" s="332"/>
      <c r="PZY510" s="332"/>
      <c r="PZZ510" s="332"/>
      <c r="QAA510" s="332"/>
      <c r="QAB510" s="332"/>
      <c r="QAC510" s="332"/>
      <c r="QAD510" s="332"/>
      <c r="QAE510" s="332"/>
      <c r="QAF510" s="332"/>
      <c r="QAG510" s="332"/>
      <c r="QAH510" s="332"/>
      <c r="QAI510" s="332"/>
      <c r="QAJ510" s="332"/>
      <c r="QAK510" s="332"/>
      <c r="QAL510" s="332"/>
      <c r="QAM510" s="332"/>
      <c r="QAN510" s="332"/>
      <c r="QAO510" s="332"/>
      <c r="QAP510" s="332"/>
      <c r="QAQ510" s="332"/>
      <c r="QAR510" s="332"/>
      <c r="QAS510" s="332"/>
      <c r="QAT510" s="332"/>
      <c r="QAU510" s="332"/>
      <c r="QAV510" s="332"/>
      <c r="QAW510" s="332"/>
      <c r="QAX510" s="332"/>
      <c r="QAY510" s="332"/>
      <c r="QAZ510" s="332"/>
      <c r="QBA510" s="332"/>
      <c r="QBB510" s="332"/>
      <c r="QBC510" s="332"/>
      <c r="QBD510" s="332"/>
      <c r="QBE510" s="332"/>
      <c r="QBF510" s="332"/>
      <c r="QBG510" s="332"/>
      <c r="QBH510" s="332"/>
      <c r="QBI510" s="332"/>
      <c r="QBJ510" s="332"/>
      <c r="QBK510" s="332"/>
      <c r="QBL510" s="332"/>
      <c r="QBM510" s="332"/>
      <c r="QBN510" s="332"/>
      <c r="QBO510" s="332"/>
      <c r="QBP510" s="332"/>
      <c r="QBQ510" s="332"/>
      <c r="QBR510" s="332"/>
      <c r="QBS510" s="332"/>
      <c r="QBT510" s="332"/>
      <c r="QBU510" s="332"/>
      <c r="QBV510" s="332"/>
      <c r="QBW510" s="332"/>
      <c r="QBX510" s="332"/>
      <c r="QBY510" s="332"/>
      <c r="QBZ510" s="332"/>
      <c r="QCA510" s="332"/>
      <c r="QCB510" s="332"/>
      <c r="QCC510" s="332"/>
      <c r="QCD510" s="332"/>
      <c r="QCE510" s="332"/>
      <c r="QCF510" s="332"/>
      <c r="QCG510" s="332"/>
      <c r="QCH510" s="332"/>
      <c r="QCI510" s="332"/>
      <c r="QCJ510" s="332"/>
      <c r="QCK510" s="332"/>
      <c r="QCL510" s="332"/>
      <c r="QCM510" s="332"/>
      <c r="QCN510" s="332"/>
      <c r="QCO510" s="332"/>
      <c r="QCP510" s="332"/>
      <c r="QCQ510" s="332"/>
      <c r="QCR510" s="332"/>
      <c r="QCS510" s="332"/>
      <c r="QCT510" s="332"/>
      <c r="QCU510" s="332"/>
      <c r="QCV510" s="332"/>
      <c r="QCW510" s="332"/>
      <c r="QCX510" s="332"/>
      <c r="QCY510" s="332"/>
      <c r="QCZ510" s="332"/>
      <c r="QDA510" s="332"/>
      <c r="QDB510" s="332"/>
      <c r="QDC510" s="332"/>
      <c r="QDD510" s="332"/>
      <c r="QDE510" s="332"/>
      <c r="QDF510" s="332"/>
      <c r="QDG510" s="332"/>
      <c r="QDH510" s="332"/>
      <c r="QDI510" s="332"/>
      <c r="QDJ510" s="332"/>
      <c r="QDK510" s="332"/>
      <c r="QDL510" s="332"/>
      <c r="QDM510" s="332"/>
      <c r="QDN510" s="332"/>
      <c r="QDO510" s="332"/>
      <c r="QDP510" s="332"/>
      <c r="QDQ510" s="332"/>
      <c r="QDR510" s="332"/>
      <c r="QDS510" s="332"/>
      <c r="QDT510" s="332"/>
      <c r="QDU510" s="332"/>
      <c r="QDV510" s="332"/>
      <c r="QDW510" s="332"/>
      <c r="QDX510" s="332"/>
      <c r="QDY510" s="332"/>
      <c r="QDZ510" s="332"/>
      <c r="QEA510" s="332"/>
      <c r="QEB510" s="332"/>
      <c r="QEC510" s="332"/>
      <c r="QED510" s="332"/>
      <c r="QEE510" s="332"/>
      <c r="QEF510" s="332"/>
      <c r="QEG510" s="332"/>
      <c r="QEH510" s="332"/>
      <c r="QEI510" s="332"/>
      <c r="QEJ510" s="332"/>
      <c r="QEK510" s="332"/>
      <c r="QEL510" s="332"/>
      <c r="QEM510" s="332"/>
      <c r="QEN510" s="332"/>
      <c r="QEO510" s="332"/>
      <c r="QEP510" s="332"/>
      <c r="QEQ510" s="332"/>
      <c r="QER510" s="332"/>
      <c r="QES510" s="332"/>
      <c r="QET510" s="332"/>
      <c r="QEU510" s="332"/>
      <c r="QEV510" s="332"/>
      <c r="QEW510" s="332"/>
      <c r="QEX510" s="332"/>
      <c r="QEY510" s="332"/>
      <c r="QEZ510" s="332"/>
      <c r="QFA510" s="332"/>
      <c r="QFB510" s="332"/>
      <c r="QFC510" s="332"/>
      <c r="QFD510" s="332"/>
      <c r="QFE510" s="332"/>
      <c r="QFF510" s="332"/>
      <c r="QFG510" s="332"/>
      <c r="QFH510" s="332"/>
      <c r="QFI510" s="332"/>
      <c r="QFJ510" s="332"/>
      <c r="QFK510" s="332"/>
      <c r="QFL510" s="332"/>
      <c r="QFM510" s="332"/>
      <c r="QFN510" s="332"/>
      <c r="QFO510" s="332"/>
      <c r="QFP510" s="332"/>
      <c r="QFQ510" s="332"/>
      <c r="QFR510" s="332"/>
      <c r="QFS510" s="332"/>
      <c r="QFT510" s="332"/>
      <c r="QFU510" s="332"/>
      <c r="QFV510" s="332"/>
      <c r="QFW510" s="332"/>
      <c r="QFX510" s="332"/>
      <c r="QFY510" s="332"/>
      <c r="QFZ510" s="332"/>
      <c r="QGA510" s="332"/>
      <c r="QGB510" s="332"/>
      <c r="QGC510" s="332"/>
      <c r="QGD510" s="332"/>
      <c r="QGE510" s="332"/>
      <c r="QGF510" s="332"/>
      <c r="QGG510" s="332"/>
      <c r="QGH510" s="332"/>
      <c r="QGI510" s="332"/>
      <c r="QGJ510" s="332"/>
      <c r="QGK510" s="332"/>
      <c r="QGL510" s="332"/>
      <c r="QGM510" s="332"/>
      <c r="QGN510" s="332"/>
      <c r="QGO510" s="332"/>
      <c r="QGP510" s="332"/>
      <c r="QGQ510" s="332"/>
      <c r="QGR510" s="332"/>
      <c r="QGS510" s="332"/>
      <c r="QGT510" s="332"/>
      <c r="QGU510" s="332"/>
      <c r="QGV510" s="332"/>
      <c r="QGW510" s="332"/>
      <c r="QGX510" s="332"/>
      <c r="QGY510" s="332"/>
      <c r="QGZ510" s="332"/>
      <c r="QHA510" s="332"/>
      <c r="QHB510" s="332"/>
      <c r="QHC510" s="332"/>
      <c r="QHD510" s="332"/>
      <c r="QHE510" s="332"/>
      <c r="QHF510" s="332"/>
      <c r="QHG510" s="332"/>
      <c r="QHH510" s="332"/>
      <c r="QHI510" s="332"/>
      <c r="QHJ510" s="332"/>
      <c r="QHK510" s="332"/>
      <c r="QHL510" s="332"/>
      <c r="QHM510" s="332"/>
      <c r="QHN510" s="332"/>
      <c r="QHO510" s="332"/>
      <c r="QHP510" s="332"/>
      <c r="QHQ510" s="332"/>
      <c r="QHR510" s="332"/>
      <c r="QHS510" s="332"/>
      <c r="QHT510" s="332"/>
      <c r="QHU510" s="332"/>
      <c r="QHV510" s="332"/>
      <c r="QHW510" s="332"/>
      <c r="QHX510" s="332"/>
      <c r="QHY510" s="332"/>
      <c r="QHZ510" s="332"/>
      <c r="QIA510" s="332"/>
      <c r="QIB510" s="332"/>
      <c r="QIC510" s="332"/>
      <c r="QID510" s="332"/>
      <c r="QIE510" s="332"/>
      <c r="QIF510" s="332"/>
      <c r="QIG510" s="332"/>
      <c r="QIH510" s="332"/>
      <c r="QII510" s="332"/>
      <c r="QIJ510" s="332"/>
      <c r="QIK510" s="332"/>
      <c r="QIL510" s="332"/>
      <c r="QIM510" s="332"/>
      <c r="QIN510" s="332"/>
      <c r="QIO510" s="332"/>
      <c r="QIP510" s="332"/>
      <c r="QIQ510" s="332"/>
      <c r="QIR510" s="332"/>
      <c r="QIS510" s="332"/>
      <c r="QIT510" s="332"/>
      <c r="QIU510" s="332"/>
      <c r="QIV510" s="332"/>
      <c r="QIW510" s="332"/>
      <c r="QIX510" s="332"/>
      <c r="QIY510" s="332"/>
      <c r="QIZ510" s="332"/>
      <c r="QJA510" s="332"/>
      <c r="QJB510" s="332"/>
      <c r="QJC510" s="332"/>
      <c r="QJD510" s="332"/>
      <c r="QJE510" s="332"/>
      <c r="QJF510" s="332"/>
      <c r="QJG510" s="332"/>
      <c r="QJH510" s="332"/>
      <c r="QJI510" s="332"/>
      <c r="QJJ510" s="332"/>
      <c r="QJK510" s="332"/>
      <c r="QJL510" s="332"/>
      <c r="QJM510" s="332"/>
      <c r="QJN510" s="332"/>
      <c r="QJO510" s="332"/>
      <c r="QJP510" s="332"/>
      <c r="QJQ510" s="332"/>
      <c r="QJR510" s="332"/>
      <c r="QJS510" s="332"/>
      <c r="QJT510" s="332"/>
      <c r="QJU510" s="332"/>
      <c r="QJV510" s="332"/>
      <c r="QJW510" s="332"/>
      <c r="QJX510" s="332"/>
      <c r="QJY510" s="332"/>
      <c r="QJZ510" s="332"/>
      <c r="QKA510" s="332"/>
      <c r="QKB510" s="332"/>
      <c r="QKC510" s="332"/>
      <c r="QKD510" s="332"/>
      <c r="QKE510" s="332"/>
      <c r="QKF510" s="332"/>
      <c r="QKG510" s="332"/>
      <c r="QKH510" s="332"/>
      <c r="QKI510" s="332"/>
      <c r="QKJ510" s="332"/>
      <c r="QKK510" s="332"/>
      <c r="QKL510" s="332"/>
      <c r="QKM510" s="332"/>
      <c r="QKN510" s="332"/>
      <c r="QKO510" s="332"/>
      <c r="QKP510" s="332"/>
      <c r="QKQ510" s="332"/>
      <c r="QKR510" s="332"/>
      <c r="QKS510" s="332"/>
      <c r="QKT510" s="332"/>
      <c r="QKU510" s="332"/>
      <c r="QKV510" s="332"/>
      <c r="QKW510" s="332"/>
      <c r="QKX510" s="332"/>
      <c r="QKY510" s="332"/>
      <c r="QKZ510" s="332"/>
      <c r="QLA510" s="332"/>
      <c r="QLB510" s="332"/>
      <c r="QLC510" s="332"/>
      <c r="QLD510" s="332"/>
      <c r="QLE510" s="332"/>
      <c r="QLF510" s="332"/>
      <c r="QLG510" s="332"/>
      <c r="QLH510" s="332"/>
      <c r="QLI510" s="332"/>
      <c r="QLJ510" s="332"/>
      <c r="QLK510" s="332"/>
      <c r="QLL510" s="332"/>
      <c r="QLM510" s="332"/>
      <c r="QLN510" s="332"/>
      <c r="QLO510" s="332"/>
      <c r="QLP510" s="332"/>
      <c r="QLQ510" s="332"/>
      <c r="QLR510" s="332"/>
      <c r="QLS510" s="332"/>
      <c r="QLT510" s="332"/>
      <c r="QLU510" s="332"/>
      <c r="QLV510" s="332"/>
      <c r="QLW510" s="332"/>
      <c r="QLX510" s="332"/>
      <c r="QLY510" s="332"/>
      <c r="QLZ510" s="332"/>
      <c r="QMA510" s="332"/>
      <c r="QMB510" s="332"/>
      <c r="QMC510" s="332"/>
      <c r="QMD510" s="332"/>
      <c r="QME510" s="332"/>
      <c r="QMF510" s="332"/>
      <c r="QMG510" s="332"/>
      <c r="QMH510" s="332"/>
      <c r="QMI510" s="332"/>
      <c r="QMJ510" s="332"/>
      <c r="QMK510" s="332"/>
      <c r="QML510" s="332"/>
      <c r="QMM510" s="332"/>
      <c r="QMN510" s="332"/>
      <c r="QMO510" s="332"/>
      <c r="QMP510" s="332"/>
      <c r="QMQ510" s="332"/>
      <c r="QMR510" s="332"/>
      <c r="QMS510" s="332"/>
      <c r="QMT510" s="332"/>
      <c r="QMU510" s="332"/>
      <c r="QMV510" s="332"/>
      <c r="QMW510" s="332"/>
      <c r="QMX510" s="332"/>
      <c r="QMY510" s="332"/>
      <c r="QMZ510" s="332"/>
      <c r="QNA510" s="332"/>
      <c r="QNB510" s="332"/>
      <c r="QNC510" s="332"/>
      <c r="QND510" s="332"/>
      <c r="QNE510" s="332"/>
      <c r="QNF510" s="332"/>
      <c r="QNG510" s="332"/>
      <c r="QNH510" s="332"/>
      <c r="QNI510" s="332"/>
      <c r="QNJ510" s="332"/>
      <c r="QNK510" s="332"/>
      <c r="QNL510" s="332"/>
      <c r="QNM510" s="332"/>
      <c r="QNN510" s="332"/>
      <c r="QNO510" s="332"/>
      <c r="QNP510" s="332"/>
      <c r="QNQ510" s="332"/>
      <c r="QNR510" s="332"/>
      <c r="QNS510" s="332"/>
      <c r="QNT510" s="332"/>
      <c r="QNU510" s="332"/>
      <c r="QNV510" s="332"/>
      <c r="QNW510" s="332"/>
      <c r="QNX510" s="332"/>
      <c r="QNY510" s="332"/>
      <c r="QNZ510" s="332"/>
      <c r="QOA510" s="332"/>
      <c r="QOB510" s="332"/>
      <c r="QOC510" s="332"/>
      <c r="QOD510" s="332"/>
      <c r="QOE510" s="332"/>
      <c r="QOF510" s="332"/>
      <c r="QOG510" s="332"/>
      <c r="QOH510" s="332"/>
      <c r="QOI510" s="332"/>
      <c r="QOJ510" s="332"/>
      <c r="QOK510" s="332"/>
      <c r="QOL510" s="332"/>
      <c r="QOM510" s="332"/>
      <c r="QON510" s="332"/>
      <c r="QOO510" s="332"/>
      <c r="QOP510" s="332"/>
      <c r="QOQ510" s="332"/>
      <c r="QOR510" s="332"/>
      <c r="QOS510" s="332"/>
      <c r="QOT510" s="332"/>
      <c r="QOU510" s="332"/>
      <c r="QOV510" s="332"/>
      <c r="QOW510" s="332"/>
      <c r="QOX510" s="332"/>
      <c r="QOY510" s="332"/>
      <c r="QOZ510" s="332"/>
      <c r="QPA510" s="332"/>
      <c r="QPB510" s="332"/>
      <c r="QPC510" s="332"/>
      <c r="QPD510" s="332"/>
      <c r="QPE510" s="332"/>
      <c r="QPF510" s="332"/>
      <c r="QPG510" s="332"/>
      <c r="QPH510" s="332"/>
      <c r="QPI510" s="332"/>
      <c r="QPJ510" s="332"/>
      <c r="QPK510" s="332"/>
      <c r="QPL510" s="332"/>
      <c r="QPM510" s="332"/>
      <c r="QPN510" s="332"/>
      <c r="QPO510" s="332"/>
      <c r="QPP510" s="332"/>
      <c r="QPQ510" s="332"/>
      <c r="QPR510" s="332"/>
      <c r="QPS510" s="332"/>
      <c r="QPT510" s="332"/>
      <c r="QPU510" s="332"/>
      <c r="QPV510" s="332"/>
      <c r="QPW510" s="332"/>
      <c r="QPX510" s="332"/>
      <c r="QPY510" s="332"/>
      <c r="QPZ510" s="332"/>
      <c r="QQA510" s="332"/>
      <c r="QQB510" s="332"/>
      <c r="QQC510" s="332"/>
      <c r="QQD510" s="332"/>
      <c r="QQE510" s="332"/>
      <c r="QQF510" s="332"/>
      <c r="QQG510" s="332"/>
      <c r="QQH510" s="332"/>
      <c r="QQI510" s="332"/>
      <c r="QQJ510" s="332"/>
      <c r="QQK510" s="332"/>
      <c r="QQL510" s="332"/>
      <c r="QQM510" s="332"/>
      <c r="QQN510" s="332"/>
      <c r="QQO510" s="332"/>
      <c r="QQP510" s="332"/>
      <c r="QQQ510" s="332"/>
      <c r="QQR510" s="332"/>
      <c r="QQS510" s="332"/>
      <c r="QQT510" s="332"/>
      <c r="QQU510" s="332"/>
      <c r="QQV510" s="332"/>
      <c r="QQW510" s="332"/>
      <c r="QQX510" s="332"/>
      <c r="QQY510" s="332"/>
      <c r="QQZ510" s="332"/>
      <c r="QRA510" s="332"/>
      <c r="QRB510" s="332"/>
      <c r="QRC510" s="332"/>
      <c r="QRD510" s="332"/>
      <c r="QRE510" s="332"/>
      <c r="QRF510" s="332"/>
      <c r="QRG510" s="332"/>
      <c r="QRH510" s="332"/>
      <c r="QRI510" s="332"/>
      <c r="QRJ510" s="332"/>
      <c r="QRK510" s="332"/>
      <c r="QRL510" s="332"/>
      <c r="QRM510" s="332"/>
      <c r="QRN510" s="332"/>
      <c r="QRO510" s="332"/>
      <c r="QRP510" s="332"/>
      <c r="QRQ510" s="332"/>
      <c r="QRR510" s="332"/>
      <c r="QRS510" s="332"/>
      <c r="QRT510" s="332"/>
      <c r="QRU510" s="332"/>
      <c r="QRV510" s="332"/>
      <c r="QRW510" s="332"/>
      <c r="QRX510" s="332"/>
      <c r="QRY510" s="332"/>
      <c r="QRZ510" s="332"/>
      <c r="QSA510" s="332"/>
      <c r="QSB510" s="332"/>
      <c r="QSC510" s="332"/>
      <c r="QSD510" s="332"/>
      <c r="QSE510" s="332"/>
      <c r="QSF510" s="332"/>
      <c r="QSG510" s="332"/>
      <c r="QSH510" s="332"/>
      <c r="QSI510" s="332"/>
      <c r="QSJ510" s="332"/>
      <c r="QSK510" s="332"/>
      <c r="QSL510" s="332"/>
      <c r="QSM510" s="332"/>
      <c r="QSN510" s="332"/>
      <c r="QSO510" s="332"/>
      <c r="QSP510" s="332"/>
      <c r="QSQ510" s="332"/>
      <c r="QSR510" s="332"/>
      <c r="QSS510" s="332"/>
      <c r="QST510" s="332"/>
      <c r="QSU510" s="332"/>
      <c r="QSV510" s="332"/>
      <c r="QSW510" s="332"/>
      <c r="QSX510" s="332"/>
      <c r="QSY510" s="332"/>
      <c r="QSZ510" s="332"/>
      <c r="QTA510" s="332"/>
      <c r="QTB510" s="332"/>
      <c r="QTC510" s="332"/>
      <c r="QTD510" s="332"/>
      <c r="QTE510" s="332"/>
      <c r="QTF510" s="332"/>
      <c r="QTG510" s="332"/>
      <c r="QTH510" s="332"/>
      <c r="QTI510" s="332"/>
      <c r="QTJ510" s="332"/>
      <c r="QTK510" s="332"/>
      <c r="QTL510" s="332"/>
      <c r="QTM510" s="332"/>
      <c r="QTN510" s="332"/>
      <c r="QTO510" s="332"/>
      <c r="QTP510" s="332"/>
      <c r="QTQ510" s="332"/>
      <c r="QTR510" s="332"/>
      <c r="QTS510" s="332"/>
      <c r="QTT510" s="332"/>
      <c r="QTU510" s="332"/>
      <c r="QTV510" s="332"/>
      <c r="QTW510" s="332"/>
      <c r="QTX510" s="332"/>
      <c r="QTY510" s="332"/>
      <c r="QTZ510" s="332"/>
      <c r="QUA510" s="332"/>
      <c r="QUB510" s="332"/>
      <c r="QUC510" s="332"/>
      <c r="QUD510" s="332"/>
      <c r="QUE510" s="332"/>
      <c r="QUF510" s="332"/>
      <c r="QUG510" s="332"/>
      <c r="QUH510" s="332"/>
      <c r="QUI510" s="332"/>
      <c r="QUJ510" s="332"/>
      <c r="QUK510" s="332"/>
      <c r="QUL510" s="332"/>
      <c r="QUM510" s="332"/>
      <c r="QUN510" s="332"/>
      <c r="QUO510" s="332"/>
      <c r="QUP510" s="332"/>
      <c r="QUQ510" s="332"/>
      <c r="QUR510" s="332"/>
      <c r="QUS510" s="332"/>
      <c r="QUT510" s="332"/>
      <c r="QUU510" s="332"/>
      <c r="QUV510" s="332"/>
      <c r="QUW510" s="332"/>
      <c r="QUX510" s="332"/>
      <c r="QUY510" s="332"/>
      <c r="QUZ510" s="332"/>
      <c r="QVA510" s="332"/>
      <c r="QVB510" s="332"/>
      <c r="QVC510" s="332"/>
      <c r="QVD510" s="332"/>
      <c r="QVE510" s="332"/>
      <c r="QVF510" s="332"/>
      <c r="QVG510" s="332"/>
      <c r="QVH510" s="332"/>
      <c r="QVI510" s="332"/>
      <c r="QVJ510" s="332"/>
      <c r="QVK510" s="332"/>
      <c r="QVL510" s="332"/>
      <c r="QVM510" s="332"/>
      <c r="QVN510" s="332"/>
      <c r="QVO510" s="332"/>
      <c r="QVP510" s="332"/>
      <c r="QVQ510" s="332"/>
      <c r="QVR510" s="332"/>
      <c r="QVS510" s="332"/>
      <c r="QVT510" s="332"/>
      <c r="QVU510" s="332"/>
      <c r="QVV510" s="332"/>
      <c r="QVW510" s="332"/>
      <c r="QVX510" s="332"/>
      <c r="QVY510" s="332"/>
      <c r="QVZ510" s="332"/>
      <c r="QWA510" s="332"/>
      <c r="QWB510" s="332"/>
      <c r="QWC510" s="332"/>
      <c r="QWD510" s="332"/>
      <c r="QWE510" s="332"/>
      <c r="QWF510" s="332"/>
      <c r="QWG510" s="332"/>
      <c r="QWH510" s="332"/>
      <c r="QWI510" s="332"/>
      <c r="QWJ510" s="332"/>
      <c r="QWK510" s="332"/>
      <c r="QWL510" s="332"/>
      <c r="QWM510" s="332"/>
      <c r="QWN510" s="332"/>
      <c r="QWO510" s="332"/>
      <c r="QWP510" s="332"/>
      <c r="QWQ510" s="332"/>
      <c r="QWR510" s="332"/>
      <c r="QWS510" s="332"/>
      <c r="QWT510" s="332"/>
      <c r="QWU510" s="332"/>
      <c r="QWV510" s="332"/>
      <c r="QWW510" s="332"/>
      <c r="QWX510" s="332"/>
      <c r="QWY510" s="332"/>
      <c r="QWZ510" s="332"/>
      <c r="QXA510" s="332"/>
      <c r="QXB510" s="332"/>
      <c r="QXC510" s="332"/>
      <c r="QXD510" s="332"/>
      <c r="QXE510" s="332"/>
      <c r="QXF510" s="332"/>
      <c r="QXG510" s="332"/>
      <c r="QXH510" s="332"/>
      <c r="QXI510" s="332"/>
      <c r="QXJ510" s="332"/>
      <c r="QXK510" s="332"/>
      <c r="QXL510" s="332"/>
      <c r="QXM510" s="332"/>
      <c r="QXN510" s="332"/>
      <c r="QXO510" s="332"/>
      <c r="QXP510" s="332"/>
      <c r="QXQ510" s="332"/>
      <c r="QXR510" s="332"/>
      <c r="QXS510" s="332"/>
      <c r="QXT510" s="332"/>
      <c r="QXU510" s="332"/>
      <c r="QXV510" s="332"/>
      <c r="QXW510" s="332"/>
      <c r="QXX510" s="332"/>
      <c r="QXY510" s="332"/>
      <c r="QXZ510" s="332"/>
      <c r="QYA510" s="332"/>
      <c r="QYB510" s="332"/>
      <c r="QYC510" s="332"/>
      <c r="QYD510" s="332"/>
      <c r="QYE510" s="332"/>
      <c r="QYF510" s="332"/>
      <c r="QYG510" s="332"/>
      <c r="QYH510" s="332"/>
      <c r="QYI510" s="332"/>
      <c r="QYJ510" s="332"/>
      <c r="QYK510" s="332"/>
      <c r="QYL510" s="332"/>
      <c r="QYM510" s="332"/>
      <c r="QYN510" s="332"/>
      <c r="QYO510" s="332"/>
      <c r="QYP510" s="332"/>
      <c r="QYQ510" s="332"/>
      <c r="QYR510" s="332"/>
      <c r="QYS510" s="332"/>
      <c r="QYT510" s="332"/>
      <c r="QYU510" s="332"/>
      <c r="QYV510" s="332"/>
      <c r="QYW510" s="332"/>
      <c r="QYX510" s="332"/>
      <c r="QYY510" s="332"/>
      <c r="QYZ510" s="332"/>
      <c r="QZA510" s="332"/>
      <c r="QZB510" s="332"/>
      <c r="QZC510" s="332"/>
      <c r="QZD510" s="332"/>
      <c r="QZE510" s="332"/>
      <c r="QZF510" s="332"/>
      <c r="QZG510" s="332"/>
      <c r="QZH510" s="332"/>
      <c r="QZI510" s="332"/>
      <c r="QZJ510" s="332"/>
      <c r="QZK510" s="332"/>
      <c r="QZL510" s="332"/>
      <c r="QZM510" s="332"/>
      <c r="QZN510" s="332"/>
      <c r="QZO510" s="332"/>
      <c r="QZP510" s="332"/>
      <c r="QZQ510" s="332"/>
      <c r="QZR510" s="332"/>
      <c r="QZS510" s="332"/>
      <c r="QZT510" s="332"/>
      <c r="QZU510" s="332"/>
      <c r="QZV510" s="332"/>
      <c r="QZW510" s="332"/>
      <c r="QZX510" s="332"/>
      <c r="QZY510" s="332"/>
      <c r="QZZ510" s="332"/>
      <c r="RAA510" s="332"/>
      <c r="RAB510" s="332"/>
      <c r="RAC510" s="332"/>
      <c r="RAD510" s="332"/>
      <c r="RAE510" s="332"/>
      <c r="RAF510" s="332"/>
      <c r="RAG510" s="332"/>
      <c r="RAH510" s="332"/>
      <c r="RAI510" s="332"/>
      <c r="RAJ510" s="332"/>
      <c r="RAK510" s="332"/>
      <c r="RAL510" s="332"/>
      <c r="RAM510" s="332"/>
      <c r="RAN510" s="332"/>
      <c r="RAO510" s="332"/>
      <c r="RAP510" s="332"/>
      <c r="RAQ510" s="332"/>
      <c r="RAR510" s="332"/>
      <c r="RAS510" s="332"/>
      <c r="RAT510" s="332"/>
      <c r="RAU510" s="332"/>
      <c r="RAV510" s="332"/>
      <c r="RAW510" s="332"/>
      <c r="RAX510" s="332"/>
      <c r="RAY510" s="332"/>
      <c r="RAZ510" s="332"/>
      <c r="RBA510" s="332"/>
      <c r="RBB510" s="332"/>
      <c r="RBC510" s="332"/>
      <c r="RBD510" s="332"/>
      <c r="RBE510" s="332"/>
      <c r="RBF510" s="332"/>
      <c r="RBG510" s="332"/>
      <c r="RBH510" s="332"/>
      <c r="RBI510" s="332"/>
      <c r="RBJ510" s="332"/>
      <c r="RBK510" s="332"/>
      <c r="RBL510" s="332"/>
      <c r="RBM510" s="332"/>
      <c r="RBN510" s="332"/>
      <c r="RBO510" s="332"/>
      <c r="RBP510" s="332"/>
      <c r="RBQ510" s="332"/>
      <c r="RBR510" s="332"/>
      <c r="RBS510" s="332"/>
      <c r="RBT510" s="332"/>
      <c r="RBU510" s="332"/>
      <c r="RBV510" s="332"/>
      <c r="RBW510" s="332"/>
      <c r="RBX510" s="332"/>
      <c r="RBY510" s="332"/>
      <c r="RBZ510" s="332"/>
      <c r="RCA510" s="332"/>
      <c r="RCB510" s="332"/>
      <c r="RCC510" s="332"/>
      <c r="RCD510" s="332"/>
      <c r="RCE510" s="332"/>
      <c r="RCF510" s="332"/>
      <c r="RCG510" s="332"/>
      <c r="RCH510" s="332"/>
      <c r="RCI510" s="332"/>
      <c r="RCJ510" s="332"/>
      <c r="RCK510" s="332"/>
      <c r="RCL510" s="332"/>
      <c r="RCM510" s="332"/>
      <c r="RCN510" s="332"/>
      <c r="RCO510" s="332"/>
      <c r="RCP510" s="332"/>
      <c r="RCQ510" s="332"/>
      <c r="RCR510" s="332"/>
      <c r="RCS510" s="332"/>
      <c r="RCT510" s="332"/>
      <c r="RCU510" s="332"/>
      <c r="RCV510" s="332"/>
      <c r="RCW510" s="332"/>
      <c r="RCX510" s="332"/>
      <c r="RCY510" s="332"/>
      <c r="RCZ510" s="332"/>
      <c r="RDA510" s="332"/>
      <c r="RDB510" s="332"/>
      <c r="RDC510" s="332"/>
      <c r="RDD510" s="332"/>
      <c r="RDE510" s="332"/>
      <c r="RDF510" s="332"/>
      <c r="RDG510" s="332"/>
      <c r="RDH510" s="332"/>
      <c r="RDI510" s="332"/>
      <c r="RDJ510" s="332"/>
      <c r="RDK510" s="332"/>
      <c r="RDL510" s="332"/>
      <c r="RDM510" s="332"/>
      <c r="RDN510" s="332"/>
      <c r="RDO510" s="332"/>
      <c r="RDP510" s="332"/>
      <c r="RDQ510" s="332"/>
      <c r="RDR510" s="332"/>
      <c r="RDS510" s="332"/>
      <c r="RDT510" s="332"/>
      <c r="RDU510" s="332"/>
      <c r="RDV510" s="332"/>
      <c r="RDW510" s="332"/>
      <c r="RDX510" s="332"/>
      <c r="RDY510" s="332"/>
      <c r="RDZ510" s="332"/>
      <c r="REA510" s="332"/>
      <c r="REB510" s="332"/>
      <c r="REC510" s="332"/>
      <c r="RED510" s="332"/>
      <c r="REE510" s="332"/>
      <c r="REF510" s="332"/>
      <c r="REG510" s="332"/>
      <c r="REH510" s="332"/>
      <c r="REI510" s="332"/>
      <c r="REJ510" s="332"/>
      <c r="REK510" s="332"/>
      <c r="REL510" s="332"/>
      <c r="REM510" s="332"/>
      <c r="REN510" s="332"/>
      <c r="REO510" s="332"/>
      <c r="REP510" s="332"/>
      <c r="REQ510" s="332"/>
      <c r="RER510" s="332"/>
      <c r="RES510" s="332"/>
      <c r="RET510" s="332"/>
      <c r="REU510" s="332"/>
      <c r="REV510" s="332"/>
      <c r="REW510" s="332"/>
      <c r="REX510" s="332"/>
      <c r="REY510" s="332"/>
      <c r="REZ510" s="332"/>
      <c r="RFA510" s="332"/>
      <c r="RFB510" s="332"/>
      <c r="RFC510" s="332"/>
      <c r="RFD510" s="332"/>
      <c r="RFE510" s="332"/>
      <c r="RFF510" s="332"/>
      <c r="RFG510" s="332"/>
      <c r="RFH510" s="332"/>
      <c r="RFI510" s="332"/>
      <c r="RFJ510" s="332"/>
      <c r="RFK510" s="332"/>
      <c r="RFL510" s="332"/>
      <c r="RFM510" s="332"/>
      <c r="RFN510" s="332"/>
      <c r="RFO510" s="332"/>
      <c r="RFP510" s="332"/>
      <c r="RFQ510" s="332"/>
      <c r="RFR510" s="332"/>
      <c r="RFS510" s="332"/>
      <c r="RFT510" s="332"/>
      <c r="RFU510" s="332"/>
      <c r="RFV510" s="332"/>
      <c r="RFW510" s="332"/>
      <c r="RFX510" s="332"/>
      <c r="RFY510" s="332"/>
      <c r="RFZ510" s="332"/>
      <c r="RGA510" s="332"/>
      <c r="RGB510" s="332"/>
      <c r="RGC510" s="332"/>
      <c r="RGD510" s="332"/>
      <c r="RGE510" s="332"/>
      <c r="RGF510" s="332"/>
      <c r="RGG510" s="332"/>
      <c r="RGH510" s="332"/>
      <c r="RGI510" s="332"/>
      <c r="RGJ510" s="332"/>
      <c r="RGK510" s="332"/>
      <c r="RGL510" s="332"/>
      <c r="RGM510" s="332"/>
      <c r="RGN510" s="332"/>
      <c r="RGO510" s="332"/>
      <c r="RGP510" s="332"/>
      <c r="RGQ510" s="332"/>
      <c r="RGR510" s="332"/>
      <c r="RGS510" s="332"/>
      <c r="RGT510" s="332"/>
      <c r="RGU510" s="332"/>
      <c r="RGV510" s="332"/>
      <c r="RGW510" s="332"/>
      <c r="RGX510" s="332"/>
      <c r="RGY510" s="332"/>
      <c r="RGZ510" s="332"/>
      <c r="RHA510" s="332"/>
      <c r="RHB510" s="332"/>
      <c r="RHC510" s="332"/>
      <c r="RHD510" s="332"/>
      <c r="RHE510" s="332"/>
      <c r="RHF510" s="332"/>
      <c r="RHG510" s="332"/>
      <c r="RHH510" s="332"/>
      <c r="RHI510" s="332"/>
      <c r="RHJ510" s="332"/>
      <c r="RHK510" s="332"/>
      <c r="RHL510" s="332"/>
      <c r="RHM510" s="332"/>
      <c r="RHN510" s="332"/>
      <c r="RHO510" s="332"/>
      <c r="RHP510" s="332"/>
      <c r="RHQ510" s="332"/>
      <c r="RHR510" s="332"/>
      <c r="RHS510" s="332"/>
      <c r="RHT510" s="332"/>
      <c r="RHU510" s="332"/>
      <c r="RHV510" s="332"/>
      <c r="RHW510" s="332"/>
      <c r="RHX510" s="332"/>
      <c r="RHY510" s="332"/>
      <c r="RHZ510" s="332"/>
      <c r="RIA510" s="332"/>
      <c r="RIB510" s="332"/>
      <c r="RIC510" s="332"/>
      <c r="RID510" s="332"/>
      <c r="RIE510" s="332"/>
      <c r="RIF510" s="332"/>
      <c r="RIG510" s="332"/>
      <c r="RIH510" s="332"/>
      <c r="RII510" s="332"/>
      <c r="RIJ510" s="332"/>
      <c r="RIK510" s="332"/>
      <c r="RIL510" s="332"/>
      <c r="RIM510" s="332"/>
      <c r="RIN510" s="332"/>
      <c r="RIO510" s="332"/>
      <c r="RIP510" s="332"/>
      <c r="RIQ510" s="332"/>
      <c r="RIR510" s="332"/>
      <c r="RIS510" s="332"/>
      <c r="RIT510" s="332"/>
      <c r="RIU510" s="332"/>
      <c r="RIV510" s="332"/>
      <c r="RIW510" s="332"/>
      <c r="RIX510" s="332"/>
      <c r="RIY510" s="332"/>
      <c r="RIZ510" s="332"/>
      <c r="RJA510" s="332"/>
      <c r="RJB510" s="332"/>
      <c r="RJC510" s="332"/>
      <c r="RJD510" s="332"/>
      <c r="RJE510" s="332"/>
      <c r="RJF510" s="332"/>
      <c r="RJG510" s="332"/>
      <c r="RJH510" s="332"/>
      <c r="RJI510" s="332"/>
      <c r="RJJ510" s="332"/>
      <c r="RJK510" s="332"/>
      <c r="RJL510" s="332"/>
      <c r="RJM510" s="332"/>
      <c r="RJN510" s="332"/>
      <c r="RJO510" s="332"/>
      <c r="RJP510" s="332"/>
      <c r="RJQ510" s="332"/>
      <c r="RJR510" s="332"/>
      <c r="RJS510" s="332"/>
      <c r="RJT510" s="332"/>
      <c r="RJU510" s="332"/>
      <c r="RJV510" s="332"/>
      <c r="RJW510" s="332"/>
      <c r="RJX510" s="332"/>
      <c r="RJY510" s="332"/>
      <c r="RJZ510" s="332"/>
      <c r="RKA510" s="332"/>
      <c r="RKB510" s="332"/>
      <c r="RKC510" s="332"/>
      <c r="RKD510" s="332"/>
      <c r="RKE510" s="332"/>
      <c r="RKF510" s="332"/>
      <c r="RKG510" s="332"/>
      <c r="RKH510" s="332"/>
      <c r="RKI510" s="332"/>
      <c r="RKJ510" s="332"/>
      <c r="RKK510" s="332"/>
      <c r="RKL510" s="332"/>
      <c r="RKM510" s="332"/>
      <c r="RKN510" s="332"/>
      <c r="RKO510" s="332"/>
      <c r="RKP510" s="332"/>
      <c r="RKQ510" s="332"/>
      <c r="RKR510" s="332"/>
      <c r="RKS510" s="332"/>
      <c r="RKT510" s="332"/>
      <c r="RKU510" s="332"/>
      <c r="RKV510" s="332"/>
      <c r="RKW510" s="332"/>
      <c r="RKX510" s="332"/>
      <c r="RKY510" s="332"/>
      <c r="RKZ510" s="332"/>
      <c r="RLA510" s="332"/>
      <c r="RLB510" s="332"/>
      <c r="RLC510" s="332"/>
      <c r="RLD510" s="332"/>
      <c r="RLE510" s="332"/>
      <c r="RLF510" s="332"/>
      <c r="RLG510" s="332"/>
      <c r="RLH510" s="332"/>
      <c r="RLI510" s="332"/>
      <c r="RLJ510" s="332"/>
      <c r="RLK510" s="332"/>
      <c r="RLL510" s="332"/>
      <c r="RLM510" s="332"/>
      <c r="RLN510" s="332"/>
      <c r="RLO510" s="332"/>
      <c r="RLP510" s="332"/>
      <c r="RLQ510" s="332"/>
      <c r="RLR510" s="332"/>
      <c r="RLS510" s="332"/>
      <c r="RLT510" s="332"/>
      <c r="RLU510" s="332"/>
      <c r="RLV510" s="332"/>
      <c r="RLW510" s="332"/>
      <c r="RLX510" s="332"/>
      <c r="RLY510" s="332"/>
      <c r="RLZ510" s="332"/>
      <c r="RMA510" s="332"/>
      <c r="RMB510" s="332"/>
      <c r="RMC510" s="332"/>
      <c r="RMD510" s="332"/>
      <c r="RME510" s="332"/>
      <c r="RMF510" s="332"/>
      <c r="RMG510" s="332"/>
      <c r="RMH510" s="332"/>
      <c r="RMI510" s="332"/>
      <c r="RMJ510" s="332"/>
      <c r="RMK510" s="332"/>
      <c r="RML510" s="332"/>
      <c r="RMM510" s="332"/>
      <c r="RMN510" s="332"/>
      <c r="RMO510" s="332"/>
      <c r="RMP510" s="332"/>
      <c r="RMQ510" s="332"/>
      <c r="RMR510" s="332"/>
      <c r="RMS510" s="332"/>
      <c r="RMT510" s="332"/>
      <c r="RMU510" s="332"/>
      <c r="RMV510" s="332"/>
      <c r="RMW510" s="332"/>
      <c r="RMX510" s="332"/>
      <c r="RMY510" s="332"/>
      <c r="RMZ510" s="332"/>
      <c r="RNA510" s="332"/>
      <c r="RNB510" s="332"/>
      <c r="RNC510" s="332"/>
      <c r="RND510" s="332"/>
      <c r="RNE510" s="332"/>
      <c r="RNF510" s="332"/>
      <c r="RNG510" s="332"/>
      <c r="RNH510" s="332"/>
      <c r="RNI510" s="332"/>
      <c r="RNJ510" s="332"/>
      <c r="RNK510" s="332"/>
      <c r="RNL510" s="332"/>
      <c r="RNM510" s="332"/>
      <c r="RNN510" s="332"/>
      <c r="RNO510" s="332"/>
      <c r="RNP510" s="332"/>
      <c r="RNQ510" s="332"/>
      <c r="RNR510" s="332"/>
      <c r="RNS510" s="332"/>
      <c r="RNT510" s="332"/>
      <c r="RNU510" s="332"/>
      <c r="RNV510" s="332"/>
      <c r="RNW510" s="332"/>
      <c r="RNX510" s="332"/>
      <c r="RNY510" s="332"/>
      <c r="RNZ510" s="332"/>
      <c r="ROA510" s="332"/>
      <c r="ROB510" s="332"/>
      <c r="ROC510" s="332"/>
      <c r="ROD510" s="332"/>
      <c r="ROE510" s="332"/>
      <c r="ROF510" s="332"/>
      <c r="ROG510" s="332"/>
      <c r="ROH510" s="332"/>
      <c r="ROI510" s="332"/>
      <c r="ROJ510" s="332"/>
      <c r="ROK510" s="332"/>
      <c r="ROL510" s="332"/>
      <c r="ROM510" s="332"/>
      <c r="RON510" s="332"/>
      <c r="ROO510" s="332"/>
      <c r="ROP510" s="332"/>
      <c r="ROQ510" s="332"/>
      <c r="ROR510" s="332"/>
      <c r="ROS510" s="332"/>
      <c r="ROT510" s="332"/>
      <c r="ROU510" s="332"/>
      <c r="ROV510" s="332"/>
      <c r="ROW510" s="332"/>
      <c r="ROX510" s="332"/>
      <c r="ROY510" s="332"/>
      <c r="ROZ510" s="332"/>
      <c r="RPA510" s="332"/>
      <c r="RPB510" s="332"/>
      <c r="RPC510" s="332"/>
      <c r="RPD510" s="332"/>
      <c r="RPE510" s="332"/>
      <c r="RPF510" s="332"/>
      <c r="RPG510" s="332"/>
      <c r="RPH510" s="332"/>
      <c r="RPI510" s="332"/>
      <c r="RPJ510" s="332"/>
      <c r="RPK510" s="332"/>
      <c r="RPL510" s="332"/>
      <c r="RPM510" s="332"/>
      <c r="RPN510" s="332"/>
      <c r="RPO510" s="332"/>
      <c r="RPP510" s="332"/>
      <c r="RPQ510" s="332"/>
      <c r="RPR510" s="332"/>
      <c r="RPS510" s="332"/>
      <c r="RPT510" s="332"/>
      <c r="RPU510" s="332"/>
      <c r="RPV510" s="332"/>
      <c r="RPW510" s="332"/>
      <c r="RPX510" s="332"/>
      <c r="RPY510" s="332"/>
      <c r="RPZ510" s="332"/>
      <c r="RQA510" s="332"/>
      <c r="RQB510" s="332"/>
      <c r="RQC510" s="332"/>
      <c r="RQD510" s="332"/>
      <c r="RQE510" s="332"/>
      <c r="RQF510" s="332"/>
      <c r="RQG510" s="332"/>
      <c r="RQH510" s="332"/>
      <c r="RQI510" s="332"/>
      <c r="RQJ510" s="332"/>
      <c r="RQK510" s="332"/>
      <c r="RQL510" s="332"/>
      <c r="RQM510" s="332"/>
      <c r="RQN510" s="332"/>
      <c r="RQO510" s="332"/>
      <c r="RQP510" s="332"/>
      <c r="RQQ510" s="332"/>
      <c r="RQR510" s="332"/>
      <c r="RQS510" s="332"/>
      <c r="RQT510" s="332"/>
      <c r="RQU510" s="332"/>
      <c r="RQV510" s="332"/>
      <c r="RQW510" s="332"/>
      <c r="RQX510" s="332"/>
      <c r="RQY510" s="332"/>
      <c r="RQZ510" s="332"/>
      <c r="RRA510" s="332"/>
      <c r="RRB510" s="332"/>
      <c r="RRC510" s="332"/>
      <c r="RRD510" s="332"/>
      <c r="RRE510" s="332"/>
      <c r="RRF510" s="332"/>
      <c r="RRG510" s="332"/>
      <c r="RRH510" s="332"/>
      <c r="RRI510" s="332"/>
      <c r="RRJ510" s="332"/>
      <c r="RRK510" s="332"/>
      <c r="RRL510" s="332"/>
      <c r="RRM510" s="332"/>
      <c r="RRN510" s="332"/>
      <c r="RRO510" s="332"/>
      <c r="RRP510" s="332"/>
      <c r="RRQ510" s="332"/>
      <c r="RRR510" s="332"/>
      <c r="RRS510" s="332"/>
      <c r="RRT510" s="332"/>
      <c r="RRU510" s="332"/>
      <c r="RRV510" s="332"/>
      <c r="RRW510" s="332"/>
      <c r="RRX510" s="332"/>
      <c r="RRY510" s="332"/>
      <c r="RRZ510" s="332"/>
      <c r="RSA510" s="332"/>
      <c r="RSB510" s="332"/>
      <c r="RSC510" s="332"/>
      <c r="RSD510" s="332"/>
      <c r="RSE510" s="332"/>
      <c r="RSF510" s="332"/>
      <c r="RSG510" s="332"/>
      <c r="RSH510" s="332"/>
      <c r="RSI510" s="332"/>
      <c r="RSJ510" s="332"/>
      <c r="RSK510" s="332"/>
      <c r="RSL510" s="332"/>
      <c r="RSM510" s="332"/>
      <c r="RSN510" s="332"/>
      <c r="RSO510" s="332"/>
      <c r="RSP510" s="332"/>
      <c r="RSQ510" s="332"/>
      <c r="RSR510" s="332"/>
      <c r="RSS510" s="332"/>
      <c r="RST510" s="332"/>
      <c r="RSU510" s="332"/>
      <c r="RSV510" s="332"/>
      <c r="RSW510" s="332"/>
      <c r="RSX510" s="332"/>
      <c r="RSY510" s="332"/>
      <c r="RSZ510" s="332"/>
      <c r="RTA510" s="332"/>
      <c r="RTB510" s="332"/>
      <c r="RTC510" s="332"/>
      <c r="RTD510" s="332"/>
      <c r="RTE510" s="332"/>
      <c r="RTF510" s="332"/>
      <c r="RTG510" s="332"/>
      <c r="RTH510" s="332"/>
      <c r="RTI510" s="332"/>
      <c r="RTJ510" s="332"/>
      <c r="RTK510" s="332"/>
      <c r="RTL510" s="332"/>
      <c r="RTM510" s="332"/>
      <c r="RTN510" s="332"/>
      <c r="RTO510" s="332"/>
      <c r="RTP510" s="332"/>
      <c r="RTQ510" s="332"/>
      <c r="RTR510" s="332"/>
      <c r="RTS510" s="332"/>
      <c r="RTT510" s="332"/>
      <c r="RTU510" s="332"/>
      <c r="RTV510" s="332"/>
      <c r="RTW510" s="332"/>
      <c r="RTX510" s="332"/>
      <c r="RTY510" s="332"/>
      <c r="RTZ510" s="332"/>
      <c r="RUA510" s="332"/>
      <c r="RUB510" s="332"/>
      <c r="RUC510" s="332"/>
      <c r="RUD510" s="332"/>
      <c r="RUE510" s="332"/>
      <c r="RUF510" s="332"/>
      <c r="RUG510" s="332"/>
      <c r="RUH510" s="332"/>
      <c r="RUI510" s="332"/>
      <c r="RUJ510" s="332"/>
      <c r="RUK510" s="332"/>
      <c r="RUL510" s="332"/>
      <c r="RUM510" s="332"/>
      <c r="RUN510" s="332"/>
      <c r="RUO510" s="332"/>
      <c r="RUP510" s="332"/>
      <c r="RUQ510" s="332"/>
      <c r="RUR510" s="332"/>
      <c r="RUS510" s="332"/>
      <c r="RUT510" s="332"/>
      <c r="RUU510" s="332"/>
      <c r="RUV510" s="332"/>
      <c r="RUW510" s="332"/>
      <c r="RUX510" s="332"/>
      <c r="RUY510" s="332"/>
      <c r="RUZ510" s="332"/>
      <c r="RVA510" s="332"/>
      <c r="RVB510" s="332"/>
      <c r="RVC510" s="332"/>
      <c r="RVD510" s="332"/>
      <c r="RVE510" s="332"/>
      <c r="RVF510" s="332"/>
      <c r="RVG510" s="332"/>
      <c r="RVH510" s="332"/>
      <c r="RVI510" s="332"/>
      <c r="RVJ510" s="332"/>
      <c r="RVK510" s="332"/>
      <c r="RVL510" s="332"/>
      <c r="RVM510" s="332"/>
      <c r="RVN510" s="332"/>
      <c r="RVO510" s="332"/>
      <c r="RVP510" s="332"/>
      <c r="RVQ510" s="332"/>
      <c r="RVR510" s="332"/>
      <c r="RVS510" s="332"/>
      <c r="RVT510" s="332"/>
      <c r="RVU510" s="332"/>
      <c r="RVV510" s="332"/>
      <c r="RVW510" s="332"/>
      <c r="RVX510" s="332"/>
      <c r="RVY510" s="332"/>
      <c r="RVZ510" s="332"/>
      <c r="RWA510" s="332"/>
      <c r="RWB510" s="332"/>
      <c r="RWC510" s="332"/>
      <c r="RWD510" s="332"/>
      <c r="RWE510" s="332"/>
      <c r="RWF510" s="332"/>
      <c r="RWG510" s="332"/>
      <c r="RWH510" s="332"/>
      <c r="RWI510" s="332"/>
      <c r="RWJ510" s="332"/>
      <c r="RWK510" s="332"/>
      <c r="RWL510" s="332"/>
      <c r="RWM510" s="332"/>
      <c r="RWN510" s="332"/>
      <c r="RWO510" s="332"/>
      <c r="RWP510" s="332"/>
      <c r="RWQ510" s="332"/>
      <c r="RWR510" s="332"/>
      <c r="RWS510" s="332"/>
      <c r="RWT510" s="332"/>
      <c r="RWU510" s="332"/>
      <c r="RWV510" s="332"/>
      <c r="RWW510" s="332"/>
      <c r="RWX510" s="332"/>
      <c r="RWY510" s="332"/>
      <c r="RWZ510" s="332"/>
      <c r="RXA510" s="332"/>
      <c r="RXB510" s="332"/>
      <c r="RXC510" s="332"/>
      <c r="RXD510" s="332"/>
      <c r="RXE510" s="332"/>
      <c r="RXF510" s="332"/>
      <c r="RXG510" s="332"/>
      <c r="RXH510" s="332"/>
      <c r="RXI510" s="332"/>
      <c r="RXJ510" s="332"/>
      <c r="RXK510" s="332"/>
      <c r="RXL510" s="332"/>
      <c r="RXM510" s="332"/>
      <c r="RXN510" s="332"/>
      <c r="RXO510" s="332"/>
      <c r="RXP510" s="332"/>
      <c r="RXQ510" s="332"/>
      <c r="RXR510" s="332"/>
      <c r="RXS510" s="332"/>
      <c r="RXT510" s="332"/>
      <c r="RXU510" s="332"/>
      <c r="RXV510" s="332"/>
      <c r="RXW510" s="332"/>
      <c r="RXX510" s="332"/>
      <c r="RXY510" s="332"/>
      <c r="RXZ510" s="332"/>
      <c r="RYA510" s="332"/>
      <c r="RYB510" s="332"/>
      <c r="RYC510" s="332"/>
      <c r="RYD510" s="332"/>
      <c r="RYE510" s="332"/>
      <c r="RYF510" s="332"/>
      <c r="RYG510" s="332"/>
      <c r="RYH510" s="332"/>
      <c r="RYI510" s="332"/>
      <c r="RYJ510" s="332"/>
      <c r="RYK510" s="332"/>
      <c r="RYL510" s="332"/>
      <c r="RYM510" s="332"/>
      <c r="RYN510" s="332"/>
      <c r="RYO510" s="332"/>
      <c r="RYP510" s="332"/>
      <c r="RYQ510" s="332"/>
      <c r="RYR510" s="332"/>
      <c r="RYS510" s="332"/>
      <c r="RYT510" s="332"/>
      <c r="RYU510" s="332"/>
      <c r="RYV510" s="332"/>
      <c r="RYW510" s="332"/>
      <c r="RYX510" s="332"/>
      <c r="RYY510" s="332"/>
      <c r="RYZ510" s="332"/>
      <c r="RZA510" s="332"/>
      <c r="RZB510" s="332"/>
      <c r="RZC510" s="332"/>
      <c r="RZD510" s="332"/>
      <c r="RZE510" s="332"/>
      <c r="RZF510" s="332"/>
      <c r="RZG510" s="332"/>
      <c r="RZH510" s="332"/>
      <c r="RZI510" s="332"/>
      <c r="RZJ510" s="332"/>
      <c r="RZK510" s="332"/>
      <c r="RZL510" s="332"/>
      <c r="RZM510" s="332"/>
      <c r="RZN510" s="332"/>
      <c r="RZO510" s="332"/>
      <c r="RZP510" s="332"/>
      <c r="RZQ510" s="332"/>
      <c r="RZR510" s="332"/>
      <c r="RZS510" s="332"/>
      <c r="RZT510" s="332"/>
      <c r="RZU510" s="332"/>
      <c r="RZV510" s="332"/>
      <c r="RZW510" s="332"/>
      <c r="RZX510" s="332"/>
      <c r="RZY510" s="332"/>
      <c r="RZZ510" s="332"/>
      <c r="SAA510" s="332"/>
      <c r="SAB510" s="332"/>
      <c r="SAC510" s="332"/>
      <c r="SAD510" s="332"/>
      <c r="SAE510" s="332"/>
      <c r="SAF510" s="332"/>
      <c r="SAG510" s="332"/>
      <c r="SAH510" s="332"/>
      <c r="SAI510" s="332"/>
      <c r="SAJ510" s="332"/>
      <c r="SAK510" s="332"/>
      <c r="SAL510" s="332"/>
      <c r="SAM510" s="332"/>
      <c r="SAN510" s="332"/>
      <c r="SAO510" s="332"/>
      <c r="SAP510" s="332"/>
      <c r="SAQ510" s="332"/>
      <c r="SAR510" s="332"/>
      <c r="SAS510" s="332"/>
      <c r="SAT510" s="332"/>
      <c r="SAU510" s="332"/>
      <c r="SAV510" s="332"/>
      <c r="SAW510" s="332"/>
      <c r="SAX510" s="332"/>
      <c r="SAY510" s="332"/>
      <c r="SAZ510" s="332"/>
      <c r="SBA510" s="332"/>
      <c r="SBB510" s="332"/>
      <c r="SBC510" s="332"/>
      <c r="SBD510" s="332"/>
      <c r="SBE510" s="332"/>
      <c r="SBF510" s="332"/>
      <c r="SBG510" s="332"/>
      <c r="SBH510" s="332"/>
      <c r="SBI510" s="332"/>
      <c r="SBJ510" s="332"/>
      <c r="SBK510" s="332"/>
      <c r="SBL510" s="332"/>
      <c r="SBM510" s="332"/>
      <c r="SBN510" s="332"/>
      <c r="SBO510" s="332"/>
      <c r="SBP510" s="332"/>
      <c r="SBQ510" s="332"/>
      <c r="SBR510" s="332"/>
      <c r="SBS510" s="332"/>
      <c r="SBT510" s="332"/>
      <c r="SBU510" s="332"/>
      <c r="SBV510" s="332"/>
      <c r="SBW510" s="332"/>
      <c r="SBX510" s="332"/>
      <c r="SBY510" s="332"/>
      <c r="SBZ510" s="332"/>
      <c r="SCA510" s="332"/>
      <c r="SCB510" s="332"/>
      <c r="SCC510" s="332"/>
      <c r="SCD510" s="332"/>
      <c r="SCE510" s="332"/>
      <c r="SCF510" s="332"/>
      <c r="SCG510" s="332"/>
      <c r="SCH510" s="332"/>
      <c r="SCI510" s="332"/>
      <c r="SCJ510" s="332"/>
      <c r="SCK510" s="332"/>
      <c r="SCL510" s="332"/>
      <c r="SCM510" s="332"/>
      <c r="SCN510" s="332"/>
      <c r="SCO510" s="332"/>
      <c r="SCP510" s="332"/>
      <c r="SCQ510" s="332"/>
      <c r="SCR510" s="332"/>
      <c r="SCS510" s="332"/>
      <c r="SCT510" s="332"/>
      <c r="SCU510" s="332"/>
      <c r="SCV510" s="332"/>
      <c r="SCW510" s="332"/>
      <c r="SCX510" s="332"/>
      <c r="SCY510" s="332"/>
      <c r="SCZ510" s="332"/>
      <c r="SDA510" s="332"/>
      <c r="SDB510" s="332"/>
      <c r="SDC510" s="332"/>
      <c r="SDD510" s="332"/>
      <c r="SDE510" s="332"/>
      <c r="SDF510" s="332"/>
      <c r="SDG510" s="332"/>
      <c r="SDH510" s="332"/>
      <c r="SDI510" s="332"/>
      <c r="SDJ510" s="332"/>
      <c r="SDK510" s="332"/>
      <c r="SDL510" s="332"/>
      <c r="SDM510" s="332"/>
      <c r="SDN510" s="332"/>
      <c r="SDO510" s="332"/>
      <c r="SDP510" s="332"/>
      <c r="SDQ510" s="332"/>
      <c r="SDR510" s="332"/>
      <c r="SDS510" s="332"/>
      <c r="SDT510" s="332"/>
      <c r="SDU510" s="332"/>
      <c r="SDV510" s="332"/>
      <c r="SDW510" s="332"/>
      <c r="SDX510" s="332"/>
      <c r="SDY510" s="332"/>
      <c r="SDZ510" s="332"/>
      <c r="SEA510" s="332"/>
      <c r="SEB510" s="332"/>
      <c r="SEC510" s="332"/>
      <c r="SED510" s="332"/>
      <c r="SEE510" s="332"/>
      <c r="SEF510" s="332"/>
      <c r="SEG510" s="332"/>
      <c r="SEH510" s="332"/>
      <c r="SEI510" s="332"/>
      <c r="SEJ510" s="332"/>
      <c r="SEK510" s="332"/>
      <c r="SEL510" s="332"/>
      <c r="SEM510" s="332"/>
      <c r="SEN510" s="332"/>
      <c r="SEO510" s="332"/>
      <c r="SEP510" s="332"/>
      <c r="SEQ510" s="332"/>
      <c r="SER510" s="332"/>
      <c r="SES510" s="332"/>
      <c r="SET510" s="332"/>
      <c r="SEU510" s="332"/>
      <c r="SEV510" s="332"/>
      <c r="SEW510" s="332"/>
      <c r="SEX510" s="332"/>
      <c r="SEY510" s="332"/>
      <c r="SEZ510" s="332"/>
      <c r="SFA510" s="332"/>
      <c r="SFB510" s="332"/>
      <c r="SFC510" s="332"/>
      <c r="SFD510" s="332"/>
      <c r="SFE510" s="332"/>
      <c r="SFF510" s="332"/>
      <c r="SFG510" s="332"/>
      <c r="SFH510" s="332"/>
      <c r="SFI510" s="332"/>
      <c r="SFJ510" s="332"/>
      <c r="SFK510" s="332"/>
      <c r="SFL510" s="332"/>
      <c r="SFM510" s="332"/>
      <c r="SFN510" s="332"/>
      <c r="SFO510" s="332"/>
      <c r="SFP510" s="332"/>
      <c r="SFQ510" s="332"/>
      <c r="SFR510" s="332"/>
      <c r="SFS510" s="332"/>
      <c r="SFT510" s="332"/>
      <c r="SFU510" s="332"/>
      <c r="SFV510" s="332"/>
      <c r="SFW510" s="332"/>
      <c r="SFX510" s="332"/>
      <c r="SFY510" s="332"/>
      <c r="SFZ510" s="332"/>
      <c r="SGA510" s="332"/>
      <c r="SGB510" s="332"/>
      <c r="SGC510" s="332"/>
      <c r="SGD510" s="332"/>
      <c r="SGE510" s="332"/>
      <c r="SGF510" s="332"/>
      <c r="SGG510" s="332"/>
      <c r="SGH510" s="332"/>
      <c r="SGI510" s="332"/>
      <c r="SGJ510" s="332"/>
      <c r="SGK510" s="332"/>
      <c r="SGL510" s="332"/>
      <c r="SGM510" s="332"/>
      <c r="SGN510" s="332"/>
      <c r="SGO510" s="332"/>
      <c r="SGP510" s="332"/>
      <c r="SGQ510" s="332"/>
      <c r="SGR510" s="332"/>
      <c r="SGS510" s="332"/>
      <c r="SGT510" s="332"/>
      <c r="SGU510" s="332"/>
      <c r="SGV510" s="332"/>
      <c r="SGW510" s="332"/>
      <c r="SGX510" s="332"/>
      <c r="SGY510" s="332"/>
      <c r="SGZ510" s="332"/>
      <c r="SHA510" s="332"/>
      <c r="SHB510" s="332"/>
      <c r="SHC510" s="332"/>
      <c r="SHD510" s="332"/>
      <c r="SHE510" s="332"/>
      <c r="SHF510" s="332"/>
      <c r="SHG510" s="332"/>
      <c r="SHH510" s="332"/>
      <c r="SHI510" s="332"/>
      <c r="SHJ510" s="332"/>
      <c r="SHK510" s="332"/>
      <c r="SHL510" s="332"/>
      <c r="SHM510" s="332"/>
      <c r="SHN510" s="332"/>
      <c r="SHO510" s="332"/>
      <c r="SHP510" s="332"/>
      <c r="SHQ510" s="332"/>
      <c r="SHR510" s="332"/>
      <c r="SHS510" s="332"/>
      <c r="SHT510" s="332"/>
      <c r="SHU510" s="332"/>
      <c r="SHV510" s="332"/>
      <c r="SHW510" s="332"/>
      <c r="SHX510" s="332"/>
      <c r="SHY510" s="332"/>
      <c r="SHZ510" s="332"/>
      <c r="SIA510" s="332"/>
      <c r="SIB510" s="332"/>
      <c r="SIC510" s="332"/>
      <c r="SID510" s="332"/>
      <c r="SIE510" s="332"/>
      <c r="SIF510" s="332"/>
      <c r="SIG510" s="332"/>
      <c r="SIH510" s="332"/>
      <c r="SII510" s="332"/>
      <c r="SIJ510" s="332"/>
      <c r="SIK510" s="332"/>
      <c r="SIL510" s="332"/>
      <c r="SIM510" s="332"/>
      <c r="SIN510" s="332"/>
      <c r="SIO510" s="332"/>
      <c r="SIP510" s="332"/>
      <c r="SIQ510" s="332"/>
      <c r="SIR510" s="332"/>
      <c r="SIS510" s="332"/>
      <c r="SIT510" s="332"/>
      <c r="SIU510" s="332"/>
      <c r="SIV510" s="332"/>
      <c r="SIW510" s="332"/>
      <c r="SIX510" s="332"/>
      <c r="SIY510" s="332"/>
      <c r="SIZ510" s="332"/>
      <c r="SJA510" s="332"/>
      <c r="SJB510" s="332"/>
      <c r="SJC510" s="332"/>
      <c r="SJD510" s="332"/>
      <c r="SJE510" s="332"/>
      <c r="SJF510" s="332"/>
      <c r="SJG510" s="332"/>
      <c r="SJH510" s="332"/>
      <c r="SJI510" s="332"/>
      <c r="SJJ510" s="332"/>
      <c r="SJK510" s="332"/>
      <c r="SJL510" s="332"/>
      <c r="SJM510" s="332"/>
      <c r="SJN510" s="332"/>
      <c r="SJO510" s="332"/>
      <c r="SJP510" s="332"/>
      <c r="SJQ510" s="332"/>
      <c r="SJR510" s="332"/>
      <c r="SJS510" s="332"/>
      <c r="SJT510" s="332"/>
      <c r="SJU510" s="332"/>
      <c r="SJV510" s="332"/>
      <c r="SJW510" s="332"/>
      <c r="SJX510" s="332"/>
      <c r="SJY510" s="332"/>
      <c r="SJZ510" s="332"/>
      <c r="SKA510" s="332"/>
      <c r="SKB510" s="332"/>
      <c r="SKC510" s="332"/>
      <c r="SKD510" s="332"/>
      <c r="SKE510" s="332"/>
      <c r="SKF510" s="332"/>
      <c r="SKG510" s="332"/>
      <c r="SKH510" s="332"/>
      <c r="SKI510" s="332"/>
      <c r="SKJ510" s="332"/>
      <c r="SKK510" s="332"/>
      <c r="SKL510" s="332"/>
      <c r="SKM510" s="332"/>
      <c r="SKN510" s="332"/>
      <c r="SKO510" s="332"/>
      <c r="SKP510" s="332"/>
      <c r="SKQ510" s="332"/>
      <c r="SKR510" s="332"/>
      <c r="SKS510" s="332"/>
      <c r="SKT510" s="332"/>
      <c r="SKU510" s="332"/>
      <c r="SKV510" s="332"/>
      <c r="SKW510" s="332"/>
      <c r="SKX510" s="332"/>
      <c r="SKY510" s="332"/>
      <c r="SKZ510" s="332"/>
      <c r="SLA510" s="332"/>
      <c r="SLB510" s="332"/>
      <c r="SLC510" s="332"/>
      <c r="SLD510" s="332"/>
      <c r="SLE510" s="332"/>
      <c r="SLF510" s="332"/>
      <c r="SLG510" s="332"/>
      <c r="SLH510" s="332"/>
      <c r="SLI510" s="332"/>
      <c r="SLJ510" s="332"/>
      <c r="SLK510" s="332"/>
      <c r="SLL510" s="332"/>
      <c r="SLM510" s="332"/>
      <c r="SLN510" s="332"/>
      <c r="SLO510" s="332"/>
      <c r="SLP510" s="332"/>
      <c r="SLQ510" s="332"/>
      <c r="SLR510" s="332"/>
      <c r="SLS510" s="332"/>
      <c r="SLT510" s="332"/>
      <c r="SLU510" s="332"/>
      <c r="SLV510" s="332"/>
      <c r="SLW510" s="332"/>
      <c r="SLX510" s="332"/>
      <c r="SLY510" s="332"/>
      <c r="SLZ510" s="332"/>
      <c r="SMA510" s="332"/>
      <c r="SMB510" s="332"/>
      <c r="SMC510" s="332"/>
      <c r="SMD510" s="332"/>
      <c r="SME510" s="332"/>
      <c r="SMF510" s="332"/>
      <c r="SMG510" s="332"/>
      <c r="SMH510" s="332"/>
      <c r="SMI510" s="332"/>
      <c r="SMJ510" s="332"/>
      <c r="SMK510" s="332"/>
      <c r="SML510" s="332"/>
      <c r="SMM510" s="332"/>
      <c r="SMN510" s="332"/>
      <c r="SMO510" s="332"/>
      <c r="SMP510" s="332"/>
      <c r="SMQ510" s="332"/>
      <c r="SMR510" s="332"/>
      <c r="SMS510" s="332"/>
      <c r="SMT510" s="332"/>
      <c r="SMU510" s="332"/>
      <c r="SMV510" s="332"/>
      <c r="SMW510" s="332"/>
      <c r="SMX510" s="332"/>
      <c r="SMY510" s="332"/>
      <c r="SMZ510" s="332"/>
      <c r="SNA510" s="332"/>
      <c r="SNB510" s="332"/>
      <c r="SNC510" s="332"/>
      <c r="SND510" s="332"/>
      <c r="SNE510" s="332"/>
      <c r="SNF510" s="332"/>
      <c r="SNG510" s="332"/>
      <c r="SNH510" s="332"/>
      <c r="SNI510" s="332"/>
      <c r="SNJ510" s="332"/>
      <c r="SNK510" s="332"/>
      <c r="SNL510" s="332"/>
      <c r="SNM510" s="332"/>
      <c r="SNN510" s="332"/>
      <c r="SNO510" s="332"/>
      <c r="SNP510" s="332"/>
      <c r="SNQ510" s="332"/>
      <c r="SNR510" s="332"/>
      <c r="SNS510" s="332"/>
      <c r="SNT510" s="332"/>
      <c r="SNU510" s="332"/>
      <c r="SNV510" s="332"/>
      <c r="SNW510" s="332"/>
      <c r="SNX510" s="332"/>
      <c r="SNY510" s="332"/>
      <c r="SNZ510" s="332"/>
      <c r="SOA510" s="332"/>
      <c r="SOB510" s="332"/>
      <c r="SOC510" s="332"/>
      <c r="SOD510" s="332"/>
      <c r="SOE510" s="332"/>
      <c r="SOF510" s="332"/>
      <c r="SOG510" s="332"/>
      <c r="SOH510" s="332"/>
      <c r="SOI510" s="332"/>
      <c r="SOJ510" s="332"/>
      <c r="SOK510" s="332"/>
      <c r="SOL510" s="332"/>
      <c r="SOM510" s="332"/>
      <c r="SON510" s="332"/>
      <c r="SOO510" s="332"/>
      <c r="SOP510" s="332"/>
      <c r="SOQ510" s="332"/>
      <c r="SOR510" s="332"/>
      <c r="SOS510" s="332"/>
      <c r="SOT510" s="332"/>
      <c r="SOU510" s="332"/>
      <c r="SOV510" s="332"/>
      <c r="SOW510" s="332"/>
      <c r="SOX510" s="332"/>
      <c r="SOY510" s="332"/>
      <c r="SOZ510" s="332"/>
      <c r="SPA510" s="332"/>
      <c r="SPB510" s="332"/>
      <c r="SPC510" s="332"/>
      <c r="SPD510" s="332"/>
      <c r="SPE510" s="332"/>
      <c r="SPF510" s="332"/>
      <c r="SPG510" s="332"/>
      <c r="SPH510" s="332"/>
      <c r="SPI510" s="332"/>
      <c r="SPJ510" s="332"/>
      <c r="SPK510" s="332"/>
      <c r="SPL510" s="332"/>
      <c r="SPM510" s="332"/>
      <c r="SPN510" s="332"/>
      <c r="SPO510" s="332"/>
      <c r="SPP510" s="332"/>
      <c r="SPQ510" s="332"/>
      <c r="SPR510" s="332"/>
      <c r="SPS510" s="332"/>
      <c r="SPT510" s="332"/>
      <c r="SPU510" s="332"/>
      <c r="SPV510" s="332"/>
      <c r="SPW510" s="332"/>
      <c r="SPX510" s="332"/>
      <c r="SPY510" s="332"/>
      <c r="SPZ510" s="332"/>
      <c r="SQA510" s="332"/>
      <c r="SQB510" s="332"/>
      <c r="SQC510" s="332"/>
      <c r="SQD510" s="332"/>
      <c r="SQE510" s="332"/>
      <c r="SQF510" s="332"/>
      <c r="SQG510" s="332"/>
      <c r="SQH510" s="332"/>
      <c r="SQI510" s="332"/>
      <c r="SQJ510" s="332"/>
      <c r="SQK510" s="332"/>
      <c r="SQL510" s="332"/>
      <c r="SQM510" s="332"/>
      <c r="SQN510" s="332"/>
      <c r="SQO510" s="332"/>
      <c r="SQP510" s="332"/>
      <c r="SQQ510" s="332"/>
      <c r="SQR510" s="332"/>
      <c r="SQS510" s="332"/>
      <c r="SQT510" s="332"/>
      <c r="SQU510" s="332"/>
      <c r="SQV510" s="332"/>
      <c r="SQW510" s="332"/>
      <c r="SQX510" s="332"/>
      <c r="SQY510" s="332"/>
      <c r="SQZ510" s="332"/>
      <c r="SRA510" s="332"/>
      <c r="SRB510" s="332"/>
      <c r="SRC510" s="332"/>
      <c r="SRD510" s="332"/>
      <c r="SRE510" s="332"/>
      <c r="SRF510" s="332"/>
      <c r="SRG510" s="332"/>
      <c r="SRH510" s="332"/>
      <c r="SRI510" s="332"/>
      <c r="SRJ510" s="332"/>
      <c r="SRK510" s="332"/>
      <c r="SRL510" s="332"/>
      <c r="SRM510" s="332"/>
      <c r="SRN510" s="332"/>
      <c r="SRO510" s="332"/>
      <c r="SRP510" s="332"/>
      <c r="SRQ510" s="332"/>
      <c r="SRR510" s="332"/>
      <c r="SRS510" s="332"/>
      <c r="SRT510" s="332"/>
      <c r="SRU510" s="332"/>
      <c r="SRV510" s="332"/>
      <c r="SRW510" s="332"/>
      <c r="SRX510" s="332"/>
      <c r="SRY510" s="332"/>
      <c r="SRZ510" s="332"/>
      <c r="SSA510" s="332"/>
      <c r="SSB510" s="332"/>
      <c r="SSC510" s="332"/>
      <c r="SSD510" s="332"/>
      <c r="SSE510" s="332"/>
      <c r="SSF510" s="332"/>
      <c r="SSG510" s="332"/>
      <c r="SSH510" s="332"/>
      <c r="SSI510" s="332"/>
      <c r="SSJ510" s="332"/>
      <c r="SSK510" s="332"/>
      <c r="SSL510" s="332"/>
      <c r="SSM510" s="332"/>
      <c r="SSN510" s="332"/>
      <c r="SSO510" s="332"/>
      <c r="SSP510" s="332"/>
      <c r="SSQ510" s="332"/>
      <c r="SSR510" s="332"/>
      <c r="SSS510" s="332"/>
      <c r="SST510" s="332"/>
      <c r="SSU510" s="332"/>
      <c r="SSV510" s="332"/>
      <c r="SSW510" s="332"/>
      <c r="SSX510" s="332"/>
      <c r="SSY510" s="332"/>
      <c r="SSZ510" s="332"/>
      <c r="STA510" s="332"/>
      <c r="STB510" s="332"/>
      <c r="STC510" s="332"/>
      <c r="STD510" s="332"/>
      <c r="STE510" s="332"/>
      <c r="STF510" s="332"/>
      <c r="STG510" s="332"/>
      <c r="STH510" s="332"/>
      <c r="STI510" s="332"/>
      <c r="STJ510" s="332"/>
      <c r="STK510" s="332"/>
      <c r="STL510" s="332"/>
      <c r="STM510" s="332"/>
      <c r="STN510" s="332"/>
      <c r="STO510" s="332"/>
      <c r="STP510" s="332"/>
      <c r="STQ510" s="332"/>
      <c r="STR510" s="332"/>
      <c r="STS510" s="332"/>
      <c r="STT510" s="332"/>
      <c r="STU510" s="332"/>
      <c r="STV510" s="332"/>
      <c r="STW510" s="332"/>
      <c r="STX510" s="332"/>
      <c r="STY510" s="332"/>
      <c r="STZ510" s="332"/>
      <c r="SUA510" s="332"/>
      <c r="SUB510" s="332"/>
      <c r="SUC510" s="332"/>
      <c r="SUD510" s="332"/>
      <c r="SUE510" s="332"/>
      <c r="SUF510" s="332"/>
      <c r="SUG510" s="332"/>
      <c r="SUH510" s="332"/>
      <c r="SUI510" s="332"/>
      <c r="SUJ510" s="332"/>
      <c r="SUK510" s="332"/>
      <c r="SUL510" s="332"/>
      <c r="SUM510" s="332"/>
      <c r="SUN510" s="332"/>
      <c r="SUO510" s="332"/>
      <c r="SUP510" s="332"/>
      <c r="SUQ510" s="332"/>
      <c r="SUR510" s="332"/>
      <c r="SUS510" s="332"/>
      <c r="SUT510" s="332"/>
      <c r="SUU510" s="332"/>
      <c r="SUV510" s="332"/>
      <c r="SUW510" s="332"/>
      <c r="SUX510" s="332"/>
      <c r="SUY510" s="332"/>
      <c r="SUZ510" s="332"/>
      <c r="SVA510" s="332"/>
      <c r="SVB510" s="332"/>
      <c r="SVC510" s="332"/>
      <c r="SVD510" s="332"/>
      <c r="SVE510" s="332"/>
      <c r="SVF510" s="332"/>
      <c r="SVG510" s="332"/>
      <c r="SVH510" s="332"/>
      <c r="SVI510" s="332"/>
      <c r="SVJ510" s="332"/>
      <c r="SVK510" s="332"/>
      <c r="SVL510" s="332"/>
      <c r="SVM510" s="332"/>
      <c r="SVN510" s="332"/>
      <c r="SVO510" s="332"/>
      <c r="SVP510" s="332"/>
      <c r="SVQ510" s="332"/>
      <c r="SVR510" s="332"/>
      <c r="SVS510" s="332"/>
      <c r="SVT510" s="332"/>
      <c r="SVU510" s="332"/>
      <c r="SVV510" s="332"/>
      <c r="SVW510" s="332"/>
      <c r="SVX510" s="332"/>
      <c r="SVY510" s="332"/>
      <c r="SVZ510" s="332"/>
      <c r="SWA510" s="332"/>
      <c r="SWB510" s="332"/>
      <c r="SWC510" s="332"/>
      <c r="SWD510" s="332"/>
      <c r="SWE510" s="332"/>
      <c r="SWF510" s="332"/>
      <c r="SWG510" s="332"/>
      <c r="SWH510" s="332"/>
      <c r="SWI510" s="332"/>
      <c r="SWJ510" s="332"/>
      <c r="SWK510" s="332"/>
      <c r="SWL510" s="332"/>
      <c r="SWM510" s="332"/>
      <c r="SWN510" s="332"/>
      <c r="SWO510" s="332"/>
      <c r="SWP510" s="332"/>
      <c r="SWQ510" s="332"/>
      <c r="SWR510" s="332"/>
      <c r="SWS510" s="332"/>
      <c r="SWT510" s="332"/>
      <c r="SWU510" s="332"/>
      <c r="SWV510" s="332"/>
      <c r="SWW510" s="332"/>
      <c r="SWX510" s="332"/>
      <c r="SWY510" s="332"/>
      <c r="SWZ510" s="332"/>
      <c r="SXA510" s="332"/>
      <c r="SXB510" s="332"/>
      <c r="SXC510" s="332"/>
      <c r="SXD510" s="332"/>
      <c r="SXE510" s="332"/>
      <c r="SXF510" s="332"/>
      <c r="SXG510" s="332"/>
      <c r="SXH510" s="332"/>
      <c r="SXI510" s="332"/>
      <c r="SXJ510" s="332"/>
      <c r="SXK510" s="332"/>
      <c r="SXL510" s="332"/>
      <c r="SXM510" s="332"/>
      <c r="SXN510" s="332"/>
      <c r="SXO510" s="332"/>
      <c r="SXP510" s="332"/>
      <c r="SXQ510" s="332"/>
      <c r="SXR510" s="332"/>
      <c r="SXS510" s="332"/>
      <c r="SXT510" s="332"/>
      <c r="SXU510" s="332"/>
      <c r="SXV510" s="332"/>
      <c r="SXW510" s="332"/>
      <c r="SXX510" s="332"/>
      <c r="SXY510" s="332"/>
      <c r="SXZ510" s="332"/>
      <c r="SYA510" s="332"/>
      <c r="SYB510" s="332"/>
      <c r="SYC510" s="332"/>
      <c r="SYD510" s="332"/>
      <c r="SYE510" s="332"/>
      <c r="SYF510" s="332"/>
      <c r="SYG510" s="332"/>
      <c r="SYH510" s="332"/>
      <c r="SYI510" s="332"/>
      <c r="SYJ510" s="332"/>
      <c r="SYK510" s="332"/>
      <c r="SYL510" s="332"/>
      <c r="SYM510" s="332"/>
      <c r="SYN510" s="332"/>
      <c r="SYO510" s="332"/>
      <c r="SYP510" s="332"/>
      <c r="SYQ510" s="332"/>
      <c r="SYR510" s="332"/>
      <c r="SYS510" s="332"/>
      <c r="SYT510" s="332"/>
      <c r="SYU510" s="332"/>
      <c r="SYV510" s="332"/>
      <c r="SYW510" s="332"/>
      <c r="SYX510" s="332"/>
      <c r="SYY510" s="332"/>
      <c r="SYZ510" s="332"/>
      <c r="SZA510" s="332"/>
      <c r="SZB510" s="332"/>
      <c r="SZC510" s="332"/>
      <c r="SZD510" s="332"/>
      <c r="SZE510" s="332"/>
      <c r="SZF510" s="332"/>
      <c r="SZG510" s="332"/>
      <c r="SZH510" s="332"/>
      <c r="SZI510" s="332"/>
      <c r="SZJ510" s="332"/>
      <c r="SZK510" s="332"/>
      <c r="SZL510" s="332"/>
      <c r="SZM510" s="332"/>
      <c r="SZN510" s="332"/>
      <c r="SZO510" s="332"/>
      <c r="SZP510" s="332"/>
      <c r="SZQ510" s="332"/>
      <c r="SZR510" s="332"/>
      <c r="SZS510" s="332"/>
      <c r="SZT510" s="332"/>
      <c r="SZU510" s="332"/>
      <c r="SZV510" s="332"/>
      <c r="SZW510" s="332"/>
      <c r="SZX510" s="332"/>
      <c r="SZY510" s="332"/>
      <c r="SZZ510" s="332"/>
      <c r="TAA510" s="332"/>
      <c r="TAB510" s="332"/>
      <c r="TAC510" s="332"/>
      <c r="TAD510" s="332"/>
      <c r="TAE510" s="332"/>
      <c r="TAF510" s="332"/>
      <c r="TAG510" s="332"/>
      <c r="TAH510" s="332"/>
      <c r="TAI510" s="332"/>
      <c r="TAJ510" s="332"/>
      <c r="TAK510" s="332"/>
      <c r="TAL510" s="332"/>
      <c r="TAM510" s="332"/>
      <c r="TAN510" s="332"/>
      <c r="TAO510" s="332"/>
      <c r="TAP510" s="332"/>
      <c r="TAQ510" s="332"/>
      <c r="TAR510" s="332"/>
      <c r="TAS510" s="332"/>
      <c r="TAT510" s="332"/>
      <c r="TAU510" s="332"/>
      <c r="TAV510" s="332"/>
      <c r="TAW510" s="332"/>
      <c r="TAX510" s="332"/>
      <c r="TAY510" s="332"/>
      <c r="TAZ510" s="332"/>
      <c r="TBA510" s="332"/>
      <c r="TBB510" s="332"/>
      <c r="TBC510" s="332"/>
      <c r="TBD510" s="332"/>
      <c r="TBE510" s="332"/>
      <c r="TBF510" s="332"/>
      <c r="TBG510" s="332"/>
      <c r="TBH510" s="332"/>
      <c r="TBI510" s="332"/>
      <c r="TBJ510" s="332"/>
      <c r="TBK510" s="332"/>
      <c r="TBL510" s="332"/>
      <c r="TBM510" s="332"/>
      <c r="TBN510" s="332"/>
      <c r="TBO510" s="332"/>
      <c r="TBP510" s="332"/>
      <c r="TBQ510" s="332"/>
      <c r="TBR510" s="332"/>
      <c r="TBS510" s="332"/>
      <c r="TBT510" s="332"/>
      <c r="TBU510" s="332"/>
      <c r="TBV510" s="332"/>
      <c r="TBW510" s="332"/>
      <c r="TBX510" s="332"/>
      <c r="TBY510" s="332"/>
      <c r="TBZ510" s="332"/>
      <c r="TCA510" s="332"/>
      <c r="TCB510" s="332"/>
      <c r="TCC510" s="332"/>
      <c r="TCD510" s="332"/>
      <c r="TCE510" s="332"/>
      <c r="TCF510" s="332"/>
      <c r="TCG510" s="332"/>
      <c r="TCH510" s="332"/>
      <c r="TCI510" s="332"/>
      <c r="TCJ510" s="332"/>
      <c r="TCK510" s="332"/>
      <c r="TCL510" s="332"/>
      <c r="TCM510" s="332"/>
      <c r="TCN510" s="332"/>
      <c r="TCO510" s="332"/>
      <c r="TCP510" s="332"/>
      <c r="TCQ510" s="332"/>
      <c r="TCR510" s="332"/>
      <c r="TCS510" s="332"/>
      <c r="TCT510" s="332"/>
      <c r="TCU510" s="332"/>
      <c r="TCV510" s="332"/>
      <c r="TCW510" s="332"/>
      <c r="TCX510" s="332"/>
      <c r="TCY510" s="332"/>
      <c r="TCZ510" s="332"/>
      <c r="TDA510" s="332"/>
      <c r="TDB510" s="332"/>
      <c r="TDC510" s="332"/>
      <c r="TDD510" s="332"/>
      <c r="TDE510" s="332"/>
      <c r="TDF510" s="332"/>
      <c r="TDG510" s="332"/>
      <c r="TDH510" s="332"/>
      <c r="TDI510" s="332"/>
      <c r="TDJ510" s="332"/>
      <c r="TDK510" s="332"/>
      <c r="TDL510" s="332"/>
      <c r="TDM510" s="332"/>
      <c r="TDN510" s="332"/>
      <c r="TDO510" s="332"/>
      <c r="TDP510" s="332"/>
      <c r="TDQ510" s="332"/>
      <c r="TDR510" s="332"/>
      <c r="TDS510" s="332"/>
      <c r="TDT510" s="332"/>
      <c r="TDU510" s="332"/>
      <c r="TDV510" s="332"/>
      <c r="TDW510" s="332"/>
      <c r="TDX510" s="332"/>
      <c r="TDY510" s="332"/>
      <c r="TDZ510" s="332"/>
      <c r="TEA510" s="332"/>
      <c r="TEB510" s="332"/>
      <c r="TEC510" s="332"/>
      <c r="TED510" s="332"/>
      <c r="TEE510" s="332"/>
      <c r="TEF510" s="332"/>
      <c r="TEG510" s="332"/>
      <c r="TEH510" s="332"/>
      <c r="TEI510" s="332"/>
      <c r="TEJ510" s="332"/>
      <c r="TEK510" s="332"/>
      <c r="TEL510" s="332"/>
      <c r="TEM510" s="332"/>
      <c r="TEN510" s="332"/>
      <c r="TEO510" s="332"/>
      <c r="TEP510" s="332"/>
      <c r="TEQ510" s="332"/>
      <c r="TER510" s="332"/>
      <c r="TES510" s="332"/>
      <c r="TET510" s="332"/>
      <c r="TEU510" s="332"/>
      <c r="TEV510" s="332"/>
      <c r="TEW510" s="332"/>
      <c r="TEX510" s="332"/>
      <c r="TEY510" s="332"/>
      <c r="TEZ510" s="332"/>
      <c r="TFA510" s="332"/>
      <c r="TFB510" s="332"/>
      <c r="TFC510" s="332"/>
      <c r="TFD510" s="332"/>
      <c r="TFE510" s="332"/>
      <c r="TFF510" s="332"/>
      <c r="TFG510" s="332"/>
      <c r="TFH510" s="332"/>
      <c r="TFI510" s="332"/>
      <c r="TFJ510" s="332"/>
      <c r="TFK510" s="332"/>
      <c r="TFL510" s="332"/>
      <c r="TFM510" s="332"/>
      <c r="TFN510" s="332"/>
      <c r="TFO510" s="332"/>
      <c r="TFP510" s="332"/>
      <c r="TFQ510" s="332"/>
      <c r="TFR510" s="332"/>
      <c r="TFS510" s="332"/>
      <c r="TFT510" s="332"/>
      <c r="TFU510" s="332"/>
      <c r="TFV510" s="332"/>
      <c r="TFW510" s="332"/>
      <c r="TFX510" s="332"/>
      <c r="TFY510" s="332"/>
      <c r="TFZ510" s="332"/>
      <c r="TGA510" s="332"/>
      <c r="TGB510" s="332"/>
      <c r="TGC510" s="332"/>
      <c r="TGD510" s="332"/>
      <c r="TGE510" s="332"/>
      <c r="TGF510" s="332"/>
      <c r="TGG510" s="332"/>
      <c r="TGH510" s="332"/>
      <c r="TGI510" s="332"/>
      <c r="TGJ510" s="332"/>
      <c r="TGK510" s="332"/>
      <c r="TGL510" s="332"/>
      <c r="TGM510" s="332"/>
      <c r="TGN510" s="332"/>
      <c r="TGO510" s="332"/>
      <c r="TGP510" s="332"/>
      <c r="TGQ510" s="332"/>
      <c r="TGR510" s="332"/>
      <c r="TGS510" s="332"/>
      <c r="TGT510" s="332"/>
      <c r="TGU510" s="332"/>
      <c r="TGV510" s="332"/>
      <c r="TGW510" s="332"/>
      <c r="TGX510" s="332"/>
      <c r="TGY510" s="332"/>
      <c r="TGZ510" s="332"/>
      <c r="THA510" s="332"/>
      <c r="THB510" s="332"/>
      <c r="THC510" s="332"/>
      <c r="THD510" s="332"/>
      <c r="THE510" s="332"/>
      <c r="THF510" s="332"/>
      <c r="THG510" s="332"/>
      <c r="THH510" s="332"/>
      <c r="THI510" s="332"/>
      <c r="THJ510" s="332"/>
      <c r="THK510" s="332"/>
      <c r="THL510" s="332"/>
      <c r="THM510" s="332"/>
      <c r="THN510" s="332"/>
      <c r="THO510" s="332"/>
      <c r="THP510" s="332"/>
      <c r="THQ510" s="332"/>
      <c r="THR510" s="332"/>
      <c r="THS510" s="332"/>
      <c r="THT510" s="332"/>
      <c r="THU510" s="332"/>
      <c r="THV510" s="332"/>
      <c r="THW510" s="332"/>
      <c r="THX510" s="332"/>
      <c r="THY510" s="332"/>
      <c r="THZ510" s="332"/>
      <c r="TIA510" s="332"/>
      <c r="TIB510" s="332"/>
      <c r="TIC510" s="332"/>
      <c r="TID510" s="332"/>
      <c r="TIE510" s="332"/>
      <c r="TIF510" s="332"/>
      <c r="TIG510" s="332"/>
      <c r="TIH510" s="332"/>
      <c r="TII510" s="332"/>
      <c r="TIJ510" s="332"/>
      <c r="TIK510" s="332"/>
      <c r="TIL510" s="332"/>
      <c r="TIM510" s="332"/>
      <c r="TIN510" s="332"/>
      <c r="TIO510" s="332"/>
      <c r="TIP510" s="332"/>
      <c r="TIQ510" s="332"/>
      <c r="TIR510" s="332"/>
      <c r="TIS510" s="332"/>
      <c r="TIT510" s="332"/>
      <c r="TIU510" s="332"/>
      <c r="TIV510" s="332"/>
      <c r="TIW510" s="332"/>
      <c r="TIX510" s="332"/>
      <c r="TIY510" s="332"/>
      <c r="TIZ510" s="332"/>
      <c r="TJA510" s="332"/>
      <c r="TJB510" s="332"/>
      <c r="TJC510" s="332"/>
      <c r="TJD510" s="332"/>
      <c r="TJE510" s="332"/>
      <c r="TJF510" s="332"/>
      <c r="TJG510" s="332"/>
      <c r="TJH510" s="332"/>
      <c r="TJI510" s="332"/>
      <c r="TJJ510" s="332"/>
      <c r="TJK510" s="332"/>
      <c r="TJL510" s="332"/>
      <c r="TJM510" s="332"/>
      <c r="TJN510" s="332"/>
      <c r="TJO510" s="332"/>
      <c r="TJP510" s="332"/>
      <c r="TJQ510" s="332"/>
      <c r="TJR510" s="332"/>
      <c r="TJS510" s="332"/>
      <c r="TJT510" s="332"/>
      <c r="TJU510" s="332"/>
      <c r="TJV510" s="332"/>
      <c r="TJW510" s="332"/>
      <c r="TJX510" s="332"/>
      <c r="TJY510" s="332"/>
      <c r="TJZ510" s="332"/>
      <c r="TKA510" s="332"/>
      <c r="TKB510" s="332"/>
      <c r="TKC510" s="332"/>
      <c r="TKD510" s="332"/>
      <c r="TKE510" s="332"/>
      <c r="TKF510" s="332"/>
      <c r="TKG510" s="332"/>
      <c r="TKH510" s="332"/>
      <c r="TKI510" s="332"/>
      <c r="TKJ510" s="332"/>
      <c r="TKK510" s="332"/>
      <c r="TKL510" s="332"/>
      <c r="TKM510" s="332"/>
      <c r="TKN510" s="332"/>
      <c r="TKO510" s="332"/>
      <c r="TKP510" s="332"/>
      <c r="TKQ510" s="332"/>
      <c r="TKR510" s="332"/>
      <c r="TKS510" s="332"/>
      <c r="TKT510" s="332"/>
      <c r="TKU510" s="332"/>
      <c r="TKV510" s="332"/>
      <c r="TKW510" s="332"/>
      <c r="TKX510" s="332"/>
      <c r="TKY510" s="332"/>
      <c r="TKZ510" s="332"/>
      <c r="TLA510" s="332"/>
      <c r="TLB510" s="332"/>
      <c r="TLC510" s="332"/>
      <c r="TLD510" s="332"/>
      <c r="TLE510" s="332"/>
      <c r="TLF510" s="332"/>
      <c r="TLG510" s="332"/>
      <c r="TLH510" s="332"/>
      <c r="TLI510" s="332"/>
      <c r="TLJ510" s="332"/>
      <c r="TLK510" s="332"/>
      <c r="TLL510" s="332"/>
      <c r="TLM510" s="332"/>
      <c r="TLN510" s="332"/>
      <c r="TLO510" s="332"/>
      <c r="TLP510" s="332"/>
      <c r="TLQ510" s="332"/>
      <c r="TLR510" s="332"/>
      <c r="TLS510" s="332"/>
      <c r="TLT510" s="332"/>
      <c r="TLU510" s="332"/>
      <c r="TLV510" s="332"/>
      <c r="TLW510" s="332"/>
      <c r="TLX510" s="332"/>
      <c r="TLY510" s="332"/>
      <c r="TLZ510" s="332"/>
      <c r="TMA510" s="332"/>
      <c r="TMB510" s="332"/>
      <c r="TMC510" s="332"/>
      <c r="TMD510" s="332"/>
      <c r="TME510" s="332"/>
      <c r="TMF510" s="332"/>
      <c r="TMG510" s="332"/>
      <c r="TMH510" s="332"/>
      <c r="TMI510" s="332"/>
      <c r="TMJ510" s="332"/>
      <c r="TMK510" s="332"/>
      <c r="TML510" s="332"/>
      <c r="TMM510" s="332"/>
      <c r="TMN510" s="332"/>
      <c r="TMO510" s="332"/>
      <c r="TMP510" s="332"/>
      <c r="TMQ510" s="332"/>
      <c r="TMR510" s="332"/>
      <c r="TMS510" s="332"/>
      <c r="TMT510" s="332"/>
      <c r="TMU510" s="332"/>
      <c r="TMV510" s="332"/>
      <c r="TMW510" s="332"/>
      <c r="TMX510" s="332"/>
      <c r="TMY510" s="332"/>
      <c r="TMZ510" s="332"/>
      <c r="TNA510" s="332"/>
      <c r="TNB510" s="332"/>
      <c r="TNC510" s="332"/>
      <c r="TND510" s="332"/>
      <c r="TNE510" s="332"/>
      <c r="TNF510" s="332"/>
      <c r="TNG510" s="332"/>
      <c r="TNH510" s="332"/>
      <c r="TNI510" s="332"/>
      <c r="TNJ510" s="332"/>
      <c r="TNK510" s="332"/>
      <c r="TNL510" s="332"/>
      <c r="TNM510" s="332"/>
      <c r="TNN510" s="332"/>
      <c r="TNO510" s="332"/>
      <c r="TNP510" s="332"/>
      <c r="TNQ510" s="332"/>
      <c r="TNR510" s="332"/>
      <c r="TNS510" s="332"/>
      <c r="TNT510" s="332"/>
      <c r="TNU510" s="332"/>
      <c r="TNV510" s="332"/>
      <c r="TNW510" s="332"/>
      <c r="TNX510" s="332"/>
      <c r="TNY510" s="332"/>
      <c r="TNZ510" s="332"/>
      <c r="TOA510" s="332"/>
      <c r="TOB510" s="332"/>
      <c r="TOC510" s="332"/>
      <c r="TOD510" s="332"/>
      <c r="TOE510" s="332"/>
      <c r="TOF510" s="332"/>
      <c r="TOG510" s="332"/>
      <c r="TOH510" s="332"/>
      <c r="TOI510" s="332"/>
      <c r="TOJ510" s="332"/>
      <c r="TOK510" s="332"/>
      <c r="TOL510" s="332"/>
      <c r="TOM510" s="332"/>
      <c r="TON510" s="332"/>
      <c r="TOO510" s="332"/>
      <c r="TOP510" s="332"/>
      <c r="TOQ510" s="332"/>
      <c r="TOR510" s="332"/>
      <c r="TOS510" s="332"/>
      <c r="TOT510" s="332"/>
      <c r="TOU510" s="332"/>
      <c r="TOV510" s="332"/>
      <c r="TOW510" s="332"/>
      <c r="TOX510" s="332"/>
      <c r="TOY510" s="332"/>
      <c r="TOZ510" s="332"/>
      <c r="TPA510" s="332"/>
      <c r="TPB510" s="332"/>
      <c r="TPC510" s="332"/>
      <c r="TPD510" s="332"/>
      <c r="TPE510" s="332"/>
      <c r="TPF510" s="332"/>
      <c r="TPG510" s="332"/>
      <c r="TPH510" s="332"/>
      <c r="TPI510" s="332"/>
      <c r="TPJ510" s="332"/>
      <c r="TPK510" s="332"/>
      <c r="TPL510" s="332"/>
      <c r="TPM510" s="332"/>
      <c r="TPN510" s="332"/>
      <c r="TPO510" s="332"/>
      <c r="TPP510" s="332"/>
      <c r="TPQ510" s="332"/>
      <c r="TPR510" s="332"/>
      <c r="TPS510" s="332"/>
      <c r="TPT510" s="332"/>
      <c r="TPU510" s="332"/>
      <c r="TPV510" s="332"/>
      <c r="TPW510" s="332"/>
      <c r="TPX510" s="332"/>
      <c r="TPY510" s="332"/>
      <c r="TPZ510" s="332"/>
      <c r="TQA510" s="332"/>
      <c r="TQB510" s="332"/>
      <c r="TQC510" s="332"/>
      <c r="TQD510" s="332"/>
      <c r="TQE510" s="332"/>
      <c r="TQF510" s="332"/>
      <c r="TQG510" s="332"/>
      <c r="TQH510" s="332"/>
      <c r="TQI510" s="332"/>
      <c r="TQJ510" s="332"/>
      <c r="TQK510" s="332"/>
      <c r="TQL510" s="332"/>
      <c r="TQM510" s="332"/>
      <c r="TQN510" s="332"/>
      <c r="TQO510" s="332"/>
      <c r="TQP510" s="332"/>
      <c r="TQQ510" s="332"/>
      <c r="TQR510" s="332"/>
      <c r="TQS510" s="332"/>
      <c r="TQT510" s="332"/>
      <c r="TQU510" s="332"/>
      <c r="TQV510" s="332"/>
      <c r="TQW510" s="332"/>
      <c r="TQX510" s="332"/>
      <c r="TQY510" s="332"/>
      <c r="TQZ510" s="332"/>
      <c r="TRA510" s="332"/>
      <c r="TRB510" s="332"/>
      <c r="TRC510" s="332"/>
      <c r="TRD510" s="332"/>
      <c r="TRE510" s="332"/>
      <c r="TRF510" s="332"/>
      <c r="TRG510" s="332"/>
      <c r="TRH510" s="332"/>
      <c r="TRI510" s="332"/>
      <c r="TRJ510" s="332"/>
      <c r="TRK510" s="332"/>
      <c r="TRL510" s="332"/>
      <c r="TRM510" s="332"/>
      <c r="TRN510" s="332"/>
      <c r="TRO510" s="332"/>
      <c r="TRP510" s="332"/>
      <c r="TRQ510" s="332"/>
      <c r="TRR510" s="332"/>
      <c r="TRS510" s="332"/>
      <c r="TRT510" s="332"/>
      <c r="TRU510" s="332"/>
      <c r="TRV510" s="332"/>
      <c r="TRW510" s="332"/>
      <c r="TRX510" s="332"/>
      <c r="TRY510" s="332"/>
      <c r="TRZ510" s="332"/>
      <c r="TSA510" s="332"/>
      <c r="TSB510" s="332"/>
      <c r="TSC510" s="332"/>
      <c r="TSD510" s="332"/>
      <c r="TSE510" s="332"/>
      <c r="TSF510" s="332"/>
      <c r="TSG510" s="332"/>
      <c r="TSH510" s="332"/>
      <c r="TSI510" s="332"/>
      <c r="TSJ510" s="332"/>
      <c r="TSK510" s="332"/>
      <c r="TSL510" s="332"/>
      <c r="TSM510" s="332"/>
      <c r="TSN510" s="332"/>
      <c r="TSO510" s="332"/>
      <c r="TSP510" s="332"/>
      <c r="TSQ510" s="332"/>
      <c r="TSR510" s="332"/>
      <c r="TSS510" s="332"/>
      <c r="TST510" s="332"/>
      <c r="TSU510" s="332"/>
      <c r="TSV510" s="332"/>
      <c r="TSW510" s="332"/>
      <c r="TSX510" s="332"/>
      <c r="TSY510" s="332"/>
      <c r="TSZ510" s="332"/>
      <c r="TTA510" s="332"/>
      <c r="TTB510" s="332"/>
      <c r="TTC510" s="332"/>
      <c r="TTD510" s="332"/>
      <c r="TTE510" s="332"/>
      <c r="TTF510" s="332"/>
      <c r="TTG510" s="332"/>
      <c r="TTH510" s="332"/>
      <c r="TTI510" s="332"/>
      <c r="TTJ510" s="332"/>
      <c r="TTK510" s="332"/>
      <c r="TTL510" s="332"/>
      <c r="TTM510" s="332"/>
      <c r="TTN510" s="332"/>
      <c r="TTO510" s="332"/>
      <c r="TTP510" s="332"/>
      <c r="TTQ510" s="332"/>
      <c r="TTR510" s="332"/>
      <c r="TTS510" s="332"/>
      <c r="TTT510" s="332"/>
      <c r="TTU510" s="332"/>
      <c r="TTV510" s="332"/>
      <c r="TTW510" s="332"/>
      <c r="TTX510" s="332"/>
      <c r="TTY510" s="332"/>
      <c r="TTZ510" s="332"/>
      <c r="TUA510" s="332"/>
      <c r="TUB510" s="332"/>
      <c r="TUC510" s="332"/>
      <c r="TUD510" s="332"/>
      <c r="TUE510" s="332"/>
      <c r="TUF510" s="332"/>
      <c r="TUG510" s="332"/>
      <c r="TUH510" s="332"/>
      <c r="TUI510" s="332"/>
      <c r="TUJ510" s="332"/>
      <c r="TUK510" s="332"/>
      <c r="TUL510" s="332"/>
      <c r="TUM510" s="332"/>
      <c r="TUN510" s="332"/>
      <c r="TUO510" s="332"/>
      <c r="TUP510" s="332"/>
      <c r="TUQ510" s="332"/>
      <c r="TUR510" s="332"/>
      <c r="TUS510" s="332"/>
      <c r="TUT510" s="332"/>
      <c r="TUU510" s="332"/>
      <c r="TUV510" s="332"/>
      <c r="TUW510" s="332"/>
      <c r="TUX510" s="332"/>
      <c r="TUY510" s="332"/>
      <c r="TUZ510" s="332"/>
      <c r="TVA510" s="332"/>
      <c r="TVB510" s="332"/>
      <c r="TVC510" s="332"/>
      <c r="TVD510" s="332"/>
      <c r="TVE510" s="332"/>
      <c r="TVF510" s="332"/>
      <c r="TVG510" s="332"/>
      <c r="TVH510" s="332"/>
      <c r="TVI510" s="332"/>
      <c r="TVJ510" s="332"/>
      <c r="TVK510" s="332"/>
      <c r="TVL510" s="332"/>
      <c r="TVM510" s="332"/>
      <c r="TVN510" s="332"/>
      <c r="TVO510" s="332"/>
      <c r="TVP510" s="332"/>
      <c r="TVQ510" s="332"/>
      <c r="TVR510" s="332"/>
      <c r="TVS510" s="332"/>
      <c r="TVT510" s="332"/>
      <c r="TVU510" s="332"/>
      <c r="TVV510" s="332"/>
      <c r="TVW510" s="332"/>
      <c r="TVX510" s="332"/>
      <c r="TVY510" s="332"/>
      <c r="TVZ510" s="332"/>
      <c r="TWA510" s="332"/>
      <c r="TWB510" s="332"/>
      <c r="TWC510" s="332"/>
      <c r="TWD510" s="332"/>
      <c r="TWE510" s="332"/>
      <c r="TWF510" s="332"/>
      <c r="TWG510" s="332"/>
      <c r="TWH510" s="332"/>
      <c r="TWI510" s="332"/>
      <c r="TWJ510" s="332"/>
      <c r="TWK510" s="332"/>
      <c r="TWL510" s="332"/>
      <c r="TWM510" s="332"/>
      <c r="TWN510" s="332"/>
      <c r="TWO510" s="332"/>
      <c r="TWP510" s="332"/>
      <c r="TWQ510" s="332"/>
      <c r="TWR510" s="332"/>
      <c r="TWS510" s="332"/>
      <c r="TWT510" s="332"/>
      <c r="TWU510" s="332"/>
      <c r="TWV510" s="332"/>
      <c r="TWW510" s="332"/>
      <c r="TWX510" s="332"/>
      <c r="TWY510" s="332"/>
      <c r="TWZ510" s="332"/>
      <c r="TXA510" s="332"/>
      <c r="TXB510" s="332"/>
      <c r="TXC510" s="332"/>
      <c r="TXD510" s="332"/>
      <c r="TXE510" s="332"/>
      <c r="TXF510" s="332"/>
      <c r="TXG510" s="332"/>
      <c r="TXH510" s="332"/>
      <c r="TXI510" s="332"/>
      <c r="TXJ510" s="332"/>
      <c r="TXK510" s="332"/>
      <c r="TXL510" s="332"/>
      <c r="TXM510" s="332"/>
      <c r="TXN510" s="332"/>
      <c r="TXO510" s="332"/>
      <c r="TXP510" s="332"/>
      <c r="TXQ510" s="332"/>
      <c r="TXR510" s="332"/>
      <c r="TXS510" s="332"/>
      <c r="TXT510" s="332"/>
      <c r="TXU510" s="332"/>
      <c r="TXV510" s="332"/>
      <c r="TXW510" s="332"/>
      <c r="TXX510" s="332"/>
      <c r="TXY510" s="332"/>
      <c r="TXZ510" s="332"/>
      <c r="TYA510" s="332"/>
      <c r="TYB510" s="332"/>
      <c r="TYC510" s="332"/>
      <c r="TYD510" s="332"/>
      <c r="TYE510" s="332"/>
      <c r="TYF510" s="332"/>
      <c r="TYG510" s="332"/>
      <c r="TYH510" s="332"/>
      <c r="TYI510" s="332"/>
      <c r="TYJ510" s="332"/>
      <c r="TYK510" s="332"/>
      <c r="TYL510" s="332"/>
      <c r="TYM510" s="332"/>
      <c r="TYN510" s="332"/>
      <c r="TYO510" s="332"/>
      <c r="TYP510" s="332"/>
      <c r="TYQ510" s="332"/>
      <c r="TYR510" s="332"/>
      <c r="TYS510" s="332"/>
      <c r="TYT510" s="332"/>
      <c r="TYU510" s="332"/>
      <c r="TYV510" s="332"/>
      <c r="TYW510" s="332"/>
      <c r="TYX510" s="332"/>
      <c r="TYY510" s="332"/>
      <c r="TYZ510" s="332"/>
      <c r="TZA510" s="332"/>
      <c r="TZB510" s="332"/>
      <c r="TZC510" s="332"/>
      <c r="TZD510" s="332"/>
      <c r="TZE510" s="332"/>
      <c r="TZF510" s="332"/>
      <c r="TZG510" s="332"/>
      <c r="TZH510" s="332"/>
      <c r="TZI510" s="332"/>
      <c r="TZJ510" s="332"/>
      <c r="TZK510" s="332"/>
      <c r="TZL510" s="332"/>
      <c r="TZM510" s="332"/>
      <c r="TZN510" s="332"/>
      <c r="TZO510" s="332"/>
      <c r="TZP510" s="332"/>
      <c r="TZQ510" s="332"/>
      <c r="TZR510" s="332"/>
      <c r="TZS510" s="332"/>
      <c r="TZT510" s="332"/>
      <c r="TZU510" s="332"/>
      <c r="TZV510" s="332"/>
      <c r="TZW510" s="332"/>
      <c r="TZX510" s="332"/>
      <c r="TZY510" s="332"/>
      <c r="TZZ510" s="332"/>
      <c r="UAA510" s="332"/>
      <c r="UAB510" s="332"/>
      <c r="UAC510" s="332"/>
      <c r="UAD510" s="332"/>
      <c r="UAE510" s="332"/>
      <c r="UAF510" s="332"/>
      <c r="UAG510" s="332"/>
      <c r="UAH510" s="332"/>
      <c r="UAI510" s="332"/>
      <c r="UAJ510" s="332"/>
      <c r="UAK510" s="332"/>
      <c r="UAL510" s="332"/>
      <c r="UAM510" s="332"/>
      <c r="UAN510" s="332"/>
      <c r="UAO510" s="332"/>
      <c r="UAP510" s="332"/>
      <c r="UAQ510" s="332"/>
      <c r="UAR510" s="332"/>
      <c r="UAS510" s="332"/>
      <c r="UAT510" s="332"/>
      <c r="UAU510" s="332"/>
      <c r="UAV510" s="332"/>
      <c r="UAW510" s="332"/>
      <c r="UAX510" s="332"/>
      <c r="UAY510" s="332"/>
      <c r="UAZ510" s="332"/>
      <c r="UBA510" s="332"/>
      <c r="UBB510" s="332"/>
      <c r="UBC510" s="332"/>
      <c r="UBD510" s="332"/>
      <c r="UBE510" s="332"/>
      <c r="UBF510" s="332"/>
      <c r="UBG510" s="332"/>
      <c r="UBH510" s="332"/>
      <c r="UBI510" s="332"/>
      <c r="UBJ510" s="332"/>
      <c r="UBK510" s="332"/>
      <c r="UBL510" s="332"/>
      <c r="UBM510" s="332"/>
      <c r="UBN510" s="332"/>
      <c r="UBO510" s="332"/>
      <c r="UBP510" s="332"/>
      <c r="UBQ510" s="332"/>
      <c r="UBR510" s="332"/>
      <c r="UBS510" s="332"/>
      <c r="UBT510" s="332"/>
      <c r="UBU510" s="332"/>
      <c r="UBV510" s="332"/>
      <c r="UBW510" s="332"/>
      <c r="UBX510" s="332"/>
      <c r="UBY510" s="332"/>
      <c r="UBZ510" s="332"/>
      <c r="UCA510" s="332"/>
      <c r="UCB510" s="332"/>
      <c r="UCC510" s="332"/>
      <c r="UCD510" s="332"/>
      <c r="UCE510" s="332"/>
      <c r="UCF510" s="332"/>
      <c r="UCG510" s="332"/>
      <c r="UCH510" s="332"/>
      <c r="UCI510" s="332"/>
      <c r="UCJ510" s="332"/>
      <c r="UCK510" s="332"/>
      <c r="UCL510" s="332"/>
      <c r="UCM510" s="332"/>
      <c r="UCN510" s="332"/>
      <c r="UCO510" s="332"/>
      <c r="UCP510" s="332"/>
      <c r="UCQ510" s="332"/>
      <c r="UCR510" s="332"/>
      <c r="UCS510" s="332"/>
      <c r="UCT510" s="332"/>
      <c r="UCU510" s="332"/>
      <c r="UCV510" s="332"/>
      <c r="UCW510" s="332"/>
      <c r="UCX510" s="332"/>
      <c r="UCY510" s="332"/>
      <c r="UCZ510" s="332"/>
      <c r="UDA510" s="332"/>
      <c r="UDB510" s="332"/>
      <c r="UDC510" s="332"/>
      <c r="UDD510" s="332"/>
      <c r="UDE510" s="332"/>
      <c r="UDF510" s="332"/>
      <c r="UDG510" s="332"/>
      <c r="UDH510" s="332"/>
      <c r="UDI510" s="332"/>
      <c r="UDJ510" s="332"/>
      <c r="UDK510" s="332"/>
      <c r="UDL510" s="332"/>
      <c r="UDM510" s="332"/>
      <c r="UDN510" s="332"/>
      <c r="UDO510" s="332"/>
      <c r="UDP510" s="332"/>
      <c r="UDQ510" s="332"/>
      <c r="UDR510" s="332"/>
      <c r="UDS510" s="332"/>
      <c r="UDT510" s="332"/>
      <c r="UDU510" s="332"/>
      <c r="UDV510" s="332"/>
      <c r="UDW510" s="332"/>
      <c r="UDX510" s="332"/>
      <c r="UDY510" s="332"/>
      <c r="UDZ510" s="332"/>
      <c r="UEA510" s="332"/>
      <c r="UEB510" s="332"/>
      <c r="UEC510" s="332"/>
      <c r="UED510" s="332"/>
      <c r="UEE510" s="332"/>
      <c r="UEF510" s="332"/>
      <c r="UEG510" s="332"/>
      <c r="UEH510" s="332"/>
      <c r="UEI510" s="332"/>
      <c r="UEJ510" s="332"/>
      <c r="UEK510" s="332"/>
      <c r="UEL510" s="332"/>
      <c r="UEM510" s="332"/>
      <c r="UEN510" s="332"/>
      <c r="UEO510" s="332"/>
      <c r="UEP510" s="332"/>
      <c r="UEQ510" s="332"/>
      <c r="UER510" s="332"/>
      <c r="UES510" s="332"/>
      <c r="UET510" s="332"/>
      <c r="UEU510" s="332"/>
      <c r="UEV510" s="332"/>
      <c r="UEW510" s="332"/>
      <c r="UEX510" s="332"/>
      <c r="UEY510" s="332"/>
      <c r="UEZ510" s="332"/>
      <c r="UFA510" s="332"/>
      <c r="UFB510" s="332"/>
      <c r="UFC510" s="332"/>
      <c r="UFD510" s="332"/>
      <c r="UFE510" s="332"/>
      <c r="UFF510" s="332"/>
      <c r="UFG510" s="332"/>
      <c r="UFH510" s="332"/>
      <c r="UFI510" s="332"/>
      <c r="UFJ510" s="332"/>
      <c r="UFK510" s="332"/>
      <c r="UFL510" s="332"/>
      <c r="UFM510" s="332"/>
      <c r="UFN510" s="332"/>
      <c r="UFO510" s="332"/>
      <c r="UFP510" s="332"/>
      <c r="UFQ510" s="332"/>
      <c r="UFR510" s="332"/>
      <c r="UFS510" s="332"/>
      <c r="UFT510" s="332"/>
      <c r="UFU510" s="332"/>
      <c r="UFV510" s="332"/>
      <c r="UFW510" s="332"/>
      <c r="UFX510" s="332"/>
      <c r="UFY510" s="332"/>
      <c r="UFZ510" s="332"/>
      <c r="UGA510" s="332"/>
      <c r="UGB510" s="332"/>
      <c r="UGC510" s="332"/>
      <c r="UGD510" s="332"/>
      <c r="UGE510" s="332"/>
      <c r="UGF510" s="332"/>
      <c r="UGG510" s="332"/>
      <c r="UGH510" s="332"/>
      <c r="UGI510" s="332"/>
      <c r="UGJ510" s="332"/>
      <c r="UGK510" s="332"/>
      <c r="UGL510" s="332"/>
      <c r="UGM510" s="332"/>
      <c r="UGN510" s="332"/>
      <c r="UGO510" s="332"/>
      <c r="UGP510" s="332"/>
      <c r="UGQ510" s="332"/>
      <c r="UGR510" s="332"/>
      <c r="UGS510" s="332"/>
      <c r="UGT510" s="332"/>
      <c r="UGU510" s="332"/>
      <c r="UGV510" s="332"/>
      <c r="UGW510" s="332"/>
      <c r="UGX510" s="332"/>
      <c r="UGY510" s="332"/>
      <c r="UGZ510" s="332"/>
      <c r="UHA510" s="332"/>
      <c r="UHB510" s="332"/>
      <c r="UHC510" s="332"/>
      <c r="UHD510" s="332"/>
      <c r="UHE510" s="332"/>
      <c r="UHF510" s="332"/>
      <c r="UHG510" s="332"/>
      <c r="UHH510" s="332"/>
      <c r="UHI510" s="332"/>
      <c r="UHJ510" s="332"/>
      <c r="UHK510" s="332"/>
      <c r="UHL510" s="332"/>
      <c r="UHM510" s="332"/>
      <c r="UHN510" s="332"/>
      <c r="UHO510" s="332"/>
      <c r="UHP510" s="332"/>
      <c r="UHQ510" s="332"/>
      <c r="UHR510" s="332"/>
      <c r="UHS510" s="332"/>
      <c r="UHT510" s="332"/>
      <c r="UHU510" s="332"/>
      <c r="UHV510" s="332"/>
      <c r="UHW510" s="332"/>
      <c r="UHX510" s="332"/>
      <c r="UHY510" s="332"/>
      <c r="UHZ510" s="332"/>
      <c r="UIA510" s="332"/>
      <c r="UIB510" s="332"/>
      <c r="UIC510" s="332"/>
      <c r="UID510" s="332"/>
      <c r="UIE510" s="332"/>
      <c r="UIF510" s="332"/>
      <c r="UIG510" s="332"/>
      <c r="UIH510" s="332"/>
      <c r="UII510" s="332"/>
      <c r="UIJ510" s="332"/>
      <c r="UIK510" s="332"/>
      <c r="UIL510" s="332"/>
      <c r="UIM510" s="332"/>
      <c r="UIN510" s="332"/>
      <c r="UIO510" s="332"/>
      <c r="UIP510" s="332"/>
      <c r="UIQ510" s="332"/>
      <c r="UIR510" s="332"/>
      <c r="UIS510" s="332"/>
      <c r="UIT510" s="332"/>
      <c r="UIU510" s="332"/>
      <c r="UIV510" s="332"/>
      <c r="UIW510" s="332"/>
      <c r="UIX510" s="332"/>
      <c r="UIY510" s="332"/>
      <c r="UIZ510" s="332"/>
      <c r="UJA510" s="332"/>
      <c r="UJB510" s="332"/>
      <c r="UJC510" s="332"/>
      <c r="UJD510" s="332"/>
      <c r="UJE510" s="332"/>
      <c r="UJF510" s="332"/>
      <c r="UJG510" s="332"/>
      <c r="UJH510" s="332"/>
      <c r="UJI510" s="332"/>
      <c r="UJJ510" s="332"/>
      <c r="UJK510" s="332"/>
      <c r="UJL510" s="332"/>
      <c r="UJM510" s="332"/>
      <c r="UJN510" s="332"/>
      <c r="UJO510" s="332"/>
      <c r="UJP510" s="332"/>
      <c r="UJQ510" s="332"/>
      <c r="UJR510" s="332"/>
      <c r="UJS510" s="332"/>
      <c r="UJT510" s="332"/>
      <c r="UJU510" s="332"/>
      <c r="UJV510" s="332"/>
      <c r="UJW510" s="332"/>
      <c r="UJX510" s="332"/>
      <c r="UJY510" s="332"/>
      <c r="UJZ510" s="332"/>
      <c r="UKA510" s="332"/>
      <c r="UKB510" s="332"/>
      <c r="UKC510" s="332"/>
      <c r="UKD510" s="332"/>
      <c r="UKE510" s="332"/>
      <c r="UKF510" s="332"/>
      <c r="UKG510" s="332"/>
      <c r="UKH510" s="332"/>
      <c r="UKI510" s="332"/>
      <c r="UKJ510" s="332"/>
      <c r="UKK510" s="332"/>
      <c r="UKL510" s="332"/>
      <c r="UKM510" s="332"/>
      <c r="UKN510" s="332"/>
      <c r="UKO510" s="332"/>
      <c r="UKP510" s="332"/>
      <c r="UKQ510" s="332"/>
      <c r="UKR510" s="332"/>
      <c r="UKS510" s="332"/>
      <c r="UKT510" s="332"/>
      <c r="UKU510" s="332"/>
      <c r="UKV510" s="332"/>
      <c r="UKW510" s="332"/>
      <c r="UKX510" s="332"/>
      <c r="UKY510" s="332"/>
      <c r="UKZ510" s="332"/>
      <c r="ULA510" s="332"/>
      <c r="ULB510" s="332"/>
      <c r="ULC510" s="332"/>
      <c r="ULD510" s="332"/>
      <c r="ULE510" s="332"/>
      <c r="ULF510" s="332"/>
      <c r="ULG510" s="332"/>
      <c r="ULH510" s="332"/>
      <c r="ULI510" s="332"/>
      <c r="ULJ510" s="332"/>
      <c r="ULK510" s="332"/>
      <c r="ULL510" s="332"/>
      <c r="ULM510" s="332"/>
      <c r="ULN510" s="332"/>
      <c r="ULO510" s="332"/>
      <c r="ULP510" s="332"/>
      <c r="ULQ510" s="332"/>
      <c r="ULR510" s="332"/>
      <c r="ULS510" s="332"/>
      <c r="ULT510" s="332"/>
      <c r="ULU510" s="332"/>
      <c r="ULV510" s="332"/>
      <c r="ULW510" s="332"/>
      <c r="ULX510" s="332"/>
      <c r="ULY510" s="332"/>
      <c r="ULZ510" s="332"/>
      <c r="UMA510" s="332"/>
      <c r="UMB510" s="332"/>
      <c r="UMC510" s="332"/>
      <c r="UMD510" s="332"/>
      <c r="UME510" s="332"/>
      <c r="UMF510" s="332"/>
      <c r="UMG510" s="332"/>
      <c r="UMH510" s="332"/>
      <c r="UMI510" s="332"/>
      <c r="UMJ510" s="332"/>
      <c r="UMK510" s="332"/>
      <c r="UML510" s="332"/>
      <c r="UMM510" s="332"/>
      <c r="UMN510" s="332"/>
      <c r="UMO510" s="332"/>
      <c r="UMP510" s="332"/>
      <c r="UMQ510" s="332"/>
      <c r="UMR510" s="332"/>
      <c r="UMS510" s="332"/>
      <c r="UMT510" s="332"/>
      <c r="UMU510" s="332"/>
      <c r="UMV510" s="332"/>
      <c r="UMW510" s="332"/>
      <c r="UMX510" s="332"/>
      <c r="UMY510" s="332"/>
      <c r="UMZ510" s="332"/>
      <c r="UNA510" s="332"/>
      <c r="UNB510" s="332"/>
      <c r="UNC510" s="332"/>
      <c r="UND510" s="332"/>
      <c r="UNE510" s="332"/>
      <c r="UNF510" s="332"/>
      <c r="UNG510" s="332"/>
      <c r="UNH510" s="332"/>
      <c r="UNI510" s="332"/>
      <c r="UNJ510" s="332"/>
      <c r="UNK510" s="332"/>
      <c r="UNL510" s="332"/>
      <c r="UNM510" s="332"/>
      <c r="UNN510" s="332"/>
      <c r="UNO510" s="332"/>
      <c r="UNP510" s="332"/>
      <c r="UNQ510" s="332"/>
      <c r="UNR510" s="332"/>
      <c r="UNS510" s="332"/>
      <c r="UNT510" s="332"/>
      <c r="UNU510" s="332"/>
      <c r="UNV510" s="332"/>
      <c r="UNW510" s="332"/>
      <c r="UNX510" s="332"/>
      <c r="UNY510" s="332"/>
      <c r="UNZ510" s="332"/>
      <c r="UOA510" s="332"/>
      <c r="UOB510" s="332"/>
      <c r="UOC510" s="332"/>
      <c r="UOD510" s="332"/>
      <c r="UOE510" s="332"/>
      <c r="UOF510" s="332"/>
      <c r="UOG510" s="332"/>
      <c r="UOH510" s="332"/>
      <c r="UOI510" s="332"/>
      <c r="UOJ510" s="332"/>
      <c r="UOK510" s="332"/>
      <c r="UOL510" s="332"/>
      <c r="UOM510" s="332"/>
      <c r="UON510" s="332"/>
      <c r="UOO510" s="332"/>
      <c r="UOP510" s="332"/>
      <c r="UOQ510" s="332"/>
      <c r="UOR510" s="332"/>
      <c r="UOS510" s="332"/>
      <c r="UOT510" s="332"/>
      <c r="UOU510" s="332"/>
      <c r="UOV510" s="332"/>
      <c r="UOW510" s="332"/>
      <c r="UOX510" s="332"/>
      <c r="UOY510" s="332"/>
      <c r="UOZ510" s="332"/>
      <c r="UPA510" s="332"/>
      <c r="UPB510" s="332"/>
      <c r="UPC510" s="332"/>
      <c r="UPD510" s="332"/>
      <c r="UPE510" s="332"/>
      <c r="UPF510" s="332"/>
      <c r="UPG510" s="332"/>
      <c r="UPH510" s="332"/>
      <c r="UPI510" s="332"/>
      <c r="UPJ510" s="332"/>
      <c r="UPK510" s="332"/>
      <c r="UPL510" s="332"/>
      <c r="UPM510" s="332"/>
      <c r="UPN510" s="332"/>
      <c r="UPO510" s="332"/>
      <c r="UPP510" s="332"/>
      <c r="UPQ510" s="332"/>
      <c r="UPR510" s="332"/>
      <c r="UPS510" s="332"/>
      <c r="UPT510" s="332"/>
      <c r="UPU510" s="332"/>
      <c r="UPV510" s="332"/>
      <c r="UPW510" s="332"/>
      <c r="UPX510" s="332"/>
      <c r="UPY510" s="332"/>
      <c r="UPZ510" s="332"/>
      <c r="UQA510" s="332"/>
      <c r="UQB510" s="332"/>
      <c r="UQC510" s="332"/>
      <c r="UQD510" s="332"/>
      <c r="UQE510" s="332"/>
      <c r="UQF510" s="332"/>
      <c r="UQG510" s="332"/>
      <c r="UQH510" s="332"/>
      <c r="UQI510" s="332"/>
      <c r="UQJ510" s="332"/>
      <c r="UQK510" s="332"/>
      <c r="UQL510" s="332"/>
      <c r="UQM510" s="332"/>
      <c r="UQN510" s="332"/>
      <c r="UQO510" s="332"/>
      <c r="UQP510" s="332"/>
      <c r="UQQ510" s="332"/>
      <c r="UQR510" s="332"/>
      <c r="UQS510" s="332"/>
      <c r="UQT510" s="332"/>
      <c r="UQU510" s="332"/>
      <c r="UQV510" s="332"/>
      <c r="UQW510" s="332"/>
      <c r="UQX510" s="332"/>
      <c r="UQY510" s="332"/>
      <c r="UQZ510" s="332"/>
      <c r="URA510" s="332"/>
      <c r="URB510" s="332"/>
      <c r="URC510" s="332"/>
      <c r="URD510" s="332"/>
      <c r="URE510" s="332"/>
      <c r="URF510" s="332"/>
      <c r="URG510" s="332"/>
      <c r="URH510" s="332"/>
      <c r="URI510" s="332"/>
      <c r="URJ510" s="332"/>
      <c r="URK510" s="332"/>
      <c r="URL510" s="332"/>
      <c r="URM510" s="332"/>
      <c r="URN510" s="332"/>
      <c r="URO510" s="332"/>
      <c r="URP510" s="332"/>
      <c r="URQ510" s="332"/>
      <c r="URR510" s="332"/>
      <c r="URS510" s="332"/>
      <c r="URT510" s="332"/>
      <c r="URU510" s="332"/>
      <c r="URV510" s="332"/>
      <c r="URW510" s="332"/>
      <c r="URX510" s="332"/>
      <c r="URY510" s="332"/>
      <c r="URZ510" s="332"/>
      <c r="USA510" s="332"/>
      <c r="USB510" s="332"/>
      <c r="USC510" s="332"/>
      <c r="USD510" s="332"/>
      <c r="USE510" s="332"/>
      <c r="USF510" s="332"/>
      <c r="USG510" s="332"/>
      <c r="USH510" s="332"/>
      <c r="USI510" s="332"/>
      <c r="USJ510" s="332"/>
      <c r="USK510" s="332"/>
      <c r="USL510" s="332"/>
      <c r="USM510" s="332"/>
      <c r="USN510" s="332"/>
      <c r="USO510" s="332"/>
      <c r="USP510" s="332"/>
      <c r="USQ510" s="332"/>
      <c r="USR510" s="332"/>
      <c r="USS510" s="332"/>
      <c r="UST510" s="332"/>
      <c r="USU510" s="332"/>
      <c r="USV510" s="332"/>
      <c r="USW510" s="332"/>
      <c r="USX510" s="332"/>
      <c r="USY510" s="332"/>
      <c r="USZ510" s="332"/>
      <c r="UTA510" s="332"/>
      <c r="UTB510" s="332"/>
      <c r="UTC510" s="332"/>
      <c r="UTD510" s="332"/>
      <c r="UTE510" s="332"/>
      <c r="UTF510" s="332"/>
      <c r="UTG510" s="332"/>
      <c r="UTH510" s="332"/>
      <c r="UTI510" s="332"/>
      <c r="UTJ510" s="332"/>
      <c r="UTK510" s="332"/>
      <c r="UTL510" s="332"/>
      <c r="UTM510" s="332"/>
      <c r="UTN510" s="332"/>
      <c r="UTO510" s="332"/>
      <c r="UTP510" s="332"/>
      <c r="UTQ510" s="332"/>
      <c r="UTR510" s="332"/>
      <c r="UTS510" s="332"/>
      <c r="UTT510" s="332"/>
      <c r="UTU510" s="332"/>
      <c r="UTV510" s="332"/>
      <c r="UTW510" s="332"/>
      <c r="UTX510" s="332"/>
      <c r="UTY510" s="332"/>
      <c r="UTZ510" s="332"/>
      <c r="UUA510" s="332"/>
      <c r="UUB510" s="332"/>
      <c r="UUC510" s="332"/>
      <c r="UUD510" s="332"/>
      <c r="UUE510" s="332"/>
      <c r="UUF510" s="332"/>
      <c r="UUG510" s="332"/>
      <c r="UUH510" s="332"/>
      <c r="UUI510" s="332"/>
      <c r="UUJ510" s="332"/>
      <c r="UUK510" s="332"/>
      <c r="UUL510" s="332"/>
      <c r="UUM510" s="332"/>
      <c r="UUN510" s="332"/>
      <c r="UUO510" s="332"/>
      <c r="UUP510" s="332"/>
      <c r="UUQ510" s="332"/>
      <c r="UUR510" s="332"/>
      <c r="UUS510" s="332"/>
      <c r="UUT510" s="332"/>
      <c r="UUU510" s="332"/>
      <c r="UUV510" s="332"/>
      <c r="UUW510" s="332"/>
      <c r="UUX510" s="332"/>
      <c r="UUY510" s="332"/>
      <c r="UUZ510" s="332"/>
      <c r="UVA510" s="332"/>
      <c r="UVB510" s="332"/>
      <c r="UVC510" s="332"/>
      <c r="UVD510" s="332"/>
      <c r="UVE510" s="332"/>
      <c r="UVF510" s="332"/>
      <c r="UVG510" s="332"/>
      <c r="UVH510" s="332"/>
      <c r="UVI510" s="332"/>
      <c r="UVJ510" s="332"/>
      <c r="UVK510" s="332"/>
      <c r="UVL510" s="332"/>
      <c r="UVM510" s="332"/>
      <c r="UVN510" s="332"/>
      <c r="UVO510" s="332"/>
      <c r="UVP510" s="332"/>
      <c r="UVQ510" s="332"/>
      <c r="UVR510" s="332"/>
      <c r="UVS510" s="332"/>
      <c r="UVT510" s="332"/>
      <c r="UVU510" s="332"/>
      <c r="UVV510" s="332"/>
      <c r="UVW510" s="332"/>
      <c r="UVX510" s="332"/>
      <c r="UVY510" s="332"/>
      <c r="UVZ510" s="332"/>
      <c r="UWA510" s="332"/>
      <c r="UWB510" s="332"/>
      <c r="UWC510" s="332"/>
      <c r="UWD510" s="332"/>
      <c r="UWE510" s="332"/>
      <c r="UWF510" s="332"/>
      <c r="UWG510" s="332"/>
      <c r="UWH510" s="332"/>
      <c r="UWI510" s="332"/>
      <c r="UWJ510" s="332"/>
      <c r="UWK510" s="332"/>
      <c r="UWL510" s="332"/>
      <c r="UWM510" s="332"/>
      <c r="UWN510" s="332"/>
      <c r="UWO510" s="332"/>
      <c r="UWP510" s="332"/>
      <c r="UWQ510" s="332"/>
      <c r="UWR510" s="332"/>
      <c r="UWS510" s="332"/>
      <c r="UWT510" s="332"/>
      <c r="UWU510" s="332"/>
      <c r="UWV510" s="332"/>
      <c r="UWW510" s="332"/>
      <c r="UWX510" s="332"/>
      <c r="UWY510" s="332"/>
      <c r="UWZ510" s="332"/>
      <c r="UXA510" s="332"/>
      <c r="UXB510" s="332"/>
      <c r="UXC510" s="332"/>
      <c r="UXD510" s="332"/>
      <c r="UXE510" s="332"/>
      <c r="UXF510" s="332"/>
      <c r="UXG510" s="332"/>
      <c r="UXH510" s="332"/>
      <c r="UXI510" s="332"/>
      <c r="UXJ510" s="332"/>
      <c r="UXK510" s="332"/>
      <c r="UXL510" s="332"/>
      <c r="UXM510" s="332"/>
      <c r="UXN510" s="332"/>
      <c r="UXO510" s="332"/>
      <c r="UXP510" s="332"/>
      <c r="UXQ510" s="332"/>
      <c r="UXR510" s="332"/>
      <c r="UXS510" s="332"/>
      <c r="UXT510" s="332"/>
      <c r="UXU510" s="332"/>
      <c r="UXV510" s="332"/>
      <c r="UXW510" s="332"/>
      <c r="UXX510" s="332"/>
      <c r="UXY510" s="332"/>
      <c r="UXZ510" s="332"/>
      <c r="UYA510" s="332"/>
      <c r="UYB510" s="332"/>
      <c r="UYC510" s="332"/>
      <c r="UYD510" s="332"/>
      <c r="UYE510" s="332"/>
      <c r="UYF510" s="332"/>
      <c r="UYG510" s="332"/>
      <c r="UYH510" s="332"/>
      <c r="UYI510" s="332"/>
      <c r="UYJ510" s="332"/>
      <c r="UYK510" s="332"/>
      <c r="UYL510" s="332"/>
      <c r="UYM510" s="332"/>
      <c r="UYN510" s="332"/>
      <c r="UYO510" s="332"/>
      <c r="UYP510" s="332"/>
      <c r="UYQ510" s="332"/>
      <c r="UYR510" s="332"/>
      <c r="UYS510" s="332"/>
      <c r="UYT510" s="332"/>
      <c r="UYU510" s="332"/>
      <c r="UYV510" s="332"/>
      <c r="UYW510" s="332"/>
      <c r="UYX510" s="332"/>
      <c r="UYY510" s="332"/>
      <c r="UYZ510" s="332"/>
      <c r="UZA510" s="332"/>
      <c r="UZB510" s="332"/>
      <c r="UZC510" s="332"/>
      <c r="UZD510" s="332"/>
      <c r="UZE510" s="332"/>
      <c r="UZF510" s="332"/>
      <c r="UZG510" s="332"/>
      <c r="UZH510" s="332"/>
      <c r="UZI510" s="332"/>
      <c r="UZJ510" s="332"/>
      <c r="UZK510" s="332"/>
      <c r="UZL510" s="332"/>
      <c r="UZM510" s="332"/>
      <c r="UZN510" s="332"/>
      <c r="UZO510" s="332"/>
      <c r="UZP510" s="332"/>
      <c r="UZQ510" s="332"/>
      <c r="UZR510" s="332"/>
      <c r="UZS510" s="332"/>
      <c r="UZT510" s="332"/>
      <c r="UZU510" s="332"/>
      <c r="UZV510" s="332"/>
      <c r="UZW510" s="332"/>
      <c r="UZX510" s="332"/>
      <c r="UZY510" s="332"/>
      <c r="UZZ510" s="332"/>
      <c r="VAA510" s="332"/>
      <c r="VAB510" s="332"/>
      <c r="VAC510" s="332"/>
      <c r="VAD510" s="332"/>
      <c r="VAE510" s="332"/>
      <c r="VAF510" s="332"/>
      <c r="VAG510" s="332"/>
      <c r="VAH510" s="332"/>
      <c r="VAI510" s="332"/>
      <c r="VAJ510" s="332"/>
      <c r="VAK510" s="332"/>
      <c r="VAL510" s="332"/>
      <c r="VAM510" s="332"/>
      <c r="VAN510" s="332"/>
      <c r="VAO510" s="332"/>
      <c r="VAP510" s="332"/>
      <c r="VAQ510" s="332"/>
      <c r="VAR510" s="332"/>
      <c r="VAS510" s="332"/>
      <c r="VAT510" s="332"/>
      <c r="VAU510" s="332"/>
      <c r="VAV510" s="332"/>
      <c r="VAW510" s="332"/>
      <c r="VAX510" s="332"/>
      <c r="VAY510" s="332"/>
      <c r="VAZ510" s="332"/>
      <c r="VBA510" s="332"/>
      <c r="VBB510" s="332"/>
      <c r="VBC510" s="332"/>
      <c r="VBD510" s="332"/>
      <c r="VBE510" s="332"/>
      <c r="VBF510" s="332"/>
      <c r="VBG510" s="332"/>
      <c r="VBH510" s="332"/>
      <c r="VBI510" s="332"/>
      <c r="VBJ510" s="332"/>
      <c r="VBK510" s="332"/>
      <c r="VBL510" s="332"/>
      <c r="VBM510" s="332"/>
      <c r="VBN510" s="332"/>
      <c r="VBO510" s="332"/>
      <c r="VBP510" s="332"/>
      <c r="VBQ510" s="332"/>
      <c r="VBR510" s="332"/>
      <c r="VBS510" s="332"/>
      <c r="VBT510" s="332"/>
      <c r="VBU510" s="332"/>
      <c r="VBV510" s="332"/>
      <c r="VBW510" s="332"/>
      <c r="VBX510" s="332"/>
      <c r="VBY510" s="332"/>
      <c r="VBZ510" s="332"/>
      <c r="VCA510" s="332"/>
      <c r="VCB510" s="332"/>
      <c r="VCC510" s="332"/>
      <c r="VCD510" s="332"/>
      <c r="VCE510" s="332"/>
      <c r="VCF510" s="332"/>
      <c r="VCG510" s="332"/>
      <c r="VCH510" s="332"/>
      <c r="VCI510" s="332"/>
      <c r="VCJ510" s="332"/>
      <c r="VCK510" s="332"/>
      <c r="VCL510" s="332"/>
      <c r="VCM510" s="332"/>
      <c r="VCN510" s="332"/>
      <c r="VCO510" s="332"/>
      <c r="VCP510" s="332"/>
      <c r="VCQ510" s="332"/>
      <c r="VCR510" s="332"/>
      <c r="VCS510" s="332"/>
      <c r="VCT510" s="332"/>
      <c r="VCU510" s="332"/>
      <c r="VCV510" s="332"/>
      <c r="VCW510" s="332"/>
      <c r="VCX510" s="332"/>
      <c r="VCY510" s="332"/>
      <c r="VCZ510" s="332"/>
      <c r="VDA510" s="332"/>
      <c r="VDB510" s="332"/>
      <c r="VDC510" s="332"/>
      <c r="VDD510" s="332"/>
      <c r="VDE510" s="332"/>
      <c r="VDF510" s="332"/>
      <c r="VDG510" s="332"/>
      <c r="VDH510" s="332"/>
      <c r="VDI510" s="332"/>
      <c r="VDJ510" s="332"/>
      <c r="VDK510" s="332"/>
      <c r="VDL510" s="332"/>
      <c r="VDM510" s="332"/>
      <c r="VDN510" s="332"/>
      <c r="VDO510" s="332"/>
      <c r="VDP510" s="332"/>
      <c r="VDQ510" s="332"/>
      <c r="VDR510" s="332"/>
      <c r="VDS510" s="332"/>
      <c r="VDT510" s="332"/>
      <c r="VDU510" s="332"/>
      <c r="VDV510" s="332"/>
      <c r="VDW510" s="332"/>
      <c r="VDX510" s="332"/>
      <c r="VDY510" s="332"/>
      <c r="VDZ510" s="332"/>
      <c r="VEA510" s="332"/>
      <c r="VEB510" s="332"/>
      <c r="VEC510" s="332"/>
      <c r="VED510" s="332"/>
      <c r="VEE510" s="332"/>
      <c r="VEF510" s="332"/>
      <c r="VEG510" s="332"/>
      <c r="VEH510" s="332"/>
      <c r="VEI510" s="332"/>
      <c r="VEJ510" s="332"/>
      <c r="VEK510" s="332"/>
      <c r="VEL510" s="332"/>
      <c r="VEM510" s="332"/>
      <c r="VEN510" s="332"/>
      <c r="VEO510" s="332"/>
      <c r="VEP510" s="332"/>
      <c r="VEQ510" s="332"/>
      <c r="VER510" s="332"/>
      <c r="VES510" s="332"/>
      <c r="VET510" s="332"/>
      <c r="VEU510" s="332"/>
      <c r="VEV510" s="332"/>
      <c r="VEW510" s="332"/>
      <c r="VEX510" s="332"/>
      <c r="VEY510" s="332"/>
      <c r="VEZ510" s="332"/>
      <c r="VFA510" s="332"/>
      <c r="VFB510" s="332"/>
      <c r="VFC510" s="332"/>
      <c r="VFD510" s="332"/>
      <c r="VFE510" s="332"/>
      <c r="VFF510" s="332"/>
      <c r="VFG510" s="332"/>
      <c r="VFH510" s="332"/>
      <c r="VFI510" s="332"/>
      <c r="VFJ510" s="332"/>
      <c r="VFK510" s="332"/>
      <c r="VFL510" s="332"/>
      <c r="VFM510" s="332"/>
      <c r="VFN510" s="332"/>
      <c r="VFO510" s="332"/>
      <c r="VFP510" s="332"/>
      <c r="VFQ510" s="332"/>
      <c r="VFR510" s="332"/>
      <c r="VFS510" s="332"/>
      <c r="VFT510" s="332"/>
      <c r="VFU510" s="332"/>
      <c r="VFV510" s="332"/>
      <c r="VFW510" s="332"/>
      <c r="VFX510" s="332"/>
      <c r="VFY510" s="332"/>
      <c r="VFZ510" s="332"/>
      <c r="VGA510" s="332"/>
      <c r="VGB510" s="332"/>
      <c r="VGC510" s="332"/>
      <c r="VGD510" s="332"/>
      <c r="VGE510" s="332"/>
      <c r="VGF510" s="332"/>
      <c r="VGG510" s="332"/>
      <c r="VGH510" s="332"/>
      <c r="VGI510" s="332"/>
      <c r="VGJ510" s="332"/>
      <c r="VGK510" s="332"/>
      <c r="VGL510" s="332"/>
      <c r="VGM510" s="332"/>
      <c r="VGN510" s="332"/>
      <c r="VGO510" s="332"/>
      <c r="VGP510" s="332"/>
      <c r="VGQ510" s="332"/>
      <c r="VGR510" s="332"/>
      <c r="VGS510" s="332"/>
      <c r="VGT510" s="332"/>
      <c r="VGU510" s="332"/>
      <c r="VGV510" s="332"/>
      <c r="VGW510" s="332"/>
      <c r="VGX510" s="332"/>
      <c r="VGY510" s="332"/>
      <c r="VGZ510" s="332"/>
      <c r="VHA510" s="332"/>
      <c r="VHB510" s="332"/>
      <c r="VHC510" s="332"/>
      <c r="VHD510" s="332"/>
      <c r="VHE510" s="332"/>
      <c r="VHF510" s="332"/>
      <c r="VHG510" s="332"/>
      <c r="VHH510" s="332"/>
      <c r="VHI510" s="332"/>
      <c r="VHJ510" s="332"/>
      <c r="VHK510" s="332"/>
      <c r="VHL510" s="332"/>
      <c r="VHM510" s="332"/>
      <c r="VHN510" s="332"/>
      <c r="VHO510" s="332"/>
      <c r="VHP510" s="332"/>
      <c r="VHQ510" s="332"/>
      <c r="VHR510" s="332"/>
      <c r="VHS510" s="332"/>
      <c r="VHT510" s="332"/>
      <c r="VHU510" s="332"/>
      <c r="VHV510" s="332"/>
      <c r="VHW510" s="332"/>
      <c r="VHX510" s="332"/>
      <c r="VHY510" s="332"/>
      <c r="VHZ510" s="332"/>
      <c r="VIA510" s="332"/>
      <c r="VIB510" s="332"/>
      <c r="VIC510" s="332"/>
      <c r="VID510" s="332"/>
      <c r="VIE510" s="332"/>
      <c r="VIF510" s="332"/>
      <c r="VIG510" s="332"/>
      <c r="VIH510" s="332"/>
      <c r="VII510" s="332"/>
      <c r="VIJ510" s="332"/>
      <c r="VIK510" s="332"/>
      <c r="VIL510" s="332"/>
      <c r="VIM510" s="332"/>
      <c r="VIN510" s="332"/>
      <c r="VIO510" s="332"/>
      <c r="VIP510" s="332"/>
      <c r="VIQ510" s="332"/>
      <c r="VIR510" s="332"/>
      <c r="VIS510" s="332"/>
      <c r="VIT510" s="332"/>
      <c r="VIU510" s="332"/>
      <c r="VIV510" s="332"/>
      <c r="VIW510" s="332"/>
      <c r="VIX510" s="332"/>
      <c r="VIY510" s="332"/>
      <c r="VIZ510" s="332"/>
      <c r="VJA510" s="332"/>
      <c r="VJB510" s="332"/>
      <c r="VJC510" s="332"/>
      <c r="VJD510" s="332"/>
      <c r="VJE510" s="332"/>
      <c r="VJF510" s="332"/>
      <c r="VJG510" s="332"/>
      <c r="VJH510" s="332"/>
      <c r="VJI510" s="332"/>
      <c r="VJJ510" s="332"/>
      <c r="VJK510" s="332"/>
      <c r="VJL510" s="332"/>
      <c r="VJM510" s="332"/>
      <c r="VJN510" s="332"/>
      <c r="VJO510" s="332"/>
      <c r="VJP510" s="332"/>
      <c r="VJQ510" s="332"/>
      <c r="VJR510" s="332"/>
      <c r="VJS510" s="332"/>
      <c r="VJT510" s="332"/>
      <c r="VJU510" s="332"/>
      <c r="VJV510" s="332"/>
      <c r="VJW510" s="332"/>
      <c r="VJX510" s="332"/>
      <c r="VJY510" s="332"/>
      <c r="VJZ510" s="332"/>
      <c r="VKA510" s="332"/>
      <c r="VKB510" s="332"/>
      <c r="VKC510" s="332"/>
      <c r="VKD510" s="332"/>
      <c r="VKE510" s="332"/>
      <c r="VKF510" s="332"/>
      <c r="VKG510" s="332"/>
      <c r="VKH510" s="332"/>
      <c r="VKI510" s="332"/>
      <c r="VKJ510" s="332"/>
      <c r="VKK510" s="332"/>
      <c r="VKL510" s="332"/>
      <c r="VKM510" s="332"/>
      <c r="VKN510" s="332"/>
      <c r="VKO510" s="332"/>
      <c r="VKP510" s="332"/>
      <c r="VKQ510" s="332"/>
      <c r="VKR510" s="332"/>
      <c r="VKS510" s="332"/>
      <c r="VKT510" s="332"/>
      <c r="VKU510" s="332"/>
      <c r="VKV510" s="332"/>
      <c r="VKW510" s="332"/>
      <c r="VKX510" s="332"/>
      <c r="VKY510" s="332"/>
      <c r="VKZ510" s="332"/>
      <c r="VLA510" s="332"/>
      <c r="VLB510" s="332"/>
      <c r="VLC510" s="332"/>
      <c r="VLD510" s="332"/>
      <c r="VLE510" s="332"/>
      <c r="VLF510" s="332"/>
      <c r="VLG510" s="332"/>
      <c r="VLH510" s="332"/>
      <c r="VLI510" s="332"/>
      <c r="VLJ510" s="332"/>
      <c r="VLK510" s="332"/>
      <c r="VLL510" s="332"/>
      <c r="VLM510" s="332"/>
      <c r="VLN510" s="332"/>
      <c r="VLO510" s="332"/>
      <c r="VLP510" s="332"/>
      <c r="VLQ510" s="332"/>
      <c r="VLR510" s="332"/>
      <c r="VLS510" s="332"/>
      <c r="VLT510" s="332"/>
      <c r="VLU510" s="332"/>
      <c r="VLV510" s="332"/>
      <c r="VLW510" s="332"/>
      <c r="VLX510" s="332"/>
      <c r="VLY510" s="332"/>
      <c r="VLZ510" s="332"/>
      <c r="VMA510" s="332"/>
      <c r="VMB510" s="332"/>
      <c r="VMC510" s="332"/>
      <c r="VMD510" s="332"/>
      <c r="VME510" s="332"/>
      <c r="VMF510" s="332"/>
      <c r="VMG510" s="332"/>
      <c r="VMH510" s="332"/>
      <c r="VMI510" s="332"/>
      <c r="VMJ510" s="332"/>
      <c r="VMK510" s="332"/>
      <c r="VML510" s="332"/>
      <c r="VMM510" s="332"/>
      <c r="VMN510" s="332"/>
      <c r="VMO510" s="332"/>
      <c r="VMP510" s="332"/>
      <c r="VMQ510" s="332"/>
      <c r="VMR510" s="332"/>
      <c r="VMS510" s="332"/>
      <c r="VMT510" s="332"/>
      <c r="VMU510" s="332"/>
      <c r="VMV510" s="332"/>
      <c r="VMW510" s="332"/>
      <c r="VMX510" s="332"/>
      <c r="VMY510" s="332"/>
      <c r="VMZ510" s="332"/>
      <c r="VNA510" s="332"/>
      <c r="VNB510" s="332"/>
      <c r="VNC510" s="332"/>
      <c r="VND510" s="332"/>
      <c r="VNE510" s="332"/>
      <c r="VNF510" s="332"/>
      <c r="VNG510" s="332"/>
      <c r="VNH510" s="332"/>
      <c r="VNI510" s="332"/>
      <c r="VNJ510" s="332"/>
      <c r="VNK510" s="332"/>
      <c r="VNL510" s="332"/>
      <c r="VNM510" s="332"/>
      <c r="VNN510" s="332"/>
      <c r="VNO510" s="332"/>
      <c r="VNP510" s="332"/>
      <c r="VNQ510" s="332"/>
      <c r="VNR510" s="332"/>
      <c r="VNS510" s="332"/>
      <c r="VNT510" s="332"/>
      <c r="VNU510" s="332"/>
      <c r="VNV510" s="332"/>
      <c r="VNW510" s="332"/>
      <c r="VNX510" s="332"/>
      <c r="VNY510" s="332"/>
      <c r="VNZ510" s="332"/>
      <c r="VOA510" s="332"/>
      <c r="VOB510" s="332"/>
      <c r="VOC510" s="332"/>
      <c r="VOD510" s="332"/>
      <c r="VOE510" s="332"/>
      <c r="VOF510" s="332"/>
      <c r="VOG510" s="332"/>
      <c r="VOH510" s="332"/>
      <c r="VOI510" s="332"/>
      <c r="VOJ510" s="332"/>
      <c r="VOK510" s="332"/>
      <c r="VOL510" s="332"/>
      <c r="VOM510" s="332"/>
      <c r="VON510" s="332"/>
      <c r="VOO510" s="332"/>
      <c r="VOP510" s="332"/>
      <c r="VOQ510" s="332"/>
      <c r="VOR510" s="332"/>
      <c r="VOS510" s="332"/>
      <c r="VOT510" s="332"/>
      <c r="VOU510" s="332"/>
      <c r="VOV510" s="332"/>
      <c r="VOW510" s="332"/>
      <c r="VOX510" s="332"/>
      <c r="VOY510" s="332"/>
      <c r="VOZ510" s="332"/>
      <c r="VPA510" s="332"/>
      <c r="VPB510" s="332"/>
      <c r="VPC510" s="332"/>
      <c r="VPD510" s="332"/>
      <c r="VPE510" s="332"/>
      <c r="VPF510" s="332"/>
      <c r="VPG510" s="332"/>
      <c r="VPH510" s="332"/>
      <c r="VPI510" s="332"/>
      <c r="VPJ510" s="332"/>
      <c r="VPK510" s="332"/>
      <c r="VPL510" s="332"/>
      <c r="VPM510" s="332"/>
      <c r="VPN510" s="332"/>
      <c r="VPO510" s="332"/>
      <c r="VPP510" s="332"/>
      <c r="VPQ510" s="332"/>
      <c r="VPR510" s="332"/>
      <c r="VPS510" s="332"/>
      <c r="VPT510" s="332"/>
      <c r="VPU510" s="332"/>
      <c r="VPV510" s="332"/>
      <c r="VPW510" s="332"/>
      <c r="VPX510" s="332"/>
      <c r="VPY510" s="332"/>
      <c r="VPZ510" s="332"/>
      <c r="VQA510" s="332"/>
      <c r="VQB510" s="332"/>
      <c r="VQC510" s="332"/>
      <c r="VQD510" s="332"/>
      <c r="VQE510" s="332"/>
      <c r="VQF510" s="332"/>
      <c r="VQG510" s="332"/>
      <c r="VQH510" s="332"/>
      <c r="VQI510" s="332"/>
      <c r="VQJ510" s="332"/>
      <c r="VQK510" s="332"/>
      <c r="VQL510" s="332"/>
      <c r="VQM510" s="332"/>
      <c r="VQN510" s="332"/>
      <c r="VQO510" s="332"/>
      <c r="VQP510" s="332"/>
      <c r="VQQ510" s="332"/>
      <c r="VQR510" s="332"/>
      <c r="VQS510" s="332"/>
      <c r="VQT510" s="332"/>
      <c r="VQU510" s="332"/>
      <c r="VQV510" s="332"/>
      <c r="VQW510" s="332"/>
      <c r="VQX510" s="332"/>
      <c r="VQY510" s="332"/>
      <c r="VQZ510" s="332"/>
      <c r="VRA510" s="332"/>
      <c r="VRB510" s="332"/>
      <c r="VRC510" s="332"/>
      <c r="VRD510" s="332"/>
      <c r="VRE510" s="332"/>
      <c r="VRF510" s="332"/>
      <c r="VRG510" s="332"/>
      <c r="VRH510" s="332"/>
      <c r="VRI510" s="332"/>
      <c r="VRJ510" s="332"/>
      <c r="VRK510" s="332"/>
      <c r="VRL510" s="332"/>
      <c r="VRM510" s="332"/>
      <c r="VRN510" s="332"/>
      <c r="VRO510" s="332"/>
      <c r="VRP510" s="332"/>
      <c r="VRQ510" s="332"/>
      <c r="VRR510" s="332"/>
      <c r="VRS510" s="332"/>
      <c r="VRT510" s="332"/>
      <c r="VRU510" s="332"/>
      <c r="VRV510" s="332"/>
      <c r="VRW510" s="332"/>
      <c r="VRX510" s="332"/>
      <c r="VRY510" s="332"/>
      <c r="VRZ510" s="332"/>
      <c r="VSA510" s="332"/>
      <c r="VSB510" s="332"/>
      <c r="VSC510" s="332"/>
      <c r="VSD510" s="332"/>
      <c r="VSE510" s="332"/>
      <c r="VSF510" s="332"/>
      <c r="VSG510" s="332"/>
      <c r="VSH510" s="332"/>
      <c r="VSI510" s="332"/>
      <c r="VSJ510" s="332"/>
      <c r="VSK510" s="332"/>
      <c r="VSL510" s="332"/>
      <c r="VSM510" s="332"/>
      <c r="VSN510" s="332"/>
      <c r="VSO510" s="332"/>
      <c r="VSP510" s="332"/>
      <c r="VSQ510" s="332"/>
      <c r="VSR510" s="332"/>
      <c r="VSS510" s="332"/>
      <c r="VST510" s="332"/>
      <c r="VSU510" s="332"/>
      <c r="VSV510" s="332"/>
      <c r="VSW510" s="332"/>
      <c r="VSX510" s="332"/>
      <c r="VSY510" s="332"/>
      <c r="VSZ510" s="332"/>
      <c r="VTA510" s="332"/>
      <c r="VTB510" s="332"/>
      <c r="VTC510" s="332"/>
      <c r="VTD510" s="332"/>
      <c r="VTE510" s="332"/>
      <c r="VTF510" s="332"/>
      <c r="VTG510" s="332"/>
      <c r="VTH510" s="332"/>
      <c r="VTI510" s="332"/>
      <c r="VTJ510" s="332"/>
      <c r="VTK510" s="332"/>
      <c r="VTL510" s="332"/>
      <c r="VTM510" s="332"/>
      <c r="VTN510" s="332"/>
      <c r="VTO510" s="332"/>
      <c r="VTP510" s="332"/>
      <c r="VTQ510" s="332"/>
      <c r="VTR510" s="332"/>
      <c r="VTS510" s="332"/>
      <c r="VTT510" s="332"/>
      <c r="VTU510" s="332"/>
      <c r="VTV510" s="332"/>
      <c r="VTW510" s="332"/>
      <c r="VTX510" s="332"/>
      <c r="VTY510" s="332"/>
      <c r="VTZ510" s="332"/>
      <c r="VUA510" s="332"/>
      <c r="VUB510" s="332"/>
      <c r="VUC510" s="332"/>
      <c r="VUD510" s="332"/>
      <c r="VUE510" s="332"/>
      <c r="VUF510" s="332"/>
      <c r="VUG510" s="332"/>
      <c r="VUH510" s="332"/>
      <c r="VUI510" s="332"/>
      <c r="VUJ510" s="332"/>
      <c r="VUK510" s="332"/>
      <c r="VUL510" s="332"/>
      <c r="VUM510" s="332"/>
      <c r="VUN510" s="332"/>
      <c r="VUO510" s="332"/>
      <c r="VUP510" s="332"/>
      <c r="VUQ510" s="332"/>
      <c r="VUR510" s="332"/>
      <c r="VUS510" s="332"/>
      <c r="VUT510" s="332"/>
      <c r="VUU510" s="332"/>
      <c r="VUV510" s="332"/>
      <c r="VUW510" s="332"/>
      <c r="VUX510" s="332"/>
      <c r="VUY510" s="332"/>
      <c r="VUZ510" s="332"/>
      <c r="VVA510" s="332"/>
      <c r="VVB510" s="332"/>
      <c r="VVC510" s="332"/>
      <c r="VVD510" s="332"/>
      <c r="VVE510" s="332"/>
      <c r="VVF510" s="332"/>
      <c r="VVG510" s="332"/>
      <c r="VVH510" s="332"/>
      <c r="VVI510" s="332"/>
      <c r="VVJ510" s="332"/>
      <c r="VVK510" s="332"/>
      <c r="VVL510" s="332"/>
      <c r="VVM510" s="332"/>
      <c r="VVN510" s="332"/>
      <c r="VVO510" s="332"/>
      <c r="VVP510" s="332"/>
      <c r="VVQ510" s="332"/>
      <c r="VVR510" s="332"/>
      <c r="VVS510" s="332"/>
      <c r="VVT510" s="332"/>
      <c r="VVU510" s="332"/>
      <c r="VVV510" s="332"/>
      <c r="VVW510" s="332"/>
      <c r="VVX510" s="332"/>
      <c r="VVY510" s="332"/>
      <c r="VVZ510" s="332"/>
      <c r="VWA510" s="332"/>
      <c r="VWB510" s="332"/>
      <c r="VWC510" s="332"/>
      <c r="VWD510" s="332"/>
      <c r="VWE510" s="332"/>
      <c r="VWF510" s="332"/>
      <c r="VWG510" s="332"/>
      <c r="VWH510" s="332"/>
      <c r="VWI510" s="332"/>
      <c r="VWJ510" s="332"/>
      <c r="VWK510" s="332"/>
      <c r="VWL510" s="332"/>
      <c r="VWM510" s="332"/>
      <c r="VWN510" s="332"/>
      <c r="VWO510" s="332"/>
      <c r="VWP510" s="332"/>
      <c r="VWQ510" s="332"/>
      <c r="VWR510" s="332"/>
      <c r="VWS510" s="332"/>
      <c r="VWT510" s="332"/>
      <c r="VWU510" s="332"/>
      <c r="VWV510" s="332"/>
      <c r="VWW510" s="332"/>
      <c r="VWX510" s="332"/>
      <c r="VWY510" s="332"/>
      <c r="VWZ510" s="332"/>
      <c r="VXA510" s="332"/>
      <c r="VXB510" s="332"/>
      <c r="VXC510" s="332"/>
      <c r="VXD510" s="332"/>
      <c r="VXE510" s="332"/>
      <c r="VXF510" s="332"/>
      <c r="VXG510" s="332"/>
      <c r="VXH510" s="332"/>
      <c r="VXI510" s="332"/>
      <c r="VXJ510" s="332"/>
      <c r="VXK510" s="332"/>
      <c r="VXL510" s="332"/>
      <c r="VXM510" s="332"/>
      <c r="VXN510" s="332"/>
      <c r="VXO510" s="332"/>
      <c r="VXP510" s="332"/>
      <c r="VXQ510" s="332"/>
      <c r="VXR510" s="332"/>
      <c r="VXS510" s="332"/>
      <c r="VXT510" s="332"/>
      <c r="VXU510" s="332"/>
      <c r="VXV510" s="332"/>
      <c r="VXW510" s="332"/>
      <c r="VXX510" s="332"/>
      <c r="VXY510" s="332"/>
      <c r="VXZ510" s="332"/>
      <c r="VYA510" s="332"/>
      <c r="VYB510" s="332"/>
      <c r="VYC510" s="332"/>
      <c r="VYD510" s="332"/>
      <c r="VYE510" s="332"/>
      <c r="VYF510" s="332"/>
      <c r="VYG510" s="332"/>
      <c r="VYH510" s="332"/>
      <c r="VYI510" s="332"/>
      <c r="VYJ510" s="332"/>
      <c r="VYK510" s="332"/>
      <c r="VYL510" s="332"/>
      <c r="VYM510" s="332"/>
      <c r="VYN510" s="332"/>
      <c r="VYO510" s="332"/>
      <c r="VYP510" s="332"/>
      <c r="VYQ510" s="332"/>
      <c r="VYR510" s="332"/>
      <c r="VYS510" s="332"/>
      <c r="VYT510" s="332"/>
      <c r="VYU510" s="332"/>
      <c r="VYV510" s="332"/>
      <c r="VYW510" s="332"/>
      <c r="VYX510" s="332"/>
      <c r="VYY510" s="332"/>
      <c r="VYZ510" s="332"/>
      <c r="VZA510" s="332"/>
      <c r="VZB510" s="332"/>
      <c r="VZC510" s="332"/>
      <c r="VZD510" s="332"/>
      <c r="VZE510" s="332"/>
      <c r="VZF510" s="332"/>
      <c r="VZG510" s="332"/>
      <c r="VZH510" s="332"/>
      <c r="VZI510" s="332"/>
      <c r="VZJ510" s="332"/>
      <c r="VZK510" s="332"/>
      <c r="VZL510" s="332"/>
      <c r="VZM510" s="332"/>
      <c r="VZN510" s="332"/>
      <c r="VZO510" s="332"/>
      <c r="VZP510" s="332"/>
      <c r="VZQ510" s="332"/>
      <c r="VZR510" s="332"/>
      <c r="VZS510" s="332"/>
      <c r="VZT510" s="332"/>
      <c r="VZU510" s="332"/>
      <c r="VZV510" s="332"/>
      <c r="VZW510" s="332"/>
      <c r="VZX510" s="332"/>
      <c r="VZY510" s="332"/>
      <c r="VZZ510" s="332"/>
      <c r="WAA510" s="332"/>
      <c r="WAB510" s="332"/>
      <c r="WAC510" s="332"/>
      <c r="WAD510" s="332"/>
      <c r="WAE510" s="332"/>
      <c r="WAF510" s="332"/>
      <c r="WAG510" s="332"/>
      <c r="WAH510" s="332"/>
      <c r="WAI510" s="332"/>
      <c r="WAJ510" s="332"/>
      <c r="WAK510" s="332"/>
      <c r="WAL510" s="332"/>
      <c r="WAM510" s="332"/>
      <c r="WAN510" s="332"/>
      <c r="WAO510" s="332"/>
      <c r="WAP510" s="332"/>
      <c r="WAQ510" s="332"/>
      <c r="WAR510" s="332"/>
      <c r="WAS510" s="332"/>
      <c r="WAT510" s="332"/>
      <c r="WAU510" s="332"/>
      <c r="WAV510" s="332"/>
      <c r="WAW510" s="332"/>
      <c r="WAX510" s="332"/>
      <c r="WAY510" s="332"/>
      <c r="WAZ510" s="332"/>
      <c r="WBA510" s="332"/>
      <c r="WBB510" s="332"/>
      <c r="WBC510" s="332"/>
      <c r="WBD510" s="332"/>
      <c r="WBE510" s="332"/>
      <c r="WBF510" s="332"/>
      <c r="WBG510" s="332"/>
      <c r="WBH510" s="332"/>
      <c r="WBI510" s="332"/>
      <c r="WBJ510" s="332"/>
      <c r="WBK510" s="332"/>
      <c r="WBL510" s="332"/>
      <c r="WBM510" s="332"/>
      <c r="WBN510" s="332"/>
      <c r="WBO510" s="332"/>
      <c r="WBP510" s="332"/>
      <c r="WBQ510" s="332"/>
      <c r="WBR510" s="332"/>
      <c r="WBS510" s="332"/>
      <c r="WBT510" s="332"/>
      <c r="WBU510" s="332"/>
      <c r="WBV510" s="332"/>
      <c r="WBW510" s="332"/>
      <c r="WBX510" s="332"/>
      <c r="WBY510" s="332"/>
      <c r="WBZ510" s="332"/>
      <c r="WCA510" s="332"/>
      <c r="WCB510" s="332"/>
      <c r="WCC510" s="332"/>
      <c r="WCD510" s="332"/>
      <c r="WCE510" s="332"/>
      <c r="WCF510" s="332"/>
      <c r="WCG510" s="332"/>
      <c r="WCH510" s="332"/>
      <c r="WCI510" s="332"/>
      <c r="WCJ510" s="332"/>
      <c r="WCK510" s="332"/>
      <c r="WCL510" s="332"/>
      <c r="WCM510" s="332"/>
      <c r="WCN510" s="332"/>
      <c r="WCO510" s="332"/>
      <c r="WCP510" s="332"/>
      <c r="WCQ510" s="332"/>
      <c r="WCR510" s="332"/>
      <c r="WCS510" s="332"/>
      <c r="WCT510" s="332"/>
      <c r="WCU510" s="332"/>
      <c r="WCV510" s="332"/>
      <c r="WCW510" s="332"/>
      <c r="WCX510" s="332"/>
      <c r="WCY510" s="332"/>
      <c r="WCZ510" s="332"/>
      <c r="WDA510" s="332"/>
      <c r="WDB510" s="332"/>
      <c r="WDC510" s="332"/>
      <c r="WDD510" s="332"/>
      <c r="WDE510" s="332"/>
      <c r="WDF510" s="332"/>
      <c r="WDG510" s="332"/>
      <c r="WDH510" s="332"/>
      <c r="WDI510" s="332"/>
      <c r="WDJ510" s="332"/>
      <c r="WDK510" s="332"/>
      <c r="WDL510" s="332"/>
      <c r="WDM510" s="332"/>
      <c r="WDN510" s="332"/>
      <c r="WDO510" s="332"/>
      <c r="WDP510" s="332"/>
      <c r="WDQ510" s="332"/>
      <c r="WDR510" s="332"/>
      <c r="WDS510" s="332"/>
      <c r="WDT510" s="332"/>
      <c r="WDU510" s="332"/>
      <c r="WDV510" s="332"/>
      <c r="WDW510" s="332"/>
      <c r="WDX510" s="332"/>
      <c r="WDY510" s="332"/>
      <c r="WDZ510" s="332"/>
      <c r="WEA510" s="332"/>
      <c r="WEB510" s="332"/>
      <c r="WEC510" s="332"/>
      <c r="WED510" s="332"/>
      <c r="WEE510" s="332"/>
      <c r="WEF510" s="332"/>
      <c r="WEG510" s="332"/>
      <c r="WEH510" s="332"/>
      <c r="WEI510" s="332"/>
      <c r="WEJ510" s="332"/>
      <c r="WEK510" s="332"/>
      <c r="WEL510" s="332"/>
      <c r="WEM510" s="332"/>
      <c r="WEN510" s="332"/>
      <c r="WEO510" s="332"/>
      <c r="WEP510" s="332"/>
      <c r="WEQ510" s="332"/>
      <c r="WER510" s="332"/>
      <c r="WES510" s="332"/>
      <c r="WET510" s="332"/>
      <c r="WEU510" s="332"/>
      <c r="WEV510" s="332"/>
      <c r="WEW510" s="332"/>
      <c r="WEX510" s="332"/>
      <c r="WEY510" s="332"/>
      <c r="WEZ510" s="332"/>
      <c r="WFA510" s="332"/>
      <c r="WFB510" s="332"/>
      <c r="WFC510" s="332"/>
      <c r="WFD510" s="332"/>
      <c r="WFE510" s="332"/>
      <c r="WFF510" s="332"/>
      <c r="WFG510" s="332"/>
      <c r="WFH510" s="332"/>
      <c r="WFI510" s="332"/>
      <c r="WFJ510" s="332"/>
      <c r="WFK510" s="332"/>
      <c r="WFL510" s="332"/>
      <c r="WFM510" s="332"/>
      <c r="WFN510" s="332"/>
      <c r="WFO510" s="332"/>
      <c r="WFP510" s="332"/>
      <c r="WFQ510" s="332"/>
      <c r="WFR510" s="332"/>
      <c r="WFS510" s="332"/>
      <c r="WFT510" s="332"/>
      <c r="WFU510" s="332"/>
      <c r="WFV510" s="332"/>
      <c r="WFW510" s="332"/>
      <c r="WFX510" s="332"/>
      <c r="WFY510" s="332"/>
      <c r="WFZ510" s="332"/>
      <c r="WGA510" s="332"/>
      <c r="WGB510" s="332"/>
      <c r="WGC510" s="332"/>
      <c r="WGD510" s="332"/>
      <c r="WGE510" s="332"/>
      <c r="WGF510" s="332"/>
      <c r="WGG510" s="332"/>
      <c r="WGH510" s="332"/>
      <c r="WGI510" s="332"/>
      <c r="WGJ510" s="332"/>
      <c r="WGK510" s="332"/>
      <c r="WGL510" s="332"/>
      <c r="WGM510" s="332"/>
      <c r="WGN510" s="332"/>
      <c r="WGO510" s="332"/>
      <c r="WGP510" s="332"/>
      <c r="WGQ510" s="332"/>
      <c r="WGR510" s="332"/>
      <c r="WGS510" s="332"/>
      <c r="WGT510" s="332"/>
      <c r="WGU510" s="332"/>
      <c r="WGV510" s="332"/>
      <c r="WGW510" s="332"/>
      <c r="WGX510" s="332"/>
      <c r="WGY510" s="332"/>
      <c r="WGZ510" s="332"/>
      <c r="WHA510" s="332"/>
      <c r="WHB510" s="332"/>
      <c r="WHC510" s="332"/>
      <c r="WHD510" s="332"/>
      <c r="WHE510" s="332"/>
      <c r="WHF510" s="332"/>
      <c r="WHG510" s="332"/>
      <c r="WHH510" s="332"/>
      <c r="WHI510" s="332"/>
      <c r="WHJ510" s="332"/>
      <c r="WHK510" s="332"/>
      <c r="WHL510" s="332"/>
      <c r="WHM510" s="332"/>
      <c r="WHN510" s="332"/>
      <c r="WHO510" s="332"/>
      <c r="WHP510" s="332"/>
      <c r="WHQ510" s="332"/>
      <c r="WHR510" s="332"/>
      <c r="WHS510" s="332"/>
      <c r="WHT510" s="332"/>
      <c r="WHU510" s="332"/>
      <c r="WHV510" s="332"/>
      <c r="WHW510" s="332"/>
      <c r="WHX510" s="332"/>
      <c r="WHY510" s="332"/>
      <c r="WHZ510" s="332"/>
      <c r="WIA510" s="332"/>
      <c r="WIB510" s="332"/>
      <c r="WIC510" s="332"/>
      <c r="WID510" s="332"/>
      <c r="WIE510" s="332"/>
      <c r="WIF510" s="332"/>
      <c r="WIG510" s="332"/>
      <c r="WIH510" s="332"/>
      <c r="WII510" s="332"/>
      <c r="WIJ510" s="332"/>
      <c r="WIK510" s="332"/>
      <c r="WIL510" s="332"/>
      <c r="WIM510" s="332"/>
      <c r="WIN510" s="332"/>
      <c r="WIO510" s="332"/>
      <c r="WIP510" s="332"/>
      <c r="WIQ510" s="332"/>
      <c r="WIR510" s="332"/>
      <c r="WIS510" s="332"/>
      <c r="WIT510" s="332"/>
      <c r="WIU510" s="332"/>
      <c r="WIV510" s="332"/>
      <c r="WIW510" s="332"/>
      <c r="WIX510" s="332"/>
      <c r="WIY510" s="332"/>
      <c r="WIZ510" s="332"/>
      <c r="WJA510" s="332"/>
      <c r="WJB510" s="332"/>
      <c r="WJC510" s="332"/>
      <c r="WJD510" s="332"/>
      <c r="WJE510" s="332"/>
      <c r="WJF510" s="332"/>
      <c r="WJG510" s="332"/>
      <c r="WJH510" s="332"/>
      <c r="WJI510" s="332"/>
      <c r="WJJ510" s="332"/>
      <c r="WJK510" s="332"/>
      <c r="WJL510" s="332"/>
      <c r="WJM510" s="332"/>
      <c r="WJN510" s="332"/>
      <c r="WJO510" s="332"/>
      <c r="WJP510" s="332"/>
      <c r="WJQ510" s="332"/>
      <c r="WJR510" s="332"/>
      <c r="WJS510" s="332"/>
      <c r="WJT510" s="332"/>
      <c r="WJU510" s="332"/>
      <c r="WJV510" s="332"/>
      <c r="WJW510" s="332"/>
      <c r="WJX510" s="332"/>
      <c r="WJY510" s="332"/>
      <c r="WJZ510" s="332"/>
      <c r="WKA510" s="332"/>
      <c r="WKB510" s="332"/>
      <c r="WKC510" s="332"/>
      <c r="WKD510" s="332"/>
      <c r="WKE510" s="332"/>
      <c r="WKF510" s="332"/>
      <c r="WKG510" s="332"/>
      <c r="WKH510" s="332"/>
      <c r="WKI510" s="332"/>
      <c r="WKJ510" s="332"/>
      <c r="WKK510" s="332"/>
      <c r="WKL510" s="332"/>
      <c r="WKM510" s="332"/>
      <c r="WKN510" s="332"/>
      <c r="WKO510" s="332"/>
      <c r="WKP510" s="332"/>
      <c r="WKQ510" s="332"/>
      <c r="WKR510" s="332"/>
      <c r="WKS510" s="332"/>
      <c r="WKT510" s="332"/>
      <c r="WKU510" s="332"/>
      <c r="WKV510" s="332"/>
      <c r="WKW510" s="332"/>
      <c r="WKX510" s="332"/>
      <c r="WKY510" s="332"/>
      <c r="WKZ510" s="332"/>
      <c r="WLA510" s="332"/>
      <c r="WLB510" s="332"/>
      <c r="WLC510" s="332"/>
      <c r="WLD510" s="332"/>
      <c r="WLE510" s="332"/>
      <c r="WLF510" s="332"/>
      <c r="WLG510" s="332"/>
      <c r="WLH510" s="332"/>
      <c r="WLI510" s="332"/>
      <c r="WLJ510" s="332"/>
      <c r="WLK510" s="332"/>
      <c r="WLL510" s="332"/>
      <c r="WLM510" s="332"/>
      <c r="WLN510" s="332"/>
      <c r="WLO510" s="332"/>
      <c r="WLP510" s="332"/>
      <c r="WLQ510" s="332"/>
      <c r="WLR510" s="332"/>
      <c r="WLS510" s="332"/>
      <c r="WLT510" s="332"/>
      <c r="WLU510" s="332"/>
      <c r="WLV510" s="332"/>
      <c r="WLW510" s="332"/>
      <c r="WLX510" s="332"/>
      <c r="WLY510" s="332"/>
      <c r="WLZ510" s="332"/>
      <c r="WMA510" s="332"/>
      <c r="WMB510" s="332"/>
      <c r="WMC510" s="332"/>
      <c r="WMD510" s="332"/>
      <c r="WME510" s="332"/>
      <c r="WMF510" s="332"/>
      <c r="WMG510" s="332"/>
      <c r="WMH510" s="332"/>
      <c r="WMI510" s="332"/>
      <c r="WMJ510" s="332"/>
      <c r="WMK510" s="332"/>
      <c r="WML510" s="332"/>
      <c r="WMM510" s="332"/>
      <c r="WMN510" s="332"/>
      <c r="WMO510" s="332"/>
      <c r="WMP510" s="332"/>
      <c r="WMQ510" s="332"/>
      <c r="WMR510" s="332"/>
      <c r="WMS510" s="332"/>
      <c r="WMT510" s="332"/>
      <c r="WMU510" s="332"/>
      <c r="WMV510" s="332"/>
      <c r="WMW510" s="332"/>
      <c r="WMX510" s="332"/>
      <c r="WMY510" s="332"/>
      <c r="WMZ510" s="332"/>
      <c r="WNA510" s="332"/>
      <c r="WNB510" s="332"/>
      <c r="WNC510" s="332"/>
      <c r="WND510" s="332"/>
      <c r="WNE510" s="332"/>
      <c r="WNF510" s="332"/>
      <c r="WNG510" s="332"/>
      <c r="WNH510" s="332"/>
      <c r="WNI510" s="332"/>
      <c r="WNJ510" s="332"/>
      <c r="WNK510" s="332"/>
      <c r="WNL510" s="332"/>
      <c r="WNM510" s="332"/>
      <c r="WNN510" s="332"/>
      <c r="WNO510" s="332"/>
      <c r="WNP510" s="332"/>
      <c r="WNQ510" s="332"/>
      <c r="WNR510" s="332"/>
      <c r="WNS510" s="332"/>
      <c r="WNT510" s="332"/>
      <c r="WNU510" s="332"/>
      <c r="WNV510" s="332"/>
      <c r="WNW510" s="332"/>
      <c r="WNX510" s="332"/>
      <c r="WNY510" s="332"/>
      <c r="WNZ510" s="332"/>
      <c r="WOA510" s="332"/>
      <c r="WOB510" s="332"/>
      <c r="WOC510" s="332"/>
      <c r="WOD510" s="332"/>
      <c r="WOE510" s="332"/>
      <c r="WOF510" s="332"/>
      <c r="WOG510" s="332"/>
      <c r="WOH510" s="332"/>
      <c r="WOI510" s="332"/>
      <c r="WOJ510" s="332"/>
      <c r="WOK510" s="332"/>
      <c r="WOL510" s="332"/>
      <c r="WOM510" s="332"/>
      <c r="WON510" s="332"/>
      <c r="WOO510" s="332"/>
      <c r="WOP510" s="332"/>
      <c r="WOQ510" s="332"/>
      <c r="WOR510" s="332"/>
      <c r="WOS510" s="332"/>
      <c r="WOT510" s="332"/>
      <c r="WOU510" s="332"/>
      <c r="WOV510" s="332"/>
      <c r="WOW510" s="332"/>
      <c r="WOX510" s="332"/>
      <c r="WOY510" s="332"/>
      <c r="WOZ510" s="332"/>
      <c r="WPA510" s="332"/>
      <c r="WPB510" s="332"/>
      <c r="WPC510" s="332"/>
      <c r="WPD510" s="332"/>
      <c r="WPE510" s="332"/>
      <c r="WPF510" s="332"/>
      <c r="WPG510" s="332"/>
      <c r="WPH510" s="332"/>
      <c r="WPI510" s="332"/>
      <c r="WPJ510" s="332"/>
      <c r="WPK510" s="332"/>
      <c r="WPL510" s="332"/>
      <c r="WPM510" s="332"/>
      <c r="WPN510" s="332"/>
      <c r="WPO510" s="332"/>
      <c r="WPP510" s="332"/>
      <c r="WPQ510" s="332"/>
      <c r="WPR510" s="332"/>
      <c r="WPS510" s="332"/>
      <c r="WPT510" s="332"/>
      <c r="WPU510" s="332"/>
      <c r="WPV510" s="332"/>
      <c r="WPW510" s="332"/>
      <c r="WPX510" s="332"/>
      <c r="WPY510" s="332"/>
      <c r="WPZ510" s="332"/>
      <c r="WQA510" s="332"/>
      <c r="WQB510" s="332"/>
      <c r="WQC510" s="332"/>
      <c r="WQD510" s="332"/>
      <c r="WQE510" s="332"/>
      <c r="WQF510" s="332"/>
      <c r="WQG510" s="332"/>
      <c r="WQH510" s="332"/>
      <c r="WQI510" s="332"/>
      <c r="WQJ510" s="332"/>
      <c r="WQK510" s="332"/>
      <c r="WQL510" s="332"/>
      <c r="WQM510" s="332"/>
      <c r="WQN510" s="332"/>
      <c r="WQO510" s="332"/>
      <c r="WQP510" s="332"/>
      <c r="WQQ510" s="332"/>
      <c r="WQR510" s="332"/>
      <c r="WQS510" s="332"/>
      <c r="WQT510" s="332"/>
      <c r="WQU510" s="332"/>
      <c r="WQV510" s="332"/>
      <c r="WQW510" s="332"/>
      <c r="WQX510" s="332"/>
      <c r="WQY510" s="332"/>
      <c r="WQZ510" s="332"/>
      <c r="WRA510" s="332"/>
      <c r="WRB510" s="332"/>
      <c r="WRC510" s="332"/>
      <c r="WRD510" s="332"/>
      <c r="WRE510" s="332"/>
      <c r="WRF510" s="332"/>
      <c r="WRG510" s="332"/>
      <c r="WRH510" s="332"/>
      <c r="WRI510" s="332"/>
      <c r="WRJ510" s="332"/>
      <c r="WRK510" s="332"/>
      <c r="WRL510" s="332"/>
      <c r="WRM510" s="332"/>
      <c r="WRN510" s="332"/>
      <c r="WRO510" s="332"/>
      <c r="WRP510" s="332"/>
      <c r="WRQ510" s="332"/>
      <c r="WRR510" s="332"/>
      <c r="WRS510" s="332"/>
      <c r="WRT510" s="332"/>
      <c r="WRU510" s="332"/>
      <c r="WRV510" s="332"/>
      <c r="WRW510" s="332"/>
      <c r="WRX510" s="332"/>
      <c r="WRY510" s="332"/>
      <c r="WRZ510" s="332"/>
      <c r="WSA510" s="332"/>
      <c r="WSB510" s="332"/>
      <c r="WSC510" s="332"/>
      <c r="WSD510" s="332"/>
      <c r="WSE510" s="332"/>
      <c r="WSF510" s="332"/>
      <c r="WSG510" s="332"/>
      <c r="WSH510" s="332"/>
      <c r="WSI510" s="332"/>
      <c r="WSJ510" s="332"/>
      <c r="WSK510" s="332"/>
      <c r="WSL510" s="332"/>
      <c r="WSM510" s="332"/>
      <c r="WSN510" s="332"/>
      <c r="WSO510" s="332"/>
      <c r="WSP510" s="332"/>
      <c r="WSQ510" s="332"/>
      <c r="WSR510" s="332"/>
      <c r="WSS510" s="332"/>
      <c r="WST510" s="332"/>
      <c r="WSU510" s="332"/>
      <c r="WSV510" s="332"/>
      <c r="WSW510" s="332"/>
      <c r="WSX510" s="332"/>
      <c r="WSY510" s="332"/>
      <c r="WSZ510" s="332"/>
      <c r="WTA510" s="332"/>
      <c r="WTB510" s="332"/>
      <c r="WTC510" s="332"/>
      <c r="WTD510" s="332"/>
      <c r="WTE510" s="332"/>
      <c r="WTF510" s="332"/>
      <c r="WTG510" s="332"/>
      <c r="WTH510" s="332"/>
      <c r="WTI510" s="332"/>
      <c r="WTJ510" s="332"/>
      <c r="WTK510" s="332"/>
      <c r="WTL510" s="332"/>
      <c r="WTM510" s="332"/>
      <c r="WTN510" s="332"/>
      <c r="WTO510" s="332"/>
      <c r="WTP510" s="332"/>
      <c r="WTQ510" s="332"/>
      <c r="WTR510" s="332"/>
      <c r="WTS510" s="332"/>
      <c r="WTT510" s="332"/>
      <c r="WTU510" s="332"/>
      <c r="WTV510" s="332"/>
      <c r="WTW510" s="332"/>
      <c r="WTX510" s="332"/>
      <c r="WTY510" s="332"/>
      <c r="WTZ510" s="332"/>
      <c r="WUA510" s="332"/>
      <c r="WUB510" s="332"/>
      <c r="WUC510" s="332"/>
      <c r="WUD510" s="332"/>
      <c r="WUE510" s="332"/>
      <c r="WUF510" s="332"/>
      <c r="WUG510" s="332"/>
      <c r="WUH510" s="332"/>
      <c r="WUI510" s="332"/>
      <c r="WUJ510" s="332"/>
      <c r="WUK510" s="332"/>
      <c r="WUL510" s="332"/>
      <c r="WUM510" s="332"/>
      <c r="WUN510" s="332"/>
      <c r="WUO510" s="332"/>
      <c r="WUP510" s="332"/>
      <c r="WUQ510" s="332"/>
      <c r="WUR510" s="332"/>
      <c r="WUS510" s="332"/>
      <c r="WUT510" s="332"/>
      <c r="WUU510" s="332"/>
      <c r="WUV510" s="332"/>
      <c r="WUW510" s="332"/>
      <c r="WUX510" s="332"/>
      <c r="WUY510" s="332"/>
      <c r="WUZ510" s="332"/>
      <c r="WVA510" s="332"/>
      <c r="WVB510" s="332"/>
      <c r="WVC510" s="332"/>
      <c r="WVD510" s="332"/>
      <c r="WVE510" s="332"/>
      <c r="WVF510" s="332"/>
      <c r="WVG510" s="332"/>
      <c r="WVH510" s="332"/>
      <c r="WVI510" s="332"/>
      <c r="WVJ510" s="332"/>
      <c r="WVK510" s="332"/>
      <c r="WVL510" s="332"/>
      <c r="WVM510" s="332"/>
      <c r="WVN510" s="332"/>
      <c r="WVO510" s="332"/>
      <c r="WVP510" s="332"/>
      <c r="WVQ510" s="332"/>
      <c r="WVR510" s="332"/>
      <c r="WVS510" s="332"/>
      <c r="WVT510" s="332"/>
      <c r="WVU510" s="332"/>
      <c r="WVV510" s="332"/>
      <c r="WVW510" s="332"/>
      <c r="WVX510" s="332"/>
      <c r="WVY510" s="332"/>
      <c r="WVZ510" s="332"/>
      <c r="WWA510" s="332"/>
      <c r="WWB510" s="332"/>
      <c r="WWC510" s="332"/>
      <c r="WWD510" s="332"/>
      <c r="WWE510" s="332"/>
      <c r="WWF510" s="332"/>
      <c r="WWG510" s="332"/>
      <c r="WWH510" s="332"/>
      <c r="WWI510" s="332"/>
      <c r="WWJ510" s="332"/>
      <c r="WWK510" s="332"/>
      <c r="WWL510" s="332"/>
      <c r="WWM510" s="332"/>
      <c r="WWN510" s="332"/>
      <c r="WWO510" s="332"/>
      <c r="WWP510" s="332"/>
      <c r="WWQ510" s="332"/>
      <c r="WWR510" s="332"/>
      <c r="WWS510" s="332"/>
      <c r="WWT510" s="332"/>
      <c r="WWU510" s="332"/>
      <c r="WWV510" s="332"/>
      <c r="WWW510" s="332"/>
      <c r="WWX510" s="332"/>
      <c r="WWY510" s="332"/>
      <c r="WWZ510" s="332"/>
      <c r="WXA510" s="332"/>
      <c r="WXB510" s="332"/>
      <c r="WXC510" s="332"/>
      <c r="WXD510" s="332"/>
      <c r="WXE510" s="332"/>
      <c r="WXF510" s="332"/>
      <c r="WXG510" s="332"/>
      <c r="WXH510" s="332"/>
      <c r="WXI510" s="332"/>
      <c r="WXJ510" s="332"/>
      <c r="WXK510" s="332"/>
      <c r="WXL510" s="332"/>
      <c r="WXM510" s="332"/>
      <c r="WXN510" s="332"/>
      <c r="WXO510" s="332"/>
      <c r="WXP510" s="332"/>
      <c r="WXQ510" s="332"/>
      <c r="WXR510" s="332"/>
      <c r="WXS510" s="332"/>
      <c r="WXT510" s="332"/>
      <c r="WXU510" s="332"/>
      <c r="WXV510" s="332"/>
      <c r="WXW510" s="332"/>
      <c r="WXX510" s="332"/>
      <c r="WXY510" s="332"/>
      <c r="WXZ510" s="332"/>
      <c r="WYA510" s="332"/>
      <c r="WYB510" s="332"/>
      <c r="WYC510" s="332"/>
      <c r="WYD510" s="332"/>
      <c r="WYE510" s="332"/>
      <c r="WYF510" s="332"/>
      <c r="WYG510" s="332"/>
      <c r="WYH510" s="332"/>
      <c r="WYI510" s="332"/>
      <c r="WYJ510" s="332"/>
      <c r="WYK510" s="332"/>
      <c r="WYL510" s="332"/>
      <c r="WYM510" s="332"/>
      <c r="WYN510" s="332"/>
      <c r="WYO510" s="332"/>
      <c r="WYP510" s="332"/>
      <c r="WYQ510" s="332"/>
      <c r="WYR510" s="332"/>
      <c r="WYS510" s="332"/>
      <c r="WYT510" s="332"/>
      <c r="WYU510" s="332"/>
      <c r="WYV510" s="332"/>
      <c r="WYW510" s="332"/>
      <c r="WYX510" s="332"/>
      <c r="WYY510" s="332"/>
      <c r="WYZ510" s="332"/>
      <c r="WZA510" s="332"/>
      <c r="WZB510" s="332"/>
      <c r="WZC510" s="332"/>
      <c r="WZD510" s="332"/>
      <c r="WZE510" s="332"/>
      <c r="WZF510" s="332"/>
      <c r="WZG510" s="332"/>
      <c r="WZH510" s="332"/>
      <c r="WZI510" s="332"/>
      <c r="WZJ510" s="332"/>
      <c r="WZK510" s="332"/>
      <c r="WZL510" s="332"/>
      <c r="WZM510" s="332"/>
      <c r="WZN510" s="332"/>
      <c r="WZO510" s="332"/>
      <c r="WZP510" s="332"/>
      <c r="WZQ510" s="332"/>
      <c r="WZR510" s="332"/>
      <c r="WZS510" s="332"/>
      <c r="WZT510" s="332"/>
      <c r="WZU510" s="332"/>
      <c r="WZV510" s="332"/>
      <c r="WZW510" s="332"/>
      <c r="WZX510" s="332"/>
      <c r="WZY510" s="332"/>
      <c r="WZZ510" s="332"/>
      <c r="XAA510" s="332"/>
      <c r="XAB510" s="332"/>
      <c r="XAC510" s="332"/>
      <c r="XAD510" s="332"/>
      <c r="XAE510" s="332"/>
      <c r="XAF510" s="332"/>
      <c r="XAG510" s="332"/>
      <c r="XAH510" s="332"/>
      <c r="XAI510" s="332"/>
      <c r="XAJ510" s="332"/>
      <c r="XAK510" s="332"/>
      <c r="XAL510" s="332"/>
      <c r="XAM510" s="332"/>
      <c r="XAN510" s="332"/>
      <c r="XAO510" s="332"/>
      <c r="XAP510" s="332"/>
      <c r="XAQ510" s="332"/>
      <c r="XAR510" s="332"/>
      <c r="XAS510" s="332"/>
      <c r="XAT510" s="332"/>
      <c r="XAU510" s="332"/>
      <c r="XAV510" s="332"/>
      <c r="XAW510" s="332"/>
      <c r="XAX510" s="332"/>
      <c r="XAY510" s="332"/>
      <c r="XAZ510" s="332"/>
      <c r="XBA510" s="332"/>
      <c r="XBB510" s="332"/>
      <c r="XBC510" s="332"/>
      <c r="XBD510" s="332"/>
      <c r="XBE510" s="332"/>
      <c r="XBF510" s="332"/>
      <c r="XBG510" s="332"/>
      <c r="XBH510" s="332"/>
      <c r="XBI510" s="332"/>
      <c r="XBJ510" s="332"/>
      <c r="XBK510" s="332"/>
      <c r="XBL510" s="332"/>
      <c r="XBM510" s="332"/>
      <c r="XBN510" s="332"/>
      <c r="XBO510" s="332"/>
      <c r="XBP510" s="332"/>
      <c r="XBQ510" s="332"/>
      <c r="XBR510" s="332"/>
      <c r="XBS510" s="332"/>
      <c r="XBT510" s="332"/>
      <c r="XBU510" s="332"/>
      <c r="XBV510" s="332"/>
      <c r="XBW510" s="332"/>
      <c r="XBX510" s="332"/>
      <c r="XBY510" s="332"/>
      <c r="XBZ510" s="332"/>
      <c r="XCA510" s="332"/>
      <c r="XCB510" s="332"/>
      <c r="XCC510" s="332"/>
      <c r="XCD510" s="332"/>
      <c r="XCE510" s="332"/>
      <c r="XCF510" s="332"/>
      <c r="XCG510" s="332"/>
      <c r="XCH510" s="332"/>
      <c r="XCI510" s="332"/>
      <c r="XCJ510" s="332"/>
      <c r="XCK510" s="332"/>
      <c r="XCL510" s="332"/>
      <c r="XCM510" s="332"/>
      <c r="XCN510" s="332"/>
      <c r="XCO510" s="332"/>
      <c r="XCP510" s="332"/>
      <c r="XCQ510" s="332"/>
      <c r="XCR510" s="332"/>
      <c r="XCS510" s="332"/>
      <c r="XCT510" s="332"/>
      <c r="XCU510" s="332"/>
      <c r="XCV510" s="332"/>
      <c r="XCW510" s="332"/>
      <c r="XCX510" s="332"/>
      <c r="XCY510" s="332"/>
      <c r="XCZ510" s="332"/>
      <c r="XDA510" s="332"/>
      <c r="XDB510" s="332"/>
      <c r="XDC510" s="332"/>
      <c r="XDD510" s="332"/>
      <c r="XDE510" s="332"/>
      <c r="XDF510" s="332"/>
      <c r="XDG510" s="332"/>
      <c r="XDH510" s="332"/>
      <c r="XDI510" s="332"/>
      <c r="XDJ510" s="332"/>
      <c r="XDK510" s="332"/>
      <c r="XDL510" s="332"/>
      <c r="XDM510" s="332"/>
      <c r="XDN510" s="332"/>
      <c r="XDO510" s="332"/>
      <c r="XDP510" s="332"/>
      <c r="XDQ510" s="332"/>
      <c r="XDR510" s="332"/>
      <c r="XDS510" s="332"/>
      <c r="XDT510" s="332"/>
      <c r="XDU510" s="332"/>
      <c r="XDV510" s="332"/>
      <c r="XDW510" s="332"/>
      <c r="XDX510" s="332"/>
      <c r="XDY510" s="332"/>
      <c r="XDZ510" s="332"/>
      <c r="XEA510" s="332"/>
      <c r="XEB510" s="332"/>
      <c r="XEC510" s="332"/>
      <c r="XED510" s="332"/>
      <c r="XEE510" s="332"/>
      <c r="XEF510" s="332"/>
      <c r="XEG510" s="332"/>
      <c r="XEH510" s="332"/>
      <c r="XEI510" s="332"/>
      <c r="XEJ510" s="332"/>
      <c r="XEK510" s="332"/>
      <c r="XEL510" s="332"/>
      <c r="XEM510" s="332"/>
      <c r="XEN510" s="332"/>
      <c r="XEO510" s="332"/>
      <c r="XEP510" s="332"/>
      <c r="XEQ510" s="332"/>
      <c r="XER510" s="332"/>
      <c r="XES510" s="332"/>
      <c r="XET510" s="332"/>
      <c r="XEU510" s="332"/>
      <c r="XEV510" s="332"/>
      <c r="XEW510" s="332"/>
      <c r="XEX510" s="332"/>
      <c r="XEY510" s="332"/>
      <c r="XEZ510" s="332"/>
      <c r="XFA510" s="332"/>
      <c r="XFB510" s="332"/>
      <c r="XFC510" s="332"/>
      <c r="XFD510" s="333"/>
    </row>
    <row r="511" spans="1:16384" s="264" customFormat="1" ht="12.75">
      <c r="A511" s="1642"/>
      <c r="B511" s="1643"/>
      <c r="C511" s="1643"/>
      <c r="D511" s="1644"/>
      <c r="E511" s="330"/>
      <c r="F511" s="330"/>
      <c r="G511" s="330"/>
      <c r="H511" s="330"/>
      <c r="I511" s="330"/>
      <c r="J511" s="330"/>
      <c r="K511" s="330"/>
      <c r="L511" s="330"/>
      <c r="M511" s="330"/>
      <c r="N511" s="330"/>
      <c r="O511" s="330"/>
      <c r="P511" s="330"/>
      <c r="Q511" s="330"/>
      <c r="R511" s="330"/>
      <c r="S511" s="330"/>
      <c r="T511" s="330"/>
      <c r="U511" s="330"/>
      <c r="V511" s="330"/>
      <c r="W511" s="330"/>
      <c r="X511" s="330"/>
      <c r="Y511" s="330"/>
      <c r="Z511" s="330"/>
      <c r="AA511" s="330"/>
      <c r="AB511" s="330"/>
      <c r="AC511" s="330"/>
      <c r="AD511" s="330"/>
      <c r="AE511" s="330"/>
      <c r="AF511" s="330"/>
      <c r="AG511" s="330"/>
      <c r="AH511" s="330"/>
      <c r="AI511" s="330"/>
      <c r="AJ511" s="330"/>
      <c r="AK511" s="330"/>
      <c r="AL511" s="330"/>
      <c r="AM511" s="330"/>
      <c r="AN511" s="330"/>
      <c r="AO511" s="330"/>
      <c r="AP511" s="330"/>
      <c r="AQ511" s="330"/>
      <c r="AR511" s="330"/>
      <c r="AS511" s="330"/>
      <c r="AT511" s="330"/>
      <c r="AU511" s="330"/>
      <c r="AV511" s="330"/>
      <c r="AW511" s="330"/>
      <c r="AX511" s="330"/>
      <c r="AY511" s="330"/>
      <c r="AZ511" s="330"/>
      <c r="BA511" s="330"/>
      <c r="BB511" s="330"/>
      <c r="BC511" s="330"/>
      <c r="BD511" s="330"/>
      <c r="BE511" s="330"/>
      <c r="BF511" s="330"/>
      <c r="BG511" s="330"/>
      <c r="BH511" s="330"/>
      <c r="BI511" s="330"/>
      <c r="BJ511" s="330"/>
      <c r="BK511" s="330"/>
      <c r="BL511" s="330"/>
      <c r="BM511" s="330"/>
      <c r="BN511" s="330"/>
      <c r="BO511" s="330"/>
      <c r="BP511" s="330"/>
      <c r="BQ511" s="330"/>
      <c r="BR511" s="330"/>
      <c r="BS511" s="330"/>
      <c r="BT511" s="330"/>
      <c r="BU511" s="330"/>
      <c r="BV511" s="330"/>
      <c r="BW511" s="330"/>
      <c r="BX511" s="330"/>
      <c r="BY511" s="330"/>
      <c r="BZ511" s="330"/>
      <c r="CA511" s="330"/>
      <c r="CB511" s="330"/>
      <c r="CC511" s="330"/>
      <c r="CD511" s="330"/>
      <c r="CE511" s="330"/>
      <c r="CF511" s="330"/>
      <c r="CG511" s="330"/>
      <c r="CH511" s="330"/>
      <c r="CI511" s="330"/>
      <c r="CJ511" s="330"/>
      <c r="CK511" s="330"/>
      <c r="CL511" s="330"/>
      <c r="CM511" s="330"/>
      <c r="CN511" s="330"/>
      <c r="CO511" s="330"/>
      <c r="CP511" s="330"/>
      <c r="CQ511" s="330"/>
      <c r="CR511" s="330"/>
      <c r="CS511" s="330"/>
      <c r="CT511" s="330"/>
      <c r="CU511" s="330"/>
      <c r="CV511" s="330"/>
      <c r="CW511" s="330"/>
      <c r="CX511" s="330"/>
      <c r="CY511" s="330"/>
      <c r="CZ511" s="330"/>
      <c r="DA511" s="330"/>
      <c r="DB511" s="330"/>
      <c r="DC511" s="330"/>
      <c r="DD511" s="330"/>
      <c r="DE511" s="330"/>
      <c r="DF511" s="330"/>
      <c r="DG511" s="330"/>
      <c r="DH511" s="330"/>
      <c r="DI511" s="330"/>
      <c r="DJ511" s="330"/>
      <c r="DK511" s="330"/>
      <c r="DL511" s="330"/>
      <c r="DM511" s="330"/>
      <c r="DN511" s="330"/>
      <c r="DO511" s="330"/>
      <c r="DP511" s="330"/>
      <c r="DQ511" s="330"/>
      <c r="DR511" s="330"/>
      <c r="DS511" s="330"/>
      <c r="DT511" s="330"/>
      <c r="DU511" s="330"/>
      <c r="DV511" s="330"/>
      <c r="DW511" s="330"/>
      <c r="DX511" s="330"/>
      <c r="DY511" s="330"/>
      <c r="DZ511" s="330"/>
      <c r="EA511" s="330"/>
      <c r="EB511" s="330"/>
      <c r="EC511" s="330"/>
      <c r="ED511" s="330"/>
      <c r="EE511" s="330"/>
      <c r="EF511" s="330"/>
      <c r="EG511" s="330"/>
      <c r="EH511" s="330"/>
      <c r="EI511" s="330"/>
      <c r="EJ511" s="330"/>
      <c r="EK511" s="330"/>
      <c r="EL511" s="330"/>
      <c r="EM511" s="330"/>
      <c r="EN511" s="330"/>
      <c r="EO511" s="330"/>
      <c r="EP511" s="330"/>
      <c r="EQ511" s="330"/>
      <c r="ER511" s="330"/>
      <c r="ES511" s="330"/>
      <c r="ET511" s="330"/>
      <c r="EU511" s="330"/>
      <c r="EV511" s="330"/>
      <c r="EW511" s="330"/>
      <c r="EX511" s="330"/>
      <c r="EY511" s="330"/>
    </row>
    <row r="512" spans="1:16384" s="336" customFormat="1" ht="15" customHeight="1">
      <c r="A512" s="335"/>
      <c r="B512" s="332"/>
      <c r="C512" s="332"/>
      <c r="D512" s="332"/>
      <c r="E512" s="332"/>
      <c r="F512" s="332"/>
      <c r="G512" s="332"/>
      <c r="H512" s="332"/>
      <c r="I512" s="332"/>
      <c r="J512" s="332"/>
      <c r="K512" s="332"/>
      <c r="L512" s="332"/>
      <c r="M512" s="332"/>
      <c r="N512" s="332"/>
      <c r="O512" s="332"/>
      <c r="P512" s="332"/>
      <c r="Q512" s="332"/>
      <c r="R512" s="332"/>
      <c r="S512" s="332"/>
      <c r="T512" s="332"/>
      <c r="U512" s="332"/>
      <c r="V512" s="332"/>
      <c r="W512" s="332"/>
      <c r="X512" s="332"/>
      <c r="Y512" s="332"/>
      <c r="Z512" s="332"/>
      <c r="AA512" s="332"/>
      <c r="AB512" s="332"/>
      <c r="AC512" s="332"/>
      <c r="AD512" s="332"/>
      <c r="AE512" s="332"/>
      <c r="AF512" s="332"/>
      <c r="AG512" s="332"/>
      <c r="AH512" s="332"/>
      <c r="AI512" s="332"/>
      <c r="AJ512" s="332"/>
      <c r="AK512" s="332"/>
      <c r="AL512" s="332"/>
      <c r="AM512" s="332"/>
      <c r="AN512" s="332"/>
      <c r="AO512" s="332"/>
      <c r="AP512" s="332"/>
      <c r="AQ512" s="332"/>
      <c r="AR512" s="332"/>
      <c r="AS512" s="332"/>
      <c r="AT512" s="332"/>
      <c r="AU512" s="332"/>
      <c r="AV512" s="332"/>
      <c r="AW512" s="332"/>
      <c r="AX512" s="332"/>
      <c r="AY512" s="332"/>
      <c r="AZ512" s="332"/>
      <c r="BA512" s="332"/>
      <c r="BB512" s="332"/>
      <c r="BC512" s="332"/>
      <c r="BD512" s="332"/>
      <c r="BE512" s="332"/>
      <c r="BF512" s="332"/>
      <c r="BG512" s="332"/>
      <c r="BH512" s="332"/>
      <c r="BI512" s="332"/>
      <c r="BJ512" s="332"/>
      <c r="BK512" s="332"/>
      <c r="BL512" s="332"/>
      <c r="BM512" s="332"/>
      <c r="BN512" s="332"/>
      <c r="BO512" s="332"/>
      <c r="BP512" s="332"/>
      <c r="BQ512" s="332"/>
      <c r="BR512" s="332"/>
      <c r="BS512" s="332"/>
      <c r="BT512" s="332"/>
      <c r="BU512" s="332"/>
      <c r="BV512" s="332"/>
      <c r="BW512" s="332"/>
      <c r="BX512" s="332"/>
      <c r="BY512" s="332"/>
      <c r="BZ512" s="332"/>
      <c r="CA512" s="332"/>
      <c r="CB512" s="332"/>
      <c r="CC512" s="332"/>
      <c r="CD512" s="332"/>
      <c r="CE512" s="332"/>
      <c r="CF512" s="332"/>
      <c r="CG512" s="332"/>
      <c r="CH512" s="332"/>
      <c r="CI512" s="332"/>
      <c r="CJ512" s="332"/>
      <c r="CK512" s="332"/>
      <c r="CL512" s="332"/>
      <c r="CM512" s="332"/>
      <c r="CN512" s="332"/>
      <c r="CO512" s="332"/>
      <c r="CP512" s="332"/>
      <c r="CQ512" s="332"/>
      <c r="CR512" s="332"/>
      <c r="CS512" s="332"/>
      <c r="CT512" s="332"/>
      <c r="CU512" s="332"/>
      <c r="CV512" s="332"/>
      <c r="CW512" s="332"/>
      <c r="CX512" s="332"/>
      <c r="CY512" s="332"/>
      <c r="CZ512" s="332"/>
      <c r="DA512" s="332"/>
      <c r="DB512" s="332"/>
      <c r="DC512" s="332"/>
      <c r="DD512" s="332"/>
      <c r="DE512" s="332"/>
      <c r="DF512" s="332"/>
      <c r="DG512" s="332"/>
      <c r="DH512" s="332"/>
      <c r="DI512" s="332"/>
      <c r="DJ512" s="332"/>
      <c r="DK512" s="332"/>
      <c r="DL512" s="332"/>
      <c r="DM512" s="332"/>
      <c r="DN512" s="332"/>
      <c r="DO512" s="332"/>
      <c r="DP512" s="332"/>
      <c r="DQ512" s="332"/>
      <c r="DR512" s="332"/>
      <c r="DS512" s="332"/>
      <c r="DT512" s="332"/>
      <c r="DU512" s="332"/>
      <c r="DV512" s="332"/>
      <c r="DW512" s="332"/>
      <c r="DX512" s="332"/>
      <c r="DY512" s="332"/>
      <c r="DZ512" s="332"/>
      <c r="EA512" s="332"/>
      <c r="EB512" s="332"/>
      <c r="EC512" s="332"/>
      <c r="ED512" s="332"/>
      <c r="EE512" s="332"/>
      <c r="EF512" s="332"/>
      <c r="EG512" s="332"/>
      <c r="EH512" s="332"/>
      <c r="EI512" s="332"/>
      <c r="EJ512" s="332"/>
      <c r="EK512" s="332"/>
      <c r="EL512" s="332"/>
      <c r="EM512" s="332"/>
      <c r="EN512" s="332"/>
      <c r="EO512" s="332"/>
      <c r="EP512" s="332"/>
      <c r="EQ512" s="332"/>
      <c r="ER512" s="332"/>
      <c r="ES512" s="332"/>
      <c r="ET512" s="332"/>
      <c r="EU512" s="332"/>
      <c r="EV512" s="332"/>
      <c r="EW512" s="332"/>
      <c r="EX512" s="332"/>
      <c r="EY512" s="332"/>
      <c r="EZ512" s="332"/>
      <c r="FA512" s="332"/>
      <c r="FB512" s="332"/>
      <c r="FC512" s="332"/>
      <c r="FD512" s="332"/>
      <c r="FE512" s="332"/>
      <c r="FF512" s="332"/>
      <c r="FG512" s="332"/>
      <c r="FH512" s="332"/>
      <c r="FI512" s="332"/>
      <c r="FJ512" s="332"/>
      <c r="FK512" s="332"/>
      <c r="FL512" s="332"/>
      <c r="FM512" s="332"/>
      <c r="FN512" s="332"/>
      <c r="FO512" s="332"/>
      <c r="FP512" s="332"/>
      <c r="FQ512" s="332"/>
      <c r="FR512" s="332"/>
      <c r="FS512" s="332"/>
      <c r="FT512" s="332"/>
      <c r="FU512" s="332"/>
      <c r="FV512" s="332"/>
      <c r="FW512" s="332"/>
      <c r="FX512" s="332"/>
      <c r="FY512" s="332"/>
      <c r="FZ512" s="332"/>
      <c r="GA512" s="332"/>
      <c r="GB512" s="332"/>
      <c r="GC512" s="332"/>
      <c r="GD512" s="332"/>
      <c r="GE512" s="332"/>
      <c r="GF512" s="332"/>
      <c r="GG512" s="332"/>
      <c r="GH512" s="332"/>
      <c r="GI512" s="332"/>
      <c r="GJ512" s="332"/>
      <c r="GK512" s="332"/>
      <c r="GL512" s="332"/>
      <c r="GM512" s="332"/>
      <c r="GN512" s="332"/>
      <c r="GO512" s="332"/>
      <c r="GP512" s="332"/>
      <c r="GQ512" s="332"/>
      <c r="GR512" s="332"/>
      <c r="GS512" s="332"/>
      <c r="GT512" s="332"/>
      <c r="GU512" s="332"/>
      <c r="GV512" s="332"/>
      <c r="GW512" s="332"/>
      <c r="GX512" s="332"/>
      <c r="GY512" s="332"/>
      <c r="GZ512" s="332"/>
      <c r="HA512" s="332"/>
      <c r="HB512" s="332"/>
      <c r="HC512" s="332"/>
      <c r="HD512" s="332"/>
      <c r="HE512" s="332"/>
      <c r="HF512" s="332"/>
      <c r="HG512" s="332"/>
      <c r="HH512" s="332"/>
      <c r="HI512" s="332"/>
      <c r="HJ512" s="332"/>
      <c r="HK512" s="332"/>
      <c r="HL512" s="332"/>
      <c r="HM512" s="332"/>
      <c r="HN512" s="332"/>
      <c r="HO512" s="332"/>
      <c r="HP512" s="332"/>
      <c r="HQ512" s="332"/>
      <c r="HR512" s="332"/>
      <c r="HS512" s="332"/>
      <c r="HT512" s="332"/>
      <c r="HU512" s="332"/>
      <c r="HV512" s="332"/>
      <c r="HW512" s="332"/>
      <c r="HX512" s="332"/>
      <c r="HY512" s="332"/>
      <c r="HZ512" s="332"/>
      <c r="IA512" s="332"/>
      <c r="IB512" s="332"/>
      <c r="IC512" s="332"/>
      <c r="ID512" s="332"/>
      <c r="IE512" s="332"/>
      <c r="IF512" s="332"/>
      <c r="IG512" s="332"/>
      <c r="IH512" s="332"/>
      <c r="II512" s="332"/>
      <c r="IJ512" s="332"/>
      <c r="IK512" s="332"/>
      <c r="IL512" s="332"/>
      <c r="IM512" s="332"/>
      <c r="IN512" s="332"/>
      <c r="IO512" s="332"/>
      <c r="IP512" s="332"/>
      <c r="IQ512" s="332"/>
      <c r="IR512" s="332"/>
      <c r="IS512" s="332"/>
      <c r="IT512" s="332"/>
      <c r="IU512" s="332"/>
      <c r="IV512" s="332"/>
      <c r="IW512" s="332"/>
      <c r="IX512" s="332"/>
      <c r="IY512" s="332"/>
      <c r="IZ512" s="332"/>
      <c r="JA512" s="332"/>
      <c r="JB512" s="332"/>
      <c r="JC512" s="332"/>
      <c r="JD512" s="332"/>
      <c r="JE512" s="332"/>
      <c r="JF512" s="332"/>
      <c r="JG512" s="332"/>
      <c r="JH512" s="332"/>
      <c r="JI512" s="332"/>
      <c r="JJ512" s="332"/>
      <c r="JK512" s="332"/>
      <c r="JL512" s="332"/>
      <c r="JM512" s="332"/>
      <c r="JN512" s="332"/>
      <c r="JO512" s="332"/>
      <c r="JP512" s="332"/>
      <c r="JQ512" s="332"/>
      <c r="JR512" s="332"/>
      <c r="JS512" s="332"/>
      <c r="JT512" s="332"/>
      <c r="JU512" s="332"/>
      <c r="JV512" s="332"/>
      <c r="JW512" s="332"/>
      <c r="JX512" s="332"/>
      <c r="JY512" s="332"/>
      <c r="JZ512" s="332"/>
      <c r="KA512" s="332"/>
      <c r="KB512" s="332"/>
      <c r="KC512" s="332"/>
      <c r="KD512" s="332"/>
      <c r="KE512" s="332"/>
      <c r="KF512" s="332"/>
      <c r="KG512" s="332"/>
      <c r="KH512" s="332"/>
      <c r="KI512" s="332"/>
      <c r="KJ512" s="332"/>
      <c r="KK512" s="332"/>
      <c r="KL512" s="332"/>
      <c r="KM512" s="332"/>
      <c r="KN512" s="332"/>
      <c r="KO512" s="332"/>
      <c r="KP512" s="332"/>
      <c r="KQ512" s="332"/>
      <c r="KR512" s="332"/>
      <c r="KS512" s="332"/>
      <c r="KT512" s="332"/>
      <c r="KU512" s="332"/>
      <c r="KV512" s="332"/>
      <c r="KW512" s="332"/>
      <c r="KX512" s="332"/>
      <c r="KY512" s="332"/>
      <c r="KZ512" s="332"/>
      <c r="LA512" s="332"/>
      <c r="LB512" s="332"/>
      <c r="LC512" s="332"/>
      <c r="LD512" s="332"/>
      <c r="LE512" s="332"/>
      <c r="LF512" s="332"/>
      <c r="LG512" s="332"/>
      <c r="LH512" s="332"/>
      <c r="LI512" s="332"/>
      <c r="LJ512" s="332"/>
      <c r="LK512" s="332"/>
      <c r="LL512" s="332"/>
      <c r="LM512" s="332"/>
      <c r="LN512" s="332"/>
      <c r="LO512" s="332"/>
      <c r="LP512" s="332"/>
      <c r="LQ512" s="332"/>
      <c r="LR512" s="332"/>
      <c r="LS512" s="332"/>
      <c r="LT512" s="332"/>
      <c r="LU512" s="332"/>
      <c r="LV512" s="332"/>
      <c r="LW512" s="332"/>
      <c r="LX512" s="332"/>
      <c r="LY512" s="332"/>
      <c r="LZ512" s="332"/>
      <c r="MA512" s="332"/>
      <c r="MB512" s="332"/>
      <c r="MC512" s="332"/>
      <c r="MD512" s="332"/>
      <c r="ME512" s="332"/>
      <c r="MF512" s="332"/>
      <c r="MG512" s="332"/>
      <c r="MH512" s="332"/>
      <c r="MI512" s="332"/>
      <c r="MJ512" s="332"/>
      <c r="MK512" s="332"/>
      <c r="ML512" s="332"/>
      <c r="MM512" s="332"/>
      <c r="MN512" s="332"/>
      <c r="MO512" s="332"/>
      <c r="MP512" s="332"/>
      <c r="MQ512" s="332"/>
      <c r="MR512" s="332"/>
      <c r="MS512" s="332"/>
      <c r="MT512" s="332"/>
      <c r="MU512" s="332"/>
      <c r="MV512" s="332"/>
      <c r="MW512" s="332"/>
      <c r="MX512" s="332"/>
      <c r="MY512" s="332"/>
      <c r="MZ512" s="332"/>
      <c r="NA512" s="332"/>
      <c r="NB512" s="332"/>
      <c r="NC512" s="332"/>
      <c r="ND512" s="332"/>
      <c r="NE512" s="332"/>
      <c r="NF512" s="332"/>
      <c r="NG512" s="332"/>
      <c r="NH512" s="332"/>
      <c r="NI512" s="332"/>
      <c r="NJ512" s="332"/>
      <c r="NK512" s="332"/>
      <c r="NL512" s="332"/>
      <c r="NM512" s="332"/>
      <c r="NN512" s="332"/>
      <c r="NO512" s="332"/>
      <c r="NP512" s="332"/>
      <c r="NQ512" s="332"/>
      <c r="NR512" s="332"/>
      <c r="NS512" s="332"/>
      <c r="NT512" s="332"/>
      <c r="NU512" s="332"/>
      <c r="NV512" s="332"/>
      <c r="NW512" s="332"/>
      <c r="NX512" s="332"/>
      <c r="NY512" s="332"/>
      <c r="NZ512" s="332"/>
      <c r="OA512" s="332"/>
      <c r="OB512" s="332"/>
      <c r="OC512" s="332"/>
      <c r="OD512" s="332"/>
      <c r="OE512" s="332"/>
      <c r="OF512" s="332"/>
      <c r="OG512" s="332"/>
      <c r="OH512" s="332"/>
      <c r="OI512" s="332"/>
      <c r="OJ512" s="332"/>
      <c r="OK512" s="332"/>
      <c r="OL512" s="332"/>
      <c r="OM512" s="332"/>
      <c r="ON512" s="332"/>
      <c r="OO512" s="332"/>
      <c r="OP512" s="332"/>
      <c r="OQ512" s="332"/>
      <c r="OR512" s="332"/>
      <c r="OS512" s="332"/>
      <c r="OT512" s="332"/>
      <c r="OU512" s="332"/>
      <c r="OV512" s="332"/>
      <c r="OW512" s="332"/>
      <c r="OX512" s="332"/>
      <c r="OY512" s="332"/>
      <c r="OZ512" s="332"/>
      <c r="PA512" s="332"/>
      <c r="PB512" s="332"/>
      <c r="PC512" s="332"/>
      <c r="PD512" s="332"/>
      <c r="PE512" s="332"/>
      <c r="PF512" s="332"/>
      <c r="PG512" s="332"/>
      <c r="PH512" s="332"/>
      <c r="PI512" s="332"/>
      <c r="PJ512" s="332"/>
      <c r="PK512" s="332"/>
      <c r="PL512" s="332"/>
      <c r="PM512" s="332"/>
      <c r="PN512" s="332"/>
      <c r="PO512" s="332"/>
      <c r="PP512" s="332"/>
      <c r="PQ512" s="332"/>
      <c r="PR512" s="332"/>
      <c r="PS512" s="332"/>
      <c r="PT512" s="332"/>
      <c r="PU512" s="332"/>
      <c r="PV512" s="332"/>
      <c r="PW512" s="332"/>
      <c r="PX512" s="332"/>
      <c r="PY512" s="332"/>
      <c r="PZ512" s="332"/>
      <c r="QA512" s="332"/>
      <c r="QB512" s="332"/>
      <c r="QC512" s="332"/>
      <c r="QD512" s="332"/>
      <c r="QE512" s="332"/>
      <c r="QF512" s="332"/>
      <c r="QG512" s="332"/>
      <c r="QH512" s="332"/>
      <c r="QI512" s="332"/>
      <c r="QJ512" s="332"/>
      <c r="QK512" s="332"/>
      <c r="QL512" s="332"/>
      <c r="QM512" s="332"/>
      <c r="QN512" s="332"/>
      <c r="QO512" s="332"/>
      <c r="QP512" s="332"/>
      <c r="QQ512" s="332"/>
      <c r="QR512" s="332"/>
      <c r="QS512" s="332"/>
      <c r="QT512" s="332"/>
      <c r="QU512" s="332"/>
      <c r="QV512" s="332"/>
      <c r="QW512" s="332"/>
      <c r="QX512" s="332"/>
      <c r="QY512" s="332"/>
      <c r="QZ512" s="332"/>
      <c r="RA512" s="332"/>
      <c r="RB512" s="332"/>
      <c r="RC512" s="332"/>
      <c r="RD512" s="332"/>
      <c r="RE512" s="332"/>
      <c r="RF512" s="332"/>
      <c r="RG512" s="332"/>
      <c r="RH512" s="332"/>
      <c r="RI512" s="332"/>
      <c r="RJ512" s="332"/>
      <c r="RK512" s="332"/>
      <c r="RL512" s="332"/>
      <c r="RM512" s="332"/>
      <c r="RN512" s="332"/>
      <c r="RO512" s="332"/>
      <c r="RP512" s="332"/>
      <c r="RQ512" s="332"/>
      <c r="RR512" s="332"/>
      <c r="RS512" s="332"/>
      <c r="RT512" s="332"/>
      <c r="RU512" s="332"/>
      <c r="RV512" s="332"/>
      <c r="RW512" s="332"/>
      <c r="RX512" s="332"/>
      <c r="RY512" s="332"/>
      <c r="RZ512" s="332"/>
      <c r="SA512" s="332"/>
      <c r="SB512" s="332"/>
      <c r="SC512" s="332"/>
      <c r="SD512" s="332"/>
      <c r="SE512" s="332"/>
      <c r="SF512" s="332"/>
      <c r="SG512" s="332"/>
      <c r="SH512" s="332"/>
      <c r="SI512" s="332"/>
      <c r="SJ512" s="332"/>
      <c r="SK512" s="332"/>
      <c r="SL512" s="332"/>
      <c r="SM512" s="332"/>
      <c r="SN512" s="332"/>
      <c r="SO512" s="332"/>
      <c r="SP512" s="332"/>
      <c r="SQ512" s="332"/>
      <c r="SR512" s="332"/>
      <c r="SS512" s="332"/>
      <c r="ST512" s="332"/>
      <c r="SU512" s="332"/>
      <c r="SV512" s="332"/>
      <c r="SW512" s="332"/>
      <c r="SX512" s="332"/>
      <c r="SY512" s="332"/>
      <c r="SZ512" s="332"/>
      <c r="TA512" s="332"/>
      <c r="TB512" s="332"/>
      <c r="TC512" s="332"/>
      <c r="TD512" s="332"/>
      <c r="TE512" s="332"/>
      <c r="TF512" s="332"/>
      <c r="TG512" s="332"/>
      <c r="TH512" s="332"/>
      <c r="TI512" s="332"/>
      <c r="TJ512" s="332"/>
      <c r="TK512" s="332"/>
      <c r="TL512" s="332"/>
      <c r="TM512" s="332"/>
      <c r="TN512" s="332"/>
      <c r="TO512" s="332"/>
      <c r="TP512" s="332"/>
      <c r="TQ512" s="332"/>
      <c r="TR512" s="332"/>
      <c r="TS512" s="332"/>
      <c r="TT512" s="332"/>
      <c r="TU512" s="332"/>
      <c r="TV512" s="332"/>
      <c r="TW512" s="332"/>
      <c r="TX512" s="332"/>
      <c r="TY512" s="332"/>
      <c r="TZ512" s="332"/>
      <c r="UA512" s="332"/>
      <c r="UB512" s="332"/>
      <c r="UC512" s="332"/>
      <c r="UD512" s="332"/>
      <c r="UE512" s="332"/>
      <c r="UF512" s="332"/>
      <c r="UG512" s="332"/>
      <c r="UH512" s="332"/>
      <c r="UI512" s="332"/>
      <c r="UJ512" s="332"/>
      <c r="UK512" s="332"/>
      <c r="UL512" s="332"/>
      <c r="UM512" s="332"/>
      <c r="UN512" s="332"/>
      <c r="UO512" s="332"/>
      <c r="UP512" s="332"/>
      <c r="UQ512" s="332"/>
      <c r="UR512" s="332"/>
      <c r="US512" s="332"/>
      <c r="UT512" s="332"/>
      <c r="UU512" s="332"/>
      <c r="UV512" s="332"/>
      <c r="UW512" s="332"/>
      <c r="UX512" s="332"/>
      <c r="UY512" s="332"/>
      <c r="UZ512" s="332"/>
      <c r="VA512" s="332"/>
      <c r="VB512" s="332"/>
      <c r="VC512" s="332"/>
      <c r="VD512" s="332"/>
      <c r="VE512" s="332"/>
      <c r="VF512" s="332"/>
      <c r="VG512" s="332"/>
      <c r="VH512" s="332"/>
      <c r="VI512" s="332"/>
      <c r="VJ512" s="332"/>
      <c r="VK512" s="332"/>
      <c r="VL512" s="332"/>
      <c r="VM512" s="332"/>
      <c r="VN512" s="332"/>
      <c r="VO512" s="332"/>
      <c r="VP512" s="332"/>
      <c r="VQ512" s="332"/>
      <c r="VR512" s="332"/>
      <c r="VS512" s="332"/>
      <c r="VT512" s="332"/>
      <c r="VU512" s="332"/>
      <c r="VV512" s="332"/>
      <c r="VW512" s="332"/>
      <c r="VX512" s="332"/>
      <c r="VY512" s="332"/>
      <c r="VZ512" s="332"/>
      <c r="WA512" s="332"/>
      <c r="WB512" s="332"/>
      <c r="WC512" s="332"/>
      <c r="WD512" s="332"/>
      <c r="WE512" s="332"/>
      <c r="WF512" s="332"/>
      <c r="WG512" s="332"/>
      <c r="WH512" s="332"/>
      <c r="WI512" s="332"/>
      <c r="WJ512" s="332"/>
      <c r="WK512" s="332"/>
      <c r="WL512" s="332"/>
      <c r="WM512" s="332"/>
      <c r="WN512" s="332"/>
      <c r="WO512" s="332"/>
      <c r="WP512" s="332"/>
      <c r="WQ512" s="332"/>
      <c r="WR512" s="332"/>
      <c r="WS512" s="332"/>
      <c r="WT512" s="332"/>
      <c r="WU512" s="332"/>
      <c r="WV512" s="332"/>
      <c r="WW512" s="332"/>
      <c r="WX512" s="332"/>
      <c r="WY512" s="332"/>
      <c r="WZ512" s="332"/>
      <c r="XA512" s="332"/>
      <c r="XB512" s="332"/>
      <c r="XC512" s="332"/>
      <c r="XD512" s="332"/>
      <c r="XE512" s="332"/>
      <c r="XF512" s="332"/>
      <c r="XG512" s="332"/>
      <c r="XH512" s="332"/>
      <c r="XI512" s="332"/>
      <c r="XJ512" s="332"/>
      <c r="XK512" s="332"/>
      <c r="XL512" s="332"/>
      <c r="XM512" s="332"/>
      <c r="XN512" s="332"/>
      <c r="XO512" s="332"/>
      <c r="XP512" s="332"/>
      <c r="XQ512" s="332"/>
      <c r="XR512" s="332"/>
      <c r="XS512" s="332"/>
      <c r="XT512" s="332"/>
      <c r="XU512" s="332"/>
      <c r="XV512" s="332"/>
      <c r="XW512" s="332"/>
      <c r="XX512" s="332"/>
      <c r="XY512" s="332"/>
      <c r="XZ512" s="332"/>
      <c r="YA512" s="332"/>
      <c r="YB512" s="332"/>
      <c r="YC512" s="332"/>
      <c r="YD512" s="332"/>
      <c r="YE512" s="332"/>
      <c r="YF512" s="332"/>
      <c r="YG512" s="332"/>
      <c r="YH512" s="332"/>
      <c r="YI512" s="332"/>
      <c r="YJ512" s="332"/>
      <c r="YK512" s="332"/>
      <c r="YL512" s="332"/>
      <c r="YM512" s="332"/>
      <c r="YN512" s="332"/>
      <c r="YO512" s="332"/>
      <c r="YP512" s="332"/>
      <c r="YQ512" s="332"/>
      <c r="YR512" s="332"/>
      <c r="YS512" s="332"/>
      <c r="YT512" s="332"/>
      <c r="YU512" s="332"/>
      <c r="YV512" s="332"/>
      <c r="YW512" s="332"/>
      <c r="YX512" s="332"/>
      <c r="YY512" s="332"/>
      <c r="YZ512" s="332"/>
      <c r="ZA512" s="332"/>
      <c r="ZB512" s="332"/>
      <c r="ZC512" s="332"/>
      <c r="ZD512" s="332"/>
      <c r="ZE512" s="332"/>
      <c r="ZF512" s="332"/>
      <c r="ZG512" s="332"/>
      <c r="ZH512" s="332"/>
      <c r="ZI512" s="332"/>
      <c r="ZJ512" s="332"/>
      <c r="ZK512" s="332"/>
      <c r="ZL512" s="332"/>
      <c r="ZM512" s="332"/>
      <c r="ZN512" s="332"/>
      <c r="ZO512" s="332"/>
      <c r="ZP512" s="332"/>
      <c r="ZQ512" s="332"/>
      <c r="ZR512" s="332"/>
      <c r="ZS512" s="332"/>
      <c r="ZT512" s="332"/>
      <c r="ZU512" s="332"/>
      <c r="ZV512" s="332"/>
      <c r="ZW512" s="332"/>
      <c r="ZX512" s="332"/>
      <c r="ZY512" s="332"/>
      <c r="ZZ512" s="332"/>
      <c r="AAA512" s="332"/>
      <c r="AAB512" s="332"/>
      <c r="AAC512" s="332"/>
      <c r="AAD512" s="332"/>
      <c r="AAE512" s="332"/>
      <c r="AAF512" s="332"/>
      <c r="AAG512" s="332"/>
      <c r="AAH512" s="332"/>
      <c r="AAI512" s="332"/>
      <c r="AAJ512" s="332"/>
      <c r="AAK512" s="332"/>
      <c r="AAL512" s="332"/>
      <c r="AAM512" s="332"/>
      <c r="AAN512" s="332"/>
      <c r="AAO512" s="332"/>
      <c r="AAP512" s="332"/>
      <c r="AAQ512" s="332"/>
      <c r="AAR512" s="332"/>
      <c r="AAS512" s="332"/>
      <c r="AAT512" s="332"/>
      <c r="AAU512" s="332"/>
      <c r="AAV512" s="332"/>
      <c r="AAW512" s="332"/>
      <c r="AAX512" s="332"/>
      <c r="AAY512" s="332"/>
      <c r="AAZ512" s="332"/>
      <c r="ABA512" s="332"/>
      <c r="ABB512" s="332"/>
      <c r="ABC512" s="332"/>
      <c r="ABD512" s="332"/>
      <c r="ABE512" s="332"/>
      <c r="ABF512" s="332"/>
      <c r="ABG512" s="332"/>
      <c r="ABH512" s="332"/>
      <c r="ABI512" s="332"/>
      <c r="ABJ512" s="332"/>
      <c r="ABK512" s="332"/>
      <c r="ABL512" s="332"/>
      <c r="ABM512" s="332"/>
      <c r="ABN512" s="332"/>
      <c r="ABO512" s="332"/>
      <c r="ABP512" s="332"/>
      <c r="ABQ512" s="332"/>
      <c r="ABR512" s="332"/>
      <c r="ABS512" s="332"/>
      <c r="ABT512" s="332"/>
      <c r="ABU512" s="332"/>
      <c r="ABV512" s="332"/>
      <c r="ABW512" s="332"/>
      <c r="ABX512" s="332"/>
      <c r="ABY512" s="332"/>
      <c r="ABZ512" s="332"/>
      <c r="ACA512" s="332"/>
      <c r="ACB512" s="332"/>
      <c r="ACC512" s="332"/>
      <c r="ACD512" s="332"/>
      <c r="ACE512" s="332"/>
      <c r="ACF512" s="332"/>
      <c r="ACG512" s="332"/>
      <c r="ACH512" s="332"/>
      <c r="ACI512" s="332"/>
      <c r="ACJ512" s="332"/>
      <c r="ACK512" s="332"/>
      <c r="ACL512" s="332"/>
      <c r="ACM512" s="332"/>
      <c r="ACN512" s="332"/>
      <c r="ACO512" s="332"/>
      <c r="ACP512" s="332"/>
      <c r="ACQ512" s="332"/>
      <c r="ACR512" s="332"/>
      <c r="ACS512" s="332"/>
      <c r="ACT512" s="332"/>
      <c r="ACU512" s="332"/>
      <c r="ACV512" s="332"/>
      <c r="ACW512" s="332"/>
      <c r="ACX512" s="332"/>
      <c r="ACY512" s="332"/>
      <c r="ACZ512" s="332"/>
      <c r="ADA512" s="332"/>
      <c r="ADB512" s="332"/>
      <c r="ADC512" s="332"/>
      <c r="ADD512" s="332"/>
      <c r="ADE512" s="332"/>
      <c r="ADF512" s="332"/>
      <c r="ADG512" s="332"/>
      <c r="ADH512" s="332"/>
      <c r="ADI512" s="332"/>
      <c r="ADJ512" s="332"/>
      <c r="ADK512" s="332"/>
      <c r="ADL512" s="332"/>
      <c r="ADM512" s="332"/>
      <c r="ADN512" s="332"/>
      <c r="ADO512" s="332"/>
      <c r="ADP512" s="332"/>
      <c r="ADQ512" s="332"/>
      <c r="ADR512" s="332"/>
      <c r="ADS512" s="332"/>
      <c r="ADT512" s="332"/>
      <c r="ADU512" s="332"/>
      <c r="ADV512" s="332"/>
      <c r="ADW512" s="332"/>
      <c r="ADX512" s="332"/>
      <c r="ADY512" s="332"/>
      <c r="ADZ512" s="332"/>
      <c r="AEA512" s="332"/>
      <c r="AEB512" s="332"/>
      <c r="AEC512" s="332"/>
      <c r="AED512" s="332"/>
      <c r="AEE512" s="332"/>
      <c r="AEF512" s="332"/>
      <c r="AEG512" s="332"/>
      <c r="AEH512" s="332"/>
      <c r="AEI512" s="332"/>
      <c r="AEJ512" s="332"/>
      <c r="AEK512" s="332"/>
      <c r="AEL512" s="332"/>
      <c r="AEM512" s="332"/>
      <c r="AEN512" s="332"/>
      <c r="AEO512" s="332"/>
      <c r="AEP512" s="332"/>
      <c r="AEQ512" s="332"/>
      <c r="AER512" s="332"/>
      <c r="AES512" s="332"/>
      <c r="AET512" s="332"/>
      <c r="AEU512" s="332"/>
      <c r="AEV512" s="332"/>
      <c r="AEW512" s="332"/>
      <c r="AEX512" s="332"/>
      <c r="AEY512" s="332"/>
      <c r="AEZ512" s="332"/>
      <c r="AFA512" s="332"/>
      <c r="AFB512" s="332"/>
      <c r="AFC512" s="332"/>
      <c r="AFD512" s="332"/>
      <c r="AFE512" s="332"/>
      <c r="AFF512" s="332"/>
      <c r="AFG512" s="332"/>
      <c r="AFH512" s="332"/>
      <c r="AFI512" s="332"/>
      <c r="AFJ512" s="332"/>
      <c r="AFK512" s="332"/>
      <c r="AFL512" s="332"/>
      <c r="AFM512" s="332"/>
      <c r="AFN512" s="332"/>
      <c r="AFO512" s="332"/>
      <c r="AFP512" s="332"/>
      <c r="AFQ512" s="332"/>
      <c r="AFR512" s="332"/>
      <c r="AFS512" s="332"/>
      <c r="AFT512" s="332"/>
      <c r="AFU512" s="332"/>
      <c r="AFV512" s="332"/>
      <c r="AFW512" s="332"/>
      <c r="AFX512" s="332"/>
      <c r="AFY512" s="332"/>
      <c r="AFZ512" s="332"/>
      <c r="AGA512" s="332"/>
      <c r="AGB512" s="332"/>
      <c r="AGC512" s="332"/>
      <c r="AGD512" s="332"/>
      <c r="AGE512" s="332"/>
      <c r="AGF512" s="332"/>
      <c r="AGG512" s="332"/>
      <c r="AGH512" s="332"/>
      <c r="AGI512" s="332"/>
      <c r="AGJ512" s="332"/>
      <c r="AGK512" s="332"/>
      <c r="AGL512" s="332"/>
      <c r="AGM512" s="332"/>
      <c r="AGN512" s="332"/>
      <c r="AGO512" s="332"/>
      <c r="AGP512" s="332"/>
      <c r="AGQ512" s="332"/>
      <c r="AGR512" s="332"/>
      <c r="AGS512" s="332"/>
      <c r="AGT512" s="332"/>
      <c r="AGU512" s="332"/>
      <c r="AGV512" s="332"/>
      <c r="AGW512" s="332"/>
      <c r="AGX512" s="332"/>
      <c r="AGY512" s="332"/>
      <c r="AGZ512" s="332"/>
      <c r="AHA512" s="332"/>
      <c r="AHB512" s="332"/>
      <c r="AHC512" s="332"/>
      <c r="AHD512" s="332"/>
      <c r="AHE512" s="332"/>
      <c r="AHF512" s="332"/>
      <c r="AHG512" s="332"/>
      <c r="AHH512" s="332"/>
      <c r="AHI512" s="332"/>
      <c r="AHJ512" s="332"/>
      <c r="AHK512" s="332"/>
      <c r="AHL512" s="332"/>
      <c r="AHM512" s="332"/>
      <c r="AHN512" s="332"/>
      <c r="AHO512" s="332"/>
      <c r="AHP512" s="332"/>
      <c r="AHQ512" s="332"/>
      <c r="AHR512" s="332"/>
      <c r="AHS512" s="332"/>
      <c r="AHT512" s="332"/>
      <c r="AHU512" s="332"/>
      <c r="AHV512" s="332"/>
      <c r="AHW512" s="332"/>
      <c r="AHX512" s="332"/>
      <c r="AHY512" s="332"/>
      <c r="AHZ512" s="332"/>
      <c r="AIA512" s="332"/>
      <c r="AIB512" s="332"/>
      <c r="AIC512" s="332"/>
      <c r="AID512" s="332"/>
      <c r="AIE512" s="332"/>
      <c r="AIF512" s="332"/>
      <c r="AIG512" s="332"/>
      <c r="AIH512" s="332"/>
      <c r="AII512" s="332"/>
      <c r="AIJ512" s="332"/>
      <c r="AIK512" s="332"/>
      <c r="AIL512" s="332"/>
      <c r="AIM512" s="332"/>
      <c r="AIN512" s="332"/>
      <c r="AIO512" s="332"/>
      <c r="AIP512" s="332"/>
      <c r="AIQ512" s="332"/>
      <c r="AIR512" s="332"/>
      <c r="AIS512" s="332"/>
      <c r="AIT512" s="332"/>
      <c r="AIU512" s="332"/>
      <c r="AIV512" s="332"/>
      <c r="AIW512" s="332"/>
      <c r="AIX512" s="332"/>
      <c r="AIY512" s="332"/>
      <c r="AIZ512" s="332"/>
      <c r="AJA512" s="332"/>
      <c r="AJB512" s="332"/>
      <c r="AJC512" s="332"/>
      <c r="AJD512" s="332"/>
      <c r="AJE512" s="332"/>
      <c r="AJF512" s="332"/>
      <c r="AJG512" s="332"/>
      <c r="AJH512" s="332"/>
      <c r="AJI512" s="332"/>
      <c r="AJJ512" s="332"/>
      <c r="AJK512" s="332"/>
      <c r="AJL512" s="332"/>
      <c r="AJM512" s="332"/>
      <c r="AJN512" s="332"/>
      <c r="AJO512" s="332"/>
      <c r="AJP512" s="332"/>
      <c r="AJQ512" s="332"/>
      <c r="AJR512" s="332"/>
      <c r="AJS512" s="332"/>
      <c r="AJT512" s="332"/>
      <c r="AJU512" s="332"/>
      <c r="AJV512" s="332"/>
      <c r="AJW512" s="332"/>
      <c r="AJX512" s="332"/>
      <c r="AJY512" s="332"/>
      <c r="AJZ512" s="332"/>
      <c r="AKA512" s="332"/>
      <c r="AKB512" s="332"/>
      <c r="AKC512" s="332"/>
      <c r="AKD512" s="332"/>
      <c r="AKE512" s="332"/>
      <c r="AKF512" s="332"/>
      <c r="AKG512" s="332"/>
      <c r="AKH512" s="332"/>
      <c r="AKI512" s="332"/>
      <c r="AKJ512" s="332"/>
      <c r="AKK512" s="332"/>
      <c r="AKL512" s="332"/>
      <c r="AKM512" s="332"/>
      <c r="AKN512" s="332"/>
      <c r="AKO512" s="332"/>
      <c r="AKP512" s="332"/>
      <c r="AKQ512" s="332"/>
      <c r="AKR512" s="332"/>
      <c r="AKS512" s="332"/>
      <c r="AKT512" s="332"/>
      <c r="AKU512" s="332"/>
      <c r="AKV512" s="332"/>
      <c r="AKW512" s="332"/>
      <c r="AKX512" s="332"/>
      <c r="AKY512" s="332"/>
      <c r="AKZ512" s="332"/>
      <c r="ALA512" s="332"/>
      <c r="ALB512" s="332"/>
      <c r="ALC512" s="332"/>
      <c r="ALD512" s="332"/>
      <c r="ALE512" s="332"/>
      <c r="ALF512" s="332"/>
      <c r="ALG512" s="332"/>
      <c r="ALH512" s="332"/>
      <c r="ALI512" s="332"/>
      <c r="ALJ512" s="332"/>
      <c r="ALK512" s="332"/>
      <c r="ALL512" s="332"/>
      <c r="ALM512" s="332"/>
      <c r="ALN512" s="332"/>
      <c r="ALO512" s="332"/>
      <c r="ALP512" s="332"/>
      <c r="ALQ512" s="332"/>
      <c r="ALR512" s="332"/>
      <c r="ALS512" s="332"/>
      <c r="ALT512" s="332"/>
      <c r="ALU512" s="332"/>
      <c r="ALV512" s="332"/>
      <c r="ALW512" s="332"/>
      <c r="ALX512" s="332"/>
      <c r="ALY512" s="332"/>
      <c r="ALZ512" s="332"/>
      <c r="AMA512" s="332"/>
      <c r="AMB512" s="332"/>
      <c r="AMC512" s="332"/>
      <c r="AMD512" s="332"/>
      <c r="AME512" s="332"/>
      <c r="AMF512" s="332"/>
      <c r="AMG512" s="332"/>
      <c r="AMH512" s="332"/>
      <c r="AMI512" s="332"/>
      <c r="AMJ512" s="332"/>
      <c r="AMK512" s="332"/>
      <c r="AML512" s="332"/>
      <c r="AMM512" s="332"/>
      <c r="AMN512" s="332"/>
      <c r="AMO512" s="332"/>
      <c r="AMP512" s="332"/>
      <c r="AMQ512" s="332"/>
      <c r="AMR512" s="332"/>
      <c r="AMS512" s="332"/>
      <c r="AMT512" s="332"/>
      <c r="AMU512" s="332"/>
      <c r="AMV512" s="332"/>
      <c r="AMW512" s="332"/>
      <c r="AMX512" s="332"/>
      <c r="AMY512" s="332"/>
      <c r="AMZ512" s="332"/>
      <c r="ANA512" s="332"/>
      <c r="ANB512" s="332"/>
      <c r="ANC512" s="332"/>
      <c r="AND512" s="332"/>
      <c r="ANE512" s="332"/>
      <c r="ANF512" s="332"/>
      <c r="ANG512" s="332"/>
      <c r="ANH512" s="332"/>
      <c r="ANI512" s="332"/>
      <c r="ANJ512" s="332"/>
      <c r="ANK512" s="332"/>
      <c r="ANL512" s="332"/>
      <c r="ANM512" s="332"/>
      <c r="ANN512" s="332"/>
      <c r="ANO512" s="332"/>
      <c r="ANP512" s="332"/>
      <c r="ANQ512" s="332"/>
      <c r="ANR512" s="332"/>
      <c r="ANS512" s="332"/>
      <c r="ANT512" s="332"/>
      <c r="ANU512" s="332"/>
      <c r="ANV512" s="332"/>
      <c r="ANW512" s="332"/>
      <c r="ANX512" s="332"/>
      <c r="ANY512" s="332"/>
      <c r="ANZ512" s="332"/>
      <c r="AOA512" s="332"/>
      <c r="AOB512" s="332"/>
      <c r="AOC512" s="332"/>
      <c r="AOD512" s="332"/>
      <c r="AOE512" s="332"/>
      <c r="AOF512" s="332"/>
      <c r="AOG512" s="332"/>
      <c r="AOH512" s="332"/>
      <c r="AOI512" s="332"/>
      <c r="AOJ512" s="332"/>
      <c r="AOK512" s="332"/>
      <c r="AOL512" s="332"/>
      <c r="AOM512" s="332"/>
      <c r="AON512" s="332"/>
      <c r="AOO512" s="332"/>
      <c r="AOP512" s="332"/>
      <c r="AOQ512" s="332"/>
      <c r="AOR512" s="332"/>
      <c r="AOS512" s="332"/>
      <c r="AOT512" s="332"/>
      <c r="AOU512" s="332"/>
      <c r="AOV512" s="332"/>
      <c r="AOW512" s="332"/>
      <c r="AOX512" s="332"/>
      <c r="AOY512" s="332"/>
      <c r="AOZ512" s="332"/>
      <c r="APA512" s="332"/>
      <c r="APB512" s="332"/>
      <c r="APC512" s="332"/>
      <c r="APD512" s="332"/>
      <c r="APE512" s="332"/>
      <c r="APF512" s="332"/>
      <c r="APG512" s="332"/>
      <c r="APH512" s="332"/>
      <c r="API512" s="332"/>
      <c r="APJ512" s="332"/>
      <c r="APK512" s="332"/>
      <c r="APL512" s="332"/>
      <c r="APM512" s="332"/>
      <c r="APN512" s="332"/>
      <c r="APO512" s="332"/>
      <c r="APP512" s="332"/>
      <c r="APQ512" s="332"/>
      <c r="APR512" s="332"/>
      <c r="APS512" s="332"/>
      <c r="APT512" s="332"/>
      <c r="APU512" s="332"/>
      <c r="APV512" s="332"/>
      <c r="APW512" s="332"/>
      <c r="APX512" s="332"/>
      <c r="APY512" s="332"/>
      <c r="APZ512" s="332"/>
      <c r="AQA512" s="332"/>
      <c r="AQB512" s="332"/>
      <c r="AQC512" s="332"/>
      <c r="AQD512" s="332"/>
      <c r="AQE512" s="332"/>
      <c r="AQF512" s="332"/>
      <c r="AQG512" s="332"/>
      <c r="AQH512" s="332"/>
      <c r="AQI512" s="332"/>
      <c r="AQJ512" s="332"/>
      <c r="AQK512" s="332"/>
      <c r="AQL512" s="332"/>
      <c r="AQM512" s="332"/>
      <c r="AQN512" s="332"/>
      <c r="AQO512" s="332"/>
      <c r="AQP512" s="332"/>
      <c r="AQQ512" s="332"/>
      <c r="AQR512" s="332"/>
      <c r="AQS512" s="332"/>
      <c r="AQT512" s="332"/>
      <c r="AQU512" s="332"/>
      <c r="AQV512" s="332"/>
      <c r="AQW512" s="332"/>
      <c r="AQX512" s="332"/>
      <c r="AQY512" s="332"/>
      <c r="AQZ512" s="332"/>
      <c r="ARA512" s="332"/>
      <c r="ARB512" s="332"/>
      <c r="ARC512" s="332"/>
      <c r="ARD512" s="332"/>
      <c r="ARE512" s="332"/>
      <c r="ARF512" s="332"/>
      <c r="ARG512" s="332"/>
      <c r="ARH512" s="332"/>
      <c r="ARI512" s="332"/>
      <c r="ARJ512" s="332"/>
      <c r="ARK512" s="332"/>
      <c r="ARL512" s="332"/>
      <c r="ARM512" s="332"/>
      <c r="ARN512" s="332"/>
      <c r="ARO512" s="332"/>
      <c r="ARP512" s="332"/>
      <c r="ARQ512" s="332"/>
      <c r="ARR512" s="332"/>
      <c r="ARS512" s="332"/>
      <c r="ART512" s="332"/>
      <c r="ARU512" s="332"/>
      <c r="ARV512" s="332"/>
      <c r="ARW512" s="332"/>
      <c r="ARX512" s="332"/>
      <c r="ARY512" s="332"/>
      <c r="ARZ512" s="332"/>
      <c r="ASA512" s="332"/>
      <c r="ASB512" s="332"/>
      <c r="ASC512" s="332"/>
      <c r="ASD512" s="332"/>
      <c r="ASE512" s="332"/>
      <c r="ASF512" s="332"/>
      <c r="ASG512" s="332"/>
      <c r="ASH512" s="332"/>
      <c r="ASI512" s="332"/>
      <c r="ASJ512" s="332"/>
      <c r="ASK512" s="332"/>
      <c r="ASL512" s="332"/>
      <c r="ASM512" s="332"/>
      <c r="ASN512" s="332"/>
      <c r="ASO512" s="332"/>
      <c r="ASP512" s="332"/>
      <c r="ASQ512" s="332"/>
      <c r="ASR512" s="332"/>
      <c r="ASS512" s="332"/>
      <c r="AST512" s="332"/>
      <c r="ASU512" s="332"/>
      <c r="ASV512" s="332"/>
      <c r="ASW512" s="332"/>
      <c r="ASX512" s="332"/>
      <c r="ASY512" s="332"/>
      <c r="ASZ512" s="332"/>
      <c r="ATA512" s="332"/>
      <c r="ATB512" s="332"/>
      <c r="ATC512" s="332"/>
      <c r="ATD512" s="332"/>
      <c r="ATE512" s="332"/>
      <c r="ATF512" s="332"/>
      <c r="ATG512" s="332"/>
      <c r="ATH512" s="332"/>
      <c r="ATI512" s="332"/>
      <c r="ATJ512" s="332"/>
      <c r="ATK512" s="332"/>
      <c r="ATL512" s="332"/>
      <c r="ATM512" s="332"/>
      <c r="ATN512" s="332"/>
      <c r="ATO512" s="332"/>
      <c r="ATP512" s="332"/>
      <c r="ATQ512" s="332"/>
      <c r="ATR512" s="332"/>
      <c r="ATS512" s="332"/>
      <c r="ATT512" s="332"/>
      <c r="ATU512" s="332"/>
      <c r="ATV512" s="332"/>
      <c r="ATW512" s="332"/>
      <c r="ATX512" s="332"/>
      <c r="ATY512" s="332"/>
      <c r="ATZ512" s="332"/>
      <c r="AUA512" s="332"/>
      <c r="AUB512" s="332"/>
      <c r="AUC512" s="332"/>
      <c r="AUD512" s="332"/>
      <c r="AUE512" s="332"/>
      <c r="AUF512" s="332"/>
      <c r="AUG512" s="332"/>
      <c r="AUH512" s="332"/>
      <c r="AUI512" s="332"/>
      <c r="AUJ512" s="332"/>
      <c r="AUK512" s="332"/>
      <c r="AUL512" s="332"/>
      <c r="AUM512" s="332"/>
      <c r="AUN512" s="332"/>
      <c r="AUO512" s="332"/>
      <c r="AUP512" s="332"/>
      <c r="AUQ512" s="332"/>
      <c r="AUR512" s="332"/>
      <c r="AUS512" s="332"/>
      <c r="AUT512" s="332"/>
      <c r="AUU512" s="332"/>
      <c r="AUV512" s="332"/>
      <c r="AUW512" s="332"/>
      <c r="AUX512" s="332"/>
      <c r="AUY512" s="332"/>
      <c r="AUZ512" s="332"/>
      <c r="AVA512" s="332"/>
      <c r="AVB512" s="332"/>
      <c r="AVC512" s="332"/>
      <c r="AVD512" s="332"/>
      <c r="AVE512" s="332"/>
      <c r="AVF512" s="332"/>
      <c r="AVG512" s="332"/>
      <c r="AVH512" s="332"/>
      <c r="AVI512" s="332"/>
      <c r="AVJ512" s="332"/>
      <c r="AVK512" s="332"/>
      <c r="AVL512" s="332"/>
      <c r="AVM512" s="332"/>
      <c r="AVN512" s="332"/>
      <c r="AVO512" s="332"/>
      <c r="AVP512" s="332"/>
      <c r="AVQ512" s="332"/>
      <c r="AVR512" s="332"/>
      <c r="AVS512" s="332"/>
      <c r="AVT512" s="332"/>
      <c r="AVU512" s="332"/>
      <c r="AVV512" s="332"/>
      <c r="AVW512" s="332"/>
      <c r="AVX512" s="332"/>
      <c r="AVY512" s="332"/>
      <c r="AVZ512" s="332"/>
      <c r="AWA512" s="332"/>
      <c r="AWB512" s="332"/>
      <c r="AWC512" s="332"/>
      <c r="AWD512" s="332"/>
      <c r="AWE512" s="332"/>
      <c r="AWF512" s="332"/>
      <c r="AWG512" s="332"/>
      <c r="AWH512" s="332"/>
      <c r="AWI512" s="332"/>
      <c r="AWJ512" s="332"/>
      <c r="AWK512" s="332"/>
      <c r="AWL512" s="332"/>
      <c r="AWM512" s="332"/>
      <c r="AWN512" s="332"/>
      <c r="AWO512" s="332"/>
      <c r="AWP512" s="332"/>
      <c r="AWQ512" s="332"/>
      <c r="AWR512" s="332"/>
      <c r="AWS512" s="332"/>
      <c r="AWT512" s="332"/>
      <c r="AWU512" s="332"/>
      <c r="AWV512" s="332"/>
      <c r="AWW512" s="332"/>
      <c r="AWX512" s="332"/>
      <c r="AWY512" s="332"/>
      <c r="AWZ512" s="332"/>
      <c r="AXA512" s="332"/>
      <c r="AXB512" s="332"/>
      <c r="AXC512" s="332"/>
      <c r="AXD512" s="332"/>
      <c r="AXE512" s="332"/>
      <c r="AXF512" s="332"/>
      <c r="AXG512" s="332"/>
      <c r="AXH512" s="332"/>
      <c r="AXI512" s="332"/>
      <c r="AXJ512" s="332"/>
      <c r="AXK512" s="332"/>
      <c r="AXL512" s="332"/>
      <c r="AXM512" s="332"/>
      <c r="AXN512" s="332"/>
      <c r="AXO512" s="332"/>
      <c r="AXP512" s="332"/>
      <c r="AXQ512" s="332"/>
      <c r="AXR512" s="332"/>
      <c r="AXS512" s="332"/>
      <c r="AXT512" s="332"/>
      <c r="AXU512" s="332"/>
      <c r="AXV512" s="332"/>
      <c r="AXW512" s="332"/>
      <c r="AXX512" s="332"/>
      <c r="AXY512" s="332"/>
      <c r="AXZ512" s="332"/>
      <c r="AYA512" s="332"/>
      <c r="AYB512" s="332"/>
      <c r="AYC512" s="332"/>
      <c r="AYD512" s="332"/>
      <c r="AYE512" s="332"/>
      <c r="AYF512" s="332"/>
      <c r="AYG512" s="332"/>
      <c r="AYH512" s="332"/>
      <c r="AYI512" s="332"/>
      <c r="AYJ512" s="332"/>
      <c r="AYK512" s="332"/>
      <c r="AYL512" s="332"/>
      <c r="AYM512" s="332"/>
      <c r="AYN512" s="332"/>
      <c r="AYO512" s="332"/>
      <c r="AYP512" s="332"/>
      <c r="AYQ512" s="332"/>
      <c r="AYR512" s="332"/>
      <c r="AYS512" s="332"/>
      <c r="AYT512" s="332"/>
      <c r="AYU512" s="332"/>
      <c r="AYV512" s="332"/>
      <c r="AYW512" s="332"/>
      <c r="AYX512" s="332"/>
      <c r="AYY512" s="332"/>
      <c r="AYZ512" s="332"/>
      <c r="AZA512" s="332"/>
      <c r="AZB512" s="332"/>
      <c r="AZC512" s="332"/>
      <c r="AZD512" s="332"/>
      <c r="AZE512" s="332"/>
      <c r="AZF512" s="332"/>
      <c r="AZG512" s="332"/>
      <c r="AZH512" s="332"/>
      <c r="AZI512" s="332"/>
      <c r="AZJ512" s="332"/>
      <c r="AZK512" s="332"/>
      <c r="AZL512" s="332"/>
      <c r="AZM512" s="332"/>
      <c r="AZN512" s="332"/>
      <c r="AZO512" s="332"/>
      <c r="AZP512" s="332"/>
      <c r="AZQ512" s="332"/>
      <c r="AZR512" s="332"/>
      <c r="AZS512" s="332"/>
      <c r="AZT512" s="332"/>
      <c r="AZU512" s="332"/>
      <c r="AZV512" s="332"/>
      <c r="AZW512" s="332"/>
      <c r="AZX512" s="332"/>
      <c r="AZY512" s="332"/>
      <c r="AZZ512" s="332"/>
      <c r="BAA512" s="332"/>
      <c r="BAB512" s="332"/>
      <c r="BAC512" s="332"/>
      <c r="BAD512" s="332"/>
      <c r="BAE512" s="332"/>
      <c r="BAF512" s="332"/>
      <c r="BAG512" s="332"/>
      <c r="BAH512" s="332"/>
      <c r="BAI512" s="332"/>
      <c r="BAJ512" s="332"/>
      <c r="BAK512" s="332"/>
      <c r="BAL512" s="332"/>
      <c r="BAM512" s="332"/>
      <c r="BAN512" s="332"/>
      <c r="BAO512" s="332"/>
      <c r="BAP512" s="332"/>
      <c r="BAQ512" s="332"/>
      <c r="BAR512" s="332"/>
      <c r="BAS512" s="332"/>
      <c r="BAT512" s="332"/>
      <c r="BAU512" s="332"/>
      <c r="BAV512" s="332"/>
      <c r="BAW512" s="332"/>
      <c r="BAX512" s="332"/>
      <c r="BAY512" s="332"/>
      <c r="BAZ512" s="332"/>
      <c r="BBA512" s="332"/>
      <c r="BBB512" s="332"/>
      <c r="BBC512" s="332"/>
      <c r="BBD512" s="332"/>
      <c r="BBE512" s="332"/>
      <c r="BBF512" s="332"/>
      <c r="BBG512" s="332"/>
      <c r="BBH512" s="332"/>
      <c r="BBI512" s="332"/>
      <c r="BBJ512" s="332"/>
      <c r="BBK512" s="332"/>
      <c r="BBL512" s="332"/>
      <c r="BBM512" s="332"/>
      <c r="BBN512" s="332"/>
      <c r="BBO512" s="332"/>
      <c r="BBP512" s="332"/>
      <c r="BBQ512" s="332"/>
      <c r="BBR512" s="332"/>
      <c r="BBS512" s="332"/>
      <c r="BBT512" s="332"/>
      <c r="BBU512" s="332"/>
      <c r="BBV512" s="332"/>
      <c r="BBW512" s="332"/>
      <c r="BBX512" s="332"/>
      <c r="BBY512" s="332"/>
      <c r="BBZ512" s="332"/>
      <c r="BCA512" s="332"/>
      <c r="BCB512" s="332"/>
      <c r="BCC512" s="332"/>
      <c r="BCD512" s="332"/>
      <c r="BCE512" s="332"/>
      <c r="BCF512" s="332"/>
      <c r="BCG512" s="332"/>
      <c r="BCH512" s="332"/>
      <c r="BCI512" s="332"/>
      <c r="BCJ512" s="332"/>
      <c r="BCK512" s="332"/>
      <c r="BCL512" s="332"/>
      <c r="BCM512" s="332"/>
      <c r="BCN512" s="332"/>
      <c r="BCO512" s="332"/>
      <c r="BCP512" s="332"/>
      <c r="BCQ512" s="332"/>
      <c r="BCR512" s="332"/>
      <c r="BCS512" s="332"/>
      <c r="BCT512" s="332"/>
      <c r="BCU512" s="332"/>
      <c r="BCV512" s="332"/>
      <c r="BCW512" s="332"/>
      <c r="BCX512" s="332"/>
      <c r="BCY512" s="332"/>
      <c r="BCZ512" s="332"/>
      <c r="BDA512" s="332"/>
      <c r="BDB512" s="332"/>
      <c r="BDC512" s="332"/>
      <c r="BDD512" s="332"/>
      <c r="BDE512" s="332"/>
      <c r="BDF512" s="332"/>
      <c r="BDG512" s="332"/>
      <c r="BDH512" s="332"/>
      <c r="BDI512" s="332"/>
      <c r="BDJ512" s="332"/>
      <c r="BDK512" s="332"/>
      <c r="BDL512" s="332"/>
      <c r="BDM512" s="332"/>
      <c r="BDN512" s="332"/>
      <c r="BDO512" s="332"/>
      <c r="BDP512" s="332"/>
      <c r="BDQ512" s="332"/>
      <c r="BDR512" s="332"/>
      <c r="BDS512" s="332"/>
      <c r="BDT512" s="332"/>
      <c r="BDU512" s="332"/>
      <c r="BDV512" s="332"/>
      <c r="BDW512" s="332"/>
      <c r="BDX512" s="332"/>
      <c r="BDY512" s="332"/>
      <c r="BDZ512" s="332"/>
      <c r="BEA512" s="332"/>
      <c r="BEB512" s="332"/>
      <c r="BEC512" s="332"/>
      <c r="BED512" s="332"/>
      <c r="BEE512" s="332"/>
      <c r="BEF512" s="332"/>
      <c r="BEG512" s="332"/>
      <c r="BEH512" s="332"/>
      <c r="BEI512" s="332"/>
      <c r="BEJ512" s="332"/>
      <c r="BEK512" s="332"/>
      <c r="BEL512" s="332"/>
      <c r="BEM512" s="332"/>
      <c r="BEN512" s="332"/>
      <c r="BEO512" s="332"/>
      <c r="BEP512" s="332"/>
      <c r="BEQ512" s="332"/>
      <c r="BER512" s="332"/>
      <c r="BES512" s="332"/>
      <c r="BET512" s="332"/>
      <c r="BEU512" s="332"/>
      <c r="BEV512" s="332"/>
      <c r="BEW512" s="332"/>
      <c r="BEX512" s="332"/>
      <c r="BEY512" s="332"/>
      <c r="BEZ512" s="332"/>
      <c r="BFA512" s="332"/>
      <c r="BFB512" s="332"/>
      <c r="BFC512" s="332"/>
      <c r="BFD512" s="332"/>
      <c r="BFE512" s="332"/>
      <c r="BFF512" s="332"/>
      <c r="BFG512" s="332"/>
      <c r="BFH512" s="332"/>
      <c r="BFI512" s="332"/>
      <c r="BFJ512" s="332"/>
      <c r="BFK512" s="332"/>
      <c r="BFL512" s="332"/>
      <c r="BFM512" s="332"/>
      <c r="BFN512" s="332"/>
      <c r="BFO512" s="332"/>
      <c r="BFP512" s="332"/>
      <c r="BFQ512" s="332"/>
      <c r="BFR512" s="332"/>
      <c r="BFS512" s="332"/>
      <c r="BFT512" s="332"/>
      <c r="BFU512" s="332"/>
      <c r="BFV512" s="332"/>
      <c r="BFW512" s="332"/>
      <c r="BFX512" s="332"/>
      <c r="BFY512" s="332"/>
      <c r="BFZ512" s="332"/>
      <c r="BGA512" s="332"/>
      <c r="BGB512" s="332"/>
      <c r="BGC512" s="332"/>
      <c r="BGD512" s="332"/>
      <c r="BGE512" s="332"/>
      <c r="BGF512" s="332"/>
      <c r="BGG512" s="332"/>
      <c r="BGH512" s="332"/>
      <c r="BGI512" s="332"/>
      <c r="BGJ512" s="332"/>
      <c r="BGK512" s="332"/>
      <c r="BGL512" s="332"/>
      <c r="BGM512" s="332"/>
      <c r="BGN512" s="332"/>
      <c r="BGO512" s="332"/>
      <c r="BGP512" s="332"/>
      <c r="BGQ512" s="332"/>
      <c r="BGR512" s="332"/>
      <c r="BGS512" s="332"/>
      <c r="BGT512" s="332"/>
      <c r="BGU512" s="332"/>
      <c r="BGV512" s="332"/>
      <c r="BGW512" s="332"/>
      <c r="BGX512" s="332"/>
      <c r="BGY512" s="332"/>
      <c r="BGZ512" s="332"/>
      <c r="BHA512" s="332"/>
      <c r="BHB512" s="332"/>
      <c r="BHC512" s="332"/>
      <c r="BHD512" s="332"/>
      <c r="BHE512" s="332"/>
      <c r="BHF512" s="332"/>
      <c r="BHG512" s="332"/>
      <c r="BHH512" s="332"/>
      <c r="BHI512" s="332"/>
      <c r="BHJ512" s="332"/>
      <c r="BHK512" s="332"/>
      <c r="BHL512" s="332"/>
      <c r="BHM512" s="332"/>
      <c r="BHN512" s="332"/>
      <c r="BHO512" s="332"/>
      <c r="BHP512" s="332"/>
      <c r="BHQ512" s="332"/>
      <c r="BHR512" s="332"/>
      <c r="BHS512" s="332"/>
      <c r="BHT512" s="332"/>
      <c r="BHU512" s="332"/>
      <c r="BHV512" s="332"/>
      <c r="BHW512" s="332"/>
      <c r="BHX512" s="332"/>
      <c r="BHY512" s="332"/>
      <c r="BHZ512" s="332"/>
      <c r="BIA512" s="332"/>
      <c r="BIB512" s="332"/>
      <c r="BIC512" s="332"/>
      <c r="BID512" s="332"/>
      <c r="BIE512" s="332"/>
      <c r="BIF512" s="332"/>
      <c r="BIG512" s="332"/>
      <c r="BIH512" s="332"/>
      <c r="BII512" s="332"/>
      <c r="BIJ512" s="332"/>
      <c r="BIK512" s="332"/>
      <c r="BIL512" s="332"/>
      <c r="BIM512" s="332"/>
      <c r="BIN512" s="332"/>
      <c r="BIO512" s="332"/>
      <c r="BIP512" s="332"/>
      <c r="BIQ512" s="332"/>
      <c r="BIR512" s="332"/>
      <c r="BIS512" s="332"/>
      <c r="BIT512" s="332"/>
      <c r="BIU512" s="332"/>
      <c r="BIV512" s="332"/>
      <c r="BIW512" s="332"/>
      <c r="BIX512" s="332"/>
      <c r="BIY512" s="332"/>
      <c r="BIZ512" s="332"/>
      <c r="BJA512" s="332"/>
      <c r="BJB512" s="332"/>
      <c r="BJC512" s="332"/>
      <c r="BJD512" s="332"/>
      <c r="BJE512" s="332"/>
      <c r="BJF512" s="332"/>
      <c r="BJG512" s="332"/>
      <c r="BJH512" s="332"/>
      <c r="BJI512" s="332"/>
      <c r="BJJ512" s="332"/>
      <c r="BJK512" s="332"/>
      <c r="BJL512" s="332"/>
      <c r="BJM512" s="332"/>
      <c r="BJN512" s="332"/>
      <c r="BJO512" s="332"/>
      <c r="BJP512" s="332"/>
      <c r="BJQ512" s="332"/>
      <c r="BJR512" s="332"/>
      <c r="BJS512" s="332"/>
      <c r="BJT512" s="332"/>
      <c r="BJU512" s="332"/>
      <c r="BJV512" s="332"/>
      <c r="BJW512" s="332"/>
      <c r="BJX512" s="332"/>
      <c r="BJY512" s="332"/>
      <c r="BJZ512" s="332"/>
      <c r="BKA512" s="332"/>
      <c r="BKB512" s="332"/>
      <c r="BKC512" s="332"/>
      <c r="BKD512" s="332"/>
      <c r="BKE512" s="332"/>
      <c r="BKF512" s="332"/>
      <c r="BKG512" s="332"/>
      <c r="BKH512" s="332"/>
      <c r="BKI512" s="332"/>
      <c r="BKJ512" s="332"/>
      <c r="BKK512" s="332"/>
      <c r="BKL512" s="332"/>
      <c r="BKM512" s="332"/>
      <c r="BKN512" s="332"/>
      <c r="BKO512" s="332"/>
      <c r="BKP512" s="332"/>
      <c r="BKQ512" s="332"/>
      <c r="BKR512" s="332"/>
      <c r="BKS512" s="332"/>
      <c r="BKT512" s="332"/>
      <c r="BKU512" s="332"/>
      <c r="BKV512" s="332"/>
      <c r="BKW512" s="332"/>
      <c r="BKX512" s="332"/>
      <c r="BKY512" s="332"/>
      <c r="BKZ512" s="332"/>
      <c r="BLA512" s="332"/>
      <c r="BLB512" s="332"/>
      <c r="BLC512" s="332"/>
      <c r="BLD512" s="332"/>
      <c r="BLE512" s="332"/>
      <c r="BLF512" s="332"/>
      <c r="BLG512" s="332"/>
      <c r="BLH512" s="332"/>
      <c r="BLI512" s="332"/>
      <c r="BLJ512" s="332"/>
      <c r="BLK512" s="332"/>
      <c r="BLL512" s="332"/>
      <c r="BLM512" s="332"/>
      <c r="BLN512" s="332"/>
      <c r="BLO512" s="332"/>
      <c r="BLP512" s="332"/>
      <c r="BLQ512" s="332"/>
      <c r="BLR512" s="332"/>
      <c r="BLS512" s="332"/>
      <c r="BLT512" s="332"/>
      <c r="BLU512" s="332"/>
      <c r="BLV512" s="332"/>
      <c r="BLW512" s="332"/>
      <c r="BLX512" s="332"/>
      <c r="BLY512" s="332"/>
      <c r="BLZ512" s="332"/>
      <c r="BMA512" s="332"/>
      <c r="BMB512" s="332"/>
      <c r="BMC512" s="332"/>
      <c r="BMD512" s="332"/>
      <c r="BME512" s="332"/>
      <c r="BMF512" s="332"/>
      <c r="BMG512" s="332"/>
      <c r="BMH512" s="332"/>
      <c r="BMI512" s="332"/>
      <c r="BMJ512" s="332"/>
      <c r="BMK512" s="332"/>
      <c r="BML512" s="332"/>
      <c r="BMM512" s="332"/>
      <c r="BMN512" s="332"/>
      <c r="BMO512" s="332"/>
      <c r="BMP512" s="332"/>
      <c r="BMQ512" s="332"/>
      <c r="BMR512" s="332"/>
      <c r="BMS512" s="332"/>
      <c r="BMT512" s="332"/>
      <c r="BMU512" s="332"/>
      <c r="BMV512" s="332"/>
      <c r="BMW512" s="332"/>
      <c r="BMX512" s="332"/>
      <c r="BMY512" s="332"/>
      <c r="BMZ512" s="332"/>
      <c r="BNA512" s="332"/>
      <c r="BNB512" s="332"/>
      <c r="BNC512" s="332"/>
      <c r="BND512" s="332"/>
      <c r="BNE512" s="332"/>
      <c r="BNF512" s="332"/>
      <c r="BNG512" s="332"/>
      <c r="BNH512" s="332"/>
      <c r="BNI512" s="332"/>
      <c r="BNJ512" s="332"/>
      <c r="BNK512" s="332"/>
      <c r="BNL512" s="332"/>
      <c r="BNM512" s="332"/>
      <c r="BNN512" s="332"/>
      <c r="BNO512" s="332"/>
      <c r="BNP512" s="332"/>
      <c r="BNQ512" s="332"/>
      <c r="BNR512" s="332"/>
      <c r="BNS512" s="332"/>
      <c r="BNT512" s="332"/>
      <c r="BNU512" s="332"/>
      <c r="BNV512" s="332"/>
      <c r="BNW512" s="332"/>
      <c r="BNX512" s="332"/>
      <c r="BNY512" s="332"/>
      <c r="BNZ512" s="332"/>
      <c r="BOA512" s="332"/>
      <c r="BOB512" s="332"/>
      <c r="BOC512" s="332"/>
      <c r="BOD512" s="332"/>
      <c r="BOE512" s="332"/>
      <c r="BOF512" s="332"/>
      <c r="BOG512" s="332"/>
      <c r="BOH512" s="332"/>
      <c r="BOI512" s="332"/>
      <c r="BOJ512" s="332"/>
      <c r="BOK512" s="332"/>
      <c r="BOL512" s="332"/>
      <c r="BOM512" s="332"/>
      <c r="BON512" s="332"/>
      <c r="BOO512" s="332"/>
      <c r="BOP512" s="332"/>
      <c r="BOQ512" s="332"/>
      <c r="BOR512" s="332"/>
      <c r="BOS512" s="332"/>
      <c r="BOT512" s="332"/>
      <c r="BOU512" s="332"/>
      <c r="BOV512" s="332"/>
      <c r="BOW512" s="332"/>
      <c r="BOX512" s="332"/>
      <c r="BOY512" s="332"/>
      <c r="BOZ512" s="332"/>
      <c r="BPA512" s="332"/>
      <c r="BPB512" s="332"/>
      <c r="BPC512" s="332"/>
      <c r="BPD512" s="332"/>
      <c r="BPE512" s="332"/>
      <c r="BPF512" s="332"/>
      <c r="BPG512" s="332"/>
      <c r="BPH512" s="332"/>
      <c r="BPI512" s="332"/>
      <c r="BPJ512" s="332"/>
      <c r="BPK512" s="332"/>
      <c r="BPL512" s="332"/>
      <c r="BPM512" s="332"/>
      <c r="BPN512" s="332"/>
      <c r="BPO512" s="332"/>
      <c r="BPP512" s="332"/>
      <c r="BPQ512" s="332"/>
      <c r="BPR512" s="332"/>
      <c r="BPS512" s="332"/>
      <c r="BPT512" s="332"/>
      <c r="BPU512" s="332"/>
      <c r="BPV512" s="332"/>
      <c r="BPW512" s="332"/>
      <c r="BPX512" s="332"/>
      <c r="BPY512" s="332"/>
      <c r="BPZ512" s="332"/>
      <c r="BQA512" s="332"/>
      <c r="BQB512" s="332"/>
      <c r="BQC512" s="332"/>
      <c r="BQD512" s="332"/>
      <c r="BQE512" s="332"/>
      <c r="BQF512" s="332"/>
      <c r="BQG512" s="332"/>
      <c r="BQH512" s="332"/>
      <c r="BQI512" s="332"/>
      <c r="BQJ512" s="332"/>
      <c r="BQK512" s="332"/>
      <c r="BQL512" s="332"/>
      <c r="BQM512" s="332"/>
      <c r="BQN512" s="332"/>
      <c r="BQO512" s="332"/>
      <c r="BQP512" s="332"/>
      <c r="BQQ512" s="332"/>
      <c r="BQR512" s="332"/>
      <c r="BQS512" s="332"/>
      <c r="BQT512" s="332"/>
      <c r="BQU512" s="332"/>
      <c r="BQV512" s="332"/>
      <c r="BQW512" s="332"/>
      <c r="BQX512" s="332"/>
      <c r="BQY512" s="332"/>
      <c r="BQZ512" s="332"/>
      <c r="BRA512" s="332"/>
      <c r="BRB512" s="332"/>
      <c r="BRC512" s="332"/>
      <c r="BRD512" s="332"/>
      <c r="BRE512" s="332"/>
      <c r="BRF512" s="332"/>
      <c r="BRG512" s="332"/>
      <c r="BRH512" s="332"/>
      <c r="BRI512" s="332"/>
      <c r="BRJ512" s="332"/>
      <c r="BRK512" s="332"/>
      <c r="BRL512" s="332"/>
      <c r="BRM512" s="332"/>
      <c r="BRN512" s="332"/>
      <c r="BRO512" s="332"/>
      <c r="BRP512" s="332"/>
      <c r="BRQ512" s="332"/>
      <c r="BRR512" s="332"/>
      <c r="BRS512" s="332"/>
      <c r="BRT512" s="332"/>
      <c r="BRU512" s="332"/>
      <c r="BRV512" s="332"/>
      <c r="BRW512" s="332"/>
      <c r="BRX512" s="332"/>
      <c r="BRY512" s="332"/>
      <c r="BRZ512" s="332"/>
      <c r="BSA512" s="332"/>
      <c r="BSB512" s="332"/>
      <c r="BSC512" s="332"/>
      <c r="BSD512" s="332"/>
      <c r="BSE512" s="332"/>
      <c r="BSF512" s="332"/>
      <c r="BSG512" s="332"/>
      <c r="BSH512" s="332"/>
      <c r="BSI512" s="332"/>
      <c r="BSJ512" s="332"/>
      <c r="BSK512" s="332"/>
      <c r="BSL512" s="332"/>
      <c r="BSM512" s="332"/>
      <c r="BSN512" s="332"/>
      <c r="BSO512" s="332"/>
      <c r="BSP512" s="332"/>
      <c r="BSQ512" s="332"/>
      <c r="BSR512" s="332"/>
      <c r="BSS512" s="332"/>
      <c r="BST512" s="332"/>
      <c r="BSU512" s="332"/>
      <c r="BSV512" s="332"/>
      <c r="BSW512" s="332"/>
      <c r="BSX512" s="332"/>
      <c r="BSY512" s="332"/>
      <c r="BSZ512" s="332"/>
      <c r="BTA512" s="332"/>
      <c r="BTB512" s="332"/>
      <c r="BTC512" s="332"/>
      <c r="BTD512" s="332"/>
      <c r="BTE512" s="332"/>
      <c r="BTF512" s="332"/>
      <c r="BTG512" s="332"/>
      <c r="BTH512" s="332"/>
      <c r="BTI512" s="332"/>
      <c r="BTJ512" s="332"/>
      <c r="BTK512" s="332"/>
      <c r="BTL512" s="332"/>
      <c r="BTM512" s="332"/>
      <c r="BTN512" s="332"/>
      <c r="BTO512" s="332"/>
      <c r="BTP512" s="332"/>
      <c r="BTQ512" s="332"/>
      <c r="BTR512" s="332"/>
      <c r="BTS512" s="332"/>
      <c r="BTT512" s="332"/>
      <c r="BTU512" s="332"/>
      <c r="BTV512" s="332"/>
      <c r="BTW512" s="332"/>
      <c r="BTX512" s="332"/>
      <c r="BTY512" s="332"/>
      <c r="BTZ512" s="332"/>
      <c r="BUA512" s="332"/>
      <c r="BUB512" s="332"/>
      <c r="BUC512" s="332"/>
      <c r="BUD512" s="332"/>
      <c r="BUE512" s="332"/>
      <c r="BUF512" s="332"/>
      <c r="BUG512" s="332"/>
      <c r="BUH512" s="332"/>
      <c r="BUI512" s="332"/>
      <c r="BUJ512" s="332"/>
      <c r="BUK512" s="332"/>
      <c r="BUL512" s="332"/>
      <c r="BUM512" s="332"/>
      <c r="BUN512" s="332"/>
      <c r="BUO512" s="332"/>
      <c r="BUP512" s="332"/>
      <c r="BUQ512" s="332"/>
      <c r="BUR512" s="332"/>
      <c r="BUS512" s="332"/>
      <c r="BUT512" s="332"/>
      <c r="BUU512" s="332"/>
      <c r="BUV512" s="332"/>
      <c r="BUW512" s="332"/>
      <c r="BUX512" s="332"/>
      <c r="BUY512" s="332"/>
      <c r="BUZ512" s="332"/>
      <c r="BVA512" s="332"/>
      <c r="BVB512" s="332"/>
      <c r="BVC512" s="332"/>
      <c r="BVD512" s="332"/>
      <c r="BVE512" s="332"/>
      <c r="BVF512" s="332"/>
      <c r="BVG512" s="332"/>
      <c r="BVH512" s="332"/>
      <c r="BVI512" s="332"/>
      <c r="BVJ512" s="332"/>
      <c r="BVK512" s="332"/>
      <c r="BVL512" s="332"/>
      <c r="BVM512" s="332"/>
      <c r="BVN512" s="332"/>
      <c r="BVO512" s="332"/>
      <c r="BVP512" s="332"/>
      <c r="BVQ512" s="332"/>
      <c r="BVR512" s="332"/>
      <c r="BVS512" s="332"/>
      <c r="BVT512" s="332"/>
      <c r="BVU512" s="332"/>
      <c r="BVV512" s="332"/>
      <c r="BVW512" s="332"/>
      <c r="BVX512" s="332"/>
      <c r="BVY512" s="332"/>
      <c r="BVZ512" s="332"/>
      <c r="BWA512" s="332"/>
      <c r="BWB512" s="332"/>
      <c r="BWC512" s="332"/>
      <c r="BWD512" s="332"/>
      <c r="BWE512" s="332"/>
      <c r="BWF512" s="332"/>
      <c r="BWG512" s="332"/>
      <c r="BWH512" s="332"/>
      <c r="BWI512" s="332"/>
      <c r="BWJ512" s="332"/>
      <c r="BWK512" s="332"/>
      <c r="BWL512" s="332"/>
      <c r="BWM512" s="332"/>
      <c r="BWN512" s="332"/>
      <c r="BWO512" s="332"/>
      <c r="BWP512" s="332"/>
      <c r="BWQ512" s="332"/>
      <c r="BWR512" s="332"/>
      <c r="BWS512" s="332"/>
      <c r="BWT512" s="332"/>
      <c r="BWU512" s="332"/>
      <c r="BWV512" s="332"/>
      <c r="BWW512" s="332"/>
      <c r="BWX512" s="332"/>
      <c r="BWY512" s="332"/>
      <c r="BWZ512" s="332"/>
      <c r="BXA512" s="332"/>
      <c r="BXB512" s="332"/>
      <c r="BXC512" s="332"/>
      <c r="BXD512" s="332"/>
      <c r="BXE512" s="332"/>
      <c r="BXF512" s="332"/>
      <c r="BXG512" s="332"/>
      <c r="BXH512" s="332"/>
      <c r="BXI512" s="332"/>
      <c r="BXJ512" s="332"/>
      <c r="BXK512" s="332"/>
      <c r="BXL512" s="332"/>
      <c r="BXM512" s="332"/>
      <c r="BXN512" s="332"/>
      <c r="BXO512" s="332"/>
      <c r="BXP512" s="332"/>
      <c r="BXQ512" s="332"/>
      <c r="BXR512" s="332"/>
      <c r="BXS512" s="332"/>
      <c r="BXT512" s="332"/>
      <c r="BXU512" s="332"/>
      <c r="BXV512" s="332"/>
      <c r="BXW512" s="332"/>
      <c r="BXX512" s="332"/>
      <c r="BXY512" s="332"/>
      <c r="BXZ512" s="332"/>
      <c r="BYA512" s="332"/>
      <c r="BYB512" s="332"/>
      <c r="BYC512" s="332"/>
      <c r="BYD512" s="332"/>
      <c r="BYE512" s="332"/>
      <c r="BYF512" s="332"/>
      <c r="BYG512" s="332"/>
      <c r="BYH512" s="332"/>
      <c r="BYI512" s="332"/>
      <c r="BYJ512" s="332"/>
      <c r="BYK512" s="332"/>
      <c r="BYL512" s="332"/>
      <c r="BYM512" s="332"/>
      <c r="BYN512" s="332"/>
      <c r="BYO512" s="332"/>
      <c r="BYP512" s="332"/>
      <c r="BYQ512" s="332"/>
      <c r="BYR512" s="332"/>
      <c r="BYS512" s="332"/>
      <c r="BYT512" s="332"/>
      <c r="BYU512" s="332"/>
      <c r="BYV512" s="332"/>
      <c r="BYW512" s="332"/>
      <c r="BYX512" s="332"/>
      <c r="BYY512" s="332"/>
      <c r="BYZ512" s="332"/>
      <c r="BZA512" s="332"/>
      <c r="BZB512" s="332"/>
      <c r="BZC512" s="332"/>
      <c r="BZD512" s="332"/>
      <c r="BZE512" s="332"/>
      <c r="BZF512" s="332"/>
      <c r="BZG512" s="332"/>
      <c r="BZH512" s="332"/>
      <c r="BZI512" s="332"/>
      <c r="BZJ512" s="332"/>
      <c r="BZK512" s="332"/>
      <c r="BZL512" s="332"/>
      <c r="BZM512" s="332"/>
      <c r="BZN512" s="332"/>
      <c r="BZO512" s="332"/>
      <c r="BZP512" s="332"/>
      <c r="BZQ512" s="332"/>
      <c r="BZR512" s="332"/>
      <c r="BZS512" s="332"/>
      <c r="BZT512" s="332"/>
      <c r="BZU512" s="332"/>
      <c r="BZV512" s="332"/>
      <c r="BZW512" s="332"/>
      <c r="BZX512" s="332"/>
      <c r="BZY512" s="332"/>
      <c r="BZZ512" s="332"/>
      <c r="CAA512" s="332"/>
      <c r="CAB512" s="332"/>
      <c r="CAC512" s="332"/>
      <c r="CAD512" s="332"/>
      <c r="CAE512" s="332"/>
      <c r="CAF512" s="332"/>
      <c r="CAG512" s="332"/>
      <c r="CAH512" s="332"/>
      <c r="CAI512" s="332"/>
      <c r="CAJ512" s="332"/>
      <c r="CAK512" s="332"/>
      <c r="CAL512" s="332"/>
      <c r="CAM512" s="332"/>
      <c r="CAN512" s="332"/>
      <c r="CAO512" s="332"/>
      <c r="CAP512" s="332"/>
      <c r="CAQ512" s="332"/>
      <c r="CAR512" s="332"/>
      <c r="CAS512" s="332"/>
      <c r="CAT512" s="332"/>
      <c r="CAU512" s="332"/>
      <c r="CAV512" s="332"/>
      <c r="CAW512" s="332"/>
      <c r="CAX512" s="332"/>
      <c r="CAY512" s="332"/>
      <c r="CAZ512" s="332"/>
      <c r="CBA512" s="332"/>
      <c r="CBB512" s="332"/>
      <c r="CBC512" s="332"/>
      <c r="CBD512" s="332"/>
      <c r="CBE512" s="332"/>
      <c r="CBF512" s="332"/>
      <c r="CBG512" s="332"/>
      <c r="CBH512" s="332"/>
      <c r="CBI512" s="332"/>
      <c r="CBJ512" s="332"/>
      <c r="CBK512" s="332"/>
      <c r="CBL512" s="332"/>
      <c r="CBM512" s="332"/>
      <c r="CBN512" s="332"/>
      <c r="CBO512" s="332"/>
      <c r="CBP512" s="332"/>
      <c r="CBQ512" s="332"/>
      <c r="CBR512" s="332"/>
      <c r="CBS512" s="332"/>
      <c r="CBT512" s="332"/>
      <c r="CBU512" s="332"/>
      <c r="CBV512" s="332"/>
      <c r="CBW512" s="332"/>
      <c r="CBX512" s="332"/>
      <c r="CBY512" s="332"/>
      <c r="CBZ512" s="332"/>
      <c r="CCA512" s="332"/>
      <c r="CCB512" s="332"/>
      <c r="CCC512" s="332"/>
      <c r="CCD512" s="332"/>
      <c r="CCE512" s="332"/>
      <c r="CCF512" s="332"/>
      <c r="CCG512" s="332"/>
      <c r="CCH512" s="332"/>
      <c r="CCI512" s="332"/>
      <c r="CCJ512" s="332"/>
      <c r="CCK512" s="332"/>
      <c r="CCL512" s="332"/>
      <c r="CCM512" s="332"/>
      <c r="CCN512" s="332"/>
      <c r="CCO512" s="332"/>
      <c r="CCP512" s="332"/>
      <c r="CCQ512" s="332"/>
      <c r="CCR512" s="332"/>
      <c r="CCS512" s="332"/>
      <c r="CCT512" s="332"/>
      <c r="CCU512" s="332"/>
      <c r="CCV512" s="332"/>
      <c r="CCW512" s="332"/>
      <c r="CCX512" s="332"/>
      <c r="CCY512" s="332"/>
      <c r="CCZ512" s="332"/>
      <c r="CDA512" s="332"/>
      <c r="CDB512" s="332"/>
      <c r="CDC512" s="332"/>
      <c r="CDD512" s="332"/>
      <c r="CDE512" s="332"/>
      <c r="CDF512" s="332"/>
      <c r="CDG512" s="332"/>
      <c r="CDH512" s="332"/>
      <c r="CDI512" s="332"/>
      <c r="CDJ512" s="332"/>
      <c r="CDK512" s="332"/>
      <c r="CDL512" s="332"/>
      <c r="CDM512" s="332"/>
      <c r="CDN512" s="332"/>
      <c r="CDO512" s="332"/>
      <c r="CDP512" s="332"/>
      <c r="CDQ512" s="332"/>
      <c r="CDR512" s="332"/>
      <c r="CDS512" s="332"/>
      <c r="CDT512" s="332"/>
      <c r="CDU512" s="332"/>
      <c r="CDV512" s="332"/>
      <c r="CDW512" s="332"/>
      <c r="CDX512" s="332"/>
      <c r="CDY512" s="332"/>
      <c r="CDZ512" s="332"/>
      <c r="CEA512" s="332"/>
      <c r="CEB512" s="332"/>
      <c r="CEC512" s="332"/>
      <c r="CED512" s="332"/>
      <c r="CEE512" s="332"/>
      <c r="CEF512" s="332"/>
      <c r="CEG512" s="332"/>
      <c r="CEH512" s="332"/>
      <c r="CEI512" s="332"/>
      <c r="CEJ512" s="332"/>
      <c r="CEK512" s="332"/>
      <c r="CEL512" s="332"/>
      <c r="CEM512" s="332"/>
      <c r="CEN512" s="332"/>
      <c r="CEO512" s="332"/>
      <c r="CEP512" s="332"/>
      <c r="CEQ512" s="332"/>
      <c r="CER512" s="332"/>
      <c r="CES512" s="332"/>
      <c r="CET512" s="332"/>
      <c r="CEU512" s="332"/>
      <c r="CEV512" s="332"/>
      <c r="CEW512" s="332"/>
      <c r="CEX512" s="332"/>
      <c r="CEY512" s="332"/>
      <c r="CEZ512" s="332"/>
      <c r="CFA512" s="332"/>
      <c r="CFB512" s="332"/>
      <c r="CFC512" s="332"/>
      <c r="CFD512" s="332"/>
      <c r="CFE512" s="332"/>
      <c r="CFF512" s="332"/>
      <c r="CFG512" s="332"/>
      <c r="CFH512" s="332"/>
      <c r="CFI512" s="332"/>
      <c r="CFJ512" s="332"/>
      <c r="CFK512" s="332"/>
      <c r="CFL512" s="332"/>
      <c r="CFM512" s="332"/>
      <c r="CFN512" s="332"/>
      <c r="CFO512" s="332"/>
      <c r="CFP512" s="332"/>
      <c r="CFQ512" s="332"/>
      <c r="CFR512" s="332"/>
      <c r="CFS512" s="332"/>
      <c r="CFT512" s="332"/>
      <c r="CFU512" s="332"/>
      <c r="CFV512" s="332"/>
      <c r="CFW512" s="332"/>
      <c r="CFX512" s="332"/>
      <c r="CFY512" s="332"/>
      <c r="CFZ512" s="332"/>
      <c r="CGA512" s="332"/>
      <c r="CGB512" s="332"/>
      <c r="CGC512" s="332"/>
      <c r="CGD512" s="332"/>
      <c r="CGE512" s="332"/>
      <c r="CGF512" s="332"/>
      <c r="CGG512" s="332"/>
      <c r="CGH512" s="332"/>
      <c r="CGI512" s="332"/>
      <c r="CGJ512" s="332"/>
      <c r="CGK512" s="332"/>
      <c r="CGL512" s="332"/>
      <c r="CGM512" s="332"/>
      <c r="CGN512" s="332"/>
      <c r="CGO512" s="332"/>
      <c r="CGP512" s="332"/>
      <c r="CGQ512" s="332"/>
      <c r="CGR512" s="332"/>
      <c r="CGS512" s="332"/>
      <c r="CGT512" s="332"/>
      <c r="CGU512" s="332"/>
      <c r="CGV512" s="332"/>
      <c r="CGW512" s="332"/>
      <c r="CGX512" s="332"/>
      <c r="CGY512" s="332"/>
      <c r="CGZ512" s="332"/>
      <c r="CHA512" s="332"/>
      <c r="CHB512" s="332"/>
      <c r="CHC512" s="332"/>
      <c r="CHD512" s="332"/>
      <c r="CHE512" s="332"/>
      <c r="CHF512" s="332"/>
      <c r="CHG512" s="332"/>
      <c r="CHH512" s="332"/>
      <c r="CHI512" s="332"/>
      <c r="CHJ512" s="332"/>
      <c r="CHK512" s="332"/>
      <c r="CHL512" s="332"/>
      <c r="CHM512" s="332"/>
      <c r="CHN512" s="332"/>
      <c r="CHO512" s="332"/>
      <c r="CHP512" s="332"/>
      <c r="CHQ512" s="332"/>
      <c r="CHR512" s="332"/>
      <c r="CHS512" s="332"/>
      <c r="CHT512" s="332"/>
      <c r="CHU512" s="332"/>
      <c r="CHV512" s="332"/>
      <c r="CHW512" s="332"/>
      <c r="CHX512" s="332"/>
      <c r="CHY512" s="332"/>
      <c r="CHZ512" s="332"/>
      <c r="CIA512" s="332"/>
      <c r="CIB512" s="332"/>
      <c r="CIC512" s="332"/>
      <c r="CID512" s="332"/>
      <c r="CIE512" s="332"/>
      <c r="CIF512" s="332"/>
      <c r="CIG512" s="332"/>
      <c r="CIH512" s="332"/>
      <c r="CII512" s="332"/>
      <c r="CIJ512" s="332"/>
      <c r="CIK512" s="332"/>
      <c r="CIL512" s="332"/>
      <c r="CIM512" s="332"/>
      <c r="CIN512" s="332"/>
      <c r="CIO512" s="332"/>
      <c r="CIP512" s="332"/>
      <c r="CIQ512" s="332"/>
      <c r="CIR512" s="332"/>
      <c r="CIS512" s="332"/>
      <c r="CIT512" s="332"/>
      <c r="CIU512" s="332"/>
      <c r="CIV512" s="332"/>
      <c r="CIW512" s="332"/>
      <c r="CIX512" s="332"/>
      <c r="CIY512" s="332"/>
      <c r="CIZ512" s="332"/>
      <c r="CJA512" s="332"/>
      <c r="CJB512" s="332"/>
      <c r="CJC512" s="332"/>
      <c r="CJD512" s="332"/>
      <c r="CJE512" s="332"/>
      <c r="CJF512" s="332"/>
      <c r="CJG512" s="332"/>
      <c r="CJH512" s="332"/>
      <c r="CJI512" s="332"/>
      <c r="CJJ512" s="332"/>
      <c r="CJK512" s="332"/>
      <c r="CJL512" s="332"/>
      <c r="CJM512" s="332"/>
      <c r="CJN512" s="332"/>
      <c r="CJO512" s="332"/>
      <c r="CJP512" s="332"/>
      <c r="CJQ512" s="332"/>
      <c r="CJR512" s="332"/>
      <c r="CJS512" s="332"/>
      <c r="CJT512" s="332"/>
      <c r="CJU512" s="332"/>
      <c r="CJV512" s="332"/>
      <c r="CJW512" s="332"/>
      <c r="CJX512" s="332"/>
      <c r="CJY512" s="332"/>
      <c r="CJZ512" s="332"/>
      <c r="CKA512" s="332"/>
      <c r="CKB512" s="332"/>
      <c r="CKC512" s="332"/>
      <c r="CKD512" s="332"/>
      <c r="CKE512" s="332"/>
      <c r="CKF512" s="332"/>
      <c r="CKG512" s="332"/>
      <c r="CKH512" s="332"/>
      <c r="CKI512" s="332"/>
      <c r="CKJ512" s="332"/>
      <c r="CKK512" s="332"/>
      <c r="CKL512" s="332"/>
      <c r="CKM512" s="332"/>
      <c r="CKN512" s="332"/>
      <c r="CKO512" s="332"/>
      <c r="CKP512" s="332"/>
      <c r="CKQ512" s="332"/>
      <c r="CKR512" s="332"/>
      <c r="CKS512" s="332"/>
      <c r="CKT512" s="332"/>
      <c r="CKU512" s="332"/>
      <c r="CKV512" s="332"/>
      <c r="CKW512" s="332"/>
      <c r="CKX512" s="332"/>
      <c r="CKY512" s="332"/>
      <c r="CKZ512" s="332"/>
      <c r="CLA512" s="332"/>
      <c r="CLB512" s="332"/>
      <c r="CLC512" s="332"/>
      <c r="CLD512" s="332"/>
      <c r="CLE512" s="332"/>
      <c r="CLF512" s="332"/>
      <c r="CLG512" s="332"/>
      <c r="CLH512" s="332"/>
      <c r="CLI512" s="332"/>
      <c r="CLJ512" s="332"/>
      <c r="CLK512" s="332"/>
      <c r="CLL512" s="332"/>
      <c r="CLM512" s="332"/>
      <c r="CLN512" s="332"/>
      <c r="CLO512" s="332"/>
      <c r="CLP512" s="332"/>
      <c r="CLQ512" s="332"/>
      <c r="CLR512" s="332"/>
      <c r="CLS512" s="332"/>
      <c r="CLT512" s="332"/>
      <c r="CLU512" s="332"/>
      <c r="CLV512" s="332"/>
      <c r="CLW512" s="332"/>
      <c r="CLX512" s="332"/>
      <c r="CLY512" s="332"/>
      <c r="CLZ512" s="332"/>
      <c r="CMA512" s="332"/>
      <c r="CMB512" s="332"/>
      <c r="CMC512" s="332"/>
      <c r="CMD512" s="332"/>
      <c r="CME512" s="332"/>
      <c r="CMF512" s="332"/>
      <c r="CMG512" s="332"/>
      <c r="CMH512" s="332"/>
      <c r="CMI512" s="332"/>
      <c r="CMJ512" s="332"/>
      <c r="CMK512" s="332"/>
      <c r="CML512" s="332"/>
      <c r="CMM512" s="332"/>
      <c r="CMN512" s="332"/>
      <c r="CMO512" s="332"/>
      <c r="CMP512" s="332"/>
      <c r="CMQ512" s="332"/>
      <c r="CMR512" s="332"/>
      <c r="CMS512" s="332"/>
      <c r="CMT512" s="332"/>
      <c r="CMU512" s="332"/>
      <c r="CMV512" s="332"/>
      <c r="CMW512" s="332"/>
      <c r="CMX512" s="332"/>
      <c r="CMY512" s="332"/>
      <c r="CMZ512" s="332"/>
      <c r="CNA512" s="332"/>
      <c r="CNB512" s="332"/>
      <c r="CNC512" s="332"/>
      <c r="CND512" s="332"/>
      <c r="CNE512" s="332"/>
      <c r="CNF512" s="332"/>
      <c r="CNG512" s="332"/>
      <c r="CNH512" s="332"/>
      <c r="CNI512" s="332"/>
      <c r="CNJ512" s="332"/>
      <c r="CNK512" s="332"/>
      <c r="CNL512" s="332"/>
      <c r="CNM512" s="332"/>
      <c r="CNN512" s="332"/>
      <c r="CNO512" s="332"/>
      <c r="CNP512" s="332"/>
      <c r="CNQ512" s="332"/>
      <c r="CNR512" s="332"/>
      <c r="CNS512" s="332"/>
      <c r="CNT512" s="332"/>
      <c r="CNU512" s="332"/>
      <c r="CNV512" s="332"/>
      <c r="CNW512" s="332"/>
      <c r="CNX512" s="332"/>
      <c r="CNY512" s="332"/>
      <c r="CNZ512" s="332"/>
      <c r="COA512" s="332"/>
      <c r="COB512" s="332"/>
      <c r="COC512" s="332"/>
      <c r="COD512" s="332"/>
      <c r="COE512" s="332"/>
      <c r="COF512" s="332"/>
      <c r="COG512" s="332"/>
      <c r="COH512" s="332"/>
      <c r="COI512" s="332"/>
      <c r="COJ512" s="332"/>
      <c r="COK512" s="332"/>
      <c r="COL512" s="332"/>
      <c r="COM512" s="332"/>
      <c r="CON512" s="332"/>
      <c r="COO512" s="332"/>
      <c r="COP512" s="332"/>
      <c r="COQ512" s="332"/>
      <c r="COR512" s="332"/>
      <c r="COS512" s="332"/>
      <c r="COT512" s="332"/>
      <c r="COU512" s="332"/>
      <c r="COV512" s="332"/>
      <c r="COW512" s="332"/>
      <c r="COX512" s="332"/>
      <c r="COY512" s="332"/>
      <c r="COZ512" s="332"/>
      <c r="CPA512" s="332"/>
      <c r="CPB512" s="332"/>
      <c r="CPC512" s="332"/>
      <c r="CPD512" s="332"/>
      <c r="CPE512" s="332"/>
      <c r="CPF512" s="332"/>
      <c r="CPG512" s="332"/>
      <c r="CPH512" s="332"/>
      <c r="CPI512" s="332"/>
      <c r="CPJ512" s="332"/>
      <c r="CPK512" s="332"/>
      <c r="CPL512" s="332"/>
      <c r="CPM512" s="332"/>
      <c r="CPN512" s="332"/>
      <c r="CPO512" s="332"/>
      <c r="CPP512" s="332"/>
      <c r="CPQ512" s="332"/>
      <c r="CPR512" s="332"/>
      <c r="CPS512" s="332"/>
      <c r="CPT512" s="332"/>
      <c r="CPU512" s="332"/>
      <c r="CPV512" s="332"/>
      <c r="CPW512" s="332"/>
      <c r="CPX512" s="332"/>
      <c r="CPY512" s="332"/>
      <c r="CPZ512" s="332"/>
      <c r="CQA512" s="332"/>
      <c r="CQB512" s="332"/>
      <c r="CQC512" s="332"/>
      <c r="CQD512" s="332"/>
      <c r="CQE512" s="332"/>
      <c r="CQF512" s="332"/>
      <c r="CQG512" s="332"/>
      <c r="CQH512" s="332"/>
      <c r="CQI512" s="332"/>
      <c r="CQJ512" s="332"/>
      <c r="CQK512" s="332"/>
      <c r="CQL512" s="332"/>
      <c r="CQM512" s="332"/>
      <c r="CQN512" s="332"/>
      <c r="CQO512" s="332"/>
      <c r="CQP512" s="332"/>
      <c r="CQQ512" s="332"/>
      <c r="CQR512" s="332"/>
      <c r="CQS512" s="332"/>
      <c r="CQT512" s="332"/>
      <c r="CQU512" s="332"/>
      <c r="CQV512" s="332"/>
      <c r="CQW512" s="332"/>
      <c r="CQX512" s="332"/>
      <c r="CQY512" s="332"/>
      <c r="CQZ512" s="332"/>
      <c r="CRA512" s="332"/>
      <c r="CRB512" s="332"/>
      <c r="CRC512" s="332"/>
      <c r="CRD512" s="332"/>
      <c r="CRE512" s="332"/>
      <c r="CRF512" s="332"/>
      <c r="CRG512" s="332"/>
      <c r="CRH512" s="332"/>
      <c r="CRI512" s="332"/>
      <c r="CRJ512" s="332"/>
      <c r="CRK512" s="332"/>
      <c r="CRL512" s="332"/>
      <c r="CRM512" s="332"/>
      <c r="CRN512" s="332"/>
      <c r="CRO512" s="332"/>
      <c r="CRP512" s="332"/>
      <c r="CRQ512" s="332"/>
      <c r="CRR512" s="332"/>
      <c r="CRS512" s="332"/>
      <c r="CRT512" s="332"/>
      <c r="CRU512" s="332"/>
      <c r="CRV512" s="332"/>
      <c r="CRW512" s="332"/>
      <c r="CRX512" s="332"/>
      <c r="CRY512" s="332"/>
      <c r="CRZ512" s="332"/>
      <c r="CSA512" s="332"/>
      <c r="CSB512" s="332"/>
      <c r="CSC512" s="332"/>
      <c r="CSD512" s="332"/>
      <c r="CSE512" s="332"/>
      <c r="CSF512" s="332"/>
      <c r="CSG512" s="332"/>
      <c r="CSH512" s="332"/>
      <c r="CSI512" s="332"/>
      <c r="CSJ512" s="332"/>
      <c r="CSK512" s="332"/>
      <c r="CSL512" s="332"/>
      <c r="CSM512" s="332"/>
      <c r="CSN512" s="332"/>
      <c r="CSO512" s="332"/>
      <c r="CSP512" s="332"/>
      <c r="CSQ512" s="332"/>
      <c r="CSR512" s="332"/>
      <c r="CSS512" s="332"/>
      <c r="CST512" s="332"/>
      <c r="CSU512" s="332"/>
      <c r="CSV512" s="332"/>
      <c r="CSW512" s="332"/>
      <c r="CSX512" s="332"/>
      <c r="CSY512" s="332"/>
      <c r="CSZ512" s="332"/>
      <c r="CTA512" s="332"/>
      <c r="CTB512" s="332"/>
      <c r="CTC512" s="332"/>
      <c r="CTD512" s="332"/>
      <c r="CTE512" s="332"/>
      <c r="CTF512" s="332"/>
      <c r="CTG512" s="332"/>
      <c r="CTH512" s="332"/>
      <c r="CTI512" s="332"/>
      <c r="CTJ512" s="332"/>
      <c r="CTK512" s="332"/>
      <c r="CTL512" s="332"/>
      <c r="CTM512" s="332"/>
      <c r="CTN512" s="332"/>
      <c r="CTO512" s="332"/>
      <c r="CTP512" s="332"/>
      <c r="CTQ512" s="332"/>
      <c r="CTR512" s="332"/>
      <c r="CTS512" s="332"/>
      <c r="CTT512" s="332"/>
      <c r="CTU512" s="332"/>
      <c r="CTV512" s="332"/>
      <c r="CTW512" s="332"/>
      <c r="CTX512" s="332"/>
      <c r="CTY512" s="332"/>
      <c r="CTZ512" s="332"/>
      <c r="CUA512" s="332"/>
      <c r="CUB512" s="332"/>
      <c r="CUC512" s="332"/>
      <c r="CUD512" s="332"/>
      <c r="CUE512" s="332"/>
      <c r="CUF512" s="332"/>
      <c r="CUG512" s="332"/>
      <c r="CUH512" s="332"/>
      <c r="CUI512" s="332"/>
      <c r="CUJ512" s="332"/>
      <c r="CUK512" s="332"/>
      <c r="CUL512" s="332"/>
      <c r="CUM512" s="332"/>
      <c r="CUN512" s="332"/>
      <c r="CUO512" s="332"/>
      <c r="CUP512" s="332"/>
      <c r="CUQ512" s="332"/>
      <c r="CUR512" s="332"/>
      <c r="CUS512" s="332"/>
      <c r="CUT512" s="332"/>
      <c r="CUU512" s="332"/>
      <c r="CUV512" s="332"/>
      <c r="CUW512" s="332"/>
      <c r="CUX512" s="332"/>
      <c r="CUY512" s="332"/>
      <c r="CUZ512" s="332"/>
      <c r="CVA512" s="332"/>
      <c r="CVB512" s="332"/>
      <c r="CVC512" s="332"/>
      <c r="CVD512" s="332"/>
      <c r="CVE512" s="332"/>
      <c r="CVF512" s="332"/>
      <c r="CVG512" s="332"/>
      <c r="CVH512" s="332"/>
      <c r="CVI512" s="332"/>
      <c r="CVJ512" s="332"/>
      <c r="CVK512" s="332"/>
      <c r="CVL512" s="332"/>
      <c r="CVM512" s="332"/>
      <c r="CVN512" s="332"/>
      <c r="CVO512" s="332"/>
      <c r="CVP512" s="332"/>
      <c r="CVQ512" s="332"/>
      <c r="CVR512" s="332"/>
      <c r="CVS512" s="332"/>
      <c r="CVT512" s="332"/>
      <c r="CVU512" s="332"/>
      <c r="CVV512" s="332"/>
      <c r="CVW512" s="332"/>
      <c r="CVX512" s="332"/>
      <c r="CVY512" s="332"/>
      <c r="CVZ512" s="332"/>
      <c r="CWA512" s="332"/>
      <c r="CWB512" s="332"/>
      <c r="CWC512" s="332"/>
      <c r="CWD512" s="332"/>
      <c r="CWE512" s="332"/>
      <c r="CWF512" s="332"/>
      <c r="CWG512" s="332"/>
      <c r="CWH512" s="332"/>
      <c r="CWI512" s="332"/>
      <c r="CWJ512" s="332"/>
      <c r="CWK512" s="332"/>
      <c r="CWL512" s="332"/>
      <c r="CWM512" s="332"/>
      <c r="CWN512" s="332"/>
      <c r="CWO512" s="332"/>
      <c r="CWP512" s="332"/>
      <c r="CWQ512" s="332"/>
      <c r="CWR512" s="332"/>
      <c r="CWS512" s="332"/>
      <c r="CWT512" s="332"/>
      <c r="CWU512" s="332"/>
      <c r="CWV512" s="332"/>
      <c r="CWW512" s="332"/>
      <c r="CWX512" s="332"/>
      <c r="CWY512" s="332"/>
      <c r="CWZ512" s="332"/>
      <c r="CXA512" s="332"/>
      <c r="CXB512" s="332"/>
      <c r="CXC512" s="332"/>
      <c r="CXD512" s="332"/>
      <c r="CXE512" s="332"/>
      <c r="CXF512" s="332"/>
      <c r="CXG512" s="332"/>
      <c r="CXH512" s="332"/>
      <c r="CXI512" s="332"/>
      <c r="CXJ512" s="332"/>
      <c r="CXK512" s="332"/>
      <c r="CXL512" s="332"/>
      <c r="CXM512" s="332"/>
      <c r="CXN512" s="332"/>
      <c r="CXO512" s="332"/>
      <c r="CXP512" s="332"/>
      <c r="CXQ512" s="332"/>
      <c r="CXR512" s="332"/>
      <c r="CXS512" s="332"/>
      <c r="CXT512" s="332"/>
      <c r="CXU512" s="332"/>
      <c r="CXV512" s="332"/>
      <c r="CXW512" s="332"/>
      <c r="CXX512" s="332"/>
      <c r="CXY512" s="332"/>
      <c r="CXZ512" s="332"/>
      <c r="CYA512" s="332"/>
      <c r="CYB512" s="332"/>
      <c r="CYC512" s="332"/>
      <c r="CYD512" s="332"/>
      <c r="CYE512" s="332"/>
      <c r="CYF512" s="332"/>
      <c r="CYG512" s="332"/>
      <c r="CYH512" s="332"/>
      <c r="CYI512" s="332"/>
      <c r="CYJ512" s="332"/>
      <c r="CYK512" s="332"/>
      <c r="CYL512" s="332"/>
      <c r="CYM512" s="332"/>
      <c r="CYN512" s="332"/>
      <c r="CYO512" s="332"/>
      <c r="CYP512" s="332"/>
      <c r="CYQ512" s="332"/>
      <c r="CYR512" s="332"/>
      <c r="CYS512" s="332"/>
      <c r="CYT512" s="332"/>
      <c r="CYU512" s="332"/>
      <c r="CYV512" s="332"/>
      <c r="CYW512" s="332"/>
      <c r="CYX512" s="332"/>
      <c r="CYY512" s="332"/>
      <c r="CYZ512" s="332"/>
      <c r="CZA512" s="332"/>
      <c r="CZB512" s="332"/>
      <c r="CZC512" s="332"/>
      <c r="CZD512" s="332"/>
      <c r="CZE512" s="332"/>
      <c r="CZF512" s="332"/>
      <c r="CZG512" s="332"/>
      <c r="CZH512" s="332"/>
      <c r="CZI512" s="332"/>
      <c r="CZJ512" s="332"/>
      <c r="CZK512" s="332"/>
      <c r="CZL512" s="332"/>
      <c r="CZM512" s="332"/>
      <c r="CZN512" s="332"/>
      <c r="CZO512" s="332"/>
      <c r="CZP512" s="332"/>
      <c r="CZQ512" s="332"/>
      <c r="CZR512" s="332"/>
      <c r="CZS512" s="332"/>
      <c r="CZT512" s="332"/>
      <c r="CZU512" s="332"/>
      <c r="CZV512" s="332"/>
      <c r="CZW512" s="332"/>
      <c r="CZX512" s="332"/>
      <c r="CZY512" s="332"/>
      <c r="CZZ512" s="332"/>
      <c r="DAA512" s="332"/>
      <c r="DAB512" s="332"/>
      <c r="DAC512" s="332"/>
      <c r="DAD512" s="332"/>
      <c r="DAE512" s="332"/>
      <c r="DAF512" s="332"/>
      <c r="DAG512" s="332"/>
      <c r="DAH512" s="332"/>
      <c r="DAI512" s="332"/>
      <c r="DAJ512" s="332"/>
      <c r="DAK512" s="332"/>
      <c r="DAL512" s="332"/>
      <c r="DAM512" s="332"/>
      <c r="DAN512" s="332"/>
      <c r="DAO512" s="332"/>
      <c r="DAP512" s="332"/>
      <c r="DAQ512" s="332"/>
      <c r="DAR512" s="332"/>
      <c r="DAS512" s="332"/>
      <c r="DAT512" s="332"/>
      <c r="DAU512" s="332"/>
      <c r="DAV512" s="332"/>
      <c r="DAW512" s="332"/>
      <c r="DAX512" s="332"/>
      <c r="DAY512" s="332"/>
      <c r="DAZ512" s="332"/>
      <c r="DBA512" s="332"/>
      <c r="DBB512" s="332"/>
      <c r="DBC512" s="332"/>
      <c r="DBD512" s="332"/>
      <c r="DBE512" s="332"/>
      <c r="DBF512" s="332"/>
      <c r="DBG512" s="332"/>
      <c r="DBH512" s="332"/>
      <c r="DBI512" s="332"/>
      <c r="DBJ512" s="332"/>
      <c r="DBK512" s="332"/>
      <c r="DBL512" s="332"/>
      <c r="DBM512" s="332"/>
      <c r="DBN512" s="332"/>
      <c r="DBO512" s="332"/>
      <c r="DBP512" s="332"/>
      <c r="DBQ512" s="332"/>
      <c r="DBR512" s="332"/>
      <c r="DBS512" s="332"/>
      <c r="DBT512" s="332"/>
      <c r="DBU512" s="332"/>
      <c r="DBV512" s="332"/>
      <c r="DBW512" s="332"/>
      <c r="DBX512" s="332"/>
      <c r="DBY512" s="332"/>
      <c r="DBZ512" s="332"/>
      <c r="DCA512" s="332"/>
      <c r="DCB512" s="332"/>
      <c r="DCC512" s="332"/>
      <c r="DCD512" s="332"/>
      <c r="DCE512" s="332"/>
      <c r="DCF512" s="332"/>
      <c r="DCG512" s="332"/>
      <c r="DCH512" s="332"/>
      <c r="DCI512" s="332"/>
      <c r="DCJ512" s="332"/>
      <c r="DCK512" s="332"/>
      <c r="DCL512" s="332"/>
      <c r="DCM512" s="332"/>
      <c r="DCN512" s="332"/>
      <c r="DCO512" s="332"/>
      <c r="DCP512" s="332"/>
      <c r="DCQ512" s="332"/>
      <c r="DCR512" s="332"/>
      <c r="DCS512" s="332"/>
      <c r="DCT512" s="332"/>
      <c r="DCU512" s="332"/>
      <c r="DCV512" s="332"/>
      <c r="DCW512" s="332"/>
      <c r="DCX512" s="332"/>
      <c r="DCY512" s="332"/>
      <c r="DCZ512" s="332"/>
      <c r="DDA512" s="332"/>
      <c r="DDB512" s="332"/>
      <c r="DDC512" s="332"/>
      <c r="DDD512" s="332"/>
      <c r="DDE512" s="332"/>
      <c r="DDF512" s="332"/>
      <c r="DDG512" s="332"/>
      <c r="DDH512" s="332"/>
      <c r="DDI512" s="332"/>
      <c r="DDJ512" s="332"/>
      <c r="DDK512" s="332"/>
      <c r="DDL512" s="332"/>
      <c r="DDM512" s="332"/>
      <c r="DDN512" s="332"/>
      <c r="DDO512" s="332"/>
      <c r="DDP512" s="332"/>
      <c r="DDQ512" s="332"/>
      <c r="DDR512" s="332"/>
      <c r="DDS512" s="332"/>
      <c r="DDT512" s="332"/>
      <c r="DDU512" s="332"/>
      <c r="DDV512" s="332"/>
      <c r="DDW512" s="332"/>
      <c r="DDX512" s="332"/>
      <c r="DDY512" s="332"/>
      <c r="DDZ512" s="332"/>
      <c r="DEA512" s="332"/>
      <c r="DEB512" s="332"/>
      <c r="DEC512" s="332"/>
      <c r="DED512" s="332"/>
      <c r="DEE512" s="332"/>
      <c r="DEF512" s="332"/>
      <c r="DEG512" s="332"/>
      <c r="DEH512" s="332"/>
      <c r="DEI512" s="332"/>
      <c r="DEJ512" s="332"/>
      <c r="DEK512" s="332"/>
      <c r="DEL512" s="332"/>
      <c r="DEM512" s="332"/>
      <c r="DEN512" s="332"/>
      <c r="DEO512" s="332"/>
      <c r="DEP512" s="332"/>
      <c r="DEQ512" s="332"/>
      <c r="DER512" s="332"/>
      <c r="DES512" s="332"/>
      <c r="DET512" s="332"/>
      <c r="DEU512" s="332"/>
      <c r="DEV512" s="332"/>
      <c r="DEW512" s="332"/>
      <c r="DEX512" s="332"/>
      <c r="DEY512" s="332"/>
      <c r="DEZ512" s="332"/>
      <c r="DFA512" s="332"/>
      <c r="DFB512" s="332"/>
      <c r="DFC512" s="332"/>
      <c r="DFD512" s="332"/>
      <c r="DFE512" s="332"/>
      <c r="DFF512" s="332"/>
      <c r="DFG512" s="332"/>
      <c r="DFH512" s="332"/>
      <c r="DFI512" s="332"/>
      <c r="DFJ512" s="332"/>
      <c r="DFK512" s="332"/>
      <c r="DFL512" s="332"/>
      <c r="DFM512" s="332"/>
      <c r="DFN512" s="332"/>
      <c r="DFO512" s="332"/>
      <c r="DFP512" s="332"/>
      <c r="DFQ512" s="332"/>
      <c r="DFR512" s="332"/>
      <c r="DFS512" s="332"/>
      <c r="DFT512" s="332"/>
      <c r="DFU512" s="332"/>
      <c r="DFV512" s="332"/>
      <c r="DFW512" s="332"/>
      <c r="DFX512" s="332"/>
      <c r="DFY512" s="332"/>
      <c r="DFZ512" s="332"/>
      <c r="DGA512" s="332"/>
      <c r="DGB512" s="332"/>
      <c r="DGC512" s="332"/>
      <c r="DGD512" s="332"/>
      <c r="DGE512" s="332"/>
      <c r="DGF512" s="332"/>
      <c r="DGG512" s="332"/>
      <c r="DGH512" s="332"/>
      <c r="DGI512" s="332"/>
      <c r="DGJ512" s="332"/>
      <c r="DGK512" s="332"/>
      <c r="DGL512" s="332"/>
      <c r="DGM512" s="332"/>
      <c r="DGN512" s="332"/>
      <c r="DGO512" s="332"/>
      <c r="DGP512" s="332"/>
      <c r="DGQ512" s="332"/>
      <c r="DGR512" s="332"/>
      <c r="DGS512" s="332"/>
      <c r="DGT512" s="332"/>
      <c r="DGU512" s="332"/>
      <c r="DGV512" s="332"/>
      <c r="DGW512" s="332"/>
      <c r="DGX512" s="332"/>
      <c r="DGY512" s="332"/>
      <c r="DGZ512" s="332"/>
      <c r="DHA512" s="332"/>
      <c r="DHB512" s="332"/>
      <c r="DHC512" s="332"/>
      <c r="DHD512" s="332"/>
      <c r="DHE512" s="332"/>
      <c r="DHF512" s="332"/>
      <c r="DHG512" s="332"/>
      <c r="DHH512" s="332"/>
      <c r="DHI512" s="332"/>
      <c r="DHJ512" s="332"/>
      <c r="DHK512" s="332"/>
      <c r="DHL512" s="332"/>
      <c r="DHM512" s="332"/>
      <c r="DHN512" s="332"/>
      <c r="DHO512" s="332"/>
      <c r="DHP512" s="332"/>
      <c r="DHQ512" s="332"/>
      <c r="DHR512" s="332"/>
      <c r="DHS512" s="332"/>
      <c r="DHT512" s="332"/>
      <c r="DHU512" s="332"/>
      <c r="DHV512" s="332"/>
      <c r="DHW512" s="332"/>
      <c r="DHX512" s="332"/>
      <c r="DHY512" s="332"/>
      <c r="DHZ512" s="332"/>
      <c r="DIA512" s="332"/>
      <c r="DIB512" s="332"/>
      <c r="DIC512" s="332"/>
      <c r="DID512" s="332"/>
      <c r="DIE512" s="332"/>
      <c r="DIF512" s="332"/>
      <c r="DIG512" s="332"/>
      <c r="DIH512" s="332"/>
      <c r="DII512" s="332"/>
      <c r="DIJ512" s="332"/>
      <c r="DIK512" s="332"/>
      <c r="DIL512" s="332"/>
      <c r="DIM512" s="332"/>
      <c r="DIN512" s="332"/>
      <c r="DIO512" s="332"/>
      <c r="DIP512" s="332"/>
      <c r="DIQ512" s="332"/>
      <c r="DIR512" s="332"/>
      <c r="DIS512" s="332"/>
      <c r="DIT512" s="332"/>
      <c r="DIU512" s="332"/>
      <c r="DIV512" s="332"/>
      <c r="DIW512" s="332"/>
      <c r="DIX512" s="332"/>
      <c r="DIY512" s="332"/>
      <c r="DIZ512" s="332"/>
      <c r="DJA512" s="332"/>
      <c r="DJB512" s="332"/>
      <c r="DJC512" s="332"/>
      <c r="DJD512" s="332"/>
      <c r="DJE512" s="332"/>
      <c r="DJF512" s="332"/>
      <c r="DJG512" s="332"/>
      <c r="DJH512" s="332"/>
      <c r="DJI512" s="332"/>
      <c r="DJJ512" s="332"/>
      <c r="DJK512" s="332"/>
      <c r="DJL512" s="332"/>
      <c r="DJM512" s="332"/>
      <c r="DJN512" s="332"/>
      <c r="DJO512" s="332"/>
      <c r="DJP512" s="332"/>
      <c r="DJQ512" s="332"/>
      <c r="DJR512" s="332"/>
      <c r="DJS512" s="332"/>
      <c r="DJT512" s="332"/>
      <c r="DJU512" s="332"/>
      <c r="DJV512" s="332"/>
      <c r="DJW512" s="332"/>
      <c r="DJX512" s="332"/>
      <c r="DJY512" s="332"/>
      <c r="DJZ512" s="332"/>
      <c r="DKA512" s="332"/>
      <c r="DKB512" s="332"/>
      <c r="DKC512" s="332"/>
      <c r="DKD512" s="332"/>
      <c r="DKE512" s="332"/>
      <c r="DKF512" s="332"/>
      <c r="DKG512" s="332"/>
      <c r="DKH512" s="332"/>
      <c r="DKI512" s="332"/>
      <c r="DKJ512" s="332"/>
      <c r="DKK512" s="332"/>
      <c r="DKL512" s="332"/>
      <c r="DKM512" s="332"/>
      <c r="DKN512" s="332"/>
      <c r="DKO512" s="332"/>
      <c r="DKP512" s="332"/>
      <c r="DKQ512" s="332"/>
      <c r="DKR512" s="332"/>
      <c r="DKS512" s="332"/>
      <c r="DKT512" s="332"/>
      <c r="DKU512" s="332"/>
      <c r="DKV512" s="332"/>
      <c r="DKW512" s="332"/>
      <c r="DKX512" s="332"/>
      <c r="DKY512" s="332"/>
      <c r="DKZ512" s="332"/>
      <c r="DLA512" s="332"/>
      <c r="DLB512" s="332"/>
      <c r="DLC512" s="332"/>
      <c r="DLD512" s="332"/>
      <c r="DLE512" s="332"/>
      <c r="DLF512" s="332"/>
      <c r="DLG512" s="332"/>
      <c r="DLH512" s="332"/>
      <c r="DLI512" s="332"/>
      <c r="DLJ512" s="332"/>
      <c r="DLK512" s="332"/>
      <c r="DLL512" s="332"/>
      <c r="DLM512" s="332"/>
      <c r="DLN512" s="332"/>
      <c r="DLO512" s="332"/>
      <c r="DLP512" s="332"/>
      <c r="DLQ512" s="332"/>
      <c r="DLR512" s="332"/>
      <c r="DLS512" s="332"/>
      <c r="DLT512" s="332"/>
      <c r="DLU512" s="332"/>
      <c r="DLV512" s="332"/>
      <c r="DLW512" s="332"/>
      <c r="DLX512" s="332"/>
      <c r="DLY512" s="332"/>
      <c r="DLZ512" s="332"/>
      <c r="DMA512" s="332"/>
      <c r="DMB512" s="332"/>
      <c r="DMC512" s="332"/>
      <c r="DMD512" s="332"/>
      <c r="DME512" s="332"/>
      <c r="DMF512" s="332"/>
      <c r="DMG512" s="332"/>
      <c r="DMH512" s="332"/>
      <c r="DMI512" s="332"/>
      <c r="DMJ512" s="332"/>
      <c r="DMK512" s="332"/>
      <c r="DML512" s="332"/>
      <c r="DMM512" s="332"/>
      <c r="DMN512" s="332"/>
      <c r="DMO512" s="332"/>
      <c r="DMP512" s="332"/>
      <c r="DMQ512" s="332"/>
      <c r="DMR512" s="332"/>
      <c r="DMS512" s="332"/>
      <c r="DMT512" s="332"/>
      <c r="DMU512" s="332"/>
      <c r="DMV512" s="332"/>
      <c r="DMW512" s="332"/>
      <c r="DMX512" s="332"/>
      <c r="DMY512" s="332"/>
      <c r="DMZ512" s="332"/>
      <c r="DNA512" s="332"/>
      <c r="DNB512" s="332"/>
      <c r="DNC512" s="332"/>
      <c r="DND512" s="332"/>
      <c r="DNE512" s="332"/>
      <c r="DNF512" s="332"/>
      <c r="DNG512" s="332"/>
      <c r="DNH512" s="332"/>
      <c r="DNI512" s="332"/>
      <c r="DNJ512" s="332"/>
      <c r="DNK512" s="332"/>
      <c r="DNL512" s="332"/>
      <c r="DNM512" s="332"/>
      <c r="DNN512" s="332"/>
      <c r="DNO512" s="332"/>
      <c r="DNP512" s="332"/>
      <c r="DNQ512" s="332"/>
      <c r="DNR512" s="332"/>
      <c r="DNS512" s="332"/>
      <c r="DNT512" s="332"/>
      <c r="DNU512" s="332"/>
      <c r="DNV512" s="332"/>
      <c r="DNW512" s="332"/>
      <c r="DNX512" s="332"/>
      <c r="DNY512" s="332"/>
      <c r="DNZ512" s="332"/>
      <c r="DOA512" s="332"/>
      <c r="DOB512" s="332"/>
      <c r="DOC512" s="332"/>
      <c r="DOD512" s="332"/>
      <c r="DOE512" s="332"/>
      <c r="DOF512" s="332"/>
      <c r="DOG512" s="332"/>
      <c r="DOH512" s="332"/>
      <c r="DOI512" s="332"/>
      <c r="DOJ512" s="332"/>
      <c r="DOK512" s="332"/>
      <c r="DOL512" s="332"/>
      <c r="DOM512" s="332"/>
      <c r="DON512" s="332"/>
      <c r="DOO512" s="332"/>
      <c r="DOP512" s="332"/>
      <c r="DOQ512" s="332"/>
      <c r="DOR512" s="332"/>
      <c r="DOS512" s="332"/>
      <c r="DOT512" s="332"/>
      <c r="DOU512" s="332"/>
      <c r="DOV512" s="332"/>
      <c r="DOW512" s="332"/>
      <c r="DOX512" s="332"/>
      <c r="DOY512" s="332"/>
      <c r="DOZ512" s="332"/>
      <c r="DPA512" s="332"/>
      <c r="DPB512" s="332"/>
      <c r="DPC512" s="332"/>
      <c r="DPD512" s="332"/>
      <c r="DPE512" s="332"/>
      <c r="DPF512" s="332"/>
      <c r="DPG512" s="332"/>
      <c r="DPH512" s="332"/>
      <c r="DPI512" s="332"/>
      <c r="DPJ512" s="332"/>
      <c r="DPK512" s="332"/>
      <c r="DPL512" s="332"/>
      <c r="DPM512" s="332"/>
      <c r="DPN512" s="332"/>
      <c r="DPO512" s="332"/>
      <c r="DPP512" s="332"/>
      <c r="DPQ512" s="332"/>
      <c r="DPR512" s="332"/>
      <c r="DPS512" s="332"/>
      <c r="DPT512" s="332"/>
      <c r="DPU512" s="332"/>
      <c r="DPV512" s="332"/>
      <c r="DPW512" s="332"/>
      <c r="DPX512" s="332"/>
      <c r="DPY512" s="332"/>
      <c r="DPZ512" s="332"/>
      <c r="DQA512" s="332"/>
      <c r="DQB512" s="332"/>
      <c r="DQC512" s="332"/>
      <c r="DQD512" s="332"/>
      <c r="DQE512" s="332"/>
      <c r="DQF512" s="332"/>
      <c r="DQG512" s="332"/>
      <c r="DQH512" s="332"/>
      <c r="DQI512" s="332"/>
      <c r="DQJ512" s="332"/>
      <c r="DQK512" s="332"/>
      <c r="DQL512" s="332"/>
      <c r="DQM512" s="332"/>
      <c r="DQN512" s="332"/>
      <c r="DQO512" s="332"/>
      <c r="DQP512" s="332"/>
      <c r="DQQ512" s="332"/>
      <c r="DQR512" s="332"/>
      <c r="DQS512" s="332"/>
      <c r="DQT512" s="332"/>
      <c r="DQU512" s="332"/>
      <c r="DQV512" s="332"/>
      <c r="DQW512" s="332"/>
      <c r="DQX512" s="332"/>
      <c r="DQY512" s="332"/>
      <c r="DQZ512" s="332"/>
      <c r="DRA512" s="332"/>
      <c r="DRB512" s="332"/>
      <c r="DRC512" s="332"/>
      <c r="DRD512" s="332"/>
      <c r="DRE512" s="332"/>
      <c r="DRF512" s="332"/>
      <c r="DRG512" s="332"/>
      <c r="DRH512" s="332"/>
      <c r="DRI512" s="332"/>
      <c r="DRJ512" s="332"/>
      <c r="DRK512" s="332"/>
      <c r="DRL512" s="332"/>
      <c r="DRM512" s="332"/>
      <c r="DRN512" s="332"/>
      <c r="DRO512" s="332"/>
      <c r="DRP512" s="332"/>
      <c r="DRQ512" s="332"/>
      <c r="DRR512" s="332"/>
      <c r="DRS512" s="332"/>
      <c r="DRT512" s="332"/>
      <c r="DRU512" s="332"/>
      <c r="DRV512" s="332"/>
      <c r="DRW512" s="332"/>
      <c r="DRX512" s="332"/>
      <c r="DRY512" s="332"/>
      <c r="DRZ512" s="332"/>
      <c r="DSA512" s="332"/>
      <c r="DSB512" s="332"/>
      <c r="DSC512" s="332"/>
      <c r="DSD512" s="332"/>
      <c r="DSE512" s="332"/>
      <c r="DSF512" s="332"/>
      <c r="DSG512" s="332"/>
      <c r="DSH512" s="332"/>
      <c r="DSI512" s="332"/>
      <c r="DSJ512" s="332"/>
      <c r="DSK512" s="332"/>
      <c r="DSL512" s="332"/>
      <c r="DSM512" s="332"/>
      <c r="DSN512" s="332"/>
      <c r="DSO512" s="332"/>
      <c r="DSP512" s="332"/>
      <c r="DSQ512" s="332"/>
      <c r="DSR512" s="332"/>
      <c r="DSS512" s="332"/>
      <c r="DST512" s="332"/>
      <c r="DSU512" s="332"/>
      <c r="DSV512" s="332"/>
      <c r="DSW512" s="332"/>
      <c r="DSX512" s="332"/>
      <c r="DSY512" s="332"/>
      <c r="DSZ512" s="332"/>
      <c r="DTA512" s="332"/>
      <c r="DTB512" s="332"/>
      <c r="DTC512" s="332"/>
      <c r="DTD512" s="332"/>
      <c r="DTE512" s="332"/>
      <c r="DTF512" s="332"/>
      <c r="DTG512" s="332"/>
      <c r="DTH512" s="332"/>
      <c r="DTI512" s="332"/>
      <c r="DTJ512" s="332"/>
      <c r="DTK512" s="332"/>
      <c r="DTL512" s="332"/>
      <c r="DTM512" s="332"/>
      <c r="DTN512" s="332"/>
      <c r="DTO512" s="332"/>
      <c r="DTP512" s="332"/>
      <c r="DTQ512" s="332"/>
      <c r="DTR512" s="332"/>
      <c r="DTS512" s="332"/>
      <c r="DTT512" s="332"/>
      <c r="DTU512" s="332"/>
      <c r="DTV512" s="332"/>
      <c r="DTW512" s="332"/>
      <c r="DTX512" s="332"/>
      <c r="DTY512" s="332"/>
      <c r="DTZ512" s="332"/>
      <c r="DUA512" s="332"/>
      <c r="DUB512" s="332"/>
      <c r="DUC512" s="332"/>
      <c r="DUD512" s="332"/>
      <c r="DUE512" s="332"/>
      <c r="DUF512" s="332"/>
      <c r="DUG512" s="332"/>
      <c r="DUH512" s="332"/>
      <c r="DUI512" s="332"/>
      <c r="DUJ512" s="332"/>
      <c r="DUK512" s="332"/>
      <c r="DUL512" s="332"/>
      <c r="DUM512" s="332"/>
      <c r="DUN512" s="332"/>
      <c r="DUO512" s="332"/>
      <c r="DUP512" s="332"/>
      <c r="DUQ512" s="332"/>
      <c r="DUR512" s="332"/>
      <c r="DUS512" s="332"/>
      <c r="DUT512" s="332"/>
      <c r="DUU512" s="332"/>
      <c r="DUV512" s="332"/>
      <c r="DUW512" s="332"/>
      <c r="DUX512" s="332"/>
      <c r="DUY512" s="332"/>
      <c r="DUZ512" s="332"/>
      <c r="DVA512" s="332"/>
      <c r="DVB512" s="332"/>
      <c r="DVC512" s="332"/>
      <c r="DVD512" s="332"/>
      <c r="DVE512" s="332"/>
      <c r="DVF512" s="332"/>
      <c r="DVG512" s="332"/>
      <c r="DVH512" s="332"/>
      <c r="DVI512" s="332"/>
      <c r="DVJ512" s="332"/>
      <c r="DVK512" s="332"/>
      <c r="DVL512" s="332"/>
      <c r="DVM512" s="332"/>
      <c r="DVN512" s="332"/>
      <c r="DVO512" s="332"/>
      <c r="DVP512" s="332"/>
      <c r="DVQ512" s="332"/>
      <c r="DVR512" s="332"/>
      <c r="DVS512" s="332"/>
      <c r="DVT512" s="332"/>
      <c r="DVU512" s="332"/>
      <c r="DVV512" s="332"/>
      <c r="DVW512" s="332"/>
      <c r="DVX512" s="332"/>
      <c r="DVY512" s="332"/>
      <c r="DVZ512" s="332"/>
      <c r="DWA512" s="332"/>
      <c r="DWB512" s="332"/>
      <c r="DWC512" s="332"/>
      <c r="DWD512" s="332"/>
      <c r="DWE512" s="332"/>
      <c r="DWF512" s="332"/>
      <c r="DWG512" s="332"/>
      <c r="DWH512" s="332"/>
      <c r="DWI512" s="332"/>
      <c r="DWJ512" s="332"/>
      <c r="DWK512" s="332"/>
      <c r="DWL512" s="332"/>
      <c r="DWM512" s="332"/>
      <c r="DWN512" s="332"/>
      <c r="DWO512" s="332"/>
      <c r="DWP512" s="332"/>
      <c r="DWQ512" s="332"/>
      <c r="DWR512" s="332"/>
      <c r="DWS512" s="332"/>
      <c r="DWT512" s="332"/>
      <c r="DWU512" s="332"/>
      <c r="DWV512" s="332"/>
      <c r="DWW512" s="332"/>
      <c r="DWX512" s="332"/>
      <c r="DWY512" s="332"/>
      <c r="DWZ512" s="332"/>
      <c r="DXA512" s="332"/>
      <c r="DXB512" s="332"/>
      <c r="DXC512" s="332"/>
      <c r="DXD512" s="332"/>
      <c r="DXE512" s="332"/>
      <c r="DXF512" s="332"/>
      <c r="DXG512" s="332"/>
      <c r="DXH512" s="332"/>
      <c r="DXI512" s="332"/>
      <c r="DXJ512" s="332"/>
      <c r="DXK512" s="332"/>
      <c r="DXL512" s="332"/>
      <c r="DXM512" s="332"/>
      <c r="DXN512" s="332"/>
      <c r="DXO512" s="332"/>
      <c r="DXP512" s="332"/>
      <c r="DXQ512" s="332"/>
      <c r="DXR512" s="332"/>
      <c r="DXS512" s="332"/>
      <c r="DXT512" s="332"/>
      <c r="DXU512" s="332"/>
      <c r="DXV512" s="332"/>
      <c r="DXW512" s="332"/>
      <c r="DXX512" s="332"/>
      <c r="DXY512" s="332"/>
      <c r="DXZ512" s="332"/>
      <c r="DYA512" s="332"/>
      <c r="DYB512" s="332"/>
      <c r="DYC512" s="332"/>
      <c r="DYD512" s="332"/>
      <c r="DYE512" s="332"/>
      <c r="DYF512" s="332"/>
      <c r="DYG512" s="332"/>
      <c r="DYH512" s="332"/>
      <c r="DYI512" s="332"/>
      <c r="DYJ512" s="332"/>
      <c r="DYK512" s="332"/>
      <c r="DYL512" s="332"/>
      <c r="DYM512" s="332"/>
      <c r="DYN512" s="332"/>
      <c r="DYO512" s="332"/>
      <c r="DYP512" s="332"/>
      <c r="DYQ512" s="332"/>
      <c r="DYR512" s="332"/>
      <c r="DYS512" s="332"/>
      <c r="DYT512" s="332"/>
      <c r="DYU512" s="332"/>
      <c r="DYV512" s="332"/>
      <c r="DYW512" s="332"/>
      <c r="DYX512" s="332"/>
      <c r="DYY512" s="332"/>
      <c r="DYZ512" s="332"/>
      <c r="DZA512" s="332"/>
      <c r="DZB512" s="332"/>
      <c r="DZC512" s="332"/>
      <c r="DZD512" s="332"/>
      <c r="DZE512" s="332"/>
      <c r="DZF512" s="332"/>
      <c r="DZG512" s="332"/>
      <c r="DZH512" s="332"/>
      <c r="DZI512" s="332"/>
      <c r="DZJ512" s="332"/>
      <c r="DZK512" s="332"/>
      <c r="DZL512" s="332"/>
      <c r="DZM512" s="332"/>
      <c r="DZN512" s="332"/>
      <c r="DZO512" s="332"/>
      <c r="DZP512" s="332"/>
      <c r="DZQ512" s="332"/>
      <c r="DZR512" s="332"/>
      <c r="DZS512" s="332"/>
      <c r="DZT512" s="332"/>
      <c r="DZU512" s="332"/>
      <c r="DZV512" s="332"/>
      <c r="DZW512" s="332"/>
      <c r="DZX512" s="332"/>
      <c r="DZY512" s="332"/>
      <c r="DZZ512" s="332"/>
      <c r="EAA512" s="332"/>
      <c r="EAB512" s="332"/>
      <c r="EAC512" s="332"/>
      <c r="EAD512" s="332"/>
      <c r="EAE512" s="332"/>
      <c r="EAF512" s="332"/>
      <c r="EAG512" s="332"/>
      <c r="EAH512" s="332"/>
      <c r="EAI512" s="332"/>
      <c r="EAJ512" s="332"/>
      <c r="EAK512" s="332"/>
      <c r="EAL512" s="332"/>
      <c r="EAM512" s="332"/>
      <c r="EAN512" s="332"/>
      <c r="EAO512" s="332"/>
      <c r="EAP512" s="332"/>
      <c r="EAQ512" s="332"/>
      <c r="EAR512" s="332"/>
      <c r="EAS512" s="332"/>
      <c r="EAT512" s="332"/>
      <c r="EAU512" s="332"/>
      <c r="EAV512" s="332"/>
      <c r="EAW512" s="332"/>
      <c r="EAX512" s="332"/>
      <c r="EAY512" s="332"/>
      <c r="EAZ512" s="332"/>
      <c r="EBA512" s="332"/>
      <c r="EBB512" s="332"/>
      <c r="EBC512" s="332"/>
      <c r="EBD512" s="332"/>
      <c r="EBE512" s="332"/>
      <c r="EBF512" s="332"/>
      <c r="EBG512" s="332"/>
      <c r="EBH512" s="332"/>
      <c r="EBI512" s="332"/>
      <c r="EBJ512" s="332"/>
      <c r="EBK512" s="332"/>
      <c r="EBL512" s="332"/>
      <c r="EBM512" s="332"/>
      <c r="EBN512" s="332"/>
      <c r="EBO512" s="332"/>
      <c r="EBP512" s="332"/>
      <c r="EBQ512" s="332"/>
      <c r="EBR512" s="332"/>
      <c r="EBS512" s="332"/>
      <c r="EBT512" s="332"/>
      <c r="EBU512" s="332"/>
      <c r="EBV512" s="332"/>
      <c r="EBW512" s="332"/>
      <c r="EBX512" s="332"/>
      <c r="EBY512" s="332"/>
      <c r="EBZ512" s="332"/>
      <c r="ECA512" s="332"/>
      <c r="ECB512" s="332"/>
      <c r="ECC512" s="332"/>
      <c r="ECD512" s="332"/>
      <c r="ECE512" s="332"/>
      <c r="ECF512" s="332"/>
      <c r="ECG512" s="332"/>
      <c r="ECH512" s="332"/>
      <c r="ECI512" s="332"/>
      <c r="ECJ512" s="332"/>
      <c r="ECK512" s="332"/>
      <c r="ECL512" s="332"/>
      <c r="ECM512" s="332"/>
      <c r="ECN512" s="332"/>
      <c r="ECO512" s="332"/>
      <c r="ECP512" s="332"/>
      <c r="ECQ512" s="332"/>
      <c r="ECR512" s="332"/>
      <c r="ECS512" s="332"/>
      <c r="ECT512" s="332"/>
      <c r="ECU512" s="332"/>
      <c r="ECV512" s="332"/>
      <c r="ECW512" s="332"/>
      <c r="ECX512" s="332"/>
      <c r="ECY512" s="332"/>
      <c r="ECZ512" s="332"/>
      <c r="EDA512" s="332"/>
      <c r="EDB512" s="332"/>
      <c r="EDC512" s="332"/>
      <c r="EDD512" s="332"/>
      <c r="EDE512" s="332"/>
      <c r="EDF512" s="332"/>
      <c r="EDG512" s="332"/>
      <c r="EDH512" s="332"/>
      <c r="EDI512" s="332"/>
      <c r="EDJ512" s="332"/>
      <c r="EDK512" s="332"/>
      <c r="EDL512" s="332"/>
      <c r="EDM512" s="332"/>
      <c r="EDN512" s="332"/>
      <c r="EDO512" s="332"/>
      <c r="EDP512" s="332"/>
      <c r="EDQ512" s="332"/>
      <c r="EDR512" s="332"/>
      <c r="EDS512" s="332"/>
      <c r="EDT512" s="332"/>
      <c r="EDU512" s="332"/>
      <c r="EDV512" s="332"/>
      <c r="EDW512" s="332"/>
      <c r="EDX512" s="332"/>
      <c r="EDY512" s="332"/>
      <c r="EDZ512" s="332"/>
      <c r="EEA512" s="332"/>
      <c r="EEB512" s="332"/>
      <c r="EEC512" s="332"/>
      <c r="EED512" s="332"/>
      <c r="EEE512" s="332"/>
      <c r="EEF512" s="332"/>
      <c r="EEG512" s="332"/>
      <c r="EEH512" s="332"/>
      <c r="EEI512" s="332"/>
      <c r="EEJ512" s="332"/>
      <c r="EEK512" s="332"/>
      <c r="EEL512" s="332"/>
      <c r="EEM512" s="332"/>
      <c r="EEN512" s="332"/>
      <c r="EEO512" s="332"/>
      <c r="EEP512" s="332"/>
      <c r="EEQ512" s="332"/>
      <c r="EER512" s="332"/>
      <c r="EES512" s="332"/>
      <c r="EET512" s="332"/>
      <c r="EEU512" s="332"/>
      <c r="EEV512" s="332"/>
      <c r="EEW512" s="332"/>
      <c r="EEX512" s="332"/>
      <c r="EEY512" s="332"/>
      <c r="EEZ512" s="332"/>
      <c r="EFA512" s="332"/>
      <c r="EFB512" s="332"/>
      <c r="EFC512" s="332"/>
      <c r="EFD512" s="332"/>
      <c r="EFE512" s="332"/>
      <c r="EFF512" s="332"/>
      <c r="EFG512" s="332"/>
      <c r="EFH512" s="332"/>
      <c r="EFI512" s="332"/>
      <c r="EFJ512" s="332"/>
      <c r="EFK512" s="332"/>
      <c r="EFL512" s="332"/>
      <c r="EFM512" s="332"/>
      <c r="EFN512" s="332"/>
      <c r="EFO512" s="332"/>
      <c r="EFP512" s="332"/>
      <c r="EFQ512" s="332"/>
      <c r="EFR512" s="332"/>
      <c r="EFS512" s="332"/>
      <c r="EFT512" s="332"/>
      <c r="EFU512" s="332"/>
      <c r="EFV512" s="332"/>
      <c r="EFW512" s="332"/>
      <c r="EFX512" s="332"/>
      <c r="EFY512" s="332"/>
      <c r="EFZ512" s="332"/>
      <c r="EGA512" s="332"/>
      <c r="EGB512" s="332"/>
      <c r="EGC512" s="332"/>
      <c r="EGD512" s="332"/>
      <c r="EGE512" s="332"/>
      <c r="EGF512" s="332"/>
      <c r="EGG512" s="332"/>
      <c r="EGH512" s="332"/>
      <c r="EGI512" s="332"/>
      <c r="EGJ512" s="332"/>
      <c r="EGK512" s="332"/>
      <c r="EGL512" s="332"/>
      <c r="EGM512" s="332"/>
      <c r="EGN512" s="332"/>
      <c r="EGO512" s="332"/>
      <c r="EGP512" s="332"/>
      <c r="EGQ512" s="332"/>
      <c r="EGR512" s="332"/>
      <c r="EGS512" s="332"/>
      <c r="EGT512" s="332"/>
      <c r="EGU512" s="332"/>
      <c r="EGV512" s="332"/>
      <c r="EGW512" s="332"/>
      <c r="EGX512" s="332"/>
      <c r="EGY512" s="332"/>
      <c r="EGZ512" s="332"/>
      <c r="EHA512" s="332"/>
      <c r="EHB512" s="332"/>
      <c r="EHC512" s="332"/>
      <c r="EHD512" s="332"/>
      <c r="EHE512" s="332"/>
      <c r="EHF512" s="332"/>
      <c r="EHG512" s="332"/>
      <c r="EHH512" s="332"/>
      <c r="EHI512" s="332"/>
      <c r="EHJ512" s="332"/>
      <c r="EHK512" s="332"/>
      <c r="EHL512" s="332"/>
      <c r="EHM512" s="332"/>
      <c r="EHN512" s="332"/>
      <c r="EHO512" s="332"/>
      <c r="EHP512" s="332"/>
      <c r="EHQ512" s="332"/>
      <c r="EHR512" s="332"/>
      <c r="EHS512" s="332"/>
      <c r="EHT512" s="332"/>
      <c r="EHU512" s="332"/>
      <c r="EHV512" s="332"/>
      <c r="EHW512" s="332"/>
      <c r="EHX512" s="332"/>
      <c r="EHY512" s="332"/>
      <c r="EHZ512" s="332"/>
      <c r="EIA512" s="332"/>
      <c r="EIB512" s="332"/>
      <c r="EIC512" s="332"/>
      <c r="EID512" s="332"/>
      <c r="EIE512" s="332"/>
      <c r="EIF512" s="332"/>
      <c r="EIG512" s="332"/>
      <c r="EIH512" s="332"/>
      <c r="EII512" s="332"/>
      <c r="EIJ512" s="332"/>
      <c r="EIK512" s="332"/>
      <c r="EIL512" s="332"/>
      <c r="EIM512" s="332"/>
      <c r="EIN512" s="332"/>
      <c r="EIO512" s="332"/>
      <c r="EIP512" s="332"/>
      <c r="EIQ512" s="332"/>
      <c r="EIR512" s="332"/>
      <c r="EIS512" s="332"/>
      <c r="EIT512" s="332"/>
      <c r="EIU512" s="332"/>
      <c r="EIV512" s="332"/>
      <c r="EIW512" s="332"/>
      <c r="EIX512" s="332"/>
      <c r="EIY512" s="332"/>
      <c r="EIZ512" s="332"/>
      <c r="EJA512" s="332"/>
      <c r="EJB512" s="332"/>
      <c r="EJC512" s="332"/>
      <c r="EJD512" s="332"/>
      <c r="EJE512" s="332"/>
      <c r="EJF512" s="332"/>
      <c r="EJG512" s="332"/>
      <c r="EJH512" s="332"/>
      <c r="EJI512" s="332"/>
      <c r="EJJ512" s="332"/>
      <c r="EJK512" s="332"/>
      <c r="EJL512" s="332"/>
      <c r="EJM512" s="332"/>
      <c r="EJN512" s="332"/>
      <c r="EJO512" s="332"/>
      <c r="EJP512" s="332"/>
      <c r="EJQ512" s="332"/>
      <c r="EJR512" s="332"/>
      <c r="EJS512" s="332"/>
      <c r="EJT512" s="332"/>
      <c r="EJU512" s="332"/>
      <c r="EJV512" s="332"/>
      <c r="EJW512" s="332"/>
      <c r="EJX512" s="332"/>
      <c r="EJY512" s="332"/>
      <c r="EJZ512" s="332"/>
      <c r="EKA512" s="332"/>
      <c r="EKB512" s="332"/>
      <c r="EKC512" s="332"/>
      <c r="EKD512" s="332"/>
      <c r="EKE512" s="332"/>
      <c r="EKF512" s="332"/>
      <c r="EKG512" s="332"/>
      <c r="EKH512" s="332"/>
      <c r="EKI512" s="332"/>
      <c r="EKJ512" s="332"/>
      <c r="EKK512" s="332"/>
      <c r="EKL512" s="332"/>
      <c r="EKM512" s="332"/>
      <c r="EKN512" s="332"/>
      <c r="EKO512" s="332"/>
      <c r="EKP512" s="332"/>
      <c r="EKQ512" s="332"/>
      <c r="EKR512" s="332"/>
      <c r="EKS512" s="332"/>
      <c r="EKT512" s="332"/>
      <c r="EKU512" s="332"/>
      <c r="EKV512" s="332"/>
      <c r="EKW512" s="332"/>
      <c r="EKX512" s="332"/>
      <c r="EKY512" s="332"/>
      <c r="EKZ512" s="332"/>
      <c r="ELA512" s="332"/>
      <c r="ELB512" s="332"/>
      <c r="ELC512" s="332"/>
      <c r="ELD512" s="332"/>
      <c r="ELE512" s="332"/>
      <c r="ELF512" s="332"/>
      <c r="ELG512" s="332"/>
      <c r="ELH512" s="332"/>
      <c r="ELI512" s="332"/>
      <c r="ELJ512" s="332"/>
      <c r="ELK512" s="332"/>
      <c r="ELL512" s="332"/>
      <c r="ELM512" s="332"/>
      <c r="ELN512" s="332"/>
      <c r="ELO512" s="332"/>
      <c r="ELP512" s="332"/>
      <c r="ELQ512" s="332"/>
      <c r="ELR512" s="332"/>
      <c r="ELS512" s="332"/>
      <c r="ELT512" s="332"/>
      <c r="ELU512" s="332"/>
      <c r="ELV512" s="332"/>
      <c r="ELW512" s="332"/>
      <c r="ELX512" s="332"/>
      <c r="ELY512" s="332"/>
      <c r="ELZ512" s="332"/>
      <c r="EMA512" s="332"/>
      <c r="EMB512" s="332"/>
      <c r="EMC512" s="332"/>
      <c r="EMD512" s="332"/>
      <c r="EME512" s="332"/>
      <c r="EMF512" s="332"/>
      <c r="EMG512" s="332"/>
      <c r="EMH512" s="332"/>
      <c r="EMI512" s="332"/>
      <c r="EMJ512" s="332"/>
      <c r="EMK512" s="332"/>
      <c r="EML512" s="332"/>
      <c r="EMM512" s="332"/>
      <c r="EMN512" s="332"/>
      <c r="EMO512" s="332"/>
      <c r="EMP512" s="332"/>
      <c r="EMQ512" s="332"/>
      <c r="EMR512" s="332"/>
      <c r="EMS512" s="332"/>
      <c r="EMT512" s="332"/>
      <c r="EMU512" s="332"/>
      <c r="EMV512" s="332"/>
      <c r="EMW512" s="332"/>
      <c r="EMX512" s="332"/>
      <c r="EMY512" s="332"/>
      <c r="EMZ512" s="332"/>
      <c r="ENA512" s="332"/>
      <c r="ENB512" s="332"/>
      <c r="ENC512" s="332"/>
      <c r="END512" s="332"/>
      <c r="ENE512" s="332"/>
      <c r="ENF512" s="332"/>
      <c r="ENG512" s="332"/>
      <c r="ENH512" s="332"/>
      <c r="ENI512" s="332"/>
      <c r="ENJ512" s="332"/>
      <c r="ENK512" s="332"/>
      <c r="ENL512" s="332"/>
      <c r="ENM512" s="332"/>
      <c r="ENN512" s="332"/>
      <c r="ENO512" s="332"/>
      <c r="ENP512" s="332"/>
      <c r="ENQ512" s="332"/>
      <c r="ENR512" s="332"/>
      <c r="ENS512" s="332"/>
      <c r="ENT512" s="332"/>
      <c r="ENU512" s="332"/>
      <c r="ENV512" s="332"/>
      <c r="ENW512" s="332"/>
      <c r="ENX512" s="332"/>
      <c r="ENY512" s="332"/>
      <c r="ENZ512" s="332"/>
      <c r="EOA512" s="332"/>
      <c r="EOB512" s="332"/>
      <c r="EOC512" s="332"/>
      <c r="EOD512" s="332"/>
      <c r="EOE512" s="332"/>
      <c r="EOF512" s="332"/>
      <c r="EOG512" s="332"/>
      <c r="EOH512" s="332"/>
      <c r="EOI512" s="332"/>
      <c r="EOJ512" s="332"/>
      <c r="EOK512" s="332"/>
      <c r="EOL512" s="332"/>
      <c r="EOM512" s="332"/>
      <c r="EON512" s="332"/>
      <c r="EOO512" s="332"/>
      <c r="EOP512" s="332"/>
      <c r="EOQ512" s="332"/>
      <c r="EOR512" s="332"/>
      <c r="EOS512" s="332"/>
      <c r="EOT512" s="332"/>
      <c r="EOU512" s="332"/>
      <c r="EOV512" s="332"/>
      <c r="EOW512" s="332"/>
      <c r="EOX512" s="332"/>
      <c r="EOY512" s="332"/>
      <c r="EOZ512" s="332"/>
      <c r="EPA512" s="332"/>
      <c r="EPB512" s="332"/>
      <c r="EPC512" s="332"/>
      <c r="EPD512" s="332"/>
      <c r="EPE512" s="332"/>
      <c r="EPF512" s="332"/>
      <c r="EPG512" s="332"/>
      <c r="EPH512" s="332"/>
      <c r="EPI512" s="332"/>
      <c r="EPJ512" s="332"/>
      <c r="EPK512" s="332"/>
      <c r="EPL512" s="332"/>
      <c r="EPM512" s="332"/>
      <c r="EPN512" s="332"/>
      <c r="EPO512" s="332"/>
      <c r="EPP512" s="332"/>
      <c r="EPQ512" s="332"/>
      <c r="EPR512" s="332"/>
      <c r="EPS512" s="332"/>
      <c r="EPT512" s="332"/>
      <c r="EPU512" s="332"/>
      <c r="EPV512" s="332"/>
      <c r="EPW512" s="332"/>
      <c r="EPX512" s="332"/>
      <c r="EPY512" s="332"/>
      <c r="EPZ512" s="332"/>
      <c r="EQA512" s="332"/>
      <c r="EQB512" s="332"/>
      <c r="EQC512" s="332"/>
      <c r="EQD512" s="332"/>
      <c r="EQE512" s="332"/>
      <c r="EQF512" s="332"/>
      <c r="EQG512" s="332"/>
      <c r="EQH512" s="332"/>
      <c r="EQI512" s="332"/>
      <c r="EQJ512" s="332"/>
      <c r="EQK512" s="332"/>
      <c r="EQL512" s="332"/>
      <c r="EQM512" s="332"/>
      <c r="EQN512" s="332"/>
      <c r="EQO512" s="332"/>
      <c r="EQP512" s="332"/>
      <c r="EQQ512" s="332"/>
      <c r="EQR512" s="332"/>
      <c r="EQS512" s="332"/>
      <c r="EQT512" s="332"/>
      <c r="EQU512" s="332"/>
      <c r="EQV512" s="332"/>
      <c r="EQW512" s="332"/>
      <c r="EQX512" s="332"/>
      <c r="EQY512" s="332"/>
      <c r="EQZ512" s="332"/>
      <c r="ERA512" s="332"/>
      <c r="ERB512" s="332"/>
      <c r="ERC512" s="332"/>
      <c r="ERD512" s="332"/>
      <c r="ERE512" s="332"/>
      <c r="ERF512" s="332"/>
      <c r="ERG512" s="332"/>
      <c r="ERH512" s="332"/>
      <c r="ERI512" s="332"/>
      <c r="ERJ512" s="332"/>
      <c r="ERK512" s="332"/>
      <c r="ERL512" s="332"/>
      <c r="ERM512" s="332"/>
      <c r="ERN512" s="332"/>
      <c r="ERO512" s="332"/>
      <c r="ERP512" s="332"/>
      <c r="ERQ512" s="332"/>
      <c r="ERR512" s="332"/>
      <c r="ERS512" s="332"/>
      <c r="ERT512" s="332"/>
      <c r="ERU512" s="332"/>
      <c r="ERV512" s="332"/>
      <c r="ERW512" s="332"/>
      <c r="ERX512" s="332"/>
      <c r="ERY512" s="332"/>
      <c r="ERZ512" s="332"/>
      <c r="ESA512" s="332"/>
      <c r="ESB512" s="332"/>
      <c r="ESC512" s="332"/>
      <c r="ESD512" s="332"/>
      <c r="ESE512" s="332"/>
      <c r="ESF512" s="332"/>
      <c r="ESG512" s="332"/>
      <c r="ESH512" s="332"/>
      <c r="ESI512" s="332"/>
      <c r="ESJ512" s="332"/>
      <c r="ESK512" s="332"/>
      <c r="ESL512" s="332"/>
      <c r="ESM512" s="332"/>
      <c r="ESN512" s="332"/>
      <c r="ESO512" s="332"/>
      <c r="ESP512" s="332"/>
      <c r="ESQ512" s="332"/>
      <c r="ESR512" s="332"/>
      <c r="ESS512" s="332"/>
      <c r="EST512" s="332"/>
      <c r="ESU512" s="332"/>
      <c r="ESV512" s="332"/>
      <c r="ESW512" s="332"/>
      <c r="ESX512" s="332"/>
      <c r="ESY512" s="332"/>
      <c r="ESZ512" s="332"/>
      <c r="ETA512" s="332"/>
      <c r="ETB512" s="332"/>
      <c r="ETC512" s="332"/>
      <c r="ETD512" s="332"/>
      <c r="ETE512" s="332"/>
      <c r="ETF512" s="332"/>
      <c r="ETG512" s="332"/>
      <c r="ETH512" s="332"/>
      <c r="ETI512" s="332"/>
      <c r="ETJ512" s="332"/>
      <c r="ETK512" s="332"/>
      <c r="ETL512" s="332"/>
      <c r="ETM512" s="332"/>
      <c r="ETN512" s="332"/>
      <c r="ETO512" s="332"/>
      <c r="ETP512" s="332"/>
      <c r="ETQ512" s="332"/>
      <c r="ETR512" s="332"/>
      <c r="ETS512" s="332"/>
      <c r="ETT512" s="332"/>
      <c r="ETU512" s="332"/>
      <c r="ETV512" s="332"/>
      <c r="ETW512" s="332"/>
      <c r="ETX512" s="332"/>
      <c r="ETY512" s="332"/>
      <c r="ETZ512" s="332"/>
      <c r="EUA512" s="332"/>
      <c r="EUB512" s="332"/>
      <c r="EUC512" s="332"/>
      <c r="EUD512" s="332"/>
      <c r="EUE512" s="332"/>
      <c r="EUF512" s="332"/>
      <c r="EUG512" s="332"/>
      <c r="EUH512" s="332"/>
      <c r="EUI512" s="332"/>
      <c r="EUJ512" s="332"/>
      <c r="EUK512" s="332"/>
      <c r="EUL512" s="332"/>
      <c r="EUM512" s="332"/>
      <c r="EUN512" s="332"/>
      <c r="EUO512" s="332"/>
      <c r="EUP512" s="332"/>
      <c r="EUQ512" s="332"/>
      <c r="EUR512" s="332"/>
      <c r="EUS512" s="332"/>
      <c r="EUT512" s="332"/>
      <c r="EUU512" s="332"/>
      <c r="EUV512" s="332"/>
      <c r="EUW512" s="332"/>
      <c r="EUX512" s="332"/>
      <c r="EUY512" s="332"/>
      <c r="EUZ512" s="332"/>
      <c r="EVA512" s="332"/>
      <c r="EVB512" s="332"/>
      <c r="EVC512" s="332"/>
      <c r="EVD512" s="332"/>
      <c r="EVE512" s="332"/>
      <c r="EVF512" s="332"/>
      <c r="EVG512" s="332"/>
      <c r="EVH512" s="332"/>
      <c r="EVI512" s="332"/>
      <c r="EVJ512" s="332"/>
      <c r="EVK512" s="332"/>
      <c r="EVL512" s="332"/>
      <c r="EVM512" s="332"/>
      <c r="EVN512" s="332"/>
      <c r="EVO512" s="332"/>
      <c r="EVP512" s="332"/>
      <c r="EVQ512" s="332"/>
      <c r="EVR512" s="332"/>
      <c r="EVS512" s="332"/>
      <c r="EVT512" s="332"/>
      <c r="EVU512" s="332"/>
      <c r="EVV512" s="332"/>
      <c r="EVW512" s="332"/>
      <c r="EVX512" s="332"/>
      <c r="EVY512" s="332"/>
      <c r="EVZ512" s="332"/>
      <c r="EWA512" s="332"/>
      <c r="EWB512" s="332"/>
      <c r="EWC512" s="332"/>
      <c r="EWD512" s="332"/>
      <c r="EWE512" s="332"/>
      <c r="EWF512" s="332"/>
      <c r="EWG512" s="332"/>
      <c r="EWH512" s="332"/>
      <c r="EWI512" s="332"/>
      <c r="EWJ512" s="332"/>
      <c r="EWK512" s="332"/>
      <c r="EWL512" s="332"/>
      <c r="EWM512" s="332"/>
      <c r="EWN512" s="332"/>
      <c r="EWO512" s="332"/>
      <c r="EWP512" s="332"/>
      <c r="EWQ512" s="332"/>
      <c r="EWR512" s="332"/>
      <c r="EWS512" s="332"/>
      <c r="EWT512" s="332"/>
      <c r="EWU512" s="332"/>
      <c r="EWV512" s="332"/>
      <c r="EWW512" s="332"/>
      <c r="EWX512" s="332"/>
      <c r="EWY512" s="332"/>
      <c r="EWZ512" s="332"/>
      <c r="EXA512" s="332"/>
      <c r="EXB512" s="332"/>
      <c r="EXC512" s="332"/>
      <c r="EXD512" s="332"/>
      <c r="EXE512" s="332"/>
      <c r="EXF512" s="332"/>
      <c r="EXG512" s="332"/>
      <c r="EXH512" s="332"/>
      <c r="EXI512" s="332"/>
      <c r="EXJ512" s="332"/>
      <c r="EXK512" s="332"/>
      <c r="EXL512" s="332"/>
      <c r="EXM512" s="332"/>
      <c r="EXN512" s="332"/>
      <c r="EXO512" s="332"/>
      <c r="EXP512" s="332"/>
      <c r="EXQ512" s="332"/>
      <c r="EXR512" s="332"/>
      <c r="EXS512" s="332"/>
      <c r="EXT512" s="332"/>
      <c r="EXU512" s="332"/>
      <c r="EXV512" s="332"/>
      <c r="EXW512" s="332"/>
      <c r="EXX512" s="332"/>
      <c r="EXY512" s="332"/>
      <c r="EXZ512" s="332"/>
      <c r="EYA512" s="332"/>
      <c r="EYB512" s="332"/>
      <c r="EYC512" s="332"/>
      <c r="EYD512" s="332"/>
      <c r="EYE512" s="332"/>
      <c r="EYF512" s="332"/>
      <c r="EYG512" s="332"/>
      <c r="EYH512" s="332"/>
      <c r="EYI512" s="332"/>
      <c r="EYJ512" s="332"/>
      <c r="EYK512" s="332"/>
      <c r="EYL512" s="332"/>
      <c r="EYM512" s="332"/>
      <c r="EYN512" s="332"/>
      <c r="EYO512" s="332"/>
      <c r="EYP512" s="332"/>
      <c r="EYQ512" s="332"/>
      <c r="EYR512" s="332"/>
      <c r="EYS512" s="332"/>
      <c r="EYT512" s="332"/>
      <c r="EYU512" s="332"/>
      <c r="EYV512" s="332"/>
      <c r="EYW512" s="332"/>
      <c r="EYX512" s="332"/>
      <c r="EYY512" s="332"/>
      <c r="EYZ512" s="332"/>
      <c r="EZA512" s="332"/>
      <c r="EZB512" s="332"/>
      <c r="EZC512" s="332"/>
      <c r="EZD512" s="332"/>
      <c r="EZE512" s="332"/>
      <c r="EZF512" s="332"/>
      <c r="EZG512" s="332"/>
      <c r="EZH512" s="332"/>
      <c r="EZI512" s="332"/>
      <c r="EZJ512" s="332"/>
      <c r="EZK512" s="332"/>
      <c r="EZL512" s="332"/>
      <c r="EZM512" s="332"/>
      <c r="EZN512" s="332"/>
      <c r="EZO512" s="332"/>
      <c r="EZP512" s="332"/>
      <c r="EZQ512" s="332"/>
      <c r="EZR512" s="332"/>
      <c r="EZS512" s="332"/>
      <c r="EZT512" s="332"/>
      <c r="EZU512" s="332"/>
      <c r="EZV512" s="332"/>
      <c r="EZW512" s="332"/>
      <c r="EZX512" s="332"/>
      <c r="EZY512" s="332"/>
      <c r="EZZ512" s="332"/>
      <c r="FAA512" s="332"/>
      <c r="FAB512" s="332"/>
      <c r="FAC512" s="332"/>
      <c r="FAD512" s="332"/>
      <c r="FAE512" s="332"/>
      <c r="FAF512" s="332"/>
      <c r="FAG512" s="332"/>
      <c r="FAH512" s="332"/>
      <c r="FAI512" s="332"/>
      <c r="FAJ512" s="332"/>
      <c r="FAK512" s="332"/>
      <c r="FAL512" s="332"/>
      <c r="FAM512" s="332"/>
      <c r="FAN512" s="332"/>
      <c r="FAO512" s="332"/>
      <c r="FAP512" s="332"/>
      <c r="FAQ512" s="332"/>
      <c r="FAR512" s="332"/>
      <c r="FAS512" s="332"/>
      <c r="FAT512" s="332"/>
      <c r="FAU512" s="332"/>
      <c r="FAV512" s="332"/>
      <c r="FAW512" s="332"/>
      <c r="FAX512" s="332"/>
      <c r="FAY512" s="332"/>
      <c r="FAZ512" s="332"/>
      <c r="FBA512" s="332"/>
      <c r="FBB512" s="332"/>
      <c r="FBC512" s="332"/>
      <c r="FBD512" s="332"/>
      <c r="FBE512" s="332"/>
      <c r="FBF512" s="332"/>
      <c r="FBG512" s="332"/>
      <c r="FBH512" s="332"/>
      <c r="FBI512" s="332"/>
      <c r="FBJ512" s="332"/>
      <c r="FBK512" s="332"/>
      <c r="FBL512" s="332"/>
      <c r="FBM512" s="332"/>
      <c r="FBN512" s="332"/>
      <c r="FBO512" s="332"/>
      <c r="FBP512" s="332"/>
      <c r="FBQ512" s="332"/>
      <c r="FBR512" s="332"/>
      <c r="FBS512" s="332"/>
      <c r="FBT512" s="332"/>
      <c r="FBU512" s="332"/>
      <c r="FBV512" s="332"/>
      <c r="FBW512" s="332"/>
      <c r="FBX512" s="332"/>
      <c r="FBY512" s="332"/>
      <c r="FBZ512" s="332"/>
      <c r="FCA512" s="332"/>
      <c r="FCB512" s="332"/>
      <c r="FCC512" s="332"/>
      <c r="FCD512" s="332"/>
      <c r="FCE512" s="332"/>
      <c r="FCF512" s="332"/>
      <c r="FCG512" s="332"/>
      <c r="FCH512" s="332"/>
      <c r="FCI512" s="332"/>
      <c r="FCJ512" s="332"/>
      <c r="FCK512" s="332"/>
      <c r="FCL512" s="332"/>
      <c r="FCM512" s="332"/>
      <c r="FCN512" s="332"/>
      <c r="FCO512" s="332"/>
      <c r="FCP512" s="332"/>
      <c r="FCQ512" s="332"/>
      <c r="FCR512" s="332"/>
      <c r="FCS512" s="332"/>
      <c r="FCT512" s="332"/>
      <c r="FCU512" s="332"/>
      <c r="FCV512" s="332"/>
      <c r="FCW512" s="332"/>
      <c r="FCX512" s="332"/>
      <c r="FCY512" s="332"/>
      <c r="FCZ512" s="332"/>
      <c r="FDA512" s="332"/>
      <c r="FDB512" s="332"/>
      <c r="FDC512" s="332"/>
      <c r="FDD512" s="332"/>
      <c r="FDE512" s="332"/>
      <c r="FDF512" s="332"/>
      <c r="FDG512" s="332"/>
      <c r="FDH512" s="332"/>
      <c r="FDI512" s="332"/>
      <c r="FDJ512" s="332"/>
      <c r="FDK512" s="332"/>
      <c r="FDL512" s="332"/>
      <c r="FDM512" s="332"/>
      <c r="FDN512" s="332"/>
      <c r="FDO512" s="332"/>
      <c r="FDP512" s="332"/>
      <c r="FDQ512" s="332"/>
      <c r="FDR512" s="332"/>
      <c r="FDS512" s="332"/>
      <c r="FDT512" s="332"/>
      <c r="FDU512" s="332"/>
      <c r="FDV512" s="332"/>
      <c r="FDW512" s="332"/>
      <c r="FDX512" s="332"/>
      <c r="FDY512" s="332"/>
      <c r="FDZ512" s="332"/>
      <c r="FEA512" s="332"/>
      <c r="FEB512" s="332"/>
      <c r="FEC512" s="332"/>
      <c r="FED512" s="332"/>
      <c r="FEE512" s="332"/>
      <c r="FEF512" s="332"/>
      <c r="FEG512" s="332"/>
      <c r="FEH512" s="332"/>
      <c r="FEI512" s="332"/>
      <c r="FEJ512" s="332"/>
      <c r="FEK512" s="332"/>
      <c r="FEL512" s="332"/>
      <c r="FEM512" s="332"/>
      <c r="FEN512" s="332"/>
      <c r="FEO512" s="332"/>
      <c r="FEP512" s="332"/>
      <c r="FEQ512" s="332"/>
      <c r="FER512" s="332"/>
      <c r="FES512" s="332"/>
      <c r="FET512" s="332"/>
      <c r="FEU512" s="332"/>
      <c r="FEV512" s="332"/>
      <c r="FEW512" s="332"/>
      <c r="FEX512" s="332"/>
      <c r="FEY512" s="332"/>
      <c r="FEZ512" s="332"/>
      <c r="FFA512" s="332"/>
      <c r="FFB512" s="332"/>
      <c r="FFC512" s="332"/>
      <c r="FFD512" s="332"/>
      <c r="FFE512" s="332"/>
      <c r="FFF512" s="332"/>
      <c r="FFG512" s="332"/>
      <c r="FFH512" s="332"/>
      <c r="FFI512" s="332"/>
      <c r="FFJ512" s="332"/>
      <c r="FFK512" s="332"/>
      <c r="FFL512" s="332"/>
      <c r="FFM512" s="332"/>
      <c r="FFN512" s="332"/>
      <c r="FFO512" s="332"/>
      <c r="FFP512" s="332"/>
      <c r="FFQ512" s="332"/>
      <c r="FFR512" s="332"/>
      <c r="FFS512" s="332"/>
      <c r="FFT512" s="332"/>
      <c r="FFU512" s="332"/>
      <c r="FFV512" s="332"/>
      <c r="FFW512" s="332"/>
      <c r="FFX512" s="332"/>
      <c r="FFY512" s="332"/>
      <c r="FFZ512" s="332"/>
      <c r="FGA512" s="332"/>
      <c r="FGB512" s="332"/>
      <c r="FGC512" s="332"/>
      <c r="FGD512" s="332"/>
      <c r="FGE512" s="332"/>
      <c r="FGF512" s="332"/>
      <c r="FGG512" s="332"/>
      <c r="FGH512" s="332"/>
      <c r="FGI512" s="332"/>
      <c r="FGJ512" s="332"/>
      <c r="FGK512" s="332"/>
      <c r="FGL512" s="332"/>
      <c r="FGM512" s="332"/>
      <c r="FGN512" s="332"/>
      <c r="FGO512" s="332"/>
      <c r="FGP512" s="332"/>
      <c r="FGQ512" s="332"/>
      <c r="FGR512" s="332"/>
      <c r="FGS512" s="332"/>
      <c r="FGT512" s="332"/>
      <c r="FGU512" s="332"/>
      <c r="FGV512" s="332"/>
      <c r="FGW512" s="332"/>
      <c r="FGX512" s="332"/>
      <c r="FGY512" s="332"/>
      <c r="FGZ512" s="332"/>
      <c r="FHA512" s="332"/>
      <c r="FHB512" s="332"/>
      <c r="FHC512" s="332"/>
      <c r="FHD512" s="332"/>
      <c r="FHE512" s="332"/>
      <c r="FHF512" s="332"/>
      <c r="FHG512" s="332"/>
      <c r="FHH512" s="332"/>
      <c r="FHI512" s="332"/>
      <c r="FHJ512" s="332"/>
      <c r="FHK512" s="332"/>
      <c r="FHL512" s="332"/>
      <c r="FHM512" s="332"/>
      <c r="FHN512" s="332"/>
      <c r="FHO512" s="332"/>
      <c r="FHP512" s="332"/>
      <c r="FHQ512" s="332"/>
      <c r="FHR512" s="332"/>
      <c r="FHS512" s="332"/>
      <c r="FHT512" s="332"/>
      <c r="FHU512" s="332"/>
      <c r="FHV512" s="332"/>
      <c r="FHW512" s="332"/>
      <c r="FHX512" s="332"/>
      <c r="FHY512" s="332"/>
      <c r="FHZ512" s="332"/>
      <c r="FIA512" s="332"/>
      <c r="FIB512" s="332"/>
      <c r="FIC512" s="332"/>
      <c r="FID512" s="332"/>
      <c r="FIE512" s="332"/>
      <c r="FIF512" s="332"/>
      <c r="FIG512" s="332"/>
      <c r="FIH512" s="332"/>
      <c r="FII512" s="332"/>
      <c r="FIJ512" s="332"/>
      <c r="FIK512" s="332"/>
      <c r="FIL512" s="332"/>
      <c r="FIM512" s="332"/>
      <c r="FIN512" s="332"/>
      <c r="FIO512" s="332"/>
      <c r="FIP512" s="332"/>
      <c r="FIQ512" s="332"/>
      <c r="FIR512" s="332"/>
      <c r="FIS512" s="332"/>
      <c r="FIT512" s="332"/>
      <c r="FIU512" s="332"/>
      <c r="FIV512" s="332"/>
      <c r="FIW512" s="332"/>
      <c r="FIX512" s="332"/>
      <c r="FIY512" s="332"/>
      <c r="FIZ512" s="332"/>
      <c r="FJA512" s="332"/>
      <c r="FJB512" s="332"/>
      <c r="FJC512" s="332"/>
      <c r="FJD512" s="332"/>
      <c r="FJE512" s="332"/>
      <c r="FJF512" s="332"/>
      <c r="FJG512" s="332"/>
      <c r="FJH512" s="332"/>
      <c r="FJI512" s="332"/>
      <c r="FJJ512" s="332"/>
      <c r="FJK512" s="332"/>
      <c r="FJL512" s="332"/>
      <c r="FJM512" s="332"/>
      <c r="FJN512" s="332"/>
      <c r="FJO512" s="332"/>
      <c r="FJP512" s="332"/>
      <c r="FJQ512" s="332"/>
      <c r="FJR512" s="332"/>
      <c r="FJS512" s="332"/>
      <c r="FJT512" s="332"/>
      <c r="FJU512" s="332"/>
      <c r="FJV512" s="332"/>
      <c r="FJW512" s="332"/>
      <c r="FJX512" s="332"/>
      <c r="FJY512" s="332"/>
      <c r="FJZ512" s="332"/>
      <c r="FKA512" s="332"/>
      <c r="FKB512" s="332"/>
      <c r="FKC512" s="332"/>
      <c r="FKD512" s="332"/>
      <c r="FKE512" s="332"/>
      <c r="FKF512" s="332"/>
      <c r="FKG512" s="332"/>
      <c r="FKH512" s="332"/>
      <c r="FKI512" s="332"/>
      <c r="FKJ512" s="332"/>
      <c r="FKK512" s="332"/>
      <c r="FKL512" s="332"/>
      <c r="FKM512" s="332"/>
      <c r="FKN512" s="332"/>
      <c r="FKO512" s="332"/>
      <c r="FKP512" s="332"/>
      <c r="FKQ512" s="332"/>
      <c r="FKR512" s="332"/>
      <c r="FKS512" s="332"/>
      <c r="FKT512" s="332"/>
      <c r="FKU512" s="332"/>
      <c r="FKV512" s="332"/>
      <c r="FKW512" s="332"/>
      <c r="FKX512" s="332"/>
      <c r="FKY512" s="332"/>
      <c r="FKZ512" s="332"/>
      <c r="FLA512" s="332"/>
      <c r="FLB512" s="332"/>
      <c r="FLC512" s="332"/>
      <c r="FLD512" s="332"/>
      <c r="FLE512" s="332"/>
      <c r="FLF512" s="332"/>
      <c r="FLG512" s="332"/>
      <c r="FLH512" s="332"/>
      <c r="FLI512" s="332"/>
      <c r="FLJ512" s="332"/>
      <c r="FLK512" s="332"/>
      <c r="FLL512" s="332"/>
      <c r="FLM512" s="332"/>
      <c r="FLN512" s="332"/>
      <c r="FLO512" s="332"/>
      <c r="FLP512" s="332"/>
      <c r="FLQ512" s="332"/>
      <c r="FLR512" s="332"/>
      <c r="FLS512" s="332"/>
      <c r="FLT512" s="332"/>
      <c r="FLU512" s="332"/>
      <c r="FLV512" s="332"/>
      <c r="FLW512" s="332"/>
      <c r="FLX512" s="332"/>
      <c r="FLY512" s="332"/>
      <c r="FLZ512" s="332"/>
      <c r="FMA512" s="332"/>
      <c r="FMB512" s="332"/>
      <c r="FMC512" s="332"/>
      <c r="FMD512" s="332"/>
      <c r="FME512" s="332"/>
      <c r="FMF512" s="332"/>
      <c r="FMG512" s="332"/>
      <c r="FMH512" s="332"/>
      <c r="FMI512" s="332"/>
      <c r="FMJ512" s="332"/>
      <c r="FMK512" s="332"/>
      <c r="FML512" s="332"/>
      <c r="FMM512" s="332"/>
      <c r="FMN512" s="332"/>
      <c r="FMO512" s="332"/>
      <c r="FMP512" s="332"/>
      <c r="FMQ512" s="332"/>
      <c r="FMR512" s="332"/>
      <c r="FMS512" s="332"/>
      <c r="FMT512" s="332"/>
      <c r="FMU512" s="332"/>
      <c r="FMV512" s="332"/>
      <c r="FMW512" s="332"/>
      <c r="FMX512" s="332"/>
      <c r="FMY512" s="332"/>
      <c r="FMZ512" s="332"/>
      <c r="FNA512" s="332"/>
      <c r="FNB512" s="332"/>
      <c r="FNC512" s="332"/>
      <c r="FND512" s="332"/>
      <c r="FNE512" s="332"/>
      <c r="FNF512" s="332"/>
      <c r="FNG512" s="332"/>
      <c r="FNH512" s="332"/>
      <c r="FNI512" s="332"/>
      <c r="FNJ512" s="332"/>
      <c r="FNK512" s="332"/>
      <c r="FNL512" s="332"/>
      <c r="FNM512" s="332"/>
      <c r="FNN512" s="332"/>
      <c r="FNO512" s="332"/>
      <c r="FNP512" s="332"/>
      <c r="FNQ512" s="332"/>
      <c r="FNR512" s="332"/>
      <c r="FNS512" s="332"/>
      <c r="FNT512" s="332"/>
      <c r="FNU512" s="332"/>
      <c r="FNV512" s="332"/>
      <c r="FNW512" s="332"/>
      <c r="FNX512" s="332"/>
      <c r="FNY512" s="332"/>
      <c r="FNZ512" s="332"/>
      <c r="FOA512" s="332"/>
      <c r="FOB512" s="332"/>
      <c r="FOC512" s="332"/>
      <c r="FOD512" s="332"/>
      <c r="FOE512" s="332"/>
      <c r="FOF512" s="332"/>
      <c r="FOG512" s="332"/>
      <c r="FOH512" s="332"/>
      <c r="FOI512" s="332"/>
      <c r="FOJ512" s="332"/>
      <c r="FOK512" s="332"/>
      <c r="FOL512" s="332"/>
      <c r="FOM512" s="332"/>
      <c r="FON512" s="332"/>
      <c r="FOO512" s="332"/>
      <c r="FOP512" s="332"/>
      <c r="FOQ512" s="332"/>
      <c r="FOR512" s="332"/>
      <c r="FOS512" s="332"/>
      <c r="FOT512" s="332"/>
      <c r="FOU512" s="332"/>
      <c r="FOV512" s="332"/>
      <c r="FOW512" s="332"/>
      <c r="FOX512" s="332"/>
      <c r="FOY512" s="332"/>
      <c r="FOZ512" s="332"/>
      <c r="FPA512" s="332"/>
      <c r="FPB512" s="332"/>
      <c r="FPC512" s="332"/>
      <c r="FPD512" s="332"/>
      <c r="FPE512" s="332"/>
      <c r="FPF512" s="332"/>
      <c r="FPG512" s="332"/>
      <c r="FPH512" s="332"/>
      <c r="FPI512" s="332"/>
      <c r="FPJ512" s="332"/>
      <c r="FPK512" s="332"/>
      <c r="FPL512" s="332"/>
      <c r="FPM512" s="332"/>
      <c r="FPN512" s="332"/>
      <c r="FPO512" s="332"/>
      <c r="FPP512" s="332"/>
      <c r="FPQ512" s="332"/>
      <c r="FPR512" s="332"/>
      <c r="FPS512" s="332"/>
      <c r="FPT512" s="332"/>
      <c r="FPU512" s="332"/>
      <c r="FPV512" s="332"/>
      <c r="FPW512" s="332"/>
      <c r="FPX512" s="332"/>
      <c r="FPY512" s="332"/>
      <c r="FPZ512" s="332"/>
      <c r="FQA512" s="332"/>
      <c r="FQB512" s="332"/>
      <c r="FQC512" s="332"/>
      <c r="FQD512" s="332"/>
      <c r="FQE512" s="332"/>
      <c r="FQF512" s="332"/>
      <c r="FQG512" s="332"/>
      <c r="FQH512" s="332"/>
      <c r="FQI512" s="332"/>
      <c r="FQJ512" s="332"/>
      <c r="FQK512" s="332"/>
      <c r="FQL512" s="332"/>
      <c r="FQM512" s="332"/>
      <c r="FQN512" s="332"/>
      <c r="FQO512" s="332"/>
      <c r="FQP512" s="332"/>
      <c r="FQQ512" s="332"/>
      <c r="FQR512" s="332"/>
      <c r="FQS512" s="332"/>
      <c r="FQT512" s="332"/>
      <c r="FQU512" s="332"/>
      <c r="FQV512" s="332"/>
      <c r="FQW512" s="332"/>
      <c r="FQX512" s="332"/>
      <c r="FQY512" s="332"/>
      <c r="FQZ512" s="332"/>
      <c r="FRA512" s="332"/>
      <c r="FRB512" s="332"/>
      <c r="FRC512" s="332"/>
      <c r="FRD512" s="332"/>
      <c r="FRE512" s="332"/>
      <c r="FRF512" s="332"/>
      <c r="FRG512" s="332"/>
      <c r="FRH512" s="332"/>
      <c r="FRI512" s="332"/>
      <c r="FRJ512" s="332"/>
      <c r="FRK512" s="332"/>
      <c r="FRL512" s="332"/>
      <c r="FRM512" s="332"/>
      <c r="FRN512" s="332"/>
      <c r="FRO512" s="332"/>
      <c r="FRP512" s="332"/>
      <c r="FRQ512" s="332"/>
      <c r="FRR512" s="332"/>
      <c r="FRS512" s="332"/>
      <c r="FRT512" s="332"/>
      <c r="FRU512" s="332"/>
      <c r="FRV512" s="332"/>
      <c r="FRW512" s="332"/>
      <c r="FRX512" s="332"/>
      <c r="FRY512" s="332"/>
      <c r="FRZ512" s="332"/>
      <c r="FSA512" s="332"/>
      <c r="FSB512" s="332"/>
      <c r="FSC512" s="332"/>
      <c r="FSD512" s="332"/>
      <c r="FSE512" s="332"/>
      <c r="FSF512" s="332"/>
      <c r="FSG512" s="332"/>
      <c r="FSH512" s="332"/>
      <c r="FSI512" s="332"/>
      <c r="FSJ512" s="332"/>
      <c r="FSK512" s="332"/>
      <c r="FSL512" s="332"/>
      <c r="FSM512" s="332"/>
      <c r="FSN512" s="332"/>
      <c r="FSO512" s="332"/>
      <c r="FSP512" s="332"/>
      <c r="FSQ512" s="332"/>
      <c r="FSR512" s="332"/>
      <c r="FSS512" s="332"/>
      <c r="FST512" s="332"/>
      <c r="FSU512" s="332"/>
      <c r="FSV512" s="332"/>
      <c r="FSW512" s="332"/>
      <c r="FSX512" s="332"/>
      <c r="FSY512" s="332"/>
      <c r="FSZ512" s="332"/>
      <c r="FTA512" s="332"/>
      <c r="FTB512" s="332"/>
      <c r="FTC512" s="332"/>
      <c r="FTD512" s="332"/>
      <c r="FTE512" s="332"/>
      <c r="FTF512" s="332"/>
      <c r="FTG512" s="332"/>
      <c r="FTH512" s="332"/>
      <c r="FTI512" s="332"/>
      <c r="FTJ512" s="332"/>
      <c r="FTK512" s="332"/>
      <c r="FTL512" s="332"/>
      <c r="FTM512" s="332"/>
      <c r="FTN512" s="332"/>
      <c r="FTO512" s="332"/>
      <c r="FTP512" s="332"/>
      <c r="FTQ512" s="332"/>
      <c r="FTR512" s="332"/>
      <c r="FTS512" s="332"/>
      <c r="FTT512" s="332"/>
      <c r="FTU512" s="332"/>
      <c r="FTV512" s="332"/>
      <c r="FTW512" s="332"/>
      <c r="FTX512" s="332"/>
      <c r="FTY512" s="332"/>
      <c r="FTZ512" s="332"/>
      <c r="FUA512" s="332"/>
      <c r="FUB512" s="332"/>
      <c r="FUC512" s="332"/>
      <c r="FUD512" s="332"/>
      <c r="FUE512" s="332"/>
      <c r="FUF512" s="332"/>
      <c r="FUG512" s="332"/>
      <c r="FUH512" s="332"/>
      <c r="FUI512" s="332"/>
      <c r="FUJ512" s="332"/>
      <c r="FUK512" s="332"/>
      <c r="FUL512" s="332"/>
      <c r="FUM512" s="332"/>
      <c r="FUN512" s="332"/>
      <c r="FUO512" s="332"/>
      <c r="FUP512" s="332"/>
      <c r="FUQ512" s="332"/>
      <c r="FUR512" s="332"/>
      <c r="FUS512" s="332"/>
      <c r="FUT512" s="332"/>
      <c r="FUU512" s="332"/>
      <c r="FUV512" s="332"/>
      <c r="FUW512" s="332"/>
      <c r="FUX512" s="332"/>
      <c r="FUY512" s="332"/>
      <c r="FUZ512" s="332"/>
      <c r="FVA512" s="332"/>
      <c r="FVB512" s="332"/>
      <c r="FVC512" s="332"/>
      <c r="FVD512" s="332"/>
      <c r="FVE512" s="332"/>
      <c r="FVF512" s="332"/>
      <c r="FVG512" s="332"/>
      <c r="FVH512" s="332"/>
      <c r="FVI512" s="332"/>
      <c r="FVJ512" s="332"/>
      <c r="FVK512" s="332"/>
      <c r="FVL512" s="332"/>
      <c r="FVM512" s="332"/>
      <c r="FVN512" s="332"/>
      <c r="FVO512" s="332"/>
      <c r="FVP512" s="332"/>
      <c r="FVQ512" s="332"/>
      <c r="FVR512" s="332"/>
      <c r="FVS512" s="332"/>
      <c r="FVT512" s="332"/>
      <c r="FVU512" s="332"/>
      <c r="FVV512" s="332"/>
      <c r="FVW512" s="332"/>
      <c r="FVX512" s="332"/>
      <c r="FVY512" s="332"/>
      <c r="FVZ512" s="332"/>
      <c r="FWA512" s="332"/>
      <c r="FWB512" s="332"/>
      <c r="FWC512" s="332"/>
      <c r="FWD512" s="332"/>
      <c r="FWE512" s="332"/>
      <c r="FWF512" s="332"/>
      <c r="FWG512" s="332"/>
      <c r="FWH512" s="332"/>
      <c r="FWI512" s="332"/>
      <c r="FWJ512" s="332"/>
      <c r="FWK512" s="332"/>
      <c r="FWL512" s="332"/>
      <c r="FWM512" s="332"/>
      <c r="FWN512" s="332"/>
      <c r="FWO512" s="332"/>
      <c r="FWP512" s="332"/>
      <c r="FWQ512" s="332"/>
      <c r="FWR512" s="332"/>
      <c r="FWS512" s="332"/>
      <c r="FWT512" s="332"/>
      <c r="FWU512" s="332"/>
      <c r="FWV512" s="332"/>
      <c r="FWW512" s="332"/>
      <c r="FWX512" s="332"/>
      <c r="FWY512" s="332"/>
      <c r="FWZ512" s="332"/>
      <c r="FXA512" s="332"/>
      <c r="FXB512" s="332"/>
      <c r="FXC512" s="332"/>
      <c r="FXD512" s="332"/>
      <c r="FXE512" s="332"/>
      <c r="FXF512" s="332"/>
      <c r="FXG512" s="332"/>
      <c r="FXH512" s="332"/>
      <c r="FXI512" s="332"/>
      <c r="FXJ512" s="332"/>
      <c r="FXK512" s="332"/>
      <c r="FXL512" s="332"/>
      <c r="FXM512" s="332"/>
      <c r="FXN512" s="332"/>
      <c r="FXO512" s="332"/>
      <c r="FXP512" s="332"/>
      <c r="FXQ512" s="332"/>
      <c r="FXR512" s="332"/>
      <c r="FXS512" s="332"/>
      <c r="FXT512" s="332"/>
      <c r="FXU512" s="332"/>
      <c r="FXV512" s="332"/>
      <c r="FXW512" s="332"/>
      <c r="FXX512" s="332"/>
      <c r="FXY512" s="332"/>
      <c r="FXZ512" s="332"/>
      <c r="FYA512" s="332"/>
      <c r="FYB512" s="332"/>
      <c r="FYC512" s="332"/>
      <c r="FYD512" s="332"/>
      <c r="FYE512" s="332"/>
      <c r="FYF512" s="332"/>
      <c r="FYG512" s="332"/>
      <c r="FYH512" s="332"/>
      <c r="FYI512" s="332"/>
      <c r="FYJ512" s="332"/>
      <c r="FYK512" s="332"/>
      <c r="FYL512" s="332"/>
      <c r="FYM512" s="332"/>
      <c r="FYN512" s="332"/>
      <c r="FYO512" s="332"/>
      <c r="FYP512" s="332"/>
      <c r="FYQ512" s="332"/>
      <c r="FYR512" s="332"/>
      <c r="FYS512" s="332"/>
      <c r="FYT512" s="332"/>
      <c r="FYU512" s="332"/>
      <c r="FYV512" s="332"/>
      <c r="FYW512" s="332"/>
      <c r="FYX512" s="332"/>
      <c r="FYY512" s="332"/>
      <c r="FYZ512" s="332"/>
      <c r="FZA512" s="332"/>
      <c r="FZB512" s="332"/>
      <c r="FZC512" s="332"/>
      <c r="FZD512" s="332"/>
      <c r="FZE512" s="332"/>
      <c r="FZF512" s="332"/>
      <c r="FZG512" s="332"/>
      <c r="FZH512" s="332"/>
      <c r="FZI512" s="332"/>
      <c r="FZJ512" s="332"/>
      <c r="FZK512" s="332"/>
      <c r="FZL512" s="332"/>
      <c r="FZM512" s="332"/>
      <c r="FZN512" s="332"/>
      <c r="FZO512" s="332"/>
      <c r="FZP512" s="332"/>
      <c r="FZQ512" s="332"/>
      <c r="FZR512" s="332"/>
      <c r="FZS512" s="332"/>
      <c r="FZT512" s="332"/>
      <c r="FZU512" s="332"/>
      <c r="FZV512" s="332"/>
      <c r="FZW512" s="332"/>
      <c r="FZX512" s="332"/>
      <c r="FZY512" s="332"/>
      <c r="FZZ512" s="332"/>
      <c r="GAA512" s="332"/>
      <c r="GAB512" s="332"/>
      <c r="GAC512" s="332"/>
      <c r="GAD512" s="332"/>
      <c r="GAE512" s="332"/>
      <c r="GAF512" s="332"/>
      <c r="GAG512" s="332"/>
      <c r="GAH512" s="332"/>
      <c r="GAI512" s="332"/>
      <c r="GAJ512" s="332"/>
      <c r="GAK512" s="332"/>
      <c r="GAL512" s="332"/>
      <c r="GAM512" s="332"/>
      <c r="GAN512" s="332"/>
      <c r="GAO512" s="332"/>
      <c r="GAP512" s="332"/>
      <c r="GAQ512" s="332"/>
      <c r="GAR512" s="332"/>
      <c r="GAS512" s="332"/>
      <c r="GAT512" s="332"/>
      <c r="GAU512" s="332"/>
      <c r="GAV512" s="332"/>
      <c r="GAW512" s="332"/>
      <c r="GAX512" s="332"/>
      <c r="GAY512" s="332"/>
      <c r="GAZ512" s="332"/>
      <c r="GBA512" s="332"/>
      <c r="GBB512" s="332"/>
      <c r="GBC512" s="332"/>
      <c r="GBD512" s="332"/>
      <c r="GBE512" s="332"/>
      <c r="GBF512" s="332"/>
      <c r="GBG512" s="332"/>
      <c r="GBH512" s="332"/>
      <c r="GBI512" s="332"/>
      <c r="GBJ512" s="332"/>
      <c r="GBK512" s="332"/>
      <c r="GBL512" s="332"/>
      <c r="GBM512" s="332"/>
      <c r="GBN512" s="332"/>
      <c r="GBO512" s="332"/>
      <c r="GBP512" s="332"/>
      <c r="GBQ512" s="332"/>
      <c r="GBR512" s="332"/>
      <c r="GBS512" s="332"/>
      <c r="GBT512" s="332"/>
      <c r="GBU512" s="332"/>
      <c r="GBV512" s="332"/>
      <c r="GBW512" s="332"/>
      <c r="GBX512" s="332"/>
      <c r="GBY512" s="332"/>
      <c r="GBZ512" s="332"/>
      <c r="GCA512" s="332"/>
      <c r="GCB512" s="332"/>
      <c r="GCC512" s="332"/>
      <c r="GCD512" s="332"/>
      <c r="GCE512" s="332"/>
      <c r="GCF512" s="332"/>
      <c r="GCG512" s="332"/>
      <c r="GCH512" s="332"/>
      <c r="GCI512" s="332"/>
      <c r="GCJ512" s="332"/>
      <c r="GCK512" s="332"/>
      <c r="GCL512" s="332"/>
      <c r="GCM512" s="332"/>
      <c r="GCN512" s="332"/>
      <c r="GCO512" s="332"/>
      <c r="GCP512" s="332"/>
      <c r="GCQ512" s="332"/>
      <c r="GCR512" s="332"/>
      <c r="GCS512" s="332"/>
      <c r="GCT512" s="332"/>
      <c r="GCU512" s="332"/>
      <c r="GCV512" s="332"/>
      <c r="GCW512" s="332"/>
      <c r="GCX512" s="332"/>
      <c r="GCY512" s="332"/>
      <c r="GCZ512" s="332"/>
      <c r="GDA512" s="332"/>
      <c r="GDB512" s="332"/>
      <c r="GDC512" s="332"/>
      <c r="GDD512" s="332"/>
      <c r="GDE512" s="332"/>
      <c r="GDF512" s="332"/>
      <c r="GDG512" s="332"/>
      <c r="GDH512" s="332"/>
      <c r="GDI512" s="332"/>
      <c r="GDJ512" s="332"/>
      <c r="GDK512" s="332"/>
      <c r="GDL512" s="332"/>
      <c r="GDM512" s="332"/>
      <c r="GDN512" s="332"/>
      <c r="GDO512" s="332"/>
      <c r="GDP512" s="332"/>
      <c r="GDQ512" s="332"/>
      <c r="GDR512" s="332"/>
      <c r="GDS512" s="332"/>
      <c r="GDT512" s="332"/>
      <c r="GDU512" s="332"/>
      <c r="GDV512" s="332"/>
      <c r="GDW512" s="332"/>
      <c r="GDX512" s="332"/>
      <c r="GDY512" s="332"/>
      <c r="GDZ512" s="332"/>
      <c r="GEA512" s="332"/>
      <c r="GEB512" s="332"/>
      <c r="GEC512" s="332"/>
      <c r="GED512" s="332"/>
      <c r="GEE512" s="332"/>
      <c r="GEF512" s="332"/>
      <c r="GEG512" s="332"/>
      <c r="GEH512" s="332"/>
      <c r="GEI512" s="332"/>
      <c r="GEJ512" s="332"/>
      <c r="GEK512" s="332"/>
      <c r="GEL512" s="332"/>
      <c r="GEM512" s="332"/>
      <c r="GEN512" s="332"/>
      <c r="GEO512" s="332"/>
      <c r="GEP512" s="332"/>
      <c r="GEQ512" s="332"/>
      <c r="GER512" s="332"/>
      <c r="GES512" s="332"/>
      <c r="GET512" s="332"/>
      <c r="GEU512" s="332"/>
      <c r="GEV512" s="332"/>
      <c r="GEW512" s="332"/>
      <c r="GEX512" s="332"/>
      <c r="GEY512" s="332"/>
      <c r="GEZ512" s="332"/>
      <c r="GFA512" s="332"/>
      <c r="GFB512" s="332"/>
      <c r="GFC512" s="332"/>
      <c r="GFD512" s="332"/>
      <c r="GFE512" s="332"/>
      <c r="GFF512" s="332"/>
      <c r="GFG512" s="332"/>
      <c r="GFH512" s="332"/>
      <c r="GFI512" s="332"/>
      <c r="GFJ512" s="332"/>
      <c r="GFK512" s="332"/>
      <c r="GFL512" s="332"/>
      <c r="GFM512" s="332"/>
      <c r="GFN512" s="332"/>
      <c r="GFO512" s="332"/>
      <c r="GFP512" s="332"/>
      <c r="GFQ512" s="332"/>
      <c r="GFR512" s="332"/>
      <c r="GFS512" s="332"/>
      <c r="GFT512" s="332"/>
      <c r="GFU512" s="332"/>
      <c r="GFV512" s="332"/>
      <c r="GFW512" s="332"/>
      <c r="GFX512" s="332"/>
      <c r="GFY512" s="332"/>
      <c r="GFZ512" s="332"/>
      <c r="GGA512" s="332"/>
      <c r="GGB512" s="332"/>
      <c r="GGC512" s="332"/>
      <c r="GGD512" s="332"/>
      <c r="GGE512" s="332"/>
      <c r="GGF512" s="332"/>
      <c r="GGG512" s="332"/>
      <c r="GGH512" s="332"/>
      <c r="GGI512" s="332"/>
      <c r="GGJ512" s="332"/>
      <c r="GGK512" s="332"/>
      <c r="GGL512" s="332"/>
      <c r="GGM512" s="332"/>
      <c r="GGN512" s="332"/>
      <c r="GGO512" s="332"/>
      <c r="GGP512" s="332"/>
      <c r="GGQ512" s="332"/>
      <c r="GGR512" s="332"/>
      <c r="GGS512" s="332"/>
      <c r="GGT512" s="332"/>
      <c r="GGU512" s="332"/>
      <c r="GGV512" s="332"/>
      <c r="GGW512" s="332"/>
      <c r="GGX512" s="332"/>
      <c r="GGY512" s="332"/>
      <c r="GGZ512" s="332"/>
      <c r="GHA512" s="332"/>
      <c r="GHB512" s="332"/>
      <c r="GHC512" s="332"/>
      <c r="GHD512" s="332"/>
      <c r="GHE512" s="332"/>
      <c r="GHF512" s="332"/>
      <c r="GHG512" s="332"/>
      <c r="GHH512" s="332"/>
      <c r="GHI512" s="332"/>
      <c r="GHJ512" s="332"/>
      <c r="GHK512" s="332"/>
      <c r="GHL512" s="332"/>
      <c r="GHM512" s="332"/>
      <c r="GHN512" s="332"/>
      <c r="GHO512" s="332"/>
      <c r="GHP512" s="332"/>
      <c r="GHQ512" s="332"/>
      <c r="GHR512" s="332"/>
      <c r="GHS512" s="332"/>
      <c r="GHT512" s="332"/>
      <c r="GHU512" s="332"/>
      <c r="GHV512" s="332"/>
      <c r="GHW512" s="332"/>
      <c r="GHX512" s="332"/>
      <c r="GHY512" s="332"/>
      <c r="GHZ512" s="332"/>
      <c r="GIA512" s="332"/>
      <c r="GIB512" s="332"/>
      <c r="GIC512" s="332"/>
      <c r="GID512" s="332"/>
      <c r="GIE512" s="332"/>
      <c r="GIF512" s="332"/>
      <c r="GIG512" s="332"/>
      <c r="GIH512" s="332"/>
      <c r="GII512" s="332"/>
      <c r="GIJ512" s="332"/>
      <c r="GIK512" s="332"/>
      <c r="GIL512" s="332"/>
      <c r="GIM512" s="332"/>
      <c r="GIN512" s="332"/>
      <c r="GIO512" s="332"/>
      <c r="GIP512" s="332"/>
      <c r="GIQ512" s="332"/>
      <c r="GIR512" s="332"/>
      <c r="GIS512" s="332"/>
      <c r="GIT512" s="332"/>
      <c r="GIU512" s="332"/>
      <c r="GIV512" s="332"/>
      <c r="GIW512" s="332"/>
      <c r="GIX512" s="332"/>
      <c r="GIY512" s="332"/>
      <c r="GIZ512" s="332"/>
      <c r="GJA512" s="332"/>
      <c r="GJB512" s="332"/>
      <c r="GJC512" s="332"/>
      <c r="GJD512" s="332"/>
      <c r="GJE512" s="332"/>
      <c r="GJF512" s="332"/>
      <c r="GJG512" s="332"/>
      <c r="GJH512" s="332"/>
      <c r="GJI512" s="332"/>
      <c r="GJJ512" s="332"/>
      <c r="GJK512" s="332"/>
      <c r="GJL512" s="332"/>
      <c r="GJM512" s="332"/>
      <c r="GJN512" s="332"/>
      <c r="GJO512" s="332"/>
      <c r="GJP512" s="332"/>
      <c r="GJQ512" s="332"/>
      <c r="GJR512" s="332"/>
      <c r="GJS512" s="332"/>
      <c r="GJT512" s="332"/>
      <c r="GJU512" s="332"/>
      <c r="GJV512" s="332"/>
      <c r="GJW512" s="332"/>
      <c r="GJX512" s="332"/>
      <c r="GJY512" s="332"/>
      <c r="GJZ512" s="332"/>
      <c r="GKA512" s="332"/>
      <c r="GKB512" s="332"/>
      <c r="GKC512" s="332"/>
      <c r="GKD512" s="332"/>
      <c r="GKE512" s="332"/>
      <c r="GKF512" s="332"/>
      <c r="GKG512" s="332"/>
      <c r="GKH512" s="332"/>
      <c r="GKI512" s="332"/>
      <c r="GKJ512" s="332"/>
      <c r="GKK512" s="332"/>
      <c r="GKL512" s="332"/>
      <c r="GKM512" s="332"/>
      <c r="GKN512" s="332"/>
      <c r="GKO512" s="332"/>
      <c r="GKP512" s="332"/>
      <c r="GKQ512" s="332"/>
      <c r="GKR512" s="332"/>
      <c r="GKS512" s="332"/>
      <c r="GKT512" s="332"/>
      <c r="GKU512" s="332"/>
      <c r="GKV512" s="332"/>
      <c r="GKW512" s="332"/>
      <c r="GKX512" s="332"/>
      <c r="GKY512" s="332"/>
      <c r="GKZ512" s="332"/>
      <c r="GLA512" s="332"/>
      <c r="GLB512" s="332"/>
      <c r="GLC512" s="332"/>
      <c r="GLD512" s="332"/>
      <c r="GLE512" s="332"/>
      <c r="GLF512" s="332"/>
      <c r="GLG512" s="332"/>
      <c r="GLH512" s="332"/>
      <c r="GLI512" s="332"/>
      <c r="GLJ512" s="332"/>
      <c r="GLK512" s="332"/>
      <c r="GLL512" s="332"/>
      <c r="GLM512" s="332"/>
      <c r="GLN512" s="332"/>
      <c r="GLO512" s="332"/>
      <c r="GLP512" s="332"/>
      <c r="GLQ512" s="332"/>
      <c r="GLR512" s="332"/>
      <c r="GLS512" s="332"/>
      <c r="GLT512" s="332"/>
      <c r="GLU512" s="332"/>
      <c r="GLV512" s="332"/>
      <c r="GLW512" s="332"/>
      <c r="GLX512" s="332"/>
      <c r="GLY512" s="332"/>
      <c r="GLZ512" s="332"/>
      <c r="GMA512" s="332"/>
      <c r="GMB512" s="332"/>
      <c r="GMC512" s="332"/>
      <c r="GMD512" s="332"/>
      <c r="GME512" s="332"/>
      <c r="GMF512" s="332"/>
      <c r="GMG512" s="332"/>
      <c r="GMH512" s="332"/>
      <c r="GMI512" s="332"/>
      <c r="GMJ512" s="332"/>
      <c r="GMK512" s="332"/>
      <c r="GML512" s="332"/>
      <c r="GMM512" s="332"/>
      <c r="GMN512" s="332"/>
      <c r="GMO512" s="332"/>
      <c r="GMP512" s="332"/>
      <c r="GMQ512" s="332"/>
      <c r="GMR512" s="332"/>
      <c r="GMS512" s="332"/>
      <c r="GMT512" s="332"/>
      <c r="GMU512" s="332"/>
      <c r="GMV512" s="332"/>
      <c r="GMW512" s="332"/>
      <c r="GMX512" s="332"/>
      <c r="GMY512" s="332"/>
      <c r="GMZ512" s="332"/>
      <c r="GNA512" s="332"/>
      <c r="GNB512" s="332"/>
      <c r="GNC512" s="332"/>
      <c r="GND512" s="332"/>
      <c r="GNE512" s="332"/>
      <c r="GNF512" s="332"/>
      <c r="GNG512" s="332"/>
      <c r="GNH512" s="332"/>
      <c r="GNI512" s="332"/>
      <c r="GNJ512" s="332"/>
      <c r="GNK512" s="332"/>
      <c r="GNL512" s="332"/>
      <c r="GNM512" s="332"/>
      <c r="GNN512" s="332"/>
      <c r="GNO512" s="332"/>
      <c r="GNP512" s="332"/>
      <c r="GNQ512" s="332"/>
      <c r="GNR512" s="332"/>
      <c r="GNS512" s="332"/>
      <c r="GNT512" s="332"/>
      <c r="GNU512" s="332"/>
      <c r="GNV512" s="332"/>
      <c r="GNW512" s="332"/>
      <c r="GNX512" s="332"/>
      <c r="GNY512" s="332"/>
      <c r="GNZ512" s="332"/>
      <c r="GOA512" s="332"/>
      <c r="GOB512" s="332"/>
      <c r="GOC512" s="332"/>
      <c r="GOD512" s="332"/>
      <c r="GOE512" s="332"/>
      <c r="GOF512" s="332"/>
      <c r="GOG512" s="332"/>
      <c r="GOH512" s="332"/>
      <c r="GOI512" s="332"/>
      <c r="GOJ512" s="332"/>
      <c r="GOK512" s="332"/>
      <c r="GOL512" s="332"/>
      <c r="GOM512" s="332"/>
      <c r="GON512" s="332"/>
      <c r="GOO512" s="332"/>
      <c r="GOP512" s="332"/>
      <c r="GOQ512" s="332"/>
      <c r="GOR512" s="332"/>
      <c r="GOS512" s="332"/>
      <c r="GOT512" s="332"/>
      <c r="GOU512" s="332"/>
      <c r="GOV512" s="332"/>
      <c r="GOW512" s="332"/>
      <c r="GOX512" s="332"/>
      <c r="GOY512" s="332"/>
      <c r="GOZ512" s="332"/>
      <c r="GPA512" s="332"/>
      <c r="GPB512" s="332"/>
      <c r="GPC512" s="332"/>
      <c r="GPD512" s="332"/>
      <c r="GPE512" s="332"/>
      <c r="GPF512" s="332"/>
      <c r="GPG512" s="332"/>
      <c r="GPH512" s="332"/>
      <c r="GPI512" s="332"/>
      <c r="GPJ512" s="332"/>
      <c r="GPK512" s="332"/>
      <c r="GPL512" s="332"/>
      <c r="GPM512" s="332"/>
      <c r="GPN512" s="332"/>
      <c r="GPO512" s="332"/>
      <c r="GPP512" s="332"/>
      <c r="GPQ512" s="332"/>
      <c r="GPR512" s="332"/>
      <c r="GPS512" s="332"/>
      <c r="GPT512" s="332"/>
      <c r="GPU512" s="332"/>
      <c r="GPV512" s="332"/>
      <c r="GPW512" s="332"/>
      <c r="GPX512" s="332"/>
      <c r="GPY512" s="332"/>
      <c r="GPZ512" s="332"/>
      <c r="GQA512" s="332"/>
      <c r="GQB512" s="332"/>
      <c r="GQC512" s="332"/>
      <c r="GQD512" s="332"/>
      <c r="GQE512" s="332"/>
      <c r="GQF512" s="332"/>
      <c r="GQG512" s="332"/>
      <c r="GQH512" s="332"/>
      <c r="GQI512" s="332"/>
      <c r="GQJ512" s="332"/>
      <c r="GQK512" s="332"/>
      <c r="GQL512" s="332"/>
      <c r="GQM512" s="332"/>
      <c r="GQN512" s="332"/>
      <c r="GQO512" s="332"/>
      <c r="GQP512" s="332"/>
      <c r="GQQ512" s="332"/>
      <c r="GQR512" s="332"/>
      <c r="GQS512" s="332"/>
      <c r="GQT512" s="332"/>
      <c r="GQU512" s="332"/>
      <c r="GQV512" s="332"/>
      <c r="GQW512" s="332"/>
      <c r="GQX512" s="332"/>
      <c r="GQY512" s="332"/>
      <c r="GQZ512" s="332"/>
      <c r="GRA512" s="332"/>
      <c r="GRB512" s="332"/>
      <c r="GRC512" s="332"/>
      <c r="GRD512" s="332"/>
      <c r="GRE512" s="332"/>
      <c r="GRF512" s="332"/>
      <c r="GRG512" s="332"/>
      <c r="GRH512" s="332"/>
      <c r="GRI512" s="332"/>
      <c r="GRJ512" s="332"/>
      <c r="GRK512" s="332"/>
      <c r="GRL512" s="332"/>
      <c r="GRM512" s="332"/>
      <c r="GRN512" s="332"/>
      <c r="GRO512" s="332"/>
      <c r="GRP512" s="332"/>
      <c r="GRQ512" s="332"/>
      <c r="GRR512" s="332"/>
      <c r="GRS512" s="332"/>
      <c r="GRT512" s="332"/>
      <c r="GRU512" s="332"/>
      <c r="GRV512" s="332"/>
      <c r="GRW512" s="332"/>
      <c r="GRX512" s="332"/>
      <c r="GRY512" s="332"/>
      <c r="GRZ512" s="332"/>
      <c r="GSA512" s="332"/>
      <c r="GSB512" s="332"/>
      <c r="GSC512" s="332"/>
      <c r="GSD512" s="332"/>
      <c r="GSE512" s="332"/>
      <c r="GSF512" s="332"/>
      <c r="GSG512" s="332"/>
      <c r="GSH512" s="332"/>
      <c r="GSI512" s="332"/>
      <c r="GSJ512" s="332"/>
      <c r="GSK512" s="332"/>
      <c r="GSL512" s="332"/>
      <c r="GSM512" s="332"/>
      <c r="GSN512" s="332"/>
      <c r="GSO512" s="332"/>
      <c r="GSP512" s="332"/>
      <c r="GSQ512" s="332"/>
      <c r="GSR512" s="332"/>
      <c r="GSS512" s="332"/>
      <c r="GST512" s="332"/>
      <c r="GSU512" s="332"/>
      <c r="GSV512" s="332"/>
      <c r="GSW512" s="332"/>
      <c r="GSX512" s="332"/>
      <c r="GSY512" s="332"/>
      <c r="GSZ512" s="332"/>
      <c r="GTA512" s="332"/>
      <c r="GTB512" s="332"/>
      <c r="GTC512" s="332"/>
      <c r="GTD512" s="332"/>
      <c r="GTE512" s="332"/>
      <c r="GTF512" s="332"/>
      <c r="GTG512" s="332"/>
      <c r="GTH512" s="332"/>
      <c r="GTI512" s="332"/>
      <c r="GTJ512" s="332"/>
      <c r="GTK512" s="332"/>
      <c r="GTL512" s="332"/>
      <c r="GTM512" s="332"/>
      <c r="GTN512" s="332"/>
      <c r="GTO512" s="332"/>
      <c r="GTP512" s="332"/>
      <c r="GTQ512" s="332"/>
      <c r="GTR512" s="332"/>
      <c r="GTS512" s="332"/>
      <c r="GTT512" s="332"/>
      <c r="GTU512" s="332"/>
      <c r="GTV512" s="332"/>
      <c r="GTW512" s="332"/>
      <c r="GTX512" s="332"/>
      <c r="GTY512" s="332"/>
      <c r="GTZ512" s="332"/>
      <c r="GUA512" s="332"/>
      <c r="GUB512" s="332"/>
      <c r="GUC512" s="332"/>
      <c r="GUD512" s="332"/>
      <c r="GUE512" s="332"/>
      <c r="GUF512" s="332"/>
      <c r="GUG512" s="332"/>
      <c r="GUH512" s="332"/>
      <c r="GUI512" s="332"/>
      <c r="GUJ512" s="332"/>
      <c r="GUK512" s="332"/>
      <c r="GUL512" s="332"/>
      <c r="GUM512" s="332"/>
      <c r="GUN512" s="332"/>
      <c r="GUO512" s="332"/>
      <c r="GUP512" s="332"/>
      <c r="GUQ512" s="332"/>
      <c r="GUR512" s="332"/>
      <c r="GUS512" s="332"/>
      <c r="GUT512" s="332"/>
      <c r="GUU512" s="332"/>
      <c r="GUV512" s="332"/>
      <c r="GUW512" s="332"/>
      <c r="GUX512" s="332"/>
      <c r="GUY512" s="332"/>
      <c r="GUZ512" s="332"/>
      <c r="GVA512" s="332"/>
      <c r="GVB512" s="332"/>
      <c r="GVC512" s="332"/>
      <c r="GVD512" s="332"/>
      <c r="GVE512" s="332"/>
      <c r="GVF512" s="332"/>
      <c r="GVG512" s="332"/>
      <c r="GVH512" s="332"/>
      <c r="GVI512" s="332"/>
      <c r="GVJ512" s="332"/>
      <c r="GVK512" s="332"/>
      <c r="GVL512" s="332"/>
      <c r="GVM512" s="332"/>
      <c r="GVN512" s="332"/>
      <c r="GVO512" s="332"/>
      <c r="GVP512" s="332"/>
      <c r="GVQ512" s="332"/>
      <c r="GVR512" s="332"/>
      <c r="GVS512" s="332"/>
      <c r="GVT512" s="332"/>
      <c r="GVU512" s="332"/>
      <c r="GVV512" s="332"/>
      <c r="GVW512" s="332"/>
      <c r="GVX512" s="332"/>
      <c r="GVY512" s="332"/>
      <c r="GVZ512" s="332"/>
      <c r="GWA512" s="332"/>
      <c r="GWB512" s="332"/>
      <c r="GWC512" s="332"/>
      <c r="GWD512" s="332"/>
      <c r="GWE512" s="332"/>
      <c r="GWF512" s="332"/>
      <c r="GWG512" s="332"/>
      <c r="GWH512" s="332"/>
      <c r="GWI512" s="332"/>
      <c r="GWJ512" s="332"/>
      <c r="GWK512" s="332"/>
      <c r="GWL512" s="332"/>
      <c r="GWM512" s="332"/>
      <c r="GWN512" s="332"/>
      <c r="GWO512" s="332"/>
      <c r="GWP512" s="332"/>
      <c r="GWQ512" s="332"/>
      <c r="GWR512" s="332"/>
      <c r="GWS512" s="332"/>
      <c r="GWT512" s="332"/>
      <c r="GWU512" s="332"/>
      <c r="GWV512" s="332"/>
      <c r="GWW512" s="332"/>
      <c r="GWX512" s="332"/>
      <c r="GWY512" s="332"/>
      <c r="GWZ512" s="332"/>
      <c r="GXA512" s="332"/>
      <c r="GXB512" s="332"/>
      <c r="GXC512" s="332"/>
      <c r="GXD512" s="332"/>
      <c r="GXE512" s="332"/>
      <c r="GXF512" s="332"/>
      <c r="GXG512" s="332"/>
      <c r="GXH512" s="332"/>
      <c r="GXI512" s="332"/>
      <c r="GXJ512" s="332"/>
      <c r="GXK512" s="332"/>
      <c r="GXL512" s="332"/>
      <c r="GXM512" s="332"/>
      <c r="GXN512" s="332"/>
      <c r="GXO512" s="332"/>
      <c r="GXP512" s="332"/>
      <c r="GXQ512" s="332"/>
      <c r="GXR512" s="332"/>
      <c r="GXS512" s="332"/>
      <c r="GXT512" s="332"/>
      <c r="GXU512" s="332"/>
      <c r="GXV512" s="332"/>
      <c r="GXW512" s="332"/>
      <c r="GXX512" s="332"/>
      <c r="GXY512" s="332"/>
      <c r="GXZ512" s="332"/>
      <c r="GYA512" s="332"/>
      <c r="GYB512" s="332"/>
      <c r="GYC512" s="332"/>
      <c r="GYD512" s="332"/>
      <c r="GYE512" s="332"/>
      <c r="GYF512" s="332"/>
      <c r="GYG512" s="332"/>
      <c r="GYH512" s="332"/>
      <c r="GYI512" s="332"/>
      <c r="GYJ512" s="332"/>
      <c r="GYK512" s="332"/>
      <c r="GYL512" s="332"/>
      <c r="GYM512" s="332"/>
      <c r="GYN512" s="332"/>
      <c r="GYO512" s="332"/>
      <c r="GYP512" s="332"/>
      <c r="GYQ512" s="332"/>
      <c r="GYR512" s="332"/>
      <c r="GYS512" s="332"/>
      <c r="GYT512" s="332"/>
      <c r="GYU512" s="332"/>
      <c r="GYV512" s="332"/>
      <c r="GYW512" s="332"/>
      <c r="GYX512" s="332"/>
      <c r="GYY512" s="332"/>
      <c r="GYZ512" s="332"/>
      <c r="GZA512" s="332"/>
      <c r="GZB512" s="332"/>
      <c r="GZC512" s="332"/>
      <c r="GZD512" s="332"/>
      <c r="GZE512" s="332"/>
      <c r="GZF512" s="332"/>
      <c r="GZG512" s="332"/>
      <c r="GZH512" s="332"/>
      <c r="GZI512" s="332"/>
      <c r="GZJ512" s="332"/>
      <c r="GZK512" s="332"/>
      <c r="GZL512" s="332"/>
      <c r="GZM512" s="332"/>
      <c r="GZN512" s="332"/>
      <c r="GZO512" s="332"/>
      <c r="GZP512" s="332"/>
      <c r="GZQ512" s="332"/>
      <c r="GZR512" s="332"/>
      <c r="GZS512" s="332"/>
      <c r="GZT512" s="332"/>
      <c r="GZU512" s="332"/>
      <c r="GZV512" s="332"/>
      <c r="GZW512" s="332"/>
      <c r="GZX512" s="332"/>
      <c r="GZY512" s="332"/>
      <c r="GZZ512" s="332"/>
      <c r="HAA512" s="332"/>
      <c r="HAB512" s="332"/>
      <c r="HAC512" s="332"/>
      <c r="HAD512" s="332"/>
      <c r="HAE512" s="332"/>
      <c r="HAF512" s="332"/>
      <c r="HAG512" s="332"/>
      <c r="HAH512" s="332"/>
      <c r="HAI512" s="332"/>
      <c r="HAJ512" s="332"/>
      <c r="HAK512" s="332"/>
      <c r="HAL512" s="332"/>
      <c r="HAM512" s="332"/>
      <c r="HAN512" s="332"/>
      <c r="HAO512" s="332"/>
      <c r="HAP512" s="332"/>
      <c r="HAQ512" s="332"/>
      <c r="HAR512" s="332"/>
      <c r="HAS512" s="332"/>
      <c r="HAT512" s="332"/>
      <c r="HAU512" s="332"/>
      <c r="HAV512" s="332"/>
      <c r="HAW512" s="332"/>
      <c r="HAX512" s="332"/>
      <c r="HAY512" s="332"/>
      <c r="HAZ512" s="332"/>
      <c r="HBA512" s="332"/>
      <c r="HBB512" s="332"/>
      <c r="HBC512" s="332"/>
      <c r="HBD512" s="332"/>
      <c r="HBE512" s="332"/>
      <c r="HBF512" s="332"/>
      <c r="HBG512" s="332"/>
      <c r="HBH512" s="332"/>
      <c r="HBI512" s="332"/>
      <c r="HBJ512" s="332"/>
      <c r="HBK512" s="332"/>
      <c r="HBL512" s="332"/>
      <c r="HBM512" s="332"/>
      <c r="HBN512" s="332"/>
      <c r="HBO512" s="332"/>
      <c r="HBP512" s="332"/>
      <c r="HBQ512" s="332"/>
      <c r="HBR512" s="332"/>
      <c r="HBS512" s="332"/>
      <c r="HBT512" s="332"/>
      <c r="HBU512" s="332"/>
      <c r="HBV512" s="332"/>
      <c r="HBW512" s="332"/>
      <c r="HBX512" s="332"/>
      <c r="HBY512" s="332"/>
      <c r="HBZ512" s="332"/>
      <c r="HCA512" s="332"/>
      <c r="HCB512" s="332"/>
      <c r="HCC512" s="332"/>
      <c r="HCD512" s="332"/>
      <c r="HCE512" s="332"/>
      <c r="HCF512" s="332"/>
      <c r="HCG512" s="332"/>
      <c r="HCH512" s="332"/>
      <c r="HCI512" s="332"/>
      <c r="HCJ512" s="332"/>
      <c r="HCK512" s="332"/>
      <c r="HCL512" s="332"/>
      <c r="HCM512" s="332"/>
      <c r="HCN512" s="332"/>
      <c r="HCO512" s="332"/>
      <c r="HCP512" s="332"/>
      <c r="HCQ512" s="332"/>
      <c r="HCR512" s="332"/>
      <c r="HCS512" s="332"/>
      <c r="HCT512" s="332"/>
      <c r="HCU512" s="332"/>
      <c r="HCV512" s="332"/>
      <c r="HCW512" s="332"/>
      <c r="HCX512" s="332"/>
      <c r="HCY512" s="332"/>
      <c r="HCZ512" s="332"/>
      <c r="HDA512" s="332"/>
      <c r="HDB512" s="332"/>
      <c r="HDC512" s="332"/>
      <c r="HDD512" s="332"/>
      <c r="HDE512" s="332"/>
      <c r="HDF512" s="332"/>
      <c r="HDG512" s="332"/>
      <c r="HDH512" s="332"/>
      <c r="HDI512" s="332"/>
      <c r="HDJ512" s="332"/>
      <c r="HDK512" s="332"/>
      <c r="HDL512" s="332"/>
      <c r="HDM512" s="332"/>
      <c r="HDN512" s="332"/>
      <c r="HDO512" s="332"/>
      <c r="HDP512" s="332"/>
      <c r="HDQ512" s="332"/>
      <c r="HDR512" s="332"/>
      <c r="HDS512" s="332"/>
      <c r="HDT512" s="332"/>
      <c r="HDU512" s="332"/>
      <c r="HDV512" s="332"/>
      <c r="HDW512" s="332"/>
      <c r="HDX512" s="332"/>
      <c r="HDY512" s="332"/>
      <c r="HDZ512" s="332"/>
      <c r="HEA512" s="332"/>
      <c r="HEB512" s="332"/>
      <c r="HEC512" s="332"/>
      <c r="HED512" s="332"/>
      <c r="HEE512" s="332"/>
      <c r="HEF512" s="332"/>
      <c r="HEG512" s="332"/>
      <c r="HEH512" s="332"/>
      <c r="HEI512" s="332"/>
      <c r="HEJ512" s="332"/>
      <c r="HEK512" s="332"/>
      <c r="HEL512" s="332"/>
      <c r="HEM512" s="332"/>
      <c r="HEN512" s="332"/>
      <c r="HEO512" s="332"/>
      <c r="HEP512" s="332"/>
      <c r="HEQ512" s="332"/>
      <c r="HER512" s="332"/>
      <c r="HES512" s="332"/>
      <c r="HET512" s="332"/>
      <c r="HEU512" s="332"/>
      <c r="HEV512" s="332"/>
      <c r="HEW512" s="332"/>
      <c r="HEX512" s="332"/>
      <c r="HEY512" s="332"/>
      <c r="HEZ512" s="332"/>
      <c r="HFA512" s="332"/>
      <c r="HFB512" s="332"/>
      <c r="HFC512" s="332"/>
      <c r="HFD512" s="332"/>
      <c r="HFE512" s="332"/>
      <c r="HFF512" s="332"/>
      <c r="HFG512" s="332"/>
      <c r="HFH512" s="332"/>
      <c r="HFI512" s="332"/>
      <c r="HFJ512" s="332"/>
      <c r="HFK512" s="332"/>
      <c r="HFL512" s="332"/>
      <c r="HFM512" s="332"/>
      <c r="HFN512" s="332"/>
      <c r="HFO512" s="332"/>
      <c r="HFP512" s="332"/>
      <c r="HFQ512" s="332"/>
      <c r="HFR512" s="332"/>
      <c r="HFS512" s="332"/>
      <c r="HFT512" s="332"/>
      <c r="HFU512" s="332"/>
      <c r="HFV512" s="332"/>
      <c r="HFW512" s="332"/>
      <c r="HFX512" s="332"/>
      <c r="HFY512" s="332"/>
      <c r="HFZ512" s="332"/>
      <c r="HGA512" s="332"/>
      <c r="HGB512" s="332"/>
      <c r="HGC512" s="332"/>
      <c r="HGD512" s="332"/>
      <c r="HGE512" s="332"/>
      <c r="HGF512" s="332"/>
      <c r="HGG512" s="332"/>
      <c r="HGH512" s="332"/>
      <c r="HGI512" s="332"/>
      <c r="HGJ512" s="332"/>
      <c r="HGK512" s="332"/>
      <c r="HGL512" s="332"/>
      <c r="HGM512" s="332"/>
      <c r="HGN512" s="332"/>
      <c r="HGO512" s="332"/>
      <c r="HGP512" s="332"/>
      <c r="HGQ512" s="332"/>
      <c r="HGR512" s="332"/>
      <c r="HGS512" s="332"/>
      <c r="HGT512" s="332"/>
      <c r="HGU512" s="332"/>
      <c r="HGV512" s="332"/>
      <c r="HGW512" s="332"/>
      <c r="HGX512" s="332"/>
      <c r="HGY512" s="332"/>
      <c r="HGZ512" s="332"/>
      <c r="HHA512" s="332"/>
      <c r="HHB512" s="332"/>
      <c r="HHC512" s="332"/>
      <c r="HHD512" s="332"/>
      <c r="HHE512" s="332"/>
      <c r="HHF512" s="332"/>
      <c r="HHG512" s="332"/>
      <c r="HHH512" s="332"/>
      <c r="HHI512" s="332"/>
      <c r="HHJ512" s="332"/>
      <c r="HHK512" s="332"/>
      <c r="HHL512" s="332"/>
      <c r="HHM512" s="332"/>
      <c r="HHN512" s="332"/>
      <c r="HHO512" s="332"/>
      <c r="HHP512" s="332"/>
      <c r="HHQ512" s="332"/>
      <c r="HHR512" s="332"/>
      <c r="HHS512" s="332"/>
      <c r="HHT512" s="332"/>
      <c r="HHU512" s="332"/>
      <c r="HHV512" s="332"/>
      <c r="HHW512" s="332"/>
      <c r="HHX512" s="332"/>
      <c r="HHY512" s="332"/>
      <c r="HHZ512" s="332"/>
      <c r="HIA512" s="332"/>
      <c r="HIB512" s="332"/>
      <c r="HIC512" s="332"/>
      <c r="HID512" s="332"/>
      <c r="HIE512" s="332"/>
      <c r="HIF512" s="332"/>
      <c r="HIG512" s="332"/>
      <c r="HIH512" s="332"/>
      <c r="HII512" s="332"/>
      <c r="HIJ512" s="332"/>
      <c r="HIK512" s="332"/>
      <c r="HIL512" s="332"/>
      <c r="HIM512" s="332"/>
      <c r="HIN512" s="332"/>
      <c r="HIO512" s="332"/>
      <c r="HIP512" s="332"/>
      <c r="HIQ512" s="332"/>
      <c r="HIR512" s="332"/>
      <c r="HIS512" s="332"/>
      <c r="HIT512" s="332"/>
      <c r="HIU512" s="332"/>
      <c r="HIV512" s="332"/>
      <c r="HIW512" s="332"/>
      <c r="HIX512" s="332"/>
      <c r="HIY512" s="332"/>
      <c r="HIZ512" s="332"/>
      <c r="HJA512" s="332"/>
      <c r="HJB512" s="332"/>
      <c r="HJC512" s="332"/>
      <c r="HJD512" s="332"/>
      <c r="HJE512" s="332"/>
      <c r="HJF512" s="332"/>
      <c r="HJG512" s="332"/>
      <c r="HJH512" s="332"/>
      <c r="HJI512" s="332"/>
      <c r="HJJ512" s="332"/>
      <c r="HJK512" s="332"/>
      <c r="HJL512" s="332"/>
      <c r="HJM512" s="332"/>
      <c r="HJN512" s="332"/>
      <c r="HJO512" s="332"/>
      <c r="HJP512" s="332"/>
      <c r="HJQ512" s="332"/>
      <c r="HJR512" s="332"/>
      <c r="HJS512" s="332"/>
      <c r="HJT512" s="332"/>
      <c r="HJU512" s="332"/>
      <c r="HJV512" s="332"/>
      <c r="HJW512" s="332"/>
      <c r="HJX512" s="332"/>
      <c r="HJY512" s="332"/>
      <c r="HJZ512" s="332"/>
      <c r="HKA512" s="332"/>
      <c r="HKB512" s="332"/>
      <c r="HKC512" s="332"/>
      <c r="HKD512" s="332"/>
      <c r="HKE512" s="332"/>
      <c r="HKF512" s="332"/>
      <c r="HKG512" s="332"/>
      <c r="HKH512" s="332"/>
      <c r="HKI512" s="332"/>
      <c r="HKJ512" s="332"/>
      <c r="HKK512" s="332"/>
      <c r="HKL512" s="332"/>
      <c r="HKM512" s="332"/>
      <c r="HKN512" s="332"/>
      <c r="HKO512" s="332"/>
      <c r="HKP512" s="332"/>
      <c r="HKQ512" s="332"/>
      <c r="HKR512" s="332"/>
      <c r="HKS512" s="332"/>
      <c r="HKT512" s="332"/>
      <c r="HKU512" s="332"/>
      <c r="HKV512" s="332"/>
      <c r="HKW512" s="332"/>
      <c r="HKX512" s="332"/>
      <c r="HKY512" s="332"/>
      <c r="HKZ512" s="332"/>
      <c r="HLA512" s="332"/>
      <c r="HLB512" s="332"/>
      <c r="HLC512" s="332"/>
      <c r="HLD512" s="332"/>
      <c r="HLE512" s="332"/>
      <c r="HLF512" s="332"/>
      <c r="HLG512" s="332"/>
      <c r="HLH512" s="332"/>
      <c r="HLI512" s="332"/>
      <c r="HLJ512" s="332"/>
      <c r="HLK512" s="332"/>
      <c r="HLL512" s="332"/>
      <c r="HLM512" s="332"/>
      <c r="HLN512" s="332"/>
      <c r="HLO512" s="332"/>
      <c r="HLP512" s="332"/>
      <c r="HLQ512" s="332"/>
      <c r="HLR512" s="332"/>
      <c r="HLS512" s="332"/>
      <c r="HLT512" s="332"/>
      <c r="HLU512" s="332"/>
      <c r="HLV512" s="332"/>
      <c r="HLW512" s="332"/>
      <c r="HLX512" s="332"/>
      <c r="HLY512" s="332"/>
      <c r="HLZ512" s="332"/>
      <c r="HMA512" s="332"/>
      <c r="HMB512" s="332"/>
      <c r="HMC512" s="332"/>
      <c r="HMD512" s="332"/>
      <c r="HME512" s="332"/>
      <c r="HMF512" s="332"/>
      <c r="HMG512" s="332"/>
      <c r="HMH512" s="332"/>
      <c r="HMI512" s="332"/>
      <c r="HMJ512" s="332"/>
      <c r="HMK512" s="332"/>
      <c r="HML512" s="332"/>
      <c r="HMM512" s="332"/>
      <c r="HMN512" s="332"/>
      <c r="HMO512" s="332"/>
      <c r="HMP512" s="332"/>
      <c r="HMQ512" s="332"/>
      <c r="HMR512" s="332"/>
      <c r="HMS512" s="332"/>
      <c r="HMT512" s="332"/>
      <c r="HMU512" s="332"/>
      <c r="HMV512" s="332"/>
      <c r="HMW512" s="332"/>
      <c r="HMX512" s="332"/>
      <c r="HMY512" s="332"/>
      <c r="HMZ512" s="332"/>
      <c r="HNA512" s="332"/>
      <c r="HNB512" s="332"/>
      <c r="HNC512" s="332"/>
      <c r="HND512" s="332"/>
      <c r="HNE512" s="332"/>
      <c r="HNF512" s="332"/>
      <c r="HNG512" s="332"/>
      <c r="HNH512" s="332"/>
      <c r="HNI512" s="332"/>
      <c r="HNJ512" s="332"/>
      <c r="HNK512" s="332"/>
      <c r="HNL512" s="332"/>
      <c r="HNM512" s="332"/>
      <c r="HNN512" s="332"/>
      <c r="HNO512" s="332"/>
      <c r="HNP512" s="332"/>
      <c r="HNQ512" s="332"/>
      <c r="HNR512" s="332"/>
      <c r="HNS512" s="332"/>
      <c r="HNT512" s="332"/>
      <c r="HNU512" s="332"/>
      <c r="HNV512" s="332"/>
      <c r="HNW512" s="332"/>
      <c r="HNX512" s="332"/>
      <c r="HNY512" s="332"/>
      <c r="HNZ512" s="332"/>
      <c r="HOA512" s="332"/>
      <c r="HOB512" s="332"/>
      <c r="HOC512" s="332"/>
      <c r="HOD512" s="332"/>
      <c r="HOE512" s="332"/>
      <c r="HOF512" s="332"/>
      <c r="HOG512" s="332"/>
      <c r="HOH512" s="332"/>
      <c r="HOI512" s="332"/>
      <c r="HOJ512" s="332"/>
      <c r="HOK512" s="332"/>
      <c r="HOL512" s="332"/>
      <c r="HOM512" s="332"/>
      <c r="HON512" s="332"/>
      <c r="HOO512" s="332"/>
      <c r="HOP512" s="332"/>
      <c r="HOQ512" s="332"/>
      <c r="HOR512" s="332"/>
      <c r="HOS512" s="332"/>
      <c r="HOT512" s="332"/>
      <c r="HOU512" s="332"/>
      <c r="HOV512" s="332"/>
      <c r="HOW512" s="332"/>
      <c r="HOX512" s="332"/>
      <c r="HOY512" s="332"/>
      <c r="HOZ512" s="332"/>
      <c r="HPA512" s="332"/>
      <c r="HPB512" s="332"/>
      <c r="HPC512" s="332"/>
      <c r="HPD512" s="332"/>
      <c r="HPE512" s="332"/>
      <c r="HPF512" s="332"/>
      <c r="HPG512" s="332"/>
      <c r="HPH512" s="332"/>
      <c r="HPI512" s="332"/>
      <c r="HPJ512" s="332"/>
      <c r="HPK512" s="332"/>
      <c r="HPL512" s="332"/>
      <c r="HPM512" s="332"/>
      <c r="HPN512" s="332"/>
      <c r="HPO512" s="332"/>
      <c r="HPP512" s="332"/>
      <c r="HPQ512" s="332"/>
      <c r="HPR512" s="332"/>
      <c r="HPS512" s="332"/>
      <c r="HPT512" s="332"/>
      <c r="HPU512" s="332"/>
      <c r="HPV512" s="332"/>
      <c r="HPW512" s="332"/>
      <c r="HPX512" s="332"/>
      <c r="HPY512" s="332"/>
      <c r="HPZ512" s="332"/>
      <c r="HQA512" s="332"/>
      <c r="HQB512" s="332"/>
      <c r="HQC512" s="332"/>
      <c r="HQD512" s="332"/>
      <c r="HQE512" s="332"/>
      <c r="HQF512" s="332"/>
      <c r="HQG512" s="332"/>
      <c r="HQH512" s="332"/>
      <c r="HQI512" s="332"/>
      <c r="HQJ512" s="332"/>
      <c r="HQK512" s="332"/>
      <c r="HQL512" s="332"/>
      <c r="HQM512" s="332"/>
      <c r="HQN512" s="332"/>
      <c r="HQO512" s="332"/>
      <c r="HQP512" s="332"/>
      <c r="HQQ512" s="332"/>
      <c r="HQR512" s="332"/>
      <c r="HQS512" s="332"/>
      <c r="HQT512" s="332"/>
      <c r="HQU512" s="332"/>
      <c r="HQV512" s="332"/>
      <c r="HQW512" s="332"/>
      <c r="HQX512" s="332"/>
      <c r="HQY512" s="332"/>
      <c r="HQZ512" s="332"/>
      <c r="HRA512" s="332"/>
      <c r="HRB512" s="332"/>
      <c r="HRC512" s="332"/>
      <c r="HRD512" s="332"/>
      <c r="HRE512" s="332"/>
      <c r="HRF512" s="332"/>
      <c r="HRG512" s="332"/>
      <c r="HRH512" s="332"/>
      <c r="HRI512" s="332"/>
      <c r="HRJ512" s="332"/>
      <c r="HRK512" s="332"/>
      <c r="HRL512" s="332"/>
      <c r="HRM512" s="332"/>
      <c r="HRN512" s="332"/>
      <c r="HRO512" s="332"/>
      <c r="HRP512" s="332"/>
      <c r="HRQ512" s="332"/>
      <c r="HRR512" s="332"/>
      <c r="HRS512" s="332"/>
      <c r="HRT512" s="332"/>
      <c r="HRU512" s="332"/>
      <c r="HRV512" s="332"/>
      <c r="HRW512" s="332"/>
      <c r="HRX512" s="332"/>
      <c r="HRY512" s="332"/>
      <c r="HRZ512" s="332"/>
      <c r="HSA512" s="332"/>
      <c r="HSB512" s="332"/>
      <c r="HSC512" s="332"/>
      <c r="HSD512" s="332"/>
      <c r="HSE512" s="332"/>
      <c r="HSF512" s="332"/>
      <c r="HSG512" s="332"/>
      <c r="HSH512" s="332"/>
      <c r="HSI512" s="332"/>
      <c r="HSJ512" s="332"/>
      <c r="HSK512" s="332"/>
      <c r="HSL512" s="332"/>
      <c r="HSM512" s="332"/>
      <c r="HSN512" s="332"/>
      <c r="HSO512" s="332"/>
      <c r="HSP512" s="332"/>
      <c r="HSQ512" s="332"/>
      <c r="HSR512" s="332"/>
      <c r="HSS512" s="332"/>
      <c r="HST512" s="332"/>
      <c r="HSU512" s="332"/>
      <c r="HSV512" s="332"/>
      <c r="HSW512" s="332"/>
      <c r="HSX512" s="332"/>
      <c r="HSY512" s="332"/>
      <c r="HSZ512" s="332"/>
      <c r="HTA512" s="332"/>
      <c r="HTB512" s="332"/>
      <c r="HTC512" s="332"/>
      <c r="HTD512" s="332"/>
      <c r="HTE512" s="332"/>
      <c r="HTF512" s="332"/>
      <c r="HTG512" s="332"/>
      <c r="HTH512" s="332"/>
      <c r="HTI512" s="332"/>
      <c r="HTJ512" s="332"/>
      <c r="HTK512" s="332"/>
      <c r="HTL512" s="332"/>
      <c r="HTM512" s="332"/>
      <c r="HTN512" s="332"/>
      <c r="HTO512" s="332"/>
      <c r="HTP512" s="332"/>
      <c r="HTQ512" s="332"/>
      <c r="HTR512" s="332"/>
      <c r="HTS512" s="332"/>
      <c r="HTT512" s="332"/>
      <c r="HTU512" s="332"/>
      <c r="HTV512" s="332"/>
      <c r="HTW512" s="332"/>
      <c r="HTX512" s="332"/>
      <c r="HTY512" s="332"/>
      <c r="HTZ512" s="332"/>
      <c r="HUA512" s="332"/>
      <c r="HUB512" s="332"/>
      <c r="HUC512" s="332"/>
      <c r="HUD512" s="332"/>
      <c r="HUE512" s="332"/>
      <c r="HUF512" s="332"/>
      <c r="HUG512" s="332"/>
      <c r="HUH512" s="332"/>
      <c r="HUI512" s="332"/>
      <c r="HUJ512" s="332"/>
      <c r="HUK512" s="332"/>
      <c r="HUL512" s="332"/>
      <c r="HUM512" s="332"/>
      <c r="HUN512" s="332"/>
      <c r="HUO512" s="332"/>
      <c r="HUP512" s="332"/>
      <c r="HUQ512" s="332"/>
      <c r="HUR512" s="332"/>
      <c r="HUS512" s="332"/>
      <c r="HUT512" s="332"/>
      <c r="HUU512" s="332"/>
      <c r="HUV512" s="332"/>
      <c r="HUW512" s="332"/>
      <c r="HUX512" s="332"/>
      <c r="HUY512" s="332"/>
      <c r="HUZ512" s="332"/>
      <c r="HVA512" s="332"/>
      <c r="HVB512" s="332"/>
      <c r="HVC512" s="332"/>
      <c r="HVD512" s="332"/>
      <c r="HVE512" s="332"/>
      <c r="HVF512" s="332"/>
      <c r="HVG512" s="332"/>
      <c r="HVH512" s="332"/>
      <c r="HVI512" s="332"/>
      <c r="HVJ512" s="332"/>
      <c r="HVK512" s="332"/>
      <c r="HVL512" s="332"/>
      <c r="HVM512" s="332"/>
      <c r="HVN512" s="332"/>
      <c r="HVO512" s="332"/>
      <c r="HVP512" s="332"/>
      <c r="HVQ512" s="332"/>
      <c r="HVR512" s="332"/>
      <c r="HVS512" s="332"/>
      <c r="HVT512" s="332"/>
      <c r="HVU512" s="332"/>
      <c r="HVV512" s="332"/>
      <c r="HVW512" s="332"/>
      <c r="HVX512" s="332"/>
      <c r="HVY512" s="332"/>
      <c r="HVZ512" s="332"/>
      <c r="HWA512" s="332"/>
      <c r="HWB512" s="332"/>
      <c r="HWC512" s="332"/>
      <c r="HWD512" s="332"/>
      <c r="HWE512" s="332"/>
      <c r="HWF512" s="332"/>
      <c r="HWG512" s="332"/>
      <c r="HWH512" s="332"/>
      <c r="HWI512" s="332"/>
      <c r="HWJ512" s="332"/>
      <c r="HWK512" s="332"/>
      <c r="HWL512" s="332"/>
      <c r="HWM512" s="332"/>
      <c r="HWN512" s="332"/>
      <c r="HWO512" s="332"/>
      <c r="HWP512" s="332"/>
      <c r="HWQ512" s="332"/>
      <c r="HWR512" s="332"/>
      <c r="HWS512" s="332"/>
      <c r="HWT512" s="332"/>
      <c r="HWU512" s="332"/>
      <c r="HWV512" s="332"/>
      <c r="HWW512" s="332"/>
      <c r="HWX512" s="332"/>
      <c r="HWY512" s="332"/>
      <c r="HWZ512" s="332"/>
      <c r="HXA512" s="332"/>
      <c r="HXB512" s="332"/>
      <c r="HXC512" s="332"/>
      <c r="HXD512" s="332"/>
      <c r="HXE512" s="332"/>
      <c r="HXF512" s="332"/>
      <c r="HXG512" s="332"/>
      <c r="HXH512" s="332"/>
      <c r="HXI512" s="332"/>
      <c r="HXJ512" s="332"/>
      <c r="HXK512" s="332"/>
      <c r="HXL512" s="332"/>
      <c r="HXM512" s="332"/>
      <c r="HXN512" s="332"/>
      <c r="HXO512" s="332"/>
      <c r="HXP512" s="332"/>
      <c r="HXQ512" s="332"/>
      <c r="HXR512" s="332"/>
      <c r="HXS512" s="332"/>
      <c r="HXT512" s="332"/>
      <c r="HXU512" s="332"/>
      <c r="HXV512" s="332"/>
      <c r="HXW512" s="332"/>
      <c r="HXX512" s="332"/>
      <c r="HXY512" s="332"/>
      <c r="HXZ512" s="332"/>
      <c r="HYA512" s="332"/>
      <c r="HYB512" s="332"/>
      <c r="HYC512" s="332"/>
      <c r="HYD512" s="332"/>
      <c r="HYE512" s="332"/>
      <c r="HYF512" s="332"/>
      <c r="HYG512" s="332"/>
      <c r="HYH512" s="332"/>
      <c r="HYI512" s="332"/>
      <c r="HYJ512" s="332"/>
      <c r="HYK512" s="332"/>
      <c r="HYL512" s="332"/>
      <c r="HYM512" s="332"/>
      <c r="HYN512" s="332"/>
      <c r="HYO512" s="332"/>
      <c r="HYP512" s="332"/>
      <c r="HYQ512" s="332"/>
      <c r="HYR512" s="332"/>
      <c r="HYS512" s="332"/>
      <c r="HYT512" s="332"/>
      <c r="HYU512" s="332"/>
      <c r="HYV512" s="332"/>
      <c r="HYW512" s="332"/>
      <c r="HYX512" s="332"/>
      <c r="HYY512" s="332"/>
      <c r="HYZ512" s="332"/>
      <c r="HZA512" s="332"/>
      <c r="HZB512" s="332"/>
      <c r="HZC512" s="332"/>
      <c r="HZD512" s="332"/>
      <c r="HZE512" s="332"/>
      <c r="HZF512" s="332"/>
      <c r="HZG512" s="332"/>
      <c r="HZH512" s="332"/>
      <c r="HZI512" s="332"/>
      <c r="HZJ512" s="332"/>
      <c r="HZK512" s="332"/>
      <c r="HZL512" s="332"/>
      <c r="HZM512" s="332"/>
      <c r="HZN512" s="332"/>
      <c r="HZO512" s="332"/>
      <c r="HZP512" s="332"/>
      <c r="HZQ512" s="332"/>
      <c r="HZR512" s="332"/>
      <c r="HZS512" s="332"/>
      <c r="HZT512" s="332"/>
      <c r="HZU512" s="332"/>
      <c r="HZV512" s="332"/>
      <c r="HZW512" s="332"/>
      <c r="HZX512" s="332"/>
      <c r="HZY512" s="332"/>
      <c r="HZZ512" s="332"/>
      <c r="IAA512" s="332"/>
      <c r="IAB512" s="332"/>
      <c r="IAC512" s="332"/>
      <c r="IAD512" s="332"/>
      <c r="IAE512" s="332"/>
      <c r="IAF512" s="332"/>
      <c r="IAG512" s="332"/>
      <c r="IAH512" s="332"/>
      <c r="IAI512" s="332"/>
      <c r="IAJ512" s="332"/>
      <c r="IAK512" s="332"/>
      <c r="IAL512" s="332"/>
      <c r="IAM512" s="332"/>
      <c r="IAN512" s="332"/>
      <c r="IAO512" s="332"/>
      <c r="IAP512" s="332"/>
      <c r="IAQ512" s="332"/>
      <c r="IAR512" s="332"/>
      <c r="IAS512" s="332"/>
      <c r="IAT512" s="332"/>
      <c r="IAU512" s="332"/>
      <c r="IAV512" s="332"/>
      <c r="IAW512" s="332"/>
      <c r="IAX512" s="332"/>
      <c r="IAY512" s="332"/>
      <c r="IAZ512" s="332"/>
      <c r="IBA512" s="332"/>
      <c r="IBB512" s="332"/>
      <c r="IBC512" s="332"/>
      <c r="IBD512" s="332"/>
      <c r="IBE512" s="332"/>
      <c r="IBF512" s="332"/>
      <c r="IBG512" s="332"/>
      <c r="IBH512" s="332"/>
      <c r="IBI512" s="332"/>
      <c r="IBJ512" s="332"/>
      <c r="IBK512" s="332"/>
      <c r="IBL512" s="332"/>
      <c r="IBM512" s="332"/>
      <c r="IBN512" s="332"/>
      <c r="IBO512" s="332"/>
      <c r="IBP512" s="332"/>
      <c r="IBQ512" s="332"/>
      <c r="IBR512" s="332"/>
      <c r="IBS512" s="332"/>
      <c r="IBT512" s="332"/>
      <c r="IBU512" s="332"/>
      <c r="IBV512" s="332"/>
      <c r="IBW512" s="332"/>
      <c r="IBX512" s="332"/>
      <c r="IBY512" s="332"/>
      <c r="IBZ512" s="332"/>
      <c r="ICA512" s="332"/>
      <c r="ICB512" s="332"/>
      <c r="ICC512" s="332"/>
      <c r="ICD512" s="332"/>
      <c r="ICE512" s="332"/>
      <c r="ICF512" s="332"/>
      <c r="ICG512" s="332"/>
      <c r="ICH512" s="332"/>
      <c r="ICI512" s="332"/>
      <c r="ICJ512" s="332"/>
      <c r="ICK512" s="332"/>
      <c r="ICL512" s="332"/>
      <c r="ICM512" s="332"/>
      <c r="ICN512" s="332"/>
      <c r="ICO512" s="332"/>
      <c r="ICP512" s="332"/>
      <c r="ICQ512" s="332"/>
      <c r="ICR512" s="332"/>
      <c r="ICS512" s="332"/>
      <c r="ICT512" s="332"/>
      <c r="ICU512" s="332"/>
      <c r="ICV512" s="332"/>
      <c r="ICW512" s="332"/>
      <c r="ICX512" s="332"/>
      <c r="ICY512" s="332"/>
      <c r="ICZ512" s="332"/>
      <c r="IDA512" s="332"/>
      <c r="IDB512" s="332"/>
      <c r="IDC512" s="332"/>
      <c r="IDD512" s="332"/>
      <c r="IDE512" s="332"/>
      <c r="IDF512" s="332"/>
      <c r="IDG512" s="332"/>
      <c r="IDH512" s="332"/>
      <c r="IDI512" s="332"/>
      <c r="IDJ512" s="332"/>
      <c r="IDK512" s="332"/>
      <c r="IDL512" s="332"/>
      <c r="IDM512" s="332"/>
      <c r="IDN512" s="332"/>
      <c r="IDO512" s="332"/>
      <c r="IDP512" s="332"/>
      <c r="IDQ512" s="332"/>
      <c r="IDR512" s="332"/>
      <c r="IDS512" s="332"/>
      <c r="IDT512" s="332"/>
      <c r="IDU512" s="332"/>
      <c r="IDV512" s="332"/>
      <c r="IDW512" s="332"/>
      <c r="IDX512" s="332"/>
      <c r="IDY512" s="332"/>
      <c r="IDZ512" s="332"/>
      <c r="IEA512" s="332"/>
      <c r="IEB512" s="332"/>
      <c r="IEC512" s="332"/>
      <c r="IED512" s="332"/>
      <c r="IEE512" s="332"/>
      <c r="IEF512" s="332"/>
      <c r="IEG512" s="332"/>
      <c r="IEH512" s="332"/>
      <c r="IEI512" s="332"/>
      <c r="IEJ512" s="332"/>
      <c r="IEK512" s="332"/>
      <c r="IEL512" s="332"/>
      <c r="IEM512" s="332"/>
      <c r="IEN512" s="332"/>
      <c r="IEO512" s="332"/>
      <c r="IEP512" s="332"/>
      <c r="IEQ512" s="332"/>
      <c r="IER512" s="332"/>
      <c r="IES512" s="332"/>
      <c r="IET512" s="332"/>
      <c r="IEU512" s="332"/>
      <c r="IEV512" s="332"/>
      <c r="IEW512" s="332"/>
      <c r="IEX512" s="332"/>
      <c r="IEY512" s="332"/>
      <c r="IEZ512" s="332"/>
      <c r="IFA512" s="332"/>
      <c r="IFB512" s="332"/>
      <c r="IFC512" s="332"/>
      <c r="IFD512" s="332"/>
      <c r="IFE512" s="332"/>
      <c r="IFF512" s="332"/>
      <c r="IFG512" s="332"/>
      <c r="IFH512" s="332"/>
      <c r="IFI512" s="332"/>
      <c r="IFJ512" s="332"/>
      <c r="IFK512" s="332"/>
      <c r="IFL512" s="332"/>
      <c r="IFM512" s="332"/>
      <c r="IFN512" s="332"/>
      <c r="IFO512" s="332"/>
      <c r="IFP512" s="332"/>
      <c r="IFQ512" s="332"/>
      <c r="IFR512" s="332"/>
      <c r="IFS512" s="332"/>
      <c r="IFT512" s="332"/>
      <c r="IFU512" s="332"/>
      <c r="IFV512" s="332"/>
      <c r="IFW512" s="332"/>
      <c r="IFX512" s="332"/>
      <c r="IFY512" s="332"/>
      <c r="IFZ512" s="332"/>
      <c r="IGA512" s="332"/>
      <c r="IGB512" s="332"/>
      <c r="IGC512" s="332"/>
      <c r="IGD512" s="332"/>
      <c r="IGE512" s="332"/>
      <c r="IGF512" s="332"/>
      <c r="IGG512" s="332"/>
      <c r="IGH512" s="332"/>
      <c r="IGI512" s="332"/>
      <c r="IGJ512" s="332"/>
      <c r="IGK512" s="332"/>
      <c r="IGL512" s="332"/>
      <c r="IGM512" s="332"/>
      <c r="IGN512" s="332"/>
      <c r="IGO512" s="332"/>
      <c r="IGP512" s="332"/>
      <c r="IGQ512" s="332"/>
      <c r="IGR512" s="332"/>
      <c r="IGS512" s="332"/>
      <c r="IGT512" s="332"/>
      <c r="IGU512" s="332"/>
      <c r="IGV512" s="332"/>
      <c r="IGW512" s="332"/>
      <c r="IGX512" s="332"/>
      <c r="IGY512" s="332"/>
      <c r="IGZ512" s="332"/>
      <c r="IHA512" s="332"/>
      <c r="IHB512" s="332"/>
      <c r="IHC512" s="332"/>
      <c r="IHD512" s="332"/>
      <c r="IHE512" s="332"/>
      <c r="IHF512" s="332"/>
      <c r="IHG512" s="332"/>
      <c r="IHH512" s="332"/>
      <c r="IHI512" s="332"/>
      <c r="IHJ512" s="332"/>
      <c r="IHK512" s="332"/>
      <c r="IHL512" s="332"/>
      <c r="IHM512" s="332"/>
      <c r="IHN512" s="332"/>
      <c r="IHO512" s="332"/>
      <c r="IHP512" s="332"/>
      <c r="IHQ512" s="332"/>
      <c r="IHR512" s="332"/>
      <c r="IHS512" s="332"/>
      <c r="IHT512" s="332"/>
      <c r="IHU512" s="332"/>
      <c r="IHV512" s="332"/>
      <c r="IHW512" s="332"/>
      <c r="IHX512" s="332"/>
      <c r="IHY512" s="332"/>
      <c r="IHZ512" s="332"/>
      <c r="IIA512" s="332"/>
      <c r="IIB512" s="332"/>
      <c r="IIC512" s="332"/>
      <c r="IID512" s="332"/>
      <c r="IIE512" s="332"/>
      <c r="IIF512" s="332"/>
      <c r="IIG512" s="332"/>
      <c r="IIH512" s="332"/>
      <c r="III512" s="332"/>
      <c r="IIJ512" s="332"/>
      <c r="IIK512" s="332"/>
      <c r="IIL512" s="332"/>
      <c r="IIM512" s="332"/>
      <c r="IIN512" s="332"/>
      <c r="IIO512" s="332"/>
      <c r="IIP512" s="332"/>
      <c r="IIQ512" s="332"/>
      <c r="IIR512" s="332"/>
      <c r="IIS512" s="332"/>
      <c r="IIT512" s="332"/>
      <c r="IIU512" s="332"/>
      <c r="IIV512" s="332"/>
      <c r="IIW512" s="332"/>
      <c r="IIX512" s="332"/>
      <c r="IIY512" s="332"/>
      <c r="IIZ512" s="332"/>
      <c r="IJA512" s="332"/>
      <c r="IJB512" s="332"/>
      <c r="IJC512" s="332"/>
      <c r="IJD512" s="332"/>
      <c r="IJE512" s="332"/>
      <c r="IJF512" s="332"/>
      <c r="IJG512" s="332"/>
      <c r="IJH512" s="332"/>
      <c r="IJI512" s="332"/>
      <c r="IJJ512" s="332"/>
      <c r="IJK512" s="332"/>
      <c r="IJL512" s="332"/>
      <c r="IJM512" s="332"/>
      <c r="IJN512" s="332"/>
      <c r="IJO512" s="332"/>
      <c r="IJP512" s="332"/>
      <c r="IJQ512" s="332"/>
      <c r="IJR512" s="332"/>
      <c r="IJS512" s="332"/>
      <c r="IJT512" s="332"/>
      <c r="IJU512" s="332"/>
      <c r="IJV512" s="332"/>
      <c r="IJW512" s="332"/>
      <c r="IJX512" s="332"/>
      <c r="IJY512" s="332"/>
      <c r="IJZ512" s="332"/>
      <c r="IKA512" s="332"/>
      <c r="IKB512" s="332"/>
      <c r="IKC512" s="332"/>
      <c r="IKD512" s="332"/>
      <c r="IKE512" s="332"/>
      <c r="IKF512" s="332"/>
      <c r="IKG512" s="332"/>
      <c r="IKH512" s="332"/>
      <c r="IKI512" s="332"/>
      <c r="IKJ512" s="332"/>
      <c r="IKK512" s="332"/>
      <c r="IKL512" s="332"/>
      <c r="IKM512" s="332"/>
      <c r="IKN512" s="332"/>
      <c r="IKO512" s="332"/>
      <c r="IKP512" s="332"/>
      <c r="IKQ512" s="332"/>
      <c r="IKR512" s="332"/>
      <c r="IKS512" s="332"/>
      <c r="IKT512" s="332"/>
      <c r="IKU512" s="332"/>
      <c r="IKV512" s="332"/>
      <c r="IKW512" s="332"/>
      <c r="IKX512" s="332"/>
      <c r="IKY512" s="332"/>
      <c r="IKZ512" s="332"/>
      <c r="ILA512" s="332"/>
      <c r="ILB512" s="332"/>
      <c r="ILC512" s="332"/>
      <c r="ILD512" s="332"/>
      <c r="ILE512" s="332"/>
      <c r="ILF512" s="332"/>
      <c r="ILG512" s="332"/>
      <c r="ILH512" s="332"/>
      <c r="ILI512" s="332"/>
      <c r="ILJ512" s="332"/>
      <c r="ILK512" s="332"/>
      <c r="ILL512" s="332"/>
      <c r="ILM512" s="332"/>
      <c r="ILN512" s="332"/>
      <c r="ILO512" s="332"/>
      <c r="ILP512" s="332"/>
      <c r="ILQ512" s="332"/>
      <c r="ILR512" s="332"/>
      <c r="ILS512" s="332"/>
      <c r="ILT512" s="332"/>
      <c r="ILU512" s="332"/>
      <c r="ILV512" s="332"/>
      <c r="ILW512" s="332"/>
      <c r="ILX512" s="332"/>
      <c r="ILY512" s="332"/>
      <c r="ILZ512" s="332"/>
      <c r="IMA512" s="332"/>
      <c r="IMB512" s="332"/>
      <c r="IMC512" s="332"/>
      <c r="IMD512" s="332"/>
      <c r="IME512" s="332"/>
      <c r="IMF512" s="332"/>
      <c r="IMG512" s="332"/>
      <c r="IMH512" s="332"/>
      <c r="IMI512" s="332"/>
      <c r="IMJ512" s="332"/>
      <c r="IMK512" s="332"/>
      <c r="IML512" s="332"/>
      <c r="IMM512" s="332"/>
      <c r="IMN512" s="332"/>
      <c r="IMO512" s="332"/>
      <c r="IMP512" s="332"/>
      <c r="IMQ512" s="332"/>
      <c r="IMR512" s="332"/>
      <c r="IMS512" s="332"/>
      <c r="IMT512" s="332"/>
      <c r="IMU512" s="332"/>
      <c r="IMV512" s="332"/>
      <c r="IMW512" s="332"/>
      <c r="IMX512" s="332"/>
      <c r="IMY512" s="332"/>
      <c r="IMZ512" s="332"/>
      <c r="INA512" s="332"/>
      <c r="INB512" s="332"/>
      <c r="INC512" s="332"/>
      <c r="IND512" s="332"/>
      <c r="INE512" s="332"/>
      <c r="INF512" s="332"/>
      <c r="ING512" s="332"/>
      <c r="INH512" s="332"/>
      <c r="INI512" s="332"/>
      <c r="INJ512" s="332"/>
      <c r="INK512" s="332"/>
      <c r="INL512" s="332"/>
      <c r="INM512" s="332"/>
      <c r="INN512" s="332"/>
      <c r="INO512" s="332"/>
      <c r="INP512" s="332"/>
      <c r="INQ512" s="332"/>
      <c r="INR512" s="332"/>
      <c r="INS512" s="332"/>
      <c r="INT512" s="332"/>
      <c r="INU512" s="332"/>
      <c r="INV512" s="332"/>
      <c r="INW512" s="332"/>
      <c r="INX512" s="332"/>
      <c r="INY512" s="332"/>
      <c r="INZ512" s="332"/>
      <c r="IOA512" s="332"/>
      <c r="IOB512" s="332"/>
      <c r="IOC512" s="332"/>
      <c r="IOD512" s="332"/>
      <c r="IOE512" s="332"/>
      <c r="IOF512" s="332"/>
      <c r="IOG512" s="332"/>
      <c r="IOH512" s="332"/>
      <c r="IOI512" s="332"/>
      <c r="IOJ512" s="332"/>
      <c r="IOK512" s="332"/>
      <c r="IOL512" s="332"/>
      <c r="IOM512" s="332"/>
      <c r="ION512" s="332"/>
      <c r="IOO512" s="332"/>
      <c r="IOP512" s="332"/>
      <c r="IOQ512" s="332"/>
      <c r="IOR512" s="332"/>
      <c r="IOS512" s="332"/>
      <c r="IOT512" s="332"/>
      <c r="IOU512" s="332"/>
      <c r="IOV512" s="332"/>
      <c r="IOW512" s="332"/>
      <c r="IOX512" s="332"/>
      <c r="IOY512" s="332"/>
      <c r="IOZ512" s="332"/>
      <c r="IPA512" s="332"/>
      <c r="IPB512" s="332"/>
      <c r="IPC512" s="332"/>
      <c r="IPD512" s="332"/>
      <c r="IPE512" s="332"/>
      <c r="IPF512" s="332"/>
      <c r="IPG512" s="332"/>
      <c r="IPH512" s="332"/>
      <c r="IPI512" s="332"/>
      <c r="IPJ512" s="332"/>
      <c r="IPK512" s="332"/>
      <c r="IPL512" s="332"/>
      <c r="IPM512" s="332"/>
      <c r="IPN512" s="332"/>
      <c r="IPO512" s="332"/>
      <c r="IPP512" s="332"/>
      <c r="IPQ512" s="332"/>
      <c r="IPR512" s="332"/>
      <c r="IPS512" s="332"/>
      <c r="IPT512" s="332"/>
      <c r="IPU512" s="332"/>
      <c r="IPV512" s="332"/>
      <c r="IPW512" s="332"/>
      <c r="IPX512" s="332"/>
      <c r="IPY512" s="332"/>
      <c r="IPZ512" s="332"/>
      <c r="IQA512" s="332"/>
      <c r="IQB512" s="332"/>
      <c r="IQC512" s="332"/>
      <c r="IQD512" s="332"/>
      <c r="IQE512" s="332"/>
      <c r="IQF512" s="332"/>
      <c r="IQG512" s="332"/>
      <c r="IQH512" s="332"/>
      <c r="IQI512" s="332"/>
      <c r="IQJ512" s="332"/>
      <c r="IQK512" s="332"/>
      <c r="IQL512" s="332"/>
      <c r="IQM512" s="332"/>
      <c r="IQN512" s="332"/>
      <c r="IQO512" s="332"/>
      <c r="IQP512" s="332"/>
      <c r="IQQ512" s="332"/>
      <c r="IQR512" s="332"/>
      <c r="IQS512" s="332"/>
      <c r="IQT512" s="332"/>
      <c r="IQU512" s="332"/>
      <c r="IQV512" s="332"/>
      <c r="IQW512" s="332"/>
      <c r="IQX512" s="332"/>
      <c r="IQY512" s="332"/>
      <c r="IQZ512" s="332"/>
      <c r="IRA512" s="332"/>
      <c r="IRB512" s="332"/>
      <c r="IRC512" s="332"/>
      <c r="IRD512" s="332"/>
      <c r="IRE512" s="332"/>
      <c r="IRF512" s="332"/>
      <c r="IRG512" s="332"/>
      <c r="IRH512" s="332"/>
      <c r="IRI512" s="332"/>
      <c r="IRJ512" s="332"/>
      <c r="IRK512" s="332"/>
      <c r="IRL512" s="332"/>
      <c r="IRM512" s="332"/>
      <c r="IRN512" s="332"/>
      <c r="IRO512" s="332"/>
      <c r="IRP512" s="332"/>
      <c r="IRQ512" s="332"/>
      <c r="IRR512" s="332"/>
      <c r="IRS512" s="332"/>
      <c r="IRT512" s="332"/>
      <c r="IRU512" s="332"/>
      <c r="IRV512" s="332"/>
      <c r="IRW512" s="332"/>
      <c r="IRX512" s="332"/>
      <c r="IRY512" s="332"/>
      <c r="IRZ512" s="332"/>
      <c r="ISA512" s="332"/>
      <c r="ISB512" s="332"/>
      <c r="ISC512" s="332"/>
      <c r="ISD512" s="332"/>
      <c r="ISE512" s="332"/>
      <c r="ISF512" s="332"/>
      <c r="ISG512" s="332"/>
      <c r="ISH512" s="332"/>
      <c r="ISI512" s="332"/>
      <c r="ISJ512" s="332"/>
      <c r="ISK512" s="332"/>
      <c r="ISL512" s="332"/>
      <c r="ISM512" s="332"/>
      <c r="ISN512" s="332"/>
      <c r="ISO512" s="332"/>
      <c r="ISP512" s="332"/>
      <c r="ISQ512" s="332"/>
      <c r="ISR512" s="332"/>
      <c r="ISS512" s="332"/>
      <c r="IST512" s="332"/>
      <c r="ISU512" s="332"/>
      <c r="ISV512" s="332"/>
      <c r="ISW512" s="332"/>
      <c r="ISX512" s="332"/>
      <c r="ISY512" s="332"/>
      <c r="ISZ512" s="332"/>
      <c r="ITA512" s="332"/>
      <c r="ITB512" s="332"/>
      <c r="ITC512" s="332"/>
      <c r="ITD512" s="332"/>
      <c r="ITE512" s="332"/>
      <c r="ITF512" s="332"/>
      <c r="ITG512" s="332"/>
      <c r="ITH512" s="332"/>
      <c r="ITI512" s="332"/>
      <c r="ITJ512" s="332"/>
      <c r="ITK512" s="332"/>
      <c r="ITL512" s="332"/>
      <c r="ITM512" s="332"/>
      <c r="ITN512" s="332"/>
      <c r="ITO512" s="332"/>
      <c r="ITP512" s="332"/>
      <c r="ITQ512" s="332"/>
      <c r="ITR512" s="332"/>
      <c r="ITS512" s="332"/>
      <c r="ITT512" s="332"/>
      <c r="ITU512" s="332"/>
      <c r="ITV512" s="332"/>
      <c r="ITW512" s="332"/>
      <c r="ITX512" s="332"/>
      <c r="ITY512" s="332"/>
      <c r="ITZ512" s="332"/>
      <c r="IUA512" s="332"/>
      <c r="IUB512" s="332"/>
      <c r="IUC512" s="332"/>
      <c r="IUD512" s="332"/>
      <c r="IUE512" s="332"/>
      <c r="IUF512" s="332"/>
      <c r="IUG512" s="332"/>
      <c r="IUH512" s="332"/>
      <c r="IUI512" s="332"/>
      <c r="IUJ512" s="332"/>
      <c r="IUK512" s="332"/>
      <c r="IUL512" s="332"/>
      <c r="IUM512" s="332"/>
      <c r="IUN512" s="332"/>
      <c r="IUO512" s="332"/>
      <c r="IUP512" s="332"/>
      <c r="IUQ512" s="332"/>
      <c r="IUR512" s="332"/>
      <c r="IUS512" s="332"/>
      <c r="IUT512" s="332"/>
      <c r="IUU512" s="332"/>
      <c r="IUV512" s="332"/>
      <c r="IUW512" s="332"/>
      <c r="IUX512" s="332"/>
      <c r="IUY512" s="332"/>
      <c r="IUZ512" s="332"/>
      <c r="IVA512" s="332"/>
      <c r="IVB512" s="332"/>
      <c r="IVC512" s="332"/>
      <c r="IVD512" s="332"/>
      <c r="IVE512" s="332"/>
      <c r="IVF512" s="332"/>
      <c r="IVG512" s="332"/>
      <c r="IVH512" s="332"/>
      <c r="IVI512" s="332"/>
      <c r="IVJ512" s="332"/>
      <c r="IVK512" s="332"/>
      <c r="IVL512" s="332"/>
      <c r="IVM512" s="332"/>
      <c r="IVN512" s="332"/>
      <c r="IVO512" s="332"/>
      <c r="IVP512" s="332"/>
      <c r="IVQ512" s="332"/>
      <c r="IVR512" s="332"/>
      <c r="IVS512" s="332"/>
      <c r="IVT512" s="332"/>
      <c r="IVU512" s="332"/>
      <c r="IVV512" s="332"/>
      <c r="IVW512" s="332"/>
      <c r="IVX512" s="332"/>
      <c r="IVY512" s="332"/>
      <c r="IVZ512" s="332"/>
      <c r="IWA512" s="332"/>
      <c r="IWB512" s="332"/>
      <c r="IWC512" s="332"/>
      <c r="IWD512" s="332"/>
      <c r="IWE512" s="332"/>
      <c r="IWF512" s="332"/>
      <c r="IWG512" s="332"/>
      <c r="IWH512" s="332"/>
      <c r="IWI512" s="332"/>
      <c r="IWJ512" s="332"/>
      <c r="IWK512" s="332"/>
      <c r="IWL512" s="332"/>
      <c r="IWM512" s="332"/>
      <c r="IWN512" s="332"/>
      <c r="IWO512" s="332"/>
      <c r="IWP512" s="332"/>
      <c r="IWQ512" s="332"/>
      <c r="IWR512" s="332"/>
      <c r="IWS512" s="332"/>
      <c r="IWT512" s="332"/>
      <c r="IWU512" s="332"/>
      <c r="IWV512" s="332"/>
      <c r="IWW512" s="332"/>
      <c r="IWX512" s="332"/>
      <c r="IWY512" s="332"/>
      <c r="IWZ512" s="332"/>
      <c r="IXA512" s="332"/>
      <c r="IXB512" s="332"/>
      <c r="IXC512" s="332"/>
      <c r="IXD512" s="332"/>
      <c r="IXE512" s="332"/>
      <c r="IXF512" s="332"/>
      <c r="IXG512" s="332"/>
      <c r="IXH512" s="332"/>
      <c r="IXI512" s="332"/>
      <c r="IXJ512" s="332"/>
      <c r="IXK512" s="332"/>
      <c r="IXL512" s="332"/>
      <c r="IXM512" s="332"/>
      <c r="IXN512" s="332"/>
      <c r="IXO512" s="332"/>
      <c r="IXP512" s="332"/>
      <c r="IXQ512" s="332"/>
      <c r="IXR512" s="332"/>
      <c r="IXS512" s="332"/>
      <c r="IXT512" s="332"/>
      <c r="IXU512" s="332"/>
      <c r="IXV512" s="332"/>
      <c r="IXW512" s="332"/>
      <c r="IXX512" s="332"/>
      <c r="IXY512" s="332"/>
      <c r="IXZ512" s="332"/>
      <c r="IYA512" s="332"/>
      <c r="IYB512" s="332"/>
      <c r="IYC512" s="332"/>
      <c r="IYD512" s="332"/>
      <c r="IYE512" s="332"/>
      <c r="IYF512" s="332"/>
      <c r="IYG512" s="332"/>
      <c r="IYH512" s="332"/>
      <c r="IYI512" s="332"/>
      <c r="IYJ512" s="332"/>
      <c r="IYK512" s="332"/>
      <c r="IYL512" s="332"/>
      <c r="IYM512" s="332"/>
      <c r="IYN512" s="332"/>
      <c r="IYO512" s="332"/>
      <c r="IYP512" s="332"/>
      <c r="IYQ512" s="332"/>
      <c r="IYR512" s="332"/>
      <c r="IYS512" s="332"/>
      <c r="IYT512" s="332"/>
      <c r="IYU512" s="332"/>
      <c r="IYV512" s="332"/>
      <c r="IYW512" s="332"/>
      <c r="IYX512" s="332"/>
      <c r="IYY512" s="332"/>
      <c r="IYZ512" s="332"/>
      <c r="IZA512" s="332"/>
      <c r="IZB512" s="332"/>
      <c r="IZC512" s="332"/>
      <c r="IZD512" s="332"/>
      <c r="IZE512" s="332"/>
      <c r="IZF512" s="332"/>
      <c r="IZG512" s="332"/>
      <c r="IZH512" s="332"/>
      <c r="IZI512" s="332"/>
      <c r="IZJ512" s="332"/>
      <c r="IZK512" s="332"/>
      <c r="IZL512" s="332"/>
      <c r="IZM512" s="332"/>
      <c r="IZN512" s="332"/>
      <c r="IZO512" s="332"/>
      <c r="IZP512" s="332"/>
      <c r="IZQ512" s="332"/>
      <c r="IZR512" s="332"/>
      <c r="IZS512" s="332"/>
      <c r="IZT512" s="332"/>
      <c r="IZU512" s="332"/>
      <c r="IZV512" s="332"/>
      <c r="IZW512" s="332"/>
      <c r="IZX512" s="332"/>
      <c r="IZY512" s="332"/>
      <c r="IZZ512" s="332"/>
      <c r="JAA512" s="332"/>
      <c r="JAB512" s="332"/>
      <c r="JAC512" s="332"/>
      <c r="JAD512" s="332"/>
      <c r="JAE512" s="332"/>
      <c r="JAF512" s="332"/>
      <c r="JAG512" s="332"/>
      <c r="JAH512" s="332"/>
      <c r="JAI512" s="332"/>
      <c r="JAJ512" s="332"/>
      <c r="JAK512" s="332"/>
      <c r="JAL512" s="332"/>
      <c r="JAM512" s="332"/>
      <c r="JAN512" s="332"/>
      <c r="JAO512" s="332"/>
      <c r="JAP512" s="332"/>
      <c r="JAQ512" s="332"/>
      <c r="JAR512" s="332"/>
      <c r="JAS512" s="332"/>
      <c r="JAT512" s="332"/>
      <c r="JAU512" s="332"/>
      <c r="JAV512" s="332"/>
      <c r="JAW512" s="332"/>
      <c r="JAX512" s="332"/>
      <c r="JAY512" s="332"/>
      <c r="JAZ512" s="332"/>
      <c r="JBA512" s="332"/>
      <c r="JBB512" s="332"/>
      <c r="JBC512" s="332"/>
      <c r="JBD512" s="332"/>
      <c r="JBE512" s="332"/>
      <c r="JBF512" s="332"/>
      <c r="JBG512" s="332"/>
      <c r="JBH512" s="332"/>
      <c r="JBI512" s="332"/>
      <c r="JBJ512" s="332"/>
      <c r="JBK512" s="332"/>
      <c r="JBL512" s="332"/>
      <c r="JBM512" s="332"/>
      <c r="JBN512" s="332"/>
      <c r="JBO512" s="332"/>
      <c r="JBP512" s="332"/>
      <c r="JBQ512" s="332"/>
      <c r="JBR512" s="332"/>
      <c r="JBS512" s="332"/>
      <c r="JBT512" s="332"/>
      <c r="JBU512" s="332"/>
      <c r="JBV512" s="332"/>
      <c r="JBW512" s="332"/>
      <c r="JBX512" s="332"/>
      <c r="JBY512" s="332"/>
      <c r="JBZ512" s="332"/>
      <c r="JCA512" s="332"/>
      <c r="JCB512" s="332"/>
      <c r="JCC512" s="332"/>
      <c r="JCD512" s="332"/>
      <c r="JCE512" s="332"/>
      <c r="JCF512" s="332"/>
      <c r="JCG512" s="332"/>
      <c r="JCH512" s="332"/>
      <c r="JCI512" s="332"/>
      <c r="JCJ512" s="332"/>
      <c r="JCK512" s="332"/>
      <c r="JCL512" s="332"/>
      <c r="JCM512" s="332"/>
      <c r="JCN512" s="332"/>
      <c r="JCO512" s="332"/>
      <c r="JCP512" s="332"/>
      <c r="JCQ512" s="332"/>
      <c r="JCR512" s="332"/>
      <c r="JCS512" s="332"/>
      <c r="JCT512" s="332"/>
      <c r="JCU512" s="332"/>
      <c r="JCV512" s="332"/>
      <c r="JCW512" s="332"/>
      <c r="JCX512" s="332"/>
      <c r="JCY512" s="332"/>
      <c r="JCZ512" s="332"/>
      <c r="JDA512" s="332"/>
      <c r="JDB512" s="332"/>
      <c r="JDC512" s="332"/>
      <c r="JDD512" s="332"/>
      <c r="JDE512" s="332"/>
      <c r="JDF512" s="332"/>
      <c r="JDG512" s="332"/>
      <c r="JDH512" s="332"/>
      <c r="JDI512" s="332"/>
      <c r="JDJ512" s="332"/>
      <c r="JDK512" s="332"/>
      <c r="JDL512" s="332"/>
      <c r="JDM512" s="332"/>
      <c r="JDN512" s="332"/>
      <c r="JDO512" s="332"/>
      <c r="JDP512" s="332"/>
      <c r="JDQ512" s="332"/>
      <c r="JDR512" s="332"/>
      <c r="JDS512" s="332"/>
      <c r="JDT512" s="332"/>
      <c r="JDU512" s="332"/>
      <c r="JDV512" s="332"/>
      <c r="JDW512" s="332"/>
      <c r="JDX512" s="332"/>
      <c r="JDY512" s="332"/>
      <c r="JDZ512" s="332"/>
      <c r="JEA512" s="332"/>
      <c r="JEB512" s="332"/>
      <c r="JEC512" s="332"/>
      <c r="JED512" s="332"/>
      <c r="JEE512" s="332"/>
      <c r="JEF512" s="332"/>
      <c r="JEG512" s="332"/>
      <c r="JEH512" s="332"/>
      <c r="JEI512" s="332"/>
      <c r="JEJ512" s="332"/>
      <c r="JEK512" s="332"/>
      <c r="JEL512" s="332"/>
      <c r="JEM512" s="332"/>
      <c r="JEN512" s="332"/>
      <c r="JEO512" s="332"/>
      <c r="JEP512" s="332"/>
      <c r="JEQ512" s="332"/>
      <c r="JER512" s="332"/>
      <c r="JES512" s="332"/>
      <c r="JET512" s="332"/>
      <c r="JEU512" s="332"/>
      <c r="JEV512" s="332"/>
      <c r="JEW512" s="332"/>
      <c r="JEX512" s="332"/>
      <c r="JEY512" s="332"/>
      <c r="JEZ512" s="332"/>
      <c r="JFA512" s="332"/>
      <c r="JFB512" s="332"/>
      <c r="JFC512" s="332"/>
      <c r="JFD512" s="332"/>
      <c r="JFE512" s="332"/>
      <c r="JFF512" s="332"/>
      <c r="JFG512" s="332"/>
      <c r="JFH512" s="332"/>
      <c r="JFI512" s="332"/>
      <c r="JFJ512" s="332"/>
      <c r="JFK512" s="332"/>
      <c r="JFL512" s="332"/>
      <c r="JFM512" s="332"/>
      <c r="JFN512" s="332"/>
      <c r="JFO512" s="332"/>
      <c r="JFP512" s="332"/>
      <c r="JFQ512" s="332"/>
      <c r="JFR512" s="332"/>
      <c r="JFS512" s="332"/>
      <c r="JFT512" s="332"/>
      <c r="JFU512" s="332"/>
      <c r="JFV512" s="332"/>
      <c r="JFW512" s="332"/>
      <c r="JFX512" s="332"/>
      <c r="JFY512" s="332"/>
      <c r="JFZ512" s="332"/>
      <c r="JGA512" s="332"/>
      <c r="JGB512" s="332"/>
      <c r="JGC512" s="332"/>
      <c r="JGD512" s="332"/>
      <c r="JGE512" s="332"/>
      <c r="JGF512" s="332"/>
      <c r="JGG512" s="332"/>
      <c r="JGH512" s="332"/>
      <c r="JGI512" s="332"/>
      <c r="JGJ512" s="332"/>
      <c r="JGK512" s="332"/>
      <c r="JGL512" s="332"/>
      <c r="JGM512" s="332"/>
      <c r="JGN512" s="332"/>
      <c r="JGO512" s="332"/>
      <c r="JGP512" s="332"/>
      <c r="JGQ512" s="332"/>
      <c r="JGR512" s="332"/>
      <c r="JGS512" s="332"/>
      <c r="JGT512" s="332"/>
      <c r="JGU512" s="332"/>
      <c r="JGV512" s="332"/>
      <c r="JGW512" s="332"/>
      <c r="JGX512" s="332"/>
      <c r="JGY512" s="332"/>
      <c r="JGZ512" s="332"/>
      <c r="JHA512" s="332"/>
      <c r="JHB512" s="332"/>
      <c r="JHC512" s="332"/>
      <c r="JHD512" s="332"/>
      <c r="JHE512" s="332"/>
      <c r="JHF512" s="332"/>
      <c r="JHG512" s="332"/>
      <c r="JHH512" s="332"/>
      <c r="JHI512" s="332"/>
      <c r="JHJ512" s="332"/>
      <c r="JHK512" s="332"/>
      <c r="JHL512" s="332"/>
      <c r="JHM512" s="332"/>
      <c r="JHN512" s="332"/>
      <c r="JHO512" s="332"/>
      <c r="JHP512" s="332"/>
      <c r="JHQ512" s="332"/>
      <c r="JHR512" s="332"/>
      <c r="JHS512" s="332"/>
      <c r="JHT512" s="332"/>
      <c r="JHU512" s="332"/>
      <c r="JHV512" s="332"/>
      <c r="JHW512" s="332"/>
      <c r="JHX512" s="332"/>
      <c r="JHY512" s="332"/>
      <c r="JHZ512" s="332"/>
      <c r="JIA512" s="332"/>
      <c r="JIB512" s="332"/>
      <c r="JIC512" s="332"/>
      <c r="JID512" s="332"/>
      <c r="JIE512" s="332"/>
      <c r="JIF512" s="332"/>
      <c r="JIG512" s="332"/>
      <c r="JIH512" s="332"/>
      <c r="JII512" s="332"/>
      <c r="JIJ512" s="332"/>
      <c r="JIK512" s="332"/>
      <c r="JIL512" s="332"/>
      <c r="JIM512" s="332"/>
      <c r="JIN512" s="332"/>
      <c r="JIO512" s="332"/>
      <c r="JIP512" s="332"/>
      <c r="JIQ512" s="332"/>
      <c r="JIR512" s="332"/>
      <c r="JIS512" s="332"/>
      <c r="JIT512" s="332"/>
      <c r="JIU512" s="332"/>
      <c r="JIV512" s="332"/>
      <c r="JIW512" s="332"/>
      <c r="JIX512" s="332"/>
      <c r="JIY512" s="332"/>
      <c r="JIZ512" s="332"/>
      <c r="JJA512" s="332"/>
      <c r="JJB512" s="332"/>
      <c r="JJC512" s="332"/>
      <c r="JJD512" s="332"/>
      <c r="JJE512" s="332"/>
      <c r="JJF512" s="332"/>
      <c r="JJG512" s="332"/>
      <c r="JJH512" s="332"/>
      <c r="JJI512" s="332"/>
      <c r="JJJ512" s="332"/>
      <c r="JJK512" s="332"/>
      <c r="JJL512" s="332"/>
      <c r="JJM512" s="332"/>
      <c r="JJN512" s="332"/>
      <c r="JJO512" s="332"/>
      <c r="JJP512" s="332"/>
      <c r="JJQ512" s="332"/>
      <c r="JJR512" s="332"/>
      <c r="JJS512" s="332"/>
      <c r="JJT512" s="332"/>
      <c r="JJU512" s="332"/>
      <c r="JJV512" s="332"/>
      <c r="JJW512" s="332"/>
      <c r="JJX512" s="332"/>
      <c r="JJY512" s="332"/>
      <c r="JJZ512" s="332"/>
      <c r="JKA512" s="332"/>
      <c r="JKB512" s="332"/>
      <c r="JKC512" s="332"/>
      <c r="JKD512" s="332"/>
      <c r="JKE512" s="332"/>
      <c r="JKF512" s="332"/>
      <c r="JKG512" s="332"/>
      <c r="JKH512" s="332"/>
      <c r="JKI512" s="332"/>
      <c r="JKJ512" s="332"/>
      <c r="JKK512" s="332"/>
      <c r="JKL512" s="332"/>
      <c r="JKM512" s="332"/>
      <c r="JKN512" s="332"/>
      <c r="JKO512" s="332"/>
      <c r="JKP512" s="332"/>
      <c r="JKQ512" s="332"/>
      <c r="JKR512" s="332"/>
      <c r="JKS512" s="332"/>
      <c r="JKT512" s="332"/>
      <c r="JKU512" s="332"/>
      <c r="JKV512" s="332"/>
      <c r="JKW512" s="332"/>
      <c r="JKX512" s="332"/>
      <c r="JKY512" s="332"/>
      <c r="JKZ512" s="332"/>
      <c r="JLA512" s="332"/>
      <c r="JLB512" s="332"/>
      <c r="JLC512" s="332"/>
      <c r="JLD512" s="332"/>
      <c r="JLE512" s="332"/>
      <c r="JLF512" s="332"/>
      <c r="JLG512" s="332"/>
      <c r="JLH512" s="332"/>
      <c r="JLI512" s="332"/>
      <c r="JLJ512" s="332"/>
      <c r="JLK512" s="332"/>
      <c r="JLL512" s="332"/>
      <c r="JLM512" s="332"/>
      <c r="JLN512" s="332"/>
      <c r="JLO512" s="332"/>
      <c r="JLP512" s="332"/>
      <c r="JLQ512" s="332"/>
      <c r="JLR512" s="332"/>
      <c r="JLS512" s="332"/>
      <c r="JLT512" s="332"/>
      <c r="JLU512" s="332"/>
      <c r="JLV512" s="332"/>
      <c r="JLW512" s="332"/>
      <c r="JLX512" s="332"/>
      <c r="JLY512" s="332"/>
      <c r="JLZ512" s="332"/>
      <c r="JMA512" s="332"/>
      <c r="JMB512" s="332"/>
      <c r="JMC512" s="332"/>
      <c r="JMD512" s="332"/>
      <c r="JME512" s="332"/>
      <c r="JMF512" s="332"/>
      <c r="JMG512" s="332"/>
      <c r="JMH512" s="332"/>
      <c r="JMI512" s="332"/>
      <c r="JMJ512" s="332"/>
      <c r="JMK512" s="332"/>
      <c r="JML512" s="332"/>
      <c r="JMM512" s="332"/>
      <c r="JMN512" s="332"/>
      <c r="JMO512" s="332"/>
      <c r="JMP512" s="332"/>
      <c r="JMQ512" s="332"/>
      <c r="JMR512" s="332"/>
      <c r="JMS512" s="332"/>
      <c r="JMT512" s="332"/>
      <c r="JMU512" s="332"/>
      <c r="JMV512" s="332"/>
      <c r="JMW512" s="332"/>
      <c r="JMX512" s="332"/>
      <c r="JMY512" s="332"/>
      <c r="JMZ512" s="332"/>
      <c r="JNA512" s="332"/>
      <c r="JNB512" s="332"/>
      <c r="JNC512" s="332"/>
      <c r="JND512" s="332"/>
      <c r="JNE512" s="332"/>
      <c r="JNF512" s="332"/>
      <c r="JNG512" s="332"/>
      <c r="JNH512" s="332"/>
      <c r="JNI512" s="332"/>
      <c r="JNJ512" s="332"/>
      <c r="JNK512" s="332"/>
      <c r="JNL512" s="332"/>
      <c r="JNM512" s="332"/>
      <c r="JNN512" s="332"/>
      <c r="JNO512" s="332"/>
      <c r="JNP512" s="332"/>
      <c r="JNQ512" s="332"/>
      <c r="JNR512" s="332"/>
      <c r="JNS512" s="332"/>
      <c r="JNT512" s="332"/>
      <c r="JNU512" s="332"/>
      <c r="JNV512" s="332"/>
      <c r="JNW512" s="332"/>
      <c r="JNX512" s="332"/>
      <c r="JNY512" s="332"/>
      <c r="JNZ512" s="332"/>
      <c r="JOA512" s="332"/>
      <c r="JOB512" s="332"/>
      <c r="JOC512" s="332"/>
      <c r="JOD512" s="332"/>
      <c r="JOE512" s="332"/>
      <c r="JOF512" s="332"/>
      <c r="JOG512" s="332"/>
      <c r="JOH512" s="332"/>
      <c r="JOI512" s="332"/>
      <c r="JOJ512" s="332"/>
      <c r="JOK512" s="332"/>
      <c r="JOL512" s="332"/>
      <c r="JOM512" s="332"/>
      <c r="JON512" s="332"/>
      <c r="JOO512" s="332"/>
      <c r="JOP512" s="332"/>
      <c r="JOQ512" s="332"/>
      <c r="JOR512" s="332"/>
      <c r="JOS512" s="332"/>
      <c r="JOT512" s="332"/>
      <c r="JOU512" s="332"/>
      <c r="JOV512" s="332"/>
      <c r="JOW512" s="332"/>
      <c r="JOX512" s="332"/>
      <c r="JOY512" s="332"/>
      <c r="JOZ512" s="332"/>
      <c r="JPA512" s="332"/>
      <c r="JPB512" s="332"/>
      <c r="JPC512" s="332"/>
      <c r="JPD512" s="332"/>
      <c r="JPE512" s="332"/>
      <c r="JPF512" s="332"/>
      <c r="JPG512" s="332"/>
      <c r="JPH512" s="332"/>
      <c r="JPI512" s="332"/>
      <c r="JPJ512" s="332"/>
      <c r="JPK512" s="332"/>
      <c r="JPL512" s="332"/>
      <c r="JPM512" s="332"/>
      <c r="JPN512" s="332"/>
      <c r="JPO512" s="332"/>
      <c r="JPP512" s="332"/>
      <c r="JPQ512" s="332"/>
      <c r="JPR512" s="332"/>
      <c r="JPS512" s="332"/>
      <c r="JPT512" s="332"/>
      <c r="JPU512" s="332"/>
      <c r="JPV512" s="332"/>
      <c r="JPW512" s="332"/>
      <c r="JPX512" s="332"/>
      <c r="JPY512" s="332"/>
      <c r="JPZ512" s="332"/>
      <c r="JQA512" s="332"/>
      <c r="JQB512" s="332"/>
      <c r="JQC512" s="332"/>
      <c r="JQD512" s="332"/>
      <c r="JQE512" s="332"/>
      <c r="JQF512" s="332"/>
      <c r="JQG512" s="332"/>
      <c r="JQH512" s="332"/>
      <c r="JQI512" s="332"/>
      <c r="JQJ512" s="332"/>
      <c r="JQK512" s="332"/>
      <c r="JQL512" s="332"/>
      <c r="JQM512" s="332"/>
      <c r="JQN512" s="332"/>
      <c r="JQO512" s="332"/>
      <c r="JQP512" s="332"/>
      <c r="JQQ512" s="332"/>
      <c r="JQR512" s="332"/>
      <c r="JQS512" s="332"/>
      <c r="JQT512" s="332"/>
      <c r="JQU512" s="332"/>
      <c r="JQV512" s="332"/>
      <c r="JQW512" s="332"/>
      <c r="JQX512" s="332"/>
      <c r="JQY512" s="332"/>
      <c r="JQZ512" s="332"/>
      <c r="JRA512" s="332"/>
      <c r="JRB512" s="332"/>
      <c r="JRC512" s="332"/>
      <c r="JRD512" s="332"/>
      <c r="JRE512" s="332"/>
      <c r="JRF512" s="332"/>
      <c r="JRG512" s="332"/>
      <c r="JRH512" s="332"/>
      <c r="JRI512" s="332"/>
      <c r="JRJ512" s="332"/>
      <c r="JRK512" s="332"/>
      <c r="JRL512" s="332"/>
      <c r="JRM512" s="332"/>
      <c r="JRN512" s="332"/>
      <c r="JRO512" s="332"/>
      <c r="JRP512" s="332"/>
      <c r="JRQ512" s="332"/>
      <c r="JRR512" s="332"/>
      <c r="JRS512" s="332"/>
      <c r="JRT512" s="332"/>
      <c r="JRU512" s="332"/>
      <c r="JRV512" s="332"/>
      <c r="JRW512" s="332"/>
      <c r="JRX512" s="332"/>
      <c r="JRY512" s="332"/>
      <c r="JRZ512" s="332"/>
      <c r="JSA512" s="332"/>
      <c r="JSB512" s="332"/>
      <c r="JSC512" s="332"/>
      <c r="JSD512" s="332"/>
      <c r="JSE512" s="332"/>
      <c r="JSF512" s="332"/>
      <c r="JSG512" s="332"/>
      <c r="JSH512" s="332"/>
      <c r="JSI512" s="332"/>
      <c r="JSJ512" s="332"/>
      <c r="JSK512" s="332"/>
      <c r="JSL512" s="332"/>
      <c r="JSM512" s="332"/>
      <c r="JSN512" s="332"/>
      <c r="JSO512" s="332"/>
      <c r="JSP512" s="332"/>
      <c r="JSQ512" s="332"/>
      <c r="JSR512" s="332"/>
      <c r="JSS512" s="332"/>
      <c r="JST512" s="332"/>
      <c r="JSU512" s="332"/>
      <c r="JSV512" s="332"/>
      <c r="JSW512" s="332"/>
      <c r="JSX512" s="332"/>
      <c r="JSY512" s="332"/>
      <c r="JSZ512" s="332"/>
      <c r="JTA512" s="332"/>
      <c r="JTB512" s="332"/>
      <c r="JTC512" s="332"/>
      <c r="JTD512" s="332"/>
      <c r="JTE512" s="332"/>
      <c r="JTF512" s="332"/>
      <c r="JTG512" s="332"/>
      <c r="JTH512" s="332"/>
      <c r="JTI512" s="332"/>
      <c r="JTJ512" s="332"/>
      <c r="JTK512" s="332"/>
      <c r="JTL512" s="332"/>
      <c r="JTM512" s="332"/>
      <c r="JTN512" s="332"/>
      <c r="JTO512" s="332"/>
      <c r="JTP512" s="332"/>
      <c r="JTQ512" s="332"/>
      <c r="JTR512" s="332"/>
      <c r="JTS512" s="332"/>
      <c r="JTT512" s="332"/>
      <c r="JTU512" s="332"/>
      <c r="JTV512" s="332"/>
      <c r="JTW512" s="332"/>
      <c r="JTX512" s="332"/>
      <c r="JTY512" s="332"/>
      <c r="JTZ512" s="332"/>
      <c r="JUA512" s="332"/>
      <c r="JUB512" s="332"/>
      <c r="JUC512" s="332"/>
      <c r="JUD512" s="332"/>
      <c r="JUE512" s="332"/>
      <c r="JUF512" s="332"/>
      <c r="JUG512" s="332"/>
      <c r="JUH512" s="332"/>
      <c r="JUI512" s="332"/>
      <c r="JUJ512" s="332"/>
      <c r="JUK512" s="332"/>
      <c r="JUL512" s="332"/>
      <c r="JUM512" s="332"/>
      <c r="JUN512" s="332"/>
      <c r="JUO512" s="332"/>
      <c r="JUP512" s="332"/>
      <c r="JUQ512" s="332"/>
      <c r="JUR512" s="332"/>
      <c r="JUS512" s="332"/>
      <c r="JUT512" s="332"/>
      <c r="JUU512" s="332"/>
      <c r="JUV512" s="332"/>
      <c r="JUW512" s="332"/>
      <c r="JUX512" s="332"/>
      <c r="JUY512" s="332"/>
      <c r="JUZ512" s="332"/>
      <c r="JVA512" s="332"/>
      <c r="JVB512" s="332"/>
      <c r="JVC512" s="332"/>
      <c r="JVD512" s="332"/>
      <c r="JVE512" s="332"/>
      <c r="JVF512" s="332"/>
      <c r="JVG512" s="332"/>
      <c r="JVH512" s="332"/>
      <c r="JVI512" s="332"/>
      <c r="JVJ512" s="332"/>
      <c r="JVK512" s="332"/>
      <c r="JVL512" s="332"/>
      <c r="JVM512" s="332"/>
      <c r="JVN512" s="332"/>
      <c r="JVO512" s="332"/>
      <c r="JVP512" s="332"/>
      <c r="JVQ512" s="332"/>
      <c r="JVR512" s="332"/>
      <c r="JVS512" s="332"/>
      <c r="JVT512" s="332"/>
      <c r="JVU512" s="332"/>
      <c r="JVV512" s="332"/>
      <c r="JVW512" s="332"/>
      <c r="JVX512" s="332"/>
      <c r="JVY512" s="332"/>
      <c r="JVZ512" s="332"/>
      <c r="JWA512" s="332"/>
      <c r="JWB512" s="332"/>
      <c r="JWC512" s="332"/>
      <c r="JWD512" s="332"/>
      <c r="JWE512" s="332"/>
      <c r="JWF512" s="332"/>
      <c r="JWG512" s="332"/>
      <c r="JWH512" s="332"/>
      <c r="JWI512" s="332"/>
      <c r="JWJ512" s="332"/>
      <c r="JWK512" s="332"/>
      <c r="JWL512" s="332"/>
      <c r="JWM512" s="332"/>
      <c r="JWN512" s="332"/>
      <c r="JWO512" s="332"/>
      <c r="JWP512" s="332"/>
      <c r="JWQ512" s="332"/>
      <c r="JWR512" s="332"/>
      <c r="JWS512" s="332"/>
      <c r="JWT512" s="332"/>
      <c r="JWU512" s="332"/>
      <c r="JWV512" s="332"/>
      <c r="JWW512" s="332"/>
      <c r="JWX512" s="332"/>
      <c r="JWY512" s="332"/>
      <c r="JWZ512" s="332"/>
      <c r="JXA512" s="332"/>
      <c r="JXB512" s="332"/>
      <c r="JXC512" s="332"/>
      <c r="JXD512" s="332"/>
      <c r="JXE512" s="332"/>
      <c r="JXF512" s="332"/>
      <c r="JXG512" s="332"/>
      <c r="JXH512" s="332"/>
      <c r="JXI512" s="332"/>
      <c r="JXJ512" s="332"/>
      <c r="JXK512" s="332"/>
      <c r="JXL512" s="332"/>
      <c r="JXM512" s="332"/>
      <c r="JXN512" s="332"/>
      <c r="JXO512" s="332"/>
      <c r="JXP512" s="332"/>
      <c r="JXQ512" s="332"/>
      <c r="JXR512" s="332"/>
      <c r="JXS512" s="332"/>
      <c r="JXT512" s="332"/>
      <c r="JXU512" s="332"/>
      <c r="JXV512" s="332"/>
      <c r="JXW512" s="332"/>
      <c r="JXX512" s="332"/>
      <c r="JXY512" s="332"/>
      <c r="JXZ512" s="332"/>
      <c r="JYA512" s="332"/>
      <c r="JYB512" s="332"/>
      <c r="JYC512" s="332"/>
      <c r="JYD512" s="332"/>
      <c r="JYE512" s="332"/>
      <c r="JYF512" s="332"/>
      <c r="JYG512" s="332"/>
      <c r="JYH512" s="332"/>
      <c r="JYI512" s="332"/>
      <c r="JYJ512" s="332"/>
      <c r="JYK512" s="332"/>
      <c r="JYL512" s="332"/>
      <c r="JYM512" s="332"/>
      <c r="JYN512" s="332"/>
      <c r="JYO512" s="332"/>
      <c r="JYP512" s="332"/>
      <c r="JYQ512" s="332"/>
      <c r="JYR512" s="332"/>
      <c r="JYS512" s="332"/>
      <c r="JYT512" s="332"/>
      <c r="JYU512" s="332"/>
      <c r="JYV512" s="332"/>
      <c r="JYW512" s="332"/>
      <c r="JYX512" s="332"/>
      <c r="JYY512" s="332"/>
      <c r="JYZ512" s="332"/>
      <c r="JZA512" s="332"/>
      <c r="JZB512" s="332"/>
      <c r="JZC512" s="332"/>
      <c r="JZD512" s="332"/>
      <c r="JZE512" s="332"/>
      <c r="JZF512" s="332"/>
      <c r="JZG512" s="332"/>
      <c r="JZH512" s="332"/>
      <c r="JZI512" s="332"/>
      <c r="JZJ512" s="332"/>
      <c r="JZK512" s="332"/>
      <c r="JZL512" s="332"/>
      <c r="JZM512" s="332"/>
      <c r="JZN512" s="332"/>
      <c r="JZO512" s="332"/>
      <c r="JZP512" s="332"/>
      <c r="JZQ512" s="332"/>
      <c r="JZR512" s="332"/>
      <c r="JZS512" s="332"/>
      <c r="JZT512" s="332"/>
      <c r="JZU512" s="332"/>
      <c r="JZV512" s="332"/>
      <c r="JZW512" s="332"/>
      <c r="JZX512" s="332"/>
      <c r="JZY512" s="332"/>
      <c r="JZZ512" s="332"/>
      <c r="KAA512" s="332"/>
      <c r="KAB512" s="332"/>
      <c r="KAC512" s="332"/>
      <c r="KAD512" s="332"/>
      <c r="KAE512" s="332"/>
      <c r="KAF512" s="332"/>
      <c r="KAG512" s="332"/>
      <c r="KAH512" s="332"/>
      <c r="KAI512" s="332"/>
      <c r="KAJ512" s="332"/>
      <c r="KAK512" s="332"/>
      <c r="KAL512" s="332"/>
      <c r="KAM512" s="332"/>
      <c r="KAN512" s="332"/>
      <c r="KAO512" s="332"/>
      <c r="KAP512" s="332"/>
      <c r="KAQ512" s="332"/>
      <c r="KAR512" s="332"/>
      <c r="KAS512" s="332"/>
      <c r="KAT512" s="332"/>
      <c r="KAU512" s="332"/>
      <c r="KAV512" s="332"/>
      <c r="KAW512" s="332"/>
      <c r="KAX512" s="332"/>
      <c r="KAY512" s="332"/>
      <c r="KAZ512" s="332"/>
      <c r="KBA512" s="332"/>
      <c r="KBB512" s="332"/>
      <c r="KBC512" s="332"/>
      <c r="KBD512" s="332"/>
      <c r="KBE512" s="332"/>
      <c r="KBF512" s="332"/>
      <c r="KBG512" s="332"/>
      <c r="KBH512" s="332"/>
      <c r="KBI512" s="332"/>
      <c r="KBJ512" s="332"/>
      <c r="KBK512" s="332"/>
      <c r="KBL512" s="332"/>
      <c r="KBM512" s="332"/>
      <c r="KBN512" s="332"/>
      <c r="KBO512" s="332"/>
      <c r="KBP512" s="332"/>
      <c r="KBQ512" s="332"/>
      <c r="KBR512" s="332"/>
      <c r="KBS512" s="332"/>
      <c r="KBT512" s="332"/>
      <c r="KBU512" s="332"/>
      <c r="KBV512" s="332"/>
      <c r="KBW512" s="332"/>
      <c r="KBX512" s="332"/>
      <c r="KBY512" s="332"/>
      <c r="KBZ512" s="332"/>
      <c r="KCA512" s="332"/>
      <c r="KCB512" s="332"/>
      <c r="KCC512" s="332"/>
      <c r="KCD512" s="332"/>
      <c r="KCE512" s="332"/>
      <c r="KCF512" s="332"/>
      <c r="KCG512" s="332"/>
      <c r="KCH512" s="332"/>
      <c r="KCI512" s="332"/>
      <c r="KCJ512" s="332"/>
      <c r="KCK512" s="332"/>
      <c r="KCL512" s="332"/>
      <c r="KCM512" s="332"/>
      <c r="KCN512" s="332"/>
      <c r="KCO512" s="332"/>
      <c r="KCP512" s="332"/>
      <c r="KCQ512" s="332"/>
      <c r="KCR512" s="332"/>
      <c r="KCS512" s="332"/>
      <c r="KCT512" s="332"/>
      <c r="KCU512" s="332"/>
      <c r="KCV512" s="332"/>
      <c r="KCW512" s="332"/>
      <c r="KCX512" s="332"/>
      <c r="KCY512" s="332"/>
      <c r="KCZ512" s="332"/>
      <c r="KDA512" s="332"/>
      <c r="KDB512" s="332"/>
      <c r="KDC512" s="332"/>
      <c r="KDD512" s="332"/>
      <c r="KDE512" s="332"/>
      <c r="KDF512" s="332"/>
      <c r="KDG512" s="332"/>
      <c r="KDH512" s="332"/>
      <c r="KDI512" s="332"/>
      <c r="KDJ512" s="332"/>
      <c r="KDK512" s="332"/>
      <c r="KDL512" s="332"/>
      <c r="KDM512" s="332"/>
      <c r="KDN512" s="332"/>
      <c r="KDO512" s="332"/>
      <c r="KDP512" s="332"/>
      <c r="KDQ512" s="332"/>
      <c r="KDR512" s="332"/>
      <c r="KDS512" s="332"/>
      <c r="KDT512" s="332"/>
      <c r="KDU512" s="332"/>
      <c r="KDV512" s="332"/>
      <c r="KDW512" s="332"/>
      <c r="KDX512" s="332"/>
      <c r="KDY512" s="332"/>
      <c r="KDZ512" s="332"/>
      <c r="KEA512" s="332"/>
      <c r="KEB512" s="332"/>
      <c r="KEC512" s="332"/>
      <c r="KED512" s="332"/>
      <c r="KEE512" s="332"/>
      <c r="KEF512" s="332"/>
      <c r="KEG512" s="332"/>
      <c r="KEH512" s="332"/>
      <c r="KEI512" s="332"/>
      <c r="KEJ512" s="332"/>
      <c r="KEK512" s="332"/>
      <c r="KEL512" s="332"/>
      <c r="KEM512" s="332"/>
      <c r="KEN512" s="332"/>
      <c r="KEO512" s="332"/>
      <c r="KEP512" s="332"/>
      <c r="KEQ512" s="332"/>
      <c r="KER512" s="332"/>
      <c r="KES512" s="332"/>
      <c r="KET512" s="332"/>
      <c r="KEU512" s="332"/>
      <c r="KEV512" s="332"/>
      <c r="KEW512" s="332"/>
      <c r="KEX512" s="332"/>
      <c r="KEY512" s="332"/>
      <c r="KEZ512" s="332"/>
      <c r="KFA512" s="332"/>
      <c r="KFB512" s="332"/>
      <c r="KFC512" s="332"/>
      <c r="KFD512" s="332"/>
      <c r="KFE512" s="332"/>
      <c r="KFF512" s="332"/>
      <c r="KFG512" s="332"/>
      <c r="KFH512" s="332"/>
      <c r="KFI512" s="332"/>
      <c r="KFJ512" s="332"/>
      <c r="KFK512" s="332"/>
      <c r="KFL512" s="332"/>
      <c r="KFM512" s="332"/>
      <c r="KFN512" s="332"/>
      <c r="KFO512" s="332"/>
      <c r="KFP512" s="332"/>
      <c r="KFQ512" s="332"/>
      <c r="KFR512" s="332"/>
      <c r="KFS512" s="332"/>
      <c r="KFT512" s="332"/>
      <c r="KFU512" s="332"/>
      <c r="KFV512" s="332"/>
      <c r="KFW512" s="332"/>
      <c r="KFX512" s="332"/>
      <c r="KFY512" s="332"/>
      <c r="KFZ512" s="332"/>
      <c r="KGA512" s="332"/>
      <c r="KGB512" s="332"/>
      <c r="KGC512" s="332"/>
      <c r="KGD512" s="332"/>
      <c r="KGE512" s="332"/>
      <c r="KGF512" s="332"/>
      <c r="KGG512" s="332"/>
      <c r="KGH512" s="332"/>
      <c r="KGI512" s="332"/>
      <c r="KGJ512" s="332"/>
      <c r="KGK512" s="332"/>
      <c r="KGL512" s="332"/>
      <c r="KGM512" s="332"/>
      <c r="KGN512" s="332"/>
      <c r="KGO512" s="332"/>
      <c r="KGP512" s="332"/>
      <c r="KGQ512" s="332"/>
      <c r="KGR512" s="332"/>
      <c r="KGS512" s="332"/>
      <c r="KGT512" s="332"/>
      <c r="KGU512" s="332"/>
      <c r="KGV512" s="332"/>
      <c r="KGW512" s="332"/>
      <c r="KGX512" s="332"/>
      <c r="KGY512" s="332"/>
      <c r="KGZ512" s="332"/>
      <c r="KHA512" s="332"/>
      <c r="KHB512" s="332"/>
      <c r="KHC512" s="332"/>
      <c r="KHD512" s="332"/>
      <c r="KHE512" s="332"/>
      <c r="KHF512" s="332"/>
      <c r="KHG512" s="332"/>
      <c r="KHH512" s="332"/>
      <c r="KHI512" s="332"/>
      <c r="KHJ512" s="332"/>
      <c r="KHK512" s="332"/>
      <c r="KHL512" s="332"/>
      <c r="KHM512" s="332"/>
      <c r="KHN512" s="332"/>
      <c r="KHO512" s="332"/>
      <c r="KHP512" s="332"/>
      <c r="KHQ512" s="332"/>
      <c r="KHR512" s="332"/>
      <c r="KHS512" s="332"/>
      <c r="KHT512" s="332"/>
      <c r="KHU512" s="332"/>
      <c r="KHV512" s="332"/>
      <c r="KHW512" s="332"/>
      <c r="KHX512" s="332"/>
      <c r="KHY512" s="332"/>
      <c r="KHZ512" s="332"/>
      <c r="KIA512" s="332"/>
      <c r="KIB512" s="332"/>
      <c r="KIC512" s="332"/>
      <c r="KID512" s="332"/>
      <c r="KIE512" s="332"/>
      <c r="KIF512" s="332"/>
      <c r="KIG512" s="332"/>
      <c r="KIH512" s="332"/>
      <c r="KII512" s="332"/>
      <c r="KIJ512" s="332"/>
      <c r="KIK512" s="332"/>
      <c r="KIL512" s="332"/>
      <c r="KIM512" s="332"/>
      <c r="KIN512" s="332"/>
      <c r="KIO512" s="332"/>
      <c r="KIP512" s="332"/>
      <c r="KIQ512" s="332"/>
      <c r="KIR512" s="332"/>
      <c r="KIS512" s="332"/>
      <c r="KIT512" s="332"/>
      <c r="KIU512" s="332"/>
      <c r="KIV512" s="332"/>
      <c r="KIW512" s="332"/>
      <c r="KIX512" s="332"/>
      <c r="KIY512" s="332"/>
      <c r="KIZ512" s="332"/>
      <c r="KJA512" s="332"/>
      <c r="KJB512" s="332"/>
      <c r="KJC512" s="332"/>
      <c r="KJD512" s="332"/>
      <c r="KJE512" s="332"/>
      <c r="KJF512" s="332"/>
      <c r="KJG512" s="332"/>
      <c r="KJH512" s="332"/>
      <c r="KJI512" s="332"/>
      <c r="KJJ512" s="332"/>
      <c r="KJK512" s="332"/>
      <c r="KJL512" s="332"/>
      <c r="KJM512" s="332"/>
      <c r="KJN512" s="332"/>
      <c r="KJO512" s="332"/>
      <c r="KJP512" s="332"/>
      <c r="KJQ512" s="332"/>
      <c r="KJR512" s="332"/>
      <c r="KJS512" s="332"/>
      <c r="KJT512" s="332"/>
      <c r="KJU512" s="332"/>
      <c r="KJV512" s="332"/>
      <c r="KJW512" s="332"/>
      <c r="KJX512" s="332"/>
      <c r="KJY512" s="332"/>
      <c r="KJZ512" s="332"/>
      <c r="KKA512" s="332"/>
      <c r="KKB512" s="332"/>
      <c r="KKC512" s="332"/>
      <c r="KKD512" s="332"/>
      <c r="KKE512" s="332"/>
      <c r="KKF512" s="332"/>
      <c r="KKG512" s="332"/>
      <c r="KKH512" s="332"/>
      <c r="KKI512" s="332"/>
      <c r="KKJ512" s="332"/>
      <c r="KKK512" s="332"/>
      <c r="KKL512" s="332"/>
      <c r="KKM512" s="332"/>
      <c r="KKN512" s="332"/>
      <c r="KKO512" s="332"/>
      <c r="KKP512" s="332"/>
      <c r="KKQ512" s="332"/>
      <c r="KKR512" s="332"/>
      <c r="KKS512" s="332"/>
      <c r="KKT512" s="332"/>
      <c r="KKU512" s="332"/>
      <c r="KKV512" s="332"/>
      <c r="KKW512" s="332"/>
      <c r="KKX512" s="332"/>
      <c r="KKY512" s="332"/>
      <c r="KKZ512" s="332"/>
      <c r="KLA512" s="332"/>
      <c r="KLB512" s="332"/>
      <c r="KLC512" s="332"/>
      <c r="KLD512" s="332"/>
      <c r="KLE512" s="332"/>
      <c r="KLF512" s="332"/>
      <c r="KLG512" s="332"/>
      <c r="KLH512" s="332"/>
      <c r="KLI512" s="332"/>
      <c r="KLJ512" s="332"/>
      <c r="KLK512" s="332"/>
      <c r="KLL512" s="332"/>
      <c r="KLM512" s="332"/>
      <c r="KLN512" s="332"/>
      <c r="KLO512" s="332"/>
      <c r="KLP512" s="332"/>
      <c r="KLQ512" s="332"/>
      <c r="KLR512" s="332"/>
      <c r="KLS512" s="332"/>
      <c r="KLT512" s="332"/>
      <c r="KLU512" s="332"/>
      <c r="KLV512" s="332"/>
      <c r="KLW512" s="332"/>
      <c r="KLX512" s="332"/>
      <c r="KLY512" s="332"/>
      <c r="KLZ512" s="332"/>
      <c r="KMA512" s="332"/>
      <c r="KMB512" s="332"/>
      <c r="KMC512" s="332"/>
      <c r="KMD512" s="332"/>
      <c r="KME512" s="332"/>
      <c r="KMF512" s="332"/>
      <c r="KMG512" s="332"/>
      <c r="KMH512" s="332"/>
      <c r="KMI512" s="332"/>
      <c r="KMJ512" s="332"/>
      <c r="KMK512" s="332"/>
      <c r="KML512" s="332"/>
      <c r="KMM512" s="332"/>
      <c r="KMN512" s="332"/>
      <c r="KMO512" s="332"/>
      <c r="KMP512" s="332"/>
      <c r="KMQ512" s="332"/>
      <c r="KMR512" s="332"/>
      <c r="KMS512" s="332"/>
      <c r="KMT512" s="332"/>
      <c r="KMU512" s="332"/>
      <c r="KMV512" s="332"/>
      <c r="KMW512" s="332"/>
      <c r="KMX512" s="332"/>
      <c r="KMY512" s="332"/>
      <c r="KMZ512" s="332"/>
      <c r="KNA512" s="332"/>
      <c r="KNB512" s="332"/>
      <c r="KNC512" s="332"/>
      <c r="KND512" s="332"/>
      <c r="KNE512" s="332"/>
      <c r="KNF512" s="332"/>
      <c r="KNG512" s="332"/>
      <c r="KNH512" s="332"/>
      <c r="KNI512" s="332"/>
      <c r="KNJ512" s="332"/>
      <c r="KNK512" s="332"/>
      <c r="KNL512" s="332"/>
      <c r="KNM512" s="332"/>
      <c r="KNN512" s="332"/>
      <c r="KNO512" s="332"/>
      <c r="KNP512" s="332"/>
      <c r="KNQ512" s="332"/>
      <c r="KNR512" s="332"/>
      <c r="KNS512" s="332"/>
      <c r="KNT512" s="332"/>
      <c r="KNU512" s="332"/>
      <c r="KNV512" s="332"/>
      <c r="KNW512" s="332"/>
      <c r="KNX512" s="332"/>
      <c r="KNY512" s="332"/>
      <c r="KNZ512" s="332"/>
      <c r="KOA512" s="332"/>
      <c r="KOB512" s="332"/>
      <c r="KOC512" s="332"/>
      <c r="KOD512" s="332"/>
      <c r="KOE512" s="332"/>
      <c r="KOF512" s="332"/>
      <c r="KOG512" s="332"/>
      <c r="KOH512" s="332"/>
      <c r="KOI512" s="332"/>
      <c r="KOJ512" s="332"/>
      <c r="KOK512" s="332"/>
      <c r="KOL512" s="332"/>
      <c r="KOM512" s="332"/>
      <c r="KON512" s="332"/>
      <c r="KOO512" s="332"/>
      <c r="KOP512" s="332"/>
      <c r="KOQ512" s="332"/>
      <c r="KOR512" s="332"/>
      <c r="KOS512" s="332"/>
      <c r="KOT512" s="332"/>
      <c r="KOU512" s="332"/>
      <c r="KOV512" s="332"/>
      <c r="KOW512" s="332"/>
      <c r="KOX512" s="332"/>
      <c r="KOY512" s="332"/>
      <c r="KOZ512" s="332"/>
      <c r="KPA512" s="332"/>
      <c r="KPB512" s="332"/>
      <c r="KPC512" s="332"/>
      <c r="KPD512" s="332"/>
      <c r="KPE512" s="332"/>
      <c r="KPF512" s="332"/>
      <c r="KPG512" s="332"/>
      <c r="KPH512" s="332"/>
      <c r="KPI512" s="332"/>
      <c r="KPJ512" s="332"/>
      <c r="KPK512" s="332"/>
      <c r="KPL512" s="332"/>
      <c r="KPM512" s="332"/>
      <c r="KPN512" s="332"/>
      <c r="KPO512" s="332"/>
      <c r="KPP512" s="332"/>
      <c r="KPQ512" s="332"/>
      <c r="KPR512" s="332"/>
      <c r="KPS512" s="332"/>
      <c r="KPT512" s="332"/>
      <c r="KPU512" s="332"/>
      <c r="KPV512" s="332"/>
      <c r="KPW512" s="332"/>
      <c r="KPX512" s="332"/>
      <c r="KPY512" s="332"/>
      <c r="KPZ512" s="332"/>
      <c r="KQA512" s="332"/>
      <c r="KQB512" s="332"/>
      <c r="KQC512" s="332"/>
      <c r="KQD512" s="332"/>
      <c r="KQE512" s="332"/>
      <c r="KQF512" s="332"/>
      <c r="KQG512" s="332"/>
      <c r="KQH512" s="332"/>
      <c r="KQI512" s="332"/>
      <c r="KQJ512" s="332"/>
      <c r="KQK512" s="332"/>
      <c r="KQL512" s="332"/>
      <c r="KQM512" s="332"/>
      <c r="KQN512" s="332"/>
      <c r="KQO512" s="332"/>
      <c r="KQP512" s="332"/>
      <c r="KQQ512" s="332"/>
      <c r="KQR512" s="332"/>
      <c r="KQS512" s="332"/>
      <c r="KQT512" s="332"/>
      <c r="KQU512" s="332"/>
      <c r="KQV512" s="332"/>
      <c r="KQW512" s="332"/>
      <c r="KQX512" s="332"/>
      <c r="KQY512" s="332"/>
      <c r="KQZ512" s="332"/>
      <c r="KRA512" s="332"/>
      <c r="KRB512" s="332"/>
      <c r="KRC512" s="332"/>
      <c r="KRD512" s="332"/>
      <c r="KRE512" s="332"/>
      <c r="KRF512" s="332"/>
      <c r="KRG512" s="332"/>
      <c r="KRH512" s="332"/>
      <c r="KRI512" s="332"/>
      <c r="KRJ512" s="332"/>
      <c r="KRK512" s="332"/>
      <c r="KRL512" s="332"/>
      <c r="KRM512" s="332"/>
      <c r="KRN512" s="332"/>
      <c r="KRO512" s="332"/>
      <c r="KRP512" s="332"/>
      <c r="KRQ512" s="332"/>
      <c r="KRR512" s="332"/>
      <c r="KRS512" s="332"/>
      <c r="KRT512" s="332"/>
      <c r="KRU512" s="332"/>
      <c r="KRV512" s="332"/>
      <c r="KRW512" s="332"/>
      <c r="KRX512" s="332"/>
      <c r="KRY512" s="332"/>
      <c r="KRZ512" s="332"/>
      <c r="KSA512" s="332"/>
      <c r="KSB512" s="332"/>
      <c r="KSC512" s="332"/>
      <c r="KSD512" s="332"/>
      <c r="KSE512" s="332"/>
      <c r="KSF512" s="332"/>
      <c r="KSG512" s="332"/>
      <c r="KSH512" s="332"/>
      <c r="KSI512" s="332"/>
      <c r="KSJ512" s="332"/>
      <c r="KSK512" s="332"/>
      <c r="KSL512" s="332"/>
      <c r="KSM512" s="332"/>
      <c r="KSN512" s="332"/>
      <c r="KSO512" s="332"/>
      <c r="KSP512" s="332"/>
      <c r="KSQ512" s="332"/>
      <c r="KSR512" s="332"/>
      <c r="KSS512" s="332"/>
      <c r="KST512" s="332"/>
      <c r="KSU512" s="332"/>
      <c r="KSV512" s="332"/>
      <c r="KSW512" s="332"/>
      <c r="KSX512" s="332"/>
      <c r="KSY512" s="332"/>
      <c r="KSZ512" s="332"/>
      <c r="KTA512" s="332"/>
      <c r="KTB512" s="332"/>
      <c r="KTC512" s="332"/>
      <c r="KTD512" s="332"/>
      <c r="KTE512" s="332"/>
      <c r="KTF512" s="332"/>
      <c r="KTG512" s="332"/>
      <c r="KTH512" s="332"/>
      <c r="KTI512" s="332"/>
      <c r="KTJ512" s="332"/>
      <c r="KTK512" s="332"/>
      <c r="KTL512" s="332"/>
      <c r="KTM512" s="332"/>
      <c r="KTN512" s="332"/>
      <c r="KTO512" s="332"/>
      <c r="KTP512" s="332"/>
      <c r="KTQ512" s="332"/>
      <c r="KTR512" s="332"/>
      <c r="KTS512" s="332"/>
      <c r="KTT512" s="332"/>
      <c r="KTU512" s="332"/>
      <c r="KTV512" s="332"/>
      <c r="KTW512" s="332"/>
      <c r="KTX512" s="332"/>
      <c r="KTY512" s="332"/>
      <c r="KTZ512" s="332"/>
      <c r="KUA512" s="332"/>
      <c r="KUB512" s="332"/>
      <c r="KUC512" s="332"/>
      <c r="KUD512" s="332"/>
      <c r="KUE512" s="332"/>
      <c r="KUF512" s="332"/>
      <c r="KUG512" s="332"/>
      <c r="KUH512" s="332"/>
      <c r="KUI512" s="332"/>
      <c r="KUJ512" s="332"/>
      <c r="KUK512" s="332"/>
      <c r="KUL512" s="332"/>
      <c r="KUM512" s="332"/>
      <c r="KUN512" s="332"/>
      <c r="KUO512" s="332"/>
      <c r="KUP512" s="332"/>
      <c r="KUQ512" s="332"/>
      <c r="KUR512" s="332"/>
      <c r="KUS512" s="332"/>
      <c r="KUT512" s="332"/>
      <c r="KUU512" s="332"/>
      <c r="KUV512" s="332"/>
      <c r="KUW512" s="332"/>
      <c r="KUX512" s="332"/>
      <c r="KUY512" s="332"/>
      <c r="KUZ512" s="332"/>
      <c r="KVA512" s="332"/>
      <c r="KVB512" s="332"/>
      <c r="KVC512" s="332"/>
      <c r="KVD512" s="332"/>
      <c r="KVE512" s="332"/>
      <c r="KVF512" s="332"/>
      <c r="KVG512" s="332"/>
      <c r="KVH512" s="332"/>
      <c r="KVI512" s="332"/>
      <c r="KVJ512" s="332"/>
      <c r="KVK512" s="332"/>
      <c r="KVL512" s="332"/>
      <c r="KVM512" s="332"/>
      <c r="KVN512" s="332"/>
      <c r="KVO512" s="332"/>
      <c r="KVP512" s="332"/>
      <c r="KVQ512" s="332"/>
      <c r="KVR512" s="332"/>
      <c r="KVS512" s="332"/>
      <c r="KVT512" s="332"/>
      <c r="KVU512" s="332"/>
      <c r="KVV512" s="332"/>
      <c r="KVW512" s="332"/>
      <c r="KVX512" s="332"/>
      <c r="KVY512" s="332"/>
      <c r="KVZ512" s="332"/>
      <c r="KWA512" s="332"/>
      <c r="KWB512" s="332"/>
      <c r="KWC512" s="332"/>
      <c r="KWD512" s="332"/>
      <c r="KWE512" s="332"/>
      <c r="KWF512" s="332"/>
      <c r="KWG512" s="332"/>
      <c r="KWH512" s="332"/>
      <c r="KWI512" s="332"/>
      <c r="KWJ512" s="332"/>
      <c r="KWK512" s="332"/>
      <c r="KWL512" s="332"/>
      <c r="KWM512" s="332"/>
      <c r="KWN512" s="332"/>
      <c r="KWO512" s="332"/>
      <c r="KWP512" s="332"/>
      <c r="KWQ512" s="332"/>
      <c r="KWR512" s="332"/>
      <c r="KWS512" s="332"/>
      <c r="KWT512" s="332"/>
      <c r="KWU512" s="332"/>
      <c r="KWV512" s="332"/>
      <c r="KWW512" s="332"/>
      <c r="KWX512" s="332"/>
      <c r="KWY512" s="332"/>
      <c r="KWZ512" s="332"/>
      <c r="KXA512" s="332"/>
      <c r="KXB512" s="332"/>
      <c r="KXC512" s="332"/>
      <c r="KXD512" s="332"/>
      <c r="KXE512" s="332"/>
      <c r="KXF512" s="332"/>
      <c r="KXG512" s="332"/>
      <c r="KXH512" s="332"/>
      <c r="KXI512" s="332"/>
      <c r="KXJ512" s="332"/>
      <c r="KXK512" s="332"/>
      <c r="KXL512" s="332"/>
      <c r="KXM512" s="332"/>
      <c r="KXN512" s="332"/>
      <c r="KXO512" s="332"/>
      <c r="KXP512" s="332"/>
      <c r="KXQ512" s="332"/>
      <c r="KXR512" s="332"/>
      <c r="KXS512" s="332"/>
      <c r="KXT512" s="332"/>
      <c r="KXU512" s="332"/>
      <c r="KXV512" s="332"/>
      <c r="KXW512" s="332"/>
      <c r="KXX512" s="332"/>
      <c r="KXY512" s="332"/>
      <c r="KXZ512" s="332"/>
      <c r="KYA512" s="332"/>
      <c r="KYB512" s="332"/>
      <c r="KYC512" s="332"/>
      <c r="KYD512" s="332"/>
      <c r="KYE512" s="332"/>
      <c r="KYF512" s="332"/>
      <c r="KYG512" s="332"/>
      <c r="KYH512" s="332"/>
      <c r="KYI512" s="332"/>
      <c r="KYJ512" s="332"/>
      <c r="KYK512" s="332"/>
      <c r="KYL512" s="332"/>
      <c r="KYM512" s="332"/>
      <c r="KYN512" s="332"/>
      <c r="KYO512" s="332"/>
      <c r="KYP512" s="332"/>
      <c r="KYQ512" s="332"/>
      <c r="KYR512" s="332"/>
      <c r="KYS512" s="332"/>
      <c r="KYT512" s="332"/>
      <c r="KYU512" s="332"/>
      <c r="KYV512" s="332"/>
      <c r="KYW512" s="332"/>
      <c r="KYX512" s="332"/>
      <c r="KYY512" s="332"/>
      <c r="KYZ512" s="332"/>
      <c r="KZA512" s="332"/>
      <c r="KZB512" s="332"/>
      <c r="KZC512" s="332"/>
      <c r="KZD512" s="332"/>
      <c r="KZE512" s="332"/>
      <c r="KZF512" s="332"/>
      <c r="KZG512" s="332"/>
      <c r="KZH512" s="332"/>
      <c r="KZI512" s="332"/>
      <c r="KZJ512" s="332"/>
      <c r="KZK512" s="332"/>
      <c r="KZL512" s="332"/>
      <c r="KZM512" s="332"/>
      <c r="KZN512" s="332"/>
      <c r="KZO512" s="332"/>
      <c r="KZP512" s="332"/>
      <c r="KZQ512" s="332"/>
      <c r="KZR512" s="332"/>
      <c r="KZS512" s="332"/>
      <c r="KZT512" s="332"/>
      <c r="KZU512" s="332"/>
      <c r="KZV512" s="332"/>
      <c r="KZW512" s="332"/>
      <c r="KZX512" s="332"/>
      <c r="KZY512" s="332"/>
      <c r="KZZ512" s="332"/>
      <c r="LAA512" s="332"/>
      <c r="LAB512" s="332"/>
      <c r="LAC512" s="332"/>
      <c r="LAD512" s="332"/>
      <c r="LAE512" s="332"/>
      <c r="LAF512" s="332"/>
      <c r="LAG512" s="332"/>
      <c r="LAH512" s="332"/>
      <c r="LAI512" s="332"/>
      <c r="LAJ512" s="332"/>
      <c r="LAK512" s="332"/>
      <c r="LAL512" s="332"/>
      <c r="LAM512" s="332"/>
      <c r="LAN512" s="332"/>
      <c r="LAO512" s="332"/>
      <c r="LAP512" s="332"/>
      <c r="LAQ512" s="332"/>
      <c r="LAR512" s="332"/>
      <c r="LAS512" s="332"/>
      <c r="LAT512" s="332"/>
      <c r="LAU512" s="332"/>
      <c r="LAV512" s="332"/>
      <c r="LAW512" s="332"/>
      <c r="LAX512" s="332"/>
      <c r="LAY512" s="332"/>
      <c r="LAZ512" s="332"/>
      <c r="LBA512" s="332"/>
      <c r="LBB512" s="332"/>
      <c r="LBC512" s="332"/>
      <c r="LBD512" s="332"/>
      <c r="LBE512" s="332"/>
      <c r="LBF512" s="332"/>
      <c r="LBG512" s="332"/>
      <c r="LBH512" s="332"/>
      <c r="LBI512" s="332"/>
      <c r="LBJ512" s="332"/>
      <c r="LBK512" s="332"/>
      <c r="LBL512" s="332"/>
      <c r="LBM512" s="332"/>
      <c r="LBN512" s="332"/>
      <c r="LBO512" s="332"/>
      <c r="LBP512" s="332"/>
      <c r="LBQ512" s="332"/>
      <c r="LBR512" s="332"/>
      <c r="LBS512" s="332"/>
      <c r="LBT512" s="332"/>
      <c r="LBU512" s="332"/>
      <c r="LBV512" s="332"/>
      <c r="LBW512" s="332"/>
      <c r="LBX512" s="332"/>
      <c r="LBY512" s="332"/>
      <c r="LBZ512" s="332"/>
      <c r="LCA512" s="332"/>
      <c r="LCB512" s="332"/>
      <c r="LCC512" s="332"/>
      <c r="LCD512" s="332"/>
      <c r="LCE512" s="332"/>
      <c r="LCF512" s="332"/>
      <c r="LCG512" s="332"/>
      <c r="LCH512" s="332"/>
      <c r="LCI512" s="332"/>
      <c r="LCJ512" s="332"/>
      <c r="LCK512" s="332"/>
      <c r="LCL512" s="332"/>
      <c r="LCM512" s="332"/>
      <c r="LCN512" s="332"/>
      <c r="LCO512" s="332"/>
      <c r="LCP512" s="332"/>
      <c r="LCQ512" s="332"/>
      <c r="LCR512" s="332"/>
      <c r="LCS512" s="332"/>
      <c r="LCT512" s="332"/>
      <c r="LCU512" s="332"/>
      <c r="LCV512" s="332"/>
      <c r="LCW512" s="332"/>
      <c r="LCX512" s="332"/>
      <c r="LCY512" s="332"/>
      <c r="LCZ512" s="332"/>
      <c r="LDA512" s="332"/>
      <c r="LDB512" s="332"/>
      <c r="LDC512" s="332"/>
      <c r="LDD512" s="332"/>
      <c r="LDE512" s="332"/>
      <c r="LDF512" s="332"/>
      <c r="LDG512" s="332"/>
      <c r="LDH512" s="332"/>
      <c r="LDI512" s="332"/>
      <c r="LDJ512" s="332"/>
      <c r="LDK512" s="332"/>
      <c r="LDL512" s="332"/>
      <c r="LDM512" s="332"/>
      <c r="LDN512" s="332"/>
      <c r="LDO512" s="332"/>
      <c r="LDP512" s="332"/>
      <c r="LDQ512" s="332"/>
      <c r="LDR512" s="332"/>
      <c r="LDS512" s="332"/>
      <c r="LDT512" s="332"/>
      <c r="LDU512" s="332"/>
      <c r="LDV512" s="332"/>
      <c r="LDW512" s="332"/>
      <c r="LDX512" s="332"/>
      <c r="LDY512" s="332"/>
      <c r="LDZ512" s="332"/>
      <c r="LEA512" s="332"/>
      <c r="LEB512" s="332"/>
      <c r="LEC512" s="332"/>
      <c r="LED512" s="332"/>
      <c r="LEE512" s="332"/>
      <c r="LEF512" s="332"/>
      <c r="LEG512" s="332"/>
      <c r="LEH512" s="332"/>
      <c r="LEI512" s="332"/>
      <c r="LEJ512" s="332"/>
      <c r="LEK512" s="332"/>
      <c r="LEL512" s="332"/>
      <c r="LEM512" s="332"/>
      <c r="LEN512" s="332"/>
      <c r="LEO512" s="332"/>
      <c r="LEP512" s="332"/>
      <c r="LEQ512" s="332"/>
      <c r="LER512" s="332"/>
      <c r="LES512" s="332"/>
      <c r="LET512" s="332"/>
      <c r="LEU512" s="332"/>
      <c r="LEV512" s="332"/>
      <c r="LEW512" s="332"/>
      <c r="LEX512" s="332"/>
      <c r="LEY512" s="332"/>
      <c r="LEZ512" s="332"/>
      <c r="LFA512" s="332"/>
      <c r="LFB512" s="332"/>
      <c r="LFC512" s="332"/>
      <c r="LFD512" s="332"/>
      <c r="LFE512" s="332"/>
      <c r="LFF512" s="332"/>
      <c r="LFG512" s="332"/>
      <c r="LFH512" s="332"/>
      <c r="LFI512" s="332"/>
      <c r="LFJ512" s="332"/>
      <c r="LFK512" s="332"/>
      <c r="LFL512" s="332"/>
      <c r="LFM512" s="332"/>
      <c r="LFN512" s="332"/>
      <c r="LFO512" s="332"/>
      <c r="LFP512" s="332"/>
      <c r="LFQ512" s="332"/>
      <c r="LFR512" s="332"/>
      <c r="LFS512" s="332"/>
      <c r="LFT512" s="332"/>
      <c r="LFU512" s="332"/>
      <c r="LFV512" s="332"/>
      <c r="LFW512" s="332"/>
      <c r="LFX512" s="332"/>
      <c r="LFY512" s="332"/>
      <c r="LFZ512" s="332"/>
      <c r="LGA512" s="332"/>
      <c r="LGB512" s="332"/>
      <c r="LGC512" s="332"/>
      <c r="LGD512" s="332"/>
      <c r="LGE512" s="332"/>
      <c r="LGF512" s="332"/>
      <c r="LGG512" s="332"/>
      <c r="LGH512" s="332"/>
      <c r="LGI512" s="332"/>
      <c r="LGJ512" s="332"/>
      <c r="LGK512" s="332"/>
      <c r="LGL512" s="332"/>
      <c r="LGM512" s="332"/>
      <c r="LGN512" s="332"/>
      <c r="LGO512" s="332"/>
      <c r="LGP512" s="332"/>
      <c r="LGQ512" s="332"/>
      <c r="LGR512" s="332"/>
      <c r="LGS512" s="332"/>
      <c r="LGT512" s="332"/>
      <c r="LGU512" s="332"/>
      <c r="LGV512" s="332"/>
      <c r="LGW512" s="332"/>
      <c r="LGX512" s="332"/>
      <c r="LGY512" s="332"/>
      <c r="LGZ512" s="332"/>
      <c r="LHA512" s="332"/>
      <c r="LHB512" s="332"/>
      <c r="LHC512" s="332"/>
      <c r="LHD512" s="332"/>
      <c r="LHE512" s="332"/>
      <c r="LHF512" s="332"/>
      <c r="LHG512" s="332"/>
      <c r="LHH512" s="332"/>
      <c r="LHI512" s="332"/>
      <c r="LHJ512" s="332"/>
      <c r="LHK512" s="332"/>
      <c r="LHL512" s="332"/>
      <c r="LHM512" s="332"/>
      <c r="LHN512" s="332"/>
      <c r="LHO512" s="332"/>
      <c r="LHP512" s="332"/>
      <c r="LHQ512" s="332"/>
      <c r="LHR512" s="332"/>
      <c r="LHS512" s="332"/>
      <c r="LHT512" s="332"/>
      <c r="LHU512" s="332"/>
      <c r="LHV512" s="332"/>
      <c r="LHW512" s="332"/>
      <c r="LHX512" s="332"/>
      <c r="LHY512" s="332"/>
      <c r="LHZ512" s="332"/>
      <c r="LIA512" s="332"/>
      <c r="LIB512" s="332"/>
      <c r="LIC512" s="332"/>
      <c r="LID512" s="332"/>
      <c r="LIE512" s="332"/>
      <c r="LIF512" s="332"/>
      <c r="LIG512" s="332"/>
      <c r="LIH512" s="332"/>
      <c r="LII512" s="332"/>
      <c r="LIJ512" s="332"/>
      <c r="LIK512" s="332"/>
      <c r="LIL512" s="332"/>
      <c r="LIM512" s="332"/>
      <c r="LIN512" s="332"/>
      <c r="LIO512" s="332"/>
      <c r="LIP512" s="332"/>
      <c r="LIQ512" s="332"/>
      <c r="LIR512" s="332"/>
      <c r="LIS512" s="332"/>
      <c r="LIT512" s="332"/>
      <c r="LIU512" s="332"/>
      <c r="LIV512" s="332"/>
      <c r="LIW512" s="332"/>
      <c r="LIX512" s="332"/>
      <c r="LIY512" s="332"/>
      <c r="LIZ512" s="332"/>
      <c r="LJA512" s="332"/>
      <c r="LJB512" s="332"/>
      <c r="LJC512" s="332"/>
      <c r="LJD512" s="332"/>
      <c r="LJE512" s="332"/>
      <c r="LJF512" s="332"/>
      <c r="LJG512" s="332"/>
      <c r="LJH512" s="332"/>
      <c r="LJI512" s="332"/>
      <c r="LJJ512" s="332"/>
      <c r="LJK512" s="332"/>
      <c r="LJL512" s="332"/>
      <c r="LJM512" s="332"/>
      <c r="LJN512" s="332"/>
      <c r="LJO512" s="332"/>
      <c r="LJP512" s="332"/>
      <c r="LJQ512" s="332"/>
      <c r="LJR512" s="332"/>
      <c r="LJS512" s="332"/>
      <c r="LJT512" s="332"/>
      <c r="LJU512" s="332"/>
      <c r="LJV512" s="332"/>
      <c r="LJW512" s="332"/>
      <c r="LJX512" s="332"/>
      <c r="LJY512" s="332"/>
      <c r="LJZ512" s="332"/>
      <c r="LKA512" s="332"/>
      <c r="LKB512" s="332"/>
      <c r="LKC512" s="332"/>
      <c r="LKD512" s="332"/>
      <c r="LKE512" s="332"/>
      <c r="LKF512" s="332"/>
      <c r="LKG512" s="332"/>
      <c r="LKH512" s="332"/>
      <c r="LKI512" s="332"/>
      <c r="LKJ512" s="332"/>
      <c r="LKK512" s="332"/>
      <c r="LKL512" s="332"/>
      <c r="LKM512" s="332"/>
      <c r="LKN512" s="332"/>
      <c r="LKO512" s="332"/>
      <c r="LKP512" s="332"/>
      <c r="LKQ512" s="332"/>
      <c r="LKR512" s="332"/>
      <c r="LKS512" s="332"/>
      <c r="LKT512" s="332"/>
      <c r="LKU512" s="332"/>
      <c r="LKV512" s="332"/>
      <c r="LKW512" s="332"/>
      <c r="LKX512" s="332"/>
      <c r="LKY512" s="332"/>
      <c r="LKZ512" s="332"/>
      <c r="LLA512" s="332"/>
      <c r="LLB512" s="332"/>
      <c r="LLC512" s="332"/>
      <c r="LLD512" s="332"/>
      <c r="LLE512" s="332"/>
      <c r="LLF512" s="332"/>
      <c r="LLG512" s="332"/>
      <c r="LLH512" s="332"/>
      <c r="LLI512" s="332"/>
      <c r="LLJ512" s="332"/>
      <c r="LLK512" s="332"/>
      <c r="LLL512" s="332"/>
      <c r="LLM512" s="332"/>
      <c r="LLN512" s="332"/>
      <c r="LLO512" s="332"/>
      <c r="LLP512" s="332"/>
      <c r="LLQ512" s="332"/>
      <c r="LLR512" s="332"/>
      <c r="LLS512" s="332"/>
      <c r="LLT512" s="332"/>
      <c r="LLU512" s="332"/>
      <c r="LLV512" s="332"/>
      <c r="LLW512" s="332"/>
      <c r="LLX512" s="332"/>
      <c r="LLY512" s="332"/>
      <c r="LLZ512" s="332"/>
      <c r="LMA512" s="332"/>
      <c r="LMB512" s="332"/>
      <c r="LMC512" s="332"/>
      <c r="LMD512" s="332"/>
      <c r="LME512" s="332"/>
      <c r="LMF512" s="332"/>
      <c r="LMG512" s="332"/>
      <c r="LMH512" s="332"/>
      <c r="LMI512" s="332"/>
      <c r="LMJ512" s="332"/>
      <c r="LMK512" s="332"/>
      <c r="LML512" s="332"/>
      <c r="LMM512" s="332"/>
      <c r="LMN512" s="332"/>
      <c r="LMO512" s="332"/>
      <c r="LMP512" s="332"/>
      <c r="LMQ512" s="332"/>
      <c r="LMR512" s="332"/>
      <c r="LMS512" s="332"/>
      <c r="LMT512" s="332"/>
      <c r="LMU512" s="332"/>
      <c r="LMV512" s="332"/>
      <c r="LMW512" s="332"/>
      <c r="LMX512" s="332"/>
      <c r="LMY512" s="332"/>
      <c r="LMZ512" s="332"/>
      <c r="LNA512" s="332"/>
      <c r="LNB512" s="332"/>
      <c r="LNC512" s="332"/>
      <c r="LND512" s="332"/>
      <c r="LNE512" s="332"/>
      <c r="LNF512" s="332"/>
      <c r="LNG512" s="332"/>
      <c r="LNH512" s="332"/>
      <c r="LNI512" s="332"/>
      <c r="LNJ512" s="332"/>
      <c r="LNK512" s="332"/>
      <c r="LNL512" s="332"/>
      <c r="LNM512" s="332"/>
      <c r="LNN512" s="332"/>
      <c r="LNO512" s="332"/>
      <c r="LNP512" s="332"/>
      <c r="LNQ512" s="332"/>
      <c r="LNR512" s="332"/>
      <c r="LNS512" s="332"/>
      <c r="LNT512" s="332"/>
      <c r="LNU512" s="332"/>
      <c r="LNV512" s="332"/>
      <c r="LNW512" s="332"/>
      <c r="LNX512" s="332"/>
      <c r="LNY512" s="332"/>
      <c r="LNZ512" s="332"/>
      <c r="LOA512" s="332"/>
      <c r="LOB512" s="332"/>
      <c r="LOC512" s="332"/>
      <c r="LOD512" s="332"/>
      <c r="LOE512" s="332"/>
      <c r="LOF512" s="332"/>
      <c r="LOG512" s="332"/>
      <c r="LOH512" s="332"/>
      <c r="LOI512" s="332"/>
      <c r="LOJ512" s="332"/>
      <c r="LOK512" s="332"/>
      <c r="LOL512" s="332"/>
      <c r="LOM512" s="332"/>
      <c r="LON512" s="332"/>
      <c r="LOO512" s="332"/>
      <c r="LOP512" s="332"/>
      <c r="LOQ512" s="332"/>
      <c r="LOR512" s="332"/>
      <c r="LOS512" s="332"/>
      <c r="LOT512" s="332"/>
      <c r="LOU512" s="332"/>
      <c r="LOV512" s="332"/>
      <c r="LOW512" s="332"/>
      <c r="LOX512" s="332"/>
      <c r="LOY512" s="332"/>
      <c r="LOZ512" s="332"/>
      <c r="LPA512" s="332"/>
      <c r="LPB512" s="332"/>
      <c r="LPC512" s="332"/>
      <c r="LPD512" s="332"/>
      <c r="LPE512" s="332"/>
      <c r="LPF512" s="332"/>
      <c r="LPG512" s="332"/>
      <c r="LPH512" s="332"/>
      <c r="LPI512" s="332"/>
      <c r="LPJ512" s="332"/>
      <c r="LPK512" s="332"/>
      <c r="LPL512" s="332"/>
      <c r="LPM512" s="332"/>
      <c r="LPN512" s="332"/>
      <c r="LPO512" s="332"/>
      <c r="LPP512" s="332"/>
      <c r="LPQ512" s="332"/>
      <c r="LPR512" s="332"/>
      <c r="LPS512" s="332"/>
      <c r="LPT512" s="332"/>
      <c r="LPU512" s="332"/>
      <c r="LPV512" s="332"/>
      <c r="LPW512" s="332"/>
      <c r="LPX512" s="332"/>
      <c r="LPY512" s="332"/>
      <c r="LPZ512" s="332"/>
      <c r="LQA512" s="332"/>
      <c r="LQB512" s="332"/>
      <c r="LQC512" s="332"/>
      <c r="LQD512" s="332"/>
      <c r="LQE512" s="332"/>
      <c r="LQF512" s="332"/>
      <c r="LQG512" s="332"/>
      <c r="LQH512" s="332"/>
      <c r="LQI512" s="332"/>
      <c r="LQJ512" s="332"/>
      <c r="LQK512" s="332"/>
      <c r="LQL512" s="332"/>
      <c r="LQM512" s="332"/>
      <c r="LQN512" s="332"/>
      <c r="LQO512" s="332"/>
      <c r="LQP512" s="332"/>
      <c r="LQQ512" s="332"/>
      <c r="LQR512" s="332"/>
      <c r="LQS512" s="332"/>
      <c r="LQT512" s="332"/>
      <c r="LQU512" s="332"/>
      <c r="LQV512" s="332"/>
      <c r="LQW512" s="332"/>
      <c r="LQX512" s="332"/>
      <c r="LQY512" s="332"/>
      <c r="LQZ512" s="332"/>
      <c r="LRA512" s="332"/>
      <c r="LRB512" s="332"/>
      <c r="LRC512" s="332"/>
      <c r="LRD512" s="332"/>
      <c r="LRE512" s="332"/>
      <c r="LRF512" s="332"/>
      <c r="LRG512" s="332"/>
      <c r="LRH512" s="332"/>
      <c r="LRI512" s="332"/>
      <c r="LRJ512" s="332"/>
      <c r="LRK512" s="332"/>
      <c r="LRL512" s="332"/>
      <c r="LRM512" s="332"/>
      <c r="LRN512" s="332"/>
      <c r="LRO512" s="332"/>
      <c r="LRP512" s="332"/>
      <c r="LRQ512" s="332"/>
      <c r="LRR512" s="332"/>
      <c r="LRS512" s="332"/>
      <c r="LRT512" s="332"/>
      <c r="LRU512" s="332"/>
      <c r="LRV512" s="332"/>
      <c r="LRW512" s="332"/>
      <c r="LRX512" s="332"/>
      <c r="LRY512" s="332"/>
      <c r="LRZ512" s="332"/>
      <c r="LSA512" s="332"/>
      <c r="LSB512" s="332"/>
      <c r="LSC512" s="332"/>
      <c r="LSD512" s="332"/>
      <c r="LSE512" s="332"/>
      <c r="LSF512" s="332"/>
      <c r="LSG512" s="332"/>
      <c r="LSH512" s="332"/>
      <c r="LSI512" s="332"/>
      <c r="LSJ512" s="332"/>
      <c r="LSK512" s="332"/>
      <c r="LSL512" s="332"/>
      <c r="LSM512" s="332"/>
      <c r="LSN512" s="332"/>
      <c r="LSO512" s="332"/>
      <c r="LSP512" s="332"/>
      <c r="LSQ512" s="332"/>
      <c r="LSR512" s="332"/>
      <c r="LSS512" s="332"/>
      <c r="LST512" s="332"/>
      <c r="LSU512" s="332"/>
      <c r="LSV512" s="332"/>
      <c r="LSW512" s="332"/>
      <c r="LSX512" s="332"/>
      <c r="LSY512" s="332"/>
      <c r="LSZ512" s="332"/>
      <c r="LTA512" s="332"/>
      <c r="LTB512" s="332"/>
      <c r="LTC512" s="332"/>
      <c r="LTD512" s="332"/>
      <c r="LTE512" s="332"/>
      <c r="LTF512" s="332"/>
      <c r="LTG512" s="332"/>
      <c r="LTH512" s="332"/>
      <c r="LTI512" s="332"/>
      <c r="LTJ512" s="332"/>
      <c r="LTK512" s="332"/>
      <c r="LTL512" s="332"/>
      <c r="LTM512" s="332"/>
      <c r="LTN512" s="332"/>
      <c r="LTO512" s="332"/>
      <c r="LTP512" s="332"/>
      <c r="LTQ512" s="332"/>
      <c r="LTR512" s="332"/>
      <c r="LTS512" s="332"/>
      <c r="LTT512" s="332"/>
      <c r="LTU512" s="332"/>
      <c r="LTV512" s="332"/>
      <c r="LTW512" s="332"/>
      <c r="LTX512" s="332"/>
      <c r="LTY512" s="332"/>
      <c r="LTZ512" s="332"/>
      <c r="LUA512" s="332"/>
      <c r="LUB512" s="332"/>
      <c r="LUC512" s="332"/>
      <c r="LUD512" s="332"/>
      <c r="LUE512" s="332"/>
      <c r="LUF512" s="332"/>
      <c r="LUG512" s="332"/>
      <c r="LUH512" s="332"/>
      <c r="LUI512" s="332"/>
      <c r="LUJ512" s="332"/>
      <c r="LUK512" s="332"/>
      <c r="LUL512" s="332"/>
      <c r="LUM512" s="332"/>
      <c r="LUN512" s="332"/>
      <c r="LUO512" s="332"/>
      <c r="LUP512" s="332"/>
      <c r="LUQ512" s="332"/>
      <c r="LUR512" s="332"/>
      <c r="LUS512" s="332"/>
      <c r="LUT512" s="332"/>
      <c r="LUU512" s="332"/>
      <c r="LUV512" s="332"/>
      <c r="LUW512" s="332"/>
      <c r="LUX512" s="332"/>
      <c r="LUY512" s="332"/>
      <c r="LUZ512" s="332"/>
      <c r="LVA512" s="332"/>
      <c r="LVB512" s="332"/>
      <c r="LVC512" s="332"/>
      <c r="LVD512" s="332"/>
      <c r="LVE512" s="332"/>
      <c r="LVF512" s="332"/>
      <c r="LVG512" s="332"/>
      <c r="LVH512" s="332"/>
      <c r="LVI512" s="332"/>
      <c r="LVJ512" s="332"/>
      <c r="LVK512" s="332"/>
      <c r="LVL512" s="332"/>
      <c r="LVM512" s="332"/>
      <c r="LVN512" s="332"/>
      <c r="LVO512" s="332"/>
      <c r="LVP512" s="332"/>
      <c r="LVQ512" s="332"/>
      <c r="LVR512" s="332"/>
      <c r="LVS512" s="332"/>
      <c r="LVT512" s="332"/>
      <c r="LVU512" s="332"/>
      <c r="LVV512" s="332"/>
      <c r="LVW512" s="332"/>
      <c r="LVX512" s="332"/>
      <c r="LVY512" s="332"/>
      <c r="LVZ512" s="332"/>
      <c r="LWA512" s="332"/>
      <c r="LWB512" s="332"/>
      <c r="LWC512" s="332"/>
      <c r="LWD512" s="332"/>
      <c r="LWE512" s="332"/>
      <c r="LWF512" s="332"/>
      <c r="LWG512" s="332"/>
      <c r="LWH512" s="332"/>
      <c r="LWI512" s="332"/>
      <c r="LWJ512" s="332"/>
      <c r="LWK512" s="332"/>
      <c r="LWL512" s="332"/>
      <c r="LWM512" s="332"/>
      <c r="LWN512" s="332"/>
      <c r="LWO512" s="332"/>
      <c r="LWP512" s="332"/>
      <c r="LWQ512" s="332"/>
      <c r="LWR512" s="332"/>
      <c r="LWS512" s="332"/>
      <c r="LWT512" s="332"/>
      <c r="LWU512" s="332"/>
      <c r="LWV512" s="332"/>
      <c r="LWW512" s="332"/>
      <c r="LWX512" s="332"/>
      <c r="LWY512" s="332"/>
      <c r="LWZ512" s="332"/>
      <c r="LXA512" s="332"/>
      <c r="LXB512" s="332"/>
      <c r="LXC512" s="332"/>
      <c r="LXD512" s="332"/>
      <c r="LXE512" s="332"/>
      <c r="LXF512" s="332"/>
      <c r="LXG512" s="332"/>
      <c r="LXH512" s="332"/>
      <c r="LXI512" s="332"/>
      <c r="LXJ512" s="332"/>
      <c r="LXK512" s="332"/>
      <c r="LXL512" s="332"/>
      <c r="LXM512" s="332"/>
      <c r="LXN512" s="332"/>
      <c r="LXO512" s="332"/>
      <c r="LXP512" s="332"/>
      <c r="LXQ512" s="332"/>
      <c r="LXR512" s="332"/>
      <c r="LXS512" s="332"/>
      <c r="LXT512" s="332"/>
      <c r="LXU512" s="332"/>
      <c r="LXV512" s="332"/>
      <c r="LXW512" s="332"/>
      <c r="LXX512" s="332"/>
      <c r="LXY512" s="332"/>
      <c r="LXZ512" s="332"/>
      <c r="LYA512" s="332"/>
      <c r="LYB512" s="332"/>
      <c r="LYC512" s="332"/>
      <c r="LYD512" s="332"/>
      <c r="LYE512" s="332"/>
      <c r="LYF512" s="332"/>
      <c r="LYG512" s="332"/>
      <c r="LYH512" s="332"/>
      <c r="LYI512" s="332"/>
      <c r="LYJ512" s="332"/>
      <c r="LYK512" s="332"/>
      <c r="LYL512" s="332"/>
      <c r="LYM512" s="332"/>
      <c r="LYN512" s="332"/>
      <c r="LYO512" s="332"/>
      <c r="LYP512" s="332"/>
      <c r="LYQ512" s="332"/>
      <c r="LYR512" s="332"/>
      <c r="LYS512" s="332"/>
      <c r="LYT512" s="332"/>
      <c r="LYU512" s="332"/>
      <c r="LYV512" s="332"/>
      <c r="LYW512" s="332"/>
      <c r="LYX512" s="332"/>
      <c r="LYY512" s="332"/>
      <c r="LYZ512" s="332"/>
      <c r="LZA512" s="332"/>
      <c r="LZB512" s="332"/>
      <c r="LZC512" s="332"/>
      <c r="LZD512" s="332"/>
      <c r="LZE512" s="332"/>
      <c r="LZF512" s="332"/>
      <c r="LZG512" s="332"/>
      <c r="LZH512" s="332"/>
      <c r="LZI512" s="332"/>
      <c r="LZJ512" s="332"/>
      <c r="LZK512" s="332"/>
      <c r="LZL512" s="332"/>
      <c r="LZM512" s="332"/>
      <c r="LZN512" s="332"/>
      <c r="LZO512" s="332"/>
      <c r="LZP512" s="332"/>
      <c r="LZQ512" s="332"/>
      <c r="LZR512" s="332"/>
      <c r="LZS512" s="332"/>
      <c r="LZT512" s="332"/>
      <c r="LZU512" s="332"/>
      <c r="LZV512" s="332"/>
      <c r="LZW512" s="332"/>
      <c r="LZX512" s="332"/>
      <c r="LZY512" s="332"/>
      <c r="LZZ512" s="332"/>
      <c r="MAA512" s="332"/>
      <c r="MAB512" s="332"/>
      <c r="MAC512" s="332"/>
      <c r="MAD512" s="332"/>
      <c r="MAE512" s="332"/>
      <c r="MAF512" s="332"/>
      <c r="MAG512" s="332"/>
      <c r="MAH512" s="332"/>
      <c r="MAI512" s="332"/>
      <c r="MAJ512" s="332"/>
      <c r="MAK512" s="332"/>
      <c r="MAL512" s="332"/>
      <c r="MAM512" s="332"/>
      <c r="MAN512" s="332"/>
      <c r="MAO512" s="332"/>
      <c r="MAP512" s="332"/>
      <c r="MAQ512" s="332"/>
      <c r="MAR512" s="332"/>
      <c r="MAS512" s="332"/>
      <c r="MAT512" s="332"/>
      <c r="MAU512" s="332"/>
      <c r="MAV512" s="332"/>
      <c r="MAW512" s="332"/>
      <c r="MAX512" s="332"/>
      <c r="MAY512" s="332"/>
      <c r="MAZ512" s="332"/>
      <c r="MBA512" s="332"/>
      <c r="MBB512" s="332"/>
      <c r="MBC512" s="332"/>
      <c r="MBD512" s="332"/>
      <c r="MBE512" s="332"/>
      <c r="MBF512" s="332"/>
      <c r="MBG512" s="332"/>
      <c r="MBH512" s="332"/>
      <c r="MBI512" s="332"/>
      <c r="MBJ512" s="332"/>
      <c r="MBK512" s="332"/>
      <c r="MBL512" s="332"/>
      <c r="MBM512" s="332"/>
      <c r="MBN512" s="332"/>
      <c r="MBO512" s="332"/>
      <c r="MBP512" s="332"/>
      <c r="MBQ512" s="332"/>
      <c r="MBR512" s="332"/>
      <c r="MBS512" s="332"/>
      <c r="MBT512" s="332"/>
      <c r="MBU512" s="332"/>
      <c r="MBV512" s="332"/>
      <c r="MBW512" s="332"/>
      <c r="MBX512" s="332"/>
      <c r="MBY512" s="332"/>
      <c r="MBZ512" s="332"/>
      <c r="MCA512" s="332"/>
      <c r="MCB512" s="332"/>
      <c r="MCC512" s="332"/>
      <c r="MCD512" s="332"/>
      <c r="MCE512" s="332"/>
      <c r="MCF512" s="332"/>
      <c r="MCG512" s="332"/>
      <c r="MCH512" s="332"/>
      <c r="MCI512" s="332"/>
      <c r="MCJ512" s="332"/>
      <c r="MCK512" s="332"/>
      <c r="MCL512" s="332"/>
      <c r="MCM512" s="332"/>
      <c r="MCN512" s="332"/>
      <c r="MCO512" s="332"/>
      <c r="MCP512" s="332"/>
      <c r="MCQ512" s="332"/>
      <c r="MCR512" s="332"/>
      <c r="MCS512" s="332"/>
      <c r="MCT512" s="332"/>
      <c r="MCU512" s="332"/>
      <c r="MCV512" s="332"/>
      <c r="MCW512" s="332"/>
      <c r="MCX512" s="332"/>
      <c r="MCY512" s="332"/>
      <c r="MCZ512" s="332"/>
      <c r="MDA512" s="332"/>
      <c r="MDB512" s="332"/>
      <c r="MDC512" s="332"/>
      <c r="MDD512" s="332"/>
      <c r="MDE512" s="332"/>
      <c r="MDF512" s="332"/>
      <c r="MDG512" s="332"/>
      <c r="MDH512" s="332"/>
      <c r="MDI512" s="332"/>
      <c r="MDJ512" s="332"/>
      <c r="MDK512" s="332"/>
      <c r="MDL512" s="332"/>
      <c r="MDM512" s="332"/>
      <c r="MDN512" s="332"/>
      <c r="MDO512" s="332"/>
      <c r="MDP512" s="332"/>
      <c r="MDQ512" s="332"/>
      <c r="MDR512" s="332"/>
      <c r="MDS512" s="332"/>
      <c r="MDT512" s="332"/>
      <c r="MDU512" s="332"/>
      <c r="MDV512" s="332"/>
      <c r="MDW512" s="332"/>
      <c r="MDX512" s="332"/>
      <c r="MDY512" s="332"/>
      <c r="MDZ512" s="332"/>
      <c r="MEA512" s="332"/>
      <c r="MEB512" s="332"/>
      <c r="MEC512" s="332"/>
      <c r="MED512" s="332"/>
      <c r="MEE512" s="332"/>
      <c r="MEF512" s="332"/>
      <c r="MEG512" s="332"/>
      <c r="MEH512" s="332"/>
      <c r="MEI512" s="332"/>
      <c r="MEJ512" s="332"/>
      <c r="MEK512" s="332"/>
      <c r="MEL512" s="332"/>
      <c r="MEM512" s="332"/>
      <c r="MEN512" s="332"/>
      <c r="MEO512" s="332"/>
      <c r="MEP512" s="332"/>
      <c r="MEQ512" s="332"/>
      <c r="MER512" s="332"/>
      <c r="MES512" s="332"/>
      <c r="MET512" s="332"/>
      <c r="MEU512" s="332"/>
      <c r="MEV512" s="332"/>
      <c r="MEW512" s="332"/>
      <c r="MEX512" s="332"/>
      <c r="MEY512" s="332"/>
      <c r="MEZ512" s="332"/>
      <c r="MFA512" s="332"/>
      <c r="MFB512" s="332"/>
      <c r="MFC512" s="332"/>
      <c r="MFD512" s="332"/>
      <c r="MFE512" s="332"/>
      <c r="MFF512" s="332"/>
      <c r="MFG512" s="332"/>
      <c r="MFH512" s="332"/>
      <c r="MFI512" s="332"/>
      <c r="MFJ512" s="332"/>
      <c r="MFK512" s="332"/>
      <c r="MFL512" s="332"/>
      <c r="MFM512" s="332"/>
      <c r="MFN512" s="332"/>
      <c r="MFO512" s="332"/>
      <c r="MFP512" s="332"/>
      <c r="MFQ512" s="332"/>
      <c r="MFR512" s="332"/>
      <c r="MFS512" s="332"/>
      <c r="MFT512" s="332"/>
      <c r="MFU512" s="332"/>
      <c r="MFV512" s="332"/>
      <c r="MFW512" s="332"/>
      <c r="MFX512" s="332"/>
      <c r="MFY512" s="332"/>
      <c r="MFZ512" s="332"/>
      <c r="MGA512" s="332"/>
      <c r="MGB512" s="332"/>
      <c r="MGC512" s="332"/>
      <c r="MGD512" s="332"/>
      <c r="MGE512" s="332"/>
      <c r="MGF512" s="332"/>
      <c r="MGG512" s="332"/>
      <c r="MGH512" s="332"/>
      <c r="MGI512" s="332"/>
      <c r="MGJ512" s="332"/>
      <c r="MGK512" s="332"/>
      <c r="MGL512" s="332"/>
      <c r="MGM512" s="332"/>
      <c r="MGN512" s="332"/>
      <c r="MGO512" s="332"/>
      <c r="MGP512" s="332"/>
      <c r="MGQ512" s="332"/>
      <c r="MGR512" s="332"/>
      <c r="MGS512" s="332"/>
      <c r="MGT512" s="332"/>
      <c r="MGU512" s="332"/>
      <c r="MGV512" s="332"/>
      <c r="MGW512" s="332"/>
      <c r="MGX512" s="332"/>
      <c r="MGY512" s="332"/>
      <c r="MGZ512" s="332"/>
      <c r="MHA512" s="332"/>
      <c r="MHB512" s="332"/>
      <c r="MHC512" s="332"/>
      <c r="MHD512" s="332"/>
      <c r="MHE512" s="332"/>
      <c r="MHF512" s="332"/>
      <c r="MHG512" s="332"/>
      <c r="MHH512" s="332"/>
      <c r="MHI512" s="332"/>
      <c r="MHJ512" s="332"/>
      <c r="MHK512" s="332"/>
      <c r="MHL512" s="332"/>
      <c r="MHM512" s="332"/>
      <c r="MHN512" s="332"/>
      <c r="MHO512" s="332"/>
      <c r="MHP512" s="332"/>
      <c r="MHQ512" s="332"/>
      <c r="MHR512" s="332"/>
      <c r="MHS512" s="332"/>
      <c r="MHT512" s="332"/>
      <c r="MHU512" s="332"/>
      <c r="MHV512" s="332"/>
      <c r="MHW512" s="332"/>
      <c r="MHX512" s="332"/>
      <c r="MHY512" s="332"/>
      <c r="MHZ512" s="332"/>
      <c r="MIA512" s="332"/>
      <c r="MIB512" s="332"/>
      <c r="MIC512" s="332"/>
      <c r="MID512" s="332"/>
      <c r="MIE512" s="332"/>
      <c r="MIF512" s="332"/>
      <c r="MIG512" s="332"/>
      <c r="MIH512" s="332"/>
      <c r="MII512" s="332"/>
      <c r="MIJ512" s="332"/>
      <c r="MIK512" s="332"/>
      <c r="MIL512" s="332"/>
      <c r="MIM512" s="332"/>
      <c r="MIN512" s="332"/>
      <c r="MIO512" s="332"/>
      <c r="MIP512" s="332"/>
      <c r="MIQ512" s="332"/>
      <c r="MIR512" s="332"/>
      <c r="MIS512" s="332"/>
      <c r="MIT512" s="332"/>
      <c r="MIU512" s="332"/>
      <c r="MIV512" s="332"/>
      <c r="MIW512" s="332"/>
      <c r="MIX512" s="332"/>
      <c r="MIY512" s="332"/>
      <c r="MIZ512" s="332"/>
      <c r="MJA512" s="332"/>
      <c r="MJB512" s="332"/>
      <c r="MJC512" s="332"/>
      <c r="MJD512" s="332"/>
      <c r="MJE512" s="332"/>
      <c r="MJF512" s="332"/>
      <c r="MJG512" s="332"/>
      <c r="MJH512" s="332"/>
      <c r="MJI512" s="332"/>
      <c r="MJJ512" s="332"/>
      <c r="MJK512" s="332"/>
      <c r="MJL512" s="332"/>
      <c r="MJM512" s="332"/>
      <c r="MJN512" s="332"/>
      <c r="MJO512" s="332"/>
      <c r="MJP512" s="332"/>
      <c r="MJQ512" s="332"/>
      <c r="MJR512" s="332"/>
      <c r="MJS512" s="332"/>
      <c r="MJT512" s="332"/>
      <c r="MJU512" s="332"/>
      <c r="MJV512" s="332"/>
      <c r="MJW512" s="332"/>
      <c r="MJX512" s="332"/>
      <c r="MJY512" s="332"/>
      <c r="MJZ512" s="332"/>
      <c r="MKA512" s="332"/>
      <c r="MKB512" s="332"/>
      <c r="MKC512" s="332"/>
      <c r="MKD512" s="332"/>
      <c r="MKE512" s="332"/>
      <c r="MKF512" s="332"/>
      <c r="MKG512" s="332"/>
      <c r="MKH512" s="332"/>
      <c r="MKI512" s="332"/>
      <c r="MKJ512" s="332"/>
      <c r="MKK512" s="332"/>
      <c r="MKL512" s="332"/>
      <c r="MKM512" s="332"/>
      <c r="MKN512" s="332"/>
      <c r="MKO512" s="332"/>
      <c r="MKP512" s="332"/>
      <c r="MKQ512" s="332"/>
      <c r="MKR512" s="332"/>
      <c r="MKS512" s="332"/>
      <c r="MKT512" s="332"/>
      <c r="MKU512" s="332"/>
      <c r="MKV512" s="332"/>
      <c r="MKW512" s="332"/>
      <c r="MKX512" s="332"/>
      <c r="MKY512" s="332"/>
      <c r="MKZ512" s="332"/>
      <c r="MLA512" s="332"/>
      <c r="MLB512" s="332"/>
      <c r="MLC512" s="332"/>
      <c r="MLD512" s="332"/>
      <c r="MLE512" s="332"/>
      <c r="MLF512" s="332"/>
      <c r="MLG512" s="332"/>
      <c r="MLH512" s="332"/>
      <c r="MLI512" s="332"/>
      <c r="MLJ512" s="332"/>
      <c r="MLK512" s="332"/>
      <c r="MLL512" s="332"/>
      <c r="MLM512" s="332"/>
      <c r="MLN512" s="332"/>
      <c r="MLO512" s="332"/>
      <c r="MLP512" s="332"/>
      <c r="MLQ512" s="332"/>
      <c r="MLR512" s="332"/>
      <c r="MLS512" s="332"/>
      <c r="MLT512" s="332"/>
      <c r="MLU512" s="332"/>
      <c r="MLV512" s="332"/>
      <c r="MLW512" s="332"/>
      <c r="MLX512" s="332"/>
      <c r="MLY512" s="332"/>
      <c r="MLZ512" s="332"/>
      <c r="MMA512" s="332"/>
      <c r="MMB512" s="332"/>
      <c r="MMC512" s="332"/>
      <c r="MMD512" s="332"/>
      <c r="MME512" s="332"/>
      <c r="MMF512" s="332"/>
      <c r="MMG512" s="332"/>
      <c r="MMH512" s="332"/>
      <c r="MMI512" s="332"/>
      <c r="MMJ512" s="332"/>
      <c r="MMK512" s="332"/>
      <c r="MML512" s="332"/>
      <c r="MMM512" s="332"/>
      <c r="MMN512" s="332"/>
      <c r="MMO512" s="332"/>
      <c r="MMP512" s="332"/>
      <c r="MMQ512" s="332"/>
      <c r="MMR512" s="332"/>
      <c r="MMS512" s="332"/>
      <c r="MMT512" s="332"/>
      <c r="MMU512" s="332"/>
      <c r="MMV512" s="332"/>
      <c r="MMW512" s="332"/>
      <c r="MMX512" s="332"/>
      <c r="MMY512" s="332"/>
      <c r="MMZ512" s="332"/>
      <c r="MNA512" s="332"/>
      <c r="MNB512" s="332"/>
      <c r="MNC512" s="332"/>
      <c r="MND512" s="332"/>
      <c r="MNE512" s="332"/>
      <c r="MNF512" s="332"/>
      <c r="MNG512" s="332"/>
      <c r="MNH512" s="332"/>
      <c r="MNI512" s="332"/>
      <c r="MNJ512" s="332"/>
      <c r="MNK512" s="332"/>
      <c r="MNL512" s="332"/>
      <c r="MNM512" s="332"/>
      <c r="MNN512" s="332"/>
      <c r="MNO512" s="332"/>
      <c r="MNP512" s="332"/>
      <c r="MNQ512" s="332"/>
      <c r="MNR512" s="332"/>
      <c r="MNS512" s="332"/>
      <c r="MNT512" s="332"/>
      <c r="MNU512" s="332"/>
      <c r="MNV512" s="332"/>
      <c r="MNW512" s="332"/>
      <c r="MNX512" s="332"/>
      <c r="MNY512" s="332"/>
      <c r="MNZ512" s="332"/>
      <c r="MOA512" s="332"/>
      <c r="MOB512" s="332"/>
      <c r="MOC512" s="332"/>
      <c r="MOD512" s="332"/>
      <c r="MOE512" s="332"/>
      <c r="MOF512" s="332"/>
      <c r="MOG512" s="332"/>
      <c r="MOH512" s="332"/>
      <c r="MOI512" s="332"/>
      <c r="MOJ512" s="332"/>
      <c r="MOK512" s="332"/>
      <c r="MOL512" s="332"/>
      <c r="MOM512" s="332"/>
      <c r="MON512" s="332"/>
      <c r="MOO512" s="332"/>
      <c r="MOP512" s="332"/>
      <c r="MOQ512" s="332"/>
      <c r="MOR512" s="332"/>
      <c r="MOS512" s="332"/>
      <c r="MOT512" s="332"/>
      <c r="MOU512" s="332"/>
      <c r="MOV512" s="332"/>
      <c r="MOW512" s="332"/>
      <c r="MOX512" s="332"/>
      <c r="MOY512" s="332"/>
      <c r="MOZ512" s="332"/>
      <c r="MPA512" s="332"/>
      <c r="MPB512" s="332"/>
      <c r="MPC512" s="332"/>
      <c r="MPD512" s="332"/>
      <c r="MPE512" s="332"/>
      <c r="MPF512" s="332"/>
      <c r="MPG512" s="332"/>
      <c r="MPH512" s="332"/>
      <c r="MPI512" s="332"/>
      <c r="MPJ512" s="332"/>
      <c r="MPK512" s="332"/>
      <c r="MPL512" s="332"/>
      <c r="MPM512" s="332"/>
      <c r="MPN512" s="332"/>
      <c r="MPO512" s="332"/>
      <c r="MPP512" s="332"/>
      <c r="MPQ512" s="332"/>
      <c r="MPR512" s="332"/>
      <c r="MPS512" s="332"/>
      <c r="MPT512" s="332"/>
      <c r="MPU512" s="332"/>
      <c r="MPV512" s="332"/>
      <c r="MPW512" s="332"/>
      <c r="MPX512" s="332"/>
      <c r="MPY512" s="332"/>
      <c r="MPZ512" s="332"/>
      <c r="MQA512" s="332"/>
      <c r="MQB512" s="332"/>
      <c r="MQC512" s="332"/>
      <c r="MQD512" s="332"/>
      <c r="MQE512" s="332"/>
      <c r="MQF512" s="332"/>
      <c r="MQG512" s="332"/>
      <c r="MQH512" s="332"/>
      <c r="MQI512" s="332"/>
      <c r="MQJ512" s="332"/>
      <c r="MQK512" s="332"/>
      <c r="MQL512" s="332"/>
      <c r="MQM512" s="332"/>
      <c r="MQN512" s="332"/>
      <c r="MQO512" s="332"/>
      <c r="MQP512" s="332"/>
      <c r="MQQ512" s="332"/>
      <c r="MQR512" s="332"/>
      <c r="MQS512" s="332"/>
      <c r="MQT512" s="332"/>
      <c r="MQU512" s="332"/>
      <c r="MQV512" s="332"/>
      <c r="MQW512" s="332"/>
      <c r="MQX512" s="332"/>
      <c r="MQY512" s="332"/>
      <c r="MQZ512" s="332"/>
      <c r="MRA512" s="332"/>
      <c r="MRB512" s="332"/>
      <c r="MRC512" s="332"/>
      <c r="MRD512" s="332"/>
      <c r="MRE512" s="332"/>
      <c r="MRF512" s="332"/>
      <c r="MRG512" s="332"/>
      <c r="MRH512" s="332"/>
      <c r="MRI512" s="332"/>
      <c r="MRJ512" s="332"/>
      <c r="MRK512" s="332"/>
      <c r="MRL512" s="332"/>
      <c r="MRM512" s="332"/>
      <c r="MRN512" s="332"/>
      <c r="MRO512" s="332"/>
      <c r="MRP512" s="332"/>
      <c r="MRQ512" s="332"/>
      <c r="MRR512" s="332"/>
      <c r="MRS512" s="332"/>
      <c r="MRT512" s="332"/>
      <c r="MRU512" s="332"/>
      <c r="MRV512" s="332"/>
      <c r="MRW512" s="332"/>
      <c r="MRX512" s="332"/>
      <c r="MRY512" s="332"/>
      <c r="MRZ512" s="332"/>
      <c r="MSA512" s="332"/>
      <c r="MSB512" s="332"/>
      <c r="MSC512" s="332"/>
      <c r="MSD512" s="332"/>
      <c r="MSE512" s="332"/>
      <c r="MSF512" s="332"/>
      <c r="MSG512" s="332"/>
      <c r="MSH512" s="332"/>
      <c r="MSI512" s="332"/>
      <c r="MSJ512" s="332"/>
      <c r="MSK512" s="332"/>
      <c r="MSL512" s="332"/>
      <c r="MSM512" s="332"/>
      <c r="MSN512" s="332"/>
      <c r="MSO512" s="332"/>
      <c r="MSP512" s="332"/>
      <c r="MSQ512" s="332"/>
      <c r="MSR512" s="332"/>
      <c r="MSS512" s="332"/>
      <c r="MST512" s="332"/>
      <c r="MSU512" s="332"/>
      <c r="MSV512" s="332"/>
      <c r="MSW512" s="332"/>
      <c r="MSX512" s="332"/>
      <c r="MSY512" s="332"/>
      <c r="MSZ512" s="332"/>
      <c r="MTA512" s="332"/>
      <c r="MTB512" s="332"/>
      <c r="MTC512" s="332"/>
      <c r="MTD512" s="332"/>
      <c r="MTE512" s="332"/>
      <c r="MTF512" s="332"/>
      <c r="MTG512" s="332"/>
      <c r="MTH512" s="332"/>
      <c r="MTI512" s="332"/>
      <c r="MTJ512" s="332"/>
      <c r="MTK512" s="332"/>
      <c r="MTL512" s="332"/>
      <c r="MTM512" s="332"/>
      <c r="MTN512" s="332"/>
      <c r="MTO512" s="332"/>
      <c r="MTP512" s="332"/>
      <c r="MTQ512" s="332"/>
      <c r="MTR512" s="332"/>
      <c r="MTS512" s="332"/>
      <c r="MTT512" s="332"/>
      <c r="MTU512" s="332"/>
      <c r="MTV512" s="332"/>
      <c r="MTW512" s="332"/>
      <c r="MTX512" s="332"/>
      <c r="MTY512" s="332"/>
      <c r="MTZ512" s="332"/>
      <c r="MUA512" s="332"/>
      <c r="MUB512" s="332"/>
      <c r="MUC512" s="332"/>
      <c r="MUD512" s="332"/>
      <c r="MUE512" s="332"/>
      <c r="MUF512" s="332"/>
      <c r="MUG512" s="332"/>
      <c r="MUH512" s="332"/>
      <c r="MUI512" s="332"/>
      <c r="MUJ512" s="332"/>
      <c r="MUK512" s="332"/>
      <c r="MUL512" s="332"/>
      <c r="MUM512" s="332"/>
      <c r="MUN512" s="332"/>
      <c r="MUO512" s="332"/>
      <c r="MUP512" s="332"/>
      <c r="MUQ512" s="332"/>
      <c r="MUR512" s="332"/>
      <c r="MUS512" s="332"/>
      <c r="MUT512" s="332"/>
      <c r="MUU512" s="332"/>
      <c r="MUV512" s="332"/>
      <c r="MUW512" s="332"/>
      <c r="MUX512" s="332"/>
      <c r="MUY512" s="332"/>
      <c r="MUZ512" s="332"/>
      <c r="MVA512" s="332"/>
      <c r="MVB512" s="332"/>
      <c r="MVC512" s="332"/>
      <c r="MVD512" s="332"/>
      <c r="MVE512" s="332"/>
      <c r="MVF512" s="332"/>
      <c r="MVG512" s="332"/>
      <c r="MVH512" s="332"/>
      <c r="MVI512" s="332"/>
      <c r="MVJ512" s="332"/>
      <c r="MVK512" s="332"/>
      <c r="MVL512" s="332"/>
      <c r="MVM512" s="332"/>
      <c r="MVN512" s="332"/>
      <c r="MVO512" s="332"/>
      <c r="MVP512" s="332"/>
      <c r="MVQ512" s="332"/>
      <c r="MVR512" s="332"/>
      <c r="MVS512" s="332"/>
      <c r="MVT512" s="332"/>
      <c r="MVU512" s="332"/>
      <c r="MVV512" s="332"/>
      <c r="MVW512" s="332"/>
      <c r="MVX512" s="332"/>
      <c r="MVY512" s="332"/>
      <c r="MVZ512" s="332"/>
      <c r="MWA512" s="332"/>
      <c r="MWB512" s="332"/>
      <c r="MWC512" s="332"/>
      <c r="MWD512" s="332"/>
      <c r="MWE512" s="332"/>
      <c r="MWF512" s="332"/>
      <c r="MWG512" s="332"/>
      <c r="MWH512" s="332"/>
      <c r="MWI512" s="332"/>
      <c r="MWJ512" s="332"/>
      <c r="MWK512" s="332"/>
      <c r="MWL512" s="332"/>
      <c r="MWM512" s="332"/>
      <c r="MWN512" s="332"/>
      <c r="MWO512" s="332"/>
      <c r="MWP512" s="332"/>
      <c r="MWQ512" s="332"/>
      <c r="MWR512" s="332"/>
      <c r="MWS512" s="332"/>
      <c r="MWT512" s="332"/>
      <c r="MWU512" s="332"/>
      <c r="MWV512" s="332"/>
      <c r="MWW512" s="332"/>
      <c r="MWX512" s="332"/>
      <c r="MWY512" s="332"/>
      <c r="MWZ512" s="332"/>
      <c r="MXA512" s="332"/>
      <c r="MXB512" s="332"/>
      <c r="MXC512" s="332"/>
      <c r="MXD512" s="332"/>
      <c r="MXE512" s="332"/>
      <c r="MXF512" s="332"/>
      <c r="MXG512" s="332"/>
      <c r="MXH512" s="332"/>
      <c r="MXI512" s="332"/>
      <c r="MXJ512" s="332"/>
      <c r="MXK512" s="332"/>
      <c r="MXL512" s="332"/>
      <c r="MXM512" s="332"/>
      <c r="MXN512" s="332"/>
      <c r="MXO512" s="332"/>
      <c r="MXP512" s="332"/>
      <c r="MXQ512" s="332"/>
      <c r="MXR512" s="332"/>
      <c r="MXS512" s="332"/>
      <c r="MXT512" s="332"/>
      <c r="MXU512" s="332"/>
      <c r="MXV512" s="332"/>
      <c r="MXW512" s="332"/>
      <c r="MXX512" s="332"/>
      <c r="MXY512" s="332"/>
      <c r="MXZ512" s="332"/>
      <c r="MYA512" s="332"/>
      <c r="MYB512" s="332"/>
      <c r="MYC512" s="332"/>
      <c r="MYD512" s="332"/>
      <c r="MYE512" s="332"/>
      <c r="MYF512" s="332"/>
      <c r="MYG512" s="332"/>
      <c r="MYH512" s="332"/>
      <c r="MYI512" s="332"/>
      <c r="MYJ512" s="332"/>
      <c r="MYK512" s="332"/>
      <c r="MYL512" s="332"/>
      <c r="MYM512" s="332"/>
      <c r="MYN512" s="332"/>
      <c r="MYO512" s="332"/>
      <c r="MYP512" s="332"/>
      <c r="MYQ512" s="332"/>
      <c r="MYR512" s="332"/>
      <c r="MYS512" s="332"/>
      <c r="MYT512" s="332"/>
      <c r="MYU512" s="332"/>
      <c r="MYV512" s="332"/>
      <c r="MYW512" s="332"/>
      <c r="MYX512" s="332"/>
      <c r="MYY512" s="332"/>
      <c r="MYZ512" s="332"/>
      <c r="MZA512" s="332"/>
      <c r="MZB512" s="332"/>
      <c r="MZC512" s="332"/>
      <c r="MZD512" s="332"/>
      <c r="MZE512" s="332"/>
      <c r="MZF512" s="332"/>
      <c r="MZG512" s="332"/>
      <c r="MZH512" s="332"/>
      <c r="MZI512" s="332"/>
      <c r="MZJ512" s="332"/>
      <c r="MZK512" s="332"/>
      <c r="MZL512" s="332"/>
      <c r="MZM512" s="332"/>
      <c r="MZN512" s="332"/>
      <c r="MZO512" s="332"/>
      <c r="MZP512" s="332"/>
      <c r="MZQ512" s="332"/>
      <c r="MZR512" s="332"/>
      <c r="MZS512" s="332"/>
      <c r="MZT512" s="332"/>
      <c r="MZU512" s="332"/>
      <c r="MZV512" s="332"/>
      <c r="MZW512" s="332"/>
      <c r="MZX512" s="332"/>
      <c r="MZY512" s="332"/>
      <c r="MZZ512" s="332"/>
      <c r="NAA512" s="332"/>
      <c r="NAB512" s="332"/>
      <c r="NAC512" s="332"/>
      <c r="NAD512" s="332"/>
      <c r="NAE512" s="332"/>
      <c r="NAF512" s="332"/>
      <c r="NAG512" s="332"/>
      <c r="NAH512" s="332"/>
      <c r="NAI512" s="332"/>
      <c r="NAJ512" s="332"/>
      <c r="NAK512" s="332"/>
      <c r="NAL512" s="332"/>
      <c r="NAM512" s="332"/>
      <c r="NAN512" s="332"/>
      <c r="NAO512" s="332"/>
      <c r="NAP512" s="332"/>
      <c r="NAQ512" s="332"/>
      <c r="NAR512" s="332"/>
      <c r="NAS512" s="332"/>
      <c r="NAT512" s="332"/>
      <c r="NAU512" s="332"/>
      <c r="NAV512" s="332"/>
      <c r="NAW512" s="332"/>
      <c r="NAX512" s="332"/>
      <c r="NAY512" s="332"/>
      <c r="NAZ512" s="332"/>
      <c r="NBA512" s="332"/>
      <c r="NBB512" s="332"/>
      <c r="NBC512" s="332"/>
      <c r="NBD512" s="332"/>
      <c r="NBE512" s="332"/>
      <c r="NBF512" s="332"/>
      <c r="NBG512" s="332"/>
      <c r="NBH512" s="332"/>
      <c r="NBI512" s="332"/>
      <c r="NBJ512" s="332"/>
      <c r="NBK512" s="332"/>
      <c r="NBL512" s="332"/>
      <c r="NBM512" s="332"/>
      <c r="NBN512" s="332"/>
      <c r="NBO512" s="332"/>
      <c r="NBP512" s="332"/>
      <c r="NBQ512" s="332"/>
      <c r="NBR512" s="332"/>
      <c r="NBS512" s="332"/>
      <c r="NBT512" s="332"/>
      <c r="NBU512" s="332"/>
      <c r="NBV512" s="332"/>
      <c r="NBW512" s="332"/>
      <c r="NBX512" s="332"/>
      <c r="NBY512" s="332"/>
      <c r="NBZ512" s="332"/>
      <c r="NCA512" s="332"/>
      <c r="NCB512" s="332"/>
      <c r="NCC512" s="332"/>
      <c r="NCD512" s="332"/>
      <c r="NCE512" s="332"/>
      <c r="NCF512" s="332"/>
      <c r="NCG512" s="332"/>
      <c r="NCH512" s="332"/>
      <c r="NCI512" s="332"/>
      <c r="NCJ512" s="332"/>
      <c r="NCK512" s="332"/>
      <c r="NCL512" s="332"/>
      <c r="NCM512" s="332"/>
      <c r="NCN512" s="332"/>
      <c r="NCO512" s="332"/>
      <c r="NCP512" s="332"/>
      <c r="NCQ512" s="332"/>
      <c r="NCR512" s="332"/>
      <c r="NCS512" s="332"/>
      <c r="NCT512" s="332"/>
      <c r="NCU512" s="332"/>
      <c r="NCV512" s="332"/>
      <c r="NCW512" s="332"/>
      <c r="NCX512" s="332"/>
      <c r="NCY512" s="332"/>
      <c r="NCZ512" s="332"/>
      <c r="NDA512" s="332"/>
      <c r="NDB512" s="332"/>
      <c r="NDC512" s="332"/>
      <c r="NDD512" s="332"/>
      <c r="NDE512" s="332"/>
      <c r="NDF512" s="332"/>
      <c r="NDG512" s="332"/>
      <c r="NDH512" s="332"/>
      <c r="NDI512" s="332"/>
      <c r="NDJ512" s="332"/>
      <c r="NDK512" s="332"/>
      <c r="NDL512" s="332"/>
      <c r="NDM512" s="332"/>
      <c r="NDN512" s="332"/>
      <c r="NDO512" s="332"/>
      <c r="NDP512" s="332"/>
      <c r="NDQ512" s="332"/>
      <c r="NDR512" s="332"/>
      <c r="NDS512" s="332"/>
      <c r="NDT512" s="332"/>
      <c r="NDU512" s="332"/>
      <c r="NDV512" s="332"/>
      <c r="NDW512" s="332"/>
      <c r="NDX512" s="332"/>
      <c r="NDY512" s="332"/>
      <c r="NDZ512" s="332"/>
      <c r="NEA512" s="332"/>
      <c r="NEB512" s="332"/>
      <c r="NEC512" s="332"/>
      <c r="NED512" s="332"/>
      <c r="NEE512" s="332"/>
      <c r="NEF512" s="332"/>
      <c r="NEG512" s="332"/>
      <c r="NEH512" s="332"/>
      <c r="NEI512" s="332"/>
      <c r="NEJ512" s="332"/>
      <c r="NEK512" s="332"/>
      <c r="NEL512" s="332"/>
      <c r="NEM512" s="332"/>
      <c r="NEN512" s="332"/>
      <c r="NEO512" s="332"/>
      <c r="NEP512" s="332"/>
      <c r="NEQ512" s="332"/>
      <c r="NER512" s="332"/>
      <c r="NES512" s="332"/>
      <c r="NET512" s="332"/>
      <c r="NEU512" s="332"/>
      <c r="NEV512" s="332"/>
      <c r="NEW512" s="332"/>
      <c r="NEX512" s="332"/>
      <c r="NEY512" s="332"/>
      <c r="NEZ512" s="332"/>
      <c r="NFA512" s="332"/>
      <c r="NFB512" s="332"/>
      <c r="NFC512" s="332"/>
      <c r="NFD512" s="332"/>
      <c r="NFE512" s="332"/>
      <c r="NFF512" s="332"/>
      <c r="NFG512" s="332"/>
      <c r="NFH512" s="332"/>
      <c r="NFI512" s="332"/>
      <c r="NFJ512" s="332"/>
      <c r="NFK512" s="332"/>
      <c r="NFL512" s="332"/>
      <c r="NFM512" s="332"/>
      <c r="NFN512" s="332"/>
      <c r="NFO512" s="332"/>
      <c r="NFP512" s="332"/>
      <c r="NFQ512" s="332"/>
      <c r="NFR512" s="332"/>
      <c r="NFS512" s="332"/>
      <c r="NFT512" s="332"/>
      <c r="NFU512" s="332"/>
      <c r="NFV512" s="332"/>
      <c r="NFW512" s="332"/>
      <c r="NFX512" s="332"/>
      <c r="NFY512" s="332"/>
      <c r="NFZ512" s="332"/>
      <c r="NGA512" s="332"/>
      <c r="NGB512" s="332"/>
      <c r="NGC512" s="332"/>
      <c r="NGD512" s="332"/>
      <c r="NGE512" s="332"/>
      <c r="NGF512" s="332"/>
      <c r="NGG512" s="332"/>
      <c r="NGH512" s="332"/>
      <c r="NGI512" s="332"/>
      <c r="NGJ512" s="332"/>
      <c r="NGK512" s="332"/>
      <c r="NGL512" s="332"/>
      <c r="NGM512" s="332"/>
      <c r="NGN512" s="332"/>
      <c r="NGO512" s="332"/>
      <c r="NGP512" s="332"/>
      <c r="NGQ512" s="332"/>
      <c r="NGR512" s="332"/>
      <c r="NGS512" s="332"/>
      <c r="NGT512" s="332"/>
      <c r="NGU512" s="332"/>
      <c r="NGV512" s="332"/>
      <c r="NGW512" s="332"/>
      <c r="NGX512" s="332"/>
      <c r="NGY512" s="332"/>
      <c r="NGZ512" s="332"/>
      <c r="NHA512" s="332"/>
      <c r="NHB512" s="332"/>
      <c r="NHC512" s="332"/>
      <c r="NHD512" s="332"/>
      <c r="NHE512" s="332"/>
      <c r="NHF512" s="332"/>
      <c r="NHG512" s="332"/>
      <c r="NHH512" s="332"/>
      <c r="NHI512" s="332"/>
      <c r="NHJ512" s="332"/>
      <c r="NHK512" s="332"/>
      <c r="NHL512" s="332"/>
      <c r="NHM512" s="332"/>
      <c r="NHN512" s="332"/>
      <c r="NHO512" s="332"/>
      <c r="NHP512" s="332"/>
      <c r="NHQ512" s="332"/>
      <c r="NHR512" s="332"/>
      <c r="NHS512" s="332"/>
      <c r="NHT512" s="332"/>
      <c r="NHU512" s="332"/>
      <c r="NHV512" s="332"/>
      <c r="NHW512" s="332"/>
      <c r="NHX512" s="332"/>
      <c r="NHY512" s="332"/>
      <c r="NHZ512" s="332"/>
      <c r="NIA512" s="332"/>
      <c r="NIB512" s="332"/>
      <c r="NIC512" s="332"/>
      <c r="NID512" s="332"/>
      <c r="NIE512" s="332"/>
      <c r="NIF512" s="332"/>
      <c r="NIG512" s="332"/>
      <c r="NIH512" s="332"/>
      <c r="NII512" s="332"/>
      <c r="NIJ512" s="332"/>
      <c r="NIK512" s="332"/>
      <c r="NIL512" s="332"/>
      <c r="NIM512" s="332"/>
      <c r="NIN512" s="332"/>
      <c r="NIO512" s="332"/>
      <c r="NIP512" s="332"/>
      <c r="NIQ512" s="332"/>
      <c r="NIR512" s="332"/>
      <c r="NIS512" s="332"/>
      <c r="NIT512" s="332"/>
      <c r="NIU512" s="332"/>
      <c r="NIV512" s="332"/>
      <c r="NIW512" s="332"/>
      <c r="NIX512" s="332"/>
      <c r="NIY512" s="332"/>
      <c r="NIZ512" s="332"/>
      <c r="NJA512" s="332"/>
      <c r="NJB512" s="332"/>
      <c r="NJC512" s="332"/>
      <c r="NJD512" s="332"/>
      <c r="NJE512" s="332"/>
      <c r="NJF512" s="332"/>
      <c r="NJG512" s="332"/>
      <c r="NJH512" s="332"/>
      <c r="NJI512" s="332"/>
      <c r="NJJ512" s="332"/>
      <c r="NJK512" s="332"/>
      <c r="NJL512" s="332"/>
      <c r="NJM512" s="332"/>
      <c r="NJN512" s="332"/>
      <c r="NJO512" s="332"/>
      <c r="NJP512" s="332"/>
      <c r="NJQ512" s="332"/>
      <c r="NJR512" s="332"/>
      <c r="NJS512" s="332"/>
      <c r="NJT512" s="332"/>
      <c r="NJU512" s="332"/>
      <c r="NJV512" s="332"/>
      <c r="NJW512" s="332"/>
      <c r="NJX512" s="332"/>
      <c r="NJY512" s="332"/>
      <c r="NJZ512" s="332"/>
      <c r="NKA512" s="332"/>
      <c r="NKB512" s="332"/>
      <c r="NKC512" s="332"/>
      <c r="NKD512" s="332"/>
      <c r="NKE512" s="332"/>
      <c r="NKF512" s="332"/>
      <c r="NKG512" s="332"/>
      <c r="NKH512" s="332"/>
      <c r="NKI512" s="332"/>
      <c r="NKJ512" s="332"/>
      <c r="NKK512" s="332"/>
      <c r="NKL512" s="332"/>
      <c r="NKM512" s="332"/>
      <c r="NKN512" s="332"/>
      <c r="NKO512" s="332"/>
      <c r="NKP512" s="332"/>
      <c r="NKQ512" s="332"/>
      <c r="NKR512" s="332"/>
      <c r="NKS512" s="332"/>
      <c r="NKT512" s="332"/>
      <c r="NKU512" s="332"/>
      <c r="NKV512" s="332"/>
      <c r="NKW512" s="332"/>
      <c r="NKX512" s="332"/>
      <c r="NKY512" s="332"/>
      <c r="NKZ512" s="332"/>
      <c r="NLA512" s="332"/>
      <c r="NLB512" s="332"/>
      <c r="NLC512" s="332"/>
      <c r="NLD512" s="332"/>
      <c r="NLE512" s="332"/>
      <c r="NLF512" s="332"/>
      <c r="NLG512" s="332"/>
      <c r="NLH512" s="332"/>
      <c r="NLI512" s="332"/>
      <c r="NLJ512" s="332"/>
      <c r="NLK512" s="332"/>
      <c r="NLL512" s="332"/>
      <c r="NLM512" s="332"/>
      <c r="NLN512" s="332"/>
      <c r="NLO512" s="332"/>
      <c r="NLP512" s="332"/>
      <c r="NLQ512" s="332"/>
      <c r="NLR512" s="332"/>
      <c r="NLS512" s="332"/>
      <c r="NLT512" s="332"/>
      <c r="NLU512" s="332"/>
      <c r="NLV512" s="332"/>
      <c r="NLW512" s="332"/>
      <c r="NLX512" s="332"/>
      <c r="NLY512" s="332"/>
      <c r="NLZ512" s="332"/>
      <c r="NMA512" s="332"/>
      <c r="NMB512" s="332"/>
      <c r="NMC512" s="332"/>
      <c r="NMD512" s="332"/>
      <c r="NME512" s="332"/>
      <c r="NMF512" s="332"/>
      <c r="NMG512" s="332"/>
      <c r="NMH512" s="332"/>
      <c r="NMI512" s="332"/>
      <c r="NMJ512" s="332"/>
      <c r="NMK512" s="332"/>
      <c r="NML512" s="332"/>
      <c r="NMM512" s="332"/>
      <c r="NMN512" s="332"/>
      <c r="NMO512" s="332"/>
      <c r="NMP512" s="332"/>
      <c r="NMQ512" s="332"/>
      <c r="NMR512" s="332"/>
      <c r="NMS512" s="332"/>
      <c r="NMT512" s="332"/>
      <c r="NMU512" s="332"/>
      <c r="NMV512" s="332"/>
      <c r="NMW512" s="332"/>
      <c r="NMX512" s="332"/>
      <c r="NMY512" s="332"/>
      <c r="NMZ512" s="332"/>
      <c r="NNA512" s="332"/>
      <c r="NNB512" s="332"/>
      <c r="NNC512" s="332"/>
      <c r="NND512" s="332"/>
      <c r="NNE512" s="332"/>
      <c r="NNF512" s="332"/>
      <c r="NNG512" s="332"/>
      <c r="NNH512" s="332"/>
      <c r="NNI512" s="332"/>
      <c r="NNJ512" s="332"/>
      <c r="NNK512" s="332"/>
      <c r="NNL512" s="332"/>
      <c r="NNM512" s="332"/>
      <c r="NNN512" s="332"/>
      <c r="NNO512" s="332"/>
      <c r="NNP512" s="332"/>
      <c r="NNQ512" s="332"/>
      <c r="NNR512" s="332"/>
      <c r="NNS512" s="332"/>
      <c r="NNT512" s="332"/>
      <c r="NNU512" s="332"/>
      <c r="NNV512" s="332"/>
      <c r="NNW512" s="332"/>
      <c r="NNX512" s="332"/>
      <c r="NNY512" s="332"/>
      <c r="NNZ512" s="332"/>
      <c r="NOA512" s="332"/>
      <c r="NOB512" s="332"/>
      <c r="NOC512" s="332"/>
      <c r="NOD512" s="332"/>
      <c r="NOE512" s="332"/>
      <c r="NOF512" s="332"/>
      <c r="NOG512" s="332"/>
      <c r="NOH512" s="332"/>
      <c r="NOI512" s="332"/>
      <c r="NOJ512" s="332"/>
      <c r="NOK512" s="332"/>
      <c r="NOL512" s="332"/>
      <c r="NOM512" s="332"/>
      <c r="NON512" s="332"/>
      <c r="NOO512" s="332"/>
      <c r="NOP512" s="332"/>
      <c r="NOQ512" s="332"/>
      <c r="NOR512" s="332"/>
      <c r="NOS512" s="332"/>
      <c r="NOT512" s="332"/>
      <c r="NOU512" s="332"/>
      <c r="NOV512" s="332"/>
      <c r="NOW512" s="332"/>
      <c r="NOX512" s="332"/>
      <c r="NOY512" s="332"/>
      <c r="NOZ512" s="332"/>
      <c r="NPA512" s="332"/>
      <c r="NPB512" s="332"/>
      <c r="NPC512" s="332"/>
      <c r="NPD512" s="332"/>
      <c r="NPE512" s="332"/>
      <c r="NPF512" s="332"/>
      <c r="NPG512" s="332"/>
      <c r="NPH512" s="332"/>
      <c r="NPI512" s="332"/>
      <c r="NPJ512" s="332"/>
      <c r="NPK512" s="332"/>
      <c r="NPL512" s="332"/>
      <c r="NPM512" s="332"/>
      <c r="NPN512" s="332"/>
      <c r="NPO512" s="332"/>
      <c r="NPP512" s="332"/>
      <c r="NPQ512" s="332"/>
      <c r="NPR512" s="332"/>
      <c r="NPS512" s="332"/>
      <c r="NPT512" s="332"/>
      <c r="NPU512" s="332"/>
      <c r="NPV512" s="332"/>
      <c r="NPW512" s="332"/>
      <c r="NPX512" s="332"/>
      <c r="NPY512" s="332"/>
      <c r="NPZ512" s="332"/>
      <c r="NQA512" s="332"/>
      <c r="NQB512" s="332"/>
      <c r="NQC512" s="332"/>
      <c r="NQD512" s="332"/>
      <c r="NQE512" s="332"/>
      <c r="NQF512" s="332"/>
      <c r="NQG512" s="332"/>
      <c r="NQH512" s="332"/>
      <c r="NQI512" s="332"/>
      <c r="NQJ512" s="332"/>
      <c r="NQK512" s="332"/>
      <c r="NQL512" s="332"/>
      <c r="NQM512" s="332"/>
      <c r="NQN512" s="332"/>
      <c r="NQO512" s="332"/>
      <c r="NQP512" s="332"/>
      <c r="NQQ512" s="332"/>
      <c r="NQR512" s="332"/>
      <c r="NQS512" s="332"/>
      <c r="NQT512" s="332"/>
      <c r="NQU512" s="332"/>
      <c r="NQV512" s="332"/>
      <c r="NQW512" s="332"/>
      <c r="NQX512" s="332"/>
      <c r="NQY512" s="332"/>
      <c r="NQZ512" s="332"/>
      <c r="NRA512" s="332"/>
      <c r="NRB512" s="332"/>
      <c r="NRC512" s="332"/>
      <c r="NRD512" s="332"/>
      <c r="NRE512" s="332"/>
      <c r="NRF512" s="332"/>
      <c r="NRG512" s="332"/>
      <c r="NRH512" s="332"/>
      <c r="NRI512" s="332"/>
      <c r="NRJ512" s="332"/>
      <c r="NRK512" s="332"/>
      <c r="NRL512" s="332"/>
      <c r="NRM512" s="332"/>
      <c r="NRN512" s="332"/>
      <c r="NRO512" s="332"/>
      <c r="NRP512" s="332"/>
      <c r="NRQ512" s="332"/>
      <c r="NRR512" s="332"/>
      <c r="NRS512" s="332"/>
      <c r="NRT512" s="332"/>
      <c r="NRU512" s="332"/>
      <c r="NRV512" s="332"/>
      <c r="NRW512" s="332"/>
      <c r="NRX512" s="332"/>
      <c r="NRY512" s="332"/>
      <c r="NRZ512" s="332"/>
      <c r="NSA512" s="332"/>
      <c r="NSB512" s="332"/>
      <c r="NSC512" s="332"/>
      <c r="NSD512" s="332"/>
      <c r="NSE512" s="332"/>
      <c r="NSF512" s="332"/>
      <c r="NSG512" s="332"/>
      <c r="NSH512" s="332"/>
      <c r="NSI512" s="332"/>
      <c r="NSJ512" s="332"/>
      <c r="NSK512" s="332"/>
      <c r="NSL512" s="332"/>
      <c r="NSM512" s="332"/>
      <c r="NSN512" s="332"/>
      <c r="NSO512" s="332"/>
      <c r="NSP512" s="332"/>
      <c r="NSQ512" s="332"/>
      <c r="NSR512" s="332"/>
      <c r="NSS512" s="332"/>
      <c r="NST512" s="332"/>
      <c r="NSU512" s="332"/>
      <c r="NSV512" s="332"/>
      <c r="NSW512" s="332"/>
      <c r="NSX512" s="332"/>
      <c r="NSY512" s="332"/>
      <c r="NSZ512" s="332"/>
      <c r="NTA512" s="332"/>
      <c r="NTB512" s="332"/>
      <c r="NTC512" s="332"/>
      <c r="NTD512" s="332"/>
      <c r="NTE512" s="332"/>
      <c r="NTF512" s="332"/>
      <c r="NTG512" s="332"/>
      <c r="NTH512" s="332"/>
      <c r="NTI512" s="332"/>
      <c r="NTJ512" s="332"/>
      <c r="NTK512" s="332"/>
      <c r="NTL512" s="332"/>
      <c r="NTM512" s="332"/>
      <c r="NTN512" s="332"/>
      <c r="NTO512" s="332"/>
      <c r="NTP512" s="332"/>
      <c r="NTQ512" s="332"/>
      <c r="NTR512" s="332"/>
      <c r="NTS512" s="332"/>
      <c r="NTT512" s="332"/>
      <c r="NTU512" s="332"/>
      <c r="NTV512" s="332"/>
      <c r="NTW512" s="332"/>
      <c r="NTX512" s="332"/>
      <c r="NTY512" s="332"/>
      <c r="NTZ512" s="332"/>
      <c r="NUA512" s="332"/>
      <c r="NUB512" s="332"/>
      <c r="NUC512" s="332"/>
      <c r="NUD512" s="332"/>
      <c r="NUE512" s="332"/>
      <c r="NUF512" s="332"/>
      <c r="NUG512" s="332"/>
      <c r="NUH512" s="332"/>
      <c r="NUI512" s="332"/>
      <c r="NUJ512" s="332"/>
      <c r="NUK512" s="332"/>
      <c r="NUL512" s="332"/>
      <c r="NUM512" s="332"/>
      <c r="NUN512" s="332"/>
      <c r="NUO512" s="332"/>
      <c r="NUP512" s="332"/>
      <c r="NUQ512" s="332"/>
      <c r="NUR512" s="332"/>
      <c r="NUS512" s="332"/>
      <c r="NUT512" s="332"/>
      <c r="NUU512" s="332"/>
      <c r="NUV512" s="332"/>
      <c r="NUW512" s="332"/>
      <c r="NUX512" s="332"/>
      <c r="NUY512" s="332"/>
      <c r="NUZ512" s="332"/>
      <c r="NVA512" s="332"/>
      <c r="NVB512" s="332"/>
      <c r="NVC512" s="332"/>
      <c r="NVD512" s="332"/>
      <c r="NVE512" s="332"/>
      <c r="NVF512" s="332"/>
      <c r="NVG512" s="332"/>
      <c r="NVH512" s="332"/>
      <c r="NVI512" s="332"/>
      <c r="NVJ512" s="332"/>
      <c r="NVK512" s="332"/>
      <c r="NVL512" s="332"/>
      <c r="NVM512" s="332"/>
      <c r="NVN512" s="332"/>
      <c r="NVO512" s="332"/>
      <c r="NVP512" s="332"/>
      <c r="NVQ512" s="332"/>
      <c r="NVR512" s="332"/>
      <c r="NVS512" s="332"/>
      <c r="NVT512" s="332"/>
      <c r="NVU512" s="332"/>
      <c r="NVV512" s="332"/>
      <c r="NVW512" s="332"/>
      <c r="NVX512" s="332"/>
      <c r="NVY512" s="332"/>
      <c r="NVZ512" s="332"/>
      <c r="NWA512" s="332"/>
      <c r="NWB512" s="332"/>
      <c r="NWC512" s="332"/>
      <c r="NWD512" s="332"/>
      <c r="NWE512" s="332"/>
      <c r="NWF512" s="332"/>
      <c r="NWG512" s="332"/>
      <c r="NWH512" s="332"/>
      <c r="NWI512" s="332"/>
      <c r="NWJ512" s="332"/>
      <c r="NWK512" s="332"/>
      <c r="NWL512" s="332"/>
      <c r="NWM512" s="332"/>
      <c r="NWN512" s="332"/>
      <c r="NWO512" s="332"/>
      <c r="NWP512" s="332"/>
      <c r="NWQ512" s="332"/>
      <c r="NWR512" s="332"/>
      <c r="NWS512" s="332"/>
      <c r="NWT512" s="332"/>
      <c r="NWU512" s="332"/>
      <c r="NWV512" s="332"/>
      <c r="NWW512" s="332"/>
      <c r="NWX512" s="332"/>
      <c r="NWY512" s="332"/>
      <c r="NWZ512" s="332"/>
      <c r="NXA512" s="332"/>
      <c r="NXB512" s="332"/>
      <c r="NXC512" s="332"/>
      <c r="NXD512" s="332"/>
      <c r="NXE512" s="332"/>
      <c r="NXF512" s="332"/>
      <c r="NXG512" s="332"/>
      <c r="NXH512" s="332"/>
      <c r="NXI512" s="332"/>
      <c r="NXJ512" s="332"/>
      <c r="NXK512" s="332"/>
      <c r="NXL512" s="332"/>
      <c r="NXM512" s="332"/>
      <c r="NXN512" s="332"/>
      <c r="NXO512" s="332"/>
      <c r="NXP512" s="332"/>
      <c r="NXQ512" s="332"/>
      <c r="NXR512" s="332"/>
      <c r="NXS512" s="332"/>
      <c r="NXT512" s="332"/>
      <c r="NXU512" s="332"/>
      <c r="NXV512" s="332"/>
      <c r="NXW512" s="332"/>
      <c r="NXX512" s="332"/>
      <c r="NXY512" s="332"/>
      <c r="NXZ512" s="332"/>
      <c r="NYA512" s="332"/>
      <c r="NYB512" s="332"/>
      <c r="NYC512" s="332"/>
      <c r="NYD512" s="332"/>
      <c r="NYE512" s="332"/>
      <c r="NYF512" s="332"/>
      <c r="NYG512" s="332"/>
      <c r="NYH512" s="332"/>
      <c r="NYI512" s="332"/>
      <c r="NYJ512" s="332"/>
      <c r="NYK512" s="332"/>
      <c r="NYL512" s="332"/>
      <c r="NYM512" s="332"/>
      <c r="NYN512" s="332"/>
      <c r="NYO512" s="332"/>
      <c r="NYP512" s="332"/>
      <c r="NYQ512" s="332"/>
      <c r="NYR512" s="332"/>
      <c r="NYS512" s="332"/>
      <c r="NYT512" s="332"/>
      <c r="NYU512" s="332"/>
      <c r="NYV512" s="332"/>
      <c r="NYW512" s="332"/>
      <c r="NYX512" s="332"/>
      <c r="NYY512" s="332"/>
      <c r="NYZ512" s="332"/>
      <c r="NZA512" s="332"/>
      <c r="NZB512" s="332"/>
      <c r="NZC512" s="332"/>
      <c r="NZD512" s="332"/>
      <c r="NZE512" s="332"/>
      <c r="NZF512" s="332"/>
      <c r="NZG512" s="332"/>
      <c r="NZH512" s="332"/>
      <c r="NZI512" s="332"/>
      <c r="NZJ512" s="332"/>
      <c r="NZK512" s="332"/>
      <c r="NZL512" s="332"/>
      <c r="NZM512" s="332"/>
      <c r="NZN512" s="332"/>
      <c r="NZO512" s="332"/>
      <c r="NZP512" s="332"/>
      <c r="NZQ512" s="332"/>
      <c r="NZR512" s="332"/>
      <c r="NZS512" s="332"/>
      <c r="NZT512" s="332"/>
      <c r="NZU512" s="332"/>
      <c r="NZV512" s="332"/>
      <c r="NZW512" s="332"/>
      <c r="NZX512" s="332"/>
      <c r="NZY512" s="332"/>
      <c r="NZZ512" s="332"/>
      <c r="OAA512" s="332"/>
      <c r="OAB512" s="332"/>
      <c r="OAC512" s="332"/>
      <c r="OAD512" s="332"/>
      <c r="OAE512" s="332"/>
      <c r="OAF512" s="332"/>
      <c r="OAG512" s="332"/>
      <c r="OAH512" s="332"/>
      <c r="OAI512" s="332"/>
      <c r="OAJ512" s="332"/>
      <c r="OAK512" s="332"/>
      <c r="OAL512" s="332"/>
      <c r="OAM512" s="332"/>
      <c r="OAN512" s="332"/>
      <c r="OAO512" s="332"/>
      <c r="OAP512" s="332"/>
      <c r="OAQ512" s="332"/>
      <c r="OAR512" s="332"/>
      <c r="OAS512" s="332"/>
      <c r="OAT512" s="332"/>
      <c r="OAU512" s="332"/>
      <c r="OAV512" s="332"/>
      <c r="OAW512" s="332"/>
      <c r="OAX512" s="332"/>
      <c r="OAY512" s="332"/>
      <c r="OAZ512" s="332"/>
      <c r="OBA512" s="332"/>
      <c r="OBB512" s="332"/>
      <c r="OBC512" s="332"/>
      <c r="OBD512" s="332"/>
      <c r="OBE512" s="332"/>
      <c r="OBF512" s="332"/>
      <c r="OBG512" s="332"/>
      <c r="OBH512" s="332"/>
      <c r="OBI512" s="332"/>
      <c r="OBJ512" s="332"/>
      <c r="OBK512" s="332"/>
      <c r="OBL512" s="332"/>
      <c r="OBM512" s="332"/>
      <c r="OBN512" s="332"/>
      <c r="OBO512" s="332"/>
      <c r="OBP512" s="332"/>
      <c r="OBQ512" s="332"/>
      <c r="OBR512" s="332"/>
      <c r="OBS512" s="332"/>
      <c r="OBT512" s="332"/>
      <c r="OBU512" s="332"/>
      <c r="OBV512" s="332"/>
      <c r="OBW512" s="332"/>
      <c r="OBX512" s="332"/>
      <c r="OBY512" s="332"/>
      <c r="OBZ512" s="332"/>
      <c r="OCA512" s="332"/>
      <c r="OCB512" s="332"/>
      <c r="OCC512" s="332"/>
      <c r="OCD512" s="332"/>
      <c r="OCE512" s="332"/>
      <c r="OCF512" s="332"/>
      <c r="OCG512" s="332"/>
      <c r="OCH512" s="332"/>
      <c r="OCI512" s="332"/>
      <c r="OCJ512" s="332"/>
      <c r="OCK512" s="332"/>
      <c r="OCL512" s="332"/>
      <c r="OCM512" s="332"/>
      <c r="OCN512" s="332"/>
      <c r="OCO512" s="332"/>
      <c r="OCP512" s="332"/>
      <c r="OCQ512" s="332"/>
      <c r="OCR512" s="332"/>
      <c r="OCS512" s="332"/>
      <c r="OCT512" s="332"/>
      <c r="OCU512" s="332"/>
      <c r="OCV512" s="332"/>
      <c r="OCW512" s="332"/>
      <c r="OCX512" s="332"/>
      <c r="OCY512" s="332"/>
      <c r="OCZ512" s="332"/>
      <c r="ODA512" s="332"/>
      <c r="ODB512" s="332"/>
      <c r="ODC512" s="332"/>
      <c r="ODD512" s="332"/>
      <c r="ODE512" s="332"/>
      <c r="ODF512" s="332"/>
      <c r="ODG512" s="332"/>
      <c r="ODH512" s="332"/>
      <c r="ODI512" s="332"/>
      <c r="ODJ512" s="332"/>
      <c r="ODK512" s="332"/>
      <c r="ODL512" s="332"/>
      <c r="ODM512" s="332"/>
      <c r="ODN512" s="332"/>
      <c r="ODO512" s="332"/>
      <c r="ODP512" s="332"/>
      <c r="ODQ512" s="332"/>
      <c r="ODR512" s="332"/>
      <c r="ODS512" s="332"/>
      <c r="ODT512" s="332"/>
      <c r="ODU512" s="332"/>
      <c r="ODV512" s="332"/>
      <c r="ODW512" s="332"/>
      <c r="ODX512" s="332"/>
      <c r="ODY512" s="332"/>
      <c r="ODZ512" s="332"/>
      <c r="OEA512" s="332"/>
      <c r="OEB512" s="332"/>
      <c r="OEC512" s="332"/>
      <c r="OED512" s="332"/>
      <c r="OEE512" s="332"/>
      <c r="OEF512" s="332"/>
      <c r="OEG512" s="332"/>
      <c r="OEH512" s="332"/>
      <c r="OEI512" s="332"/>
      <c r="OEJ512" s="332"/>
      <c r="OEK512" s="332"/>
      <c r="OEL512" s="332"/>
      <c r="OEM512" s="332"/>
      <c r="OEN512" s="332"/>
      <c r="OEO512" s="332"/>
      <c r="OEP512" s="332"/>
      <c r="OEQ512" s="332"/>
      <c r="OER512" s="332"/>
      <c r="OES512" s="332"/>
      <c r="OET512" s="332"/>
      <c r="OEU512" s="332"/>
      <c r="OEV512" s="332"/>
      <c r="OEW512" s="332"/>
      <c r="OEX512" s="332"/>
      <c r="OEY512" s="332"/>
      <c r="OEZ512" s="332"/>
      <c r="OFA512" s="332"/>
      <c r="OFB512" s="332"/>
      <c r="OFC512" s="332"/>
      <c r="OFD512" s="332"/>
      <c r="OFE512" s="332"/>
      <c r="OFF512" s="332"/>
      <c r="OFG512" s="332"/>
      <c r="OFH512" s="332"/>
      <c r="OFI512" s="332"/>
      <c r="OFJ512" s="332"/>
      <c r="OFK512" s="332"/>
      <c r="OFL512" s="332"/>
      <c r="OFM512" s="332"/>
      <c r="OFN512" s="332"/>
      <c r="OFO512" s="332"/>
      <c r="OFP512" s="332"/>
      <c r="OFQ512" s="332"/>
      <c r="OFR512" s="332"/>
      <c r="OFS512" s="332"/>
      <c r="OFT512" s="332"/>
      <c r="OFU512" s="332"/>
      <c r="OFV512" s="332"/>
      <c r="OFW512" s="332"/>
      <c r="OFX512" s="332"/>
      <c r="OFY512" s="332"/>
      <c r="OFZ512" s="332"/>
      <c r="OGA512" s="332"/>
      <c r="OGB512" s="332"/>
      <c r="OGC512" s="332"/>
      <c r="OGD512" s="332"/>
      <c r="OGE512" s="332"/>
      <c r="OGF512" s="332"/>
      <c r="OGG512" s="332"/>
      <c r="OGH512" s="332"/>
      <c r="OGI512" s="332"/>
      <c r="OGJ512" s="332"/>
      <c r="OGK512" s="332"/>
      <c r="OGL512" s="332"/>
      <c r="OGM512" s="332"/>
      <c r="OGN512" s="332"/>
      <c r="OGO512" s="332"/>
      <c r="OGP512" s="332"/>
      <c r="OGQ512" s="332"/>
      <c r="OGR512" s="332"/>
      <c r="OGS512" s="332"/>
      <c r="OGT512" s="332"/>
      <c r="OGU512" s="332"/>
      <c r="OGV512" s="332"/>
      <c r="OGW512" s="332"/>
      <c r="OGX512" s="332"/>
      <c r="OGY512" s="332"/>
      <c r="OGZ512" s="332"/>
      <c r="OHA512" s="332"/>
      <c r="OHB512" s="332"/>
      <c r="OHC512" s="332"/>
      <c r="OHD512" s="332"/>
      <c r="OHE512" s="332"/>
      <c r="OHF512" s="332"/>
      <c r="OHG512" s="332"/>
      <c r="OHH512" s="332"/>
      <c r="OHI512" s="332"/>
      <c r="OHJ512" s="332"/>
      <c r="OHK512" s="332"/>
      <c r="OHL512" s="332"/>
      <c r="OHM512" s="332"/>
      <c r="OHN512" s="332"/>
      <c r="OHO512" s="332"/>
      <c r="OHP512" s="332"/>
      <c r="OHQ512" s="332"/>
      <c r="OHR512" s="332"/>
      <c r="OHS512" s="332"/>
      <c r="OHT512" s="332"/>
      <c r="OHU512" s="332"/>
      <c r="OHV512" s="332"/>
      <c r="OHW512" s="332"/>
      <c r="OHX512" s="332"/>
      <c r="OHY512" s="332"/>
      <c r="OHZ512" s="332"/>
      <c r="OIA512" s="332"/>
      <c r="OIB512" s="332"/>
      <c r="OIC512" s="332"/>
      <c r="OID512" s="332"/>
      <c r="OIE512" s="332"/>
      <c r="OIF512" s="332"/>
      <c r="OIG512" s="332"/>
      <c r="OIH512" s="332"/>
      <c r="OII512" s="332"/>
      <c r="OIJ512" s="332"/>
      <c r="OIK512" s="332"/>
      <c r="OIL512" s="332"/>
      <c r="OIM512" s="332"/>
      <c r="OIN512" s="332"/>
      <c r="OIO512" s="332"/>
      <c r="OIP512" s="332"/>
      <c r="OIQ512" s="332"/>
      <c r="OIR512" s="332"/>
      <c r="OIS512" s="332"/>
      <c r="OIT512" s="332"/>
      <c r="OIU512" s="332"/>
      <c r="OIV512" s="332"/>
      <c r="OIW512" s="332"/>
      <c r="OIX512" s="332"/>
      <c r="OIY512" s="332"/>
      <c r="OIZ512" s="332"/>
      <c r="OJA512" s="332"/>
      <c r="OJB512" s="332"/>
      <c r="OJC512" s="332"/>
      <c r="OJD512" s="332"/>
      <c r="OJE512" s="332"/>
      <c r="OJF512" s="332"/>
      <c r="OJG512" s="332"/>
      <c r="OJH512" s="332"/>
      <c r="OJI512" s="332"/>
      <c r="OJJ512" s="332"/>
      <c r="OJK512" s="332"/>
      <c r="OJL512" s="332"/>
      <c r="OJM512" s="332"/>
      <c r="OJN512" s="332"/>
      <c r="OJO512" s="332"/>
      <c r="OJP512" s="332"/>
      <c r="OJQ512" s="332"/>
      <c r="OJR512" s="332"/>
      <c r="OJS512" s="332"/>
      <c r="OJT512" s="332"/>
      <c r="OJU512" s="332"/>
      <c r="OJV512" s="332"/>
      <c r="OJW512" s="332"/>
      <c r="OJX512" s="332"/>
      <c r="OJY512" s="332"/>
      <c r="OJZ512" s="332"/>
      <c r="OKA512" s="332"/>
      <c r="OKB512" s="332"/>
      <c r="OKC512" s="332"/>
      <c r="OKD512" s="332"/>
      <c r="OKE512" s="332"/>
      <c r="OKF512" s="332"/>
      <c r="OKG512" s="332"/>
      <c r="OKH512" s="332"/>
      <c r="OKI512" s="332"/>
      <c r="OKJ512" s="332"/>
      <c r="OKK512" s="332"/>
      <c r="OKL512" s="332"/>
      <c r="OKM512" s="332"/>
      <c r="OKN512" s="332"/>
      <c r="OKO512" s="332"/>
      <c r="OKP512" s="332"/>
      <c r="OKQ512" s="332"/>
      <c r="OKR512" s="332"/>
      <c r="OKS512" s="332"/>
      <c r="OKT512" s="332"/>
      <c r="OKU512" s="332"/>
      <c r="OKV512" s="332"/>
      <c r="OKW512" s="332"/>
      <c r="OKX512" s="332"/>
      <c r="OKY512" s="332"/>
      <c r="OKZ512" s="332"/>
      <c r="OLA512" s="332"/>
      <c r="OLB512" s="332"/>
      <c r="OLC512" s="332"/>
      <c r="OLD512" s="332"/>
      <c r="OLE512" s="332"/>
      <c r="OLF512" s="332"/>
      <c r="OLG512" s="332"/>
      <c r="OLH512" s="332"/>
      <c r="OLI512" s="332"/>
      <c r="OLJ512" s="332"/>
      <c r="OLK512" s="332"/>
      <c r="OLL512" s="332"/>
      <c r="OLM512" s="332"/>
      <c r="OLN512" s="332"/>
      <c r="OLO512" s="332"/>
      <c r="OLP512" s="332"/>
      <c r="OLQ512" s="332"/>
      <c r="OLR512" s="332"/>
      <c r="OLS512" s="332"/>
      <c r="OLT512" s="332"/>
      <c r="OLU512" s="332"/>
      <c r="OLV512" s="332"/>
      <c r="OLW512" s="332"/>
      <c r="OLX512" s="332"/>
      <c r="OLY512" s="332"/>
      <c r="OLZ512" s="332"/>
      <c r="OMA512" s="332"/>
      <c r="OMB512" s="332"/>
      <c r="OMC512" s="332"/>
      <c r="OMD512" s="332"/>
      <c r="OME512" s="332"/>
      <c r="OMF512" s="332"/>
      <c r="OMG512" s="332"/>
      <c r="OMH512" s="332"/>
      <c r="OMI512" s="332"/>
      <c r="OMJ512" s="332"/>
      <c r="OMK512" s="332"/>
      <c r="OML512" s="332"/>
      <c r="OMM512" s="332"/>
      <c r="OMN512" s="332"/>
      <c r="OMO512" s="332"/>
      <c r="OMP512" s="332"/>
      <c r="OMQ512" s="332"/>
      <c r="OMR512" s="332"/>
      <c r="OMS512" s="332"/>
      <c r="OMT512" s="332"/>
      <c r="OMU512" s="332"/>
      <c r="OMV512" s="332"/>
      <c r="OMW512" s="332"/>
      <c r="OMX512" s="332"/>
      <c r="OMY512" s="332"/>
      <c r="OMZ512" s="332"/>
      <c r="ONA512" s="332"/>
      <c r="ONB512" s="332"/>
      <c r="ONC512" s="332"/>
      <c r="OND512" s="332"/>
      <c r="ONE512" s="332"/>
      <c r="ONF512" s="332"/>
      <c r="ONG512" s="332"/>
      <c r="ONH512" s="332"/>
      <c r="ONI512" s="332"/>
      <c r="ONJ512" s="332"/>
      <c r="ONK512" s="332"/>
      <c r="ONL512" s="332"/>
      <c r="ONM512" s="332"/>
      <c r="ONN512" s="332"/>
      <c r="ONO512" s="332"/>
      <c r="ONP512" s="332"/>
      <c r="ONQ512" s="332"/>
      <c r="ONR512" s="332"/>
      <c r="ONS512" s="332"/>
      <c r="ONT512" s="332"/>
      <c r="ONU512" s="332"/>
      <c r="ONV512" s="332"/>
      <c r="ONW512" s="332"/>
      <c r="ONX512" s="332"/>
      <c r="ONY512" s="332"/>
      <c r="ONZ512" s="332"/>
      <c r="OOA512" s="332"/>
      <c r="OOB512" s="332"/>
      <c r="OOC512" s="332"/>
      <c r="OOD512" s="332"/>
      <c r="OOE512" s="332"/>
      <c r="OOF512" s="332"/>
      <c r="OOG512" s="332"/>
      <c r="OOH512" s="332"/>
      <c r="OOI512" s="332"/>
      <c r="OOJ512" s="332"/>
      <c r="OOK512" s="332"/>
      <c r="OOL512" s="332"/>
      <c r="OOM512" s="332"/>
      <c r="OON512" s="332"/>
      <c r="OOO512" s="332"/>
      <c r="OOP512" s="332"/>
      <c r="OOQ512" s="332"/>
      <c r="OOR512" s="332"/>
      <c r="OOS512" s="332"/>
      <c r="OOT512" s="332"/>
      <c r="OOU512" s="332"/>
      <c r="OOV512" s="332"/>
      <c r="OOW512" s="332"/>
      <c r="OOX512" s="332"/>
      <c r="OOY512" s="332"/>
      <c r="OOZ512" s="332"/>
      <c r="OPA512" s="332"/>
      <c r="OPB512" s="332"/>
      <c r="OPC512" s="332"/>
      <c r="OPD512" s="332"/>
      <c r="OPE512" s="332"/>
      <c r="OPF512" s="332"/>
      <c r="OPG512" s="332"/>
      <c r="OPH512" s="332"/>
      <c r="OPI512" s="332"/>
      <c r="OPJ512" s="332"/>
      <c r="OPK512" s="332"/>
      <c r="OPL512" s="332"/>
      <c r="OPM512" s="332"/>
      <c r="OPN512" s="332"/>
      <c r="OPO512" s="332"/>
      <c r="OPP512" s="332"/>
      <c r="OPQ512" s="332"/>
      <c r="OPR512" s="332"/>
      <c r="OPS512" s="332"/>
      <c r="OPT512" s="332"/>
      <c r="OPU512" s="332"/>
      <c r="OPV512" s="332"/>
      <c r="OPW512" s="332"/>
      <c r="OPX512" s="332"/>
      <c r="OPY512" s="332"/>
      <c r="OPZ512" s="332"/>
      <c r="OQA512" s="332"/>
      <c r="OQB512" s="332"/>
      <c r="OQC512" s="332"/>
      <c r="OQD512" s="332"/>
      <c r="OQE512" s="332"/>
      <c r="OQF512" s="332"/>
      <c r="OQG512" s="332"/>
      <c r="OQH512" s="332"/>
      <c r="OQI512" s="332"/>
      <c r="OQJ512" s="332"/>
      <c r="OQK512" s="332"/>
      <c r="OQL512" s="332"/>
      <c r="OQM512" s="332"/>
      <c r="OQN512" s="332"/>
      <c r="OQO512" s="332"/>
      <c r="OQP512" s="332"/>
      <c r="OQQ512" s="332"/>
      <c r="OQR512" s="332"/>
      <c r="OQS512" s="332"/>
      <c r="OQT512" s="332"/>
      <c r="OQU512" s="332"/>
      <c r="OQV512" s="332"/>
      <c r="OQW512" s="332"/>
      <c r="OQX512" s="332"/>
      <c r="OQY512" s="332"/>
      <c r="OQZ512" s="332"/>
      <c r="ORA512" s="332"/>
      <c r="ORB512" s="332"/>
      <c r="ORC512" s="332"/>
      <c r="ORD512" s="332"/>
      <c r="ORE512" s="332"/>
      <c r="ORF512" s="332"/>
      <c r="ORG512" s="332"/>
      <c r="ORH512" s="332"/>
      <c r="ORI512" s="332"/>
      <c r="ORJ512" s="332"/>
      <c r="ORK512" s="332"/>
      <c r="ORL512" s="332"/>
      <c r="ORM512" s="332"/>
      <c r="ORN512" s="332"/>
      <c r="ORO512" s="332"/>
      <c r="ORP512" s="332"/>
      <c r="ORQ512" s="332"/>
      <c r="ORR512" s="332"/>
      <c r="ORS512" s="332"/>
      <c r="ORT512" s="332"/>
      <c r="ORU512" s="332"/>
      <c r="ORV512" s="332"/>
      <c r="ORW512" s="332"/>
      <c r="ORX512" s="332"/>
      <c r="ORY512" s="332"/>
      <c r="ORZ512" s="332"/>
      <c r="OSA512" s="332"/>
      <c r="OSB512" s="332"/>
      <c r="OSC512" s="332"/>
      <c r="OSD512" s="332"/>
      <c r="OSE512" s="332"/>
      <c r="OSF512" s="332"/>
      <c r="OSG512" s="332"/>
      <c r="OSH512" s="332"/>
      <c r="OSI512" s="332"/>
      <c r="OSJ512" s="332"/>
      <c r="OSK512" s="332"/>
      <c r="OSL512" s="332"/>
      <c r="OSM512" s="332"/>
      <c r="OSN512" s="332"/>
      <c r="OSO512" s="332"/>
      <c r="OSP512" s="332"/>
      <c r="OSQ512" s="332"/>
      <c r="OSR512" s="332"/>
      <c r="OSS512" s="332"/>
      <c r="OST512" s="332"/>
      <c r="OSU512" s="332"/>
      <c r="OSV512" s="332"/>
      <c r="OSW512" s="332"/>
      <c r="OSX512" s="332"/>
      <c r="OSY512" s="332"/>
      <c r="OSZ512" s="332"/>
      <c r="OTA512" s="332"/>
      <c r="OTB512" s="332"/>
      <c r="OTC512" s="332"/>
      <c r="OTD512" s="332"/>
      <c r="OTE512" s="332"/>
      <c r="OTF512" s="332"/>
      <c r="OTG512" s="332"/>
      <c r="OTH512" s="332"/>
      <c r="OTI512" s="332"/>
      <c r="OTJ512" s="332"/>
      <c r="OTK512" s="332"/>
      <c r="OTL512" s="332"/>
      <c r="OTM512" s="332"/>
      <c r="OTN512" s="332"/>
      <c r="OTO512" s="332"/>
      <c r="OTP512" s="332"/>
      <c r="OTQ512" s="332"/>
      <c r="OTR512" s="332"/>
      <c r="OTS512" s="332"/>
      <c r="OTT512" s="332"/>
      <c r="OTU512" s="332"/>
      <c r="OTV512" s="332"/>
      <c r="OTW512" s="332"/>
      <c r="OTX512" s="332"/>
      <c r="OTY512" s="332"/>
      <c r="OTZ512" s="332"/>
      <c r="OUA512" s="332"/>
      <c r="OUB512" s="332"/>
      <c r="OUC512" s="332"/>
      <c r="OUD512" s="332"/>
      <c r="OUE512" s="332"/>
      <c r="OUF512" s="332"/>
      <c r="OUG512" s="332"/>
      <c r="OUH512" s="332"/>
      <c r="OUI512" s="332"/>
      <c r="OUJ512" s="332"/>
      <c r="OUK512" s="332"/>
      <c r="OUL512" s="332"/>
      <c r="OUM512" s="332"/>
      <c r="OUN512" s="332"/>
      <c r="OUO512" s="332"/>
      <c r="OUP512" s="332"/>
      <c r="OUQ512" s="332"/>
      <c r="OUR512" s="332"/>
      <c r="OUS512" s="332"/>
      <c r="OUT512" s="332"/>
      <c r="OUU512" s="332"/>
      <c r="OUV512" s="332"/>
      <c r="OUW512" s="332"/>
      <c r="OUX512" s="332"/>
      <c r="OUY512" s="332"/>
      <c r="OUZ512" s="332"/>
      <c r="OVA512" s="332"/>
      <c r="OVB512" s="332"/>
      <c r="OVC512" s="332"/>
      <c r="OVD512" s="332"/>
      <c r="OVE512" s="332"/>
      <c r="OVF512" s="332"/>
      <c r="OVG512" s="332"/>
      <c r="OVH512" s="332"/>
      <c r="OVI512" s="332"/>
      <c r="OVJ512" s="332"/>
      <c r="OVK512" s="332"/>
      <c r="OVL512" s="332"/>
      <c r="OVM512" s="332"/>
      <c r="OVN512" s="332"/>
      <c r="OVO512" s="332"/>
      <c r="OVP512" s="332"/>
      <c r="OVQ512" s="332"/>
      <c r="OVR512" s="332"/>
      <c r="OVS512" s="332"/>
      <c r="OVT512" s="332"/>
      <c r="OVU512" s="332"/>
      <c r="OVV512" s="332"/>
      <c r="OVW512" s="332"/>
      <c r="OVX512" s="332"/>
      <c r="OVY512" s="332"/>
      <c r="OVZ512" s="332"/>
      <c r="OWA512" s="332"/>
      <c r="OWB512" s="332"/>
      <c r="OWC512" s="332"/>
      <c r="OWD512" s="332"/>
      <c r="OWE512" s="332"/>
      <c r="OWF512" s="332"/>
      <c r="OWG512" s="332"/>
      <c r="OWH512" s="332"/>
      <c r="OWI512" s="332"/>
      <c r="OWJ512" s="332"/>
      <c r="OWK512" s="332"/>
      <c r="OWL512" s="332"/>
      <c r="OWM512" s="332"/>
      <c r="OWN512" s="332"/>
      <c r="OWO512" s="332"/>
      <c r="OWP512" s="332"/>
      <c r="OWQ512" s="332"/>
      <c r="OWR512" s="332"/>
      <c r="OWS512" s="332"/>
      <c r="OWT512" s="332"/>
      <c r="OWU512" s="332"/>
      <c r="OWV512" s="332"/>
      <c r="OWW512" s="332"/>
      <c r="OWX512" s="332"/>
      <c r="OWY512" s="332"/>
      <c r="OWZ512" s="332"/>
      <c r="OXA512" s="332"/>
      <c r="OXB512" s="332"/>
      <c r="OXC512" s="332"/>
      <c r="OXD512" s="332"/>
      <c r="OXE512" s="332"/>
      <c r="OXF512" s="332"/>
      <c r="OXG512" s="332"/>
      <c r="OXH512" s="332"/>
      <c r="OXI512" s="332"/>
      <c r="OXJ512" s="332"/>
      <c r="OXK512" s="332"/>
      <c r="OXL512" s="332"/>
      <c r="OXM512" s="332"/>
      <c r="OXN512" s="332"/>
      <c r="OXO512" s="332"/>
      <c r="OXP512" s="332"/>
      <c r="OXQ512" s="332"/>
      <c r="OXR512" s="332"/>
      <c r="OXS512" s="332"/>
      <c r="OXT512" s="332"/>
      <c r="OXU512" s="332"/>
      <c r="OXV512" s="332"/>
      <c r="OXW512" s="332"/>
      <c r="OXX512" s="332"/>
      <c r="OXY512" s="332"/>
      <c r="OXZ512" s="332"/>
      <c r="OYA512" s="332"/>
      <c r="OYB512" s="332"/>
      <c r="OYC512" s="332"/>
      <c r="OYD512" s="332"/>
      <c r="OYE512" s="332"/>
      <c r="OYF512" s="332"/>
      <c r="OYG512" s="332"/>
      <c r="OYH512" s="332"/>
      <c r="OYI512" s="332"/>
      <c r="OYJ512" s="332"/>
      <c r="OYK512" s="332"/>
      <c r="OYL512" s="332"/>
      <c r="OYM512" s="332"/>
      <c r="OYN512" s="332"/>
      <c r="OYO512" s="332"/>
      <c r="OYP512" s="332"/>
      <c r="OYQ512" s="332"/>
      <c r="OYR512" s="332"/>
      <c r="OYS512" s="332"/>
      <c r="OYT512" s="332"/>
      <c r="OYU512" s="332"/>
      <c r="OYV512" s="332"/>
      <c r="OYW512" s="332"/>
      <c r="OYX512" s="332"/>
      <c r="OYY512" s="332"/>
      <c r="OYZ512" s="332"/>
      <c r="OZA512" s="332"/>
      <c r="OZB512" s="332"/>
      <c r="OZC512" s="332"/>
      <c r="OZD512" s="332"/>
      <c r="OZE512" s="332"/>
      <c r="OZF512" s="332"/>
      <c r="OZG512" s="332"/>
      <c r="OZH512" s="332"/>
      <c r="OZI512" s="332"/>
      <c r="OZJ512" s="332"/>
      <c r="OZK512" s="332"/>
      <c r="OZL512" s="332"/>
      <c r="OZM512" s="332"/>
      <c r="OZN512" s="332"/>
      <c r="OZO512" s="332"/>
      <c r="OZP512" s="332"/>
      <c r="OZQ512" s="332"/>
      <c r="OZR512" s="332"/>
      <c r="OZS512" s="332"/>
      <c r="OZT512" s="332"/>
      <c r="OZU512" s="332"/>
      <c r="OZV512" s="332"/>
      <c r="OZW512" s="332"/>
      <c r="OZX512" s="332"/>
      <c r="OZY512" s="332"/>
      <c r="OZZ512" s="332"/>
      <c r="PAA512" s="332"/>
      <c r="PAB512" s="332"/>
      <c r="PAC512" s="332"/>
      <c r="PAD512" s="332"/>
      <c r="PAE512" s="332"/>
      <c r="PAF512" s="332"/>
      <c r="PAG512" s="332"/>
      <c r="PAH512" s="332"/>
      <c r="PAI512" s="332"/>
      <c r="PAJ512" s="332"/>
      <c r="PAK512" s="332"/>
      <c r="PAL512" s="332"/>
      <c r="PAM512" s="332"/>
      <c r="PAN512" s="332"/>
      <c r="PAO512" s="332"/>
      <c r="PAP512" s="332"/>
      <c r="PAQ512" s="332"/>
      <c r="PAR512" s="332"/>
      <c r="PAS512" s="332"/>
      <c r="PAT512" s="332"/>
      <c r="PAU512" s="332"/>
      <c r="PAV512" s="332"/>
      <c r="PAW512" s="332"/>
      <c r="PAX512" s="332"/>
      <c r="PAY512" s="332"/>
      <c r="PAZ512" s="332"/>
      <c r="PBA512" s="332"/>
      <c r="PBB512" s="332"/>
      <c r="PBC512" s="332"/>
      <c r="PBD512" s="332"/>
      <c r="PBE512" s="332"/>
      <c r="PBF512" s="332"/>
      <c r="PBG512" s="332"/>
      <c r="PBH512" s="332"/>
      <c r="PBI512" s="332"/>
      <c r="PBJ512" s="332"/>
      <c r="PBK512" s="332"/>
      <c r="PBL512" s="332"/>
      <c r="PBM512" s="332"/>
      <c r="PBN512" s="332"/>
      <c r="PBO512" s="332"/>
      <c r="PBP512" s="332"/>
      <c r="PBQ512" s="332"/>
      <c r="PBR512" s="332"/>
      <c r="PBS512" s="332"/>
      <c r="PBT512" s="332"/>
      <c r="PBU512" s="332"/>
      <c r="PBV512" s="332"/>
      <c r="PBW512" s="332"/>
      <c r="PBX512" s="332"/>
      <c r="PBY512" s="332"/>
      <c r="PBZ512" s="332"/>
      <c r="PCA512" s="332"/>
      <c r="PCB512" s="332"/>
      <c r="PCC512" s="332"/>
      <c r="PCD512" s="332"/>
      <c r="PCE512" s="332"/>
      <c r="PCF512" s="332"/>
      <c r="PCG512" s="332"/>
      <c r="PCH512" s="332"/>
      <c r="PCI512" s="332"/>
      <c r="PCJ512" s="332"/>
      <c r="PCK512" s="332"/>
      <c r="PCL512" s="332"/>
      <c r="PCM512" s="332"/>
      <c r="PCN512" s="332"/>
      <c r="PCO512" s="332"/>
      <c r="PCP512" s="332"/>
      <c r="PCQ512" s="332"/>
      <c r="PCR512" s="332"/>
      <c r="PCS512" s="332"/>
      <c r="PCT512" s="332"/>
      <c r="PCU512" s="332"/>
      <c r="PCV512" s="332"/>
      <c r="PCW512" s="332"/>
      <c r="PCX512" s="332"/>
      <c r="PCY512" s="332"/>
      <c r="PCZ512" s="332"/>
      <c r="PDA512" s="332"/>
      <c r="PDB512" s="332"/>
      <c r="PDC512" s="332"/>
      <c r="PDD512" s="332"/>
      <c r="PDE512" s="332"/>
      <c r="PDF512" s="332"/>
      <c r="PDG512" s="332"/>
      <c r="PDH512" s="332"/>
      <c r="PDI512" s="332"/>
      <c r="PDJ512" s="332"/>
      <c r="PDK512" s="332"/>
      <c r="PDL512" s="332"/>
      <c r="PDM512" s="332"/>
      <c r="PDN512" s="332"/>
      <c r="PDO512" s="332"/>
      <c r="PDP512" s="332"/>
      <c r="PDQ512" s="332"/>
      <c r="PDR512" s="332"/>
      <c r="PDS512" s="332"/>
      <c r="PDT512" s="332"/>
      <c r="PDU512" s="332"/>
      <c r="PDV512" s="332"/>
      <c r="PDW512" s="332"/>
      <c r="PDX512" s="332"/>
      <c r="PDY512" s="332"/>
      <c r="PDZ512" s="332"/>
      <c r="PEA512" s="332"/>
      <c r="PEB512" s="332"/>
      <c r="PEC512" s="332"/>
      <c r="PED512" s="332"/>
      <c r="PEE512" s="332"/>
      <c r="PEF512" s="332"/>
      <c r="PEG512" s="332"/>
      <c r="PEH512" s="332"/>
      <c r="PEI512" s="332"/>
      <c r="PEJ512" s="332"/>
      <c r="PEK512" s="332"/>
      <c r="PEL512" s="332"/>
      <c r="PEM512" s="332"/>
      <c r="PEN512" s="332"/>
      <c r="PEO512" s="332"/>
      <c r="PEP512" s="332"/>
      <c r="PEQ512" s="332"/>
      <c r="PER512" s="332"/>
      <c r="PES512" s="332"/>
      <c r="PET512" s="332"/>
      <c r="PEU512" s="332"/>
      <c r="PEV512" s="332"/>
      <c r="PEW512" s="332"/>
      <c r="PEX512" s="332"/>
      <c r="PEY512" s="332"/>
      <c r="PEZ512" s="332"/>
      <c r="PFA512" s="332"/>
      <c r="PFB512" s="332"/>
      <c r="PFC512" s="332"/>
      <c r="PFD512" s="332"/>
      <c r="PFE512" s="332"/>
      <c r="PFF512" s="332"/>
      <c r="PFG512" s="332"/>
      <c r="PFH512" s="332"/>
      <c r="PFI512" s="332"/>
      <c r="PFJ512" s="332"/>
      <c r="PFK512" s="332"/>
      <c r="PFL512" s="332"/>
      <c r="PFM512" s="332"/>
      <c r="PFN512" s="332"/>
      <c r="PFO512" s="332"/>
      <c r="PFP512" s="332"/>
      <c r="PFQ512" s="332"/>
      <c r="PFR512" s="332"/>
      <c r="PFS512" s="332"/>
      <c r="PFT512" s="332"/>
      <c r="PFU512" s="332"/>
      <c r="PFV512" s="332"/>
      <c r="PFW512" s="332"/>
      <c r="PFX512" s="332"/>
      <c r="PFY512" s="332"/>
      <c r="PFZ512" s="332"/>
      <c r="PGA512" s="332"/>
      <c r="PGB512" s="332"/>
      <c r="PGC512" s="332"/>
      <c r="PGD512" s="332"/>
      <c r="PGE512" s="332"/>
      <c r="PGF512" s="332"/>
      <c r="PGG512" s="332"/>
      <c r="PGH512" s="332"/>
      <c r="PGI512" s="332"/>
      <c r="PGJ512" s="332"/>
      <c r="PGK512" s="332"/>
      <c r="PGL512" s="332"/>
      <c r="PGM512" s="332"/>
      <c r="PGN512" s="332"/>
      <c r="PGO512" s="332"/>
      <c r="PGP512" s="332"/>
      <c r="PGQ512" s="332"/>
      <c r="PGR512" s="332"/>
      <c r="PGS512" s="332"/>
      <c r="PGT512" s="332"/>
      <c r="PGU512" s="332"/>
      <c r="PGV512" s="332"/>
      <c r="PGW512" s="332"/>
      <c r="PGX512" s="332"/>
      <c r="PGY512" s="332"/>
      <c r="PGZ512" s="332"/>
      <c r="PHA512" s="332"/>
      <c r="PHB512" s="332"/>
      <c r="PHC512" s="332"/>
      <c r="PHD512" s="332"/>
      <c r="PHE512" s="332"/>
      <c r="PHF512" s="332"/>
      <c r="PHG512" s="332"/>
      <c r="PHH512" s="332"/>
      <c r="PHI512" s="332"/>
      <c r="PHJ512" s="332"/>
      <c r="PHK512" s="332"/>
      <c r="PHL512" s="332"/>
      <c r="PHM512" s="332"/>
      <c r="PHN512" s="332"/>
      <c r="PHO512" s="332"/>
      <c r="PHP512" s="332"/>
      <c r="PHQ512" s="332"/>
      <c r="PHR512" s="332"/>
      <c r="PHS512" s="332"/>
      <c r="PHT512" s="332"/>
      <c r="PHU512" s="332"/>
      <c r="PHV512" s="332"/>
      <c r="PHW512" s="332"/>
      <c r="PHX512" s="332"/>
      <c r="PHY512" s="332"/>
      <c r="PHZ512" s="332"/>
      <c r="PIA512" s="332"/>
      <c r="PIB512" s="332"/>
      <c r="PIC512" s="332"/>
      <c r="PID512" s="332"/>
      <c r="PIE512" s="332"/>
      <c r="PIF512" s="332"/>
      <c r="PIG512" s="332"/>
      <c r="PIH512" s="332"/>
      <c r="PII512" s="332"/>
      <c r="PIJ512" s="332"/>
      <c r="PIK512" s="332"/>
      <c r="PIL512" s="332"/>
      <c r="PIM512" s="332"/>
      <c r="PIN512" s="332"/>
      <c r="PIO512" s="332"/>
      <c r="PIP512" s="332"/>
      <c r="PIQ512" s="332"/>
      <c r="PIR512" s="332"/>
      <c r="PIS512" s="332"/>
      <c r="PIT512" s="332"/>
      <c r="PIU512" s="332"/>
      <c r="PIV512" s="332"/>
      <c r="PIW512" s="332"/>
      <c r="PIX512" s="332"/>
      <c r="PIY512" s="332"/>
      <c r="PIZ512" s="332"/>
      <c r="PJA512" s="332"/>
      <c r="PJB512" s="332"/>
      <c r="PJC512" s="332"/>
      <c r="PJD512" s="332"/>
      <c r="PJE512" s="332"/>
      <c r="PJF512" s="332"/>
      <c r="PJG512" s="332"/>
      <c r="PJH512" s="332"/>
      <c r="PJI512" s="332"/>
      <c r="PJJ512" s="332"/>
      <c r="PJK512" s="332"/>
      <c r="PJL512" s="332"/>
      <c r="PJM512" s="332"/>
      <c r="PJN512" s="332"/>
      <c r="PJO512" s="332"/>
      <c r="PJP512" s="332"/>
      <c r="PJQ512" s="332"/>
      <c r="PJR512" s="332"/>
      <c r="PJS512" s="332"/>
      <c r="PJT512" s="332"/>
      <c r="PJU512" s="332"/>
      <c r="PJV512" s="332"/>
      <c r="PJW512" s="332"/>
      <c r="PJX512" s="332"/>
      <c r="PJY512" s="332"/>
      <c r="PJZ512" s="332"/>
      <c r="PKA512" s="332"/>
      <c r="PKB512" s="332"/>
      <c r="PKC512" s="332"/>
      <c r="PKD512" s="332"/>
      <c r="PKE512" s="332"/>
      <c r="PKF512" s="332"/>
      <c r="PKG512" s="332"/>
      <c r="PKH512" s="332"/>
      <c r="PKI512" s="332"/>
      <c r="PKJ512" s="332"/>
      <c r="PKK512" s="332"/>
      <c r="PKL512" s="332"/>
      <c r="PKM512" s="332"/>
      <c r="PKN512" s="332"/>
      <c r="PKO512" s="332"/>
      <c r="PKP512" s="332"/>
      <c r="PKQ512" s="332"/>
      <c r="PKR512" s="332"/>
      <c r="PKS512" s="332"/>
      <c r="PKT512" s="332"/>
      <c r="PKU512" s="332"/>
      <c r="PKV512" s="332"/>
      <c r="PKW512" s="332"/>
      <c r="PKX512" s="332"/>
      <c r="PKY512" s="332"/>
      <c r="PKZ512" s="332"/>
      <c r="PLA512" s="332"/>
      <c r="PLB512" s="332"/>
      <c r="PLC512" s="332"/>
      <c r="PLD512" s="332"/>
      <c r="PLE512" s="332"/>
      <c r="PLF512" s="332"/>
      <c r="PLG512" s="332"/>
      <c r="PLH512" s="332"/>
      <c r="PLI512" s="332"/>
      <c r="PLJ512" s="332"/>
      <c r="PLK512" s="332"/>
      <c r="PLL512" s="332"/>
      <c r="PLM512" s="332"/>
      <c r="PLN512" s="332"/>
      <c r="PLO512" s="332"/>
      <c r="PLP512" s="332"/>
      <c r="PLQ512" s="332"/>
      <c r="PLR512" s="332"/>
      <c r="PLS512" s="332"/>
      <c r="PLT512" s="332"/>
      <c r="PLU512" s="332"/>
      <c r="PLV512" s="332"/>
      <c r="PLW512" s="332"/>
      <c r="PLX512" s="332"/>
      <c r="PLY512" s="332"/>
      <c r="PLZ512" s="332"/>
      <c r="PMA512" s="332"/>
      <c r="PMB512" s="332"/>
      <c r="PMC512" s="332"/>
      <c r="PMD512" s="332"/>
      <c r="PME512" s="332"/>
      <c r="PMF512" s="332"/>
      <c r="PMG512" s="332"/>
      <c r="PMH512" s="332"/>
      <c r="PMI512" s="332"/>
      <c r="PMJ512" s="332"/>
      <c r="PMK512" s="332"/>
      <c r="PML512" s="332"/>
      <c r="PMM512" s="332"/>
      <c r="PMN512" s="332"/>
      <c r="PMO512" s="332"/>
      <c r="PMP512" s="332"/>
      <c r="PMQ512" s="332"/>
      <c r="PMR512" s="332"/>
      <c r="PMS512" s="332"/>
      <c r="PMT512" s="332"/>
      <c r="PMU512" s="332"/>
      <c r="PMV512" s="332"/>
      <c r="PMW512" s="332"/>
      <c r="PMX512" s="332"/>
      <c r="PMY512" s="332"/>
      <c r="PMZ512" s="332"/>
      <c r="PNA512" s="332"/>
      <c r="PNB512" s="332"/>
      <c r="PNC512" s="332"/>
      <c r="PND512" s="332"/>
      <c r="PNE512" s="332"/>
      <c r="PNF512" s="332"/>
      <c r="PNG512" s="332"/>
      <c r="PNH512" s="332"/>
      <c r="PNI512" s="332"/>
      <c r="PNJ512" s="332"/>
      <c r="PNK512" s="332"/>
      <c r="PNL512" s="332"/>
      <c r="PNM512" s="332"/>
      <c r="PNN512" s="332"/>
      <c r="PNO512" s="332"/>
      <c r="PNP512" s="332"/>
      <c r="PNQ512" s="332"/>
      <c r="PNR512" s="332"/>
      <c r="PNS512" s="332"/>
      <c r="PNT512" s="332"/>
      <c r="PNU512" s="332"/>
      <c r="PNV512" s="332"/>
      <c r="PNW512" s="332"/>
      <c r="PNX512" s="332"/>
      <c r="PNY512" s="332"/>
      <c r="PNZ512" s="332"/>
      <c r="POA512" s="332"/>
      <c r="POB512" s="332"/>
      <c r="POC512" s="332"/>
      <c r="POD512" s="332"/>
      <c r="POE512" s="332"/>
      <c r="POF512" s="332"/>
      <c r="POG512" s="332"/>
      <c r="POH512" s="332"/>
      <c r="POI512" s="332"/>
      <c r="POJ512" s="332"/>
      <c r="POK512" s="332"/>
      <c r="POL512" s="332"/>
      <c r="POM512" s="332"/>
      <c r="PON512" s="332"/>
      <c r="POO512" s="332"/>
      <c r="POP512" s="332"/>
      <c r="POQ512" s="332"/>
      <c r="POR512" s="332"/>
      <c r="POS512" s="332"/>
      <c r="POT512" s="332"/>
      <c r="POU512" s="332"/>
      <c r="POV512" s="332"/>
      <c r="POW512" s="332"/>
      <c r="POX512" s="332"/>
      <c r="POY512" s="332"/>
      <c r="POZ512" s="332"/>
      <c r="PPA512" s="332"/>
      <c r="PPB512" s="332"/>
      <c r="PPC512" s="332"/>
      <c r="PPD512" s="332"/>
      <c r="PPE512" s="332"/>
      <c r="PPF512" s="332"/>
      <c r="PPG512" s="332"/>
      <c r="PPH512" s="332"/>
      <c r="PPI512" s="332"/>
      <c r="PPJ512" s="332"/>
      <c r="PPK512" s="332"/>
      <c r="PPL512" s="332"/>
      <c r="PPM512" s="332"/>
      <c r="PPN512" s="332"/>
      <c r="PPO512" s="332"/>
      <c r="PPP512" s="332"/>
      <c r="PPQ512" s="332"/>
      <c r="PPR512" s="332"/>
      <c r="PPS512" s="332"/>
      <c r="PPT512" s="332"/>
      <c r="PPU512" s="332"/>
      <c r="PPV512" s="332"/>
      <c r="PPW512" s="332"/>
      <c r="PPX512" s="332"/>
      <c r="PPY512" s="332"/>
      <c r="PPZ512" s="332"/>
      <c r="PQA512" s="332"/>
      <c r="PQB512" s="332"/>
      <c r="PQC512" s="332"/>
      <c r="PQD512" s="332"/>
      <c r="PQE512" s="332"/>
      <c r="PQF512" s="332"/>
      <c r="PQG512" s="332"/>
      <c r="PQH512" s="332"/>
      <c r="PQI512" s="332"/>
      <c r="PQJ512" s="332"/>
      <c r="PQK512" s="332"/>
      <c r="PQL512" s="332"/>
      <c r="PQM512" s="332"/>
      <c r="PQN512" s="332"/>
      <c r="PQO512" s="332"/>
      <c r="PQP512" s="332"/>
      <c r="PQQ512" s="332"/>
      <c r="PQR512" s="332"/>
      <c r="PQS512" s="332"/>
      <c r="PQT512" s="332"/>
      <c r="PQU512" s="332"/>
      <c r="PQV512" s="332"/>
      <c r="PQW512" s="332"/>
      <c r="PQX512" s="332"/>
      <c r="PQY512" s="332"/>
      <c r="PQZ512" s="332"/>
      <c r="PRA512" s="332"/>
      <c r="PRB512" s="332"/>
      <c r="PRC512" s="332"/>
      <c r="PRD512" s="332"/>
      <c r="PRE512" s="332"/>
      <c r="PRF512" s="332"/>
      <c r="PRG512" s="332"/>
      <c r="PRH512" s="332"/>
      <c r="PRI512" s="332"/>
      <c r="PRJ512" s="332"/>
      <c r="PRK512" s="332"/>
      <c r="PRL512" s="332"/>
      <c r="PRM512" s="332"/>
      <c r="PRN512" s="332"/>
      <c r="PRO512" s="332"/>
      <c r="PRP512" s="332"/>
      <c r="PRQ512" s="332"/>
      <c r="PRR512" s="332"/>
      <c r="PRS512" s="332"/>
      <c r="PRT512" s="332"/>
      <c r="PRU512" s="332"/>
      <c r="PRV512" s="332"/>
      <c r="PRW512" s="332"/>
      <c r="PRX512" s="332"/>
      <c r="PRY512" s="332"/>
      <c r="PRZ512" s="332"/>
      <c r="PSA512" s="332"/>
      <c r="PSB512" s="332"/>
      <c r="PSC512" s="332"/>
      <c r="PSD512" s="332"/>
      <c r="PSE512" s="332"/>
      <c r="PSF512" s="332"/>
      <c r="PSG512" s="332"/>
      <c r="PSH512" s="332"/>
      <c r="PSI512" s="332"/>
      <c r="PSJ512" s="332"/>
      <c r="PSK512" s="332"/>
      <c r="PSL512" s="332"/>
      <c r="PSM512" s="332"/>
      <c r="PSN512" s="332"/>
      <c r="PSO512" s="332"/>
      <c r="PSP512" s="332"/>
      <c r="PSQ512" s="332"/>
      <c r="PSR512" s="332"/>
      <c r="PSS512" s="332"/>
      <c r="PST512" s="332"/>
      <c r="PSU512" s="332"/>
      <c r="PSV512" s="332"/>
      <c r="PSW512" s="332"/>
      <c r="PSX512" s="332"/>
      <c r="PSY512" s="332"/>
      <c r="PSZ512" s="332"/>
      <c r="PTA512" s="332"/>
      <c r="PTB512" s="332"/>
      <c r="PTC512" s="332"/>
      <c r="PTD512" s="332"/>
      <c r="PTE512" s="332"/>
      <c r="PTF512" s="332"/>
      <c r="PTG512" s="332"/>
      <c r="PTH512" s="332"/>
      <c r="PTI512" s="332"/>
      <c r="PTJ512" s="332"/>
      <c r="PTK512" s="332"/>
      <c r="PTL512" s="332"/>
      <c r="PTM512" s="332"/>
      <c r="PTN512" s="332"/>
      <c r="PTO512" s="332"/>
      <c r="PTP512" s="332"/>
      <c r="PTQ512" s="332"/>
      <c r="PTR512" s="332"/>
      <c r="PTS512" s="332"/>
      <c r="PTT512" s="332"/>
      <c r="PTU512" s="332"/>
      <c r="PTV512" s="332"/>
      <c r="PTW512" s="332"/>
      <c r="PTX512" s="332"/>
      <c r="PTY512" s="332"/>
      <c r="PTZ512" s="332"/>
      <c r="PUA512" s="332"/>
      <c r="PUB512" s="332"/>
      <c r="PUC512" s="332"/>
      <c r="PUD512" s="332"/>
      <c r="PUE512" s="332"/>
      <c r="PUF512" s="332"/>
      <c r="PUG512" s="332"/>
      <c r="PUH512" s="332"/>
      <c r="PUI512" s="332"/>
      <c r="PUJ512" s="332"/>
      <c r="PUK512" s="332"/>
      <c r="PUL512" s="332"/>
      <c r="PUM512" s="332"/>
      <c r="PUN512" s="332"/>
      <c r="PUO512" s="332"/>
      <c r="PUP512" s="332"/>
      <c r="PUQ512" s="332"/>
      <c r="PUR512" s="332"/>
      <c r="PUS512" s="332"/>
      <c r="PUT512" s="332"/>
      <c r="PUU512" s="332"/>
      <c r="PUV512" s="332"/>
      <c r="PUW512" s="332"/>
      <c r="PUX512" s="332"/>
      <c r="PUY512" s="332"/>
      <c r="PUZ512" s="332"/>
      <c r="PVA512" s="332"/>
      <c r="PVB512" s="332"/>
      <c r="PVC512" s="332"/>
      <c r="PVD512" s="332"/>
      <c r="PVE512" s="332"/>
      <c r="PVF512" s="332"/>
      <c r="PVG512" s="332"/>
      <c r="PVH512" s="332"/>
      <c r="PVI512" s="332"/>
      <c r="PVJ512" s="332"/>
      <c r="PVK512" s="332"/>
      <c r="PVL512" s="332"/>
      <c r="PVM512" s="332"/>
      <c r="PVN512" s="332"/>
      <c r="PVO512" s="332"/>
      <c r="PVP512" s="332"/>
      <c r="PVQ512" s="332"/>
      <c r="PVR512" s="332"/>
      <c r="PVS512" s="332"/>
      <c r="PVT512" s="332"/>
      <c r="PVU512" s="332"/>
      <c r="PVV512" s="332"/>
      <c r="PVW512" s="332"/>
      <c r="PVX512" s="332"/>
      <c r="PVY512" s="332"/>
      <c r="PVZ512" s="332"/>
      <c r="PWA512" s="332"/>
      <c r="PWB512" s="332"/>
      <c r="PWC512" s="332"/>
      <c r="PWD512" s="332"/>
      <c r="PWE512" s="332"/>
      <c r="PWF512" s="332"/>
      <c r="PWG512" s="332"/>
      <c r="PWH512" s="332"/>
      <c r="PWI512" s="332"/>
      <c r="PWJ512" s="332"/>
      <c r="PWK512" s="332"/>
      <c r="PWL512" s="332"/>
      <c r="PWM512" s="332"/>
      <c r="PWN512" s="332"/>
      <c r="PWO512" s="332"/>
      <c r="PWP512" s="332"/>
      <c r="PWQ512" s="332"/>
      <c r="PWR512" s="332"/>
      <c r="PWS512" s="332"/>
      <c r="PWT512" s="332"/>
      <c r="PWU512" s="332"/>
      <c r="PWV512" s="332"/>
      <c r="PWW512" s="332"/>
      <c r="PWX512" s="332"/>
      <c r="PWY512" s="332"/>
      <c r="PWZ512" s="332"/>
      <c r="PXA512" s="332"/>
      <c r="PXB512" s="332"/>
      <c r="PXC512" s="332"/>
      <c r="PXD512" s="332"/>
      <c r="PXE512" s="332"/>
      <c r="PXF512" s="332"/>
      <c r="PXG512" s="332"/>
      <c r="PXH512" s="332"/>
      <c r="PXI512" s="332"/>
      <c r="PXJ512" s="332"/>
      <c r="PXK512" s="332"/>
      <c r="PXL512" s="332"/>
      <c r="PXM512" s="332"/>
      <c r="PXN512" s="332"/>
      <c r="PXO512" s="332"/>
      <c r="PXP512" s="332"/>
      <c r="PXQ512" s="332"/>
      <c r="PXR512" s="332"/>
      <c r="PXS512" s="332"/>
      <c r="PXT512" s="332"/>
      <c r="PXU512" s="332"/>
      <c r="PXV512" s="332"/>
      <c r="PXW512" s="332"/>
      <c r="PXX512" s="332"/>
      <c r="PXY512" s="332"/>
      <c r="PXZ512" s="332"/>
      <c r="PYA512" s="332"/>
      <c r="PYB512" s="332"/>
      <c r="PYC512" s="332"/>
      <c r="PYD512" s="332"/>
      <c r="PYE512" s="332"/>
      <c r="PYF512" s="332"/>
      <c r="PYG512" s="332"/>
      <c r="PYH512" s="332"/>
      <c r="PYI512" s="332"/>
      <c r="PYJ512" s="332"/>
      <c r="PYK512" s="332"/>
      <c r="PYL512" s="332"/>
      <c r="PYM512" s="332"/>
      <c r="PYN512" s="332"/>
      <c r="PYO512" s="332"/>
      <c r="PYP512" s="332"/>
      <c r="PYQ512" s="332"/>
      <c r="PYR512" s="332"/>
      <c r="PYS512" s="332"/>
      <c r="PYT512" s="332"/>
      <c r="PYU512" s="332"/>
      <c r="PYV512" s="332"/>
      <c r="PYW512" s="332"/>
      <c r="PYX512" s="332"/>
      <c r="PYY512" s="332"/>
      <c r="PYZ512" s="332"/>
      <c r="PZA512" s="332"/>
      <c r="PZB512" s="332"/>
      <c r="PZC512" s="332"/>
      <c r="PZD512" s="332"/>
      <c r="PZE512" s="332"/>
      <c r="PZF512" s="332"/>
      <c r="PZG512" s="332"/>
      <c r="PZH512" s="332"/>
      <c r="PZI512" s="332"/>
      <c r="PZJ512" s="332"/>
      <c r="PZK512" s="332"/>
      <c r="PZL512" s="332"/>
      <c r="PZM512" s="332"/>
      <c r="PZN512" s="332"/>
      <c r="PZO512" s="332"/>
      <c r="PZP512" s="332"/>
      <c r="PZQ512" s="332"/>
      <c r="PZR512" s="332"/>
      <c r="PZS512" s="332"/>
      <c r="PZT512" s="332"/>
      <c r="PZU512" s="332"/>
      <c r="PZV512" s="332"/>
      <c r="PZW512" s="332"/>
      <c r="PZX512" s="332"/>
      <c r="PZY512" s="332"/>
      <c r="PZZ512" s="332"/>
      <c r="QAA512" s="332"/>
      <c r="QAB512" s="332"/>
      <c r="QAC512" s="332"/>
      <c r="QAD512" s="332"/>
      <c r="QAE512" s="332"/>
      <c r="QAF512" s="332"/>
      <c r="QAG512" s="332"/>
      <c r="QAH512" s="332"/>
      <c r="QAI512" s="332"/>
      <c r="QAJ512" s="332"/>
      <c r="QAK512" s="332"/>
      <c r="QAL512" s="332"/>
      <c r="QAM512" s="332"/>
      <c r="QAN512" s="332"/>
      <c r="QAO512" s="332"/>
      <c r="QAP512" s="332"/>
      <c r="QAQ512" s="332"/>
      <c r="QAR512" s="332"/>
      <c r="QAS512" s="332"/>
      <c r="QAT512" s="332"/>
      <c r="QAU512" s="332"/>
      <c r="QAV512" s="332"/>
      <c r="QAW512" s="332"/>
      <c r="QAX512" s="332"/>
      <c r="QAY512" s="332"/>
      <c r="QAZ512" s="332"/>
      <c r="QBA512" s="332"/>
      <c r="QBB512" s="332"/>
      <c r="QBC512" s="332"/>
      <c r="QBD512" s="332"/>
      <c r="QBE512" s="332"/>
      <c r="QBF512" s="332"/>
      <c r="QBG512" s="332"/>
      <c r="QBH512" s="332"/>
      <c r="QBI512" s="332"/>
      <c r="QBJ512" s="332"/>
      <c r="QBK512" s="332"/>
      <c r="QBL512" s="332"/>
      <c r="QBM512" s="332"/>
      <c r="QBN512" s="332"/>
      <c r="QBO512" s="332"/>
      <c r="QBP512" s="332"/>
      <c r="QBQ512" s="332"/>
      <c r="QBR512" s="332"/>
      <c r="QBS512" s="332"/>
      <c r="QBT512" s="332"/>
      <c r="QBU512" s="332"/>
      <c r="QBV512" s="332"/>
      <c r="QBW512" s="332"/>
      <c r="QBX512" s="332"/>
      <c r="QBY512" s="332"/>
      <c r="QBZ512" s="332"/>
      <c r="QCA512" s="332"/>
      <c r="QCB512" s="332"/>
      <c r="QCC512" s="332"/>
      <c r="QCD512" s="332"/>
      <c r="QCE512" s="332"/>
      <c r="QCF512" s="332"/>
      <c r="QCG512" s="332"/>
      <c r="QCH512" s="332"/>
      <c r="QCI512" s="332"/>
      <c r="QCJ512" s="332"/>
      <c r="QCK512" s="332"/>
      <c r="QCL512" s="332"/>
      <c r="QCM512" s="332"/>
      <c r="QCN512" s="332"/>
      <c r="QCO512" s="332"/>
      <c r="QCP512" s="332"/>
      <c r="QCQ512" s="332"/>
      <c r="QCR512" s="332"/>
      <c r="QCS512" s="332"/>
      <c r="QCT512" s="332"/>
      <c r="QCU512" s="332"/>
      <c r="QCV512" s="332"/>
      <c r="QCW512" s="332"/>
      <c r="QCX512" s="332"/>
      <c r="QCY512" s="332"/>
      <c r="QCZ512" s="332"/>
      <c r="QDA512" s="332"/>
      <c r="QDB512" s="332"/>
      <c r="QDC512" s="332"/>
      <c r="QDD512" s="332"/>
      <c r="QDE512" s="332"/>
      <c r="QDF512" s="332"/>
      <c r="QDG512" s="332"/>
      <c r="QDH512" s="332"/>
      <c r="QDI512" s="332"/>
      <c r="QDJ512" s="332"/>
      <c r="QDK512" s="332"/>
      <c r="QDL512" s="332"/>
      <c r="QDM512" s="332"/>
      <c r="QDN512" s="332"/>
      <c r="QDO512" s="332"/>
      <c r="QDP512" s="332"/>
      <c r="QDQ512" s="332"/>
      <c r="QDR512" s="332"/>
      <c r="QDS512" s="332"/>
      <c r="QDT512" s="332"/>
      <c r="QDU512" s="332"/>
      <c r="QDV512" s="332"/>
      <c r="QDW512" s="332"/>
      <c r="QDX512" s="332"/>
      <c r="QDY512" s="332"/>
      <c r="QDZ512" s="332"/>
      <c r="QEA512" s="332"/>
      <c r="QEB512" s="332"/>
      <c r="QEC512" s="332"/>
      <c r="QED512" s="332"/>
      <c r="QEE512" s="332"/>
      <c r="QEF512" s="332"/>
      <c r="QEG512" s="332"/>
      <c r="QEH512" s="332"/>
      <c r="QEI512" s="332"/>
      <c r="QEJ512" s="332"/>
      <c r="QEK512" s="332"/>
      <c r="QEL512" s="332"/>
      <c r="QEM512" s="332"/>
      <c r="QEN512" s="332"/>
      <c r="QEO512" s="332"/>
      <c r="QEP512" s="332"/>
      <c r="QEQ512" s="332"/>
      <c r="QER512" s="332"/>
      <c r="QES512" s="332"/>
      <c r="QET512" s="332"/>
      <c r="QEU512" s="332"/>
      <c r="QEV512" s="332"/>
      <c r="QEW512" s="332"/>
      <c r="QEX512" s="332"/>
      <c r="QEY512" s="332"/>
      <c r="QEZ512" s="332"/>
      <c r="QFA512" s="332"/>
      <c r="QFB512" s="332"/>
      <c r="QFC512" s="332"/>
      <c r="QFD512" s="332"/>
      <c r="QFE512" s="332"/>
      <c r="QFF512" s="332"/>
      <c r="QFG512" s="332"/>
      <c r="QFH512" s="332"/>
      <c r="QFI512" s="332"/>
      <c r="QFJ512" s="332"/>
      <c r="QFK512" s="332"/>
      <c r="QFL512" s="332"/>
      <c r="QFM512" s="332"/>
      <c r="QFN512" s="332"/>
      <c r="QFO512" s="332"/>
      <c r="QFP512" s="332"/>
      <c r="QFQ512" s="332"/>
      <c r="QFR512" s="332"/>
      <c r="QFS512" s="332"/>
      <c r="QFT512" s="332"/>
      <c r="QFU512" s="332"/>
      <c r="QFV512" s="332"/>
      <c r="QFW512" s="332"/>
      <c r="QFX512" s="332"/>
      <c r="QFY512" s="332"/>
      <c r="QFZ512" s="332"/>
      <c r="QGA512" s="332"/>
      <c r="QGB512" s="332"/>
      <c r="QGC512" s="332"/>
      <c r="QGD512" s="332"/>
      <c r="QGE512" s="332"/>
      <c r="QGF512" s="332"/>
      <c r="QGG512" s="332"/>
      <c r="QGH512" s="332"/>
      <c r="QGI512" s="332"/>
      <c r="QGJ512" s="332"/>
      <c r="QGK512" s="332"/>
      <c r="QGL512" s="332"/>
      <c r="QGM512" s="332"/>
      <c r="QGN512" s="332"/>
      <c r="QGO512" s="332"/>
      <c r="QGP512" s="332"/>
      <c r="QGQ512" s="332"/>
      <c r="QGR512" s="332"/>
      <c r="QGS512" s="332"/>
      <c r="QGT512" s="332"/>
      <c r="QGU512" s="332"/>
      <c r="QGV512" s="332"/>
      <c r="QGW512" s="332"/>
      <c r="QGX512" s="332"/>
      <c r="QGY512" s="332"/>
      <c r="QGZ512" s="332"/>
      <c r="QHA512" s="332"/>
      <c r="QHB512" s="332"/>
      <c r="QHC512" s="332"/>
      <c r="QHD512" s="332"/>
      <c r="QHE512" s="332"/>
      <c r="QHF512" s="332"/>
      <c r="QHG512" s="332"/>
      <c r="QHH512" s="332"/>
      <c r="QHI512" s="332"/>
      <c r="QHJ512" s="332"/>
      <c r="QHK512" s="332"/>
      <c r="QHL512" s="332"/>
      <c r="QHM512" s="332"/>
      <c r="QHN512" s="332"/>
      <c r="QHO512" s="332"/>
      <c r="QHP512" s="332"/>
      <c r="QHQ512" s="332"/>
      <c r="QHR512" s="332"/>
      <c r="QHS512" s="332"/>
      <c r="QHT512" s="332"/>
      <c r="QHU512" s="332"/>
      <c r="QHV512" s="332"/>
      <c r="QHW512" s="332"/>
      <c r="QHX512" s="332"/>
      <c r="QHY512" s="332"/>
      <c r="QHZ512" s="332"/>
      <c r="QIA512" s="332"/>
      <c r="QIB512" s="332"/>
      <c r="QIC512" s="332"/>
      <c r="QID512" s="332"/>
      <c r="QIE512" s="332"/>
      <c r="QIF512" s="332"/>
      <c r="QIG512" s="332"/>
      <c r="QIH512" s="332"/>
      <c r="QII512" s="332"/>
      <c r="QIJ512" s="332"/>
      <c r="QIK512" s="332"/>
      <c r="QIL512" s="332"/>
      <c r="QIM512" s="332"/>
      <c r="QIN512" s="332"/>
      <c r="QIO512" s="332"/>
      <c r="QIP512" s="332"/>
      <c r="QIQ512" s="332"/>
      <c r="QIR512" s="332"/>
      <c r="QIS512" s="332"/>
      <c r="QIT512" s="332"/>
      <c r="QIU512" s="332"/>
      <c r="QIV512" s="332"/>
      <c r="QIW512" s="332"/>
      <c r="QIX512" s="332"/>
      <c r="QIY512" s="332"/>
      <c r="QIZ512" s="332"/>
      <c r="QJA512" s="332"/>
      <c r="QJB512" s="332"/>
      <c r="QJC512" s="332"/>
      <c r="QJD512" s="332"/>
      <c r="QJE512" s="332"/>
      <c r="QJF512" s="332"/>
      <c r="QJG512" s="332"/>
      <c r="QJH512" s="332"/>
      <c r="QJI512" s="332"/>
      <c r="QJJ512" s="332"/>
      <c r="QJK512" s="332"/>
      <c r="QJL512" s="332"/>
      <c r="QJM512" s="332"/>
      <c r="QJN512" s="332"/>
      <c r="QJO512" s="332"/>
      <c r="QJP512" s="332"/>
      <c r="QJQ512" s="332"/>
      <c r="QJR512" s="332"/>
      <c r="QJS512" s="332"/>
      <c r="QJT512" s="332"/>
      <c r="QJU512" s="332"/>
      <c r="QJV512" s="332"/>
      <c r="QJW512" s="332"/>
      <c r="QJX512" s="332"/>
      <c r="QJY512" s="332"/>
      <c r="QJZ512" s="332"/>
      <c r="QKA512" s="332"/>
      <c r="QKB512" s="332"/>
      <c r="QKC512" s="332"/>
      <c r="QKD512" s="332"/>
      <c r="QKE512" s="332"/>
      <c r="QKF512" s="332"/>
      <c r="QKG512" s="332"/>
      <c r="QKH512" s="332"/>
      <c r="QKI512" s="332"/>
      <c r="QKJ512" s="332"/>
      <c r="QKK512" s="332"/>
      <c r="QKL512" s="332"/>
      <c r="QKM512" s="332"/>
      <c r="QKN512" s="332"/>
      <c r="QKO512" s="332"/>
      <c r="QKP512" s="332"/>
      <c r="QKQ512" s="332"/>
      <c r="QKR512" s="332"/>
      <c r="QKS512" s="332"/>
      <c r="QKT512" s="332"/>
      <c r="QKU512" s="332"/>
      <c r="QKV512" s="332"/>
      <c r="QKW512" s="332"/>
      <c r="QKX512" s="332"/>
      <c r="QKY512" s="332"/>
      <c r="QKZ512" s="332"/>
      <c r="QLA512" s="332"/>
      <c r="QLB512" s="332"/>
      <c r="QLC512" s="332"/>
      <c r="QLD512" s="332"/>
      <c r="QLE512" s="332"/>
      <c r="QLF512" s="332"/>
      <c r="QLG512" s="332"/>
      <c r="QLH512" s="332"/>
      <c r="QLI512" s="332"/>
      <c r="QLJ512" s="332"/>
      <c r="QLK512" s="332"/>
      <c r="QLL512" s="332"/>
      <c r="QLM512" s="332"/>
      <c r="QLN512" s="332"/>
      <c r="QLO512" s="332"/>
      <c r="QLP512" s="332"/>
      <c r="QLQ512" s="332"/>
      <c r="QLR512" s="332"/>
      <c r="QLS512" s="332"/>
      <c r="QLT512" s="332"/>
      <c r="QLU512" s="332"/>
      <c r="QLV512" s="332"/>
      <c r="QLW512" s="332"/>
      <c r="QLX512" s="332"/>
      <c r="QLY512" s="332"/>
      <c r="QLZ512" s="332"/>
      <c r="QMA512" s="332"/>
      <c r="QMB512" s="332"/>
      <c r="QMC512" s="332"/>
      <c r="QMD512" s="332"/>
      <c r="QME512" s="332"/>
      <c r="QMF512" s="332"/>
      <c r="QMG512" s="332"/>
      <c r="QMH512" s="332"/>
      <c r="QMI512" s="332"/>
      <c r="QMJ512" s="332"/>
      <c r="QMK512" s="332"/>
      <c r="QML512" s="332"/>
      <c r="QMM512" s="332"/>
      <c r="QMN512" s="332"/>
      <c r="QMO512" s="332"/>
      <c r="QMP512" s="332"/>
      <c r="QMQ512" s="332"/>
      <c r="QMR512" s="332"/>
      <c r="QMS512" s="332"/>
      <c r="QMT512" s="332"/>
      <c r="QMU512" s="332"/>
      <c r="QMV512" s="332"/>
      <c r="QMW512" s="332"/>
      <c r="QMX512" s="332"/>
      <c r="QMY512" s="332"/>
      <c r="QMZ512" s="332"/>
      <c r="QNA512" s="332"/>
      <c r="QNB512" s="332"/>
      <c r="QNC512" s="332"/>
      <c r="QND512" s="332"/>
      <c r="QNE512" s="332"/>
      <c r="QNF512" s="332"/>
      <c r="QNG512" s="332"/>
      <c r="QNH512" s="332"/>
      <c r="QNI512" s="332"/>
      <c r="QNJ512" s="332"/>
      <c r="QNK512" s="332"/>
      <c r="QNL512" s="332"/>
      <c r="QNM512" s="332"/>
      <c r="QNN512" s="332"/>
      <c r="QNO512" s="332"/>
      <c r="QNP512" s="332"/>
      <c r="QNQ512" s="332"/>
      <c r="QNR512" s="332"/>
      <c r="QNS512" s="332"/>
      <c r="QNT512" s="332"/>
      <c r="QNU512" s="332"/>
      <c r="QNV512" s="332"/>
      <c r="QNW512" s="332"/>
      <c r="QNX512" s="332"/>
      <c r="QNY512" s="332"/>
      <c r="QNZ512" s="332"/>
      <c r="QOA512" s="332"/>
      <c r="QOB512" s="332"/>
      <c r="QOC512" s="332"/>
      <c r="QOD512" s="332"/>
      <c r="QOE512" s="332"/>
      <c r="QOF512" s="332"/>
      <c r="QOG512" s="332"/>
      <c r="QOH512" s="332"/>
      <c r="QOI512" s="332"/>
      <c r="QOJ512" s="332"/>
      <c r="QOK512" s="332"/>
      <c r="QOL512" s="332"/>
      <c r="QOM512" s="332"/>
      <c r="QON512" s="332"/>
      <c r="QOO512" s="332"/>
      <c r="QOP512" s="332"/>
      <c r="QOQ512" s="332"/>
      <c r="QOR512" s="332"/>
      <c r="QOS512" s="332"/>
      <c r="QOT512" s="332"/>
      <c r="QOU512" s="332"/>
      <c r="QOV512" s="332"/>
      <c r="QOW512" s="332"/>
      <c r="QOX512" s="332"/>
      <c r="QOY512" s="332"/>
      <c r="QOZ512" s="332"/>
      <c r="QPA512" s="332"/>
      <c r="QPB512" s="332"/>
      <c r="QPC512" s="332"/>
      <c r="QPD512" s="332"/>
      <c r="QPE512" s="332"/>
      <c r="QPF512" s="332"/>
      <c r="QPG512" s="332"/>
      <c r="QPH512" s="332"/>
      <c r="QPI512" s="332"/>
      <c r="QPJ512" s="332"/>
      <c r="QPK512" s="332"/>
      <c r="QPL512" s="332"/>
      <c r="QPM512" s="332"/>
      <c r="QPN512" s="332"/>
      <c r="QPO512" s="332"/>
      <c r="QPP512" s="332"/>
      <c r="QPQ512" s="332"/>
      <c r="QPR512" s="332"/>
      <c r="QPS512" s="332"/>
      <c r="QPT512" s="332"/>
      <c r="QPU512" s="332"/>
      <c r="QPV512" s="332"/>
      <c r="QPW512" s="332"/>
      <c r="QPX512" s="332"/>
      <c r="QPY512" s="332"/>
      <c r="QPZ512" s="332"/>
      <c r="QQA512" s="332"/>
      <c r="QQB512" s="332"/>
      <c r="QQC512" s="332"/>
      <c r="QQD512" s="332"/>
      <c r="QQE512" s="332"/>
      <c r="QQF512" s="332"/>
      <c r="QQG512" s="332"/>
      <c r="QQH512" s="332"/>
      <c r="QQI512" s="332"/>
      <c r="QQJ512" s="332"/>
      <c r="QQK512" s="332"/>
      <c r="QQL512" s="332"/>
      <c r="QQM512" s="332"/>
      <c r="QQN512" s="332"/>
      <c r="QQO512" s="332"/>
      <c r="QQP512" s="332"/>
      <c r="QQQ512" s="332"/>
      <c r="QQR512" s="332"/>
      <c r="QQS512" s="332"/>
      <c r="QQT512" s="332"/>
      <c r="QQU512" s="332"/>
      <c r="QQV512" s="332"/>
      <c r="QQW512" s="332"/>
      <c r="QQX512" s="332"/>
      <c r="QQY512" s="332"/>
      <c r="QQZ512" s="332"/>
      <c r="QRA512" s="332"/>
      <c r="QRB512" s="332"/>
      <c r="QRC512" s="332"/>
      <c r="QRD512" s="332"/>
      <c r="QRE512" s="332"/>
      <c r="QRF512" s="332"/>
      <c r="QRG512" s="332"/>
      <c r="QRH512" s="332"/>
      <c r="QRI512" s="332"/>
      <c r="QRJ512" s="332"/>
      <c r="QRK512" s="332"/>
      <c r="QRL512" s="332"/>
      <c r="QRM512" s="332"/>
      <c r="QRN512" s="332"/>
      <c r="QRO512" s="332"/>
      <c r="QRP512" s="332"/>
      <c r="QRQ512" s="332"/>
      <c r="QRR512" s="332"/>
      <c r="QRS512" s="332"/>
      <c r="QRT512" s="332"/>
      <c r="QRU512" s="332"/>
      <c r="QRV512" s="332"/>
      <c r="QRW512" s="332"/>
      <c r="QRX512" s="332"/>
      <c r="QRY512" s="332"/>
      <c r="QRZ512" s="332"/>
      <c r="QSA512" s="332"/>
      <c r="QSB512" s="332"/>
      <c r="QSC512" s="332"/>
      <c r="QSD512" s="332"/>
      <c r="QSE512" s="332"/>
      <c r="QSF512" s="332"/>
      <c r="QSG512" s="332"/>
      <c r="QSH512" s="332"/>
      <c r="QSI512" s="332"/>
      <c r="QSJ512" s="332"/>
      <c r="QSK512" s="332"/>
      <c r="QSL512" s="332"/>
      <c r="QSM512" s="332"/>
      <c r="QSN512" s="332"/>
      <c r="QSO512" s="332"/>
      <c r="QSP512" s="332"/>
      <c r="QSQ512" s="332"/>
      <c r="QSR512" s="332"/>
      <c r="QSS512" s="332"/>
      <c r="QST512" s="332"/>
      <c r="QSU512" s="332"/>
      <c r="QSV512" s="332"/>
      <c r="QSW512" s="332"/>
      <c r="QSX512" s="332"/>
      <c r="QSY512" s="332"/>
      <c r="QSZ512" s="332"/>
      <c r="QTA512" s="332"/>
      <c r="QTB512" s="332"/>
      <c r="QTC512" s="332"/>
      <c r="QTD512" s="332"/>
      <c r="QTE512" s="332"/>
      <c r="QTF512" s="332"/>
      <c r="QTG512" s="332"/>
      <c r="QTH512" s="332"/>
      <c r="QTI512" s="332"/>
      <c r="QTJ512" s="332"/>
      <c r="QTK512" s="332"/>
      <c r="QTL512" s="332"/>
      <c r="QTM512" s="332"/>
      <c r="QTN512" s="332"/>
      <c r="QTO512" s="332"/>
      <c r="QTP512" s="332"/>
      <c r="QTQ512" s="332"/>
      <c r="QTR512" s="332"/>
      <c r="QTS512" s="332"/>
      <c r="QTT512" s="332"/>
      <c r="QTU512" s="332"/>
      <c r="QTV512" s="332"/>
      <c r="QTW512" s="332"/>
      <c r="QTX512" s="332"/>
      <c r="QTY512" s="332"/>
      <c r="QTZ512" s="332"/>
      <c r="QUA512" s="332"/>
      <c r="QUB512" s="332"/>
      <c r="QUC512" s="332"/>
      <c r="QUD512" s="332"/>
      <c r="QUE512" s="332"/>
      <c r="QUF512" s="332"/>
      <c r="QUG512" s="332"/>
      <c r="QUH512" s="332"/>
      <c r="QUI512" s="332"/>
      <c r="QUJ512" s="332"/>
      <c r="QUK512" s="332"/>
      <c r="QUL512" s="332"/>
      <c r="QUM512" s="332"/>
      <c r="QUN512" s="332"/>
      <c r="QUO512" s="332"/>
      <c r="QUP512" s="332"/>
      <c r="QUQ512" s="332"/>
      <c r="QUR512" s="332"/>
      <c r="QUS512" s="332"/>
      <c r="QUT512" s="332"/>
      <c r="QUU512" s="332"/>
      <c r="QUV512" s="332"/>
      <c r="QUW512" s="332"/>
      <c r="QUX512" s="332"/>
      <c r="QUY512" s="332"/>
      <c r="QUZ512" s="332"/>
      <c r="QVA512" s="332"/>
      <c r="QVB512" s="332"/>
      <c r="QVC512" s="332"/>
      <c r="QVD512" s="332"/>
      <c r="QVE512" s="332"/>
      <c r="QVF512" s="332"/>
      <c r="QVG512" s="332"/>
      <c r="QVH512" s="332"/>
      <c r="QVI512" s="332"/>
      <c r="QVJ512" s="332"/>
      <c r="QVK512" s="332"/>
      <c r="QVL512" s="332"/>
      <c r="QVM512" s="332"/>
      <c r="QVN512" s="332"/>
      <c r="QVO512" s="332"/>
      <c r="QVP512" s="332"/>
      <c r="QVQ512" s="332"/>
      <c r="QVR512" s="332"/>
      <c r="QVS512" s="332"/>
      <c r="QVT512" s="332"/>
      <c r="QVU512" s="332"/>
      <c r="QVV512" s="332"/>
      <c r="QVW512" s="332"/>
      <c r="QVX512" s="332"/>
      <c r="QVY512" s="332"/>
      <c r="QVZ512" s="332"/>
      <c r="QWA512" s="332"/>
      <c r="QWB512" s="332"/>
      <c r="QWC512" s="332"/>
      <c r="QWD512" s="332"/>
      <c r="QWE512" s="332"/>
      <c r="QWF512" s="332"/>
      <c r="QWG512" s="332"/>
      <c r="QWH512" s="332"/>
      <c r="QWI512" s="332"/>
      <c r="QWJ512" s="332"/>
      <c r="QWK512" s="332"/>
      <c r="QWL512" s="332"/>
      <c r="QWM512" s="332"/>
      <c r="QWN512" s="332"/>
      <c r="QWO512" s="332"/>
      <c r="QWP512" s="332"/>
      <c r="QWQ512" s="332"/>
      <c r="QWR512" s="332"/>
      <c r="QWS512" s="332"/>
      <c r="QWT512" s="332"/>
      <c r="QWU512" s="332"/>
      <c r="QWV512" s="332"/>
      <c r="QWW512" s="332"/>
      <c r="QWX512" s="332"/>
      <c r="QWY512" s="332"/>
      <c r="QWZ512" s="332"/>
      <c r="QXA512" s="332"/>
      <c r="QXB512" s="332"/>
      <c r="QXC512" s="332"/>
      <c r="QXD512" s="332"/>
      <c r="QXE512" s="332"/>
      <c r="QXF512" s="332"/>
      <c r="QXG512" s="332"/>
      <c r="QXH512" s="332"/>
      <c r="QXI512" s="332"/>
      <c r="QXJ512" s="332"/>
      <c r="QXK512" s="332"/>
      <c r="QXL512" s="332"/>
      <c r="QXM512" s="332"/>
      <c r="QXN512" s="332"/>
      <c r="QXO512" s="332"/>
      <c r="QXP512" s="332"/>
      <c r="QXQ512" s="332"/>
      <c r="QXR512" s="332"/>
      <c r="QXS512" s="332"/>
      <c r="QXT512" s="332"/>
      <c r="QXU512" s="332"/>
      <c r="QXV512" s="332"/>
      <c r="QXW512" s="332"/>
      <c r="QXX512" s="332"/>
      <c r="QXY512" s="332"/>
      <c r="QXZ512" s="332"/>
      <c r="QYA512" s="332"/>
      <c r="QYB512" s="332"/>
      <c r="QYC512" s="332"/>
      <c r="QYD512" s="332"/>
      <c r="QYE512" s="332"/>
      <c r="QYF512" s="332"/>
      <c r="QYG512" s="332"/>
      <c r="QYH512" s="332"/>
      <c r="QYI512" s="332"/>
      <c r="QYJ512" s="332"/>
      <c r="QYK512" s="332"/>
      <c r="QYL512" s="332"/>
      <c r="QYM512" s="332"/>
      <c r="QYN512" s="332"/>
      <c r="QYO512" s="332"/>
      <c r="QYP512" s="332"/>
      <c r="QYQ512" s="332"/>
      <c r="QYR512" s="332"/>
      <c r="QYS512" s="332"/>
      <c r="QYT512" s="332"/>
      <c r="QYU512" s="332"/>
      <c r="QYV512" s="332"/>
      <c r="QYW512" s="332"/>
      <c r="QYX512" s="332"/>
      <c r="QYY512" s="332"/>
      <c r="QYZ512" s="332"/>
      <c r="QZA512" s="332"/>
      <c r="QZB512" s="332"/>
      <c r="QZC512" s="332"/>
      <c r="QZD512" s="332"/>
      <c r="QZE512" s="332"/>
      <c r="QZF512" s="332"/>
      <c r="QZG512" s="332"/>
      <c r="QZH512" s="332"/>
      <c r="QZI512" s="332"/>
      <c r="QZJ512" s="332"/>
      <c r="QZK512" s="332"/>
      <c r="QZL512" s="332"/>
      <c r="QZM512" s="332"/>
      <c r="QZN512" s="332"/>
      <c r="QZO512" s="332"/>
      <c r="QZP512" s="332"/>
      <c r="QZQ512" s="332"/>
      <c r="QZR512" s="332"/>
      <c r="QZS512" s="332"/>
      <c r="QZT512" s="332"/>
      <c r="QZU512" s="332"/>
      <c r="QZV512" s="332"/>
      <c r="QZW512" s="332"/>
      <c r="QZX512" s="332"/>
      <c r="QZY512" s="332"/>
      <c r="QZZ512" s="332"/>
      <c r="RAA512" s="332"/>
      <c r="RAB512" s="332"/>
      <c r="RAC512" s="332"/>
      <c r="RAD512" s="332"/>
      <c r="RAE512" s="332"/>
      <c r="RAF512" s="332"/>
      <c r="RAG512" s="332"/>
      <c r="RAH512" s="332"/>
      <c r="RAI512" s="332"/>
      <c r="RAJ512" s="332"/>
      <c r="RAK512" s="332"/>
      <c r="RAL512" s="332"/>
      <c r="RAM512" s="332"/>
      <c r="RAN512" s="332"/>
      <c r="RAO512" s="332"/>
      <c r="RAP512" s="332"/>
      <c r="RAQ512" s="332"/>
      <c r="RAR512" s="332"/>
      <c r="RAS512" s="332"/>
      <c r="RAT512" s="332"/>
      <c r="RAU512" s="332"/>
      <c r="RAV512" s="332"/>
      <c r="RAW512" s="332"/>
      <c r="RAX512" s="332"/>
      <c r="RAY512" s="332"/>
      <c r="RAZ512" s="332"/>
      <c r="RBA512" s="332"/>
      <c r="RBB512" s="332"/>
      <c r="RBC512" s="332"/>
      <c r="RBD512" s="332"/>
      <c r="RBE512" s="332"/>
      <c r="RBF512" s="332"/>
      <c r="RBG512" s="332"/>
      <c r="RBH512" s="332"/>
      <c r="RBI512" s="332"/>
      <c r="RBJ512" s="332"/>
      <c r="RBK512" s="332"/>
      <c r="RBL512" s="332"/>
      <c r="RBM512" s="332"/>
      <c r="RBN512" s="332"/>
      <c r="RBO512" s="332"/>
      <c r="RBP512" s="332"/>
      <c r="RBQ512" s="332"/>
      <c r="RBR512" s="332"/>
      <c r="RBS512" s="332"/>
      <c r="RBT512" s="332"/>
      <c r="RBU512" s="332"/>
      <c r="RBV512" s="332"/>
      <c r="RBW512" s="332"/>
      <c r="RBX512" s="332"/>
      <c r="RBY512" s="332"/>
      <c r="RBZ512" s="332"/>
      <c r="RCA512" s="332"/>
      <c r="RCB512" s="332"/>
      <c r="RCC512" s="332"/>
      <c r="RCD512" s="332"/>
      <c r="RCE512" s="332"/>
      <c r="RCF512" s="332"/>
      <c r="RCG512" s="332"/>
      <c r="RCH512" s="332"/>
      <c r="RCI512" s="332"/>
      <c r="RCJ512" s="332"/>
      <c r="RCK512" s="332"/>
      <c r="RCL512" s="332"/>
      <c r="RCM512" s="332"/>
      <c r="RCN512" s="332"/>
      <c r="RCO512" s="332"/>
      <c r="RCP512" s="332"/>
      <c r="RCQ512" s="332"/>
      <c r="RCR512" s="332"/>
      <c r="RCS512" s="332"/>
      <c r="RCT512" s="332"/>
      <c r="RCU512" s="332"/>
      <c r="RCV512" s="332"/>
      <c r="RCW512" s="332"/>
      <c r="RCX512" s="332"/>
      <c r="RCY512" s="332"/>
      <c r="RCZ512" s="332"/>
      <c r="RDA512" s="332"/>
      <c r="RDB512" s="332"/>
      <c r="RDC512" s="332"/>
      <c r="RDD512" s="332"/>
      <c r="RDE512" s="332"/>
      <c r="RDF512" s="332"/>
      <c r="RDG512" s="332"/>
      <c r="RDH512" s="332"/>
      <c r="RDI512" s="332"/>
      <c r="RDJ512" s="332"/>
      <c r="RDK512" s="332"/>
      <c r="RDL512" s="332"/>
      <c r="RDM512" s="332"/>
      <c r="RDN512" s="332"/>
      <c r="RDO512" s="332"/>
      <c r="RDP512" s="332"/>
      <c r="RDQ512" s="332"/>
      <c r="RDR512" s="332"/>
      <c r="RDS512" s="332"/>
      <c r="RDT512" s="332"/>
      <c r="RDU512" s="332"/>
      <c r="RDV512" s="332"/>
      <c r="RDW512" s="332"/>
      <c r="RDX512" s="332"/>
      <c r="RDY512" s="332"/>
      <c r="RDZ512" s="332"/>
      <c r="REA512" s="332"/>
      <c r="REB512" s="332"/>
      <c r="REC512" s="332"/>
      <c r="RED512" s="332"/>
      <c r="REE512" s="332"/>
      <c r="REF512" s="332"/>
      <c r="REG512" s="332"/>
      <c r="REH512" s="332"/>
      <c r="REI512" s="332"/>
      <c r="REJ512" s="332"/>
      <c r="REK512" s="332"/>
      <c r="REL512" s="332"/>
      <c r="REM512" s="332"/>
      <c r="REN512" s="332"/>
      <c r="REO512" s="332"/>
      <c r="REP512" s="332"/>
      <c r="REQ512" s="332"/>
      <c r="RER512" s="332"/>
      <c r="RES512" s="332"/>
      <c r="RET512" s="332"/>
      <c r="REU512" s="332"/>
      <c r="REV512" s="332"/>
      <c r="REW512" s="332"/>
      <c r="REX512" s="332"/>
      <c r="REY512" s="332"/>
      <c r="REZ512" s="332"/>
      <c r="RFA512" s="332"/>
      <c r="RFB512" s="332"/>
      <c r="RFC512" s="332"/>
      <c r="RFD512" s="332"/>
      <c r="RFE512" s="332"/>
      <c r="RFF512" s="332"/>
      <c r="RFG512" s="332"/>
      <c r="RFH512" s="332"/>
      <c r="RFI512" s="332"/>
      <c r="RFJ512" s="332"/>
      <c r="RFK512" s="332"/>
      <c r="RFL512" s="332"/>
      <c r="RFM512" s="332"/>
      <c r="RFN512" s="332"/>
      <c r="RFO512" s="332"/>
      <c r="RFP512" s="332"/>
      <c r="RFQ512" s="332"/>
      <c r="RFR512" s="332"/>
      <c r="RFS512" s="332"/>
      <c r="RFT512" s="332"/>
      <c r="RFU512" s="332"/>
      <c r="RFV512" s="332"/>
      <c r="RFW512" s="332"/>
      <c r="RFX512" s="332"/>
      <c r="RFY512" s="332"/>
      <c r="RFZ512" s="332"/>
      <c r="RGA512" s="332"/>
      <c r="RGB512" s="332"/>
      <c r="RGC512" s="332"/>
      <c r="RGD512" s="332"/>
      <c r="RGE512" s="332"/>
      <c r="RGF512" s="332"/>
      <c r="RGG512" s="332"/>
      <c r="RGH512" s="332"/>
      <c r="RGI512" s="332"/>
      <c r="RGJ512" s="332"/>
      <c r="RGK512" s="332"/>
      <c r="RGL512" s="332"/>
      <c r="RGM512" s="332"/>
      <c r="RGN512" s="332"/>
      <c r="RGO512" s="332"/>
      <c r="RGP512" s="332"/>
      <c r="RGQ512" s="332"/>
      <c r="RGR512" s="332"/>
      <c r="RGS512" s="332"/>
      <c r="RGT512" s="332"/>
      <c r="RGU512" s="332"/>
      <c r="RGV512" s="332"/>
      <c r="RGW512" s="332"/>
      <c r="RGX512" s="332"/>
      <c r="RGY512" s="332"/>
      <c r="RGZ512" s="332"/>
      <c r="RHA512" s="332"/>
      <c r="RHB512" s="332"/>
      <c r="RHC512" s="332"/>
      <c r="RHD512" s="332"/>
      <c r="RHE512" s="332"/>
      <c r="RHF512" s="332"/>
      <c r="RHG512" s="332"/>
      <c r="RHH512" s="332"/>
      <c r="RHI512" s="332"/>
      <c r="RHJ512" s="332"/>
      <c r="RHK512" s="332"/>
      <c r="RHL512" s="332"/>
      <c r="RHM512" s="332"/>
      <c r="RHN512" s="332"/>
      <c r="RHO512" s="332"/>
      <c r="RHP512" s="332"/>
      <c r="RHQ512" s="332"/>
      <c r="RHR512" s="332"/>
      <c r="RHS512" s="332"/>
      <c r="RHT512" s="332"/>
      <c r="RHU512" s="332"/>
      <c r="RHV512" s="332"/>
      <c r="RHW512" s="332"/>
      <c r="RHX512" s="332"/>
      <c r="RHY512" s="332"/>
      <c r="RHZ512" s="332"/>
      <c r="RIA512" s="332"/>
      <c r="RIB512" s="332"/>
      <c r="RIC512" s="332"/>
      <c r="RID512" s="332"/>
      <c r="RIE512" s="332"/>
      <c r="RIF512" s="332"/>
      <c r="RIG512" s="332"/>
      <c r="RIH512" s="332"/>
      <c r="RII512" s="332"/>
      <c r="RIJ512" s="332"/>
      <c r="RIK512" s="332"/>
      <c r="RIL512" s="332"/>
      <c r="RIM512" s="332"/>
      <c r="RIN512" s="332"/>
      <c r="RIO512" s="332"/>
      <c r="RIP512" s="332"/>
      <c r="RIQ512" s="332"/>
      <c r="RIR512" s="332"/>
      <c r="RIS512" s="332"/>
      <c r="RIT512" s="332"/>
      <c r="RIU512" s="332"/>
      <c r="RIV512" s="332"/>
      <c r="RIW512" s="332"/>
      <c r="RIX512" s="332"/>
      <c r="RIY512" s="332"/>
      <c r="RIZ512" s="332"/>
      <c r="RJA512" s="332"/>
      <c r="RJB512" s="332"/>
      <c r="RJC512" s="332"/>
      <c r="RJD512" s="332"/>
      <c r="RJE512" s="332"/>
      <c r="RJF512" s="332"/>
      <c r="RJG512" s="332"/>
      <c r="RJH512" s="332"/>
      <c r="RJI512" s="332"/>
      <c r="RJJ512" s="332"/>
      <c r="RJK512" s="332"/>
      <c r="RJL512" s="332"/>
      <c r="RJM512" s="332"/>
      <c r="RJN512" s="332"/>
      <c r="RJO512" s="332"/>
      <c r="RJP512" s="332"/>
      <c r="RJQ512" s="332"/>
      <c r="RJR512" s="332"/>
      <c r="RJS512" s="332"/>
      <c r="RJT512" s="332"/>
      <c r="RJU512" s="332"/>
      <c r="RJV512" s="332"/>
      <c r="RJW512" s="332"/>
      <c r="RJX512" s="332"/>
      <c r="RJY512" s="332"/>
      <c r="RJZ512" s="332"/>
      <c r="RKA512" s="332"/>
      <c r="RKB512" s="332"/>
      <c r="RKC512" s="332"/>
      <c r="RKD512" s="332"/>
      <c r="RKE512" s="332"/>
      <c r="RKF512" s="332"/>
      <c r="RKG512" s="332"/>
      <c r="RKH512" s="332"/>
      <c r="RKI512" s="332"/>
      <c r="RKJ512" s="332"/>
      <c r="RKK512" s="332"/>
      <c r="RKL512" s="332"/>
      <c r="RKM512" s="332"/>
      <c r="RKN512" s="332"/>
      <c r="RKO512" s="332"/>
      <c r="RKP512" s="332"/>
      <c r="RKQ512" s="332"/>
      <c r="RKR512" s="332"/>
      <c r="RKS512" s="332"/>
      <c r="RKT512" s="332"/>
      <c r="RKU512" s="332"/>
      <c r="RKV512" s="332"/>
      <c r="RKW512" s="332"/>
      <c r="RKX512" s="332"/>
      <c r="RKY512" s="332"/>
      <c r="RKZ512" s="332"/>
      <c r="RLA512" s="332"/>
      <c r="RLB512" s="332"/>
      <c r="RLC512" s="332"/>
      <c r="RLD512" s="332"/>
      <c r="RLE512" s="332"/>
      <c r="RLF512" s="332"/>
      <c r="RLG512" s="332"/>
      <c r="RLH512" s="332"/>
      <c r="RLI512" s="332"/>
      <c r="RLJ512" s="332"/>
      <c r="RLK512" s="332"/>
      <c r="RLL512" s="332"/>
      <c r="RLM512" s="332"/>
      <c r="RLN512" s="332"/>
      <c r="RLO512" s="332"/>
      <c r="RLP512" s="332"/>
      <c r="RLQ512" s="332"/>
      <c r="RLR512" s="332"/>
      <c r="RLS512" s="332"/>
      <c r="RLT512" s="332"/>
      <c r="RLU512" s="332"/>
      <c r="RLV512" s="332"/>
      <c r="RLW512" s="332"/>
      <c r="RLX512" s="332"/>
      <c r="RLY512" s="332"/>
      <c r="RLZ512" s="332"/>
      <c r="RMA512" s="332"/>
      <c r="RMB512" s="332"/>
      <c r="RMC512" s="332"/>
      <c r="RMD512" s="332"/>
      <c r="RME512" s="332"/>
      <c r="RMF512" s="332"/>
      <c r="RMG512" s="332"/>
      <c r="RMH512" s="332"/>
      <c r="RMI512" s="332"/>
      <c r="RMJ512" s="332"/>
      <c r="RMK512" s="332"/>
      <c r="RML512" s="332"/>
      <c r="RMM512" s="332"/>
      <c r="RMN512" s="332"/>
      <c r="RMO512" s="332"/>
      <c r="RMP512" s="332"/>
      <c r="RMQ512" s="332"/>
      <c r="RMR512" s="332"/>
      <c r="RMS512" s="332"/>
      <c r="RMT512" s="332"/>
      <c r="RMU512" s="332"/>
      <c r="RMV512" s="332"/>
      <c r="RMW512" s="332"/>
      <c r="RMX512" s="332"/>
      <c r="RMY512" s="332"/>
      <c r="RMZ512" s="332"/>
      <c r="RNA512" s="332"/>
      <c r="RNB512" s="332"/>
      <c r="RNC512" s="332"/>
      <c r="RND512" s="332"/>
      <c r="RNE512" s="332"/>
      <c r="RNF512" s="332"/>
      <c r="RNG512" s="332"/>
      <c r="RNH512" s="332"/>
      <c r="RNI512" s="332"/>
      <c r="RNJ512" s="332"/>
      <c r="RNK512" s="332"/>
      <c r="RNL512" s="332"/>
      <c r="RNM512" s="332"/>
      <c r="RNN512" s="332"/>
      <c r="RNO512" s="332"/>
      <c r="RNP512" s="332"/>
      <c r="RNQ512" s="332"/>
      <c r="RNR512" s="332"/>
      <c r="RNS512" s="332"/>
      <c r="RNT512" s="332"/>
      <c r="RNU512" s="332"/>
      <c r="RNV512" s="332"/>
      <c r="RNW512" s="332"/>
      <c r="RNX512" s="332"/>
      <c r="RNY512" s="332"/>
      <c r="RNZ512" s="332"/>
      <c r="ROA512" s="332"/>
      <c r="ROB512" s="332"/>
      <c r="ROC512" s="332"/>
      <c r="ROD512" s="332"/>
      <c r="ROE512" s="332"/>
      <c r="ROF512" s="332"/>
      <c r="ROG512" s="332"/>
      <c r="ROH512" s="332"/>
      <c r="ROI512" s="332"/>
      <c r="ROJ512" s="332"/>
      <c r="ROK512" s="332"/>
      <c r="ROL512" s="332"/>
      <c r="ROM512" s="332"/>
      <c r="RON512" s="332"/>
      <c r="ROO512" s="332"/>
      <c r="ROP512" s="332"/>
      <c r="ROQ512" s="332"/>
      <c r="ROR512" s="332"/>
      <c r="ROS512" s="332"/>
      <c r="ROT512" s="332"/>
      <c r="ROU512" s="332"/>
      <c r="ROV512" s="332"/>
      <c r="ROW512" s="332"/>
      <c r="ROX512" s="332"/>
      <c r="ROY512" s="332"/>
      <c r="ROZ512" s="332"/>
      <c r="RPA512" s="332"/>
      <c r="RPB512" s="332"/>
      <c r="RPC512" s="332"/>
      <c r="RPD512" s="332"/>
      <c r="RPE512" s="332"/>
      <c r="RPF512" s="332"/>
      <c r="RPG512" s="332"/>
      <c r="RPH512" s="332"/>
      <c r="RPI512" s="332"/>
      <c r="RPJ512" s="332"/>
      <c r="RPK512" s="332"/>
      <c r="RPL512" s="332"/>
      <c r="RPM512" s="332"/>
      <c r="RPN512" s="332"/>
      <c r="RPO512" s="332"/>
      <c r="RPP512" s="332"/>
      <c r="RPQ512" s="332"/>
      <c r="RPR512" s="332"/>
      <c r="RPS512" s="332"/>
      <c r="RPT512" s="332"/>
      <c r="RPU512" s="332"/>
      <c r="RPV512" s="332"/>
      <c r="RPW512" s="332"/>
      <c r="RPX512" s="332"/>
      <c r="RPY512" s="332"/>
      <c r="RPZ512" s="332"/>
      <c r="RQA512" s="332"/>
      <c r="RQB512" s="332"/>
      <c r="RQC512" s="332"/>
      <c r="RQD512" s="332"/>
      <c r="RQE512" s="332"/>
      <c r="RQF512" s="332"/>
      <c r="RQG512" s="332"/>
      <c r="RQH512" s="332"/>
      <c r="RQI512" s="332"/>
      <c r="RQJ512" s="332"/>
      <c r="RQK512" s="332"/>
      <c r="RQL512" s="332"/>
      <c r="RQM512" s="332"/>
      <c r="RQN512" s="332"/>
      <c r="RQO512" s="332"/>
      <c r="RQP512" s="332"/>
      <c r="RQQ512" s="332"/>
      <c r="RQR512" s="332"/>
      <c r="RQS512" s="332"/>
      <c r="RQT512" s="332"/>
      <c r="RQU512" s="332"/>
      <c r="RQV512" s="332"/>
      <c r="RQW512" s="332"/>
      <c r="RQX512" s="332"/>
      <c r="RQY512" s="332"/>
      <c r="RQZ512" s="332"/>
      <c r="RRA512" s="332"/>
      <c r="RRB512" s="332"/>
      <c r="RRC512" s="332"/>
      <c r="RRD512" s="332"/>
      <c r="RRE512" s="332"/>
      <c r="RRF512" s="332"/>
      <c r="RRG512" s="332"/>
      <c r="RRH512" s="332"/>
      <c r="RRI512" s="332"/>
      <c r="RRJ512" s="332"/>
      <c r="RRK512" s="332"/>
      <c r="RRL512" s="332"/>
      <c r="RRM512" s="332"/>
      <c r="RRN512" s="332"/>
      <c r="RRO512" s="332"/>
      <c r="RRP512" s="332"/>
      <c r="RRQ512" s="332"/>
      <c r="RRR512" s="332"/>
      <c r="RRS512" s="332"/>
      <c r="RRT512" s="332"/>
      <c r="RRU512" s="332"/>
      <c r="RRV512" s="332"/>
      <c r="RRW512" s="332"/>
      <c r="RRX512" s="332"/>
      <c r="RRY512" s="332"/>
      <c r="RRZ512" s="332"/>
      <c r="RSA512" s="332"/>
      <c r="RSB512" s="332"/>
      <c r="RSC512" s="332"/>
      <c r="RSD512" s="332"/>
      <c r="RSE512" s="332"/>
      <c r="RSF512" s="332"/>
      <c r="RSG512" s="332"/>
      <c r="RSH512" s="332"/>
      <c r="RSI512" s="332"/>
      <c r="RSJ512" s="332"/>
      <c r="RSK512" s="332"/>
      <c r="RSL512" s="332"/>
      <c r="RSM512" s="332"/>
      <c r="RSN512" s="332"/>
      <c r="RSO512" s="332"/>
      <c r="RSP512" s="332"/>
      <c r="RSQ512" s="332"/>
      <c r="RSR512" s="332"/>
      <c r="RSS512" s="332"/>
      <c r="RST512" s="332"/>
      <c r="RSU512" s="332"/>
      <c r="RSV512" s="332"/>
      <c r="RSW512" s="332"/>
      <c r="RSX512" s="332"/>
      <c r="RSY512" s="332"/>
      <c r="RSZ512" s="332"/>
      <c r="RTA512" s="332"/>
      <c r="RTB512" s="332"/>
      <c r="RTC512" s="332"/>
      <c r="RTD512" s="332"/>
      <c r="RTE512" s="332"/>
      <c r="RTF512" s="332"/>
      <c r="RTG512" s="332"/>
      <c r="RTH512" s="332"/>
      <c r="RTI512" s="332"/>
      <c r="RTJ512" s="332"/>
      <c r="RTK512" s="332"/>
      <c r="RTL512" s="332"/>
      <c r="RTM512" s="332"/>
      <c r="RTN512" s="332"/>
      <c r="RTO512" s="332"/>
      <c r="RTP512" s="332"/>
      <c r="RTQ512" s="332"/>
      <c r="RTR512" s="332"/>
      <c r="RTS512" s="332"/>
      <c r="RTT512" s="332"/>
      <c r="RTU512" s="332"/>
      <c r="RTV512" s="332"/>
      <c r="RTW512" s="332"/>
      <c r="RTX512" s="332"/>
      <c r="RTY512" s="332"/>
      <c r="RTZ512" s="332"/>
      <c r="RUA512" s="332"/>
      <c r="RUB512" s="332"/>
      <c r="RUC512" s="332"/>
      <c r="RUD512" s="332"/>
      <c r="RUE512" s="332"/>
      <c r="RUF512" s="332"/>
      <c r="RUG512" s="332"/>
      <c r="RUH512" s="332"/>
      <c r="RUI512" s="332"/>
      <c r="RUJ512" s="332"/>
      <c r="RUK512" s="332"/>
      <c r="RUL512" s="332"/>
      <c r="RUM512" s="332"/>
      <c r="RUN512" s="332"/>
      <c r="RUO512" s="332"/>
      <c r="RUP512" s="332"/>
      <c r="RUQ512" s="332"/>
      <c r="RUR512" s="332"/>
      <c r="RUS512" s="332"/>
      <c r="RUT512" s="332"/>
      <c r="RUU512" s="332"/>
      <c r="RUV512" s="332"/>
      <c r="RUW512" s="332"/>
      <c r="RUX512" s="332"/>
      <c r="RUY512" s="332"/>
      <c r="RUZ512" s="332"/>
      <c r="RVA512" s="332"/>
      <c r="RVB512" s="332"/>
      <c r="RVC512" s="332"/>
      <c r="RVD512" s="332"/>
      <c r="RVE512" s="332"/>
      <c r="RVF512" s="332"/>
      <c r="RVG512" s="332"/>
      <c r="RVH512" s="332"/>
      <c r="RVI512" s="332"/>
      <c r="RVJ512" s="332"/>
      <c r="RVK512" s="332"/>
      <c r="RVL512" s="332"/>
      <c r="RVM512" s="332"/>
      <c r="RVN512" s="332"/>
      <c r="RVO512" s="332"/>
      <c r="RVP512" s="332"/>
      <c r="RVQ512" s="332"/>
      <c r="RVR512" s="332"/>
      <c r="RVS512" s="332"/>
      <c r="RVT512" s="332"/>
      <c r="RVU512" s="332"/>
      <c r="RVV512" s="332"/>
      <c r="RVW512" s="332"/>
      <c r="RVX512" s="332"/>
      <c r="RVY512" s="332"/>
      <c r="RVZ512" s="332"/>
      <c r="RWA512" s="332"/>
      <c r="RWB512" s="332"/>
      <c r="RWC512" s="332"/>
      <c r="RWD512" s="332"/>
      <c r="RWE512" s="332"/>
      <c r="RWF512" s="332"/>
      <c r="RWG512" s="332"/>
      <c r="RWH512" s="332"/>
      <c r="RWI512" s="332"/>
      <c r="RWJ512" s="332"/>
      <c r="RWK512" s="332"/>
      <c r="RWL512" s="332"/>
      <c r="RWM512" s="332"/>
      <c r="RWN512" s="332"/>
      <c r="RWO512" s="332"/>
      <c r="RWP512" s="332"/>
      <c r="RWQ512" s="332"/>
      <c r="RWR512" s="332"/>
      <c r="RWS512" s="332"/>
      <c r="RWT512" s="332"/>
      <c r="RWU512" s="332"/>
      <c r="RWV512" s="332"/>
      <c r="RWW512" s="332"/>
      <c r="RWX512" s="332"/>
      <c r="RWY512" s="332"/>
      <c r="RWZ512" s="332"/>
      <c r="RXA512" s="332"/>
      <c r="RXB512" s="332"/>
      <c r="RXC512" s="332"/>
      <c r="RXD512" s="332"/>
      <c r="RXE512" s="332"/>
      <c r="RXF512" s="332"/>
      <c r="RXG512" s="332"/>
      <c r="RXH512" s="332"/>
      <c r="RXI512" s="332"/>
      <c r="RXJ512" s="332"/>
      <c r="RXK512" s="332"/>
      <c r="RXL512" s="332"/>
      <c r="RXM512" s="332"/>
      <c r="RXN512" s="332"/>
      <c r="RXO512" s="332"/>
      <c r="RXP512" s="332"/>
      <c r="RXQ512" s="332"/>
      <c r="RXR512" s="332"/>
      <c r="RXS512" s="332"/>
      <c r="RXT512" s="332"/>
      <c r="RXU512" s="332"/>
      <c r="RXV512" s="332"/>
      <c r="RXW512" s="332"/>
      <c r="RXX512" s="332"/>
      <c r="RXY512" s="332"/>
      <c r="RXZ512" s="332"/>
      <c r="RYA512" s="332"/>
      <c r="RYB512" s="332"/>
      <c r="RYC512" s="332"/>
      <c r="RYD512" s="332"/>
      <c r="RYE512" s="332"/>
      <c r="RYF512" s="332"/>
      <c r="RYG512" s="332"/>
      <c r="RYH512" s="332"/>
      <c r="RYI512" s="332"/>
      <c r="RYJ512" s="332"/>
      <c r="RYK512" s="332"/>
      <c r="RYL512" s="332"/>
      <c r="RYM512" s="332"/>
      <c r="RYN512" s="332"/>
      <c r="RYO512" s="332"/>
      <c r="RYP512" s="332"/>
      <c r="RYQ512" s="332"/>
      <c r="RYR512" s="332"/>
      <c r="RYS512" s="332"/>
      <c r="RYT512" s="332"/>
      <c r="RYU512" s="332"/>
      <c r="RYV512" s="332"/>
      <c r="RYW512" s="332"/>
      <c r="RYX512" s="332"/>
      <c r="RYY512" s="332"/>
      <c r="RYZ512" s="332"/>
      <c r="RZA512" s="332"/>
      <c r="RZB512" s="332"/>
      <c r="RZC512" s="332"/>
      <c r="RZD512" s="332"/>
      <c r="RZE512" s="332"/>
      <c r="RZF512" s="332"/>
      <c r="RZG512" s="332"/>
      <c r="RZH512" s="332"/>
      <c r="RZI512" s="332"/>
      <c r="RZJ512" s="332"/>
      <c r="RZK512" s="332"/>
      <c r="RZL512" s="332"/>
      <c r="RZM512" s="332"/>
      <c r="RZN512" s="332"/>
      <c r="RZO512" s="332"/>
      <c r="RZP512" s="332"/>
      <c r="RZQ512" s="332"/>
      <c r="RZR512" s="332"/>
      <c r="RZS512" s="332"/>
      <c r="RZT512" s="332"/>
      <c r="RZU512" s="332"/>
      <c r="RZV512" s="332"/>
      <c r="RZW512" s="332"/>
      <c r="RZX512" s="332"/>
      <c r="RZY512" s="332"/>
      <c r="RZZ512" s="332"/>
      <c r="SAA512" s="332"/>
      <c r="SAB512" s="332"/>
      <c r="SAC512" s="332"/>
      <c r="SAD512" s="332"/>
      <c r="SAE512" s="332"/>
      <c r="SAF512" s="332"/>
      <c r="SAG512" s="332"/>
      <c r="SAH512" s="332"/>
      <c r="SAI512" s="332"/>
      <c r="SAJ512" s="332"/>
      <c r="SAK512" s="332"/>
      <c r="SAL512" s="332"/>
      <c r="SAM512" s="332"/>
      <c r="SAN512" s="332"/>
      <c r="SAO512" s="332"/>
      <c r="SAP512" s="332"/>
      <c r="SAQ512" s="332"/>
      <c r="SAR512" s="332"/>
      <c r="SAS512" s="332"/>
      <c r="SAT512" s="332"/>
      <c r="SAU512" s="332"/>
      <c r="SAV512" s="332"/>
      <c r="SAW512" s="332"/>
      <c r="SAX512" s="332"/>
      <c r="SAY512" s="332"/>
      <c r="SAZ512" s="332"/>
      <c r="SBA512" s="332"/>
      <c r="SBB512" s="332"/>
      <c r="SBC512" s="332"/>
      <c r="SBD512" s="332"/>
      <c r="SBE512" s="332"/>
      <c r="SBF512" s="332"/>
      <c r="SBG512" s="332"/>
      <c r="SBH512" s="332"/>
      <c r="SBI512" s="332"/>
      <c r="SBJ512" s="332"/>
      <c r="SBK512" s="332"/>
      <c r="SBL512" s="332"/>
      <c r="SBM512" s="332"/>
      <c r="SBN512" s="332"/>
      <c r="SBO512" s="332"/>
      <c r="SBP512" s="332"/>
      <c r="SBQ512" s="332"/>
      <c r="SBR512" s="332"/>
      <c r="SBS512" s="332"/>
      <c r="SBT512" s="332"/>
      <c r="SBU512" s="332"/>
      <c r="SBV512" s="332"/>
      <c r="SBW512" s="332"/>
      <c r="SBX512" s="332"/>
      <c r="SBY512" s="332"/>
      <c r="SBZ512" s="332"/>
      <c r="SCA512" s="332"/>
      <c r="SCB512" s="332"/>
      <c r="SCC512" s="332"/>
      <c r="SCD512" s="332"/>
      <c r="SCE512" s="332"/>
      <c r="SCF512" s="332"/>
      <c r="SCG512" s="332"/>
      <c r="SCH512" s="332"/>
      <c r="SCI512" s="332"/>
      <c r="SCJ512" s="332"/>
      <c r="SCK512" s="332"/>
      <c r="SCL512" s="332"/>
      <c r="SCM512" s="332"/>
      <c r="SCN512" s="332"/>
      <c r="SCO512" s="332"/>
      <c r="SCP512" s="332"/>
      <c r="SCQ512" s="332"/>
      <c r="SCR512" s="332"/>
      <c r="SCS512" s="332"/>
      <c r="SCT512" s="332"/>
      <c r="SCU512" s="332"/>
      <c r="SCV512" s="332"/>
      <c r="SCW512" s="332"/>
      <c r="SCX512" s="332"/>
      <c r="SCY512" s="332"/>
      <c r="SCZ512" s="332"/>
      <c r="SDA512" s="332"/>
      <c r="SDB512" s="332"/>
      <c r="SDC512" s="332"/>
      <c r="SDD512" s="332"/>
      <c r="SDE512" s="332"/>
      <c r="SDF512" s="332"/>
      <c r="SDG512" s="332"/>
      <c r="SDH512" s="332"/>
      <c r="SDI512" s="332"/>
      <c r="SDJ512" s="332"/>
      <c r="SDK512" s="332"/>
      <c r="SDL512" s="332"/>
      <c r="SDM512" s="332"/>
      <c r="SDN512" s="332"/>
      <c r="SDO512" s="332"/>
      <c r="SDP512" s="332"/>
      <c r="SDQ512" s="332"/>
      <c r="SDR512" s="332"/>
      <c r="SDS512" s="332"/>
      <c r="SDT512" s="332"/>
      <c r="SDU512" s="332"/>
      <c r="SDV512" s="332"/>
      <c r="SDW512" s="332"/>
      <c r="SDX512" s="332"/>
      <c r="SDY512" s="332"/>
      <c r="SDZ512" s="332"/>
      <c r="SEA512" s="332"/>
      <c r="SEB512" s="332"/>
      <c r="SEC512" s="332"/>
      <c r="SED512" s="332"/>
      <c r="SEE512" s="332"/>
      <c r="SEF512" s="332"/>
      <c r="SEG512" s="332"/>
      <c r="SEH512" s="332"/>
      <c r="SEI512" s="332"/>
      <c r="SEJ512" s="332"/>
      <c r="SEK512" s="332"/>
      <c r="SEL512" s="332"/>
      <c r="SEM512" s="332"/>
      <c r="SEN512" s="332"/>
      <c r="SEO512" s="332"/>
      <c r="SEP512" s="332"/>
      <c r="SEQ512" s="332"/>
      <c r="SER512" s="332"/>
      <c r="SES512" s="332"/>
      <c r="SET512" s="332"/>
      <c r="SEU512" s="332"/>
      <c r="SEV512" s="332"/>
      <c r="SEW512" s="332"/>
      <c r="SEX512" s="332"/>
      <c r="SEY512" s="332"/>
      <c r="SEZ512" s="332"/>
      <c r="SFA512" s="332"/>
      <c r="SFB512" s="332"/>
      <c r="SFC512" s="332"/>
      <c r="SFD512" s="332"/>
      <c r="SFE512" s="332"/>
      <c r="SFF512" s="332"/>
      <c r="SFG512" s="332"/>
      <c r="SFH512" s="332"/>
      <c r="SFI512" s="332"/>
      <c r="SFJ512" s="332"/>
      <c r="SFK512" s="332"/>
      <c r="SFL512" s="332"/>
      <c r="SFM512" s="332"/>
      <c r="SFN512" s="332"/>
      <c r="SFO512" s="332"/>
      <c r="SFP512" s="332"/>
      <c r="SFQ512" s="332"/>
      <c r="SFR512" s="332"/>
      <c r="SFS512" s="332"/>
      <c r="SFT512" s="332"/>
      <c r="SFU512" s="332"/>
      <c r="SFV512" s="332"/>
      <c r="SFW512" s="332"/>
      <c r="SFX512" s="332"/>
      <c r="SFY512" s="332"/>
      <c r="SFZ512" s="332"/>
      <c r="SGA512" s="332"/>
      <c r="SGB512" s="332"/>
      <c r="SGC512" s="332"/>
      <c r="SGD512" s="332"/>
      <c r="SGE512" s="332"/>
      <c r="SGF512" s="332"/>
      <c r="SGG512" s="332"/>
      <c r="SGH512" s="332"/>
      <c r="SGI512" s="332"/>
      <c r="SGJ512" s="332"/>
      <c r="SGK512" s="332"/>
      <c r="SGL512" s="332"/>
      <c r="SGM512" s="332"/>
      <c r="SGN512" s="332"/>
      <c r="SGO512" s="332"/>
      <c r="SGP512" s="332"/>
      <c r="SGQ512" s="332"/>
      <c r="SGR512" s="332"/>
      <c r="SGS512" s="332"/>
      <c r="SGT512" s="332"/>
      <c r="SGU512" s="332"/>
      <c r="SGV512" s="332"/>
      <c r="SGW512" s="332"/>
      <c r="SGX512" s="332"/>
      <c r="SGY512" s="332"/>
      <c r="SGZ512" s="332"/>
      <c r="SHA512" s="332"/>
      <c r="SHB512" s="332"/>
      <c r="SHC512" s="332"/>
      <c r="SHD512" s="332"/>
      <c r="SHE512" s="332"/>
      <c r="SHF512" s="332"/>
      <c r="SHG512" s="332"/>
      <c r="SHH512" s="332"/>
      <c r="SHI512" s="332"/>
      <c r="SHJ512" s="332"/>
      <c r="SHK512" s="332"/>
      <c r="SHL512" s="332"/>
      <c r="SHM512" s="332"/>
      <c r="SHN512" s="332"/>
      <c r="SHO512" s="332"/>
      <c r="SHP512" s="332"/>
      <c r="SHQ512" s="332"/>
      <c r="SHR512" s="332"/>
      <c r="SHS512" s="332"/>
      <c r="SHT512" s="332"/>
      <c r="SHU512" s="332"/>
      <c r="SHV512" s="332"/>
      <c r="SHW512" s="332"/>
      <c r="SHX512" s="332"/>
      <c r="SHY512" s="332"/>
      <c r="SHZ512" s="332"/>
      <c r="SIA512" s="332"/>
      <c r="SIB512" s="332"/>
      <c r="SIC512" s="332"/>
      <c r="SID512" s="332"/>
      <c r="SIE512" s="332"/>
      <c r="SIF512" s="332"/>
      <c r="SIG512" s="332"/>
      <c r="SIH512" s="332"/>
      <c r="SII512" s="332"/>
      <c r="SIJ512" s="332"/>
      <c r="SIK512" s="332"/>
      <c r="SIL512" s="332"/>
      <c r="SIM512" s="332"/>
      <c r="SIN512" s="332"/>
      <c r="SIO512" s="332"/>
      <c r="SIP512" s="332"/>
      <c r="SIQ512" s="332"/>
      <c r="SIR512" s="332"/>
      <c r="SIS512" s="332"/>
      <c r="SIT512" s="332"/>
      <c r="SIU512" s="332"/>
      <c r="SIV512" s="332"/>
      <c r="SIW512" s="332"/>
      <c r="SIX512" s="332"/>
      <c r="SIY512" s="332"/>
      <c r="SIZ512" s="332"/>
      <c r="SJA512" s="332"/>
      <c r="SJB512" s="332"/>
      <c r="SJC512" s="332"/>
      <c r="SJD512" s="332"/>
      <c r="SJE512" s="332"/>
      <c r="SJF512" s="332"/>
      <c r="SJG512" s="332"/>
      <c r="SJH512" s="332"/>
      <c r="SJI512" s="332"/>
      <c r="SJJ512" s="332"/>
      <c r="SJK512" s="332"/>
      <c r="SJL512" s="332"/>
      <c r="SJM512" s="332"/>
      <c r="SJN512" s="332"/>
      <c r="SJO512" s="332"/>
      <c r="SJP512" s="332"/>
      <c r="SJQ512" s="332"/>
      <c r="SJR512" s="332"/>
      <c r="SJS512" s="332"/>
      <c r="SJT512" s="332"/>
      <c r="SJU512" s="332"/>
      <c r="SJV512" s="332"/>
      <c r="SJW512" s="332"/>
      <c r="SJX512" s="332"/>
      <c r="SJY512" s="332"/>
      <c r="SJZ512" s="332"/>
      <c r="SKA512" s="332"/>
      <c r="SKB512" s="332"/>
      <c r="SKC512" s="332"/>
      <c r="SKD512" s="332"/>
      <c r="SKE512" s="332"/>
      <c r="SKF512" s="332"/>
      <c r="SKG512" s="332"/>
      <c r="SKH512" s="332"/>
      <c r="SKI512" s="332"/>
      <c r="SKJ512" s="332"/>
      <c r="SKK512" s="332"/>
      <c r="SKL512" s="332"/>
      <c r="SKM512" s="332"/>
      <c r="SKN512" s="332"/>
      <c r="SKO512" s="332"/>
      <c r="SKP512" s="332"/>
      <c r="SKQ512" s="332"/>
      <c r="SKR512" s="332"/>
      <c r="SKS512" s="332"/>
      <c r="SKT512" s="332"/>
      <c r="SKU512" s="332"/>
      <c r="SKV512" s="332"/>
      <c r="SKW512" s="332"/>
      <c r="SKX512" s="332"/>
      <c r="SKY512" s="332"/>
      <c r="SKZ512" s="332"/>
      <c r="SLA512" s="332"/>
      <c r="SLB512" s="332"/>
      <c r="SLC512" s="332"/>
      <c r="SLD512" s="332"/>
      <c r="SLE512" s="332"/>
      <c r="SLF512" s="332"/>
      <c r="SLG512" s="332"/>
      <c r="SLH512" s="332"/>
      <c r="SLI512" s="332"/>
      <c r="SLJ512" s="332"/>
      <c r="SLK512" s="332"/>
      <c r="SLL512" s="332"/>
      <c r="SLM512" s="332"/>
      <c r="SLN512" s="332"/>
      <c r="SLO512" s="332"/>
      <c r="SLP512" s="332"/>
      <c r="SLQ512" s="332"/>
      <c r="SLR512" s="332"/>
      <c r="SLS512" s="332"/>
      <c r="SLT512" s="332"/>
      <c r="SLU512" s="332"/>
      <c r="SLV512" s="332"/>
      <c r="SLW512" s="332"/>
      <c r="SLX512" s="332"/>
      <c r="SLY512" s="332"/>
      <c r="SLZ512" s="332"/>
      <c r="SMA512" s="332"/>
      <c r="SMB512" s="332"/>
      <c r="SMC512" s="332"/>
      <c r="SMD512" s="332"/>
      <c r="SME512" s="332"/>
      <c r="SMF512" s="332"/>
      <c r="SMG512" s="332"/>
      <c r="SMH512" s="332"/>
      <c r="SMI512" s="332"/>
      <c r="SMJ512" s="332"/>
      <c r="SMK512" s="332"/>
      <c r="SML512" s="332"/>
      <c r="SMM512" s="332"/>
      <c r="SMN512" s="332"/>
      <c r="SMO512" s="332"/>
      <c r="SMP512" s="332"/>
      <c r="SMQ512" s="332"/>
      <c r="SMR512" s="332"/>
      <c r="SMS512" s="332"/>
      <c r="SMT512" s="332"/>
      <c r="SMU512" s="332"/>
      <c r="SMV512" s="332"/>
      <c r="SMW512" s="332"/>
      <c r="SMX512" s="332"/>
      <c r="SMY512" s="332"/>
      <c r="SMZ512" s="332"/>
      <c r="SNA512" s="332"/>
      <c r="SNB512" s="332"/>
      <c r="SNC512" s="332"/>
      <c r="SND512" s="332"/>
      <c r="SNE512" s="332"/>
      <c r="SNF512" s="332"/>
      <c r="SNG512" s="332"/>
      <c r="SNH512" s="332"/>
      <c r="SNI512" s="332"/>
      <c r="SNJ512" s="332"/>
      <c r="SNK512" s="332"/>
      <c r="SNL512" s="332"/>
      <c r="SNM512" s="332"/>
      <c r="SNN512" s="332"/>
      <c r="SNO512" s="332"/>
      <c r="SNP512" s="332"/>
      <c r="SNQ512" s="332"/>
      <c r="SNR512" s="332"/>
      <c r="SNS512" s="332"/>
      <c r="SNT512" s="332"/>
      <c r="SNU512" s="332"/>
      <c r="SNV512" s="332"/>
      <c r="SNW512" s="332"/>
      <c r="SNX512" s="332"/>
      <c r="SNY512" s="332"/>
      <c r="SNZ512" s="332"/>
      <c r="SOA512" s="332"/>
      <c r="SOB512" s="332"/>
      <c r="SOC512" s="332"/>
      <c r="SOD512" s="332"/>
      <c r="SOE512" s="332"/>
      <c r="SOF512" s="332"/>
      <c r="SOG512" s="332"/>
      <c r="SOH512" s="332"/>
      <c r="SOI512" s="332"/>
      <c r="SOJ512" s="332"/>
      <c r="SOK512" s="332"/>
      <c r="SOL512" s="332"/>
      <c r="SOM512" s="332"/>
      <c r="SON512" s="332"/>
      <c r="SOO512" s="332"/>
      <c r="SOP512" s="332"/>
      <c r="SOQ512" s="332"/>
      <c r="SOR512" s="332"/>
      <c r="SOS512" s="332"/>
      <c r="SOT512" s="332"/>
      <c r="SOU512" s="332"/>
      <c r="SOV512" s="332"/>
      <c r="SOW512" s="332"/>
      <c r="SOX512" s="332"/>
      <c r="SOY512" s="332"/>
      <c r="SOZ512" s="332"/>
      <c r="SPA512" s="332"/>
      <c r="SPB512" s="332"/>
      <c r="SPC512" s="332"/>
      <c r="SPD512" s="332"/>
      <c r="SPE512" s="332"/>
      <c r="SPF512" s="332"/>
      <c r="SPG512" s="332"/>
      <c r="SPH512" s="332"/>
      <c r="SPI512" s="332"/>
      <c r="SPJ512" s="332"/>
      <c r="SPK512" s="332"/>
      <c r="SPL512" s="332"/>
      <c r="SPM512" s="332"/>
      <c r="SPN512" s="332"/>
      <c r="SPO512" s="332"/>
      <c r="SPP512" s="332"/>
      <c r="SPQ512" s="332"/>
      <c r="SPR512" s="332"/>
      <c r="SPS512" s="332"/>
      <c r="SPT512" s="332"/>
      <c r="SPU512" s="332"/>
      <c r="SPV512" s="332"/>
      <c r="SPW512" s="332"/>
      <c r="SPX512" s="332"/>
      <c r="SPY512" s="332"/>
      <c r="SPZ512" s="332"/>
      <c r="SQA512" s="332"/>
      <c r="SQB512" s="332"/>
      <c r="SQC512" s="332"/>
      <c r="SQD512" s="332"/>
      <c r="SQE512" s="332"/>
      <c r="SQF512" s="332"/>
      <c r="SQG512" s="332"/>
      <c r="SQH512" s="332"/>
      <c r="SQI512" s="332"/>
      <c r="SQJ512" s="332"/>
      <c r="SQK512" s="332"/>
      <c r="SQL512" s="332"/>
      <c r="SQM512" s="332"/>
      <c r="SQN512" s="332"/>
      <c r="SQO512" s="332"/>
      <c r="SQP512" s="332"/>
      <c r="SQQ512" s="332"/>
      <c r="SQR512" s="332"/>
      <c r="SQS512" s="332"/>
      <c r="SQT512" s="332"/>
      <c r="SQU512" s="332"/>
      <c r="SQV512" s="332"/>
      <c r="SQW512" s="332"/>
      <c r="SQX512" s="332"/>
      <c r="SQY512" s="332"/>
      <c r="SQZ512" s="332"/>
      <c r="SRA512" s="332"/>
      <c r="SRB512" s="332"/>
      <c r="SRC512" s="332"/>
      <c r="SRD512" s="332"/>
      <c r="SRE512" s="332"/>
      <c r="SRF512" s="332"/>
      <c r="SRG512" s="332"/>
      <c r="SRH512" s="332"/>
      <c r="SRI512" s="332"/>
      <c r="SRJ512" s="332"/>
      <c r="SRK512" s="332"/>
      <c r="SRL512" s="332"/>
      <c r="SRM512" s="332"/>
      <c r="SRN512" s="332"/>
      <c r="SRO512" s="332"/>
      <c r="SRP512" s="332"/>
      <c r="SRQ512" s="332"/>
      <c r="SRR512" s="332"/>
      <c r="SRS512" s="332"/>
      <c r="SRT512" s="332"/>
      <c r="SRU512" s="332"/>
      <c r="SRV512" s="332"/>
      <c r="SRW512" s="332"/>
      <c r="SRX512" s="332"/>
      <c r="SRY512" s="332"/>
      <c r="SRZ512" s="332"/>
      <c r="SSA512" s="332"/>
      <c r="SSB512" s="332"/>
      <c r="SSC512" s="332"/>
      <c r="SSD512" s="332"/>
      <c r="SSE512" s="332"/>
      <c r="SSF512" s="332"/>
      <c r="SSG512" s="332"/>
      <c r="SSH512" s="332"/>
      <c r="SSI512" s="332"/>
      <c r="SSJ512" s="332"/>
      <c r="SSK512" s="332"/>
      <c r="SSL512" s="332"/>
      <c r="SSM512" s="332"/>
      <c r="SSN512" s="332"/>
      <c r="SSO512" s="332"/>
      <c r="SSP512" s="332"/>
      <c r="SSQ512" s="332"/>
      <c r="SSR512" s="332"/>
      <c r="SSS512" s="332"/>
      <c r="SST512" s="332"/>
      <c r="SSU512" s="332"/>
      <c r="SSV512" s="332"/>
      <c r="SSW512" s="332"/>
      <c r="SSX512" s="332"/>
      <c r="SSY512" s="332"/>
      <c r="SSZ512" s="332"/>
      <c r="STA512" s="332"/>
      <c r="STB512" s="332"/>
      <c r="STC512" s="332"/>
      <c r="STD512" s="332"/>
      <c r="STE512" s="332"/>
      <c r="STF512" s="332"/>
      <c r="STG512" s="332"/>
      <c r="STH512" s="332"/>
      <c r="STI512" s="332"/>
      <c r="STJ512" s="332"/>
      <c r="STK512" s="332"/>
      <c r="STL512" s="332"/>
      <c r="STM512" s="332"/>
      <c r="STN512" s="332"/>
      <c r="STO512" s="332"/>
      <c r="STP512" s="332"/>
      <c r="STQ512" s="332"/>
      <c r="STR512" s="332"/>
      <c r="STS512" s="332"/>
      <c r="STT512" s="332"/>
      <c r="STU512" s="332"/>
      <c r="STV512" s="332"/>
      <c r="STW512" s="332"/>
      <c r="STX512" s="332"/>
      <c r="STY512" s="332"/>
      <c r="STZ512" s="332"/>
      <c r="SUA512" s="332"/>
      <c r="SUB512" s="332"/>
      <c r="SUC512" s="332"/>
      <c r="SUD512" s="332"/>
      <c r="SUE512" s="332"/>
      <c r="SUF512" s="332"/>
      <c r="SUG512" s="332"/>
      <c r="SUH512" s="332"/>
      <c r="SUI512" s="332"/>
      <c r="SUJ512" s="332"/>
      <c r="SUK512" s="332"/>
      <c r="SUL512" s="332"/>
      <c r="SUM512" s="332"/>
      <c r="SUN512" s="332"/>
      <c r="SUO512" s="332"/>
      <c r="SUP512" s="332"/>
      <c r="SUQ512" s="332"/>
      <c r="SUR512" s="332"/>
      <c r="SUS512" s="332"/>
      <c r="SUT512" s="332"/>
      <c r="SUU512" s="332"/>
      <c r="SUV512" s="332"/>
      <c r="SUW512" s="332"/>
      <c r="SUX512" s="332"/>
      <c r="SUY512" s="332"/>
      <c r="SUZ512" s="332"/>
      <c r="SVA512" s="332"/>
      <c r="SVB512" s="332"/>
      <c r="SVC512" s="332"/>
      <c r="SVD512" s="332"/>
      <c r="SVE512" s="332"/>
      <c r="SVF512" s="332"/>
      <c r="SVG512" s="332"/>
      <c r="SVH512" s="332"/>
      <c r="SVI512" s="332"/>
      <c r="SVJ512" s="332"/>
      <c r="SVK512" s="332"/>
      <c r="SVL512" s="332"/>
      <c r="SVM512" s="332"/>
      <c r="SVN512" s="332"/>
      <c r="SVO512" s="332"/>
      <c r="SVP512" s="332"/>
      <c r="SVQ512" s="332"/>
      <c r="SVR512" s="332"/>
      <c r="SVS512" s="332"/>
      <c r="SVT512" s="332"/>
      <c r="SVU512" s="332"/>
      <c r="SVV512" s="332"/>
      <c r="SVW512" s="332"/>
      <c r="SVX512" s="332"/>
      <c r="SVY512" s="332"/>
      <c r="SVZ512" s="332"/>
      <c r="SWA512" s="332"/>
      <c r="SWB512" s="332"/>
      <c r="SWC512" s="332"/>
      <c r="SWD512" s="332"/>
      <c r="SWE512" s="332"/>
      <c r="SWF512" s="332"/>
      <c r="SWG512" s="332"/>
      <c r="SWH512" s="332"/>
      <c r="SWI512" s="332"/>
      <c r="SWJ512" s="332"/>
      <c r="SWK512" s="332"/>
      <c r="SWL512" s="332"/>
      <c r="SWM512" s="332"/>
      <c r="SWN512" s="332"/>
      <c r="SWO512" s="332"/>
      <c r="SWP512" s="332"/>
      <c r="SWQ512" s="332"/>
      <c r="SWR512" s="332"/>
      <c r="SWS512" s="332"/>
      <c r="SWT512" s="332"/>
      <c r="SWU512" s="332"/>
      <c r="SWV512" s="332"/>
      <c r="SWW512" s="332"/>
      <c r="SWX512" s="332"/>
      <c r="SWY512" s="332"/>
      <c r="SWZ512" s="332"/>
      <c r="SXA512" s="332"/>
      <c r="SXB512" s="332"/>
      <c r="SXC512" s="332"/>
      <c r="SXD512" s="332"/>
      <c r="SXE512" s="332"/>
      <c r="SXF512" s="332"/>
      <c r="SXG512" s="332"/>
      <c r="SXH512" s="332"/>
      <c r="SXI512" s="332"/>
      <c r="SXJ512" s="332"/>
      <c r="SXK512" s="332"/>
      <c r="SXL512" s="332"/>
      <c r="SXM512" s="332"/>
      <c r="SXN512" s="332"/>
      <c r="SXO512" s="332"/>
      <c r="SXP512" s="332"/>
      <c r="SXQ512" s="332"/>
      <c r="SXR512" s="332"/>
      <c r="SXS512" s="332"/>
      <c r="SXT512" s="332"/>
      <c r="SXU512" s="332"/>
      <c r="SXV512" s="332"/>
      <c r="SXW512" s="332"/>
      <c r="SXX512" s="332"/>
      <c r="SXY512" s="332"/>
      <c r="SXZ512" s="332"/>
      <c r="SYA512" s="332"/>
      <c r="SYB512" s="332"/>
      <c r="SYC512" s="332"/>
      <c r="SYD512" s="332"/>
      <c r="SYE512" s="332"/>
      <c r="SYF512" s="332"/>
      <c r="SYG512" s="332"/>
      <c r="SYH512" s="332"/>
      <c r="SYI512" s="332"/>
      <c r="SYJ512" s="332"/>
      <c r="SYK512" s="332"/>
      <c r="SYL512" s="332"/>
      <c r="SYM512" s="332"/>
      <c r="SYN512" s="332"/>
      <c r="SYO512" s="332"/>
      <c r="SYP512" s="332"/>
      <c r="SYQ512" s="332"/>
      <c r="SYR512" s="332"/>
      <c r="SYS512" s="332"/>
      <c r="SYT512" s="332"/>
      <c r="SYU512" s="332"/>
      <c r="SYV512" s="332"/>
      <c r="SYW512" s="332"/>
      <c r="SYX512" s="332"/>
      <c r="SYY512" s="332"/>
      <c r="SYZ512" s="332"/>
      <c r="SZA512" s="332"/>
      <c r="SZB512" s="332"/>
      <c r="SZC512" s="332"/>
      <c r="SZD512" s="332"/>
      <c r="SZE512" s="332"/>
      <c r="SZF512" s="332"/>
      <c r="SZG512" s="332"/>
      <c r="SZH512" s="332"/>
      <c r="SZI512" s="332"/>
      <c r="SZJ512" s="332"/>
      <c r="SZK512" s="332"/>
      <c r="SZL512" s="332"/>
      <c r="SZM512" s="332"/>
      <c r="SZN512" s="332"/>
      <c r="SZO512" s="332"/>
      <c r="SZP512" s="332"/>
      <c r="SZQ512" s="332"/>
      <c r="SZR512" s="332"/>
      <c r="SZS512" s="332"/>
      <c r="SZT512" s="332"/>
      <c r="SZU512" s="332"/>
      <c r="SZV512" s="332"/>
      <c r="SZW512" s="332"/>
      <c r="SZX512" s="332"/>
      <c r="SZY512" s="332"/>
      <c r="SZZ512" s="332"/>
      <c r="TAA512" s="332"/>
      <c r="TAB512" s="332"/>
      <c r="TAC512" s="332"/>
      <c r="TAD512" s="332"/>
      <c r="TAE512" s="332"/>
      <c r="TAF512" s="332"/>
      <c r="TAG512" s="332"/>
      <c r="TAH512" s="332"/>
      <c r="TAI512" s="332"/>
      <c r="TAJ512" s="332"/>
      <c r="TAK512" s="332"/>
      <c r="TAL512" s="332"/>
      <c r="TAM512" s="332"/>
      <c r="TAN512" s="332"/>
      <c r="TAO512" s="332"/>
      <c r="TAP512" s="332"/>
      <c r="TAQ512" s="332"/>
      <c r="TAR512" s="332"/>
      <c r="TAS512" s="332"/>
      <c r="TAT512" s="332"/>
      <c r="TAU512" s="332"/>
      <c r="TAV512" s="332"/>
      <c r="TAW512" s="332"/>
      <c r="TAX512" s="332"/>
      <c r="TAY512" s="332"/>
      <c r="TAZ512" s="332"/>
      <c r="TBA512" s="332"/>
      <c r="TBB512" s="332"/>
      <c r="TBC512" s="332"/>
      <c r="TBD512" s="332"/>
      <c r="TBE512" s="332"/>
      <c r="TBF512" s="332"/>
      <c r="TBG512" s="332"/>
      <c r="TBH512" s="332"/>
      <c r="TBI512" s="332"/>
      <c r="TBJ512" s="332"/>
      <c r="TBK512" s="332"/>
      <c r="TBL512" s="332"/>
      <c r="TBM512" s="332"/>
      <c r="TBN512" s="332"/>
      <c r="TBO512" s="332"/>
      <c r="TBP512" s="332"/>
      <c r="TBQ512" s="332"/>
      <c r="TBR512" s="332"/>
      <c r="TBS512" s="332"/>
      <c r="TBT512" s="332"/>
      <c r="TBU512" s="332"/>
      <c r="TBV512" s="332"/>
      <c r="TBW512" s="332"/>
      <c r="TBX512" s="332"/>
      <c r="TBY512" s="332"/>
      <c r="TBZ512" s="332"/>
      <c r="TCA512" s="332"/>
      <c r="TCB512" s="332"/>
      <c r="TCC512" s="332"/>
      <c r="TCD512" s="332"/>
      <c r="TCE512" s="332"/>
      <c r="TCF512" s="332"/>
      <c r="TCG512" s="332"/>
      <c r="TCH512" s="332"/>
      <c r="TCI512" s="332"/>
      <c r="TCJ512" s="332"/>
      <c r="TCK512" s="332"/>
      <c r="TCL512" s="332"/>
      <c r="TCM512" s="332"/>
      <c r="TCN512" s="332"/>
      <c r="TCO512" s="332"/>
      <c r="TCP512" s="332"/>
      <c r="TCQ512" s="332"/>
      <c r="TCR512" s="332"/>
      <c r="TCS512" s="332"/>
      <c r="TCT512" s="332"/>
      <c r="TCU512" s="332"/>
      <c r="TCV512" s="332"/>
      <c r="TCW512" s="332"/>
      <c r="TCX512" s="332"/>
      <c r="TCY512" s="332"/>
      <c r="TCZ512" s="332"/>
      <c r="TDA512" s="332"/>
      <c r="TDB512" s="332"/>
      <c r="TDC512" s="332"/>
      <c r="TDD512" s="332"/>
      <c r="TDE512" s="332"/>
      <c r="TDF512" s="332"/>
      <c r="TDG512" s="332"/>
      <c r="TDH512" s="332"/>
      <c r="TDI512" s="332"/>
      <c r="TDJ512" s="332"/>
      <c r="TDK512" s="332"/>
      <c r="TDL512" s="332"/>
      <c r="TDM512" s="332"/>
      <c r="TDN512" s="332"/>
      <c r="TDO512" s="332"/>
      <c r="TDP512" s="332"/>
      <c r="TDQ512" s="332"/>
      <c r="TDR512" s="332"/>
      <c r="TDS512" s="332"/>
      <c r="TDT512" s="332"/>
      <c r="TDU512" s="332"/>
      <c r="TDV512" s="332"/>
      <c r="TDW512" s="332"/>
      <c r="TDX512" s="332"/>
      <c r="TDY512" s="332"/>
      <c r="TDZ512" s="332"/>
      <c r="TEA512" s="332"/>
      <c r="TEB512" s="332"/>
      <c r="TEC512" s="332"/>
      <c r="TED512" s="332"/>
      <c r="TEE512" s="332"/>
      <c r="TEF512" s="332"/>
      <c r="TEG512" s="332"/>
      <c r="TEH512" s="332"/>
      <c r="TEI512" s="332"/>
      <c r="TEJ512" s="332"/>
      <c r="TEK512" s="332"/>
      <c r="TEL512" s="332"/>
      <c r="TEM512" s="332"/>
      <c r="TEN512" s="332"/>
      <c r="TEO512" s="332"/>
      <c r="TEP512" s="332"/>
      <c r="TEQ512" s="332"/>
      <c r="TER512" s="332"/>
      <c r="TES512" s="332"/>
      <c r="TET512" s="332"/>
      <c r="TEU512" s="332"/>
      <c r="TEV512" s="332"/>
      <c r="TEW512" s="332"/>
      <c r="TEX512" s="332"/>
      <c r="TEY512" s="332"/>
      <c r="TEZ512" s="332"/>
      <c r="TFA512" s="332"/>
      <c r="TFB512" s="332"/>
      <c r="TFC512" s="332"/>
      <c r="TFD512" s="332"/>
      <c r="TFE512" s="332"/>
      <c r="TFF512" s="332"/>
      <c r="TFG512" s="332"/>
      <c r="TFH512" s="332"/>
      <c r="TFI512" s="332"/>
      <c r="TFJ512" s="332"/>
      <c r="TFK512" s="332"/>
      <c r="TFL512" s="332"/>
      <c r="TFM512" s="332"/>
      <c r="TFN512" s="332"/>
      <c r="TFO512" s="332"/>
      <c r="TFP512" s="332"/>
      <c r="TFQ512" s="332"/>
      <c r="TFR512" s="332"/>
      <c r="TFS512" s="332"/>
      <c r="TFT512" s="332"/>
      <c r="TFU512" s="332"/>
      <c r="TFV512" s="332"/>
      <c r="TFW512" s="332"/>
      <c r="TFX512" s="332"/>
      <c r="TFY512" s="332"/>
      <c r="TFZ512" s="332"/>
      <c r="TGA512" s="332"/>
      <c r="TGB512" s="332"/>
      <c r="TGC512" s="332"/>
      <c r="TGD512" s="332"/>
      <c r="TGE512" s="332"/>
      <c r="TGF512" s="332"/>
      <c r="TGG512" s="332"/>
      <c r="TGH512" s="332"/>
      <c r="TGI512" s="332"/>
      <c r="TGJ512" s="332"/>
      <c r="TGK512" s="332"/>
      <c r="TGL512" s="332"/>
      <c r="TGM512" s="332"/>
      <c r="TGN512" s="332"/>
      <c r="TGO512" s="332"/>
      <c r="TGP512" s="332"/>
      <c r="TGQ512" s="332"/>
      <c r="TGR512" s="332"/>
      <c r="TGS512" s="332"/>
      <c r="TGT512" s="332"/>
      <c r="TGU512" s="332"/>
      <c r="TGV512" s="332"/>
      <c r="TGW512" s="332"/>
      <c r="TGX512" s="332"/>
      <c r="TGY512" s="332"/>
      <c r="TGZ512" s="332"/>
      <c r="THA512" s="332"/>
      <c r="THB512" s="332"/>
      <c r="THC512" s="332"/>
      <c r="THD512" s="332"/>
      <c r="THE512" s="332"/>
      <c r="THF512" s="332"/>
      <c r="THG512" s="332"/>
      <c r="THH512" s="332"/>
      <c r="THI512" s="332"/>
      <c r="THJ512" s="332"/>
      <c r="THK512" s="332"/>
      <c r="THL512" s="332"/>
      <c r="THM512" s="332"/>
      <c r="THN512" s="332"/>
      <c r="THO512" s="332"/>
      <c r="THP512" s="332"/>
      <c r="THQ512" s="332"/>
      <c r="THR512" s="332"/>
      <c r="THS512" s="332"/>
      <c r="THT512" s="332"/>
      <c r="THU512" s="332"/>
      <c r="THV512" s="332"/>
      <c r="THW512" s="332"/>
      <c r="THX512" s="332"/>
      <c r="THY512" s="332"/>
      <c r="THZ512" s="332"/>
      <c r="TIA512" s="332"/>
      <c r="TIB512" s="332"/>
      <c r="TIC512" s="332"/>
      <c r="TID512" s="332"/>
      <c r="TIE512" s="332"/>
      <c r="TIF512" s="332"/>
      <c r="TIG512" s="332"/>
      <c r="TIH512" s="332"/>
      <c r="TII512" s="332"/>
      <c r="TIJ512" s="332"/>
      <c r="TIK512" s="332"/>
      <c r="TIL512" s="332"/>
      <c r="TIM512" s="332"/>
      <c r="TIN512" s="332"/>
      <c r="TIO512" s="332"/>
      <c r="TIP512" s="332"/>
      <c r="TIQ512" s="332"/>
      <c r="TIR512" s="332"/>
      <c r="TIS512" s="332"/>
      <c r="TIT512" s="332"/>
      <c r="TIU512" s="332"/>
      <c r="TIV512" s="332"/>
      <c r="TIW512" s="332"/>
      <c r="TIX512" s="332"/>
      <c r="TIY512" s="332"/>
      <c r="TIZ512" s="332"/>
      <c r="TJA512" s="332"/>
      <c r="TJB512" s="332"/>
      <c r="TJC512" s="332"/>
      <c r="TJD512" s="332"/>
      <c r="TJE512" s="332"/>
      <c r="TJF512" s="332"/>
      <c r="TJG512" s="332"/>
      <c r="TJH512" s="332"/>
      <c r="TJI512" s="332"/>
      <c r="TJJ512" s="332"/>
      <c r="TJK512" s="332"/>
      <c r="TJL512" s="332"/>
      <c r="TJM512" s="332"/>
      <c r="TJN512" s="332"/>
      <c r="TJO512" s="332"/>
      <c r="TJP512" s="332"/>
      <c r="TJQ512" s="332"/>
      <c r="TJR512" s="332"/>
      <c r="TJS512" s="332"/>
      <c r="TJT512" s="332"/>
      <c r="TJU512" s="332"/>
      <c r="TJV512" s="332"/>
      <c r="TJW512" s="332"/>
      <c r="TJX512" s="332"/>
      <c r="TJY512" s="332"/>
      <c r="TJZ512" s="332"/>
      <c r="TKA512" s="332"/>
      <c r="TKB512" s="332"/>
      <c r="TKC512" s="332"/>
      <c r="TKD512" s="332"/>
      <c r="TKE512" s="332"/>
      <c r="TKF512" s="332"/>
      <c r="TKG512" s="332"/>
      <c r="TKH512" s="332"/>
      <c r="TKI512" s="332"/>
      <c r="TKJ512" s="332"/>
      <c r="TKK512" s="332"/>
      <c r="TKL512" s="332"/>
      <c r="TKM512" s="332"/>
      <c r="TKN512" s="332"/>
      <c r="TKO512" s="332"/>
      <c r="TKP512" s="332"/>
      <c r="TKQ512" s="332"/>
      <c r="TKR512" s="332"/>
      <c r="TKS512" s="332"/>
      <c r="TKT512" s="332"/>
      <c r="TKU512" s="332"/>
      <c r="TKV512" s="332"/>
      <c r="TKW512" s="332"/>
      <c r="TKX512" s="332"/>
      <c r="TKY512" s="332"/>
      <c r="TKZ512" s="332"/>
      <c r="TLA512" s="332"/>
      <c r="TLB512" s="332"/>
      <c r="TLC512" s="332"/>
      <c r="TLD512" s="332"/>
      <c r="TLE512" s="332"/>
      <c r="TLF512" s="332"/>
      <c r="TLG512" s="332"/>
      <c r="TLH512" s="332"/>
      <c r="TLI512" s="332"/>
      <c r="TLJ512" s="332"/>
      <c r="TLK512" s="332"/>
      <c r="TLL512" s="332"/>
      <c r="TLM512" s="332"/>
      <c r="TLN512" s="332"/>
      <c r="TLO512" s="332"/>
      <c r="TLP512" s="332"/>
      <c r="TLQ512" s="332"/>
      <c r="TLR512" s="332"/>
      <c r="TLS512" s="332"/>
      <c r="TLT512" s="332"/>
      <c r="TLU512" s="332"/>
      <c r="TLV512" s="332"/>
      <c r="TLW512" s="332"/>
      <c r="TLX512" s="332"/>
      <c r="TLY512" s="332"/>
      <c r="TLZ512" s="332"/>
      <c r="TMA512" s="332"/>
      <c r="TMB512" s="332"/>
      <c r="TMC512" s="332"/>
      <c r="TMD512" s="332"/>
      <c r="TME512" s="332"/>
      <c r="TMF512" s="332"/>
      <c r="TMG512" s="332"/>
      <c r="TMH512" s="332"/>
      <c r="TMI512" s="332"/>
      <c r="TMJ512" s="332"/>
      <c r="TMK512" s="332"/>
      <c r="TML512" s="332"/>
      <c r="TMM512" s="332"/>
      <c r="TMN512" s="332"/>
      <c r="TMO512" s="332"/>
      <c r="TMP512" s="332"/>
      <c r="TMQ512" s="332"/>
      <c r="TMR512" s="332"/>
      <c r="TMS512" s="332"/>
      <c r="TMT512" s="332"/>
      <c r="TMU512" s="332"/>
      <c r="TMV512" s="332"/>
      <c r="TMW512" s="332"/>
      <c r="TMX512" s="332"/>
      <c r="TMY512" s="332"/>
      <c r="TMZ512" s="332"/>
      <c r="TNA512" s="332"/>
      <c r="TNB512" s="332"/>
      <c r="TNC512" s="332"/>
      <c r="TND512" s="332"/>
      <c r="TNE512" s="332"/>
      <c r="TNF512" s="332"/>
      <c r="TNG512" s="332"/>
      <c r="TNH512" s="332"/>
      <c r="TNI512" s="332"/>
      <c r="TNJ512" s="332"/>
      <c r="TNK512" s="332"/>
      <c r="TNL512" s="332"/>
      <c r="TNM512" s="332"/>
      <c r="TNN512" s="332"/>
      <c r="TNO512" s="332"/>
      <c r="TNP512" s="332"/>
      <c r="TNQ512" s="332"/>
      <c r="TNR512" s="332"/>
      <c r="TNS512" s="332"/>
      <c r="TNT512" s="332"/>
      <c r="TNU512" s="332"/>
      <c r="TNV512" s="332"/>
      <c r="TNW512" s="332"/>
      <c r="TNX512" s="332"/>
      <c r="TNY512" s="332"/>
      <c r="TNZ512" s="332"/>
      <c r="TOA512" s="332"/>
      <c r="TOB512" s="332"/>
      <c r="TOC512" s="332"/>
      <c r="TOD512" s="332"/>
      <c r="TOE512" s="332"/>
      <c r="TOF512" s="332"/>
      <c r="TOG512" s="332"/>
      <c r="TOH512" s="332"/>
      <c r="TOI512" s="332"/>
      <c r="TOJ512" s="332"/>
      <c r="TOK512" s="332"/>
      <c r="TOL512" s="332"/>
      <c r="TOM512" s="332"/>
      <c r="TON512" s="332"/>
      <c r="TOO512" s="332"/>
      <c r="TOP512" s="332"/>
      <c r="TOQ512" s="332"/>
      <c r="TOR512" s="332"/>
      <c r="TOS512" s="332"/>
      <c r="TOT512" s="332"/>
      <c r="TOU512" s="332"/>
      <c r="TOV512" s="332"/>
      <c r="TOW512" s="332"/>
      <c r="TOX512" s="332"/>
      <c r="TOY512" s="332"/>
      <c r="TOZ512" s="332"/>
      <c r="TPA512" s="332"/>
      <c r="TPB512" s="332"/>
      <c r="TPC512" s="332"/>
      <c r="TPD512" s="332"/>
      <c r="TPE512" s="332"/>
      <c r="TPF512" s="332"/>
      <c r="TPG512" s="332"/>
      <c r="TPH512" s="332"/>
      <c r="TPI512" s="332"/>
      <c r="TPJ512" s="332"/>
      <c r="TPK512" s="332"/>
      <c r="TPL512" s="332"/>
      <c r="TPM512" s="332"/>
      <c r="TPN512" s="332"/>
      <c r="TPO512" s="332"/>
      <c r="TPP512" s="332"/>
      <c r="TPQ512" s="332"/>
      <c r="TPR512" s="332"/>
      <c r="TPS512" s="332"/>
      <c r="TPT512" s="332"/>
      <c r="TPU512" s="332"/>
      <c r="TPV512" s="332"/>
      <c r="TPW512" s="332"/>
      <c r="TPX512" s="332"/>
      <c r="TPY512" s="332"/>
      <c r="TPZ512" s="332"/>
      <c r="TQA512" s="332"/>
      <c r="TQB512" s="332"/>
      <c r="TQC512" s="332"/>
      <c r="TQD512" s="332"/>
      <c r="TQE512" s="332"/>
      <c r="TQF512" s="332"/>
      <c r="TQG512" s="332"/>
      <c r="TQH512" s="332"/>
      <c r="TQI512" s="332"/>
      <c r="TQJ512" s="332"/>
      <c r="TQK512" s="332"/>
      <c r="TQL512" s="332"/>
      <c r="TQM512" s="332"/>
      <c r="TQN512" s="332"/>
      <c r="TQO512" s="332"/>
      <c r="TQP512" s="332"/>
      <c r="TQQ512" s="332"/>
      <c r="TQR512" s="332"/>
      <c r="TQS512" s="332"/>
      <c r="TQT512" s="332"/>
      <c r="TQU512" s="332"/>
      <c r="TQV512" s="332"/>
      <c r="TQW512" s="332"/>
      <c r="TQX512" s="332"/>
      <c r="TQY512" s="332"/>
      <c r="TQZ512" s="332"/>
      <c r="TRA512" s="332"/>
      <c r="TRB512" s="332"/>
      <c r="TRC512" s="332"/>
      <c r="TRD512" s="332"/>
      <c r="TRE512" s="332"/>
      <c r="TRF512" s="332"/>
      <c r="TRG512" s="332"/>
      <c r="TRH512" s="332"/>
      <c r="TRI512" s="332"/>
      <c r="TRJ512" s="332"/>
      <c r="TRK512" s="332"/>
      <c r="TRL512" s="332"/>
      <c r="TRM512" s="332"/>
      <c r="TRN512" s="332"/>
      <c r="TRO512" s="332"/>
      <c r="TRP512" s="332"/>
      <c r="TRQ512" s="332"/>
      <c r="TRR512" s="332"/>
      <c r="TRS512" s="332"/>
      <c r="TRT512" s="332"/>
      <c r="TRU512" s="332"/>
      <c r="TRV512" s="332"/>
      <c r="TRW512" s="332"/>
      <c r="TRX512" s="332"/>
      <c r="TRY512" s="332"/>
      <c r="TRZ512" s="332"/>
      <c r="TSA512" s="332"/>
      <c r="TSB512" s="332"/>
      <c r="TSC512" s="332"/>
      <c r="TSD512" s="332"/>
      <c r="TSE512" s="332"/>
      <c r="TSF512" s="332"/>
      <c r="TSG512" s="332"/>
      <c r="TSH512" s="332"/>
      <c r="TSI512" s="332"/>
      <c r="TSJ512" s="332"/>
      <c r="TSK512" s="332"/>
      <c r="TSL512" s="332"/>
      <c r="TSM512" s="332"/>
      <c r="TSN512" s="332"/>
      <c r="TSO512" s="332"/>
      <c r="TSP512" s="332"/>
      <c r="TSQ512" s="332"/>
      <c r="TSR512" s="332"/>
      <c r="TSS512" s="332"/>
      <c r="TST512" s="332"/>
      <c r="TSU512" s="332"/>
      <c r="TSV512" s="332"/>
      <c r="TSW512" s="332"/>
      <c r="TSX512" s="332"/>
      <c r="TSY512" s="332"/>
      <c r="TSZ512" s="332"/>
      <c r="TTA512" s="332"/>
      <c r="TTB512" s="332"/>
      <c r="TTC512" s="332"/>
      <c r="TTD512" s="332"/>
      <c r="TTE512" s="332"/>
      <c r="TTF512" s="332"/>
      <c r="TTG512" s="332"/>
      <c r="TTH512" s="332"/>
      <c r="TTI512" s="332"/>
      <c r="TTJ512" s="332"/>
      <c r="TTK512" s="332"/>
      <c r="TTL512" s="332"/>
      <c r="TTM512" s="332"/>
      <c r="TTN512" s="332"/>
      <c r="TTO512" s="332"/>
      <c r="TTP512" s="332"/>
      <c r="TTQ512" s="332"/>
      <c r="TTR512" s="332"/>
      <c r="TTS512" s="332"/>
      <c r="TTT512" s="332"/>
      <c r="TTU512" s="332"/>
      <c r="TTV512" s="332"/>
      <c r="TTW512" s="332"/>
      <c r="TTX512" s="332"/>
      <c r="TTY512" s="332"/>
      <c r="TTZ512" s="332"/>
      <c r="TUA512" s="332"/>
      <c r="TUB512" s="332"/>
      <c r="TUC512" s="332"/>
      <c r="TUD512" s="332"/>
      <c r="TUE512" s="332"/>
      <c r="TUF512" s="332"/>
      <c r="TUG512" s="332"/>
      <c r="TUH512" s="332"/>
      <c r="TUI512" s="332"/>
      <c r="TUJ512" s="332"/>
      <c r="TUK512" s="332"/>
      <c r="TUL512" s="332"/>
      <c r="TUM512" s="332"/>
      <c r="TUN512" s="332"/>
      <c r="TUO512" s="332"/>
      <c r="TUP512" s="332"/>
      <c r="TUQ512" s="332"/>
      <c r="TUR512" s="332"/>
      <c r="TUS512" s="332"/>
      <c r="TUT512" s="332"/>
      <c r="TUU512" s="332"/>
      <c r="TUV512" s="332"/>
      <c r="TUW512" s="332"/>
      <c r="TUX512" s="332"/>
      <c r="TUY512" s="332"/>
      <c r="TUZ512" s="332"/>
      <c r="TVA512" s="332"/>
      <c r="TVB512" s="332"/>
      <c r="TVC512" s="332"/>
      <c r="TVD512" s="332"/>
      <c r="TVE512" s="332"/>
      <c r="TVF512" s="332"/>
      <c r="TVG512" s="332"/>
      <c r="TVH512" s="332"/>
      <c r="TVI512" s="332"/>
      <c r="TVJ512" s="332"/>
      <c r="TVK512" s="332"/>
      <c r="TVL512" s="332"/>
      <c r="TVM512" s="332"/>
      <c r="TVN512" s="332"/>
      <c r="TVO512" s="332"/>
      <c r="TVP512" s="332"/>
      <c r="TVQ512" s="332"/>
      <c r="TVR512" s="332"/>
      <c r="TVS512" s="332"/>
      <c r="TVT512" s="332"/>
      <c r="TVU512" s="332"/>
      <c r="TVV512" s="332"/>
      <c r="TVW512" s="332"/>
      <c r="TVX512" s="332"/>
      <c r="TVY512" s="332"/>
      <c r="TVZ512" s="332"/>
      <c r="TWA512" s="332"/>
      <c r="TWB512" s="332"/>
      <c r="TWC512" s="332"/>
      <c r="TWD512" s="332"/>
      <c r="TWE512" s="332"/>
      <c r="TWF512" s="332"/>
      <c r="TWG512" s="332"/>
      <c r="TWH512" s="332"/>
      <c r="TWI512" s="332"/>
      <c r="TWJ512" s="332"/>
      <c r="TWK512" s="332"/>
      <c r="TWL512" s="332"/>
      <c r="TWM512" s="332"/>
      <c r="TWN512" s="332"/>
      <c r="TWO512" s="332"/>
      <c r="TWP512" s="332"/>
      <c r="TWQ512" s="332"/>
      <c r="TWR512" s="332"/>
      <c r="TWS512" s="332"/>
      <c r="TWT512" s="332"/>
      <c r="TWU512" s="332"/>
      <c r="TWV512" s="332"/>
      <c r="TWW512" s="332"/>
      <c r="TWX512" s="332"/>
      <c r="TWY512" s="332"/>
      <c r="TWZ512" s="332"/>
      <c r="TXA512" s="332"/>
      <c r="TXB512" s="332"/>
      <c r="TXC512" s="332"/>
      <c r="TXD512" s="332"/>
      <c r="TXE512" s="332"/>
      <c r="TXF512" s="332"/>
      <c r="TXG512" s="332"/>
      <c r="TXH512" s="332"/>
      <c r="TXI512" s="332"/>
      <c r="TXJ512" s="332"/>
      <c r="TXK512" s="332"/>
      <c r="TXL512" s="332"/>
      <c r="TXM512" s="332"/>
      <c r="TXN512" s="332"/>
      <c r="TXO512" s="332"/>
      <c r="TXP512" s="332"/>
      <c r="TXQ512" s="332"/>
      <c r="TXR512" s="332"/>
      <c r="TXS512" s="332"/>
      <c r="TXT512" s="332"/>
      <c r="TXU512" s="332"/>
      <c r="TXV512" s="332"/>
      <c r="TXW512" s="332"/>
      <c r="TXX512" s="332"/>
      <c r="TXY512" s="332"/>
      <c r="TXZ512" s="332"/>
      <c r="TYA512" s="332"/>
      <c r="TYB512" s="332"/>
      <c r="TYC512" s="332"/>
      <c r="TYD512" s="332"/>
      <c r="TYE512" s="332"/>
      <c r="TYF512" s="332"/>
      <c r="TYG512" s="332"/>
      <c r="TYH512" s="332"/>
      <c r="TYI512" s="332"/>
      <c r="TYJ512" s="332"/>
      <c r="TYK512" s="332"/>
      <c r="TYL512" s="332"/>
      <c r="TYM512" s="332"/>
      <c r="TYN512" s="332"/>
      <c r="TYO512" s="332"/>
      <c r="TYP512" s="332"/>
      <c r="TYQ512" s="332"/>
      <c r="TYR512" s="332"/>
      <c r="TYS512" s="332"/>
      <c r="TYT512" s="332"/>
      <c r="TYU512" s="332"/>
      <c r="TYV512" s="332"/>
      <c r="TYW512" s="332"/>
      <c r="TYX512" s="332"/>
      <c r="TYY512" s="332"/>
      <c r="TYZ512" s="332"/>
      <c r="TZA512" s="332"/>
      <c r="TZB512" s="332"/>
      <c r="TZC512" s="332"/>
      <c r="TZD512" s="332"/>
      <c r="TZE512" s="332"/>
      <c r="TZF512" s="332"/>
      <c r="TZG512" s="332"/>
      <c r="TZH512" s="332"/>
      <c r="TZI512" s="332"/>
      <c r="TZJ512" s="332"/>
      <c r="TZK512" s="332"/>
      <c r="TZL512" s="332"/>
      <c r="TZM512" s="332"/>
      <c r="TZN512" s="332"/>
      <c r="TZO512" s="332"/>
      <c r="TZP512" s="332"/>
      <c r="TZQ512" s="332"/>
      <c r="TZR512" s="332"/>
      <c r="TZS512" s="332"/>
      <c r="TZT512" s="332"/>
      <c r="TZU512" s="332"/>
      <c r="TZV512" s="332"/>
      <c r="TZW512" s="332"/>
      <c r="TZX512" s="332"/>
      <c r="TZY512" s="332"/>
      <c r="TZZ512" s="332"/>
      <c r="UAA512" s="332"/>
      <c r="UAB512" s="332"/>
      <c r="UAC512" s="332"/>
      <c r="UAD512" s="332"/>
      <c r="UAE512" s="332"/>
      <c r="UAF512" s="332"/>
      <c r="UAG512" s="332"/>
      <c r="UAH512" s="332"/>
      <c r="UAI512" s="332"/>
      <c r="UAJ512" s="332"/>
      <c r="UAK512" s="332"/>
      <c r="UAL512" s="332"/>
      <c r="UAM512" s="332"/>
      <c r="UAN512" s="332"/>
      <c r="UAO512" s="332"/>
      <c r="UAP512" s="332"/>
      <c r="UAQ512" s="332"/>
      <c r="UAR512" s="332"/>
      <c r="UAS512" s="332"/>
      <c r="UAT512" s="332"/>
      <c r="UAU512" s="332"/>
      <c r="UAV512" s="332"/>
      <c r="UAW512" s="332"/>
      <c r="UAX512" s="332"/>
      <c r="UAY512" s="332"/>
      <c r="UAZ512" s="332"/>
      <c r="UBA512" s="332"/>
      <c r="UBB512" s="332"/>
      <c r="UBC512" s="332"/>
      <c r="UBD512" s="332"/>
      <c r="UBE512" s="332"/>
      <c r="UBF512" s="332"/>
      <c r="UBG512" s="332"/>
      <c r="UBH512" s="332"/>
      <c r="UBI512" s="332"/>
      <c r="UBJ512" s="332"/>
      <c r="UBK512" s="332"/>
      <c r="UBL512" s="332"/>
      <c r="UBM512" s="332"/>
      <c r="UBN512" s="332"/>
      <c r="UBO512" s="332"/>
      <c r="UBP512" s="332"/>
      <c r="UBQ512" s="332"/>
      <c r="UBR512" s="332"/>
      <c r="UBS512" s="332"/>
      <c r="UBT512" s="332"/>
      <c r="UBU512" s="332"/>
      <c r="UBV512" s="332"/>
      <c r="UBW512" s="332"/>
      <c r="UBX512" s="332"/>
      <c r="UBY512" s="332"/>
      <c r="UBZ512" s="332"/>
      <c r="UCA512" s="332"/>
      <c r="UCB512" s="332"/>
      <c r="UCC512" s="332"/>
      <c r="UCD512" s="332"/>
      <c r="UCE512" s="332"/>
      <c r="UCF512" s="332"/>
      <c r="UCG512" s="332"/>
      <c r="UCH512" s="332"/>
      <c r="UCI512" s="332"/>
      <c r="UCJ512" s="332"/>
      <c r="UCK512" s="332"/>
      <c r="UCL512" s="332"/>
      <c r="UCM512" s="332"/>
      <c r="UCN512" s="332"/>
      <c r="UCO512" s="332"/>
      <c r="UCP512" s="332"/>
      <c r="UCQ512" s="332"/>
      <c r="UCR512" s="332"/>
      <c r="UCS512" s="332"/>
      <c r="UCT512" s="332"/>
      <c r="UCU512" s="332"/>
      <c r="UCV512" s="332"/>
      <c r="UCW512" s="332"/>
      <c r="UCX512" s="332"/>
      <c r="UCY512" s="332"/>
      <c r="UCZ512" s="332"/>
      <c r="UDA512" s="332"/>
      <c r="UDB512" s="332"/>
      <c r="UDC512" s="332"/>
      <c r="UDD512" s="332"/>
      <c r="UDE512" s="332"/>
      <c r="UDF512" s="332"/>
      <c r="UDG512" s="332"/>
      <c r="UDH512" s="332"/>
      <c r="UDI512" s="332"/>
      <c r="UDJ512" s="332"/>
      <c r="UDK512" s="332"/>
      <c r="UDL512" s="332"/>
      <c r="UDM512" s="332"/>
      <c r="UDN512" s="332"/>
      <c r="UDO512" s="332"/>
      <c r="UDP512" s="332"/>
      <c r="UDQ512" s="332"/>
      <c r="UDR512" s="332"/>
      <c r="UDS512" s="332"/>
      <c r="UDT512" s="332"/>
      <c r="UDU512" s="332"/>
      <c r="UDV512" s="332"/>
      <c r="UDW512" s="332"/>
      <c r="UDX512" s="332"/>
      <c r="UDY512" s="332"/>
      <c r="UDZ512" s="332"/>
      <c r="UEA512" s="332"/>
      <c r="UEB512" s="332"/>
      <c r="UEC512" s="332"/>
      <c r="UED512" s="332"/>
      <c r="UEE512" s="332"/>
      <c r="UEF512" s="332"/>
      <c r="UEG512" s="332"/>
      <c r="UEH512" s="332"/>
      <c r="UEI512" s="332"/>
      <c r="UEJ512" s="332"/>
      <c r="UEK512" s="332"/>
      <c r="UEL512" s="332"/>
      <c r="UEM512" s="332"/>
      <c r="UEN512" s="332"/>
      <c r="UEO512" s="332"/>
      <c r="UEP512" s="332"/>
      <c r="UEQ512" s="332"/>
      <c r="UER512" s="332"/>
      <c r="UES512" s="332"/>
      <c r="UET512" s="332"/>
      <c r="UEU512" s="332"/>
      <c r="UEV512" s="332"/>
      <c r="UEW512" s="332"/>
      <c r="UEX512" s="332"/>
      <c r="UEY512" s="332"/>
      <c r="UEZ512" s="332"/>
      <c r="UFA512" s="332"/>
      <c r="UFB512" s="332"/>
      <c r="UFC512" s="332"/>
      <c r="UFD512" s="332"/>
      <c r="UFE512" s="332"/>
      <c r="UFF512" s="332"/>
      <c r="UFG512" s="332"/>
      <c r="UFH512" s="332"/>
      <c r="UFI512" s="332"/>
      <c r="UFJ512" s="332"/>
      <c r="UFK512" s="332"/>
      <c r="UFL512" s="332"/>
      <c r="UFM512" s="332"/>
      <c r="UFN512" s="332"/>
      <c r="UFO512" s="332"/>
      <c r="UFP512" s="332"/>
      <c r="UFQ512" s="332"/>
      <c r="UFR512" s="332"/>
      <c r="UFS512" s="332"/>
      <c r="UFT512" s="332"/>
      <c r="UFU512" s="332"/>
      <c r="UFV512" s="332"/>
      <c r="UFW512" s="332"/>
      <c r="UFX512" s="332"/>
      <c r="UFY512" s="332"/>
      <c r="UFZ512" s="332"/>
      <c r="UGA512" s="332"/>
      <c r="UGB512" s="332"/>
      <c r="UGC512" s="332"/>
      <c r="UGD512" s="332"/>
      <c r="UGE512" s="332"/>
      <c r="UGF512" s="332"/>
      <c r="UGG512" s="332"/>
      <c r="UGH512" s="332"/>
      <c r="UGI512" s="332"/>
      <c r="UGJ512" s="332"/>
      <c r="UGK512" s="332"/>
      <c r="UGL512" s="332"/>
      <c r="UGM512" s="332"/>
      <c r="UGN512" s="332"/>
      <c r="UGO512" s="332"/>
      <c r="UGP512" s="332"/>
      <c r="UGQ512" s="332"/>
      <c r="UGR512" s="332"/>
      <c r="UGS512" s="332"/>
      <c r="UGT512" s="332"/>
      <c r="UGU512" s="332"/>
      <c r="UGV512" s="332"/>
      <c r="UGW512" s="332"/>
      <c r="UGX512" s="332"/>
      <c r="UGY512" s="332"/>
      <c r="UGZ512" s="332"/>
      <c r="UHA512" s="332"/>
      <c r="UHB512" s="332"/>
      <c r="UHC512" s="332"/>
      <c r="UHD512" s="332"/>
      <c r="UHE512" s="332"/>
      <c r="UHF512" s="332"/>
      <c r="UHG512" s="332"/>
      <c r="UHH512" s="332"/>
      <c r="UHI512" s="332"/>
      <c r="UHJ512" s="332"/>
      <c r="UHK512" s="332"/>
      <c r="UHL512" s="332"/>
      <c r="UHM512" s="332"/>
      <c r="UHN512" s="332"/>
      <c r="UHO512" s="332"/>
      <c r="UHP512" s="332"/>
      <c r="UHQ512" s="332"/>
      <c r="UHR512" s="332"/>
      <c r="UHS512" s="332"/>
      <c r="UHT512" s="332"/>
      <c r="UHU512" s="332"/>
      <c r="UHV512" s="332"/>
      <c r="UHW512" s="332"/>
      <c r="UHX512" s="332"/>
      <c r="UHY512" s="332"/>
      <c r="UHZ512" s="332"/>
      <c r="UIA512" s="332"/>
      <c r="UIB512" s="332"/>
      <c r="UIC512" s="332"/>
      <c r="UID512" s="332"/>
      <c r="UIE512" s="332"/>
      <c r="UIF512" s="332"/>
      <c r="UIG512" s="332"/>
      <c r="UIH512" s="332"/>
      <c r="UII512" s="332"/>
      <c r="UIJ512" s="332"/>
      <c r="UIK512" s="332"/>
      <c r="UIL512" s="332"/>
      <c r="UIM512" s="332"/>
      <c r="UIN512" s="332"/>
      <c r="UIO512" s="332"/>
      <c r="UIP512" s="332"/>
      <c r="UIQ512" s="332"/>
      <c r="UIR512" s="332"/>
      <c r="UIS512" s="332"/>
      <c r="UIT512" s="332"/>
      <c r="UIU512" s="332"/>
      <c r="UIV512" s="332"/>
      <c r="UIW512" s="332"/>
      <c r="UIX512" s="332"/>
      <c r="UIY512" s="332"/>
      <c r="UIZ512" s="332"/>
      <c r="UJA512" s="332"/>
      <c r="UJB512" s="332"/>
      <c r="UJC512" s="332"/>
      <c r="UJD512" s="332"/>
      <c r="UJE512" s="332"/>
      <c r="UJF512" s="332"/>
      <c r="UJG512" s="332"/>
      <c r="UJH512" s="332"/>
      <c r="UJI512" s="332"/>
      <c r="UJJ512" s="332"/>
      <c r="UJK512" s="332"/>
      <c r="UJL512" s="332"/>
      <c r="UJM512" s="332"/>
      <c r="UJN512" s="332"/>
      <c r="UJO512" s="332"/>
      <c r="UJP512" s="332"/>
      <c r="UJQ512" s="332"/>
      <c r="UJR512" s="332"/>
      <c r="UJS512" s="332"/>
      <c r="UJT512" s="332"/>
      <c r="UJU512" s="332"/>
      <c r="UJV512" s="332"/>
      <c r="UJW512" s="332"/>
      <c r="UJX512" s="332"/>
      <c r="UJY512" s="332"/>
      <c r="UJZ512" s="332"/>
      <c r="UKA512" s="332"/>
      <c r="UKB512" s="332"/>
      <c r="UKC512" s="332"/>
      <c r="UKD512" s="332"/>
      <c r="UKE512" s="332"/>
      <c r="UKF512" s="332"/>
      <c r="UKG512" s="332"/>
      <c r="UKH512" s="332"/>
      <c r="UKI512" s="332"/>
      <c r="UKJ512" s="332"/>
      <c r="UKK512" s="332"/>
      <c r="UKL512" s="332"/>
      <c r="UKM512" s="332"/>
      <c r="UKN512" s="332"/>
      <c r="UKO512" s="332"/>
      <c r="UKP512" s="332"/>
      <c r="UKQ512" s="332"/>
      <c r="UKR512" s="332"/>
      <c r="UKS512" s="332"/>
      <c r="UKT512" s="332"/>
      <c r="UKU512" s="332"/>
      <c r="UKV512" s="332"/>
      <c r="UKW512" s="332"/>
      <c r="UKX512" s="332"/>
      <c r="UKY512" s="332"/>
      <c r="UKZ512" s="332"/>
      <c r="ULA512" s="332"/>
      <c r="ULB512" s="332"/>
      <c r="ULC512" s="332"/>
      <c r="ULD512" s="332"/>
      <c r="ULE512" s="332"/>
      <c r="ULF512" s="332"/>
      <c r="ULG512" s="332"/>
      <c r="ULH512" s="332"/>
      <c r="ULI512" s="332"/>
      <c r="ULJ512" s="332"/>
      <c r="ULK512" s="332"/>
      <c r="ULL512" s="332"/>
      <c r="ULM512" s="332"/>
      <c r="ULN512" s="332"/>
      <c r="ULO512" s="332"/>
      <c r="ULP512" s="332"/>
      <c r="ULQ512" s="332"/>
      <c r="ULR512" s="332"/>
      <c r="ULS512" s="332"/>
      <c r="ULT512" s="332"/>
      <c r="ULU512" s="332"/>
      <c r="ULV512" s="332"/>
      <c r="ULW512" s="332"/>
      <c r="ULX512" s="332"/>
      <c r="ULY512" s="332"/>
      <c r="ULZ512" s="332"/>
      <c r="UMA512" s="332"/>
      <c r="UMB512" s="332"/>
      <c r="UMC512" s="332"/>
      <c r="UMD512" s="332"/>
      <c r="UME512" s="332"/>
      <c r="UMF512" s="332"/>
      <c r="UMG512" s="332"/>
      <c r="UMH512" s="332"/>
      <c r="UMI512" s="332"/>
      <c r="UMJ512" s="332"/>
      <c r="UMK512" s="332"/>
      <c r="UML512" s="332"/>
      <c r="UMM512" s="332"/>
      <c r="UMN512" s="332"/>
      <c r="UMO512" s="332"/>
      <c r="UMP512" s="332"/>
      <c r="UMQ512" s="332"/>
      <c r="UMR512" s="332"/>
      <c r="UMS512" s="332"/>
      <c r="UMT512" s="332"/>
      <c r="UMU512" s="332"/>
      <c r="UMV512" s="332"/>
      <c r="UMW512" s="332"/>
      <c r="UMX512" s="332"/>
      <c r="UMY512" s="332"/>
      <c r="UMZ512" s="332"/>
      <c r="UNA512" s="332"/>
      <c r="UNB512" s="332"/>
      <c r="UNC512" s="332"/>
      <c r="UND512" s="332"/>
      <c r="UNE512" s="332"/>
      <c r="UNF512" s="332"/>
      <c r="UNG512" s="332"/>
      <c r="UNH512" s="332"/>
      <c r="UNI512" s="332"/>
      <c r="UNJ512" s="332"/>
      <c r="UNK512" s="332"/>
      <c r="UNL512" s="332"/>
      <c r="UNM512" s="332"/>
      <c r="UNN512" s="332"/>
      <c r="UNO512" s="332"/>
      <c r="UNP512" s="332"/>
      <c r="UNQ512" s="332"/>
      <c r="UNR512" s="332"/>
      <c r="UNS512" s="332"/>
      <c r="UNT512" s="332"/>
      <c r="UNU512" s="332"/>
      <c r="UNV512" s="332"/>
      <c r="UNW512" s="332"/>
      <c r="UNX512" s="332"/>
      <c r="UNY512" s="332"/>
      <c r="UNZ512" s="332"/>
      <c r="UOA512" s="332"/>
      <c r="UOB512" s="332"/>
      <c r="UOC512" s="332"/>
      <c r="UOD512" s="332"/>
      <c r="UOE512" s="332"/>
      <c r="UOF512" s="332"/>
      <c r="UOG512" s="332"/>
      <c r="UOH512" s="332"/>
      <c r="UOI512" s="332"/>
      <c r="UOJ512" s="332"/>
      <c r="UOK512" s="332"/>
      <c r="UOL512" s="332"/>
      <c r="UOM512" s="332"/>
      <c r="UON512" s="332"/>
      <c r="UOO512" s="332"/>
      <c r="UOP512" s="332"/>
      <c r="UOQ512" s="332"/>
      <c r="UOR512" s="332"/>
      <c r="UOS512" s="332"/>
      <c r="UOT512" s="332"/>
      <c r="UOU512" s="332"/>
      <c r="UOV512" s="332"/>
      <c r="UOW512" s="332"/>
      <c r="UOX512" s="332"/>
      <c r="UOY512" s="332"/>
      <c r="UOZ512" s="332"/>
      <c r="UPA512" s="332"/>
      <c r="UPB512" s="332"/>
      <c r="UPC512" s="332"/>
      <c r="UPD512" s="332"/>
      <c r="UPE512" s="332"/>
      <c r="UPF512" s="332"/>
      <c r="UPG512" s="332"/>
      <c r="UPH512" s="332"/>
      <c r="UPI512" s="332"/>
      <c r="UPJ512" s="332"/>
      <c r="UPK512" s="332"/>
      <c r="UPL512" s="332"/>
      <c r="UPM512" s="332"/>
      <c r="UPN512" s="332"/>
      <c r="UPO512" s="332"/>
      <c r="UPP512" s="332"/>
      <c r="UPQ512" s="332"/>
      <c r="UPR512" s="332"/>
      <c r="UPS512" s="332"/>
      <c r="UPT512" s="332"/>
      <c r="UPU512" s="332"/>
      <c r="UPV512" s="332"/>
      <c r="UPW512" s="332"/>
      <c r="UPX512" s="332"/>
      <c r="UPY512" s="332"/>
      <c r="UPZ512" s="332"/>
      <c r="UQA512" s="332"/>
      <c r="UQB512" s="332"/>
      <c r="UQC512" s="332"/>
      <c r="UQD512" s="332"/>
      <c r="UQE512" s="332"/>
      <c r="UQF512" s="332"/>
      <c r="UQG512" s="332"/>
      <c r="UQH512" s="332"/>
      <c r="UQI512" s="332"/>
      <c r="UQJ512" s="332"/>
      <c r="UQK512" s="332"/>
      <c r="UQL512" s="332"/>
      <c r="UQM512" s="332"/>
      <c r="UQN512" s="332"/>
      <c r="UQO512" s="332"/>
      <c r="UQP512" s="332"/>
      <c r="UQQ512" s="332"/>
      <c r="UQR512" s="332"/>
      <c r="UQS512" s="332"/>
      <c r="UQT512" s="332"/>
      <c r="UQU512" s="332"/>
      <c r="UQV512" s="332"/>
      <c r="UQW512" s="332"/>
      <c r="UQX512" s="332"/>
      <c r="UQY512" s="332"/>
      <c r="UQZ512" s="332"/>
      <c r="URA512" s="332"/>
      <c r="URB512" s="332"/>
      <c r="URC512" s="332"/>
      <c r="URD512" s="332"/>
      <c r="URE512" s="332"/>
      <c r="URF512" s="332"/>
      <c r="URG512" s="332"/>
      <c r="URH512" s="332"/>
      <c r="URI512" s="332"/>
      <c r="URJ512" s="332"/>
      <c r="URK512" s="332"/>
      <c r="URL512" s="332"/>
      <c r="URM512" s="332"/>
      <c r="URN512" s="332"/>
      <c r="URO512" s="332"/>
      <c r="URP512" s="332"/>
      <c r="URQ512" s="332"/>
      <c r="URR512" s="332"/>
      <c r="URS512" s="332"/>
      <c r="URT512" s="332"/>
      <c r="URU512" s="332"/>
      <c r="URV512" s="332"/>
      <c r="URW512" s="332"/>
      <c r="URX512" s="332"/>
      <c r="URY512" s="332"/>
      <c r="URZ512" s="332"/>
      <c r="USA512" s="332"/>
      <c r="USB512" s="332"/>
      <c r="USC512" s="332"/>
      <c r="USD512" s="332"/>
      <c r="USE512" s="332"/>
      <c r="USF512" s="332"/>
      <c r="USG512" s="332"/>
      <c r="USH512" s="332"/>
      <c r="USI512" s="332"/>
      <c r="USJ512" s="332"/>
      <c r="USK512" s="332"/>
      <c r="USL512" s="332"/>
      <c r="USM512" s="332"/>
      <c r="USN512" s="332"/>
      <c r="USO512" s="332"/>
      <c r="USP512" s="332"/>
      <c r="USQ512" s="332"/>
      <c r="USR512" s="332"/>
      <c r="USS512" s="332"/>
      <c r="UST512" s="332"/>
      <c r="USU512" s="332"/>
      <c r="USV512" s="332"/>
      <c r="USW512" s="332"/>
      <c r="USX512" s="332"/>
      <c r="USY512" s="332"/>
      <c r="USZ512" s="332"/>
      <c r="UTA512" s="332"/>
      <c r="UTB512" s="332"/>
      <c r="UTC512" s="332"/>
      <c r="UTD512" s="332"/>
      <c r="UTE512" s="332"/>
      <c r="UTF512" s="332"/>
      <c r="UTG512" s="332"/>
      <c r="UTH512" s="332"/>
      <c r="UTI512" s="332"/>
      <c r="UTJ512" s="332"/>
      <c r="UTK512" s="332"/>
      <c r="UTL512" s="332"/>
      <c r="UTM512" s="332"/>
      <c r="UTN512" s="332"/>
      <c r="UTO512" s="332"/>
      <c r="UTP512" s="332"/>
      <c r="UTQ512" s="332"/>
      <c r="UTR512" s="332"/>
      <c r="UTS512" s="332"/>
      <c r="UTT512" s="332"/>
      <c r="UTU512" s="332"/>
      <c r="UTV512" s="332"/>
      <c r="UTW512" s="332"/>
      <c r="UTX512" s="332"/>
      <c r="UTY512" s="332"/>
      <c r="UTZ512" s="332"/>
      <c r="UUA512" s="332"/>
      <c r="UUB512" s="332"/>
      <c r="UUC512" s="332"/>
      <c r="UUD512" s="332"/>
      <c r="UUE512" s="332"/>
      <c r="UUF512" s="332"/>
      <c r="UUG512" s="332"/>
      <c r="UUH512" s="332"/>
      <c r="UUI512" s="332"/>
      <c r="UUJ512" s="332"/>
      <c r="UUK512" s="332"/>
      <c r="UUL512" s="332"/>
      <c r="UUM512" s="332"/>
      <c r="UUN512" s="332"/>
      <c r="UUO512" s="332"/>
      <c r="UUP512" s="332"/>
      <c r="UUQ512" s="332"/>
      <c r="UUR512" s="332"/>
      <c r="UUS512" s="332"/>
      <c r="UUT512" s="332"/>
      <c r="UUU512" s="332"/>
      <c r="UUV512" s="332"/>
      <c r="UUW512" s="332"/>
      <c r="UUX512" s="332"/>
      <c r="UUY512" s="332"/>
      <c r="UUZ512" s="332"/>
      <c r="UVA512" s="332"/>
      <c r="UVB512" s="332"/>
      <c r="UVC512" s="332"/>
      <c r="UVD512" s="332"/>
      <c r="UVE512" s="332"/>
      <c r="UVF512" s="332"/>
      <c r="UVG512" s="332"/>
      <c r="UVH512" s="332"/>
      <c r="UVI512" s="332"/>
      <c r="UVJ512" s="332"/>
      <c r="UVK512" s="332"/>
      <c r="UVL512" s="332"/>
      <c r="UVM512" s="332"/>
      <c r="UVN512" s="332"/>
      <c r="UVO512" s="332"/>
      <c r="UVP512" s="332"/>
      <c r="UVQ512" s="332"/>
      <c r="UVR512" s="332"/>
      <c r="UVS512" s="332"/>
      <c r="UVT512" s="332"/>
      <c r="UVU512" s="332"/>
      <c r="UVV512" s="332"/>
      <c r="UVW512" s="332"/>
      <c r="UVX512" s="332"/>
      <c r="UVY512" s="332"/>
      <c r="UVZ512" s="332"/>
      <c r="UWA512" s="332"/>
      <c r="UWB512" s="332"/>
      <c r="UWC512" s="332"/>
      <c r="UWD512" s="332"/>
      <c r="UWE512" s="332"/>
      <c r="UWF512" s="332"/>
      <c r="UWG512" s="332"/>
      <c r="UWH512" s="332"/>
      <c r="UWI512" s="332"/>
      <c r="UWJ512" s="332"/>
      <c r="UWK512" s="332"/>
      <c r="UWL512" s="332"/>
      <c r="UWM512" s="332"/>
      <c r="UWN512" s="332"/>
      <c r="UWO512" s="332"/>
      <c r="UWP512" s="332"/>
      <c r="UWQ512" s="332"/>
      <c r="UWR512" s="332"/>
      <c r="UWS512" s="332"/>
      <c r="UWT512" s="332"/>
      <c r="UWU512" s="332"/>
      <c r="UWV512" s="332"/>
      <c r="UWW512" s="332"/>
      <c r="UWX512" s="332"/>
      <c r="UWY512" s="332"/>
      <c r="UWZ512" s="332"/>
      <c r="UXA512" s="332"/>
      <c r="UXB512" s="332"/>
      <c r="UXC512" s="332"/>
      <c r="UXD512" s="332"/>
      <c r="UXE512" s="332"/>
      <c r="UXF512" s="332"/>
      <c r="UXG512" s="332"/>
      <c r="UXH512" s="332"/>
      <c r="UXI512" s="332"/>
      <c r="UXJ512" s="332"/>
      <c r="UXK512" s="332"/>
      <c r="UXL512" s="332"/>
      <c r="UXM512" s="332"/>
      <c r="UXN512" s="332"/>
      <c r="UXO512" s="332"/>
      <c r="UXP512" s="332"/>
      <c r="UXQ512" s="332"/>
      <c r="UXR512" s="332"/>
      <c r="UXS512" s="332"/>
      <c r="UXT512" s="332"/>
      <c r="UXU512" s="332"/>
      <c r="UXV512" s="332"/>
      <c r="UXW512" s="332"/>
      <c r="UXX512" s="332"/>
      <c r="UXY512" s="332"/>
      <c r="UXZ512" s="332"/>
      <c r="UYA512" s="332"/>
      <c r="UYB512" s="332"/>
      <c r="UYC512" s="332"/>
      <c r="UYD512" s="332"/>
      <c r="UYE512" s="332"/>
      <c r="UYF512" s="332"/>
      <c r="UYG512" s="332"/>
      <c r="UYH512" s="332"/>
      <c r="UYI512" s="332"/>
      <c r="UYJ512" s="332"/>
      <c r="UYK512" s="332"/>
      <c r="UYL512" s="332"/>
      <c r="UYM512" s="332"/>
      <c r="UYN512" s="332"/>
      <c r="UYO512" s="332"/>
      <c r="UYP512" s="332"/>
      <c r="UYQ512" s="332"/>
      <c r="UYR512" s="332"/>
      <c r="UYS512" s="332"/>
      <c r="UYT512" s="332"/>
      <c r="UYU512" s="332"/>
      <c r="UYV512" s="332"/>
      <c r="UYW512" s="332"/>
      <c r="UYX512" s="332"/>
      <c r="UYY512" s="332"/>
      <c r="UYZ512" s="332"/>
      <c r="UZA512" s="332"/>
      <c r="UZB512" s="332"/>
      <c r="UZC512" s="332"/>
      <c r="UZD512" s="332"/>
      <c r="UZE512" s="332"/>
      <c r="UZF512" s="332"/>
      <c r="UZG512" s="332"/>
      <c r="UZH512" s="332"/>
      <c r="UZI512" s="332"/>
      <c r="UZJ512" s="332"/>
      <c r="UZK512" s="332"/>
      <c r="UZL512" s="332"/>
      <c r="UZM512" s="332"/>
      <c r="UZN512" s="332"/>
      <c r="UZO512" s="332"/>
      <c r="UZP512" s="332"/>
      <c r="UZQ512" s="332"/>
      <c r="UZR512" s="332"/>
      <c r="UZS512" s="332"/>
      <c r="UZT512" s="332"/>
      <c r="UZU512" s="332"/>
      <c r="UZV512" s="332"/>
      <c r="UZW512" s="332"/>
      <c r="UZX512" s="332"/>
      <c r="UZY512" s="332"/>
      <c r="UZZ512" s="332"/>
      <c r="VAA512" s="332"/>
      <c r="VAB512" s="332"/>
      <c r="VAC512" s="332"/>
      <c r="VAD512" s="332"/>
      <c r="VAE512" s="332"/>
      <c r="VAF512" s="332"/>
      <c r="VAG512" s="332"/>
      <c r="VAH512" s="332"/>
      <c r="VAI512" s="332"/>
      <c r="VAJ512" s="332"/>
      <c r="VAK512" s="332"/>
      <c r="VAL512" s="332"/>
      <c r="VAM512" s="332"/>
      <c r="VAN512" s="332"/>
      <c r="VAO512" s="332"/>
      <c r="VAP512" s="332"/>
      <c r="VAQ512" s="332"/>
      <c r="VAR512" s="332"/>
      <c r="VAS512" s="332"/>
      <c r="VAT512" s="332"/>
      <c r="VAU512" s="332"/>
      <c r="VAV512" s="332"/>
      <c r="VAW512" s="332"/>
      <c r="VAX512" s="332"/>
      <c r="VAY512" s="332"/>
      <c r="VAZ512" s="332"/>
      <c r="VBA512" s="332"/>
      <c r="VBB512" s="332"/>
      <c r="VBC512" s="332"/>
      <c r="VBD512" s="332"/>
      <c r="VBE512" s="332"/>
      <c r="VBF512" s="332"/>
      <c r="VBG512" s="332"/>
      <c r="VBH512" s="332"/>
      <c r="VBI512" s="332"/>
      <c r="VBJ512" s="332"/>
      <c r="VBK512" s="332"/>
      <c r="VBL512" s="332"/>
      <c r="VBM512" s="332"/>
      <c r="VBN512" s="332"/>
      <c r="VBO512" s="332"/>
      <c r="VBP512" s="332"/>
      <c r="VBQ512" s="332"/>
      <c r="VBR512" s="332"/>
      <c r="VBS512" s="332"/>
      <c r="VBT512" s="332"/>
      <c r="VBU512" s="332"/>
      <c r="VBV512" s="332"/>
      <c r="VBW512" s="332"/>
      <c r="VBX512" s="332"/>
      <c r="VBY512" s="332"/>
      <c r="VBZ512" s="332"/>
      <c r="VCA512" s="332"/>
      <c r="VCB512" s="332"/>
      <c r="VCC512" s="332"/>
      <c r="VCD512" s="332"/>
      <c r="VCE512" s="332"/>
      <c r="VCF512" s="332"/>
      <c r="VCG512" s="332"/>
      <c r="VCH512" s="332"/>
      <c r="VCI512" s="332"/>
      <c r="VCJ512" s="332"/>
      <c r="VCK512" s="332"/>
      <c r="VCL512" s="332"/>
      <c r="VCM512" s="332"/>
      <c r="VCN512" s="332"/>
      <c r="VCO512" s="332"/>
      <c r="VCP512" s="332"/>
      <c r="VCQ512" s="332"/>
      <c r="VCR512" s="332"/>
      <c r="VCS512" s="332"/>
      <c r="VCT512" s="332"/>
      <c r="VCU512" s="332"/>
      <c r="VCV512" s="332"/>
      <c r="VCW512" s="332"/>
      <c r="VCX512" s="332"/>
      <c r="VCY512" s="332"/>
      <c r="VCZ512" s="332"/>
      <c r="VDA512" s="332"/>
      <c r="VDB512" s="332"/>
      <c r="VDC512" s="332"/>
      <c r="VDD512" s="332"/>
      <c r="VDE512" s="332"/>
      <c r="VDF512" s="332"/>
      <c r="VDG512" s="332"/>
      <c r="VDH512" s="332"/>
      <c r="VDI512" s="332"/>
      <c r="VDJ512" s="332"/>
      <c r="VDK512" s="332"/>
      <c r="VDL512" s="332"/>
      <c r="VDM512" s="332"/>
      <c r="VDN512" s="332"/>
      <c r="VDO512" s="332"/>
      <c r="VDP512" s="332"/>
      <c r="VDQ512" s="332"/>
      <c r="VDR512" s="332"/>
      <c r="VDS512" s="332"/>
      <c r="VDT512" s="332"/>
      <c r="VDU512" s="332"/>
      <c r="VDV512" s="332"/>
      <c r="VDW512" s="332"/>
      <c r="VDX512" s="332"/>
      <c r="VDY512" s="332"/>
      <c r="VDZ512" s="332"/>
      <c r="VEA512" s="332"/>
      <c r="VEB512" s="332"/>
      <c r="VEC512" s="332"/>
      <c r="VED512" s="332"/>
      <c r="VEE512" s="332"/>
      <c r="VEF512" s="332"/>
      <c r="VEG512" s="332"/>
      <c r="VEH512" s="332"/>
      <c r="VEI512" s="332"/>
      <c r="VEJ512" s="332"/>
      <c r="VEK512" s="332"/>
      <c r="VEL512" s="332"/>
      <c r="VEM512" s="332"/>
      <c r="VEN512" s="332"/>
      <c r="VEO512" s="332"/>
      <c r="VEP512" s="332"/>
      <c r="VEQ512" s="332"/>
      <c r="VER512" s="332"/>
      <c r="VES512" s="332"/>
      <c r="VET512" s="332"/>
      <c r="VEU512" s="332"/>
      <c r="VEV512" s="332"/>
      <c r="VEW512" s="332"/>
      <c r="VEX512" s="332"/>
      <c r="VEY512" s="332"/>
      <c r="VEZ512" s="332"/>
      <c r="VFA512" s="332"/>
      <c r="VFB512" s="332"/>
      <c r="VFC512" s="332"/>
      <c r="VFD512" s="332"/>
      <c r="VFE512" s="332"/>
      <c r="VFF512" s="332"/>
      <c r="VFG512" s="332"/>
      <c r="VFH512" s="332"/>
      <c r="VFI512" s="332"/>
      <c r="VFJ512" s="332"/>
      <c r="VFK512" s="332"/>
      <c r="VFL512" s="332"/>
      <c r="VFM512" s="332"/>
      <c r="VFN512" s="332"/>
      <c r="VFO512" s="332"/>
      <c r="VFP512" s="332"/>
      <c r="VFQ512" s="332"/>
      <c r="VFR512" s="332"/>
      <c r="VFS512" s="332"/>
      <c r="VFT512" s="332"/>
      <c r="VFU512" s="332"/>
      <c r="VFV512" s="332"/>
      <c r="VFW512" s="332"/>
      <c r="VFX512" s="332"/>
      <c r="VFY512" s="332"/>
      <c r="VFZ512" s="332"/>
      <c r="VGA512" s="332"/>
      <c r="VGB512" s="332"/>
      <c r="VGC512" s="332"/>
      <c r="VGD512" s="332"/>
      <c r="VGE512" s="332"/>
      <c r="VGF512" s="332"/>
      <c r="VGG512" s="332"/>
      <c r="VGH512" s="332"/>
      <c r="VGI512" s="332"/>
      <c r="VGJ512" s="332"/>
      <c r="VGK512" s="332"/>
      <c r="VGL512" s="332"/>
      <c r="VGM512" s="332"/>
      <c r="VGN512" s="332"/>
      <c r="VGO512" s="332"/>
      <c r="VGP512" s="332"/>
      <c r="VGQ512" s="332"/>
      <c r="VGR512" s="332"/>
      <c r="VGS512" s="332"/>
      <c r="VGT512" s="332"/>
      <c r="VGU512" s="332"/>
      <c r="VGV512" s="332"/>
      <c r="VGW512" s="332"/>
      <c r="VGX512" s="332"/>
      <c r="VGY512" s="332"/>
      <c r="VGZ512" s="332"/>
      <c r="VHA512" s="332"/>
      <c r="VHB512" s="332"/>
      <c r="VHC512" s="332"/>
      <c r="VHD512" s="332"/>
      <c r="VHE512" s="332"/>
      <c r="VHF512" s="332"/>
      <c r="VHG512" s="332"/>
      <c r="VHH512" s="332"/>
      <c r="VHI512" s="332"/>
      <c r="VHJ512" s="332"/>
      <c r="VHK512" s="332"/>
      <c r="VHL512" s="332"/>
      <c r="VHM512" s="332"/>
      <c r="VHN512" s="332"/>
      <c r="VHO512" s="332"/>
      <c r="VHP512" s="332"/>
      <c r="VHQ512" s="332"/>
      <c r="VHR512" s="332"/>
      <c r="VHS512" s="332"/>
      <c r="VHT512" s="332"/>
      <c r="VHU512" s="332"/>
      <c r="VHV512" s="332"/>
      <c r="VHW512" s="332"/>
      <c r="VHX512" s="332"/>
      <c r="VHY512" s="332"/>
      <c r="VHZ512" s="332"/>
      <c r="VIA512" s="332"/>
      <c r="VIB512" s="332"/>
      <c r="VIC512" s="332"/>
      <c r="VID512" s="332"/>
      <c r="VIE512" s="332"/>
      <c r="VIF512" s="332"/>
      <c r="VIG512" s="332"/>
      <c r="VIH512" s="332"/>
      <c r="VII512" s="332"/>
      <c r="VIJ512" s="332"/>
      <c r="VIK512" s="332"/>
      <c r="VIL512" s="332"/>
      <c r="VIM512" s="332"/>
      <c r="VIN512" s="332"/>
      <c r="VIO512" s="332"/>
      <c r="VIP512" s="332"/>
      <c r="VIQ512" s="332"/>
      <c r="VIR512" s="332"/>
      <c r="VIS512" s="332"/>
      <c r="VIT512" s="332"/>
      <c r="VIU512" s="332"/>
      <c r="VIV512" s="332"/>
      <c r="VIW512" s="332"/>
      <c r="VIX512" s="332"/>
      <c r="VIY512" s="332"/>
      <c r="VIZ512" s="332"/>
      <c r="VJA512" s="332"/>
      <c r="VJB512" s="332"/>
      <c r="VJC512" s="332"/>
      <c r="VJD512" s="332"/>
      <c r="VJE512" s="332"/>
      <c r="VJF512" s="332"/>
      <c r="VJG512" s="332"/>
      <c r="VJH512" s="332"/>
      <c r="VJI512" s="332"/>
      <c r="VJJ512" s="332"/>
      <c r="VJK512" s="332"/>
      <c r="VJL512" s="332"/>
      <c r="VJM512" s="332"/>
      <c r="VJN512" s="332"/>
      <c r="VJO512" s="332"/>
      <c r="VJP512" s="332"/>
      <c r="VJQ512" s="332"/>
      <c r="VJR512" s="332"/>
      <c r="VJS512" s="332"/>
      <c r="VJT512" s="332"/>
      <c r="VJU512" s="332"/>
      <c r="VJV512" s="332"/>
      <c r="VJW512" s="332"/>
      <c r="VJX512" s="332"/>
      <c r="VJY512" s="332"/>
      <c r="VJZ512" s="332"/>
      <c r="VKA512" s="332"/>
      <c r="VKB512" s="332"/>
      <c r="VKC512" s="332"/>
      <c r="VKD512" s="332"/>
      <c r="VKE512" s="332"/>
      <c r="VKF512" s="332"/>
      <c r="VKG512" s="332"/>
      <c r="VKH512" s="332"/>
      <c r="VKI512" s="332"/>
      <c r="VKJ512" s="332"/>
      <c r="VKK512" s="332"/>
      <c r="VKL512" s="332"/>
      <c r="VKM512" s="332"/>
      <c r="VKN512" s="332"/>
      <c r="VKO512" s="332"/>
      <c r="VKP512" s="332"/>
      <c r="VKQ512" s="332"/>
      <c r="VKR512" s="332"/>
      <c r="VKS512" s="332"/>
      <c r="VKT512" s="332"/>
      <c r="VKU512" s="332"/>
      <c r="VKV512" s="332"/>
      <c r="VKW512" s="332"/>
      <c r="VKX512" s="332"/>
      <c r="VKY512" s="332"/>
      <c r="VKZ512" s="332"/>
      <c r="VLA512" s="332"/>
      <c r="VLB512" s="332"/>
      <c r="VLC512" s="332"/>
      <c r="VLD512" s="332"/>
      <c r="VLE512" s="332"/>
      <c r="VLF512" s="332"/>
      <c r="VLG512" s="332"/>
      <c r="VLH512" s="332"/>
      <c r="VLI512" s="332"/>
      <c r="VLJ512" s="332"/>
      <c r="VLK512" s="332"/>
      <c r="VLL512" s="332"/>
      <c r="VLM512" s="332"/>
      <c r="VLN512" s="332"/>
      <c r="VLO512" s="332"/>
      <c r="VLP512" s="332"/>
      <c r="VLQ512" s="332"/>
      <c r="VLR512" s="332"/>
      <c r="VLS512" s="332"/>
      <c r="VLT512" s="332"/>
      <c r="VLU512" s="332"/>
      <c r="VLV512" s="332"/>
      <c r="VLW512" s="332"/>
      <c r="VLX512" s="332"/>
      <c r="VLY512" s="332"/>
      <c r="VLZ512" s="332"/>
      <c r="VMA512" s="332"/>
      <c r="VMB512" s="332"/>
      <c r="VMC512" s="332"/>
      <c r="VMD512" s="332"/>
      <c r="VME512" s="332"/>
      <c r="VMF512" s="332"/>
      <c r="VMG512" s="332"/>
      <c r="VMH512" s="332"/>
      <c r="VMI512" s="332"/>
      <c r="VMJ512" s="332"/>
      <c r="VMK512" s="332"/>
      <c r="VML512" s="332"/>
      <c r="VMM512" s="332"/>
      <c r="VMN512" s="332"/>
      <c r="VMO512" s="332"/>
      <c r="VMP512" s="332"/>
      <c r="VMQ512" s="332"/>
      <c r="VMR512" s="332"/>
      <c r="VMS512" s="332"/>
      <c r="VMT512" s="332"/>
      <c r="VMU512" s="332"/>
      <c r="VMV512" s="332"/>
      <c r="VMW512" s="332"/>
      <c r="VMX512" s="332"/>
      <c r="VMY512" s="332"/>
      <c r="VMZ512" s="332"/>
      <c r="VNA512" s="332"/>
      <c r="VNB512" s="332"/>
      <c r="VNC512" s="332"/>
      <c r="VND512" s="332"/>
      <c r="VNE512" s="332"/>
      <c r="VNF512" s="332"/>
      <c r="VNG512" s="332"/>
      <c r="VNH512" s="332"/>
      <c r="VNI512" s="332"/>
      <c r="VNJ512" s="332"/>
      <c r="VNK512" s="332"/>
      <c r="VNL512" s="332"/>
      <c r="VNM512" s="332"/>
      <c r="VNN512" s="332"/>
      <c r="VNO512" s="332"/>
      <c r="VNP512" s="332"/>
      <c r="VNQ512" s="332"/>
      <c r="VNR512" s="332"/>
      <c r="VNS512" s="332"/>
      <c r="VNT512" s="332"/>
      <c r="VNU512" s="332"/>
      <c r="VNV512" s="332"/>
      <c r="VNW512" s="332"/>
      <c r="VNX512" s="332"/>
      <c r="VNY512" s="332"/>
      <c r="VNZ512" s="332"/>
      <c r="VOA512" s="332"/>
      <c r="VOB512" s="332"/>
      <c r="VOC512" s="332"/>
      <c r="VOD512" s="332"/>
      <c r="VOE512" s="332"/>
      <c r="VOF512" s="332"/>
      <c r="VOG512" s="332"/>
      <c r="VOH512" s="332"/>
      <c r="VOI512" s="332"/>
      <c r="VOJ512" s="332"/>
      <c r="VOK512" s="332"/>
      <c r="VOL512" s="332"/>
      <c r="VOM512" s="332"/>
      <c r="VON512" s="332"/>
      <c r="VOO512" s="332"/>
      <c r="VOP512" s="332"/>
      <c r="VOQ512" s="332"/>
      <c r="VOR512" s="332"/>
      <c r="VOS512" s="332"/>
      <c r="VOT512" s="332"/>
      <c r="VOU512" s="332"/>
      <c r="VOV512" s="332"/>
      <c r="VOW512" s="332"/>
      <c r="VOX512" s="332"/>
      <c r="VOY512" s="332"/>
      <c r="VOZ512" s="332"/>
      <c r="VPA512" s="332"/>
      <c r="VPB512" s="332"/>
      <c r="VPC512" s="332"/>
      <c r="VPD512" s="332"/>
      <c r="VPE512" s="332"/>
      <c r="VPF512" s="332"/>
      <c r="VPG512" s="332"/>
      <c r="VPH512" s="332"/>
      <c r="VPI512" s="332"/>
      <c r="VPJ512" s="332"/>
      <c r="VPK512" s="332"/>
      <c r="VPL512" s="332"/>
      <c r="VPM512" s="332"/>
      <c r="VPN512" s="332"/>
      <c r="VPO512" s="332"/>
      <c r="VPP512" s="332"/>
      <c r="VPQ512" s="332"/>
      <c r="VPR512" s="332"/>
      <c r="VPS512" s="332"/>
      <c r="VPT512" s="332"/>
      <c r="VPU512" s="332"/>
      <c r="VPV512" s="332"/>
      <c r="VPW512" s="332"/>
      <c r="VPX512" s="332"/>
      <c r="VPY512" s="332"/>
      <c r="VPZ512" s="332"/>
      <c r="VQA512" s="332"/>
      <c r="VQB512" s="332"/>
      <c r="VQC512" s="332"/>
      <c r="VQD512" s="332"/>
      <c r="VQE512" s="332"/>
      <c r="VQF512" s="332"/>
      <c r="VQG512" s="332"/>
      <c r="VQH512" s="332"/>
      <c r="VQI512" s="332"/>
      <c r="VQJ512" s="332"/>
      <c r="VQK512" s="332"/>
      <c r="VQL512" s="332"/>
      <c r="VQM512" s="332"/>
      <c r="VQN512" s="332"/>
      <c r="VQO512" s="332"/>
      <c r="VQP512" s="332"/>
      <c r="VQQ512" s="332"/>
      <c r="VQR512" s="332"/>
      <c r="VQS512" s="332"/>
      <c r="VQT512" s="332"/>
      <c r="VQU512" s="332"/>
      <c r="VQV512" s="332"/>
      <c r="VQW512" s="332"/>
      <c r="VQX512" s="332"/>
      <c r="VQY512" s="332"/>
      <c r="VQZ512" s="332"/>
      <c r="VRA512" s="332"/>
      <c r="VRB512" s="332"/>
      <c r="VRC512" s="332"/>
      <c r="VRD512" s="332"/>
      <c r="VRE512" s="332"/>
      <c r="VRF512" s="332"/>
      <c r="VRG512" s="332"/>
      <c r="VRH512" s="332"/>
      <c r="VRI512" s="332"/>
      <c r="VRJ512" s="332"/>
      <c r="VRK512" s="332"/>
      <c r="VRL512" s="332"/>
      <c r="VRM512" s="332"/>
      <c r="VRN512" s="332"/>
      <c r="VRO512" s="332"/>
      <c r="VRP512" s="332"/>
      <c r="VRQ512" s="332"/>
      <c r="VRR512" s="332"/>
      <c r="VRS512" s="332"/>
      <c r="VRT512" s="332"/>
      <c r="VRU512" s="332"/>
      <c r="VRV512" s="332"/>
      <c r="VRW512" s="332"/>
      <c r="VRX512" s="332"/>
      <c r="VRY512" s="332"/>
      <c r="VRZ512" s="332"/>
      <c r="VSA512" s="332"/>
      <c r="VSB512" s="332"/>
      <c r="VSC512" s="332"/>
      <c r="VSD512" s="332"/>
      <c r="VSE512" s="332"/>
      <c r="VSF512" s="332"/>
      <c r="VSG512" s="332"/>
      <c r="VSH512" s="332"/>
      <c r="VSI512" s="332"/>
      <c r="VSJ512" s="332"/>
      <c r="VSK512" s="332"/>
      <c r="VSL512" s="332"/>
      <c r="VSM512" s="332"/>
      <c r="VSN512" s="332"/>
      <c r="VSO512" s="332"/>
      <c r="VSP512" s="332"/>
      <c r="VSQ512" s="332"/>
      <c r="VSR512" s="332"/>
      <c r="VSS512" s="332"/>
      <c r="VST512" s="332"/>
      <c r="VSU512" s="332"/>
      <c r="VSV512" s="332"/>
      <c r="VSW512" s="332"/>
      <c r="VSX512" s="332"/>
      <c r="VSY512" s="332"/>
      <c r="VSZ512" s="332"/>
      <c r="VTA512" s="332"/>
      <c r="VTB512" s="332"/>
      <c r="VTC512" s="332"/>
      <c r="VTD512" s="332"/>
      <c r="VTE512" s="332"/>
      <c r="VTF512" s="332"/>
      <c r="VTG512" s="332"/>
      <c r="VTH512" s="332"/>
      <c r="VTI512" s="332"/>
      <c r="VTJ512" s="332"/>
      <c r="VTK512" s="332"/>
      <c r="VTL512" s="332"/>
      <c r="VTM512" s="332"/>
      <c r="VTN512" s="332"/>
      <c r="VTO512" s="332"/>
      <c r="VTP512" s="332"/>
      <c r="VTQ512" s="332"/>
      <c r="VTR512" s="332"/>
      <c r="VTS512" s="332"/>
      <c r="VTT512" s="332"/>
      <c r="VTU512" s="332"/>
      <c r="VTV512" s="332"/>
      <c r="VTW512" s="332"/>
      <c r="VTX512" s="332"/>
      <c r="VTY512" s="332"/>
      <c r="VTZ512" s="332"/>
      <c r="VUA512" s="332"/>
      <c r="VUB512" s="332"/>
      <c r="VUC512" s="332"/>
      <c r="VUD512" s="332"/>
      <c r="VUE512" s="332"/>
      <c r="VUF512" s="332"/>
      <c r="VUG512" s="332"/>
      <c r="VUH512" s="332"/>
      <c r="VUI512" s="332"/>
      <c r="VUJ512" s="332"/>
      <c r="VUK512" s="332"/>
      <c r="VUL512" s="332"/>
      <c r="VUM512" s="332"/>
      <c r="VUN512" s="332"/>
      <c r="VUO512" s="332"/>
      <c r="VUP512" s="332"/>
      <c r="VUQ512" s="332"/>
      <c r="VUR512" s="332"/>
      <c r="VUS512" s="332"/>
      <c r="VUT512" s="332"/>
      <c r="VUU512" s="332"/>
      <c r="VUV512" s="332"/>
      <c r="VUW512" s="332"/>
      <c r="VUX512" s="332"/>
      <c r="VUY512" s="332"/>
      <c r="VUZ512" s="332"/>
      <c r="VVA512" s="332"/>
      <c r="VVB512" s="332"/>
      <c r="VVC512" s="332"/>
      <c r="VVD512" s="332"/>
      <c r="VVE512" s="332"/>
      <c r="VVF512" s="332"/>
      <c r="VVG512" s="332"/>
      <c r="VVH512" s="332"/>
      <c r="VVI512" s="332"/>
      <c r="VVJ512" s="332"/>
      <c r="VVK512" s="332"/>
      <c r="VVL512" s="332"/>
      <c r="VVM512" s="332"/>
      <c r="VVN512" s="332"/>
      <c r="VVO512" s="332"/>
      <c r="VVP512" s="332"/>
      <c r="VVQ512" s="332"/>
      <c r="VVR512" s="332"/>
      <c r="VVS512" s="332"/>
      <c r="VVT512" s="332"/>
      <c r="VVU512" s="332"/>
      <c r="VVV512" s="332"/>
      <c r="VVW512" s="332"/>
      <c r="VVX512" s="332"/>
      <c r="VVY512" s="332"/>
      <c r="VVZ512" s="332"/>
      <c r="VWA512" s="332"/>
      <c r="VWB512" s="332"/>
      <c r="VWC512" s="332"/>
      <c r="VWD512" s="332"/>
      <c r="VWE512" s="332"/>
      <c r="VWF512" s="332"/>
      <c r="VWG512" s="332"/>
      <c r="VWH512" s="332"/>
      <c r="VWI512" s="332"/>
      <c r="VWJ512" s="332"/>
      <c r="VWK512" s="332"/>
      <c r="VWL512" s="332"/>
      <c r="VWM512" s="332"/>
      <c r="VWN512" s="332"/>
      <c r="VWO512" s="332"/>
      <c r="VWP512" s="332"/>
      <c r="VWQ512" s="332"/>
      <c r="VWR512" s="332"/>
      <c r="VWS512" s="332"/>
      <c r="VWT512" s="332"/>
      <c r="VWU512" s="332"/>
      <c r="VWV512" s="332"/>
      <c r="VWW512" s="332"/>
      <c r="VWX512" s="332"/>
      <c r="VWY512" s="332"/>
      <c r="VWZ512" s="332"/>
      <c r="VXA512" s="332"/>
      <c r="VXB512" s="332"/>
      <c r="VXC512" s="332"/>
      <c r="VXD512" s="332"/>
      <c r="VXE512" s="332"/>
      <c r="VXF512" s="332"/>
      <c r="VXG512" s="332"/>
      <c r="VXH512" s="332"/>
      <c r="VXI512" s="332"/>
      <c r="VXJ512" s="332"/>
      <c r="VXK512" s="332"/>
      <c r="VXL512" s="332"/>
      <c r="VXM512" s="332"/>
      <c r="VXN512" s="332"/>
      <c r="VXO512" s="332"/>
      <c r="VXP512" s="332"/>
      <c r="VXQ512" s="332"/>
      <c r="VXR512" s="332"/>
      <c r="VXS512" s="332"/>
      <c r="VXT512" s="332"/>
      <c r="VXU512" s="332"/>
      <c r="VXV512" s="332"/>
      <c r="VXW512" s="332"/>
      <c r="VXX512" s="332"/>
      <c r="VXY512" s="332"/>
      <c r="VXZ512" s="332"/>
      <c r="VYA512" s="332"/>
      <c r="VYB512" s="332"/>
      <c r="VYC512" s="332"/>
      <c r="VYD512" s="332"/>
      <c r="VYE512" s="332"/>
      <c r="VYF512" s="332"/>
      <c r="VYG512" s="332"/>
      <c r="VYH512" s="332"/>
      <c r="VYI512" s="332"/>
      <c r="VYJ512" s="332"/>
      <c r="VYK512" s="332"/>
      <c r="VYL512" s="332"/>
      <c r="VYM512" s="332"/>
      <c r="VYN512" s="332"/>
      <c r="VYO512" s="332"/>
      <c r="VYP512" s="332"/>
      <c r="VYQ512" s="332"/>
      <c r="VYR512" s="332"/>
      <c r="VYS512" s="332"/>
      <c r="VYT512" s="332"/>
      <c r="VYU512" s="332"/>
      <c r="VYV512" s="332"/>
      <c r="VYW512" s="332"/>
      <c r="VYX512" s="332"/>
      <c r="VYY512" s="332"/>
      <c r="VYZ512" s="332"/>
      <c r="VZA512" s="332"/>
      <c r="VZB512" s="332"/>
      <c r="VZC512" s="332"/>
      <c r="VZD512" s="332"/>
      <c r="VZE512" s="332"/>
      <c r="VZF512" s="332"/>
      <c r="VZG512" s="332"/>
      <c r="VZH512" s="332"/>
      <c r="VZI512" s="332"/>
      <c r="VZJ512" s="332"/>
      <c r="VZK512" s="332"/>
      <c r="VZL512" s="332"/>
      <c r="VZM512" s="332"/>
      <c r="VZN512" s="332"/>
      <c r="VZO512" s="332"/>
      <c r="VZP512" s="332"/>
      <c r="VZQ512" s="332"/>
      <c r="VZR512" s="332"/>
      <c r="VZS512" s="332"/>
      <c r="VZT512" s="332"/>
      <c r="VZU512" s="332"/>
      <c r="VZV512" s="332"/>
      <c r="VZW512" s="332"/>
      <c r="VZX512" s="332"/>
      <c r="VZY512" s="332"/>
      <c r="VZZ512" s="332"/>
      <c r="WAA512" s="332"/>
      <c r="WAB512" s="332"/>
      <c r="WAC512" s="332"/>
      <c r="WAD512" s="332"/>
      <c r="WAE512" s="332"/>
      <c r="WAF512" s="332"/>
      <c r="WAG512" s="332"/>
      <c r="WAH512" s="332"/>
      <c r="WAI512" s="332"/>
      <c r="WAJ512" s="332"/>
      <c r="WAK512" s="332"/>
      <c r="WAL512" s="332"/>
      <c r="WAM512" s="332"/>
      <c r="WAN512" s="332"/>
      <c r="WAO512" s="332"/>
      <c r="WAP512" s="332"/>
      <c r="WAQ512" s="332"/>
      <c r="WAR512" s="332"/>
      <c r="WAS512" s="332"/>
      <c r="WAT512" s="332"/>
      <c r="WAU512" s="332"/>
      <c r="WAV512" s="332"/>
      <c r="WAW512" s="332"/>
      <c r="WAX512" s="332"/>
      <c r="WAY512" s="332"/>
      <c r="WAZ512" s="332"/>
      <c r="WBA512" s="332"/>
      <c r="WBB512" s="332"/>
      <c r="WBC512" s="332"/>
      <c r="WBD512" s="332"/>
      <c r="WBE512" s="332"/>
      <c r="WBF512" s="332"/>
      <c r="WBG512" s="332"/>
      <c r="WBH512" s="332"/>
      <c r="WBI512" s="332"/>
      <c r="WBJ512" s="332"/>
      <c r="WBK512" s="332"/>
      <c r="WBL512" s="332"/>
      <c r="WBM512" s="332"/>
      <c r="WBN512" s="332"/>
      <c r="WBO512" s="332"/>
      <c r="WBP512" s="332"/>
      <c r="WBQ512" s="332"/>
      <c r="WBR512" s="332"/>
      <c r="WBS512" s="332"/>
      <c r="WBT512" s="332"/>
      <c r="WBU512" s="332"/>
      <c r="WBV512" s="332"/>
      <c r="WBW512" s="332"/>
      <c r="WBX512" s="332"/>
      <c r="WBY512" s="332"/>
      <c r="WBZ512" s="332"/>
      <c r="WCA512" s="332"/>
      <c r="WCB512" s="332"/>
      <c r="WCC512" s="332"/>
      <c r="WCD512" s="332"/>
      <c r="WCE512" s="332"/>
      <c r="WCF512" s="332"/>
      <c r="WCG512" s="332"/>
      <c r="WCH512" s="332"/>
      <c r="WCI512" s="332"/>
      <c r="WCJ512" s="332"/>
      <c r="WCK512" s="332"/>
      <c r="WCL512" s="332"/>
      <c r="WCM512" s="332"/>
      <c r="WCN512" s="332"/>
      <c r="WCO512" s="332"/>
      <c r="WCP512" s="332"/>
      <c r="WCQ512" s="332"/>
      <c r="WCR512" s="332"/>
      <c r="WCS512" s="332"/>
      <c r="WCT512" s="332"/>
      <c r="WCU512" s="332"/>
      <c r="WCV512" s="332"/>
      <c r="WCW512" s="332"/>
      <c r="WCX512" s="332"/>
      <c r="WCY512" s="332"/>
      <c r="WCZ512" s="332"/>
      <c r="WDA512" s="332"/>
      <c r="WDB512" s="332"/>
      <c r="WDC512" s="332"/>
      <c r="WDD512" s="332"/>
      <c r="WDE512" s="332"/>
      <c r="WDF512" s="332"/>
      <c r="WDG512" s="332"/>
      <c r="WDH512" s="332"/>
      <c r="WDI512" s="332"/>
      <c r="WDJ512" s="332"/>
      <c r="WDK512" s="332"/>
      <c r="WDL512" s="332"/>
      <c r="WDM512" s="332"/>
      <c r="WDN512" s="332"/>
      <c r="WDO512" s="332"/>
      <c r="WDP512" s="332"/>
      <c r="WDQ512" s="332"/>
      <c r="WDR512" s="332"/>
      <c r="WDS512" s="332"/>
      <c r="WDT512" s="332"/>
      <c r="WDU512" s="332"/>
      <c r="WDV512" s="332"/>
      <c r="WDW512" s="332"/>
      <c r="WDX512" s="332"/>
      <c r="WDY512" s="332"/>
      <c r="WDZ512" s="332"/>
      <c r="WEA512" s="332"/>
      <c r="WEB512" s="332"/>
      <c r="WEC512" s="332"/>
      <c r="WED512" s="332"/>
      <c r="WEE512" s="332"/>
      <c r="WEF512" s="332"/>
      <c r="WEG512" s="332"/>
      <c r="WEH512" s="332"/>
      <c r="WEI512" s="332"/>
      <c r="WEJ512" s="332"/>
      <c r="WEK512" s="332"/>
      <c r="WEL512" s="332"/>
      <c r="WEM512" s="332"/>
      <c r="WEN512" s="332"/>
      <c r="WEO512" s="332"/>
      <c r="WEP512" s="332"/>
      <c r="WEQ512" s="332"/>
      <c r="WER512" s="332"/>
      <c r="WES512" s="332"/>
      <c r="WET512" s="332"/>
      <c r="WEU512" s="332"/>
      <c r="WEV512" s="332"/>
      <c r="WEW512" s="332"/>
      <c r="WEX512" s="332"/>
      <c r="WEY512" s="332"/>
      <c r="WEZ512" s="332"/>
      <c r="WFA512" s="332"/>
      <c r="WFB512" s="332"/>
      <c r="WFC512" s="332"/>
      <c r="WFD512" s="332"/>
      <c r="WFE512" s="332"/>
      <c r="WFF512" s="332"/>
      <c r="WFG512" s="332"/>
      <c r="WFH512" s="332"/>
      <c r="WFI512" s="332"/>
      <c r="WFJ512" s="332"/>
      <c r="WFK512" s="332"/>
      <c r="WFL512" s="332"/>
      <c r="WFM512" s="332"/>
      <c r="WFN512" s="332"/>
      <c r="WFO512" s="332"/>
      <c r="WFP512" s="332"/>
      <c r="WFQ512" s="332"/>
      <c r="WFR512" s="332"/>
      <c r="WFS512" s="332"/>
      <c r="WFT512" s="332"/>
      <c r="WFU512" s="332"/>
      <c r="WFV512" s="332"/>
      <c r="WFW512" s="332"/>
      <c r="WFX512" s="332"/>
      <c r="WFY512" s="332"/>
      <c r="WFZ512" s="332"/>
      <c r="WGA512" s="332"/>
      <c r="WGB512" s="332"/>
      <c r="WGC512" s="332"/>
      <c r="WGD512" s="332"/>
      <c r="WGE512" s="332"/>
      <c r="WGF512" s="332"/>
      <c r="WGG512" s="332"/>
      <c r="WGH512" s="332"/>
      <c r="WGI512" s="332"/>
      <c r="WGJ512" s="332"/>
      <c r="WGK512" s="332"/>
      <c r="WGL512" s="332"/>
      <c r="WGM512" s="332"/>
      <c r="WGN512" s="332"/>
      <c r="WGO512" s="332"/>
      <c r="WGP512" s="332"/>
      <c r="WGQ512" s="332"/>
      <c r="WGR512" s="332"/>
      <c r="WGS512" s="332"/>
      <c r="WGT512" s="332"/>
      <c r="WGU512" s="332"/>
      <c r="WGV512" s="332"/>
      <c r="WGW512" s="332"/>
      <c r="WGX512" s="332"/>
      <c r="WGY512" s="332"/>
      <c r="WGZ512" s="332"/>
      <c r="WHA512" s="332"/>
      <c r="WHB512" s="332"/>
      <c r="WHC512" s="332"/>
      <c r="WHD512" s="332"/>
      <c r="WHE512" s="332"/>
      <c r="WHF512" s="332"/>
      <c r="WHG512" s="332"/>
      <c r="WHH512" s="332"/>
      <c r="WHI512" s="332"/>
      <c r="WHJ512" s="332"/>
      <c r="WHK512" s="332"/>
      <c r="WHL512" s="332"/>
      <c r="WHM512" s="332"/>
      <c r="WHN512" s="332"/>
      <c r="WHO512" s="332"/>
      <c r="WHP512" s="332"/>
      <c r="WHQ512" s="332"/>
      <c r="WHR512" s="332"/>
      <c r="WHS512" s="332"/>
      <c r="WHT512" s="332"/>
      <c r="WHU512" s="332"/>
      <c r="WHV512" s="332"/>
      <c r="WHW512" s="332"/>
      <c r="WHX512" s="332"/>
      <c r="WHY512" s="332"/>
      <c r="WHZ512" s="332"/>
      <c r="WIA512" s="332"/>
      <c r="WIB512" s="332"/>
      <c r="WIC512" s="332"/>
      <c r="WID512" s="332"/>
      <c r="WIE512" s="332"/>
      <c r="WIF512" s="332"/>
      <c r="WIG512" s="332"/>
      <c r="WIH512" s="332"/>
      <c r="WII512" s="332"/>
      <c r="WIJ512" s="332"/>
      <c r="WIK512" s="332"/>
      <c r="WIL512" s="332"/>
      <c r="WIM512" s="332"/>
      <c r="WIN512" s="332"/>
      <c r="WIO512" s="332"/>
      <c r="WIP512" s="332"/>
      <c r="WIQ512" s="332"/>
      <c r="WIR512" s="332"/>
      <c r="WIS512" s="332"/>
      <c r="WIT512" s="332"/>
      <c r="WIU512" s="332"/>
      <c r="WIV512" s="332"/>
      <c r="WIW512" s="332"/>
      <c r="WIX512" s="332"/>
      <c r="WIY512" s="332"/>
      <c r="WIZ512" s="332"/>
      <c r="WJA512" s="332"/>
      <c r="WJB512" s="332"/>
      <c r="WJC512" s="332"/>
      <c r="WJD512" s="332"/>
      <c r="WJE512" s="332"/>
      <c r="WJF512" s="332"/>
      <c r="WJG512" s="332"/>
      <c r="WJH512" s="332"/>
      <c r="WJI512" s="332"/>
      <c r="WJJ512" s="332"/>
      <c r="WJK512" s="332"/>
      <c r="WJL512" s="332"/>
      <c r="WJM512" s="332"/>
      <c r="WJN512" s="332"/>
      <c r="WJO512" s="332"/>
      <c r="WJP512" s="332"/>
      <c r="WJQ512" s="332"/>
      <c r="WJR512" s="332"/>
      <c r="WJS512" s="332"/>
      <c r="WJT512" s="332"/>
      <c r="WJU512" s="332"/>
      <c r="WJV512" s="332"/>
      <c r="WJW512" s="332"/>
      <c r="WJX512" s="332"/>
      <c r="WJY512" s="332"/>
      <c r="WJZ512" s="332"/>
      <c r="WKA512" s="332"/>
      <c r="WKB512" s="332"/>
      <c r="WKC512" s="332"/>
      <c r="WKD512" s="332"/>
      <c r="WKE512" s="332"/>
      <c r="WKF512" s="332"/>
      <c r="WKG512" s="332"/>
      <c r="WKH512" s="332"/>
      <c r="WKI512" s="332"/>
      <c r="WKJ512" s="332"/>
      <c r="WKK512" s="332"/>
      <c r="WKL512" s="332"/>
      <c r="WKM512" s="332"/>
      <c r="WKN512" s="332"/>
      <c r="WKO512" s="332"/>
      <c r="WKP512" s="332"/>
      <c r="WKQ512" s="332"/>
      <c r="WKR512" s="332"/>
      <c r="WKS512" s="332"/>
      <c r="WKT512" s="332"/>
      <c r="WKU512" s="332"/>
      <c r="WKV512" s="332"/>
      <c r="WKW512" s="332"/>
      <c r="WKX512" s="332"/>
      <c r="WKY512" s="332"/>
      <c r="WKZ512" s="332"/>
      <c r="WLA512" s="332"/>
      <c r="WLB512" s="332"/>
      <c r="WLC512" s="332"/>
      <c r="WLD512" s="332"/>
      <c r="WLE512" s="332"/>
      <c r="WLF512" s="332"/>
      <c r="WLG512" s="332"/>
      <c r="WLH512" s="332"/>
      <c r="WLI512" s="332"/>
      <c r="WLJ512" s="332"/>
      <c r="WLK512" s="332"/>
      <c r="WLL512" s="332"/>
      <c r="WLM512" s="332"/>
      <c r="WLN512" s="332"/>
      <c r="WLO512" s="332"/>
      <c r="WLP512" s="332"/>
      <c r="WLQ512" s="332"/>
      <c r="WLR512" s="332"/>
      <c r="WLS512" s="332"/>
      <c r="WLT512" s="332"/>
      <c r="WLU512" s="332"/>
      <c r="WLV512" s="332"/>
      <c r="WLW512" s="332"/>
      <c r="WLX512" s="332"/>
      <c r="WLY512" s="332"/>
      <c r="WLZ512" s="332"/>
      <c r="WMA512" s="332"/>
      <c r="WMB512" s="332"/>
      <c r="WMC512" s="332"/>
      <c r="WMD512" s="332"/>
      <c r="WME512" s="332"/>
      <c r="WMF512" s="332"/>
      <c r="WMG512" s="332"/>
      <c r="WMH512" s="332"/>
      <c r="WMI512" s="332"/>
      <c r="WMJ512" s="332"/>
      <c r="WMK512" s="332"/>
      <c r="WML512" s="332"/>
      <c r="WMM512" s="332"/>
      <c r="WMN512" s="332"/>
      <c r="WMO512" s="332"/>
      <c r="WMP512" s="332"/>
      <c r="WMQ512" s="332"/>
      <c r="WMR512" s="332"/>
      <c r="WMS512" s="332"/>
      <c r="WMT512" s="332"/>
      <c r="WMU512" s="332"/>
      <c r="WMV512" s="332"/>
      <c r="WMW512" s="332"/>
      <c r="WMX512" s="332"/>
      <c r="WMY512" s="332"/>
      <c r="WMZ512" s="332"/>
      <c r="WNA512" s="332"/>
      <c r="WNB512" s="332"/>
      <c r="WNC512" s="332"/>
      <c r="WND512" s="332"/>
      <c r="WNE512" s="332"/>
      <c r="WNF512" s="332"/>
      <c r="WNG512" s="332"/>
      <c r="WNH512" s="332"/>
      <c r="WNI512" s="332"/>
      <c r="WNJ512" s="332"/>
      <c r="WNK512" s="332"/>
      <c r="WNL512" s="332"/>
      <c r="WNM512" s="332"/>
      <c r="WNN512" s="332"/>
      <c r="WNO512" s="332"/>
      <c r="WNP512" s="332"/>
      <c r="WNQ512" s="332"/>
      <c r="WNR512" s="332"/>
      <c r="WNS512" s="332"/>
      <c r="WNT512" s="332"/>
      <c r="WNU512" s="332"/>
      <c r="WNV512" s="332"/>
      <c r="WNW512" s="332"/>
      <c r="WNX512" s="332"/>
      <c r="WNY512" s="332"/>
      <c r="WNZ512" s="332"/>
      <c r="WOA512" s="332"/>
      <c r="WOB512" s="332"/>
      <c r="WOC512" s="332"/>
      <c r="WOD512" s="332"/>
      <c r="WOE512" s="332"/>
      <c r="WOF512" s="332"/>
      <c r="WOG512" s="332"/>
      <c r="WOH512" s="332"/>
      <c r="WOI512" s="332"/>
      <c r="WOJ512" s="332"/>
      <c r="WOK512" s="332"/>
      <c r="WOL512" s="332"/>
      <c r="WOM512" s="332"/>
      <c r="WON512" s="332"/>
      <c r="WOO512" s="332"/>
      <c r="WOP512" s="332"/>
      <c r="WOQ512" s="332"/>
      <c r="WOR512" s="332"/>
      <c r="WOS512" s="332"/>
      <c r="WOT512" s="332"/>
      <c r="WOU512" s="332"/>
      <c r="WOV512" s="332"/>
      <c r="WOW512" s="332"/>
      <c r="WOX512" s="332"/>
      <c r="WOY512" s="332"/>
      <c r="WOZ512" s="332"/>
      <c r="WPA512" s="332"/>
      <c r="WPB512" s="332"/>
      <c r="WPC512" s="332"/>
      <c r="WPD512" s="332"/>
      <c r="WPE512" s="332"/>
      <c r="WPF512" s="332"/>
      <c r="WPG512" s="332"/>
      <c r="WPH512" s="332"/>
      <c r="WPI512" s="332"/>
      <c r="WPJ512" s="332"/>
      <c r="WPK512" s="332"/>
      <c r="WPL512" s="332"/>
      <c r="WPM512" s="332"/>
      <c r="WPN512" s="332"/>
      <c r="WPO512" s="332"/>
      <c r="WPP512" s="332"/>
      <c r="WPQ512" s="332"/>
      <c r="WPR512" s="332"/>
      <c r="WPS512" s="332"/>
      <c r="WPT512" s="332"/>
      <c r="WPU512" s="332"/>
      <c r="WPV512" s="332"/>
      <c r="WPW512" s="332"/>
      <c r="WPX512" s="332"/>
      <c r="WPY512" s="332"/>
      <c r="WPZ512" s="332"/>
      <c r="WQA512" s="332"/>
      <c r="WQB512" s="332"/>
      <c r="WQC512" s="332"/>
      <c r="WQD512" s="332"/>
      <c r="WQE512" s="332"/>
      <c r="WQF512" s="332"/>
      <c r="WQG512" s="332"/>
      <c r="WQH512" s="332"/>
      <c r="WQI512" s="332"/>
      <c r="WQJ512" s="332"/>
      <c r="WQK512" s="332"/>
      <c r="WQL512" s="332"/>
      <c r="WQM512" s="332"/>
      <c r="WQN512" s="332"/>
      <c r="WQO512" s="332"/>
      <c r="WQP512" s="332"/>
      <c r="WQQ512" s="332"/>
      <c r="WQR512" s="332"/>
      <c r="WQS512" s="332"/>
      <c r="WQT512" s="332"/>
      <c r="WQU512" s="332"/>
      <c r="WQV512" s="332"/>
      <c r="WQW512" s="332"/>
      <c r="WQX512" s="332"/>
      <c r="WQY512" s="332"/>
      <c r="WQZ512" s="332"/>
      <c r="WRA512" s="332"/>
      <c r="WRB512" s="332"/>
      <c r="WRC512" s="332"/>
      <c r="WRD512" s="332"/>
      <c r="WRE512" s="332"/>
      <c r="WRF512" s="332"/>
      <c r="WRG512" s="332"/>
      <c r="WRH512" s="332"/>
      <c r="WRI512" s="332"/>
      <c r="WRJ512" s="332"/>
      <c r="WRK512" s="332"/>
      <c r="WRL512" s="332"/>
      <c r="WRM512" s="332"/>
      <c r="WRN512" s="332"/>
      <c r="WRO512" s="332"/>
      <c r="WRP512" s="332"/>
      <c r="WRQ512" s="332"/>
      <c r="WRR512" s="332"/>
      <c r="WRS512" s="332"/>
      <c r="WRT512" s="332"/>
      <c r="WRU512" s="332"/>
      <c r="WRV512" s="332"/>
      <c r="WRW512" s="332"/>
      <c r="WRX512" s="332"/>
      <c r="WRY512" s="332"/>
      <c r="WRZ512" s="332"/>
      <c r="WSA512" s="332"/>
      <c r="WSB512" s="332"/>
      <c r="WSC512" s="332"/>
      <c r="WSD512" s="332"/>
      <c r="WSE512" s="332"/>
      <c r="WSF512" s="332"/>
      <c r="WSG512" s="332"/>
      <c r="WSH512" s="332"/>
      <c r="WSI512" s="332"/>
      <c r="WSJ512" s="332"/>
      <c r="WSK512" s="332"/>
      <c r="WSL512" s="332"/>
      <c r="WSM512" s="332"/>
      <c r="WSN512" s="332"/>
      <c r="WSO512" s="332"/>
      <c r="WSP512" s="332"/>
      <c r="WSQ512" s="332"/>
      <c r="WSR512" s="332"/>
      <c r="WSS512" s="332"/>
      <c r="WST512" s="332"/>
      <c r="WSU512" s="332"/>
      <c r="WSV512" s="332"/>
      <c r="WSW512" s="332"/>
      <c r="WSX512" s="332"/>
      <c r="WSY512" s="332"/>
      <c r="WSZ512" s="332"/>
      <c r="WTA512" s="332"/>
      <c r="WTB512" s="332"/>
      <c r="WTC512" s="332"/>
      <c r="WTD512" s="332"/>
      <c r="WTE512" s="332"/>
      <c r="WTF512" s="332"/>
      <c r="WTG512" s="332"/>
      <c r="WTH512" s="332"/>
      <c r="WTI512" s="332"/>
      <c r="WTJ512" s="332"/>
      <c r="WTK512" s="332"/>
      <c r="WTL512" s="332"/>
      <c r="WTM512" s="332"/>
      <c r="WTN512" s="332"/>
      <c r="WTO512" s="332"/>
      <c r="WTP512" s="332"/>
      <c r="WTQ512" s="332"/>
      <c r="WTR512" s="332"/>
      <c r="WTS512" s="332"/>
      <c r="WTT512" s="332"/>
      <c r="WTU512" s="332"/>
      <c r="WTV512" s="332"/>
      <c r="WTW512" s="332"/>
      <c r="WTX512" s="332"/>
      <c r="WTY512" s="332"/>
      <c r="WTZ512" s="332"/>
      <c r="WUA512" s="332"/>
      <c r="WUB512" s="332"/>
      <c r="WUC512" s="332"/>
      <c r="WUD512" s="332"/>
      <c r="WUE512" s="332"/>
      <c r="WUF512" s="332"/>
      <c r="WUG512" s="332"/>
      <c r="WUH512" s="332"/>
      <c r="WUI512" s="332"/>
      <c r="WUJ512" s="332"/>
      <c r="WUK512" s="332"/>
      <c r="WUL512" s="332"/>
      <c r="WUM512" s="332"/>
      <c r="WUN512" s="332"/>
      <c r="WUO512" s="332"/>
      <c r="WUP512" s="332"/>
      <c r="WUQ512" s="332"/>
      <c r="WUR512" s="332"/>
      <c r="WUS512" s="332"/>
      <c r="WUT512" s="332"/>
      <c r="WUU512" s="332"/>
      <c r="WUV512" s="332"/>
      <c r="WUW512" s="332"/>
      <c r="WUX512" s="332"/>
      <c r="WUY512" s="332"/>
      <c r="WUZ512" s="332"/>
      <c r="WVA512" s="332"/>
      <c r="WVB512" s="332"/>
      <c r="WVC512" s="332"/>
      <c r="WVD512" s="332"/>
      <c r="WVE512" s="332"/>
      <c r="WVF512" s="332"/>
      <c r="WVG512" s="332"/>
      <c r="WVH512" s="332"/>
      <c r="WVI512" s="332"/>
      <c r="WVJ512" s="332"/>
      <c r="WVK512" s="332"/>
      <c r="WVL512" s="332"/>
      <c r="WVM512" s="332"/>
      <c r="WVN512" s="332"/>
      <c r="WVO512" s="332"/>
      <c r="WVP512" s="332"/>
      <c r="WVQ512" s="332"/>
      <c r="WVR512" s="332"/>
      <c r="WVS512" s="332"/>
      <c r="WVT512" s="332"/>
      <c r="WVU512" s="332"/>
      <c r="WVV512" s="332"/>
      <c r="WVW512" s="332"/>
      <c r="WVX512" s="332"/>
      <c r="WVY512" s="332"/>
      <c r="WVZ512" s="332"/>
      <c r="WWA512" s="332"/>
      <c r="WWB512" s="332"/>
      <c r="WWC512" s="332"/>
      <c r="WWD512" s="332"/>
      <c r="WWE512" s="332"/>
      <c r="WWF512" s="332"/>
      <c r="WWG512" s="332"/>
      <c r="WWH512" s="332"/>
      <c r="WWI512" s="332"/>
      <c r="WWJ512" s="332"/>
      <c r="WWK512" s="332"/>
      <c r="WWL512" s="332"/>
      <c r="WWM512" s="332"/>
      <c r="WWN512" s="332"/>
      <c r="WWO512" s="332"/>
      <c r="WWP512" s="332"/>
      <c r="WWQ512" s="332"/>
      <c r="WWR512" s="332"/>
      <c r="WWS512" s="332"/>
      <c r="WWT512" s="332"/>
      <c r="WWU512" s="332"/>
      <c r="WWV512" s="332"/>
      <c r="WWW512" s="332"/>
      <c r="WWX512" s="332"/>
      <c r="WWY512" s="332"/>
      <c r="WWZ512" s="332"/>
      <c r="WXA512" s="332"/>
      <c r="WXB512" s="332"/>
      <c r="WXC512" s="332"/>
      <c r="WXD512" s="332"/>
      <c r="WXE512" s="332"/>
      <c r="WXF512" s="332"/>
      <c r="WXG512" s="332"/>
      <c r="WXH512" s="332"/>
      <c r="WXI512" s="332"/>
      <c r="WXJ512" s="332"/>
      <c r="WXK512" s="332"/>
      <c r="WXL512" s="332"/>
      <c r="WXM512" s="332"/>
      <c r="WXN512" s="332"/>
      <c r="WXO512" s="332"/>
      <c r="WXP512" s="332"/>
      <c r="WXQ512" s="332"/>
      <c r="WXR512" s="332"/>
      <c r="WXS512" s="332"/>
      <c r="WXT512" s="332"/>
      <c r="WXU512" s="332"/>
      <c r="WXV512" s="332"/>
      <c r="WXW512" s="332"/>
      <c r="WXX512" s="332"/>
      <c r="WXY512" s="332"/>
      <c r="WXZ512" s="332"/>
      <c r="WYA512" s="332"/>
      <c r="WYB512" s="332"/>
      <c r="WYC512" s="332"/>
      <c r="WYD512" s="332"/>
      <c r="WYE512" s="332"/>
      <c r="WYF512" s="332"/>
      <c r="WYG512" s="332"/>
      <c r="WYH512" s="332"/>
      <c r="WYI512" s="332"/>
      <c r="WYJ512" s="332"/>
      <c r="WYK512" s="332"/>
      <c r="WYL512" s="332"/>
      <c r="WYM512" s="332"/>
      <c r="WYN512" s="332"/>
      <c r="WYO512" s="332"/>
      <c r="WYP512" s="332"/>
      <c r="WYQ512" s="332"/>
      <c r="WYR512" s="332"/>
      <c r="WYS512" s="332"/>
      <c r="WYT512" s="332"/>
      <c r="WYU512" s="332"/>
      <c r="WYV512" s="332"/>
      <c r="WYW512" s="332"/>
      <c r="WYX512" s="332"/>
      <c r="WYY512" s="332"/>
      <c r="WYZ512" s="332"/>
      <c r="WZA512" s="332"/>
      <c r="WZB512" s="332"/>
      <c r="WZC512" s="332"/>
      <c r="WZD512" s="332"/>
      <c r="WZE512" s="332"/>
      <c r="WZF512" s="332"/>
      <c r="WZG512" s="332"/>
      <c r="WZH512" s="332"/>
      <c r="WZI512" s="332"/>
      <c r="WZJ512" s="332"/>
      <c r="WZK512" s="332"/>
      <c r="WZL512" s="332"/>
      <c r="WZM512" s="332"/>
      <c r="WZN512" s="332"/>
      <c r="WZO512" s="332"/>
      <c r="WZP512" s="332"/>
      <c r="WZQ512" s="332"/>
      <c r="WZR512" s="332"/>
      <c r="WZS512" s="332"/>
      <c r="WZT512" s="332"/>
      <c r="WZU512" s="332"/>
      <c r="WZV512" s="332"/>
      <c r="WZW512" s="332"/>
      <c r="WZX512" s="332"/>
      <c r="WZY512" s="332"/>
      <c r="WZZ512" s="332"/>
      <c r="XAA512" s="332"/>
      <c r="XAB512" s="332"/>
      <c r="XAC512" s="332"/>
      <c r="XAD512" s="332"/>
      <c r="XAE512" s="332"/>
      <c r="XAF512" s="332"/>
      <c r="XAG512" s="332"/>
      <c r="XAH512" s="332"/>
      <c r="XAI512" s="332"/>
      <c r="XAJ512" s="332"/>
      <c r="XAK512" s="332"/>
      <c r="XAL512" s="332"/>
      <c r="XAM512" s="332"/>
      <c r="XAN512" s="332"/>
      <c r="XAO512" s="332"/>
      <c r="XAP512" s="332"/>
      <c r="XAQ512" s="332"/>
      <c r="XAR512" s="332"/>
      <c r="XAS512" s="332"/>
      <c r="XAT512" s="332"/>
      <c r="XAU512" s="332"/>
      <c r="XAV512" s="332"/>
      <c r="XAW512" s="332"/>
      <c r="XAX512" s="332"/>
      <c r="XAY512" s="332"/>
      <c r="XAZ512" s="332"/>
      <c r="XBA512" s="332"/>
      <c r="XBB512" s="332"/>
      <c r="XBC512" s="332"/>
      <c r="XBD512" s="332"/>
      <c r="XBE512" s="332"/>
      <c r="XBF512" s="332"/>
      <c r="XBG512" s="332"/>
      <c r="XBH512" s="332"/>
      <c r="XBI512" s="332"/>
      <c r="XBJ512" s="332"/>
      <c r="XBK512" s="332"/>
      <c r="XBL512" s="332"/>
      <c r="XBM512" s="332"/>
      <c r="XBN512" s="332"/>
      <c r="XBO512" s="332"/>
      <c r="XBP512" s="332"/>
      <c r="XBQ512" s="332"/>
      <c r="XBR512" s="332"/>
      <c r="XBS512" s="332"/>
      <c r="XBT512" s="332"/>
      <c r="XBU512" s="332"/>
      <c r="XBV512" s="332"/>
      <c r="XBW512" s="332"/>
      <c r="XBX512" s="332"/>
      <c r="XBY512" s="332"/>
      <c r="XBZ512" s="332"/>
      <c r="XCA512" s="332"/>
      <c r="XCB512" s="332"/>
      <c r="XCC512" s="332"/>
      <c r="XCD512" s="332"/>
      <c r="XCE512" s="332"/>
      <c r="XCF512" s="332"/>
      <c r="XCG512" s="332"/>
      <c r="XCH512" s="332"/>
      <c r="XCI512" s="332"/>
      <c r="XCJ512" s="332"/>
      <c r="XCK512" s="332"/>
      <c r="XCL512" s="332"/>
      <c r="XCM512" s="332"/>
      <c r="XCN512" s="332"/>
      <c r="XCO512" s="332"/>
      <c r="XCP512" s="332"/>
      <c r="XCQ512" s="332"/>
      <c r="XCR512" s="332"/>
      <c r="XCS512" s="332"/>
      <c r="XCT512" s="332"/>
      <c r="XCU512" s="332"/>
      <c r="XCV512" s="332"/>
      <c r="XCW512" s="332"/>
      <c r="XCX512" s="332"/>
      <c r="XCY512" s="332"/>
      <c r="XCZ512" s="332"/>
      <c r="XDA512" s="332"/>
      <c r="XDB512" s="332"/>
      <c r="XDC512" s="332"/>
      <c r="XDD512" s="332"/>
      <c r="XDE512" s="332"/>
      <c r="XDF512" s="332"/>
      <c r="XDG512" s="332"/>
      <c r="XDH512" s="332"/>
      <c r="XDI512" s="332"/>
      <c r="XDJ512" s="332"/>
      <c r="XDK512" s="332"/>
      <c r="XDL512" s="332"/>
      <c r="XDM512" s="332"/>
      <c r="XDN512" s="332"/>
      <c r="XDO512" s="332"/>
      <c r="XDP512" s="332"/>
      <c r="XDQ512" s="332"/>
      <c r="XDR512" s="332"/>
      <c r="XDS512" s="332"/>
      <c r="XDT512" s="332"/>
      <c r="XDU512" s="332"/>
      <c r="XDV512" s="332"/>
      <c r="XDW512" s="332"/>
      <c r="XDX512" s="332"/>
      <c r="XDY512" s="332"/>
      <c r="XDZ512" s="332"/>
      <c r="XEA512" s="332"/>
      <c r="XEB512" s="332"/>
      <c r="XEC512" s="332"/>
      <c r="XED512" s="332"/>
      <c r="XEE512" s="332"/>
      <c r="XEF512" s="332"/>
      <c r="XEG512" s="332"/>
      <c r="XEH512" s="332"/>
      <c r="XEI512" s="332"/>
      <c r="XEJ512" s="332"/>
      <c r="XEK512" s="332"/>
      <c r="XEL512" s="332"/>
      <c r="XEM512" s="332"/>
      <c r="XEN512" s="332"/>
      <c r="XEO512" s="332"/>
      <c r="XEP512" s="332"/>
      <c r="XEQ512" s="332"/>
      <c r="XER512" s="332"/>
      <c r="XES512" s="332"/>
      <c r="XET512" s="332"/>
      <c r="XEU512" s="332"/>
      <c r="XEV512" s="332"/>
      <c r="XEW512" s="332"/>
      <c r="XEX512" s="332"/>
      <c r="XEY512" s="332"/>
      <c r="XEZ512" s="332"/>
      <c r="XFA512" s="332"/>
      <c r="XFB512" s="332"/>
      <c r="XFC512" s="332"/>
      <c r="XFD512" s="333"/>
    </row>
    <row r="513" spans="1:16384" s="264" customFormat="1" ht="12.75" hidden="1">
      <c r="A513" s="1642"/>
      <c r="B513" s="1643"/>
      <c r="C513" s="1643"/>
      <c r="D513" s="1644"/>
      <c r="E513" s="330"/>
      <c r="F513" s="330"/>
      <c r="G513" s="330"/>
      <c r="H513" s="330"/>
      <c r="I513" s="330"/>
      <c r="J513" s="330"/>
      <c r="K513" s="330"/>
      <c r="L513" s="330"/>
      <c r="M513" s="330"/>
      <c r="N513" s="330"/>
      <c r="O513" s="330"/>
      <c r="P513" s="330"/>
      <c r="Q513" s="330"/>
      <c r="R513" s="330"/>
      <c r="S513" s="330"/>
      <c r="T513" s="330"/>
      <c r="U513" s="330"/>
      <c r="V513" s="330"/>
      <c r="W513" s="330"/>
      <c r="X513" s="330"/>
      <c r="Y513" s="330"/>
      <c r="Z513" s="330"/>
      <c r="AA513" s="330"/>
      <c r="AB513" s="330"/>
      <c r="AC513" s="330"/>
      <c r="AD513" s="330"/>
      <c r="AE513" s="330"/>
      <c r="AF513" s="330"/>
      <c r="AG513" s="330"/>
      <c r="AH513" s="330"/>
      <c r="AI513" s="330"/>
      <c r="AJ513" s="330"/>
      <c r="AK513" s="330"/>
      <c r="AL513" s="330"/>
      <c r="AM513" s="330"/>
      <c r="AN513" s="330"/>
      <c r="AO513" s="330"/>
      <c r="AP513" s="330"/>
      <c r="AQ513" s="330"/>
      <c r="AR513" s="330"/>
      <c r="AS513" s="330"/>
      <c r="AT513" s="330"/>
      <c r="AU513" s="330"/>
      <c r="AV513" s="330"/>
      <c r="AW513" s="330"/>
      <c r="AX513" s="330"/>
      <c r="AY513" s="330"/>
      <c r="AZ513" s="330"/>
      <c r="BA513" s="330"/>
      <c r="BB513" s="330"/>
      <c r="BC513" s="330"/>
      <c r="BD513" s="330"/>
      <c r="BE513" s="330"/>
      <c r="BF513" s="330"/>
      <c r="BG513" s="330"/>
      <c r="BH513" s="330"/>
      <c r="BI513" s="330"/>
      <c r="BJ513" s="330"/>
      <c r="BK513" s="330"/>
      <c r="BL513" s="330"/>
      <c r="BM513" s="330"/>
      <c r="BN513" s="330"/>
      <c r="BO513" s="330"/>
      <c r="BP513" s="330"/>
      <c r="BQ513" s="330"/>
      <c r="BR513" s="330"/>
      <c r="BS513" s="330"/>
      <c r="BT513" s="330"/>
      <c r="BU513" s="330"/>
      <c r="BV513" s="330"/>
      <c r="BW513" s="330"/>
      <c r="BX513" s="330"/>
      <c r="BY513" s="330"/>
      <c r="BZ513" s="330"/>
      <c r="CA513" s="330"/>
      <c r="CB513" s="330"/>
      <c r="CC513" s="330"/>
      <c r="CD513" s="330"/>
      <c r="CE513" s="330"/>
      <c r="CF513" s="330"/>
      <c r="CG513" s="330"/>
      <c r="CH513" s="330"/>
      <c r="CI513" s="330"/>
      <c r="CJ513" s="330"/>
      <c r="CK513" s="330"/>
      <c r="CL513" s="330"/>
      <c r="CM513" s="330"/>
      <c r="CN513" s="330"/>
      <c r="CO513" s="330"/>
      <c r="CP513" s="330"/>
      <c r="CQ513" s="330"/>
      <c r="CR513" s="330"/>
      <c r="CS513" s="330"/>
      <c r="CT513" s="330"/>
      <c r="CU513" s="330"/>
      <c r="CV513" s="330"/>
      <c r="CW513" s="330"/>
      <c r="CX513" s="330"/>
      <c r="CY513" s="330"/>
      <c r="CZ513" s="330"/>
      <c r="DA513" s="330"/>
      <c r="DB513" s="330"/>
      <c r="DC513" s="330"/>
      <c r="DD513" s="330"/>
      <c r="DE513" s="330"/>
      <c r="DF513" s="330"/>
      <c r="DG513" s="330"/>
      <c r="DH513" s="330"/>
      <c r="DI513" s="330"/>
      <c r="DJ513" s="330"/>
      <c r="DK513" s="330"/>
      <c r="DL513" s="330"/>
      <c r="DM513" s="330"/>
      <c r="DN513" s="330"/>
      <c r="DO513" s="330"/>
      <c r="DP513" s="330"/>
      <c r="DQ513" s="330"/>
      <c r="DR513" s="330"/>
      <c r="DS513" s="330"/>
      <c r="DT513" s="330"/>
      <c r="DU513" s="330"/>
      <c r="DV513" s="330"/>
      <c r="DW513" s="330"/>
      <c r="DX513" s="330"/>
      <c r="DY513" s="330"/>
      <c r="DZ513" s="330"/>
      <c r="EA513" s="330"/>
      <c r="EB513" s="330"/>
      <c r="EC513" s="330"/>
      <c r="ED513" s="330"/>
      <c r="EE513" s="330"/>
      <c r="EF513" s="330"/>
      <c r="EG513" s="330"/>
      <c r="EH513" s="330"/>
      <c r="EI513" s="330"/>
      <c r="EJ513" s="330"/>
      <c r="EK513" s="330"/>
      <c r="EL513" s="330"/>
      <c r="EM513" s="330"/>
      <c r="EN513" s="330"/>
      <c r="EO513" s="330"/>
      <c r="EP513" s="330"/>
      <c r="EQ513" s="330"/>
      <c r="ER513" s="330"/>
      <c r="ES513" s="330"/>
      <c r="ET513" s="330"/>
      <c r="EU513" s="330"/>
      <c r="EV513" s="330"/>
      <c r="EW513" s="330"/>
      <c r="EX513" s="330"/>
      <c r="EY513" s="330"/>
      <c r="EZ513" s="330"/>
      <c r="FA513" s="330"/>
      <c r="FB513" s="330"/>
      <c r="FC513" s="330"/>
      <c r="FD513" s="330"/>
      <c r="FE513" s="330"/>
      <c r="FF513" s="330"/>
      <c r="FG513" s="330"/>
      <c r="FH513" s="330"/>
      <c r="FI513" s="330"/>
    </row>
    <row r="514" spans="1:16384" s="336" customFormat="1" ht="15" hidden="1" customHeight="1">
      <c r="A514" s="335"/>
      <c r="B514" s="332"/>
      <c r="C514" s="332"/>
      <c r="D514" s="332"/>
      <c r="E514" s="332"/>
      <c r="F514" s="332"/>
      <c r="G514" s="332"/>
      <c r="H514" s="332"/>
      <c r="I514" s="332"/>
      <c r="J514" s="332"/>
      <c r="K514" s="332"/>
      <c r="L514" s="332"/>
      <c r="M514" s="332"/>
      <c r="N514" s="332"/>
      <c r="O514" s="332"/>
      <c r="P514" s="332"/>
      <c r="Q514" s="332"/>
      <c r="R514" s="332"/>
      <c r="S514" s="332"/>
      <c r="T514" s="332"/>
      <c r="U514" s="332"/>
      <c r="V514" s="332"/>
      <c r="W514" s="332"/>
      <c r="X514" s="332"/>
      <c r="Y514" s="332"/>
      <c r="Z514" s="332"/>
      <c r="AA514" s="332"/>
      <c r="AB514" s="332"/>
      <c r="AC514" s="332"/>
      <c r="AD514" s="332"/>
      <c r="AE514" s="332"/>
      <c r="AF514" s="332"/>
      <c r="AG514" s="332"/>
      <c r="AH514" s="332"/>
      <c r="AI514" s="332"/>
      <c r="AJ514" s="332"/>
      <c r="AK514" s="332"/>
      <c r="AL514" s="332"/>
      <c r="AM514" s="332"/>
      <c r="AN514" s="332"/>
      <c r="AO514" s="332"/>
      <c r="AP514" s="332"/>
      <c r="AQ514" s="332"/>
      <c r="AR514" s="332"/>
      <c r="AS514" s="332"/>
      <c r="AT514" s="332"/>
      <c r="AU514" s="332"/>
      <c r="AV514" s="332"/>
      <c r="AW514" s="332"/>
      <c r="AX514" s="332"/>
      <c r="AY514" s="332"/>
      <c r="AZ514" s="332"/>
      <c r="BA514" s="332"/>
      <c r="BB514" s="332"/>
      <c r="BC514" s="332"/>
      <c r="BD514" s="332"/>
      <c r="BE514" s="332"/>
      <c r="BF514" s="332"/>
      <c r="BG514" s="332"/>
      <c r="BH514" s="332"/>
      <c r="BI514" s="332"/>
      <c r="BJ514" s="332"/>
      <c r="BK514" s="332"/>
      <c r="BL514" s="332"/>
      <c r="BM514" s="332"/>
      <c r="BN514" s="332"/>
      <c r="BO514" s="332"/>
      <c r="BP514" s="332"/>
      <c r="BQ514" s="332"/>
      <c r="BR514" s="332"/>
      <c r="BS514" s="332"/>
      <c r="BT514" s="332"/>
      <c r="BU514" s="332"/>
      <c r="BV514" s="332"/>
      <c r="BW514" s="332"/>
      <c r="BX514" s="332"/>
      <c r="BY514" s="332"/>
      <c r="BZ514" s="332"/>
      <c r="CA514" s="332"/>
      <c r="CB514" s="332"/>
      <c r="CC514" s="332"/>
      <c r="CD514" s="332"/>
      <c r="CE514" s="332"/>
      <c r="CF514" s="332"/>
      <c r="CG514" s="332"/>
      <c r="CH514" s="332"/>
      <c r="CI514" s="332"/>
      <c r="CJ514" s="332"/>
      <c r="CK514" s="332"/>
      <c r="CL514" s="332"/>
      <c r="CM514" s="332"/>
      <c r="CN514" s="332"/>
      <c r="CO514" s="332"/>
      <c r="CP514" s="332"/>
      <c r="CQ514" s="332"/>
      <c r="CR514" s="332"/>
      <c r="CS514" s="332"/>
      <c r="CT514" s="332"/>
      <c r="CU514" s="332"/>
      <c r="CV514" s="332"/>
      <c r="CW514" s="332"/>
      <c r="CX514" s="332"/>
      <c r="CY514" s="332"/>
      <c r="CZ514" s="332"/>
      <c r="DA514" s="332"/>
      <c r="DB514" s="332"/>
      <c r="DC514" s="332"/>
      <c r="DD514" s="332"/>
      <c r="DE514" s="332"/>
      <c r="DF514" s="332"/>
      <c r="DG514" s="332"/>
      <c r="DH514" s="332"/>
      <c r="DI514" s="332"/>
      <c r="DJ514" s="332"/>
      <c r="DK514" s="332"/>
      <c r="DL514" s="332"/>
      <c r="DM514" s="332"/>
      <c r="DN514" s="332"/>
      <c r="DO514" s="332"/>
      <c r="DP514" s="332"/>
      <c r="DQ514" s="332"/>
      <c r="DR514" s="332"/>
      <c r="DS514" s="332"/>
      <c r="DT514" s="332"/>
      <c r="DU514" s="332"/>
      <c r="DV514" s="332"/>
      <c r="DW514" s="332"/>
      <c r="DX514" s="332"/>
      <c r="DY514" s="332"/>
      <c r="DZ514" s="332"/>
      <c r="EA514" s="332"/>
      <c r="EB514" s="332"/>
      <c r="EC514" s="332"/>
      <c r="ED514" s="332"/>
      <c r="EE514" s="332"/>
      <c r="EF514" s="332"/>
      <c r="EG514" s="332"/>
      <c r="EH514" s="332"/>
      <c r="EI514" s="332"/>
      <c r="EJ514" s="332"/>
      <c r="EK514" s="332"/>
      <c r="EL514" s="332"/>
      <c r="EM514" s="332"/>
      <c r="EN514" s="332"/>
      <c r="EO514" s="332"/>
      <c r="EP514" s="332"/>
      <c r="EQ514" s="332"/>
      <c r="ER514" s="332"/>
      <c r="ES514" s="332"/>
      <c r="ET514" s="332"/>
      <c r="EU514" s="332"/>
      <c r="EV514" s="332"/>
      <c r="EW514" s="332"/>
      <c r="EX514" s="332"/>
      <c r="EY514" s="332"/>
      <c r="EZ514" s="332"/>
      <c r="FA514" s="332"/>
      <c r="FB514" s="332"/>
      <c r="FC514" s="332"/>
      <c r="FD514" s="332"/>
      <c r="FE514" s="332"/>
      <c r="FF514" s="332"/>
      <c r="FG514" s="332"/>
      <c r="FH514" s="332"/>
      <c r="FI514" s="332"/>
      <c r="FJ514" s="332"/>
      <c r="FK514" s="332"/>
      <c r="FL514" s="332"/>
      <c r="FM514" s="332"/>
      <c r="FN514" s="332"/>
      <c r="FO514" s="332"/>
      <c r="FP514" s="332"/>
      <c r="FQ514" s="332"/>
      <c r="FR514" s="332"/>
      <c r="FS514" s="332"/>
      <c r="FT514" s="332"/>
      <c r="FU514" s="332"/>
      <c r="FV514" s="332"/>
      <c r="FW514" s="332"/>
      <c r="FX514" s="332"/>
      <c r="FY514" s="332"/>
      <c r="FZ514" s="332"/>
      <c r="GA514" s="332"/>
      <c r="GB514" s="332"/>
      <c r="GC514" s="332"/>
      <c r="GD514" s="332"/>
      <c r="GE514" s="332"/>
      <c r="GF514" s="332"/>
      <c r="GG514" s="332"/>
      <c r="GH514" s="332"/>
      <c r="GI514" s="332"/>
      <c r="GJ514" s="332"/>
      <c r="GK514" s="332"/>
      <c r="GL514" s="332"/>
      <c r="GM514" s="332"/>
      <c r="GN514" s="332"/>
      <c r="GO514" s="332"/>
      <c r="GP514" s="332"/>
      <c r="GQ514" s="332"/>
      <c r="GR514" s="332"/>
      <c r="GS514" s="332"/>
      <c r="GT514" s="332"/>
      <c r="GU514" s="332"/>
      <c r="GV514" s="332"/>
      <c r="GW514" s="332"/>
      <c r="GX514" s="332"/>
      <c r="GY514" s="332"/>
      <c r="GZ514" s="332"/>
      <c r="HA514" s="332"/>
      <c r="HB514" s="332"/>
      <c r="HC514" s="332"/>
      <c r="HD514" s="332"/>
      <c r="HE514" s="332"/>
      <c r="HF514" s="332"/>
      <c r="HG514" s="332"/>
      <c r="HH514" s="332"/>
      <c r="HI514" s="332"/>
      <c r="HJ514" s="332"/>
      <c r="HK514" s="332"/>
      <c r="HL514" s="332"/>
      <c r="HM514" s="332"/>
      <c r="HN514" s="332"/>
      <c r="HO514" s="332"/>
      <c r="HP514" s="332"/>
      <c r="HQ514" s="332"/>
      <c r="HR514" s="332"/>
      <c r="HS514" s="332"/>
      <c r="HT514" s="332"/>
      <c r="HU514" s="332"/>
      <c r="HV514" s="332"/>
      <c r="HW514" s="332"/>
      <c r="HX514" s="332"/>
      <c r="HY514" s="332"/>
      <c r="HZ514" s="332"/>
      <c r="IA514" s="332"/>
      <c r="IB514" s="332"/>
      <c r="IC514" s="332"/>
      <c r="ID514" s="332"/>
      <c r="IE514" s="332"/>
      <c r="IF514" s="332"/>
      <c r="IG514" s="332"/>
      <c r="IH514" s="332"/>
      <c r="II514" s="332"/>
      <c r="IJ514" s="332"/>
      <c r="IK514" s="332"/>
      <c r="IL514" s="332"/>
      <c r="IM514" s="332"/>
      <c r="IN514" s="332"/>
      <c r="IO514" s="332"/>
      <c r="IP514" s="332"/>
      <c r="IQ514" s="332"/>
      <c r="IR514" s="332"/>
      <c r="IS514" s="332"/>
      <c r="IT514" s="332"/>
      <c r="IU514" s="332"/>
      <c r="IV514" s="332"/>
      <c r="IW514" s="332"/>
      <c r="IX514" s="332"/>
      <c r="IY514" s="332"/>
      <c r="IZ514" s="332"/>
      <c r="JA514" s="332"/>
      <c r="JB514" s="332"/>
      <c r="JC514" s="332"/>
      <c r="JD514" s="332"/>
      <c r="JE514" s="332"/>
      <c r="JF514" s="332"/>
      <c r="JG514" s="332"/>
      <c r="JH514" s="332"/>
      <c r="JI514" s="332"/>
      <c r="JJ514" s="332"/>
      <c r="JK514" s="332"/>
      <c r="JL514" s="332"/>
      <c r="JM514" s="332"/>
      <c r="JN514" s="332"/>
      <c r="JO514" s="332"/>
      <c r="JP514" s="332"/>
      <c r="JQ514" s="332"/>
      <c r="JR514" s="332"/>
      <c r="JS514" s="332"/>
      <c r="JT514" s="332"/>
      <c r="JU514" s="332"/>
      <c r="JV514" s="332"/>
      <c r="JW514" s="332"/>
      <c r="JX514" s="332"/>
      <c r="JY514" s="332"/>
      <c r="JZ514" s="332"/>
      <c r="KA514" s="332"/>
      <c r="KB514" s="332"/>
      <c r="KC514" s="332"/>
      <c r="KD514" s="332"/>
      <c r="KE514" s="332"/>
      <c r="KF514" s="332"/>
      <c r="KG514" s="332"/>
      <c r="KH514" s="332"/>
      <c r="KI514" s="332"/>
      <c r="KJ514" s="332"/>
      <c r="KK514" s="332"/>
      <c r="KL514" s="332"/>
      <c r="KM514" s="332"/>
      <c r="KN514" s="332"/>
      <c r="KO514" s="332"/>
      <c r="KP514" s="332"/>
      <c r="KQ514" s="332"/>
      <c r="KR514" s="332"/>
      <c r="KS514" s="332"/>
      <c r="KT514" s="332"/>
      <c r="KU514" s="332"/>
      <c r="KV514" s="332"/>
      <c r="KW514" s="332"/>
      <c r="KX514" s="332"/>
      <c r="KY514" s="332"/>
      <c r="KZ514" s="332"/>
      <c r="LA514" s="332"/>
      <c r="LB514" s="332"/>
      <c r="LC514" s="332"/>
      <c r="LD514" s="332"/>
      <c r="LE514" s="332"/>
      <c r="LF514" s="332"/>
      <c r="LG514" s="332"/>
      <c r="LH514" s="332"/>
      <c r="LI514" s="332"/>
      <c r="LJ514" s="332"/>
      <c r="LK514" s="332"/>
      <c r="LL514" s="332"/>
      <c r="LM514" s="332"/>
      <c r="LN514" s="332"/>
      <c r="LO514" s="332"/>
      <c r="LP514" s="332"/>
      <c r="LQ514" s="332"/>
      <c r="LR514" s="332"/>
      <c r="LS514" s="332"/>
      <c r="LT514" s="332"/>
      <c r="LU514" s="332"/>
      <c r="LV514" s="332"/>
      <c r="LW514" s="332"/>
      <c r="LX514" s="332"/>
      <c r="LY514" s="332"/>
      <c r="LZ514" s="332"/>
      <c r="MA514" s="332"/>
      <c r="MB514" s="332"/>
      <c r="MC514" s="332"/>
      <c r="MD514" s="332"/>
      <c r="ME514" s="332"/>
      <c r="MF514" s="332"/>
      <c r="MG514" s="332"/>
      <c r="MH514" s="332"/>
      <c r="MI514" s="332"/>
      <c r="MJ514" s="332"/>
      <c r="MK514" s="332"/>
      <c r="ML514" s="332"/>
      <c r="MM514" s="332"/>
      <c r="MN514" s="332"/>
      <c r="MO514" s="332"/>
      <c r="MP514" s="332"/>
      <c r="MQ514" s="332"/>
      <c r="MR514" s="332"/>
      <c r="MS514" s="332"/>
      <c r="MT514" s="332"/>
      <c r="MU514" s="332"/>
      <c r="MV514" s="332"/>
      <c r="MW514" s="332"/>
      <c r="MX514" s="332"/>
      <c r="MY514" s="332"/>
      <c r="MZ514" s="332"/>
      <c r="NA514" s="332"/>
      <c r="NB514" s="332"/>
      <c r="NC514" s="332"/>
      <c r="ND514" s="332"/>
      <c r="NE514" s="332"/>
      <c r="NF514" s="332"/>
      <c r="NG514" s="332"/>
      <c r="NH514" s="332"/>
      <c r="NI514" s="332"/>
      <c r="NJ514" s="332"/>
      <c r="NK514" s="332"/>
      <c r="NL514" s="332"/>
      <c r="NM514" s="332"/>
      <c r="NN514" s="332"/>
      <c r="NO514" s="332"/>
      <c r="NP514" s="332"/>
      <c r="NQ514" s="332"/>
      <c r="NR514" s="332"/>
      <c r="NS514" s="332"/>
      <c r="NT514" s="332"/>
      <c r="NU514" s="332"/>
      <c r="NV514" s="332"/>
      <c r="NW514" s="332"/>
      <c r="NX514" s="332"/>
      <c r="NY514" s="332"/>
      <c r="NZ514" s="332"/>
      <c r="OA514" s="332"/>
      <c r="OB514" s="332"/>
      <c r="OC514" s="332"/>
      <c r="OD514" s="332"/>
      <c r="OE514" s="332"/>
      <c r="OF514" s="332"/>
      <c r="OG514" s="332"/>
      <c r="OH514" s="332"/>
      <c r="OI514" s="332"/>
      <c r="OJ514" s="332"/>
      <c r="OK514" s="332"/>
      <c r="OL514" s="332"/>
      <c r="OM514" s="332"/>
      <c r="ON514" s="332"/>
      <c r="OO514" s="332"/>
      <c r="OP514" s="332"/>
      <c r="OQ514" s="332"/>
      <c r="OR514" s="332"/>
      <c r="OS514" s="332"/>
      <c r="OT514" s="332"/>
      <c r="OU514" s="332"/>
      <c r="OV514" s="332"/>
      <c r="OW514" s="332"/>
      <c r="OX514" s="332"/>
      <c r="OY514" s="332"/>
      <c r="OZ514" s="332"/>
      <c r="PA514" s="332"/>
      <c r="PB514" s="332"/>
      <c r="PC514" s="332"/>
      <c r="PD514" s="332"/>
      <c r="PE514" s="332"/>
      <c r="PF514" s="332"/>
      <c r="PG514" s="332"/>
      <c r="PH514" s="332"/>
      <c r="PI514" s="332"/>
      <c r="PJ514" s="332"/>
      <c r="PK514" s="332"/>
      <c r="PL514" s="332"/>
      <c r="PM514" s="332"/>
      <c r="PN514" s="332"/>
      <c r="PO514" s="332"/>
      <c r="PP514" s="332"/>
      <c r="PQ514" s="332"/>
      <c r="PR514" s="332"/>
      <c r="PS514" s="332"/>
      <c r="PT514" s="332"/>
      <c r="PU514" s="332"/>
      <c r="PV514" s="332"/>
      <c r="PW514" s="332"/>
      <c r="PX514" s="332"/>
      <c r="PY514" s="332"/>
      <c r="PZ514" s="332"/>
      <c r="QA514" s="332"/>
      <c r="QB514" s="332"/>
      <c r="QC514" s="332"/>
      <c r="QD514" s="332"/>
      <c r="QE514" s="332"/>
      <c r="QF514" s="332"/>
      <c r="QG514" s="332"/>
      <c r="QH514" s="332"/>
      <c r="QI514" s="332"/>
      <c r="QJ514" s="332"/>
      <c r="QK514" s="332"/>
      <c r="QL514" s="332"/>
      <c r="QM514" s="332"/>
      <c r="QN514" s="332"/>
      <c r="QO514" s="332"/>
      <c r="QP514" s="332"/>
      <c r="QQ514" s="332"/>
      <c r="QR514" s="332"/>
      <c r="QS514" s="332"/>
      <c r="QT514" s="332"/>
      <c r="QU514" s="332"/>
      <c r="QV514" s="332"/>
      <c r="QW514" s="332"/>
      <c r="QX514" s="332"/>
      <c r="QY514" s="332"/>
      <c r="QZ514" s="332"/>
      <c r="RA514" s="332"/>
      <c r="RB514" s="332"/>
      <c r="RC514" s="332"/>
      <c r="RD514" s="332"/>
      <c r="RE514" s="332"/>
      <c r="RF514" s="332"/>
      <c r="RG514" s="332"/>
      <c r="RH514" s="332"/>
      <c r="RI514" s="332"/>
      <c r="RJ514" s="332"/>
      <c r="RK514" s="332"/>
      <c r="RL514" s="332"/>
      <c r="RM514" s="332"/>
      <c r="RN514" s="332"/>
      <c r="RO514" s="332"/>
      <c r="RP514" s="332"/>
      <c r="RQ514" s="332"/>
      <c r="RR514" s="332"/>
      <c r="RS514" s="332"/>
      <c r="RT514" s="332"/>
      <c r="RU514" s="332"/>
      <c r="RV514" s="332"/>
      <c r="RW514" s="332"/>
      <c r="RX514" s="332"/>
      <c r="RY514" s="332"/>
      <c r="RZ514" s="332"/>
      <c r="SA514" s="332"/>
      <c r="SB514" s="332"/>
      <c r="SC514" s="332"/>
      <c r="SD514" s="332"/>
      <c r="SE514" s="332"/>
      <c r="SF514" s="332"/>
      <c r="SG514" s="332"/>
      <c r="SH514" s="332"/>
      <c r="SI514" s="332"/>
      <c r="SJ514" s="332"/>
      <c r="SK514" s="332"/>
      <c r="SL514" s="332"/>
      <c r="SM514" s="332"/>
      <c r="SN514" s="332"/>
      <c r="SO514" s="332"/>
      <c r="SP514" s="332"/>
      <c r="SQ514" s="332"/>
      <c r="SR514" s="332"/>
      <c r="SS514" s="332"/>
      <c r="ST514" s="332"/>
      <c r="SU514" s="332"/>
      <c r="SV514" s="332"/>
      <c r="SW514" s="332"/>
      <c r="SX514" s="332"/>
      <c r="SY514" s="332"/>
      <c r="SZ514" s="332"/>
      <c r="TA514" s="332"/>
      <c r="TB514" s="332"/>
      <c r="TC514" s="332"/>
      <c r="TD514" s="332"/>
      <c r="TE514" s="332"/>
      <c r="TF514" s="332"/>
      <c r="TG514" s="332"/>
      <c r="TH514" s="332"/>
      <c r="TI514" s="332"/>
      <c r="TJ514" s="332"/>
      <c r="TK514" s="332"/>
      <c r="TL514" s="332"/>
      <c r="TM514" s="332"/>
      <c r="TN514" s="332"/>
      <c r="TO514" s="332"/>
      <c r="TP514" s="332"/>
      <c r="TQ514" s="332"/>
      <c r="TR514" s="332"/>
      <c r="TS514" s="332"/>
      <c r="TT514" s="332"/>
      <c r="TU514" s="332"/>
      <c r="TV514" s="332"/>
      <c r="TW514" s="332"/>
      <c r="TX514" s="332"/>
      <c r="TY514" s="332"/>
      <c r="TZ514" s="332"/>
      <c r="UA514" s="332"/>
      <c r="UB514" s="332"/>
      <c r="UC514" s="332"/>
      <c r="UD514" s="332"/>
      <c r="UE514" s="332"/>
      <c r="UF514" s="332"/>
      <c r="UG514" s="332"/>
      <c r="UH514" s="332"/>
      <c r="UI514" s="332"/>
      <c r="UJ514" s="332"/>
      <c r="UK514" s="332"/>
      <c r="UL514" s="332"/>
      <c r="UM514" s="332"/>
      <c r="UN514" s="332"/>
      <c r="UO514" s="332"/>
      <c r="UP514" s="332"/>
      <c r="UQ514" s="332"/>
      <c r="UR514" s="332"/>
      <c r="US514" s="332"/>
      <c r="UT514" s="332"/>
      <c r="UU514" s="332"/>
      <c r="UV514" s="332"/>
      <c r="UW514" s="332"/>
      <c r="UX514" s="332"/>
      <c r="UY514" s="332"/>
      <c r="UZ514" s="332"/>
      <c r="VA514" s="332"/>
      <c r="VB514" s="332"/>
      <c r="VC514" s="332"/>
      <c r="VD514" s="332"/>
      <c r="VE514" s="332"/>
      <c r="VF514" s="332"/>
      <c r="VG514" s="332"/>
      <c r="VH514" s="332"/>
      <c r="VI514" s="332"/>
      <c r="VJ514" s="332"/>
      <c r="VK514" s="332"/>
      <c r="VL514" s="332"/>
      <c r="VM514" s="332"/>
      <c r="VN514" s="332"/>
      <c r="VO514" s="332"/>
      <c r="VP514" s="332"/>
      <c r="VQ514" s="332"/>
      <c r="VR514" s="332"/>
      <c r="VS514" s="332"/>
      <c r="VT514" s="332"/>
      <c r="VU514" s="332"/>
      <c r="VV514" s="332"/>
      <c r="VW514" s="332"/>
      <c r="VX514" s="332"/>
      <c r="VY514" s="332"/>
      <c r="VZ514" s="332"/>
      <c r="WA514" s="332"/>
      <c r="WB514" s="332"/>
      <c r="WC514" s="332"/>
      <c r="WD514" s="332"/>
      <c r="WE514" s="332"/>
      <c r="WF514" s="332"/>
      <c r="WG514" s="332"/>
      <c r="WH514" s="332"/>
      <c r="WI514" s="332"/>
      <c r="WJ514" s="332"/>
      <c r="WK514" s="332"/>
      <c r="WL514" s="332"/>
      <c r="WM514" s="332"/>
      <c r="WN514" s="332"/>
      <c r="WO514" s="332"/>
      <c r="WP514" s="332"/>
      <c r="WQ514" s="332"/>
      <c r="WR514" s="332"/>
      <c r="WS514" s="332"/>
      <c r="WT514" s="332"/>
      <c r="WU514" s="332"/>
      <c r="WV514" s="332"/>
      <c r="WW514" s="332"/>
      <c r="WX514" s="332"/>
      <c r="WY514" s="332"/>
      <c r="WZ514" s="332"/>
      <c r="XA514" s="332"/>
      <c r="XB514" s="332"/>
      <c r="XC514" s="332"/>
      <c r="XD514" s="332"/>
      <c r="XE514" s="332"/>
      <c r="XF514" s="332"/>
      <c r="XG514" s="332"/>
      <c r="XH514" s="332"/>
      <c r="XI514" s="332"/>
      <c r="XJ514" s="332"/>
      <c r="XK514" s="332"/>
      <c r="XL514" s="332"/>
      <c r="XM514" s="332"/>
      <c r="XN514" s="332"/>
      <c r="XO514" s="332"/>
      <c r="XP514" s="332"/>
      <c r="XQ514" s="332"/>
      <c r="XR514" s="332"/>
      <c r="XS514" s="332"/>
      <c r="XT514" s="332"/>
      <c r="XU514" s="332"/>
      <c r="XV514" s="332"/>
      <c r="XW514" s="332"/>
      <c r="XX514" s="332"/>
      <c r="XY514" s="332"/>
      <c r="XZ514" s="332"/>
      <c r="YA514" s="332"/>
      <c r="YB514" s="332"/>
      <c r="YC514" s="332"/>
      <c r="YD514" s="332"/>
      <c r="YE514" s="332"/>
      <c r="YF514" s="332"/>
      <c r="YG514" s="332"/>
      <c r="YH514" s="332"/>
      <c r="YI514" s="332"/>
      <c r="YJ514" s="332"/>
      <c r="YK514" s="332"/>
      <c r="YL514" s="332"/>
      <c r="YM514" s="332"/>
      <c r="YN514" s="332"/>
      <c r="YO514" s="332"/>
      <c r="YP514" s="332"/>
      <c r="YQ514" s="332"/>
      <c r="YR514" s="332"/>
      <c r="YS514" s="332"/>
      <c r="YT514" s="332"/>
      <c r="YU514" s="332"/>
      <c r="YV514" s="332"/>
      <c r="YW514" s="332"/>
      <c r="YX514" s="332"/>
      <c r="YY514" s="332"/>
      <c r="YZ514" s="332"/>
      <c r="ZA514" s="332"/>
      <c r="ZB514" s="332"/>
      <c r="ZC514" s="332"/>
      <c r="ZD514" s="332"/>
      <c r="ZE514" s="332"/>
      <c r="ZF514" s="332"/>
      <c r="ZG514" s="332"/>
      <c r="ZH514" s="332"/>
      <c r="ZI514" s="332"/>
      <c r="ZJ514" s="332"/>
      <c r="ZK514" s="332"/>
      <c r="ZL514" s="332"/>
      <c r="ZM514" s="332"/>
      <c r="ZN514" s="332"/>
      <c r="ZO514" s="332"/>
      <c r="ZP514" s="332"/>
      <c r="ZQ514" s="332"/>
      <c r="ZR514" s="332"/>
      <c r="ZS514" s="332"/>
      <c r="ZT514" s="332"/>
      <c r="ZU514" s="332"/>
      <c r="ZV514" s="332"/>
      <c r="ZW514" s="332"/>
      <c r="ZX514" s="332"/>
      <c r="ZY514" s="332"/>
      <c r="ZZ514" s="332"/>
      <c r="AAA514" s="332"/>
      <c r="AAB514" s="332"/>
      <c r="AAC514" s="332"/>
      <c r="AAD514" s="332"/>
      <c r="AAE514" s="332"/>
      <c r="AAF514" s="332"/>
      <c r="AAG514" s="332"/>
      <c r="AAH514" s="332"/>
      <c r="AAI514" s="332"/>
      <c r="AAJ514" s="332"/>
      <c r="AAK514" s="332"/>
      <c r="AAL514" s="332"/>
      <c r="AAM514" s="332"/>
      <c r="AAN514" s="332"/>
      <c r="AAO514" s="332"/>
      <c r="AAP514" s="332"/>
      <c r="AAQ514" s="332"/>
      <c r="AAR514" s="332"/>
      <c r="AAS514" s="332"/>
      <c r="AAT514" s="332"/>
      <c r="AAU514" s="332"/>
      <c r="AAV514" s="332"/>
      <c r="AAW514" s="332"/>
      <c r="AAX514" s="332"/>
      <c r="AAY514" s="332"/>
      <c r="AAZ514" s="332"/>
      <c r="ABA514" s="332"/>
      <c r="ABB514" s="332"/>
      <c r="ABC514" s="332"/>
      <c r="ABD514" s="332"/>
      <c r="ABE514" s="332"/>
      <c r="ABF514" s="332"/>
      <c r="ABG514" s="332"/>
      <c r="ABH514" s="332"/>
      <c r="ABI514" s="332"/>
      <c r="ABJ514" s="332"/>
      <c r="ABK514" s="332"/>
      <c r="ABL514" s="332"/>
      <c r="ABM514" s="332"/>
      <c r="ABN514" s="332"/>
      <c r="ABO514" s="332"/>
      <c r="ABP514" s="332"/>
      <c r="ABQ514" s="332"/>
      <c r="ABR514" s="332"/>
      <c r="ABS514" s="332"/>
      <c r="ABT514" s="332"/>
      <c r="ABU514" s="332"/>
      <c r="ABV514" s="332"/>
      <c r="ABW514" s="332"/>
      <c r="ABX514" s="332"/>
      <c r="ABY514" s="332"/>
      <c r="ABZ514" s="332"/>
      <c r="ACA514" s="332"/>
      <c r="ACB514" s="332"/>
      <c r="ACC514" s="332"/>
      <c r="ACD514" s="332"/>
      <c r="ACE514" s="332"/>
      <c r="ACF514" s="332"/>
      <c r="ACG514" s="332"/>
      <c r="ACH514" s="332"/>
      <c r="ACI514" s="332"/>
      <c r="ACJ514" s="332"/>
      <c r="ACK514" s="332"/>
      <c r="ACL514" s="332"/>
      <c r="ACM514" s="332"/>
      <c r="ACN514" s="332"/>
      <c r="ACO514" s="332"/>
      <c r="ACP514" s="332"/>
      <c r="ACQ514" s="332"/>
      <c r="ACR514" s="332"/>
      <c r="ACS514" s="332"/>
      <c r="ACT514" s="332"/>
      <c r="ACU514" s="332"/>
      <c r="ACV514" s="332"/>
      <c r="ACW514" s="332"/>
      <c r="ACX514" s="332"/>
      <c r="ACY514" s="332"/>
      <c r="ACZ514" s="332"/>
      <c r="ADA514" s="332"/>
      <c r="ADB514" s="332"/>
      <c r="ADC514" s="332"/>
      <c r="ADD514" s="332"/>
      <c r="ADE514" s="332"/>
      <c r="ADF514" s="332"/>
      <c r="ADG514" s="332"/>
      <c r="ADH514" s="332"/>
      <c r="ADI514" s="332"/>
      <c r="ADJ514" s="332"/>
      <c r="ADK514" s="332"/>
      <c r="ADL514" s="332"/>
      <c r="ADM514" s="332"/>
      <c r="ADN514" s="332"/>
      <c r="ADO514" s="332"/>
      <c r="ADP514" s="332"/>
      <c r="ADQ514" s="332"/>
      <c r="ADR514" s="332"/>
      <c r="ADS514" s="332"/>
      <c r="ADT514" s="332"/>
      <c r="ADU514" s="332"/>
      <c r="ADV514" s="332"/>
      <c r="ADW514" s="332"/>
      <c r="ADX514" s="332"/>
      <c r="ADY514" s="332"/>
      <c r="ADZ514" s="332"/>
      <c r="AEA514" s="332"/>
      <c r="AEB514" s="332"/>
      <c r="AEC514" s="332"/>
      <c r="AED514" s="332"/>
      <c r="AEE514" s="332"/>
      <c r="AEF514" s="332"/>
      <c r="AEG514" s="332"/>
      <c r="AEH514" s="332"/>
      <c r="AEI514" s="332"/>
      <c r="AEJ514" s="332"/>
      <c r="AEK514" s="332"/>
      <c r="AEL514" s="332"/>
      <c r="AEM514" s="332"/>
      <c r="AEN514" s="332"/>
      <c r="AEO514" s="332"/>
      <c r="AEP514" s="332"/>
      <c r="AEQ514" s="332"/>
      <c r="AER514" s="332"/>
      <c r="AES514" s="332"/>
      <c r="AET514" s="332"/>
      <c r="AEU514" s="332"/>
      <c r="AEV514" s="332"/>
      <c r="AEW514" s="332"/>
      <c r="AEX514" s="332"/>
      <c r="AEY514" s="332"/>
      <c r="AEZ514" s="332"/>
      <c r="AFA514" s="332"/>
      <c r="AFB514" s="332"/>
      <c r="AFC514" s="332"/>
      <c r="AFD514" s="332"/>
      <c r="AFE514" s="332"/>
      <c r="AFF514" s="332"/>
      <c r="AFG514" s="332"/>
      <c r="AFH514" s="332"/>
      <c r="AFI514" s="332"/>
      <c r="AFJ514" s="332"/>
      <c r="AFK514" s="332"/>
      <c r="AFL514" s="332"/>
      <c r="AFM514" s="332"/>
      <c r="AFN514" s="332"/>
      <c r="AFO514" s="332"/>
      <c r="AFP514" s="332"/>
      <c r="AFQ514" s="332"/>
      <c r="AFR514" s="332"/>
      <c r="AFS514" s="332"/>
      <c r="AFT514" s="332"/>
      <c r="AFU514" s="332"/>
      <c r="AFV514" s="332"/>
      <c r="AFW514" s="332"/>
      <c r="AFX514" s="332"/>
      <c r="AFY514" s="332"/>
      <c r="AFZ514" s="332"/>
      <c r="AGA514" s="332"/>
      <c r="AGB514" s="332"/>
      <c r="AGC514" s="332"/>
      <c r="AGD514" s="332"/>
      <c r="AGE514" s="332"/>
      <c r="AGF514" s="332"/>
      <c r="AGG514" s="332"/>
      <c r="AGH514" s="332"/>
      <c r="AGI514" s="332"/>
      <c r="AGJ514" s="332"/>
      <c r="AGK514" s="332"/>
      <c r="AGL514" s="332"/>
      <c r="AGM514" s="332"/>
      <c r="AGN514" s="332"/>
      <c r="AGO514" s="332"/>
      <c r="AGP514" s="332"/>
      <c r="AGQ514" s="332"/>
      <c r="AGR514" s="332"/>
      <c r="AGS514" s="332"/>
      <c r="AGT514" s="332"/>
      <c r="AGU514" s="332"/>
      <c r="AGV514" s="332"/>
      <c r="AGW514" s="332"/>
      <c r="AGX514" s="332"/>
      <c r="AGY514" s="332"/>
      <c r="AGZ514" s="332"/>
      <c r="AHA514" s="332"/>
      <c r="AHB514" s="332"/>
      <c r="AHC514" s="332"/>
      <c r="AHD514" s="332"/>
      <c r="AHE514" s="332"/>
      <c r="AHF514" s="332"/>
      <c r="AHG514" s="332"/>
      <c r="AHH514" s="332"/>
      <c r="AHI514" s="332"/>
      <c r="AHJ514" s="332"/>
      <c r="AHK514" s="332"/>
      <c r="AHL514" s="332"/>
      <c r="AHM514" s="332"/>
      <c r="AHN514" s="332"/>
      <c r="AHO514" s="332"/>
      <c r="AHP514" s="332"/>
      <c r="AHQ514" s="332"/>
      <c r="AHR514" s="332"/>
      <c r="AHS514" s="332"/>
      <c r="AHT514" s="332"/>
      <c r="AHU514" s="332"/>
      <c r="AHV514" s="332"/>
      <c r="AHW514" s="332"/>
      <c r="AHX514" s="332"/>
      <c r="AHY514" s="332"/>
      <c r="AHZ514" s="332"/>
      <c r="AIA514" s="332"/>
      <c r="AIB514" s="332"/>
      <c r="AIC514" s="332"/>
      <c r="AID514" s="332"/>
      <c r="AIE514" s="332"/>
      <c r="AIF514" s="332"/>
      <c r="AIG514" s="332"/>
      <c r="AIH514" s="332"/>
      <c r="AII514" s="332"/>
      <c r="AIJ514" s="332"/>
      <c r="AIK514" s="332"/>
      <c r="AIL514" s="332"/>
      <c r="AIM514" s="332"/>
      <c r="AIN514" s="332"/>
      <c r="AIO514" s="332"/>
      <c r="AIP514" s="332"/>
      <c r="AIQ514" s="332"/>
      <c r="AIR514" s="332"/>
      <c r="AIS514" s="332"/>
      <c r="AIT514" s="332"/>
      <c r="AIU514" s="332"/>
      <c r="AIV514" s="332"/>
      <c r="AIW514" s="332"/>
      <c r="AIX514" s="332"/>
      <c r="AIY514" s="332"/>
      <c r="AIZ514" s="332"/>
      <c r="AJA514" s="332"/>
      <c r="AJB514" s="332"/>
      <c r="AJC514" s="332"/>
      <c r="AJD514" s="332"/>
      <c r="AJE514" s="332"/>
      <c r="AJF514" s="332"/>
      <c r="AJG514" s="332"/>
      <c r="AJH514" s="332"/>
      <c r="AJI514" s="332"/>
      <c r="AJJ514" s="332"/>
      <c r="AJK514" s="332"/>
      <c r="AJL514" s="332"/>
      <c r="AJM514" s="332"/>
      <c r="AJN514" s="332"/>
      <c r="AJO514" s="332"/>
      <c r="AJP514" s="332"/>
      <c r="AJQ514" s="332"/>
      <c r="AJR514" s="332"/>
      <c r="AJS514" s="332"/>
      <c r="AJT514" s="332"/>
      <c r="AJU514" s="332"/>
      <c r="AJV514" s="332"/>
      <c r="AJW514" s="332"/>
      <c r="AJX514" s="332"/>
      <c r="AJY514" s="332"/>
      <c r="AJZ514" s="332"/>
      <c r="AKA514" s="332"/>
      <c r="AKB514" s="332"/>
      <c r="AKC514" s="332"/>
      <c r="AKD514" s="332"/>
      <c r="AKE514" s="332"/>
      <c r="AKF514" s="332"/>
      <c r="AKG514" s="332"/>
      <c r="AKH514" s="332"/>
      <c r="AKI514" s="332"/>
      <c r="AKJ514" s="332"/>
      <c r="AKK514" s="332"/>
      <c r="AKL514" s="332"/>
      <c r="AKM514" s="332"/>
      <c r="AKN514" s="332"/>
      <c r="AKO514" s="332"/>
      <c r="AKP514" s="332"/>
      <c r="AKQ514" s="332"/>
      <c r="AKR514" s="332"/>
      <c r="AKS514" s="332"/>
      <c r="AKT514" s="332"/>
      <c r="AKU514" s="332"/>
      <c r="AKV514" s="332"/>
      <c r="AKW514" s="332"/>
      <c r="AKX514" s="332"/>
      <c r="AKY514" s="332"/>
      <c r="AKZ514" s="332"/>
      <c r="ALA514" s="332"/>
      <c r="ALB514" s="332"/>
      <c r="ALC514" s="332"/>
      <c r="ALD514" s="332"/>
      <c r="ALE514" s="332"/>
      <c r="ALF514" s="332"/>
      <c r="ALG514" s="332"/>
      <c r="ALH514" s="332"/>
      <c r="ALI514" s="332"/>
      <c r="ALJ514" s="332"/>
      <c r="ALK514" s="332"/>
      <c r="ALL514" s="332"/>
      <c r="ALM514" s="332"/>
      <c r="ALN514" s="332"/>
      <c r="ALO514" s="332"/>
      <c r="ALP514" s="332"/>
      <c r="ALQ514" s="332"/>
      <c r="ALR514" s="332"/>
      <c r="ALS514" s="332"/>
      <c r="ALT514" s="332"/>
      <c r="ALU514" s="332"/>
      <c r="ALV514" s="332"/>
      <c r="ALW514" s="332"/>
      <c r="ALX514" s="332"/>
      <c r="ALY514" s="332"/>
      <c r="ALZ514" s="332"/>
      <c r="AMA514" s="332"/>
      <c r="AMB514" s="332"/>
      <c r="AMC514" s="332"/>
      <c r="AMD514" s="332"/>
      <c r="AME514" s="332"/>
      <c r="AMF514" s="332"/>
      <c r="AMG514" s="332"/>
      <c r="AMH514" s="332"/>
      <c r="AMI514" s="332"/>
      <c r="AMJ514" s="332"/>
      <c r="AMK514" s="332"/>
      <c r="AML514" s="332"/>
      <c r="AMM514" s="332"/>
      <c r="AMN514" s="332"/>
      <c r="AMO514" s="332"/>
      <c r="AMP514" s="332"/>
      <c r="AMQ514" s="332"/>
      <c r="AMR514" s="332"/>
      <c r="AMS514" s="332"/>
      <c r="AMT514" s="332"/>
      <c r="AMU514" s="332"/>
      <c r="AMV514" s="332"/>
      <c r="AMW514" s="332"/>
      <c r="AMX514" s="332"/>
      <c r="AMY514" s="332"/>
      <c r="AMZ514" s="332"/>
      <c r="ANA514" s="332"/>
      <c r="ANB514" s="332"/>
      <c r="ANC514" s="332"/>
      <c r="AND514" s="332"/>
      <c r="ANE514" s="332"/>
      <c r="ANF514" s="332"/>
      <c r="ANG514" s="332"/>
      <c r="ANH514" s="332"/>
      <c r="ANI514" s="332"/>
      <c r="ANJ514" s="332"/>
      <c r="ANK514" s="332"/>
      <c r="ANL514" s="332"/>
      <c r="ANM514" s="332"/>
      <c r="ANN514" s="332"/>
      <c r="ANO514" s="332"/>
      <c r="ANP514" s="332"/>
      <c r="ANQ514" s="332"/>
      <c r="ANR514" s="332"/>
      <c r="ANS514" s="332"/>
      <c r="ANT514" s="332"/>
      <c r="ANU514" s="332"/>
      <c r="ANV514" s="332"/>
      <c r="ANW514" s="332"/>
      <c r="ANX514" s="332"/>
      <c r="ANY514" s="332"/>
      <c r="ANZ514" s="332"/>
      <c r="AOA514" s="332"/>
      <c r="AOB514" s="332"/>
      <c r="AOC514" s="332"/>
      <c r="AOD514" s="332"/>
      <c r="AOE514" s="332"/>
      <c r="AOF514" s="332"/>
      <c r="AOG514" s="332"/>
      <c r="AOH514" s="332"/>
      <c r="AOI514" s="332"/>
      <c r="AOJ514" s="332"/>
      <c r="AOK514" s="332"/>
      <c r="AOL514" s="332"/>
      <c r="AOM514" s="332"/>
      <c r="AON514" s="332"/>
      <c r="AOO514" s="332"/>
      <c r="AOP514" s="332"/>
      <c r="AOQ514" s="332"/>
      <c r="AOR514" s="332"/>
      <c r="AOS514" s="332"/>
      <c r="AOT514" s="332"/>
      <c r="AOU514" s="332"/>
      <c r="AOV514" s="332"/>
      <c r="AOW514" s="332"/>
      <c r="AOX514" s="332"/>
      <c r="AOY514" s="332"/>
      <c r="AOZ514" s="332"/>
      <c r="APA514" s="332"/>
      <c r="APB514" s="332"/>
      <c r="APC514" s="332"/>
      <c r="APD514" s="332"/>
      <c r="APE514" s="332"/>
      <c r="APF514" s="332"/>
      <c r="APG514" s="332"/>
      <c r="APH514" s="332"/>
      <c r="API514" s="332"/>
      <c r="APJ514" s="332"/>
      <c r="APK514" s="332"/>
      <c r="APL514" s="332"/>
      <c r="APM514" s="332"/>
      <c r="APN514" s="332"/>
      <c r="APO514" s="332"/>
      <c r="APP514" s="332"/>
      <c r="APQ514" s="332"/>
      <c r="APR514" s="332"/>
      <c r="APS514" s="332"/>
      <c r="APT514" s="332"/>
      <c r="APU514" s="332"/>
      <c r="APV514" s="332"/>
      <c r="APW514" s="332"/>
      <c r="APX514" s="332"/>
      <c r="APY514" s="332"/>
      <c r="APZ514" s="332"/>
      <c r="AQA514" s="332"/>
      <c r="AQB514" s="332"/>
      <c r="AQC514" s="332"/>
      <c r="AQD514" s="332"/>
      <c r="AQE514" s="332"/>
      <c r="AQF514" s="332"/>
      <c r="AQG514" s="332"/>
      <c r="AQH514" s="332"/>
      <c r="AQI514" s="332"/>
      <c r="AQJ514" s="332"/>
      <c r="AQK514" s="332"/>
      <c r="AQL514" s="332"/>
      <c r="AQM514" s="332"/>
      <c r="AQN514" s="332"/>
      <c r="AQO514" s="332"/>
      <c r="AQP514" s="332"/>
      <c r="AQQ514" s="332"/>
      <c r="AQR514" s="332"/>
      <c r="AQS514" s="332"/>
      <c r="AQT514" s="332"/>
      <c r="AQU514" s="332"/>
      <c r="AQV514" s="332"/>
      <c r="AQW514" s="332"/>
      <c r="AQX514" s="332"/>
      <c r="AQY514" s="332"/>
      <c r="AQZ514" s="332"/>
      <c r="ARA514" s="332"/>
      <c r="ARB514" s="332"/>
      <c r="ARC514" s="332"/>
      <c r="ARD514" s="332"/>
      <c r="ARE514" s="332"/>
      <c r="ARF514" s="332"/>
      <c r="ARG514" s="332"/>
      <c r="ARH514" s="332"/>
      <c r="ARI514" s="332"/>
      <c r="ARJ514" s="332"/>
      <c r="ARK514" s="332"/>
      <c r="ARL514" s="332"/>
      <c r="ARM514" s="332"/>
      <c r="ARN514" s="332"/>
      <c r="ARO514" s="332"/>
      <c r="ARP514" s="332"/>
      <c r="ARQ514" s="332"/>
      <c r="ARR514" s="332"/>
      <c r="ARS514" s="332"/>
      <c r="ART514" s="332"/>
      <c r="ARU514" s="332"/>
      <c r="ARV514" s="332"/>
      <c r="ARW514" s="332"/>
      <c r="ARX514" s="332"/>
      <c r="ARY514" s="332"/>
      <c r="ARZ514" s="332"/>
      <c r="ASA514" s="332"/>
      <c r="ASB514" s="332"/>
      <c r="ASC514" s="332"/>
      <c r="ASD514" s="332"/>
      <c r="ASE514" s="332"/>
      <c r="ASF514" s="332"/>
      <c r="ASG514" s="332"/>
      <c r="ASH514" s="332"/>
      <c r="ASI514" s="332"/>
      <c r="ASJ514" s="332"/>
      <c r="ASK514" s="332"/>
      <c r="ASL514" s="332"/>
      <c r="ASM514" s="332"/>
      <c r="ASN514" s="332"/>
      <c r="ASO514" s="332"/>
      <c r="ASP514" s="332"/>
      <c r="ASQ514" s="332"/>
      <c r="ASR514" s="332"/>
      <c r="ASS514" s="332"/>
      <c r="AST514" s="332"/>
      <c r="ASU514" s="332"/>
      <c r="ASV514" s="332"/>
      <c r="ASW514" s="332"/>
      <c r="ASX514" s="332"/>
      <c r="ASY514" s="332"/>
      <c r="ASZ514" s="332"/>
      <c r="ATA514" s="332"/>
      <c r="ATB514" s="332"/>
      <c r="ATC514" s="332"/>
      <c r="ATD514" s="332"/>
      <c r="ATE514" s="332"/>
      <c r="ATF514" s="332"/>
      <c r="ATG514" s="332"/>
      <c r="ATH514" s="332"/>
      <c r="ATI514" s="332"/>
      <c r="ATJ514" s="332"/>
      <c r="ATK514" s="332"/>
      <c r="ATL514" s="332"/>
      <c r="ATM514" s="332"/>
      <c r="ATN514" s="332"/>
      <c r="ATO514" s="332"/>
      <c r="ATP514" s="332"/>
      <c r="ATQ514" s="332"/>
      <c r="ATR514" s="332"/>
      <c r="ATS514" s="332"/>
      <c r="ATT514" s="332"/>
      <c r="ATU514" s="332"/>
      <c r="ATV514" s="332"/>
      <c r="ATW514" s="332"/>
      <c r="ATX514" s="332"/>
      <c r="ATY514" s="332"/>
      <c r="ATZ514" s="332"/>
      <c r="AUA514" s="332"/>
      <c r="AUB514" s="332"/>
      <c r="AUC514" s="332"/>
      <c r="AUD514" s="332"/>
      <c r="AUE514" s="332"/>
      <c r="AUF514" s="332"/>
      <c r="AUG514" s="332"/>
      <c r="AUH514" s="332"/>
      <c r="AUI514" s="332"/>
      <c r="AUJ514" s="332"/>
      <c r="AUK514" s="332"/>
      <c r="AUL514" s="332"/>
      <c r="AUM514" s="332"/>
      <c r="AUN514" s="332"/>
      <c r="AUO514" s="332"/>
      <c r="AUP514" s="332"/>
      <c r="AUQ514" s="332"/>
      <c r="AUR514" s="332"/>
      <c r="AUS514" s="332"/>
      <c r="AUT514" s="332"/>
      <c r="AUU514" s="332"/>
      <c r="AUV514" s="332"/>
      <c r="AUW514" s="332"/>
      <c r="AUX514" s="332"/>
      <c r="AUY514" s="332"/>
      <c r="AUZ514" s="332"/>
      <c r="AVA514" s="332"/>
      <c r="AVB514" s="332"/>
      <c r="AVC514" s="332"/>
      <c r="AVD514" s="332"/>
      <c r="AVE514" s="332"/>
      <c r="AVF514" s="332"/>
      <c r="AVG514" s="332"/>
      <c r="AVH514" s="332"/>
      <c r="AVI514" s="332"/>
      <c r="AVJ514" s="332"/>
      <c r="AVK514" s="332"/>
      <c r="AVL514" s="332"/>
      <c r="AVM514" s="332"/>
      <c r="AVN514" s="332"/>
      <c r="AVO514" s="332"/>
      <c r="AVP514" s="332"/>
      <c r="AVQ514" s="332"/>
      <c r="AVR514" s="332"/>
      <c r="AVS514" s="332"/>
      <c r="AVT514" s="332"/>
      <c r="AVU514" s="332"/>
      <c r="AVV514" s="332"/>
      <c r="AVW514" s="332"/>
      <c r="AVX514" s="332"/>
      <c r="AVY514" s="332"/>
      <c r="AVZ514" s="332"/>
      <c r="AWA514" s="332"/>
      <c r="AWB514" s="332"/>
      <c r="AWC514" s="332"/>
      <c r="AWD514" s="332"/>
      <c r="AWE514" s="332"/>
      <c r="AWF514" s="332"/>
      <c r="AWG514" s="332"/>
      <c r="AWH514" s="332"/>
      <c r="AWI514" s="332"/>
      <c r="AWJ514" s="332"/>
      <c r="AWK514" s="332"/>
      <c r="AWL514" s="332"/>
      <c r="AWM514" s="332"/>
      <c r="AWN514" s="332"/>
      <c r="AWO514" s="332"/>
      <c r="AWP514" s="332"/>
      <c r="AWQ514" s="332"/>
      <c r="AWR514" s="332"/>
      <c r="AWS514" s="332"/>
      <c r="AWT514" s="332"/>
      <c r="AWU514" s="332"/>
      <c r="AWV514" s="332"/>
      <c r="AWW514" s="332"/>
      <c r="AWX514" s="332"/>
      <c r="AWY514" s="332"/>
      <c r="AWZ514" s="332"/>
      <c r="AXA514" s="332"/>
      <c r="AXB514" s="332"/>
      <c r="AXC514" s="332"/>
      <c r="AXD514" s="332"/>
      <c r="AXE514" s="332"/>
      <c r="AXF514" s="332"/>
      <c r="AXG514" s="332"/>
      <c r="AXH514" s="332"/>
      <c r="AXI514" s="332"/>
      <c r="AXJ514" s="332"/>
      <c r="AXK514" s="332"/>
      <c r="AXL514" s="332"/>
      <c r="AXM514" s="332"/>
      <c r="AXN514" s="332"/>
      <c r="AXO514" s="332"/>
      <c r="AXP514" s="332"/>
      <c r="AXQ514" s="332"/>
      <c r="AXR514" s="332"/>
      <c r="AXS514" s="332"/>
      <c r="AXT514" s="332"/>
      <c r="AXU514" s="332"/>
      <c r="AXV514" s="332"/>
      <c r="AXW514" s="332"/>
      <c r="AXX514" s="332"/>
      <c r="AXY514" s="332"/>
      <c r="AXZ514" s="332"/>
      <c r="AYA514" s="332"/>
      <c r="AYB514" s="332"/>
      <c r="AYC514" s="332"/>
      <c r="AYD514" s="332"/>
      <c r="AYE514" s="332"/>
      <c r="AYF514" s="332"/>
      <c r="AYG514" s="332"/>
      <c r="AYH514" s="332"/>
      <c r="AYI514" s="332"/>
      <c r="AYJ514" s="332"/>
      <c r="AYK514" s="332"/>
      <c r="AYL514" s="332"/>
      <c r="AYM514" s="332"/>
      <c r="AYN514" s="332"/>
      <c r="AYO514" s="332"/>
      <c r="AYP514" s="332"/>
      <c r="AYQ514" s="332"/>
      <c r="AYR514" s="332"/>
      <c r="AYS514" s="332"/>
      <c r="AYT514" s="332"/>
      <c r="AYU514" s="332"/>
      <c r="AYV514" s="332"/>
      <c r="AYW514" s="332"/>
      <c r="AYX514" s="332"/>
      <c r="AYY514" s="332"/>
      <c r="AYZ514" s="332"/>
      <c r="AZA514" s="332"/>
      <c r="AZB514" s="332"/>
      <c r="AZC514" s="332"/>
      <c r="AZD514" s="332"/>
      <c r="AZE514" s="332"/>
      <c r="AZF514" s="332"/>
      <c r="AZG514" s="332"/>
      <c r="AZH514" s="332"/>
      <c r="AZI514" s="332"/>
      <c r="AZJ514" s="332"/>
      <c r="AZK514" s="332"/>
      <c r="AZL514" s="332"/>
      <c r="AZM514" s="332"/>
      <c r="AZN514" s="332"/>
      <c r="AZO514" s="332"/>
      <c r="AZP514" s="332"/>
      <c r="AZQ514" s="332"/>
      <c r="AZR514" s="332"/>
      <c r="AZS514" s="332"/>
      <c r="AZT514" s="332"/>
      <c r="AZU514" s="332"/>
      <c r="AZV514" s="332"/>
      <c r="AZW514" s="332"/>
      <c r="AZX514" s="332"/>
      <c r="AZY514" s="332"/>
      <c r="AZZ514" s="332"/>
      <c r="BAA514" s="332"/>
      <c r="BAB514" s="332"/>
      <c r="BAC514" s="332"/>
      <c r="BAD514" s="332"/>
      <c r="BAE514" s="332"/>
      <c r="BAF514" s="332"/>
      <c r="BAG514" s="332"/>
      <c r="BAH514" s="332"/>
      <c r="BAI514" s="332"/>
      <c r="BAJ514" s="332"/>
      <c r="BAK514" s="332"/>
      <c r="BAL514" s="332"/>
      <c r="BAM514" s="332"/>
      <c r="BAN514" s="332"/>
      <c r="BAO514" s="332"/>
      <c r="BAP514" s="332"/>
      <c r="BAQ514" s="332"/>
      <c r="BAR514" s="332"/>
      <c r="BAS514" s="332"/>
      <c r="BAT514" s="332"/>
      <c r="BAU514" s="332"/>
      <c r="BAV514" s="332"/>
      <c r="BAW514" s="332"/>
      <c r="BAX514" s="332"/>
      <c r="BAY514" s="332"/>
      <c r="BAZ514" s="332"/>
      <c r="BBA514" s="332"/>
      <c r="BBB514" s="332"/>
      <c r="BBC514" s="332"/>
      <c r="BBD514" s="332"/>
      <c r="BBE514" s="332"/>
      <c r="BBF514" s="332"/>
      <c r="BBG514" s="332"/>
      <c r="BBH514" s="332"/>
      <c r="BBI514" s="332"/>
      <c r="BBJ514" s="332"/>
      <c r="BBK514" s="332"/>
      <c r="BBL514" s="332"/>
      <c r="BBM514" s="332"/>
      <c r="BBN514" s="332"/>
      <c r="BBO514" s="332"/>
      <c r="BBP514" s="332"/>
      <c r="BBQ514" s="332"/>
      <c r="BBR514" s="332"/>
      <c r="BBS514" s="332"/>
      <c r="BBT514" s="332"/>
      <c r="BBU514" s="332"/>
      <c r="BBV514" s="332"/>
      <c r="BBW514" s="332"/>
      <c r="BBX514" s="332"/>
      <c r="BBY514" s="332"/>
      <c r="BBZ514" s="332"/>
      <c r="BCA514" s="332"/>
      <c r="BCB514" s="332"/>
      <c r="BCC514" s="332"/>
      <c r="BCD514" s="332"/>
      <c r="BCE514" s="332"/>
      <c r="BCF514" s="332"/>
      <c r="BCG514" s="332"/>
      <c r="BCH514" s="332"/>
      <c r="BCI514" s="332"/>
      <c r="BCJ514" s="332"/>
      <c r="BCK514" s="332"/>
      <c r="BCL514" s="332"/>
      <c r="BCM514" s="332"/>
      <c r="BCN514" s="332"/>
      <c r="BCO514" s="332"/>
      <c r="BCP514" s="332"/>
      <c r="BCQ514" s="332"/>
      <c r="BCR514" s="332"/>
      <c r="BCS514" s="332"/>
      <c r="BCT514" s="332"/>
      <c r="BCU514" s="332"/>
      <c r="BCV514" s="332"/>
      <c r="BCW514" s="332"/>
      <c r="BCX514" s="332"/>
      <c r="BCY514" s="332"/>
      <c r="BCZ514" s="332"/>
      <c r="BDA514" s="332"/>
      <c r="BDB514" s="332"/>
      <c r="BDC514" s="332"/>
      <c r="BDD514" s="332"/>
      <c r="BDE514" s="332"/>
      <c r="BDF514" s="332"/>
      <c r="BDG514" s="332"/>
      <c r="BDH514" s="332"/>
      <c r="BDI514" s="332"/>
      <c r="BDJ514" s="332"/>
      <c r="BDK514" s="332"/>
      <c r="BDL514" s="332"/>
      <c r="BDM514" s="332"/>
      <c r="BDN514" s="332"/>
      <c r="BDO514" s="332"/>
      <c r="BDP514" s="332"/>
      <c r="BDQ514" s="332"/>
      <c r="BDR514" s="332"/>
      <c r="BDS514" s="332"/>
      <c r="BDT514" s="332"/>
      <c r="BDU514" s="332"/>
      <c r="BDV514" s="332"/>
      <c r="BDW514" s="332"/>
      <c r="BDX514" s="332"/>
      <c r="BDY514" s="332"/>
      <c r="BDZ514" s="332"/>
      <c r="BEA514" s="332"/>
      <c r="BEB514" s="332"/>
      <c r="BEC514" s="332"/>
      <c r="BED514" s="332"/>
      <c r="BEE514" s="332"/>
      <c r="BEF514" s="332"/>
      <c r="BEG514" s="332"/>
      <c r="BEH514" s="332"/>
      <c r="BEI514" s="332"/>
      <c r="BEJ514" s="332"/>
      <c r="BEK514" s="332"/>
      <c r="BEL514" s="332"/>
      <c r="BEM514" s="332"/>
      <c r="BEN514" s="332"/>
      <c r="BEO514" s="332"/>
      <c r="BEP514" s="332"/>
      <c r="BEQ514" s="332"/>
      <c r="BER514" s="332"/>
      <c r="BES514" s="332"/>
      <c r="BET514" s="332"/>
      <c r="BEU514" s="332"/>
      <c r="BEV514" s="332"/>
      <c r="BEW514" s="332"/>
      <c r="BEX514" s="332"/>
      <c r="BEY514" s="332"/>
      <c r="BEZ514" s="332"/>
      <c r="BFA514" s="332"/>
      <c r="BFB514" s="332"/>
      <c r="BFC514" s="332"/>
      <c r="BFD514" s="332"/>
      <c r="BFE514" s="332"/>
      <c r="BFF514" s="332"/>
      <c r="BFG514" s="332"/>
      <c r="BFH514" s="332"/>
      <c r="BFI514" s="332"/>
      <c r="BFJ514" s="332"/>
      <c r="BFK514" s="332"/>
      <c r="BFL514" s="332"/>
      <c r="BFM514" s="332"/>
      <c r="BFN514" s="332"/>
      <c r="BFO514" s="332"/>
      <c r="BFP514" s="332"/>
      <c r="BFQ514" s="332"/>
      <c r="BFR514" s="332"/>
      <c r="BFS514" s="332"/>
      <c r="BFT514" s="332"/>
      <c r="BFU514" s="332"/>
      <c r="BFV514" s="332"/>
      <c r="BFW514" s="332"/>
      <c r="BFX514" s="332"/>
      <c r="BFY514" s="332"/>
      <c r="BFZ514" s="332"/>
      <c r="BGA514" s="332"/>
      <c r="BGB514" s="332"/>
      <c r="BGC514" s="332"/>
      <c r="BGD514" s="332"/>
      <c r="BGE514" s="332"/>
      <c r="BGF514" s="332"/>
      <c r="BGG514" s="332"/>
      <c r="BGH514" s="332"/>
      <c r="BGI514" s="332"/>
      <c r="BGJ514" s="332"/>
      <c r="BGK514" s="332"/>
      <c r="BGL514" s="332"/>
      <c r="BGM514" s="332"/>
      <c r="BGN514" s="332"/>
      <c r="BGO514" s="332"/>
      <c r="BGP514" s="332"/>
      <c r="BGQ514" s="332"/>
      <c r="BGR514" s="332"/>
      <c r="BGS514" s="332"/>
      <c r="BGT514" s="332"/>
      <c r="BGU514" s="332"/>
      <c r="BGV514" s="332"/>
      <c r="BGW514" s="332"/>
      <c r="BGX514" s="332"/>
      <c r="BGY514" s="332"/>
      <c r="BGZ514" s="332"/>
      <c r="BHA514" s="332"/>
      <c r="BHB514" s="332"/>
      <c r="BHC514" s="332"/>
      <c r="BHD514" s="332"/>
      <c r="BHE514" s="332"/>
      <c r="BHF514" s="332"/>
      <c r="BHG514" s="332"/>
      <c r="BHH514" s="332"/>
      <c r="BHI514" s="332"/>
      <c r="BHJ514" s="332"/>
      <c r="BHK514" s="332"/>
      <c r="BHL514" s="332"/>
      <c r="BHM514" s="332"/>
      <c r="BHN514" s="332"/>
      <c r="BHO514" s="332"/>
      <c r="BHP514" s="332"/>
      <c r="BHQ514" s="332"/>
      <c r="BHR514" s="332"/>
      <c r="BHS514" s="332"/>
      <c r="BHT514" s="332"/>
      <c r="BHU514" s="332"/>
      <c r="BHV514" s="332"/>
      <c r="BHW514" s="332"/>
      <c r="BHX514" s="332"/>
      <c r="BHY514" s="332"/>
      <c r="BHZ514" s="332"/>
      <c r="BIA514" s="332"/>
      <c r="BIB514" s="332"/>
      <c r="BIC514" s="332"/>
      <c r="BID514" s="332"/>
      <c r="BIE514" s="332"/>
      <c r="BIF514" s="332"/>
      <c r="BIG514" s="332"/>
      <c r="BIH514" s="332"/>
      <c r="BII514" s="332"/>
      <c r="BIJ514" s="332"/>
      <c r="BIK514" s="332"/>
      <c r="BIL514" s="332"/>
      <c r="BIM514" s="332"/>
      <c r="BIN514" s="332"/>
      <c r="BIO514" s="332"/>
      <c r="BIP514" s="332"/>
      <c r="BIQ514" s="332"/>
      <c r="BIR514" s="332"/>
      <c r="BIS514" s="332"/>
      <c r="BIT514" s="332"/>
      <c r="BIU514" s="332"/>
      <c r="BIV514" s="332"/>
      <c r="BIW514" s="332"/>
      <c r="BIX514" s="332"/>
      <c r="BIY514" s="332"/>
      <c r="BIZ514" s="332"/>
      <c r="BJA514" s="332"/>
      <c r="BJB514" s="332"/>
      <c r="BJC514" s="332"/>
      <c r="BJD514" s="332"/>
      <c r="BJE514" s="332"/>
      <c r="BJF514" s="332"/>
      <c r="BJG514" s="332"/>
      <c r="BJH514" s="332"/>
      <c r="BJI514" s="332"/>
      <c r="BJJ514" s="332"/>
      <c r="BJK514" s="332"/>
      <c r="BJL514" s="332"/>
      <c r="BJM514" s="332"/>
      <c r="BJN514" s="332"/>
      <c r="BJO514" s="332"/>
      <c r="BJP514" s="332"/>
      <c r="BJQ514" s="332"/>
      <c r="BJR514" s="332"/>
      <c r="BJS514" s="332"/>
      <c r="BJT514" s="332"/>
      <c r="BJU514" s="332"/>
      <c r="BJV514" s="332"/>
      <c r="BJW514" s="332"/>
      <c r="BJX514" s="332"/>
      <c r="BJY514" s="332"/>
      <c r="BJZ514" s="332"/>
      <c r="BKA514" s="332"/>
      <c r="BKB514" s="332"/>
      <c r="BKC514" s="332"/>
      <c r="BKD514" s="332"/>
      <c r="BKE514" s="332"/>
      <c r="BKF514" s="332"/>
      <c r="BKG514" s="332"/>
      <c r="BKH514" s="332"/>
      <c r="BKI514" s="332"/>
      <c r="BKJ514" s="332"/>
      <c r="BKK514" s="332"/>
      <c r="BKL514" s="332"/>
      <c r="BKM514" s="332"/>
      <c r="BKN514" s="332"/>
      <c r="BKO514" s="332"/>
      <c r="BKP514" s="332"/>
      <c r="BKQ514" s="332"/>
      <c r="BKR514" s="332"/>
      <c r="BKS514" s="332"/>
      <c r="BKT514" s="332"/>
      <c r="BKU514" s="332"/>
      <c r="BKV514" s="332"/>
      <c r="BKW514" s="332"/>
      <c r="BKX514" s="332"/>
      <c r="BKY514" s="332"/>
      <c r="BKZ514" s="332"/>
      <c r="BLA514" s="332"/>
      <c r="BLB514" s="332"/>
      <c r="BLC514" s="332"/>
      <c r="BLD514" s="332"/>
      <c r="BLE514" s="332"/>
      <c r="BLF514" s="332"/>
      <c r="BLG514" s="332"/>
      <c r="BLH514" s="332"/>
      <c r="BLI514" s="332"/>
      <c r="BLJ514" s="332"/>
      <c r="BLK514" s="332"/>
      <c r="BLL514" s="332"/>
      <c r="BLM514" s="332"/>
      <c r="BLN514" s="332"/>
      <c r="BLO514" s="332"/>
      <c r="BLP514" s="332"/>
      <c r="BLQ514" s="332"/>
      <c r="BLR514" s="332"/>
      <c r="BLS514" s="332"/>
      <c r="BLT514" s="332"/>
      <c r="BLU514" s="332"/>
      <c r="BLV514" s="332"/>
      <c r="BLW514" s="332"/>
      <c r="BLX514" s="332"/>
      <c r="BLY514" s="332"/>
      <c r="BLZ514" s="332"/>
      <c r="BMA514" s="332"/>
      <c r="BMB514" s="332"/>
      <c r="BMC514" s="332"/>
      <c r="BMD514" s="332"/>
      <c r="BME514" s="332"/>
      <c r="BMF514" s="332"/>
      <c r="BMG514" s="332"/>
      <c r="BMH514" s="332"/>
      <c r="BMI514" s="332"/>
      <c r="BMJ514" s="332"/>
      <c r="BMK514" s="332"/>
      <c r="BML514" s="332"/>
      <c r="BMM514" s="332"/>
      <c r="BMN514" s="332"/>
      <c r="BMO514" s="332"/>
      <c r="BMP514" s="332"/>
      <c r="BMQ514" s="332"/>
      <c r="BMR514" s="332"/>
      <c r="BMS514" s="332"/>
      <c r="BMT514" s="332"/>
      <c r="BMU514" s="332"/>
      <c r="BMV514" s="332"/>
      <c r="BMW514" s="332"/>
      <c r="BMX514" s="332"/>
      <c r="BMY514" s="332"/>
      <c r="BMZ514" s="332"/>
      <c r="BNA514" s="332"/>
      <c r="BNB514" s="332"/>
      <c r="BNC514" s="332"/>
      <c r="BND514" s="332"/>
      <c r="BNE514" s="332"/>
      <c r="BNF514" s="332"/>
      <c r="BNG514" s="332"/>
      <c r="BNH514" s="332"/>
      <c r="BNI514" s="332"/>
      <c r="BNJ514" s="332"/>
      <c r="BNK514" s="332"/>
      <c r="BNL514" s="332"/>
      <c r="BNM514" s="332"/>
      <c r="BNN514" s="332"/>
      <c r="BNO514" s="332"/>
      <c r="BNP514" s="332"/>
      <c r="BNQ514" s="332"/>
      <c r="BNR514" s="332"/>
      <c r="BNS514" s="332"/>
      <c r="BNT514" s="332"/>
      <c r="BNU514" s="332"/>
      <c r="BNV514" s="332"/>
      <c r="BNW514" s="332"/>
      <c r="BNX514" s="332"/>
      <c r="BNY514" s="332"/>
      <c r="BNZ514" s="332"/>
      <c r="BOA514" s="332"/>
      <c r="BOB514" s="332"/>
      <c r="BOC514" s="332"/>
      <c r="BOD514" s="332"/>
      <c r="BOE514" s="332"/>
      <c r="BOF514" s="332"/>
      <c r="BOG514" s="332"/>
      <c r="BOH514" s="332"/>
      <c r="BOI514" s="332"/>
      <c r="BOJ514" s="332"/>
      <c r="BOK514" s="332"/>
      <c r="BOL514" s="332"/>
      <c r="BOM514" s="332"/>
      <c r="BON514" s="332"/>
      <c r="BOO514" s="332"/>
      <c r="BOP514" s="332"/>
      <c r="BOQ514" s="332"/>
      <c r="BOR514" s="332"/>
      <c r="BOS514" s="332"/>
      <c r="BOT514" s="332"/>
      <c r="BOU514" s="332"/>
      <c r="BOV514" s="332"/>
      <c r="BOW514" s="332"/>
      <c r="BOX514" s="332"/>
      <c r="BOY514" s="332"/>
      <c r="BOZ514" s="332"/>
      <c r="BPA514" s="332"/>
      <c r="BPB514" s="332"/>
      <c r="BPC514" s="332"/>
      <c r="BPD514" s="332"/>
      <c r="BPE514" s="332"/>
      <c r="BPF514" s="332"/>
      <c r="BPG514" s="332"/>
      <c r="BPH514" s="332"/>
      <c r="BPI514" s="332"/>
      <c r="BPJ514" s="332"/>
      <c r="BPK514" s="332"/>
      <c r="BPL514" s="332"/>
      <c r="BPM514" s="332"/>
      <c r="BPN514" s="332"/>
      <c r="BPO514" s="332"/>
      <c r="BPP514" s="332"/>
      <c r="BPQ514" s="332"/>
      <c r="BPR514" s="332"/>
      <c r="BPS514" s="332"/>
      <c r="BPT514" s="332"/>
      <c r="BPU514" s="332"/>
      <c r="BPV514" s="332"/>
      <c r="BPW514" s="332"/>
      <c r="BPX514" s="332"/>
      <c r="BPY514" s="332"/>
      <c r="BPZ514" s="332"/>
      <c r="BQA514" s="332"/>
      <c r="BQB514" s="332"/>
      <c r="BQC514" s="332"/>
      <c r="BQD514" s="332"/>
      <c r="BQE514" s="332"/>
      <c r="BQF514" s="332"/>
      <c r="BQG514" s="332"/>
      <c r="BQH514" s="332"/>
      <c r="BQI514" s="332"/>
      <c r="BQJ514" s="332"/>
      <c r="BQK514" s="332"/>
      <c r="BQL514" s="332"/>
      <c r="BQM514" s="332"/>
      <c r="BQN514" s="332"/>
      <c r="BQO514" s="332"/>
      <c r="BQP514" s="332"/>
      <c r="BQQ514" s="332"/>
      <c r="BQR514" s="332"/>
      <c r="BQS514" s="332"/>
      <c r="BQT514" s="332"/>
      <c r="BQU514" s="332"/>
      <c r="BQV514" s="332"/>
      <c r="BQW514" s="332"/>
      <c r="BQX514" s="332"/>
      <c r="BQY514" s="332"/>
      <c r="BQZ514" s="332"/>
      <c r="BRA514" s="332"/>
      <c r="BRB514" s="332"/>
      <c r="BRC514" s="332"/>
      <c r="BRD514" s="332"/>
      <c r="BRE514" s="332"/>
      <c r="BRF514" s="332"/>
      <c r="BRG514" s="332"/>
      <c r="BRH514" s="332"/>
      <c r="BRI514" s="332"/>
      <c r="BRJ514" s="332"/>
      <c r="BRK514" s="332"/>
      <c r="BRL514" s="332"/>
      <c r="BRM514" s="332"/>
      <c r="BRN514" s="332"/>
      <c r="BRO514" s="332"/>
      <c r="BRP514" s="332"/>
      <c r="BRQ514" s="332"/>
      <c r="BRR514" s="332"/>
      <c r="BRS514" s="332"/>
      <c r="BRT514" s="332"/>
      <c r="BRU514" s="332"/>
      <c r="BRV514" s="332"/>
      <c r="BRW514" s="332"/>
      <c r="BRX514" s="332"/>
      <c r="BRY514" s="332"/>
      <c r="BRZ514" s="332"/>
      <c r="BSA514" s="332"/>
      <c r="BSB514" s="332"/>
      <c r="BSC514" s="332"/>
      <c r="BSD514" s="332"/>
      <c r="BSE514" s="332"/>
      <c r="BSF514" s="332"/>
      <c r="BSG514" s="332"/>
      <c r="BSH514" s="332"/>
      <c r="BSI514" s="332"/>
      <c r="BSJ514" s="332"/>
      <c r="BSK514" s="332"/>
      <c r="BSL514" s="332"/>
      <c r="BSM514" s="332"/>
      <c r="BSN514" s="332"/>
      <c r="BSO514" s="332"/>
      <c r="BSP514" s="332"/>
      <c r="BSQ514" s="332"/>
      <c r="BSR514" s="332"/>
      <c r="BSS514" s="332"/>
      <c r="BST514" s="332"/>
      <c r="BSU514" s="332"/>
      <c r="BSV514" s="332"/>
      <c r="BSW514" s="332"/>
      <c r="BSX514" s="332"/>
      <c r="BSY514" s="332"/>
      <c r="BSZ514" s="332"/>
      <c r="BTA514" s="332"/>
      <c r="BTB514" s="332"/>
      <c r="BTC514" s="332"/>
      <c r="BTD514" s="332"/>
      <c r="BTE514" s="332"/>
      <c r="BTF514" s="332"/>
      <c r="BTG514" s="332"/>
      <c r="BTH514" s="332"/>
      <c r="BTI514" s="332"/>
      <c r="BTJ514" s="332"/>
      <c r="BTK514" s="332"/>
      <c r="BTL514" s="332"/>
      <c r="BTM514" s="332"/>
      <c r="BTN514" s="332"/>
      <c r="BTO514" s="332"/>
      <c r="BTP514" s="332"/>
      <c r="BTQ514" s="332"/>
      <c r="BTR514" s="332"/>
      <c r="BTS514" s="332"/>
      <c r="BTT514" s="332"/>
      <c r="BTU514" s="332"/>
      <c r="BTV514" s="332"/>
      <c r="BTW514" s="332"/>
      <c r="BTX514" s="332"/>
      <c r="BTY514" s="332"/>
      <c r="BTZ514" s="332"/>
      <c r="BUA514" s="332"/>
      <c r="BUB514" s="332"/>
      <c r="BUC514" s="332"/>
      <c r="BUD514" s="332"/>
      <c r="BUE514" s="332"/>
      <c r="BUF514" s="332"/>
      <c r="BUG514" s="332"/>
      <c r="BUH514" s="332"/>
      <c r="BUI514" s="332"/>
      <c r="BUJ514" s="332"/>
      <c r="BUK514" s="332"/>
      <c r="BUL514" s="332"/>
      <c r="BUM514" s="332"/>
      <c r="BUN514" s="332"/>
      <c r="BUO514" s="332"/>
      <c r="BUP514" s="332"/>
      <c r="BUQ514" s="332"/>
      <c r="BUR514" s="332"/>
      <c r="BUS514" s="332"/>
      <c r="BUT514" s="332"/>
      <c r="BUU514" s="332"/>
      <c r="BUV514" s="332"/>
      <c r="BUW514" s="332"/>
      <c r="BUX514" s="332"/>
      <c r="BUY514" s="332"/>
      <c r="BUZ514" s="332"/>
      <c r="BVA514" s="332"/>
      <c r="BVB514" s="332"/>
      <c r="BVC514" s="332"/>
      <c r="BVD514" s="332"/>
      <c r="BVE514" s="332"/>
      <c r="BVF514" s="332"/>
      <c r="BVG514" s="332"/>
      <c r="BVH514" s="332"/>
      <c r="BVI514" s="332"/>
      <c r="BVJ514" s="332"/>
      <c r="BVK514" s="332"/>
      <c r="BVL514" s="332"/>
      <c r="BVM514" s="332"/>
      <c r="BVN514" s="332"/>
      <c r="BVO514" s="332"/>
      <c r="BVP514" s="332"/>
      <c r="BVQ514" s="332"/>
      <c r="BVR514" s="332"/>
      <c r="BVS514" s="332"/>
      <c r="BVT514" s="332"/>
      <c r="BVU514" s="332"/>
      <c r="BVV514" s="332"/>
      <c r="BVW514" s="332"/>
      <c r="BVX514" s="332"/>
      <c r="BVY514" s="332"/>
      <c r="BVZ514" s="332"/>
      <c r="BWA514" s="332"/>
      <c r="BWB514" s="332"/>
      <c r="BWC514" s="332"/>
      <c r="BWD514" s="332"/>
      <c r="BWE514" s="332"/>
      <c r="BWF514" s="332"/>
      <c r="BWG514" s="332"/>
      <c r="BWH514" s="332"/>
      <c r="BWI514" s="332"/>
      <c r="BWJ514" s="332"/>
      <c r="BWK514" s="332"/>
      <c r="BWL514" s="332"/>
      <c r="BWM514" s="332"/>
      <c r="BWN514" s="332"/>
      <c r="BWO514" s="332"/>
      <c r="BWP514" s="332"/>
      <c r="BWQ514" s="332"/>
      <c r="BWR514" s="332"/>
      <c r="BWS514" s="332"/>
      <c r="BWT514" s="332"/>
      <c r="BWU514" s="332"/>
      <c r="BWV514" s="332"/>
      <c r="BWW514" s="332"/>
      <c r="BWX514" s="332"/>
      <c r="BWY514" s="332"/>
      <c r="BWZ514" s="332"/>
      <c r="BXA514" s="332"/>
      <c r="BXB514" s="332"/>
      <c r="BXC514" s="332"/>
      <c r="BXD514" s="332"/>
      <c r="BXE514" s="332"/>
      <c r="BXF514" s="332"/>
      <c r="BXG514" s="332"/>
      <c r="BXH514" s="332"/>
      <c r="BXI514" s="332"/>
      <c r="BXJ514" s="332"/>
      <c r="BXK514" s="332"/>
      <c r="BXL514" s="332"/>
      <c r="BXM514" s="332"/>
      <c r="BXN514" s="332"/>
      <c r="BXO514" s="332"/>
      <c r="BXP514" s="332"/>
      <c r="BXQ514" s="332"/>
      <c r="BXR514" s="332"/>
      <c r="BXS514" s="332"/>
      <c r="BXT514" s="332"/>
      <c r="BXU514" s="332"/>
      <c r="BXV514" s="332"/>
      <c r="BXW514" s="332"/>
      <c r="BXX514" s="332"/>
      <c r="BXY514" s="332"/>
      <c r="BXZ514" s="332"/>
      <c r="BYA514" s="332"/>
      <c r="BYB514" s="332"/>
      <c r="BYC514" s="332"/>
      <c r="BYD514" s="332"/>
      <c r="BYE514" s="332"/>
      <c r="BYF514" s="332"/>
      <c r="BYG514" s="332"/>
      <c r="BYH514" s="332"/>
      <c r="BYI514" s="332"/>
      <c r="BYJ514" s="332"/>
      <c r="BYK514" s="332"/>
      <c r="BYL514" s="332"/>
      <c r="BYM514" s="332"/>
      <c r="BYN514" s="332"/>
      <c r="BYO514" s="332"/>
      <c r="BYP514" s="332"/>
      <c r="BYQ514" s="332"/>
      <c r="BYR514" s="332"/>
      <c r="BYS514" s="332"/>
      <c r="BYT514" s="332"/>
      <c r="BYU514" s="332"/>
      <c r="BYV514" s="332"/>
      <c r="BYW514" s="332"/>
      <c r="BYX514" s="332"/>
      <c r="BYY514" s="332"/>
      <c r="BYZ514" s="332"/>
      <c r="BZA514" s="332"/>
      <c r="BZB514" s="332"/>
      <c r="BZC514" s="332"/>
      <c r="BZD514" s="332"/>
      <c r="BZE514" s="332"/>
      <c r="BZF514" s="332"/>
      <c r="BZG514" s="332"/>
      <c r="BZH514" s="332"/>
      <c r="BZI514" s="332"/>
      <c r="BZJ514" s="332"/>
      <c r="BZK514" s="332"/>
      <c r="BZL514" s="332"/>
      <c r="BZM514" s="332"/>
      <c r="BZN514" s="332"/>
      <c r="BZO514" s="332"/>
      <c r="BZP514" s="332"/>
      <c r="BZQ514" s="332"/>
      <c r="BZR514" s="332"/>
      <c r="BZS514" s="332"/>
      <c r="BZT514" s="332"/>
      <c r="BZU514" s="332"/>
      <c r="BZV514" s="332"/>
      <c r="BZW514" s="332"/>
      <c r="BZX514" s="332"/>
      <c r="BZY514" s="332"/>
      <c r="BZZ514" s="332"/>
      <c r="CAA514" s="332"/>
      <c r="CAB514" s="332"/>
      <c r="CAC514" s="332"/>
      <c r="CAD514" s="332"/>
      <c r="CAE514" s="332"/>
      <c r="CAF514" s="332"/>
      <c r="CAG514" s="332"/>
      <c r="CAH514" s="332"/>
      <c r="CAI514" s="332"/>
      <c r="CAJ514" s="332"/>
      <c r="CAK514" s="332"/>
      <c r="CAL514" s="332"/>
      <c r="CAM514" s="332"/>
      <c r="CAN514" s="332"/>
      <c r="CAO514" s="332"/>
      <c r="CAP514" s="332"/>
      <c r="CAQ514" s="332"/>
      <c r="CAR514" s="332"/>
      <c r="CAS514" s="332"/>
      <c r="CAT514" s="332"/>
      <c r="CAU514" s="332"/>
      <c r="CAV514" s="332"/>
      <c r="CAW514" s="332"/>
      <c r="CAX514" s="332"/>
      <c r="CAY514" s="332"/>
      <c r="CAZ514" s="332"/>
      <c r="CBA514" s="332"/>
      <c r="CBB514" s="332"/>
      <c r="CBC514" s="332"/>
      <c r="CBD514" s="332"/>
      <c r="CBE514" s="332"/>
      <c r="CBF514" s="332"/>
      <c r="CBG514" s="332"/>
      <c r="CBH514" s="332"/>
      <c r="CBI514" s="332"/>
      <c r="CBJ514" s="332"/>
      <c r="CBK514" s="332"/>
      <c r="CBL514" s="332"/>
      <c r="CBM514" s="332"/>
      <c r="CBN514" s="332"/>
      <c r="CBO514" s="332"/>
      <c r="CBP514" s="332"/>
      <c r="CBQ514" s="332"/>
      <c r="CBR514" s="332"/>
      <c r="CBS514" s="332"/>
      <c r="CBT514" s="332"/>
      <c r="CBU514" s="332"/>
      <c r="CBV514" s="332"/>
      <c r="CBW514" s="332"/>
      <c r="CBX514" s="332"/>
      <c r="CBY514" s="332"/>
      <c r="CBZ514" s="332"/>
      <c r="CCA514" s="332"/>
      <c r="CCB514" s="332"/>
      <c r="CCC514" s="332"/>
      <c r="CCD514" s="332"/>
      <c r="CCE514" s="332"/>
      <c r="CCF514" s="332"/>
      <c r="CCG514" s="332"/>
      <c r="CCH514" s="332"/>
      <c r="CCI514" s="332"/>
      <c r="CCJ514" s="332"/>
      <c r="CCK514" s="332"/>
      <c r="CCL514" s="332"/>
      <c r="CCM514" s="332"/>
      <c r="CCN514" s="332"/>
      <c r="CCO514" s="332"/>
      <c r="CCP514" s="332"/>
      <c r="CCQ514" s="332"/>
      <c r="CCR514" s="332"/>
      <c r="CCS514" s="332"/>
      <c r="CCT514" s="332"/>
      <c r="CCU514" s="332"/>
      <c r="CCV514" s="332"/>
      <c r="CCW514" s="332"/>
      <c r="CCX514" s="332"/>
      <c r="CCY514" s="332"/>
      <c r="CCZ514" s="332"/>
      <c r="CDA514" s="332"/>
      <c r="CDB514" s="332"/>
      <c r="CDC514" s="332"/>
      <c r="CDD514" s="332"/>
      <c r="CDE514" s="332"/>
      <c r="CDF514" s="332"/>
      <c r="CDG514" s="332"/>
      <c r="CDH514" s="332"/>
      <c r="CDI514" s="332"/>
      <c r="CDJ514" s="332"/>
      <c r="CDK514" s="332"/>
      <c r="CDL514" s="332"/>
      <c r="CDM514" s="332"/>
      <c r="CDN514" s="332"/>
      <c r="CDO514" s="332"/>
      <c r="CDP514" s="332"/>
      <c r="CDQ514" s="332"/>
      <c r="CDR514" s="332"/>
      <c r="CDS514" s="332"/>
      <c r="CDT514" s="332"/>
      <c r="CDU514" s="332"/>
      <c r="CDV514" s="332"/>
      <c r="CDW514" s="332"/>
      <c r="CDX514" s="332"/>
      <c r="CDY514" s="332"/>
      <c r="CDZ514" s="332"/>
      <c r="CEA514" s="332"/>
      <c r="CEB514" s="332"/>
      <c r="CEC514" s="332"/>
      <c r="CED514" s="332"/>
      <c r="CEE514" s="332"/>
      <c r="CEF514" s="332"/>
      <c r="CEG514" s="332"/>
      <c r="CEH514" s="332"/>
      <c r="CEI514" s="332"/>
      <c r="CEJ514" s="332"/>
      <c r="CEK514" s="332"/>
      <c r="CEL514" s="332"/>
      <c r="CEM514" s="332"/>
      <c r="CEN514" s="332"/>
      <c r="CEO514" s="332"/>
      <c r="CEP514" s="332"/>
      <c r="CEQ514" s="332"/>
      <c r="CER514" s="332"/>
      <c r="CES514" s="332"/>
      <c r="CET514" s="332"/>
      <c r="CEU514" s="332"/>
      <c r="CEV514" s="332"/>
      <c r="CEW514" s="332"/>
      <c r="CEX514" s="332"/>
      <c r="CEY514" s="332"/>
      <c r="CEZ514" s="332"/>
      <c r="CFA514" s="332"/>
      <c r="CFB514" s="332"/>
      <c r="CFC514" s="332"/>
      <c r="CFD514" s="332"/>
      <c r="CFE514" s="332"/>
      <c r="CFF514" s="332"/>
      <c r="CFG514" s="332"/>
      <c r="CFH514" s="332"/>
      <c r="CFI514" s="332"/>
      <c r="CFJ514" s="332"/>
      <c r="CFK514" s="332"/>
      <c r="CFL514" s="332"/>
      <c r="CFM514" s="332"/>
      <c r="CFN514" s="332"/>
      <c r="CFO514" s="332"/>
      <c r="CFP514" s="332"/>
      <c r="CFQ514" s="332"/>
      <c r="CFR514" s="332"/>
      <c r="CFS514" s="332"/>
      <c r="CFT514" s="332"/>
      <c r="CFU514" s="332"/>
      <c r="CFV514" s="332"/>
      <c r="CFW514" s="332"/>
      <c r="CFX514" s="332"/>
      <c r="CFY514" s="332"/>
      <c r="CFZ514" s="332"/>
      <c r="CGA514" s="332"/>
      <c r="CGB514" s="332"/>
      <c r="CGC514" s="332"/>
      <c r="CGD514" s="332"/>
      <c r="CGE514" s="332"/>
      <c r="CGF514" s="332"/>
      <c r="CGG514" s="332"/>
      <c r="CGH514" s="332"/>
      <c r="CGI514" s="332"/>
      <c r="CGJ514" s="332"/>
      <c r="CGK514" s="332"/>
      <c r="CGL514" s="332"/>
      <c r="CGM514" s="332"/>
      <c r="CGN514" s="332"/>
      <c r="CGO514" s="332"/>
      <c r="CGP514" s="332"/>
      <c r="CGQ514" s="332"/>
      <c r="CGR514" s="332"/>
      <c r="CGS514" s="332"/>
      <c r="CGT514" s="332"/>
      <c r="CGU514" s="332"/>
      <c r="CGV514" s="332"/>
      <c r="CGW514" s="332"/>
      <c r="CGX514" s="332"/>
      <c r="CGY514" s="332"/>
      <c r="CGZ514" s="332"/>
      <c r="CHA514" s="332"/>
      <c r="CHB514" s="332"/>
      <c r="CHC514" s="332"/>
      <c r="CHD514" s="332"/>
      <c r="CHE514" s="332"/>
      <c r="CHF514" s="332"/>
      <c r="CHG514" s="332"/>
      <c r="CHH514" s="332"/>
      <c r="CHI514" s="332"/>
      <c r="CHJ514" s="332"/>
      <c r="CHK514" s="332"/>
      <c r="CHL514" s="332"/>
      <c r="CHM514" s="332"/>
      <c r="CHN514" s="332"/>
      <c r="CHO514" s="332"/>
      <c r="CHP514" s="332"/>
      <c r="CHQ514" s="332"/>
      <c r="CHR514" s="332"/>
      <c r="CHS514" s="332"/>
      <c r="CHT514" s="332"/>
      <c r="CHU514" s="332"/>
      <c r="CHV514" s="332"/>
      <c r="CHW514" s="332"/>
      <c r="CHX514" s="332"/>
      <c r="CHY514" s="332"/>
      <c r="CHZ514" s="332"/>
      <c r="CIA514" s="332"/>
      <c r="CIB514" s="332"/>
      <c r="CIC514" s="332"/>
      <c r="CID514" s="332"/>
      <c r="CIE514" s="332"/>
      <c r="CIF514" s="332"/>
      <c r="CIG514" s="332"/>
      <c r="CIH514" s="332"/>
      <c r="CII514" s="332"/>
      <c r="CIJ514" s="332"/>
      <c r="CIK514" s="332"/>
      <c r="CIL514" s="332"/>
      <c r="CIM514" s="332"/>
      <c r="CIN514" s="332"/>
      <c r="CIO514" s="332"/>
      <c r="CIP514" s="332"/>
      <c r="CIQ514" s="332"/>
      <c r="CIR514" s="332"/>
      <c r="CIS514" s="332"/>
      <c r="CIT514" s="332"/>
      <c r="CIU514" s="332"/>
      <c r="CIV514" s="332"/>
      <c r="CIW514" s="332"/>
      <c r="CIX514" s="332"/>
      <c r="CIY514" s="332"/>
      <c r="CIZ514" s="332"/>
      <c r="CJA514" s="332"/>
      <c r="CJB514" s="332"/>
      <c r="CJC514" s="332"/>
      <c r="CJD514" s="332"/>
      <c r="CJE514" s="332"/>
      <c r="CJF514" s="332"/>
      <c r="CJG514" s="332"/>
      <c r="CJH514" s="332"/>
      <c r="CJI514" s="332"/>
      <c r="CJJ514" s="332"/>
      <c r="CJK514" s="332"/>
      <c r="CJL514" s="332"/>
      <c r="CJM514" s="332"/>
      <c r="CJN514" s="332"/>
      <c r="CJO514" s="332"/>
      <c r="CJP514" s="332"/>
      <c r="CJQ514" s="332"/>
      <c r="CJR514" s="332"/>
      <c r="CJS514" s="332"/>
      <c r="CJT514" s="332"/>
      <c r="CJU514" s="332"/>
      <c r="CJV514" s="332"/>
      <c r="CJW514" s="332"/>
      <c r="CJX514" s="332"/>
      <c r="CJY514" s="332"/>
      <c r="CJZ514" s="332"/>
      <c r="CKA514" s="332"/>
      <c r="CKB514" s="332"/>
      <c r="CKC514" s="332"/>
      <c r="CKD514" s="332"/>
      <c r="CKE514" s="332"/>
      <c r="CKF514" s="332"/>
      <c r="CKG514" s="332"/>
      <c r="CKH514" s="332"/>
      <c r="CKI514" s="332"/>
      <c r="CKJ514" s="332"/>
      <c r="CKK514" s="332"/>
      <c r="CKL514" s="332"/>
      <c r="CKM514" s="332"/>
      <c r="CKN514" s="332"/>
      <c r="CKO514" s="332"/>
      <c r="CKP514" s="332"/>
      <c r="CKQ514" s="332"/>
      <c r="CKR514" s="332"/>
      <c r="CKS514" s="332"/>
      <c r="CKT514" s="332"/>
      <c r="CKU514" s="332"/>
      <c r="CKV514" s="332"/>
      <c r="CKW514" s="332"/>
      <c r="CKX514" s="332"/>
      <c r="CKY514" s="332"/>
      <c r="CKZ514" s="332"/>
      <c r="CLA514" s="332"/>
      <c r="CLB514" s="332"/>
      <c r="CLC514" s="332"/>
      <c r="CLD514" s="332"/>
      <c r="CLE514" s="332"/>
      <c r="CLF514" s="332"/>
      <c r="CLG514" s="332"/>
      <c r="CLH514" s="332"/>
      <c r="CLI514" s="332"/>
      <c r="CLJ514" s="332"/>
      <c r="CLK514" s="332"/>
      <c r="CLL514" s="332"/>
      <c r="CLM514" s="332"/>
      <c r="CLN514" s="332"/>
      <c r="CLO514" s="332"/>
      <c r="CLP514" s="332"/>
      <c r="CLQ514" s="332"/>
      <c r="CLR514" s="332"/>
      <c r="CLS514" s="332"/>
      <c r="CLT514" s="332"/>
      <c r="CLU514" s="332"/>
      <c r="CLV514" s="332"/>
      <c r="CLW514" s="332"/>
      <c r="CLX514" s="332"/>
      <c r="CLY514" s="332"/>
      <c r="CLZ514" s="332"/>
      <c r="CMA514" s="332"/>
      <c r="CMB514" s="332"/>
      <c r="CMC514" s="332"/>
      <c r="CMD514" s="332"/>
      <c r="CME514" s="332"/>
      <c r="CMF514" s="332"/>
      <c r="CMG514" s="332"/>
      <c r="CMH514" s="332"/>
      <c r="CMI514" s="332"/>
      <c r="CMJ514" s="332"/>
      <c r="CMK514" s="332"/>
      <c r="CML514" s="332"/>
      <c r="CMM514" s="332"/>
      <c r="CMN514" s="332"/>
      <c r="CMO514" s="332"/>
      <c r="CMP514" s="332"/>
      <c r="CMQ514" s="332"/>
      <c r="CMR514" s="332"/>
      <c r="CMS514" s="332"/>
      <c r="CMT514" s="332"/>
      <c r="CMU514" s="332"/>
      <c r="CMV514" s="332"/>
      <c r="CMW514" s="332"/>
      <c r="CMX514" s="332"/>
      <c r="CMY514" s="332"/>
      <c r="CMZ514" s="332"/>
      <c r="CNA514" s="332"/>
      <c r="CNB514" s="332"/>
      <c r="CNC514" s="332"/>
      <c r="CND514" s="332"/>
      <c r="CNE514" s="332"/>
      <c r="CNF514" s="332"/>
      <c r="CNG514" s="332"/>
      <c r="CNH514" s="332"/>
      <c r="CNI514" s="332"/>
      <c r="CNJ514" s="332"/>
      <c r="CNK514" s="332"/>
      <c r="CNL514" s="332"/>
      <c r="CNM514" s="332"/>
      <c r="CNN514" s="332"/>
      <c r="CNO514" s="332"/>
      <c r="CNP514" s="332"/>
      <c r="CNQ514" s="332"/>
      <c r="CNR514" s="332"/>
      <c r="CNS514" s="332"/>
      <c r="CNT514" s="332"/>
      <c r="CNU514" s="332"/>
      <c r="CNV514" s="332"/>
      <c r="CNW514" s="332"/>
      <c r="CNX514" s="332"/>
      <c r="CNY514" s="332"/>
      <c r="CNZ514" s="332"/>
      <c r="COA514" s="332"/>
      <c r="COB514" s="332"/>
      <c r="COC514" s="332"/>
      <c r="COD514" s="332"/>
      <c r="COE514" s="332"/>
      <c r="COF514" s="332"/>
      <c r="COG514" s="332"/>
      <c r="COH514" s="332"/>
      <c r="COI514" s="332"/>
      <c r="COJ514" s="332"/>
      <c r="COK514" s="332"/>
      <c r="COL514" s="332"/>
      <c r="COM514" s="332"/>
      <c r="CON514" s="332"/>
      <c r="COO514" s="332"/>
      <c r="COP514" s="332"/>
      <c r="COQ514" s="332"/>
      <c r="COR514" s="332"/>
      <c r="COS514" s="332"/>
      <c r="COT514" s="332"/>
      <c r="COU514" s="332"/>
      <c r="COV514" s="332"/>
      <c r="COW514" s="332"/>
      <c r="COX514" s="332"/>
      <c r="COY514" s="332"/>
      <c r="COZ514" s="332"/>
      <c r="CPA514" s="332"/>
      <c r="CPB514" s="332"/>
      <c r="CPC514" s="332"/>
      <c r="CPD514" s="332"/>
      <c r="CPE514" s="332"/>
      <c r="CPF514" s="332"/>
      <c r="CPG514" s="332"/>
      <c r="CPH514" s="332"/>
      <c r="CPI514" s="332"/>
      <c r="CPJ514" s="332"/>
      <c r="CPK514" s="332"/>
      <c r="CPL514" s="332"/>
      <c r="CPM514" s="332"/>
      <c r="CPN514" s="332"/>
      <c r="CPO514" s="332"/>
      <c r="CPP514" s="332"/>
      <c r="CPQ514" s="332"/>
      <c r="CPR514" s="332"/>
      <c r="CPS514" s="332"/>
      <c r="CPT514" s="332"/>
      <c r="CPU514" s="332"/>
      <c r="CPV514" s="332"/>
      <c r="CPW514" s="332"/>
      <c r="CPX514" s="332"/>
      <c r="CPY514" s="332"/>
      <c r="CPZ514" s="332"/>
      <c r="CQA514" s="332"/>
      <c r="CQB514" s="332"/>
      <c r="CQC514" s="332"/>
      <c r="CQD514" s="332"/>
      <c r="CQE514" s="332"/>
      <c r="CQF514" s="332"/>
      <c r="CQG514" s="332"/>
      <c r="CQH514" s="332"/>
      <c r="CQI514" s="332"/>
      <c r="CQJ514" s="332"/>
      <c r="CQK514" s="332"/>
      <c r="CQL514" s="332"/>
      <c r="CQM514" s="332"/>
      <c r="CQN514" s="332"/>
      <c r="CQO514" s="332"/>
      <c r="CQP514" s="332"/>
      <c r="CQQ514" s="332"/>
      <c r="CQR514" s="332"/>
      <c r="CQS514" s="332"/>
      <c r="CQT514" s="332"/>
      <c r="CQU514" s="332"/>
      <c r="CQV514" s="332"/>
      <c r="CQW514" s="332"/>
      <c r="CQX514" s="332"/>
      <c r="CQY514" s="332"/>
      <c r="CQZ514" s="332"/>
      <c r="CRA514" s="332"/>
      <c r="CRB514" s="332"/>
      <c r="CRC514" s="332"/>
      <c r="CRD514" s="332"/>
      <c r="CRE514" s="332"/>
      <c r="CRF514" s="332"/>
      <c r="CRG514" s="332"/>
      <c r="CRH514" s="332"/>
      <c r="CRI514" s="332"/>
      <c r="CRJ514" s="332"/>
      <c r="CRK514" s="332"/>
      <c r="CRL514" s="332"/>
      <c r="CRM514" s="332"/>
      <c r="CRN514" s="332"/>
      <c r="CRO514" s="332"/>
      <c r="CRP514" s="332"/>
      <c r="CRQ514" s="332"/>
      <c r="CRR514" s="332"/>
      <c r="CRS514" s="332"/>
      <c r="CRT514" s="332"/>
      <c r="CRU514" s="332"/>
      <c r="CRV514" s="332"/>
      <c r="CRW514" s="332"/>
      <c r="CRX514" s="332"/>
      <c r="CRY514" s="332"/>
      <c r="CRZ514" s="332"/>
      <c r="CSA514" s="332"/>
      <c r="CSB514" s="332"/>
      <c r="CSC514" s="332"/>
      <c r="CSD514" s="332"/>
      <c r="CSE514" s="332"/>
      <c r="CSF514" s="332"/>
      <c r="CSG514" s="332"/>
      <c r="CSH514" s="332"/>
      <c r="CSI514" s="332"/>
      <c r="CSJ514" s="332"/>
      <c r="CSK514" s="332"/>
      <c r="CSL514" s="332"/>
      <c r="CSM514" s="332"/>
      <c r="CSN514" s="332"/>
      <c r="CSO514" s="332"/>
      <c r="CSP514" s="332"/>
      <c r="CSQ514" s="332"/>
      <c r="CSR514" s="332"/>
      <c r="CSS514" s="332"/>
      <c r="CST514" s="332"/>
      <c r="CSU514" s="332"/>
      <c r="CSV514" s="332"/>
      <c r="CSW514" s="332"/>
      <c r="CSX514" s="332"/>
      <c r="CSY514" s="332"/>
      <c r="CSZ514" s="332"/>
      <c r="CTA514" s="332"/>
      <c r="CTB514" s="332"/>
      <c r="CTC514" s="332"/>
      <c r="CTD514" s="332"/>
      <c r="CTE514" s="332"/>
      <c r="CTF514" s="332"/>
      <c r="CTG514" s="332"/>
      <c r="CTH514" s="332"/>
      <c r="CTI514" s="332"/>
      <c r="CTJ514" s="332"/>
      <c r="CTK514" s="332"/>
      <c r="CTL514" s="332"/>
      <c r="CTM514" s="332"/>
      <c r="CTN514" s="332"/>
      <c r="CTO514" s="332"/>
      <c r="CTP514" s="332"/>
      <c r="CTQ514" s="332"/>
      <c r="CTR514" s="332"/>
      <c r="CTS514" s="332"/>
      <c r="CTT514" s="332"/>
      <c r="CTU514" s="332"/>
      <c r="CTV514" s="332"/>
      <c r="CTW514" s="332"/>
      <c r="CTX514" s="332"/>
      <c r="CTY514" s="332"/>
      <c r="CTZ514" s="332"/>
      <c r="CUA514" s="332"/>
      <c r="CUB514" s="332"/>
      <c r="CUC514" s="332"/>
      <c r="CUD514" s="332"/>
      <c r="CUE514" s="332"/>
      <c r="CUF514" s="332"/>
      <c r="CUG514" s="332"/>
      <c r="CUH514" s="332"/>
      <c r="CUI514" s="332"/>
      <c r="CUJ514" s="332"/>
      <c r="CUK514" s="332"/>
      <c r="CUL514" s="332"/>
      <c r="CUM514" s="332"/>
      <c r="CUN514" s="332"/>
      <c r="CUO514" s="332"/>
      <c r="CUP514" s="332"/>
      <c r="CUQ514" s="332"/>
      <c r="CUR514" s="332"/>
      <c r="CUS514" s="332"/>
      <c r="CUT514" s="332"/>
      <c r="CUU514" s="332"/>
      <c r="CUV514" s="332"/>
      <c r="CUW514" s="332"/>
      <c r="CUX514" s="332"/>
      <c r="CUY514" s="332"/>
      <c r="CUZ514" s="332"/>
      <c r="CVA514" s="332"/>
      <c r="CVB514" s="332"/>
      <c r="CVC514" s="332"/>
      <c r="CVD514" s="332"/>
      <c r="CVE514" s="332"/>
      <c r="CVF514" s="332"/>
      <c r="CVG514" s="332"/>
      <c r="CVH514" s="332"/>
      <c r="CVI514" s="332"/>
      <c r="CVJ514" s="332"/>
      <c r="CVK514" s="332"/>
      <c r="CVL514" s="332"/>
      <c r="CVM514" s="332"/>
      <c r="CVN514" s="332"/>
      <c r="CVO514" s="332"/>
      <c r="CVP514" s="332"/>
      <c r="CVQ514" s="332"/>
      <c r="CVR514" s="332"/>
      <c r="CVS514" s="332"/>
      <c r="CVT514" s="332"/>
      <c r="CVU514" s="332"/>
      <c r="CVV514" s="332"/>
      <c r="CVW514" s="332"/>
      <c r="CVX514" s="332"/>
      <c r="CVY514" s="332"/>
      <c r="CVZ514" s="332"/>
      <c r="CWA514" s="332"/>
      <c r="CWB514" s="332"/>
      <c r="CWC514" s="332"/>
      <c r="CWD514" s="332"/>
      <c r="CWE514" s="332"/>
      <c r="CWF514" s="332"/>
      <c r="CWG514" s="332"/>
      <c r="CWH514" s="332"/>
      <c r="CWI514" s="332"/>
      <c r="CWJ514" s="332"/>
      <c r="CWK514" s="332"/>
      <c r="CWL514" s="332"/>
      <c r="CWM514" s="332"/>
      <c r="CWN514" s="332"/>
      <c r="CWO514" s="332"/>
      <c r="CWP514" s="332"/>
      <c r="CWQ514" s="332"/>
      <c r="CWR514" s="332"/>
      <c r="CWS514" s="332"/>
      <c r="CWT514" s="332"/>
      <c r="CWU514" s="332"/>
      <c r="CWV514" s="332"/>
      <c r="CWW514" s="332"/>
      <c r="CWX514" s="332"/>
      <c r="CWY514" s="332"/>
      <c r="CWZ514" s="332"/>
      <c r="CXA514" s="332"/>
      <c r="CXB514" s="332"/>
      <c r="CXC514" s="332"/>
      <c r="CXD514" s="332"/>
      <c r="CXE514" s="332"/>
      <c r="CXF514" s="332"/>
      <c r="CXG514" s="332"/>
      <c r="CXH514" s="332"/>
      <c r="CXI514" s="332"/>
      <c r="CXJ514" s="332"/>
      <c r="CXK514" s="332"/>
      <c r="CXL514" s="332"/>
      <c r="CXM514" s="332"/>
      <c r="CXN514" s="332"/>
      <c r="CXO514" s="332"/>
      <c r="CXP514" s="332"/>
      <c r="CXQ514" s="332"/>
      <c r="CXR514" s="332"/>
      <c r="CXS514" s="332"/>
      <c r="CXT514" s="332"/>
      <c r="CXU514" s="332"/>
      <c r="CXV514" s="332"/>
      <c r="CXW514" s="332"/>
      <c r="CXX514" s="332"/>
      <c r="CXY514" s="332"/>
      <c r="CXZ514" s="332"/>
      <c r="CYA514" s="332"/>
      <c r="CYB514" s="332"/>
      <c r="CYC514" s="332"/>
      <c r="CYD514" s="332"/>
      <c r="CYE514" s="332"/>
      <c r="CYF514" s="332"/>
      <c r="CYG514" s="332"/>
      <c r="CYH514" s="332"/>
      <c r="CYI514" s="332"/>
      <c r="CYJ514" s="332"/>
      <c r="CYK514" s="332"/>
      <c r="CYL514" s="332"/>
      <c r="CYM514" s="332"/>
      <c r="CYN514" s="332"/>
      <c r="CYO514" s="332"/>
      <c r="CYP514" s="332"/>
      <c r="CYQ514" s="332"/>
      <c r="CYR514" s="332"/>
      <c r="CYS514" s="332"/>
      <c r="CYT514" s="332"/>
      <c r="CYU514" s="332"/>
      <c r="CYV514" s="332"/>
      <c r="CYW514" s="332"/>
      <c r="CYX514" s="332"/>
      <c r="CYY514" s="332"/>
      <c r="CYZ514" s="332"/>
      <c r="CZA514" s="332"/>
      <c r="CZB514" s="332"/>
      <c r="CZC514" s="332"/>
      <c r="CZD514" s="332"/>
      <c r="CZE514" s="332"/>
      <c r="CZF514" s="332"/>
      <c r="CZG514" s="332"/>
      <c r="CZH514" s="332"/>
      <c r="CZI514" s="332"/>
      <c r="CZJ514" s="332"/>
      <c r="CZK514" s="332"/>
      <c r="CZL514" s="332"/>
      <c r="CZM514" s="332"/>
      <c r="CZN514" s="332"/>
      <c r="CZO514" s="332"/>
      <c r="CZP514" s="332"/>
      <c r="CZQ514" s="332"/>
      <c r="CZR514" s="332"/>
      <c r="CZS514" s="332"/>
      <c r="CZT514" s="332"/>
      <c r="CZU514" s="332"/>
      <c r="CZV514" s="332"/>
      <c r="CZW514" s="332"/>
      <c r="CZX514" s="332"/>
      <c r="CZY514" s="332"/>
      <c r="CZZ514" s="332"/>
      <c r="DAA514" s="332"/>
      <c r="DAB514" s="332"/>
      <c r="DAC514" s="332"/>
      <c r="DAD514" s="332"/>
      <c r="DAE514" s="332"/>
      <c r="DAF514" s="332"/>
      <c r="DAG514" s="332"/>
      <c r="DAH514" s="332"/>
      <c r="DAI514" s="332"/>
      <c r="DAJ514" s="332"/>
      <c r="DAK514" s="332"/>
      <c r="DAL514" s="332"/>
      <c r="DAM514" s="332"/>
      <c r="DAN514" s="332"/>
      <c r="DAO514" s="332"/>
      <c r="DAP514" s="332"/>
      <c r="DAQ514" s="332"/>
      <c r="DAR514" s="332"/>
      <c r="DAS514" s="332"/>
      <c r="DAT514" s="332"/>
      <c r="DAU514" s="332"/>
      <c r="DAV514" s="332"/>
      <c r="DAW514" s="332"/>
      <c r="DAX514" s="332"/>
      <c r="DAY514" s="332"/>
      <c r="DAZ514" s="332"/>
      <c r="DBA514" s="332"/>
      <c r="DBB514" s="332"/>
      <c r="DBC514" s="332"/>
      <c r="DBD514" s="332"/>
      <c r="DBE514" s="332"/>
      <c r="DBF514" s="332"/>
      <c r="DBG514" s="332"/>
      <c r="DBH514" s="332"/>
      <c r="DBI514" s="332"/>
      <c r="DBJ514" s="332"/>
      <c r="DBK514" s="332"/>
      <c r="DBL514" s="332"/>
      <c r="DBM514" s="332"/>
      <c r="DBN514" s="332"/>
      <c r="DBO514" s="332"/>
      <c r="DBP514" s="332"/>
      <c r="DBQ514" s="332"/>
      <c r="DBR514" s="332"/>
      <c r="DBS514" s="332"/>
      <c r="DBT514" s="332"/>
      <c r="DBU514" s="332"/>
      <c r="DBV514" s="332"/>
      <c r="DBW514" s="332"/>
      <c r="DBX514" s="332"/>
      <c r="DBY514" s="332"/>
      <c r="DBZ514" s="332"/>
      <c r="DCA514" s="332"/>
      <c r="DCB514" s="332"/>
      <c r="DCC514" s="332"/>
      <c r="DCD514" s="332"/>
      <c r="DCE514" s="332"/>
      <c r="DCF514" s="332"/>
      <c r="DCG514" s="332"/>
      <c r="DCH514" s="332"/>
      <c r="DCI514" s="332"/>
      <c r="DCJ514" s="332"/>
      <c r="DCK514" s="332"/>
      <c r="DCL514" s="332"/>
      <c r="DCM514" s="332"/>
      <c r="DCN514" s="332"/>
      <c r="DCO514" s="332"/>
      <c r="DCP514" s="332"/>
      <c r="DCQ514" s="332"/>
      <c r="DCR514" s="332"/>
      <c r="DCS514" s="332"/>
      <c r="DCT514" s="332"/>
      <c r="DCU514" s="332"/>
      <c r="DCV514" s="332"/>
      <c r="DCW514" s="332"/>
      <c r="DCX514" s="332"/>
      <c r="DCY514" s="332"/>
      <c r="DCZ514" s="332"/>
      <c r="DDA514" s="332"/>
      <c r="DDB514" s="332"/>
      <c r="DDC514" s="332"/>
      <c r="DDD514" s="332"/>
      <c r="DDE514" s="332"/>
      <c r="DDF514" s="332"/>
      <c r="DDG514" s="332"/>
      <c r="DDH514" s="332"/>
      <c r="DDI514" s="332"/>
      <c r="DDJ514" s="332"/>
      <c r="DDK514" s="332"/>
      <c r="DDL514" s="332"/>
      <c r="DDM514" s="332"/>
      <c r="DDN514" s="332"/>
      <c r="DDO514" s="332"/>
      <c r="DDP514" s="332"/>
      <c r="DDQ514" s="332"/>
      <c r="DDR514" s="332"/>
      <c r="DDS514" s="332"/>
      <c r="DDT514" s="332"/>
      <c r="DDU514" s="332"/>
      <c r="DDV514" s="332"/>
      <c r="DDW514" s="332"/>
      <c r="DDX514" s="332"/>
      <c r="DDY514" s="332"/>
      <c r="DDZ514" s="332"/>
      <c r="DEA514" s="332"/>
      <c r="DEB514" s="332"/>
      <c r="DEC514" s="332"/>
      <c r="DED514" s="332"/>
      <c r="DEE514" s="332"/>
      <c r="DEF514" s="332"/>
      <c r="DEG514" s="332"/>
      <c r="DEH514" s="332"/>
      <c r="DEI514" s="332"/>
      <c r="DEJ514" s="332"/>
      <c r="DEK514" s="332"/>
      <c r="DEL514" s="332"/>
      <c r="DEM514" s="332"/>
      <c r="DEN514" s="332"/>
      <c r="DEO514" s="332"/>
      <c r="DEP514" s="332"/>
      <c r="DEQ514" s="332"/>
      <c r="DER514" s="332"/>
      <c r="DES514" s="332"/>
      <c r="DET514" s="332"/>
      <c r="DEU514" s="332"/>
      <c r="DEV514" s="332"/>
      <c r="DEW514" s="332"/>
      <c r="DEX514" s="332"/>
      <c r="DEY514" s="332"/>
      <c r="DEZ514" s="332"/>
      <c r="DFA514" s="332"/>
      <c r="DFB514" s="332"/>
      <c r="DFC514" s="332"/>
      <c r="DFD514" s="332"/>
      <c r="DFE514" s="332"/>
      <c r="DFF514" s="332"/>
      <c r="DFG514" s="332"/>
      <c r="DFH514" s="332"/>
      <c r="DFI514" s="332"/>
      <c r="DFJ514" s="332"/>
      <c r="DFK514" s="332"/>
      <c r="DFL514" s="332"/>
      <c r="DFM514" s="332"/>
      <c r="DFN514" s="332"/>
      <c r="DFO514" s="332"/>
      <c r="DFP514" s="332"/>
      <c r="DFQ514" s="332"/>
      <c r="DFR514" s="332"/>
      <c r="DFS514" s="332"/>
      <c r="DFT514" s="332"/>
      <c r="DFU514" s="332"/>
      <c r="DFV514" s="332"/>
      <c r="DFW514" s="332"/>
      <c r="DFX514" s="332"/>
      <c r="DFY514" s="332"/>
      <c r="DFZ514" s="332"/>
      <c r="DGA514" s="332"/>
      <c r="DGB514" s="332"/>
      <c r="DGC514" s="332"/>
      <c r="DGD514" s="332"/>
      <c r="DGE514" s="332"/>
      <c r="DGF514" s="332"/>
      <c r="DGG514" s="332"/>
      <c r="DGH514" s="332"/>
      <c r="DGI514" s="332"/>
      <c r="DGJ514" s="332"/>
      <c r="DGK514" s="332"/>
      <c r="DGL514" s="332"/>
      <c r="DGM514" s="332"/>
      <c r="DGN514" s="332"/>
      <c r="DGO514" s="332"/>
      <c r="DGP514" s="332"/>
      <c r="DGQ514" s="332"/>
      <c r="DGR514" s="332"/>
      <c r="DGS514" s="332"/>
      <c r="DGT514" s="332"/>
      <c r="DGU514" s="332"/>
      <c r="DGV514" s="332"/>
      <c r="DGW514" s="332"/>
      <c r="DGX514" s="332"/>
      <c r="DGY514" s="332"/>
      <c r="DGZ514" s="332"/>
      <c r="DHA514" s="332"/>
      <c r="DHB514" s="332"/>
      <c r="DHC514" s="332"/>
      <c r="DHD514" s="332"/>
      <c r="DHE514" s="332"/>
      <c r="DHF514" s="332"/>
      <c r="DHG514" s="332"/>
      <c r="DHH514" s="332"/>
      <c r="DHI514" s="332"/>
      <c r="DHJ514" s="332"/>
      <c r="DHK514" s="332"/>
      <c r="DHL514" s="332"/>
      <c r="DHM514" s="332"/>
      <c r="DHN514" s="332"/>
      <c r="DHO514" s="332"/>
      <c r="DHP514" s="332"/>
      <c r="DHQ514" s="332"/>
      <c r="DHR514" s="332"/>
      <c r="DHS514" s="332"/>
      <c r="DHT514" s="332"/>
      <c r="DHU514" s="332"/>
      <c r="DHV514" s="332"/>
      <c r="DHW514" s="332"/>
      <c r="DHX514" s="332"/>
      <c r="DHY514" s="332"/>
      <c r="DHZ514" s="332"/>
      <c r="DIA514" s="332"/>
      <c r="DIB514" s="332"/>
      <c r="DIC514" s="332"/>
      <c r="DID514" s="332"/>
      <c r="DIE514" s="332"/>
      <c r="DIF514" s="332"/>
      <c r="DIG514" s="332"/>
      <c r="DIH514" s="332"/>
      <c r="DII514" s="332"/>
      <c r="DIJ514" s="332"/>
      <c r="DIK514" s="332"/>
      <c r="DIL514" s="332"/>
      <c r="DIM514" s="332"/>
      <c r="DIN514" s="332"/>
      <c r="DIO514" s="332"/>
      <c r="DIP514" s="332"/>
      <c r="DIQ514" s="332"/>
      <c r="DIR514" s="332"/>
      <c r="DIS514" s="332"/>
      <c r="DIT514" s="332"/>
      <c r="DIU514" s="332"/>
      <c r="DIV514" s="332"/>
      <c r="DIW514" s="332"/>
      <c r="DIX514" s="332"/>
      <c r="DIY514" s="332"/>
      <c r="DIZ514" s="332"/>
      <c r="DJA514" s="332"/>
      <c r="DJB514" s="332"/>
      <c r="DJC514" s="332"/>
      <c r="DJD514" s="332"/>
      <c r="DJE514" s="332"/>
      <c r="DJF514" s="332"/>
      <c r="DJG514" s="332"/>
      <c r="DJH514" s="332"/>
      <c r="DJI514" s="332"/>
      <c r="DJJ514" s="332"/>
      <c r="DJK514" s="332"/>
      <c r="DJL514" s="332"/>
      <c r="DJM514" s="332"/>
      <c r="DJN514" s="332"/>
      <c r="DJO514" s="332"/>
      <c r="DJP514" s="332"/>
      <c r="DJQ514" s="332"/>
      <c r="DJR514" s="332"/>
      <c r="DJS514" s="332"/>
      <c r="DJT514" s="332"/>
      <c r="DJU514" s="332"/>
      <c r="DJV514" s="332"/>
      <c r="DJW514" s="332"/>
      <c r="DJX514" s="332"/>
      <c r="DJY514" s="332"/>
      <c r="DJZ514" s="332"/>
      <c r="DKA514" s="332"/>
      <c r="DKB514" s="332"/>
      <c r="DKC514" s="332"/>
      <c r="DKD514" s="332"/>
      <c r="DKE514" s="332"/>
      <c r="DKF514" s="332"/>
      <c r="DKG514" s="332"/>
      <c r="DKH514" s="332"/>
      <c r="DKI514" s="332"/>
      <c r="DKJ514" s="332"/>
      <c r="DKK514" s="332"/>
      <c r="DKL514" s="332"/>
      <c r="DKM514" s="332"/>
      <c r="DKN514" s="332"/>
      <c r="DKO514" s="332"/>
      <c r="DKP514" s="332"/>
      <c r="DKQ514" s="332"/>
      <c r="DKR514" s="332"/>
      <c r="DKS514" s="332"/>
      <c r="DKT514" s="332"/>
      <c r="DKU514" s="332"/>
      <c r="DKV514" s="332"/>
      <c r="DKW514" s="332"/>
      <c r="DKX514" s="332"/>
      <c r="DKY514" s="332"/>
      <c r="DKZ514" s="332"/>
      <c r="DLA514" s="332"/>
      <c r="DLB514" s="332"/>
      <c r="DLC514" s="332"/>
      <c r="DLD514" s="332"/>
      <c r="DLE514" s="332"/>
      <c r="DLF514" s="332"/>
      <c r="DLG514" s="332"/>
      <c r="DLH514" s="332"/>
      <c r="DLI514" s="332"/>
      <c r="DLJ514" s="332"/>
      <c r="DLK514" s="332"/>
      <c r="DLL514" s="332"/>
      <c r="DLM514" s="332"/>
      <c r="DLN514" s="332"/>
      <c r="DLO514" s="332"/>
      <c r="DLP514" s="332"/>
      <c r="DLQ514" s="332"/>
      <c r="DLR514" s="332"/>
      <c r="DLS514" s="332"/>
      <c r="DLT514" s="332"/>
      <c r="DLU514" s="332"/>
      <c r="DLV514" s="332"/>
      <c r="DLW514" s="332"/>
      <c r="DLX514" s="332"/>
      <c r="DLY514" s="332"/>
      <c r="DLZ514" s="332"/>
      <c r="DMA514" s="332"/>
      <c r="DMB514" s="332"/>
      <c r="DMC514" s="332"/>
      <c r="DMD514" s="332"/>
      <c r="DME514" s="332"/>
      <c r="DMF514" s="332"/>
      <c r="DMG514" s="332"/>
      <c r="DMH514" s="332"/>
      <c r="DMI514" s="332"/>
      <c r="DMJ514" s="332"/>
      <c r="DMK514" s="332"/>
      <c r="DML514" s="332"/>
      <c r="DMM514" s="332"/>
      <c r="DMN514" s="332"/>
      <c r="DMO514" s="332"/>
      <c r="DMP514" s="332"/>
      <c r="DMQ514" s="332"/>
      <c r="DMR514" s="332"/>
      <c r="DMS514" s="332"/>
      <c r="DMT514" s="332"/>
      <c r="DMU514" s="332"/>
      <c r="DMV514" s="332"/>
      <c r="DMW514" s="332"/>
      <c r="DMX514" s="332"/>
      <c r="DMY514" s="332"/>
      <c r="DMZ514" s="332"/>
      <c r="DNA514" s="332"/>
      <c r="DNB514" s="332"/>
      <c r="DNC514" s="332"/>
      <c r="DND514" s="332"/>
      <c r="DNE514" s="332"/>
      <c r="DNF514" s="332"/>
      <c r="DNG514" s="332"/>
      <c r="DNH514" s="332"/>
      <c r="DNI514" s="332"/>
      <c r="DNJ514" s="332"/>
      <c r="DNK514" s="332"/>
      <c r="DNL514" s="332"/>
      <c r="DNM514" s="332"/>
      <c r="DNN514" s="332"/>
      <c r="DNO514" s="332"/>
      <c r="DNP514" s="332"/>
      <c r="DNQ514" s="332"/>
      <c r="DNR514" s="332"/>
      <c r="DNS514" s="332"/>
      <c r="DNT514" s="332"/>
      <c r="DNU514" s="332"/>
      <c r="DNV514" s="332"/>
      <c r="DNW514" s="332"/>
      <c r="DNX514" s="332"/>
      <c r="DNY514" s="332"/>
      <c r="DNZ514" s="332"/>
      <c r="DOA514" s="332"/>
      <c r="DOB514" s="332"/>
      <c r="DOC514" s="332"/>
      <c r="DOD514" s="332"/>
      <c r="DOE514" s="332"/>
      <c r="DOF514" s="332"/>
      <c r="DOG514" s="332"/>
      <c r="DOH514" s="332"/>
      <c r="DOI514" s="332"/>
      <c r="DOJ514" s="332"/>
      <c r="DOK514" s="332"/>
      <c r="DOL514" s="332"/>
      <c r="DOM514" s="332"/>
      <c r="DON514" s="332"/>
      <c r="DOO514" s="332"/>
      <c r="DOP514" s="332"/>
      <c r="DOQ514" s="332"/>
      <c r="DOR514" s="332"/>
      <c r="DOS514" s="332"/>
      <c r="DOT514" s="332"/>
      <c r="DOU514" s="332"/>
      <c r="DOV514" s="332"/>
      <c r="DOW514" s="332"/>
      <c r="DOX514" s="332"/>
      <c r="DOY514" s="332"/>
      <c r="DOZ514" s="332"/>
      <c r="DPA514" s="332"/>
      <c r="DPB514" s="332"/>
      <c r="DPC514" s="332"/>
      <c r="DPD514" s="332"/>
      <c r="DPE514" s="332"/>
      <c r="DPF514" s="332"/>
      <c r="DPG514" s="332"/>
      <c r="DPH514" s="332"/>
      <c r="DPI514" s="332"/>
      <c r="DPJ514" s="332"/>
      <c r="DPK514" s="332"/>
      <c r="DPL514" s="332"/>
      <c r="DPM514" s="332"/>
      <c r="DPN514" s="332"/>
      <c r="DPO514" s="332"/>
      <c r="DPP514" s="332"/>
      <c r="DPQ514" s="332"/>
      <c r="DPR514" s="332"/>
      <c r="DPS514" s="332"/>
      <c r="DPT514" s="332"/>
      <c r="DPU514" s="332"/>
      <c r="DPV514" s="332"/>
      <c r="DPW514" s="332"/>
      <c r="DPX514" s="332"/>
      <c r="DPY514" s="332"/>
      <c r="DPZ514" s="332"/>
      <c r="DQA514" s="332"/>
      <c r="DQB514" s="332"/>
      <c r="DQC514" s="332"/>
      <c r="DQD514" s="332"/>
      <c r="DQE514" s="332"/>
      <c r="DQF514" s="332"/>
      <c r="DQG514" s="332"/>
      <c r="DQH514" s="332"/>
      <c r="DQI514" s="332"/>
      <c r="DQJ514" s="332"/>
      <c r="DQK514" s="332"/>
      <c r="DQL514" s="332"/>
      <c r="DQM514" s="332"/>
      <c r="DQN514" s="332"/>
      <c r="DQO514" s="332"/>
      <c r="DQP514" s="332"/>
      <c r="DQQ514" s="332"/>
      <c r="DQR514" s="332"/>
      <c r="DQS514" s="332"/>
      <c r="DQT514" s="332"/>
      <c r="DQU514" s="332"/>
      <c r="DQV514" s="332"/>
      <c r="DQW514" s="332"/>
      <c r="DQX514" s="332"/>
      <c r="DQY514" s="332"/>
      <c r="DQZ514" s="332"/>
      <c r="DRA514" s="332"/>
      <c r="DRB514" s="332"/>
      <c r="DRC514" s="332"/>
      <c r="DRD514" s="332"/>
      <c r="DRE514" s="332"/>
      <c r="DRF514" s="332"/>
      <c r="DRG514" s="332"/>
      <c r="DRH514" s="332"/>
      <c r="DRI514" s="332"/>
      <c r="DRJ514" s="332"/>
      <c r="DRK514" s="332"/>
      <c r="DRL514" s="332"/>
      <c r="DRM514" s="332"/>
      <c r="DRN514" s="332"/>
      <c r="DRO514" s="332"/>
      <c r="DRP514" s="332"/>
      <c r="DRQ514" s="332"/>
      <c r="DRR514" s="332"/>
      <c r="DRS514" s="332"/>
      <c r="DRT514" s="332"/>
      <c r="DRU514" s="332"/>
      <c r="DRV514" s="332"/>
      <c r="DRW514" s="332"/>
      <c r="DRX514" s="332"/>
      <c r="DRY514" s="332"/>
      <c r="DRZ514" s="332"/>
      <c r="DSA514" s="332"/>
      <c r="DSB514" s="332"/>
      <c r="DSC514" s="332"/>
      <c r="DSD514" s="332"/>
      <c r="DSE514" s="332"/>
      <c r="DSF514" s="332"/>
      <c r="DSG514" s="332"/>
      <c r="DSH514" s="332"/>
      <c r="DSI514" s="332"/>
      <c r="DSJ514" s="332"/>
      <c r="DSK514" s="332"/>
      <c r="DSL514" s="332"/>
      <c r="DSM514" s="332"/>
      <c r="DSN514" s="332"/>
      <c r="DSO514" s="332"/>
      <c r="DSP514" s="332"/>
      <c r="DSQ514" s="332"/>
      <c r="DSR514" s="332"/>
      <c r="DSS514" s="332"/>
      <c r="DST514" s="332"/>
      <c r="DSU514" s="332"/>
      <c r="DSV514" s="332"/>
      <c r="DSW514" s="332"/>
      <c r="DSX514" s="332"/>
      <c r="DSY514" s="332"/>
      <c r="DSZ514" s="332"/>
      <c r="DTA514" s="332"/>
      <c r="DTB514" s="332"/>
      <c r="DTC514" s="332"/>
      <c r="DTD514" s="332"/>
      <c r="DTE514" s="332"/>
      <c r="DTF514" s="332"/>
      <c r="DTG514" s="332"/>
      <c r="DTH514" s="332"/>
      <c r="DTI514" s="332"/>
      <c r="DTJ514" s="332"/>
      <c r="DTK514" s="332"/>
      <c r="DTL514" s="332"/>
      <c r="DTM514" s="332"/>
      <c r="DTN514" s="332"/>
      <c r="DTO514" s="332"/>
      <c r="DTP514" s="332"/>
      <c r="DTQ514" s="332"/>
      <c r="DTR514" s="332"/>
      <c r="DTS514" s="332"/>
      <c r="DTT514" s="332"/>
      <c r="DTU514" s="332"/>
      <c r="DTV514" s="332"/>
      <c r="DTW514" s="332"/>
      <c r="DTX514" s="332"/>
      <c r="DTY514" s="332"/>
      <c r="DTZ514" s="332"/>
      <c r="DUA514" s="332"/>
      <c r="DUB514" s="332"/>
      <c r="DUC514" s="332"/>
      <c r="DUD514" s="332"/>
      <c r="DUE514" s="332"/>
      <c r="DUF514" s="332"/>
      <c r="DUG514" s="332"/>
      <c r="DUH514" s="332"/>
      <c r="DUI514" s="332"/>
      <c r="DUJ514" s="332"/>
      <c r="DUK514" s="332"/>
      <c r="DUL514" s="332"/>
      <c r="DUM514" s="332"/>
      <c r="DUN514" s="332"/>
      <c r="DUO514" s="332"/>
      <c r="DUP514" s="332"/>
      <c r="DUQ514" s="332"/>
      <c r="DUR514" s="332"/>
      <c r="DUS514" s="332"/>
      <c r="DUT514" s="332"/>
      <c r="DUU514" s="332"/>
      <c r="DUV514" s="332"/>
      <c r="DUW514" s="332"/>
      <c r="DUX514" s="332"/>
      <c r="DUY514" s="332"/>
      <c r="DUZ514" s="332"/>
      <c r="DVA514" s="332"/>
      <c r="DVB514" s="332"/>
      <c r="DVC514" s="332"/>
      <c r="DVD514" s="332"/>
      <c r="DVE514" s="332"/>
      <c r="DVF514" s="332"/>
      <c r="DVG514" s="332"/>
      <c r="DVH514" s="332"/>
      <c r="DVI514" s="332"/>
      <c r="DVJ514" s="332"/>
      <c r="DVK514" s="332"/>
      <c r="DVL514" s="332"/>
      <c r="DVM514" s="332"/>
      <c r="DVN514" s="332"/>
      <c r="DVO514" s="332"/>
      <c r="DVP514" s="332"/>
      <c r="DVQ514" s="332"/>
      <c r="DVR514" s="332"/>
      <c r="DVS514" s="332"/>
      <c r="DVT514" s="332"/>
      <c r="DVU514" s="332"/>
      <c r="DVV514" s="332"/>
      <c r="DVW514" s="332"/>
      <c r="DVX514" s="332"/>
      <c r="DVY514" s="332"/>
      <c r="DVZ514" s="332"/>
      <c r="DWA514" s="332"/>
      <c r="DWB514" s="332"/>
      <c r="DWC514" s="332"/>
      <c r="DWD514" s="332"/>
      <c r="DWE514" s="332"/>
      <c r="DWF514" s="332"/>
      <c r="DWG514" s="332"/>
      <c r="DWH514" s="332"/>
      <c r="DWI514" s="332"/>
      <c r="DWJ514" s="332"/>
      <c r="DWK514" s="332"/>
      <c r="DWL514" s="332"/>
      <c r="DWM514" s="332"/>
      <c r="DWN514" s="332"/>
      <c r="DWO514" s="332"/>
      <c r="DWP514" s="332"/>
      <c r="DWQ514" s="332"/>
      <c r="DWR514" s="332"/>
      <c r="DWS514" s="332"/>
      <c r="DWT514" s="332"/>
      <c r="DWU514" s="332"/>
      <c r="DWV514" s="332"/>
      <c r="DWW514" s="332"/>
      <c r="DWX514" s="332"/>
      <c r="DWY514" s="332"/>
      <c r="DWZ514" s="332"/>
      <c r="DXA514" s="332"/>
      <c r="DXB514" s="332"/>
      <c r="DXC514" s="332"/>
      <c r="DXD514" s="332"/>
      <c r="DXE514" s="332"/>
      <c r="DXF514" s="332"/>
      <c r="DXG514" s="332"/>
      <c r="DXH514" s="332"/>
      <c r="DXI514" s="332"/>
      <c r="DXJ514" s="332"/>
      <c r="DXK514" s="332"/>
      <c r="DXL514" s="332"/>
      <c r="DXM514" s="332"/>
      <c r="DXN514" s="332"/>
      <c r="DXO514" s="332"/>
      <c r="DXP514" s="332"/>
      <c r="DXQ514" s="332"/>
      <c r="DXR514" s="332"/>
      <c r="DXS514" s="332"/>
      <c r="DXT514" s="332"/>
      <c r="DXU514" s="332"/>
      <c r="DXV514" s="332"/>
      <c r="DXW514" s="332"/>
      <c r="DXX514" s="332"/>
      <c r="DXY514" s="332"/>
      <c r="DXZ514" s="332"/>
      <c r="DYA514" s="332"/>
      <c r="DYB514" s="332"/>
      <c r="DYC514" s="332"/>
      <c r="DYD514" s="332"/>
      <c r="DYE514" s="332"/>
      <c r="DYF514" s="332"/>
      <c r="DYG514" s="332"/>
      <c r="DYH514" s="332"/>
      <c r="DYI514" s="332"/>
      <c r="DYJ514" s="332"/>
      <c r="DYK514" s="332"/>
      <c r="DYL514" s="332"/>
      <c r="DYM514" s="332"/>
      <c r="DYN514" s="332"/>
      <c r="DYO514" s="332"/>
      <c r="DYP514" s="332"/>
      <c r="DYQ514" s="332"/>
      <c r="DYR514" s="332"/>
      <c r="DYS514" s="332"/>
      <c r="DYT514" s="332"/>
      <c r="DYU514" s="332"/>
      <c r="DYV514" s="332"/>
      <c r="DYW514" s="332"/>
      <c r="DYX514" s="332"/>
      <c r="DYY514" s="332"/>
      <c r="DYZ514" s="332"/>
      <c r="DZA514" s="332"/>
      <c r="DZB514" s="332"/>
      <c r="DZC514" s="332"/>
      <c r="DZD514" s="332"/>
      <c r="DZE514" s="332"/>
      <c r="DZF514" s="332"/>
      <c r="DZG514" s="332"/>
      <c r="DZH514" s="332"/>
      <c r="DZI514" s="332"/>
      <c r="DZJ514" s="332"/>
      <c r="DZK514" s="332"/>
      <c r="DZL514" s="332"/>
      <c r="DZM514" s="332"/>
      <c r="DZN514" s="332"/>
      <c r="DZO514" s="332"/>
      <c r="DZP514" s="332"/>
      <c r="DZQ514" s="332"/>
      <c r="DZR514" s="332"/>
      <c r="DZS514" s="332"/>
      <c r="DZT514" s="332"/>
      <c r="DZU514" s="332"/>
      <c r="DZV514" s="332"/>
      <c r="DZW514" s="332"/>
      <c r="DZX514" s="332"/>
      <c r="DZY514" s="332"/>
      <c r="DZZ514" s="332"/>
      <c r="EAA514" s="332"/>
      <c r="EAB514" s="332"/>
      <c r="EAC514" s="332"/>
      <c r="EAD514" s="332"/>
      <c r="EAE514" s="332"/>
      <c r="EAF514" s="332"/>
      <c r="EAG514" s="332"/>
      <c r="EAH514" s="332"/>
      <c r="EAI514" s="332"/>
      <c r="EAJ514" s="332"/>
      <c r="EAK514" s="332"/>
      <c r="EAL514" s="332"/>
      <c r="EAM514" s="332"/>
      <c r="EAN514" s="332"/>
      <c r="EAO514" s="332"/>
      <c r="EAP514" s="332"/>
      <c r="EAQ514" s="332"/>
      <c r="EAR514" s="332"/>
      <c r="EAS514" s="332"/>
      <c r="EAT514" s="332"/>
      <c r="EAU514" s="332"/>
      <c r="EAV514" s="332"/>
      <c r="EAW514" s="332"/>
      <c r="EAX514" s="332"/>
      <c r="EAY514" s="332"/>
      <c r="EAZ514" s="332"/>
      <c r="EBA514" s="332"/>
      <c r="EBB514" s="332"/>
      <c r="EBC514" s="332"/>
      <c r="EBD514" s="332"/>
      <c r="EBE514" s="332"/>
      <c r="EBF514" s="332"/>
      <c r="EBG514" s="332"/>
      <c r="EBH514" s="332"/>
      <c r="EBI514" s="332"/>
      <c r="EBJ514" s="332"/>
      <c r="EBK514" s="332"/>
      <c r="EBL514" s="332"/>
      <c r="EBM514" s="332"/>
      <c r="EBN514" s="332"/>
      <c r="EBO514" s="332"/>
      <c r="EBP514" s="332"/>
      <c r="EBQ514" s="332"/>
      <c r="EBR514" s="332"/>
      <c r="EBS514" s="332"/>
      <c r="EBT514" s="332"/>
      <c r="EBU514" s="332"/>
      <c r="EBV514" s="332"/>
      <c r="EBW514" s="332"/>
      <c r="EBX514" s="332"/>
      <c r="EBY514" s="332"/>
      <c r="EBZ514" s="332"/>
      <c r="ECA514" s="332"/>
      <c r="ECB514" s="332"/>
      <c r="ECC514" s="332"/>
      <c r="ECD514" s="332"/>
      <c r="ECE514" s="332"/>
      <c r="ECF514" s="332"/>
      <c r="ECG514" s="332"/>
      <c r="ECH514" s="332"/>
      <c r="ECI514" s="332"/>
      <c r="ECJ514" s="332"/>
      <c r="ECK514" s="332"/>
      <c r="ECL514" s="332"/>
      <c r="ECM514" s="332"/>
      <c r="ECN514" s="332"/>
      <c r="ECO514" s="332"/>
      <c r="ECP514" s="332"/>
      <c r="ECQ514" s="332"/>
      <c r="ECR514" s="332"/>
      <c r="ECS514" s="332"/>
      <c r="ECT514" s="332"/>
      <c r="ECU514" s="332"/>
      <c r="ECV514" s="332"/>
      <c r="ECW514" s="332"/>
      <c r="ECX514" s="332"/>
      <c r="ECY514" s="332"/>
      <c r="ECZ514" s="332"/>
      <c r="EDA514" s="332"/>
      <c r="EDB514" s="332"/>
      <c r="EDC514" s="332"/>
      <c r="EDD514" s="332"/>
      <c r="EDE514" s="332"/>
      <c r="EDF514" s="332"/>
      <c r="EDG514" s="332"/>
      <c r="EDH514" s="332"/>
      <c r="EDI514" s="332"/>
      <c r="EDJ514" s="332"/>
      <c r="EDK514" s="332"/>
      <c r="EDL514" s="332"/>
      <c r="EDM514" s="332"/>
      <c r="EDN514" s="332"/>
      <c r="EDO514" s="332"/>
      <c r="EDP514" s="332"/>
      <c r="EDQ514" s="332"/>
      <c r="EDR514" s="332"/>
      <c r="EDS514" s="332"/>
      <c r="EDT514" s="332"/>
      <c r="EDU514" s="332"/>
      <c r="EDV514" s="332"/>
      <c r="EDW514" s="332"/>
      <c r="EDX514" s="332"/>
      <c r="EDY514" s="332"/>
      <c r="EDZ514" s="332"/>
      <c r="EEA514" s="332"/>
      <c r="EEB514" s="332"/>
      <c r="EEC514" s="332"/>
      <c r="EED514" s="332"/>
      <c r="EEE514" s="332"/>
      <c r="EEF514" s="332"/>
      <c r="EEG514" s="332"/>
      <c r="EEH514" s="332"/>
      <c r="EEI514" s="332"/>
      <c r="EEJ514" s="332"/>
      <c r="EEK514" s="332"/>
      <c r="EEL514" s="332"/>
      <c r="EEM514" s="332"/>
      <c r="EEN514" s="332"/>
      <c r="EEO514" s="332"/>
      <c r="EEP514" s="332"/>
      <c r="EEQ514" s="332"/>
      <c r="EER514" s="332"/>
      <c r="EES514" s="332"/>
      <c r="EET514" s="332"/>
      <c r="EEU514" s="332"/>
      <c r="EEV514" s="332"/>
      <c r="EEW514" s="332"/>
      <c r="EEX514" s="332"/>
      <c r="EEY514" s="332"/>
      <c r="EEZ514" s="332"/>
      <c r="EFA514" s="332"/>
      <c r="EFB514" s="332"/>
      <c r="EFC514" s="332"/>
      <c r="EFD514" s="332"/>
      <c r="EFE514" s="332"/>
      <c r="EFF514" s="332"/>
      <c r="EFG514" s="332"/>
      <c r="EFH514" s="332"/>
      <c r="EFI514" s="332"/>
      <c r="EFJ514" s="332"/>
      <c r="EFK514" s="332"/>
      <c r="EFL514" s="332"/>
      <c r="EFM514" s="332"/>
      <c r="EFN514" s="332"/>
      <c r="EFO514" s="332"/>
      <c r="EFP514" s="332"/>
      <c r="EFQ514" s="332"/>
      <c r="EFR514" s="332"/>
      <c r="EFS514" s="332"/>
      <c r="EFT514" s="332"/>
      <c r="EFU514" s="332"/>
      <c r="EFV514" s="332"/>
      <c r="EFW514" s="332"/>
      <c r="EFX514" s="332"/>
      <c r="EFY514" s="332"/>
      <c r="EFZ514" s="332"/>
      <c r="EGA514" s="332"/>
      <c r="EGB514" s="332"/>
      <c r="EGC514" s="332"/>
      <c r="EGD514" s="332"/>
      <c r="EGE514" s="332"/>
      <c r="EGF514" s="332"/>
      <c r="EGG514" s="332"/>
      <c r="EGH514" s="332"/>
      <c r="EGI514" s="332"/>
      <c r="EGJ514" s="332"/>
      <c r="EGK514" s="332"/>
      <c r="EGL514" s="332"/>
      <c r="EGM514" s="332"/>
      <c r="EGN514" s="332"/>
      <c r="EGO514" s="332"/>
      <c r="EGP514" s="332"/>
      <c r="EGQ514" s="332"/>
      <c r="EGR514" s="332"/>
      <c r="EGS514" s="332"/>
      <c r="EGT514" s="332"/>
      <c r="EGU514" s="332"/>
      <c r="EGV514" s="332"/>
      <c r="EGW514" s="332"/>
      <c r="EGX514" s="332"/>
      <c r="EGY514" s="332"/>
      <c r="EGZ514" s="332"/>
      <c r="EHA514" s="332"/>
      <c r="EHB514" s="332"/>
      <c r="EHC514" s="332"/>
      <c r="EHD514" s="332"/>
      <c r="EHE514" s="332"/>
      <c r="EHF514" s="332"/>
      <c r="EHG514" s="332"/>
      <c r="EHH514" s="332"/>
      <c r="EHI514" s="332"/>
      <c r="EHJ514" s="332"/>
      <c r="EHK514" s="332"/>
      <c r="EHL514" s="332"/>
      <c r="EHM514" s="332"/>
      <c r="EHN514" s="332"/>
      <c r="EHO514" s="332"/>
      <c r="EHP514" s="332"/>
      <c r="EHQ514" s="332"/>
      <c r="EHR514" s="332"/>
      <c r="EHS514" s="332"/>
      <c r="EHT514" s="332"/>
      <c r="EHU514" s="332"/>
      <c r="EHV514" s="332"/>
      <c r="EHW514" s="332"/>
      <c r="EHX514" s="332"/>
      <c r="EHY514" s="332"/>
      <c r="EHZ514" s="332"/>
      <c r="EIA514" s="332"/>
      <c r="EIB514" s="332"/>
      <c r="EIC514" s="332"/>
      <c r="EID514" s="332"/>
      <c r="EIE514" s="332"/>
      <c r="EIF514" s="332"/>
      <c r="EIG514" s="332"/>
      <c r="EIH514" s="332"/>
      <c r="EII514" s="332"/>
      <c r="EIJ514" s="332"/>
      <c r="EIK514" s="332"/>
      <c r="EIL514" s="332"/>
      <c r="EIM514" s="332"/>
      <c r="EIN514" s="332"/>
      <c r="EIO514" s="332"/>
      <c r="EIP514" s="332"/>
      <c r="EIQ514" s="332"/>
      <c r="EIR514" s="332"/>
      <c r="EIS514" s="332"/>
      <c r="EIT514" s="332"/>
      <c r="EIU514" s="332"/>
      <c r="EIV514" s="332"/>
      <c r="EIW514" s="332"/>
      <c r="EIX514" s="332"/>
      <c r="EIY514" s="332"/>
      <c r="EIZ514" s="332"/>
      <c r="EJA514" s="332"/>
      <c r="EJB514" s="332"/>
      <c r="EJC514" s="332"/>
      <c r="EJD514" s="332"/>
      <c r="EJE514" s="332"/>
      <c r="EJF514" s="332"/>
      <c r="EJG514" s="332"/>
      <c r="EJH514" s="332"/>
      <c r="EJI514" s="332"/>
      <c r="EJJ514" s="332"/>
      <c r="EJK514" s="332"/>
      <c r="EJL514" s="332"/>
      <c r="EJM514" s="332"/>
      <c r="EJN514" s="332"/>
      <c r="EJO514" s="332"/>
      <c r="EJP514" s="332"/>
      <c r="EJQ514" s="332"/>
      <c r="EJR514" s="332"/>
      <c r="EJS514" s="332"/>
      <c r="EJT514" s="332"/>
      <c r="EJU514" s="332"/>
      <c r="EJV514" s="332"/>
      <c r="EJW514" s="332"/>
      <c r="EJX514" s="332"/>
      <c r="EJY514" s="332"/>
      <c r="EJZ514" s="332"/>
      <c r="EKA514" s="332"/>
      <c r="EKB514" s="332"/>
      <c r="EKC514" s="332"/>
      <c r="EKD514" s="332"/>
      <c r="EKE514" s="332"/>
      <c r="EKF514" s="332"/>
      <c r="EKG514" s="332"/>
      <c r="EKH514" s="332"/>
      <c r="EKI514" s="332"/>
      <c r="EKJ514" s="332"/>
      <c r="EKK514" s="332"/>
      <c r="EKL514" s="332"/>
      <c r="EKM514" s="332"/>
      <c r="EKN514" s="332"/>
      <c r="EKO514" s="332"/>
      <c r="EKP514" s="332"/>
      <c r="EKQ514" s="332"/>
      <c r="EKR514" s="332"/>
      <c r="EKS514" s="332"/>
      <c r="EKT514" s="332"/>
      <c r="EKU514" s="332"/>
      <c r="EKV514" s="332"/>
      <c r="EKW514" s="332"/>
      <c r="EKX514" s="332"/>
      <c r="EKY514" s="332"/>
      <c r="EKZ514" s="332"/>
      <c r="ELA514" s="332"/>
      <c r="ELB514" s="332"/>
      <c r="ELC514" s="332"/>
      <c r="ELD514" s="332"/>
      <c r="ELE514" s="332"/>
      <c r="ELF514" s="332"/>
      <c r="ELG514" s="332"/>
      <c r="ELH514" s="332"/>
      <c r="ELI514" s="332"/>
      <c r="ELJ514" s="332"/>
      <c r="ELK514" s="332"/>
      <c r="ELL514" s="332"/>
      <c r="ELM514" s="332"/>
      <c r="ELN514" s="332"/>
      <c r="ELO514" s="332"/>
      <c r="ELP514" s="332"/>
      <c r="ELQ514" s="332"/>
      <c r="ELR514" s="332"/>
      <c r="ELS514" s="332"/>
      <c r="ELT514" s="332"/>
      <c r="ELU514" s="332"/>
      <c r="ELV514" s="332"/>
      <c r="ELW514" s="332"/>
      <c r="ELX514" s="332"/>
      <c r="ELY514" s="332"/>
      <c r="ELZ514" s="332"/>
      <c r="EMA514" s="332"/>
      <c r="EMB514" s="332"/>
      <c r="EMC514" s="332"/>
      <c r="EMD514" s="332"/>
      <c r="EME514" s="332"/>
      <c r="EMF514" s="332"/>
      <c r="EMG514" s="332"/>
      <c r="EMH514" s="332"/>
      <c r="EMI514" s="332"/>
      <c r="EMJ514" s="332"/>
      <c r="EMK514" s="332"/>
      <c r="EML514" s="332"/>
      <c r="EMM514" s="332"/>
      <c r="EMN514" s="332"/>
      <c r="EMO514" s="332"/>
      <c r="EMP514" s="332"/>
      <c r="EMQ514" s="332"/>
      <c r="EMR514" s="332"/>
      <c r="EMS514" s="332"/>
      <c r="EMT514" s="332"/>
      <c r="EMU514" s="332"/>
      <c r="EMV514" s="332"/>
      <c r="EMW514" s="332"/>
      <c r="EMX514" s="332"/>
      <c r="EMY514" s="332"/>
      <c r="EMZ514" s="332"/>
      <c r="ENA514" s="332"/>
      <c r="ENB514" s="332"/>
      <c r="ENC514" s="332"/>
      <c r="END514" s="332"/>
      <c r="ENE514" s="332"/>
      <c r="ENF514" s="332"/>
      <c r="ENG514" s="332"/>
      <c r="ENH514" s="332"/>
      <c r="ENI514" s="332"/>
      <c r="ENJ514" s="332"/>
      <c r="ENK514" s="332"/>
      <c r="ENL514" s="332"/>
      <c r="ENM514" s="332"/>
      <c r="ENN514" s="332"/>
      <c r="ENO514" s="332"/>
      <c r="ENP514" s="332"/>
      <c r="ENQ514" s="332"/>
      <c r="ENR514" s="332"/>
      <c r="ENS514" s="332"/>
      <c r="ENT514" s="332"/>
      <c r="ENU514" s="332"/>
      <c r="ENV514" s="332"/>
      <c r="ENW514" s="332"/>
      <c r="ENX514" s="332"/>
      <c r="ENY514" s="332"/>
      <c r="ENZ514" s="332"/>
      <c r="EOA514" s="332"/>
      <c r="EOB514" s="332"/>
      <c r="EOC514" s="332"/>
      <c r="EOD514" s="332"/>
      <c r="EOE514" s="332"/>
      <c r="EOF514" s="332"/>
      <c r="EOG514" s="332"/>
      <c r="EOH514" s="332"/>
      <c r="EOI514" s="332"/>
      <c r="EOJ514" s="332"/>
      <c r="EOK514" s="332"/>
      <c r="EOL514" s="332"/>
      <c r="EOM514" s="332"/>
      <c r="EON514" s="332"/>
      <c r="EOO514" s="332"/>
      <c r="EOP514" s="332"/>
      <c r="EOQ514" s="332"/>
      <c r="EOR514" s="332"/>
      <c r="EOS514" s="332"/>
      <c r="EOT514" s="332"/>
      <c r="EOU514" s="332"/>
      <c r="EOV514" s="332"/>
      <c r="EOW514" s="332"/>
      <c r="EOX514" s="332"/>
      <c r="EOY514" s="332"/>
      <c r="EOZ514" s="332"/>
      <c r="EPA514" s="332"/>
      <c r="EPB514" s="332"/>
      <c r="EPC514" s="332"/>
      <c r="EPD514" s="332"/>
      <c r="EPE514" s="332"/>
      <c r="EPF514" s="332"/>
      <c r="EPG514" s="332"/>
      <c r="EPH514" s="332"/>
      <c r="EPI514" s="332"/>
      <c r="EPJ514" s="332"/>
      <c r="EPK514" s="332"/>
      <c r="EPL514" s="332"/>
      <c r="EPM514" s="332"/>
      <c r="EPN514" s="332"/>
      <c r="EPO514" s="332"/>
      <c r="EPP514" s="332"/>
      <c r="EPQ514" s="332"/>
      <c r="EPR514" s="332"/>
      <c r="EPS514" s="332"/>
      <c r="EPT514" s="332"/>
      <c r="EPU514" s="332"/>
      <c r="EPV514" s="332"/>
      <c r="EPW514" s="332"/>
      <c r="EPX514" s="332"/>
      <c r="EPY514" s="332"/>
      <c r="EPZ514" s="332"/>
      <c r="EQA514" s="332"/>
      <c r="EQB514" s="332"/>
      <c r="EQC514" s="332"/>
      <c r="EQD514" s="332"/>
      <c r="EQE514" s="332"/>
      <c r="EQF514" s="332"/>
      <c r="EQG514" s="332"/>
      <c r="EQH514" s="332"/>
      <c r="EQI514" s="332"/>
      <c r="EQJ514" s="332"/>
      <c r="EQK514" s="332"/>
      <c r="EQL514" s="332"/>
      <c r="EQM514" s="332"/>
      <c r="EQN514" s="332"/>
      <c r="EQO514" s="332"/>
      <c r="EQP514" s="332"/>
      <c r="EQQ514" s="332"/>
      <c r="EQR514" s="332"/>
      <c r="EQS514" s="332"/>
      <c r="EQT514" s="332"/>
      <c r="EQU514" s="332"/>
      <c r="EQV514" s="332"/>
      <c r="EQW514" s="332"/>
      <c r="EQX514" s="332"/>
      <c r="EQY514" s="332"/>
      <c r="EQZ514" s="332"/>
      <c r="ERA514" s="332"/>
      <c r="ERB514" s="332"/>
      <c r="ERC514" s="332"/>
      <c r="ERD514" s="332"/>
      <c r="ERE514" s="332"/>
      <c r="ERF514" s="332"/>
      <c r="ERG514" s="332"/>
      <c r="ERH514" s="332"/>
      <c r="ERI514" s="332"/>
      <c r="ERJ514" s="332"/>
      <c r="ERK514" s="332"/>
      <c r="ERL514" s="332"/>
      <c r="ERM514" s="332"/>
      <c r="ERN514" s="332"/>
      <c r="ERO514" s="332"/>
      <c r="ERP514" s="332"/>
      <c r="ERQ514" s="332"/>
      <c r="ERR514" s="332"/>
      <c r="ERS514" s="332"/>
      <c r="ERT514" s="332"/>
      <c r="ERU514" s="332"/>
      <c r="ERV514" s="332"/>
      <c r="ERW514" s="332"/>
      <c r="ERX514" s="332"/>
      <c r="ERY514" s="332"/>
      <c r="ERZ514" s="332"/>
      <c r="ESA514" s="332"/>
      <c r="ESB514" s="332"/>
      <c r="ESC514" s="332"/>
      <c r="ESD514" s="332"/>
      <c r="ESE514" s="332"/>
      <c r="ESF514" s="332"/>
      <c r="ESG514" s="332"/>
      <c r="ESH514" s="332"/>
      <c r="ESI514" s="332"/>
      <c r="ESJ514" s="332"/>
      <c r="ESK514" s="332"/>
      <c r="ESL514" s="332"/>
      <c r="ESM514" s="332"/>
      <c r="ESN514" s="332"/>
      <c r="ESO514" s="332"/>
      <c r="ESP514" s="332"/>
      <c r="ESQ514" s="332"/>
      <c r="ESR514" s="332"/>
      <c r="ESS514" s="332"/>
      <c r="EST514" s="332"/>
      <c r="ESU514" s="332"/>
      <c r="ESV514" s="332"/>
      <c r="ESW514" s="332"/>
      <c r="ESX514" s="332"/>
      <c r="ESY514" s="332"/>
      <c r="ESZ514" s="332"/>
      <c r="ETA514" s="332"/>
      <c r="ETB514" s="332"/>
      <c r="ETC514" s="332"/>
      <c r="ETD514" s="332"/>
      <c r="ETE514" s="332"/>
      <c r="ETF514" s="332"/>
      <c r="ETG514" s="332"/>
      <c r="ETH514" s="332"/>
      <c r="ETI514" s="332"/>
      <c r="ETJ514" s="332"/>
      <c r="ETK514" s="332"/>
      <c r="ETL514" s="332"/>
      <c r="ETM514" s="332"/>
      <c r="ETN514" s="332"/>
      <c r="ETO514" s="332"/>
      <c r="ETP514" s="332"/>
      <c r="ETQ514" s="332"/>
      <c r="ETR514" s="332"/>
      <c r="ETS514" s="332"/>
      <c r="ETT514" s="332"/>
      <c r="ETU514" s="332"/>
      <c r="ETV514" s="332"/>
      <c r="ETW514" s="332"/>
      <c r="ETX514" s="332"/>
      <c r="ETY514" s="332"/>
      <c r="ETZ514" s="332"/>
      <c r="EUA514" s="332"/>
      <c r="EUB514" s="332"/>
      <c r="EUC514" s="332"/>
      <c r="EUD514" s="332"/>
      <c r="EUE514" s="332"/>
      <c r="EUF514" s="332"/>
      <c r="EUG514" s="332"/>
      <c r="EUH514" s="332"/>
      <c r="EUI514" s="332"/>
      <c r="EUJ514" s="332"/>
      <c r="EUK514" s="332"/>
      <c r="EUL514" s="332"/>
      <c r="EUM514" s="332"/>
      <c r="EUN514" s="332"/>
      <c r="EUO514" s="332"/>
      <c r="EUP514" s="332"/>
      <c r="EUQ514" s="332"/>
      <c r="EUR514" s="332"/>
      <c r="EUS514" s="332"/>
      <c r="EUT514" s="332"/>
      <c r="EUU514" s="332"/>
      <c r="EUV514" s="332"/>
      <c r="EUW514" s="332"/>
      <c r="EUX514" s="332"/>
      <c r="EUY514" s="332"/>
      <c r="EUZ514" s="332"/>
      <c r="EVA514" s="332"/>
      <c r="EVB514" s="332"/>
      <c r="EVC514" s="332"/>
      <c r="EVD514" s="332"/>
      <c r="EVE514" s="332"/>
      <c r="EVF514" s="332"/>
      <c r="EVG514" s="332"/>
      <c r="EVH514" s="332"/>
      <c r="EVI514" s="332"/>
      <c r="EVJ514" s="332"/>
      <c r="EVK514" s="332"/>
      <c r="EVL514" s="332"/>
      <c r="EVM514" s="332"/>
      <c r="EVN514" s="332"/>
      <c r="EVO514" s="332"/>
      <c r="EVP514" s="332"/>
      <c r="EVQ514" s="332"/>
      <c r="EVR514" s="332"/>
      <c r="EVS514" s="332"/>
      <c r="EVT514" s="332"/>
      <c r="EVU514" s="332"/>
      <c r="EVV514" s="332"/>
      <c r="EVW514" s="332"/>
      <c r="EVX514" s="332"/>
      <c r="EVY514" s="332"/>
      <c r="EVZ514" s="332"/>
      <c r="EWA514" s="332"/>
      <c r="EWB514" s="332"/>
      <c r="EWC514" s="332"/>
      <c r="EWD514" s="332"/>
      <c r="EWE514" s="332"/>
      <c r="EWF514" s="332"/>
      <c r="EWG514" s="332"/>
      <c r="EWH514" s="332"/>
      <c r="EWI514" s="332"/>
      <c r="EWJ514" s="332"/>
      <c r="EWK514" s="332"/>
      <c r="EWL514" s="332"/>
      <c r="EWM514" s="332"/>
      <c r="EWN514" s="332"/>
      <c r="EWO514" s="332"/>
      <c r="EWP514" s="332"/>
      <c r="EWQ514" s="332"/>
      <c r="EWR514" s="332"/>
      <c r="EWS514" s="332"/>
      <c r="EWT514" s="332"/>
      <c r="EWU514" s="332"/>
      <c r="EWV514" s="332"/>
      <c r="EWW514" s="332"/>
      <c r="EWX514" s="332"/>
      <c r="EWY514" s="332"/>
      <c r="EWZ514" s="332"/>
      <c r="EXA514" s="332"/>
      <c r="EXB514" s="332"/>
      <c r="EXC514" s="332"/>
      <c r="EXD514" s="332"/>
      <c r="EXE514" s="332"/>
      <c r="EXF514" s="332"/>
      <c r="EXG514" s="332"/>
      <c r="EXH514" s="332"/>
      <c r="EXI514" s="332"/>
      <c r="EXJ514" s="332"/>
      <c r="EXK514" s="332"/>
      <c r="EXL514" s="332"/>
      <c r="EXM514" s="332"/>
      <c r="EXN514" s="332"/>
      <c r="EXO514" s="332"/>
      <c r="EXP514" s="332"/>
      <c r="EXQ514" s="332"/>
      <c r="EXR514" s="332"/>
      <c r="EXS514" s="332"/>
      <c r="EXT514" s="332"/>
      <c r="EXU514" s="332"/>
      <c r="EXV514" s="332"/>
      <c r="EXW514" s="332"/>
      <c r="EXX514" s="332"/>
      <c r="EXY514" s="332"/>
      <c r="EXZ514" s="332"/>
      <c r="EYA514" s="332"/>
      <c r="EYB514" s="332"/>
      <c r="EYC514" s="332"/>
      <c r="EYD514" s="332"/>
      <c r="EYE514" s="332"/>
      <c r="EYF514" s="332"/>
      <c r="EYG514" s="332"/>
      <c r="EYH514" s="332"/>
      <c r="EYI514" s="332"/>
      <c r="EYJ514" s="332"/>
      <c r="EYK514" s="332"/>
      <c r="EYL514" s="332"/>
      <c r="EYM514" s="332"/>
      <c r="EYN514" s="332"/>
      <c r="EYO514" s="332"/>
      <c r="EYP514" s="332"/>
      <c r="EYQ514" s="332"/>
      <c r="EYR514" s="332"/>
      <c r="EYS514" s="332"/>
      <c r="EYT514" s="332"/>
      <c r="EYU514" s="332"/>
      <c r="EYV514" s="332"/>
      <c r="EYW514" s="332"/>
      <c r="EYX514" s="332"/>
      <c r="EYY514" s="332"/>
      <c r="EYZ514" s="332"/>
      <c r="EZA514" s="332"/>
      <c r="EZB514" s="332"/>
      <c r="EZC514" s="332"/>
      <c r="EZD514" s="332"/>
      <c r="EZE514" s="332"/>
      <c r="EZF514" s="332"/>
      <c r="EZG514" s="332"/>
      <c r="EZH514" s="332"/>
      <c r="EZI514" s="332"/>
      <c r="EZJ514" s="332"/>
      <c r="EZK514" s="332"/>
      <c r="EZL514" s="332"/>
      <c r="EZM514" s="332"/>
      <c r="EZN514" s="332"/>
      <c r="EZO514" s="332"/>
      <c r="EZP514" s="332"/>
      <c r="EZQ514" s="332"/>
      <c r="EZR514" s="332"/>
      <c r="EZS514" s="332"/>
      <c r="EZT514" s="332"/>
      <c r="EZU514" s="332"/>
      <c r="EZV514" s="332"/>
      <c r="EZW514" s="332"/>
      <c r="EZX514" s="332"/>
      <c r="EZY514" s="332"/>
      <c r="EZZ514" s="332"/>
      <c r="FAA514" s="332"/>
      <c r="FAB514" s="332"/>
      <c r="FAC514" s="332"/>
      <c r="FAD514" s="332"/>
      <c r="FAE514" s="332"/>
      <c r="FAF514" s="332"/>
      <c r="FAG514" s="332"/>
      <c r="FAH514" s="332"/>
      <c r="FAI514" s="332"/>
      <c r="FAJ514" s="332"/>
      <c r="FAK514" s="332"/>
      <c r="FAL514" s="332"/>
      <c r="FAM514" s="332"/>
      <c r="FAN514" s="332"/>
      <c r="FAO514" s="332"/>
      <c r="FAP514" s="332"/>
      <c r="FAQ514" s="332"/>
      <c r="FAR514" s="332"/>
      <c r="FAS514" s="332"/>
      <c r="FAT514" s="332"/>
      <c r="FAU514" s="332"/>
      <c r="FAV514" s="332"/>
      <c r="FAW514" s="332"/>
      <c r="FAX514" s="332"/>
      <c r="FAY514" s="332"/>
      <c r="FAZ514" s="332"/>
      <c r="FBA514" s="332"/>
      <c r="FBB514" s="332"/>
      <c r="FBC514" s="332"/>
      <c r="FBD514" s="332"/>
      <c r="FBE514" s="332"/>
      <c r="FBF514" s="332"/>
      <c r="FBG514" s="332"/>
      <c r="FBH514" s="332"/>
      <c r="FBI514" s="332"/>
      <c r="FBJ514" s="332"/>
      <c r="FBK514" s="332"/>
      <c r="FBL514" s="332"/>
      <c r="FBM514" s="332"/>
      <c r="FBN514" s="332"/>
      <c r="FBO514" s="332"/>
      <c r="FBP514" s="332"/>
      <c r="FBQ514" s="332"/>
      <c r="FBR514" s="332"/>
      <c r="FBS514" s="332"/>
      <c r="FBT514" s="332"/>
      <c r="FBU514" s="332"/>
      <c r="FBV514" s="332"/>
      <c r="FBW514" s="332"/>
      <c r="FBX514" s="332"/>
      <c r="FBY514" s="332"/>
      <c r="FBZ514" s="332"/>
      <c r="FCA514" s="332"/>
      <c r="FCB514" s="332"/>
      <c r="FCC514" s="332"/>
      <c r="FCD514" s="332"/>
      <c r="FCE514" s="332"/>
      <c r="FCF514" s="332"/>
      <c r="FCG514" s="332"/>
      <c r="FCH514" s="332"/>
      <c r="FCI514" s="332"/>
      <c r="FCJ514" s="332"/>
      <c r="FCK514" s="332"/>
      <c r="FCL514" s="332"/>
      <c r="FCM514" s="332"/>
      <c r="FCN514" s="332"/>
      <c r="FCO514" s="332"/>
      <c r="FCP514" s="332"/>
      <c r="FCQ514" s="332"/>
      <c r="FCR514" s="332"/>
      <c r="FCS514" s="332"/>
      <c r="FCT514" s="332"/>
      <c r="FCU514" s="332"/>
      <c r="FCV514" s="332"/>
      <c r="FCW514" s="332"/>
      <c r="FCX514" s="332"/>
      <c r="FCY514" s="332"/>
      <c r="FCZ514" s="332"/>
      <c r="FDA514" s="332"/>
      <c r="FDB514" s="332"/>
      <c r="FDC514" s="332"/>
      <c r="FDD514" s="332"/>
      <c r="FDE514" s="332"/>
      <c r="FDF514" s="332"/>
      <c r="FDG514" s="332"/>
      <c r="FDH514" s="332"/>
      <c r="FDI514" s="332"/>
      <c r="FDJ514" s="332"/>
      <c r="FDK514" s="332"/>
      <c r="FDL514" s="332"/>
      <c r="FDM514" s="332"/>
      <c r="FDN514" s="332"/>
      <c r="FDO514" s="332"/>
      <c r="FDP514" s="332"/>
      <c r="FDQ514" s="332"/>
      <c r="FDR514" s="332"/>
      <c r="FDS514" s="332"/>
      <c r="FDT514" s="332"/>
      <c r="FDU514" s="332"/>
      <c r="FDV514" s="332"/>
      <c r="FDW514" s="332"/>
      <c r="FDX514" s="332"/>
      <c r="FDY514" s="332"/>
      <c r="FDZ514" s="332"/>
      <c r="FEA514" s="332"/>
      <c r="FEB514" s="332"/>
      <c r="FEC514" s="332"/>
      <c r="FED514" s="332"/>
      <c r="FEE514" s="332"/>
      <c r="FEF514" s="332"/>
      <c r="FEG514" s="332"/>
      <c r="FEH514" s="332"/>
      <c r="FEI514" s="332"/>
      <c r="FEJ514" s="332"/>
      <c r="FEK514" s="332"/>
      <c r="FEL514" s="332"/>
      <c r="FEM514" s="332"/>
      <c r="FEN514" s="332"/>
      <c r="FEO514" s="332"/>
      <c r="FEP514" s="332"/>
      <c r="FEQ514" s="332"/>
      <c r="FER514" s="332"/>
      <c r="FES514" s="332"/>
      <c r="FET514" s="332"/>
      <c r="FEU514" s="332"/>
      <c r="FEV514" s="332"/>
      <c r="FEW514" s="332"/>
      <c r="FEX514" s="332"/>
      <c r="FEY514" s="332"/>
      <c r="FEZ514" s="332"/>
      <c r="FFA514" s="332"/>
      <c r="FFB514" s="332"/>
      <c r="FFC514" s="332"/>
      <c r="FFD514" s="332"/>
      <c r="FFE514" s="332"/>
      <c r="FFF514" s="332"/>
      <c r="FFG514" s="332"/>
      <c r="FFH514" s="332"/>
      <c r="FFI514" s="332"/>
      <c r="FFJ514" s="332"/>
      <c r="FFK514" s="332"/>
      <c r="FFL514" s="332"/>
      <c r="FFM514" s="332"/>
      <c r="FFN514" s="332"/>
      <c r="FFO514" s="332"/>
      <c r="FFP514" s="332"/>
      <c r="FFQ514" s="332"/>
      <c r="FFR514" s="332"/>
      <c r="FFS514" s="332"/>
      <c r="FFT514" s="332"/>
      <c r="FFU514" s="332"/>
      <c r="FFV514" s="332"/>
      <c r="FFW514" s="332"/>
      <c r="FFX514" s="332"/>
      <c r="FFY514" s="332"/>
      <c r="FFZ514" s="332"/>
      <c r="FGA514" s="332"/>
      <c r="FGB514" s="332"/>
      <c r="FGC514" s="332"/>
      <c r="FGD514" s="332"/>
      <c r="FGE514" s="332"/>
      <c r="FGF514" s="332"/>
      <c r="FGG514" s="332"/>
      <c r="FGH514" s="332"/>
      <c r="FGI514" s="332"/>
      <c r="FGJ514" s="332"/>
      <c r="FGK514" s="332"/>
      <c r="FGL514" s="332"/>
      <c r="FGM514" s="332"/>
      <c r="FGN514" s="332"/>
      <c r="FGO514" s="332"/>
      <c r="FGP514" s="332"/>
      <c r="FGQ514" s="332"/>
      <c r="FGR514" s="332"/>
      <c r="FGS514" s="332"/>
      <c r="FGT514" s="332"/>
      <c r="FGU514" s="332"/>
      <c r="FGV514" s="332"/>
      <c r="FGW514" s="332"/>
      <c r="FGX514" s="332"/>
      <c r="FGY514" s="332"/>
      <c r="FGZ514" s="332"/>
      <c r="FHA514" s="332"/>
      <c r="FHB514" s="332"/>
      <c r="FHC514" s="332"/>
      <c r="FHD514" s="332"/>
      <c r="FHE514" s="332"/>
      <c r="FHF514" s="332"/>
      <c r="FHG514" s="332"/>
      <c r="FHH514" s="332"/>
      <c r="FHI514" s="332"/>
      <c r="FHJ514" s="332"/>
      <c r="FHK514" s="332"/>
      <c r="FHL514" s="332"/>
      <c r="FHM514" s="332"/>
      <c r="FHN514" s="332"/>
      <c r="FHO514" s="332"/>
      <c r="FHP514" s="332"/>
      <c r="FHQ514" s="332"/>
      <c r="FHR514" s="332"/>
      <c r="FHS514" s="332"/>
      <c r="FHT514" s="332"/>
      <c r="FHU514" s="332"/>
      <c r="FHV514" s="332"/>
      <c r="FHW514" s="332"/>
      <c r="FHX514" s="332"/>
      <c r="FHY514" s="332"/>
      <c r="FHZ514" s="332"/>
      <c r="FIA514" s="332"/>
      <c r="FIB514" s="332"/>
      <c r="FIC514" s="332"/>
      <c r="FID514" s="332"/>
      <c r="FIE514" s="332"/>
      <c r="FIF514" s="332"/>
      <c r="FIG514" s="332"/>
      <c r="FIH514" s="332"/>
      <c r="FII514" s="332"/>
      <c r="FIJ514" s="332"/>
      <c r="FIK514" s="332"/>
      <c r="FIL514" s="332"/>
      <c r="FIM514" s="332"/>
      <c r="FIN514" s="332"/>
      <c r="FIO514" s="332"/>
      <c r="FIP514" s="332"/>
      <c r="FIQ514" s="332"/>
      <c r="FIR514" s="332"/>
      <c r="FIS514" s="332"/>
      <c r="FIT514" s="332"/>
      <c r="FIU514" s="332"/>
      <c r="FIV514" s="332"/>
      <c r="FIW514" s="332"/>
      <c r="FIX514" s="332"/>
      <c r="FIY514" s="332"/>
      <c r="FIZ514" s="332"/>
      <c r="FJA514" s="332"/>
      <c r="FJB514" s="332"/>
      <c r="FJC514" s="332"/>
      <c r="FJD514" s="332"/>
      <c r="FJE514" s="332"/>
      <c r="FJF514" s="332"/>
      <c r="FJG514" s="332"/>
      <c r="FJH514" s="332"/>
      <c r="FJI514" s="332"/>
      <c r="FJJ514" s="332"/>
      <c r="FJK514" s="332"/>
      <c r="FJL514" s="332"/>
      <c r="FJM514" s="332"/>
      <c r="FJN514" s="332"/>
      <c r="FJO514" s="332"/>
      <c r="FJP514" s="332"/>
      <c r="FJQ514" s="332"/>
      <c r="FJR514" s="332"/>
      <c r="FJS514" s="332"/>
      <c r="FJT514" s="332"/>
      <c r="FJU514" s="332"/>
      <c r="FJV514" s="332"/>
      <c r="FJW514" s="332"/>
      <c r="FJX514" s="332"/>
      <c r="FJY514" s="332"/>
      <c r="FJZ514" s="332"/>
      <c r="FKA514" s="332"/>
      <c r="FKB514" s="332"/>
      <c r="FKC514" s="332"/>
      <c r="FKD514" s="332"/>
      <c r="FKE514" s="332"/>
      <c r="FKF514" s="332"/>
      <c r="FKG514" s="332"/>
      <c r="FKH514" s="332"/>
      <c r="FKI514" s="332"/>
      <c r="FKJ514" s="332"/>
      <c r="FKK514" s="332"/>
      <c r="FKL514" s="332"/>
      <c r="FKM514" s="332"/>
      <c r="FKN514" s="332"/>
      <c r="FKO514" s="332"/>
      <c r="FKP514" s="332"/>
      <c r="FKQ514" s="332"/>
      <c r="FKR514" s="332"/>
      <c r="FKS514" s="332"/>
      <c r="FKT514" s="332"/>
      <c r="FKU514" s="332"/>
      <c r="FKV514" s="332"/>
      <c r="FKW514" s="332"/>
      <c r="FKX514" s="332"/>
      <c r="FKY514" s="332"/>
      <c r="FKZ514" s="332"/>
      <c r="FLA514" s="332"/>
      <c r="FLB514" s="332"/>
      <c r="FLC514" s="332"/>
      <c r="FLD514" s="332"/>
      <c r="FLE514" s="332"/>
      <c r="FLF514" s="332"/>
      <c r="FLG514" s="332"/>
      <c r="FLH514" s="332"/>
      <c r="FLI514" s="332"/>
      <c r="FLJ514" s="332"/>
      <c r="FLK514" s="332"/>
      <c r="FLL514" s="332"/>
      <c r="FLM514" s="332"/>
      <c r="FLN514" s="332"/>
      <c r="FLO514" s="332"/>
      <c r="FLP514" s="332"/>
      <c r="FLQ514" s="332"/>
      <c r="FLR514" s="332"/>
      <c r="FLS514" s="332"/>
      <c r="FLT514" s="332"/>
      <c r="FLU514" s="332"/>
      <c r="FLV514" s="332"/>
      <c r="FLW514" s="332"/>
      <c r="FLX514" s="332"/>
      <c r="FLY514" s="332"/>
      <c r="FLZ514" s="332"/>
      <c r="FMA514" s="332"/>
      <c r="FMB514" s="332"/>
      <c r="FMC514" s="332"/>
      <c r="FMD514" s="332"/>
      <c r="FME514" s="332"/>
      <c r="FMF514" s="332"/>
      <c r="FMG514" s="332"/>
      <c r="FMH514" s="332"/>
      <c r="FMI514" s="332"/>
      <c r="FMJ514" s="332"/>
      <c r="FMK514" s="332"/>
      <c r="FML514" s="332"/>
      <c r="FMM514" s="332"/>
      <c r="FMN514" s="332"/>
      <c r="FMO514" s="332"/>
      <c r="FMP514" s="332"/>
      <c r="FMQ514" s="332"/>
      <c r="FMR514" s="332"/>
      <c r="FMS514" s="332"/>
      <c r="FMT514" s="332"/>
      <c r="FMU514" s="332"/>
      <c r="FMV514" s="332"/>
      <c r="FMW514" s="332"/>
      <c r="FMX514" s="332"/>
      <c r="FMY514" s="332"/>
      <c r="FMZ514" s="332"/>
      <c r="FNA514" s="332"/>
      <c r="FNB514" s="332"/>
      <c r="FNC514" s="332"/>
      <c r="FND514" s="332"/>
      <c r="FNE514" s="332"/>
      <c r="FNF514" s="332"/>
      <c r="FNG514" s="332"/>
      <c r="FNH514" s="332"/>
      <c r="FNI514" s="332"/>
      <c r="FNJ514" s="332"/>
      <c r="FNK514" s="332"/>
      <c r="FNL514" s="332"/>
      <c r="FNM514" s="332"/>
      <c r="FNN514" s="332"/>
      <c r="FNO514" s="332"/>
      <c r="FNP514" s="332"/>
      <c r="FNQ514" s="332"/>
      <c r="FNR514" s="332"/>
      <c r="FNS514" s="332"/>
      <c r="FNT514" s="332"/>
      <c r="FNU514" s="332"/>
      <c r="FNV514" s="332"/>
      <c r="FNW514" s="332"/>
      <c r="FNX514" s="332"/>
      <c r="FNY514" s="332"/>
      <c r="FNZ514" s="332"/>
      <c r="FOA514" s="332"/>
      <c r="FOB514" s="332"/>
      <c r="FOC514" s="332"/>
      <c r="FOD514" s="332"/>
      <c r="FOE514" s="332"/>
      <c r="FOF514" s="332"/>
      <c r="FOG514" s="332"/>
      <c r="FOH514" s="332"/>
      <c r="FOI514" s="332"/>
      <c r="FOJ514" s="332"/>
      <c r="FOK514" s="332"/>
      <c r="FOL514" s="332"/>
      <c r="FOM514" s="332"/>
      <c r="FON514" s="332"/>
      <c r="FOO514" s="332"/>
      <c r="FOP514" s="332"/>
      <c r="FOQ514" s="332"/>
      <c r="FOR514" s="332"/>
      <c r="FOS514" s="332"/>
      <c r="FOT514" s="332"/>
      <c r="FOU514" s="332"/>
      <c r="FOV514" s="332"/>
      <c r="FOW514" s="332"/>
      <c r="FOX514" s="332"/>
      <c r="FOY514" s="332"/>
      <c r="FOZ514" s="332"/>
      <c r="FPA514" s="332"/>
      <c r="FPB514" s="332"/>
      <c r="FPC514" s="332"/>
      <c r="FPD514" s="332"/>
      <c r="FPE514" s="332"/>
      <c r="FPF514" s="332"/>
      <c r="FPG514" s="332"/>
      <c r="FPH514" s="332"/>
      <c r="FPI514" s="332"/>
      <c r="FPJ514" s="332"/>
      <c r="FPK514" s="332"/>
      <c r="FPL514" s="332"/>
      <c r="FPM514" s="332"/>
      <c r="FPN514" s="332"/>
      <c r="FPO514" s="332"/>
      <c r="FPP514" s="332"/>
      <c r="FPQ514" s="332"/>
      <c r="FPR514" s="332"/>
      <c r="FPS514" s="332"/>
      <c r="FPT514" s="332"/>
      <c r="FPU514" s="332"/>
      <c r="FPV514" s="332"/>
      <c r="FPW514" s="332"/>
      <c r="FPX514" s="332"/>
      <c r="FPY514" s="332"/>
      <c r="FPZ514" s="332"/>
      <c r="FQA514" s="332"/>
      <c r="FQB514" s="332"/>
      <c r="FQC514" s="332"/>
      <c r="FQD514" s="332"/>
      <c r="FQE514" s="332"/>
      <c r="FQF514" s="332"/>
      <c r="FQG514" s="332"/>
      <c r="FQH514" s="332"/>
      <c r="FQI514" s="332"/>
      <c r="FQJ514" s="332"/>
      <c r="FQK514" s="332"/>
      <c r="FQL514" s="332"/>
      <c r="FQM514" s="332"/>
      <c r="FQN514" s="332"/>
      <c r="FQO514" s="332"/>
      <c r="FQP514" s="332"/>
      <c r="FQQ514" s="332"/>
      <c r="FQR514" s="332"/>
      <c r="FQS514" s="332"/>
      <c r="FQT514" s="332"/>
      <c r="FQU514" s="332"/>
      <c r="FQV514" s="332"/>
      <c r="FQW514" s="332"/>
      <c r="FQX514" s="332"/>
      <c r="FQY514" s="332"/>
      <c r="FQZ514" s="332"/>
      <c r="FRA514" s="332"/>
      <c r="FRB514" s="332"/>
      <c r="FRC514" s="332"/>
      <c r="FRD514" s="332"/>
      <c r="FRE514" s="332"/>
      <c r="FRF514" s="332"/>
      <c r="FRG514" s="332"/>
      <c r="FRH514" s="332"/>
      <c r="FRI514" s="332"/>
      <c r="FRJ514" s="332"/>
      <c r="FRK514" s="332"/>
      <c r="FRL514" s="332"/>
      <c r="FRM514" s="332"/>
      <c r="FRN514" s="332"/>
      <c r="FRO514" s="332"/>
      <c r="FRP514" s="332"/>
      <c r="FRQ514" s="332"/>
      <c r="FRR514" s="332"/>
      <c r="FRS514" s="332"/>
      <c r="FRT514" s="332"/>
      <c r="FRU514" s="332"/>
      <c r="FRV514" s="332"/>
      <c r="FRW514" s="332"/>
      <c r="FRX514" s="332"/>
      <c r="FRY514" s="332"/>
      <c r="FRZ514" s="332"/>
      <c r="FSA514" s="332"/>
      <c r="FSB514" s="332"/>
      <c r="FSC514" s="332"/>
      <c r="FSD514" s="332"/>
      <c r="FSE514" s="332"/>
      <c r="FSF514" s="332"/>
      <c r="FSG514" s="332"/>
      <c r="FSH514" s="332"/>
      <c r="FSI514" s="332"/>
      <c r="FSJ514" s="332"/>
      <c r="FSK514" s="332"/>
      <c r="FSL514" s="332"/>
      <c r="FSM514" s="332"/>
      <c r="FSN514" s="332"/>
      <c r="FSO514" s="332"/>
      <c r="FSP514" s="332"/>
      <c r="FSQ514" s="332"/>
      <c r="FSR514" s="332"/>
      <c r="FSS514" s="332"/>
      <c r="FST514" s="332"/>
      <c r="FSU514" s="332"/>
      <c r="FSV514" s="332"/>
      <c r="FSW514" s="332"/>
      <c r="FSX514" s="332"/>
      <c r="FSY514" s="332"/>
      <c r="FSZ514" s="332"/>
      <c r="FTA514" s="332"/>
      <c r="FTB514" s="332"/>
      <c r="FTC514" s="332"/>
      <c r="FTD514" s="332"/>
      <c r="FTE514" s="332"/>
      <c r="FTF514" s="332"/>
      <c r="FTG514" s="332"/>
      <c r="FTH514" s="332"/>
      <c r="FTI514" s="332"/>
      <c r="FTJ514" s="332"/>
      <c r="FTK514" s="332"/>
      <c r="FTL514" s="332"/>
      <c r="FTM514" s="332"/>
      <c r="FTN514" s="332"/>
      <c r="FTO514" s="332"/>
      <c r="FTP514" s="332"/>
      <c r="FTQ514" s="332"/>
      <c r="FTR514" s="332"/>
      <c r="FTS514" s="332"/>
      <c r="FTT514" s="332"/>
      <c r="FTU514" s="332"/>
      <c r="FTV514" s="332"/>
      <c r="FTW514" s="332"/>
      <c r="FTX514" s="332"/>
      <c r="FTY514" s="332"/>
      <c r="FTZ514" s="332"/>
      <c r="FUA514" s="332"/>
      <c r="FUB514" s="332"/>
      <c r="FUC514" s="332"/>
      <c r="FUD514" s="332"/>
      <c r="FUE514" s="332"/>
      <c r="FUF514" s="332"/>
      <c r="FUG514" s="332"/>
      <c r="FUH514" s="332"/>
      <c r="FUI514" s="332"/>
      <c r="FUJ514" s="332"/>
      <c r="FUK514" s="332"/>
      <c r="FUL514" s="332"/>
      <c r="FUM514" s="332"/>
      <c r="FUN514" s="332"/>
      <c r="FUO514" s="332"/>
      <c r="FUP514" s="332"/>
      <c r="FUQ514" s="332"/>
      <c r="FUR514" s="332"/>
      <c r="FUS514" s="332"/>
      <c r="FUT514" s="332"/>
      <c r="FUU514" s="332"/>
      <c r="FUV514" s="332"/>
      <c r="FUW514" s="332"/>
      <c r="FUX514" s="332"/>
      <c r="FUY514" s="332"/>
      <c r="FUZ514" s="332"/>
      <c r="FVA514" s="332"/>
      <c r="FVB514" s="332"/>
      <c r="FVC514" s="332"/>
      <c r="FVD514" s="332"/>
      <c r="FVE514" s="332"/>
      <c r="FVF514" s="332"/>
      <c r="FVG514" s="332"/>
      <c r="FVH514" s="332"/>
      <c r="FVI514" s="332"/>
      <c r="FVJ514" s="332"/>
      <c r="FVK514" s="332"/>
      <c r="FVL514" s="332"/>
      <c r="FVM514" s="332"/>
      <c r="FVN514" s="332"/>
      <c r="FVO514" s="332"/>
      <c r="FVP514" s="332"/>
      <c r="FVQ514" s="332"/>
      <c r="FVR514" s="332"/>
      <c r="FVS514" s="332"/>
      <c r="FVT514" s="332"/>
      <c r="FVU514" s="332"/>
      <c r="FVV514" s="332"/>
      <c r="FVW514" s="332"/>
      <c r="FVX514" s="332"/>
      <c r="FVY514" s="332"/>
      <c r="FVZ514" s="332"/>
      <c r="FWA514" s="332"/>
      <c r="FWB514" s="332"/>
      <c r="FWC514" s="332"/>
      <c r="FWD514" s="332"/>
      <c r="FWE514" s="332"/>
      <c r="FWF514" s="332"/>
      <c r="FWG514" s="332"/>
      <c r="FWH514" s="332"/>
      <c r="FWI514" s="332"/>
      <c r="FWJ514" s="332"/>
      <c r="FWK514" s="332"/>
      <c r="FWL514" s="332"/>
      <c r="FWM514" s="332"/>
      <c r="FWN514" s="332"/>
      <c r="FWO514" s="332"/>
      <c r="FWP514" s="332"/>
      <c r="FWQ514" s="332"/>
      <c r="FWR514" s="332"/>
      <c r="FWS514" s="332"/>
      <c r="FWT514" s="332"/>
      <c r="FWU514" s="332"/>
      <c r="FWV514" s="332"/>
      <c r="FWW514" s="332"/>
      <c r="FWX514" s="332"/>
      <c r="FWY514" s="332"/>
      <c r="FWZ514" s="332"/>
      <c r="FXA514" s="332"/>
      <c r="FXB514" s="332"/>
      <c r="FXC514" s="332"/>
      <c r="FXD514" s="332"/>
      <c r="FXE514" s="332"/>
      <c r="FXF514" s="332"/>
      <c r="FXG514" s="332"/>
      <c r="FXH514" s="332"/>
      <c r="FXI514" s="332"/>
      <c r="FXJ514" s="332"/>
      <c r="FXK514" s="332"/>
      <c r="FXL514" s="332"/>
      <c r="FXM514" s="332"/>
      <c r="FXN514" s="332"/>
      <c r="FXO514" s="332"/>
      <c r="FXP514" s="332"/>
      <c r="FXQ514" s="332"/>
      <c r="FXR514" s="332"/>
      <c r="FXS514" s="332"/>
      <c r="FXT514" s="332"/>
      <c r="FXU514" s="332"/>
      <c r="FXV514" s="332"/>
      <c r="FXW514" s="332"/>
      <c r="FXX514" s="332"/>
      <c r="FXY514" s="332"/>
      <c r="FXZ514" s="332"/>
      <c r="FYA514" s="332"/>
      <c r="FYB514" s="332"/>
      <c r="FYC514" s="332"/>
      <c r="FYD514" s="332"/>
      <c r="FYE514" s="332"/>
      <c r="FYF514" s="332"/>
      <c r="FYG514" s="332"/>
      <c r="FYH514" s="332"/>
      <c r="FYI514" s="332"/>
      <c r="FYJ514" s="332"/>
      <c r="FYK514" s="332"/>
      <c r="FYL514" s="332"/>
      <c r="FYM514" s="332"/>
      <c r="FYN514" s="332"/>
      <c r="FYO514" s="332"/>
      <c r="FYP514" s="332"/>
      <c r="FYQ514" s="332"/>
      <c r="FYR514" s="332"/>
      <c r="FYS514" s="332"/>
      <c r="FYT514" s="332"/>
      <c r="FYU514" s="332"/>
      <c r="FYV514" s="332"/>
      <c r="FYW514" s="332"/>
      <c r="FYX514" s="332"/>
      <c r="FYY514" s="332"/>
      <c r="FYZ514" s="332"/>
      <c r="FZA514" s="332"/>
      <c r="FZB514" s="332"/>
      <c r="FZC514" s="332"/>
      <c r="FZD514" s="332"/>
      <c r="FZE514" s="332"/>
      <c r="FZF514" s="332"/>
      <c r="FZG514" s="332"/>
      <c r="FZH514" s="332"/>
      <c r="FZI514" s="332"/>
      <c r="FZJ514" s="332"/>
      <c r="FZK514" s="332"/>
      <c r="FZL514" s="332"/>
      <c r="FZM514" s="332"/>
      <c r="FZN514" s="332"/>
      <c r="FZO514" s="332"/>
      <c r="FZP514" s="332"/>
      <c r="FZQ514" s="332"/>
      <c r="FZR514" s="332"/>
      <c r="FZS514" s="332"/>
      <c r="FZT514" s="332"/>
      <c r="FZU514" s="332"/>
      <c r="FZV514" s="332"/>
      <c r="FZW514" s="332"/>
      <c r="FZX514" s="332"/>
      <c r="FZY514" s="332"/>
      <c r="FZZ514" s="332"/>
      <c r="GAA514" s="332"/>
      <c r="GAB514" s="332"/>
      <c r="GAC514" s="332"/>
      <c r="GAD514" s="332"/>
      <c r="GAE514" s="332"/>
      <c r="GAF514" s="332"/>
      <c r="GAG514" s="332"/>
      <c r="GAH514" s="332"/>
      <c r="GAI514" s="332"/>
      <c r="GAJ514" s="332"/>
      <c r="GAK514" s="332"/>
      <c r="GAL514" s="332"/>
      <c r="GAM514" s="332"/>
      <c r="GAN514" s="332"/>
      <c r="GAO514" s="332"/>
      <c r="GAP514" s="332"/>
      <c r="GAQ514" s="332"/>
      <c r="GAR514" s="332"/>
      <c r="GAS514" s="332"/>
      <c r="GAT514" s="332"/>
      <c r="GAU514" s="332"/>
      <c r="GAV514" s="332"/>
      <c r="GAW514" s="332"/>
      <c r="GAX514" s="332"/>
      <c r="GAY514" s="332"/>
      <c r="GAZ514" s="332"/>
      <c r="GBA514" s="332"/>
      <c r="GBB514" s="332"/>
      <c r="GBC514" s="332"/>
      <c r="GBD514" s="332"/>
      <c r="GBE514" s="332"/>
      <c r="GBF514" s="332"/>
      <c r="GBG514" s="332"/>
      <c r="GBH514" s="332"/>
      <c r="GBI514" s="332"/>
      <c r="GBJ514" s="332"/>
      <c r="GBK514" s="332"/>
      <c r="GBL514" s="332"/>
      <c r="GBM514" s="332"/>
      <c r="GBN514" s="332"/>
      <c r="GBO514" s="332"/>
      <c r="GBP514" s="332"/>
      <c r="GBQ514" s="332"/>
      <c r="GBR514" s="332"/>
      <c r="GBS514" s="332"/>
      <c r="GBT514" s="332"/>
      <c r="GBU514" s="332"/>
      <c r="GBV514" s="332"/>
      <c r="GBW514" s="332"/>
      <c r="GBX514" s="332"/>
      <c r="GBY514" s="332"/>
      <c r="GBZ514" s="332"/>
      <c r="GCA514" s="332"/>
      <c r="GCB514" s="332"/>
      <c r="GCC514" s="332"/>
      <c r="GCD514" s="332"/>
      <c r="GCE514" s="332"/>
      <c r="GCF514" s="332"/>
      <c r="GCG514" s="332"/>
      <c r="GCH514" s="332"/>
      <c r="GCI514" s="332"/>
      <c r="GCJ514" s="332"/>
      <c r="GCK514" s="332"/>
      <c r="GCL514" s="332"/>
      <c r="GCM514" s="332"/>
      <c r="GCN514" s="332"/>
      <c r="GCO514" s="332"/>
      <c r="GCP514" s="332"/>
      <c r="GCQ514" s="332"/>
      <c r="GCR514" s="332"/>
      <c r="GCS514" s="332"/>
      <c r="GCT514" s="332"/>
      <c r="GCU514" s="332"/>
      <c r="GCV514" s="332"/>
      <c r="GCW514" s="332"/>
      <c r="GCX514" s="332"/>
      <c r="GCY514" s="332"/>
      <c r="GCZ514" s="332"/>
      <c r="GDA514" s="332"/>
      <c r="GDB514" s="332"/>
      <c r="GDC514" s="332"/>
      <c r="GDD514" s="332"/>
      <c r="GDE514" s="332"/>
      <c r="GDF514" s="332"/>
      <c r="GDG514" s="332"/>
      <c r="GDH514" s="332"/>
      <c r="GDI514" s="332"/>
      <c r="GDJ514" s="332"/>
      <c r="GDK514" s="332"/>
      <c r="GDL514" s="332"/>
      <c r="GDM514" s="332"/>
      <c r="GDN514" s="332"/>
      <c r="GDO514" s="332"/>
      <c r="GDP514" s="332"/>
      <c r="GDQ514" s="332"/>
      <c r="GDR514" s="332"/>
      <c r="GDS514" s="332"/>
      <c r="GDT514" s="332"/>
      <c r="GDU514" s="332"/>
      <c r="GDV514" s="332"/>
      <c r="GDW514" s="332"/>
      <c r="GDX514" s="332"/>
      <c r="GDY514" s="332"/>
      <c r="GDZ514" s="332"/>
      <c r="GEA514" s="332"/>
      <c r="GEB514" s="332"/>
      <c r="GEC514" s="332"/>
      <c r="GED514" s="332"/>
      <c r="GEE514" s="332"/>
      <c r="GEF514" s="332"/>
      <c r="GEG514" s="332"/>
      <c r="GEH514" s="332"/>
      <c r="GEI514" s="332"/>
      <c r="GEJ514" s="332"/>
      <c r="GEK514" s="332"/>
      <c r="GEL514" s="332"/>
      <c r="GEM514" s="332"/>
      <c r="GEN514" s="332"/>
      <c r="GEO514" s="332"/>
      <c r="GEP514" s="332"/>
      <c r="GEQ514" s="332"/>
      <c r="GER514" s="332"/>
      <c r="GES514" s="332"/>
      <c r="GET514" s="332"/>
      <c r="GEU514" s="332"/>
      <c r="GEV514" s="332"/>
      <c r="GEW514" s="332"/>
      <c r="GEX514" s="332"/>
      <c r="GEY514" s="332"/>
      <c r="GEZ514" s="332"/>
      <c r="GFA514" s="332"/>
      <c r="GFB514" s="332"/>
      <c r="GFC514" s="332"/>
      <c r="GFD514" s="332"/>
      <c r="GFE514" s="332"/>
      <c r="GFF514" s="332"/>
      <c r="GFG514" s="332"/>
      <c r="GFH514" s="332"/>
      <c r="GFI514" s="332"/>
      <c r="GFJ514" s="332"/>
      <c r="GFK514" s="332"/>
      <c r="GFL514" s="332"/>
      <c r="GFM514" s="332"/>
      <c r="GFN514" s="332"/>
      <c r="GFO514" s="332"/>
      <c r="GFP514" s="332"/>
      <c r="GFQ514" s="332"/>
      <c r="GFR514" s="332"/>
      <c r="GFS514" s="332"/>
      <c r="GFT514" s="332"/>
      <c r="GFU514" s="332"/>
      <c r="GFV514" s="332"/>
      <c r="GFW514" s="332"/>
      <c r="GFX514" s="332"/>
      <c r="GFY514" s="332"/>
      <c r="GFZ514" s="332"/>
      <c r="GGA514" s="332"/>
      <c r="GGB514" s="332"/>
      <c r="GGC514" s="332"/>
      <c r="GGD514" s="332"/>
      <c r="GGE514" s="332"/>
      <c r="GGF514" s="332"/>
      <c r="GGG514" s="332"/>
      <c r="GGH514" s="332"/>
      <c r="GGI514" s="332"/>
      <c r="GGJ514" s="332"/>
      <c r="GGK514" s="332"/>
      <c r="GGL514" s="332"/>
      <c r="GGM514" s="332"/>
      <c r="GGN514" s="332"/>
      <c r="GGO514" s="332"/>
      <c r="GGP514" s="332"/>
      <c r="GGQ514" s="332"/>
      <c r="GGR514" s="332"/>
      <c r="GGS514" s="332"/>
      <c r="GGT514" s="332"/>
      <c r="GGU514" s="332"/>
      <c r="GGV514" s="332"/>
      <c r="GGW514" s="332"/>
      <c r="GGX514" s="332"/>
      <c r="GGY514" s="332"/>
      <c r="GGZ514" s="332"/>
      <c r="GHA514" s="332"/>
      <c r="GHB514" s="332"/>
      <c r="GHC514" s="332"/>
      <c r="GHD514" s="332"/>
      <c r="GHE514" s="332"/>
      <c r="GHF514" s="332"/>
      <c r="GHG514" s="332"/>
      <c r="GHH514" s="332"/>
      <c r="GHI514" s="332"/>
      <c r="GHJ514" s="332"/>
      <c r="GHK514" s="332"/>
      <c r="GHL514" s="332"/>
      <c r="GHM514" s="332"/>
      <c r="GHN514" s="332"/>
      <c r="GHO514" s="332"/>
      <c r="GHP514" s="332"/>
      <c r="GHQ514" s="332"/>
      <c r="GHR514" s="332"/>
      <c r="GHS514" s="332"/>
      <c r="GHT514" s="332"/>
      <c r="GHU514" s="332"/>
      <c r="GHV514" s="332"/>
      <c r="GHW514" s="332"/>
      <c r="GHX514" s="332"/>
      <c r="GHY514" s="332"/>
      <c r="GHZ514" s="332"/>
      <c r="GIA514" s="332"/>
      <c r="GIB514" s="332"/>
      <c r="GIC514" s="332"/>
      <c r="GID514" s="332"/>
      <c r="GIE514" s="332"/>
      <c r="GIF514" s="332"/>
      <c r="GIG514" s="332"/>
      <c r="GIH514" s="332"/>
      <c r="GII514" s="332"/>
      <c r="GIJ514" s="332"/>
      <c r="GIK514" s="332"/>
      <c r="GIL514" s="332"/>
      <c r="GIM514" s="332"/>
      <c r="GIN514" s="332"/>
      <c r="GIO514" s="332"/>
      <c r="GIP514" s="332"/>
      <c r="GIQ514" s="332"/>
      <c r="GIR514" s="332"/>
      <c r="GIS514" s="332"/>
      <c r="GIT514" s="332"/>
      <c r="GIU514" s="332"/>
      <c r="GIV514" s="332"/>
      <c r="GIW514" s="332"/>
      <c r="GIX514" s="332"/>
      <c r="GIY514" s="332"/>
      <c r="GIZ514" s="332"/>
      <c r="GJA514" s="332"/>
      <c r="GJB514" s="332"/>
      <c r="GJC514" s="332"/>
      <c r="GJD514" s="332"/>
      <c r="GJE514" s="332"/>
      <c r="GJF514" s="332"/>
      <c r="GJG514" s="332"/>
      <c r="GJH514" s="332"/>
      <c r="GJI514" s="332"/>
      <c r="GJJ514" s="332"/>
      <c r="GJK514" s="332"/>
      <c r="GJL514" s="332"/>
      <c r="GJM514" s="332"/>
      <c r="GJN514" s="332"/>
      <c r="GJO514" s="332"/>
      <c r="GJP514" s="332"/>
      <c r="GJQ514" s="332"/>
      <c r="GJR514" s="332"/>
      <c r="GJS514" s="332"/>
      <c r="GJT514" s="332"/>
      <c r="GJU514" s="332"/>
      <c r="GJV514" s="332"/>
      <c r="GJW514" s="332"/>
      <c r="GJX514" s="332"/>
      <c r="GJY514" s="332"/>
      <c r="GJZ514" s="332"/>
      <c r="GKA514" s="332"/>
      <c r="GKB514" s="332"/>
      <c r="GKC514" s="332"/>
      <c r="GKD514" s="332"/>
      <c r="GKE514" s="332"/>
      <c r="GKF514" s="332"/>
      <c r="GKG514" s="332"/>
      <c r="GKH514" s="332"/>
      <c r="GKI514" s="332"/>
      <c r="GKJ514" s="332"/>
      <c r="GKK514" s="332"/>
      <c r="GKL514" s="332"/>
      <c r="GKM514" s="332"/>
      <c r="GKN514" s="332"/>
      <c r="GKO514" s="332"/>
      <c r="GKP514" s="332"/>
      <c r="GKQ514" s="332"/>
      <c r="GKR514" s="332"/>
      <c r="GKS514" s="332"/>
      <c r="GKT514" s="332"/>
      <c r="GKU514" s="332"/>
      <c r="GKV514" s="332"/>
      <c r="GKW514" s="332"/>
      <c r="GKX514" s="332"/>
      <c r="GKY514" s="332"/>
      <c r="GKZ514" s="332"/>
      <c r="GLA514" s="332"/>
      <c r="GLB514" s="332"/>
      <c r="GLC514" s="332"/>
      <c r="GLD514" s="332"/>
      <c r="GLE514" s="332"/>
      <c r="GLF514" s="332"/>
      <c r="GLG514" s="332"/>
      <c r="GLH514" s="332"/>
      <c r="GLI514" s="332"/>
      <c r="GLJ514" s="332"/>
      <c r="GLK514" s="332"/>
      <c r="GLL514" s="332"/>
      <c r="GLM514" s="332"/>
      <c r="GLN514" s="332"/>
      <c r="GLO514" s="332"/>
      <c r="GLP514" s="332"/>
      <c r="GLQ514" s="332"/>
      <c r="GLR514" s="332"/>
      <c r="GLS514" s="332"/>
      <c r="GLT514" s="332"/>
      <c r="GLU514" s="332"/>
      <c r="GLV514" s="332"/>
      <c r="GLW514" s="332"/>
      <c r="GLX514" s="332"/>
      <c r="GLY514" s="332"/>
      <c r="GLZ514" s="332"/>
      <c r="GMA514" s="332"/>
      <c r="GMB514" s="332"/>
      <c r="GMC514" s="332"/>
      <c r="GMD514" s="332"/>
      <c r="GME514" s="332"/>
      <c r="GMF514" s="332"/>
      <c r="GMG514" s="332"/>
      <c r="GMH514" s="332"/>
      <c r="GMI514" s="332"/>
      <c r="GMJ514" s="332"/>
      <c r="GMK514" s="332"/>
      <c r="GML514" s="332"/>
      <c r="GMM514" s="332"/>
      <c r="GMN514" s="332"/>
      <c r="GMO514" s="332"/>
      <c r="GMP514" s="332"/>
      <c r="GMQ514" s="332"/>
      <c r="GMR514" s="332"/>
      <c r="GMS514" s="332"/>
      <c r="GMT514" s="332"/>
      <c r="GMU514" s="332"/>
      <c r="GMV514" s="332"/>
      <c r="GMW514" s="332"/>
      <c r="GMX514" s="332"/>
      <c r="GMY514" s="332"/>
      <c r="GMZ514" s="332"/>
      <c r="GNA514" s="332"/>
      <c r="GNB514" s="332"/>
      <c r="GNC514" s="332"/>
      <c r="GND514" s="332"/>
      <c r="GNE514" s="332"/>
      <c r="GNF514" s="332"/>
      <c r="GNG514" s="332"/>
      <c r="GNH514" s="332"/>
      <c r="GNI514" s="332"/>
      <c r="GNJ514" s="332"/>
      <c r="GNK514" s="332"/>
      <c r="GNL514" s="332"/>
      <c r="GNM514" s="332"/>
      <c r="GNN514" s="332"/>
      <c r="GNO514" s="332"/>
      <c r="GNP514" s="332"/>
      <c r="GNQ514" s="332"/>
      <c r="GNR514" s="332"/>
      <c r="GNS514" s="332"/>
      <c r="GNT514" s="332"/>
      <c r="GNU514" s="332"/>
      <c r="GNV514" s="332"/>
      <c r="GNW514" s="332"/>
      <c r="GNX514" s="332"/>
      <c r="GNY514" s="332"/>
      <c r="GNZ514" s="332"/>
      <c r="GOA514" s="332"/>
      <c r="GOB514" s="332"/>
      <c r="GOC514" s="332"/>
      <c r="GOD514" s="332"/>
      <c r="GOE514" s="332"/>
      <c r="GOF514" s="332"/>
      <c r="GOG514" s="332"/>
      <c r="GOH514" s="332"/>
      <c r="GOI514" s="332"/>
      <c r="GOJ514" s="332"/>
      <c r="GOK514" s="332"/>
      <c r="GOL514" s="332"/>
      <c r="GOM514" s="332"/>
      <c r="GON514" s="332"/>
      <c r="GOO514" s="332"/>
      <c r="GOP514" s="332"/>
      <c r="GOQ514" s="332"/>
      <c r="GOR514" s="332"/>
      <c r="GOS514" s="332"/>
      <c r="GOT514" s="332"/>
      <c r="GOU514" s="332"/>
      <c r="GOV514" s="332"/>
      <c r="GOW514" s="332"/>
      <c r="GOX514" s="332"/>
      <c r="GOY514" s="332"/>
      <c r="GOZ514" s="332"/>
      <c r="GPA514" s="332"/>
      <c r="GPB514" s="332"/>
      <c r="GPC514" s="332"/>
      <c r="GPD514" s="332"/>
      <c r="GPE514" s="332"/>
      <c r="GPF514" s="332"/>
      <c r="GPG514" s="332"/>
      <c r="GPH514" s="332"/>
      <c r="GPI514" s="332"/>
      <c r="GPJ514" s="332"/>
      <c r="GPK514" s="332"/>
      <c r="GPL514" s="332"/>
      <c r="GPM514" s="332"/>
      <c r="GPN514" s="332"/>
      <c r="GPO514" s="332"/>
      <c r="GPP514" s="332"/>
      <c r="GPQ514" s="332"/>
      <c r="GPR514" s="332"/>
      <c r="GPS514" s="332"/>
      <c r="GPT514" s="332"/>
      <c r="GPU514" s="332"/>
      <c r="GPV514" s="332"/>
      <c r="GPW514" s="332"/>
      <c r="GPX514" s="332"/>
      <c r="GPY514" s="332"/>
      <c r="GPZ514" s="332"/>
      <c r="GQA514" s="332"/>
      <c r="GQB514" s="332"/>
      <c r="GQC514" s="332"/>
      <c r="GQD514" s="332"/>
      <c r="GQE514" s="332"/>
      <c r="GQF514" s="332"/>
      <c r="GQG514" s="332"/>
      <c r="GQH514" s="332"/>
      <c r="GQI514" s="332"/>
      <c r="GQJ514" s="332"/>
      <c r="GQK514" s="332"/>
      <c r="GQL514" s="332"/>
      <c r="GQM514" s="332"/>
      <c r="GQN514" s="332"/>
      <c r="GQO514" s="332"/>
      <c r="GQP514" s="332"/>
      <c r="GQQ514" s="332"/>
      <c r="GQR514" s="332"/>
      <c r="GQS514" s="332"/>
      <c r="GQT514" s="332"/>
      <c r="GQU514" s="332"/>
      <c r="GQV514" s="332"/>
      <c r="GQW514" s="332"/>
      <c r="GQX514" s="332"/>
      <c r="GQY514" s="332"/>
      <c r="GQZ514" s="332"/>
      <c r="GRA514" s="332"/>
      <c r="GRB514" s="332"/>
      <c r="GRC514" s="332"/>
      <c r="GRD514" s="332"/>
      <c r="GRE514" s="332"/>
      <c r="GRF514" s="332"/>
      <c r="GRG514" s="332"/>
      <c r="GRH514" s="332"/>
      <c r="GRI514" s="332"/>
      <c r="GRJ514" s="332"/>
      <c r="GRK514" s="332"/>
      <c r="GRL514" s="332"/>
      <c r="GRM514" s="332"/>
      <c r="GRN514" s="332"/>
      <c r="GRO514" s="332"/>
      <c r="GRP514" s="332"/>
      <c r="GRQ514" s="332"/>
      <c r="GRR514" s="332"/>
      <c r="GRS514" s="332"/>
      <c r="GRT514" s="332"/>
      <c r="GRU514" s="332"/>
      <c r="GRV514" s="332"/>
      <c r="GRW514" s="332"/>
      <c r="GRX514" s="332"/>
      <c r="GRY514" s="332"/>
      <c r="GRZ514" s="332"/>
      <c r="GSA514" s="332"/>
      <c r="GSB514" s="332"/>
      <c r="GSC514" s="332"/>
      <c r="GSD514" s="332"/>
      <c r="GSE514" s="332"/>
      <c r="GSF514" s="332"/>
      <c r="GSG514" s="332"/>
      <c r="GSH514" s="332"/>
      <c r="GSI514" s="332"/>
      <c r="GSJ514" s="332"/>
      <c r="GSK514" s="332"/>
      <c r="GSL514" s="332"/>
      <c r="GSM514" s="332"/>
      <c r="GSN514" s="332"/>
      <c r="GSO514" s="332"/>
      <c r="GSP514" s="332"/>
      <c r="GSQ514" s="332"/>
      <c r="GSR514" s="332"/>
      <c r="GSS514" s="332"/>
      <c r="GST514" s="332"/>
      <c r="GSU514" s="332"/>
      <c r="GSV514" s="332"/>
      <c r="GSW514" s="332"/>
      <c r="GSX514" s="332"/>
      <c r="GSY514" s="332"/>
      <c r="GSZ514" s="332"/>
      <c r="GTA514" s="332"/>
      <c r="GTB514" s="332"/>
      <c r="GTC514" s="332"/>
      <c r="GTD514" s="332"/>
      <c r="GTE514" s="332"/>
      <c r="GTF514" s="332"/>
      <c r="GTG514" s="332"/>
      <c r="GTH514" s="332"/>
      <c r="GTI514" s="332"/>
      <c r="GTJ514" s="332"/>
      <c r="GTK514" s="332"/>
      <c r="GTL514" s="332"/>
      <c r="GTM514" s="332"/>
      <c r="GTN514" s="332"/>
      <c r="GTO514" s="332"/>
      <c r="GTP514" s="332"/>
      <c r="GTQ514" s="332"/>
      <c r="GTR514" s="332"/>
      <c r="GTS514" s="332"/>
      <c r="GTT514" s="332"/>
      <c r="GTU514" s="332"/>
      <c r="GTV514" s="332"/>
      <c r="GTW514" s="332"/>
      <c r="GTX514" s="332"/>
      <c r="GTY514" s="332"/>
      <c r="GTZ514" s="332"/>
      <c r="GUA514" s="332"/>
      <c r="GUB514" s="332"/>
      <c r="GUC514" s="332"/>
      <c r="GUD514" s="332"/>
      <c r="GUE514" s="332"/>
      <c r="GUF514" s="332"/>
      <c r="GUG514" s="332"/>
      <c r="GUH514" s="332"/>
      <c r="GUI514" s="332"/>
      <c r="GUJ514" s="332"/>
      <c r="GUK514" s="332"/>
      <c r="GUL514" s="332"/>
      <c r="GUM514" s="332"/>
      <c r="GUN514" s="332"/>
      <c r="GUO514" s="332"/>
      <c r="GUP514" s="332"/>
      <c r="GUQ514" s="332"/>
      <c r="GUR514" s="332"/>
      <c r="GUS514" s="332"/>
      <c r="GUT514" s="332"/>
      <c r="GUU514" s="332"/>
      <c r="GUV514" s="332"/>
      <c r="GUW514" s="332"/>
      <c r="GUX514" s="332"/>
      <c r="GUY514" s="332"/>
      <c r="GUZ514" s="332"/>
      <c r="GVA514" s="332"/>
      <c r="GVB514" s="332"/>
      <c r="GVC514" s="332"/>
      <c r="GVD514" s="332"/>
      <c r="GVE514" s="332"/>
      <c r="GVF514" s="332"/>
      <c r="GVG514" s="332"/>
      <c r="GVH514" s="332"/>
      <c r="GVI514" s="332"/>
      <c r="GVJ514" s="332"/>
      <c r="GVK514" s="332"/>
      <c r="GVL514" s="332"/>
      <c r="GVM514" s="332"/>
      <c r="GVN514" s="332"/>
      <c r="GVO514" s="332"/>
      <c r="GVP514" s="332"/>
      <c r="GVQ514" s="332"/>
      <c r="GVR514" s="332"/>
      <c r="GVS514" s="332"/>
      <c r="GVT514" s="332"/>
      <c r="GVU514" s="332"/>
      <c r="GVV514" s="332"/>
      <c r="GVW514" s="332"/>
      <c r="GVX514" s="332"/>
      <c r="GVY514" s="332"/>
      <c r="GVZ514" s="332"/>
      <c r="GWA514" s="332"/>
      <c r="GWB514" s="332"/>
      <c r="GWC514" s="332"/>
      <c r="GWD514" s="332"/>
      <c r="GWE514" s="332"/>
      <c r="GWF514" s="332"/>
      <c r="GWG514" s="332"/>
      <c r="GWH514" s="332"/>
      <c r="GWI514" s="332"/>
      <c r="GWJ514" s="332"/>
      <c r="GWK514" s="332"/>
      <c r="GWL514" s="332"/>
      <c r="GWM514" s="332"/>
      <c r="GWN514" s="332"/>
      <c r="GWO514" s="332"/>
      <c r="GWP514" s="332"/>
      <c r="GWQ514" s="332"/>
      <c r="GWR514" s="332"/>
      <c r="GWS514" s="332"/>
      <c r="GWT514" s="332"/>
      <c r="GWU514" s="332"/>
      <c r="GWV514" s="332"/>
      <c r="GWW514" s="332"/>
      <c r="GWX514" s="332"/>
      <c r="GWY514" s="332"/>
      <c r="GWZ514" s="332"/>
      <c r="GXA514" s="332"/>
      <c r="GXB514" s="332"/>
      <c r="GXC514" s="332"/>
      <c r="GXD514" s="332"/>
      <c r="GXE514" s="332"/>
      <c r="GXF514" s="332"/>
      <c r="GXG514" s="332"/>
      <c r="GXH514" s="332"/>
      <c r="GXI514" s="332"/>
      <c r="GXJ514" s="332"/>
      <c r="GXK514" s="332"/>
      <c r="GXL514" s="332"/>
      <c r="GXM514" s="332"/>
      <c r="GXN514" s="332"/>
      <c r="GXO514" s="332"/>
      <c r="GXP514" s="332"/>
      <c r="GXQ514" s="332"/>
      <c r="GXR514" s="332"/>
      <c r="GXS514" s="332"/>
      <c r="GXT514" s="332"/>
      <c r="GXU514" s="332"/>
      <c r="GXV514" s="332"/>
      <c r="GXW514" s="332"/>
      <c r="GXX514" s="332"/>
      <c r="GXY514" s="332"/>
      <c r="GXZ514" s="332"/>
      <c r="GYA514" s="332"/>
      <c r="GYB514" s="332"/>
      <c r="GYC514" s="332"/>
      <c r="GYD514" s="332"/>
      <c r="GYE514" s="332"/>
      <c r="GYF514" s="332"/>
      <c r="GYG514" s="332"/>
      <c r="GYH514" s="332"/>
      <c r="GYI514" s="332"/>
      <c r="GYJ514" s="332"/>
      <c r="GYK514" s="332"/>
      <c r="GYL514" s="332"/>
      <c r="GYM514" s="332"/>
      <c r="GYN514" s="332"/>
      <c r="GYO514" s="332"/>
      <c r="GYP514" s="332"/>
      <c r="GYQ514" s="332"/>
      <c r="GYR514" s="332"/>
      <c r="GYS514" s="332"/>
      <c r="GYT514" s="332"/>
      <c r="GYU514" s="332"/>
      <c r="GYV514" s="332"/>
      <c r="GYW514" s="332"/>
      <c r="GYX514" s="332"/>
      <c r="GYY514" s="332"/>
      <c r="GYZ514" s="332"/>
      <c r="GZA514" s="332"/>
      <c r="GZB514" s="332"/>
      <c r="GZC514" s="332"/>
      <c r="GZD514" s="332"/>
      <c r="GZE514" s="332"/>
      <c r="GZF514" s="332"/>
      <c r="GZG514" s="332"/>
      <c r="GZH514" s="332"/>
      <c r="GZI514" s="332"/>
      <c r="GZJ514" s="332"/>
      <c r="GZK514" s="332"/>
      <c r="GZL514" s="332"/>
      <c r="GZM514" s="332"/>
      <c r="GZN514" s="332"/>
      <c r="GZO514" s="332"/>
      <c r="GZP514" s="332"/>
      <c r="GZQ514" s="332"/>
      <c r="GZR514" s="332"/>
      <c r="GZS514" s="332"/>
      <c r="GZT514" s="332"/>
      <c r="GZU514" s="332"/>
      <c r="GZV514" s="332"/>
      <c r="GZW514" s="332"/>
      <c r="GZX514" s="332"/>
      <c r="GZY514" s="332"/>
      <c r="GZZ514" s="332"/>
      <c r="HAA514" s="332"/>
      <c r="HAB514" s="332"/>
      <c r="HAC514" s="332"/>
      <c r="HAD514" s="332"/>
      <c r="HAE514" s="332"/>
      <c r="HAF514" s="332"/>
      <c r="HAG514" s="332"/>
      <c r="HAH514" s="332"/>
      <c r="HAI514" s="332"/>
      <c r="HAJ514" s="332"/>
      <c r="HAK514" s="332"/>
      <c r="HAL514" s="332"/>
      <c r="HAM514" s="332"/>
      <c r="HAN514" s="332"/>
      <c r="HAO514" s="332"/>
      <c r="HAP514" s="332"/>
      <c r="HAQ514" s="332"/>
      <c r="HAR514" s="332"/>
      <c r="HAS514" s="332"/>
      <c r="HAT514" s="332"/>
      <c r="HAU514" s="332"/>
      <c r="HAV514" s="332"/>
      <c r="HAW514" s="332"/>
      <c r="HAX514" s="332"/>
      <c r="HAY514" s="332"/>
      <c r="HAZ514" s="332"/>
      <c r="HBA514" s="332"/>
      <c r="HBB514" s="332"/>
      <c r="HBC514" s="332"/>
      <c r="HBD514" s="332"/>
      <c r="HBE514" s="332"/>
      <c r="HBF514" s="332"/>
      <c r="HBG514" s="332"/>
      <c r="HBH514" s="332"/>
      <c r="HBI514" s="332"/>
      <c r="HBJ514" s="332"/>
      <c r="HBK514" s="332"/>
      <c r="HBL514" s="332"/>
      <c r="HBM514" s="332"/>
      <c r="HBN514" s="332"/>
      <c r="HBO514" s="332"/>
      <c r="HBP514" s="332"/>
      <c r="HBQ514" s="332"/>
      <c r="HBR514" s="332"/>
      <c r="HBS514" s="332"/>
      <c r="HBT514" s="332"/>
      <c r="HBU514" s="332"/>
      <c r="HBV514" s="332"/>
      <c r="HBW514" s="332"/>
      <c r="HBX514" s="332"/>
      <c r="HBY514" s="332"/>
      <c r="HBZ514" s="332"/>
      <c r="HCA514" s="332"/>
      <c r="HCB514" s="332"/>
      <c r="HCC514" s="332"/>
      <c r="HCD514" s="332"/>
      <c r="HCE514" s="332"/>
      <c r="HCF514" s="332"/>
      <c r="HCG514" s="332"/>
      <c r="HCH514" s="332"/>
      <c r="HCI514" s="332"/>
      <c r="HCJ514" s="332"/>
      <c r="HCK514" s="332"/>
      <c r="HCL514" s="332"/>
      <c r="HCM514" s="332"/>
      <c r="HCN514" s="332"/>
      <c r="HCO514" s="332"/>
      <c r="HCP514" s="332"/>
      <c r="HCQ514" s="332"/>
      <c r="HCR514" s="332"/>
      <c r="HCS514" s="332"/>
      <c r="HCT514" s="332"/>
      <c r="HCU514" s="332"/>
      <c r="HCV514" s="332"/>
      <c r="HCW514" s="332"/>
      <c r="HCX514" s="332"/>
      <c r="HCY514" s="332"/>
      <c r="HCZ514" s="332"/>
      <c r="HDA514" s="332"/>
      <c r="HDB514" s="332"/>
      <c r="HDC514" s="332"/>
      <c r="HDD514" s="332"/>
      <c r="HDE514" s="332"/>
      <c r="HDF514" s="332"/>
      <c r="HDG514" s="332"/>
      <c r="HDH514" s="332"/>
      <c r="HDI514" s="332"/>
      <c r="HDJ514" s="332"/>
      <c r="HDK514" s="332"/>
      <c r="HDL514" s="332"/>
      <c r="HDM514" s="332"/>
      <c r="HDN514" s="332"/>
      <c r="HDO514" s="332"/>
      <c r="HDP514" s="332"/>
      <c r="HDQ514" s="332"/>
      <c r="HDR514" s="332"/>
      <c r="HDS514" s="332"/>
      <c r="HDT514" s="332"/>
      <c r="HDU514" s="332"/>
      <c r="HDV514" s="332"/>
      <c r="HDW514" s="332"/>
      <c r="HDX514" s="332"/>
      <c r="HDY514" s="332"/>
      <c r="HDZ514" s="332"/>
      <c r="HEA514" s="332"/>
      <c r="HEB514" s="332"/>
      <c r="HEC514" s="332"/>
      <c r="HED514" s="332"/>
      <c r="HEE514" s="332"/>
      <c r="HEF514" s="332"/>
      <c r="HEG514" s="332"/>
      <c r="HEH514" s="332"/>
      <c r="HEI514" s="332"/>
      <c r="HEJ514" s="332"/>
      <c r="HEK514" s="332"/>
      <c r="HEL514" s="332"/>
      <c r="HEM514" s="332"/>
      <c r="HEN514" s="332"/>
      <c r="HEO514" s="332"/>
      <c r="HEP514" s="332"/>
      <c r="HEQ514" s="332"/>
      <c r="HER514" s="332"/>
      <c r="HES514" s="332"/>
      <c r="HET514" s="332"/>
      <c r="HEU514" s="332"/>
      <c r="HEV514" s="332"/>
      <c r="HEW514" s="332"/>
      <c r="HEX514" s="332"/>
      <c r="HEY514" s="332"/>
      <c r="HEZ514" s="332"/>
      <c r="HFA514" s="332"/>
      <c r="HFB514" s="332"/>
      <c r="HFC514" s="332"/>
      <c r="HFD514" s="332"/>
      <c r="HFE514" s="332"/>
      <c r="HFF514" s="332"/>
      <c r="HFG514" s="332"/>
      <c r="HFH514" s="332"/>
      <c r="HFI514" s="332"/>
      <c r="HFJ514" s="332"/>
      <c r="HFK514" s="332"/>
      <c r="HFL514" s="332"/>
      <c r="HFM514" s="332"/>
      <c r="HFN514" s="332"/>
      <c r="HFO514" s="332"/>
      <c r="HFP514" s="332"/>
      <c r="HFQ514" s="332"/>
      <c r="HFR514" s="332"/>
      <c r="HFS514" s="332"/>
      <c r="HFT514" s="332"/>
      <c r="HFU514" s="332"/>
      <c r="HFV514" s="332"/>
      <c r="HFW514" s="332"/>
      <c r="HFX514" s="332"/>
      <c r="HFY514" s="332"/>
      <c r="HFZ514" s="332"/>
      <c r="HGA514" s="332"/>
      <c r="HGB514" s="332"/>
      <c r="HGC514" s="332"/>
      <c r="HGD514" s="332"/>
      <c r="HGE514" s="332"/>
      <c r="HGF514" s="332"/>
      <c r="HGG514" s="332"/>
      <c r="HGH514" s="332"/>
      <c r="HGI514" s="332"/>
      <c r="HGJ514" s="332"/>
      <c r="HGK514" s="332"/>
      <c r="HGL514" s="332"/>
      <c r="HGM514" s="332"/>
      <c r="HGN514" s="332"/>
      <c r="HGO514" s="332"/>
      <c r="HGP514" s="332"/>
      <c r="HGQ514" s="332"/>
      <c r="HGR514" s="332"/>
      <c r="HGS514" s="332"/>
      <c r="HGT514" s="332"/>
      <c r="HGU514" s="332"/>
      <c r="HGV514" s="332"/>
      <c r="HGW514" s="332"/>
      <c r="HGX514" s="332"/>
      <c r="HGY514" s="332"/>
      <c r="HGZ514" s="332"/>
      <c r="HHA514" s="332"/>
      <c r="HHB514" s="332"/>
      <c r="HHC514" s="332"/>
      <c r="HHD514" s="332"/>
      <c r="HHE514" s="332"/>
      <c r="HHF514" s="332"/>
      <c r="HHG514" s="332"/>
      <c r="HHH514" s="332"/>
      <c r="HHI514" s="332"/>
      <c r="HHJ514" s="332"/>
      <c r="HHK514" s="332"/>
      <c r="HHL514" s="332"/>
      <c r="HHM514" s="332"/>
      <c r="HHN514" s="332"/>
      <c r="HHO514" s="332"/>
      <c r="HHP514" s="332"/>
      <c r="HHQ514" s="332"/>
      <c r="HHR514" s="332"/>
      <c r="HHS514" s="332"/>
      <c r="HHT514" s="332"/>
      <c r="HHU514" s="332"/>
      <c r="HHV514" s="332"/>
      <c r="HHW514" s="332"/>
      <c r="HHX514" s="332"/>
      <c r="HHY514" s="332"/>
      <c r="HHZ514" s="332"/>
      <c r="HIA514" s="332"/>
      <c r="HIB514" s="332"/>
      <c r="HIC514" s="332"/>
      <c r="HID514" s="332"/>
      <c r="HIE514" s="332"/>
      <c r="HIF514" s="332"/>
      <c r="HIG514" s="332"/>
      <c r="HIH514" s="332"/>
      <c r="HII514" s="332"/>
      <c r="HIJ514" s="332"/>
      <c r="HIK514" s="332"/>
      <c r="HIL514" s="332"/>
      <c r="HIM514" s="332"/>
      <c r="HIN514" s="332"/>
      <c r="HIO514" s="332"/>
      <c r="HIP514" s="332"/>
      <c r="HIQ514" s="332"/>
      <c r="HIR514" s="332"/>
      <c r="HIS514" s="332"/>
      <c r="HIT514" s="332"/>
      <c r="HIU514" s="332"/>
      <c r="HIV514" s="332"/>
      <c r="HIW514" s="332"/>
      <c r="HIX514" s="332"/>
      <c r="HIY514" s="332"/>
      <c r="HIZ514" s="332"/>
      <c r="HJA514" s="332"/>
      <c r="HJB514" s="332"/>
      <c r="HJC514" s="332"/>
      <c r="HJD514" s="332"/>
      <c r="HJE514" s="332"/>
      <c r="HJF514" s="332"/>
      <c r="HJG514" s="332"/>
      <c r="HJH514" s="332"/>
      <c r="HJI514" s="332"/>
      <c r="HJJ514" s="332"/>
      <c r="HJK514" s="332"/>
      <c r="HJL514" s="332"/>
      <c r="HJM514" s="332"/>
      <c r="HJN514" s="332"/>
      <c r="HJO514" s="332"/>
      <c r="HJP514" s="332"/>
      <c r="HJQ514" s="332"/>
      <c r="HJR514" s="332"/>
      <c r="HJS514" s="332"/>
      <c r="HJT514" s="332"/>
      <c r="HJU514" s="332"/>
      <c r="HJV514" s="332"/>
      <c r="HJW514" s="332"/>
      <c r="HJX514" s="332"/>
      <c r="HJY514" s="332"/>
      <c r="HJZ514" s="332"/>
      <c r="HKA514" s="332"/>
      <c r="HKB514" s="332"/>
      <c r="HKC514" s="332"/>
      <c r="HKD514" s="332"/>
      <c r="HKE514" s="332"/>
      <c r="HKF514" s="332"/>
      <c r="HKG514" s="332"/>
      <c r="HKH514" s="332"/>
      <c r="HKI514" s="332"/>
      <c r="HKJ514" s="332"/>
      <c r="HKK514" s="332"/>
      <c r="HKL514" s="332"/>
      <c r="HKM514" s="332"/>
      <c r="HKN514" s="332"/>
      <c r="HKO514" s="332"/>
      <c r="HKP514" s="332"/>
      <c r="HKQ514" s="332"/>
      <c r="HKR514" s="332"/>
      <c r="HKS514" s="332"/>
      <c r="HKT514" s="332"/>
      <c r="HKU514" s="332"/>
      <c r="HKV514" s="332"/>
      <c r="HKW514" s="332"/>
      <c r="HKX514" s="332"/>
      <c r="HKY514" s="332"/>
      <c r="HKZ514" s="332"/>
      <c r="HLA514" s="332"/>
      <c r="HLB514" s="332"/>
      <c r="HLC514" s="332"/>
      <c r="HLD514" s="332"/>
      <c r="HLE514" s="332"/>
      <c r="HLF514" s="332"/>
      <c r="HLG514" s="332"/>
      <c r="HLH514" s="332"/>
      <c r="HLI514" s="332"/>
      <c r="HLJ514" s="332"/>
      <c r="HLK514" s="332"/>
      <c r="HLL514" s="332"/>
      <c r="HLM514" s="332"/>
      <c r="HLN514" s="332"/>
      <c r="HLO514" s="332"/>
      <c r="HLP514" s="332"/>
      <c r="HLQ514" s="332"/>
      <c r="HLR514" s="332"/>
      <c r="HLS514" s="332"/>
      <c r="HLT514" s="332"/>
      <c r="HLU514" s="332"/>
      <c r="HLV514" s="332"/>
      <c r="HLW514" s="332"/>
      <c r="HLX514" s="332"/>
      <c r="HLY514" s="332"/>
      <c r="HLZ514" s="332"/>
      <c r="HMA514" s="332"/>
      <c r="HMB514" s="332"/>
      <c r="HMC514" s="332"/>
      <c r="HMD514" s="332"/>
      <c r="HME514" s="332"/>
      <c r="HMF514" s="332"/>
      <c r="HMG514" s="332"/>
      <c r="HMH514" s="332"/>
      <c r="HMI514" s="332"/>
      <c r="HMJ514" s="332"/>
      <c r="HMK514" s="332"/>
      <c r="HML514" s="332"/>
      <c r="HMM514" s="332"/>
      <c r="HMN514" s="332"/>
      <c r="HMO514" s="332"/>
      <c r="HMP514" s="332"/>
      <c r="HMQ514" s="332"/>
      <c r="HMR514" s="332"/>
      <c r="HMS514" s="332"/>
      <c r="HMT514" s="332"/>
      <c r="HMU514" s="332"/>
      <c r="HMV514" s="332"/>
      <c r="HMW514" s="332"/>
      <c r="HMX514" s="332"/>
      <c r="HMY514" s="332"/>
      <c r="HMZ514" s="332"/>
      <c r="HNA514" s="332"/>
      <c r="HNB514" s="332"/>
      <c r="HNC514" s="332"/>
      <c r="HND514" s="332"/>
      <c r="HNE514" s="332"/>
      <c r="HNF514" s="332"/>
      <c r="HNG514" s="332"/>
      <c r="HNH514" s="332"/>
      <c r="HNI514" s="332"/>
      <c r="HNJ514" s="332"/>
      <c r="HNK514" s="332"/>
      <c r="HNL514" s="332"/>
      <c r="HNM514" s="332"/>
      <c r="HNN514" s="332"/>
      <c r="HNO514" s="332"/>
      <c r="HNP514" s="332"/>
      <c r="HNQ514" s="332"/>
      <c r="HNR514" s="332"/>
      <c r="HNS514" s="332"/>
      <c r="HNT514" s="332"/>
      <c r="HNU514" s="332"/>
      <c r="HNV514" s="332"/>
      <c r="HNW514" s="332"/>
      <c r="HNX514" s="332"/>
      <c r="HNY514" s="332"/>
      <c r="HNZ514" s="332"/>
      <c r="HOA514" s="332"/>
      <c r="HOB514" s="332"/>
      <c r="HOC514" s="332"/>
      <c r="HOD514" s="332"/>
      <c r="HOE514" s="332"/>
      <c r="HOF514" s="332"/>
      <c r="HOG514" s="332"/>
      <c r="HOH514" s="332"/>
      <c r="HOI514" s="332"/>
      <c r="HOJ514" s="332"/>
      <c r="HOK514" s="332"/>
      <c r="HOL514" s="332"/>
      <c r="HOM514" s="332"/>
      <c r="HON514" s="332"/>
      <c r="HOO514" s="332"/>
      <c r="HOP514" s="332"/>
      <c r="HOQ514" s="332"/>
      <c r="HOR514" s="332"/>
      <c r="HOS514" s="332"/>
      <c r="HOT514" s="332"/>
      <c r="HOU514" s="332"/>
      <c r="HOV514" s="332"/>
      <c r="HOW514" s="332"/>
      <c r="HOX514" s="332"/>
      <c r="HOY514" s="332"/>
      <c r="HOZ514" s="332"/>
      <c r="HPA514" s="332"/>
      <c r="HPB514" s="332"/>
      <c r="HPC514" s="332"/>
      <c r="HPD514" s="332"/>
      <c r="HPE514" s="332"/>
      <c r="HPF514" s="332"/>
      <c r="HPG514" s="332"/>
      <c r="HPH514" s="332"/>
      <c r="HPI514" s="332"/>
      <c r="HPJ514" s="332"/>
      <c r="HPK514" s="332"/>
      <c r="HPL514" s="332"/>
      <c r="HPM514" s="332"/>
      <c r="HPN514" s="332"/>
      <c r="HPO514" s="332"/>
      <c r="HPP514" s="332"/>
      <c r="HPQ514" s="332"/>
      <c r="HPR514" s="332"/>
      <c r="HPS514" s="332"/>
      <c r="HPT514" s="332"/>
      <c r="HPU514" s="332"/>
      <c r="HPV514" s="332"/>
      <c r="HPW514" s="332"/>
      <c r="HPX514" s="332"/>
      <c r="HPY514" s="332"/>
      <c r="HPZ514" s="332"/>
      <c r="HQA514" s="332"/>
      <c r="HQB514" s="332"/>
      <c r="HQC514" s="332"/>
      <c r="HQD514" s="332"/>
      <c r="HQE514" s="332"/>
      <c r="HQF514" s="332"/>
      <c r="HQG514" s="332"/>
      <c r="HQH514" s="332"/>
      <c r="HQI514" s="332"/>
      <c r="HQJ514" s="332"/>
      <c r="HQK514" s="332"/>
      <c r="HQL514" s="332"/>
      <c r="HQM514" s="332"/>
      <c r="HQN514" s="332"/>
      <c r="HQO514" s="332"/>
      <c r="HQP514" s="332"/>
      <c r="HQQ514" s="332"/>
      <c r="HQR514" s="332"/>
      <c r="HQS514" s="332"/>
      <c r="HQT514" s="332"/>
      <c r="HQU514" s="332"/>
      <c r="HQV514" s="332"/>
      <c r="HQW514" s="332"/>
      <c r="HQX514" s="332"/>
      <c r="HQY514" s="332"/>
      <c r="HQZ514" s="332"/>
      <c r="HRA514" s="332"/>
      <c r="HRB514" s="332"/>
      <c r="HRC514" s="332"/>
      <c r="HRD514" s="332"/>
      <c r="HRE514" s="332"/>
      <c r="HRF514" s="332"/>
      <c r="HRG514" s="332"/>
      <c r="HRH514" s="332"/>
      <c r="HRI514" s="332"/>
      <c r="HRJ514" s="332"/>
      <c r="HRK514" s="332"/>
      <c r="HRL514" s="332"/>
      <c r="HRM514" s="332"/>
      <c r="HRN514" s="332"/>
      <c r="HRO514" s="332"/>
      <c r="HRP514" s="332"/>
      <c r="HRQ514" s="332"/>
      <c r="HRR514" s="332"/>
      <c r="HRS514" s="332"/>
      <c r="HRT514" s="332"/>
      <c r="HRU514" s="332"/>
      <c r="HRV514" s="332"/>
      <c r="HRW514" s="332"/>
      <c r="HRX514" s="332"/>
      <c r="HRY514" s="332"/>
      <c r="HRZ514" s="332"/>
      <c r="HSA514" s="332"/>
      <c r="HSB514" s="332"/>
      <c r="HSC514" s="332"/>
      <c r="HSD514" s="332"/>
      <c r="HSE514" s="332"/>
      <c r="HSF514" s="332"/>
      <c r="HSG514" s="332"/>
      <c r="HSH514" s="332"/>
      <c r="HSI514" s="332"/>
      <c r="HSJ514" s="332"/>
      <c r="HSK514" s="332"/>
      <c r="HSL514" s="332"/>
      <c r="HSM514" s="332"/>
      <c r="HSN514" s="332"/>
      <c r="HSO514" s="332"/>
      <c r="HSP514" s="332"/>
      <c r="HSQ514" s="332"/>
      <c r="HSR514" s="332"/>
      <c r="HSS514" s="332"/>
      <c r="HST514" s="332"/>
      <c r="HSU514" s="332"/>
      <c r="HSV514" s="332"/>
      <c r="HSW514" s="332"/>
      <c r="HSX514" s="332"/>
      <c r="HSY514" s="332"/>
      <c r="HSZ514" s="332"/>
      <c r="HTA514" s="332"/>
      <c r="HTB514" s="332"/>
      <c r="HTC514" s="332"/>
      <c r="HTD514" s="332"/>
      <c r="HTE514" s="332"/>
      <c r="HTF514" s="332"/>
      <c r="HTG514" s="332"/>
      <c r="HTH514" s="332"/>
      <c r="HTI514" s="332"/>
      <c r="HTJ514" s="332"/>
      <c r="HTK514" s="332"/>
      <c r="HTL514" s="332"/>
      <c r="HTM514" s="332"/>
      <c r="HTN514" s="332"/>
      <c r="HTO514" s="332"/>
      <c r="HTP514" s="332"/>
      <c r="HTQ514" s="332"/>
      <c r="HTR514" s="332"/>
      <c r="HTS514" s="332"/>
      <c r="HTT514" s="332"/>
      <c r="HTU514" s="332"/>
      <c r="HTV514" s="332"/>
      <c r="HTW514" s="332"/>
      <c r="HTX514" s="332"/>
      <c r="HTY514" s="332"/>
      <c r="HTZ514" s="332"/>
      <c r="HUA514" s="332"/>
      <c r="HUB514" s="332"/>
      <c r="HUC514" s="332"/>
      <c r="HUD514" s="332"/>
      <c r="HUE514" s="332"/>
      <c r="HUF514" s="332"/>
      <c r="HUG514" s="332"/>
      <c r="HUH514" s="332"/>
      <c r="HUI514" s="332"/>
      <c r="HUJ514" s="332"/>
      <c r="HUK514" s="332"/>
      <c r="HUL514" s="332"/>
      <c r="HUM514" s="332"/>
      <c r="HUN514" s="332"/>
      <c r="HUO514" s="332"/>
      <c r="HUP514" s="332"/>
      <c r="HUQ514" s="332"/>
      <c r="HUR514" s="332"/>
      <c r="HUS514" s="332"/>
      <c r="HUT514" s="332"/>
      <c r="HUU514" s="332"/>
      <c r="HUV514" s="332"/>
      <c r="HUW514" s="332"/>
      <c r="HUX514" s="332"/>
      <c r="HUY514" s="332"/>
      <c r="HUZ514" s="332"/>
      <c r="HVA514" s="332"/>
      <c r="HVB514" s="332"/>
      <c r="HVC514" s="332"/>
      <c r="HVD514" s="332"/>
      <c r="HVE514" s="332"/>
      <c r="HVF514" s="332"/>
      <c r="HVG514" s="332"/>
      <c r="HVH514" s="332"/>
      <c r="HVI514" s="332"/>
      <c r="HVJ514" s="332"/>
      <c r="HVK514" s="332"/>
      <c r="HVL514" s="332"/>
      <c r="HVM514" s="332"/>
      <c r="HVN514" s="332"/>
      <c r="HVO514" s="332"/>
      <c r="HVP514" s="332"/>
      <c r="HVQ514" s="332"/>
      <c r="HVR514" s="332"/>
      <c r="HVS514" s="332"/>
      <c r="HVT514" s="332"/>
      <c r="HVU514" s="332"/>
      <c r="HVV514" s="332"/>
      <c r="HVW514" s="332"/>
      <c r="HVX514" s="332"/>
      <c r="HVY514" s="332"/>
      <c r="HVZ514" s="332"/>
      <c r="HWA514" s="332"/>
      <c r="HWB514" s="332"/>
      <c r="HWC514" s="332"/>
      <c r="HWD514" s="332"/>
      <c r="HWE514" s="332"/>
      <c r="HWF514" s="332"/>
      <c r="HWG514" s="332"/>
      <c r="HWH514" s="332"/>
      <c r="HWI514" s="332"/>
      <c r="HWJ514" s="332"/>
      <c r="HWK514" s="332"/>
      <c r="HWL514" s="332"/>
      <c r="HWM514" s="332"/>
      <c r="HWN514" s="332"/>
      <c r="HWO514" s="332"/>
      <c r="HWP514" s="332"/>
      <c r="HWQ514" s="332"/>
      <c r="HWR514" s="332"/>
      <c r="HWS514" s="332"/>
      <c r="HWT514" s="332"/>
      <c r="HWU514" s="332"/>
      <c r="HWV514" s="332"/>
      <c r="HWW514" s="332"/>
      <c r="HWX514" s="332"/>
      <c r="HWY514" s="332"/>
      <c r="HWZ514" s="332"/>
      <c r="HXA514" s="332"/>
      <c r="HXB514" s="332"/>
      <c r="HXC514" s="332"/>
      <c r="HXD514" s="332"/>
      <c r="HXE514" s="332"/>
      <c r="HXF514" s="332"/>
      <c r="HXG514" s="332"/>
      <c r="HXH514" s="332"/>
      <c r="HXI514" s="332"/>
      <c r="HXJ514" s="332"/>
      <c r="HXK514" s="332"/>
      <c r="HXL514" s="332"/>
      <c r="HXM514" s="332"/>
      <c r="HXN514" s="332"/>
      <c r="HXO514" s="332"/>
      <c r="HXP514" s="332"/>
      <c r="HXQ514" s="332"/>
      <c r="HXR514" s="332"/>
      <c r="HXS514" s="332"/>
      <c r="HXT514" s="332"/>
      <c r="HXU514" s="332"/>
      <c r="HXV514" s="332"/>
      <c r="HXW514" s="332"/>
      <c r="HXX514" s="332"/>
      <c r="HXY514" s="332"/>
      <c r="HXZ514" s="332"/>
      <c r="HYA514" s="332"/>
      <c r="HYB514" s="332"/>
      <c r="HYC514" s="332"/>
      <c r="HYD514" s="332"/>
      <c r="HYE514" s="332"/>
      <c r="HYF514" s="332"/>
      <c r="HYG514" s="332"/>
      <c r="HYH514" s="332"/>
      <c r="HYI514" s="332"/>
      <c r="HYJ514" s="332"/>
      <c r="HYK514" s="332"/>
      <c r="HYL514" s="332"/>
      <c r="HYM514" s="332"/>
      <c r="HYN514" s="332"/>
      <c r="HYO514" s="332"/>
      <c r="HYP514" s="332"/>
      <c r="HYQ514" s="332"/>
      <c r="HYR514" s="332"/>
      <c r="HYS514" s="332"/>
      <c r="HYT514" s="332"/>
      <c r="HYU514" s="332"/>
      <c r="HYV514" s="332"/>
      <c r="HYW514" s="332"/>
      <c r="HYX514" s="332"/>
      <c r="HYY514" s="332"/>
      <c r="HYZ514" s="332"/>
      <c r="HZA514" s="332"/>
      <c r="HZB514" s="332"/>
      <c r="HZC514" s="332"/>
      <c r="HZD514" s="332"/>
      <c r="HZE514" s="332"/>
      <c r="HZF514" s="332"/>
      <c r="HZG514" s="332"/>
      <c r="HZH514" s="332"/>
      <c r="HZI514" s="332"/>
      <c r="HZJ514" s="332"/>
      <c r="HZK514" s="332"/>
      <c r="HZL514" s="332"/>
      <c r="HZM514" s="332"/>
      <c r="HZN514" s="332"/>
      <c r="HZO514" s="332"/>
      <c r="HZP514" s="332"/>
      <c r="HZQ514" s="332"/>
      <c r="HZR514" s="332"/>
      <c r="HZS514" s="332"/>
      <c r="HZT514" s="332"/>
      <c r="HZU514" s="332"/>
      <c r="HZV514" s="332"/>
      <c r="HZW514" s="332"/>
      <c r="HZX514" s="332"/>
      <c r="HZY514" s="332"/>
      <c r="HZZ514" s="332"/>
      <c r="IAA514" s="332"/>
      <c r="IAB514" s="332"/>
      <c r="IAC514" s="332"/>
      <c r="IAD514" s="332"/>
      <c r="IAE514" s="332"/>
      <c r="IAF514" s="332"/>
      <c r="IAG514" s="332"/>
      <c r="IAH514" s="332"/>
      <c r="IAI514" s="332"/>
      <c r="IAJ514" s="332"/>
      <c r="IAK514" s="332"/>
      <c r="IAL514" s="332"/>
      <c r="IAM514" s="332"/>
      <c r="IAN514" s="332"/>
      <c r="IAO514" s="332"/>
      <c r="IAP514" s="332"/>
      <c r="IAQ514" s="332"/>
      <c r="IAR514" s="332"/>
      <c r="IAS514" s="332"/>
      <c r="IAT514" s="332"/>
      <c r="IAU514" s="332"/>
      <c r="IAV514" s="332"/>
      <c r="IAW514" s="332"/>
      <c r="IAX514" s="332"/>
      <c r="IAY514" s="332"/>
      <c r="IAZ514" s="332"/>
      <c r="IBA514" s="332"/>
      <c r="IBB514" s="332"/>
      <c r="IBC514" s="332"/>
      <c r="IBD514" s="332"/>
      <c r="IBE514" s="332"/>
      <c r="IBF514" s="332"/>
      <c r="IBG514" s="332"/>
      <c r="IBH514" s="332"/>
      <c r="IBI514" s="332"/>
      <c r="IBJ514" s="332"/>
      <c r="IBK514" s="332"/>
      <c r="IBL514" s="332"/>
      <c r="IBM514" s="332"/>
      <c r="IBN514" s="332"/>
      <c r="IBO514" s="332"/>
      <c r="IBP514" s="332"/>
      <c r="IBQ514" s="332"/>
      <c r="IBR514" s="332"/>
      <c r="IBS514" s="332"/>
      <c r="IBT514" s="332"/>
      <c r="IBU514" s="332"/>
      <c r="IBV514" s="332"/>
      <c r="IBW514" s="332"/>
      <c r="IBX514" s="332"/>
      <c r="IBY514" s="332"/>
      <c r="IBZ514" s="332"/>
      <c r="ICA514" s="332"/>
      <c r="ICB514" s="332"/>
      <c r="ICC514" s="332"/>
      <c r="ICD514" s="332"/>
      <c r="ICE514" s="332"/>
      <c r="ICF514" s="332"/>
      <c r="ICG514" s="332"/>
      <c r="ICH514" s="332"/>
      <c r="ICI514" s="332"/>
      <c r="ICJ514" s="332"/>
      <c r="ICK514" s="332"/>
      <c r="ICL514" s="332"/>
      <c r="ICM514" s="332"/>
      <c r="ICN514" s="332"/>
      <c r="ICO514" s="332"/>
      <c r="ICP514" s="332"/>
      <c r="ICQ514" s="332"/>
      <c r="ICR514" s="332"/>
      <c r="ICS514" s="332"/>
      <c r="ICT514" s="332"/>
      <c r="ICU514" s="332"/>
      <c r="ICV514" s="332"/>
      <c r="ICW514" s="332"/>
      <c r="ICX514" s="332"/>
      <c r="ICY514" s="332"/>
      <c r="ICZ514" s="332"/>
      <c r="IDA514" s="332"/>
      <c r="IDB514" s="332"/>
      <c r="IDC514" s="332"/>
      <c r="IDD514" s="332"/>
      <c r="IDE514" s="332"/>
      <c r="IDF514" s="332"/>
      <c r="IDG514" s="332"/>
      <c r="IDH514" s="332"/>
      <c r="IDI514" s="332"/>
      <c r="IDJ514" s="332"/>
      <c r="IDK514" s="332"/>
      <c r="IDL514" s="332"/>
      <c r="IDM514" s="332"/>
      <c r="IDN514" s="332"/>
      <c r="IDO514" s="332"/>
      <c r="IDP514" s="332"/>
      <c r="IDQ514" s="332"/>
      <c r="IDR514" s="332"/>
      <c r="IDS514" s="332"/>
      <c r="IDT514" s="332"/>
      <c r="IDU514" s="332"/>
      <c r="IDV514" s="332"/>
      <c r="IDW514" s="332"/>
      <c r="IDX514" s="332"/>
      <c r="IDY514" s="332"/>
      <c r="IDZ514" s="332"/>
      <c r="IEA514" s="332"/>
      <c r="IEB514" s="332"/>
      <c r="IEC514" s="332"/>
      <c r="IED514" s="332"/>
      <c r="IEE514" s="332"/>
      <c r="IEF514" s="332"/>
      <c r="IEG514" s="332"/>
      <c r="IEH514" s="332"/>
      <c r="IEI514" s="332"/>
      <c r="IEJ514" s="332"/>
      <c r="IEK514" s="332"/>
      <c r="IEL514" s="332"/>
      <c r="IEM514" s="332"/>
      <c r="IEN514" s="332"/>
      <c r="IEO514" s="332"/>
      <c r="IEP514" s="332"/>
      <c r="IEQ514" s="332"/>
      <c r="IER514" s="332"/>
      <c r="IES514" s="332"/>
      <c r="IET514" s="332"/>
      <c r="IEU514" s="332"/>
      <c r="IEV514" s="332"/>
      <c r="IEW514" s="332"/>
      <c r="IEX514" s="332"/>
      <c r="IEY514" s="332"/>
      <c r="IEZ514" s="332"/>
      <c r="IFA514" s="332"/>
      <c r="IFB514" s="332"/>
      <c r="IFC514" s="332"/>
      <c r="IFD514" s="332"/>
      <c r="IFE514" s="332"/>
      <c r="IFF514" s="332"/>
      <c r="IFG514" s="332"/>
      <c r="IFH514" s="332"/>
      <c r="IFI514" s="332"/>
      <c r="IFJ514" s="332"/>
      <c r="IFK514" s="332"/>
      <c r="IFL514" s="332"/>
      <c r="IFM514" s="332"/>
      <c r="IFN514" s="332"/>
      <c r="IFO514" s="332"/>
      <c r="IFP514" s="332"/>
      <c r="IFQ514" s="332"/>
      <c r="IFR514" s="332"/>
      <c r="IFS514" s="332"/>
      <c r="IFT514" s="332"/>
      <c r="IFU514" s="332"/>
      <c r="IFV514" s="332"/>
      <c r="IFW514" s="332"/>
      <c r="IFX514" s="332"/>
      <c r="IFY514" s="332"/>
      <c r="IFZ514" s="332"/>
      <c r="IGA514" s="332"/>
      <c r="IGB514" s="332"/>
      <c r="IGC514" s="332"/>
      <c r="IGD514" s="332"/>
      <c r="IGE514" s="332"/>
      <c r="IGF514" s="332"/>
      <c r="IGG514" s="332"/>
      <c r="IGH514" s="332"/>
      <c r="IGI514" s="332"/>
      <c r="IGJ514" s="332"/>
      <c r="IGK514" s="332"/>
      <c r="IGL514" s="332"/>
      <c r="IGM514" s="332"/>
      <c r="IGN514" s="332"/>
      <c r="IGO514" s="332"/>
      <c r="IGP514" s="332"/>
      <c r="IGQ514" s="332"/>
      <c r="IGR514" s="332"/>
      <c r="IGS514" s="332"/>
      <c r="IGT514" s="332"/>
      <c r="IGU514" s="332"/>
      <c r="IGV514" s="332"/>
      <c r="IGW514" s="332"/>
      <c r="IGX514" s="332"/>
      <c r="IGY514" s="332"/>
      <c r="IGZ514" s="332"/>
      <c r="IHA514" s="332"/>
      <c r="IHB514" s="332"/>
      <c r="IHC514" s="332"/>
      <c r="IHD514" s="332"/>
      <c r="IHE514" s="332"/>
      <c r="IHF514" s="332"/>
      <c r="IHG514" s="332"/>
      <c r="IHH514" s="332"/>
      <c r="IHI514" s="332"/>
      <c r="IHJ514" s="332"/>
      <c r="IHK514" s="332"/>
      <c r="IHL514" s="332"/>
      <c r="IHM514" s="332"/>
      <c r="IHN514" s="332"/>
      <c r="IHO514" s="332"/>
      <c r="IHP514" s="332"/>
      <c r="IHQ514" s="332"/>
      <c r="IHR514" s="332"/>
      <c r="IHS514" s="332"/>
      <c r="IHT514" s="332"/>
      <c r="IHU514" s="332"/>
      <c r="IHV514" s="332"/>
      <c r="IHW514" s="332"/>
      <c r="IHX514" s="332"/>
      <c r="IHY514" s="332"/>
      <c r="IHZ514" s="332"/>
      <c r="IIA514" s="332"/>
      <c r="IIB514" s="332"/>
      <c r="IIC514" s="332"/>
      <c r="IID514" s="332"/>
      <c r="IIE514" s="332"/>
      <c r="IIF514" s="332"/>
      <c r="IIG514" s="332"/>
      <c r="IIH514" s="332"/>
      <c r="III514" s="332"/>
      <c r="IIJ514" s="332"/>
      <c r="IIK514" s="332"/>
      <c r="IIL514" s="332"/>
      <c r="IIM514" s="332"/>
      <c r="IIN514" s="332"/>
      <c r="IIO514" s="332"/>
      <c r="IIP514" s="332"/>
      <c r="IIQ514" s="332"/>
      <c r="IIR514" s="332"/>
      <c r="IIS514" s="332"/>
      <c r="IIT514" s="332"/>
      <c r="IIU514" s="332"/>
      <c r="IIV514" s="332"/>
      <c r="IIW514" s="332"/>
      <c r="IIX514" s="332"/>
      <c r="IIY514" s="332"/>
      <c r="IIZ514" s="332"/>
      <c r="IJA514" s="332"/>
      <c r="IJB514" s="332"/>
      <c r="IJC514" s="332"/>
      <c r="IJD514" s="332"/>
      <c r="IJE514" s="332"/>
      <c r="IJF514" s="332"/>
      <c r="IJG514" s="332"/>
      <c r="IJH514" s="332"/>
      <c r="IJI514" s="332"/>
      <c r="IJJ514" s="332"/>
      <c r="IJK514" s="332"/>
      <c r="IJL514" s="332"/>
      <c r="IJM514" s="332"/>
      <c r="IJN514" s="332"/>
      <c r="IJO514" s="332"/>
      <c r="IJP514" s="332"/>
      <c r="IJQ514" s="332"/>
      <c r="IJR514" s="332"/>
      <c r="IJS514" s="332"/>
      <c r="IJT514" s="332"/>
      <c r="IJU514" s="332"/>
      <c r="IJV514" s="332"/>
      <c r="IJW514" s="332"/>
      <c r="IJX514" s="332"/>
      <c r="IJY514" s="332"/>
      <c r="IJZ514" s="332"/>
      <c r="IKA514" s="332"/>
      <c r="IKB514" s="332"/>
      <c r="IKC514" s="332"/>
      <c r="IKD514" s="332"/>
      <c r="IKE514" s="332"/>
      <c r="IKF514" s="332"/>
      <c r="IKG514" s="332"/>
      <c r="IKH514" s="332"/>
      <c r="IKI514" s="332"/>
      <c r="IKJ514" s="332"/>
      <c r="IKK514" s="332"/>
      <c r="IKL514" s="332"/>
      <c r="IKM514" s="332"/>
      <c r="IKN514" s="332"/>
      <c r="IKO514" s="332"/>
      <c r="IKP514" s="332"/>
      <c r="IKQ514" s="332"/>
      <c r="IKR514" s="332"/>
      <c r="IKS514" s="332"/>
      <c r="IKT514" s="332"/>
      <c r="IKU514" s="332"/>
      <c r="IKV514" s="332"/>
      <c r="IKW514" s="332"/>
      <c r="IKX514" s="332"/>
      <c r="IKY514" s="332"/>
      <c r="IKZ514" s="332"/>
      <c r="ILA514" s="332"/>
      <c r="ILB514" s="332"/>
      <c r="ILC514" s="332"/>
      <c r="ILD514" s="332"/>
      <c r="ILE514" s="332"/>
      <c r="ILF514" s="332"/>
      <c r="ILG514" s="332"/>
      <c r="ILH514" s="332"/>
      <c r="ILI514" s="332"/>
      <c r="ILJ514" s="332"/>
      <c r="ILK514" s="332"/>
      <c r="ILL514" s="332"/>
      <c r="ILM514" s="332"/>
      <c r="ILN514" s="332"/>
      <c r="ILO514" s="332"/>
      <c r="ILP514" s="332"/>
      <c r="ILQ514" s="332"/>
      <c r="ILR514" s="332"/>
      <c r="ILS514" s="332"/>
      <c r="ILT514" s="332"/>
      <c r="ILU514" s="332"/>
      <c r="ILV514" s="332"/>
      <c r="ILW514" s="332"/>
      <c r="ILX514" s="332"/>
      <c r="ILY514" s="332"/>
      <c r="ILZ514" s="332"/>
      <c r="IMA514" s="332"/>
      <c r="IMB514" s="332"/>
      <c r="IMC514" s="332"/>
      <c r="IMD514" s="332"/>
      <c r="IME514" s="332"/>
      <c r="IMF514" s="332"/>
      <c r="IMG514" s="332"/>
      <c r="IMH514" s="332"/>
      <c r="IMI514" s="332"/>
      <c r="IMJ514" s="332"/>
      <c r="IMK514" s="332"/>
      <c r="IML514" s="332"/>
      <c r="IMM514" s="332"/>
      <c r="IMN514" s="332"/>
      <c r="IMO514" s="332"/>
      <c r="IMP514" s="332"/>
      <c r="IMQ514" s="332"/>
      <c r="IMR514" s="332"/>
      <c r="IMS514" s="332"/>
      <c r="IMT514" s="332"/>
      <c r="IMU514" s="332"/>
      <c r="IMV514" s="332"/>
      <c r="IMW514" s="332"/>
      <c r="IMX514" s="332"/>
      <c r="IMY514" s="332"/>
      <c r="IMZ514" s="332"/>
      <c r="INA514" s="332"/>
      <c r="INB514" s="332"/>
      <c r="INC514" s="332"/>
      <c r="IND514" s="332"/>
      <c r="INE514" s="332"/>
      <c r="INF514" s="332"/>
      <c r="ING514" s="332"/>
      <c r="INH514" s="332"/>
      <c r="INI514" s="332"/>
      <c r="INJ514" s="332"/>
      <c r="INK514" s="332"/>
      <c r="INL514" s="332"/>
      <c r="INM514" s="332"/>
      <c r="INN514" s="332"/>
      <c r="INO514" s="332"/>
      <c r="INP514" s="332"/>
      <c r="INQ514" s="332"/>
      <c r="INR514" s="332"/>
      <c r="INS514" s="332"/>
      <c r="INT514" s="332"/>
      <c r="INU514" s="332"/>
      <c r="INV514" s="332"/>
      <c r="INW514" s="332"/>
      <c r="INX514" s="332"/>
      <c r="INY514" s="332"/>
      <c r="INZ514" s="332"/>
      <c r="IOA514" s="332"/>
      <c r="IOB514" s="332"/>
      <c r="IOC514" s="332"/>
      <c r="IOD514" s="332"/>
      <c r="IOE514" s="332"/>
      <c r="IOF514" s="332"/>
      <c r="IOG514" s="332"/>
      <c r="IOH514" s="332"/>
      <c r="IOI514" s="332"/>
      <c r="IOJ514" s="332"/>
      <c r="IOK514" s="332"/>
      <c r="IOL514" s="332"/>
      <c r="IOM514" s="332"/>
      <c r="ION514" s="332"/>
      <c r="IOO514" s="332"/>
      <c r="IOP514" s="332"/>
      <c r="IOQ514" s="332"/>
      <c r="IOR514" s="332"/>
      <c r="IOS514" s="332"/>
      <c r="IOT514" s="332"/>
      <c r="IOU514" s="332"/>
      <c r="IOV514" s="332"/>
      <c r="IOW514" s="332"/>
      <c r="IOX514" s="332"/>
      <c r="IOY514" s="332"/>
      <c r="IOZ514" s="332"/>
      <c r="IPA514" s="332"/>
      <c r="IPB514" s="332"/>
      <c r="IPC514" s="332"/>
      <c r="IPD514" s="332"/>
      <c r="IPE514" s="332"/>
      <c r="IPF514" s="332"/>
      <c r="IPG514" s="332"/>
      <c r="IPH514" s="332"/>
      <c r="IPI514" s="332"/>
      <c r="IPJ514" s="332"/>
      <c r="IPK514" s="332"/>
      <c r="IPL514" s="332"/>
      <c r="IPM514" s="332"/>
      <c r="IPN514" s="332"/>
      <c r="IPO514" s="332"/>
      <c r="IPP514" s="332"/>
      <c r="IPQ514" s="332"/>
      <c r="IPR514" s="332"/>
      <c r="IPS514" s="332"/>
      <c r="IPT514" s="332"/>
      <c r="IPU514" s="332"/>
      <c r="IPV514" s="332"/>
      <c r="IPW514" s="332"/>
      <c r="IPX514" s="332"/>
      <c r="IPY514" s="332"/>
      <c r="IPZ514" s="332"/>
      <c r="IQA514" s="332"/>
      <c r="IQB514" s="332"/>
      <c r="IQC514" s="332"/>
      <c r="IQD514" s="332"/>
      <c r="IQE514" s="332"/>
      <c r="IQF514" s="332"/>
      <c r="IQG514" s="332"/>
      <c r="IQH514" s="332"/>
      <c r="IQI514" s="332"/>
      <c r="IQJ514" s="332"/>
      <c r="IQK514" s="332"/>
      <c r="IQL514" s="332"/>
      <c r="IQM514" s="332"/>
      <c r="IQN514" s="332"/>
      <c r="IQO514" s="332"/>
      <c r="IQP514" s="332"/>
      <c r="IQQ514" s="332"/>
      <c r="IQR514" s="332"/>
      <c r="IQS514" s="332"/>
      <c r="IQT514" s="332"/>
      <c r="IQU514" s="332"/>
      <c r="IQV514" s="332"/>
      <c r="IQW514" s="332"/>
      <c r="IQX514" s="332"/>
      <c r="IQY514" s="332"/>
      <c r="IQZ514" s="332"/>
      <c r="IRA514" s="332"/>
      <c r="IRB514" s="332"/>
      <c r="IRC514" s="332"/>
      <c r="IRD514" s="332"/>
      <c r="IRE514" s="332"/>
      <c r="IRF514" s="332"/>
      <c r="IRG514" s="332"/>
      <c r="IRH514" s="332"/>
      <c r="IRI514" s="332"/>
      <c r="IRJ514" s="332"/>
      <c r="IRK514" s="332"/>
      <c r="IRL514" s="332"/>
      <c r="IRM514" s="332"/>
      <c r="IRN514" s="332"/>
      <c r="IRO514" s="332"/>
      <c r="IRP514" s="332"/>
      <c r="IRQ514" s="332"/>
      <c r="IRR514" s="332"/>
      <c r="IRS514" s="332"/>
      <c r="IRT514" s="332"/>
      <c r="IRU514" s="332"/>
      <c r="IRV514" s="332"/>
      <c r="IRW514" s="332"/>
      <c r="IRX514" s="332"/>
      <c r="IRY514" s="332"/>
      <c r="IRZ514" s="332"/>
      <c r="ISA514" s="332"/>
      <c r="ISB514" s="332"/>
      <c r="ISC514" s="332"/>
      <c r="ISD514" s="332"/>
      <c r="ISE514" s="332"/>
      <c r="ISF514" s="332"/>
      <c r="ISG514" s="332"/>
      <c r="ISH514" s="332"/>
      <c r="ISI514" s="332"/>
      <c r="ISJ514" s="332"/>
      <c r="ISK514" s="332"/>
      <c r="ISL514" s="332"/>
      <c r="ISM514" s="332"/>
      <c r="ISN514" s="332"/>
      <c r="ISO514" s="332"/>
      <c r="ISP514" s="332"/>
      <c r="ISQ514" s="332"/>
      <c r="ISR514" s="332"/>
      <c r="ISS514" s="332"/>
      <c r="IST514" s="332"/>
      <c r="ISU514" s="332"/>
      <c r="ISV514" s="332"/>
      <c r="ISW514" s="332"/>
      <c r="ISX514" s="332"/>
      <c r="ISY514" s="332"/>
      <c r="ISZ514" s="332"/>
      <c r="ITA514" s="332"/>
      <c r="ITB514" s="332"/>
      <c r="ITC514" s="332"/>
      <c r="ITD514" s="332"/>
      <c r="ITE514" s="332"/>
      <c r="ITF514" s="332"/>
      <c r="ITG514" s="332"/>
      <c r="ITH514" s="332"/>
      <c r="ITI514" s="332"/>
      <c r="ITJ514" s="332"/>
      <c r="ITK514" s="332"/>
      <c r="ITL514" s="332"/>
      <c r="ITM514" s="332"/>
      <c r="ITN514" s="332"/>
      <c r="ITO514" s="332"/>
      <c r="ITP514" s="332"/>
      <c r="ITQ514" s="332"/>
      <c r="ITR514" s="332"/>
      <c r="ITS514" s="332"/>
      <c r="ITT514" s="332"/>
      <c r="ITU514" s="332"/>
      <c r="ITV514" s="332"/>
      <c r="ITW514" s="332"/>
      <c r="ITX514" s="332"/>
      <c r="ITY514" s="332"/>
      <c r="ITZ514" s="332"/>
      <c r="IUA514" s="332"/>
      <c r="IUB514" s="332"/>
      <c r="IUC514" s="332"/>
      <c r="IUD514" s="332"/>
      <c r="IUE514" s="332"/>
      <c r="IUF514" s="332"/>
      <c r="IUG514" s="332"/>
      <c r="IUH514" s="332"/>
      <c r="IUI514" s="332"/>
      <c r="IUJ514" s="332"/>
      <c r="IUK514" s="332"/>
      <c r="IUL514" s="332"/>
      <c r="IUM514" s="332"/>
      <c r="IUN514" s="332"/>
      <c r="IUO514" s="332"/>
      <c r="IUP514" s="332"/>
      <c r="IUQ514" s="332"/>
      <c r="IUR514" s="332"/>
      <c r="IUS514" s="332"/>
      <c r="IUT514" s="332"/>
      <c r="IUU514" s="332"/>
      <c r="IUV514" s="332"/>
      <c r="IUW514" s="332"/>
      <c r="IUX514" s="332"/>
      <c r="IUY514" s="332"/>
      <c r="IUZ514" s="332"/>
      <c r="IVA514" s="332"/>
      <c r="IVB514" s="332"/>
      <c r="IVC514" s="332"/>
      <c r="IVD514" s="332"/>
      <c r="IVE514" s="332"/>
      <c r="IVF514" s="332"/>
      <c r="IVG514" s="332"/>
      <c r="IVH514" s="332"/>
      <c r="IVI514" s="332"/>
      <c r="IVJ514" s="332"/>
      <c r="IVK514" s="332"/>
      <c r="IVL514" s="332"/>
      <c r="IVM514" s="332"/>
      <c r="IVN514" s="332"/>
      <c r="IVO514" s="332"/>
      <c r="IVP514" s="332"/>
      <c r="IVQ514" s="332"/>
      <c r="IVR514" s="332"/>
      <c r="IVS514" s="332"/>
      <c r="IVT514" s="332"/>
      <c r="IVU514" s="332"/>
      <c r="IVV514" s="332"/>
      <c r="IVW514" s="332"/>
      <c r="IVX514" s="332"/>
      <c r="IVY514" s="332"/>
      <c r="IVZ514" s="332"/>
      <c r="IWA514" s="332"/>
      <c r="IWB514" s="332"/>
      <c r="IWC514" s="332"/>
      <c r="IWD514" s="332"/>
      <c r="IWE514" s="332"/>
      <c r="IWF514" s="332"/>
      <c r="IWG514" s="332"/>
      <c r="IWH514" s="332"/>
      <c r="IWI514" s="332"/>
      <c r="IWJ514" s="332"/>
      <c r="IWK514" s="332"/>
      <c r="IWL514" s="332"/>
      <c r="IWM514" s="332"/>
      <c r="IWN514" s="332"/>
      <c r="IWO514" s="332"/>
      <c r="IWP514" s="332"/>
      <c r="IWQ514" s="332"/>
      <c r="IWR514" s="332"/>
      <c r="IWS514" s="332"/>
      <c r="IWT514" s="332"/>
      <c r="IWU514" s="332"/>
      <c r="IWV514" s="332"/>
      <c r="IWW514" s="332"/>
      <c r="IWX514" s="332"/>
      <c r="IWY514" s="332"/>
      <c r="IWZ514" s="332"/>
      <c r="IXA514" s="332"/>
      <c r="IXB514" s="332"/>
      <c r="IXC514" s="332"/>
      <c r="IXD514" s="332"/>
      <c r="IXE514" s="332"/>
      <c r="IXF514" s="332"/>
      <c r="IXG514" s="332"/>
      <c r="IXH514" s="332"/>
      <c r="IXI514" s="332"/>
      <c r="IXJ514" s="332"/>
      <c r="IXK514" s="332"/>
      <c r="IXL514" s="332"/>
      <c r="IXM514" s="332"/>
      <c r="IXN514" s="332"/>
      <c r="IXO514" s="332"/>
      <c r="IXP514" s="332"/>
      <c r="IXQ514" s="332"/>
      <c r="IXR514" s="332"/>
      <c r="IXS514" s="332"/>
      <c r="IXT514" s="332"/>
      <c r="IXU514" s="332"/>
      <c r="IXV514" s="332"/>
      <c r="IXW514" s="332"/>
      <c r="IXX514" s="332"/>
      <c r="IXY514" s="332"/>
      <c r="IXZ514" s="332"/>
      <c r="IYA514" s="332"/>
      <c r="IYB514" s="332"/>
      <c r="IYC514" s="332"/>
      <c r="IYD514" s="332"/>
      <c r="IYE514" s="332"/>
      <c r="IYF514" s="332"/>
      <c r="IYG514" s="332"/>
      <c r="IYH514" s="332"/>
      <c r="IYI514" s="332"/>
      <c r="IYJ514" s="332"/>
      <c r="IYK514" s="332"/>
      <c r="IYL514" s="332"/>
      <c r="IYM514" s="332"/>
      <c r="IYN514" s="332"/>
      <c r="IYO514" s="332"/>
      <c r="IYP514" s="332"/>
      <c r="IYQ514" s="332"/>
      <c r="IYR514" s="332"/>
      <c r="IYS514" s="332"/>
      <c r="IYT514" s="332"/>
      <c r="IYU514" s="332"/>
      <c r="IYV514" s="332"/>
      <c r="IYW514" s="332"/>
      <c r="IYX514" s="332"/>
      <c r="IYY514" s="332"/>
      <c r="IYZ514" s="332"/>
      <c r="IZA514" s="332"/>
      <c r="IZB514" s="332"/>
      <c r="IZC514" s="332"/>
      <c r="IZD514" s="332"/>
      <c r="IZE514" s="332"/>
      <c r="IZF514" s="332"/>
      <c r="IZG514" s="332"/>
      <c r="IZH514" s="332"/>
      <c r="IZI514" s="332"/>
      <c r="IZJ514" s="332"/>
      <c r="IZK514" s="332"/>
      <c r="IZL514" s="332"/>
      <c r="IZM514" s="332"/>
      <c r="IZN514" s="332"/>
      <c r="IZO514" s="332"/>
      <c r="IZP514" s="332"/>
      <c r="IZQ514" s="332"/>
      <c r="IZR514" s="332"/>
      <c r="IZS514" s="332"/>
      <c r="IZT514" s="332"/>
      <c r="IZU514" s="332"/>
      <c r="IZV514" s="332"/>
      <c r="IZW514" s="332"/>
      <c r="IZX514" s="332"/>
      <c r="IZY514" s="332"/>
      <c r="IZZ514" s="332"/>
      <c r="JAA514" s="332"/>
      <c r="JAB514" s="332"/>
      <c r="JAC514" s="332"/>
      <c r="JAD514" s="332"/>
      <c r="JAE514" s="332"/>
      <c r="JAF514" s="332"/>
      <c r="JAG514" s="332"/>
      <c r="JAH514" s="332"/>
      <c r="JAI514" s="332"/>
      <c r="JAJ514" s="332"/>
      <c r="JAK514" s="332"/>
      <c r="JAL514" s="332"/>
      <c r="JAM514" s="332"/>
      <c r="JAN514" s="332"/>
      <c r="JAO514" s="332"/>
      <c r="JAP514" s="332"/>
      <c r="JAQ514" s="332"/>
      <c r="JAR514" s="332"/>
      <c r="JAS514" s="332"/>
      <c r="JAT514" s="332"/>
      <c r="JAU514" s="332"/>
      <c r="JAV514" s="332"/>
      <c r="JAW514" s="332"/>
      <c r="JAX514" s="332"/>
      <c r="JAY514" s="332"/>
      <c r="JAZ514" s="332"/>
      <c r="JBA514" s="332"/>
      <c r="JBB514" s="332"/>
      <c r="JBC514" s="332"/>
      <c r="JBD514" s="332"/>
      <c r="JBE514" s="332"/>
      <c r="JBF514" s="332"/>
      <c r="JBG514" s="332"/>
      <c r="JBH514" s="332"/>
      <c r="JBI514" s="332"/>
      <c r="JBJ514" s="332"/>
      <c r="JBK514" s="332"/>
      <c r="JBL514" s="332"/>
      <c r="JBM514" s="332"/>
      <c r="JBN514" s="332"/>
      <c r="JBO514" s="332"/>
      <c r="JBP514" s="332"/>
      <c r="JBQ514" s="332"/>
      <c r="JBR514" s="332"/>
      <c r="JBS514" s="332"/>
      <c r="JBT514" s="332"/>
      <c r="JBU514" s="332"/>
      <c r="JBV514" s="332"/>
      <c r="JBW514" s="332"/>
      <c r="JBX514" s="332"/>
      <c r="JBY514" s="332"/>
      <c r="JBZ514" s="332"/>
      <c r="JCA514" s="332"/>
      <c r="JCB514" s="332"/>
      <c r="JCC514" s="332"/>
      <c r="JCD514" s="332"/>
      <c r="JCE514" s="332"/>
      <c r="JCF514" s="332"/>
      <c r="JCG514" s="332"/>
      <c r="JCH514" s="332"/>
      <c r="JCI514" s="332"/>
      <c r="JCJ514" s="332"/>
      <c r="JCK514" s="332"/>
      <c r="JCL514" s="332"/>
      <c r="JCM514" s="332"/>
      <c r="JCN514" s="332"/>
      <c r="JCO514" s="332"/>
      <c r="JCP514" s="332"/>
      <c r="JCQ514" s="332"/>
      <c r="JCR514" s="332"/>
      <c r="JCS514" s="332"/>
      <c r="JCT514" s="332"/>
      <c r="JCU514" s="332"/>
      <c r="JCV514" s="332"/>
      <c r="JCW514" s="332"/>
      <c r="JCX514" s="332"/>
      <c r="JCY514" s="332"/>
      <c r="JCZ514" s="332"/>
      <c r="JDA514" s="332"/>
      <c r="JDB514" s="332"/>
      <c r="JDC514" s="332"/>
      <c r="JDD514" s="332"/>
      <c r="JDE514" s="332"/>
      <c r="JDF514" s="332"/>
      <c r="JDG514" s="332"/>
      <c r="JDH514" s="332"/>
      <c r="JDI514" s="332"/>
      <c r="JDJ514" s="332"/>
      <c r="JDK514" s="332"/>
      <c r="JDL514" s="332"/>
      <c r="JDM514" s="332"/>
      <c r="JDN514" s="332"/>
      <c r="JDO514" s="332"/>
      <c r="JDP514" s="332"/>
      <c r="JDQ514" s="332"/>
      <c r="JDR514" s="332"/>
      <c r="JDS514" s="332"/>
      <c r="JDT514" s="332"/>
      <c r="JDU514" s="332"/>
      <c r="JDV514" s="332"/>
      <c r="JDW514" s="332"/>
      <c r="JDX514" s="332"/>
      <c r="JDY514" s="332"/>
      <c r="JDZ514" s="332"/>
      <c r="JEA514" s="332"/>
      <c r="JEB514" s="332"/>
      <c r="JEC514" s="332"/>
      <c r="JED514" s="332"/>
      <c r="JEE514" s="332"/>
      <c r="JEF514" s="332"/>
      <c r="JEG514" s="332"/>
      <c r="JEH514" s="332"/>
      <c r="JEI514" s="332"/>
      <c r="JEJ514" s="332"/>
      <c r="JEK514" s="332"/>
      <c r="JEL514" s="332"/>
      <c r="JEM514" s="332"/>
      <c r="JEN514" s="332"/>
      <c r="JEO514" s="332"/>
      <c r="JEP514" s="332"/>
      <c r="JEQ514" s="332"/>
      <c r="JER514" s="332"/>
      <c r="JES514" s="332"/>
      <c r="JET514" s="332"/>
      <c r="JEU514" s="332"/>
      <c r="JEV514" s="332"/>
      <c r="JEW514" s="332"/>
      <c r="JEX514" s="332"/>
      <c r="JEY514" s="332"/>
      <c r="JEZ514" s="332"/>
      <c r="JFA514" s="332"/>
      <c r="JFB514" s="332"/>
      <c r="JFC514" s="332"/>
      <c r="JFD514" s="332"/>
      <c r="JFE514" s="332"/>
      <c r="JFF514" s="332"/>
      <c r="JFG514" s="332"/>
      <c r="JFH514" s="332"/>
      <c r="JFI514" s="332"/>
      <c r="JFJ514" s="332"/>
      <c r="JFK514" s="332"/>
      <c r="JFL514" s="332"/>
      <c r="JFM514" s="332"/>
      <c r="JFN514" s="332"/>
      <c r="JFO514" s="332"/>
      <c r="JFP514" s="332"/>
      <c r="JFQ514" s="332"/>
      <c r="JFR514" s="332"/>
      <c r="JFS514" s="332"/>
      <c r="JFT514" s="332"/>
      <c r="JFU514" s="332"/>
      <c r="JFV514" s="332"/>
      <c r="JFW514" s="332"/>
      <c r="JFX514" s="332"/>
      <c r="JFY514" s="332"/>
      <c r="JFZ514" s="332"/>
      <c r="JGA514" s="332"/>
      <c r="JGB514" s="332"/>
      <c r="JGC514" s="332"/>
      <c r="JGD514" s="332"/>
      <c r="JGE514" s="332"/>
      <c r="JGF514" s="332"/>
      <c r="JGG514" s="332"/>
      <c r="JGH514" s="332"/>
      <c r="JGI514" s="332"/>
      <c r="JGJ514" s="332"/>
      <c r="JGK514" s="332"/>
      <c r="JGL514" s="332"/>
      <c r="JGM514" s="332"/>
      <c r="JGN514" s="332"/>
      <c r="JGO514" s="332"/>
      <c r="JGP514" s="332"/>
      <c r="JGQ514" s="332"/>
      <c r="JGR514" s="332"/>
      <c r="JGS514" s="332"/>
      <c r="JGT514" s="332"/>
      <c r="JGU514" s="332"/>
      <c r="JGV514" s="332"/>
      <c r="JGW514" s="332"/>
      <c r="JGX514" s="332"/>
      <c r="JGY514" s="332"/>
      <c r="JGZ514" s="332"/>
      <c r="JHA514" s="332"/>
      <c r="JHB514" s="332"/>
      <c r="JHC514" s="332"/>
      <c r="JHD514" s="332"/>
      <c r="JHE514" s="332"/>
      <c r="JHF514" s="332"/>
      <c r="JHG514" s="332"/>
      <c r="JHH514" s="332"/>
      <c r="JHI514" s="332"/>
      <c r="JHJ514" s="332"/>
      <c r="JHK514" s="332"/>
      <c r="JHL514" s="332"/>
      <c r="JHM514" s="332"/>
      <c r="JHN514" s="332"/>
      <c r="JHO514" s="332"/>
      <c r="JHP514" s="332"/>
      <c r="JHQ514" s="332"/>
      <c r="JHR514" s="332"/>
      <c r="JHS514" s="332"/>
      <c r="JHT514" s="332"/>
      <c r="JHU514" s="332"/>
      <c r="JHV514" s="332"/>
      <c r="JHW514" s="332"/>
      <c r="JHX514" s="332"/>
      <c r="JHY514" s="332"/>
      <c r="JHZ514" s="332"/>
      <c r="JIA514" s="332"/>
      <c r="JIB514" s="332"/>
      <c r="JIC514" s="332"/>
      <c r="JID514" s="332"/>
      <c r="JIE514" s="332"/>
      <c r="JIF514" s="332"/>
      <c r="JIG514" s="332"/>
      <c r="JIH514" s="332"/>
      <c r="JII514" s="332"/>
      <c r="JIJ514" s="332"/>
      <c r="JIK514" s="332"/>
      <c r="JIL514" s="332"/>
      <c r="JIM514" s="332"/>
      <c r="JIN514" s="332"/>
      <c r="JIO514" s="332"/>
      <c r="JIP514" s="332"/>
      <c r="JIQ514" s="332"/>
      <c r="JIR514" s="332"/>
      <c r="JIS514" s="332"/>
      <c r="JIT514" s="332"/>
      <c r="JIU514" s="332"/>
      <c r="JIV514" s="332"/>
      <c r="JIW514" s="332"/>
      <c r="JIX514" s="332"/>
      <c r="JIY514" s="332"/>
      <c r="JIZ514" s="332"/>
      <c r="JJA514" s="332"/>
      <c r="JJB514" s="332"/>
      <c r="JJC514" s="332"/>
      <c r="JJD514" s="332"/>
      <c r="JJE514" s="332"/>
      <c r="JJF514" s="332"/>
      <c r="JJG514" s="332"/>
      <c r="JJH514" s="332"/>
      <c r="JJI514" s="332"/>
      <c r="JJJ514" s="332"/>
      <c r="JJK514" s="332"/>
      <c r="JJL514" s="332"/>
      <c r="JJM514" s="332"/>
      <c r="JJN514" s="332"/>
      <c r="JJO514" s="332"/>
      <c r="JJP514" s="332"/>
      <c r="JJQ514" s="332"/>
      <c r="JJR514" s="332"/>
      <c r="JJS514" s="332"/>
      <c r="JJT514" s="332"/>
      <c r="JJU514" s="332"/>
      <c r="JJV514" s="332"/>
      <c r="JJW514" s="332"/>
      <c r="JJX514" s="332"/>
      <c r="JJY514" s="332"/>
      <c r="JJZ514" s="332"/>
      <c r="JKA514" s="332"/>
      <c r="JKB514" s="332"/>
      <c r="JKC514" s="332"/>
      <c r="JKD514" s="332"/>
      <c r="JKE514" s="332"/>
      <c r="JKF514" s="332"/>
      <c r="JKG514" s="332"/>
      <c r="JKH514" s="332"/>
      <c r="JKI514" s="332"/>
      <c r="JKJ514" s="332"/>
      <c r="JKK514" s="332"/>
      <c r="JKL514" s="332"/>
      <c r="JKM514" s="332"/>
      <c r="JKN514" s="332"/>
      <c r="JKO514" s="332"/>
      <c r="JKP514" s="332"/>
      <c r="JKQ514" s="332"/>
      <c r="JKR514" s="332"/>
      <c r="JKS514" s="332"/>
      <c r="JKT514" s="332"/>
      <c r="JKU514" s="332"/>
      <c r="JKV514" s="332"/>
      <c r="JKW514" s="332"/>
      <c r="JKX514" s="332"/>
      <c r="JKY514" s="332"/>
      <c r="JKZ514" s="332"/>
      <c r="JLA514" s="332"/>
      <c r="JLB514" s="332"/>
      <c r="JLC514" s="332"/>
      <c r="JLD514" s="332"/>
      <c r="JLE514" s="332"/>
      <c r="JLF514" s="332"/>
      <c r="JLG514" s="332"/>
      <c r="JLH514" s="332"/>
      <c r="JLI514" s="332"/>
      <c r="JLJ514" s="332"/>
      <c r="JLK514" s="332"/>
      <c r="JLL514" s="332"/>
      <c r="JLM514" s="332"/>
      <c r="JLN514" s="332"/>
      <c r="JLO514" s="332"/>
      <c r="JLP514" s="332"/>
      <c r="JLQ514" s="332"/>
      <c r="JLR514" s="332"/>
      <c r="JLS514" s="332"/>
      <c r="JLT514" s="332"/>
      <c r="JLU514" s="332"/>
      <c r="JLV514" s="332"/>
      <c r="JLW514" s="332"/>
      <c r="JLX514" s="332"/>
      <c r="JLY514" s="332"/>
      <c r="JLZ514" s="332"/>
      <c r="JMA514" s="332"/>
      <c r="JMB514" s="332"/>
      <c r="JMC514" s="332"/>
      <c r="JMD514" s="332"/>
      <c r="JME514" s="332"/>
      <c r="JMF514" s="332"/>
      <c r="JMG514" s="332"/>
      <c r="JMH514" s="332"/>
      <c r="JMI514" s="332"/>
      <c r="JMJ514" s="332"/>
      <c r="JMK514" s="332"/>
      <c r="JML514" s="332"/>
      <c r="JMM514" s="332"/>
      <c r="JMN514" s="332"/>
      <c r="JMO514" s="332"/>
      <c r="JMP514" s="332"/>
      <c r="JMQ514" s="332"/>
      <c r="JMR514" s="332"/>
      <c r="JMS514" s="332"/>
      <c r="JMT514" s="332"/>
      <c r="JMU514" s="332"/>
      <c r="JMV514" s="332"/>
      <c r="JMW514" s="332"/>
      <c r="JMX514" s="332"/>
      <c r="JMY514" s="332"/>
      <c r="JMZ514" s="332"/>
      <c r="JNA514" s="332"/>
      <c r="JNB514" s="332"/>
      <c r="JNC514" s="332"/>
      <c r="JND514" s="332"/>
      <c r="JNE514" s="332"/>
      <c r="JNF514" s="332"/>
      <c r="JNG514" s="332"/>
      <c r="JNH514" s="332"/>
      <c r="JNI514" s="332"/>
      <c r="JNJ514" s="332"/>
      <c r="JNK514" s="332"/>
      <c r="JNL514" s="332"/>
      <c r="JNM514" s="332"/>
      <c r="JNN514" s="332"/>
      <c r="JNO514" s="332"/>
      <c r="JNP514" s="332"/>
      <c r="JNQ514" s="332"/>
      <c r="JNR514" s="332"/>
      <c r="JNS514" s="332"/>
      <c r="JNT514" s="332"/>
      <c r="JNU514" s="332"/>
      <c r="JNV514" s="332"/>
      <c r="JNW514" s="332"/>
      <c r="JNX514" s="332"/>
      <c r="JNY514" s="332"/>
      <c r="JNZ514" s="332"/>
      <c r="JOA514" s="332"/>
      <c r="JOB514" s="332"/>
      <c r="JOC514" s="332"/>
      <c r="JOD514" s="332"/>
      <c r="JOE514" s="332"/>
      <c r="JOF514" s="332"/>
      <c r="JOG514" s="332"/>
      <c r="JOH514" s="332"/>
      <c r="JOI514" s="332"/>
      <c r="JOJ514" s="332"/>
      <c r="JOK514" s="332"/>
      <c r="JOL514" s="332"/>
      <c r="JOM514" s="332"/>
      <c r="JON514" s="332"/>
      <c r="JOO514" s="332"/>
      <c r="JOP514" s="332"/>
      <c r="JOQ514" s="332"/>
      <c r="JOR514" s="332"/>
      <c r="JOS514" s="332"/>
      <c r="JOT514" s="332"/>
      <c r="JOU514" s="332"/>
      <c r="JOV514" s="332"/>
      <c r="JOW514" s="332"/>
      <c r="JOX514" s="332"/>
      <c r="JOY514" s="332"/>
      <c r="JOZ514" s="332"/>
      <c r="JPA514" s="332"/>
      <c r="JPB514" s="332"/>
      <c r="JPC514" s="332"/>
      <c r="JPD514" s="332"/>
      <c r="JPE514" s="332"/>
      <c r="JPF514" s="332"/>
      <c r="JPG514" s="332"/>
      <c r="JPH514" s="332"/>
      <c r="JPI514" s="332"/>
      <c r="JPJ514" s="332"/>
      <c r="JPK514" s="332"/>
      <c r="JPL514" s="332"/>
      <c r="JPM514" s="332"/>
      <c r="JPN514" s="332"/>
      <c r="JPO514" s="332"/>
      <c r="JPP514" s="332"/>
      <c r="JPQ514" s="332"/>
      <c r="JPR514" s="332"/>
      <c r="JPS514" s="332"/>
      <c r="JPT514" s="332"/>
      <c r="JPU514" s="332"/>
      <c r="JPV514" s="332"/>
      <c r="JPW514" s="332"/>
      <c r="JPX514" s="332"/>
      <c r="JPY514" s="332"/>
      <c r="JPZ514" s="332"/>
      <c r="JQA514" s="332"/>
      <c r="JQB514" s="332"/>
      <c r="JQC514" s="332"/>
      <c r="JQD514" s="332"/>
      <c r="JQE514" s="332"/>
      <c r="JQF514" s="332"/>
      <c r="JQG514" s="332"/>
      <c r="JQH514" s="332"/>
      <c r="JQI514" s="332"/>
      <c r="JQJ514" s="332"/>
      <c r="JQK514" s="332"/>
      <c r="JQL514" s="332"/>
      <c r="JQM514" s="332"/>
      <c r="JQN514" s="332"/>
      <c r="JQO514" s="332"/>
      <c r="JQP514" s="332"/>
      <c r="JQQ514" s="332"/>
      <c r="JQR514" s="332"/>
      <c r="JQS514" s="332"/>
      <c r="JQT514" s="332"/>
      <c r="JQU514" s="332"/>
      <c r="JQV514" s="332"/>
      <c r="JQW514" s="332"/>
      <c r="JQX514" s="332"/>
      <c r="JQY514" s="332"/>
      <c r="JQZ514" s="332"/>
      <c r="JRA514" s="332"/>
      <c r="JRB514" s="332"/>
      <c r="JRC514" s="332"/>
      <c r="JRD514" s="332"/>
      <c r="JRE514" s="332"/>
      <c r="JRF514" s="332"/>
      <c r="JRG514" s="332"/>
      <c r="JRH514" s="332"/>
      <c r="JRI514" s="332"/>
      <c r="JRJ514" s="332"/>
      <c r="JRK514" s="332"/>
      <c r="JRL514" s="332"/>
      <c r="JRM514" s="332"/>
      <c r="JRN514" s="332"/>
      <c r="JRO514" s="332"/>
      <c r="JRP514" s="332"/>
      <c r="JRQ514" s="332"/>
      <c r="JRR514" s="332"/>
      <c r="JRS514" s="332"/>
      <c r="JRT514" s="332"/>
      <c r="JRU514" s="332"/>
      <c r="JRV514" s="332"/>
      <c r="JRW514" s="332"/>
      <c r="JRX514" s="332"/>
      <c r="JRY514" s="332"/>
      <c r="JRZ514" s="332"/>
      <c r="JSA514" s="332"/>
      <c r="JSB514" s="332"/>
      <c r="JSC514" s="332"/>
      <c r="JSD514" s="332"/>
      <c r="JSE514" s="332"/>
      <c r="JSF514" s="332"/>
      <c r="JSG514" s="332"/>
      <c r="JSH514" s="332"/>
      <c r="JSI514" s="332"/>
      <c r="JSJ514" s="332"/>
      <c r="JSK514" s="332"/>
      <c r="JSL514" s="332"/>
      <c r="JSM514" s="332"/>
      <c r="JSN514" s="332"/>
      <c r="JSO514" s="332"/>
      <c r="JSP514" s="332"/>
      <c r="JSQ514" s="332"/>
      <c r="JSR514" s="332"/>
      <c r="JSS514" s="332"/>
      <c r="JST514" s="332"/>
      <c r="JSU514" s="332"/>
      <c r="JSV514" s="332"/>
      <c r="JSW514" s="332"/>
      <c r="JSX514" s="332"/>
      <c r="JSY514" s="332"/>
      <c r="JSZ514" s="332"/>
      <c r="JTA514" s="332"/>
      <c r="JTB514" s="332"/>
      <c r="JTC514" s="332"/>
      <c r="JTD514" s="332"/>
      <c r="JTE514" s="332"/>
      <c r="JTF514" s="332"/>
      <c r="JTG514" s="332"/>
      <c r="JTH514" s="332"/>
      <c r="JTI514" s="332"/>
      <c r="JTJ514" s="332"/>
      <c r="JTK514" s="332"/>
      <c r="JTL514" s="332"/>
      <c r="JTM514" s="332"/>
      <c r="JTN514" s="332"/>
      <c r="JTO514" s="332"/>
      <c r="JTP514" s="332"/>
      <c r="JTQ514" s="332"/>
      <c r="JTR514" s="332"/>
      <c r="JTS514" s="332"/>
      <c r="JTT514" s="332"/>
      <c r="JTU514" s="332"/>
      <c r="JTV514" s="332"/>
      <c r="JTW514" s="332"/>
      <c r="JTX514" s="332"/>
      <c r="JTY514" s="332"/>
      <c r="JTZ514" s="332"/>
      <c r="JUA514" s="332"/>
      <c r="JUB514" s="332"/>
      <c r="JUC514" s="332"/>
      <c r="JUD514" s="332"/>
      <c r="JUE514" s="332"/>
      <c r="JUF514" s="332"/>
      <c r="JUG514" s="332"/>
      <c r="JUH514" s="332"/>
      <c r="JUI514" s="332"/>
      <c r="JUJ514" s="332"/>
      <c r="JUK514" s="332"/>
      <c r="JUL514" s="332"/>
      <c r="JUM514" s="332"/>
      <c r="JUN514" s="332"/>
      <c r="JUO514" s="332"/>
      <c r="JUP514" s="332"/>
      <c r="JUQ514" s="332"/>
      <c r="JUR514" s="332"/>
      <c r="JUS514" s="332"/>
      <c r="JUT514" s="332"/>
      <c r="JUU514" s="332"/>
      <c r="JUV514" s="332"/>
      <c r="JUW514" s="332"/>
      <c r="JUX514" s="332"/>
      <c r="JUY514" s="332"/>
      <c r="JUZ514" s="332"/>
      <c r="JVA514" s="332"/>
      <c r="JVB514" s="332"/>
      <c r="JVC514" s="332"/>
      <c r="JVD514" s="332"/>
      <c r="JVE514" s="332"/>
      <c r="JVF514" s="332"/>
      <c r="JVG514" s="332"/>
      <c r="JVH514" s="332"/>
      <c r="JVI514" s="332"/>
      <c r="JVJ514" s="332"/>
      <c r="JVK514" s="332"/>
      <c r="JVL514" s="332"/>
      <c r="JVM514" s="332"/>
      <c r="JVN514" s="332"/>
      <c r="JVO514" s="332"/>
      <c r="JVP514" s="332"/>
      <c r="JVQ514" s="332"/>
      <c r="JVR514" s="332"/>
      <c r="JVS514" s="332"/>
      <c r="JVT514" s="332"/>
      <c r="JVU514" s="332"/>
      <c r="JVV514" s="332"/>
      <c r="JVW514" s="332"/>
      <c r="JVX514" s="332"/>
      <c r="JVY514" s="332"/>
      <c r="JVZ514" s="332"/>
      <c r="JWA514" s="332"/>
      <c r="JWB514" s="332"/>
      <c r="JWC514" s="332"/>
      <c r="JWD514" s="332"/>
      <c r="JWE514" s="332"/>
      <c r="JWF514" s="332"/>
      <c r="JWG514" s="332"/>
      <c r="JWH514" s="332"/>
      <c r="JWI514" s="332"/>
      <c r="JWJ514" s="332"/>
      <c r="JWK514" s="332"/>
      <c r="JWL514" s="332"/>
      <c r="JWM514" s="332"/>
      <c r="JWN514" s="332"/>
      <c r="JWO514" s="332"/>
      <c r="JWP514" s="332"/>
      <c r="JWQ514" s="332"/>
      <c r="JWR514" s="332"/>
      <c r="JWS514" s="332"/>
      <c r="JWT514" s="332"/>
      <c r="JWU514" s="332"/>
      <c r="JWV514" s="332"/>
      <c r="JWW514" s="332"/>
      <c r="JWX514" s="332"/>
      <c r="JWY514" s="332"/>
      <c r="JWZ514" s="332"/>
      <c r="JXA514" s="332"/>
      <c r="JXB514" s="332"/>
      <c r="JXC514" s="332"/>
      <c r="JXD514" s="332"/>
      <c r="JXE514" s="332"/>
      <c r="JXF514" s="332"/>
      <c r="JXG514" s="332"/>
      <c r="JXH514" s="332"/>
      <c r="JXI514" s="332"/>
      <c r="JXJ514" s="332"/>
      <c r="JXK514" s="332"/>
      <c r="JXL514" s="332"/>
      <c r="JXM514" s="332"/>
      <c r="JXN514" s="332"/>
      <c r="JXO514" s="332"/>
      <c r="JXP514" s="332"/>
      <c r="JXQ514" s="332"/>
      <c r="JXR514" s="332"/>
      <c r="JXS514" s="332"/>
      <c r="JXT514" s="332"/>
      <c r="JXU514" s="332"/>
      <c r="JXV514" s="332"/>
      <c r="JXW514" s="332"/>
      <c r="JXX514" s="332"/>
      <c r="JXY514" s="332"/>
      <c r="JXZ514" s="332"/>
      <c r="JYA514" s="332"/>
      <c r="JYB514" s="332"/>
      <c r="JYC514" s="332"/>
      <c r="JYD514" s="332"/>
      <c r="JYE514" s="332"/>
      <c r="JYF514" s="332"/>
      <c r="JYG514" s="332"/>
      <c r="JYH514" s="332"/>
      <c r="JYI514" s="332"/>
      <c r="JYJ514" s="332"/>
      <c r="JYK514" s="332"/>
      <c r="JYL514" s="332"/>
      <c r="JYM514" s="332"/>
      <c r="JYN514" s="332"/>
      <c r="JYO514" s="332"/>
      <c r="JYP514" s="332"/>
      <c r="JYQ514" s="332"/>
      <c r="JYR514" s="332"/>
      <c r="JYS514" s="332"/>
      <c r="JYT514" s="332"/>
      <c r="JYU514" s="332"/>
      <c r="JYV514" s="332"/>
      <c r="JYW514" s="332"/>
      <c r="JYX514" s="332"/>
      <c r="JYY514" s="332"/>
      <c r="JYZ514" s="332"/>
      <c r="JZA514" s="332"/>
      <c r="JZB514" s="332"/>
      <c r="JZC514" s="332"/>
      <c r="JZD514" s="332"/>
      <c r="JZE514" s="332"/>
      <c r="JZF514" s="332"/>
      <c r="JZG514" s="332"/>
      <c r="JZH514" s="332"/>
      <c r="JZI514" s="332"/>
      <c r="JZJ514" s="332"/>
      <c r="JZK514" s="332"/>
      <c r="JZL514" s="332"/>
      <c r="JZM514" s="332"/>
      <c r="JZN514" s="332"/>
      <c r="JZO514" s="332"/>
      <c r="JZP514" s="332"/>
      <c r="JZQ514" s="332"/>
      <c r="JZR514" s="332"/>
      <c r="JZS514" s="332"/>
      <c r="JZT514" s="332"/>
      <c r="JZU514" s="332"/>
      <c r="JZV514" s="332"/>
      <c r="JZW514" s="332"/>
      <c r="JZX514" s="332"/>
      <c r="JZY514" s="332"/>
      <c r="JZZ514" s="332"/>
      <c r="KAA514" s="332"/>
      <c r="KAB514" s="332"/>
      <c r="KAC514" s="332"/>
      <c r="KAD514" s="332"/>
      <c r="KAE514" s="332"/>
      <c r="KAF514" s="332"/>
      <c r="KAG514" s="332"/>
      <c r="KAH514" s="332"/>
      <c r="KAI514" s="332"/>
      <c r="KAJ514" s="332"/>
      <c r="KAK514" s="332"/>
      <c r="KAL514" s="332"/>
      <c r="KAM514" s="332"/>
      <c r="KAN514" s="332"/>
      <c r="KAO514" s="332"/>
      <c r="KAP514" s="332"/>
      <c r="KAQ514" s="332"/>
      <c r="KAR514" s="332"/>
      <c r="KAS514" s="332"/>
      <c r="KAT514" s="332"/>
      <c r="KAU514" s="332"/>
      <c r="KAV514" s="332"/>
      <c r="KAW514" s="332"/>
      <c r="KAX514" s="332"/>
      <c r="KAY514" s="332"/>
      <c r="KAZ514" s="332"/>
      <c r="KBA514" s="332"/>
      <c r="KBB514" s="332"/>
      <c r="KBC514" s="332"/>
      <c r="KBD514" s="332"/>
      <c r="KBE514" s="332"/>
      <c r="KBF514" s="332"/>
      <c r="KBG514" s="332"/>
      <c r="KBH514" s="332"/>
      <c r="KBI514" s="332"/>
      <c r="KBJ514" s="332"/>
      <c r="KBK514" s="332"/>
      <c r="KBL514" s="332"/>
      <c r="KBM514" s="332"/>
      <c r="KBN514" s="332"/>
      <c r="KBO514" s="332"/>
      <c r="KBP514" s="332"/>
      <c r="KBQ514" s="332"/>
      <c r="KBR514" s="332"/>
      <c r="KBS514" s="332"/>
      <c r="KBT514" s="332"/>
      <c r="KBU514" s="332"/>
      <c r="KBV514" s="332"/>
      <c r="KBW514" s="332"/>
      <c r="KBX514" s="332"/>
      <c r="KBY514" s="332"/>
      <c r="KBZ514" s="332"/>
      <c r="KCA514" s="332"/>
      <c r="KCB514" s="332"/>
      <c r="KCC514" s="332"/>
      <c r="KCD514" s="332"/>
      <c r="KCE514" s="332"/>
      <c r="KCF514" s="332"/>
      <c r="KCG514" s="332"/>
      <c r="KCH514" s="332"/>
      <c r="KCI514" s="332"/>
      <c r="KCJ514" s="332"/>
      <c r="KCK514" s="332"/>
      <c r="KCL514" s="332"/>
      <c r="KCM514" s="332"/>
      <c r="KCN514" s="332"/>
      <c r="KCO514" s="332"/>
      <c r="KCP514" s="332"/>
      <c r="KCQ514" s="332"/>
      <c r="KCR514" s="332"/>
      <c r="KCS514" s="332"/>
      <c r="KCT514" s="332"/>
      <c r="KCU514" s="332"/>
      <c r="KCV514" s="332"/>
      <c r="KCW514" s="332"/>
      <c r="KCX514" s="332"/>
      <c r="KCY514" s="332"/>
      <c r="KCZ514" s="332"/>
      <c r="KDA514" s="332"/>
      <c r="KDB514" s="332"/>
      <c r="KDC514" s="332"/>
      <c r="KDD514" s="332"/>
      <c r="KDE514" s="332"/>
      <c r="KDF514" s="332"/>
      <c r="KDG514" s="332"/>
      <c r="KDH514" s="332"/>
      <c r="KDI514" s="332"/>
      <c r="KDJ514" s="332"/>
      <c r="KDK514" s="332"/>
      <c r="KDL514" s="332"/>
      <c r="KDM514" s="332"/>
      <c r="KDN514" s="332"/>
      <c r="KDO514" s="332"/>
      <c r="KDP514" s="332"/>
      <c r="KDQ514" s="332"/>
      <c r="KDR514" s="332"/>
      <c r="KDS514" s="332"/>
      <c r="KDT514" s="332"/>
      <c r="KDU514" s="332"/>
      <c r="KDV514" s="332"/>
      <c r="KDW514" s="332"/>
      <c r="KDX514" s="332"/>
      <c r="KDY514" s="332"/>
      <c r="KDZ514" s="332"/>
      <c r="KEA514" s="332"/>
      <c r="KEB514" s="332"/>
      <c r="KEC514" s="332"/>
      <c r="KED514" s="332"/>
      <c r="KEE514" s="332"/>
      <c r="KEF514" s="332"/>
      <c r="KEG514" s="332"/>
      <c r="KEH514" s="332"/>
      <c r="KEI514" s="332"/>
      <c r="KEJ514" s="332"/>
      <c r="KEK514" s="332"/>
      <c r="KEL514" s="332"/>
      <c r="KEM514" s="332"/>
      <c r="KEN514" s="332"/>
      <c r="KEO514" s="332"/>
      <c r="KEP514" s="332"/>
      <c r="KEQ514" s="332"/>
      <c r="KER514" s="332"/>
      <c r="KES514" s="332"/>
      <c r="KET514" s="332"/>
      <c r="KEU514" s="332"/>
      <c r="KEV514" s="332"/>
      <c r="KEW514" s="332"/>
      <c r="KEX514" s="332"/>
      <c r="KEY514" s="332"/>
      <c r="KEZ514" s="332"/>
      <c r="KFA514" s="332"/>
      <c r="KFB514" s="332"/>
      <c r="KFC514" s="332"/>
      <c r="KFD514" s="332"/>
      <c r="KFE514" s="332"/>
      <c r="KFF514" s="332"/>
      <c r="KFG514" s="332"/>
      <c r="KFH514" s="332"/>
      <c r="KFI514" s="332"/>
      <c r="KFJ514" s="332"/>
      <c r="KFK514" s="332"/>
      <c r="KFL514" s="332"/>
      <c r="KFM514" s="332"/>
      <c r="KFN514" s="332"/>
      <c r="KFO514" s="332"/>
      <c r="KFP514" s="332"/>
      <c r="KFQ514" s="332"/>
      <c r="KFR514" s="332"/>
      <c r="KFS514" s="332"/>
      <c r="KFT514" s="332"/>
      <c r="KFU514" s="332"/>
      <c r="KFV514" s="332"/>
      <c r="KFW514" s="332"/>
      <c r="KFX514" s="332"/>
      <c r="KFY514" s="332"/>
      <c r="KFZ514" s="332"/>
      <c r="KGA514" s="332"/>
      <c r="KGB514" s="332"/>
      <c r="KGC514" s="332"/>
      <c r="KGD514" s="332"/>
      <c r="KGE514" s="332"/>
      <c r="KGF514" s="332"/>
      <c r="KGG514" s="332"/>
      <c r="KGH514" s="332"/>
      <c r="KGI514" s="332"/>
      <c r="KGJ514" s="332"/>
      <c r="KGK514" s="332"/>
      <c r="KGL514" s="332"/>
      <c r="KGM514" s="332"/>
      <c r="KGN514" s="332"/>
      <c r="KGO514" s="332"/>
      <c r="KGP514" s="332"/>
      <c r="KGQ514" s="332"/>
      <c r="KGR514" s="332"/>
      <c r="KGS514" s="332"/>
      <c r="KGT514" s="332"/>
      <c r="KGU514" s="332"/>
      <c r="KGV514" s="332"/>
      <c r="KGW514" s="332"/>
      <c r="KGX514" s="332"/>
      <c r="KGY514" s="332"/>
      <c r="KGZ514" s="332"/>
      <c r="KHA514" s="332"/>
      <c r="KHB514" s="332"/>
      <c r="KHC514" s="332"/>
      <c r="KHD514" s="332"/>
      <c r="KHE514" s="332"/>
      <c r="KHF514" s="332"/>
      <c r="KHG514" s="332"/>
      <c r="KHH514" s="332"/>
      <c r="KHI514" s="332"/>
      <c r="KHJ514" s="332"/>
      <c r="KHK514" s="332"/>
      <c r="KHL514" s="332"/>
      <c r="KHM514" s="332"/>
      <c r="KHN514" s="332"/>
      <c r="KHO514" s="332"/>
      <c r="KHP514" s="332"/>
      <c r="KHQ514" s="332"/>
      <c r="KHR514" s="332"/>
      <c r="KHS514" s="332"/>
      <c r="KHT514" s="332"/>
      <c r="KHU514" s="332"/>
      <c r="KHV514" s="332"/>
      <c r="KHW514" s="332"/>
      <c r="KHX514" s="332"/>
      <c r="KHY514" s="332"/>
      <c r="KHZ514" s="332"/>
      <c r="KIA514" s="332"/>
      <c r="KIB514" s="332"/>
      <c r="KIC514" s="332"/>
      <c r="KID514" s="332"/>
      <c r="KIE514" s="332"/>
      <c r="KIF514" s="332"/>
      <c r="KIG514" s="332"/>
      <c r="KIH514" s="332"/>
      <c r="KII514" s="332"/>
      <c r="KIJ514" s="332"/>
      <c r="KIK514" s="332"/>
      <c r="KIL514" s="332"/>
      <c r="KIM514" s="332"/>
      <c r="KIN514" s="332"/>
      <c r="KIO514" s="332"/>
      <c r="KIP514" s="332"/>
      <c r="KIQ514" s="332"/>
      <c r="KIR514" s="332"/>
      <c r="KIS514" s="332"/>
      <c r="KIT514" s="332"/>
      <c r="KIU514" s="332"/>
      <c r="KIV514" s="332"/>
      <c r="KIW514" s="332"/>
      <c r="KIX514" s="332"/>
      <c r="KIY514" s="332"/>
      <c r="KIZ514" s="332"/>
      <c r="KJA514" s="332"/>
      <c r="KJB514" s="332"/>
      <c r="KJC514" s="332"/>
      <c r="KJD514" s="332"/>
      <c r="KJE514" s="332"/>
      <c r="KJF514" s="332"/>
      <c r="KJG514" s="332"/>
      <c r="KJH514" s="332"/>
      <c r="KJI514" s="332"/>
      <c r="KJJ514" s="332"/>
      <c r="KJK514" s="332"/>
      <c r="KJL514" s="332"/>
      <c r="KJM514" s="332"/>
      <c r="KJN514" s="332"/>
      <c r="KJO514" s="332"/>
      <c r="KJP514" s="332"/>
      <c r="KJQ514" s="332"/>
      <c r="KJR514" s="332"/>
      <c r="KJS514" s="332"/>
      <c r="KJT514" s="332"/>
      <c r="KJU514" s="332"/>
      <c r="KJV514" s="332"/>
      <c r="KJW514" s="332"/>
      <c r="KJX514" s="332"/>
      <c r="KJY514" s="332"/>
      <c r="KJZ514" s="332"/>
      <c r="KKA514" s="332"/>
      <c r="KKB514" s="332"/>
      <c r="KKC514" s="332"/>
      <c r="KKD514" s="332"/>
      <c r="KKE514" s="332"/>
      <c r="KKF514" s="332"/>
      <c r="KKG514" s="332"/>
      <c r="KKH514" s="332"/>
      <c r="KKI514" s="332"/>
      <c r="KKJ514" s="332"/>
      <c r="KKK514" s="332"/>
      <c r="KKL514" s="332"/>
      <c r="KKM514" s="332"/>
      <c r="KKN514" s="332"/>
      <c r="KKO514" s="332"/>
      <c r="KKP514" s="332"/>
      <c r="KKQ514" s="332"/>
      <c r="KKR514" s="332"/>
      <c r="KKS514" s="332"/>
      <c r="KKT514" s="332"/>
      <c r="KKU514" s="332"/>
      <c r="KKV514" s="332"/>
      <c r="KKW514" s="332"/>
      <c r="KKX514" s="332"/>
      <c r="KKY514" s="332"/>
      <c r="KKZ514" s="332"/>
      <c r="KLA514" s="332"/>
      <c r="KLB514" s="332"/>
      <c r="KLC514" s="332"/>
      <c r="KLD514" s="332"/>
      <c r="KLE514" s="332"/>
      <c r="KLF514" s="332"/>
      <c r="KLG514" s="332"/>
      <c r="KLH514" s="332"/>
      <c r="KLI514" s="332"/>
      <c r="KLJ514" s="332"/>
      <c r="KLK514" s="332"/>
      <c r="KLL514" s="332"/>
      <c r="KLM514" s="332"/>
      <c r="KLN514" s="332"/>
      <c r="KLO514" s="332"/>
      <c r="KLP514" s="332"/>
      <c r="KLQ514" s="332"/>
      <c r="KLR514" s="332"/>
      <c r="KLS514" s="332"/>
      <c r="KLT514" s="332"/>
      <c r="KLU514" s="332"/>
      <c r="KLV514" s="332"/>
      <c r="KLW514" s="332"/>
      <c r="KLX514" s="332"/>
      <c r="KLY514" s="332"/>
      <c r="KLZ514" s="332"/>
      <c r="KMA514" s="332"/>
      <c r="KMB514" s="332"/>
      <c r="KMC514" s="332"/>
      <c r="KMD514" s="332"/>
      <c r="KME514" s="332"/>
      <c r="KMF514" s="332"/>
      <c r="KMG514" s="332"/>
      <c r="KMH514" s="332"/>
      <c r="KMI514" s="332"/>
      <c r="KMJ514" s="332"/>
      <c r="KMK514" s="332"/>
      <c r="KML514" s="332"/>
      <c r="KMM514" s="332"/>
      <c r="KMN514" s="332"/>
      <c r="KMO514" s="332"/>
      <c r="KMP514" s="332"/>
      <c r="KMQ514" s="332"/>
      <c r="KMR514" s="332"/>
      <c r="KMS514" s="332"/>
      <c r="KMT514" s="332"/>
      <c r="KMU514" s="332"/>
      <c r="KMV514" s="332"/>
      <c r="KMW514" s="332"/>
      <c r="KMX514" s="332"/>
      <c r="KMY514" s="332"/>
      <c r="KMZ514" s="332"/>
      <c r="KNA514" s="332"/>
      <c r="KNB514" s="332"/>
      <c r="KNC514" s="332"/>
      <c r="KND514" s="332"/>
      <c r="KNE514" s="332"/>
      <c r="KNF514" s="332"/>
      <c r="KNG514" s="332"/>
      <c r="KNH514" s="332"/>
      <c r="KNI514" s="332"/>
      <c r="KNJ514" s="332"/>
      <c r="KNK514" s="332"/>
      <c r="KNL514" s="332"/>
      <c r="KNM514" s="332"/>
      <c r="KNN514" s="332"/>
      <c r="KNO514" s="332"/>
      <c r="KNP514" s="332"/>
      <c r="KNQ514" s="332"/>
      <c r="KNR514" s="332"/>
      <c r="KNS514" s="332"/>
      <c r="KNT514" s="332"/>
      <c r="KNU514" s="332"/>
      <c r="KNV514" s="332"/>
      <c r="KNW514" s="332"/>
      <c r="KNX514" s="332"/>
      <c r="KNY514" s="332"/>
      <c r="KNZ514" s="332"/>
      <c r="KOA514" s="332"/>
      <c r="KOB514" s="332"/>
      <c r="KOC514" s="332"/>
      <c r="KOD514" s="332"/>
      <c r="KOE514" s="332"/>
      <c r="KOF514" s="332"/>
      <c r="KOG514" s="332"/>
      <c r="KOH514" s="332"/>
      <c r="KOI514" s="332"/>
      <c r="KOJ514" s="332"/>
      <c r="KOK514" s="332"/>
      <c r="KOL514" s="332"/>
      <c r="KOM514" s="332"/>
      <c r="KON514" s="332"/>
      <c r="KOO514" s="332"/>
      <c r="KOP514" s="332"/>
      <c r="KOQ514" s="332"/>
      <c r="KOR514" s="332"/>
      <c r="KOS514" s="332"/>
      <c r="KOT514" s="332"/>
      <c r="KOU514" s="332"/>
      <c r="KOV514" s="332"/>
      <c r="KOW514" s="332"/>
      <c r="KOX514" s="332"/>
      <c r="KOY514" s="332"/>
      <c r="KOZ514" s="332"/>
      <c r="KPA514" s="332"/>
      <c r="KPB514" s="332"/>
      <c r="KPC514" s="332"/>
      <c r="KPD514" s="332"/>
      <c r="KPE514" s="332"/>
      <c r="KPF514" s="332"/>
      <c r="KPG514" s="332"/>
      <c r="KPH514" s="332"/>
      <c r="KPI514" s="332"/>
      <c r="KPJ514" s="332"/>
      <c r="KPK514" s="332"/>
      <c r="KPL514" s="332"/>
      <c r="KPM514" s="332"/>
      <c r="KPN514" s="332"/>
      <c r="KPO514" s="332"/>
      <c r="KPP514" s="332"/>
      <c r="KPQ514" s="332"/>
      <c r="KPR514" s="332"/>
      <c r="KPS514" s="332"/>
      <c r="KPT514" s="332"/>
      <c r="KPU514" s="332"/>
      <c r="KPV514" s="332"/>
      <c r="KPW514" s="332"/>
      <c r="KPX514" s="332"/>
      <c r="KPY514" s="332"/>
      <c r="KPZ514" s="332"/>
      <c r="KQA514" s="332"/>
      <c r="KQB514" s="332"/>
      <c r="KQC514" s="332"/>
      <c r="KQD514" s="332"/>
      <c r="KQE514" s="332"/>
      <c r="KQF514" s="332"/>
      <c r="KQG514" s="332"/>
      <c r="KQH514" s="332"/>
      <c r="KQI514" s="332"/>
      <c r="KQJ514" s="332"/>
      <c r="KQK514" s="332"/>
      <c r="KQL514" s="332"/>
      <c r="KQM514" s="332"/>
      <c r="KQN514" s="332"/>
      <c r="KQO514" s="332"/>
      <c r="KQP514" s="332"/>
      <c r="KQQ514" s="332"/>
      <c r="KQR514" s="332"/>
      <c r="KQS514" s="332"/>
      <c r="KQT514" s="332"/>
      <c r="KQU514" s="332"/>
      <c r="KQV514" s="332"/>
      <c r="KQW514" s="332"/>
      <c r="KQX514" s="332"/>
      <c r="KQY514" s="332"/>
      <c r="KQZ514" s="332"/>
      <c r="KRA514" s="332"/>
      <c r="KRB514" s="332"/>
      <c r="KRC514" s="332"/>
      <c r="KRD514" s="332"/>
      <c r="KRE514" s="332"/>
      <c r="KRF514" s="332"/>
      <c r="KRG514" s="332"/>
      <c r="KRH514" s="332"/>
      <c r="KRI514" s="332"/>
      <c r="KRJ514" s="332"/>
      <c r="KRK514" s="332"/>
      <c r="KRL514" s="332"/>
      <c r="KRM514" s="332"/>
      <c r="KRN514" s="332"/>
      <c r="KRO514" s="332"/>
      <c r="KRP514" s="332"/>
      <c r="KRQ514" s="332"/>
      <c r="KRR514" s="332"/>
      <c r="KRS514" s="332"/>
      <c r="KRT514" s="332"/>
      <c r="KRU514" s="332"/>
      <c r="KRV514" s="332"/>
      <c r="KRW514" s="332"/>
      <c r="KRX514" s="332"/>
      <c r="KRY514" s="332"/>
      <c r="KRZ514" s="332"/>
      <c r="KSA514" s="332"/>
      <c r="KSB514" s="332"/>
      <c r="KSC514" s="332"/>
      <c r="KSD514" s="332"/>
      <c r="KSE514" s="332"/>
      <c r="KSF514" s="332"/>
      <c r="KSG514" s="332"/>
      <c r="KSH514" s="332"/>
      <c r="KSI514" s="332"/>
      <c r="KSJ514" s="332"/>
      <c r="KSK514" s="332"/>
      <c r="KSL514" s="332"/>
      <c r="KSM514" s="332"/>
      <c r="KSN514" s="332"/>
      <c r="KSO514" s="332"/>
      <c r="KSP514" s="332"/>
      <c r="KSQ514" s="332"/>
      <c r="KSR514" s="332"/>
      <c r="KSS514" s="332"/>
      <c r="KST514" s="332"/>
      <c r="KSU514" s="332"/>
      <c r="KSV514" s="332"/>
      <c r="KSW514" s="332"/>
      <c r="KSX514" s="332"/>
      <c r="KSY514" s="332"/>
      <c r="KSZ514" s="332"/>
      <c r="KTA514" s="332"/>
      <c r="KTB514" s="332"/>
      <c r="KTC514" s="332"/>
      <c r="KTD514" s="332"/>
      <c r="KTE514" s="332"/>
      <c r="KTF514" s="332"/>
      <c r="KTG514" s="332"/>
      <c r="KTH514" s="332"/>
      <c r="KTI514" s="332"/>
      <c r="KTJ514" s="332"/>
      <c r="KTK514" s="332"/>
      <c r="KTL514" s="332"/>
      <c r="KTM514" s="332"/>
      <c r="KTN514" s="332"/>
      <c r="KTO514" s="332"/>
      <c r="KTP514" s="332"/>
      <c r="KTQ514" s="332"/>
      <c r="KTR514" s="332"/>
      <c r="KTS514" s="332"/>
      <c r="KTT514" s="332"/>
      <c r="KTU514" s="332"/>
      <c r="KTV514" s="332"/>
      <c r="KTW514" s="332"/>
      <c r="KTX514" s="332"/>
      <c r="KTY514" s="332"/>
      <c r="KTZ514" s="332"/>
      <c r="KUA514" s="332"/>
      <c r="KUB514" s="332"/>
      <c r="KUC514" s="332"/>
      <c r="KUD514" s="332"/>
      <c r="KUE514" s="332"/>
      <c r="KUF514" s="332"/>
      <c r="KUG514" s="332"/>
      <c r="KUH514" s="332"/>
      <c r="KUI514" s="332"/>
      <c r="KUJ514" s="332"/>
      <c r="KUK514" s="332"/>
      <c r="KUL514" s="332"/>
      <c r="KUM514" s="332"/>
      <c r="KUN514" s="332"/>
      <c r="KUO514" s="332"/>
      <c r="KUP514" s="332"/>
      <c r="KUQ514" s="332"/>
      <c r="KUR514" s="332"/>
      <c r="KUS514" s="332"/>
      <c r="KUT514" s="332"/>
      <c r="KUU514" s="332"/>
      <c r="KUV514" s="332"/>
      <c r="KUW514" s="332"/>
      <c r="KUX514" s="332"/>
      <c r="KUY514" s="332"/>
      <c r="KUZ514" s="332"/>
      <c r="KVA514" s="332"/>
      <c r="KVB514" s="332"/>
      <c r="KVC514" s="332"/>
      <c r="KVD514" s="332"/>
      <c r="KVE514" s="332"/>
      <c r="KVF514" s="332"/>
      <c r="KVG514" s="332"/>
      <c r="KVH514" s="332"/>
      <c r="KVI514" s="332"/>
      <c r="KVJ514" s="332"/>
      <c r="KVK514" s="332"/>
      <c r="KVL514" s="332"/>
      <c r="KVM514" s="332"/>
      <c r="KVN514" s="332"/>
      <c r="KVO514" s="332"/>
      <c r="KVP514" s="332"/>
      <c r="KVQ514" s="332"/>
      <c r="KVR514" s="332"/>
      <c r="KVS514" s="332"/>
      <c r="KVT514" s="332"/>
      <c r="KVU514" s="332"/>
      <c r="KVV514" s="332"/>
      <c r="KVW514" s="332"/>
      <c r="KVX514" s="332"/>
      <c r="KVY514" s="332"/>
      <c r="KVZ514" s="332"/>
      <c r="KWA514" s="332"/>
      <c r="KWB514" s="332"/>
      <c r="KWC514" s="332"/>
      <c r="KWD514" s="332"/>
      <c r="KWE514" s="332"/>
      <c r="KWF514" s="332"/>
      <c r="KWG514" s="332"/>
      <c r="KWH514" s="332"/>
      <c r="KWI514" s="332"/>
      <c r="KWJ514" s="332"/>
      <c r="KWK514" s="332"/>
      <c r="KWL514" s="332"/>
      <c r="KWM514" s="332"/>
      <c r="KWN514" s="332"/>
      <c r="KWO514" s="332"/>
      <c r="KWP514" s="332"/>
      <c r="KWQ514" s="332"/>
      <c r="KWR514" s="332"/>
      <c r="KWS514" s="332"/>
      <c r="KWT514" s="332"/>
      <c r="KWU514" s="332"/>
      <c r="KWV514" s="332"/>
      <c r="KWW514" s="332"/>
      <c r="KWX514" s="332"/>
      <c r="KWY514" s="332"/>
      <c r="KWZ514" s="332"/>
      <c r="KXA514" s="332"/>
      <c r="KXB514" s="332"/>
      <c r="KXC514" s="332"/>
      <c r="KXD514" s="332"/>
      <c r="KXE514" s="332"/>
      <c r="KXF514" s="332"/>
      <c r="KXG514" s="332"/>
      <c r="KXH514" s="332"/>
      <c r="KXI514" s="332"/>
      <c r="KXJ514" s="332"/>
      <c r="KXK514" s="332"/>
      <c r="KXL514" s="332"/>
      <c r="KXM514" s="332"/>
      <c r="KXN514" s="332"/>
      <c r="KXO514" s="332"/>
      <c r="KXP514" s="332"/>
      <c r="KXQ514" s="332"/>
      <c r="KXR514" s="332"/>
      <c r="KXS514" s="332"/>
      <c r="KXT514" s="332"/>
      <c r="KXU514" s="332"/>
      <c r="KXV514" s="332"/>
      <c r="KXW514" s="332"/>
      <c r="KXX514" s="332"/>
      <c r="KXY514" s="332"/>
      <c r="KXZ514" s="332"/>
      <c r="KYA514" s="332"/>
      <c r="KYB514" s="332"/>
      <c r="KYC514" s="332"/>
      <c r="KYD514" s="332"/>
      <c r="KYE514" s="332"/>
      <c r="KYF514" s="332"/>
      <c r="KYG514" s="332"/>
      <c r="KYH514" s="332"/>
      <c r="KYI514" s="332"/>
      <c r="KYJ514" s="332"/>
      <c r="KYK514" s="332"/>
      <c r="KYL514" s="332"/>
      <c r="KYM514" s="332"/>
      <c r="KYN514" s="332"/>
      <c r="KYO514" s="332"/>
      <c r="KYP514" s="332"/>
      <c r="KYQ514" s="332"/>
      <c r="KYR514" s="332"/>
      <c r="KYS514" s="332"/>
      <c r="KYT514" s="332"/>
      <c r="KYU514" s="332"/>
      <c r="KYV514" s="332"/>
      <c r="KYW514" s="332"/>
      <c r="KYX514" s="332"/>
      <c r="KYY514" s="332"/>
      <c r="KYZ514" s="332"/>
      <c r="KZA514" s="332"/>
      <c r="KZB514" s="332"/>
      <c r="KZC514" s="332"/>
      <c r="KZD514" s="332"/>
      <c r="KZE514" s="332"/>
      <c r="KZF514" s="332"/>
      <c r="KZG514" s="332"/>
      <c r="KZH514" s="332"/>
      <c r="KZI514" s="332"/>
      <c r="KZJ514" s="332"/>
      <c r="KZK514" s="332"/>
      <c r="KZL514" s="332"/>
      <c r="KZM514" s="332"/>
      <c r="KZN514" s="332"/>
      <c r="KZO514" s="332"/>
      <c r="KZP514" s="332"/>
      <c r="KZQ514" s="332"/>
      <c r="KZR514" s="332"/>
      <c r="KZS514" s="332"/>
      <c r="KZT514" s="332"/>
      <c r="KZU514" s="332"/>
      <c r="KZV514" s="332"/>
      <c r="KZW514" s="332"/>
      <c r="KZX514" s="332"/>
      <c r="KZY514" s="332"/>
      <c r="KZZ514" s="332"/>
      <c r="LAA514" s="332"/>
      <c r="LAB514" s="332"/>
      <c r="LAC514" s="332"/>
      <c r="LAD514" s="332"/>
      <c r="LAE514" s="332"/>
      <c r="LAF514" s="332"/>
      <c r="LAG514" s="332"/>
      <c r="LAH514" s="332"/>
      <c r="LAI514" s="332"/>
      <c r="LAJ514" s="332"/>
      <c r="LAK514" s="332"/>
      <c r="LAL514" s="332"/>
      <c r="LAM514" s="332"/>
      <c r="LAN514" s="332"/>
      <c r="LAO514" s="332"/>
      <c r="LAP514" s="332"/>
      <c r="LAQ514" s="332"/>
      <c r="LAR514" s="332"/>
      <c r="LAS514" s="332"/>
      <c r="LAT514" s="332"/>
      <c r="LAU514" s="332"/>
      <c r="LAV514" s="332"/>
      <c r="LAW514" s="332"/>
      <c r="LAX514" s="332"/>
      <c r="LAY514" s="332"/>
      <c r="LAZ514" s="332"/>
      <c r="LBA514" s="332"/>
      <c r="LBB514" s="332"/>
      <c r="LBC514" s="332"/>
      <c r="LBD514" s="332"/>
      <c r="LBE514" s="332"/>
      <c r="LBF514" s="332"/>
      <c r="LBG514" s="332"/>
      <c r="LBH514" s="332"/>
      <c r="LBI514" s="332"/>
      <c r="LBJ514" s="332"/>
      <c r="LBK514" s="332"/>
      <c r="LBL514" s="332"/>
      <c r="LBM514" s="332"/>
      <c r="LBN514" s="332"/>
      <c r="LBO514" s="332"/>
      <c r="LBP514" s="332"/>
      <c r="LBQ514" s="332"/>
      <c r="LBR514" s="332"/>
      <c r="LBS514" s="332"/>
      <c r="LBT514" s="332"/>
      <c r="LBU514" s="332"/>
      <c r="LBV514" s="332"/>
      <c r="LBW514" s="332"/>
      <c r="LBX514" s="332"/>
      <c r="LBY514" s="332"/>
      <c r="LBZ514" s="332"/>
      <c r="LCA514" s="332"/>
      <c r="LCB514" s="332"/>
      <c r="LCC514" s="332"/>
      <c r="LCD514" s="332"/>
      <c r="LCE514" s="332"/>
      <c r="LCF514" s="332"/>
      <c r="LCG514" s="332"/>
      <c r="LCH514" s="332"/>
      <c r="LCI514" s="332"/>
      <c r="LCJ514" s="332"/>
      <c r="LCK514" s="332"/>
      <c r="LCL514" s="332"/>
      <c r="LCM514" s="332"/>
      <c r="LCN514" s="332"/>
      <c r="LCO514" s="332"/>
      <c r="LCP514" s="332"/>
      <c r="LCQ514" s="332"/>
      <c r="LCR514" s="332"/>
      <c r="LCS514" s="332"/>
      <c r="LCT514" s="332"/>
      <c r="LCU514" s="332"/>
      <c r="LCV514" s="332"/>
      <c r="LCW514" s="332"/>
      <c r="LCX514" s="332"/>
      <c r="LCY514" s="332"/>
      <c r="LCZ514" s="332"/>
      <c r="LDA514" s="332"/>
      <c r="LDB514" s="332"/>
      <c r="LDC514" s="332"/>
      <c r="LDD514" s="332"/>
      <c r="LDE514" s="332"/>
      <c r="LDF514" s="332"/>
      <c r="LDG514" s="332"/>
      <c r="LDH514" s="332"/>
      <c r="LDI514" s="332"/>
      <c r="LDJ514" s="332"/>
      <c r="LDK514" s="332"/>
      <c r="LDL514" s="332"/>
      <c r="LDM514" s="332"/>
      <c r="LDN514" s="332"/>
      <c r="LDO514" s="332"/>
      <c r="LDP514" s="332"/>
      <c r="LDQ514" s="332"/>
      <c r="LDR514" s="332"/>
      <c r="LDS514" s="332"/>
      <c r="LDT514" s="332"/>
      <c r="LDU514" s="332"/>
      <c r="LDV514" s="332"/>
      <c r="LDW514" s="332"/>
      <c r="LDX514" s="332"/>
      <c r="LDY514" s="332"/>
      <c r="LDZ514" s="332"/>
      <c r="LEA514" s="332"/>
      <c r="LEB514" s="332"/>
      <c r="LEC514" s="332"/>
      <c r="LED514" s="332"/>
      <c r="LEE514" s="332"/>
      <c r="LEF514" s="332"/>
      <c r="LEG514" s="332"/>
      <c r="LEH514" s="332"/>
      <c r="LEI514" s="332"/>
      <c r="LEJ514" s="332"/>
      <c r="LEK514" s="332"/>
      <c r="LEL514" s="332"/>
      <c r="LEM514" s="332"/>
      <c r="LEN514" s="332"/>
      <c r="LEO514" s="332"/>
      <c r="LEP514" s="332"/>
      <c r="LEQ514" s="332"/>
      <c r="LER514" s="332"/>
      <c r="LES514" s="332"/>
      <c r="LET514" s="332"/>
      <c r="LEU514" s="332"/>
      <c r="LEV514" s="332"/>
      <c r="LEW514" s="332"/>
      <c r="LEX514" s="332"/>
      <c r="LEY514" s="332"/>
      <c r="LEZ514" s="332"/>
      <c r="LFA514" s="332"/>
      <c r="LFB514" s="332"/>
      <c r="LFC514" s="332"/>
      <c r="LFD514" s="332"/>
      <c r="LFE514" s="332"/>
      <c r="LFF514" s="332"/>
      <c r="LFG514" s="332"/>
      <c r="LFH514" s="332"/>
      <c r="LFI514" s="332"/>
      <c r="LFJ514" s="332"/>
      <c r="LFK514" s="332"/>
      <c r="LFL514" s="332"/>
      <c r="LFM514" s="332"/>
      <c r="LFN514" s="332"/>
      <c r="LFO514" s="332"/>
      <c r="LFP514" s="332"/>
      <c r="LFQ514" s="332"/>
      <c r="LFR514" s="332"/>
      <c r="LFS514" s="332"/>
      <c r="LFT514" s="332"/>
      <c r="LFU514" s="332"/>
      <c r="LFV514" s="332"/>
      <c r="LFW514" s="332"/>
      <c r="LFX514" s="332"/>
      <c r="LFY514" s="332"/>
      <c r="LFZ514" s="332"/>
      <c r="LGA514" s="332"/>
      <c r="LGB514" s="332"/>
      <c r="LGC514" s="332"/>
      <c r="LGD514" s="332"/>
      <c r="LGE514" s="332"/>
      <c r="LGF514" s="332"/>
      <c r="LGG514" s="332"/>
      <c r="LGH514" s="332"/>
      <c r="LGI514" s="332"/>
      <c r="LGJ514" s="332"/>
      <c r="LGK514" s="332"/>
      <c r="LGL514" s="332"/>
      <c r="LGM514" s="332"/>
      <c r="LGN514" s="332"/>
      <c r="LGO514" s="332"/>
      <c r="LGP514" s="332"/>
      <c r="LGQ514" s="332"/>
      <c r="LGR514" s="332"/>
      <c r="LGS514" s="332"/>
      <c r="LGT514" s="332"/>
      <c r="LGU514" s="332"/>
      <c r="LGV514" s="332"/>
      <c r="LGW514" s="332"/>
      <c r="LGX514" s="332"/>
      <c r="LGY514" s="332"/>
      <c r="LGZ514" s="332"/>
      <c r="LHA514" s="332"/>
      <c r="LHB514" s="332"/>
      <c r="LHC514" s="332"/>
      <c r="LHD514" s="332"/>
      <c r="LHE514" s="332"/>
      <c r="LHF514" s="332"/>
      <c r="LHG514" s="332"/>
      <c r="LHH514" s="332"/>
      <c r="LHI514" s="332"/>
      <c r="LHJ514" s="332"/>
      <c r="LHK514" s="332"/>
      <c r="LHL514" s="332"/>
      <c r="LHM514" s="332"/>
      <c r="LHN514" s="332"/>
      <c r="LHO514" s="332"/>
      <c r="LHP514" s="332"/>
      <c r="LHQ514" s="332"/>
      <c r="LHR514" s="332"/>
      <c r="LHS514" s="332"/>
      <c r="LHT514" s="332"/>
      <c r="LHU514" s="332"/>
      <c r="LHV514" s="332"/>
      <c r="LHW514" s="332"/>
      <c r="LHX514" s="332"/>
      <c r="LHY514" s="332"/>
      <c r="LHZ514" s="332"/>
      <c r="LIA514" s="332"/>
      <c r="LIB514" s="332"/>
      <c r="LIC514" s="332"/>
      <c r="LID514" s="332"/>
      <c r="LIE514" s="332"/>
      <c r="LIF514" s="332"/>
      <c r="LIG514" s="332"/>
      <c r="LIH514" s="332"/>
      <c r="LII514" s="332"/>
      <c r="LIJ514" s="332"/>
      <c r="LIK514" s="332"/>
      <c r="LIL514" s="332"/>
      <c r="LIM514" s="332"/>
      <c r="LIN514" s="332"/>
      <c r="LIO514" s="332"/>
      <c r="LIP514" s="332"/>
      <c r="LIQ514" s="332"/>
      <c r="LIR514" s="332"/>
      <c r="LIS514" s="332"/>
      <c r="LIT514" s="332"/>
      <c r="LIU514" s="332"/>
      <c r="LIV514" s="332"/>
      <c r="LIW514" s="332"/>
      <c r="LIX514" s="332"/>
      <c r="LIY514" s="332"/>
      <c r="LIZ514" s="332"/>
      <c r="LJA514" s="332"/>
      <c r="LJB514" s="332"/>
      <c r="LJC514" s="332"/>
      <c r="LJD514" s="332"/>
      <c r="LJE514" s="332"/>
      <c r="LJF514" s="332"/>
      <c r="LJG514" s="332"/>
      <c r="LJH514" s="332"/>
      <c r="LJI514" s="332"/>
      <c r="LJJ514" s="332"/>
      <c r="LJK514" s="332"/>
      <c r="LJL514" s="332"/>
      <c r="LJM514" s="332"/>
      <c r="LJN514" s="332"/>
      <c r="LJO514" s="332"/>
      <c r="LJP514" s="332"/>
      <c r="LJQ514" s="332"/>
      <c r="LJR514" s="332"/>
      <c r="LJS514" s="332"/>
      <c r="LJT514" s="332"/>
      <c r="LJU514" s="332"/>
      <c r="LJV514" s="332"/>
      <c r="LJW514" s="332"/>
      <c r="LJX514" s="332"/>
      <c r="LJY514" s="332"/>
      <c r="LJZ514" s="332"/>
      <c r="LKA514" s="332"/>
      <c r="LKB514" s="332"/>
      <c r="LKC514" s="332"/>
      <c r="LKD514" s="332"/>
      <c r="LKE514" s="332"/>
      <c r="LKF514" s="332"/>
      <c r="LKG514" s="332"/>
      <c r="LKH514" s="332"/>
      <c r="LKI514" s="332"/>
      <c r="LKJ514" s="332"/>
      <c r="LKK514" s="332"/>
      <c r="LKL514" s="332"/>
      <c r="LKM514" s="332"/>
      <c r="LKN514" s="332"/>
      <c r="LKO514" s="332"/>
      <c r="LKP514" s="332"/>
      <c r="LKQ514" s="332"/>
      <c r="LKR514" s="332"/>
      <c r="LKS514" s="332"/>
      <c r="LKT514" s="332"/>
      <c r="LKU514" s="332"/>
      <c r="LKV514" s="332"/>
      <c r="LKW514" s="332"/>
      <c r="LKX514" s="332"/>
      <c r="LKY514" s="332"/>
      <c r="LKZ514" s="332"/>
      <c r="LLA514" s="332"/>
      <c r="LLB514" s="332"/>
      <c r="LLC514" s="332"/>
      <c r="LLD514" s="332"/>
      <c r="LLE514" s="332"/>
      <c r="LLF514" s="332"/>
      <c r="LLG514" s="332"/>
      <c r="LLH514" s="332"/>
      <c r="LLI514" s="332"/>
      <c r="LLJ514" s="332"/>
      <c r="LLK514" s="332"/>
      <c r="LLL514" s="332"/>
      <c r="LLM514" s="332"/>
      <c r="LLN514" s="332"/>
      <c r="LLO514" s="332"/>
      <c r="LLP514" s="332"/>
      <c r="LLQ514" s="332"/>
      <c r="LLR514" s="332"/>
      <c r="LLS514" s="332"/>
      <c r="LLT514" s="332"/>
      <c r="LLU514" s="332"/>
      <c r="LLV514" s="332"/>
      <c r="LLW514" s="332"/>
      <c r="LLX514" s="332"/>
      <c r="LLY514" s="332"/>
      <c r="LLZ514" s="332"/>
      <c r="LMA514" s="332"/>
      <c r="LMB514" s="332"/>
      <c r="LMC514" s="332"/>
      <c r="LMD514" s="332"/>
      <c r="LME514" s="332"/>
      <c r="LMF514" s="332"/>
      <c r="LMG514" s="332"/>
      <c r="LMH514" s="332"/>
      <c r="LMI514" s="332"/>
      <c r="LMJ514" s="332"/>
      <c r="LMK514" s="332"/>
      <c r="LML514" s="332"/>
      <c r="LMM514" s="332"/>
      <c r="LMN514" s="332"/>
      <c r="LMO514" s="332"/>
      <c r="LMP514" s="332"/>
      <c r="LMQ514" s="332"/>
      <c r="LMR514" s="332"/>
      <c r="LMS514" s="332"/>
      <c r="LMT514" s="332"/>
      <c r="LMU514" s="332"/>
      <c r="LMV514" s="332"/>
      <c r="LMW514" s="332"/>
      <c r="LMX514" s="332"/>
      <c r="LMY514" s="332"/>
      <c r="LMZ514" s="332"/>
      <c r="LNA514" s="332"/>
      <c r="LNB514" s="332"/>
      <c r="LNC514" s="332"/>
      <c r="LND514" s="332"/>
      <c r="LNE514" s="332"/>
      <c r="LNF514" s="332"/>
      <c r="LNG514" s="332"/>
      <c r="LNH514" s="332"/>
      <c r="LNI514" s="332"/>
      <c r="LNJ514" s="332"/>
      <c r="LNK514" s="332"/>
      <c r="LNL514" s="332"/>
      <c r="LNM514" s="332"/>
      <c r="LNN514" s="332"/>
      <c r="LNO514" s="332"/>
      <c r="LNP514" s="332"/>
      <c r="LNQ514" s="332"/>
      <c r="LNR514" s="332"/>
      <c r="LNS514" s="332"/>
      <c r="LNT514" s="332"/>
      <c r="LNU514" s="332"/>
      <c r="LNV514" s="332"/>
      <c r="LNW514" s="332"/>
      <c r="LNX514" s="332"/>
      <c r="LNY514" s="332"/>
      <c r="LNZ514" s="332"/>
      <c r="LOA514" s="332"/>
      <c r="LOB514" s="332"/>
      <c r="LOC514" s="332"/>
      <c r="LOD514" s="332"/>
      <c r="LOE514" s="332"/>
      <c r="LOF514" s="332"/>
      <c r="LOG514" s="332"/>
      <c r="LOH514" s="332"/>
      <c r="LOI514" s="332"/>
      <c r="LOJ514" s="332"/>
      <c r="LOK514" s="332"/>
      <c r="LOL514" s="332"/>
      <c r="LOM514" s="332"/>
      <c r="LON514" s="332"/>
      <c r="LOO514" s="332"/>
      <c r="LOP514" s="332"/>
      <c r="LOQ514" s="332"/>
      <c r="LOR514" s="332"/>
      <c r="LOS514" s="332"/>
      <c r="LOT514" s="332"/>
      <c r="LOU514" s="332"/>
      <c r="LOV514" s="332"/>
      <c r="LOW514" s="332"/>
      <c r="LOX514" s="332"/>
      <c r="LOY514" s="332"/>
      <c r="LOZ514" s="332"/>
      <c r="LPA514" s="332"/>
      <c r="LPB514" s="332"/>
      <c r="LPC514" s="332"/>
      <c r="LPD514" s="332"/>
      <c r="LPE514" s="332"/>
      <c r="LPF514" s="332"/>
      <c r="LPG514" s="332"/>
      <c r="LPH514" s="332"/>
      <c r="LPI514" s="332"/>
      <c r="LPJ514" s="332"/>
      <c r="LPK514" s="332"/>
      <c r="LPL514" s="332"/>
      <c r="LPM514" s="332"/>
      <c r="LPN514" s="332"/>
      <c r="LPO514" s="332"/>
      <c r="LPP514" s="332"/>
      <c r="LPQ514" s="332"/>
      <c r="LPR514" s="332"/>
      <c r="LPS514" s="332"/>
      <c r="LPT514" s="332"/>
      <c r="LPU514" s="332"/>
      <c r="LPV514" s="332"/>
      <c r="LPW514" s="332"/>
      <c r="LPX514" s="332"/>
      <c r="LPY514" s="332"/>
      <c r="LPZ514" s="332"/>
      <c r="LQA514" s="332"/>
      <c r="LQB514" s="332"/>
      <c r="LQC514" s="332"/>
      <c r="LQD514" s="332"/>
      <c r="LQE514" s="332"/>
      <c r="LQF514" s="332"/>
      <c r="LQG514" s="332"/>
      <c r="LQH514" s="332"/>
      <c r="LQI514" s="332"/>
      <c r="LQJ514" s="332"/>
      <c r="LQK514" s="332"/>
      <c r="LQL514" s="332"/>
      <c r="LQM514" s="332"/>
      <c r="LQN514" s="332"/>
      <c r="LQO514" s="332"/>
      <c r="LQP514" s="332"/>
      <c r="LQQ514" s="332"/>
      <c r="LQR514" s="332"/>
      <c r="LQS514" s="332"/>
      <c r="LQT514" s="332"/>
      <c r="LQU514" s="332"/>
      <c r="LQV514" s="332"/>
      <c r="LQW514" s="332"/>
      <c r="LQX514" s="332"/>
      <c r="LQY514" s="332"/>
      <c r="LQZ514" s="332"/>
      <c r="LRA514" s="332"/>
      <c r="LRB514" s="332"/>
      <c r="LRC514" s="332"/>
      <c r="LRD514" s="332"/>
      <c r="LRE514" s="332"/>
      <c r="LRF514" s="332"/>
      <c r="LRG514" s="332"/>
      <c r="LRH514" s="332"/>
      <c r="LRI514" s="332"/>
      <c r="LRJ514" s="332"/>
      <c r="LRK514" s="332"/>
      <c r="LRL514" s="332"/>
      <c r="LRM514" s="332"/>
      <c r="LRN514" s="332"/>
      <c r="LRO514" s="332"/>
      <c r="LRP514" s="332"/>
      <c r="LRQ514" s="332"/>
      <c r="LRR514" s="332"/>
      <c r="LRS514" s="332"/>
      <c r="LRT514" s="332"/>
      <c r="LRU514" s="332"/>
      <c r="LRV514" s="332"/>
      <c r="LRW514" s="332"/>
      <c r="LRX514" s="332"/>
      <c r="LRY514" s="332"/>
      <c r="LRZ514" s="332"/>
      <c r="LSA514" s="332"/>
      <c r="LSB514" s="332"/>
      <c r="LSC514" s="332"/>
      <c r="LSD514" s="332"/>
      <c r="LSE514" s="332"/>
      <c r="LSF514" s="332"/>
      <c r="LSG514" s="332"/>
      <c r="LSH514" s="332"/>
      <c r="LSI514" s="332"/>
      <c r="LSJ514" s="332"/>
      <c r="LSK514" s="332"/>
      <c r="LSL514" s="332"/>
      <c r="LSM514" s="332"/>
      <c r="LSN514" s="332"/>
      <c r="LSO514" s="332"/>
      <c r="LSP514" s="332"/>
      <c r="LSQ514" s="332"/>
      <c r="LSR514" s="332"/>
      <c r="LSS514" s="332"/>
      <c r="LST514" s="332"/>
      <c r="LSU514" s="332"/>
      <c r="LSV514" s="332"/>
      <c r="LSW514" s="332"/>
      <c r="LSX514" s="332"/>
      <c r="LSY514" s="332"/>
      <c r="LSZ514" s="332"/>
      <c r="LTA514" s="332"/>
      <c r="LTB514" s="332"/>
      <c r="LTC514" s="332"/>
      <c r="LTD514" s="332"/>
      <c r="LTE514" s="332"/>
      <c r="LTF514" s="332"/>
      <c r="LTG514" s="332"/>
      <c r="LTH514" s="332"/>
      <c r="LTI514" s="332"/>
      <c r="LTJ514" s="332"/>
      <c r="LTK514" s="332"/>
      <c r="LTL514" s="332"/>
      <c r="LTM514" s="332"/>
      <c r="LTN514" s="332"/>
      <c r="LTO514" s="332"/>
      <c r="LTP514" s="332"/>
      <c r="LTQ514" s="332"/>
      <c r="LTR514" s="332"/>
      <c r="LTS514" s="332"/>
      <c r="LTT514" s="332"/>
      <c r="LTU514" s="332"/>
      <c r="LTV514" s="332"/>
      <c r="LTW514" s="332"/>
      <c r="LTX514" s="332"/>
      <c r="LTY514" s="332"/>
      <c r="LTZ514" s="332"/>
      <c r="LUA514" s="332"/>
      <c r="LUB514" s="332"/>
      <c r="LUC514" s="332"/>
      <c r="LUD514" s="332"/>
      <c r="LUE514" s="332"/>
      <c r="LUF514" s="332"/>
      <c r="LUG514" s="332"/>
      <c r="LUH514" s="332"/>
      <c r="LUI514" s="332"/>
      <c r="LUJ514" s="332"/>
      <c r="LUK514" s="332"/>
      <c r="LUL514" s="332"/>
      <c r="LUM514" s="332"/>
      <c r="LUN514" s="332"/>
      <c r="LUO514" s="332"/>
      <c r="LUP514" s="332"/>
      <c r="LUQ514" s="332"/>
      <c r="LUR514" s="332"/>
      <c r="LUS514" s="332"/>
      <c r="LUT514" s="332"/>
      <c r="LUU514" s="332"/>
      <c r="LUV514" s="332"/>
      <c r="LUW514" s="332"/>
      <c r="LUX514" s="332"/>
      <c r="LUY514" s="332"/>
      <c r="LUZ514" s="332"/>
      <c r="LVA514" s="332"/>
      <c r="LVB514" s="332"/>
      <c r="LVC514" s="332"/>
      <c r="LVD514" s="332"/>
      <c r="LVE514" s="332"/>
      <c r="LVF514" s="332"/>
      <c r="LVG514" s="332"/>
      <c r="LVH514" s="332"/>
      <c r="LVI514" s="332"/>
      <c r="LVJ514" s="332"/>
      <c r="LVK514" s="332"/>
      <c r="LVL514" s="332"/>
      <c r="LVM514" s="332"/>
      <c r="LVN514" s="332"/>
      <c r="LVO514" s="332"/>
      <c r="LVP514" s="332"/>
      <c r="LVQ514" s="332"/>
      <c r="LVR514" s="332"/>
      <c r="LVS514" s="332"/>
      <c r="LVT514" s="332"/>
      <c r="LVU514" s="332"/>
      <c r="LVV514" s="332"/>
      <c r="LVW514" s="332"/>
      <c r="LVX514" s="332"/>
      <c r="LVY514" s="332"/>
      <c r="LVZ514" s="332"/>
      <c r="LWA514" s="332"/>
      <c r="LWB514" s="332"/>
      <c r="LWC514" s="332"/>
      <c r="LWD514" s="332"/>
      <c r="LWE514" s="332"/>
      <c r="LWF514" s="332"/>
      <c r="LWG514" s="332"/>
      <c r="LWH514" s="332"/>
      <c r="LWI514" s="332"/>
      <c r="LWJ514" s="332"/>
      <c r="LWK514" s="332"/>
      <c r="LWL514" s="332"/>
      <c r="LWM514" s="332"/>
      <c r="LWN514" s="332"/>
      <c r="LWO514" s="332"/>
      <c r="LWP514" s="332"/>
      <c r="LWQ514" s="332"/>
      <c r="LWR514" s="332"/>
      <c r="LWS514" s="332"/>
      <c r="LWT514" s="332"/>
      <c r="LWU514" s="332"/>
      <c r="LWV514" s="332"/>
      <c r="LWW514" s="332"/>
      <c r="LWX514" s="332"/>
      <c r="LWY514" s="332"/>
      <c r="LWZ514" s="332"/>
      <c r="LXA514" s="332"/>
      <c r="LXB514" s="332"/>
      <c r="LXC514" s="332"/>
      <c r="LXD514" s="332"/>
      <c r="LXE514" s="332"/>
      <c r="LXF514" s="332"/>
      <c r="LXG514" s="332"/>
      <c r="LXH514" s="332"/>
      <c r="LXI514" s="332"/>
      <c r="LXJ514" s="332"/>
      <c r="LXK514" s="332"/>
      <c r="LXL514" s="332"/>
      <c r="LXM514" s="332"/>
      <c r="LXN514" s="332"/>
      <c r="LXO514" s="332"/>
      <c r="LXP514" s="332"/>
      <c r="LXQ514" s="332"/>
      <c r="LXR514" s="332"/>
      <c r="LXS514" s="332"/>
      <c r="LXT514" s="332"/>
      <c r="LXU514" s="332"/>
      <c r="LXV514" s="332"/>
      <c r="LXW514" s="332"/>
      <c r="LXX514" s="332"/>
      <c r="LXY514" s="332"/>
      <c r="LXZ514" s="332"/>
      <c r="LYA514" s="332"/>
      <c r="LYB514" s="332"/>
      <c r="LYC514" s="332"/>
      <c r="LYD514" s="332"/>
      <c r="LYE514" s="332"/>
      <c r="LYF514" s="332"/>
      <c r="LYG514" s="332"/>
      <c r="LYH514" s="332"/>
      <c r="LYI514" s="332"/>
      <c r="LYJ514" s="332"/>
      <c r="LYK514" s="332"/>
      <c r="LYL514" s="332"/>
      <c r="LYM514" s="332"/>
      <c r="LYN514" s="332"/>
      <c r="LYO514" s="332"/>
      <c r="LYP514" s="332"/>
      <c r="LYQ514" s="332"/>
      <c r="LYR514" s="332"/>
      <c r="LYS514" s="332"/>
      <c r="LYT514" s="332"/>
      <c r="LYU514" s="332"/>
      <c r="LYV514" s="332"/>
      <c r="LYW514" s="332"/>
      <c r="LYX514" s="332"/>
      <c r="LYY514" s="332"/>
      <c r="LYZ514" s="332"/>
      <c r="LZA514" s="332"/>
      <c r="LZB514" s="332"/>
      <c r="LZC514" s="332"/>
      <c r="LZD514" s="332"/>
      <c r="LZE514" s="332"/>
      <c r="LZF514" s="332"/>
      <c r="LZG514" s="332"/>
      <c r="LZH514" s="332"/>
      <c r="LZI514" s="332"/>
      <c r="LZJ514" s="332"/>
      <c r="LZK514" s="332"/>
      <c r="LZL514" s="332"/>
      <c r="LZM514" s="332"/>
      <c r="LZN514" s="332"/>
      <c r="LZO514" s="332"/>
      <c r="LZP514" s="332"/>
      <c r="LZQ514" s="332"/>
      <c r="LZR514" s="332"/>
      <c r="LZS514" s="332"/>
      <c r="LZT514" s="332"/>
      <c r="LZU514" s="332"/>
      <c r="LZV514" s="332"/>
      <c r="LZW514" s="332"/>
      <c r="LZX514" s="332"/>
      <c r="LZY514" s="332"/>
      <c r="LZZ514" s="332"/>
      <c r="MAA514" s="332"/>
      <c r="MAB514" s="332"/>
      <c r="MAC514" s="332"/>
      <c r="MAD514" s="332"/>
      <c r="MAE514" s="332"/>
      <c r="MAF514" s="332"/>
      <c r="MAG514" s="332"/>
      <c r="MAH514" s="332"/>
      <c r="MAI514" s="332"/>
      <c r="MAJ514" s="332"/>
      <c r="MAK514" s="332"/>
      <c r="MAL514" s="332"/>
      <c r="MAM514" s="332"/>
      <c r="MAN514" s="332"/>
      <c r="MAO514" s="332"/>
      <c r="MAP514" s="332"/>
      <c r="MAQ514" s="332"/>
      <c r="MAR514" s="332"/>
      <c r="MAS514" s="332"/>
      <c r="MAT514" s="332"/>
      <c r="MAU514" s="332"/>
      <c r="MAV514" s="332"/>
      <c r="MAW514" s="332"/>
      <c r="MAX514" s="332"/>
      <c r="MAY514" s="332"/>
      <c r="MAZ514" s="332"/>
      <c r="MBA514" s="332"/>
      <c r="MBB514" s="332"/>
      <c r="MBC514" s="332"/>
      <c r="MBD514" s="332"/>
      <c r="MBE514" s="332"/>
      <c r="MBF514" s="332"/>
      <c r="MBG514" s="332"/>
      <c r="MBH514" s="332"/>
      <c r="MBI514" s="332"/>
      <c r="MBJ514" s="332"/>
      <c r="MBK514" s="332"/>
      <c r="MBL514" s="332"/>
      <c r="MBM514" s="332"/>
      <c r="MBN514" s="332"/>
      <c r="MBO514" s="332"/>
      <c r="MBP514" s="332"/>
      <c r="MBQ514" s="332"/>
      <c r="MBR514" s="332"/>
      <c r="MBS514" s="332"/>
      <c r="MBT514" s="332"/>
      <c r="MBU514" s="332"/>
      <c r="MBV514" s="332"/>
      <c r="MBW514" s="332"/>
      <c r="MBX514" s="332"/>
      <c r="MBY514" s="332"/>
      <c r="MBZ514" s="332"/>
      <c r="MCA514" s="332"/>
      <c r="MCB514" s="332"/>
      <c r="MCC514" s="332"/>
      <c r="MCD514" s="332"/>
      <c r="MCE514" s="332"/>
      <c r="MCF514" s="332"/>
      <c r="MCG514" s="332"/>
      <c r="MCH514" s="332"/>
      <c r="MCI514" s="332"/>
      <c r="MCJ514" s="332"/>
      <c r="MCK514" s="332"/>
      <c r="MCL514" s="332"/>
      <c r="MCM514" s="332"/>
      <c r="MCN514" s="332"/>
      <c r="MCO514" s="332"/>
      <c r="MCP514" s="332"/>
      <c r="MCQ514" s="332"/>
      <c r="MCR514" s="332"/>
      <c r="MCS514" s="332"/>
      <c r="MCT514" s="332"/>
      <c r="MCU514" s="332"/>
      <c r="MCV514" s="332"/>
      <c r="MCW514" s="332"/>
      <c r="MCX514" s="332"/>
      <c r="MCY514" s="332"/>
      <c r="MCZ514" s="332"/>
      <c r="MDA514" s="332"/>
      <c r="MDB514" s="332"/>
      <c r="MDC514" s="332"/>
      <c r="MDD514" s="332"/>
      <c r="MDE514" s="332"/>
      <c r="MDF514" s="332"/>
      <c r="MDG514" s="332"/>
      <c r="MDH514" s="332"/>
      <c r="MDI514" s="332"/>
      <c r="MDJ514" s="332"/>
      <c r="MDK514" s="332"/>
      <c r="MDL514" s="332"/>
      <c r="MDM514" s="332"/>
      <c r="MDN514" s="332"/>
      <c r="MDO514" s="332"/>
      <c r="MDP514" s="332"/>
      <c r="MDQ514" s="332"/>
      <c r="MDR514" s="332"/>
      <c r="MDS514" s="332"/>
      <c r="MDT514" s="332"/>
      <c r="MDU514" s="332"/>
      <c r="MDV514" s="332"/>
      <c r="MDW514" s="332"/>
      <c r="MDX514" s="332"/>
      <c r="MDY514" s="332"/>
      <c r="MDZ514" s="332"/>
      <c r="MEA514" s="332"/>
      <c r="MEB514" s="332"/>
      <c r="MEC514" s="332"/>
      <c r="MED514" s="332"/>
      <c r="MEE514" s="332"/>
      <c r="MEF514" s="332"/>
      <c r="MEG514" s="332"/>
      <c r="MEH514" s="332"/>
      <c r="MEI514" s="332"/>
      <c r="MEJ514" s="332"/>
      <c r="MEK514" s="332"/>
      <c r="MEL514" s="332"/>
      <c r="MEM514" s="332"/>
      <c r="MEN514" s="332"/>
      <c r="MEO514" s="332"/>
      <c r="MEP514" s="332"/>
      <c r="MEQ514" s="332"/>
      <c r="MER514" s="332"/>
      <c r="MES514" s="332"/>
      <c r="MET514" s="332"/>
      <c r="MEU514" s="332"/>
      <c r="MEV514" s="332"/>
      <c r="MEW514" s="332"/>
      <c r="MEX514" s="332"/>
      <c r="MEY514" s="332"/>
      <c r="MEZ514" s="332"/>
      <c r="MFA514" s="332"/>
      <c r="MFB514" s="332"/>
      <c r="MFC514" s="332"/>
      <c r="MFD514" s="332"/>
      <c r="MFE514" s="332"/>
      <c r="MFF514" s="332"/>
      <c r="MFG514" s="332"/>
      <c r="MFH514" s="332"/>
      <c r="MFI514" s="332"/>
      <c r="MFJ514" s="332"/>
      <c r="MFK514" s="332"/>
      <c r="MFL514" s="332"/>
      <c r="MFM514" s="332"/>
      <c r="MFN514" s="332"/>
      <c r="MFO514" s="332"/>
      <c r="MFP514" s="332"/>
      <c r="MFQ514" s="332"/>
      <c r="MFR514" s="332"/>
      <c r="MFS514" s="332"/>
      <c r="MFT514" s="332"/>
      <c r="MFU514" s="332"/>
      <c r="MFV514" s="332"/>
      <c r="MFW514" s="332"/>
      <c r="MFX514" s="332"/>
      <c r="MFY514" s="332"/>
      <c r="MFZ514" s="332"/>
      <c r="MGA514" s="332"/>
      <c r="MGB514" s="332"/>
      <c r="MGC514" s="332"/>
      <c r="MGD514" s="332"/>
      <c r="MGE514" s="332"/>
      <c r="MGF514" s="332"/>
      <c r="MGG514" s="332"/>
      <c r="MGH514" s="332"/>
      <c r="MGI514" s="332"/>
      <c r="MGJ514" s="332"/>
      <c r="MGK514" s="332"/>
      <c r="MGL514" s="332"/>
      <c r="MGM514" s="332"/>
      <c r="MGN514" s="332"/>
      <c r="MGO514" s="332"/>
      <c r="MGP514" s="332"/>
      <c r="MGQ514" s="332"/>
      <c r="MGR514" s="332"/>
      <c r="MGS514" s="332"/>
      <c r="MGT514" s="332"/>
      <c r="MGU514" s="332"/>
      <c r="MGV514" s="332"/>
      <c r="MGW514" s="332"/>
      <c r="MGX514" s="332"/>
      <c r="MGY514" s="332"/>
      <c r="MGZ514" s="332"/>
      <c r="MHA514" s="332"/>
      <c r="MHB514" s="332"/>
      <c r="MHC514" s="332"/>
      <c r="MHD514" s="332"/>
      <c r="MHE514" s="332"/>
      <c r="MHF514" s="332"/>
      <c r="MHG514" s="332"/>
      <c r="MHH514" s="332"/>
      <c r="MHI514" s="332"/>
      <c r="MHJ514" s="332"/>
      <c r="MHK514" s="332"/>
      <c r="MHL514" s="332"/>
      <c r="MHM514" s="332"/>
      <c r="MHN514" s="332"/>
      <c r="MHO514" s="332"/>
      <c r="MHP514" s="332"/>
      <c r="MHQ514" s="332"/>
      <c r="MHR514" s="332"/>
      <c r="MHS514" s="332"/>
      <c r="MHT514" s="332"/>
      <c r="MHU514" s="332"/>
      <c r="MHV514" s="332"/>
      <c r="MHW514" s="332"/>
      <c r="MHX514" s="332"/>
      <c r="MHY514" s="332"/>
      <c r="MHZ514" s="332"/>
      <c r="MIA514" s="332"/>
      <c r="MIB514" s="332"/>
      <c r="MIC514" s="332"/>
      <c r="MID514" s="332"/>
      <c r="MIE514" s="332"/>
      <c r="MIF514" s="332"/>
      <c r="MIG514" s="332"/>
      <c r="MIH514" s="332"/>
      <c r="MII514" s="332"/>
      <c r="MIJ514" s="332"/>
      <c r="MIK514" s="332"/>
      <c r="MIL514" s="332"/>
      <c r="MIM514" s="332"/>
      <c r="MIN514" s="332"/>
      <c r="MIO514" s="332"/>
      <c r="MIP514" s="332"/>
      <c r="MIQ514" s="332"/>
      <c r="MIR514" s="332"/>
      <c r="MIS514" s="332"/>
      <c r="MIT514" s="332"/>
      <c r="MIU514" s="332"/>
      <c r="MIV514" s="332"/>
      <c r="MIW514" s="332"/>
      <c r="MIX514" s="332"/>
      <c r="MIY514" s="332"/>
      <c r="MIZ514" s="332"/>
      <c r="MJA514" s="332"/>
      <c r="MJB514" s="332"/>
      <c r="MJC514" s="332"/>
      <c r="MJD514" s="332"/>
      <c r="MJE514" s="332"/>
      <c r="MJF514" s="332"/>
      <c r="MJG514" s="332"/>
      <c r="MJH514" s="332"/>
      <c r="MJI514" s="332"/>
      <c r="MJJ514" s="332"/>
      <c r="MJK514" s="332"/>
      <c r="MJL514" s="332"/>
      <c r="MJM514" s="332"/>
      <c r="MJN514" s="332"/>
      <c r="MJO514" s="332"/>
      <c r="MJP514" s="332"/>
      <c r="MJQ514" s="332"/>
      <c r="MJR514" s="332"/>
      <c r="MJS514" s="332"/>
      <c r="MJT514" s="332"/>
      <c r="MJU514" s="332"/>
      <c r="MJV514" s="332"/>
      <c r="MJW514" s="332"/>
      <c r="MJX514" s="332"/>
      <c r="MJY514" s="332"/>
      <c r="MJZ514" s="332"/>
      <c r="MKA514" s="332"/>
      <c r="MKB514" s="332"/>
      <c r="MKC514" s="332"/>
      <c r="MKD514" s="332"/>
      <c r="MKE514" s="332"/>
      <c r="MKF514" s="332"/>
      <c r="MKG514" s="332"/>
      <c r="MKH514" s="332"/>
      <c r="MKI514" s="332"/>
      <c r="MKJ514" s="332"/>
      <c r="MKK514" s="332"/>
      <c r="MKL514" s="332"/>
      <c r="MKM514" s="332"/>
      <c r="MKN514" s="332"/>
      <c r="MKO514" s="332"/>
      <c r="MKP514" s="332"/>
      <c r="MKQ514" s="332"/>
      <c r="MKR514" s="332"/>
      <c r="MKS514" s="332"/>
      <c r="MKT514" s="332"/>
      <c r="MKU514" s="332"/>
      <c r="MKV514" s="332"/>
      <c r="MKW514" s="332"/>
      <c r="MKX514" s="332"/>
      <c r="MKY514" s="332"/>
      <c r="MKZ514" s="332"/>
      <c r="MLA514" s="332"/>
      <c r="MLB514" s="332"/>
      <c r="MLC514" s="332"/>
      <c r="MLD514" s="332"/>
      <c r="MLE514" s="332"/>
      <c r="MLF514" s="332"/>
      <c r="MLG514" s="332"/>
      <c r="MLH514" s="332"/>
      <c r="MLI514" s="332"/>
      <c r="MLJ514" s="332"/>
      <c r="MLK514" s="332"/>
      <c r="MLL514" s="332"/>
      <c r="MLM514" s="332"/>
      <c r="MLN514" s="332"/>
      <c r="MLO514" s="332"/>
      <c r="MLP514" s="332"/>
      <c r="MLQ514" s="332"/>
      <c r="MLR514" s="332"/>
      <c r="MLS514" s="332"/>
      <c r="MLT514" s="332"/>
      <c r="MLU514" s="332"/>
      <c r="MLV514" s="332"/>
      <c r="MLW514" s="332"/>
      <c r="MLX514" s="332"/>
      <c r="MLY514" s="332"/>
      <c r="MLZ514" s="332"/>
      <c r="MMA514" s="332"/>
      <c r="MMB514" s="332"/>
      <c r="MMC514" s="332"/>
      <c r="MMD514" s="332"/>
      <c r="MME514" s="332"/>
      <c r="MMF514" s="332"/>
      <c r="MMG514" s="332"/>
      <c r="MMH514" s="332"/>
      <c r="MMI514" s="332"/>
      <c r="MMJ514" s="332"/>
      <c r="MMK514" s="332"/>
      <c r="MML514" s="332"/>
      <c r="MMM514" s="332"/>
      <c r="MMN514" s="332"/>
      <c r="MMO514" s="332"/>
      <c r="MMP514" s="332"/>
      <c r="MMQ514" s="332"/>
      <c r="MMR514" s="332"/>
      <c r="MMS514" s="332"/>
      <c r="MMT514" s="332"/>
      <c r="MMU514" s="332"/>
      <c r="MMV514" s="332"/>
      <c r="MMW514" s="332"/>
      <c r="MMX514" s="332"/>
      <c r="MMY514" s="332"/>
      <c r="MMZ514" s="332"/>
      <c r="MNA514" s="332"/>
      <c r="MNB514" s="332"/>
      <c r="MNC514" s="332"/>
      <c r="MND514" s="332"/>
      <c r="MNE514" s="332"/>
      <c r="MNF514" s="332"/>
      <c r="MNG514" s="332"/>
      <c r="MNH514" s="332"/>
      <c r="MNI514" s="332"/>
      <c r="MNJ514" s="332"/>
      <c r="MNK514" s="332"/>
      <c r="MNL514" s="332"/>
      <c r="MNM514" s="332"/>
      <c r="MNN514" s="332"/>
      <c r="MNO514" s="332"/>
      <c r="MNP514" s="332"/>
      <c r="MNQ514" s="332"/>
      <c r="MNR514" s="332"/>
      <c r="MNS514" s="332"/>
      <c r="MNT514" s="332"/>
      <c r="MNU514" s="332"/>
      <c r="MNV514" s="332"/>
      <c r="MNW514" s="332"/>
      <c r="MNX514" s="332"/>
      <c r="MNY514" s="332"/>
      <c r="MNZ514" s="332"/>
      <c r="MOA514" s="332"/>
      <c r="MOB514" s="332"/>
      <c r="MOC514" s="332"/>
      <c r="MOD514" s="332"/>
      <c r="MOE514" s="332"/>
      <c r="MOF514" s="332"/>
      <c r="MOG514" s="332"/>
      <c r="MOH514" s="332"/>
      <c r="MOI514" s="332"/>
      <c r="MOJ514" s="332"/>
      <c r="MOK514" s="332"/>
      <c r="MOL514" s="332"/>
      <c r="MOM514" s="332"/>
      <c r="MON514" s="332"/>
      <c r="MOO514" s="332"/>
      <c r="MOP514" s="332"/>
      <c r="MOQ514" s="332"/>
      <c r="MOR514" s="332"/>
      <c r="MOS514" s="332"/>
      <c r="MOT514" s="332"/>
      <c r="MOU514" s="332"/>
      <c r="MOV514" s="332"/>
      <c r="MOW514" s="332"/>
      <c r="MOX514" s="332"/>
      <c r="MOY514" s="332"/>
      <c r="MOZ514" s="332"/>
      <c r="MPA514" s="332"/>
      <c r="MPB514" s="332"/>
      <c r="MPC514" s="332"/>
      <c r="MPD514" s="332"/>
      <c r="MPE514" s="332"/>
      <c r="MPF514" s="332"/>
      <c r="MPG514" s="332"/>
      <c r="MPH514" s="332"/>
      <c r="MPI514" s="332"/>
      <c r="MPJ514" s="332"/>
      <c r="MPK514" s="332"/>
      <c r="MPL514" s="332"/>
      <c r="MPM514" s="332"/>
      <c r="MPN514" s="332"/>
      <c r="MPO514" s="332"/>
      <c r="MPP514" s="332"/>
      <c r="MPQ514" s="332"/>
      <c r="MPR514" s="332"/>
      <c r="MPS514" s="332"/>
      <c r="MPT514" s="332"/>
      <c r="MPU514" s="332"/>
      <c r="MPV514" s="332"/>
      <c r="MPW514" s="332"/>
      <c r="MPX514" s="332"/>
      <c r="MPY514" s="332"/>
      <c r="MPZ514" s="332"/>
      <c r="MQA514" s="332"/>
      <c r="MQB514" s="332"/>
      <c r="MQC514" s="332"/>
      <c r="MQD514" s="332"/>
      <c r="MQE514" s="332"/>
      <c r="MQF514" s="332"/>
      <c r="MQG514" s="332"/>
      <c r="MQH514" s="332"/>
      <c r="MQI514" s="332"/>
      <c r="MQJ514" s="332"/>
      <c r="MQK514" s="332"/>
      <c r="MQL514" s="332"/>
      <c r="MQM514" s="332"/>
      <c r="MQN514" s="332"/>
      <c r="MQO514" s="332"/>
      <c r="MQP514" s="332"/>
      <c r="MQQ514" s="332"/>
      <c r="MQR514" s="332"/>
      <c r="MQS514" s="332"/>
      <c r="MQT514" s="332"/>
      <c r="MQU514" s="332"/>
      <c r="MQV514" s="332"/>
      <c r="MQW514" s="332"/>
      <c r="MQX514" s="332"/>
      <c r="MQY514" s="332"/>
      <c r="MQZ514" s="332"/>
      <c r="MRA514" s="332"/>
      <c r="MRB514" s="332"/>
      <c r="MRC514" s="332"/>
      <c r="MRD514" s="332"/>
      <c r="MRE514" s="332"/>
      <c r="MRF514" s="332"/>
      <c r="MRG514" s="332"/>
      <c r="MRH514" s="332"/>
      <c r="MRI514" s="332"/>
      <c r="MRJ514" s="332"/>
      <c r="MRK514" s="332"/>
      <c r="MRL514" s="332"/>
      <c r="MRM514" s="332"/>
      <c r="MRN514" s="332"/>
      <c r="MRO514" s="332"/>
      <c r="MRP514" s="332"/>
      <c r="MRQ514" s="332"/>
      <c r="MRR514" s="332"/>
      <c r="MRS514" s="332"/>
      <c r="MRT514" s="332"/>
      <c r="MRU514" s="332"/>
      <c r="MRV514" s="332"/>
      <c r="MRW514" s="332"/>
      <c r="MRX514" s="332"/>
      <c r="MRY514" s="332"/>
      <c r="MRZ514" s="332"/>
      <c r="MSA514" s="332"/>
      <c r="MSB514" s="332"/>
      <c r="MSC514" s="332"/>
      <c r="MSD514" s="332"/>
      <c r="MSE514" s="332"/>
      <c r="MSF514" s="332"/>
      <c r="MSG514" s="332"/>
      <c r="MSH514" s="332"/>
      <c r="MSI514" s="332"/>
      <c r="MSJ514" s="332"/>
      <c r="MSK514" s="332"/>
      <c r="MSL514" s="332"/>
      <c r="MSM514" s="332"/>
      <c r="MSN514" s="332"/>
      <c r="MSO514" s="332"/>
      <c r="MSP514" s="332"/>
      <c r="MSQ514" s="332"/>
      <c r="MSR514" s="332"/>
      <c r="MSS514" s="332"/>
      <c r="MST514" s="332"/>
      <c r="MSU514" s="332"/>
      <c r="MSV514" s="332"/>
      <c r="MSW514" s="332"/>
      <c r="MSX514" s="332"/>
      <c r="MSY514" s="332"/>
      <c r="MSZ514" s="332"/>
      <c r="MTA514" s="332"/>
      <c r="MTB514" s="332"/>
      <c r="MTC514" s="332"/>
      <c r="MTD514" s="332"/>
      <c r="MTE514" s="332"/>
      <c r="MTF514" s="332"/>
      <c r="MTG514" s="332"/>
      <c r="MTH514" s="332"/>
      <c r="MTI514" s="332"/>
      <c r="MTJ514" s="332"/>
      <c r="MTK514" s="332"/>
      <c r="MTL514" s="332"/>
      <c r="MTM514" s="332"/>
      <c r="MTN514" s="332"/>
      <c r="MTO514" s="332"/>
      <c r="MTP514" s="332"/>
      <c r="MTQ514" s="332"/>
      <c r="MTR514" s="332"/>
      <c r="MTS514" s="332"/>
      <c r="MTT514" s="332"/>
      <c r="MTU514" s="332"/>
      <c r="MTV514" s="332"/>
      <c r="MTW514" s="332"/>
      <c r="MTX514" s="332"/>
      <c r="MTY514" s="332"/>
      <c r="MTZ514" s="332"/>
      <c r="MUA514" s="332"/>
      <c r="MUB514" s="332"/>
      <c r="MUC514" s="332"/>
      <c r="MUD514" s="332"/>
      <c r="MUE514" s="332"/>
      <c r="MUF514" s="332"/>
      <c r="MUG514" s="332"/>
      <c r="MUH514" s="332"/>
      <c r="MUI514" s="332"/>
      <c r="MUJ514" s="332"/>
      <c r="MUK514" s="332"/>
      <c r="MUL514" s="332"/>
      <c r="MUM514" s="332"/>
      <c r="MUN514" s="332"/>
      <c r="MUO514" s="332"/>
      <c r="MUP514" s="332"/>
      <c r="MUQ514" s="332"/>
      <c r="MUR514" s="332"/>
      <c r="MUS514" s="332"/>
      <c r="MUT514" s="332"/>
      <c r="MUU514" s="332"/>
      <c r="MUV514" s="332"/>
      <c r="MUW514" s="332"/>
      <c r="MUX514" s="332"/>
      <c r="MUY514" s="332"/>
      <c r="MUZ514" s="332"/>
      <c r="MVA514" s="332"/>
      <c r="MVB514" s="332"/>
      <c r="MVC514" s="332"/>
      <c r="MVD514" s="332"/>
      <c r="MVE514" s="332"/>
      <c r="MVF514" s="332"/>
      <c r="MVG514" s="332"/>
      <c r="MVH514" s="332"/>
      <c r="MVI514" s="332"/>
      <c r="MVJ514" s="332"/>
      <c r="MVK514" s="332"/>
      <c r="MVL514" s="332"/>
      <c r="MVM514" s="332"/>
      <c r="MVN514" s="332"/>
      <c r="MVO514" s="332"/>
      <c r="MVP514" s="332"/>
      <c r="MVQ514" s="332"/>
      <c r="MVR514" s="332"/>
      <c r="MVS514" s="332"/>
      <c r="MVT514" s="332"/>
      <c r="MVU514" s="332"/>
      <c r="MVV514" s="332"/>
      <c r="MVW514" s="332"/>
      <c r="MVX514" s="332"/>
      <c r="MVY514" s="332"/>
      <c r="MVZ514" s="332"/>
      <c r="MWA514" s="332"/>
      <c r="MWB514" s="332"/>
      <c r="MWC514" s="332"/>
      <c r="MWD514" s="332"/>
      <c r="MWE514" s="332"/>
      <c r="MWF514" s="332"/>
      <c r="MWG514" s="332"/>
      <c r="MWH514" s="332"/>
      <c r="MWI514" s="332"/>
      <c r="MWJ514" s="332"/>
      <c r="MWK514" s="332"/>
      <c r="MWL514" s="332"/>
      <c r="MWM514" s="332"/>
      <c r="MWN514" s="332"/>
      <c r="MWO514" s="332"/>
      <c r="MWP514" s="332"/>
      <c r="MWQ514" s="332"/>
      <c r="MWR514" s="332"/>
      <c r="MWS514" s="332"/>
      <c r="MWT514" s="332"/>
      <c r="MWU514" s="332"/>
      <c r="MWV514" s="332"/>
      <c r="MWW514" s="332"/>
      <c r="MWX514" s="332"/>
      <c r="MWY514" s="332"/>
      <c r="MWZ514" s="332"/>
      <c r="MXA514" s="332"/>
      <c r="MXB514" s="332"/>
      <c r="MXC514" s="332"/>
      <c r="MXD514" s="332"/>
      <c r="MXE514" s="332"/>
      <c r="MXF514" s="332"/>
      <c r="MXG514" s="332"/>
      <c r="MXH514" s="332"/>
      <c r="MXI514" s="332"/>
      <c r="MXJ514" s="332"/>
      <c r="MXK514" s="332"/>
      <c r="MXL514" s="332"/>
      <c r="MXM514" s="332"/>
      <c r="MXN514" s="332"/>
      <c r="MXO514" s="332"/>
      <c r="MXP514" s="332"/>
      <c r="MXQ514" s="332"/>
      <c r="MXR514" s="332"/>
      <c r="MXS514" s="332"/>
      <c r="MXT514" s="332"/>
      <c r="MXU514" s="332"/>
      <c r="MXV514" s="332"/>
      <c r="MXW514" s="332"/>
      <c r="MXX514" s="332"/>
      <c r="MXY514" s="332"/>
      <c r="MXZ514" s="332"/>
      <c r="MYA514" s="332"/>
      <c r="MYB514" s="332"/>
      <c r="MYC514" s="332"/>
      <c r="MYD514" s="332"/>
      <c r="MYE514" s="332"/>
      <c r="MYF514" s="332"/>
      <c r="MYG514" s="332"/>
      <c r="MYH514" s="332"/>
      <c r="MYI514" s="332"/>
      <c r="MYJ514" s="332"/>
      <c r="MYK514" s="332"/>
      <c r="MYL514" s="332"/>
      <c r="MYM514" s="332"/>
      <c r="MYN514" s="332"/>
      <c r="MYO514" s="332"/>
      <c r="MYP514" s="332"/>
      <c r="MYQ514" s="332"/>
      <c r="MYR514" s="332"/>
      <c r="MYS514" s="332"/>
      <c r="MYT514" s="332"/>
      <c r="MYU514" s="332"/>
      <c r="MYV514" s="332"/>
      <c r="MYW514" s="332"/>
      <c r="MYX514" s="332"/>
      <c r="MYY514" s="332"/>
      <c r="MYZ514" s="332"/>
      <c r="MZA514" s="332"/>
      <c r="MZB514" s="332"/>
      <c r="MZC514" s="332"/>
      <c r="MZD514" s="332"/>
      <c r="MZE514" s="332"/>
      <c r="MZF514" s="332"/>
      <c r="MZG514" s="332"/>
      <c r="MZH514" s="332"/>
      <c r="MZI514" s="332"/>
      <c r="MZJ514" s="332"/>
      <c r="MZK514" s="332"/>
      <c r="MZL514" s="332"/>
      <c r="MZM514" s="332"/>
      <c r="MZN514" s="332"/>
      <c r="MZO514" s="332"/>
      <c r="MZP514" s="332"/>
      <c r="MZQ514" s="332"/>
      <c r="MZR514" s="332"/>
      <c r="MZS514" s="332"/>
      <c r="MZT514" s="332"/>
      <c r="MZU514" s="332"/>
      <c r="MZV514" s="332"/>
      <c r="MZW514" s="332"/>
      <c r="MZX514" s="332"/>
      <c r="MZY514" s="332"/>
      <c r="MZZ514" s="332"/>
      <c r="NAA514" s="332"/>
      <c r="NAB514" s="332"/>
      <c r="NAC514" s="332"/>
      <c r="NAD514" s="332"/>
      <c r="NAE514" s="332"/>
      <c r="NAF514" s="332"/>
      <c r="NAG514" s="332"/>
      <c r="NAH514" s="332"/>
      <c r="NAI514" s="332"/>
      <c r="NAJ514" s="332"/>
      <c r="NAK514" s="332"/>
      <c r="NAL514" s="332"/>
      <c r="NAM514" s="332"/>
      <c r="NAN514" s="332"/>
      <c r="NAO514" s="332"/>
      <c r="NAP514" s="332"/>
      <c r="NAQ514" s="332"/>
      <c r="NAR514" s="332"/>
      <c r="NAS514" s="332"/>
      <c r="NAT514" s="332"/>
      <c r="NAU514" s="332"/>
      <c r="NAV514" s="332"/>
      <c r="NAW514" s="332"/>
      <c r="NAX514" s="332"/>
      <c r="NAY514" s="332"/>
      <c r="NAZ514" s="332"/>
      <c r="NBA514" s="332"/>
      <c r="NBB514" s="332"/>
      <c r="NBC514" s="332"/>
      <c r="NBD514" s="332"/>
      <c r="NBE514" s="332"/>
      <c r="NBF514" s="332"/>
      <c r="NBG514" s="332"/>
      <c r="NBH514" s="332"/>
      <c r="NBI514" s="332"/>
      <c r="NBJ514" s="332"/>
      <c r="NBK514" s="332"/>
      <c r="NBL514" s="332"/>
      <c r="NBM514" s="332"/>
      <c r="NBN514" s="332"/>
      <c r="NBO514" s="332"/>
      <c r="NBP514" s="332"/>
      <c r="NBQ514" s="332"/>
      <c r="NBR514" s="332"/>
      <c r="NBS514" s="332"/>
      <c r="NBT514" s="332"/>
      <c r="NBU514" s="332"/>
      <c r="NBV514" s="332"/>
      <c r="NBW514" s="332"/>
      <c r="NBX514" s="332"/>
      <c r="NBY514" s="332"/>
      <c r="NBZ514" s="332"/>
      <c r="NCA514" s="332"/>
      <c r="NCB514" s="332"/>
      <c r="NCC514" s="332"/>
      <c r="NCD514" s="332"/>
      <c r="NCE514" s="332"/>
      <c r="NCF514" s="332"/>
      <c r="NCG514" s="332"/>
      <c r="NCH514" s="332"/>
      <c r="NCI514" s="332"/>
      <c r="NCJ514" s="332"/>
      <c r="NCK514" s="332"/>
      <c r="NCL514" s="332"/>
      <c r="NCM514" s="332"/>
      <c r="NCN514" s="332"/>
      <c r="NCO514" s="332"/>
      <c r="NCP514" s="332"/>
      <c r="NCQ514" s="332"/>
      <c r="NCR514" s="332"/>
      <c r="NCS514" s="332"/>
      <c r="NCT514" s="332"/>
      <c r="NCU514" s="332"/>
      <c r="NCV514" s="332"/>
      <c r="NCW514" s="332"/>
      <c r="NCX514" s="332"/>
      <c r="NCY514" s="332"/>
      <c r="NCZ514" s="332"/>
      <c r="NDA514" s="332"/>
      <c r="NDB514" s="332"/>
      <c r="NDC514" s="332"/>
      <c r="NDD514" s="332"/>
      <c r="NDE514" s="332"/>
      <c r="NDF514" s="332"/>
      <c r="NDG514" s="332"/>
      <c r="NDH514" s="332"/>
      <c r="NDI514" s="332"/>
      <c r="NDJ514" s="332"/>
      <c r="NDK514" s="332"/>
      <c r="NDL514" s="332"/>
      <c r="NDM514" s="332"/>
      <c r="NDN514" s="332"/>
      <c r="NDO514" s="332"/>
      <c r="NDP514" s="332"/>
      <c r="NDQ514" s="332"/>
      <c r="NDR514" s="332"/>
      <c r="NDS514" s="332"/>
      <c r="NDT514" s="332"/>
      <c r="NDU514" s="332"/>
      <c r="NDV514" s="332"/>
      <c r="NDW514" s="332"/>
      <c r="NDX514" s="332"/>
      <c r="NDY514" s="332"/>
      <c r="NDZ514" s="332"/>
      <c r="NEA514" s="332"/>
      <c r="NEB514" s="332"/>
      <c r="NEC514" s="332"/>
      <c r="NED514" s="332"/>
      <c r="NEE514" s="332"/>
      <c r="NEF514" s="332"/>
      <c r="NEG514" s="332"/>
      <c r="NEH514" s="332"/>
      <c r="NEI514" s="332"/>
      <c r="NEJ514" s="332"/>
      <c r="NEK514" s="332"/>
      <c r="NEL514" s="332"/>
      <c r="NEM514" s="332"/>
      <c r="NEN514" s="332"/>
      <c r="NEO514" s="332"/>
      <c r="NEP514" s="332"/>
      <c r="NEQ514" s="332"/>
      <c r="NER514" s="332"/>
      <c r="NES514" s="332"/>
      <c r="NET514" s="332"/>
      <c r="NEU514" s="332"/>
      <c r="NEV514" s="332"/>
      <c r="NEW514" s="332"/>
      <c r="NEX514" s="332"/>
      <c r="NEY514" s="332"/>
      <c r="NEZ514" s="332"/>
      <c r="NFA514" s="332"/>
      <c r="NFB514" s="332"/>
      <c r="NFC514" s="332"/>
      <c r="NFD514" s="332"/>
      <c r="NFE514" s="332"/>
      <c r="NFF514" s="332"/>
      <c r="NFG514" s="332"/>
      <c r="NFH514" s="332"/>
      <c r="NFI514" s="332"/>
      <c r="NFJ514" s="332"/>
      <c r="NFK514" s="332"/>
      <c r="NFL514" s="332"/>
      <c r="NFM514" s="332"/>
      <c r="NFN514" s="332"/>
      <c r="NFO514" s="332"/>
      <c r="NFP514" s="332"/>
      <c r="NFQ514" s="332"/>
      <c r="NFR514" s="332"/>
      <c r="NFS514" s="332"/>
      <c r="NFT514" s="332"/>
      <c r="NFU514" s="332"/>
      <c r="NFV514" s="332"/>
      <c r="NFW514" s="332"/>
      <c r="NFX514" s="332"/>
      <c r="NFY514" s="332"/>
      <c r="NFZ514" s="332"/>
      <c r="NGA514" s="332"/>
      <c r="NGB514" s="332"/>
      <c r="NGC514" s="332"/>
      <c r="NGD514" s="332"/>
      <c r="NGE514" s="332"/>
      <c r="NGF514" s="332"/>
      <c r="NGG514" s="332"/>
      <c r="NGH514" s="332"/>
      <c r="NGI514" s="332"/>
      <c r="NGJ514" s="332"/>
      <c r="NGK514" s="332"/>
      <c r="NGL514" s="332"/>
      <c r="NGM514" s="332"/>
      <c r="NGN514" s="332"/>
      <c r="NGO514" s="332"/>
      <c r="NGP514" s="332"/>
      <c r="NGQ514" s="332"/>
      <c r="NGR514" s="332"/>
      <c r="NGS514" s="332"/>
      <c r="NGT514" s="332"/>
      <c r="NGU514" s="332"/>
      <c r="NGV514" s="332"/>
      <c r="NGW514" s="332"/>
      <c r="NGX514" s="332"/>
      <c r="NGY514" s="332"/>
      <c r="NGZ514" s="332"/>
      <c r="NHA514" s="332"/>
      <c r="NHB514" s="332"/>
      <c r="NHC514" s="332"/>
      <c r="NHD514" s="332"/>
      <c r="NHE514" s="332"/>
      <c r="NHF514" s="332"/>
      <c r="NHG514" s="332"/>
      <c r="NHH514" s="332"/>
      <c r="NHI514" s="332"/>
      <c r="NHJ514" s="332"/>
      <c r="NHK514" s="332"/>
      <c r="NHL514" s="332"/>
      <c r="NHM514" s="332"/>
      <c r="NHN514" s="332"/>
      <c r="NHO514" s="332"/>
      <c r="NHP514" s="332"/>
      <c r="NHQ514" s="332"/>
      <c r="NHR514" s="332"/>
      <c r="NHS514" s="332"/>
      <c r="NHT514" s="332"/>
      <c r="NHU514" s="332"/>
      <c r="NHV514" s="332"/>
      <c r="NHW514" s="332"/>
      <c r="NHX514" s="332"/>
      <c r="NHY514" s="332"/>
      <c r="NHZ514" s="332"/>
      <c r="NIA514" s="332"/>
      <c r="NIB514" s="332"/>
      <c r="NIC514" s="332"/>
      <c r="NID514" s="332"/>
      <c r="NIE514" s="332"/>
      <c r="NIF514" s="332"/>
      <c r="NIG514" s="332"/>
      <c r="NIH514" s="332"/>
      <c r="NII514" s="332"/>
      <c r="NIJ514" s="332"/>
      <c r="NIK514" s="332"/>
      <c r="NIL514" s="332"/>
      <c r="NIM514" s="332"/>
      <c r="NIN514" s="332"/>
      <c r="NIO514" s="332"/>
      <c r="NIP514" s="332"/>
      <c r="NIQ514" s="332"/>
      <c r="NIR514" s="332"/>
      <c r="NIS514" s="332"/>
      <c r="NIT514" s="332"/>
      <c r="NIU514" s="332"/>
      <c r="NIV514" s="332"/>
      <c r="NIW514" s="332"/>
      <c r="NIX514" s="332"/>
      <c r="NIY514" s="332"/>
      <c r="NIZ514" s="332"/>
      <c r="NJA514" s="332"/>
      <c r="NJB514" s="332"/>
      <c r="NJC514" s="332"/>
      <c r="NJD514" s="332"/>
      <c r="NJE514" s="332"/>
      <c r="NJF514" s="332"/>
      <c r="NJG514" s="332"/>
      <c r="NJH514" s="332"/>
      <c r="NJI514" s="332"/>
      <c r="NJJ514" s="332"/>
      <c r="NJK514" s="332"/>
      <c r="NJL514" s="332"/>
      <c r="NJM514" s="332"/>
      <c r="NJN514" s="332"/>
      <c r="NJO514" s="332"/>
      <c r="NJP514" s="332"/>
      <c r="NJQ514" s="332"/>
      <c r="NJR514" s="332"/>
      <c r="NJS514" s="332"/>
      <c r="NJT514" s="332"/>
      <c r="NJU514" s="332"/>
      <c r="NJV514" s="332"/>
      <c r="NJW514" s="332"/>
      <c r="NJX514" s="332"/>
      <c r="NJY514" s="332"/>
      <c r="NJZ514" s="332"/>
      <c r="NKA514" s="332"/>
      <c r="NKB514" s="332"/>
      <c r="NKC514" s="332"/>
      <c r="NKD514" s="332"/>
      <c r="NKE514" s="332"/>
      <c r="NKF514" s="332"/>
      <c r="NKG514" s="332"/>
      <c r="NKH514" s="332"/>
      <c r="NKI514" s="332"/>
      <c r="NKJ514" s="332"/>
      <c r="NKK514" s="332"/>
      <c r="NKL514" s="332"/>
      <c r="NKM514" s="332"/>
      <c r="NKN514" s="332"/>
      <c r="NKO514" s="332"/>
      <c r="NKP514" s="332"/>
      <c r="NKQ514" s="332"/>
      <c r="NKR514" s="332"/>
      <c r="NKS514" s="332"/>
      <c r="NKT514" s="332"/>
      <c r="NKU514" s="332"/>
      <c r="NKV514" s="332"/>
      <c r="NKW514" s="332"/>
      <c r="NKX514" s="332"/>
      <c r="NKY514" s="332"/>
      <c r="NKZ514" s="332"/>
      <c r="NLA514" s="332"/>
      <c r="NLB514" s="332"/>
      <c r="NLC514" s="332"/>
      <c r="NLD514" s="332"/>
      <c r="NLE514" s="332"/>
      <c r="NLF514" s="332"/>
      <c r="NLG514" s="332"/>
      <c r="NLH514" s="332"/>
      <c r="NLI514" s="332"/>
      <c r="NLJ514" s="332"/>
      <c r="NLK514" s="332"/>
      <c r="NLL514" s="332"/>
      <c r="NLM514" s="332"/>
      <c r="NLN514" s="332"/>
      <c r="NLO514" s="332"/>
      <c r="NLP514" s="332"/>
      <c r="NLQ514" s="332"/>
      <c r="NLR514" s="332"/>
      <c r="NLS514" s="332"/>
      <c r="NLT514" s="332"/>
      <c r="NLU514" s="332"/>
      <c r="NLV514" s="332"/>
      <c r="NLW514" s="332"/>
      <c r="NLX514" s="332"/>
      <c r="NLY514" s="332"/>
      <c r="NLZ514" s="332"/>
      <c r="NMA514" s="332"/>
      <c r="NMB514" s="332"/>
      <c r="NMC514" s="332"/>
      <c r="NMD514" s="332"/>
      <c r="NME514" s="332"/>
      <c r="NMF514" s="332"/>
      <c r="NMG514" s="332"/>
      <c r="NMH514" s="332"/>
      <c r="NMI514" s="332"/>
      <c r="NMJ514" s="332"/>
      <c r="NMK514" s="332"/>
      <c r="NML514" s="332"/>
      <c r="NMM514" s="332"/>
      <c r="NMN514" s="332"/>
      <c r="NMO514" s="332"/>
      <c r="NMP514" s="332"/>
      <c r="NMQ514" s="332"/>
      <c r="NMR514" s="332"/>
      <c r="NMS514" s="332"/>
      <c r="NMT514" s="332"/>
      <c r="NMU514" s="332"/>
      <c r="NMV514" s="332"/>
      <c r="NMW514" s="332"/>
      <c r="NMX514" s="332"/>
      <c r="NMY514" s="332"/>
      <c r="NMZ514" s="332"/>
      <c r="NNA514" s="332"/>
      <c r="NNB514" s="332"/>
      <c r="NNC514" s="332"/>
      <c r="NND514" s="332"/>
      <c r="NNE514" s="332"/>
      <c r="NNF514" s="332"/>
      <c r="NNG514" s="332"/>
      <c r="NNH514" s="332"/>
      <c r="NNI514" s="332"/>
      <c r="NNJ514" s="332"/>
      <c r="NNK514" s="332"/>
      <c r="NNL514" s="332"/>
      <c r="NNM514" s="332"/>
      <c r="NNN514" s="332"/>
      <c r="NNO514" s="332"/>
      <c r="NNP514" s="332"/>
      <c r="NNQ514" s="332"/>
      <c r="NNR514" s="332"/>
      <c r="NNS514" s="332"/>
      <c r="NNT514" s="332"/>
      <c r="NNU514" s="332"/>
      <c r="NNV514" s="332"/>
      <c r="NNW514" s="332"/>
      <c r="NNX514" s="332"/>
      <c r="NNY514" s="332"/>
      <c r="NNZ514" s="332"/>
      <c r="NOA514" s="332"/>
      <c r="NOB514" s="332"/>
      <c r="NOC514" s="332"/>
      <c r="NOD514" s="332"/>
      <c r="NOE514" s="332"/>
      <c r="NOF514" s="332"/>
      <c r="NOG514" s="332"/>
      <c r="NOH514" s="332"/>
      <c r="NOI514" s="332"/>
      <c r="NOJ514" s="332"/>
      <c r="NOK514" s="332"/>
      <c r="NOL514" s="332"/>
      <c r="NOM514" s="332"/>
      <c r="NON514" s="332"/>
      <c r="NOO514" s="332"/>
      <c r="NOP514" s="332"/>
      <c r="NOQ514" s="332"/>
      <c r="NOR514" s="332"/>
      <c r="NOS514" s="332"/>
      <c r="NOT514" s="332"/>
      <c r="NOU514" s="332"/>
      <c r="NOV514" s="332"/>
      <c r="NOW514" s="332"/>
      <c r="NOX514" s="332"/>
      <c r="NOY514" s="332"/>
      <c r="NOZ514" s="332"/>
      <c r="NPA514" s="332"/>
      <c r="NPB514" s="332"/>
      <c r="NPC514" s="332"/>
      <c r="NPD514" s="332"/>
      <c r="NPE514" s="332"/>
      <c r="NPF514" s="332"/>
      <c r="NPG514" s="332"/>
      <c r="NPH514" s="332"/>
      <c r="NPI514" s="332"/>
      <c r="NPJ514" s="332"/>
      <c r="NPK514" s="332"/>
      <c r="NPL514" s="332"/>
      <c r="NPM514" s="332"/>
      <c r="NPN514" s="332"/>
      <c r="NPO514" s="332"/>
      <c r="NPP514" s="332"/>
      <c r="NPQ514" s="332"/>
      <c r="NPR514" s="332"/>
      <c r="NPS514" s="332"/>
      <c r="NPT514" s="332"/>
      <c r="NPU514" s="332"/>
      <c r="NPV514" s="332"/>
      <c r="NPW514" s="332"/>
      <c r="NPX514" s="332"/>
      <c r="NPY514" s="332"/>
      <c r="NPZ514" s="332"/>
      <c r="NQA514" s="332"/>
      <c r="NQB514" s="332"/>
      <c r="NQC514" s="332"/>
      <c r="NQD514" s="332"/>
      <c r="NQE514" s="332"/>
      <c r="NQF514" s="332"/>
      <c r="NQG514" s="332"/>
      <c r="NQH514" s="332"/>
      <c r="NQI514" s="332"/>
      <c r="NQJ514" s="332"/>
      <c r="NQK514" s="332"/>
      <c r="NQL514" s="332"/>
      <c r="NQM514" s="332"/>
      <c r="NQN514" s="332"/>
      <c r="NQO514" s="332"/>
      <c r="NQP514" s="332"/>
      <c r="NQQ514" s="332"/>
      <c r="NQR514" s="332"/>
      <c r="NQS514" s="332"/>
      <c r="NQT514" s="332"/>
      <c r="NQU514" s="332"/>
      <c r="NQV514" s="332"/>
      <c r="NQW514" s="332"/>
      <c r="NQX514" s="332"/>
      <c r="NQY514" s="332"/>
      <c r="NQZ514" s="332"/>
      <c r="NRA514" s="332"/>
      <c r="NRB514" s="332"/>
      <c r="NRC514" s="332"/>
      <c r="NRD514" s="332"/>
      <c r="NRE514" s="332"/>
      <c r="NRF514" s="332"/>
      <c r="NRG514" s="332"/>
      <c r="NRH514" s="332"/>
      <c r="NRI514" s="332"/>
      <c r="NRJ514" s="332"/>
      <c r="NRK514" s="332"/>
      <c r="NRL514" s="332"/>
      <c r="NRM514" s="332"/>
      <c r="NRN514" s="332"/>
      <c r="NRO514" s="332"/>
      <c r="NRP514" s="332"/>
      <c r="NRQ514" s="332"/>
      <c r="NRR514" s="332"/>
      <c r="NRS514" s="332"/>
      <c r="NRT514" s="332"/>
      <c r="NRU514" s="332"/>
      <c r="NRV514" s="332"/>
      <c r="NRW514" s="332"/>
      <c r="NRX514" s="332"/>
      <c r="NRY514" s="332"/>
      <c r="NRZ514" s="332"/>
      <c r="NSA514" s="332"/>
      <c r="NSB514" s="332"/>
      <c r="NSC514" s="332"/>
      <c r="NSD514" s="332"/>
      <c r="NSE514" s="332"/>
      <c r="NSF514" s="332"/>
      <c r="NSG514" s="332"/>
      <c r="NSH514" s="332"/>
      <c r="NSI514" s="332"/>
      <c r="NSJ514" s="332"/>
      <c r="NSK514" s="332"/>
      <c r="NSL514" s="332"/>
      <c r="NSM514" s="332"/>
      <c r="NSN514" s="332"/>
      <c r="NSO514" s="332"/>
      <c r="NSP514" s="332"/>
      <c r="NSQ514" s="332"/>
      <c r="NSR514" s="332"/>
      <c r="NSS514" s="332"/>
      <c r="NST514" s="332"/>
      <c r="NSU514" s="332"/>
      <c r="NSV514" s="332"/>
      <c r="NSW514" s="332"/>
      <c r="NSX514" s="332"/>
      <c r="NSY514" s="332"/>
      <c r="NSZ514" s="332"/>
      <c r="NTA514" s="332"/>
      <c r="NTB514" s="332"/>
      <c r="NTC514" s="332"/>
      <c r="NTD514" s="332"/>
      <c r="NTE514" s="332"/>
      <c r="NTF514" s="332"/>
      <c r="NTG514" s="332"/>
      <c r="NTH514" s="332"/>
      <c r="NTI514" s="332"/>
      <c r="NTJ514" s="332"/>
      <c r="NTK514" s="332"/>
      <c r="NTL514" s="332"/>
      <c r="NTM514" s="332"/>
      <c r="NTN514" s="332"/>
      <c r="NTO514" s="332"/>
      <c r="NTP514" s="332"/>
      <c r="NTQ514" s="332"/>
      <c r="NTR514" s="332"/>
      <c r="NTS514" s="332"/>
      <c r="NTT514" s="332"/>
      <c r="NTU514" s="332"/>
      <c r="NTV514" s="332"/>
      <c r="NTW514" s="332"/>
      <c r="NTX514" s="332"/>
      <c r="NTY514" s="332"/>
      <c r="NTZ514" s="332"/>
      <c r="NUA514" s="332"/>
      <c r="NUB514" s="332"/>
      <c r="NUC514" s="332"/>
      <c r="NUD514" s="332"/>
      <c r="NUE514" s="332"/>
      <c r="NUF514" s="332"/>
      <c r="NUG514" s="332"/>
      <c r="NUH514" s="332"/>
      <c r="NUI514" s="332"/>
      <c r="NUJ514" s="332"/>
      <c r="NUK514" s="332"/>
      <c r="NUL514" s="332"/>
      <c r="NUM514" s="332"/>
      <c r="NUN514" s="332"/>
      <c r="NUO514" s="332"/>
      <c r="NUP514" s="332"/>
      <c r="NUQ514" s="332"/>
      <c r="NUR514" s="332"/>
      <c r="NUS514" s="332"/>
      <c r="NUT514" s="332"/>
      <c r="NUU514" s="332"/>
      <c r="NUV514" s="332"/>
      <c r="NUW514" s="332"/>
      <c r="NUX514" s="332"/>
      <c r="NUY514" s="332"/>
      <c r="NUZ514" s="332"/>
      <c r="NVA514" s="332"/>
      <c r="NVB514" s="332"/>
      <c r="NVC514" s="332"/>
      <c r="NVD514" s="332"/>
      <c r="NVE514" s="332"/>
      <c r="NVF514" s="332"/>
      <c r="NVG514" s="332"/>
      <c r="NVH514" s="332"/>
      <c r="NVI514" s="332"/>
      <c r="NVJ514" s="332"/>
      <c r="NVK514" s="332"/>
      <c r="NVL514" s="332"/>
      <c r="NVM514" s="332"/>
      <c r="NVN514" s="332"/>
      <c r="NVO514" s="332"/>
      <c r="NVP514" s="332"/>
      <c r="NVQ514" s="332"/>
      <c r="NVR514" s="332"/>
      <c r="NVS514" s="332"/>
      <c r="NVT514" s="332"/>
      <c r="NVU514" s="332"/>
      <c r="NVV514" s="332"/>
      <c r="NVW514" s="332"/>
      <c r="NVX514" s="332"/>
      <c r="NVY514" s="332"/>
      <c r="NVZ514" s="332"/>
      <c r="NWA514" s="332"/>
      <c r="NWB514" s="332"/>
      <c r="NWC514" s="332"/>
      <c r="NWD514" s="332"/>
      <c r="NWE514" s="332"/>
      <c r="NWF514" s="332"/>
      <c r="NWG514" s="332"/>
      <c r="NWH514" s="332"/>
      <c r="NWI514" s="332"/>
      <c r="NWJ514" s="332"/>
      <c r="NWK514" s="332"/>
      <c r="NWL514" s="332"/>
      <c r="NWM514" s="332"/>
      <c r="NWN514" s="332"/>
      <c r="NWO514" s="332"/>
      <c r="NWP514" s="332"/>
      <c r="NWQ514" s="332"/>
      <c r="NWR514" s="332"/>
      <c r="NWS514" s="332"/>
      <c r="NWT514" s="332"/>
      <c r="NWU514" s="332"/>
      <c r="NWV514" s="332"/>
      <c r="NWW514" s="332"/>
      <c r="NWX514" s="332"/>
      <c r="NWY514" s="332"/>
      <c r="NWZ514" s="332"/>
      <c r="NXA514" s="332"/>
      <c r="NXB514" s="332"/>
      <c r="NXC514" s="332"/>
      <c r="NXD514" s="332"/>
      <c r="NXE514" s="332"/>
      <c r="NXF514" s="332"/>
      <c r="NXG514" s="332"/>
      <c r="NXH514" s="332"/>
      <c r="NXI514" s="332"/>
      <c r="NXJ514" s="332"/>
      <c r="NXK514" s="332"/>
      <c r="NXL514" s="332"/>
      <c r="NXM514" s="332"/>
      <c r="NXN514" s="332"/>
      <c r="NXO514" s="332"/>
      <c r="NXP514" s="332"/>
      <c r="NXQ514" s="332"/>
      <c r="NXR514" s="332"/>
      <c r="NXS514" s="332"/>
      <c r="NXT514" s="332"/>
      <c r="NXU514" s="332"/>
      <c r="NXV514" s="332"/>
      <c r="NXW514" s="332"/>
      <c r="NXX514" s="332"/>
      <c r="NXY514" s="332"/>
      <c r="NXZ514" s="332"/>
      <c r="NYA514" s="332"/>
      <c r="NYB514" s="332"/>
      <c r="NYC514" s="332"/>
      <c r="NYD514" s="332"/>
      <c r="NYE514" s="332"/>
      <c r="NYF514" s="332"/>
      <c r="NYG514" s="332"/>
      <c r="NYH514" s="332"/>
      <c r="NYI514" s="332"/>
      <c r="NYJ514" s="332"/>
      <c r="NYK514" s="332"/>
      <c r="NYL514" s="332"/>
      <c r="NYM514" s="332"/>
      <c r="NYN514" s="332"/>
      <c r="NYO514" s="332"/>
      <c r="NYP514" s="332"/>
      <c r="NYQ514" s="332"/>
      <c r="NYR514" s="332"/>
      <c r="NYS514" s="332"/>
      <c r="NYT514" s="332"/>
      <c r="NYU514" s="332"/>
      <c r="NYV514" s="332"/>
      <c r="NYW514" s="332"/>
      <c r="NYX514" s="332"/>
      <c r="NYY514" s="332"/>
      <c r="NYZ514" s="332"/>
      <c r="NZA514" s="332"/>
      <c r="NZB514" s="332"/>
      <c r="NZC514" s="332"/>
      <c r="NZD514" s="332"/>
      <c r="NZE514" s="332"/>
      <c r="NZF514" s="332"/>
      <c r="NZG514" s="332"/>
      <c r="NZH514" s="332"/>
      <c r="NZI514" s="332"/>
      <c r="NZJ514" s="332"/>
      <c r="NZK514" s="332"/>
      <c r="NZL514" s="332"/>
      <c r="NZM514" s="332"/>
      <c r="NZN514" s="332"/>
      <c r="NZO514" s="332"/>
      <c r="NZP514" s="332"/>
      <c r="NZQ514" s="332"/>
      <c r="NZR514" s="332"/>
      <c r="NZS514" s="332"/>
      <c r="NZT514" s="332"/>
      <c r="NZU514" s="332"/>
      <c r="NZV514" s="332"/>
      <c r="NZW514" s="332"/>
      <c r="NZX514" s="332"/>
      <c r="NZY514" s="332"/>
      <c r="NZZ514" s="332"/>
      <c r="OAA514" s="332"/>
      <c r="OAB514" s="332"/>
      <c r="OAC514" s="332"/>
      <c r="OAD514" s="332"/>
      <c r="OAE514" s="332"/>
      <c r="OAF514" s="332"/>
      <c r="OAG514" s="332"/>
      <c r="OAH514" s="332"/>
      <c r="OAI514" s="332"/>
      <c r="OAJ514" s="332"/>
      <c r="OAK514" s="332"/>
      <c r="OAL514" s="332"/>
      <c r="OAM514" s="332"/>
      <c r="OAN514" s="332"/>
      <c r="OAO514" s="332"/>
      <c r="OAP514" s="332"/>
      <c r="OAQ514" s="332"/>
      <c r="OAR514" s="332"/>
      <c r="OAS514" s="332"/>
      <c r="OAT514" s="332"/>
      <c r="OAU514" s="332"/>
      <c r="OAV514" s="332"/>
      <c r="OAW514" s="332"/>
      <c r="OAX514" s="332"/>
      <c r="OAY514" s="332"/>
      <c r="OAZ514" s="332"/>
      <c r="OBA514" s="332"/>
      <c r="OBB514" s="332"/>
      <c r="OBC514" s="332"/>
      <c r="OBD514" s="332"/>
      <c r="OBE514" s="332"/>
      <c r="OBF514" s="332"/>
      <c r="OBG514" s="332"/>
      <c r="OBH514" s="332"/>
      <c r="OBI514" s="332"/>
      <c r="OBJ514" s="332"/>
      <c r="OBK514" s="332"/>
      <c r="OBL514" s="332"/>
      <c r="OBM514" s="332"/>
      <c r="OBN514" s="332"/>
      <c r="OBO514" s="332"/>
      <c r="OBP514" s="332"/>
      <c r="OBQ514" s="332"/>
      <c r="OBR514" s="332"/>
      <c r="OBS514" s="332"/>
      <c r="OBT514" s="332"/>
      <c r="OBU514" s="332"/>
      <c r="OBV514" s="332"/>
      <c r="OBW514" s="332"/>
      <c r="OBX514" s="332"/>
      <c r="OBY514" s="332"/>
      <c r="OBZ514" s="332"/>
      <c r="OCA514" s="332"/>
      <c r="OCB514" s="332"/>
      <c r="OCC514" s="332"/>
      <c r="OCD514" s="332"/>
      <c r="OCE514" s="332"/>
      <c r="OCF514" s="332"/>
      <c r="OCG514" s="332"/>
      <c r="OCH514" s="332"/>
      <c r="OCI514" s="332"/>
      <c r="OCJ514" s="332"/>
      <c r="OCK514" s="332"/>
      <c r="OCL514" s="332"/>
      <c r="OCM514" s="332"/>
      <c r="OCN514" s="332"/>
      <c r="OCO514" s="332"/>
      <c r="OCP514" s="332"/>
      <c r="OCQ514" s="332"/>
      <c r="OCR514" s="332"/>
      <c r="OCS514" s="332"/>
      <c r="OCT514" s="332"/>
      <c r="OCU514" s="332"/>
      <c r="OCV514" s="332"/>
      <c r="OCW514" s="332"/>
      <c r="OCX514" s="332"/>
      <c r="OCY514" s="332"/>
      <c r="OCZ514" s="332"/>
      <c r="ODA514" s="332"/>
      <c r="ODB514" s="332"/>
      <c r="ODC514" s="332"/>
      <c r="ODD514" s="332"/>
      <c r="ODE514" s="332"/>
      <c r="ODF514" s="332"/>
      <c r="ODG514" s="332"/>
      <c r="ODH514" s="332"/>
      <c r="ODI514" s="332"/>
      <c r="ODJ514" s="332"/>
      <c r="ODK514" s="332"/>
      <c r="ODL514" s="332"/>
      <c r="ODM514" s="332"/>
      <c r="ODN514" s="332"/>
      <c r="ODO514" s="332"/>
      <c r="ODP514" s="332"/>
      <c r="ODQ514" s="332"/>
      <c r="ODR514" s="332"/>
      <c r="ODS514" s="332"/>
      <c r="ODT514" s="332"/>
      <c r="ODU514" s="332"/>
      <c r="ODV514" s="332"/>
      <c r="ODW514" s="332"/>
      <c r="ODX514" s="332"/>
      <c r="ODY514" s="332"/>
      <c r="ODZ514" s="332"/>
      <c r="OEA514" s="332"/>
      <c r="OEB514" s="332"/>
      <c r="OEC514" s="332"/>
      <c r="OED514" s="332"/>
      <c r="OEE514" s="332"/>
      <c r="OEF514" s="332"/>
      <c r="OEG514" s="332"/>
      <c r="OEH514" s="332"/>
      <c r="OEI514" s="332"/>
      <c r="OEJ514" s="332"/>
      <c r="OEK514" s="332"/>
      <c r="OEL514" s="332"/>
      <c r="OEM514" s="332"/>
      <c r="OEN514" s="332"/>
      <c r="OEO514" s="332"/>
      <c r="OEP514" s="332"/>
      <c r="OEQ514" s="332"/>
      <c r="OER514" s="332"/>
      <c r="OES514" s="332"/>
      <c r="OET514" s="332"/>
      <c r="OEU514" s="332"/>
      <c r="OEV514" s="332"/>
      <c r="OEW514" s="332"/>
      <c r="OEX514" s="332"/>
      <c r="OEY514" s="332"/>
      <c r="OEZ514" s="332"/>
      <c r="OFA514" s="332"/>
      <c r="OFB514" s="332"/>
      <c r="OFC514" s="332"/>
      <c r="OFD514" s="332"/>
      <c r="OFE514" s="332"/>
      <c r="OFF514" s="332"/>
      <c r="OFG514" s="332"/>
      <c r="OFH514" s="332"/>
      <c r="OFI514" s="332"/>
      <c r="OFJ514" s="332"/>
      <c r="OFK514" s="332"/>
      <c r="OFL514" s="332"/>
      <c r="OFM514" s="332"/>
      <c r="OFN514" s="332"/>
      <c r="OFO514" s="332"/>
      <c r="OFP514" s="332"/>
      <c r="OFQ514" s="332"/>
      <c r="OFR514" s="332"/>
      <c r="OFS514" s="332"/>
      <c r="OFT514" s="332"/>
      <c r="OFU514" s="332"/>
      <c r="OFV514" s="332"/>
      <c r="OFW514" s="332"/>
      <c r="OFX514" s="332"/>
      <c r="OFY514" s="332"/>
      <c r="OFZ514" s="332"/>
      <c r="OGA514" s="332"/>
      <c r="OGB514" s="332"/>
      <c r="OGC514" s="332"/>
      <c r="OGD514" s="332"/>
      <c r="OGE514" s="332"/>
      <c r="OGF514" s="332"/>
      <c r="OGG514" s="332"/>
      <c r="OGH514" s="332"/>
      <c r="OGI514" s="332"/>
      <c r="OGJ514" s="332"/>
      <c r="OGK514" s="332"/>
      <c r="OGL514" s="332"/>
      <c r="OGM514" s="332"/>
      <c r="OGN514" s="332"/>
      <c r="OGO514" s="332"/>
      <c r="OGP514" s="332"/>
      <c r="OGQ514" s="332"/>
      <c r="OGR514" s="332"/>
      <c r="OGS514" s="332"/>
      <c r="OGT514" s="332"/>
      <c r="OGU514" s="332"/>
      <c r="OGV514" s="332"/>
      <c r="OGW514" s="332"/>
      <c r="OGX514" s="332"/>
      <c r="OGY514" s="332"/>
      <c r="OGZ514" s="332"/>
      <c r="OHA514" s="332"/>
      <c r="OHB514" s="332"/>
      <c r="OHC514" s="332"/>
      <c r="OHD514" s="332"/>
      <c r="OHE514" s="332"/>
      <c r="OHF514" s="332"/>
      <c r="OHG514" s="332"/>
      <c r="OHH514" s="332"/>
      <c r="OHI514" s="332"/>
      <c r="OHJ514" s="332"/>
      <c r="OHK514" s="332"/>
      <c r="OHL514" s="332"/>
      <c r="OHM514" s="332"/>
      <c r="OHN514" s="332"/>
      <c r="OHO514" s="332"/>
      <c r="OHP514" s="332"/>
      <c r="OHQ514" s="332"/>
      <c r="OHR514" s="332"/>
      <c r="OHS514" s="332"/>
      <c r="OHT514" s="332"/>
      <c r="OHU514" s="332"/>
      <c r="OHV514" s="332"/>
      <c r="OHW514" s="332"/>
      <c r="OHX514" s="332"/>
      <c r="OHY514" s="332"/>
      <c r="OHZ514" s="332"/>
      <c r="OIA514" s="332"/>
      <c r="OIB514" s="332"/>
      <c r="OIC514" s="332"/>
      <c r="OID514" s="332"/>
      <c r="OIE514" s="332"/>
      <c r="OIF514" s="332"/>
      <c r="OIG514" s="332"/>
      <c r="OIH514" s="332"/>
      <c r="OII514" s="332"/>
      <c r="OIJ514" s="332"/>
      <c r="OIK514" s="332"/>
      <c r="OIL514" s="332"/>
      <c r="OIM514" s="332"/>
      <c r="OIN514" s="332"/>
      <c r="OIO514" s="332"/>
      <c r="OIP514" s="332"/>
      <c r="OIQ514" s="332"/>
      <c r="OIR514" s="332"/>
      <c r="OIS514" s="332"/>
      <c r="OIT514" s="332"/>
      <c r="OIU514" s="332"/>
      <c r="OIV514" s="332"/>
      <c r="OIW514" s="332"/>
      <c r="OIX514" s="332"/>
      <c r="OIY514" s="332"/>
      <c r="OIZ514" s="332"/>
      <c r="OJA514" s="332"/>
      <c r="OJB514" s="332"/>
      <c r="OJC514" s="332"/>
      <c r="OJD514" s="332"/>
      <c r="OJE514" s="332"/>
      <c r="OJF514" s="332"/>
      <c r="OJG514" s="332"/>
      <c r="OJH514" s="332"/>
      <c r="OJI514" s="332"/>
      <c r="OJJ514" s="332"/>
      <c r="OJK514" s="332"/>
      <c r="OJL514" s="332"/>
      <c r="OJM514" s="332"/>
      <c r="OJN514" s="332"/>
      <c r="OJO514" s="332"/>
      <c r="OJP514" s="332"/>
      <c r="OJQ514" s="332"/>
      <c r="OJR514" s="332"/>
      <c r="OJS514" s="332"/>
      <c r="OJT514" s="332"/>
      <c r="OJU514" s="332"/>
      <c r="OJV514" s="332"/>
      <c r="OJW514" s="332"/>
      <c r="OJX514" s="332"/>
      <c r="OJY514" s="332"/>
      <c r="OJZ514" s="332"/>
      <c r="OKA514" s="332"/>
      <c r="OKB514" s="332"/>
      <c r="OKC514" s="332"/>
      <c r="OKD514" s="332"/>
      <c r="OKE514" s="332"/>
      <c r="OKF514" s="332"/>
      <c r="OKG514" s="332"/>
      <c r="OKH514" s="332"/>
      <c r="OKI514" s="332"/>
      <c r="OKJ514" s="332"/>
      <c r="OKK514" s="332"/>
      <c r="OKL514" s="332"/>
      <c r="OKM514" s="332"/>
      <c r="OKN514" s="332"/>
      <c r="OKO514" s="332"/>
      <c r="OKP514" s="332"/>
      <c r="OKQ514" s="332"/>
      <c r="OKR514" s="332"/>
      <c r="OKS514" s="332"/>
      <c r="OKT514" s="332"/>
      <c r="OKU514" s="332"/>
      <c r="OKV514" s="332"/>
      <c r="OKW514" s="332"/>
      <c r="OKX514" s="332"/>
      <c r="OKY514" s="332"/>
      <c r="OKZ514" s="332"/>
      <c r="OLA514" s="332"/>
      <c r="OLB514" s="332"/>
      <c r="OLC514" s="332"/>
      <c r="OLD514" s="332"/>
      <c r="OLE514" s="332"/>
      <c r="OLF514" s="332"/>
      <c r="OLG514" s="332"/>
      <c r="OLH514" s="332"/>
      <c r="OLI514" s="332"/>
      <c r="OLJ514" s="332"/>
      <c r="OLK514" s="332"/>
      <c r="OLL514" s="332"/>
      <c r="OLM514" s="332"/>
      <c r="OLN514" s="332"/>
      <c r="OLO514" s="332"/>
      <c r="OLP514" s="332"/>
      <c r="OLQ514" s="332"/>
      <c r="OLR514" s="332"/>
      <c r="OLS514" s="332"/>
      <c r="OLT514" s="332"/>
      <c r="OLU514" s="332"/>
      <c r="OLV514" s="332"/>
      <c r="OLW514" s="332"/>
      <c r="OLX514" s="332"/>
      <c r="OLY514" s="332"/>
      <c r="OLZ514" s="332"/>
      <c r="OMA514" s="332"/>
      <c r="OMB514" s="332"/>
      <c r="OMC514" s="332"/>
      <c r="OMD514" s="332"/>
      <c r="OME514" s="332"/>
      <c r="OMF514" s="332"/>
      <c r="OMG514" s="332"/>
      <c r="OMH514" s="332"/>
      <c r="OMI514" s="332"/>
      <c r="OMJ514" s="332"/>
      <c r="OMK514" s="332"/>
      <c r="OML514" s="332"/>
      <c r="OMM514" s="332"/>
      <c r="OMN514" s="332"/>
      <c r="OMO514" s="332"/>
      <c r="OMP514" s="332"/>
      <c r="OMQ514" s="332"/>
      <c r="OMR514" s="332"/>
      <c r="OMS514" s="332"/>
      <c r="OMT514" s="332"/>
      <c r="OMU514" s="332"/>
      <c r="OMV514" s="332"/>
      <c r="OMW514" s="332"/>
      <c r="OMX514" s="332"/>
      <c r="OMY514" s="332"/>
      <c r="OMZ514" s="332"/>
      <c r="ONA514" s="332"/>
      <c r="ONB514" s="332"/>
      <c r="ONC514" s="332"/>
      <c r="OND514" s="332"/>
      <c r="ONE514" s="332"/>
      <c r="ONF514" s="332"/>
      <c r="ONG514" s="332"/>
      <c r="ONH514" s="332"/>
      <c r="ONI514" s="332"/>
      <c r="ONJ514" s="332"/>
      <c r="ONK514" s="332"/>
      <c r="ONL514" s="332"/>
      <c r="ONM514" s="332"/>
      <c r="ONN514" s="332"/>
      <c r="ONO514" s="332"/>
      <c r="ONP514" s="332"/>
      <c r="ONQ514" s="332"/>
      <c r="ONR514" s="332"/>
      <c r="ONS514" s="332"/>
      <c r="ONT514" s="332"/>
      <c r="ONU514" s="332"/>
      <c r="ONV514" s="332"/>
      <c r="ONW514" s="332"/>
      <c r="ONX514" s="332"/>
      <c r="ONY514" s="332"/>
      <c r="ONZ514" s="332"/>
      <c r="OOA514" s="332"/>
      <c r="OOB514" s="332"/>
      <c r="OOC514" s="332"/>
      <c r="OOD514" s="332"/>
      <c r="OOE514" s="332"/>
      <c r="OOF514" s="332"/>
      <c r="OOG514" s="332"/>
      <c r="OOH514" s="332"/>
      <c r="OOI514" s="332"/>
      <c r="OOJ514" s="332"/>
      <c r="OOK514" s="332"/>
      <c r="OOL514" s="332"/>
      <c r="OOM514" s="332"/>
      <c r="OON514" s="332"/>
      <c r="OOO514" s="332"/>
      <c r="OOP514" s="332"/>
      <c r="OOQ514" s="332"/>
      <c r="OOR514" s="332"/>
      <c r="OOS514" s="332"/>
      <c r="OOT514" s="332"/>
      <c r="OOU514" s="332"/>
      <c r="OOV514" s="332"/>
      <c r="OOW514" s="332"/>
      <c r="OOX514" s="332"/>
      <c r="OOY514" s="332"/>
      <c r="OOZ514" s="332"/>
      <c r="OPA514" s="332"/>
      <c r="OPB514" s="332"/>
      <c r="OPC514" s="332"/>
      <c r="OPD514" s="332"/>
      <c r="OPE514" s="332"/>
      <c r="OPF514" s="332"/>
      <c r="OPG514" s="332"/>
      <c r="OPH514" s="332"/>
      <c r="OPI514" s="332"/>
      <c r="OPJ514" s="332"/>
      <c r="OPK514" s="332"/>
      <c r="OPL514" s="332"/>
      <c r="OPM514" s="332"/>
      <c r="OPN514" s="332"/>
      <c r="OPO514" s="332"/>
      <c r="OPP514" s="332"/>
      <c r="OPQ514" s="332"/>
      <c r="OPR514" s="332"/>
      <c r="OPS514" s="332"/>
      <c r="OPT514" s="332"/>
      <c r="OPU514" s="332"/>
      <c r="OPV514" s="332"/>
      <c r="OPW514" s="332"/>
      <c r="OPX514" s="332"/>
      <c r="OPY514" s="332"/>
      <c r="OPZ514" s="332"/>
      <c r="OQA514" s="332"/>
      <c r="OQB514" s="332"/>
      <c r="OQC514" s="332"/>
      <c r="OQD514" s="332"/>
      <c r="OQE514" s="332"/>
      <c r="OQF514" s="332"/>
      <c r="OQG514" s="332"/>
      <c r="OQH514" s="332"/>
      <c r="OQI514" s="332"/>
      <c r="OQJ514" s="332"/>
      <c r="OQK514" s="332"/>
      <c r="OQL514" s="332"/>
      <c r="OQM514" s="332"/>
      <c r="OQN514" s="332"/>
      <c r="OQO514" s="332"/>
      <c r="OQP514" s="332"/>
      <c r="OQQ514" s="332"/>
      <c r="OQR514" s="332"/>
      <c r="OQS514" s="332"/>
      <c r="OQT514" s="332"/>
      <c r="OQU514" s="332"/>
      <c r="OQV514" s="332"/>
      <c r="OQW514" s="332"/>
      <c r="OQX514" s="332"/>
      <c r="OQY514" s="332"/>
      <c r="OQZ514" s="332"/>
      <c r="ORA514" s="332"/>
      <c r="ORB514" s="332"/>
      <c r="ORC514" s="332"/>
      <c r="ORD514" s="332"/>
      <c r="ORE514" s="332"/>
      <c r="ORF514" s="332"/>
      <c r="ORG514" s="332"/>
      <c r="ORH514" s="332"/>
      <c r="ORI514" s="332"/>
      <c r="ORJ514" s="332"/>
      <c r="ORK514" s="332"/>
      <c r="ORL514" s="332"/>
      <c r="ORM514" s="332"/>
      <c r="ORN514" s="332"/>
      <c r="ORO514" s="332"/>
      <c r="ORP514" s="332"/>
      <c r="ORQ514" s="332"/>
      <c r="ORR514" s="332"/>
      <c r="ORS514" s="332"/>
      <c r="ORT514" s="332"/>
      <c r="ORU514" s="332"/>
      <c r="ORV514" s="332"/>
      <c r="ORW514" s="332"/>
      <c r="ORX514" s="332"/>
      <c r="ORY514" s="332"/>
      <c r="ORZ514" s="332"/>
      <c r="OSA514" s="332"/>
      <c r="OSB514" s="332"/>
      <c r="OSC514" s="332"/>
      <c r="OSD514" s="332"/>
      <c r="OSE514" s="332"/>
      <c r="OSF514" s="332"/>
      <c r="OSG514" s="332"/>
      <c r="OSH514" s="332"/>
      <c r="OSI514" s="332"/>
      <c r="OSJ514" s="332"/>
      <c r="OSK514" s="332"/>
      <c r="OSL514" s="332"/>
      <c r="OSM514" s="332"/>
      <c r="OSN514" s="332"/>
      <c r="OSO514" s="332"/>
      <c r="OSP514" s="332"/>
      <c r="OSQ514" s="332"/>
      <c r="OSR514" s="332"/>
      <c r="OSS514" s="332"/>
      <c r="OST514" s="332"/>
      <c r="OSU514" s="332"/>
      <c r="OSV514" s="332"/>
      <c r="OSW514" s="332"/>
      <c r="OSX514" s="332"/>
      <c r="OSY514" s="332"/>
      <c r="OSZ514" s="332"/>
      <c r="OTA514" s="332"/>
      <c r="OTB514" s="332"/>
      <c r="OTC514" s="332"/>
      <c r="OTD514" s="332"/>
      <c r="OTE514" s="332"/>
      <c r="OTF514" s="332"/>
      <c r="OTG514" s="332"/>
      <c r="OTH514" s="332"/>
      <c r="OTI514" s="332"/>
      <c r="OTJ514" s="332"/>
      <c r="OTK514" s="332"/>
      <c r="OTL514" s="332"/>
      <c r="OTM514" s="332"/>
      <c r="OTN514" s="332"/>
      <c r="OTO514" s="332"/>
      <c r="OTP514" s="332"/>
      <c r="OTQ514" s="332"/>
      <c r="OTR514" s="332"/>
      <c r="OTS514" s="332"/>
      <c r="OTT514" s="332"/>
      <c r="OTU514" s="332"/>
      <c r="OTV514" s="332"/>
      <c r="OTW514" s="332"/>
      <c r="OTX514" s="332"/>
      <c r="OTY514" s="332"/>
      <c r="OTZ514" s="332"/>
      <c r="OUA514" s="332"/>
      <c r="OUB514" s="332"/>
      <c r="OUC514" s="332"/>
      <c r="OUD514" s="332"/>
      <c r="OUE514" s="332"/>
      <c r="OUF514" s="332"/>
      <c r="OUG514" s="332"/>
      <c r="OUH514" s="332"/>
      <c r="OUI514" s="332"/>
      <c r="OUJ514" s="332"/>
      <c r="OUK514" s="332"/>
      <c r="OUL514" s="332"/>
      <c r="OUM514" s="332"/>
      <c r="OUN514" s="332"/>
      <c r="OUO514" s="332"/>
      <c r="OUP514" s="332"/>
      <c r="OUQ514" s="332"/>
      <c r="OUR514" s="332"/>
      <c r="OUS514" s="332"/>
      <c r="OUT514" s="332"/>
      <c r="OUU514" s="332"/>
      <c r="OUV514" s="332"/>
      <c r="OUW514" s="332"/>
      <c r="OUX514" s="332"/>
      <c r="OUY514" s="332"/>
      <c r="OUZ514" s="332"/>
      <c r="OVA514" s="332"/>
      <c r="OVB514" s="332"/>
      <c r="OVC514" s="332"/>
      <c r="OVD514" s="332"/>
      <c r="OVE514" s="332"/>
      <c r="OVF514" s="332"/>
      <c r="OVG514" s="332"/>
      <c r="OVH514" s="332"/>
      <c r="OVI514" s="332"/>
      <c r="OVJ514" s="332"/>
      <c r="OVK514" s="332"/>
      <c r="OVL514" s="332"/>
      <c r="OVM514" s="332"/>
      <c r="OVN514" s="332"/>
      <c r="OVO514" s="332"/>
      <c r="OVP514" s="332"/>
      <c r="OVQ514" s="332"/>
      <c r="OVR514" s="332"/>
      <c r="OVS514" s="332"/>
      <c r="OVT514" s="332"/>
      <c r="OVU514" s="332"/>
      <c r="OVV514" s="332"/>
      <c r="OVW514" s="332"/>
      <c r="OVX514" s="332"/>
      <c r="OVY514" s="332"/>
      <c r="OVZ514" s="332"/>
      <c r="OWA514" s="332"/>
      <c r="OWB514" s="332"/>
      <c r="OWC514" s="332"/>
      <c r="OWD514" s="332"/>
      <c r="OWE514" s="332"/>
      <c r="OWF514" s="332"/>
      <c r="OWG514" s="332"/>
      <c r="OWH514" s="332"/>
      <c r="OWI514" s="332"/>
      <c r="OWJ514" s="332"/>
      <c r="OWK514" s="332"/>
      <c r="OWL514" s="332"/>
      <c r="OWM514" s="332"/>
      <c r="OWN514" s="332"/>
      <c r="OWO514" s="332"/>
      <c r="OWP514" s="332"/>
      <c r="OWQ514" s="332"/>
      <c r="OWR514" s="332"/>
      <c r="OWS514" s="332"/>
      <c r="OWT514" s="332"/>
      <c r="OWU514" s="332"/>
      <c r="OWV514" s="332"/>
      <c r="OWW514" s="332"/>
      <c r="OWX514" s="332"/>
      <c r="OWY514" s="332"/>
      <c r="OWZ514" s="332"/>
      <c r="OXA514" s="332"/>
      <c r="OXB514" s="332"/>
      <c r="OXC514" s="332"/>
      <c r="OXD514" s="332"/>
      <c r="OXE514" s="332"/>
      <c r="OXF514" s="332"/>
      <c r="OXG514" s="332"/>
      <c r="OXH514" s="332"/>
      <c r="OXI514" s="332"/>
      <c r="OXJ514" s="332"/>
      <c r="OXK514" s="332"/>
      <c r="OXL514" s="332"/>
      <c r="OXM514" s="332"/>
      <c r="OXN514" s="332"/>
      <c r="OXO514" s="332"/>
      <c r="OXP514" s="332"/>
      <c r="OXQ514" s="332"/>
      <c r="OXR514" s="332"/>
      <c r="OXS514" s="332"/>
      <c r="OXT514" s="332"/>
      <c r="OXU514" s="332"/>
      <c r="OXV514" s="332"/>
      <c r="OXW514" s="332"/>
      <c r="OXX514" s="332"/>
      <c r="OXY514" s="332"/>
      <c r="OXZ514" s="332"/>
      <c r="OYA514" s="332"/>
      <c r="OYB514" s="332"/>
      <c r="OYC514" s="332"/>
      <c r="OYD514" s="332"/>
      <c r="OYE514" s="332"/>
      <c r="OYF514" s="332"/>
      <c r="OYG514" s="332"/>
      <c r="OYH514" s="332"/>
      <c r="OYI514" s="332"/>
      <c r="OYJ514" s="332"/>
      <c r="OYK514" s="332"/>
      <c r="OYL514" s="332"/>
      <c r="OYM514" s="332"/>
      <c r="OYN514" s="332"/>
      <c r="OYO514" s="332"/>
      <c r="OYP514" s="332"/>
      <c r="OYQ514" s="332"/>
      <c r="OYR514" s="332"/>
      <c r="OYS514" s="332"/>
      <c r="OYT514" s="332"/>
      <c r="OYU514" s="332"/>
      <c r="OYV514" s="332"/>
      <c r="OYW514" s="332"/>
      <c r="OYX514" s="332"/>
      <c r="OYY514" s="332"/>
      <c r="OYZ514" s="332"/>
      <c r="OZA514" s="332"/>
      <c r="OZB514" s="332"/>
      <c r="OZC514" s="332"/>
      <c r="OZD514" s="332"/>
      <c r="OZE514" s="332"/>
      <c r="OZF514" s="332"/>
      <c r="OZG514" s="332"/>
      <c r="OZH514" s="332"/>
      <c r="OZI514" s="332"/>
      <c r="OZJ514" s="332"/>
      <c r="OZK514" s="332"/>
      <c r="OZL514" s="332"/>
      <c r="OZM514" s="332"/>
      <c r="OZN514" s="332"/>
      <c r="OZO514" s="332"/>
      <c r="OZP514" s="332"/>
      <c r="OZQ514" s="332"/>
      <c r="OZR514" s="332"/>
      <c r="OZS514" s="332"/>
      <c r="OZT514" s="332"/>
      <c r="OZU514" s="332"/>
      <c r="OZV514" s="332"/>
      <c r="OZW514" s="332"/>
      <c r="OZX514" s="332"/>
      <c r="OZY514" s="332"/>
      <c r="OZZ514" s="332"/>
      <c r="PAA514" s="332"/>
      <c r="PAB514" s="332"/>
      <c r="PAC514" s="332"/>
      <c r="PAD514" s="332"/>
      <c r="PAE514" s="332"/>
      <c r="PAF514" s="332"/>
      <c r="PAG514" s="332"/>
      <c r="PAH514" s="332"/>
      <c r="PAI514" s="332"/>
      <c r="PAJ514" s="332"/>
      <c r="PAK514" s="332"/>
      <c r="PAL514" s="332"/>
      <c r="PAM514" s="332"/>
      <c r="PAN514" s="332"/>
      <c r="PAO514" s="332"/>
      <c r="PAP514" s="332"/>
      <c r="PAQ514" s="332"/>
      <c r="PAR514" s="332"/>
      <c r="PAS514" s="332"/>
      <c r="PAT514" s="332"/>
      <c r="PAU514" s="332"/>
      <c r="PAV514" s="332"/>
      <c r="PAW514" s="332"/>
      <c r="PAX514" s="332"/>
      <c r="PAY514" s="332"/>
      <c r="PAZ514" s="332"/>
      <c r="PBA514" s="332"/>
      <c r="PBB514" s="332"/>
      <c r="PBC514" s="332"/>
      <c r="PBD514" s="332"/>
      <c r="PBE514" s="332"/>
      <c r="PBF514" s="332"/>
      <c r="PBG514" s="332"/>
      <c r="PBH514" s="332"/>
      <c r="PBI514" s="332"/>
      <c r="PBJ514" s="332"/>
      <c r="PBK514" s="332"/>
      <c r="PBL514" s="332"/>
      <c r="PBM514" s="332"/>
      <c r="PBN514" s="332"/>
      <c r="PBO514" s="332"/>
      <c r="PBP514" s="332"/>
      <c r="PBQ514" s="332"/>
      <c r="PBR514" s="332"/>
      <c r="PBS514" s="332"/>
      <c r="PBT514" s="332"/>
      <c r="PBU514" s="332"/>
      <c r="PBV514" s="332"/>
      <c r="PBW514" s="332"/>
      <c r="PBX514" s="332"/>
      <c r="PBY514" s="332"/>
      <c r="PBZ514" s="332"/>
      <c r="PCA514" s="332"/>
      <c r="PCB514" s="332"/>
      <c r="PCC514" s="332"/>
      <c r="PCD514" s="332"/>
      <c r="PCE514" s="332"/>
      <c r="PCF514" s="332"/>
      <c r="PCG514" s="332"/>
      <c r="PCH514" s="332"/>
      <c r="PCI514" s="332"/>
      <c r="PCJ514" s="332"/>
      <c r="PCK514" s="332"/>
      <c r="PCL514" s="332"/>
      <c r="PCM514" s="332"/>
      <c r="PCN514" s="332"/>
      <c r="PCO514" s="332"/>
      <c r="PCP514" s="332"/>
      <c r="PCQ514" s="332"/>
      <c r="PCR514" s="332"/>
      <c r="PCS514" s="332"/>
      <c r="PCT514" s="332"/>
      <c r="PCU514" s="332"/>
      <c r="PCV514" s="332"/>
      <c r="PCW514" s="332"/>
      <c r="PCX514" s="332"/>
      <c r="PCY514" s="332"/>
      <c r="PCZ514" s="332"/>
      <c r="PDA514" s="332"/>
      <c r="PDB514" s="332"/>
      <c r="PDC514" s="332"/>
      <c r="PDD514" s="332"/>
      <c r="PDE514" s="332"/>
      <c r="PDF514" s="332"/>
      <c r="PDG514" s="332"/>
      <c r="PDH514" s="332"/>
      <c r="PDI514" s="332"/>
      <c r="PDJ514" s="332"/>
      <c r="PDK514" s="332"/>
      <c r="PDL514" s="332"/>
      <c r="PDM514" s="332"/>
      <c r="PDN514" s="332"/>
      <c r="PDO514" s="332"/>
      <c r="PDP514" s="332"/>
      <c r="PDQ514" s="332"/>
      <c r="PDR514" s="332"/>
      <c r="PDS514" s="332"/>
      <c r="PDT514" s="332"/>
      <c r="PDU514" s="332"/>
      <c r="PDV514" s="332"/>
      <c r="PDW514" s="332"/>
      <c r="PDX514" s="332"/>
      <c r="PDY514" s="332"/>
      <c r="PDZ514" s="332"/>
      <c r="PEA514" s="332"/>
      <c r="PEB514" s="332"/>
      <c r="PEC514" s="332"/>
      <c r="PED514" s="332"/>
      <c r="PEE514" s="332"/>
      <c r="PEF514" s="332"/>
      <c r="PEG514" s="332"/>
      <c r="PEH514" s="332"/>
      <c r="PEI514" s="332"/>
      <c r="PEJ514" s="332"/>
      <c r="PEK514" s="332"/>
      <c r="PEL514" s="332"/>
      <c r="PEM514" s="332"/>
      <c r="PEN514" s="332"/>
      <c r="PEO514" s="332"/>
      <c r="PEP514" s="332"/>
      <c r="PEQ514" s="332"/>
      <c r="PER514" s="332"/>
      <c r="PES514" s="332"/>
      <c r="PET514" s="332"/>
      <c r="PEU514" s="332"/>
      <c r="PEV514" s="332"/>
      <c r="PEW514" s="332"/>
      <c r="PEX514" s="332"/>
      <c r="PEY514" s="332"/>
      <c r="PEZ514" s="332"/>
      <c r="PFA514" s="332"/>
      <c r="PFB514" s="332"/>
      <c r="PFC514" s="332"/>
      <c r="PFD514" s="332"/>
      <c r="PFE514" s="332"/>
      <c r="PFF514" s="332"/>
      <c r="PFG514" s="332"/>
      <c r="PFH514" s="332"/>
      <c r="PFI514" s="332"/>
      <c r="PFJ514" s="332"/>
      <c r="PFK514" s="332"/>
      <c r="PFL514" s="332"/>
      <c r="PFM514" s="332"/>
      <c r="PFN514" s="332"/>
      <c r="PFO514" s="332"/>
      <c r="PFP514" s="332"/>
      <c r="PFQ514" s="332"/>
      <c r="PFR514" s="332"/>
      <c r="PFS514" s="332"/>
      <c r="PFT514" s="332"/>
      <c r="PFU514" s="332"/>
      <c r="PFV514" s="332"/>
      <c r="PFW514" s="332"/>
      <c r="PFX514" s="332"/>
      <c r="PFY514" s="332"/>
      <c r="PFZ514" s="332"/>
      <c r="PGA514" s="332"/>
      <c r="PGB514" s="332"/>
      <c r="PGC514" s="332"/>
      <c r="PGD514" s="332"/>
      <c r="PGE514" s="332"/>
      <c r="PGF514" s="332"/>
      <c r="PGG514" s="332"/>
      <c r="PGH514" s="332"/>
      <c r="PGI514" s="332"/>
      <c r="PGJ514" s="332"/>
      <c r="PGK514" s="332"/>
      <c r="PGL514" s="332"/>
      <c r="PGM514" s="332"/>
      <c r="PGN514" s="332"/>
      <c r="PGO514" s="332"/>
      <c r="PGP514" s="332"/>
      <c r="PGQ514" s="332"/>
      <c r="PGR514" s="332"/>
      <c r="PGS514" s="332"/>
      <c r="PGT514" s="332"/>
      <c r="PGU514" s="332"/>
      <c r="PGV514" s="332"/>
      <c r="PGW514" s="332"/>
      <c r="PGX514" s="332"/>
      <c r="PGY514" s="332"/>
      <c r="PGZ514" s="332"/>
      <c r="PHA514" s="332"/>
      <c r="PHB514" s="332"/>
      <c r="PHC514" s="332"/>
      <c r="PHD514" s="332"/>
      <c r="PHE514" s="332"/>
      <c r="PHF514" s="332"/>
      <c r="PHG514" s="332"/>
      <c r="PHH514" s="332"/>
      <c r="PHI514" s="332"/>
      <c r="PHJ514" s="332"/>
      <c r="PHK514" s="332"/>
      <c r="PHL514" s="332"/>
      <c r="PHM514" s="332"/>
      <c r="PHN514" s="332"/>
      <c r="PHO514" s="332"/>
      <c r="PHP514" s="332"/>
      <c r="PHQ514" s="332"/>
      <c r="PHR514" s="332"/>
      <c r="PHS514" s="332"/>
      <c r="PHT514" s="332"/>
      <c r="PHU514" s="332"/>
      <c r="PHV514" s="332"/>
      <c r="PHW514" s="332"/>
      <c r="PHX514" s="332"/>
      <c r="PHY514" s="332"/>
      <c r="PHZ514" s="332"/>
      <c r="PIA514" s="332"/>
      <c r="PIB514" s="332"/>
      <c r="PIC514" s="332"/>
      <c r="PID514" s="332"/>
      <c r="PIE514" s="332"/>
      <c r="PIF514" s="332"/>
      <c r="PIG514" s="332"/>
      <c r="PIH514" s="332"/>
      <c r="PII514" s="332"/>
      <c r="PIJ514" s="332"/>
      <c r="PIK514" s="332"/>
      <c r="PIL514" s="332"/>
      <c r="PIM514" s="332"/>
      <c r="PIN514" s="332"/>
      <c r="PIO514" s="332"/>
      <c r="PIP514" s="332"/>
      <c r="PIQ514" s="332"/>
      <c r="PIR514" s="332"/>
      <c r="PIS514" s="332"/>
      <c r="PIT514" s="332"/>
      <c r="PIU514" s="332"/>
      <c r="PIV514" s="332"/>
      <c r="PIW514" s="332"/>
      <c r="PIX514" s="332"/>
      <c r="PIY514" s="332"/>
      <c r="PIZ514" s="332"/>
      <c r="PJA514" s="332"/>
      <c r="PJB514" s="332"/>
      <c r="PJC514" s="332"/>
      <c r="PJD514" s="332"/>
      <c r="PJE514" s="332"/>
      <c r="PJF514" s="332"/>
      <c r="PJG514" s="332"/>
      <c r="PJH514" s="332"/>
      <c r="PJI514" s="332"/>
      <c r="PJJ514" s="332"/>
      <c r="PJK514" s="332"/>
      <c r="PJL514" s="332"/>
      <c r="PJM514" s="332"/>
      <c r="PJN514" s="332"/>
      <c r="PJO514" s="332"/>
      <c r="PJP514" s="332"/>
      <c r="PJQ514" s="332"/>
      <c r="PJR514" s="332"/>
      <c r="PJS514" s="332"/>
      <c r="PJT514" s="332"/>
      <c r="PJU514" s="332"/>
      <c r="PJV514" s="332"/>
      <c r="PJW514" s="332"/>
      <c r="PJX514" s="332"/>
      <c r="PJY514" s="332"/>
      <c r="PJZ514" s="332"/>
      <c r="PKA514" s="332"/>
      <c r="PKB514" s="332"/>
      <c r="PKC514" s="332"/>
      <c r="PKD514" s="332"/>
      <c r="PKE514" s="332"/>
      <c r="PKF514" s="332"/>
      <c r="PKG514" s="332"/>
      <c r="PKH514" s="332"/>
      <c r="PKI514" s="332"/>
      <c r="PKJ514" s="332"/>
      <c r="PKK514" s="332"/>
      <c r="PKL514" s="332"/>
      <c r="PKM514" s="332"/>
      <c r="PKN514" s="332"/>
      <c r="PKO514" s="332"/>
      <c r="PKP514" s="332"/>
      <c r="PKQ514" s="332"/>
      <c r="PKR514" s="332"/>
      <c r="PKS514" s="332"/>
      <c r="PKT514" s="332"/>
      <c r="PKU514" s="332"/>
      <c r="PKV514" s="332"/>
      <c r="PKW514" s="332"/>
      <c r="PKX514" s="332"/>
      <c r="PKY514" s="332"/>
      <c r="PKZ514" s="332"/>
      <c r="PLA514" s="332"/>
      <c r="PLB514" s="332"/>
      <c r="PLC514" s="332"/>
      <c r="PLD514" s="332"/>
      <c r="PLE514" s="332"/>
      <c r="PLF514" s="332"/>
      <c r="PLG514" s="332"/>
      <c r="PLH514" s="332"/>
      <c r="PLI514" s="332"/>
      <c r="PLJ514" s="332"/>
      <c r="PLK514" s="332"/>
      <c r="PLL514" s="332"/>
      <c r="PLM514" s="332"/>
      <c r="PLN514" s="332"/>
      <c r="PLO514" s="332"/>
      <c r="PLP514" s="332"/>
      <c r="PLQ514" s="332"/>
      <c r="PLR514" s="332"/>
      <c r="PLS514" s="332"/>
      <c r="PLT514" s="332"/>
      <c r="PLU514" s="332"/>
      <c r="PLV514" s="332"/>
      <c r="PLW514" s="332"/>
      <c r="PLX514" s="332"/>
      <c r="PLY514" s="332"/>
      <c r="PLZ514" s="332"/>
      <c r="PMA514" s="332"/>
      <c r="PMB514" s="332"/>
      <c r="PMC514" s="332"/>
      <c r="PMD514" s="332"/>
      <c r="PME514" s="332"/>
      <c r="PMF514" s="332"/>
      <c r="PMG514" s="332"/>
      <c r="PMH514" s="332"/>
      <c r="PMI514" s="332"/>
      <c r="PMJ514" s="332"/>
      <c r="PMK514" s="332"/>
      <c r="PML514" s="332"/>
      <c r="PMM514" s="332"/>
      <c r="PMN514" s="332"/>
      <c r="PMO514" s="332"/>
      <c r="PMP514" s="332"/>
      <c r="PMQ514" s="332"/>
      <c r="PMR514" s="332"/>
      <c r="PMS514" s="332"/>
      <c r="PMT514" s="332"/>
      <c r="PMU514" s="332"/>
      <c r="PMV514" s="332"/>
      <c r="PMW514" s="332"/>
      <c r="PMX514" s="332"/>
      <c r="PMY514" s="332"/>
      <c r="PMZ514" s="332"/>
      <c r="PNA514" s="332"/>
      <c r="PNB514" s="332"/>
      <c r="PNC514" s="332"/>
      <c r="PND514" s="332"/>
      <c r="PNE514" s="332"/>
      <c r="PNF514" s="332"/>
      <c r="PNG514" s="332"/>
      <c r="PNH514" s="332"/>
      <c r="PNI514" s="332"/>
      <c r="PNJ514" s="332"/>
      <c r="PNK514" s="332"/>
      <c r="PNL514" s="332"/>
      <c r="PNM514" s="332"/>
      <c r="PNN514" s="332"/>
      <c r="PNO514" s="332"/>
      <c r="PNP514" s="332"/>
      <c r="PNQ514" s="332"/>
      <c r="PNR514" s="332"/>
      <c r="PNS514" s="332"/>
      <c r="PNT514" s="332"/>
      <c r="PNU514" s="332"/>
      <c r="PNV514" s="332"/>
      <c r="PNW514" s="332"/>
      <c r="PNX514" s="332"/>
      <c r="PNY514" s="332"/>
      <c r="PNZ514" s="332"/>
      <c r="POA514" s="332"/>
      <c r="POB514" s="332"/>
      <c r="POC514" s="332"/>
      <c r="POD514" s="332"/>
      <c r="POE514" s="332"/>
      <c r="POF514" s="332"/>
      <c r="POG514" s="332"/>
      <c r="POH514" s="332"/>
      <c r="POI514" s="332"/>
      <c r="POJ514" s="332"/>
      <c r="POK514" s="332"/>
      <c r="POL514" s="332"/>
      <c r="POM514" s="332"/>
      <c r="PON514" s="332"/>
      <c r="POO514" s="332"/>
      <c r="POP514" s="332"/>
      <c r="POQ514" s="332"/>
      <c r="POR514" s="332"/>
      <c r="POS514" s="332"/>
      <c r="POT514" s="332"/>
      <c r="POU514" s="332"/>
      <c r="POV514" s="332"/>
      <c r="POW514" s="332"/>
      <c r="POX514" s="332"/>
      <c r="POY514" s="332"/>
      <c r="POZ514" s="332"/>
      <c r="PPA514" s="332"/>
      <c r="PPB514" s="332"/>
      <c r="PPC514" s="332"/>
      <c r="PPD514" s="332"/>
      <c r="PPE514" s="332"/>
      <c r="PPF514" s="332"/>
      <c r="PPG514" s="332"/>
      <c r="PPH514" s="332"/>
      <c r="PPI514" s="332"/>
      <c r="PPJ514" s="332"/>
      <c r="PPK514" s="332"/>
      <c r="PPL514" s="332"/>
      <c r="PPM514" s="332"/>
      <c r="PPN514" s="332"/>
      <c r="PPO514" s="332"/>
      <c r="PPP514" s="332"/>
      <c r="PPQ514" s="332"/>
      <c r="PPR514" s="332"/>
      <c r="PPS514" s="332"/>
      <c r="PPT514" s="332"/>
      <c r="PPU514" s="332"/>
      <c r="PPV514" s="332"/>
      <c r="PPW514" s="332"/>
      <c r="PPX514" s="332"/>
      <c r="PPY514" s="332"/>
      <c r="PPZ514" s="332"/>
      <c r="PQA514" s="332"/>
      <c r="PQB514" s="332"/>
      <c r="PQC514" s="332"/>
      <c r="PQD514" s="332"/>
      <c r="PQE514" s="332"/>
      <c r="PQF514" s="332"/>
      <c r="PQG514" s="332"/>
      <c r="PQH514" s="332"/>
      <c r="PQI514" s="332"/>
      <c r="PQJ514" s="332"/>
      <c r="PQK514" s="332"/>
      <c r="PQL514" s="332"/>
      <c r="PQM514" s="332"/>
      <c r="PQN514" s="332"/>
      <c r="PQO514" s="332"/>
      <c r="PQP514" s="332"/>
      <c r="PQQ514" s="332"/>
      <c r="PQR514" s="332"/>
      <c r="PQS514" s="332"/>
      <c r="PQT514" s="332"/>
      <c r="PQU514" s="332"/>
      <c r="PQV514" s="332"/>
      <c r="PQW514" s="332"/>
      <c r="PQX514" s="332"/>
      <c r="PQY514" s="332"/>
      <c r="PQZ514" s="332"/>
      <c r="PRA514" s="332"/>
      <c r="PRB514" s="332"/>
      <c r="PRC514" s="332"/>
      <c r="PRD514" s="332"/>
      <c r="PRE514" s="332"/>
      <c r="PRF514" s="332"/>
      <c r="PRG514" s="332"/>
      <c r="PRH514" s="332"/>
      <c r="PRI514" s="332"/>
      <c r="PRJ514" s="332"/>
      <c r="PRK514" s="332"/>
      <c r="PRL514" s="332"/>
      <c r="PRM514" s="332"/>
      <c r="PRN514" s="332"/>
      <c r="PRO514" s="332"/>
      <c r="PRP514" s="332"/>
      <c r="PRQ514" s="332"/>
      <c r="PRR514" s="332"/>
      <c r="PRS514" s="332"/>
      <c r="PRT514" s="332"/>
      <c r="PRU514" s="332"/>
      <c r="PRV514" s="332"/>
      <c r="PRW514" s="332"/>
      <c r="PRX514" s="332"/>
      <c r="PRY514" s="332"/>
      <c r="PRZ514" s="332"/>
      <c r="PSA514" s="332"/>
      <c r="PSB514" s="332"/>
      <c r="PSC514" s="332"/>
      <c r="PSD514" s="332"/>
      <c r="PSE514" s="332"/>
      <c r="PSF514" s="332"/>
      <c r="PSG514" s="332"/>
      <c r="PSH514" s="332"/>
      <c r="PSI514" s="332"/>
      <c r="PSJ514" s="332"/>
      <c r="PSK514" s="332"/>
      <c r="PSL514" s="332"/>
      <c r="PSM514" s="332"/>
      <c r="PSN514" s="332"/>
      <c r="PSO514" s="332"/>
      <c r="PSP514" s="332"/>
      <c r="PSQ514" s="332"/>
      <c r="PSR514" s="332"/>
      <c r="PSS514" s="332"/>
      <c r="PST514" s="332"/>
      <c r="PSU514" s="332"/>
      <c r="PSV514" s="332"/>
      <c r="PSW514" s="332"/>
      <c r="PSX514" s="332"/>
      <c r="PSY514" s="332"/>
      <c r="PSZ514" s="332"/>
      <c r="PTA514" s="332"/>
      <c r="PTB514" s="332"/>
      <c r="PTC514" s="332"/>
      <c r="PTD514" s="332"/>
      <c r="PTE514" s="332"/>
      <c r="PTF514" s="332"/>
      <c r="PTG514" s="332"/>
      <c r="PTH514" s="332"/>
      <c r="PTI514" s="332"/>
      <c r="PTJ514" s="332"/>
      <c r="PTK514" s="332"/>
      <c r="PTL514" s="332"/>
      <c r="PTM514" s="332"/>
      <c r="PTN514" s="332"/>
      <c r="PTO514" s="332"/>
      <c r="PTP514" s="332"/>
      <c r="PTQ514" s="332"/>
      <c r="PTR514" s="332"/>
      <c r="PTS514" s="332"/>
      <c r="PTT514" s="332"/>
      <c r="PTU514" s="332"/>
      <c r="PTV514" s="332"/>
      <c r="PTW514" s="332"/>
      <c r="PTX514" s="332"/>
      <c r="PTY514" s="332"/>
      <c r="PTZ514" s="332"/>
      <c r="PUA514" s="332"/>
      <c r="PUB514" s="332"/>
      <c r="PUC514" s="332"/>
      <c r="PUD514" s="332"/>
      <c r="PUE514" s="332"/>
      <c r="PUF514" s="332"/>
      <c r="PUG514" s="332"/>
      <c r="PUH514" s="332"/>
      <c r="PUI514" s="332"/>
      <c r="PUJ514" s="332"/>
      <c r="PUK514" s="332"/>
      <c r="PUL514" s="332"/>
      <c r="PUM514" s="332"/>
      <c r="PUN514" s="332"/>
      <c r="PUO514" s="332"/>
      <c r="PUP514" s="332"/>
      <c r="PUQ514" s="332"/>
      <c r="PUR514" s="332"/>
      <c r="PUS514" s="332"/>
      <c r="PUT514" s="332"/>
      <c r="PUU514" s="332"/>
      <c r="PUV514" s="332"/>
      <c r="PUW514" s="332"/>
      <c r="PUX514" s="332"/>
      <c r="PUY514" s="332"/>
      <c r="PUZ514" s="332"/>
      <c r="PVA514" s="332"/>
      <c r="PVB514" s="332"/>
      <c r="PVC514" s="332"/>
      <c r="PVD514" s="332"/>
      <c r="PVE514" s="332"/>
      <c r="PVF514" s="332"/>
      <c r="PVG514" s="332"/>
      <c r="PVH514" s="332"/>
      <c r="PVI514" s="332"/>
      <c r="PVJ514" s="332"/>
      <c r="PVK514" s="332"/>
      <c r="PVL514" s="332"/>
      <c r="PVM514" s="332"/>
      <c r="PVN514" s="332"/>
      <c r="PVO514" s="332"/>
      <c r="PVP514" s="332"/>
      <c r="PVQ514" s="332"/>
      <c r="PVR514" s="332"/>
      <c r="PVS514" s="332"/>
      <c r="PVT514" s="332"/>
      <c r="PVU514" s="332"/>
      <c r="PVV514" s="332"/>
      <c r="PVW514" s="332"/>
      <c r="PVX514" s="332"/>
      <c r="PVY514" s="332"/>
      <c r="PVZ514" s="332"/>
      <c r="PWA514" s="332"/>
      <c r="PWB514" s="332"/>
      <c r="PWC514" s="332"/>
      <c r="PWD514" s="332"/>
      <c r="PWE514" s="332"/>
      <c r="PWF514" s="332"/>
      <c r="PWG514" s="332"/>
      <c r="PWH514" s="332"/>
      <c r="PWI514" s="332"/>
      <c r="PWJ514" s="332"/>
      <c r="PWK514" s="332"/>
      <c r="PWL514" s="332"/>
      <c r="PWM514" s="332"/>
      <c r="PWN514" s="332"/>
      <c r="PWO514" s="332"/>
      <c r="PWP514" s="332"/>
      <c r="PWQ514" s="332"/>
      <c r="PWR514" s="332"/>
      <c r="PWS514" s="332"/>
      <c r="PWT514" s="332"/>
      <c r="PWU514" s="332"/>
      <c r="PWV514" s="332"/>
      <c r="PWW514" s="332"/>
      <c r="PWX514" s="332"/>
      <c r="PWY514" s="332"/>
      <c r="PWZ514" s="332"/>
      <c r="PXA514" s="332"/>
      <c r="PXB514" s="332"/>
      <c r="PXC514" s="332"/>
      <c r="PXD514" s="332"/>
      <c r="PXE514" s="332"/>
      <c r="PXF514" s="332"/>
      <c r="PXG514" s="332"/>
      <c r="PXH514" s="332"/>
      <c r="PXI514" s="332"/>
      <c r="PXJ514" s="332"/>
      <c r="PXK514" s="332"/>
      <c r="PXL514" s="332"/>
      <c r="PXM514" s="332"/>
      <c r="PXN514" s="332"/>
      <c r="PXO514" s="332"/>
      <c r="PXP514" s="332"/>
      <c r="PXQ514" s="332"/>
      <c r="PXR514" s="332"/>
      <c r="PXS514" s="332"/>
      <c r="PXT514" s="332"/>
      <c r="PXU514" s="332"/>
      <c r="PXV514" s="332"/>
      <c r="PXW514" s="332"/>
      <c r="PXX514" s="332"/>
      <c r="PXY514" s="332"/>
      <c r="PXZ514" s="332"/>
      <c r="PYA514" s="332"/>
      <c r="PYB514" s="332"/>
      <c r="PYC514" s="332"/>
      <c r="PYD514" s="332"/>
      <c r="PYE514" s="332"/>
      <c r="PYF514" s="332"/>
      <c r="PYG514" s="332"/>
      <c r="PYH514" s="332"/>
      <c r="PYI514" s="332"/>
      <c r="PYJ514" s="332"/>
      <c r="PYK514" s="332"/>
      <c r="PYL514" s="332"/>
      <c r="PYM514" s="332"/>
      <c r="PYN514" s="332"/>
      <c r="PYO514" s="332"/>
      <c r="PYP514" s="332"/>
      <c r="PYQ514" s="332"/>
      <c r="PYR514" s="332"/>
      <c r="PYS514" s="332"/>
      <c r="PYT514" s="332"/>
      <c r="PYU514" s="332"/>
      <c r="PYV514" s="332"/>
      <c r="PYW514" s="332"/>
      <c r="PYX514" s="332"/>
      <c r="PYY514" s="332"/>
      <c r="PYZ514" s="332"/>
      <c r="PZA514" s="332"/>
      <c r="PZB514" s="332"/>
      <c r="PZC514" s="332"/>
      <c r="PZD514" s="332"/>
      <c r="PZE514" s="332"/>
      <c r="PZF514" s="332"/>
      <c r="PZG514" s="332"/>
      <c r="PZH514" s="332"/>
      <c r="PZI514" s="332"/>
      <c r="PZJ514" s="332"/>
      <c r="PZK514" s="332"/>
      <c r="PZL514" s="332"/>
      <c r="PZM514" s="332"/>
      <c r="PZN514" s="332"/>
      <c r="PZO514" s="332"/>
      <c r="PZP514" s="332"/>
      <c r="PZQ514" s="332"/>
      <c r="PZR514" s="332"/>
      <c r="PZS514" s="332"/>
      <c r="PZT514" s="332"/>
      <c r="PZU514" s="332"/>
      <c r="PZV514" s="332"/>
      <c r="PZW514" s="332"/>
      <c r="PZX514" s="332"/>
      <c r="PZY514" s="332"/>
      <c r="PZZ514" s="332"/>
      <c r="QAA514" s="332"/>
      <c r="QAB514" s="332"/>
      <c r="QAC514" s="332"/>
      <c r="QAD514" s="332"/>
      <c r="QAE514" s="332"/>
      <c r="QAF514" s="332"/>
      <c r="QAG514" s="332"/>
      <c r="QAH514" s="332"/>
      <c r="QAI514" s="332"/>
      <c r="QAJ514" s="332"/>
      <c r="QAK514" s="332"/>
      <c r="QAL514" s="332"/>
      <c r="QAM514" s="332"/>
      <c r="QAN514" s="332"/>
      <c r="QAO514" s="332"/>
      <c r="QAP514" s="332"/>
      <c r="QAQ514" s="332"/>
      <c r="QAR514" s="332"/>
      <c r="QAS514" s="332"/>
      <c r="QAT514" s="332"/>
      <c r="QAU514" s="332"/>
      <c r="QAV514" s="332"/>
      <c r="QAW514" s="332"/>
      <c r="QAX514" s="332"/>
      <c r="QAY514" s="332"/>
      <c r="QAZ514" s="332"/>
      <c r="QBA514" s="332"/>
      <c r="QBB514" s="332"/>
      <c r="QBC514" s="332"/>
      <c r="QBD514" s="332"/>
      <c r="QBE514" s="332"/>
      <c r="QBF514" s="332"/>
      <c r="QBG514" s="332"/>
      <c r="QBH514" s="332"/>
      <c r="QBI514" s="332"/>
      <c r="QBJ514" s="332"/>
      <c r="QBK514" s="332"/>
      <c r="QBL514" s="332"/>
      <c r="QBM514" s="332"/>
      <c r="QBN514" s="332"/>
      <c r="QBO514" s="332"/>
      <c r="QBP514" s="332"/>
      <c r="QBQ514" s="332"/>
      <c r="QBR514" s="332"/>
      <c r="QBS514" s="332"/>
      <c r="QBT514" s="332"/>
      <c r="QBU514" s="332"/>
      <c r="QBV514" s="332"/>
      <c r="QBW514" s="332"/>
      <c r="QBX514" s="332"/>
      <c r="QBY514" s="332"/>
      <c r="QBZ514" s="332"/>
      <c r="QCA514" s="332"/>
      <c r="QCB514" s="332"/>
      <c r="QCC514" s="332"/>
      <c r="QCD514" s="332"/>
      <c r="QCE514" s="332"/>
      <c r="QCF514" s="332"/>
      <c r="QCG514" s="332"/>
      <c r="QCH514" s="332"/>
      <c r="QCI514" s="332"/>
      <c r="QCJ514" s="332"/>
      <c r="QCK514" s="332"/>
      <c r="QCL514" s="332"/>
      <c r="QCM514" s="332"/>
      <c r="QCN514" s="332"/>
      <c r="QCO514" s="332"/>
      <c r="QCP514" s="332"/>
      <c r="QCQ514" s="332"/>
      <c r="QCR514" s="332"/>
      <c r="QCS514" s="332"/>
      <c r="QCT514" s="332"/>
      <c r="QCU514" s="332"/>
      <c r="QCV514" s="332"/>
      <c r="QCW514" s="332"/>
      <c r="QCX514" s="332"/>
      <c r="QCY514" s="332"/>
      <c r="QCZ514" s="332"/>
      <c r="QDA514" s="332"/>
      <c r="QDB514" s="332"/>
      <c r="QDC514" s="332"/>
      <c r="QDD514" s="332"/>
      <c r="QDE514" s="332"/>
      <c r="QDF514" s="332"/>
      <c r="QDG514" s="332"/>
      <c r="QDH514" s="332"/>
      <c r="QDI514" s="332"/>
      <c r="QDJ514" s="332"/>
      <c r="QDK514" s="332"/>
      <c r="QDL514" s="332"/>
      <c r="QDM514" s="332"/>
      <c r="QDN514" s="332"/>
      <c r="QDO514" s="332"/>
      <c r="QDP514" s="332"/>
      <c r="QDQ514" s="332"/>
      <c r="QDR514" s="332"/>
      <c r="QDS514" s="332"/>
      <c r="QDT514" s="332"/>
      <c r="QDU514" s="332"/>
      <c r="QDV514" s="332"/>
      <c r="QDW514" s="332"/>
      <c r="QDX514" s="332"/>
      <c r="QDY514" s="332"/>
      <c r="QDZ514" s="332"/>
      <c r="QEA514" s="332"/>
      <c r="QEB514" s="332"/>
      <c r="QEC514" s="332"/>
      <c r="QED514" s="332"/>
      <c r="QEE514" s="332"/>
      <c r="QEF514" s="332"/>
      <c r="QEG514" s="332"/>
      <c r="QEH514" s="332"/>
      <c r="QEI514" s="332"/>
      <c r="QEJ514" s="332"/>
      <c r="QEK514" s="332"/>
      <c r="QEL514" s="332"/>
      <c r="QEM514" s="332"/>
      <c r="QEN514" s="332"/>
      <c r="QEO514" s="332"/>
      <c r="QEP514" s="332"/>
      <c r="QEQ514" s="332"/>
      <c r="QER514" s="332"/>
      <c r="QES514" s="332"/>
      <c r="QET514" s="332"/>
      <c r="QEU514" s="332"/>
      <c r="QEV514" s="332"/>
      <c r="QEW514" s="332"/>
      <c r="QEX514" s="332"/>
      <c r="QEY514" s="332"/>
      <c r="QEZ514" s="332"/>
      <c r="QFA514" s="332"/>
      <c r="QFB514" s="332"/>
      <c r="QFC514" s="332"/>
      <c r="QFD514" s="332"/>
      <c r="QFE514" s="332"/>
      <c r="QFF514" s="332"/>
      <c r="QFG514" s="332"/>
      <c r="QFH514" s="332"/>
      <c r="QFI514" s="332"/>
      <c r="QFJ514" s="332"/>
      <c r="QFK514" s="332"/>
      <c r="QFL514" s="332"/>
      <c r="QFM514" s="332"/>
      <c r="QFN514" s="332"/>
      <c r="QFO514" s="332"/>
      <c r="QFP514" s="332"/>
      <c r="QFQ514" s="332"/>
      <c r="QFR514" s="332"/>
      <c r="QFS514" s="332"/>
      <c r="QFT514" s="332"/>
      <c r="QFU514" s="332"/>
      <c r="QFV514" s="332"/>
      <c r="QFW514" s="332"/>
      <c r="QFX514" s="332"/>
      <c r="QFY514" s="332"/>
      <c r="QFZ514" s="332"/>
      <c r="QGA514" s="332"/>
      <c r="QGB514" s="332"/>
      <c r="QGC514" s="332"/>
      <c r="QGD514" s="332"/>
      <c r="QGE514" s="332"/>
      <c r="QGF514" s="332"/>
      <c r="QGG514" s="332"/>
      <c r="QGH514" s="332"/>
      <c r="QGI514" s="332"/>
      <c r="QGJ514" s="332"/>
      <c r="QGK514" s="332"/>
      <c r="QGL514" s="332"/>
      <c r="QGM514" s="332"/>
      <c r="QGN514" s="332"/>
      <c r="QGO514" s="332"/>
      <c r="QGP514" s="332"/>
      <c r="QGQ514" s="332"/>
      <c r="QGR514" s="332"/>
      <c r="QGS514" s="332"/>
      <c r="QGT514" s="332"/>
      <c r="QGU514" s="332"/>
      <c r="QGV514" s="332"/>
      <c r="QGW514" s="332"/>
      <c r="QGX514" s="332"/>
      <c r="QGY514" s="332"/>
      <c r="QGZ514" s="332"/>
      <c r="QHA514" s="332"/>
      <c r="QHB514" s="332"/>
      <c r="QHC514" s="332"/>
      <c r="QHD514" s="332"/>
      <c r="QHE514" s="332"/>
      <c r="QHF514" s="332"/>
      <c r="QHG514" s="332"/>
      <c r="QHH514" s="332"/>
      <c r="QHI514" s="332"/>
      <c r="QHJ514" s="332"/>
      <c r="QHK514" s="332"/>
      <c r="QHL514" s="332"/>
      <c r="QHM514" s="332"/>
      <c r="QHN514" s="332"/>
      <c r="QHO514" s="332"/>
      <c r="QHP514" s="332"/>
      <c r="QHQ514" s="332"/>
      <c r="QHR514" s="332"/>
      <c r="QHS514" s="332"/>
      <c r="QHT514" s="332"/>
      <c r="QHU514" s="332"/>
      <c r="QHV514" s="332"/>
      <c r="QHW514" s="332"/>
      <c r="QHX514" s="332"/>
      <c r="QHY514" s="332"/>
      <c r="QHZ514" s="332"/>
      <c r="QIA514" s="332"/>
      <c r="QIB514" s="332"/>
      <c r="QIC514" s="332"/>
      <c r="QID514" s="332"/>
      <c r="QIE514" s="332"/>
      <c r="QIF514" s="332"/>
      <c r="QIG514" s="332"/>
      <c r="QIH514" s="332"/>
      <c r="QII514" s="332"/>
      <c r="QIJ514" s="332"/>
      <c r="QIK514" s="332"/>
      <c r="QIL514" s="332"/>
      <c r="QIM514" s="332"/>
      <c r="QIN514" s="332"/>
      <c r="QIO514" s="332"/>
      <c r="QIP514" s="332"/>
      <c r="QIQ514" s="332"/>
      <c r="QIR514" s="332"/>
      <c r="QIS514" s="332"/>
      <c r="QIT514" s="332"/>
      <c r="QIU514" s="332"/>
      <c r="QIV514" s="332"/>
      <c r="QIW514" s="332"/>
      <c r="QIX514" s="332"/>
      <c r="QIY514" s="332"/>
      <c r="QIZ514" s="332"/>
      <c r="QJA514" s="332"/>
      <c r="QJB514" s="332"/>
      <c r="QJC514" s="332"/>
      <c r="QJD514" s="332"/>
      <c r="QJE514" s="332"/>
      <c r="QJF514" s="332"/>
      <c r="QJG514" s="332"/>
      <c r="QJH514" s="332"/>
      <c r="QJI514" s="332"/>
      <c r="QJJ514" s="332"/>
      <c r="QJK514" s="332"/>
      <c r="QJL514" s="332"/>
      <c r="QJM514" s="332"/>
      <c r="QJN514" s="332"/>
      <c r="QJO514" s="332"/>
      <c r="QJP514" s="332"/>
      <c r="QJQ514" s="332"/>
      <c r="QJR514" s="332"/>
      <c r="QJS514" s="332"/>
      <c r="QJT514" s="332"/>
      <c r="QJU514" s="332"/>
      <c r="QJV514" s="332"/>
      <c r="QJW514" s="332"/>
      <c r="QJX514" s="332"/>
      <c r="QJY514" s="332"/>
      <c r="QJZ514" s="332"/>
      <c r="QKA514" s="332"/>
      <c r="QKB514" s="332"/>
      <c r="QKC514" s="332"/>
      <c r="QKD514" s="332"/>
      <c r="QKE514" s="332"/>
      <c r="QKF514" s="332"/>
      <c r="QKG514" s="332"/>
      <c r="QKH514" s="332"/>
      <c r="QKI514" s="332"/>
      <c r="QKJ514" s="332"/>
      <c r="QKK514" s="332"/>
      <c r="QKL514" s="332"/>
      <c r="QKM514" s="332"/>
      <c r="QKN514" s="332"/>
      <c r="QKO514" s="332"/>
      <c r="QKP514" s="332"/>
      <c r="QKQ514" s="332"/>
      <c r="QKR514" s="332"/>
      <c r="QKS514" s="332"/>
      <c r="QKT514" s="332"/>
      <c r="QKU514" s="332"/>
      <c r="QKV514" s="332"/>
      <c r="QKW514" s="332"/>
      <c r="QKX514" s="332"/>
      <c r="QKY514" s="332"/>
      <c r="QKZ514" s="332"/>
      <c r="QLA514" s="332"/>
      <c r="QLB514" s="332"/>
      <c r="QLC514" s="332"/>
      <c r="QLD514" s="332"/>
      <c r="QLE514" s="332"/>
      <c r="QLF514" s="332"/>
      <c r="QLG514" s="332"/>
      <c r="QLH514" s="332"/>
      <c r="QLI514" s="332"/>
      <c r="QLJ514" s="332"/>
      <c r="QLK514" s="332"/>
      <c r="QLL514" s="332"/>
      <c r="QLM514" s="332"/>
      <c r="QLN514" s="332"/>
      <c r="QLO514" s="332"/>
      <c r="QLP514" s="332"/>
      <c r="QLQ514" s="332"/>
      <c r="QLR514" s="332"/>
      <c r="QLS514" s="332"/>
      <c r="QLT514" s="332"/>
      <c r="QLU514" s="332"/>
      <c r="QLV514" s="332"/>
      <c r="QLW514" s="332"/>
      <c r="QLX514" s="332"/>
      <c r="QLY514" s="332"/>
      <c r="QLZ514" s="332"/>
      <c r="QMA514" s="332"/>
      <c r="QMB514" s="332"/>
      <c r="QMC514" s="332"/>
      <c r="QMD514" s="332"/>
      <c r="QME514" s="332"/>
      <c r="QMF514" s="332"/>
      <c r="QMG514" s="332"/>
      <c r="QMH514" s="332"/>
      <c r="QMI514" s="332"/>
      <c r="QMJ514" s="332"/>
      <c r="QMK514" s="332"/>
      <c r="QML514" s="332"/>
      <c r="QMM514" s="332"/>
      <c r="QMN514" s="332"/>
      <c r="QMO514" s="332"/>
      <c r="QMP514" s="332"/>
      <c r="QMQ514" s="332"/>
      <c r="QMR514" s="332"/>
      <c r="QMS514" s="332"/>
      <c r="QMT514" s="332"/>
      <c r="QMU514" s="332"/>
      <c r="QMV514" s="332"/>
      <c r="QMW514" s="332"/>
      <c r="QMX514" s="332"/>
      <c r="QMY514" s="332"/>
      <c r="QMZ514" s="332"/>
      <c r="QNA514" s="332"/>
      <c r="QNB514" s="332"/>
      <c r="QNC514" s="332"/>
      <c r="QND514" s="332"/>
      <c r="QNE514" s="332"/>
      <c r="QNF514" s="332"/>
      <c r="QNG514" s="332"/>
      <c r="QNH514" s="332"/>
      <c r="QNI514" s="332"/>
      <c r="QNJ514" s="332"/>
      <c r="QNK514" s="332"/>
      <c r="QNL514" s="332"/>
      <c r="QNM514" s="332"/>
      <c r="QNN514" s="332"/>
      <c r="QNO514" s="332"/>
      <c r="QNP514" s="332"/>
      <c r="QNQ514" s="332"/>
      <c r="QNR514" s="332"/>
      <c r="QNS514" s="332"/>
      <c r="QNT514" s="332"/>
      <c r="QNU514" s="332"/>
      <c r="QNV514" s="332"/>
      <c r="QNW514" s="332"/>
      <c r="QNX514" s="332"/>
      <c r="QNY514" s="332"/>
      <c r="QNZ514" s="332"/>
      <c r="QOA514" s="332"/>
      <c r="QOB514" s="332"/>
      <c r="QOC514" s="332"/>
      <c r="QOD514" s="332"/>
      <c r="QOE514" s="332"/>
      <c r="QOF514" s="332"/>
      <c r="QOG514" s="332"/>
      <c r="QOH514" s="332"/>
      <c r="QOI514" s="332"/>
      <c r="QOJ514" s="332"/>
      <c r="QOK514" s="332"/>
      <c r="QOL514" s="332"/>
      <c r="QOM514" s="332"/>
      <c r="QON514" s="332"/>
      <c r="QOO514" s="332"/>
      <c r="QOP514" s="332"/>
      <c r="QOQ514" s="332"/>
      <c r="QOR514" s="332"/>
      <c r="QOS514" s="332"/>
      <c r="QOT514" s="332"/>
      <c r="QOU514" s="332"/>
      <c r="QOV514" s="332"/>
      <c r="QOW514" s="332"/>
      <c r="QOX514" s="332"/>
      <c r="QOY514" s="332"/>
      <c r="QOZ514" s="332"/>
      <c r="QPA514" s="332"/>
      <c r="QPB514" s="332"/>
      <c r="QPC514" s="332"/>
      <c r="QPD514" s="332"/>
      <c r="QPE514" s="332"/>
      <c r="QPF514" s="332"/>
      <c r="QPG514" s="332"/>
      <c r="QPH514" s="332"/>
      <c r="QPI514" s="332"/>
      <c r="QPJ514" s="332"/>
      <c r="QPK514" s="332"/>
      <c r="QPL514" s="332"/>
      <c r="QPM514" s="332"/>
      <c r="QPN514" s="332"/>
      <c r="QPO514" s="332"/>
      <c r="QPP514" s="332"/>
      <c r="QPQ514" s="332"/>
      <c r="QPR514" s="332"/>
      <c r="QPS514" s="332"/>
      <c r="QPT514" s="332"/>
      <c r="QPU514" s="332"/>
      <c r="QPV514" s="332"/>
      <c r="QPW514" s="332"/>
      <c r="QPX514" s="332"/>
      <c r="QPY514" s="332"/>
      <c r="QPZ514" s="332"/>
      <c r="QQA514" s="332"/>
      <c r="QQB514" s="332"/>
      <c r="QQC514" s="332"/>
      <c r="QQD514" s="332"/>
      <c r="QQE514" s="332"/>
      <c r="QQF514" s="332"/>
      <c r="QQG514" s="332"/>
      <c r="QQH514" s="332"/>
      <c r="QQI514" s="332"/>
      <c r="QQJ514" s="332"/>
      <c r="QQK514" s="332"/>
      <c r="QQL514" s="332"/>
      <c r="QQM514" s="332"/>
      <c r="QQN514" s="332"/>
      <c r="QQO514" s="332"/>
      <c r="QQP514" s="332"/>
      <c r="QQQ514" s="332"/>
      <c r="QQR514" s="332"/>
      <c r="QQS514" s="332"/>
      <c r="QQT514" s="332"/>
      <c r="QQU514" s="332"/>
      <c r="QQV514" s="332"/>
      <c r="QQW514" s="332"/>
      <c r="QQX514" s="332"/>
      <c r="QQY514" s="332"/>
      <c r="QQZ514" s="332"/>
      <c r="QRA514" s="332"/>
      <c r="QRB514" s="332"/>
      <c r="QRC514" s="332"/>
      <c r="QRD514" s="332"/>
      <c r="QRE514" s="332"/>
      <c r="QRF514" s="332"/>
      <c r="QRG514" s="332"/>
      <c r="QRH514" s="332"/>
      <c r="QRI514" s="332"/>
      <c r="QRJ514" s="332"/>
      <c r="QRK514" s="332"/>
      <c r="QRL514" s="332"/>
      <c r="QRM514" s="332"/>
      <c r="QRN514" s="332"/>
      <c r="QRO514" s="332"/>
      <c r="QRP514" s="332"/>
      <c r="QRQ514" s="332"/>
      <c r="QRR514" s="332"/>
      <c r="QRS514" s="332"/>
      <c r="QRT514" s="332"/>
      <c r="QRU514" s="332"/>
      <c r="QRV514" s="332"/>
      <c r="QRW514" s="332"/>
      <c r="QRX514" s="332"/>
      <c r="QRY514" s="332"/>
      <c r="QRZ514" s="332"/>
      <c r="QSA514" s="332"/>
      <c r="QSB514" s="332"/>
      <c r="QSC514" s="332"/>
      <c r="QSD514" s="332"/>
      <c r="QSE514" s="332"/>
      <c r="QSF514" s="332"/>
      <c r="QSG514" s="332"/>
      <c r="QSH514" s="332"/>
      <c r="QSI514" s="332"/>
      <c r="QSJ514" s="332"/>
      <c r="QSK514" s="332"/>
      <c r="QSL514" s="332"/>
      <c r="QSM514" s="332"/>
      <c r="QSN514" s="332"/>
      <c r="QSO514" s="332"/>
      <c r="QSP514" s="332"/>
      <c r="QSQ514" s="332"/>
      <c r="QSR514" s="332"/>
      <c r="QSS514" s="332"/>
      <c r="QST514" s="332"/>
      <c r="QSU514" s="332"/>
      <c r="QSV514" s="332"/>
      <c r="QSW514" s="332"/>
      <c r="QSX514" s="332"/>
      <c r="QSY514" s="332"/>
      <c r="QSZ514" s="332"/>
      <c r="QTA514" s="332"/>
      <c r="QTB514" s="332"/>
      <c r="QTC514" s="332"/>
      <c r="QTD514" s="332"/>
      <c r="QTE514" s="332"/>
      <c r="QTF514" s="332"/>
      <c r="QTG514" s="332"/>
      <c r="QTH514" s="332"/>
      <c r="QTI514" s="332"/>
      <c r="QTJ514" s="332"/>
      <c r="QTK514" s="332"/>
      <c r="QTL514" s="332"/>
      <c r="QTM514" s="332"/>
      <c r="QTN514" s="332"/>
      <c r="QTO514" s="332"/>
      <c r="QTP514" s="332"/>
      <c r="QTQ514" s="332"/>
      <c r="QTR514" s="332"/>
      <c r="QTS514" s="332"/>
      <c r="QTT514" s="332"/>
      <c r="QTU514" s="332"/>
      <c r="QTV514" s="332"/>
      <c r="QTW514" s="332"/>
      <c r="QTX514" s="332"/>
      <c r="QTY514" s="332"/>
      <c r="QTZ514" s="332"/>
      <c r="QUA514" s="332"/>
      <c r="QUB514" s="332"/>
      <c r="QUC514" s="332"/>
      <c r="QUD514" s="332"/>
      <c r="QUE514" s="332"/>
      <c r="QUF514" s="332"/>
      <c r="QUG514" s="332"/>
      <c r="QUH514" s="332"/>
      <c r="QUI514" s="332"/>
      <c r="QUJ514" s="332"/>
      <c r="QUK514" s="332"/>
      <c r="QUL514" s="332"/>
      <c r="QUM514" s="332"/>
      <c r="QUN514" s="332"/>
      <c r="QUO514" s="332"/>
      <c r="QUP514" s="332"/>
      <c r="QUQ514" s="332"/>
      <c r="QUR514" s="332"/>
      <c r="QUS514" s="332"/>
      <c r="QUT514" s="332"/>
      <c r="QUU514" s="332"/>
      <c r="QUV514" s="332"/>
      <c r="QUW514" s="332"/>
      <c r="QUX514" s="332"/>
      <c r="QUY514" s="332"/>
      <c r="QUZ514" s="332"/>
      <c r="QVA514" s="332"/>
      <c r="QVB514" s="332"/>
      <c r="QVC514" s="332"/>
      <c r="QVD514" s="332"/>
      <c r="QVE514" s="332"/>
      <c r="QVF514" s="332"/>
      <c r="QVG514" s="332"/>
      <c r="QVH514" s="332"/>
      <c r="QVI514" s="332"/>
      <c r="QVJ514" s="332"/>
      <c r="QVK514" s="332"/>
      <c r="QVL514" s="332"/>
      <c r="QVM514" s="332"/>
      <c r="QVN514" s="332"/>
      <c r="QVO514" s="332"/>
      <c r="QVP514" s="332"/>
      <c r="QVQ514" s="332"/>
      <c r="QVR514" s="332"/>
      <c r="QVS514" s="332"/>
      <c r="QVT514" s="332"/>
      <c r="QVU514" s="332"/>
      <c r="QVV514" s="332"/>
      <c r="QVW514" s="332"/>
      <c r="QVX514" s="332"/>
      <c r="QVY514" s="332"/>
      <c r="QVZ514" s="332"/>
      <c r="QWA514" s="332"/>
      <c r="QWB514" s="332"/>
      <c r="QWC514" s="332"/>
      <c r="QWD514" s="332"/>
      <c r="QWE514" s="332"/>
      <c r="QWF514" s="332"/>
      <c r="QWG514" s="332"/>
      <c r="QWH514" s="332"/>
      <c r="QWI514" s="332"/>
      <c r="QWJ514" s="332"/>
      <c r="QWK514" s="332"/>
      <c r="QWL514" s="332"/>
      <c r="QWM514" s="332"/>
      <c r="QWN514" s="332"/>
      <c r="QWO514" s="332"/>
      <c r="QWP514" s="332"/>
      <c r="QWQ514" s="332"/>
      <c r="QWR514" s="332"/>
      <c r="QWS514" s="332"/>
      <c r="QWT514" s="332"/>
      <c r="QWU514" s="332"/>
      <c r="QWV514" s="332"/>
      <c r="QWW514" s="332"/>
      <c r="QWX514" s="332"/>
      <c r="QWY514" s="332"/>
      <c r="QWZ514" s="332"/>
      <c r="QXA514" s="332"/>
      <c r="QXB514" s="332"/>
      <c r="QXC514" s="332"/>
      <c r="QXD514" s="332"/>
      <c r="QXE514" s="332"/>
      <c r="QXF514" s="332"/>
      <c r="QXG514" s="332"/>
      <c r="QXH514" s="332"/>
      <c r="QXI514" s="332"/>
      <c r="QXJ514" s="332"/>
      <c r="QXK514" s="332"/>
      <c r="QXL514" s="332"/>
      <c r="QXM514" s="332"/>
      <c r="QXN514" s="332"/>
      <c r="QXO514" s="332"/>
      <c r="QXP514" s="332"/>
      <c r="QXQ514" s="332"/>
      <c r="QXR514" s="332"/>
      <c r="QXS514" s="332"/>
      <c r="QXT514" s="332"/>
      <c r="QXU514" s="332"/>
      <c r="QXV514" s="332"/>
      <c r="QXW514" s="332"/>
      <c r="QXX514" s="332"/>
      <c r="QXY514" s="332"/>
      <c r="QXZ514" s="332"/>
      <c r="QYA514" s="332"/>
      <c r="QYB514" s="332"/>
      <c r="QYC514" s="332"/>
      <c r="QYD514" s="332"/>
      <c r="QYE514" s="332"/>
      <c r="QYF514" s="332"/>
      <c r="QYG514" s="332"/>
      <c r="QYH514" s="332"/>
      <c r="QYI514" s="332"/>
      <c r="QYJ514" s="332"/>
      <c r="QYK514" s="332"/>
      <c r="QYL514" s="332"/>
      <c r="QYM514" s="332"/>
      <c r="QYN514" s="332"/>
      <c r="QYO514" s="332"/>
      <c r="QYP514" s="332"/>
      <c r="QYQ514" s="332"/>
      <c r="QYR514" s="332"/>
      <c r="QYS514" s="332"/>
      <c r="QYT514" s="332"/>
      <c r="QYU514" s="332"/>
      <c r="QYV514" s="332"/>
      <c r="QYW514" s="332"/>
      <c r="QYX514" s="332"/>
      <c r="QYY514" s="332"/>
      <c r="QYZ514" s="332"/>
      <c r="QZA514" s="332"/>
      <c r="QZB514" s="332"/>
      <c r="QZC514" s="332"/>
      <c r="QZD514" s="332"/>
      <c r="QZE514" s="332"/>
      <c r="QZF514" s="332"/>
      <c r="QZG514" s="332"/>
      <c r="QZH514" s="332"/>
      <c r="QZI514" s="332"/>
      <c r="QZJ514" s="332"/>
      <c r="QZK514" s="332"/>
      <c r="QZL514" s="332"/>
      <c r="QZM514" s="332"/>
      <c r="QZN514" s="332"/>
      <c r="QZO514" s="332"/>
      <c r="QZP514" s="332"/>
      <c r="QZQ514" s="332"/>
      <c r="QZR514" s="332"/>
      <c r="QZS514" s="332"/>
      <c r="QZT514" s="332"/>
      <c r="QZU514" s="332"/>
      <c r="QZV514" s="332"/>
      <c r="QZW514" s="332"/>
      <c r="QZX514" s="332"/>
      <c r="QZY514" s="332"/>
      <c r="QZZ514" s="332"/>
      <c r="RAA514" s="332"/>
      <c r="RAB514" s="332"/>
      <c r="RAC514" s="332"/>
      <c r="RAD514" s="332"/>
      <c r="RAE514" s="332"/>
      <c r="RAF514" s="332"/>
      <c r="RAG514" s="332"/>
      <c r="RAH514" s="332"/>
      <c r="RAI514" s="332"/>
      <c r="RAJ514" s="332"/>
      <c r="RAK514" s="332"/>
      <c r="RAL514" s="332"/>
      <c r="RAM514" s="332"/>
      <c r="RAN514" s="332"/>
      <c r="RAO514" s="332"/>
      <c r="RAP514" s="332"/>
      <c r="RAQ514" s="332"/>
      <c r="RAR514" s="332"/>
      <c r="RAS514" s="332"/>
      <c r="RAT514" s="332"/>
      <c r="RAU514" s="332"/>
      <c r="RAV514" s="332"/>
      <c r="RAW514" s="332"/>
      <c r="RAX514" s="332"/>
      <c r="RAY514" s="332"/>
      <c r="RAZ514" s="332"/>
      <c r="RBA514" s="332"/>
      <c r="RBB514" s="332"/>
      <c r="RBC514" s="332"/>
      <c r="RBD514" s="332"/>
      <c r="RBE514" s="332"/>
      <c r="RBF514" s="332"/>
      <c r="RBG514" s="332"/>
      <c r="RBH514" s="332"/>
      <c r="RBI514" s="332"/>
      <c r="RBJ514" s="332"/>
      <c r="RBK514" s="332"/>
      <c r="RBL514" s="332"/>
      <c r="RBM514" s="332"/>
      <c r="RBN514" s="332"/>
      <c r="RBO514" s="332"/>
      <c r="RBP514" s="332"/>
      <c r="RBQ514" s="332"/>
      <c r="RBR514" s="332"/>
      <c r="RBS514" s="332"/>
      <c r="RBT514" s="332"/>
      <c r="RBU514" s="332"/>
      <c r="RBV514" s="332"/>
      <c r="RBW514" s="332"/>
      <c r="RBX514" s="332"/>
      <c r="RBY514" s="332"/>
      <c r="RBZ514" s="332"/>
      <c r="RCA514" s="332"/>
      <c r="RCB514" s="332"/>
      <c r="RCC514" s="332"/>
      <c r="RCD514" s="332"/>
      <c r="RCE514" s="332"/>
      <c r="RCF514" s="332"/>
      <c r="RCG514" s="332"/>
      <c r="RCH514" s="332"/>
      <c r="RCI514" s="332"/>
      <c r="RCJ514" s="332"/>
      <c r="RCK514" s="332"/>
      <c r="RCL514" s="332"/>
      <c r="RCM514" s="332"/>
      <c r="RCN514" s="332"/>
      <c r="RCO514" s="332"/>
      <c r="RCP514" s="332"/>
      <c r="RCQ514" s="332"/>
      <c r="RCR514" s="332"/>
      <c r="RCS514" s="332"/>
      <c r="RCT514" s="332"/>
      <c r="RCU514" s="332"/>
      <c r="RCV514" s="332"/>
      <c r="RCW514" s="332"/>
      <c r="RCX514" s="332"/>
      <c r="RCY514" s="332"/>
      <c r="RCZ514" s="332"/>
      <c r="RDA514" s="332"/>
      <c r="RDB514" s="332"/>
      <c r="RDC514" s="332"/>
      <c r="RDD514" s="332"/>
      <c r="RDE514" s="332"/>
      <c r="RDF514" s="332"/>
      <c r="RDG514" s="332"/>
      <c r="RDH514" s="332"/>
      <c r="RDI514" s="332"/>
      <c r="RDJ514" s="332"/>
      <c r="RDK514" s="332"/>
      <c r="RDL514" s="332"/>
      <c r="RDM514" s="332"/>
      <c r="RDN514" s="332"/>
      <c r="RDO514" s="332"/>
      <c r="RDP514" s="332"/>
      <c r="RDQ514" s="332"/>
      <c r="RDR514" s="332"/>
      <c r="RDS514" s="332"/>
      <c r="RDT514" s="332"/>
      <c r="RDU514" s="332"/>
      <c r="RDV514" s="332"/>
      <c r="RDW514" s="332"/>
      <c r="RDX514" s="332"/>
      <c r="RDY514" s="332"/>
      <c r="RDZ514" s="332"/>
      <c r="REA514" s="332"/>
      <c r="REB514" s="332"/>
      <c r="REC514" s="332"/>
      <c r="RED514" s="332"/>
      <c r="REE514" s="332"/>
      <c r="REF514" s="332"/>
      <c r="REG514" s="332"/>
      <c r="REH514" s="332"/>
      <c r="REI514" s="332"/>
      <c r="REJ514" s="332"/>
      <c r="REK514" s="332"/>
      <c r="REL514" s="332"/>
      <c r="REM514" s="332"/>
      <c r="REN514" s="332"/>
      <c r="REO514" s="332"/>
      <c r="REP514" s="332"/>
      <c r="REQ514" s="332"/>
      <c r="RER514" s="332"/>
      <c r="RES514" s="332"/>
      <c r="RET514" s="332"/>
      <c r="REU514" s="332"/>
      <c r="REV514" s="332"/>
      <c r="REW514" s="332"/>
      <c r="REX514" s="332"/>
      <c r="REY514" s="332"/>
      <c r="REZ514" s="332"/>
      <c r="RFA514" s="332"/>
      <c r="RFB514" s="332"/>
      <c r="RFC514" s="332"/>
      <c r="RFD514" s="332"/>
      <c r="RFE514" s="332"/>
      <c r="RFF514" s="332"/>
      <c r="RFG514" s="332"/>
      <c r="RFH514" s="332"/>
      <c r="RFI514" s="332"/>
      <c r="RFJ514" s="332"/>
      <c r="RFK514" s="332"/>
      <c r="RFL514" s="332"/>
      <c r="RFM514" s="332"/>
      <c r="RFN514" s="332"/>
      <c r="RFO514" s="332"/>
      <c r="RFP514" s="332"/>
      <c r="RFQ514" s="332"/>
      <c r="RFR514" s="332"/>
      <c r="RFS514" s="332"/>
      <c r="RFT514" s="332"/>
      <c r="RFU514" s="332"/>
      <c r="RFV514" s="332"/>
      <c r="RFW514" s="332"/>
      <c r="RFX514" s="332"/>
      <c r="RFY514" s="332"/>
      <c r="RFZ514" s="332"/>
      <c r="RGA514" s="332"/>
      <c r="RGB514" s="332"/>
      <c r="RGC514" s="332"/>
      <c r="RGD514" s="332"/>
      <c r="RGE514" s="332"/>
      <c r="RGF514" s="332"/>
      <c r="RGG514" s="332"/>
      <c r="RGH514" s="332"/>
      <c r="RGI514" s="332"/>
      <c r="RGJ514" s="332"/>
      <c r="RGK514" s="332"/>
      <c r="RGL514" s="332"/>
      <c r="RGM514" s="332"/>
      <c r="RGN514" s="332"/>
      <c r="RGO514" s="332"/>
      <c r="RGP514" s="332"/>
      <c r="RGQ514" s="332"/>
      <c r="RGR514" s="332"/>
      <c r="RGS514" s="332"/>
      <c r="RGT514" s="332"/>
      <c r="RGU514" s="332"/>
      <c r="RGV514" s="332"/>
      <c r="RGW514" s="332"/>
      <c r="RGX514" s="332"/>
      <c r="RGY514" s="332"/>
      <c r="RGZ514" s="332"/>
      <c r="RHA514" s="332"/>
      <c r="RHB514" s="332"/>
      <c r="RHC514" s="332"/>
      <c r="RHD514" s="332"/>
      <c r="RHE514" s="332"/>
      <c r="RHF514" s="332"/>
      <c r="RHG514" s="332"/>
      <c r="RHH514" s="332"/>
      <c r="RHI514" s="332"/>
      <c r="RHJ514" s="332"/>
      <c r="RHK514" s="332"/>
      <c r="RHL514" s="332"/>
      <c r="RHM514" s="332"/>
      <c r="RHN514" s="332"/>
      <c r="RHO514" s="332"/>
      <c r="RHP514" s="332"/>
      <c r="RHQ514" s="332"/>
      <c r="RHR514" s="332"/>
      <c r="RHS514" s="332"/>
      <c r="RHT514" s="332"/>
      <c r="RHU514" s="332"/>
      <c r="RHV514" s="332"/>
      <c r="RHW514" s="332"/>
      <c r="RHX514" s="332"/>
      <c r="RHY514" s="332"/>
      <c r="RHZ514" s="332"/>
      <c r="RIA514" s="332"/>
      <c r="RIB514" s="332"/>
      <c r="RIC514" s="332"/>
      <c r="RID514" s="332"/>
      <c r="RIE514" s="332"/>
      <c r="RIF514" s="332"/>
      <c r="RIG514" s="332"/>
      <c r="RIH514" s="332"/>
      <c r="RII514" s="332"/>
      <c r="RIJ514" s="332"/>
      <c r="RIK514" s="332"/>
      <c r="RIL514" s="332"/>
      <c r="RIM514" s="332"/>
      <c r="RIN514" s="332"/>
      <c r="RIO514" s="332"/>
      <c r="RIP514" s="332"/>
      <c r="RIQ514" s="332"/>
      <c r="RIR514" s="332"/>
      <c r="RIS514" s="332"/>
      <c r="RIT514" s="332"/>
      <c r="RIU514" s="332"/>
      <c r="RIV514" s="332"/>
      <c r="RIW514" s="332"/>
      <c r="RIX514" s="332"/>
      <c r="RIY514" s="332"/>
      <c r="RIZ514" s="332"/>
      <c r="RJA514" s="332"/>
      <c r="RJB514" s="332"/>
      <c r="RJC514" s="332"/>
      <c r="RJD514" s="332"/>
      <c r="RJE514" s="332"/>
      <c r="RJF514" s="332"/>
      <c r="RJG514" s="332"/>
      <c r="RJH514" s="332"/>
      <c r="RJI514" s="332"/>
      <c r="RJJ514" s="332"/>
      <c r="RJK514" s="332"/>
      <c r="RJL514" s="332"/>
      <c r="RJM514" s="332"/>
      <c r="RJN514" s="332"/>
      <c r="RJO514" s="332"/>
      <c r="RJP514" s="332"/>
      <c r="RJQ514" s="332"/>
      <c r="RJR514" s="332"/>
      <c r="RJS514" s="332"/>
      <c r="RJT514" s="332"/>
      <c r="RJU514" s="332"/>
      <c r="RJV514" s="332"/>
      <c r="RJW514" s="332"/>
      <c r="RJX514" s="332"/>
      <c r="RJY514" s="332"/>
      <c r="RJZ514" s="332"/>
      <c r="RKA514" s="332"/>
      <c r="RKB514" s="332"/>
      <c r="RKC514" s="332"/>
      <c r="RKD514" s="332"/>
      <c r="RKE514" s="332"/>
      <c r="RKF514" s="332"/>
      <c r="RKG514" s="332"/>
      <c r="RKH514" s="332"/>
      <c r="RKI514" s="332"/>
      <c r="RKJ514" s="332"/>
      <c r="RKK514" s="332"/>
      <c r="RKL514" s="332"/>
      <c r="RKM514" s="332"/>
      <c r="RKN514" s="332"/>
      <c r="RKO514" s="332"/>
      <c r="RKP514" s="332"/>
      <c r="RKQ514" s="332"/>
      <c r="RKR514" s="332"/>
      <c r="RKS514" s="332"/>
      <c r="RKT514" s="332"/>
      <c r="RKU514" s="332"/>
      <c r="RKV514" s="332"/>
      <c r="RKW514" s="332"/>
      <c r="RKX514" s="332"/>
      <c r="RKY514" s="332"/>
      <c r="RKZ514" s="332"/>
      <c r="RLA514" s="332"/>
      <c r="RLB514" s="332"/>
      <c r="RLC514" s="332"/>
      <c r="RLD514" s="332"/>
      <c r="RLE514" s="332"/>
      <c r="RLF514" s="332"/>
      <c r="RLG514" s="332"/>
      <c r="RLH514" s="332"/>
      <c r="RLI514" s="332"/>
      <c r="RLJ514" s="332"/>
      <c r="RLK514" s="332"/>
      <c r="RLL514" s="332"/>
      <c r="RLM514" s="332"/>
      <c r="RLN514" s="332"/>
      <c r="RLO514" s="332"/>
      <c r="RLP514" s="332"/>
      <c r="RLQ514" s="332"/>
      <c r="RLR514" s="332"/>
      <c r="RLS514" s="332"/>
      <c r="RLT514" s="332"/>
      <c r="RLU514" s="332"/>
      <c r="RLV514" s="332"/>
      <c r="RLW514" s="332"/>
      <c r="RLX514" s="332"/>
      <c r="RLY514" s="332"/>
      <c r="RLZ514" s="332"/>
      <c r="RMA514" s="332"/>
      <c r="RMB514" s="332"/>
      <c r="RMC514" s="332"/>
      <c r="RMD514" s="332"/>
      <c r="RME514" s="332"/>
      <c r="RMF514" s="332"/>
      <c r="RMG514" s="332"/>
      <c r="RMH514" s="332"/>
      <c r="RMI514" s="332"/>
      <c r="RMJ514" s="332"/>
      <c r="RMK514" s="332"/>
      <c r="RML514" s="332"/>
      <c r="RMM514" s="332"/>
      <c r="RMN514" s="332"/>
      <c r="RMO514" s="332"/>
      <c r="RMP514" s="332"/>
      <c r="RMQ514" s="332"/>
      <c r="RMR514" s="332"/>
      <c r="RMS514" s="332"/>
      <c r="RMT514" s="332"/>
      <c r="RMU514" s="332"/>
      <c r="RMV514" s="332"/>
      <c r="RMW514" s="332"/>
      <c r="RMX514" s="332"/>
      <c r="RMY514" s="332"/>
      <c r="RMZ514" s="332"/>
      <c r="RNA514" s="332"/>
      <c r="RNB514" s="332"/>
      <c r="RNC514" s="332"/>
      <c r="RND514" s="332"/>
      <c r="RNE514" s="332"/>
      <c r="RNF514" s="332"/>
      <c r="RNG514" s="332"/>
      <c r="RNH514" s="332"/>
      <c r="RNI514" s="332"/>
      <c r="RNJ514" s="332"/>
      <c r="RNK514" s="332"/>
      <c r="RNL514" s="332"/>
      <c r="RNM514" s="332"/>
      <c r="RNN514" s="332"/>
      <c r="RNO514" s="332"/>
      <c r="RNP514" s="332"/>
      <c r="RNQ514" s="332"/>
      <c r="RNR514" s="332"/>
      <c r="RNS514" s="332"/>
      <c r="RNT514" s="332"/>
      <c r="RNU514" s="332"/>
      <c r="RNV514" s="332"/>
      <c r="RNW514" s="332"/>
      <c r="RNX514" s="332"/>
      <c r="RNY514" s="332"/>
      <c r="RNZ514" s="332"/>
      <c r="ROA514" s="332"/>
      <c r="ROB514" s="332"/>
      <c r="ROC514" s="332"/>
      <c r="ROD514" s="332"/>
      <c r="ROE514" s="332"/>
      <c r="ROF514" s="332"/>
      <c r="ROG514" s="332"/>
      <c r="ROH514" s="332"/>
      <c r="ROI514" s="332"/>
      <c r="ROJ514" s="332"/>
      <c r="ROK514" s="332"/>
      <c r="ROL514" s="332"/>
      <c r="ROM514" s="332"/>
      <c r="RON514" s="332"/>
      <c r="ROO514" s="332"/>
      <c r="ROP514" s="332"/>
      <c r="ROQ514" s="332"/>
      <c r="ROR514" s="332"/>
      <c r="ROS514" s="332"/>
      <c r="ROT514" s="332"/>
      <c r="ROU514" s="332"/>
      <c r="ROV514" s="332"/>
      <c r="ROW514" s="332"/>
      <c r="ROX514" s="332"/>
      <c r="ROY514" s="332"/>
      <c r="ROZ514" s="332"/>
      <c r="RPA514" s="332"/>
      <c r="RPB514" s="332"/>
      <c r="RPC514" s="332"/>
      <c r="RPD514" s="332"/>
      <c r="RPE514" s="332"/>
      <c r="RPF514" s="332"/>
      <c r="RPG514" s="332"/>
      <c r="RPH514" s="332"/>
      <c r="RPI514" s="332"/>
      <c r="RPJ514" s="332"/>
      <c r="RPK514" s="332"/>
      <c r="RPL514" s="332"/>
      <c r="RPM514" s="332"/>
      <c r="RPN514" s="332"/>
      <c r="RPO514" s="332"/>
      <c r="RPP514" s="332"/>
      <c r="RPQ514" s="332"/>
      <c r="RPR514" s="332"/>
      <c r="RPS514" s="332"/>
      <c r="RPT514" s="332"/>
      <c r="RPU514" s="332"/>
      <c r="RPV514" s="332"/>
      <c r="RPW514" s="332"/>
      <c r="RPX514" s="332"/>
      <c r="RPY514" s="332"/>
      <c r="RPZ514" s="332"/>
      <c r="RQA514" s="332"/>
      <c r="RQB514" s="332"/>
      <c r="RQC514" s="332"/>
      <c r="RQD514" s="332"/>
      <c r="RQE514" s="332"/>
      <c r="RQF514" s="332"/>
      <c r="RQG514" s="332"/>
      <c r="RQH514" s="332"/>
      <c r="RQI514" s="332"/>
      <c r="RQJ514" s="332"/>
      <c r="RQK514" s="332"/>
      <c r="RQL514" s="332"/>
      <c r="RQM514" s="332"/>
      <c r="RQN514" s="332"/>
      <c r="RQO514" s="332"/>
      <c r="RQP514" s="332"/>
      <c r="RQQ514" s="332"/>
      <c r="RQR514" s="332"/>
      <c r="RQS514" s="332"/>
      <c r="RQT514" s="332"/>
      <c r="RQU514" s="332"/>
      <c r="RQV514" s="332"/>
      <c r="RQW514" s="332"/>
      <c r="RQX514" s="332"/>
      <c r="RQY514" s="332"/>
      <c r="RQZ514" s="332"/>
      <c r="RRA514" s="332"/>
      <c r="RRB514" s="332"/>
      <c r="RRC514" s="332"/>
      <c r="RRD514" s="332"/>
      <c r="RRE514" s="332"/>
      <c r="RRF514" s="332"/>
      <c r="RRG514" s="332"/>
      <c r="RRH514" s="332"/>
      <c r="RRI514" s="332"/>
      <c r="RRJ514" s="332"/>
      <c r="RRK514" s="332"/>
      <c r="RRL514" s="332"/>
      <c r="RRM514" s="332"/>
      <c r="RRN514" s="332"/>
      <c r="RRO514" s="332"/>
      <c r="RRP514" s="332"/>
      <c r="RRQ514" s="332"/>
      <c r="RRR514" s="332"/>
      <c r="RRS514" s="332"/>
      <c r="RRT514" s="332"/>
      <c r="RRU514" s="332"/>
      <c r="RRV514" s="332"/>
      <c r="RRW514" s="332"/>
      <c r="RRX514" s="332"/>
      <c r="RRY514" s="332"/>
      <c r="RRZ514" s="332"/>
      <c r="RSA514" s="332"/>
      <c r="RSB514" s="332"/>
      <c r="RSC514" s="332"/>
      <c r="RSD514" s="332"/>
      <c r="RSE514" s="332"/>
      <c r="RSF514" s="332"/>
      <c r="RSG514" s="332"/>
      <c r="RSH514" s="332"/>
      <c r="RSI514" s="332"/>
      <c r="RSJ514" s="332"/>
      <c r="RSK514" s="332"/>
      <c r="RSL514" s="332"/>
      <c r="RSM514" s="332"/>
      <c r="RSN514" s="332"/>
      <c r="RSO514" s="332"/>
      <c r="RSP514" s="332"/>
      <c r="RSQ514" s="332"/>
      <c r="RSR514" s="332"/>
      <c r="RSS514" s="332"/>
      <c r="RST514" s="332"/>
      <c r="RSU514" s="332"/>
      <c r="RSV514" s="332"/>
      <c r="RSW514" s="332"/>
      <c r="RSX514" s="332"/>
      <c r="RSY514" s="332"/>
      <c r="RSZ514" s="332"/>
      <c r="RTA514" s="332"/>
      <c r="RTB514" s="332"/>
      <c r="RTC514" s="332"/>
      <c r="RTD514" s="332"/>
      <c r="RTE514" s="332"/>
      <c r="RTF514" s="332"/>
      <c r="RTG514" s="332"/>
      <c r="RTH514" s="332"/>
      <c r="RTI514" s="332"/>
      <c r="RTJ514" s="332"/>
      <c r="RTK514" s="332"/>
      <c r="RTL514" s="332"/>
      <c r="RTM514" s="332"/>
      <c r="RTN514" s="332"/>
      <c r="RTO514" s="332"/>
      <c r="RTP514" s="332"/>
      <c r="RTQ514" s="332"/>
      <c r="RTR514" s="332"/>
      <c r="RTS514" s="332"/>
      <c r="RTT514" s="332"/>
      <c r="RTU514" s="332"/>
      <c r="RTV514" s="332"/>
      <c r="RTW514" s="332"/>
      <c r="RTX514" s="332"/>
      <c r="RTY514" s="332"/>
      <c r="RTZ514" s="332"/>
      <c r="RUA514" s="332"/>
      <c r="RUB514" s="332"/>
      <c r="RUC514" s="332"/>
      <c r="RUD514" s="332"/>
      <c r="RUE514" s="332"/>
      <c r="RUF514" s="332"/>
      <c r="RUG514" s="332"/>
      <c r="RUH514" s="332"/>
      <c r="RUI514" s="332"/>
      <c r="RUJ514" s="332"/>
      <c r="RUK514" s="332"/>
      <c r="RUL514" s="332"/>
      <c r="RUM514" s="332"/>
      <c r="RUN514" s="332"/>
      <c r="RUO514" s="332"/>
      <c r="RUP514" s="332"/>
      <c r="RUQ514" s="332"/>
      <c r="RUR514" s="332"/>
      <c r="RUS514" s="332"/>
      <c r="RUT514" s="332"/>
      <c r="RUU514" s="332"/>
      <c r="RUV514" s="332"/>
      <c r="RUW514" s="332"/>
      <c r="RUX514" s="332"/>
      <c r="RUY514" s="332"/>
      <c r="RUZ514" s="332"/>
      <c r="RVA514" s="332"/>
      <c r="RVB514" s="332"/>
      <c r="RVC514" s="332"/>
      <c r="RVD514" s="332"/>
      <c r="RVE514" s="332"/>
      <c r="RVF514" s="332"/>
      <c r="RVG514" s="332"/>
      <c r="RVH514" s="332"/>
      <c r="RVI514" s="332"/>
      <c r="RVJ514" s="332"/>
      <c r="RVK514" s="332"/>
      <c r="RVL514" s="332"/>
      <c r="RVM514" s="332"/>
      <c r="RVN514" s="332"/>
      <c r="RVO514" s="332"/>
      <c r="RVP514" s="332"/>
      <c r="RVQ514" s="332"/>
      <c r="RVR514" s="332"/>
      <c r="RVS514" s="332"/>
      <c r="RVT514" s="332"/>
      <c r="RVU514" s="332"/>
      <c r="RVV514" s="332"/>
      <c r="RVW514" s="332"/>
      <c r="RVX514" s="332"/>
      <c r="RVY514" s="332"/>
      <c r="RVZ514" s="332"/>
      <c r="RWA514" s="332"/>
      <c r="RWB514" s="332"/>
      <c r="RWC514" s="332"/>
      <c r="RWD514" s="332"/>
      <c r="RWE514" s="332"/>
      <c r="RWF514" s="332"/>
      <c r="RWG514" s="332"/>
      <c r="RWH514" s="332"/>
      <c r="RWI514" s="332"/>
      <c r="RWJ514" s="332"/>
      <c r="RWK514" s="332"/>
      <c r="RWL514" s="332"/>
      <c r="RWM514" s="332"/>
      <c r="RWN514" s="332"/>
      <c r="RWO514" s="332"/>
      <c r="RWP514" s="332"/>
      <c r="RWQ514" s="332"/>
      <c r="RWR514" s="332"/>
      <c r="RWS514" s="332"/>
      <c r="RWT514" s="332"/>
      <c r="RWU514" s="332"/>
      <c r="RWV514" s="332"/>
      <c r="RWW514" s="332"/>
      <c r="RWX514" s="332"/>
      <c r="RWY514" s="332"/>
      <c r="RWZ514" s="332"/>
      <c r="RXA514" s="332"/>
      <c r="RXB514" s="332"/>
      <c r="RXC514" s="332"/>
      <c r="RXD514" s="332"/>
      <c r="RXE514" s="332"/>
      <c r="RXF514" s="332"/>
      <c r="RXG514" s="332"/>
      <c r="RXH514" s="332"/>
      <c r="RXI514" s="332"/>
      <c r="RXJ514" s="332"/>
      <c r="RXK514" s="332"/>
      <c r="RXL514" s="332"/>
      <c r="RXM514" s="332"/>
      <c r="RXN514" s="332"/>
      <c r="RXO514" s="332"/>
      <c r="RXP514" s="332"/>
      <c r="RXQ514" s="332"/>
      <c r="RXR514" s="332"/>
      <c r="RXS514" s="332"/>
      <c r="RXT514" s="332"/>
      <c r="RXU514" s="332"/>
      <c r="RXV514" s="332"/>
      <c r="RXW514" s="332"/>
      <c r="RXX514" s="332"/>
      <c r="RXY514" s="332"/>
      <c r="RXZ514" s="332"/>
      <c r="RYA514" s="332"/>
      <c r="RYB514" s="332"/>
      <c r="RYC514" s="332"/>
      <c r="RYD514" s="332"/>
      <c r="RYE514" s="332"/>
      <c r="RYF514" s="332"/>
      <c r="RYG514" s="332"/>
      <c r="RYH514" s="332"/>
      <c r="RYI514" s="332"/>
      <c r="RYJ514" s="332"/>
      <c r="RYK514" s="332"/>
      <c r="RYL514" s="332"/>
      <c r="RYM514" s="332"/>
      <c r="RYN514" s="332"/>
      <c r="RYO514" s="332"/>
      <c r="RYP514" s="332"/>
      <c r="RYQ514" s="332"/>
      <c r="RYR514" s="332"/>
      <c r="RYS514" s="332"/>
      <c r="RYT514" s="332"/>
      <c r="RYU514" s="332"/>
      <c r="RYV514" s="332"/>
      <c r="RYW514" s="332"/>
      <c r="RYX514" s="332"/>
      <c r="RYY514" s="332"/>
      <c r="RYZ514" s="332"/>
      <c r="RZA514" s="332"/>
      <c r="RZB514" s="332"/>
      <c r="RZC514" s="332"/>
      <c r="RZD514" s="332"/>
      <c r="RZE514" s="332"/>
      <c r="RZF514" s="332"/>
      <c r="RZG514" s="332"/>
      <c r="RZH514" s="332"/>
      <c r="RZI514" s="332"/>
      <c r="RZJ514" s="332"/>
      <c r="RZK514" s="332"/>
      <c r="RZL514" s="332"/>
      <c r="RZM514" s="332"/>
      <c r="RZN514" s="332"/>
      <c r="RZO514" s="332"/>
      <c r="RZP514" s="332"/>
      <c r="RZQ514" s="332"/>
      <c r="RZR514" s="332"/>
      <c r="RZS514" s="332"/>
      <c r="RZT514" s="332"/>
      <c r="RZU514" s="332"/>
      <c r="RZV514" s="332"/>
      <c r="RZW514" s="332"/>
      <c r="RZX514" s="332"/>
      <c r="RZY514" s="332"/>
      <c r="RZZ514" s="332"/>
      <c r="SAA514" s="332"/>
      <c r="SAB514" s="332"/>
      <c r="SAC514" s="332"/>
      <c r="SAD514" s="332"/>
      <c r="SAE514" s="332"/>
      <c r="SAF514" s="332"/>
      <c r="SAG514" s="332"/>
      <c r="SAH514" s="332"/>
      <c r="SAI514" s="332"/>
      <c r="SAJ514" s="332"/>
      <c r="SAK514" s="332"/>
      <c r="SAL514" s="332"/>
      <c r="SAM514" s="332"/>
      <c r="SAN514" s="332"/>
      <c r="SAO514" s="332"/>
      <c r="SAP514" s="332"/>
      <c r="SAQ514" s="332"/>
      <c r="SAR514" s="332"/>
      <c r="SAS514" s="332"/>
      <c r="SAT514" s="332"/>
      <c r="SAU514" s="332"/>
      <c r="SAV514" s="332"/>
      <c r="SAW514" s="332"/>
      <c r="SAX514" s="332"/>
      <c r="SAY514" s="332"/>
      <c r="SAZ514" s="332"/>
      <c r="SBA514" s="332"/>
      <c r="SBB514" s="332"/>
      <c r="SBC514" s="332"/>
      <c r="SBD514" s="332"/>
      <c r="SBE514" s="332"/>
      <c r="SBF514" s="332"/>
      <c r="SBG514" s="332"/>
      <c r="SBH514" s="332"/>
      <c r="SBI514" s="332"/>
      <c r="SBJ514" s="332"/>
      <c r="SBK514" s="332"/>
      <c r="SBL514" s="332"/>
      <c r="SBM514" s="332"/>
      <c r="SBN514" s="332"/>
      <c r="SBO514" s="332"/>
      <c r="SBP514" s="332"/>
      <c r="SBQ514" s="332"/>
      <c r="SBR514" s="332"/>
      <c r="SBS514" s="332"/>
      <c r="SBT514" s="332"/>
      <c r="SBU514" s="332"/>
      <c r="SBV514" s="332"/>
      <c r="SBW514" s="332"/>
      <c r="SBX514" s="332"/>
      <c r="SBY514" s="332"/>
      <c r="SBZ514" s="332"/>
      <c r="SCA514" s="332"/>
      <c r="SCB514" s="332"/>
      <c r="SCC514" s="332"/>
      <c r="SCD514" s="332"/>
      <c r="SCE514" s="332"/>
      <c r="SCF514" s="332"/>
      <c r="SCG514" s="332"/>
      <c r="SCH514" s="332"/>
      <c r="SCI514" s="332"/>
      <c r="SCJ514" s="332"/>
      <c r="SCK514" s="332"/>
      <c r="SCL514" s="332"/>
      <c r="SCM514" s="332"/>
      <c r="SCN514" s="332"/>
      <c r="SCO514" s="332"/>
      <c r="SCP514" s="332"/>
      <c r="SCQ514" s="332"/>
      <c r="SCR514" s="332"/>
      <c r="SCS514" s="332"/>
      <c r="SCT514" s="332"/>
      <c r="SCU514" s="332"/>
      <c r="SCV514" s="332"/>
      <c r="SCW514" s="332"/>
      <c r="SCX514" s="332"/>
      <c r="SCY514" s="332"/>
      <c r="SCZ514" s="332"/>
      <c r="SDA514" s="332"/>
      <c r="SDB514" s="332"/>
      <c r="SDC514" s="332"/>
      <c r="SDD514" s="332"/>
      <c r="SDE514" s="332"/>
      <c r="SDF514" s="332"/>
      <c r="SDG514" s="332"/>
      <c r="SDH514" s="332"/>
      <c r="SDI514" s="332"/>
      <c r="SDJ514" s="332"/>
      <c r="SDK514" s="332"/>
      <c r="SDL514" s="332"/>
      <c r="SDM514" s="332"/>
      <c r="SDN514" s="332"/>
      <c r="SDO514" s="332"/>
      <c r="SDP514" s="332"/>
      <c r="SDQ514" s="332"/>
      <c r="SDR514" s="332"/>
      <c r="SDS514" s="332"/>
      <c r="SDT514" s="332"/>
      <c r="SDU514" s="332"/>
      <c r="SDV514" s="332"/>
      <c r="SDW514" s="332"/>
      <c r="SDX514" s="332"/>
      <c r="SDY514" s="332"/>
      <c r="SDZ514" s="332"/>
      <c r="SEA514" s="332"/>
      <c r="SEB514" s="332"/>
      <c r="SEC514" s="332"/>
      <c r="SED514" s="332"/>
      <c r="SEE514" s="332"/>
      <c r="SEF514" s="332"/>
      <c r="SEG514" s="332"/>
      <c r="SEH514" s="332"/>
      <c r="SEI514" s="332"/>
      <c r="SEJ514" s="332"/>
      <c r="SEK514" s="332"/>
      <c r="SEL514" s="332"/>
      <c r="SEM514" s="332"/>
      <c r="SEN514" s="332"/>
      <c r="SEO514" s="332"/>
      <c r="SEP514" s="332"/>
      <c r="SEQ514" s="332"/>
      <c r="SER514" s="332"/>
      <c r="SES514" s="332"/>
      <c r="SET514" s="332"/>
      <c r="SEU514" s="332"/>
      <c r="SEV514" s="332"/>
      <c r="SEW514" s="332"/>
      <c r="SEX514" s="332"/>
      <c r="SEY514" s="332"/>
      <c r="SEZ514" s="332"/>
      <c r="SFA514" s="332"/>
      <c r="SFB514" s="332"/>
      <c r="SFC514" s="332"/>
      <c r="SFD514" s="332"/>
      <c r="SFE514" s="332"/>
      <c r="SFF514" s="332"/>
      <c r="SFG514" s="332"/>
      <c r="SFH514" s="332"/>
      <c r="SFI514" s="332"/>
      <c r="SFJ514" s="332"/>
      <c r="SFK514" s="332"/>
      <c r="SFL514" s="332"/>
      <c r="SFM514" s="332"/>
      <c r="SFN514" s="332"/>
      <c r="SFO514" s="332"/>
      <c r="SFP514" s="332"/>
      <c r="SFQ514" s="332"/>
      <c r="SFR514" s="332"/>
      <c r="SFS514" s="332"/>
      <c r="SFT514" s="332"/>
      <c r="SFU514" s="332"/>
      <c r="SFV514" s="332"/>
      <c r="SFW514" s="332"/>
      <c r="SFX514" s="332"/>
      <c r="SFY514" s="332"/>
      <c r="SFZ514" s="332"/>
      <c r="SGA514" s="332"/>
      <c r="SGB514" s="332"/>
      <c r="SGC514" s="332"/>
      <c r="SGD514" s="332"/>
      <c r="SGE514" s="332"/>
      <c r="SGF514" s="332"/>
      <c r="SGG514" s="332"/>
      <c r="SGH514" s="332"/>
      <c r="SGI514" s="332"/>
      <c r="SGJ514" s="332"/>
      <c r="SGK514" s="332"/>
      <c r="SGL514" s="332"/>
      <c r="SGM514" s="332"/>
      <c r="SGN514" s="332"/>
      <c r="SGO514" s="332"/>
      <c r="SGP514" s="332"/>
      <c r="SGQ514" s="332"/>
      <c r="SGR514" s="332"/>
      <c r="SGS514" s="332"/>
      <c r="SGT514" s="332"/>
      <c r="SGU514" s="332"/>
      <c r="SGV514" s="332"/>
      <c r="SGW514" s="332"/>
      <c r="SGX514" s="332"/>
      <c r="SGY514" s="332"/>
      <c r="SGZ514" s="332"/>
      <c r="SHA514" s="332"/>
      <c r="SHB514" s="332"/>
      <c r="SHC514" s="332"/>
      <c r="SHD514" s="332"/>
      <c r="SHE514" s="332"/>
      <c r="SHF514" s="332"/>
      <c r="SHG514" s="332"/>
      <c r="SHH514" s="332"/>
      <c r="SHI514" s="332"/>
      <c r="SHJ514" s="332"/>
      <c r="SHK514" s="332"/>
      <c r="SHL514" s="332"/>
      <c r="SHM514" s="332"/>
      <c r="SHN514" s="332"/>
      <c r="SHO514" s="332"/>
      <c r="SHP514" s="332"/>
      <c r="SHQ514" s="332"/>
      <c r="SHR514" s="332"/>
      <c r="SHS514" s="332"/>
      <c r="SHT514" s="332"/>
      <c r="SHU514" s="332"/>
      <c r="SHV514" s="332"/>
      <c r="SHW514" s="332"/>
      <c r="SHX514" s="332"/>
      <c r="SHY514" s="332"/>
      <c r="SHZ514" s="332"/>
      <c r="SIA514" s="332"/>
      <c r="SIB514" s="332"/>
      <c r="SIC514" s="332"/>
      <c r="SID514" s="332"/>
      <c r="SIE514" s="332"/>
      <c r="SIF514" s="332"/>
      <c r="SIG514" s="332"/>
      <c r="SIH514" s="332"/>
      <c r="SII514" s="332"/>
      <c r="SIJ514" s="332"/>
      <c r="SIK514" s="332"/>
      <c r="SIL514" s="332"/>
      <c r="SIM514" s="332"/>
      <c r="SIN514" s="332"/>
      <c r="SIO514" s="332"/>
      <c r="SIP514" s="332"/>
      <c r="SIQ514" s="332"/>
      <c r="SIR514" s="332"/>
      <c r="SIS514" s="332"/>
      <c r="SIT514" s="332"/>
      <c r="SIU514" s="332"/>
      <c r="SIV514" s="332"/>
      <c r="SIW514" s="332"/>
      <c r="SIX514" s="332"/>
      <c r="SIY514" s="332"/>
      <c r="SIZ514" s="332"/>
      <c r="SJA514" s="332"/>
      <c r="SJB514" s="332"/>
      <c r="SJC514" s="332"/>
      <c r="SJD514" s="332"/>
      <c r="SJE514" s="332"/>
      <c r="SJF514" s="332"/>
      <c r="SJG514" s="332"/>
      <c r="SJH514" s="332"/>
      <c r="SJI514" s="332"/>
      <c r="SJJ514" s="332"/>
      <c r="SJK514" s="332"/>
      <c r="SJL514" s="332"/>
      <c r="SJM514" s="332"/>
      <c r="SJN514" s="332"/>
      <c r="SJO514" s="332"/>
      <c r="SJP514" s="332"/>
      <c r="SJQ514" s="332"/>
      <c r="SJR514" s="332"/>
      <c r="SJS514" s="332"/>
      <c r="SJT514" s="332"/>
      <c r="SJU514" s="332"/>
      <c r="SJV514" s="332"/>
      <c r="SJW514" s="332"/>
      <c r="SJX514" s="332"/>
      <c r="SJY514" s="332"/>
      <c r="SJZ514" s="332"/>
      <c r="SKA514" s="332"/>
      <c r="SKB514" s="332"/>
      <c r="SKC514" s="332"/>
      <c r="SKD514" s="332"/>
      <c r="SKE514" s="332"/>
      <c r="SKF514" s="332"/>
      <c r="SKG514" s="332"/>
      <c r="SKH514" s="332"/>
      <c r="SKI514" s="332"/>
      <c r="SKJ514" s="332"/>
      <c r="SKK514" s="332"/>
      <c r="SKL514" s="332"/>
      <c r="SKM514" s="332"/>
      <c r="SKN514" s="332"/>
      <c r="SKO514" s="332"/>
      <c r="SKP514" s="332"/>
      <c r="SKQ514" s="332"/>
      <c r="SKR514" s="332"/>
      <c r="SKS514" s="332"/>
      <c r="SKT514" s="332"/>
      <c r="SKU514" s="332"/>
      <c r="SKV514" s="332"/>
      <c r="SKW514" s="332"/>
      <c r="SKX514" s="332"/>
      <c r="SKY514" s="332"/>
      <c r="SKZ514" s="332"/>
      <c r="SLA514" s="332"/>
      <c r="SLB514" s="332"/>
      <c r="SLC514" s="332"/>
      <c r="SLD514" s="332"/>
      <c r="SLE514" s="332"/>
      <c r="SLF514" s="332"/>
      <c r="SLG514" s="332"/>
      <c r="SLH514" s="332"/>
      <c r="SLI514" s="332"/>
      <c r="SLJ514" s="332"/>
      <c r="SLK514" s="332"/>
      <c r="SLL514" s="332"/>
      <c r="SLM514" s="332"/>
      <c r="SLN514" s="332"/>
      <c r="SLO514" s="332"/>
      <c r="SLP514" s="332"/>
      <c r="SLQ514" s="332"/>
      <c r="SLR514" s="332"/>
      <c r="SLS514" s="332"/>
      <c r="SLT514" s="332"/>
      <c r="SLU514" s="332"/>
      <c r="SLV514" s="332"/>
      <c r="SLW514" s="332"/>
      <c r="SLX514" s="332"/>
      <c r="SLY514" s="332"/>
      <c r="SLZ514" s="332"/>
      <c r="SMA514" s="332"/>
      <c r="SMB514" s="332"/>
      <c r="SMC514" s="332"/>
      <c r="SMD514" s="332"/>
      <c r="SME514" s="332"/>
      <c r="SMF514" s="332"/>
      <c r="SMG514" s="332"/>
      <c r="SMH514" s="332"/>
      <c r="SMI514" s="332"/>
      <c r="SMJ514" s="332"/>
      <c r="SMK514" s="332"/>
      <c r="SML514" s="332"/>
      <c r="SMM514" s="332"/>
      <c r="SMN514" s="332"/>
      <c r="SMO514" s="332"/>
      <c r="SMP514" s="332"/>
      <c r="SMQ514" s="332"/>
      <c r="SMR514" s="332"/>
      <c r="SMS514" s="332"/>
      <c r="SMT514" s="332"/>
      <c r="SMU514" s="332"/>
      <c r="SMV514" s="332"/>
      <c r="SMW514" s="332"/>
      <c r="SMX514" s="332"/>
      <c r="SMY514" s="332"/>
      <c r="SMZ514" s="332"/>
      <c r="SNA514" s="332"/>
      <c r="SNB514" s="332"/>
      <c r="SNC514" s="332"/>
      <c r="SND514" s="332"/>
      <c r="SNE514" s="332"/>
      <c r="SNF514" s="332"/>
      <c r="SNG514" s="332"/>
      <c r="SNH514" s="332"/>
      <c r="SNI514" s="332"/>
      <c r="SNJ514" s="332"/>
      <c r="SNK514" s="332"/>
      <c r="SNL514" s="332"/>
      <c r="SNM514" s="332"/>
      <c r="SNN514" s="332"/>
      <c r="SNO514" s="332"/>
      <c r="SNP514" s="332"/>
      <c r="SNQ514" s="332"/>
      <c r="SNR514" s="332"/>
      <c r="SNS514" s="332"/>
      <c r="SNT514" s="332"/>
      <c r="SNU514" s="332"/>
      <c r="SNV514" s="332"/>
      <c r="SNW514" s="332"/>
      <c r="SNX514" s="332"/>
      <c r="SNY514" s="332"/>
      <c r="SNZ514" s="332"/>
      <c r="SOA514" s="332"/>
      <c r="SOB514" s="332"/>
      <c r="SOC514" s="332"/>
      <c r="SOD514" s="332"/>
      <c r="SOE514" s="332"/>
      <c r="SOF514" s="332"/>
      <c r="SOG514" s="332"/>
      <c r="SOH514" s="332"/>
      <c r="SOI514" s="332"/>
      <c r="SOJ514" s="332"/>
      <c r="SOK514" s="332"/>
      <c r="SOL514" s="332"/>
      <c r="SOM514" s="332"/>
      <c r="SON514" s="332"/>
      <c r="SOO514" s="332"/>
      <c r="SOP514" s="332"/>
      <c r="SOQ514" s="332"/>
      <c r="SOR514" s="332"/>
      <c r="SOS514" s="332"/>
      <c r="SOT514" s="332"/>
      <c r="SOU514" s="332"/>
      <c r="SOV514" s="332"/>
      <c r="SOW514" s="332"/>
      <c r="SOX514" s="332"/>
      <c r="SOY514" s="332"/>
      <c r="SOZ514" s="332"/>
      <c r="SPA514" s="332"/>
      <c r="SPB514" s="332"/>
      <c r="SPC514" s="332"/>
      <c r="SPD514" s="332"/>
      <c r="SPE514" s="332"/>
      <c r="SPF514" s="332"/>
      <c r="SPG514" s="332"/>
      <c r="SPH514" s="332"/>
      <c r="SPI514" s="332"/>
      <c r="SPJ514" s="332"/>
      <c r="SPK514" s="332"/>
      <c r="SPL514" s="332"/>
      <c r="SPM514" s="332"/>
      <c r="SPN514" s="332"/>
      <c r="SPO514" s="332"/>
      <c r="SPP514" s="332"/>
      <c r="SPQ514" s="332"/>
      <c r="SPR514" s="332"/>
      <c r="SPS514" s="332"/>
      <c r="SPT514" s="332"/>
      <c r="SPU514" s="332"/>
      <c r="SPV514" s="332"/>
      <c r="SPW514" s="332"/>
      <c r="SPX514" s="332"/>
      <c r="SPY514" s="332"/>
      <c r="SPZ514" s="332"/>
      <c r="SQA514" s="332"/>
      <c r="SQB514" s="332"/>
      <c r="SQC514" s="332"/>
      <c r="SQD514" s="332"/>
      <c r="SQE514" s="332"/>
      <c r="SQF514" s="332"/>
      <c r="SQG514" s="332"/>
      <c r="SQH514" s="332"/>
      <c r="SQI514" s="332"/>
      <c r="SQJ514" s="332"/>
      <c r="SQK514" s="332"/>
      <c r="SQL514" s="332"/>
      <c r="SQM514" s="332"/>
      <c r="SQN514" s="332"/>
      <c r="SQO514" s="332"/>
      <c r="SQP514" s="332"/>
      <c r="SQQ514" s="332"/>
      <c r="SQR514" s="332"/>
      <c r="SQS514" s="332"/>
      <c r="SQT514" s="332"/>
      <c r="SQU514" s="332"/>
      <c r="SQV514" s="332"/>
      <c r="SQW514" s="332"/>
      <c r="SQX514" s="332"/>
      <c r="SQY514" s="332"/>
      <c r="SQZ514" s="332"/>
      <c r="SRA514" s="332"/>
      <c r="SRB514" s="332"/>
      <c r="SRC514" s="332"/>
      <c r="SRD514" s="332"/>
      <c r="SRE514" s="332"/>
      <c r="SRF514" s="332"/>
      <c r="SRG514" s="332"/>
      <c r="SRH514" s="332"/>
      <c r="SRI514" s="332"/>
      <c r="SRJ514" s="332"/>
      <c r="SRK514" s="332"/>
      <c r="SRL514" s="332"/>
      <c r="SRM514" s="332"/>
      <c r="SRN514" s="332"/>
      <c r="SRO514" s="332"/>
      <c r="SRP514" s="332"/>
      <c r="SRQ514" s="332"/>
      <c r="SRR514" s="332"/>
      <c r="SRS514" s="332"/>
      <c r="SRT514" s="332"/>
      <c r="SRU514" s="332"/>
      <c r="SRV514" s="332"/>
      <c r="SRW514" s="332"/>
      <c r="SRX514" s="332"/>
      <c r="SRY514" s="332"/>
      <c r="SRZ514" s="332"/>
      <c r="SSA514" s="332"/>
      <c r="SSB514" s="332"/>
      <c r="SSC514" s="332"/>
      <c r="SSD514" s="332"/>
      <c r="SSE514" s="332"/>
      <c r="SSF514" s="332"/>
      <c r="SSG514" s="332"/>
      <c r="SSH514" s="332"/>
      <c r="SSI514" s="332"/>
      <c r="SSJ514" s="332"/>
      <c r="SSK514" s="332"/>
      <c r="SSL514" s="332"/>
      <c r="SSM514" s="332"/>
      <c r="SSN514" s="332"/>
      <c r="SSO514" s="332"/>
      <c r="SSP514" s="332"/>
      <c r="SSQ514" s="332"/>
      <c r="SSR514" s="332"/>
      <c r="SSS514" s="332"/>
      <c r="SST514" s="332"/>
      <c r="SSU514" s="332"/>
      <c r="SSV514" s="332"/>
      <c r="SSW514" s="332"/>
      <c r="SSX514" s="332"/>
      <c r="SSY514" s="332"/>
      <c r="SSZ514" s="332"/>
      <c r="STA514" s="332"/>
      <c r="STB514" s="332"/>
      <c r="STC514" s="332"/>
      <c r="STD514" s="332"/>
      <c r="STE514" s="332"/>
      <c r="STF514" s="332"/>
      <c r="STG514" s="332"/>
      <c r="STH514" s="332"/>
      <c r="STI514" s="332"/>
      <c r="STJ514" s="332"/>
      <c r="STK514" s="332"/>
      <c r="STL514" s="332"/>
      <c r="STM514" s="332"/>
      <c r="STN514" s="332"/>
      <c r="STO514" s="332"/>
      <c r="STP514" s="332"/>
      <c r="STQ514" s="332"/>
      <c r="STR514" s="332"/>
      <c r="STS514" s="332"/>
      <c r="STT514" s="332"/>
      <c r="STU514" s="332"/>
      <c r="STV514" s="332"/>
      <c r="STW514" s="332"/>
      <c r="STX514" s="332"/>
      <c r="STY514" s="332"/>
      <c r="STZ514" s="332"/>
      <c r="SUA514" s="332"/>
      <c r="SUB514" s="332"/>
      <c r="SUC514" s="332"/>
      <c r="SUD514" s="332"/>
      <c r="SUE514" s="332"/>
      <c r="SUF514" s="332"/>
      <c r="SUG514" s="332"/>
      <c r="SUH514" s="332"/>
      <c r="SUI514" s="332"/>
      <c r="SUJ514" s="332"/>
      <c r="SUK514" s="332"/>
      <c r="SUL514" s="332"/>
      <c r="SUM514" s="332"/>
      <c r="SUN514" s="332"/>
      <c r="SUO514" s="332"/>
      <c r="SUP514" s="332"/>
      <c r="SUQ514" s="332"/>
      <c r="SUR514" s="332"/>
      <c r="SUS514" s="332"/>
      <c r="SUT514" s="332"/>
      <c r="SUU514" s="332"/>
      <c r="SUV514" s="332"/>
      <c r="SUW514" s="332"/>
      <c r="SUX514" s="332"/>
      <c r="SUY514" s="332"/>
      <c r="SUZ514" s="332"/>
      <c r="SVA514" s="332"/>
      <c r="SVB514" s="332"/>
      <c r="SVC514" s="332"/>
      <c r="SVD514" s="332"/>
      <c r="SVE514" s="332"/>
      <c r="SVF514" s="332"/>
      <c r="SVG514" s="332"/>
      <c r="SVH514" s="332"/>
      <c r="SVI514" s="332"/>
      <c r="SVJ514" s="332"/>
      <c r="SVK514" s="332"/>
      <c r="SVL514" s="332"/>
      <c r="SVM514" s="332"/>
      <c r="SVN514" s="332"/>
      <c r="SVO514" s="332"/>
      <c r="SVP514" s="332"/>
      <c r="SVQ514" s="332"/>
      <c r="SVR514" s="332"/>
      <c r="SVS514" s="332"/>
      <c r="SVT514" s="332"/>
      <c r="SVU514" s="332"/>
      <c r="SVV514" s="332"/>
      <c r="SVW514" s="332"/>
      <c r="SVX514" s="332"/>
      <c r="SVY514" s="332"/>
      <c r="SVZ514" s="332"/>
      <c r="SWA514" s="332"/>
      <c r="SWB514" s="332"/>
      <c r="SWC514" s="332"/>
      <c r="SWD514" s="332"/>
      <c r="SWE514" s="332"/>
      <c r="SWF514" s="332"/>
      <c r="SWG514" s="332"/>
      <c r="SWH514" s="332"/>
      <c r="SWI514" s="332"/>
      <c r="SWJ514" s="332"/>
      <c r="SWK514" s="332"/>
      <c r="SWL514" s="332"/>
      <c r="SWM514" s="332"/>
      <c r="SWN514" s="332"/>
      <c r="SWO514" s="332"/>
      <c r="SWP514" s="332"/>
      <c r="SWQ514" s="332"/>
      <c r="SWR514" s="332"/>
      <c r="SWS514" s="332"/>
      <c r="SWT514" s="332"/>
      <c r="SWU514" s="332"/>
      <c r="SWV514" s="332"/>
      <c r="SWW514" s="332"/>
      <c r="SWX514" s="332"/>
      <c r="SWY514" s="332"/>
      <c r="SWZ514" s="332"/>
      <c r="SXA514" s="332"/>
      <c r="SXB514" s="332"/>
      <c r="SXC514" s="332"/>
      <c r="SXD514" s="332"/>
      <c r="SXE514" s="332"/>
      <c r="SXF514" s="332"/>
      <c r="SXG514" s="332"/>
      <c r="SXH514" s="332"/>
      <c r="SXI514" s="332"/>
      <c r="SXJ514" s="332"/>
      <c r="SXK514" s="332"/>
      <c r="SXL514" s="332"/>
      <c r="SXM514" s="332"/>
      <c r="SXN514" s="332"/>
      <c r="SXO514" s="332"/>
      <c r="SXP514" s="332"/>
      <c r="SXQ514" s="332"/>
      <c r="SXR514" s="332"/>
      <c r="SXS514" s="332"/>
      <c r="SXT514" s="332"/>
      <c r="SXU514" s="332"/>
      <c r="SXV514" s="332"/>
      <c r="SXW514" s="332"/>
      <c r="SXX514" s="332"/>
      <c r="SXY514" s="332"/>
      <c r="SXZ514" s="332"/>
      <c r="SYA514" s="332"/>
      <c r="SYB514" s="332"/>
      <c r="SYC514" s="332"/>
      <c r="SYD514" s="332"/>
      <c r="SYE514" s="332"/>
      <c r="SYF514" s="332"/>
      <c r="SYG514" s="332"/>
      <c r="SYH514" s="332"/>
      <c r="SYI514" s="332"/>
      <c r="SYJ514" s="332"/>
      <c r="SYK514" s="332"/>
      <c r="SYL514" s="332"/>
      <c r="SYM514" s="332"/>
      <c r="SYN514" s="332"/>
      <c r="SYO514" s="332"/>
      <c r="SYP514" s="332"/>
      <c r="SYQ514" s="332"/>
      <c r="SYR514" s="332"/>
      <c r="SYS514" s="332"/>
      <c r="SYT514" s="332"/>
      <c r="SYU514" s="332"/>
      <c r="SYV514" s="332"/>
      <c r="SYW514" s="332"/>
      <c r="SYX514" s="332"/>
      <c r="SYY514" s="332"/>
      <c r="SYZ514" s="332"/>
      <c r="SZA514" s="332"/>
      <c r="SZB514" s="332"/>
      <c r="SZC514" s="332"/>
      <c r="SZD514" s="332"/>
      <c r="SZE514" s="332"/>
      <c r="SZF514" s="332"/>
      <c r="SZG514" s="332"/>
      <c r="SZH514" s="332"/>
      <c r="SZI514" s="332"/>
      <c r="SZJ514" s="332"/>
      <c r="SZK514" s="332"/>
      <c r="SZL514" s="332"/>
      <c r="SZM514" s="332"/>
      <c r="SZN514" s="332"/>
      <c r="SZO514" s="332"/>
      <c r="SZP514" s="332"/>
      <c r="SZQ514" s="332"/>
      <c r="SZR514" s="332"/>
      <c r="SZS514" s="332"/>
      <c r="SZT514" s="332"/>
      <c r="SZU514" s="332"/>
      <c r="SZV514" s="332"/>
      <c r="SZW514" s="332"/>
      <c r="SZX514" s="332"/>
      <c r="SZY514" s="332"/>
      <c r="SZZ514" s="332"/>
      <c r="TAA514" s="332"/>
      <c r="TAB514" s="332"/>
      <c r="TAC514" s="332"/>
      <c r="TAD514" s="332"/>
      <c r="TAE514" s="332"/>
      <c r="TAF514" s="332"/>
      <c r="TAG514" s="332"/>
      <c r="TAH514" s="332"/>
      <c r="TAI514" s="332"/>
      <c r="TAJ514" s="332"/>
      <c r="TAK514" s="332"/>
      <c r="TAL514" s="332"/>
      <c r="TAM514" s="332"/>
      <c r="TAN514" s="332"/>
      <c r="TAO514" s="332"/>
      <c r="TAP514" s="332"/>
      <c r="TAQ514" s="332"/>
      <c r="TAR514" s="332"/>
      <c r="TAS514" s="332"/>
      <c r="TAT514" s="332"/>
      <c r="TAU514" s="332"/>
      <c r="TAV514" s="332"/>
      <c r="TAW514" s="332"/>
      <c r="TAX514" s="332"/>
      <c r="TAY514" s="332"/>
      <c r="TAZ514" s="332"/>
      <c r="TBA514" s="332"/>
      <c r="TBB514" s="332"/>
      <c r="TBC514" s="332"/>
      <c r="TBD514" s="332"/>
      <c r="TBE514" s="332"/>
      <c r="TBF514" s="332"/>
      <c r="TBG514" s="332"/>
      <c r="TBH514" s="332"/>
      <c r="TBI514" s="332"/>
      <c r="TBJ514" s="332"/>
      <c r="TBK514" s="332"/>
      <c r="TBL514" s="332"/>
      <c r="TBM514" s="332"/>
      <c r="TBN514" s="332"/>
      <c r="TBO514" s="332"/>
      <c r="TBP514" s="332"/>
      <c r="TBQ514" s="332"/>
      <c r="TBR514" s="332"/>
      <c r="TBS514" s="332"/>
      <c r="TBT514" s="332"/>
      <c r="TBU514" s="332"/>
      <c r="TBV514" s="332"/>
      <c r="TBW514" s="332"/>
      <c r="TBX514" s="332"/>
      <c r="TBY514" s="332"/>
      <c r="TBZ514" s="332"/>
      <c r="TCA514" s="332"/>
      <c r="TCB514" s="332"/>
      <c r="TCC514" s="332"/>
      <c r="TCD514" s="332"/>
      <c r="TCE514" s="332"/>
      <c r="TCF514" s="332"/>
      <c r="TCG514" s="332"/>
      <c r="TCH514" s="332"/>
      <c r="TCI514" s="332"/>
      <c r="TCJ514" s="332"/>
      <c r="TCK514" s="332"/>
      <c r="TCL514" s="332"/>
      <c r="TCM514" s="332"/>
      <c r="TCN514" s="332"/>
      <c r="TCO514" s="332"/>
      <c r="TCP514" s="332"/>
      <c r="TCQ514" s="332"/>
      <c r="TCR514" s="332"/>
      <c r="TCS514" s="332"/>
      <c r="TCT514" s="332"/>
      <c r="TCU514" s="332"/>
      <c r="TCV514" s="332"/>
      <c r="TCW514" s="332"/>
      <c r="TCX514" s="332"/>
      <c r="TCY514" s="332"/>
      <c r="TCZ514" s="332"/>
      <c r="TDA514" s="332"/>
      <c r="TDB514" s="332"/>
      <c r="TDC514" s="332"/>
      <c r="TDD514" s="332"/>
      <c r="TDE514" s="332"/>
      <c r="TDF514" s="332"/>
      <c r="TDG514" s="332"/>
      <c r="TDH514" s="332"/>
      <c r="TDI514" s="332"/>
      <c r="TDJ514" s="332"/>
      <c r="TDK514" s="332"/>
      <c r="TDL514" s="332"/>
      <c r="TDM514" s="332"/>
      <c r="TDN514" s="332"/>
      <c r="TDO514" s="332"/>
      <c r="TDP514" s="332"/>
      <c r="TDQ514" s="332"/>
      <c r="TDR514" s="332"/>
      <c r="TDS514" s="332"/>
      <c r="TDT514" s="332"/>
      <c r="TDU514" s="332"/>
      <c r="TDV514" s="332"/>
      <c r="TDW514" s="332"/>
      <c r="TDX514" s="332"/>
      <c r="TDY514" s="332"/>
      <c r="TDZ514" s="332"/>
      <c r="TEA514" s="332"/>
      <c r="TEB514" s="332"/>
      <c r="TEC514" s="332"/>
      <c r="TED514" s="332"/>
      <c r="TEE514" s="332"/>
      <c r="TEF514" s="332"/>
      <c r="TEG514" s="332"/>
      <c r="TEH514" s="332"/>
      <c r="TEI514" s="332"/>
      <c r="TEJ514" s="332"/>
      <c r="TEK514" s="332"/>
      <c r="TEL514" s="332"/>
      <c r="TEM514" s="332"/>
      <c r="TEN514" s="332"/>
      <c r="TEO514" s="332"/>
      <c r="TEP514" s="332"/>
      <c r="TEQ514" s="332"/>
      <c r="TER514" s="332"/>
      <c r="TES514" s="332"/>
      <c r="TET514" s="332"/>
      <c r="TEU514" s="332"/>
      <c r="TEV514" s="332"/>
      <c r="TEW514" s="332"/>
      <c r="TEX514" s="332"/>
      <c r="TEY514" s="332"/>
      <c r="TEZ514" s="332"/>
      <c r="TFA514" s="332"/>
      <c r="TFB514" s="332"/>
      <c r="TFC514" s="332"/>
      <c r="TFD514" s="332"/>
      <c r="TFE514" s="332"/>
      <c r="TFF514" s="332"/>
      <c r="TFG514" s="332"/>
      <c r="TFH514" s="332"/>
      <c r="TFI514" s="332"/>
      <c r="TFJ514" s="332"/>
      <c r="TFK514" s="332"/>
      <c r="TFL514" s="332"/>
      <c r="TFM514" s="332"/>
      <c r="TFN514" s="332"/>
      <c r="TFO514" s="332"/>
      <c r="TFP514" s="332"/>
      <c r="TFQ514" s="332"/>
      <c r="TFR514" s="332"/>
      <c r="TFS514" s="332"/>
      <c r="TFT514" s="332"/>
      <c r="TFU514" s="332"/>
      <c r="TFV514" s="332"/>
      <c r="TFW514" s="332"/>
      <c r="TFX514" s="332"/>
      <c r="TFY514" s="332"/>
      <c r="TFZ514" s="332"/>
      <c r="TGA514" s="332"/>
      <c r="TGB514" s="332"/>
      <c r="TGC514" s="332"/>
      <c r="TGD514" s="332"/>
      <c r="TGE514" s="332"/>
      <c r="TGF514" s="332"/>
      <c r="TGG514" s="332"/>
      <c r="TGH514" s="332"/>
      <c r="TGI514" s="332"/>
      <c r="TGJ514" s="332"/>
      <c r="TGK514" s="332"/>
      <c r="TGL514" s="332"/>
      <c r="TGM514" s="332"/>
      <c r="TGN514" s="332"/>
      <c r="TGO514" s="332"/>
      <c r="TGP514" s="332"/>
      <c r="TGQ514" s="332"/>
      <c r="TGR514" s="332"/>
      <c r="TGS514" s="332"/>
      <c r="TGT514" s="332"/>
      <c r="TGU514" s="332"/>
      <c r="TGV514" s="332"/>
      <c r="TGW514" s="332"/>
      <c r="TGX514" s="332"/>
      <c r="TGY514" s="332"/>
      <c r="TGZ514" s="332"/>
      <c r="THA514" s="332"/>
      <c r="THB514" s="332"/>
      <c r="THC514" s="332"/>
      <c r="THD514" s="332"/>
      <c r="THE514" s="332"/>
      <c r="THF514" s="332"/>
      <c r="THG514" s="332"/>
      <c r="THH514" s="332"/>
      <c r="THI514" s="332"/>
      <c r="THJ514" s="332"/>
      <c r="THK514" s="332"/>
      <c r="THL514" s="332"/>
      <c r="THM514" s="332"/>
      <c r="THN514" s="332"/>
      <c r="THO514" s="332"/>
      <c r="THP514" s="332"/>
      <c r="THQ514" s="332"/>
      <c r="THR514" s="332"/>
      <c r="THS514" s="332"/>
      <c r="THT514" s="332"/>
      <c r="THU514" s="332"/>
      <c r="THV514" s="332"/>
      <c r="THW514" s="332"/>
      <c r="THX514" s="332"/>
      <c r="THY514" s="332"/>
      <c r="THZ514" s="332"/>
      <c r="TIA514" s="332"/>
      <c r="TIB514" s="332"/>
      <c r="TIC514" s="332"/>
      <c r="TID514" s="332"/>
      <c r="TIE514" s="332"/>
      <c r="TIF514" s="332"/>
      <c r="TIG514" s="332"/>
      <c r="TIH514" s="332"/>
      <c r="TII514" s="332"/>
      <c r="TIJ514" s="332"/>
      <c r="TIK514" s="332"/>
      <c r="TIL514" s="332"/>
      <c r="TIM514" s="332"/>
      <c r="TIN514" s="332"/>
      <c r="TIO514" s="332"/>
      <c r="TIP514" s="332"/>
      <c r="TIQ514" s="332"/>
      <c r="TIR514" s="332"/>
      <c r="TIS514" s="332"/>
      <c r="TIT514" s="332"/>
      <c r="TIU514" s="332"/>
      <c r="TIV514" s="332"/>
      <c r="TIW514" s="332"/>
      <c r="TIX514" s="332"/>
      <c r="TIY514" s="332"/>
      <c r="TIZ514" s="332"/>
      <c r="TJA514" s="332"/>
      <c r="TJB514" s="332"/>
      <c r="TJC514" s="332"/>
      <c r="TJD514" s="332"/>
      <c r="TJE514" s="332"/>
      <c r="TJF514" s="332"/>
      <c r="TJG514" s="332"/>
      <c r="TJH514" s="332"/>
      <c r="TJI514" s="332"/>
      <c r="TJJ514" s="332"/>
      <c r="TJK514" s="332"/>
      <c r="TJL514" s="332"/>
      <c r="TJM514" s="332"/>
      <c r="TJN514" s="332"/>
      <c r="TJO514" s="332"/>
      <c r="TJP514" s="332"/>
      <c r="TJQ514" s="332"/>
      <c r="TJR514" s="332"/>
      <c r="TJS514" s="332"/>
      <c r="TJT514" s="332"/>
      <c r="TJU514" s="332"/>
      <c r="TJV514" s="332"/>
      <c r="TJW514" s="332"/>
      <c r="TJX514" s="332"/>
      <c r="TJY514" s="332"/>
      <c r="TJZ514" s="332"/>
      <c r="TKA514" s="332"/>
      <c r="TKB514" s="332"/>
      <c r="TKC514" s="332"/>
      <c r="TKD514" s="332"/>
      <c r="TKE514" s="332"/>
      <c r="TKF514" s="332"/>
      <c r="TKG514" s="332"/>
      <c r="TKH514" s="332"/>
      <c r="TKI514" s="332"/>
      <c r="TKJ514" s="332"/>
      <c r="TKK514" s="332"/>
      <c r="TKL514" s="332"/>
      <c r="TKM514" s="332"/>
      <c r="TKN514" s="332"/>
      <c r="TKO514" s="332"/>
      <c r="TKP514" s="332"/>
      <c r="TKQ514" s="332"/>
      <c r="TKR514" s="332"/>
      <c r="TKS514" s="332"/>
      <c r="TKT514" s="332"/>
      <c r="TKU514" s="332"/>
      <c r="TKV514" s="332"/>
      <c r="TKW514" s="332"/>
      <c r="TKX514" s="332"/>
      <c r="TKY514" s="332"/>
      <c r="TKZ514" s="332"/>
      <c r="TLA514" s="332"/>
      <c r="TLB514" s="332"/>
      <c r="TLC514" s="332"/>
      <c r="TLD514" s="332"/>
      <c r="TLE514" s="332"/>
      <c r="TLF514" s="332"/>
      <c r="TLG514" s="332"/>
      <c r="TLH514" s="332"/>
      <c r="TLI514" s="332"/>
      <c r="TLJ514" s="332"/>
      <c r="TLK514" s="332"/>
      <c r="TLL514" s="332"/>
      <c r="TLM514" s="332"/>
      <c r="TLN514" s="332"/>
      <c r="TLO514" s="332"/>
      <c r="TLP514" s="332"/>
      <c r="TLQ514" s="332"/>
      <c r="TLR514" s="332"/>
      <c r="TLS514" s="332"/>
      <c r="TLT514" s="332"/>
      <c r="TLU514" s="332"/>
      <c r="TLV514" s="332"/>
      <c r="TLW514" s="332"/>
      <c r="TLX514" s="332"/>
      <c r="TLY514" s="332"/>
      <c r="TLZ514" s="332"/>
      <c r="TMA514" s="332"/>
      <c r="TMB514" s="332"/>
      <c r="TMC514" s="332"/>
      <c r="TMD514" s="332"/>
      <c r="TME514" s="332"/>
      <c r="TMF514" s="332"/>
      <c r="TMG514" s="332"/>
      <c r="TMH514" s="332"/>
      <c r="TMI514" s="332"/>
      <c r="TMJ514" s="332"/>
      <c r="TMK514" s="332"/>
      <c r="TML514" s="332"/>
      <c r="TMM514" s="332"/>
      <c r="TMN514" s="332"/>
      <c r="TMO514" s="332"/>
      <c r="TMP514" s="332"/>
      <c r="TMQ514" s="332"/>
      <c r="TMR514" s="332"/>
      <c r="TMS514" s="332"/>
      <c r="TMT514" s="332"/>
      <c r="TMU514" s="332"/>
      <c r="TMV514" s="332"/>
      <c r="TMW514" s="332"/>
      <c r="TMX514" s="332"/>
      <c r="TMY514" s="332"/>
      <c r="TMZ514" s="332"/>
      <c r="TNA514" s="332"/>
      <c r="TNB514" s="332"/>
      <c r="TNC514" s="332"/>
      <c r="TND514" s="332"/>
      <c r="TNE514" s="332"/>
      <c r="TNF514" s="332"/>
      <c r="TNG514" s="332"/>
      <c r="TNH514" s="332"/>
      <c r="TNI514" s="332"/>
      <c r="TNJ514" s="332"/>
      <c r="TNK514" s="332"/>
      <c r="TNL514" s="332"/>
      <c r="TNM514" s="332"/>
      <c r="TNN514" s="332"/>
      <c r="TNO514" s="332"/>
      <c r="TNP514" s="332"/>
      <c r="TNQ514" s="332"/>
      <c r="TNR514" s="332"/>
      <c r="TNS514" s="332"/>
      <c r="TNT514" s="332"/>
      <c r="TNU514" s="332"/>
      <c r="TNV514" s="332"/>
      <c r="TNW514" s="332"/>
      <c r="TNX514" s="332"/>
      <c r="TNY514" s="332"/>
      <c r="TNZ514" s="332"/>
      <c r="TOA514" s="332"/>
      <c r="TOB514" s="332"/>
      <c r="TOC514" s="332"/>
      <c r="TOD514" s="332"/>
      <c r="TOE514" s="332"/>
      <c r="TOF514" s="332"/>
      <c r="TOG514" s="332"/>
      <c r="TOH514" s="332"/>
      <c r="TOI514" s="332"/>
      <c r="TOJ514" s="332"/>
      <c r="TOK514" s="332"/>
      <c r="TOL514" s="332"/>
      <c r="TOM514" s="332"/>
      <c r="TON514" s="332"/>
      <c r="TOO514" s="332"/>
      <c r="TOP514" s="332"/>
      <c r="TOQ514" s="332"/>
      <c r="TOR514" s="332"/>
      <c r="TOS514" s="332"/>
      <c r="TOT514" s="332"/>
      <c r="TOU514" s="332"/>
      <c r="TOV514" s="332"/>
      <c r="TOW514" s="332"/>
      <c r="TOX514" s="332"/>
      <c r="TOY514" s="332"/>
      <c r="TOZ514" s="332"/>
      <c r="TPA514" s="332"/>
      <c r="TPB514" s="332"/>
      <c r="TPC514" s="332"/>
      <c r="TPD514" s="332"/>
      <c r="TPE514" s="332"/>
      <c r="TPF514" s="332"/>
      <c r="TPG514" s="332"/>
      <c r="TPH514" s="332"/>
      <c r="TPI514" s="332"/>
      <c r="TPJ514" s="332"/>
      <c r="TPK514" s="332"/>
      <c r="TPL514" s="332"/>
      <c r="TPM514" s="332"/>
      <c r="TPN514" s="332"/>
      <c r="TPO514" s="332"/>
      <c r="TPP514" s="332"/>
      <c r="TPQ514" s="332"/>
      <c r="TPR514" s="332"/>
      <c r="TPS514" s="332"/>
      <c r="TPT514" s="332"/>
      <c r="TPU514" s="332"/>
      <c r="TPV514" s="332"/>
      <c r="TPW514" s="332"/>
      <c r="TPX514" s="332"/>
      <c r="TPY514" s="332"/>
      <c r="TPZ514" s="332"/>
      <c r="TQA514" s="332"/>
      <c r="TQB514" s="332"/>
      <c r="TQC514" s="332"/>
      <c r="TQD514" s="332"/>
      <c r="TQE514" s="332"/>
      <c r="TQF514" s="332"/>
      <c r="TQG514" s="332"/>
      <c r="TQH514" s="332"/>
      <c r="TQI514" s="332"/>
      <c r="TQJ514" s="332"/>
      <c r="TQK514" s="332"/>
      <c r="TQL514" s="332"/>
      <c r="TQM514" s="332"/>
      <c r="TQN514" s="332"/>
      <c r="TQO514" s="332"/>
      <c r="TQP514" s="332"/>
      <c r="TQQ514" s="332"/>
      <c r="TQR514" s="332"/>
      <c r="TQS514" s="332"/>
      <c r="TQT514" s="332"/>
      <c r="TQU514" s="332"/>
      <c r="TQV514" s="332"/>
      <c r="TQW514" s="332"/>
      <c r="TQX514" s="332"/>
      <c r="TQY514" s="332"/>
      <c r="TQZ514" s="332"/>
      <c r="TRA514" s="332"/>
      <c r="TRB514" s="332"/>
      <c r="TRC514" s="332"/>
      <c r="TRD514" s="332"/>
      <c r="TRE514" s="332"/>
      <c r="TRF514" s="332"/>
      <c r="TRG514" s="332"/>
      <c r="TRH514" s="332"/>
      <c r="TRI514" s="332"/>
      <c r="TRJ514" s="332"/>
      <c r="TRK514" s="332"/>
      <c r="TRL514" s="332"/>
      <c r="TRM514" s="332"/>
      <c r="TRN514" s="332"/>
      <c r="TRO514" s="332"/>
      <c r="TRP514" s="332"/>
      <c r="TRQ514" s="332"/>
      <c r="TRR514" s="332"/>
      <c r="TRS514" s="332"/>
      <c r="TRT514" s="332"/>
      <c r="TRU514" s="332"/>
      <c r="TRV514" s="332"/>
      <c r="TRW514" s="332"/>
      <c r="TRX514" s="332"/>
      <c r="TRY514" s="332"/>
      <c r="TRZ514" s="332"/>
      <c r="TSA514" s="332"/>
      <c r="TSB514" s="332"/>
      <c r="TSC514" s="332"/>
      <c r="TSD514" s="332"/>
      <c r="TSE514" s="332"/>
      <c r="TSF514" s="332"/>
      <c r="TSG514" s="332"/>
      <c r="TSH514" s="332"/>
      <c r="TSI514" s="332"/>
      <c r="TSJ514" s="332"/>
      <c r="TSK514" s="332"/>
      <c r="TSL514" s="332"/>
      <c r="TSM514" s="332"/>
      <c r="TSN514" s="332"/>
      <c r="TSO514" s="332"/>
      <c r="TSP514" s="332"/>
      <c r="TSQ514" s="332"/>
      <c r="TSR514" s="332"/>
      <c r="TSS514" s="332"/>
      <c r="TST514" s="332"/>
      <c r="TSU514" s="332"/>
      <c r="TSV514" s="332"/>
      <c r="TSW514" s="332"/>
      <c r="TSX514" s="332"/>
      <c r="TSY514" s="332"/>
      <c r="TSZ514" s="332"/>
      <c r="TTA514" s="332"/>
      <c r="TTB514" s="332"/>
      <c r="TTC514" s="332"/>
      <c r="TTD514" s="332"/>
      <c r="TTE514" s="332"/>
      <c r="TTF514" s="332"/>
      <c r="TTG514" s="332"/>
      <c r="TTH514" s="332"/>
      <c r="TTI514" s="332"/>
      <c r="TTJ514" s="332"/>
      <c r="TTK514" s="332"/>
      <c r="TTL514" s="332"/>
      <c r="TTM514" s="332"/>
      <c r="TTN514" s="332"/>
      <c r="TTO514" s="332"/>
      <c r="TTP514" s="332"/>
      <c r="TTQ514" s="332"/>
      <c r="TTR514" s="332"/>
      <c r="TTS514" s="332"/>
      <c r="TTT514" s="332"/>
      <c r="TTU514" s="332"/>
      <c r="TTV514" s="332"/>
      <c r="TTW514" s="332"/>
      <c r="TTX514" s="332"/>
      <c r="TTY514" s="332"/>
      <c r="TTZ514" s="332"/>
      <c r="TUA514" s="332"/>
      <c r="TUB514" s="332"/>
      <c r="TUC514" s="332"/>
      <c r="TUD514" s="332"/>
      <c r="TUE514" s="332"/>
      <c r="TUF514" s="332"/>
      <c r="TUG514" s="332"/>
      <c r="TUH514" s="332"/>
      <c r="TUI514" s="332"/>
      <c r="TUJ514" s="332"/>
      <c r="TUK514" s="332"/>
      <c r="TUL514" s="332"/>
      <c r="TUM514" s="332"/>
      <c r="TUN514" s="332"/>
      <c r="TUO514" s="332"/>
      <c r="TUP514" s="332"/>
      <c r="TUQ514" s="332"/>
      <c r="TUR514" s="332"/>
      <c r="TUS514" s="332"/>
      <c r="TUT514" s="332"/>
      <c r="TUU514" s="332"/>
      <c r="TUV514" s="332"/>
      <c r="TUW514" s="332"/>
      <c r="TUX514" s="332"/>
      <c r="TUY514" s="332"/>
      <c r="TUZ514" s="332"/>
      <c r="TVA514" s="332"/>
      <c r="TVB514" s="332"/>
      <c r="TVC514" s="332"/>
      <c r="TVD514" s="332"/>
      <c r="TVE514" s="332"/>
      <c r="TVF514" s="332"/>
      <c r="TVG514" s="332"/>
      <c r="TVH514" s="332"/>
      <c r="TVI514" s="332"/>
      <c r="TVJ514" s="332"/>
      <c r="TVK514" s="332"/>
      <c r="TVL514" s="332"/>
      <c r="TVM514" s="332"/>
      <c r="TVN514" s="332"/>
      <c r="TVO514" s="332"/>
      <c r="TVP514" s="332"/>
      <c r="TVQ514" s="332"/>
      <c r="TVR514" s="332"/>
      <c r="TVS514" s="332"/>
      <c r="TVT514" s="332"/>
      <c r="TVU514" s="332"/>
      <c r="TVV514" s="332"/>
      <c r="TVW514" s="332"/>
      <c r="TVX514" s="332"/>
      <c r="TVY514" s="332"/>
      <c r="TVZ514" s="332"/>
      <c r="TWA514" s="332"/>
      <c r="TWB514" s="332"/>
      <c r="TWC514" s="332"/>
      <c r="TWD514" s="332"/>
      <c r="TWE514" s="332"/>
      <c r="TWF514" s="332"/>
      <c r="TWG514" s="332"/>
      <c r="TWH514" s="332"/>
      <c r="TWI514" s="332"/>
      <c r="TWJ514" s="332"/>
      <c r="TWK514" s="332"/>
      <c r="TWL514" s="332"/>
      <c r="TWM514" s="332"/>
      <c r="TWN514" s="332"/>
      <c r="TWO514" s="332"/>
      <c r="TWP514" s="332"/>
      <c r="TWQ514" s="332"/>
      <c r="TWR514" s="332"/>
      <c r="TWS514" s="332"/>
      <c r="TWT514" s="332"/>
      <c r="TWU514" s="332"/>
      <c r="TWV514" s="332"/>
      <c r="TWW514" s="332"/>
      <c r="TWX514" s="332"/>
      <c r="TWY514" s="332"/>
      <c r="TWZ514" s="332"/>
      <c r="TXA514" s="332"/>
      <c r="TXB514" s="332"/>
      <c r="TXC514" s="332"/>
      <c r="TXD514" s="332"/>
      <c r="TXE514" s="332"/>
      <c r="TXF514" s="332"/>
      <c r="TXG514" s="332"/>
      <c r="TXH514" s="332"/>
      <c r="TXI514" s="332"/>
      <c r="TXJ514" s="332"/>
      <c r="TXK514" s="332"/>
      <c r="TXL514" s="332"/>
      <c r="TXM514" s="332"/>
      <c r="TXN514" s="332"/>
      <c r="TXO514" s="332"/>
      <c r="TXP514" s="332"/>
      <c r="TXQ514" s="332"/>
      <c r="TXR514" s="332"/>
      <c r="TXS514" s="332"/>
      <c r="TXT514" s="332"/>
      <c r="TXU514" s="332"/>
      <c r="TXV514" s="332"/>
      <c r="TXW514" s="332"/>
      <c r="TXX514" s="332"/>
      <c r="TXY514" s="332"/>
      <c r="TXZ514" s="332"/>
      <c r="TYA514" s="332"/>
      <c r="TYB514" s="332"/>
      <c r="TYC514" s="332"/>
      <c r="TYD514" s="332"/>
      <c r="TYE514" s="332"/>
      <c r="TYF514" s="332"/>
      <c r="TYG514" s="332"/>
      <c r="TYH514" s="332"/>
      <c r="TYI514" s="332"/>
      <c r="TYJ514" s="332"/>
      <c r="TYK514" s="332"/>
      <c r="TYL514" s="332"/>
      <c r="TYM514" s="332"/>
      <c r="TYN514" s="332"/>
      <c r="TYO514" s="332"/>
      <c r="TYP514" s="332"/>
      <c r="TYQ514" s="332"/>
      <c r="TYR514" s="332"/>
      <c r="TYS514" s="332"/>
      <c r="TYT514" s="332"/>
      <c r="TYU514" s="332"/>
      <c r="TYV514" s="332"/>
      <c r="TYW514" s="332"/>
      <c r="TYX514" s="332"/>
      <c r="TYY514" s="332"/>
      <c r="TYZ514" s="332"/>
      <c r="TZA514" s="332"/>
      <c r="TZB514" s="332"/>
      <c r="TZC514" s="332"/>
      <c r="TZD514" s="332"/>
      <c r="TZE514" s="332"/>
      <c r="TZF514" s="332"/>
      <c r="TZG514" s="332"/>
      <c r="TZH514" s="332"/>
      <c r="TZI514" s="332"/>
      <c r="TZJ514" s="332"/>
      <c r="TZK514" s="332"/>
      <c r="TZL514" s="332"/>
      <c r="TZM514" s="332"/>
      <c r="TZN514" s="332"/>
      <c r="TZO514" s="332"/>
      <c r="TZP514" s="332"/>
      <c r="TZQ514" s="332"/>
      <c r="TZR514" s="332"/>
      <c r="TZS514" s="332"/>
      <c r="TZT514" s="332"/>
      <c r="TZU514" s="332"/>
      <c r="TZV514" s="332"/>
      <c r="TZW514" s="332"/>
      <c r="TZX514" s="332"/>
      <c r="TZY514" s="332"/>
      <c r="TZZ514" s="332"/>
      <c r="UAA514" s="332"/>
      <c r="UAB514" s="332"/>
      <c r="UAC514" s="332"/>
      <c r="UAD514" s="332"/>
      <c r="UAE514" s="332"/>
      <c r="UAF514" s="332"/>
      <c r="UAG514" s="332"/>
      <c r="UAH514" s="332"/>
      <c r="UAI514" s="332"/>
      <c r="UAJ514" s="332"/>
      <c r="UAK514" s="332"/>
      <c r="UAL514" s="332"/>
      <c r="UAM514" s="332"/>
      <c r="UAN514" s="332"/>
      <c r="UAO514" s="332"/>
      <c r="UAP514" s="332"/>
      <c r="UAQ514" s="332"/>
      <c r="UAR514" s="332"/>
      <c r="UAS514" s="332"/>
      <c r="UAT514" s="332"/>
      <c r="UAU514" s="332"/>
      <c r="UAV514" s="332"/>
      <c r="UAW514" s="332"/>
      <c r="UAX514" s="332"/>
      <c r="UAY514" s="332"/>
      <c r="UAZ514" s="332"/>
      <c r="UBA514" s="332"/>
      <c r="UBB514" s="332"/>
      <c r="UBC514" s="332"/>
      <c r="UBD514" s="332"/>
      <c r="UBE514" s="332"/>
      <c r="UBF514" s="332"/>
      <c r="UBG514" s="332"/>
      <c r="UBH514" s="332"/>
      <c r="UBI514" s="332"/>
      <c r="UBJ514" s="332"/>
      <c r="UBK514" s="332"/>
      <c r="UBL514" s="332"/>
      <c r="UBM514" s="332"/>
      <c r="UBN514" s="332"/>
      <c r="UBO514" s="332"/>
      <c r="UBP514" s="332"/>
      <c r="UBQ514" s="332"/>
      <c r="UBR514" s="332"/>
      <c r="UBS514" s="332"/>
      <c r="UBT514" s="332"/>
      <c r="UBU514" s="332"/>
      <c r="UBV514" s="332"/>
      <c r="UBW514" s="332"/>
      <c r="UBX514" s="332"/>
      <c r="UBY514" s="332"/>
      <c r="UBZ514" s="332"/>
      <c r="UCA514" s="332"/>
      <c r="UCB514" s="332"/>
      <c r="UCC514" s="332"/>
      <c r="UCD514" s="332"/>
      <c r="UCE514" s="332"/>
      <c r="UCF514" s="332"/>
      <c r="UCG514" s="332"/>
      <c r="UCH514" s="332"/>
      <c r="UCI514" s="332"/>
      <c r="UCJ514" s="332"/>
      <c r="UCK514" s="332"/>
      <c r="UCL514" s="332"/>
      <c r="UCM514" s="332"/>
      <c r="UCN514" s="332"/>
      <c r="UCO514" s="332"/>
      <c r="UCP514" s="332"/>
      <c r="UCQ514" s="332"/>
      <c r="UCR514" s="332"/>
      <c r="UCS514" s="332"/>
      <c r="UCT514" s="332"/>
      <c r="UCU514" s="332"/>
      <c r="UCV514" s="332"/>
      <c r="UCW514" s="332"/>
      <c r="UCX514" s="332"/>
      <c r="UCY514" s="332"/>
      <c r="UCZ514" s="332"/>
      <c r="UDA514" s="332"/>
      <c r="UDB514" s="332"/>
      <c r="UDC514" s="332"/>
      <c r="UDD514" s="332"/>
      <c r="UDE514" s="332"/>
      <c r="UDF514" s="332"/>
      <c r="UDG514" s="332"/>
      <c r="UDH514" s="332"/>
      <c r="UDI514" s="332"/>
      <c r="UDJ514" s="332"/>
      <c r="UDK514" s="332"/>
      <c r="UDL514" s="332"/>
      <c r="UDM514" s="332"/>
      <c r="UDN514" s="332"/>
      <c r="UDO514" s="332"/>
      <c r="UDP514" s="332"/>
      <c r="UDQ514" s="332"/>
      <c r="UDR514" s="332"/>
      <c r="UDS514" s="332"/>
      <c r="UDT514" s="332"/>
      <c r="UDU514" s="332"/>
      <c r="UDV514" s="332"/>
      <c r="UDW514" s="332"/>
      <c r="UDX514" s="332"/>
      <c r="UDY514" s="332"/>
      <c r="UDZ514" s="332"/>
      <c r="UEA514" s="332"/>
      <c r="UEB514" s="332"/>
      <c r="UEC514" s="332"/>
      <c r="UED514" s="332"/>
      <c r="UEE514" s="332"/>
      <c r="UEF514" s="332"/>
      <c r="UEG514" s="332"/>
      <c r="UEH514" s="332"/>
      <c r="UEI514" s="332"/>
      <c r="UEJ514" s="332"/>
      <c r="UEK514" s="332"/>
      <c r="UEL514" s="332"/>
      <c r="UEM514" s="332"/>
      <c r="UEN514" s="332"/>
      <c r="UEO514" s="332"/>
      <c r="UEP514" s="332"/>
      <c r="UEQ514" s="332"/>
      <c r="UER514" s="332"/>
      <c r="UES514" s="332"/>
      <c r="UET514" s="332"/>
      <c r="UEU514" s="332"/>
      <c r="UEV514" s="332"/>
      <c r="UEW514" s="332"/>
      <c r="UEX514" s="332"/>
      <c r="UEY514" s="332"/>
      <c r="UEZ514" s="332"/>
      <c r="UFA514" s="332"/>
      <c r="UFB514" s="332"/>
      <c r="UFC514" s="332"/>
      <c r="UFD514" s="332"/>
      <c r="UFE514" s="332"/>
      <c r="UFF514" s="332"/>
      <c r="UFG514" s="332"/>
      <c r="UFH514" s="332"/>
      <c r="UFI514" s="332"/>
      <c r="UFJ514" s="332"/>
      <c r="UFK514" s="332"/>
      <c r="UFL514" s="332"/>
      <c r="UFM514" s="332"/>
      <c r="UFN514" s="332"/>
      <c r="UFO514" s="332"/>
      <c r="UFP514" s="332"/>
      <c r="UFQ514" s="332"/>
      <c r="UFR514" s="332"/>
      <c r="UFS514" s="332"/>
      <c r="UFT514" s="332"/>
      <c r="UFU514" s="332"/>
      <c r="UFV514" s="332"/>
      <c r="UFW514" s="332"/>
      <c r="UFX514" s="332"/>
      <c r="UFY514" s="332"/>
      <c r="UFZ514" s="332"/>
      <c r="UGA514" s="332"/>
      <c r="UGB514" s="332"/>
      <c r="UGC514" s="332"/>
      <c r="UGD514" s="332"/>
      <c r="UGE514" s="332"/>
      <c r="UGF514" s="332"/>
      <c r="UGG514" s="332"/>
      <c r="UGH514" s="332"/>
      <c r="UGI514" s="332"/>
      <c r="UGJ514" s="332"/>
      <c r="UGK514" s="332"/>
      <c r="UGL514" s="332"/>
      <c r="UGM514" s="332"/>
      <c r="UGN514" s="332"/>
      <c r="UGO514" s="332"/>
      <c r="UGP514" s="332"/>
      <c r="UGQ514" s="332"/>
      <c r="UGR514" s="332"/>
      <c r="UGS514" s="332"/>
      <c r="UGT514" s="332"/>
      <c r="UGU514" s="332"/>
      <c r="UGV514" s="332"/>
      <c r="UGW514" s="332"/>
      <c r="UGX514" s="332"/>
      <c r="UGY514" s="332"/>
      <c r="UGZ514" s="332"/>
      <c r="UHA514" s="332"/>
      <c r="UHB514" s="332"/>
      <c r="UHC514" s="332"/>
      <c r="UHD514" s="332"/>
      <c r="UHE514" s="332"/>
      <c r="UHF514" s="332"/>
      <c r="UHG514" s="332"/>
      <c r="UHH514" s="332"/>
      <c r="UHI514" s="332"/>
      <c r="UHJ514" s="332"/>
      <c r="UHK514" s="332"/>
      <c r="UHL514" s="332"/>
      <c r="UHM514" s="332"/>
      <c r="UHN514" s="332"/>
      <c r="UHO514" s="332"/>
      <c r="UHP514" s="332"/>
      <c r="UHQ514" s="332"/>
      <c r="UHR514" s="332"/>
      <c r="UHS514" s="332"/>
      <c r="UHT514" s="332"/>
      <c r="UHU514" s="332"/>
      <c r="UHV514" s="332"/>
      <c r="UHW514" s="332"/>
      <c r="UHX514" s="332"/>
      <c r="UHY514" s="332"/>
      <c r="UHZ514" s="332"/>
      <c r="UIA514" s="332"/>
      <c r="UIB514" s="332"/>
      <c r="UIC514" s="332"/>
      <c r="UID514" s="332"/>
      <c r="UIE514" s="332"/>
      <c r="UIF514" s="332"/>
      <c r="UIG514" s="332"/>
      <c r="UIH514" s="332"/>
      <c r="UII514" s="332"/>
      <c r="UIJ514" s="332"/>
      <c r="UIK514" s="332"/>
      <c r="UIL514" s="332"/>
      <c r="UIM514" s="332"/>
      <c r="UIN514" s="332"/>
      <c r="UIO514" s="332"/>
      <c r="UIP514" s="332"/>
      <c r="UIQ514" s="332"/>
      <c r="UIR514" s="332"/>
      <c r="UIS514" s="332"/>
      <c r="UIT514" s="332"/>
      <c r="UIU514" s="332"/>
      <c r="UIV514" s="332"/>
      <c r="UIW514" s="332"/>
      <c r="UIX514" s="332"/>
      <c r="UIY514" s="332"/>
      <c r="UIZ514" s="332"/>
      <c r="UJA514" s="332"/>
      <c r="UJB514" s="332"/>
      <c r="UJC514" s="332"/>
      <c r="UJD514" s="332"/>
      <c r="UJE514" s="332"/>
      <c r="UJF514" s="332"/>
      <c r="UJG514" s="332"/>
      <c r="UJH514" s="332"/>
      <c r="UJI514" s="332"/>
      <c r="UJJ514" s="332"/>
      <c r="UJK514" s="332"/>
      <c r="UJL514" s="332"/>
      <c r="UJM514" s="332"/>
      <c r="UJN514" s="332"/>
      <c r="UJO514" s="332"/>
      <c r="UJP514" s="332"/>
      <c r="UJQ514" s="332"/>
      <c r="UJR514" s="332"/>
      <c r="UJS514" s="332"/>
      <c r="UJT514" s="332"/>
      <c r="UJU514" s="332"/>
      <c r="UJV514" s="332"/>
      <c r="UJW514" s="332"/>
      <c r="UJX514" s="332"/>
      <c r="UJY514" s="332"/>
      <c r="UJZ514" s="332"/>
      <c r="UKA514" s="332"/>
      <c r="UKB514" s="332"/>
      <c r="UKC514" s="332"/>
      <c r="UKD514" s="332"/>
      <c r="UKE514" s="332"/>
      <c r="UKF514" s="332"/>
      <c r="UKG514" s="332"/>
      <c r="UKH514" s="332"/>
      <c r="UKI514" s="332"/>
      <c r="UKJ514" s="332"/>
      <c r="UKK514" s="332"/>
      <c r="UKL514" s="332"/>
      <c r="UKM514" s="332"/>
      <c r="UKN514" s="332"/>
      <c r="UKO514" s="332"/>
      <c r="UKP514" s="332"/>
      <c r="UKQ514" s="332"/>
      <c r="UKR514" s="332"/>
      <c r="UKS514" s="332"/>
      <c r="UKT514" s="332"/>
      <c r="UKU514" s="332"/>
      <c r="UKV514" s="332"/>
      <c r="UKW514" s="332"/>
      <c r="UKX514" s="332"/>
      <c r="UKY514" s="332"/>
      <c r="UKZ514" s="332"/>
      <c r="ULA514" s="332"/>
      <c r="ULB514" s="332"/>
      <c r="ULC514" s="332"/>
      <c r="ULD514" s="332"/>
      <c r="ULE514" s="332"/>
      <c r="ULF514" s="332"/>
      <c r="ULG514" s="332"/>
      <c r="ULH514" s="332"/>
      <c r="ULI514" s="332"/>
      <c r="ULJ514" s="332"/>
      <c r="ULK514" s="332"/>
      <c r="ULL514" s="332"/>
      <c r="ULM514" s="332"/>
      <c r="ULN514" s="332"/>
      <c r="ULO514" s="332"/>
      <c r="ULP514" s="332"/>
      <c r="ULQ514" s="332"/>
      <c r="ULR514" s="332"/>
      <c r="ULS514" s="332"/>
      <c r="ULT514" s="332"/>
      <c r="ULU514" s="332"/>
      <c r="ULV514" s="332"/>
      <c r="ULW514" s="332"/>
      <c r="ULX514" s="332"/>
      <c r="ULY514" s="332"/>
      <c r="ULZ514" s="332"/>
      <c r="UMA514" s="332"/>
      <c r="UMB514" s="332"/>
      <c r="UMC514" s="332"/>
      <c r="UMD514" s="332"/>
      <c r="UME514" s="332"/>
      <c r="UMF514" s="332"/>
      <c r="UMG514" s="332"/>
      <c r="UMH514" s="332"/>
      <c r="UMI514" s="332"/>
      <c r="UMJ514" s="332"/>
      <c r="UMK514" s="332"/>
      <c r="UML514" s="332"/>
      <c r="UMM514" s="332"/>
      <c r="UMN514" s="332"/>
      <c r="UMO514" s="332"/>
      <c r="UMP514" s="332"/>
      <c r="UMQ514" s="332"/>
      <c r="UMR514" s="332"/>
      <c r="UMS514" s="332"/>
      <c r="UMT514" s="332"/>
      <c r="UMU514" s="332"/>
      <c r="UMV514" s="332"/>
      <c r="UMW514" s="332"/>
      <c r="UMX514" s="332"/>
      <c r="UMY514" s="332"/>
      <c r="UMZ514" s="332"/>
      <c r="UNA514" s="332"/>
      <c r="UNB514" s="332"/>
      <c r="UNC514" s="332"/>
      <c r="UND514" s="332"/>
      <c r="UNE514" s="332"/>
      <c r="UNF514" s="332"/>
      <c r="UNG514" s="332"/>
      <c r="UNH514" s="332"/>
      <c r="UNI514" s="332"/>
      <c r="UNJ514" s="332"/>
      <c r="UNK514" s="332"/>
      <c r="UNL514" s="332"/>
      <c r="UNM514" s="332"/>
      <c r="UNN514" s="332"/>
      <c r="UNO514" s="332"/>
      <c r="UNP514" s="332"/>
      <c r="UNQ514" s="332"/>
      <c r="UNR514" s="332"/>
      <c r="UNS514" s="332"/>
      <c r="UNT514" s="332"/>
      <c r="UNU514" s="332"/>
      <c r="UNV514" s="332"/>
      <c r="UNW514" s="332"/>
      <c r="UNX514" s="332"/>
      <c r="UNY514" s="332"/>
      <c r="UNZ514" s="332"/>
      <c r="UOA514" s="332"/>
      <c r="UOB514" s="332"/>
      <c r="UOC514" s="332"/>
      <c r="UOD514" s="332"/>
      <c r="UOE514" s="332"/>
      <c r="UOF514" s="332"/>
      <c r="UOG514" s="332"/>
      <c r="UOH514" s="332"/>
      <c r="UOI514" s="332"/>
      <c r="UOJ514" s="332"/>
      <c r="UOK514" s="332"/>
      <c r="UOL514" s="332"/>
      <c r="UOM514" s="332"/>
      <c r="UON514" s="332"/>
      <c r="UOO514" s="332"/>
      <c r="UOP514" s="332"/>
      <c r="UOQ514" s="332"/>
      <c r="UOR514" s="332"/>
      <c r="UOS514" s="332"/>
      <c r="UOT514" s="332"/>
      <c r="UOU514" s="332"/>
      <c r="UOV514" s="332"/>
      <c r="UOW514" s="332"/>
      <c r="UOX514" s="332"/>
      <c r="UOY514" s="332"/>
      <c r="UOZ514" s="332"/>
      <c r="UPA514" s="332"/>
      <c r="UPB514" s="332"/>
      <c r="UPC514" s="332"/>
      <c r="UPD514" s="332"/>
      <c r="UPE514" s="332"/>
      <c r="UPF514" s="332"/>
      <c r="UPG514" s="332"/>
      <c r="UPH514" s="332"/>
      <c r="UPI514" s="332"/>
      <c r="UPJ514" s="332"/>
      <c r="UPK514" s="332"/>
      <c r="UPL514" s="332"/>
      <c r="UPM514" s="332"/>
      <c r="UPN514" s="332"/>
      <c r="UPO514" s="332"/>
      <c r="UPP514" s="332"/>
      <c r="UPQ514" s="332"/>
      <c r="UPR514" s="332"/>
      <c r="UPS514" s="332"/>
      <c r="UPT514" s="332"/>
      <c r="UPU514" s="332"/>
      <c r="UPV514" s="332"/>
      <c r="UPW514" s="332"/>
      <c r="UPX514" s="332"/>
      <c r="UPY514" s="332"/>
      <c r="UPZ514" s="332"/>
      <c r="UQA514" s="332"/>
      <c r="UQB514" s="332"/>
      <c r="UQC514" s="332"/>
      <c r="UQD514" s="332"/>
      <c r="UQE514" s="332"/>
      <c r="UQF514" s="332"/>
      <c r="UQG514" s="332"/>
      <c r="UQH514" s="332"/>
      <c r="UQI514" s="332"/>
      <c r="UQJ514" s="332"/>
      <c r="UQK514" s="332"/>
      <c r="UQL514" s="332"/>
      <c r="UQM514" s="332"/>
      <c r="UQN514" s="332"/>
      <c r="UQO514" s="332"/>
      <c r="UQP514" s="332"/>
      <c r="UQQ514" s="332"/>
      <c r="UQR514" s="332"/>
      <c r="UQS514" s="332"/>
      <c r="UQT514" s="332"/>
      <c r="UQU514" s="332"/>
      <c r="UQV514" s="332"/>
      <c r="UQW514" s="332"/>
      <c r="UQX514" s="332"/>
      <c r="UQY514" s="332"/>
      <c r="UQZ514" s="332"/>
      <c r="URA514" s="332"/>
      <c r="URB514" s="332"/>
      <c r="URC514" s="332"/>
      <c r="URD514" s="332"/>
      <c r="URE514" s="332"/>
      <c r="URF514" s="332"/>
      <c r="URG514" s="332"/>
      <c r="URH514" s="332"/>
      <c r="URI514" s="332"/>
      <c r="URJ514" s="332"/>
      <c r="URK514" s="332"/>
      <c r="URL514" s="332"/>
      <c r="URM514" s="332"/>
      <c r="URN514" s="332"/>
      <c r="URO514" s="332"/>
      <c r="URP514" s="332"/>
      <c r="URQ514" s="332"/>
      <c r="URR514" s="332"/>
      <c r="URS514" s="332"/>
      <c r="URT514" s="332"/>
      <c r="URU514" s="332"/>
      <c r="URV514" s="332"/>
      <c r="URW514" s="332"/>
      <c r="URX514" s="332"/>
      <c r="URY514" s="332"/>
      <c r="URZ514" s="332"/>
      <c r="USA514" s="332"/>
      <c r="USB514" s="332"/>
      <c r="USC514" s="332"/>
      <c r="USD514" s="332"/>
      <c r="USE514" s="332"/>
      <c r="USF514" s="332"/>
      <c r="USG514" s="332"/>
      <c r="USH514" s="332"/>
      <c r="USI514" s="332"/>
      <c r="USJ514" s="332"/>
      <c r="USK514" s="332"/>
      <c r="USL514" s="332"/>
      <c r="USM514" s="332"/>
      <c r="USN514" s="332"/>
      <c r="USO514" s="332"/>
      <c r="USP514" s="332"/>
      <c r="USQ514" s="332"/>
      <c r="USR514" s="332"/>
      <c r="USS514" s="332"/>
      <c r="UST514" s="332"/>
      <c r="USU514" s="332"/>
      <c r="USV514" s="332"/>
      <c r="USW514" s="332"/>
      <c r="USX514" s="332"/>
      <c r="USY514" s="332"/>
      <c r="USZ514" s="332"/>
      <c r="UTA514" s="332"/>
      <c r="UTB514" s="332"/>
      <c r="UTC514" s="332"/>
      <c r="UTD514" s="332"/>
      <c r="UTE514" s="332"/>
      <c r="UTF514" s="332"/>
      <c r="UTG514" s="332"/>
      <c r="UTH514" s="332"/>
      <c r="UTI514" s="332"/>
      <c r="UTJ514" s="332"/>
      <c r="UTK514" s="332"/>
      <c r="UTL514" s="332"/>
      <c r="UTM514" s="332"/>
      <c r="UTN514" s="332"/>
      <c r="UTO514" s="332"/>
      <c r="UTP514" s="332"/>
      <c r="UTQ514" s="332"/>
      <c r="UTR514" s="332"/>
      <c r="UTS514" s="332"/>
      <c r="UTT514" s="332"/>
      <c r="UTU514" s="332"/>
      <c r="UTV514" s="332"/>
      <c r="UTW514" s="332"/>
      <c r="UTX514" s="332"/>
      <c r="UTY514" s="332"/>
      <c r="UTZ514" s="332"/>
      <c r="UUA514" s="332"/>
      <c r="UUB514" s="332"/>
      <c r="UUC514" s="332"/>
      <c r="UUD514" s="332"/>
      <c r="UUE514" s="332"/>
      <c r="UUF514" s="332"/>
      <c r="UUG514" s="332"/>
      <c r="UUH514" s="332"/>
      <c r="UUI514" s="332"/>
      <c r="UUJ514" s="332"/>
      <c r="UUK514" s="332"/>
      <c r="UUL514" s="332"/>
      <c r="UUM514" s="332"/>
      <c r="UUN514" s="332"/>
      <c r="UUO514" s="332"/>
      <c r="UUP514" s="332"/>
      <c r="UUQ514" s="332"/>
      <c r="UUR514" s="332"/>
      <c r="UUS514" s="332"/>
      <c r="UUT514" s="332"/>
      <c r="UUU514" s="332"/>
      <c r="UUV514" s="332"/>
      <c r="UUW514" s="332"/>
      <c r="UUX514" s="332"/>
      <c r="UUY514" s="332"/>
      <c r="UUZ514" s="332"/>
      <c r="UVA514" s="332"/>
      <c r="UVB514" s="332"/>
      <c r="UVC514" s="332"/>
      <c r="UVD514" s="332"/>
      <c r="UVE514" s="332"/>
      <c r="UVF514" s="332"/>
      <c r="UVG514" s="332"/>
      <c r="UVH514" s="332"/>
      <c r="UVI514" s="332"/>
      <c r="UVJ514" s="332"/>
      <c r="UVK514" s="332"/>
      <c r="UVL514" s="332"/>
      <c r="UVM514" s="332"/>
      <c r="UVN514" s="332"/>
      <c r="UVO514" s="332"/>
      <c r="UVP514" s="332"/>
      <c r="UVQ514" s="332"/>
      <c r="UVR514" s="332"/>
      <c r="UVS514" s="332"/>
      <c r="UVT514" s="332"/>
      <c r="UVU514" s="332"/>
      <c r="UVV514" s="332"/>
      <c r="UVW514" s="332"/>
      <c r="UVX514" s="332"/>
      <c r="UVY514" s="332"/>
      <c r="UVZ514" s="332"/>
      <c r="UWA514" s="332"/>
      <c r="UWB514" s="332"/>
      <c r="UWC514" s="332"/>
      <c r="UWD514" s="332"/>
      <c r="UWE514" s="332"/>
      <c r="UWF514" s="332"/>
      <c r="UWG514" s="332"/>
      <c r="UWH514" s="332"/>
      <c r="UWI514" s="332"/>
      <c r="UWJ514" s="332"/>
      <c r="UWK514" s="332"/>
      <c r="UWL514" s="332"/>
      <c r="UWM514" s="332"/>
      <c r="UWN514" s="332"/>
      <c r="UWO514" s="332"/>
      <c r="UWP514" s="332"/>
      <c r="UWQ514" s="332"/>
      <c r="UWR514" s="332"/>
      <c r="UWS514" s="332"/>
      <c r="UWT514" s="332"/>
      <c r="UWU514" s="332"/>
      <c r="UWV514" s="332"/>
      <c r="UWW514" s="332"/>
      <c r="UWX514" s="332"/>
      <c r="UWY514" s="332"/>
      <c r="UWZ514" s="332"/>
      <c r="UXA514" s="332"/>
      <c r="UXB514" s="332"/>
      <c r="UXC514" s="332"/>
      <c r="UXD514" s="332"/>
      <c r="UXE514" s="332"/>
      <c r="UXF514" s="332"/>
      <c r="UXG514" s="332"/>
      <c r="UXH514" s="332"/>
      <c r="UXI514" s="332"/>
      <c r="UXJ514" s="332"/>
      <c r="UXK514" s="332"/>
      <c r="UXL514" s="332"/>
      <c r="UXM514" s="332"/>
      <c r="UXN514" s="332"/>
      <c r="UXO514" s="332"/>
      <c r="UXP514" s="332"/>
      <c r="UXQ514" s="332"/>
      <c r="UXR514" s="332"/>
      <c r="UXS514" s="332"/>
      <c r="UXT514" s="332"/>
      <c r="UXU514" s="332"/>
      <c r="UXV514" s="332"/>
      <c r="UXW514" s="332"/>
      <c r="UXX514" s="332"/>
      <c r="UXY514" s="332"/>
      <c r="UXZ514" s="332"/>
      <c r="UYA514" s="332"/>
      <c r="UYB514" s="332"/>
      <c r="UYC514" s="332"/>
      <c r="UYD514" s="332"/>
      <c r="UYE514" s="332"/>
      <c r="UYF514" s="332"/>
      <c r="UYG514" s="332"/>
      <c r="UYH514" s="332"/>
      <c r="UYI514" s="332"/>
      <c r="UYJ514" s="332"/>
      <c r="UYK514" s="332"/>
      <c r="UYL514" s="332"/>
      <c r="UYM514" s="332"/>
      <c r="UYN514" s="332"/>
      <c r="UYO514" s="332"/>
      <c r="UYP514" s="332"/>
      <c r="UYQ514" s="332"/>
      <c r="UYR514" s="332"/>
      <c r="UYS514" s="332"/>
      <c r="UYT514" s="332"/>
      <c r="UYU514" s="332"/>
      <c r="UYV514" s="332"/>
      <c r="UYW514" s="332"/>
      <c r="UYX514" s="332"/>
      <c r="UYY514" s="332"/>
      <c r="UYZ514" s="332"/>
      <c r="UZA514" s="332"/>
      <c r="UZB514" s="332"/>
      <c r="UZC514" s="332"/>
      <c r="UZD514" s="332"/>
      <c r="UZE514" s="332"/>
      <c r="UZF514" s="332"/>
      <c r="UZG514" s="332"/>
      <c r="UZH514" s="332"/>
      <c r="UZI514" s="332"/>
      <c r="UZJ514" s="332"/>
      <c r="UZK514" s="332"/>
      <c r="UZL514" s="332"/>
      <c r="UZM514" s="332"/>
      <c r="UZN514" s="332"/>
      <c r="UZO514" s="332"/>
      <c r="UZP514" s="332"/>
      <c r="UZQ514" s="332"/>
      <c r="UZR514" s="332"/>
      <c r="UZS514" s="332"/>
      <c r="UZT514" s="332"/>
      <c r="UZU514" s="332"/>
      <c r="UZV514" s="332"/>
      <c r="UZW514" s="332"/>
      <c r="UZX514" s="332"/>
      <c r="UZY514" s="332"/>
      <c r="UZZ514" s="332"/>
      <c r="VAA514" s="332"/>
      <c r="VAB514" s="332"/>
      <c r="VAC514" s="332"/>
      <c r="VAD514" s="332"/>
      <c r="VAE514" s="332"/>
      <c r="VAF514" s="332"/>
      <c r="VAG514" s="332"/>
      <c r="VAH514" s="332"/>
      <c r="VAI514" s="332"/>
      <c r="VAJ514" s="332"/>
      <c r="VAK514" s="332"/>
      <c r="VAL514" s="332"/>
      <c r="VAM514" s="332"/>
      <c r="VAN514" s="332"/>
      <c r="VAO514" s="332"/>
      <c r="VAP514" s="332"/>
      <c r="VAQ514" s="332"/>
      <c r="VAR514" s="332"/>
      <c r="VAS514" s="332"/>
      <c r="VAT514" s="332"/>
      <c r="VAU514" s="332"/>
      <c r="VAV514" s="332"/>
      <c r="VAW514" s="332"/>
      <c r="VAX514" s="332"/>
      <c r="VAY514" s="332"/>
      <c r="VAZ514" s="332"/>
      <c r="VBA514" s="332"/>
      <c r="VBB514" s="332"/>
      <c r="VBC514" s="332"/>
      <c r="VBD514" s="332"/>
      <c r="VBE514" s="332"/>
      <c r="VBF514" s="332"/>
      <c r="VBG514" s="332"/>
      <c r="VBH514" s="332"/>
      <c r="VBI514" s="332"/>
      <c r="VBJ514" s="332"/>
      <c r="VBK514" s="332"/>
      <c r="VBL514" s="332"/>
      <c r="VBM514" s="332"/>
      <c r="VBN514" s="332"/>
      <c r="VBO514" s="332"/>
      <c r="VBP514" s="332"/>
      <c r="VBQ514" s="332"/>
      <c r="VBR514" s="332"/>
      <c r="VBS514" s="332"/>
      <c r="VBT514" s="332"/>
      <c r="VBU514" s="332"/>
      <c r="VBV514" s="332"/>
      <c r="VBW514" s="332"/>
      <c r="VBX514" s="332"/>
      <c r="VBY514" s="332"/>
      <c r="VBZ514" s="332"/>
      <c r="VCA514" s="332"/>
      <c r="VCB514" s="332"/>
      <c r="VCC514" s="332"/>
      <c r="VCD514" s="332"/>
      <c r="VCE514" s="332"/>
      <c r="VCF514" s="332"/>
      <c r="VCG514" s="332"/>
      <c r="VCH514" s="332"/>
      <c r="VCI514" s="332"/>
      <c r="VCJ514" s="332"/>
      <c r="VCK514" s="332"/>
      <c r="VCL514" s="332"/>
      <c r="VCM514" s="332"/>
      <c r="VCN514" s="332"/>
      <c r="VCO514" s="332"/>
      <c r="VCP514" s="332"/>
      <c r="VCQ514" s="332"/>
      <c r="VCR514" s="332"/>
      <c r="VCS514" s="332"/>
      <c r="VCT514" s="332"/>
      <c r="VCU514" s="332"/>
      <c r="VCV514" s="332"/>
      <c r="VCW514" s="332"/>
      <c r="VCX514" s="332"/>
      <c r="VCY514" s="332"/>
      <c r="VCZ514" s="332"/>
      <c r="VDA514" s="332"/>
      <c r="VDB514" s="332"/>
      <c r="VDC514" s="332"/>
      <c r="VDD514" s="332"/>
      <c r="VDE514" s="332"/>
      <c r="VDF514" s="332"/>
      <c r="VDG514" s="332"/>
      <c r="VDH514" s="332"/>
      <c r="VDI514" s="332"/>
      <c r="VDJ514" s="332"/>
      <c r="VDK514" s="332"/>
      <c r="VDL514" s="332"/>
      <c r="VDM514" s="332"/>
      <c r="VDN514" s="332"/>
      <c r="VDO514" s="332"/>
      <c r="VDP514" s="332"/>
      <c r="VDQ514" s="332"/>
      <c r="VDR514" s="332"/>
      <c r="VDS514" s="332"/>
      <c r="VDT514" s="332"/>
      <c r="VDU514" s="332"/>
      <c r="VDV514" s="332"/>
      <c r="VDW514" s="332"/>
      <c r="VDX514" s="332"/>
      <c r="VDY514" s="332"/>
      <c r="VDZ514" s="332"/>
      <c r="VEA514" s="332"/>
      <c r="VEB514" s="332"/>
      <c r="VEC514" s="332"/>
      <c r="VED514" s="332"/>
      <c r="VEE514" s="332"/>
      <c r="VEF514" s="332"/>
      <c r="VEG514" s="332"/>
      <c r="VEH514" s="332"/>
      <c r="VEI514" s="332"/>
      <c r="VEJ514" s="332"/>
      <c r="VEK514" s="332"/>
      <c r="VEL514" s="332"/>
      <c r="VEM514" s="332"/>
      <c r="VEN514" s="332"/>
      <c r="VEO514" s="332"/>
      <c r="VEP514" s="332"/>
      <c r="VEQ514" s="332"/>
      <c r="VER514" s="332"/>
      <c r="VES514" s="332"/>
      <c r="VET514" s="332"/>
      <c r="VEU514" s="332"/>
      <c r="VEV514" s="332"/>
      <c r="VEW514" s="332"/>
      <c r="VEX514" s="332"/>
      <c r="VEY514" s="332"/>
      <c r="VEZ514" s="332"/>
      <c r="VFA514" s="332"/>
      <c r="VFB514" s="332"/>
      <c r="VFC514" s="332"/>
      <c r="VFD514" s="332"/>
      <c r="VFE514" s="332"/>
      <c r="VFF514" s="332"/>
      <c r="VFG514" s="332"/>
      <c r="VFH514" s="332"/>
      <c r="VFI514" s="332"/>
      <c r="VFJ514" s="332"/>
      <c r="VFK514" s="332"/>
      <c r="VFL514" s="332"/>
      <c r="VFM514" s="332"/>
      <c r="VFN514" s="332"/>
      <c r="VFO514" s="332"/>
      <c r="VFP514" s="332"/>
      <c r="VFQ514" s="332"/>
      <c r="VFR514" s="332"/>
      <c r="VFS514" s="332"/>
      <c r="VFT514" s="332"/>
      <c r="VFU514" s="332"/>
      <c r="VFV514" s="332"/>
      <c r="VFW514" s="332"/>
      <c r="VFX514" s="332"/>
      <c r="VFY514" s="332"/>
      <c r="VFZ514" s="332"/>
      <c r="VGA514" s="332"/>
      <c r="VGB514" s="332"/>
      <c r="VGC514" s="332"/>
      <c r="VGD514" s="332"/>
      <c r="VGE514" s="332"/>
      <c r="VGF514" s="332"/>
      <c r="VGG514" s="332"/>
      <c r="VGH514" s="332"/>
      <c r="VGI514" s="332"/>
      <c r="VGJ514" s="332"/>
      <c r="VGK514" s="332"/>
      <c r="VGL514" s="332"/>
      <c r="VGM514" s="332"/>
      <c r="VGN514" s="332"/>
      <c r="VGO514" s="332"/>
      <c r="VGP514" s="332"/>
      <c r="VGQ514" s="332"/>
      <c r="VGR514" s="332"/>
      <c r="VGS514" s="332"/>
      <c r="VGT514" s="332"/>
      <c r="VGU514" s="332"/>
      <c r="VGV514" s="332"/>
      <c r="VGW514" s="332"/>
      <c r="VGX514" s="332"/>
      <c r="VGY514" s="332"/>
      <c r="VGZ514" s="332"/>
      <c r="VHA514" s="332"/>
      <c r="VHB514" s="332"/>
      <c r="VHC514" s="332"/>
      <c r="VHD514" s="332"/>
      <c r="VHE514" s="332"/>
      <c r="VHF514" s="332"/>
      <c r="VHG514" s="332"/>
      <c r="VHH514" s="332"/>
      <c r="VHI514" s="332"/>
      <c r="VHJ514" s="332"/>
      <c r="VHK514" s="332"/>
      <c r="VHL514" s="332"/>
      <c r="VHM514" s="332"/>
      <c r="VHN514" s="332"/>
      <c r="VHO514" s="332"/>
      <c r="VHP514" s="332"/>
      <c r="VHQ514" s="332"/>
      <c r="VHR514" s="332"/>
      <c r="VHS514" s="332"/>
      <c r="VHT514" s="332"/>
      <c r="VHU514" s="332"/>
      <c r="VHV514" s="332"/>
      <c r="VHW514" s="332"/>
      <c r="VHX514" s="332"/>
      <c r="VHY514" s="332"/>
      <c r="VHZ514" s="332"/>
      <c r="VIA514" s="332"/>
      <c r="VIB514" s="332"/>
      <c r="VIC514" s="332"/>
      <c r="VID514" s="332"/>
      <c r="VIE514" s="332"/>
      <c r="VIF514" s="332"/>
      <c r="VIG514" s="332"/>
      <c r="VIH514" s="332"/>
      <c r="VII514" s="332"/>
      <c r="VIJ514" s="332"/>
      <c r="VIK514" s="332"/>
      <c r="VIL514" s="332"/>
      <c r="VIM514" s="332"/>
      <c r="VIN514" s="332"/>
      <c r="VIO514" s="332"/>
      <c r="VIP514" s="332"/>
      <c r="VIQ514" s="332"/>
      <c r="VIR514" s="332"/>
      <c r="VIS514" s="332"/>
      <c r="VIT514" s="332"/>
      <c r="VIU514" s="332"/>
      <c r="VIV514" s="332"/>
      <c r="VIW514" s="332"/>
      <c r="VIX514" s="332"/>
      <c r="VIY514" s="332"/>
      <c r="VIZ514" s="332"/>
      <c r="VJA514" s="332"/>
      <c r="VJB514" s="332"/>
      <c r="VJC514" s="332"/>
      <c r="VJD514" s="332"/>
      <c r="VJE514" s="332"/>
      <c r="VJF514" s="332"/>
      <c r="VJG514" s="332"/>
      <c r="VJH514" s="332"/>
      <c r="VJI514" s="332"/>
      <c r="VJJ514" s="332"/>
      <c r="VJK514" s="332"/>
      <c r="VJL514" s="332"/>
      <c r="VJM514" s="332"/>
      <c r="VJN514" s="332"/>
      <c r="VJO514" s="332"/>
      <c r="VJP514" s="332"/>
      <c r="VJQ514" s="332"/>
      <c r="VJR514" s="332"/>
      <c r="VJS514" s="332"/>
      <c r="VJT514" s="332"/>
      <c r="VJU514" s="332"/>
      <c r="VJV514" s="332"/>
      <c r="VJW514" s="332"/>
      <c r="VJX514" s="332"/>
      <c r="VJY514" s="332"/>
      <c r="VJZ514" s="332"/>
      <c r="VKA514" s="332"/>
      <c r="VKB514" s="332"/>
      <c r="VKC514" s="332"/>
      <c r="VKD514" s="332"/>
      <c r="VKE514" s="332"/>
      <c r="VKF514" s="332"/>
      <c r="VKG514" s="332"/>
      <c r="VKH514" s="332"/>
      <c r="VKI514" s="332"/>
      <c r="VKJ514" s="332"/>
      <c r="VKK514" s="332"/>
      <c r="VKL514" s="332"/>
      <c r="VKM514" s="332"/>
      <c r="VKN514" s="332"/>
      <c r="VKO514" s="332"/>
      <c r="VKP514" s="332"/>
      <c r="VKQ514" s="332"/>
      <c r="VKR514" s="332"/>
      <c r="VKS514" s="332"/>
      <c r="VKT514" s="332"/>
      <c r="VKU514" s="332"/>
      <c r="VKV514" s="332"/>
      <c r="VKW514" s="332"/>
      <c r="VKX514" s="332"/>
      <c r="VKY514" s="332"/>
      <c r="VKZ514" s="332"/>
      <c r="VLA514" s="332"/>
      <c r="VLB514" s="332"/>
      <c r="VLC514" s="332"/>
      <c r="VLD514" s="332"/>
      <c r="VLE514" s="332"/>
      <c r="VLF514" s="332"/>
      <c r="VLG514" s="332"/>
      <c r="VLH514" s="332"/>
      <c r="VLI514" s="332"/>
      <c r="VLJ514" s="332"/>
      <c r="VLK514" s="332"/>
      <c r="VLL514" s="332"/>
      <c r="VLM514" s="332"/>
      <c r="VLN514" s="332"/>
      <c r="VLO514" s="332"/>
      <c r="VLP514" s="332"/>
      <c r="VLQ514" s="332"/>
      <c r="VLR514" s="332"/>
      <c r="VLS514" s="332"/>
      <c r="VLT514" s="332"/>
      <c r="VLU514" s="332"/>
      <c r="VLV514" s="332"/>
      <c r="VLW514" s="332"/>
      <c r="VLX514" s="332"/>
      <c r="VLY514" s="332"/>
      <c r="VLZ514" s="332"/>
      <c r="VMA514" s="332"/>
      <c r="VMB514" s="332"/>
      <c r="VMC514" s="332"/>
      <c r="VMD514" s="332"/>
      <c r="VME514" s="332"/>
      <c r="VMF514" s="332"/>
      <c r="VMG514" s="332"/>
      <c r="VMH514" s="332"/>
      <c r="VMI514" s="332"/>
      <c r="VMJ514" s="332"/>
      <c r="VMK514" s="332"/>
      <c r="VML514" s="332"/>
      <c r="VMM514" s="332"/>
      <c r="VMN514" s="332"/>
      <c r="VMO514" s="332"/>
      <c r="VMP514" s="332"/>
      <c r="VMQ514" s="332"/>
      <c r="VMR514" s="332"/>
      <c r="VMS514" s="332"/>
      <c r="VMT514" s="332"/>
      <c r="VMU514" s="332"/>
      <c r="VMV514" s="332"/>
      <c r="VMW514" s="332"/>
      <c r="VMX514" s="332"/>
      <c r="VMY514" s="332"/>
      <c r="VMZ514" s="332"/>
      <c r="VNA514" s="332"/>
      <c r="VNB514" s="332"/>
      <c r="VNC514" s="332"/>
      <c r="VND514" s="332"/>
      <c r="VNE514" s="332"/>
      <c r="VNF514" s="332"/>
      <c r="VNG514" s="332"/>
      <c r="VNH514" s="332"/>
      <c r="VNI514" s="332"/>
      <c r="VNJ514" s="332"/>
      <c r="VNK514" s="332"/>
      <c r="VNL514" s="332"/>
      <c r="VNM514" s="332"/>
      <c r="VNN514" s="332"/>
      <c r="VNO514" s="332"/>
      <c r="VNP514" s="332"/>
      <c r="VNQ514" s="332"/>
      <c r="VNR514" s="332"/>
      <c r="VNS514" s="332"/>
      <c r="VNT514" s="332"/>
      <c r="VNU514" s="332"/>
      <c r="VNV514" s="332"/>
      <c r="VNW514" s="332"/>
      <c r="VNX514" s="332"/>
      <c r="VNY514" s="332"/>
      <c r="VNZ514" s="332"/>
      <c r="VOA514" s="332"/>
      <c r="VOB514" s="332"/>
      <c r="VOC514" s="332"/>
      <c r="VOD514" s="332"/>
      <c r="VOE514" s="332"/>
      <c r="VOF514" s="332"/>
      <c r="VOG514" s="332"/>
      <c r="VOH514" s="332"/>
      <c r="VOI514" s="332"/>
      <c r="VOJ514" s="332"/>
      <c r="VOK514" s="332"/>
      <c r="VOL514" s="332"/>
      <c r="VOM514" s="332"/>
      <c r="VON514" s="332"/>
      <c r="VOO514" s="332"/>
      <c r="VOP514" s="332"/>
      <c r="VOQ514" s="332"/>
      <c r="VOR514" s="332"/>
      <c r="VOS514" s="332"/>
      <c r="VOT514" s="332"/>
      <c r="VOU514" s="332"/>
      <c r="VOV514" s="332"/>
      <c r="VOW514" s="332"/>
      <c r="VOX514" s="332"/>
      <c r="VOY514" s="332"/>
      <c r="VOZ514" s="332"/>
      <c r="VPA514" s="332"/>
      <c r="VPB514" s="332"/>
      <c r="VPC514" s="332"/>
      <c r="VPD514" s="332"/>
      <c r="VPE514" s="332"/>
      <c r="VPF514" s="332"/>
      <c r="VPG514" s="332"/>
      <c r="VPH514" s="332"/>
      <c r="VPI514" s="332"/>
      <c r="VPJ514" s="332"/>
      <c r="VPK514" s="332"/>
      <c r="VPL514" s="332"/>
      <c r="VPM514" s="332"/>
      <c r="VPN514" s="332"/>
      <c r="VPO514" s="332"/>
      <c r="VPP514" s="332"/>
      <c r="VPQ514" s="332"/>
      <c r="VPR514" s="332"/>
      <c r="VPS514" s="332"/>
      <c r="VPT514" s="332"/>
      <c r="VPU514" s="332"/>
      <c r="VPV514" s="332"/>
      <c r="VPW514" s="332"/>
      <c r="VPX514" s="332"/>
      <c r="VPY514" s="332"/>
      <c r="VPZ514" s="332"/>
      <c r="VQA514" s="332"/>
      <c r="VQB514" s="332"/>
      <c r="VQC514" s="332"/>
      <c r="VQD514" s="332"/>
      <c r="VQE514" s="332"/>
      <c r="VQF514" s="332"/>
      <c r="VQG514" s="332"/>
      <c r="VQH514" s="332"/>
      <c r="VQI514" s="332"/>
      <c r="VQJ514" s="332"/>
      <c r="VQK514" s="332"/>
      <c r="VQL514" s="332"/>
      <c r="VQM514" s="332"/>
      <c r="VQN514" s="332"/>
      <c r="VQO514" s="332"/>
      <c r="VQP514" s="332"/>
      <c r="VQQ514" s="332"/>
      <c r="VQR514" s="332"/>
      <c r="VQS514" s="332"/>
      <c r="VQT514" s="332"/>
      <c r="VQU514" s="332"/>
      <c r="VQV514" s="332"/>
      <c r="VQW514" s="332"/>
      <c r="VQX514" s="332"/>
      <c r="VQY514" s="332"/>
      <c r="VQZ514" s="332"/>
      <c r="VRA514" s="332"/>
      <c r="VRB514" s="332"/>
      <c r="VRC514" s="332"/>
      <c r="VRD514" s="332"/>
      <c r="VRE514" s="332"/>
      <c r="VRF514" s="332"/>
      <c r="VRG514" s="332"/>
      <c r="VRH514" s="332"/>
      <c r="VRI514" s="332"/>
      <c r="VRJ514" s="332"/>
      <c r="VRK514" s="332"/>
      <c r="VRL514" s="332"/>
      <c r="VRM514" s="332"/>
      <c r="VRN514" s="332"/>
      <c r="VRO514" s="332"/>
      <c r="VRP514" s="332"/>
      <c r="VRQ514" s="332"/>
      <c r="VRR514" s="332"/>
      <c r="VRS514" s="332"/>
      <c r="VRT514" s="332"/>
      <c r="VRU514" s="332"/>
      <c r="VRV514" s="332"/>
      <c r="VRW514" s="332"/>
      <c r="VRX514" s="332"/>
      <c r="VRY514" s="332"/>
      <c r="VRZ514" s="332"/>
      <c r="VSA514" s="332"/>
      <c r="VSB514" s="332"/>
      <c r="VSC514" s="332"/>
      <c r="VSD514" s="332"/>
      <c r="VSE514" s="332"/>
      <c r="VSF514" s="332"/>
      <c r="VSG514" s="332"/>
      <c r="VSH514" s="332"/>
      <c r="VSI514" s="332"/>
      <c r="VSJ514" s="332"/>
      <c r="VSK514" s="332"/>
      <c r="VSL514" s="332"/>
      <c r="VSM514" s="332"/>
      <c r="VSN514" s="332"/>
      <c r="VSO514" s="332"/>
      <c r="VSP514" s="332"/>
      <c r="VSQ514" s="332"/>
      <c r="VSR514" s="332"/>
      <c r="VSS514" s="332"/>
      <c r="VST514" s="332"/>
      <c r="VSU514" s="332"/>
      <c r="VSV514" s="332"/>
      <c r="VSW514" s="332"/>
      <c r="VSX514" s="332"/>
      <c r="VSY514" s="332"/>
      <c r="VSZ514" s="332"/>
      <c r="VTA514" s="332"/>
      <c r="VTB514" s="332"/>
      <c r="VTC514" s="332"/>
      <c r="VTD514" s="332"/>
      <c r="VTE514" s="332"/>
      <c r="VTF514" s="332"/>
      <c r="VTG514" s="332"/>
      <c r="VTH514" s="332"/>
      <c r="VTI514" s="332"/>
      <c r="VTJ514" s="332"/>
      <c r="VTK514" s="332"/>
      <c r="VTL514" s="332"/>
      <c r="VTM514" s="332"/>
      <c r="VTN514" s="332"/>
      <c r="VTO514" s="332"/>
      <c r="VTP514" s="332"/>
      <c r="VTQ514" s="332"/>
      <c r="VTR514" s="332"/>
      <c r="VTS514" s="332"/>
      <c r="VTT514" s="332"/>
      <c r="VTU514" s="332"/>
      <c r="VTV514" s="332"/>
      <c r="VTW514" s="332"/>
      <c r="VTX514" s="332"/>
      <c r="VTY514" s="332"/>
      <c r="VTZ514" s="332"/>
      <c r="VUA514" s="332"/>
      <c r="VUB514" s="332"/>
      <c r="VUC514" s="332"/>
      <c r="VUD514" s="332"/>
      <c r="VUE514" s="332"/>
      <c r="VUF514" s="332"/>
      <c r="VUG514" s="332"/>
      <c r="VUH514" s="332"/>
      <c r="VUI514" s="332"/>
      <c r="VUJ514" s="332"/>
      <c r="VUK514" s="332"/>
      <c r="VUL514" s="332"/>
      <c r="VUM514" s="332"/>
      <c r="VUN514" s="332"/>
      <c r="VUO514" s="332"/>
      <c r="VUP514" s="332"/>
      <c r="VUQ514" s="332"/>
      <c r="VUR514" s="332"/>
      <c r="VUS514" s="332"/>
      <c r="VUT514" s="332"/>
      <c r="VUU514" s="332"/>
      <c r="VUV514" s="332"/>
      <c r="VUW514" s="332"/>
      <c r="VUX514" s="332"/>
      <c r="VUY514" s="332"/>
      <c r="VUZ514" s="332"/>
      <c r="VVA514" s="332"/>
      <c r="VVB514" s="332"/>
      <c r="VVC514" s="332"/>
      <c r="VVD514" s="332"/>
      <c r="VVE514" s="332"/>
      <c r="VVF514" s="332"/>
      <c r="VVG514" s="332"/>
      <c r="VVH514" s="332"/>
      <c r="VVI514" s="332"/>
      <c r="VVJ514" s="332"/>
      <c r="VVK514" s="332"/>
      <c r="VVL514" s="332"/>
      <c r="VVM514" s="332"/>
      <c r="VVN514" s="332"/>
      <c r="VVO514" s="332"/>
      <c r="VVP514" s="332"/>
      <c r="VVQ514" s="332"/>
      <c r="VVR514" s="332"/>
      <c r="VVS514" s="332"/>
      <c r="VVT514" s="332"/>
      <c r="VVU514" s="332"/>
      <c r="VVV514" s="332"/>
      <c r="VVW514" s="332"/>
      <c r="VVX514" s="332"/>
      <c r="VVY514" s="332"/>
      <c r="VVZ514" s="332"/>
      <c r="VWA514" s="332"/>
      <c r="VWB514" s="332"/>
      <c r="VWC514" s="332"/>
      <c r="VWD514" s="332"/>
      <c r="VWE514" s="332"/>
      <c r="VWF514" s="332"/>
      <c r="VWG514" s="332"/>
      <c r="VWH514" s="332"/>
      <c r="VWI514" s="332"/>
      <c r="VWJ514" s="332"/>
      <c r="VWK514" s="332"/>
      <c r="VWL514" s="332"/>
      <c r="VWM514" s="332"/>
      <c r="VWN514" s="332"/>
      <c r="VWO514" s="332"/>
      <c r="VWP514" s="332"/>
      <c r="VWQ514" s="332"/>
      <c r="VWR514" s="332"/>
      <c r="VWS514" s="332"/>
      <c r="VWT514" s="332"/>
      <c r="VWU514" s="332"/>
      <c r="VWV514" s="332"/>
      <c r="VWW514" s="332"/>
      <c r="VWX514" s="332"/>
      <c r="VWY514" s="332"/>
      <c r="VWZ514" s="332"/>
      <c r="VXA514" s="332"/>
      <c r="VXB514" s="332"/>
      <c r="VXC514" s="332"/>
      <c r="VXD514" s="332"/>
      <c r="VXE514" s="332"/>
      <c r="VXF514" s="332"/>
      <c r="VXG514" s="332"/>
      <c r="VXH514" s="332"/>
      <c r="VXI514" s="332"/>
      <c r="VXJ514" s="332"/>
      <c r="VXK514" s="332"/>
      <c r="VXL514" s="332"/>
      <c r="VXM514" s="332"/>
      <c r="VXN514" s="332"/>
      <c r="VXO514" s="332"/>
      <c r="VXP514" s="332"/>
      <c r="VXQ514" s="332"/>
      <c r="VXR514" s="332"/>
      <c r="VXS514" s="332"/>
      <c r="VXT514" s="332"/>
      <c r="VXU514" s="332"/>
      <c r="VXV514" s="332"/>
      <c r="VXW514" s="332"/>
      <c r="VXX514" s="332"/>
      <c r="VXY514" s="332"/>
      <c r="VXZ514" s="332"/>
      <c r="VYA514" s="332"/>
      <c r="VYB514" s="332"/>
      <c r="VYC514" s="332"/>
      <c r="VYD514" s="332"/>
      <c r="VYE514" s="332"/>
      <c r="VYF514" s="332"/>
      <c r="VYG514" s="332"/>
      <c r="VYH514" s="332"/>
      <c r="VYI514" s="332"/>
      <c r="VYJ514" s="332"/>
      <c r="VYK514" s="332"/>
      <c r="VYL514" s="332"/>
      <c r="VYM514" s="332"/>
      <c r="VYN514" s="332"/>
      <c r="VYO514" s="332"/>
      <c r="VYP514" s="332"/>
      <c r="VYQ514" s="332"/>
      <c r="VYR514" s="332"/>
      <c r="VYS514" s="332"/>
      <c r="VYT514" s="332"/>
      <c r="VYU514" s="332"/>
      <c r="VYV514" s="332"/>
      <c r="VYW514" s="332"/>
      <c r="VYX514" s="332"/>
      <c r="VYY514" s="332"/>
      <c r="VYZ514" s="332"/>
      <c r="VZA514" s="332"/>
      <c r="VZB514" s="332"/>
      <c r="VZC514" s="332"/>
      <c r="VZD514" s="332"/>
      <c r="VZE514" s="332"/>
      <c r="VZF514" s="332"/>
      <c r="VZG514" s="332"/>
      <c r="VZH514" s="332"/>
      <c r="VZI514" s="332"/>
      <c r="VZJ514" s="332"/>
      <c r="VZK514" s="332"/>
      <c r="VZL514" s="332"/>
      <c r="VZM514" s="332"/>
      <c r="VZN514" s="332"/>
      <c r="VZO514" s="332"/>
      <c r="VZP514" s="332"/>
      <c r="VZQ514" s="332"/>
      <c r="VZR514" s="332"/>
      <c r="VZS514" s="332"/>
      <c r="VZT514" s="332"/>
      <c r="VZU514" s="332"/>
      <c r="VZV514" s="332"/>
      <c r="VZW514" s="332"/>
      <c r="VZX514" s="332"/>
      <c r="VZY514" s="332"/>
      <c r="VZZ514" s="332"/>
      <c r="WAA514" s="332"/>
      <c r="WAB514" s="332"/>
      <c r="WAC514" s="332"/>
      <c r="WAD514" s="332"/>
      <c r="WAE514" s="332"/>
      <c r="WAF514" s="332"/>
      <c r="WAG514" s="332"/>
      <c r="WAH514" s="332"/>
      <c r="WAI514" s="332"/>
      <c r="WAJ514" s="332"/>
      <c r="WAK514" s="332"/>
      <c r="WAL514" s="332"/>
      <c r="WAM514" s="332"/>
      <c r="WAN514" s="332"/>
      <c r="WAO514" s="332"/>
      <c r="WAP514" s="332"/>
      <c r="WAQ514" s="332"/>
      <c r="WAR514" s="332"/>
      <c r="WAS514" s="332"/>
      <c r="WAT514" s="332"/>
      <c r="WAU514" s="332"/>
      <c r="WAV514" s="332"/>
      <c r="WAW514" s="332"/>
      <c r="WAX514" s="332"/>
      <c r="WAY514" s="332"/>
      <c r="WAZ514" s="332"/>
      <c r="WBA514" s="332"/>
      <c r="WBB514" s="332"/>
      <c r="WBC514" s="332"/>
      <c r="WBD514" s="332"/>
      <c r="WBE514" s="332"/>
      <c r="WBF514" s="332"/>
      <c r="WBG514" s="332"/>
      <c r="WBH514" s="332"/>
      <c r="WBI514" s="332"/>
      <c r="WBJ514" s="332"/>
      <c r="WBK514" s="332"/>
      <c r="WBL514" s="332"/>
      <c r="WBM514" s="332"/>
      <c r="WBN514" s="332"/>
      <c r="WBO514" s="332"/>
      <c r="WBP514" s="332"/>
      <c r="WBQ514" s="332"/>
      <c r="WBR514" s="332"/>
      <c r="WBS514" s="332"/>
      <c r="WBT514" s="332"/>
      <c r="WBU514" s="332"/>
      <c r="WBV514" s="332"/>
      <c r="WBW514" s="332"/>
      <c r="WBX514" s="332"/>
      <c r="WBY514" s="332"/>
      <c r="WBZ514" s="332"/>
      <c r="WCA514" s="332"/>
      <c r="WCB514" s="332"/>
      <c r="WCC514" s="332"/>
      <c r="WCD514" s="332"/>
      <c r="WCE514" s="332"/>
      <c r="WCF514" s="332"/>
      <c r="WCG514" s="332"/>
      <c r="WCH514" s="332"/>
      <c r="WCI514" s="332"/>
      <c r="WCJ514" s="332"/>
      <c r="WCK514" s="332"/>
      <c r="WCL514" s="332"/>
      <c r="WCM514" s="332"/>
      <c r="WCN514" s="332"/>
      <c r="WCO514" s="332"/>
      <c r="WCP514" s="332"/>
      <c r="WCQ514" s="332"/>
      <c r="WCR514" s="332"/>
      <c r="WCS514" s="332"/>
      <c r="WCT514" s="332"/>
      <c r="WCU514" s="332"/>
      <c r="WCV514" s="332"/>
      <c r="WCW514" s="332"/>
      <c r="WCX514" s="332"/>
      <c r="WCY514" s="332"/>
      <c r="WCZ514" s="332"/>
      <c r="WDA514" s="332"/>
      <c r="WDB514" s="332"/>
      <c r="WDC514" s="332"/>
      <c r="WDD514" s="332"/>
      <c r="WDE514" s="332"/>
      <c r="WDF514" s="332"/>
      <c r="WDG514" s="332"/>
      <c r="WDH514" s="332"/>
      <c r="WDI514" s="332"/>
      <c r="WDJ514" s="332"/>
      <c r="WDK514" s="332"/>
      <c r="WDL514" s="332"/>
      <c r="WDM514" s="332"/>
      <c r="WDN514" s="332"/>
      <c r="WDO514" s="332"/>
      <c r="WDP514" s="332"/>
      <c r="WDQ514" s="332"/>
      <c r="WDR514" s="332"/>
      <c r="WDS514" s="332"/>
      <c r="WDT514" s="332"/>
      <c r="WDU514" s="332"/>
      <c r="WDV514" s="332"/>
      <c r="WDW514" s="332"/>
      <c r="WDX514" s="332"/>
      <c r="WDY514" s="332"/>
      <c r="WDZ514" s="332"/>
      <c r="WEA514" s="332"/>
      <c r="WEB514" s="332"/>
      <c r="WEC514" s="332"/>
      <c r="WED514" s="332"/>
      <c r="WEE514" s="332"/>
      <c r="WEF514" s="332"/>
      <c r="WEG514" s="332"/>
      <c r="WEH514" s="332"/>
      <c r="WEI514" s="332"/>
      <c r="WEJ514" s="332"/>
      <c r="WEK514" s="332"/>
      <c r="WEL514" s="332"/>
      <c r="WEM514" s="332"/>
      <c r="WEN514" s="332"/>
      <c r="WEO514" s="332"/>
      <c r="WEP514" s="332"/>
      <c r="WEQ514" s="332"/>
      <c r="WER514" s="332"/>
      <c r="WES514" s="332"/>
      <c r="WET514" s="332"/>
      <c r="WEU514" s="332"/>
      <c r="WEV514" s="332"/>
      <c r="WEW514" s="332"/>
      <c r="WEX514" s="332"/>
      <c r="WEY514" s="332"/>
      <c r="WEZ514" s="332"/>
      <c r="WFA514" s="332"/>
      <c r="WFB514" s="332"/>
      <c r="WFC514" s="332"/>
      <c r="WFD514" s="332"/>
      <c r="WFE514" s="332"/>
      <c r="WFF514" s="332"/>
      <c r="WFG514" s="332"/>
      <c r="WFH514" s="332"/>
      <c r="WFI514" s="332"/>
      <c r="WFJ514" s="332"/>
      <c r="WFK514" s="332"/>
      <c r="WFL514" s="332"/>
      <c r="WFM514" s="332"/>
      <c r="WFN514" s="332"/>
      <c r="WFO514" s="332"/>
      <c r="WFP514" s="332"/>
      <c r="WFQ514" s="332"/>
      <c r="WFR514" s="332"/>
      <c r="WFS514" s="332"/>
      <c r="WFT514" s="332"/>
      <c r="WFU514" s="332"/>
      <c r="WFV514" s="332"/>
      <c r="WFW514" s="332"/>
      <c r="WFX514" s="332"/>
      <c r="WFY514" s="332"/>
      <c r="WFZ514" s="332"/>
      <c r="WGA514" s="332"/>
      <c r="WGB514" s="332"/>
      <c r="WGC514" s="332"/>
      <c r="WGD514" s="332"/>
      <c r="WGE514" s="332"/>
      <c r="WGF514" s="332"/>
      <c r="WGG514" s="332"/>
      <c r="WGH514" s="332"/>
      <c r="WGI514" s="332"/>
      <c r="WGJ514" s="332"/>
      <c r="WGK514" s="332"/>
      <c r="WGL514" s="332"/>
      <c r="WGM514" s="332"/>
      <c r="WGN514" s="332"/>
      <c r="WGO514" s="332"/>
      <c r="WGP514" s="332"/>
      <c r="WGQ514" s="332"/>
      <c r="WGR514" s="332"/>
      <c r="WGS514" s="332"/>
      <c r="WGT514" s="332"/>
      <c r="WGU514" s="332"/>
      <c r="WGV514" s="332"/>
      <c r="WGW514" s="332"/>
      <c r="WGX514" s="332"/>
      <c r="WGY514" s="332"/>
      <c r="WGZ514" s="332"/>
      <c r="WHA514" s="332"/>
      <c r="WHB514" s="332"/>
      <c r="WHC514" s="332"/>
      <c r="WHD514" s="332"/>
      <c r="WHE514" s="332"/>
      <c r="WHF514" s="332"/>
      <c r="WHG514" s="332"/>
      <c r="WHH514" s="332"/>
      <c r="WHI514" s="332"/>
      <c r="WHJ514" s="332"/>
      <c r="WHK514" s="332"/>
      <c r="WHL514" s="332"/>
      <c r="WHM514" s="332"/>
      <c r="WHN514" s="332"/>
      <c r="WHO514" s="332"/>
      <c r="WHP514" s="332"/>
      <c r="WHQ514" s="332"/>
      <c r="WHR514" s="332"/>
      <c r="WHS514" s="332"/>
      <c r="WHT514" s="332"/>
      <c r="WHU514" s="332"/>
      <c r="WHV514" s="332"/>
      <c r="WHW514" s="332"/>
      <c r="WHX514" s="332"/>
      <c r="WHY514" s="332"/>
      <c r="WHZ514" s="332"/>
      <c r="WIA514" s="332"/>
      <c r="WIB514" s="332"/>
      <c r="WIC514" s="332"/>
      <c r="WID514" s="332"/>
      <c r="WIE514" s="332"/>
      <c r="WIF514" s="332"/>
      <c r="WIG514" s="332"/>
      <c r="WIH514" s="332"/>
      <c r="WII514" s="332"/>
      <c r="WIJ514" s="332"/>
      <c r="WIK514" s="332"/>
      <c r="WIL514" s="332"/>
      <c r="WIM514" s="332"/>
      <c r="WIN514" s="332"/>
      <c r="WIO514" s="332"/>
      <c r="WIP514" s="332"/>
      <c r="WIQ514" s="332"/>
      <c r="WIR514" s="332"/>
      <c r="WIS514" s="332"/>
      <c r="WIT514" s="332"/>
      <c r="WIU514" s="332"/>
      <c r="WIV514" s="332"/>
      <c r="WIW514" s="332"/>
      <c r="WIX514" s="332"/>
      <c r="WIY514" s="332"/>
      <c r="WIZ514" s="332"/>
      <c r="WJA514" s="332"/>
      <c r="WJB514" s="332"/>
      <c r="WJC514" s="332"/>
      <c r="WJD514" s="332"/>
      <c r="WJE514" s="332"/>
      <c r="WJF514" s="332"/>
      <c r="WJG514" s="332"/>
      <c r="WJH514" s="332"/>
      <c r="WJI514" s="332"/>
      <c r="WJJ514" s="332"/>
      <c r="WJK514" s="332"/>
      <c r="WJL514" s="332"/>
      <c r="WJM514" s="332"/>
      <c r="WJN514" s="332"/>
      <c r="WJO514" s="332"/>
      <c r="WJP514" s="332"/>
      <c r="WJQ514" s="332"/>
      <c r="WJR514" s="332"/>
      <c r="WJS514" s="332"/>
      <c r="WJT514" s="332"/>
      <c r="WJU514" s="332"/>
      <c r="WJV514" s="332"/>
      <c r="WJW514" s="332"/>
      <c r="WJX514" s="332"/>
      <c r="WJY514" s="332"/>
      <c r="WJZ514" s="332"/>
      <c r="WKA514" s="332"/>
      <c r="WKB514" s="332"/>
      <c r="WKC514" s="332"/>
      <c r="WKD514" s="332"/>
      <c r="WKE514" s="332"/>
      <c r="WKF514" s="332"/>
      <c r="WKG514" s="332"/>
      <c r="WKH514" s="332"/>
      <c r="WKI514" s="332"/>
      <c r="WKJ514" s="332"/>
      <c r="WKK514" s="332"/>
      <c r="WKL514" s="332"/>
      <c r="WKM514" s="332"/>
      <c r="WKN514" s="332"/>
      <c r="WKO514" s="332"/>
      <c r="WKP514" s="332"/>
      <c r="WKQ514" s="332"/>
      <c r="WKR514" s="332"/>
      <c r="WKS514" s="332"/>
      <c r="WKT514" s="332"/>
      <c r="WKU514" s="332"/>
      <c r="WKV514" s="332"/>
      <c r="WKW514" s="332"/>
      <c r="WKX514" s="332"/>
      <c r="WKY514" s="332"/>
      <c r="WKZ514" s="332"/>
      <c r="WLA514" s="332"/>
      <c r="WLB514" s="332"/>
      <c r="WLC514" s="332"/>
      <c r="WLD514" s="332"/>
      <c r="WLE514" s="332"/>
      <c r="WLF514" s="332"/>
      <c r="WLG514" s="332"/>
      <c r="WLH514" s="332"/>
      <c r="WLI514" s="332"/>
      <c r="WLJ514" s="332"/>
      <c r="WLK514" s="332"/>
      <c r="WLL514" s="332"/>
      <c r="WLM514" s="332"/>
      <c r="WLN514" s="332"/>
      <c r="WLO514" s="332"/>
      <c r="WLP514" s="332"/>
      <c r="WLQ514" s="332"/>
      <c r="WLR514" s="332"/>
      <c r="WLS514" s="332"/>
      <c r="WLT514" s="332"/>
      <c r="WLU514" s="332"/>
      <c r="WLV514" s="332"/>
      <c r="WLW514" s="332"/>
      <c r="WLX514" s="332"/>
      <c r="WLY514" s="332"/>
      <c r="WLZ514" s="332"/>
      <c r="WMA514" s="332"/>
      <c r="WMB514" s="332"/>
      <c r="WMC514" s="332"/>
      <c r="WMD514" s="332"/>
      <c r="WME514" s="332"/>
      <c r="WMF514" s="332"/>
      <c r="WMG514" s="332"/>
      <c r="WMH514" s="332"/>
      <c r="WMI514" s="332"/>
      <c r="WMJ514" s="332"/>
      <c r="WMK514" s="332"/>
      <c r="WML514" s="332"/>
      <c r="WMM514" s="332"/>
      <c r="WMN514" s="332"/>
      <c r="WMO514" s="332"/>
      <c r="WMP514" s="332"/>
      <c r="WMQ514" s="332"/>
      <c r="WMR514" s="332"/>
      <c r="WMS514" s="332"/>
      <c r="WMT514" s="332"/>
      <c r="WMU514" s="332"/>
      <c r="WMV514" s="332"/>
      <c r="WMW514" s="332"/>
      <c r="WMX514" s="332"/>
      <c r="WMY514" s="332"/>
      <c r="WMZ514" s="332"/>
      <c r="WNA514" s="332"/>
      <c r="WNB514" s="332"/>
      <c r="WNC514" s="332"/>
      <c r="WND514" s="332"/>
      <c r="WNE514" s="332"/>
      <c r="WNF514" s="332"/>
      <c r="WNG514" s="332"/>
      <c r="WNH514" s="332"/>
      <c r="WNI514" s="332"/>
      <c r="WNJ514" s="332"/>
      <c r="WNK514" s="332"/>
      <c r="WNL514" s="332"/>
      <c r="WNM514" s="332"/>
      <c r="WNN514" s="332"/>
      <c r="WNO514" s="332"/>
      <c r="WNP514" s="332"/>
      <c r="WNQ514" s="332"/>
      <c r="WNR514" s="332"/>
      <c r="WNS514" s="332"/>
      <c r="WNT514" s="332"/>
      <c r="WNU514" s="332"/>
      <c r="WNV514" s="332"/>
      <c r="WNW514" s="332"/>
      <c r="WNX514" s="332"/>
      <c r="WNY514" s="332"/>
      <c r="WNZ514" s="332"/>
      <c r="WOA514" s="332"/>
      <c r="WOB514" s="332"/>
      <c r="WOC514" s="332"/>
      <c r="WOD514" s="332"/>
      <c r="WOE514" s="332"/>
      <c r="WOF514" s="332"/>
      <c r="WOG514" s="332"/>
      <c r="WOH514" s="332"/>
      <c r="WOI514" s="332"/>
      <c r="WOJ514" s="332"/>
      <c r="WOK514" s="332"/>
      <c r="WOL514" s="332"/>
      <c r="WOM514" s="332"/>
      <c r="WON514" s="332"/>
      <c r="WOO514" s="332"/>
      <c r="WOP514" s="332"/>
      <c r="WOQ514" s="332"/>
      <c r="WOR514" s="332"/>
      <c r="WOS514" s="332"/>
      <c r="WOT514" s="332"/>
      <c r="WOU514" s="332"/>
      <c r="WOV514" s="332"/>
      <c r="WOW514" s="332"/>
      <c r="WOX514" s="332"/>
      <c r="WOY514" s="332"/>
      <c r="WOZ514" s="332"/>
      <c r="WPA514" s="332"/>
      <c r="WPB514" s="332"/>
      <c r="WPC514" s="332"/>
      <c r="WPD514" s="332"/>
      <c r="WPE514" s="332"/>
      <c r="WPF514" s="332"/>
      <c r="WPG514" s="332"/>
      <c r="WPH514" s="332"/>
      <c r="WPI514" s="332"/>
      <c r="WPJ514" s="332"/>
      <c r="WPK514" s="332"/>
      <c r="WPL514" s="332"/>
      <c r="WPM514" s="332"/>
      <c r="WPN514" s="332"/>
      <c r="WPO514" s="332"/>
      <c r="WPP514" s="332"/>
      <c r="WPQ514" s="332"/>
      <c r="WPR514" s="332"/>
      <c r="WPS514" s="332"/>
      <c r="WPT514" s="332"/>
      <c r="WPU514" s="332"/>
      <c r="WPV514" s="332"/>
      <c r="WPW514" s="332"/>
      <c r="WPX514" s="332"/>
      <c r="WPY514" s="332"/>
      <c r="WPZ514" s="332"/>
      <c r="WQA514" s="332"/>
      <c r="WQB514" s="332"/>
      <c r="WQC514" s="332"/>
      <c r="WQD514" s="332"/>
      <c r="WQE514" s="332"/>
      <c r="WQF514" s="332"/>
      <c r="WQG514" s="332"/>
      <c r="WQH514" s="332"/>
      <c r="WQI514" s="332"/>
      <c r="WQJ514" s="332"/>
      <c r="WQK514" s="332"/>
      <c r="WQL514" s="332"/>
      <c r="WQM514" s="332"/>
      <c r="WQN514" s="332"/>
      <c r="WQO514" s="332"/>
      <c r="WQP514" s="332"/>
      <c r="WQQ514" s="332"/>
      <c r="WQR514" s="332"/>
      <c r="WQS514" s="332"/>
      <c r="WQT514" s="332"/>
      <c r="WQU514" s="332"/>
      <c r="WQV514" s="332"/>
      <c r="WQW514" s="332"/>
      <c r="WQX514" s="332"/>
      <c r="WQY514" s="332"/>
      <c r="WQZ514" s="332"/>
      <c r="WRA514" s="332"/>
      <c r="WRB514" s="332"/>
      <c r="WRC514" s="332"/>
      <c r="WRD514" s="332"/>
      <c r="WRE514" s="332"/>
      <c r="WRF514" s="332"/>
      <c r="WRG514" s="332"/>
      <c r="WRH514" s="332"/>
      <c r="WRI514" s="332"/>
      <c r="WRJ514" s="332"/>
      <c r="WRK514" s="332"/>
      <c r="WRL514" s="332"/>
      <c r="WRM514" s="332"/>
      <c r="WRN514" s="332"/>
      <c r="WRO514" s="332"/>
      <c r="WRP514" s="332"/>
      <c r="WRQ514" s="332"/>
      <c r="WRR514" s="332"/>
      <c r="WRS514" s="332"/>
      <c r="WRT514" s="332"/>
      <c r="WRU514" s="332"/>
      <c r="WRV514" s="332"/>
      <c r="WRW514" s="332"/>
      <c r="WRX514" s="332"/>
      <c r="WRY514" s="332"/>
      <c r="WRZ514" s="332"/>
      <c r="WSA514" s="332"/>
      <c r="WSB514" s="332"/>
      <c r="WSC514" s="332"/>
      <c r="WSD514" s="332"/>
      <c r="WSE514" s="332"/>
      <c r="WSF514" s="332"/>
      <c r="WSG514" s="332"/>
      <c r="WSH514" s="332"/>
      <c r="WSI514" s="332"/>
      <c r="WSJ514" s="332"/>
      <c r="WSK514" s="332"/>
      <c r="WSL514" s="332"/>
      <c r="WSM514" s="332"/>
      <c r="WSN514" s="332"/>
      <c r="WSO514" s="332"/>
      <c r="WSP514" s="332"/>
      <c r="WSQ514" s="332"/>
      <c r="WSR514" s="332"/>
      <c r="WSS514" s="332"/>
      <c r="WST514" s="332"/>
      <c r="WSU514" s="332"/>
      <c r="WSV514" s="332"/>
      <c r="WSW514" s="332"/>
      <c r="WSX514" s="332"/>
      <c r="WSY514" s="332"/>
      <c r="WSZ514" s="332"/>
      <c r="WTA514" s="332"/>
      <c r="WTB514" s="332"/>
      <c r="WTC514" s="332"/>
      <c r="WTD514" s="332"/>
      <c r="WTE514" s="332"/>
      <c r="WTF514" s="332"/>
      <c r="WTG514" s="332"/>
      <c r="WTH514" s="332"/>
      <c r="WTI514" s="332"/>
      <c r="WTJ514" s="332"/>
      <c r="WTK514" s="332"/>
      <c r="WTL514" s="332"/>
      <c r="WTM514" s="332"/>
      <c r="WTN514" s="332"/>
      <c r="WTO514" s="332"/>
      <c r="WTP514" s="332"/>
      <c r="WTQ514" s="332"/>
      <c r="WTR514" s="332"/>
      <c r="WTS514" s="332"/>
      <c r="WTT514" s="332"/>
      <c r="WTU514" s="332"/>
      <c r="WTV514" s="332"/>
      <c r="WTW514" s="332"/>
      <c r="WTX514" s="332"/>
      <c r="WTY514" s="332"/>
      <c r="WTZ514" s="332"/>
      <c r="WUA514" s="332"/>
      <c r="WUB514" s="332"/>
      <c r="WUC514" s="332"/>
      <c r="WUD514" s="332"/>
      <c r="WUE514" s="332"/>
      <c r="WUF514" s="332"/>
      <c r="WUG514" s="332"/>
      <c r="WUH514" s="332"/>
      <c r="WUI514" s="332"/>
      <c r="WUJ514" s="332"/>
      <c r="WUK514" s="332"/>
      <c r="WUL514" s="332"/>
      <c r="WUM514" s="332"/>
      <c r="WUN514" s="332"/>
      <c r="WUO514" s="332"/>
      <c r="WUP514" s="332"/>
      <c r="WUQ514" s="332"/>
      <c r="WUR514" s="332"/>
      <c r="WUS514" s="332"/>
      <c r="WUT514" s="332"/>
      <c r="WUU514" s="332"/>
      <c r="WUV514" s="332"/>
      <c r="WUW514" s="332"/>
      <c r="WUX514" s="332"/>
      <c r="WUY514" s="332"/>
      <c r="WUZ514" s="332"/>
      <c r="WVA514" s="332"/>
      <c r="WVB514" s="332"/>
      <c r="WVC514" s="332"/>
      <c r="WVD514" s="332"/>
      <c r="WVE514" s="332"/>
      <c r="WVF514" s="332"/>
      <c r="WVG514" s="332"/>
      <c r="WVH514" s="332"/>
      <c r="WVI514" s="332"/>
      <c r="WVJ514" s="332"/>
      <c r="WVK514" s="332"/>
      <c r="WVL514" s="332"/>
      <c r="WVM514" s="332"/>
      <c r="WVN514" s="332"/>
      <c r="WVO514" s="332"/>
      <c r="WVP514" s="332"/>
      <c r="WVQ514" s="332"/>
      <c r="WVR514" s="332"/>
      <c r="WVS514" s="332"/>
      <c r="WVT514" s="332"/>
      <c r="WVU514" s="332"/>
      <c r="WVV514" s="332"/>
      <c r="WVW514" s="332"/>
      <c r="WVX514" s="332"/>
      <c r="WVY514" s="332"/>
      <c r="WVZ514" s="332"/>
      <c r="WWA514" s="332"/>
      <c r="WWB514" s="332"/>
      <c r="WWC514" s="332"/>
      <c r="WWD514" s="332"/>
      <c r="WWE514" s="332"/>
      <c r="WWF514" s="332"/>
      <c r="WWG514" s="332"/>
      <c r="WWH514" s="332"/>
      <c r="WWI514" s="332"/>
      <c r="WWJ514" s="332"/>
      <c r="WWK514" s="332"/>
      <c r="WWL514" s="332"/>
      <c r="WWM514" s="332"/>
      <c r="WWN514" s="332"/>
      <c r="WWO514" s="332"/>
      <c r="WWP514" s="332"/>
      <c r="WWQ514" s="332"/>
      <c r="WWR514" s="332"/>
      <c r="WWS514" s="332"/>
      <c r="WWT514" s="332"/>
      <c r="WWU514" s="332"/>
      <c r="WWV514" s="332"/>
      <c r="WWW514" s="332"/>
      <c r="WWX514" s="332"/>
      <c r="WWY514" s="332"/>
      <c r="WWZ514" s="332"/>
      <c r="WXA514" s="332"/>
      <c r="WXB514" s="332"/>
      <c r="WXC514" s="332"/>
      <c r="WXD514" s="332"/>
      <c r="WXE514" s="332"/>
      <c r="WXF514" s="332"/>
      <c r="WXG514" s="332"/>
      <c r="WXH514" s="332"/>
      <c r="WXI514" s="332"/>
      <c r="WXJ514" s="332"/>
      <c r="WXK514" s="332"/>
      <c r="WXL514" s="332"/>
      <c r="WXM514" s="332"/>
      <c r="WXN514" s="332"/>
      <c r="WXO514" s="332"/>
      <c r="WXP514" s="332"/>
      <c r="WXQ514" s="332"/>
      <c r="WXR514" s="332"/>
      <c r="WXS514" s="332"/>
      <c r="WXT514" s="332"/>
      <c r="WXU514" s="332"/>
      <c r="WXV514" s="332"/>
      <c r="WXW514" s="332"/>
      <c r="WXX514" s="332"/>
      <c r="WXY514" s="332"/>
      <c r="WXZ514" s="332"/>
      <c r="WYA514" s="332"/>
      <c r="WYB514" s="332"/>
      <c r="WYC514" s="332"/>
      <c r="WYD514" s="332"/>
      <c r="WYE514" s="332"/>
      <c r="WYF514" s="332"/>
      <c r="WYG514" s="332"/>
      <c r="WYH514" s="332"/>
      <c r="WYI514" s="332"/>
      <c r="WYJ514" s="332"/>
      <c r="WYK514" s="332"/>
      <c r="WYL514" s="332"/>
      <c r="WYM514" s="332"/>
      <c r="WYN514" s="332"/>
      <c r="WYO514" s="332"/>
      <c r="WYP514" s="332"/>
      <c r="WYQ514" s="332"/>
      <c r="WYR514" s="332"/>
      <c r="WYS514" s="332"/>
      <c r="WYT514" s="332"/>
      <c r="WYU514" s="332"/>
      <c r="WYV514" s="332"/>
      <c r="WYW514" s="332"/>
      <c r="WYX514" s="332"/>
      <c r="WYY514" s="332"/>
      <c r="WYZ514" s="332"/>
      <c r="WZA514" s="332"/>
      <c r="WZB514" s="332"/>
      <c r="WZC514" s="332"/>
      <c r="WZD514" s="332"/>
      <c r="WZE514" s="332"/>
      <c r="WZF514" s="332"/>
      <c r="WZG514" s="332"/>
      <c r="WZH514" s="332"/>
      <c r="WZI514" s="332"/>
      <c r="WZJ514" s="332"/>
      <c r="WZK514" s="332"/>
      <c r="WZL514" s="332"/>
      <c r="WZM514" s="332"/>
      <c r="WZN514" s="332"/>
      <c r="WZO514" s="332"/>
      <c r="WZP514" s="332"/>
      <c r="WZQ514" s="332"/>
      <c r="WZR514" s="332"/>
      <c r="WZS514" s="332"/>
      <c r="WZT514" s="332"/>
      <c r="WZU514" s="332"/>
      <c r="WZV514" s="332"/>
      <c r="WZW514" s="332"/>
      <c r="WZX514" s="332"/>
      <c r="WZY514" s="332"/>
      <c r="WZZ514" s="332"/>
      <c r="XAA514" s="332"/>
      <c r="XAB514" s="332"/>
      <c r="XAC514" s="332"/>
      <c r="XAD514" s="332"/>
      <c r="XAE514" s="332"/>
      <c r="XAF514" s="332"/>
      <c r="XAG514" s="332"/>
      <c r="XAH514" s="332"/>
      <c r="XAI514" s="332"/>
      <c r="XAJ514" s="332"/>
      <c r="XAK514" s="332"/>
      <c r="XAL514" s="332"/>
      <c r="XAM514" s="332"/>
      <c r="XAN514" s="332"/>
      <c r="XAO514" s="332"/>
      <c r="XAP514" s="332"/>
      <c r="XAQ514" s="332"/>
      <c r="XAR514" s="332"/>
      <c r="XAS514" s="332"/>
      <c r="XAT514" s="332"/>
      <c r="XAU514" s="332"/>
      <c r="XAV514" s="332"/>
      <c r="XAW514" s="332"/>
      <c r="XAX514" s="332"/>
      <c r="XAY514" s="332"/>
      <c r="XAZ514" s="332"/>
      <c r="XBA514" s="332"/>
      <c r="XBB514" s="332"/>
      <c r="XBC514" s="332"/>
      <c r="XBD514" s="332"/>
      <c r="XBE514" s="332"/>
      <c r="XBF514" s="332"/>
      <c r="XBG514" s="332"/>
      <c r="XBH514" s="332"/>
      <c r="XBI514" s="332"/>
      <c r="XBJ514" s="332"/>
      <c r="XBK514" s="332"/>
      <c r="XBL514" s="332"/>
      <c r="XBM514" s="332"/>
      <c r="XBN514" s="332"/>
      <c r="XBO514" s="332"/>
      <c r="XBP514" s="332"/>
      <c r="XBQ514" s="332"/>
      <c r="XBR514" s="332"/>
      <c r="XBS514" s="332"/>
      <c r="XBT514" s="332"/>
      <c r="XBU514" s="332"/>
      <c r="XBV514" s="332"/>
      <c r="XBW514" s="332"/>
      <c r="XBX514" s="332"/>
      <c r="XBY514" s="332"/>
      <c r="XBZ514" s="332"/>
      <c r="XCA514" s="332"/>
      <c r="XCB514" s="332"/>
      <c r="XCC514" s="332"/>
      <c r="XCD514" s="332"/>
      <c r="XCE514" s="332"/>
      <c r="XCF514" s="332"/>
      <c r="XCG514" s="332"/>
      <c r="XCH514" s="332"/>
      <c r="XCI514" s="332"/>
      <c r="XCJ514" s="332"/>
      <c r="XCK514" s="332"/>
      <c r="XCL514" s="332"/>
      <c r="XCM514" s="332"/>
      <c r="XCN514" s="332"/>
      <c r="XCO514" s="332"/>
      <c r="XCP514" s="332"/>
      <c r="XCQ514" s="332"/>
      <c r="XCR514" s="332"/>
      <c r="XCS514" s="332"/>
      <c r="XCT514" s="332"/>
      <c r="XCU514" s="332"/>
      <c r="XCV514" s="332"/>
      <c r="XCW514" s="332"/>
      <c r="XCX514" s="332"/>
      <c r="XCY514" s="332"/>
      <c r="XCZ514" s="332"/>
      <c r="XDA514" s="332"/>
      <c r="XDB514" s="332"/>
      <c r="XDC514" s="332"/>
      <c r="XDD514" s="332"/>
      <c r="XDE514" s="332"/>
      <c r="XDF514" s="332"/>
      <c r="XDG514" s="332"/>
      <c r="XDH514" s="332"/>
      <c r="XDI514" s="332"/>
      <c r="XDJ514" s="332"/>
      <c r="XDK514" s="332"/>
      <c r="XDL514" s="332"/>
      <c r="XDM514" s="332"/>
      <c r="XDN514" s="332"/>
      <c r="XDO514" s="332"/>
      <c r="XDP514" s="332"/>
      <c r="XDQ514" s="332"/>
      <c r="XDR514" s="332"/>
      <c r="XDS514" s="332"/>
      <c r="XDT514" s="332"/>
      <c r="XDU514" s="332"/>
      <c r="XDV514" s="332"/>
      <c r="XDW514" s="332"/>
      <c r="XDX514" s="332"/>
      <c r="XDY514" s="332"/>
      <c r="XDZ514" s="332"/>
      <c r="XEA514" s="332"/>
      <c r="XEB514" s="332"/>
      <c r="XEC514" s="332"/>
      <c r="XED514" s="332"/>
      <c r="XEE514" s="332"/>
      <c r="XEF514" s="332"/>
      <c r="XEG514" s="332"/>
      <c r="XEH514" s="332"/>
      <c r="XEI514" s="332"/>
      <c r="XEJ514" s="332"/>
      <c r="XEK514" s="332"/>
      <c r="XEL514" s="332"/>
      <c r="XEM514" s="332"/>
      <c r="XEN514" s="332"/>
      <c r="XEO514" s="332"/>
      <c r="XEP514" s="332"/>
      <c r="XEQ514" s="332"/>
      <c r="XER514" s="332"/>
      <c r="XES514" s="332"/>
      <c r="XET514" s="332"/>
      <c r="XEU514" s="332"/>
      <c r="XEV514" s="332"/>
      <c r="XEW514" s="332"/>
      <c r="XEX514" s="332"/>
      <c r="XEY514" s="332"/>
      <c r="XEZ514" s="332"/>
      <c r="XFA514" s="332"/>
      <c r="XFB514" s="332"/>
      <c r="XFC514" s="332"/>
      <c r="XFD514" s="333"/>
    </row>
    <row r="515" spans="1:16384" s="264" customFormat="1" ht="12.75" hidden="1">
      <c r="A515" s="1642"/>
      <c r="B515" s="1643"/>
      <c r="C515" s="1643"/>
      <c r="D515" s="1644"/>
      <c r="E515" s="330"/>
      <c r="F515" s="330"/>
      <c r="G515" s="330"/>
      <c r="H515" s="330"/>
      <c r="I515" s="330"/>
      <c r="J515" s="330"/>
      <c r="K515" s="330"/>
      <c r="L515" s="330"/>
      <c r="M515" s="330"/>
      <c r="N515" s="330"/>
      <c r="O515" s="330"/>
      <c r="P515" s="330"/>
      <c r="Q515" s="330"/>
      <c r="R515" s="330"/>
      <c r="S515" s="330"/>
      <c r="T515" s="330"/>
      <c r="U515" s="330"/>
      <c r="V515" s="330"/>
      <c r="W515" s="330"/>
      <c r="X515" s="330"/>
      <c r="Y515" s="330"/>
      <c r="Z515" s="330"/>
      <c r="AA515" s="330"/>
      <c r="AB515" s="330"/>
      <c r="AC515" s="330"/>
      <c r="AD515" s="330"/>
      <c r="AE515" s="330"/>
      <c r="AF515" s="330"/>
      <c r="AG515" s="330"/>
      <c r="AH515" s="330"/>
      <c r="AI515" s="330"/>
      <c r="AJ515" s="330"/>
      <c r="AK515" s="330"/>
      <c r="AL515" s="330"/>
      <c r="AM515" s="330"/>
      <c r="AN515" s="330"/>
      <c r="AO515" s="330"/>
      <c r="AP515" s="330"/>
      <c r="AQ515" s="330"/>
      <c r="AR515" s="330"/>
      <c r="AS515" s="330"/>
      <c r="AT515" s="330"/>
      <c r="AU515" s="330"/>
      <c r="AV515" s="330"/>
      <c r="AW515" s="330"/>
      <c r="AX515" s="330"/>
      <c r="AY515" s="330"/>
      <c r="AZ515" s="330"/>
      <c r="BA515" s="330"/>
      <c r="BB515" s="330"/>
      <c r="BC515" s="330"/>
      <c r="BD515" s="330"/>
      <c r="BE515" s="330"/>
      <c r="BF515" s="330"/>
      <c r="BG515" s="330"/>
      <c r="BH515" s="330"/>
      <c r="BI515" s="330"/>
      <c r="BJ515" s="330"/>
      <c r="BK515" s="330"/>
      <c r="BL515" s="330"/>
      <c r="BM515" s="330"/>
      <c r="BN515" s="330"/>
      <c r="BO515" s="330"/>
      <c r="BP515" s="330"/>
      <c r="BQ515" s="330"/>
      <c r="BR515" s="330"/>
      <c r="BS515" s="330"/>
      <c r="BT515" s="330"/>
      <c r="BU515" s="330"/>
      <c r="BV515" s="330"/>
      <c r="BW515" s="330"/>
      <c r="BX515" s="330"/>
      <c r="BY515" s="330"/>
      <c r="BZ515" s="330"/>
      <c r="CA515" s="330"/>
      <c r="CB515" s="330"/>
      <c r="CC515" s="330"/>
      <c r="CD515" s="330"/>
      <c r="CE515" s="330"/>
      <c r="CF515" s="330"/>
      <c r="CG515" s="330"/>
      <c r="CH515" s="330"/>
      <c r="CI515" s="330"/>
      <c r="CJ515" s="330"/>
      <c r="CK515" s="330"/>
      <c r="CL515" s="330"/>
      <c r="CM515" s="330"/>
      <c r="CN515" s="330"/>
      <c r="CO515" s="330"/>
      <c r="CP515" s="330"/>
      <c r="CQ515" s="330"/>
      <c r="CR515" s="330"/>
      <c r="CS515" s="330"/>
      <c r="CT515" s="330"/>
      <c r="CU515" s="330"/>
      <c r="CV515" s="330"/>
      <c r="CW515" s="330"/>
      <c r="CX515" s="330"/>
      <c r="CY515" s="330"/>
      <c r="CZ515" s="330"/>
      <c r="DA515" s="330"/>
      <c r="DB515" s="330"/>
      <c r="DC515" s="330"/>
      <c r="DD515" s="330"/>
      <c r="DE515" s="330"/>
      <c r="DF515" s="330"/>
      <c r="DG515" s="330"/>
      <c r="DH515" s="330"/>
      <c r="DI515" s="330"/>
      <c r="DJ515" s="330"/>
      <c r="DK515" s="330"/>
      <c r="DL515" s="330"/>
      <c r="DM515" s="330"/>
      <c r="DN515" s="330"/>
      <c r="DO515" s="330"/>
      <c r="DP515" s="330"/>
      <c r="DQ515" s="330"/>
      <c r="DR515" s="330"/>
      <c r="DS515" s="330"/>
      <c r="DT515" s="330"/>
      <c r="DU515" s="330"/>
      <c r="DV515" s="330"/>
      <c r="DW515" s="330"/>
      <c r="DX515" s="330"/>
      <c r="DY515" s="330"/>
      <c r="DZ515" s="330"/>
      <c r="EA515" s="330"/>
      <c r="EB515" s="330"/>
      <c r="EC515" s="330"/>
      <c r="ED515" s="330"/>
      <c r="EE515" s="330"/>
      <c r="EF515" s="330"/>
      <c r="EG515" s="330"/>
      <c r="EH515" s="330"/>
      <c r="EI515" s="330"/>
      <c r="EJ515" s="330"/>
      <c r="EK515" s="330"/>
      <c r="EL515" s="330"/>
      <c r="EM515" s="330"/>
      <c r="EN515" s="330"/>
      <c r="EO515" s="330"/>
      <c r="EP515" s="330"/>
      <c r="EQ515" s="330"/>
      <c r="ER515" s="330"/>
      <c r="ES515" s="330"/>
      <c r="ET515" s="330"/>
      <c r="EU515" s="330"/>
      <c r="EV515" s="330"/>
      <c r="EW515" s="330"/>
      <c r="EX515" s="330"/>
      <c r="EY515" s="330"/>
      <c r="EZ515" s="330"/>
      <c r="FA515" s="330"/>
      <c r="FB515" s="330"/>
      <c r="FC515" s="330"/>
      <c r="FD515" s="330"/>
      <c r="FE515" s="330"/>
      <c r="FF515" s="330"/>
      <c r="FG515" s="330"/>
      <c r="FH515" s="330"/>
      <c r="FI515" s="330"/>
    </row>
    <row r="516" spans="1:16384" s="336" customFormat="1" ht="15" hidden="1" customHeight="1">
      <c r="A516" s="335"/>
      <c r="B516" s="332"/>
      <c r="C516" s="332"/>
      <c r="D516" s="332"/>
      <c r="E516" s="332"/>
      <c r="F516" s="332"/>
      <c r="G516" s="332"/>
      <c r="H516" s="332"/>
      <c r="I516" s="332"/>
      <c r="J516" s="332"/>
      <c r="K516" s="332"/>
      <c r="L516" s="332"/>
      <c r="M516" s="332"/>
      <c r="N516" s="332"/>
      <c r="O516" s="332"/>
      <c r="P516" s="332"/>
      <c r="Q516" s="332"/>
      <c r="R516" s="332"/>
      <c r="S516" s="332"/>
      <c r="T516" s="332"/>
      <c r="U516" s="332"/>
      <c r="V516" s="332"/>
      <c r="W516" s="332"/>
      <c r="X516" s="332"/>
      <c r="Y516" s="332"/>
      <c r="Z516" s="332"/>
      <c r="AA516" s="332"/>
      <c r="AB516" s="332"/>
      <c r="AC516" s="332"/>
      <c r="AD516" s="332"/>
      <c r="AE516" s="332"/>
      <c r="AF516" s="332"/>
      <c r="AG516" s="332"/>
      <c r="AH516" s="332"/>
      <c r="AI516" s="332"/>
      <c r="AJ516" s="332"/>
      <c r="AK516" s="332"/>
      <c r="AL516" s="332"/>
      <c r="AM516" s="332"/>
      <c r="AN516" s="332"/>
      <c r="AO516" s="332"/>
      <c r="AP516" s="332"/>
      <c r="AQ516" s="332"/>
      <c r="AR516" s="332"/>
      <c r="AS516" s="332"/>
      <c r="AT516" s="332"/>
      <c r="AU516" s="332"/>
      <c r="AV516" s="332"/>
      <c r="AW516" s="332"/>
      <c r="AX516" s="332"/>
      <c r="AY516" s="332"/>
      <c r="AZ516" s="332"/>
      <c r="BA516" s="332"/>
      <c r="BB516" s="332"/>
      <c r="BC516" s="332"/>
      <c r="BD516" s="332"/>
      <c r="BE516" s="332"/>
      <c r="BF516" s="332"/>
      <c r="BG516" s="332"/>
      <c r="BH516" s="332"/>
      <c r="BI516" s="332"/>
      <c r="BJ516" s="332"/>
      <c r="BK516" s="332"/>
      <c r="BL516" s="332"/>
      <c r="BM516" s="332"/>
      <c r="BN516" s="332"/>
      <c r="BO516" s="332"/>
      <c r="BP516" s="332"/>
      <c r="BQ516" s="332"/>
      <c r="BR516" s="332"/>
      <c r="BS516" s="332"/>
      <c r="BT516" s="332"/>
      <c r="BU516" s="332"/>
      <c r="BV516" s="332"/>
      <c r="BW516" s="332"/>
      <c r="BX516" s="332"/>
      <c r="BY516" s="332"/>
      <c r="BZ516" s="332"/>
      <c r="CA516" s="332"/>
      <c r="CB516" s="332"/>
      <c r="CC516" s="332"/>
      <c r="CD516" s="332"/>
      <c r="CE516" s="332"/>
      <c r="CF516" s="332"/>
      <c r="CG516" s="332"/>
      <c r="CH516" s="332"/>
      <c r="CI516" s="332"/>
      <c r="CJ516" s="332"/>
      <c r="CK516" s="332"/>
      <c r="CL516" s="332"/>
      <c r="CM516" s="332"/>
      <c r="CN516" s="332"/>
      <c r="CO516" s="332"/>
      <c r="CP516" s="332"/>
      <c r="CQ516" s="332"/>
      <c r="CR516" s="332"/>
      <c r="CS516" s="332"/>
      <c r="CT516" s="332"/>
      <c r="CU516" s="332"/>
      <c r="CV516" s="332"/>
      <c r="CW516" s="332"/>
      <c r="CX516" s="332"/>
      <c r="CY516" s="332"/>
      <c r="CZ516" s="332"/>
      <c r="DA516" s="332"/>
      <c r="DB516" s="332"/>
      <c r="DC516" s="332"/>
      <c r="DD516" s="332"/>
      <c r="DE516" s="332"/>
      <c r="DF516" s="332"/>
      <c r="DG516" s="332"/>
      <c r="DH516" s="332"/>
      <c r="DI516" s="332"/>
      <c r="DJ516" s="332"/>
      <c r="DK516" s="332"/>
      <c r="DL516" s="332"/>
      <c r="DM516" s="332"/>
      <c r="DN516" s="332"/>
      <c r="DO516" s="332"/>
      <c r="DP516" s="332"/>
      <c r="DQ516" s="332"/>
      <c r="DR516" s="332"/>
      <c r="DS516" s="332"/>
      <c r="DT516" s="332"/>
      <c r="DU516" s="332"/>
      <c r="DV516" s="332"/>
      <c r="DW516" s="332"/>
      <c r="DX516" s="332"/>
      <c r="DY516" s="332"/>
      <c r="DZ516" s="332"/>
      <c r="EA516" s="332"/>
      <c r="EB516" s="332"/>
      <c r="EC516" s="332"/>
      <c r="ED516" s="332"/>
      <c r="EE516" s="332"/>
      <c r="EF516" s="332"/>
      <c r="EG516" s="332"/>
      <c r="EH516" s="332"/>
      <c r="EI516" s="332"/>
      <c r="EJ516" s="332"/>
      <c r="EK516" s="332"/>
      <c r="EL516" s="332"/>
      <c r="EM516" s="332"/>
      <c r="EN516" s="332"/>
      <c r="EO516" s="332"/>
      <c r="EP516" s="332"/>
      <c r="EQ516" s="332"/>
      <c r="ER516" s="332"/>
      <c r="ES516" s="332"/>
      <c r="ET516" s="332"/>
      <c r="EU516" s="332"/>
      <c r="EV516" s="332"/>
      <c r="EW516" s="332"/>
      <c r="EX516" s="332"/>
      <c r="EY516" s="332"/>
      <c r="EZ516" s="332"/>
      <c r="FA516" s="332"/>
      <c r="FB516" s="332"/>
      <c r="FC516" s="332"/>
      <c r="FD516" s="332"/>
      <c r="FE516" s="332"/>
      <c r="FF516" s="332"/>
      <c r="FG516" s="332"/>
      <c r="FH516" s="332"/>
      <c r="FI516" s="332"/>
      <c r="FJ516" s="332"/>
      <c r="FK516" s="332"/>
      <c r="FL516" s="332"/>
      <c r="FM516" s="332"/>
      <c r="FN516" s="332"/>
      <c r="FO516" s="332"/>
      <c r="FP516" s="332"/>
      <c r="FQ516" s="332"/>
      <c r="FR516" s="332"/>
      <c r="FS516" s="332"/>
      <c r="FT516" s="332"/>
      <c r="FU516" s="332"/>
      <c r="FV516" s="332"/>
      <c r="FW516" s="332"/>
      <c r="FX516" s="332"/>
      <c r="FY516" s="332"/>
      <c r="FZ516" s="332"/>
      <c r="GA516" s="332"/>
      <c r="GB516" s="332"/>
      <c r="GC516" s="332"/>
      <c r="GD516" s="332"/>
      <c r="GE516" s="332"/>
      <c r="GF516" s="332"/>
      <c r="GG516" s="332"/>
      <c r="GH516" s="332"/>
      <c r="GI516" s="332"/>
      <c r="GJ516" s="332"/>
      <c r="GK516" s="332"/>
      <c r="GL516" s="332"/>
      <c r="GM516" s="332"/>
      <c r="GN516" s="332"/>
      <c r="GO516" s="332"/>
      <c r="GP516" s="332"/>
      <c r="GQ516" s="332"/>
      <c r="GR516" s="332"/>
      <c r="GS516" s="332"/>
      <c r="GT516" s="332"/>
      <c r="GU516" s="332"/>
      <c r="GV516" s="332"/>
      <c r="GW516" s="332"/>
      <c r="GX516" s="332"/>
      <c r="GY516" s="332"/>
      <c r="GZ516" s="332"/>
      <c r="HA516" s="332"/>
      <c r="HB516" s="332"/>
      <c r="HC516" s="332"/>
      <c r="HD516" s="332"/>
      <c r="HE516" s="332"/>
      <c r="HF516" s="332"/>
      <c r="HG516" s="332"/>
      <c r="HH516" s="332"/>
      <c r="HI516" s="332"/>
      <c r="HJ516" s="332"/>
      <c r="HK516" s="332"/>
      <c r="HL516" s="332"/>
      <c r="HM516" s="332"/>
      <c r="HN516" s="332"/>
      <c r="HO516" s="332"/>
      <c r="HP516" s="332"/>
      <c r="HQ516" s="332"/>
      <c r="HR516" s="332"/>
      <c r="HS516" s="332"/>
      <c r="HT516" s="332"/>
      <c r="HU516" s="332"/>
      <c r="HV516" s="332"/>
      <c r="HW516" s="332"/>
      <c r="HX516" s="332"/>
      <c r="HY516" s="332"/>
      <c r="HZ516" s="332"/>
      <c r="IA516" s="332"/>
      <c r="IB516" s="332"/>
      <c r="IC516" s="332"/>
      <c r="ID516" s="332"/>
      <c r="IE516" s="332"/>
      <c r="IF516" s="332"/>
      <c r="IG516" s="332"/>
      <c r="IH516" s="332"/>
      <c r="II516" s="332"/>
      <c r="IJ516" s="332"/>
      <c r="IK516" s="332"/>
      <c r="IL516" s="332"/>
      <c r="IM516" s="332"/>
      <c r="IN516" s="332"/>
      <c r="IO516" s="332"/>
      <c r="IP516" s="332"/>
      <c r="IQ516" s="332"/>
      <c r="IR516" s="332"/>
      <c r="IS516" s="332"/>
      <c r="IT516" s="332"/>
      <c r="IU516" s="332"/>
      <c r="IV516" s="332"/>
      <c r="IW516" s="332"/>
      <c r="IX516" s="332"/>
      <c r="IY516" s="332"/>
      <c r="IZ516" s="332"/>
      <c r="JA516" s="332"/>
      <c r="JB516" s="332"/>
      <c r="JC516" s="332"/>
      <c r="JD516" s="332"/>
      <c r="JE516" s="332"/>
      <c r="JF516" s="332"/>
      <c r="JG516" s="332"/>
      <c r="JH516" s="332"/>
      <c r="JI516" s="332"/>
      <c r="JJ516" s="332"/>
      <c r="JK516" s="332"/>
      <c r="JL516" s="332"/>
      <c r="JM516" s="332"/>
      <c r="JN516" s="332"/>
      <c r="JO516" s="332"/>
      <c r="JP516" s="332"/>
      <c r="JQ516" s="332"/>
      <c r="JR516" s="332"/>
      <c r="JS516" s="332"/>
      <c r="JT516" s="332"/>
      <c r="JU516" s="332"/>
      <c r="JV516" s="332"/>
      <c r="JW516" s="332"/>
      <c r="JX516" s="332"/>
      <c r="JY516" s="332"/>
      <c r="JZ516" s="332"/>
      <c r="KA516" s="332"/>
      <c r="KB516" s="332"/>
      <c r="KC516" s="332"/>
      <c r="KD516" s="332"/>
      <c r="KE516" s="332"/>
      <c r="KF516" s="332"/>
      <c r="KG516" s="332"/>
      <c r="KH516" s="332"/>
      <c r="KI516" s="332"/>
      <c r="KJ516" s="332"/>
      <c r="KK516" s="332"/>
      <c r="KL516" s="332"/>
      <c r="KM516" s="332"/>
      <c r="KN516" s="332"/>
      <c r="KO516" s="332"/>
      <c r="KP516" s="332"/>
      <c r="KQ516" s="332"/>
      <c r="KR516" s="332"/>
      <c r="KS516" s="332"/>
      <c r="KT516" s="332"/>
      <c r="KU516" s="332"/>
      <c r="KV516" s="332"/>
      <c r="KW516" s="332"/>
      <c r="KX516" s="332"/>
      <c r="KY516" s="332"/>
      <c r="KZ516" s="332"/>
      <c r="LA516" s="332"/>
      <c r="LB516" s="332"/>
      <c r="LC516" s="332"/>
      <c r="LD516" s="332"/>
      <c r="LE516" s="332"/>
      <c r="LF516" s="332"/>
      <c r="LG516" s="332"/>
      <c r="LH516" s="332"/>
      <c r="LI516" s="332"/>
      <c r="LJ516" s="332"/>
      <c r="LK516" s="332"/>
      <c r="LL516" s="332"/>
      <c r="LM516" s="332"/>
      <c r="LN516" s="332"/>
      <c r="LO516" s="332"/>
      <c r="LP516" s="332"/>
      <c r="LQ516" s="332"/>
      <c r="LR516" s="332"/>
      <c r="LS516" s="332"/>
      <c r="LT516" s="332"/>
      <c r="LU516" s="332"/>
      <c r="LV516" s="332"/>
      <c r="LW516" s="332"/>
      <c r="LX516" s="332"/>
      <c r="LY516" s="332"/>
      <c r="LZ516" s="332"/>
      <c r="MA516" s="332"/>
      <c r="MB516" s="332"/>
      <c r="MC516" s="332"/>
      <c r="MD516" s="332"/>
      <c r="ME516" s="332"/>
      <c r="MF516" s="332"/>
      <c r="MG516" s="332"/>
      <c r="MH516" s="332"/>
      <c r="MI516" s="332"/>
      <c r="MJ516" s="332"/>
      <c r="MK516" s="332"/>
      <c r="ML516" s="332"/>
      <c r="MM516" s="332"/>
      <c r="MN516" s="332"/>
      <c r="MO516" s="332"/>
      <c r="MP516" s="332"/>
      <c r="MQ516" s="332"/>
      <c r="MR516" s="332"/>
      <c r="MS516" s="332"/>
      <c r="MT516" s="332"/>
      <c r="MU516" s="332"/>
      <c r="MV516" s="332"/>
      <c r="MW516" s="332"/>
      <c r="MX516" s="332"/>
      <c r="MY516" s="332"/>
      <c r="MZ516" s="332"/>
      <c r="NA516" s="332"/>
      <c r="NB516" s="332"/>
      <c r="NC516" s="332"/>
      <c r="ND516" s="332"/>
      <c r="NE516" s="332"/>
      <c r="NF516" s="332"/>
      <c r="NG516" s="332"/>
      <c r="NH516" s="332"/>
      <c r="NI516" s="332"/>
      <c r="NJ516" s="332"/>
      <c r="NK516" s="332"/>
      <c r="NL516" s="332"/>
      <c r="NM516" s="332"/>
      <c r="NN516" s="332"/>
      <c r="NO516" s="332"/>
      <c r="NP516" s="332"/>
      <c r="NQ516" s="332"/>
      <c r="NR516" s="332"/>
      <c r="NS516" s="332"/>
      <c r="NT516" s="332"/>
      <c r="NU516" s="332"/>
      <c r="NV516" s="332"/>
      <c r="NW516" s="332"/>
      <c r="NX516" s="332"/>
      <c r="NY516" s="332"/>
      <c r="NZ516" s="332"/>
      <c r="OA516" s="332"/>
      <c r="OB516" s="332"/>
      <c r="OC516" s="332"/>
      <c r="OD516" s="332"/>
      <c r="OE516" s="332"/>
      <c r="OF516" s="332"/>
      <c r="OG516" s="332"/>
      <c r="OH516" s="332"/>
      <c r="OI516" s="332"/>
      <c r="OJ516" s="332"/>
      <c r="OK516" s="332"/>
      <c r="OL516" s="332"/>
      <c r="OM516" s="332"/>
      <c r="ON516" s="332"/>
      <c r="OO516" s="332"/>
      <c r="OP516" s="332"/>
      <c r="OQ516" s="332"/>
      <c r="OR516" s="332"/>
      <c r="OS516" s="332"/>
      <c r="OT516" s="332"/>
      <c r="OU516" s="332"/>
      <c r="OV516" s="332"/>
      <c r="OW516" s="332"/>
      <c r="OX516" s="332"/>
      <c r="OY516" s="332"/>
      <c r="OZ516" s="332"/>
      <c r="PA516" s="332"/>
      <c r="PB516" s="332"/>
      <c r="PC516" s="332"/>
      <c r="PD516" s="332"/>
      <c r="PE516" s="332"/>
      <c r="PF516" s="332"/>
      <c r="PG516" s="332"/>
      <c r="PH516" s="332"/>
      <c r="PI516" s="332"/>
      <c r="PJ516" s="332"/>
      <c r="PK516" s="332"/>
      <c r="PL516" s="332"/>
      <c r="PM516" s="332"/>
      <c r="PN516" s="332"/>
      <c r="PO516" s="332"/>
      <c r="PP516" s="332"/>
      <c r="PQ516" s="332"/>
      <c r="PR516" s="332"/>
      <c r="PS516" s="332"/>
      <c r="PT516" s="332"/>
      <c r="PU516" s="332"/>
      <c r="PV516" s="332"/>
      <c r="PW516" s="332"/>
      <c r="PX516" s="332"/>
      <c r="PY516" s="332"/>
      <c r="PZ516" s="332"/>
      <c r="QA516" s="332"/>
      <c r="QB516" s="332"/>
      <c r="QC516" s="332"/>
      <c r="QD516" s="332"/>
      <c r="QE516" s="332"/>
      <c r="QF516" s="332"/>
      <c r="QG516" s="332"/>
      <c r="QH516" s="332"/>
      <c r="QI516" s="332"/>
      <c r="QJ516" s="332"/>
      <c r="QK516" s="332"/>
      <c r="QL516" s="332"/>
      <c r="QM516" s="332"/>
      <c r="QN516" s="332"/>
      <c r="QO516" s="332"/>
      <c r="QP516" s="332"/>
      <c r="QQ516" s="332"/>
      <c r="QR516" s="332"/>
      <c r="QS516" s="332"/>
      <c r="QT516" s="332"/>
      <c r="QU516" s="332"/>
      <c r="QV516" s="332"/>
      <c r="QW516" s="332"/>
      <c r="QX516" s="332"/>
      <c r="QY516" s="332"/>
      <c r="QZ516" s="332"/>
      <c r="RA516" s="332"/>
      <c r="RB516" s="332"/>
      <c r="RC516" s="332"/>
      <c r="RD516" s="332"/>
      <c r="RE516" s="332"/>
      <c r="RF516" s="332"/>
      <c r="RG516" s="332"/>
      <c r="RH516" s="332"/>
      <c r="RI516" s="332"/>
      <c r="RJ516" s="332"/>
      <c r="RK516" s="332"/>
      <c r="RL516" s="332"/>
      <c r="RM516" s="332"/>
      <c r="RN516" s="332"/>
      <c r="RO516" s="332"/>
      <c r="RP516" s="332"/>
      <c r="RQ516" s="332"/>
      <c r="RR516" s="332"/>
      <c r="RS516" s="332"/>
      <c r="RT516" s="332"/>
      <c r="RU516" s="332"/>
      <c r="RV516" s="332"/>
      <c r="RW516" s="332"/>
      <c r="RX516" s="332"/>
      <c r="RY516" s="332"/>
      <c r="RZ516" s="332"/>
      <c r="SA516" s="332"/>
      <c r="SB516" s="332"/>
      <c r="SC516" s="332"/>
      <c r="SD516" s="332"/>
      <c r="SE516" s="332"/>
      <c r="SF516" s="332"/>
      <c r="SG516" s="332"/>
      <c r="SH516" s="332"/>
      <c r="SI516" s="332"/>
      <c r="SJ516" s="332"/>
      <c r="SK516" s="332"/>
      <c r="SL516" s="332"/>
      <c r="SM516" s="332"/>
      <c r="SN516" s="332"/>
      <c r="SO516" s="332"/>
      <c r="SP516" s="332"/>
      <c r="SQ516" s="332"/>
      <c r="SR516" s="332"/>
      <c r="SS516" s="332"/>
      <c r="ST516" s="332"/>
      <c r="SU516" s="332"/>
      <c r="SV516" s="332"/>
      <c r="SW516" s="332"/>
      <c r="SX516" s="332"/>
      <c r="SY516" s="332"/>
      <c r="SZ516" s="332"/>
      <c r="TA516" s="332"/>
      <c r="TB516" s="332"/>
      <c r="TC516" s="332"/>
      <c r="TD516" s="332"/>
      <c r="TE516" s="332"/>
      <c r="TF516" s="332"/>
      <c r="TG516" s="332"/>
      <c r="TH516" s="332"/>
      <c r="TI516" s="332"/>
      <c r="TJ516" s="332"/>
      <c r="TK516" s="332"/>
      <c r="TL516" s="332"/>
      <c r="TM516" s="332"/>
      <c r="TN516" s="332"/>
      <c r="TO516" s="332"/>
      <c r="TP516" s="332"/>
      <c r="TQ516" s="332"/>
      <c r="TR516" s="332"/>
      <c r="TS516" s="332"/>
      <c r="TT516" s="332"/>
      <c r="TU516" s="332"/>
      <c r="TV516" s="332"/>
      <c r="TW516" s="332"/>
      <c r="TX516" s="332"/>
      <c r="TY516" s="332"/>
      <c r="TZ516" s="332"/>
      <c r="UA516" s="332"/>
      <c r="UB516" s="332"/>
      <c r="UC516" s="332"/>
      <c r="UD516" s="332"/>
      <c r="UE516" s="332"/>
      <c r="UF516" s="332"/>
      <c r="UG516" s="332"/>
      <c r="UH516" s="332"/>
      <c r="UI516" s="332"/>
      <c r="UJ516" s="332"/>
      <c r="UK516" s="332"/>
      <c r="UL516" s="332"/>
      <c r="UM516" s="332"/>
      <c r="UN516" s="332"/>
      <c r="UO516" s="332"/>
      <c r="UP516" s="332"/>
      <c r="UQ516" s="332"/>
      <c r="UR516" s="332"/>
      <c r="US516" s="332"/>
      <c r="UT516" s="332"/>
      <c r="UU516" s="332"/>
      <c r="UV516" s="332"/>
      <c r="UW516" s="332"/>
      <c r="UX516" s="332"/>
      <c r="UY516" s="332"/>
      <c r="UZ516" s="332"/>
      <c r="VA516" s="332"/>
      <c r="VB516" s="332"/>
      <c r="VC516" s="332"/>
      <c r="VD516" s="332"/>
      <c r="VE516" s="332"/>
      <c r="VF516" s="332"/>
      <c r="VG516" s="332"/>
      <c r="VH516" s="332"/>
      <c r="VI516" s="332"/>
      <c r="VJ516" s="332"/>
      <c r="VK516" s="332"/>
      <c r="VL516" s="332"/>
      <c r="VM516" s="332"/>
      <c r="VN516" s="332"/>
      <c r="VO516" s="332"/>
      <c r="VP516" s="332"/>
      <c r="VQ516" s="332"/>
      <c r="VR516" s="332"/>
      <c r="VS516" s="332"/>
      <c r="VT516" s="332"/>
      <c r="VU516" s="332"/>
      <c r="VV516" s="332"/>
      <c r="VW516" s="332"/>
      <c r="VX516" s="332"/>
      <c r="VY516" s="332"/>
      <c r="VZ516" s="332"/>
      <c r="WA516" s="332"/>
      <c r="WB516" s="332"/>
      <c r="WC516" s="332"/>
      <c r="WD516" s="332"/>
      <c r="WE516" s="332"/>
      <c r="WF516" s="332"/>
      <c r="WG516" s="332"/>
      <c r="WH516" s="332"/>
      <c r="WI516" s="332"/>
      <c r="WJ516" s="332"/>
      <c r="WK516" s="332"/>
      <c r="WL516" s="332"/>
      <c r="WM516" s="332"/>
      <c r="WN516" s="332"/>
      <c r="WO516" s="332"/>
      <c r="WP516" s="332"/>
      <c r="WQ516" s="332"/>
      <c r="WR516" s="332"/>
      <c r="WS516" s="332"/>
      <c r="WT516" s="332"/>
      <c r="WU516" s="332"/>
      <c r="WV516" s="332"/>
      <c r="WW516" s="332"/>
      <c r="WX516" s="332"/>
      <c r="WY516" s="332"/>
      <c r="WZ516" s="332"/>
      <c r="XA516" s="332"/>
      <c r="XB516" s="332"/>
      <c r="XC516" s="332"/>
      <c r="XD516" s="332"/>
      <c r="XE516" s="332"/>
      <c r="XF516" s="332"/>
      <c r="XG516" s="332"/>
      <c r="XH516" s="332"/>
      <c r="XI516" s="332"/>
      <c r="XJ516" s="332"/>
      <c r="XK516" s="332"/>
      <c r="XL516" s="332"/>
      <c r="XM516" s="332"/>
      <c r="XN516" s="332"/>
      <c r="XO516" s="332"/>
      <c r="XP516" s="332"/>
      <c r="XQ516" s="332"/>
      <c r="XR516" s="332"/>
      <c r="XS516" s="332"/>
      <c r="XT516" s="332"/>
      <c r="XU516" s="332"/>
      <c r="XV516" s="332"/>
      <c r="XW516" s="332"/>
      <c r="XX516" s="332"/>
      <c r="XY516" s="332"/>
      <c r="XZ516" s="332"/>
      <c r="YA516" s="332"/>
      <c r="YB516" s="332"/>
      <c r="YC516" s="332"/>
      <c r="YD516" s="332"/>
      <c r="YE516" s="332"/>
      <c r="YF516" s="332"/>
      <c r="YG516" s="332"/>
      <c r="YH516" s="332"/>
      <c r="YI516" s="332"/>
      <c r="YJ516" s="332"/>
      <c r="YK516" s="332"/>
      <c r="YL516" s="332"/>
      <c r="YM516" s="332"/>
      <c r="YN516" s="332"/>
      <c r="YO516" s="332"/>
      <c r="YP516" s="332"/>
      <c r="YQ516" s="332"/>
      <c r="YR516" s="332"/>
      <c r="YS516" s="332"/>
      <c r="YT516" s="332"/>
      <c r="YU516" s="332"/>
      <c r="YV516" s="332"/>
      <c r="YW516" s="332"/>
      <c r="YX516" s="332"/>
      <c r="YY516" s="332"/>
      <c r="YZ516" s="332"/>
      <c r="ZA516" s="332"/>
      <c r="ZB516" s="332"/>
      <c r="ZC516" s="332"/>
      <c r="ZD516" s="332"/>
      <c r="ZE516" s="332"/>
      <c r="ZF516" s="332"/>
      <c r="ZG516" s="332"/>
      <c r="ZH516" s="332"/>
      <c r="ZI516" s="332"/>
      <c r="ZJ516" s="332"/>
      <c r="ZK516" s="332"/>
      <c r="ZL516" s="332"/>
      <c r="ZM516" s="332"/>
      <c r="ZN516" s="332"/>
      <c r="ZO516" s="332"/>
      <c r="ZP516" s="332"/>
      <c r="ZQ516" s="332"/>
      <c r="ZR516" s="332"/>
      <c r="ZS516" s="332"/>
      <c r="ZT516" s="332"/>
      <c r="ZU516" s="332"/>
      <c r="ZV516" s="332"/>
      <c r="ZW516" s="332"/>
      <c r="ZX516" s="332"/>
      <c r="ZY516" s="332"/>
      <c r="ZZ516" s="332"/>
      <c r="AAA516" s="332"/>
      <c r="AAB516" s="332"/>
      <c r="AAC516" s="332"/>
      <c r="AAD516" s="332"/>
      <c r="AAE516" s="332"/>
      <c r="AAF516" s="332"/>
      <c r="AAG516" s="332"/>
      <c r="AAH516" s="332"/>
      <c r="AAI516" s="332"/>
      <c r="AAJ516" s="332"/>
      <c r="AAK516" s="332"/>
      <c r="AAL516" s="332"/>
      <c r="AAM516" s="332"/>
      <c r="AAN516" s="332"/>
      <c r="AAO516" s="332"/>
      <c r="AAP516" s="332"/>
      <c r="AAQ516" s="332"/>
      <c r="AAR516" s="332"/>
      <c r="AAS516" s="332"/>
      <c r="AAT516" s="332"/>
      <c r="AAU516" s="332"/>
      <c r="AAV516" s="332"/>
      <c r="AAW516" s="332"/>
      <c r="AAX516" s="332"/>
      <c r="AAY516" s="332"/>
      <c r="AAZ516" s="332"/>
      <c r="ABA516" s="332"/>
      <c r="ABB516" s="332"/>
      <c r="ABC516" s="332"/>
      <c r="ABD516" s="332"/>
      <c r="ABE516" s="332"/>
      <c r="ABF516" s="332"/>
      <c r="ABG516" s="332"/>
      <c r="ABH516" s="332"/>
      <c r="ABI516" s="332"/>
      <c r="ABJ516" s="332"/>
      <c r="ABK516" s="332"/>
      <c r="ABL516" s="332"/>
      <c r="ABM516" s="332"/>
      <c r="ABN516" s="332"/>
      <c r="ABO516" s="332"/>
      <c r="ABP516" s="332"/>
      <c r="ABQ516" s="332"/>
      <c r="ABR516" s="332"/>
      <c r="ABS516" s="332"/>
      <c r="ABT516" s="332"/>
      <c r="ABU516" s="332"/>
      <c r="ABV516" s="332"/>
      <c r="ABW516" s="332"/>
      <c r="ABX516" s="332"/>
      <c r="ABY516" s="332"/>
      <c r="ABZ516" s="332"/>
      <c r="ACA516" s="332"/>
      <c r="ACB516" s="332"/>
      <c r="ACC516" s="332"/>
      <c r="ACD516" s="332"/>
      <c r="ACE516" s="332"/>
      <c r="ACF516" s="332"/>
      <c r="ACG516" s="332"/>
      <c r="ACH516" s="332"/>
      <c r="ACI516" s="332"/>
      <c r="ACJ516" s="332"/>
      <c r="ACK516" s="332"/>
      <c r="ACL516" s="332"/>
      <c r="ACM516" s="332"/>
      <c r="ACN516" s="332"/>
      <c r="ACO516" s="332"/>
      <c r="ACP516" s="332"/>
      <c r="ACQ516" s="332"/>
      <c r="ACR516" s="332"/>
      <c r="ACS516" s="332"/>
      <c r="ACT516" s="332"/>
      <c r="ACU516" s="332"/>
      <c r="ACV516" s="332"/>
      <c r="ACW516" s="332"/>
      <c r="ACX516" s="332"/>
      <c r="ACY516" s="332"/>
      <c r="ACZ516" s="332"/>
      <c r="ADA516" s="332"/>
      <c r="ADB516" s="332"/>
      <c r="ADC516" s="332"/>
      <c r="ADD516" s="332"/>
      <c r="ADE516" s="332"/>
      <c r="ADF516" s="332"/>
      <c r="ADG516" s="332"/>
      <c r="ADH516" s="332"/>
      <c r="ADI516" s="332"/>
      <c r="ADJ516" s="332"/>
      <c r="ADK516" s="332"/>
      <c r="ADL516" s="332"/>
      <c r="ADM516" s="332"/>
      <c r="ADN516" s="332"/>
      <c r="ADO516" s="332"/>
      <c r="ADP516" s="332"/>
      <c r="ADQ516" s="332"/>
      <c r="ADR516" s="332"/>
      <c r="ADS516" s="332"/>
      <c r="ADT516" s="332"/>
      <c r="ADU516" s="332"/>
      <c r="ADV516" s="332"/>
      <c r="ADW516" s="332"/>
      <c r="ADX516" s="332"/>
      <c r="ADY516" s="332"/>
      <c r="ADZ516" s="332"/>
      <c r="AEA516" s="332"/>
      <c r="AEB516" s="332"/>
      <c r="AEC516" s="332"/>
      <c r="AED516" s="332"/>
      <c r="AEE516" s="332"/>
      <c r="AEF516" s="332"/>
      <c r="AEG516" s="332"/>
      <c r="AEH516" s="332"/>
      <c r="AEI516" s="332"/>
      <c r="AEJ516" s="332"/>
      <c r="AEK516" s="332"/>
      <c r="AEL516" s="332"/>
      <c r="AEM516" s="332"/>
      <c r="AEN516" s="332"/>
      <c r="AEO516" s="332"/>
      <c r="AEP516" s="332"/>
      <c r="AEQ516" s="332"/>
      <c r="AER516" s="332"/>
      <c r="AES516" s="332"/>
      <c r="AET516" s="332"/>
      <c r="AEU516" s="332"/>
      <c r="AEV516" s="332"/>
      <c r="AEW516" s="332"/>
      <c r="AEX516" s="332"/>
      <c r="AEY516" s="332"/>
      <c r="AEZ516" s="332"/>
      <c r="AFA516" s="332"/>
      <c r="AFB516" s="332"/>
      <c r="AFC516" s="332"/>
      <c r="AFD516" s="332"/>
      <c r="AFE516" s="332"/>
      <c r="AFF516" s="332"/>
      <c r="AFG516" s="332"/>
      <c r="AFH516" s="332"/>
      <c r="AFI516" s="332"/>
      <c r="AFJ516" s="332"/>
      <c r="AFK516" s="332"/>
      <c r="AFL516" s="332"/>
      <c r="AFM516" s="332"/>
      <c r="AFN516" s="332"/>
      <c r="AFO516" s="332"/>
      <c r="AFP516" s="332"/>
      <c r="AFQ516" s="332"/>
      <c r="AFR516" s="332"/>
      <c r="AFS516" s="332"/>
      <c r="AFT516" s="332"/>
      <c r="AFU516" s="332"/>
      <c r="AFV516" s="332"/>
      <c r="AFW516" s="332"/>
      <c r="AFX516" s="332"/>
      <c r="AFY516" s="332"/>
      <c r="AFZ516" s="332"/>
      <c r="AGA516" s="332"/>
      <c r="AGB516" s="332"/>
      <c r="AGC516" s="332"/>
      <c r="AGD516" s="332"/>
      <c r="AGE516" s="332"/>
      <c r="AGF516" s="332"/>
      <c r="AGG516" s="332"/>
      <c r="AGH516" s="332"/>
      <c r="AGI516" s="332"/>
      <c r="AGJ516" s="332"/>
      <c r="AGK516" s="332"/>
      <c r="AGL516" s="332"/>
      <c r="AGM516" s="332"/>
      <c r="AGN516" s="332"/>
      <c r="AGO516" s="332"/>
      <c r="AGP516" s="332"/>
      <c r="AGQ516" s="332"/>
      <c r="AGR516" s="332"/>
      <c r="AGS516" s="332"/>
      <c r="AGT516" s="332"/>
      <c r="AGU516" s="332"/>
      <c r="AGV516" s="332"/>
      <c r="AGW516" s="332"/>
      <c r="AGX516" s="332"/>
      <c r="AGY516" s="332"/>
      <c r="AGZ516" s="332"/>
      <c r="AHA516" s="332"/>
      <c r="AHB516" s="332"/>
      <c r="AHC516" s="332"/>
      <c r="AHD516" s="332"/>
      <c r="AHE516" s="332"/>
      <c r="AHF516" s="332"/>
      <c r="AHG516" s="332"/>
      <c r="AHH516" s="332"/>
      <c r="AHI516" s="332"/>
      <c r="AHJ516" s="332"/>
      <c r="AHK516" s="332"/>
      <c r="AHL516" s="332"/>
      <c r="AHM516" s="332"/>
      <c r="AHN516" s="332"/>
      <c r="AHO516" s="332"/>
      <c r="AHP516" s="332"/>
      <c r="AHQ516" s="332"/>
      <c r="AHR516" s="332"/>
      <c r="AHS516" s="332"/>
      <c r="AHT516" s="332"/>
      <c r="AHU516" s="332"/>
      <c r="AHV516" s="332"/>
      <c r="AHW516" s="332"/>
      <c r="AHX516" s="332"/>
      <c r="AHY516" s="332"/>
      <c r="AHZ516" s="332"/>
      <c r="AIA516" s="332"/>
      <c r="AIB516" s="332"/>
      <c r="AIC516" s="332"/>
      <c r="AID516" s="332"/>
      <c r="AIE516" s="332"/>
      <c r="AIF516" s="332"/>
      <c r="AIG516" s="332"/>
      <c r="AIH516" s="332"/>
      <c r="AII516" s="332"/>
      <c r="AIJ516" s="332"/>
      <c r="AIK516" s="332"/>
      <c r="AIL516" s="332"/>
      <c r="AIM516" s="332"/>
      <c r="AIN516" s="332"/>
      <c r="AIO516" s="332"/>
      <c r="AIP516" s="332"/>
      <c r="AIQ516" s="332"/>
      <c r="AIR516" s="332"/>
      <c r="AIS516" s="332"/>
      <c r="AIT516" s="332"/>
      <c r="AIU516" s="332"/>
      <c r="AIV516" s="332"/>
      <c r="AIW516" s="332"/>
      <c r="AIX516" s="332"/>
      <c r="AIY516" s="332"/>
      <c r="AIZ516" s="332"/>
      <c r="AJA516" s="332"/>
      <c r="AJB516" s="332"/>
      <c r="AJC516" s="332"/>
      <c r="AJD516" s="332"/>
      <c r="AJE516" s="332"/>
      <c r="AJF516" s="332"/>
      <c r="AJG516" s="332"/>
      <c r="AJH516" s="332"/>
      <c r="AJI516" s="332"/>
      <c r="AJJ516" s="332"/>
      <c r="AJK516" s="332"/>
      <c r="AJL516" s="332"/>
      <c r="AJM516" s="332"/>
      <c r="AJN516" s="332"/>
      <c r="AJO516" s="332"/>
      <c r="AJP516" s="332"/>
      <c r="AJQ516" s="332"/>
      <c r="AJR516" s="332"/>
      <c r="AJS516" s="332"/>
      <c r="AJT516" s="332"/>
      <c r="AJU516" s="332"/>
      <c r="AJV516" s="332"/>
      <c r="AJW516" s="332"/>
      <c r="AJX516" s="332"/>
      <c r="AJY516" s="332"/>
      <c r="AJZ516" s="332"/>
      <c r="AKA516" s="332"/>
      <c r="AKB516" s="332"/>
      <c r="AKC516" s="332"/>
      <c r="AKD516" s="332"/>
      <c r="AKE516" s="332"/>
      <c r="AKF516" s="332"/>
      <c r="AKG516" s="332"/>
      <c r="AKH516" s="332"/>
      <c r="AKI516" s="332"/>
      <c r="AKJ516" s="332"/>
      <c r="AKK516" s="332"/>
      <c r="AKL516" s="332"/>
      <c r="AKM516" s="332"/>
      <c r="AKN516" s="332"/>
      <c r="AKO516" s="332"/>
      <c r="AKP516" s="332"/>
      <c r="AKQ516" s="332"/>
      <c r="AKR516" s="332"/>
      <c r="AKS516" s="332"/>
      <c r="AKT516" s="332"/>
      <c r="AKU516" s="332"/>
      <c r="AKV516" s="332"/>
      <c r="AKW516" s="332"/>
      <c r="AKX516" s="332"/>
      <c r="AKY516" s="332"/>
      <c r="AKZ516" s="332"/>
      <c r="ALA516" s="332"/>
      <c r="ALB516" s="332"/>
      <c r="ALC516" s="332"/>
      <c r="ALD516" s="332"/>
      <c r="ALE516" s="332"/>
      <c r="ALF516" s="332"/>
      <c r="ALG516" s="332"/>
      <c r="ALH516" s="332"/>
      <c r="ALI516" s="332"/>
      <c r="ALJ516" s="332"/>
      <c r="ALK516" s="332"/>
      <c r="ALL516" s="332"/>
      <c r="ALM516" s="332"/>
      <c r="ALN516" s="332"/>
      <c r="ALO516" s="332"/>
      <c r="ALP516" s="332"/>
      <c r="ALQ516" s="332"/>
      <c r="ALR516" s="332"/>
      <c r="ALS516" s="332"/>
      <c r="ALT516" s="332"/>
      <c r="ALU516" s="332"/>
      <c r="ALV516" s="332"/>
      <c r="ALW516" s="332"/>
      <c r="ALX516" s="332"/>
      <c r="ALY516" s="332"/>
      <c r="ALZ516" s="332"/>
      <c r="AMA516" s="332"/>
      <c r="AMB516" s="332"/>
      <c r="AMC516" s="332"/>
      <c r="AMD516" s="332"/>
      <c r="AME516" s="332"/>
      <c r="AMF516" s="332"/>
      <c r="AMG516" s="332"/>
      <c r="AMH516" s="332"/>
      <c r="AMI516" s="332"/>
      <c r="AMJ516" s="332"/>
      <c r="AMK516" s="332"/>
      <c r="AML516" s="332"/>
      <c r="AMM516" s="332"/>
      <c r="AMN516" s="332"/>
      <c r="AMO516" s="332"/>
      <c r="AMP516" s="332"/>
      <c r="AMQ516" s="332"/>
      <c r="AMR516" s="332"/>
      <c r="AMS516" s="332"/>
      <c r="AMT516" s="332"/>
      <c r="AMU516" s="332"/>
      <c r="AMV516" s="332"/>
      <c r="AMW516" s="332"/>
      <c r="AMX516" s="332"/>
      <c r="AMY516" s="332"/>
      <c r="AMZ516" s="332"/>
      <c r="ANA516" s="332"/>
      <c r="ANB516" s="332"/>
      <c r="ANC516" s="332"/>
      <c r="AND516" s="332"/>
      <c r="ANE516" s="332"/>
      <c r="ANF516" s="332"/>
      <c r="ANG516" s="332"/>
      <c r="ANH516" s="332"/>
      <c r="ANI516" s="332"/>
      <c r="ANJ516" s="332"/>
      <c r="ANK516" s="332"/>
      <c r="ANL516" s="332"/>
      <c r="ANM516" s="332"/>
      <c r="ANN516" s="332"/>
      <c r="ANO516" s="332"/>
      <c r="ANP516" s="332"/>
      <c r="ANQ516" s="332"/>
      <c r="ANR516" s="332"/>
      <c r="ANS516" s="332"/>
      <c r="ANT516" s="332"/>
      <c r="ANU516" s="332"/>
      <c r="ANV516" s="332"/>
      <c r="ANW516" s="332"/>
      <c r="ANX516" s="332"/>
      <c r="ANY516" s="332"/>
      <c r="ANZ516" s="332"/>
      <c r="AOA516" s="332"/>
      <c r="AOB516" s="332"/>
      <c r="AOC516" s="332"/>
      <c r="AOD516" s="332"/>
      <c r="AOE516" s="332"/>
      <c r="AOF516" s="332"/>
      <c r="AOG516" s="332"/>
      <c r="AOH516" s="332"/>
      <c r="AOI516" s="332"/>
      <c r="AOJ516" s="332"/>
      <c r="AOK516" s="332"/>
      <c r="AOL516" s="332"/>
      <c r="AOM516" s="332"/>
      <c r="AON516" s="332"/>
      <c r="AOO516" s="332"/>
      <c r="AOP516" s="332"/>
      <c r="AOQ516" s="332"/>
      <c r="AOR516" s="332"/>
      <c r="AOS516" s="332"/>
      <c r="AOT516" s="332"/>
      <c r="AOU516" s="332"/>
      <c r="AOV516" s="332"/>
      <c r="AOW516" s="332"/>
      <c r="AOX516" s="332"/>
      <c r="AOY516" s="332"/>
      <c r="AOZ516" s="332"/>
      <c r="APA516" s="332"/>
      <c r="APB516" s="332"/>
      <c r="APC516" s="332"/>
      <c r="APD516" s="332"/>
      <c r="APE516" s="332"/>
      <c r="APF516" s="332"/>
      <c r="APG516" s="332"/>
      <c r="APH516" s="332"/>
      <c r="API516" s="332"/>
      <c r="APJ516" s="332"/>
      <c r="APK516" s="332"/>
      <c r="APL516" s="332"/>
      <c r="APM516" s="332"/>
      <c r="APN516" s="332"/>
      <c r="APO516" s="332"/>
      <c r="APP516" s="332"/>
      <c r="APQ516" s="332"/>
      <c r="APR516" s="332"/>
      <c r="APS516" s="332"/>
      <c r="APT516" s="332"/>
      <c r="APU516" s="332"/>
      <c r="APV516" s="332"/>
      <c r="APW516" s="332"/>
      <c r="APX516" s="332"/>
      <c r="APY516" s="332"/>
      <c r="APZ516" s="332"/>
      <c r="AQA516" s="332"/>
      <c r="AQB516" s="332"/>
      <c r="AQC516" s="332"/>
      <c r="AQD516" s="332"/>
      <c r="AQE516" s="332"/>
      <c r="AQF516" s="332"/>
      <c r="AQG516" s="332"/>
      <c r="AQH516" s="332"/>
      <c r="AQI516" s="332"/>
      <c r="AQJ516" s="332"/>
      <c r="AQK516" s="332"/>
      <c r="AQL516" s="332"/>
      <c r="AQM516" s="332"/>
      <c r="AQN516" s="332"/>
      <c r="AQO516" s="332"/>
      <c r="AQP516" s="332"/>
      <c r="AQQ516" s="332"/>
      <c r="AQR516" s="332"/>
      <c r="AQS516" s="332"/>
      <c r="AQT516" s="332"/>
      <c r="AQU516" s="332"/>
      <c r="AQV516" s="332"/>
      <c r="AQW516" s="332"/>
      <c r="AQX516" s="332"/>
      <c r="AQY516" s="332"/>
      <c r="AQZ516" s="332"/>
      <c r="ARA516" s="332"/>
      <c r="ARB516" s="332"/>
      <c r="ARC516" s="332"/>
      <c r="ARD516" s="332"/>
      <c r="ARE516" s="332"/>
      <c r="ARF516" s="332"/>
      <c r="ARG516" s="332"/>
      <c r="ARH516" s="332"/>
      <c r="ARI516" s="332"/>
      <c r="ARJ516" s="332"/>
      <c r="ARK516" s="332"/>
      <c r="ARL516" s="332"/>
      <c r="ARM516" s="332"/>
      <c r="ARN516" s="332"/>
      <c r="ARO516" s="332"/>
      <c r="ARP516" s="332"/>
      <c r="ARQ516" s="332"/>
      <c r="ARR516" s="332"/>
      <c r="ARS516" s="332"/>
      <c r="ART516" s="332"/>
      <c r="ARU516" s="332"/>
      <c r="ARV516" s="332"/>
      <c r="ARW516" s="332"/>
      <c r="ARX516" s="332"/>
      <c r="ARY516" s="332"/>
      <c r="ARZ516" s="332"/>
      <c r="ASA516" s="332"/>
      <c r="ASB516" s="332"/>
      <c r="ASC516" s="332"/>
      <c r="ASD516" s="332"/>
      <c r="ASE516" s="332"/>
      <c r="ASF516" s="332"/>
      <c r="ASG516" s="332"/>
      <c r="ASH516" s="332"/>
      <c r="ASI516" s="332"/>
      <c r="ASJ516" s="332"/>
      <c r="ASK516" s="332"/>
      <c r="ASL516" s="332"/>
      <c r="ASM516" s="332"/>
      <c r="ASN516" s="332"/>
      <c r="ASO516" s="332"/>
      <c r="ASP516" s="332"/>
      <c r="ASQ516" s="332"/>
      <c r="ASR516" s="332"/>
      <c r="ASS516" s="332"/>
      <c r="AST516" s="332"/>
      <c r="ASU516" s="332"/>
      <c r="ASV516" s="332"/>
      <c r="ASW516" s="332"/>
      <c r="ASX516" s="332"/>
      <c r="ASY516" s="332"/>
      <c r="ASZ516" s="332"/>
      <c r="ATA516" s="332"/>
      <c r="ATB516" s="332"/>
      <c r="ATC516" s="332"/>
      <c r="ATD516" s="332"/>
      <c r="ATE516" s="332"/>
      <c r="ATF516" s="332"/>
      <c r="ATG516" s="332"/>
      <c r="ATH516" s="332"/>
      <c r="ATI516" s="332"/>
      <c r="ATJ516" s="332"/>
      <c r="ATK516" s="332"/>
      <c r="ATL516" s="332"/>
      <c r="ATM516" s="332"/>
      <c r="ATN516" s="332"/>
      <c r="ATO516" s="332"/>
      <c r="ATP516" s="332"/>
      <c r="ATQ516" s="332"/>
      <c r="ATR516" s="332"/>
      <c r="ATS516" s="332"/>
      <c r="ATT516" s="332"/>
      <c r="ATU516" s="332"/>
      <c r="ATV516" s="332"/>
      <c r="ATW516" s="332"/>
      <c r="ATX516" s="332"/>
      <c r="ATY516" s="332"/>
      <c r="ATZ516" s="332"/>
      <c r="AUA516" s="332"/>
      <c r="AUB516" s="332"/>
      <c r="AUC516" s="332"/>
      <c r="AUD516" s="332"/>
      <c r="AUE516" s="332"/>
      <c r="AUF516" s="332"/>
      <c r="AUG516" s="332"/>
      <c r="AUH516" s="332"/>
      <c r="AUI516" s="332"/>
      <c r="AUJ516" s="332"/>
      <c r="AUK516" s="332"/>
      <c r="AUL516" s="332"/>
      <c r="AUM516" s="332"/>
      <c r="AUN516" s="332"/>
      <c r="AUO516" s="332"/>
      <c r="AUP516" s="332"/>
      <c r="AUQ516" s="332"/>
      <c r="AUR516" s="332"/>
      <c r="AUS516" s="332"/>
      <c r="AUT516" s="332"/>
      <c r="AUU516" s="332"/>
      <c r="AUV516" s="332"/>
      <c r="AUW516" s="332"/>
      <c r="AUX516" s="332"/>
      <c r="AUY516" s="332"/>
      <c r="AUZ516" s="332"/>
      <c r="AVA516" s="332"/>
      <c r="AVB516" s="332"/>
      <c r="AVC516" s="332"/>
      <c r="AVD516" s="332"/>
      <c r="AVE516" s="332"/>
      <c r="AVF516" s="332"/>
      <c r="AVG516" s="332"/>
      <c r="AVH516" s="332"/>
      <c r="AVI516" s="332"/>
      <c r="AVJ516" s="332"/>
      <c r="AVK516" s="332"/>
      <c r="AVL516" s="332"/>
      <c r="AVM516" s="332"/>
      <c r="AVN516" s="332"/>
      <c r="AVO516" s="332"/>
      <c r="AVP516" s="332"/>
      <c r="AVQ516" s="332"/>
      <c r="AVR516" s="332"/>
      <c r="AVS516" s="332"/>
      <c r="AVT516" s="332"/>
      <c r="AVU516" s="332"/>
      <c r="AVV516" s="332"/>
      <c r="AVW516" s="332"/>
      <c r="AVX516" s="332"/>
      <c r="AVY516" s="332"/>
      <c r="AVZ516" s="332"/>
      <c r="AWA516" s="332"/>
      <c r="AWB516" s="332"/>
      <c r="AWC516" s="332"/>
      <c r="AWD516" s="332"/>
      <c r="AWE516" s="332"/>
      <c r="AWF516" s="332"/>
      <c r="AWG516" s="332"/>
      <c r="AWH516" s="332"/>
      <c r="AWI516" s="332"/>
      <c r="AWJ516" s="332"/>
      <c r="AWK516" s="332"/>
      <c r="AWL516" s="332"/>
      <c r="AWM516" s="332"/>
      <c r="AWN516" s="332"/>
      <c r="AWO516" s="332"/>
      <c r="AWP516" s="332"/>
      <c r="AWQ516" s="332"/>
      <c r="AWR516" s="332"/>
      <c r="AWS516" s="332"/>
      <c r="AWT516" s="332"/>
      <c r="AWU516" s="332"/>
      <c r="AWV516" s="332"/>
      <c r="AWW516" s="332"/>
      <c r="AWX516" s="332"/>
      <c r="AWY516" s="332"/>
      <c r="AWZ516" s="332"/>
      <c r="AXA516" s="332"/>
      <c r="AXB516" s="332"/>
      <c r="AXC516" s="332"/>
      <c r="AXD516" s="332"/>
      <c r="AXE516" s="332"/>
      <c r="AXF516" s="332"/>
      <c r="AXG516" s="332"/>
      <c r="AXH516" s="332"/>
      <c r="AXI516" s="332"/>
      <c r="AXJ516" s="332"/>
      <c r="AXK516" s="332"/>
      <c r="AXL516" s="332"/>
      <c r="AXM516" s="332"/>
      <c r="AXN516" s="332"/>
      <c r="AXO516" s="332"/>
      <c r="AXP516" s="332"/>
      <c r="AXQ516" s="332"/>
      <c r="AXR516" s="332"/>
      <c r="AXS516" s="332"/>
      <c r="AXT516" s="332"/>
      <c r="AXU516" s="332"/>
      <c r="AXV516" s="332"/>
      <c r="AXW516" s="332"/>
      <c r="AXX516" s="332"/>
      <c r="AXY516" s="332"/>
      <c r="AXZ516" s="332"/>
      <c r="AYA516" s="332"/>
      <c r="AYB516" s="332"/>
      <c r="AYC516" s="332"/>
      <c r="AYD516" s="332"/>
      <c r="AYE516" s="332"/>
      <c r="AYF516" s="332"/>
      <c r="AYG516" s="332"/>
      <c r="AYH516" s="332"/>
      <c r="AYI516" s="332"/>
      <c r="AYJ516" s="332"/>
      <c r="AYK516" s="332"/>
      <c r="AYL516" s="332"/>
      <c r="AYM516" s="332"/>
      <c r="AYN516" s="332"/>
      <c r="AYO516" s="332"/>
      <c r="AYP516" s="332"/>
      <c r="AYQ516" s="332"/>
      <c r="AYR516" s="332"/>
      <c r="AYS516" s="332"/>
      <c r="AYT516" s="332"/>
      <c r="AYU516" s="332"/>
      <c r="AYV516" s="332"/>
      <c r="AYW516" s="332"/>
      <c r="AYX516" s="332"/>
      <c r="AYY516" s="332"/>
      <c r="AYZ516" s="332"/>
      <c r="AZA516" s="332"/>
      <c r="AZB516" s="332"/>
      <c r="AZC516" s="332"/>
      <c r="AZD516" s="332"/>
      <c r="AZE516" s="332"/>
      <c r="AZF516" s="332"/>
      <c r="AZG516" s="332"/>
      <c r="AZH516" s="332"/>
      <c r="AZI516" s="332"/>
      <c r="AZJ516" s="332"/>
      <c r="AZK516" s="332"/>
      <c r="AZL516" s="332"/>
      <c r="AZM516" s="332"/>
      <c r="AZN516" s="332"/>
      <c r="AZO516" s="332"/>
      <c r="AZP516" s="332"/>
      <c r="AZQ516" s="332"/>
      <c r="AZR516" s="332"/>
      <c r="AZS516" s="332"/>
      <c r="AZT516" s="332"/>
      <c r="AZU516" s="332"/>
      <c r="AZV516" s="332"/>
      <c r="AZW516" s="332"/>
      <c r="AZX516" s="332"/>
      <c r="AZY516" s="332"/>
      <c r="AZZ516" s="332"/>
      <c r="BAA516" s="332"/>
      <c r="BAB516" s="332"/>
      <c r="BAC516" s="332"/>
      <c r="BAD516" s="332"/>
      <c r="BAE516" s="332"/>
      <c r="BAF516" s="332"/>
      <c r="BAG516" s="332"/>
      <c r="BAH516" s="332"/>
      <c r="BAI516" s="332"/>
      <c r="BAJ516" s="332"/>
      <c r="BAK516" s="332"/>
      <c r="BAL516" s="332"/>
      <c r="BAM516" s="332"/>
      <c r="BAN516" s="332"/>
      <c r="BAO516" s="332"/>
      <c r="BAP516" s="332"/>
      <c r="BAQ516" s="332"/>
      <c r="BAR516" s="332"/>
      <c r="BAS516" s="332"/>
      <c r="BAT516" s="332"/>
      <c r="BAU516" s="332"/>
      <c r="BAV516" s="332"/>
      <c r="BAW516" s="332"/>
      <c r="BAX516" s="332"/>
      <c r="BAY516" s="332"/>
      <c r="BAZ516" s="332"/>
      <c r="BBA516" s="332"/>
      <c r="BBB516" s="332"/>
      <c r="BBC516" s="332"/>
      <c r="BBD516" s="332"/>
      <c r="BBE516" s="332"/>
      <c r="BBF516" s="332"/>
      <c r="BBG516" s="332"/>
      <c r="BBH516" s="332"/>
      <c r="BBI516" s="332"/>
      <c r="BBJ516" s="332"/>
      <c r="BBK516" s="332"/>
      <c r="BBL516" s="332"/>
      <c r="BBM516" s="332"/>
      <c r="BBN516" s="332"/>
      <c r="BBO516" s="332"/>
      <c r="BBP516" s="332"/>
      <c r="BBQ516" s="332"/>
      <c r="BBR516" s="332"/>
      <c r="BBS516" s="332"/>
      <c r="BBT516" s="332"/>
      <c r="BBU516" s="332"/>
      <c r="BBV516" s="332"/>
      <c r="BBW516" s="332"/>
      <c r="BBX516" s="332"/>
      <c r="BBY516" s="332"/>
      <c r="BBZ516" s="332"/>
      <c r="BCA516" s="332"/>
      <c r="BCB516" s="332"/>
      <c r="BCC516" s="332"/>
      <c r="BCD516" s="332"/>
      <c r="BCE516" s="332"/>
      <c r="BCF516" s="332"/>
      <c r="BCG516" s="332"/>
      <c r="BCH516" s="332"/>
      <c r="BCI516" s="332"/>
      <c r="BCJ516" s="332"/>
      <c r="BCK516" s="332"/>
      <c r="BCL516" s="332"/>
      <c r="BCM516" s="332"/>
      <c r="BCN516" s="332"/>
      <c r="BCO516" s="332"/>
      <c r="BCP516" s="332"/>
      <c r="BCQ516" s="332"/>
      <c r="BCR516" s="332"/>
      <c r="BCS516" s="332"/>
      <c r="BCT516" s="332"/>
      <c r="BCU516" s="332"/>
      <c r="BCV516" s="332"/>
      <c r="BCW516" s="332"/>
      <c r="BCX516" s="332"/>
      <c r="BCY516" s="332"/>
      <c r="BCZ516" s="332"/>
      <c r="BDA516" s="332"/>
      <c r="BDB516" s="332"/>
      <c r="BDC516" s="332"/>
      <c r="BDD516" s="332"/>
      <c r="BDE516" s="332"/>
      <c r="BDF516" s="332"/>
      <c r="BDG516" s="332"/>
      <c r="BDH516" s="332"/>
      <c r="BDI516" s="332"/>
      <c r="BDJ516" s="332"/>
      <c r="BDK516" s="332"/>
      <c r="BDL516" s="332"/>
      <c r="BDM516" s="332"/>
      <c r="BDN516" s="332"/>
      <c r="BDO516" s="332"/>
      <c r="BDP516" s="332"/>
      <c r="BDQ516" s="332"/>
      <c r="BDR516" s="332"/>
      <c r="BDS516" s="332"/>
      <c r="BDT516" s="332"/>
      <c r="BDU516" s="332"/>
      <c r="BDV516" s="332"/>
      <c r="BDW516" s="332"/>
      <c r="BDX516" s="332"/>
      <c r="BDY516" s="332"/>
      <c r="BDZ516" s="332"/>
      <c r="BEA516" s="332"/>
      <c r="BEB516" s="332"/>
      <c r="BEC516" s="332"/>
      <c r="BED516" s="332"/>
      <c r="BEE516" s="332"/>
      <c r="BEF516" s="332"/>
      <c r="BEG516" s="332"/>
      <c r="BEH516" s="332"/>
      <c r="BEI516" s="332"/>
      <c r="BEJ516" s="332"/>
      <c r="BEK516" s="332"/>
      <c r="BEL516" s="332"/>
      <c r="BEM516" s="332"/>
      <c r="BEN516" s="332"/>
      <c r="BEO516" s="332"/>
      <c r="BEP516" s="332"/>
      <c r="BEQ516" s="332"/>
      <c r="BER516" s="332"/>
      <c r="BES516" s="332"/>
      <c r="BET516" s="332"/>
      <c r="BEU516" s="332"/>
      <c r="BEV516" s="332"/>
      <c r="BEW516" s="332"/>
      <c r="BEX516" s="332"/>
      <c r="BEY516" s="332"/>
      <c r="BEZ516" s="332"/>
      <c r="BFA516" s="332"/>
      <c r="BFB516" s="332"/>
      <c r="BFC516" s="332"/>
      <c r="BFD516" s="332"/>
      <c r="BFE516" s="332"/>
      <c r="BFF516" s="332"/>
      <c r="BFG516" s="332"/>
      <c r="BFH516" s="332"/>
      <c r="BFI516" s="332"/>
      <c r="BFJ516" s="332"/>
      <c r="BFK516" s="332"/>
      <c r="BFL516" s="332"/>
      <c r="BFM516" s="332"/>
      <c r="BFN516" s="332"/>
      <c r="BFO516" s="332"/>
      <c r="BFP516" s="332"/>
      <c r="BFQ516" s="332"/>
      <c r="BFR516" s="332"/>
      <c r="BFS516" s="332"/>
      <c r="BFT516" s="332"/>
      <c r="BFU516" s="332"/>
      <c r="BFV516" s="332"/>
      <c r="BFW516" s="332"/>
      <c r="BFX516" s="332"/>
      <c r="BFY516" s="332"/>
      <c r="BFZ516" s="332"/>
      <c r="BGA516" s="332"/>
      <c r="BGB516" s="332"/>
      <c r="BGC516" s="332"/>
      <c r="BGD516" s="332"/>
      <c r="BGE516" s="332"/>
      <c r="BGF516" s="332"/>
      <c r="BGG516" s="332"/>
      <c r="BGH516" s="332"/>
      <c r="BGI516" s="332"/>
      <c r="BGJ516" s="332"/>
      <c r="BGK516" s="332"/>
      <c r="BGL516" s="332"/>
      <c r="BGM516" s="332"/>
      <c r="BGN516" s="332"/>
      <c r="BGO516" s="332"/>
      <c r="BGP516" s="332"/>
      <c r="BGQ516" s="332"/>
      <c r="BGR516" s="332"/>
      <c r="BGS516" s="332"/>
      <c r="BGT516" s="332"/>
      <c r="BGU516" s="332"/>
      <c r="BGV516" s="332"/>
      <c r="BGW516" s="332"/>
      <c r="BGX516" s="332"/>
      <c r="BGY516" s="332"/>
      <c r="BGZ516" s="332"/>
      <c r="BHA516" s="332"/>
      <c r="BHB516" s="332"/>
      <c r="BHC516" s="332"/>
      <c r="BHD516" s="332"/>
      <c r="BHE516" s="332"/>
      <c r="BHF516" s="332"/>
      <c r="BHG516" s="332"/>
      <c r="BHH516" s="332"/>
      <c r="BHI516" s="332"/>
      <c r="BHJ516" s="332"/>
      <c r="BHK516" s="332"/>
      <c r="BHL516" s="332"/>
      <c r="BHM516" s="332"/>
      <c r="BHN516" s="332"/>
      <c r="BHO516" s="332"/>
      <c r="BHP516" s="332"/>
      <c r="BHQ516" s="332"/>
      <c r="BHR516" s="332"/>
      <c r="BHS516" s="332"/>
      <c r="BHT516" s="332"/>
      <c r="BHU516" s="332"/>
      <c r="BHV516" s="332"/>
      <c r="BHW516" s="332"/>
      <c r="BHX516" s="332"/>
      <c r="BHY516" s="332"/>
      <c r="BHZ516" s="332"/>
      <c r="BIA516" s="332"/>
      <c r="BIB516" s="332"/>
      <c r="BIC516" s="332"/>
      <c r="BID516" s="332"/>
      <c r="BIE516" s="332"/>
      <c r="BIF516" s="332"/>
      <c r="BIG516" s="332"/>
      <c r="BIH516" s="332"/>
      <c r="BII516" s="332"/>
      <c r="BIJ516" s="332"/>
      <c r="BIK516" s="332"/>
      <c r="BIL516" s="332"/>
      <c r="BIM516" s="332"/>
      <c r="BIN516" s="332"/>
      <c r="BIO516" s="332"/>
      <c r="BIP516" s="332"/>
      <c r="BIQ516" s="332"/>
      <c r="BIR516" s="332"/>
      <c r="BIS516" s="332"/>
      <c r="BIT516" s="332"/>
      <c r="BIU516" s="332"/>
      <c r="BIV516" s="332"/>
      <c r="BIW516" s="332"/>
      <c r="BIX516" s="332"/>
      <c r="BIY516" s="332"/>
      <c r="BIZ516" s="332"/>
      <c r="BJA516" s="332"/>
      <c r="BJB516" s="332"/>
      <c r="BJC516" s="332"/>
      <c r="BJD516" s="332"/>
      <c r="BJE516" s="332"/>
      <c r="BJF516" s="332"/>
      <c r="BJG516" s="332"/>
      <c r="BJH516" s="332"/>
      <c r="BJI516" s="332"/>
      <c r="BJJ516" s="332"/>
      <c r="BJK516" s="332"/>
      <c r="BJL516" s="332"/>
      <c r="BJM516" s="332"/>
      <c r="BJN516" s="332"/>
      <c r="BJO516" s="332"/>
      <c r="BJP516" s="332"/>
      <c r="BJQ516" s="332"/>
      <c r="BJR516" s="332"/>
      <c r="BJS516" s="332"/>
      <c r="BJT516" s="332"/>
      <c r="BJU516" s="332"/>
      <c r="BJV516" s="332"/>
      <c r="BJW516" s="332"/>
      <c r="BJX516" s="332"/>
      <c r="BJY516" s="332"/>
      <c r="BJZ516" s="332"/>
      <c r="BKA516" s="332"/>
      <c r="BKB516" s="332"/>
      <c r="BKC516" s="332"/>
      <c r="BKD516" s="332"/>
      <c r="BKE516" s="332"/>
      <c r="BKF516" s="332"/>
      <c r="BKG516" s="332"/>
      <c r="BKH516" s="332"/>
      <c r="BKI516" s="332"/>
      <c r="BKJ516" s="332"/>
      <c r="BKK516" s="332"/>
      <c r="BKL516" s="332"/>
      <c r="BKM516" s="332"/>
      <c r="BKN516" s="332"/>
      <c r="BKO516" s="332"/>
      <c r="BKP516" s="332"/>
      <c r="BKQ516" s="332"/>
      <c r="BKR516" s="332"/>
      <c r="BKS516" s="332"/>
      <c r="BKT516" s="332"/>
      <c r="BKU516" s="332"/>
      <c r="BKV516" s="332"/>
      <c r="BKW516" s="332"/>
      <c r="BKX516" s="332"/>
      <c r="BKY516" s="332"/>
      <c r="BKZ516" s="332"/>
      <c r="BLA516" s="332"/>
      <c r="BLB516" s="332"/>
      <c r="BLC516" s="332"/>
      <c r="BLD516" s="332"/>
      <c r="BLE516" s="332"/>
      <c r="BLF516" s="332"/>
      <c r="BLG516" s="332"/>
      <c r="BLH516" s="332"/>
      <c r="BLI516" s="332"/>
      <c r="BLJ516" s="332"/>
      <c r="BLK516" s="332"/>
      <c r="BLL516" s="332"/>
      <c r="BLM516" s="332"/>
      <c r="BLN516" s="332"/>
      <c r="BLO516" s="332"/>
      <c r="BLP516" s="332"/>
      <c r="BLQ516" s="332"/>
      <c r="BLR516" s="332"/>
      <c r="BLS516" s="332"/>
      <c r="BLT516" s="332"/>
      <c r="BLU516" s="332"/>
      <c r="BLV516" s="332"/>
      <c r="BLW516" s="332"/>
      <c r="BLX516" s="332"/>
      <c r="BLY516" s="332"/>
      <c r="BLZ516" s="332"/>
      <c r="BMA516" s="332"/>
      <c r="BMB516" s="332"/>
      <c r="BMC516" s="332"/>
      <c r="BMD516" s="332"/>
      <c r="BME516" s="332"/>
      <c r="BMF516" s="332"/>
      <c r="BMG516" s="332"/>
      <c r="BMH516" s="332"/>
      <c r="BMI516" s="332"/>
      <c r="BMJ516" s="332"/>
      <c r="BMK516" s="332"/>
      <c r="BML516" s="332"/>
      <c r="BMM516" s="332"/>
      <c r="BMN516" s="332"/>
      <c r="BMO516" s="332"/>
      <c r="BMP516" s="332"/>
      <c r="BMQ516" s="332"/>
      <c r="BMR516" s="332"/>
      <c r="BMS516" s="332"/>
      <c r="BMT516" s="332"/>
      <c r="BMU516" s="332"/>
      <c r="BMV516" s="332"/>
      <c r="BMW516" s="332"/>
      <c r="BMX516" s="332"/>
      <c r="BMY516" s="332"/>
      <c r="BMZ516" s="332"/>
      <c r="BNA516" s="332"/>
      <c r="BNB516" s="332"/>
      <c r="BNC516" s="332"/>
      <c r="BND516" s="332"/>
      <c r="BNE516" s="332"/>
      <c r="BNF516" s="332"/>
      <c r="BNG516" s="332"/>
      <c r="BNH516" s="332"/>
      <c r="BNI516" s="332"/>
      <c r="BNJ516" s="332"/>
      <c r="BNK516" s="332"/>
      <c r="BNL516" s="332"/>
      <c r="BNM516" s="332"/>
      <c r="BNN516" s="332"/>
      <c r="BNO516" s="332"/>
      <c r="BNP516" s="332"/>
      <c r="BNQ516" s="332"/>
      <c r="BNR516" s="332"/>
      <c r="BNS516" s="332"/>
      <c r="BNT516" s="332"/>
      <c r="BNU516" s="332"/>
      <c r="BNV516" s="332"/>
      <c r="BNW516" s="332"/>
      <c r="BNX516" s="332"/>
      <c r="BNY516" s="332"/>
      <c r="BNZ516" s="332"/>
      <c r="BOA516" s="332"/>
      <c r="BOB516" s="332"/>
      <c r="BOC516" s="332"/>
      <c r="BOD516" s="332"/>
      <c r="BOE516" s="332"/>
      <c r="BOF516" s="332"/>
      <c r="BOG516" s="332"/>
      <c r="BOH516" s="332"/>
      <c r="BOI516" s="332"/>
      <c r="BOJ516" s="332"/>
      <c r="BOK516" s="332"/>
      <c r="BOL516" s="332"/>
      <c r="BOM516" s="332"/>
      <c r="BON516" s="332"/>
      <c r="BOO516" s="332"/>
      <c r="BOP516" s="332"/>
      <c r="BOQ516" s="332"/>
      <c r="BOR516" s="332"/>
      <c r="BOS516" s="332"/>
      <c r="BOT516" s="332"/>
      <c r="BOU516" s="332"/>
      <c r="BOV516" s="332"/>
      <c r="BOW516" s="332"/>
      <c r="BOX516" s="332"/>
      <c r="BOY516" s="332"/>
      <c r="BOZ516" s="332"/>
      <c r="BPA516" s="332"/>
      <c r="BPB516" s="332"/>
      <c r="BPC516" s="332"/>
      <c r="BPD516" s="332"/>
      <c r="BPE516" s="332"/>
      <c r="BPF516" s="332"/>
      <c r="BPG516" s="332"/>
      <c r="BPH516" s="332"/>
      <c r="BPI516" s="332"/>
      <c r="BPJ516" s="332"/>
      <c r="BPK516" s="332"/>
      <c r="BPL516" s="332"/>
      <c r="BPM516" s="332"/>
      <c r="BPN516" s="332"/>
      <c r="BPO516" s="332"/>
      <c r="BPP516" s="332"/>
      <c r="BPQ516" s="332"/>
      <c r="BPR516" s="332"/>
      <c r="BPS516" s="332"/>
      <c r="BPT516" s="332"/>
      <c r="BPU516" s="332"/>
      <c r="BPV516" s="332"/>
      <c r="BPW516" s="332"/>
      <c r="BPX516" s="332"/>
      <c r="BPY516" s="332"/>
      <c r="BPZ516" s="332"/>
      <c r="BQA516" s="332"/>
      <c r="BQB516" s="332"/>
      <c r="BQC516" s="332"/>
      <c r="BQD516" s="332"/>
      <c r="BQE516" s="332"/>
      <c r="BQF516" s="332"/>
      <c r="BQG516" s="332"/>
      <c r="BQH516" s="332"/>
      <c r="BQI516" s="332"/>
      <c r="BQJ516" s="332"/>
      <c r="BQK516" s="332"/>
      <c r="BQL516" s="332"/>
      <c r="BQM516" s="332"/>
      <c r="BQN516" s="332"/>
      <c r="BQO516" s="332"/>
      <c r="BQP516" s="332"/>
      <c r="BQQ516" s="332"/>
      <c r="BQR516" s="332"/>
      <c r="BQS516" s="332"/>
      <c r="BQT516" s="332"/>
      <c r="BQU516" s="332"/>
      <c r="BQV516" s="332"/>
      <c r="BQW516" s="332"/>
      <c r="BQX516" s="332"/>
      <c r="BQY516" s="332"/>
      <c r="BQZ516" s="332"/>
      <c r="BRA516" s="332"/>
      <c r="BRB516" s="332"/>
      <c r="BRC516" s="332"/>
      <c r="BRD516" s="332"/>
      <c r="BRE516" s="332"/>
      <c r="BRF516" s="332"/>
      <c r="BRG516" s="332"/>
      <c r="BRH516" s="332"/>
      <c r="BRI516" s="332"/>
      <c r="BRJ516" s="332"/>
      <c r="BRK516" s="332"/>
      <c r="BRL516" s="332"/>
      <c r="BRM516" s="332"/>
      <c r="BRN516" s="332"/>
      <c r="BRO516" s="332"/>
      <c r="BRP516" s="332"/>
      <c r="BRQ516" s="332"/>
      <c r="BRR516" s="332"/>
      <c r="BRS516" s="332"/>
      <c r="BRT516" s="332"/>
      <c r="BRU516" s="332"/>
      <c r="BRV516" s="332"/>
      <c r="BRW516" s="332"/>
      <c r="BRX516" s="332"/>
      <c r="BRY516" s="332"/>
      <c r="BRZ516" s="332"/>
      <c r="BSA516" s="332"/>
      <c r="BSB516" s="332"/>
      <c r="BSC516" s="332"/>
      <c r="BSD516" s="332"/>
      <c r="BSE516" s="332"/>
      <c r="BSF516" s="332"/>
      <c r="BSG516" s="332"/>
      <c r="BSH516" s="332"/>
      <c r="BSI516" s="332"/>
      <c r="BSJ516" s="332"/>
      <c r="BSK516" s="332"/>
      <c r="BSL516" s="332"/>
      <c r="BSM516" s="332"/>
      <c r="BSN516" s="332"/>
      <c r="BSO516" s="332"/>
      <c r="BSP516" s="332"/>
      <c r="BSQ516" s="332"/>
      <c r="BSR516" s="332"/>
      <c r="BSS516" s="332"/>
      <c r="BST516" s="332"/>
      <c r="BSU516" s="332"/>
      <c r="BSV516" s="332"/>
      <c r="BSW516" s="332"/>
      <c r="BSX516" s="332"/>
      <c r="BSY516" s="332"/>
      <c r="BSZ516" s="332"/>
      <c r="BTA516" s="332"/>
      <c r="BTB516" s="332"/>
      <c r="BTC516" s="332"/>
      <c r="BTD516" s="332"/>
      <c r="BTE516" s="332"/>
      <c r="BTF516" s="332"/>
      <c r="BTG516" s="332"/>
      <c r="BTH516" s="332"/>
      <c r="BTI516" s="332"/>
      <c r="BTJ516" s="332"/>
      <c r="BTK516" s="332"/>
      <c r="BTL516" s="332"/>
      <c r="BTM516" s="332"/>
      <c r="BTN516" s="332"/>
      <c r="BTO516" s="332"/>
      <c r="BTP516" s="332"/>
      <c r="BTQ516" s="332"/>
      <c r="BTR516" s="332"/>
      <c r="BTS516" s="332"/>
      <c r="BTT516" s="332"/>
      <c r="BTU516" s="332"/>
      <c r="BTV516" s="332"/>
      <c r="BTW516" s="332"/>
      <c r="BTX516" s="332"/>
      <c r="BTY516" s="332"/>
      <c r="BTZ516" s="332"/>
      <c r="BUA516" s="332"/>
      <c r="BUB516" s="332"/>
      <c r="BUC516" s="332"/>
      <c r="BUD516" s="332"/>
      <c r="BUE516" s="332"/>
      <c r="BUF516" s="332"/>
      <c r="BUG516" s="332"/>
      <c r="BUH516" s="332"/>
      <c r="BUI516" s="332"/>
      <c r="BUJ516" s="332"/>
      <c r="BUK516" s="332"/>
      <c r="BUL516" s="332"/>
      <c r="BUM516" s="332"/>
      <c r="BUN516" s="332"/>
      <c r="BUO516" s="332"/>
      <c r="BUP516" s="332"/>
      <c r="BUQ516" s="332"/>
      <c r="BUR516" s="332"/>
      <c r="BUS516" s="332"/>
      <c r="BUT516" s="332"/>
      <c r="BUU516" s="332"/>
      <c r="BUV516" s="332"/>
      <c r="BUW516" s="332"/>
      <c r="BUX516" s="332"/>
      <c r="BUY516" s="332"/>
      <c r="BUZ516" s="332"/>
      <c r="BVA516" s="332"/>
      <c r="BVB516" s="332"/>
      <c r="BVC516" s="332"/>
      <c r="BVD516" s="332"/>
      <c r="BVE516" s="332"/>
      <c r="BVF516" s="332"/>
      <c r="BVG516" s="332"/>
      <c r="BVH516" s="332"/>
      <c r="BVI516" s="332"/>
      <c r="BVJ516" s="332"/>
      <c r="BVK516" s="332"/>
      <c r="BVL516" s="332"/>
      <c r="BVM516" s="332"/>
      <c r="BVN516" s="332"/>
      <c r="BVO516" s="332"/>
      <c r="BVP516" s="332"/>
      <c r="BVQ516" s="332"/>
      <c r="BVR516" s="332"/>
      <c r="BVS516" s="332"/>
      <c r="BVT516" s="332"/>
      <c r="BVU516" s="332"/>
      <c r="BVV516" s="332"/>
      <c r="BVW516" s="332"/>
      <c r="BVX516" s="332"/>
      <c r="BVY516" s="332"/>
      <c r="BVZ516" s="332"/>
      <c r="BWA516" s="332"/>
      <c r="BWB516" s="332"/>
      <c r="BWC516" s="332"/>
      <c r="BWD516" s="332"/>
      <c r="BWE516" s="332"/>
      <c r="BWF516" s="332"/>
      <c r="BWG516" s="332"/>
      <c r="BWH516" s="332"/>
      <c r="BWI516" s="332"/>
      <c r="BWJ516" s="332"/>
      <c r="BWK516" s="332"/>
      <c r="BWL516" s="332"/>
      <c r="BWM516" s="332"/>
      <c r="BWN516" s="332"/>
      <c r="BWO516" s="332"/>
      <c r="BWP516" s="332"/>
      <c r="BWQ516" s="332"/>
      <c r="BWR516" s="332"/>
      <c r="BWS516" s="332"/>
      <c r="BWT516" s="332"/>
      <c r="BWU516" s="332"/>
      <c r="BWV516" s="332"/>
      <c r="BWW516" s="332"/>
      <c r="BWX516" s="332"/>
      <c r="BWY516" s="332"/>
      <c r="BWZ516" s="332"/>
      <c r="BXA516" s="332"/>
      <c r="BXB516" s="332"/>
      <c r="BXC516" s="332"/>
      <c r="BXD516" s="332"/>
      <c r="BXE516" s="332"/>
      <c r="BXF516" s="332"/>
      <c r="BXG516" s="332"/>
      <c r="BXH516" s="332"/>
      <c r="BXI516" s="332"/>
      <c r="BXJ516" s="332"/>
      <c r="BXK516" s="332"/>
      <c r="BXL516" s="332"/>
      <c r="BXM516" s="332"/>
      <c r="BXN516" s="332"/>
      <c r="BXO516" s="332"/>
      <c r="BXP516" s="332"/>
      <c r="BXQ516" s="332"/>
      <c r="BXR516" s="332"/>
      <c r="BXS516" s="332"/>
      <c r="BXT516" s="332"/>
      <c r="BXU516" s="332"/>
      <c r="BXV516" s="332"/>
      <c r="BXW516" s="332"/>
      <c r="BXX516" s="332"/>
      <c r="BXY516" s="332"/>
      <c r="BXZ516" s="332"/>
      <c r="BYA516" s="332"/>
      <c r="BYB516" s="332"/>
      <c r="BYC516" s="332"/>
      <c r="BYD516" s="332"/>
      <c r="BYE516" s="332"/>
      <c r="BYF516" s="332"/>
      <c r="BYG516" s="332"/>
      <c r="BYH516" s="332"/>
      <c r="BYI516" s="332"/>
      <c r="BYJ516" s="332"/>
      <c r="BYK516" s="332"/>
      <c r="BYL516" s="332"/>
      <c r="BYM516" s="332"/>
      <c r="BYN516" s="332"/>
      <c r="BYO516" s="332"/>
      <c r="BYP516" s="332"/>
      <c r="BYQ516" s="332"/>
      <c r="BYR516" s="332"/>
      <c r="BYS516" s="332"/>
      <c r="BYT516" s="332"/>
      <c r="BYU516" s="332"/>
      <c r="BYV516" s="332"/>
      <c r="BYW516" s="332"/>
      <c r="BYX516" s="332"/>
      <c r="BYY516" s="332"/>
      <c r="BYZ516" s="332"/>
      <c r="BZA516" s="332"/>
      <c r="BZB516" s="332"/>
      <c r="BZC516" s="332"/>
      <c r="BZD516" s="332"/>
      <c r="BZE516" s="332"/>
      <c r="BZF516" s="332"/>
      <c r="BZG516" s="332"/>
      <c r="BZH516" s="332"/>
      <c r="BZI516" s="332"/>
      <c r="BZJ516" s="332"/>
      <c r="BZK516" s="332"/>
      <c r="BZL516" s="332"/>
      <c r="BZM516" s="332"/>
      <c r="BZN516" s="332"/>
      <c r="BZO516" s="332"/>
      <c r="BZP516" s="332"/>
      <c r="BZQ516" s="332"/>
      <c r="BZR516" s="332"/>
      <c r="BZS516" s="332"/>
      <c r="BZT516" s="332"/>
      <c r="BZU516" s="332"/>
      <c r="BZV516" s="332"/>
      <c r="BZW516" s="332"/>
      <c r="BZX516" s="332"/>
      <c r="BZY516" s="332"/>
      <c r="BZZ516" s="332"/>
      <c r="CAA516" s="332"/>
      <c r="CAB516" s="332"/>
      <c r="CAC516" s="332"/>
      <c r="CAD516" s="332"/>
      <c r="CAE516" s="332"/>
      <c r="CAF516" s="332"/>
      <c r="CAG516" s="332"/>
      <c r="CAH516" s="332"/>
      <c r="CAI516" s="332"/>
      <c r="CAJ516" s="332"/>
      <c r="CAK516" s="332"/>
      <c r="CAL516" s="332"/>
      <c r="CAM516" s="332"/>
      <c r="CAN516" s="332"/>
      <c r="CAO516" s="332"/>
      <c r="CAP516" s="332"/>
      <c r="CAQ516" s="332"/>
      <c r="CAR516" s="332"/>
      <c r="CAS516" s="332"/>
      <c r="CAT516" s="332"/>
      <c r="CAU516" s="332"/>
      <c r="CAV516" s="332"/>
      <c r="CAW516" s="332"/>
      <c r="CAX516" s="332"/>
      <c r="CAY516" s="332"/>
      <c r="CAZ516" s="332"/>
      <c r="CBA516" s="332"/>
      <c r="CBB516" s="332"/>
      <c r="CBC516" s="332"/>
      <c r="CBD516" s="332"/>
      <c r="CBE516" s="332"/>
      <c r="CBF516" s="332"/>
      <c r="CBG516" s="332"/>
      <c r="CBH516" s="332"/>
      <c r="CBI516" s="332"/>
      <c r="CBJ516" s="332"/>
      <c r="CBK516" s="332"/>
      <c r="CBL516" s="332"/>
      <c r="CBM516" s="332"/>
      <c r="CBN516" s="332"/>
      <c r="CBO516" s="332"/>
      <c r="CBP516" s="332"/>
      <c r="CBQ516" s="332"/>
      <c r="CBR516" s="332"/>
      <c r="CBS516" s="332"/>
      <c r="CBT516" s="332"/>
      <c r="CBU516" s="332"/>
      <c r="CBV516" s="332"/>
      <c r="CBW516" s="332"/>
      <c r="CBX516" s="332"/>
      <c r="CBY516" s="332"/>
      <c r="CBZ516" s="332"/>
      <c r="CCA516" s="332"/>
      <c r="CCB516" s="332"/>
      <c r="CCC516" s="332"/>
      <c r="CCD516" s="332"/>
      <c r="CCE516" s="332"/>
      <c r="CCF516" s="332"/>
      <c r="CCG516" s="332"/>
      <c r="CCH516" s="332"/>
      <c r="CCI516" s="332"/>
      <c r="CCJ516" s="332"/>
      <c r="CCK516" s="332"/>
      <c r="CCL516" s="332"/>
      <c r="CCM516" s="332"/>
      <c r="CCN516" s="332"/>
      <c r="CCO516" s="332"/>
      <c r="CCP516" s="332"/>
      <c r="CCQ516" s="332"/>
      <c r="CCR516" s="332"/>
      <c r="CCS516" s="332"/>
      <c r="CCT516" s="332"/>
      <c r="CCU516" s="332"/>
      <c r="CCV516" s="332"/>
      <c r="CCW516" s="332"/>
      <c r="CCX516" s="332"/>
      <c r="CCY516" s="332"/>
      <c r="CCZ516" s="332"/>
      <c r="CDA516" s="332"/>
      <c r="CDB516" s="332"/>
      <c r="CDC516" s="332"/>
      <c r="CDD516" s="332"/>
      <c r="CDE516" s="332"/>
      <c r="CDF516" s="332"/>
      <c r="CDG516" s="332"/>
      <c r="CDH516" s="332"/>
      <c r="CDI516" s="332"/>
      <c r="CDJ516" s="332"/>
      <c r="CDK516" s="332"/>
      <c r="CDL516" s="332"/>
      <c r="CDM516" s="332"/>
      <c r="CDN516" s="332"/>
      <c r="CDO516" s="332"/>
      <c r="CDP516" s="332"/>
      <c r="CDQ516" s="332"/>
      <c r="CDR516" s="332"/>
      <c r="CDS516" s="332"/>
      <c r="CDT516" s="332"/>
      <c r="CDU516" s="332"/>
      <c r="CDV516" s="332"/>
      <c r="CDW516" s="332"/>
      <c r="CDX516" s="332"/>
      <c r="CDY516" s="332"/>
      <c r="CDZ516" s="332"/>
      <c r="CEA516" s="332"/>
      <c r="CEB516" s="332"/>
      <c r="CEC516" s="332"/>
      <c r="CED516" s="332"/>
      <c r="CEE516" s="332"/>
      <c r="CEF516" s="332"/>
      <c r="CEG516" s="332"/>
      <c r="CEH516" s="332"/>
      <c r="CEI516" s="332"/>
      <c r="CEJ516" s="332"/>
      <c r="CEK516" s="332"/>
      <c r="CEL516" s="332"/>
      <c r="CEM516" s="332"/>
      <c r="CEN516" s="332"/>
      <c r="CEO516" s="332"/>
      <c r="CEP516" s="332"/>
      <c r="CEQ516" s="332"/>
      <c r="CER516" s="332"/>
      <c r="CES516" s="332"/>
      <c r="CET516" s="332"/>
      <c r="CEU516" s="332"/>
      <c r="CEV516" s="332"/>
      <c r="CEW516" s="332"/>
      <c r="CEX516" s="332"/>
      <c r="CEY516" s="332"/>
      <c r="CEZ516" s="332"/>
      <c r="CFA516" s="332"/>
      <c r="CFB516" s="332"/>
      <c r="CFC516" s="332"/>
      <c r="CFD516" s="332"/>
      <c r="CFE516" s="332"/>
      <c r="CFF516" s="332"/>
      <c r="CFG516" s="332"/>
      <c r="CFH516" s="332"/>
      <c r="CFI516" s="332"/>
      <c r="CFJ516" s="332"/>
      <c r="CFK516" s="332"/>
      <c r="CFL516" s="332"/>
      <c r="CFM516" s="332"/>
      <c r="CFN516" s="332"/>
      <c r="CFO516" s="332"/>
      <c r="CFP516" s="332"/>
      <c r="CFQ516" s="332"/>
      <c r="CFR516" s="332"/>
      <c r="CFS516" s="332"/>
      <c r="CFT516" s="332"/>
      <c r="CFU516" s="332"/>
      <c r="CFV516" s="332"/>
      <c r="CFW516" s="332"/>
      <c r="CFX516" s="332"/>
      <c r="CFY516" s="332"/>
      <c r="CFZ516" s="332"/>
      <c r="CGA516" s="332"/>
      <c r="CGB516" s="332"/>
      <c r="CGC516" s="332"/>
      <c r="CGD516" s="332"/>
      <c r="CGE516" s="332"/>
      <c r="CGF516" s="332"/>
      <c r="CGG516" s="332"/>
      <c r="CGH516" s="332"/>
      <c r="CGI516" s="332"/>
      <c r="CGJ516" s="332"/>
      <c r="CGK516" s="332"/>
      <c r="CGL516" s="332"/>
      <c r="CGM516" s="332"/>
      <c r="CGN516" s="332"/>
      <c r="CGO516" s="332"/>
      <c r="CGP516" s="332"/>
      <c r="CGQ516" s="332"/>
      <c r="CGR516" s="332"/>
      <c r="CGS516" s="332"/>
      <c r="CGT516" s="332"/>
      <c r="CGU516" s="332"/>
      <c r="CGV516" s="332"/>
      <c r="CGW516" s="332"/>
      <c r="CGX516" s="332"/>
      <c r="CGY516" s="332"/>
      <c r="CGZ516" s="332"/>
      <c r="CHA516" s="332"/>
      <c r="CHB516" s="332"/>
      <c r="CHC516" s="332"/>
      <c r="CHD516" s="332"/>
      <c r="CHE516" s="332"/>
      <c r="CHF516" s="332"/>
      <c r="CHG516" s="332"/>
      <c r="CHH516" s="332"/>
      <c r="CHI516" s="332"/>
      <c r="CHJ516" s="332"/>
      <c r="CHK516" s="332"/>
      <c r="CHL516" s="332"/>
      <c r="CHM516" s="332"/>
      <c r="CHN516" s="332"/>
      <c r="CHO516" s="332"/>
      <c r="CHP516" s="332"/>
      <c r="CHQ516" s="332"/>
      <c r="CHR516" s="332"/>
      <c r="CHS516" s="332"/>
      <c r="CHT516" s="332"/>
      <c r="CHU516" s="332"/>
      <c r="CHV516" s="332"/>
      <c r="CHW516" s="332"/>
      <c r="CHX516" s="332"/>
      <c r="CHY516" s="332"/>
      <c r="CHZ516" s="332"/>
      <c r="CIA516" s="332"/>
      <c r="CIB516" s="332"/>
      <c r="CIC516" s="332"/>
      <c r="CID516" s="332"/>
      <c r="CIE516" s="332"/>
      <c r="CIF516" s="332"/>
      <c r="CIG516" s="332"/>
      <c r="CIH516" s="332"/>
      <c r="CII516" s="332"/>
      <c r="CIJ516" s="332"/>
      <c r="CIK516" s="332"/>
      <c r="CIL516" s="332"/>
      <c r="CIM516" s="332"/>
      <c r="CIN516" s="332"/>
      <c r="CIO516" s="332"/>
      <c r="CIP516" s="332"/>
      <c r="CIQ516" s="332"/>
      <c r="CIR516" s="332"/>
      <c r="CIS516" s="332"/>
      <c r="CIT516" s="332"/>
      <c r="CIU516" s="332"/>
      <c r="CIV516" s="332"/>
      <c r="CIW516" s="332"/>
      <c r="CIX516" s="332"/>
      <c r="CIY516" s="332"/>
      <c r="CIZ516" s="332"/>
      <c r="CJA516" s="332"/>
      <c r="CJB516" s="332"/>
      <c r="CJC516" s="332"/>
      <c r="CJD516" s="332"/>
      <c r="CJE516" s="332"/>
      <c r="CJF516" s="332"/>
      <c r="CJG516" s="332"/>
      <c r="CJH516" s="332"/>
      <c r="CJI516" s="332"/>
      <c r="CJJ516" s="332"/>
      <c r="CJK516" s="332"/>
      <c r="CJL516" s="332"/>
      <c r="CJM516" s="332"/>
      <c r="CJN516" s="332"/>
      <c r="CJO516" s="332"/>
      <c r="CJP516" s="332"/>
      <c r="CJQ516" s="332"/>
      <c r="CJR516" s="332"/>
      <c r="CJS516" s="332"/>
      <c r="CJT516" s="332"/>
      <c r="CJU516" s="332"/>
      <c r="CJV516" s="332"/>
      <c r="CJW516" s="332"/>
      <c r="CJX516" s="332"/>
      <c r="CJY516" s="332"/>
      <c r="CJZ516" s="332"/>
      <c r="CKA516" s="332"/>
      <c r="CKB516" s="332"/>
      <c r="CKC516" s="332"/>
      <c r="CKD516" s="332"/>
      <c r="CKE516" s="332"/>
      <c r="CKF516" s="332"/>
      <c r="CKG516" s="332"/>
      <c r="CKH516" s="332"/>
      <c r="CKI516" s="332"/>
      <c r="CKJ516" s="332"/>
      <c r="CKK516" s="332"/>
      <c r="CKL516" s="332"/>
      <c r="CKM516" s="332"/>
      <c r="CKN516" s="332"/>
      <c r="CKO516" s="332"/>
      <c r="CKP516" s="332"/>
      <c r="CKQ516" s="332"/>
      <c r="CKR516" s="332"/>
      <c r="CKS516" s="332"/>
      <c r="CKT516" s="332"/>
      <c r="CKU516" s="332"/>
      <c r="CKV516" s="332"/>
      <c r="CKW516" s="332"/>
      <c r="CKX516" s="332"/>
      <c r="CKY516" s="332"/>
      <c r="CKZ516" s="332"/>
      <c r="CLA516" s="332"/>
      <c r="CLB516" s="332"/>
      <c r="CLC516" s="332"/>
      <c r="CLD516" s="332"/>
      <c r="CLE516" s="332"/>
      <c r="CLF516" s="332"/>
      <c r="CLG516" s="332"/>
      <c r="CLH516" s="332"/>
      <c r="CLI516" s="332"/>
      <c r="CLJ516" s="332"/>
      <c r="CLK516" s="332"/>
      <c r="CLL516" s="332"/>
      <c r="CLM516" s="332"/>
      <c r="CLN516" s="332"/>
      <c r="CLO516" s="332"/>
      <c r="CLP516" s="332"/>
      <c r="CLQ516" s="332"/>
      <c r="CLR516" s="332"/>
      <c r="CLS516" s="332"/>
      <c r="CLT516" s="332"/>
      <c r="CLU516" s="332"/>
      <c r="CLV516" s="332"/>
      <c r="CLW516" s="332"/>
      <c r="CLX516" s="332"/>
      <c r="CLY516" s="332"/>
      <c r="CLZ516" s="332"/>
      <c r="CMA516" s="332"/>
      <c r="CMB516" s="332"/>
      <c r="CMC516" s="332"/>
      <c r="CMD516" s="332"/>
      <c r="CME516" s="332"/>
      <c r="CMF516" s="332"/>
      <c r="CMG516" s="332"/>
      <c r="CMH516" s="332"/>
      <c r="CMI516" s="332"/>
      <c r="CMJ516" s="332"/>
      <c r="CMK516" s="332"/>
      <c r="CML516" s="332"/>
      <c r="CMM516" s="332"/>
      <c r="CMN516" s="332"/>
      <c r="CMO516" s="332"/>
      <c r="CMP516" s="332"/>
      <c r="CMQ516" s="332"/>
      <c r="CMR516" s="332"/>
      <c r="CMS516" s="332"/>
      <c r="CMT516" s="332"/>
      <c r="CMU516" s="332"/>
      <c r="CMV516" s="332"/>
      <c r="CMW516" s="332"/>
      <c r="CMX516" s="332"/>
      <c r="CMY516" s="332"/>
      <c r="CMZ516" s="332"/>
      <c r="CNA516" s="332"/>
      <c r="CNB516" s="332"/>
      <c r="CNC516" s="332"/>
      <c r="CND516" s="332"/>
      <c r="CNE516" s="332"/>
      <c r="CNF516" s="332"/>
      <c r="CNG516" s="332"/>
      <c r="CNH516" s="332"/>
      <c r="CNI516" s="332"/>
      <c r="CNJ516" s="332"/>
      <c r="CNK516" s="332"/>
      <c r="CNL516" s="332"/>
      <c r="CNM516" s="332"/>
      <c r="CNN516" s="332"/>
      <c r="CNO516" s="332"/>
      <c r="CNP516" s="332"/>
      <c r="CNQ516" s="332"/>
      <c r="CNR516" s="332"/>
      <c r="CNS516" s="332"/>
      <c r="CNT516" s="332"/>
      <c r="CNU516" s="332"/>
      <c r="CNV516" s="332"/>
      <c r="CNW516" s="332"/>
      <c r="CNX516" s="332"/>
      <c r="CNY516" s="332"/>
      <c r="CNZ516" s="332"/>
      <c r="COA516" s="332"/>
      <c r="COB516" s="332"/>
      <c r="COC516" s="332"/>
      <c r="COD516" s="332"/>
      <c r="COE516" s="332"/>
      <c r="COF516" s="332"/>
      <c r="COG516" s="332"/>
      <c r="COH516" s="332"/>
      <c r="COI516" s="332"/>
      <c r="COJ516" s="332"/>
      <c r="COK516" s="332"/>
      <c r="COL516" s="332"/>
      <c r="COM516" s="332"/>
      <c r="CON516" s="332"/>
      <c r="COO516" s="332"/>
      <c r="COP516" s="332"/>
      <c r="COQ516" s="332"/>
      <c r="COR516" s="332"/>
      <c r="COS516" s="332"/>
      <c r="COT516" s="332"/>
      <c r="COU516" s="332"/>
      <c r="COV516" s="332"/>
      <c r="COW516" s="332"/>
      <c r="COX516" s="332"/>
      <c r="COY516" s="332"/>
      <c r="COZ516" s="332"/>
      <c r="CPA516" s="332"/>
      <c r="CPB516" s="332"/>
      <c r="CPC516" s="332"/>
      <c r="CPD516" s="332"/>
      <c r="CPE516" s="332"/>
      <c r="CPF516" s="332"/>
      <c r="CPG516" s="332"/>
      <c r="CPH516" s="332"/>
      <c r="CPI516" s="332"/>
      <c r="CPJ516" s="332"/>
      <c r="CPK516" s="332"/>
      <c r="CPL516" s="332"/>
      <c r="CPM516" s="332"/>
      <c r="CPN516" s="332"/>
      <c r="CPO516" s="332"/>
      <c r="CPP516" s="332"/>
      <c r="CPQ516" s="332"/>
      <c r="CPR516" s="332"/>
      <c r="CPS516" s="332"/>
      <c r="CPT516" s="332"/>
      <c r="CPU516" s="332"/>
      <c r="CPV516" s="332"/>
      <c r="CPW516" s="332"/>
      <c r="CPX516" s="332"/>
      <c r="CPY516" s="332"/>
      <c r="CPZ516" s="332"/>
      <c r="CQA516" s="332"/>
      <c r="CQB516" s="332"/>
      <c r="CQC516" s="332"/>
      <c r="CQD516" s="332"/>
      <c r="CQE516" s="332"/>
      <c r="CQF516" s="332"/>
      <c r="CQG516" s="332"/>
      <c r="CQH516" s="332"/>
      <c r="CQI516" s="332"/>
      <c r="CQJ516" s="332"/>
      <c r="CQK516" s="332"/>
      <c r="CQL516" s="332"/>
      <c r="CQM516" s="332"/>
      <c r="CQN516" s="332"/>
      <c r="CQO516" s="332"/>
      <c r="CQP516" s="332"/>
      <c r="CQQ516" s="332"/>
      <c r="CQR516" s="332"/>
      <c r="CQS516" s="332"/>
      <c r="CQT516" s="332"/>
      <c r="CQU516" s="332"/>
      <c r="CQV516" s="332"/>
      <c r="CQW516" s="332"/>
      <c r="CQX516" s="332"/>
      <c r="CQY516" s="332"/>
      <c r="CQZ516" s="332"/>
      <c r="CRA516" s="332"/>
      <c r="CRB516" s="332"/>
      <c r="CRC516" s="332"/>
      <c r="CRD516" s="332"/>
      <c r="CRE516" s="332"/>
      <c r="CRF516" s="332"/>
      <c r="CRG516" s="332"/>
      <c r="CRH516" s="332"/>
      <c r="CRI516" s="332"/>
      <c r="CRJ516" s="332"/>
      <c r="CRK516" s="332"/>
      <c r="CRL516" s="332"/>
      <c r="CRM516" s="332"/>
      <c r="CRN516" s="332"/>
      <c r="CRO516" s="332"/>
      <c r="CRP516" s="332"/>
      <c r="CRQ516" s="332"/>
      <c r="CRR516" s="332"/>
      <c r="CRS516" s="332"/>
      <c r="CRT516" s="332"/>
      <c r="CRU516" s="332"/>
      <c r="CRV516" s="332"/>
      <c r="CRW516" s="332"/>
      <c r="CRX516" s="332"/>
      <c r="CRY516" s="332"/>
      <c r="CRZ516" s="332"/>
      <c r="CSA516" s="332"/>
      <c r="CSB516" s="332"/>
      <c r="CSC516" s="332"/>
      <c r="CSD516" s="332"/>
      <c r="CSE516" s="332"/>
      <c r="CSF516" s="332"/>
      <c r="CSG516" s="332"/>
      <c r="CSH516" s="332"/>
      <c r="CSI516" s="332"/>
      <c r="CSJ516" s="332"/>
      <c r="CSK516" s="332"/>
      <c r="CSL516" s="332"/>
      <c r="CSM516" s="332"/>
      <c r="CSN516" s="332"/>
      <c r="CSO516" s="332"/>
      <c r="CSP516" s="332"/>
      <c r="CSQ516" s="332"/>
      <c r="CSR516" s="332"/>
      <c r="CSS516" s="332"/>
      <c r="CST516" s="332"/>
      <c r="CSU516" s="332"/>
      <c r="CSV516" s="332"/>
      <c r="CSW516" s="332"/>
      <c r="CSX516" s="332"/>
      <c r="CSY516" s="332"/>
      <c r="CSZ516" s="332"/>
      <c r="CTA516" s="332"/>
      <c r="CTB516" s="332"/>
      <c r="CTC516" s="332"/>
      <c r="CTD516" s="332"/>
      <c r="CTE516" s="332"/>
      <c r="CTF516" s="332"/>
      <c r="CTG516" s="332"/>
      <c r="CTH516" s="332"/>
      <c r="CTI516" s="332"/>
      <c r="CTJ516" s="332"/>
      <c r="CTK516" s="332"/>
      <c r="CTL516" s="332"/>
      <c r="CTM516" s="332"/>
      <c r="CTN516" s="332"/>
      <c r="CTO516" s="332"/>
      <c r="CTP516" s="332"/>
      <c r="CTQ516" s="332"/>
      <c r="CTR516" s="332"/>
      <c r="CTS516" s="332"/>
      <c r="CTT516" s="332"/>
      <c r="CTU516" s="332"/>
      <c r="CTV516" s="332"/>
      <c r="CTW516" s="332"/>
      <c r="CTX516" s="332"/>
      <c r="CTY516" s="332"/>
      <c r="CTZ516" s="332"/>
      <c r="CUA516" s="332"/>
      <c r="CUB516" s="332"/>
      <c r="CUC516" s="332"/>
      <c r="CUD516" s="332"/>
      <c r="CUE516" s="332"/>
      <c r="CUF516" s="332"/>
      <c r="CUG516" s="332"/>
      <c r="CUH516" s="332"/>
      <c r="CUI516" s="332"/>
      <c r="CUJ516" s="332"/>
      <c r="CUK516" s="332"/>
      <c r="CUL516" s="332"/>
      <c r="CUM516" s="332"/>
      <c r="CUN516" s="332"/>
      <c r="CUO516" s="332"/>
      <c r="CUP516" s="332"/>
      <c r="CUQ516" s="332"/>
      <c r="CUR516" s="332"/>
      <c r="CUS516" s="332"/>
      <c r="CUT516" s="332"/>
      <c r="CUU516" s="332"/>
      <c r="CUV516" s="332"/>
      <c r="CUW516" s="332"/>
      <c r="CUX516" s="332"/>
      <c r="CUY516" s="332"/>
      <c r="CUZ516" s="332"/>
      <c r="CVA516" s="332"/>
      <c r="CVB516" s="332"/>
      <c r="CVC516" s="332"/>
      <c r="CVD516" s="332"/>
      <c r="CVE516" s="332"/>
      <c r="CVF516" s="332"/>
      <c r="CVG516" s="332"/>
      <c r="CVH516" s="332"/>
      <c r="CVI516" s="332"/>
      <c r="CVJ516" s="332"/>
      <c r="CVK516" s="332"/>
      <c r="CVL516" s="332"/>
      <c r="CVM516" s="332"/>
      <c r="CVN516" s="332"/>
      <c r="CVO516" s="332"/>
      <c r="CVP516" s="332"/>
      <c r="CVQ516" s="332"/>
      <c r="CVR516" s="332"/>
      <c r="CVS516" s="332"/>
      <c r="CVT516" s="332"/>
      <c r="CVU516" s="332"/>
      <c r="CVV516" s="332"/>
      <c r="CVW516" s="332"/>
      <c r="CVX516" s="332"/>
      <c r="CVY516" s="332"/>
      <c r="CVZ516" s="332"/>
      <c r="CWA516" s="332"/>
      <c r="CWB516" s="332"/>
      <c r="CWC516" s="332"/>
      <c r="CWD516" s="332"/>
      <c r="CWE516" s="332"/>
      <c r="CWF516" s="332"/>
      <c r="CWG516" s="332"/>
      <c r="CWH516" s="332"/>
      <c r="CWI516" s="332"/>
      <c r="CWJ516" s="332"/>
      <c r="CWK516" s="332"/>
      <c r="CWL516" s="332"/>
      <c r="CWM516" s="332"/>
      <c r="CWN516" s="332"/>
      <c r="CWO516" s="332"/>
      <c r="CWP516" s="332"/>
      <c r="CWQ516" s="332"/>
      <c r="CWR516" s="332"/>
      <c r="CWS516" s="332"/>
      <c r="CWT516" s="332"/>
      <c r="CWU516" s="332"/>
      <c r="CWV516" s="332"/>
      <c r="CWW516" s="332"/>
      <c r="CWX516" s="332"/>
      <c r="CWY516" s="332"/>
      <c r="CWZ516" s="332"/>
      <c r="CXA516" s="332"/>
      <c r="CXB516" s="332"/>
      <c r="CXC516" s="332"/>
      <c r="CXD516" s="332"/>
      <c r="CXE516" s="332"/>
      <c r="CXF516" s="332"/>
      <c r="CXG516" s="332"/>
      <c r="CXH516" s="332"/>
      <c r="CXI516" s="332"/>
      <c r="CXJ516" s="332"/>
      <c r="CXK516" s="332"/>
      <c r="CXL516" s="332"/>
      <c r="CXM516" s="332"/>
      <c r="CXN516" s="332"/>
      <c r="CXO516" s="332"/>
      <c r="CXP516" s="332"/>
      <c r="CXQ516" s="332"/>
      <c r="CXR516" s="332"/>
      <c r="CXS516" s="332"/>
      <c r="CXT516" s="332"/>
      <c r="CXU516" s="332"/>
      <c r="CXV516" s="332"/>
      <c r="CXW516" s="332"/>
      <c r="CXX516" s="332"/>
      <c r="CXY516" s="332"/>
      <c r="CXZ516" s="332"/>
      <c r="CYA516" s="332"/>
      <c r="CYB516" s="332"/>
      <c r="CYC516" s="332"/>
      <c r="CYD516" s="332"/>
      <c r="CYE516" s="332"/>
      <c r="CYF516" s="332"/>
      <c r="CYG516" s="332"/>
      <c r="CYH516" s="332"/>
      <c r="CYI516" s="332"/>
      <c r="CYJ516" s="332"/>
      <c r="CYK516" s="332"/>
      <c r="CYL516" s="332"/>
      <c r="CYM516" s="332"/>
      <c r="CYN516" s="332"/>
      <c r="CYO516" s="332"/>
      <c r="CYP516" s="332"/>
      <c r="CYQ516" s="332"/>
      <c r="CYR516" s="332"/>
      <c r="CYS516" s="332"/>
      <c r="CYT516" s="332"/>
      <c r="CYU516" s="332"/>
      <c r="CYV516" s="332"/>
      <c r="CYW516" s="332"/>
      <c r="CYX516" s="332"/>
      <c r="CYY516" s="332"/>
      <c r="CYZ516" s="332"/>
      <c r="CZA516" s="332"/>
      <c r="CZB516" s="332"/>
      <c r="CZC516" s="332"/>
      <c r="CZD516" s="332"/>
      <c r="CZE516" s="332"/>
      <c r="CZF516" s="332"/>
      <c r="CZG516" s="332"/>
      <c r="CZH516" s="332"/>
      <c r="CZI516" s="332"/>
      <c r="CZJ516" s="332"/>
      <c r="CZK516" s="332"/>
      <c r="CZL516" s="332"/>
      <c r="CZM516" s="332"/>
      <c r="CZN516" s="332"/>
      <c r="CZO516" s="332"/>
      <c r="CZP516" s="332"/>
      <c r="CZQ516" s="332"/>
      <c r="CZR516" s="332"/>
      <c r="CZS516" s="332"/>
      <c r="CZT516" s="332"/>
      <c r="CZU516" s="332"/>
      <c r="CZV516" s="332"/>
      <c r="CZW516" s="332"/>
      <c r="CZX516" s="332"/>
      <c r="CZY516" s="332"/>
      <c r="CZZ516" s="332"/>
      <c r="DAA516" s="332"/>
      <c r="DAB516" s="332"/>
      <c r="DAC516" s="332"/>
      <c r="DAD516" s="332"/>
      <c r="DAE516" s="332"/>
      <c r="DAF516" s="332"/>
      <c r="DAG516" s="332"/>
      <c r="DAH516" s="332"/>
      <c r="DAI516" s="332"/>
      <c r="DAJ516" s="332"/>
      <c r="DAK516" s="332"/>
      <c r="DAL516" s="332"/>
      <c r="DAM516" s="332"/>
      <c r="DAN516" s="332"/>
      <c r="DAO516" s="332"/>
      <c r="DAP516" s="332"/>
      <c r="DAQ516" s="332"/>
      <c r="DAR516" s="332"/>
      <c r="DAS516" s="332"/>
      <c r="DAT516" s="332"/>
      <c r="DAU516" s="332"/>
      <c r="DAV516" s="332"/>
      <c r="DAW516" s="332"/>
      <c r="DAX516" s="332"/>
      <c r="DAY516" s="332"/>
      <c r="DAZ516" s="332"/>
      <c r="DBA516" s="332"/>
      <c r="DBB516" s="332"/>
      <c r="DBC516" s="332"/>
      <c r="DBD516" s="332"/>
      <c r="DBE516" s="332"/>
      <c r="DBF516" s="332"/>
      <c r="DBG516" s="332"/>
      <c r="DBH516" s="332"/>
      <c r="DBI516" s="332"/>
      <c r="DBJ516" s="332"/>
      <c r="DBK516" s="332"/>
      <c r="DBL516" s="332"/>
      <c r="DBM516" s="332"/>
      <c r="DBN516" s="332"/>
      <c r="DBO516" s="332"/>
      <c r="DBP516" s="332"/>
      <c r="DBQ516" s="332"/>
      <c r="DBR516" s="332"/>
      <c r="DBS516" s="332"/>
      <c r="DBT516" s="332"/>
      <c r="DBU516" s="332"/>
      <c r="DBV516" s="332"/>
      <c r="DBW516" s="332"/>
      <c r="DBX516" s="332"/>
      <c r="DBY516" s="332"/>
      <c r="DBZ516" s="332"/>
      <c r="DCA516" s="332"/>
      <c r="DCB516" s="332"/>
      <c r="DCC516" s="332"/>
      <c r="DCD516" s="332"/>
      <c r="DCE516" s="332"/>
      <c r="DCF516" s="332"/>
      <c r="DCG516" s="332"/>
      <c r="DCH516" s="332"/>
      <c r="DCI516" s="332"/>
      <c r="DCJ516" s="332"/>
      <c r="DCK516" s="332"/>
      <c r="DCL516" s="332"/>
      <c r="DCM516" s="332"/>
      <c r="DCN516" s="332"/>
      <c r="DCO516" s="332"/>
      <c r="DCP516" s="332"/>
      <c r="DCQ516" s="332"/>
      <c r="DCR516" s="332"/>
      <c r="DCS516" s="332"/>
      <c r="DCT516" s="332"/>
      <c r="DCU516" s="332"/>
      <c r="DCV516" s="332"/>
      <c r="DCW516" s="332"/>
      <c r="DCX516" s="332"/>
      <c r="DCY516" s="332"/>
      <c r="DCZ516" s="332"/>
      <c r="DDA516" s="332"/>
      <c r="DDB516" s="332"/>
      <c r="DDC516" s="332"/>
      <c r="DDD516" s="332"/>
      <c r="DDE516" s="332"/>
      <c r="DDF516" s="332"/>
      <c r="DDG516" s="332"/>
      <c r="DDH516" s="332"/>
      <c r="DDI516" s="332"/>
      <c r="DDJ516" s="332"/>
      <c r="DDK516" s="332"/>
      <c r="DDL516" s="332"/>
      <c r="DDM516" s="332"/>
      <c r="DDN516" s="332"/>
      <c r="DDO516" s="332"/>
      <c r="DDP516" s="332"/>
      <c r="DDQ516" s="332"/>
      <c r="DDR516" s="332"/>
      <c r="DDS516" s="332"/>
      <c r="DDT516" s="332"/>
      <c r="DDU516" s="332"/>
      <c r="DDV516" s="332"/>
      <c r="DDW516" s="332"/>
      <c r="DDX516" s="332"/>
      <c r="DDY516" s="332"/>
      <c r="DDZ516" s="332"/>
      <c r="DEA516" s="332"/>
      <c r="DEB516" s="332"/>
      <c r="DEC516" s="332"/>
      <c r="DED516" s="332"/>
      <c r="DEE516" s="332"/>
      <c r="DEF516" s="332"/>
      <c r="DEG516" s="332"/>
      <c r="DEH516" s="332"/>
      <c r="DEI516" s="332"/>
      <c r="DEJ516" s="332"/>
      <c r="DEK516" s="332"/>
      <c r="DEL516" s="332"/>
      <c r="DEM516" s="332"/>
      <c r="DEN516" s="332"/>
      <c r="DEO516" s="332"/>
      <c r="DEP516" s="332"/>
      <c r="DEQ516" s="332"/>
      <c r="DER516" s="332"/>
      <c r="DES516" s="332"/>
      <c r="DET516" s="332"/>
      <c r="DEU516" s="332"/>
      <c r="DEV516" s="332"/>
      <c r="DEW516" s="332"/>
      <c r="DEX516" s="332"/>
      <c r="DEY516" s="332"/>
      <c r="DEZ516" s="332"/>
      <c r="DFA516" s="332"/>
      <c r="DFB516" s="332"/>
      <c r="DFC516" s="332"/>
      <c r="DFD516" s="332"/>
      <c r="DFE516" s="332"/>
      <c r="DFF516" s="332"/>
      <c r="DFG516" s="332"/>
      <c r="DFH516" s="332"/>
      <c r="DFI516" s="332"/>
      <c r="DFJ516" s="332"/>
      <c r="DFK516" s="332"/>
      <c r="DFL516" s="332"/>
      <c r="DFM516" s="332"/>
      <c r="DFN516" s="332"/>
      <c r="DFO516" s="332"/>
      <c r="DFP516" s="332"/>
      <c r="DFQ516" s="332"/>
      <c r="DFR516" s="332"/>
      <c r="DFS516" s="332"/>
      <c r="DFT516" s="332"/>
      <c r="DFU516" s="332"/>
      <c r="DFV516" s="332"/>
      <c r="DFW516" s="332"/>
      <c r="DFX516" s="332"/>
      <c r="DFY516" s="332"/>
      <c r="DFZ516" s="332"/>
      <c r="DGA516" s="332"/>
      <c r="DGB516" s="332"/>
      <c r="DGC516" s="332"/>
      <c r="DGD516" s="332"/>
      <c r="DGE516" s="332"/>
      <c r="DGF516" s="332"/>
      <c r="DGG516" s="332"/>
      <c r="DGH516" s="332"/>
      <c r="DGI516" s="332"/>
      <c r="DGJ516" s="332"/>
      <c r="DGK516" s="332"/>
      <c r="DGL516" s="332"/>
      <c r="DGM516" s="332"/>
      <c r="DGN516" s="332"/>
      <c r="DGO516" s="332"/>
      <c r="DGP516" s="332"/>
      <c r="DGQ516" s="332"/>
      <c r="DGR516" s="332"/>
      <c r="DGS516" s="332"/>
      <c r="DGT516" s="332"/>
      <c r="DGU516" s="332"/>
      <c r="DGV516" s="332"/>
      <c r="DGW516" s="332"/>
      <c r="DGX516" s="332"/>
      <c r="DGY516" s="332"/>
      <c r="DGZ516" s="332"/>
      <c r="DHA516" s="332"/>
      <c r="DHB516" s="332"/>
      <c r="DHC516" s="332"/>
      <c r="DHD516" s="332"/>
      <c r="DHE516" s="332"/>
      <c r="DHF516" s="332"/>
      <c r="DHG516" s="332"/>
      <c r="DHH516" s="332"/>
      <c r="DHI516" s="332"/>
      <c r="DHJ516" s="332"/>
      <c r="DHK516" s="332"/>
      <c r="DHL516" s="332"/>
      <c r="DHM516" s="332"/>
      <c r="DHN516" s="332"/>
      <c r="DHO516" s="332"/>
      <c r="DHP516" s="332"/>
      <c r="DHQ516" s="332"/>
      <c r="DHR516" s="332"/>
      <c r="DHS516" s="332"/>
      <c r="DHT516" s="332"/>
      <c r="DHU516" s="332"/>
      <c r="DHV516" s="332"/>
      <c r="DHW516" s="332"/>
      <c r="DHX516" s="332"/>
      <c r="DHY516" s="332"/>
      <c r="DHZ516" s="332"/>
      <c r="DIA516" s="332"/>
      <c r="DIB516" s="332"/>
      <c r="DIC516" s="332"/>
      <c r="DID516" s="332"/>
      <c r="DIE516" s="332"/>
      <c r="DIF516" s="332"/>
      <c r="DIG516" s="332"/>
      <c r="DIH516" s="332"/>
      <c r="DII516" s="332"/>
      <c r="DIJ516" s="332"/>
      <c r="DIK516" s="332"/>
      <c r="DIL516" s="332"/>
      <c r="DIM516" s="332"/>
      <c r="DIN516" s="332"/>
      <c r="DIO516" s="332"/>
      <c r="DIP516" s="332"/>
      <c r="DIQ516" s="332"/>
      <c r="DIR516" s="332"/>
      <c r="DIS516" s="332"/>
      <c r="DIT516" s="332"/>
      <c r="DIU516" s="332"/>
      <c r="DIV516" s="332"/>
      <c r="DIW516" s="332"/>
      <c r="DIX516" s="332"/>
      <c r="DIY516" s="332"/>
      <c r="DIZ516" s="332"/>
      <c r="DJA516" s="332"/>
      <c r="DJB516" s="332"/>
      <c r="DJC516" s="332"/>
      <c r="DJD516" s="332"/>
      <c r="DJE516" s="332"/>
      <c r="DJF516" s="332"/>
      <c r="DJG516" s="332"/>
      <c r="DJH516" s="332"/>
      <c r="DJI516" s="332"/>
      <c r="DJJ516" s="332"/>
      <c r="DJK516" s="332"/>
      <c r="DJL516" s="332"/>
      <c r="DJM516" s="332"/>
      <c r="DJN516" s="332"/>
      <c r="DJO516" s="332"/>
      <c r="DJP516" s="332"/>
      <c r="DJQ516" s="332"/>
      <c r="DJR516" s="332"/>
      <c r="DJS516" s="332"/>
      <c r="DJT516" s="332"/>
      <c r="DJU516" s="332"/>
      <c r="DJV516" s="332"/>
      <c r="DJW516" s="332"/>
      <c r="DJX516" s="332"/>
      <c r="DJY516" s="332"/>
      <c r="DJZ516" s="332"/>
      <c r="DKA516" s="332"/>
      <c r="DKB516" s="332"/>
      <c r="DKC516" s="332"/>
      <c r="DKD516" s="332"/>
      <c r="DKE516" s="332"/>
      <c r="DKF516" s="332"/>
      <c r="DKG516" s="332"/>
      <c r="DKH516" s="332"/>
      <c r="DKI516" s="332"/>
      <c r="DKJ516" s="332"/>
      <c r="DKK516" s="332"/>
      <c r="DKL516" s="332"/>
      <c r="DKM516" s="332"/>
      <c r="DKN516" s="332"/>
      <c r="DKO516" s="332"/>
      <c r="DKP516" s="332"/>
      <c r="DKQ516" s="332"/>
      <c r="DKR516" s="332"/>
      <c r="DKS516" s="332"/>
      <c r="DKT516" s="332"/>
      <c r="DKU516" s="332"/>
      <c r="DKV516" s="332"/>
      <c r="DKW516" s="332"/>
      <c r="DKX516" s="332"/>
      <c r="DKY516" s="332"/>
      <c r="DKZ516" s="332"/>
      <c r="DLA516" s="332"/>
      <c r="DLB516" s="332"/>
      <c r="DLC516" s="332"/>
      <c r="DLD516" s="332"/>
      <c r="DLE516" s="332"/>
      <c r="DLF516" s="332"/>
      <c r="DLG516" s="332"/>
      <c r="DLH516" s="332"/>
      <c r="DLI516" s="332"/>
      <c r="DLJ516" s="332"/>
      <c r="DLK516" s="332"/>
      <c r="DLL516" s="332"/>
      <c r="DLM516" s="332"/>
      <c r="DLN516" s="332"/>
      <c r="DLO516" s="332"/>
      <c r="DLP516" s="332"/>
      <c r="DLQ516" s="332"/>
      <c r="DLR516" s="332"/>
      <c r="DLS516" s="332"/>
      <c r="DLT516" s="332"/>
      <c r="DLU516" s="332"/>
      <c r="DLV516" s="332"/>
      <c r="DLW516" s="332"/>
      <c r="DLX516" s="332"/>
      <c r="DLY516" s="332"/>
      <c r="DLZ516" s="332"/>
      <c r="DMA516" s="332"/>
      <c r="DMB516" s="332"/>
      <c r="DMC516" s="332"/>
      <c r="DMD516" s="332"/>
      <c r="DME516" s="332"/>
      <c r="DMF516" s="332"/>
      <c r="DMG516" s="332"/>
      <c r="DMH516" s="332"/>
      <c r="DMI516" s="332"/>
      <c r="DMJ516" s="332"/>
      <c r="DMK516" s="332"/>
      <c r="DML516" s="332"/>
      <c r="DMM516" s="332"/>
      <c r="DMN516" s="332"/>
      <c r="DMO516" s="332"/>
      <c r="DMP516" s="332"/>
      <c r="DMQ516" s="332"/>
      <c r="DMR516" s="332"/>
      <c r="DMS516" s="332"/>
      <c r="DMT516" s="332"/>
      <c r="DMU516" s="332"/>
      <c r="DMV516" s="332"/>
      <c r="DMW516" s="332"/>
      <c r="DMX516" s="332"/>
      <c r="DMY516" s="332"/>
      <c r="DMZ516" s="332"/>
      <c r="DNA516" s="332"/>
      <c r="DNB516" s="332"/>
      <c r="DNC516" s="332"/>
      <c r="DND516" s="332"/>
      <c r="DNE516" s="332"/>
      <c r="DNF516" s="332"/>
      <c r="DNG516" s="332"/>
      <c r="DNH516" s="332"/>
      <c r="DNI516" s="332"/>
      <c r="DNJ516" s="332"/>
      <c r="DNK516" s="332"/>
      <c r="DNL516" s="332"/>
      <c r="DNM516" s="332"/>
      <c r="DNN516" s="332"/>
      <c r="DNO516" s="332"/>
      <c r="DNP516" s="332"/>
      <c r="DNQ516" s="332"/>
      <c r="DNR516" s="332"/>
      <c r="DNS516" s="332"/>
      <c r="DNT516" s="332"/>
      <c r="DNU516" s="332"/>
      <c r="DNV516" s="332"/>
      <c r="DNW516" s="332"/>
      <c r="DNX516" s="332"/>
      <c r="DNY516" s="332"/>
      <c r="DNZ516" s="332"/>
      <c r="DOA516" s="332"/>
      <c r="DOB516" s="332"/>
      <c r="DOC516" s="332"/>
      <c r="DOD516" s="332"/>
      <c r="DOE516" s="332"/>
      <c r="DOF516" s="332"/>
      <c r="DOG516" s="332"/>
      <c r="DOH516" s="332"/>
      <c r="DOI516" s="332"/>
      <c r="DOJ516" s="332"/>
      <c r="DOK516" s="332"/>
      <c r="DOL516" s="332"/>
      <c r="DOM516" s="332"/>
      <c r="DON516" s="332"/>
      <c r="DOO516" s="332"/>
      <c r="DOP516" s="332"/>
      <c r="DOQ516" s="332"/>
      <c r="DOR516" s="332"/>
      <c r="DOS516" s="332"/>
      <c r="DOT516" s="332"/>
      <c r="DOU516" s="332"/>
      <c r="DOV516" s="332"/>
      <c r="DOW516" s="332"/>
      <c r="DOX516" s="332"/>
      <c r="DOY516" s="332"/>
      <c r="DOZ516" s="332"/>
      <c r="DPA516" s="332"/>
      <c r="DPB516" s="332"/>
      <c r="DPC516" s="332"/>
      <c r="DPD516" s="332"/>
      <c r="DPE516" s="332"/>
      <c r="DPF516" s="332"/>
      <c r="DPG516" s="332"/>
      <c r="DPH516" s="332"/>
      <c r="DPI516" s="332"/>
      <c r="DPJ516" s="332"/>
      <c r="DPK516" s="332"/>
      <c r="DPL516" s="332"/>
      <c r="DPM516" s="332"/>
      <c r="DPN516" s="332"/>
      <c r="DPO516" s="332"/>
      <c r="DPP516" s="332"/>
      <c r="DPQ516" s="332"/>
      <c r="DPR516" s="332"/>
      <c r="DPS516" s="332"/>
      <c r="DPT516" s="332"/>
      <c r="DPU516" s="332"/>
      <c r="DPV516" s="332"/>
      <c r="DPW516" s="332"/>
      <c r="DPX516" s="332"/>
      <c r="DPY516" s="332"/>
      <c r="DPZ516" s="332"/>
      <c r="DQA516" s="332"/>
      <c r="DQB516" s="332"/>
      <c r="DQC516" s="332"/>
      <c r="DQD516" s="332"/>
      <c r="DQE516" s="332"/>
      <c r="DQF516" s="332"/>
      <c r="DQG516" s="332"/>
      <c r="DQH516" s="332"/>
      <c r="DQI516" s="332"/>
      <c r="DQJ516" s="332"/>
      <c r="DQK516" s="332"/>
      <c r="DQL516" s="332"/>
      <c r="DQM516" s="332"/>
      <c r="DQN516" s="332"/>
      <c r="DQO516" s="332"/>
      <c r="DQP516" s="332"/>
      <c r="DQQ516" s="332"/>
      <c r="DQR516" s="332"/>
      <c r="DQS516" s="332"/>
      <c r="DQT516" s="332"/>
      <c r="DQU516" s="332"/>
      <c r="DQV516" s="332"/>
      <c r="DQW516" s="332"/>
      <c r="DQX516" s="332"/>
      <c r="DQY516" s="332"/>
      <c r="DQZ516" s="332"/>
      <c r="DRA516" s="332"/>
      <c r="DRB516" s="332"/>
      <c r="DRC516" s="332"/>
      <c r="DRD516" s="332"/>
      <c r="DRE516" s="332"/>
      <c r="DRF516" s="332"/>
      <c r="DRG516" s="332"/>
      <c r="DRH516" s="332"/>
      <c r="DRI516" s="332"/>
      <c r="DRJ516" s="332"/>
      <c r="DRK516" s="332"/>
      <c r="DRL516" s="332"/>
      <c r="DRM516" s="332"/>
      <c r="DRN516" s="332"/>
      <c r="DRO516" s="332"/>
      <c r="DRP516" s="332"/>
      <c r="DRQ516" s="332"/>
      <c r="DRR516" s="332"/>
      <c r="DRS516" s="332"/>
      <c r="DRT516" s="332"/>
      <c r="DRU516" s="332"/>
      <c r="DRV516" s="332"/>
      <c r="DRW516" s="332"/>
      <c r="DRX516" s="332"/>
      <c r="DRY516" s="332"/>
      <c r="DRZ516" s="332"/>
      <c r="DSA516" s="332"/>
      <c r="DSB516" s="332"/>
      <c r="DSC516" s="332"/>
      <c r="DSD516" s="332"/>
      <c r="DSE516" s="332"/>
      <c r="DSF516" s="332"/>
      <c r="DSG516" s="332"/>
      <c r="DSH516" s="332"/>
      <c r="DSI516" s="332"/>
      <c r="DSJ516" s="332"/>
      <c r="DSK516" s="332"/>
      <c r="DSL516" s="332"/>
      <c r="DSM516" s="332"/>
      <c r="DSN516" s="332"/>
      <c r="DSO516" s="332"/>
      <c r="DSP516" s="332"/>
      <c r="DSQ516" s="332"/>
      <c r="DSR516" s="332"/>
      <c r="DSS516" s="332"/>
      <c r="DST516" s="332"/>
      <c r="DSU516" s="332"/>
      <c r="DSV516" s="332"/>
      <c r="DSW516" s="332"/>
      <c r="DSX516" s="332"/>
      <c r="DSY516" s="332"/>
      <c r="DSZ516" s="332"/>
      <c r="DTA516" s="332"/>
      <c r="DTB516" s="332"/>
      <c r="DTC516" s="332"/>
      <c r="DTD516" s="332"/>
      <c r="DTE516" s="332"/>
      <c r="DTF516" s="332"/>
      <c r="DTG516" s="332"/>
      <c r="DTH516" s="332"/>
      <c r="DTI516" s="332"/>
      <c r="DTJ516" s="332"/>
      <c r="DTK516" s="332"/>
      <c r="DTL516" s="332"/>
      <c r="DTM516" s="332"/>
      <c r="DTN516" s="332"/>
      <c r="DTO516" s="332"/>
      <c r="DTP516" s="332"/>
      <c r="DTQ516" s="332"/>
      <c r="DTR516" s="332"/>
      <c r="DTS516" s="332"/>
      <c r="DTT516" s="332"/>
      <c r="DTU516" s="332"/>
      <c r="DTV516" s="332"/>
      <c r="DTW516" s="332"/>
      <c r="DTX516" s="332"/>
      <c r="DTY516" s="332"/>
      <c r="DTZ516" s="332"/>
      <c r="DUA516" s="332"/>
      <c r="DUB516" s="332"/>
      <c r="DUC516" s="332"/>
      <c r="DUD516" s="332"/>
      <c r="DUE516" s="332"/>
      <c r="DUF516" s="332"/>
      <c r="DUG516" s="332"/>
      <c r="DUH516" s="332"/>
      <c r="DUI516" s="332"/>
      <c r="DUJ516" s="332"/>
      <c r="DUK516" s="332"/>
      <c r="DUL516" s="332"/>
      <c r="DUM516" s="332"/>
      <c r="DUN516" s="332"/>
      <c r="DUO516" s="332"/>
      <c r="DUP516" s="332"/>
      <c r="DUQ516" s="332"/>
      <c r="DUR516" s="332"/>
      <c r="DUS516" s="332"/>
      <c r="DUT516" s="332"/>
      <c r="DUU516" s="332"/>
      <c r="DUV516" s="332"/>
      <c r="DUW516" s="332"/>
      <c r="DUX516" s="332"/>
      <c r="DUY516" s="332"/>
      <c r="DUZ516" s="332"/>
      <c r="DVA516" s="332"/>
      <c r="DVB516" s="332"/>
      <c r="DVC516" s="332"/>
      <c r="DVD516" s="332"/>
      <c r="DVE516" s="332"/>
      <c r="DVF516" s="332"/>
      <c r="DVG516" s="332"/>
      <c r="DVH516" s="332"/>
      <c r="DVI516" s="332"/>
      <c r="DVJ516" s="332"/>
      <c r="DVK516" s="332"/>
      <c r="DVL516" s="332"/>
      <c r="DVM516" s="332"/>
      <c r="DVN516" s="332"/>
      <c r="DVO516" s="332"/>
      <c r="DVP516" s="332"/>
      <c r="DVQ516" s="332"/>
      <c r="DVR516" s="332"/>
      <c r="DVS516" s="332"/>
      <c r="DVT516" s="332"/>
      <c r="DVU516" s="332"/>
      <c r="DVV516" s="332"/>
      <c r="DVW516" s="332"/>
      <c r="DVX516" s="332"/>
      <c r="DVY516" s="332"/>
      <c r="DVZ516" s="332"/>
      <c r="DWA516" s="332"/>
      <c r="DWB516" s="332"/>
      <c r="DWC516" s="332"/>
      <c r="DWD516" s="332"/>
      <c r="DWE516" s="332"/>
      <c r="DWF516" s="332"/>
      <c r="DWG516" s="332"/>
      <c r="DWH516" s="332"/>
      <c r="DWI516" s="332"/>
      <c r="DWJ516" s="332"/>
      <c r="DWK516" s="332"/>
      <c r="DWL516" s="332"/>
      <c r="DWM516" s="332"/>
      <c r="DWN516" s="332"/>
      <c r="DWO516" s="332"/>
      <c r="DWP516" s="332"/>
      <c r="DWQ516" s="332"/>
      <c r="DWR516" s="332"/>
      <c r="DWS516" s="332"/>
      <c r="DWT516" s="332"/>
      <c r="DWU516" s="332"/>
      <c r="DWV516" s="332"/>
      <c r="DWW516" s="332"/>
      <c r="DWX516" s="332"/>
      <c r="DWY516" s="332"/>
      <c r="DWZ516" s="332"/>
      <c r="DXA516" s="332"/>
      <c r="DXB516" s="332"/>
      <c r="DXC516" s="332"/>
      <c r="DXD516" s="332"/>
      <c r="DXE516" s="332"/>
      <c r="DXF516" s="332"/>
      <c r="DXG516" s="332"/>
      <c r="DXH516" s="332"/>
      <c r="DXI516" s="332"/>
      <c r="DXJ516" s="332"/>
      <c r="DXK516" s="332"/>
      <c r="DXL516" s="332"/>
      <c r="DXM516" s="332"/>
      <c r="DXN516" s="332"/>
      <c r="DXO516" s="332"/>
      <c r="DXP516" s="332"/>
      <c r="DXQ516" s="332"/>
      <c r="DXR516" s="332"/>
      <c r="DXS516" s="332"/>
      <c r="DXT516" s="332"/>
      <c r="DXU516" s="332"/>
      <c r="DXV516" s="332"/>
      <c r="DXW516" s="332"/>
      <c r="DXX516" s="332"/>
      <c r="DXY516" s="332"/>
      <c r="DXZ516" s="332"/>
      <c r="DYA516" s="332"/>
      <c r="DYB516" s="332"/>
      <c r="DYC516" s="332"/>
      <c r="DYD516" s="332"/>
      <c r="DYE516" s="332"/>
      <c r="DYF516" s="332"/>
      <c r="DYG516" s="332"/>
      <c r="DYH516" s="332"/>
      <c r="DYI516" s="332"/>
      <c r="DYJ516" s="332"/>
      <c r="DYK516" s="332"/>
      <c r="DYL516" s="332"/>
      <c r="DYM516" s="332"/>
      <c r="DYN516" s="332"/>
      <c r="DYO516" s="332"/>
      <c r="DYP516" s="332"/>
      <c r="DYQ516" s="332"/>
      <c r="DYR516" s="332"/>
      <c r="DYS516" s="332"/>
      <c r="DYT516" s="332"/>
      <c r="DYU516" s="332"/>
      <c r="DYV516" s="332"/>
      <c r="DYW516" s="332"/>
      <c r="DYX516" s="332"/>
      <c r="DYY516" s="332"/>
      <c r="DYZ516" s="332"/>
      <c r="DZA516" s="332"/>
      <c r="DZB516" s="332"/>
      <c r="DZC516" s="332"/>
      <c r="DZD516" s="332"/>
      <c r="DZE516" s="332"/>
      <c r="DZF516" s="332"/>
      <c r="DZG516" s="332"/>
      <c r="DZH516" s="332"/>
      <c r="DZI516" s="332"/>
      <c r="DZJ516" s="332"/>
      <c r="DZK516" s="332"/>
      <c r="DZL516" s="332"/>
      <c r="DZM516" s="332"/>
      <c r="DZN516" s="332"/>
      <c r="DZO516" s="332"/>
      <c r="DZP516" s="332"/>
      <c r="DZQ516" s="332"/>
      <c r="DZR516" s="332"/>
      <c r="DZS516" s="332"/>
      <c r="DZT516" s="332"/>
      <c r="DZU516" s="332"/>
      <c r="DZV516" s="332"/>
      <c r="DZW516" s="332"/>
      <c r="DZX516" s="332"/>
      <c r="DZY516" s="332"/>
      <c r="DZZ516" s="332"/>
      <c r="EAA516" s="332"/>
      <c r="EAB516" s="332"/>
      <c r="EAC516" s="332"/>
      <c r="EAD516" s="332"/>
      <c r="EAE516" s="332"/>
      <c r="EAF516" s="332"/>
      <c r="EAG516" s="332"/>
      <c r="EAH516" s="332"/>
      <c r="EAI516" s="332"/>
      <c r="EAJ516" s="332"/>
      <c r="EAK516" s="332"/>
      <c r="EAL516" s="332"/>
      <c r="EAM516" s="332"/>
      <c r="EAN516" s="332"/>
      <c r="EAO516" s="332"/>
      <c r="EAP516" s="332"/>
      <c r="EAQ516" s="332"/>
      <c r="EAR516" s="332"/>
      <c r="EAS516" s="332"/>
      <c r="EAT516" s="332"/>
      <c r="EAU516" s="332"/>
      <c r="EAV516" s="332"/>
      <c r="EAW516" s="332"/>
      <c r="EAX516" s="332"/>
      <c r="EAY516" s="332"/>
      <c r="EAZ516" s="332"/>
      <c r="EBA516" s="332"/>
      <c r="EBB516" s="332"/>
      <c r="EBC516" s="332"/>
      <c r="EBD516" s="332"/>
      <c r="EBE516" s="332"/>
      <c r="EBF516" s="332"/>
      <c r="EBG516" s="332"/>
      <c r="EBH516" s="332"/>
      <c r="EBI516" s="332"/>
      <c r="EBJ516" s="332"/>
      <c r="EBK516" s="332"/>
      <c r="EBL516" s="332"/>
      <c r="EBM516" s="332"/>
      <c r="EBN516" s="332"/>
      <c r="EBO516" s="332"/>
      <c r="EBP516" s="332"/>
      <c r="EBQ516" s="332"/>
      <c r="EBR516" s="332"/>
      <c r="EBS516" s="332"/>
      <c r="EBT516" s="332"/>
      <c r="EBU516" s="332"/>
      <c r="EBV516" s="332"/>
      <c r="EBW516" s="332"/>
      <c r="EBX516" s="332"/>
      <c r="EBY516" s="332"/>
      <c r="EBZ516" s="332"/>
      <c r="ECA516" s="332"/>
      <c r="ECB516" s="332"/>
      <c r="ECC516" s="332"/>
      <c r="ECD516" s="332"/>
      <c r="ECE516" s="332"/>
      <c r="ECF516" s="332"/>
      <c r="ECG516" s="332"/>
      <c r="ECH516" s="332"/>
      <c r="ECI516" s="332"/>
      <c r="ECJ516" s="332"/>
      <c r="ECK516" s="332"/>
      <c r="ECL516" s="332"/>
      <c r="ECM516" s="332"/>
      <c r="ECN516" s="332"/>
      <c r="ECO516" s="332"/>
      <c r="ECP516" s="332"/>
      <c r="ECQ516" s="332"/>
      <c r="ECR516" s="332"/>
      <c r="ECS516" s="332"/>
      <c r="ECT516" s="332"/>
      <c r="ECU516" s="332"/>
      <c r="ECV516" s="332"/>
      <c r="ECW516" s="332"/>
      <c r="ECX516" s="332"/>
      <c r="ECY516" s="332"/>
      <c r="ECZ516" s="332"/>
      <c r="EDA516" s="332"/>
      <c r="EDB516" s="332"/>
      <c r="EDC516" s="332"/>
      <c r="EDD516" s="332"/>
      <c r="EDE516" s="332"/>
      <c r="EDF516" s="332"/>
      <c r="EDG516" s="332"/>
      <c r="EDH516" s="332"/>
      <c r="EDI516" s="332"/>
      <c r="EDJ516" s="332"/>
      <c r="EDK516" s="332"/>
      <c r="EDL516" s="332"/>
      <c r="EDM516" s="332"/>
      <c r="EDN516" s="332"/>
      <c r="EDO516" s="332"/>
      <c r="EDP516" s="332"/>
      <c r="EDQ516" s="332"/>
      <c r="EDR516" s="332"/>
      <c r="EDS516" s="332"/>
      <c r="EDT516" s="332"/>
      <c r="EDU516" s="332"/>
      <c r="EDV516" s="332"/>
      <c r="EDW516" s="332"/>
      <c r="EDX516" s="332"/>
      <c r="EDY516" s="332"/>
      <c r="EDZ516" s="332"/>
      <c r="EEA516" s="332"/>
      <c r="EEB516" s="332"/>
      <c r="EEC516" s="332"/>
      <c r="EED516" s="332"/>
      <c r="EEE516" s="332"/>
      <c r="EEF516" s="332"/>
      <c r="EEG516" s="332"/>
      <c r="EEH516" s="332"/>
      <c r="EEI516" s="332"/>
      <c r="EEJ516" s="332"/>
      <c r="EEK516" s="332"/>
      <c r="EEL516" s="332"/>
      <c r="EEM516" s="332"/>
      <c r="EEN516" s="332"/>
      <c r="EEO516" s="332"/>
      <c r="EEP516" s="332"/>
      <c r="EEQ516" s="332"/>
      <c r="EER516" s="332"/>
      <c r="EES516" s="332"/>
      <c r="EET516" s="332"/>
      <c r="EEU516" s="332"/>
      <c r="EEV516" s="332"/>
      <c r="EEW516" s="332"/>
      <c r="EEX516" s="332"/>
      <c r="EEY516" s="332"/>
      <c r="EEZ516" s="332"/>
      <c r="EFA516" s="332"/>
      <c r="EFB516" s="332"/>
      <c r="EFC516" s="332"/>
      <c r="EFD516" s="332"/>
      <c r="EFE516" s="332"/>
      <c r="EFF516" s="332"/>
      <c r="EFG516" s="332"/>
      <c r="EFH516" s="332"/>
      <c r="EFI516" s="332"/>
      <c r="EFJ516" s="332"/>
      <c r="EFK516" s="332"/>
      <c r="EFL516" s="332"/>
      <c r="EFM516" s="332"/>
      <c r="EFN516" s="332"/>
      <c r="EFO516" s="332"/>
      <c r="EFP516" s="332"/>
      <c r="EFQ516" s="332"/>
      <c r="EFR516" s="332"/>
      <c r="EFS516" s="332"/>
      <c r="EFT516" s="332"/>
      <c r="EFU516" s="332"/>
      <c r="EFV516" s="332"/>
      <c r="EFW516" s="332"/>
      <c r="EFX516" s="332"/>
      <c r="EFY516" s="332"/>
      <c r="EFZ516" s="332"/>
      <c r="EGA516" s="332"/>
      <c r="EGB516" s="332"/>
      <c r="EGC516" s="332"/>
      <c r="EGD516" s="332"/>
      <c r="EGE516" s="332"/>
      <c r="EGF516" s="332"/>
      <c r="EGG516" s="332"/>
      <c r="EGH516" s="332"/>
      <c r="EGI516" s="332"/>
      <c r="EGJ516" s="332"/>
      <c r="EGK516" s="332"/>
      <c r="EGL516" s="332"/>
      <c r="EGM516" s="332"/>
      <c r="EGN516" s="332"/>
      <c r="EGO516" s="332"/>
      <c r="EGP516" s="332"/>
      <c r="EGQ516" s="332"/>
      <c r="EGR516" s="332"/>
      <c r="EGS516" s="332"/>
      <c r="EGT516" s="332"/>
      <c r="EGU516" s="332"/>
      <c r="EGV516" s="332"/>
      <c r="EGW516" s="332"/>
      <c r="EGX516" s="332"/>
      <c r="EGY516" s="332"/>
      <c r="EGZ516" s="332"/>
      <c r="EHA516" s="332"/>
      <c r="EHB516" s="332"/>
      <c r="EHC516" s="332"/>
      <c r="EHD516" s="332"/>
      <c r="EHE516" s="332"/>
      <c r="EHF516" s="332"/>
      <c r="EHG516" s="332"/>
      <c r="EHH516" s="332"/>
      <c r="EHI516" s="332"/>
      <c r="EHJ516" s="332"/>
      <c r="EHK516" s="332"/>
      <c r="EHL516" s="332"/>
      <c r="EHM516" s="332"/>
      <c r="EHN516" s="332"/>
      <c r="EHO516" s="332"/>
      <c r="EHP516" s="332"/>
      <c r="EHQ516" s="332"/>
      <c r="EHR516" s="332"/>
      <c r="EHS516" s="332"/>
      <c r="EHT516" s="332"/>
      <c r="EHU516" s="332"/>
      <c r="EHV516" s="332"/>
      <c r="EHW516" s="332"/>
      <c r="EHX516" s="332"/>
      <c r="EHY516" s="332"/>
      <c r="EHZ516" s="332"/>
      <c r="EIA516" s="332"/>
      <c r="EIB516" s="332"/>
      <c r="EIC516" s="332"/>
      <c r="EID516" s="332"/>
      <c r="EIE516" s="332"/>
      <c r="EIF516" s="332"/>
      <c r="EIG516" s="332"/>
      <c r="EIH516" s="332"/>
      <c r="EII516" s="332"/>
      <c r="EIJ516" s="332"/>
      <c r="EIK516" s="332"/>
      <c r="EIL516" s="332"/>
      <c r="EIM516" s="332"/>
      <c r="EIN516" s="332"/>
      <c r="EIO516" s="332"/>
      <c r="EIP516" s="332"/>
      <c r="EIQ516" s="332"/>
      <c r="EIR516" s="332"/>
      <c r="EIS516" s="332"/>
      <c r="EIT516" s="332"/>
      <c r="EIU516" s="332"/>
      <c r="EIV516" s="332"/>
      <c r="EIW516" s="332"/>
      <c r="EIX516" s="332"/>
      <c r="EIY516" s="332"/>
      <c r="EIZ516" s="332"/>
      <c r="EJA516" s="332"/>
      <c r="EJB516" s="332"/>
      <c r="EJC516" s="332"/>
      <c r="EJD516" s="332"/>
      <c r="EJE516" s="332"/>
      <c r="EJF516" s="332"/>
      <c r="EJG516" s="332"/>
      <c r="EJH516" s="332"/>
      <c r="EJI516" s="332"/>
      <c r="EJJ516" s="332"/>
      <c r="EJK516" s="332"/>
      <c r="EJL516" s="332"/>
      <c r="EJM516" s="332"/>
      <c r="EJN516" s="332"/>
      <c r="EJO516" s="332"/>
      <c r="EJP516" s="332"/>
      <c r="EJQ516" s="332"/>
      <c r="EJR516" s="332"/>
      <c r="EJS516" s="332"/>
      <c r="EJT516" s="332"/>
      <c r="EJU516" s="332"/>
      <c r="EJV516" s="332"/>
      <c r="EJW516" s="332"/>
      <c r="EJX516" s="332"/>
      <c r="EJY516" s="332"/>
      <c r="EJZ516" s="332"/>
      <c r="EKA516" s="332"/>
      <c r="EKB516" s="332"/>
      <c r="EKC516" s="332"/>
      <c r="EKD516" s="332"/>
      <c r="EKE516" s="332"/>
      <c r="EKF516" s="332"/>
      <c r="EKG516" s="332"/>
      <c r="EKH516" s="332"/>
      <c r="EKI516" s="332"/>
      <c r="EKJ516" s="332"/>
      <c r="EKK516" s="332"/>
      <c r="EKL516" s="332"/>
      <c r="EKM516" s="332"/>
      <c r="EKN516" s="332"/>
      <c r="EKO516" s="332"/>
      <c r="EKP516" s="332"/>
      <c r="EKQ516" s="332"/>
      <c r="EKR516" s="332"/>
      <c r="EKS516" s="332"/>
      <c r="EKT516" s="332"/>
      <c r="EKU516" s="332"/>
      <c r="EKV516" s="332"/>
      <c r="EKW516" s="332"/>
      <c r="EKX516" s="332"/>
      <c r="EKY516" s="332"/>
      <c r="EKZ516" s="332"/>
      <c r="ELA516" s="332"/>
      <c r="ELB516" s="332"/>
      <c r="ELC516" s="332"/>
      <c r="ELD516" s="332"/>
      <c r="ELE516" s="332"/>
      <c r="ELF516" s="332"/>
      <c r="ELG516" s="332"/>
      <c r="ELH516" s="332"/>
      <c r="ELI516" s="332"/>
      <c r="ELJ516" s="332"/>
      <c r="ELK516" s="332"/>
      <c r="ELL516" s="332"/>
      <c r="ELM516" s="332"/>
      <c r="ELN516" s="332"/>
      <c r="ELO516" s="332"/>
      <c r="ELP516" s="332"/>
      <c r="ELQ516" s="332"/>
      <c r="ELR516" s="332"/>
      <c r="ELS516" s="332"/>
      <c r="ELT516" s="332"/>
      <c r="ELU516" s="332"/>
      <c r="ELV516" s="332"/>
      <c r="ELW516" s="332"/>
      <c r="ELX516" s="332"/>
      <c r="ELY516" s="332"/>
      <c r="ELZ516" s="332"/>
      <c r="EMA516" s="332"/>
      <c r="EMB516" s="332"/>
      <c r="EMC516" s="332"/>
      <c r="EMD516" s="332"/>
      <c r="EME516" s="332"/>
      <c r="EMF516" s="332"/>
      <c r="EMG516" s="332"/>
      <c r="EMH516" s="332"/>
      <c r="EMI516" s="332"/>
      <c r="EMJ516" s="332"/>
      <c r="EMK516" s="332"/>
      <c r="EML516" s="332"/>
      <c r="EMM516" s="332"/>
      <c r="EMN516" s="332"/>
      <c r="EMO516" s="332"/>
      <c r="EMP516" s="332"/>
      <c r="EMQ516" s="332"/>
      <c r="EMR516" s="332"/>
      <c r="EMS516" s="332"/>
      <c r="EMT516" s="332"/>
      <c r="EMU516" s="332"/>
      <c r="EMV516" s="332"/>
      <c r="EMW516" s="332"/>
      <c r="EMX516" s="332"/>
      <c r="EMY516" s="332"/>
      <c r="EMZ516" s="332"/>
      <c r="ENA516" s="332"/>
      <c r="ENB516" s="332"/>
      <c r="ENC516" s="332"/>
      <c r="END516" s="332"/>
      <c r="ENE516" s="332"/>
      <c r="ENF516" s="332"/>
      <c r="ENG516" s="332"/>
      <c r="ENH516" s="332"/>
      <c r="ENI516" s="332"/>
      <c r="ENJ516" s="332"/>
      <c r="ENK516" s="332"/>
      <c r="ENL516" s="332"/>
      <c r="ENM516" s="332"/>
      <c r="ENN516" s="332"/>
      <c r="ENO516" s="332"/>
      <c r="ENP516" s="332"/>
      <c r="ENQ516" s="332"/>
      <c r="ENR516" s="332"/>
      <c r="ENS516" s="332"/>
      <c r="ENT516" s="332"/>
      <c r="ENU516" s="332"/>
      <c r="ENV516" s="332"/>
      <c r="ENW516" s="332"/>
      <c r="ENX516" s="332"/>
      <c r="ENY516" s="332"/>
      <c r="ENZ516" s="332"/>
      <c r="EOA516" s="332"/>
      <c r="EOB516" s="332"/>
      <c r="EOC516" s="332"/>
      <c r="EOD516" s="332"/>
      <c r="EOE516" s="332"/>
      <c r="EOF516" s="332"/>
      <c r="EOG516" s="332"/>
      <c r="EOH516" s="332"/>
      <c r="EOI516" s="332"/>
      <c r="EOJ516" s="332"/>
      <c r="EOK516" s="332"/>
      <c r="EOL516" s="332"/>
      <c r="EOM516" s="332"/>
      <c r="EON516" s="332"/>
      <c r="EOO516" s="332"/>
      <c r="EOP516" s="332"/>
      <c r="EOQ516" s="332"/>
      <c r="EOR516" s="332"/>
      <c r="EOS516" s="332"/>
      <c r="EOT516" s="332"/>
      <c r="EOU516" s="332"/>
      <c r="EOV516" s="332"/>
      <c r="EOW516" s="332"/>
      <c r="EOX516" s="332"/>
      <c r="EOY516" s="332"/>
      <c r="EOZ516" s="332"/>
      <c r="EPA516" s="332"/>
      <c r="EPB516" s="332"/>
      <c r="EPC516" s="332"/>
      <c r="EPD516" s="332"/>
      <c r="EPE516" s="332"/>
      <c r="EPF516" s="332"/>
      <c r="EPG516" s="332"/>
      <c r="EPH516" s="332"/>
      <c r="EPI516" s="332"/>
      <c r="EPJ516" s="332"/>
      <c r="EPK516" s="332"/>
      <c r="EPL516" s="332"/>
      <c r="EPM516" s="332"/>
      <c r="EPN516" s="332"/>
      <c r="EPO516" s="332"/>
      <c r="EPP516" s="332"/>
      <c r="EPQ516" s="332"/>
      <c r="EPR516" s="332"/>
      <c r="EPS516" s="332"/>
      <c r="EPT516" s="332"/>
      <c r="EPU516" s="332"/>
      <c r="EPV516" s="332"/>
      <c r="EPW516" s="332"/>
      <c r="EPX516" s="332"/>
      <c r="EPY516" s="332"/>
      <c r="EPZ516" s="332"/>
      <c r="EQA516" s="332"/>
      <c r="EQB516" s="332"/>
      <c r="EQC516" s="332"/>
      <c r="EQD516" s="332"/>
      <c r="EQE516" s="332"/>
      <c r="EQF516" s="332"/>
      <c r="EQG516" s="332"/>
      <c r="EQH516" s="332"/>
      <c r="EQI516" s="332"/>
      <c r="EQJ516" s="332"/>
      <c r="EQK516" s="332"/>
      <c r="EQL516" s="332"/>
      <c r="EQM516" s="332"/>
      <c r="EQN516" s="332"/>
      <c r="EQO516" s="332"/>
      <c r="EQP516" s="332"/>
      <c r="EQQ516" s="332"/>
      <c r="EQR516" s="332"/>
      <c r="EQS516" s="332"/>
      <c r="EQT516" s="332"/>
      <c r="EQU516" s="332"/>
      <c r="EQV516" s="332"/>
      <c r="EQW516" s="332"/>
      <c r="EQX516" s="332"/>
      <c r="EQY516" s="332"/>
      <c r="EQZ516" s="332"/>
      <c r="ERA516" s="332"/>
      <c r="ERB516" s="332"/>
      <c r="ERC516" s="332"/>
      <c r="ERD516" s="332"/>
      <c r="ERE516" s="332"/>
      <c r="ERF516" s="332"/>
      <c r="ERG516" s="332"/>
      <c r="ERH516" s="332"/>
      <c r="ERI516" s="332"/>
      <c r="ERJ516" s="332"/>
      <c r="ERK516" s="332"/>
      <c r="ERL516" s="332"/>
      <c r="ERM516" s="332"/>
      <c r="ERN516" s="332"/>
      <c r="ERO516" s="332"/>
      <c r="ERP516" s="332"/>
      <c r="ERQ516" s="332"/>
      <c r="ERR516" s="332"/>
      <c r="ERS516" s="332"/>
      <c r="ERT516" s="332"/>
      <c r="ERU516" s="332"/>
      <c r="ERV516" s="332"/>
      <c r="ERW516" s="332"/>
      <c r="ERX516" s="332"/>
      <c r="ERY516" s="332"/>
      <c r="ERZ516" s="332"/>
      <c r="ESA516" s="332"/>
      <c r="ESB516" s="332"/>
      <c r="ESC516" s="332"/>
      <c r="ESD516" s="332"/>
      <c r="ESE516" s="332"/>
      <c r="ESF516" s="332"/>
      <c r="ESG516" s="332"/>
      <c r="ESH516" s="332"/>
      <c r="ESI516" s="332"/>
      <c r="ESJ516" s="332"/>
      <c r="ESK516" s="332"/>
      <c r="ESL516" s="332"/>
      <c r="ESM516" s="332"/>
      <c r="ESN516" s="332"/>
      <c r="ESO516" s="332"/>
      <c r="ESP516" s="332"/>
      <c r="ESQ516" s="332"/>
      <c r="ESR516" s="332"/>
      <c r="ESS516" s="332"/>
      <c r="EST516" s="332"/>
      <c r="ESU516" s="332"/>
      <c r="ESV516" s="332"/>
      <c r="ESW516" s="332"/>
      <c r="ESX516" s="332"/>
      <c r="ESY516" s="332"/>
      <c r="ESZ516" s="332"/>
      <c r="ETA516" s="332"/>
      <c r="ETB516" s="332"/>
      <c r="ETC516" s="332"/>
      <c r="ETD516" s="332"/>
      <c r="ETE516" s="332"/>
      <c r="ETF516" s="332"/>
      <c r="ETG516" s="332"/>
      <c r="ETH516" s="332"/>
      <c r="ETI516" s="332"/>
      <c r="ETJ516" s="332"/>
      <c r="ETK516" s="332"/>
      <c r="ETL516" s="332"/>
      <c r="ETM516" s="332"/>
      <c r="ETN516" s="332"/>
      <c r="ETO516" s="332"/>
      <c r="ETP516" s="332"/>
      <c r="ETQ516" s="332"/>
      <c r="ETR516" s="332"/>
      <c r="ETS516" s="332"/>
      <c r="ETT516" s="332"/>
      <c r="ETU516" s="332"/>
      <c r="ETV516" s="332"/>
      <c r="ETW516" s="332"/>
      <c r="ETX516" s="332"/>
      <c r="ETY516" s="332"/>
      <c r="ETZ516" s="332"/>
      <c r="EUA516" s="332"/>
      <c r="EUB516" s="332"/>
      <c r="EUC516" s="332"/>
      <c r="EUD516" s="332"/>
      <c r="EUE516" s="332"/>
      <c r="EUF516" s="332"/>
      <c r="EUG516" s="332"/>
      <c r="EUH516" s="332"/>
      <c r="EUI516" s="332"/>
      <c r="EUJ516" s="332"/>
      <c r="EUK516" s="332"/>
      <c r="EUL516" s="332"/>
      <c r="EUM516" s="332"/>
      <c r="EUN516" s="332"/>
      <c r="EUO516" s="332"/>
      <c r="EUP516" s="332"/>
      <c r="EUQ516" s="332"/>
      <c r="EUR516" s="332"/>
      <c r="EUS516" s="332"/>
      <c r="EUT516" s="332"/>
      <c r="EUU516" s="332"/>
      <c r="EUV516" s="332"/>
      <c r="EUW516" s="332"/>
      <c r="EUX516" s="332"/>
      <c r="EUY516" s="332"/>
      <c r="EUZ516" s="332"/>
      <c r="EVA516" s="332"/>
      <c r="EVB516" s="332"/>
      <c r="EVC516" s="332"/>
      <c r="EVD516" s="332"/>
      <c r="EVE516" s="332"/>
      <c r="EVF516" s="332"/>
      <c r="EVG516" s="332"/>
      <c r="EVH516" s="332"/>
      <c r="EVI516" s="332"/>
      <c r="EVJ516" s="332"/>
      <c r="EVK516" s="332"/>
      <c r="EVL516" s="332"/>
      <c r="EVM516" s="332"/>
      <c r="EVN516" s="332"/>
      <c r="EVO516" s="332"/>
      <c r="EVP516" s="332"/>
      <c r="EVQ516" s="332"/>
      <c r="EVR516" s="332"/>
      <c r="EVS516" s="332"/>
      <c r="EVT516" s="332"/>
      <c r="EVU516" s="332"/>
      <c r="EVV516" s="332"/>
      <c r="EVW516" s="332"/>
      <c r="EVX516" s="332"/>
      <c r="EVY516" s="332"/>
      <c r="EVZ516" s="332"/>
      <c r="EWA516" s="332"/>
      <c r="EWB516" s="332"/>
      <c r="EWC516" s="332"/>
      <c r="EWD516" s="332"/>
      <c r="EWE516" s="332"/>
      <c r="EWF516" s="332"/>
      <c r="EWG516" s="332"/>
      <c r="EWH516" s="332"/>
      <c r="EWI516" s="332"/>
      <c r="EWJ516" s="332"/>
      <c r="EWK516" s="332"/>
      <c r="EWL516" s="332"/>
      <c r="EWM516" s="332"/>
      <c r="EWN516" s="332"/>
      <c r="EWO516" s="332"/>
      <c r="EWP516" s="332"/>
      <c r="EWQ516" s="332"/>
      <c r="EWR516" s="332"/>
      <c r="EWS516" s="332"/>
      <c r="EWT516" s="332"/>
      <c r="EWU516" s="332"/>
      <c r="EWV516" s="332"/>
      <c r="EWW516" s="332"/>
      <c r="EWX516" s="332"/>
      <c r="EWY516" s="332"/>
      <c r="EWZ516" s="332"/>
      <c r="EXA516" s="332"/>
      <c r="EXB516" s="332"/>
      <c r="EXC516" s="332"/>
      <c r="EXD516" s="332"/>
      <c r="EXE516" s="332"/>
      <c r="EXF516" s="332"/>
      <c r="EXG516" s="332"/>
      <c r="EXH516" s="332"/>
      <c r="EXI516" s="332"/>
      <c r="EXJ516" s="332"/>
      <c r="EXK516" s="332"/>
      <c r="EXL516" s="332"/>
      <c r="EXM516" s="332"/>
      <c r="EXN516" s="332"/>
      <c r="EXO516" s="332"/>
      <c r="EXP516" s="332"/>
      <c r="EXQ516" s="332"/>
      <c r="EXR516" s="332"/>
      <c r="EXS516" s="332"/>
      <c r="EXT516" s="332"/>
      <c r="EXU516" s="332"/>
      <c r="EXV516" s="332"/>
      <c r="EXW516" s="332"/>
      <c r="EXX516" s="332"/>
      <c r="EXY516" s="332"/>
      <c r="EXZ516" s="332"/>
      <c r="EYA516" s="332"/>
      <c r="EYB516" s="332"/>
      <c r="EYC516" s="332"/>
      <c r="EYD516" s="332"/>
      <c r="EYE516" s="332"/>
      <c r="EYF516" s="332"/>
      <c r="EYG516" s="332"/>
      <c r="EYH516" s="332"/>
      <c r="EYI516" s="332"/>
      <c r="EYJ516" s="332"/>
      <c r="EYK516" s="332"/>
      <c r="EYL516" s="332"/>
      <c r="EYM516" s="332"/>
      <c r="EYN516" s="332"/>
      <c r="EYO516" s="332"/>
      <c r="EYP516" s="332"/>
      <c r="EYQ516" s="332"/>
      <c r="EYR516" s="332"/>
      <c r="EYS516" s="332"/>
      <c r="EYT516" s="332"/>
      <c r="EYU516" s="332"/>
      <c r="EYV516" s="332"/>
      <c r="EYW516" s="332"/>
      <c r="EYX516" s="332"/>
      <c r="EYY516" s="332"/>
      <c r="EYZ516" s="332"/>
      <c r="EZA516" s="332"/>
      <c r="EZB516" s="332"/>
      <c r="EZC516" s="332"/>
      <c r="EZD516" s="332"/>
      <c r="EZE516" s="332"/>
      <c r="EZF516" s="332"/>
      <c r="EZG516" s="332"/>
      <c r="EZH516" s="332"/>
      <c r="EZI516" s="332"/>
      <c r="EZJ516" s="332"/>
      <c r="EZK516" s="332"/>
      <c r="EZL516" s="332"/>
      <c r="EZM516" s="332"/>
      <c r="EZN516" s="332"/>
      <c r="EZO516" s="332"/>
      <c r="EZP516" s="332"/>
      <c r="EZQ516" s="332"/>
      <c r="EZR516" s="332"/>
      <c r="EZS516" s="332"/>
      <c r="EZT516" s="332"/>
      <c r="EZU516" s="332"/>
      <c r="EZV516" s="332"/>
      <c r="EZW516" s="332"/>
      <c r="EZX516" s="332"/>
      <c r="EZY516" s="332"/>
      <c r="EZZ516" s="332"/>
      <c r="FAA516" s="332"/>
      <c r="FAB516" s="332"/>
      <c r="FAC516" s="332"/>
      <c r="FAD516" s="332"/>
      <c r="FAE516" s="332"/>
      <c r="FAF516" s="332"/>
      <c r="FAG516" s="332"/>
      <c r="FAH516" s="332"/>
      <c r="FAI516" s="332"/>
      <c r="FAJ516" s="332"/>
      <c r="FAK516" s="332"/>
      <c r="FAL516" s="332"/>
      <c r="FAM516" s="332"/>
      <c r="FAN516" s="332"/>
      <c r="FAO516" s="332"/>
      <c r="FAP516" s="332"/>
      <c r="FAQ516" s="332"/>
      <c r="FAR516" s="332"/>
      <c r="FAS516" s="332"/>
      <c r="FAT516" s="332"/>
      <c r="FAU516" s="332"/>
      <c r="FAV516" s="332"/>
      <c r="FAW516" s="332"/>
      <c r="FAX516" s="332"/>
      <c r="FAY516" s="332"/>
      <c r="FAZ516" s="332"/>
      <c r="FBA516" s="332"/>
      <c r="FBB516" s="332"/>
      <c r="FBC516" s="332"/>
      <c r="FBD516" s="332"/>
      <c r="FBE516" s="332"/>
      <c r="FBF516" s="332"/>
      <c r="FBG516" s="332"/>
      <c r="FBH516" s="332"/>
      <c r="FBI516" s="332"/>
      <c r="FBJ516" s="332"/>
      <c r="FBK516" s="332"/>
      <c r="FBL516" s="332"/>
      <c r="FBM516" s="332"/>
      <c r="FBN516" s="332"/>
      <c r="FBO516" s="332"/>
      <c r="FBP516" s="332"/>
      <c r="FBQ516" s="332"/>
      <c r="FBR516" s="332"/>
      <c r="FBS516" s="332"/>
      <c r="FBT516" s="332"/>
      <c r="FBU516" s="332"/>
      <c r="FBV516" s="332"/>
      <c r="FBW516" s="332"/>
      <c r="FBX516" s="332"/>
      <c r="FBY516" s="332"/>
      <c r="FBZ516" s="332"/>
      <c r="FCA516" s="332"/>
      <c r="FCB516" s="332"/>
      <c r="FCC516" s="332"/>
      <c r="FCD516" s="332"/>
      <c r="FCE516" s="332"/>
      <c r="FCF516" s="332"/>
      <c r="FCG516" s="332"/>
      <c r="FCH516" s="332"/>
      <c r="FCI516" s="332"/>
      <c r="FCJ516" s="332"/>
      <c r="FCK516" s="332"/>
      <c r="FCL516" s="332"/>
      <c r="FCM516" s="332"/>
      <c r="FCN516" s="332"/>
      <c r="FCO516" s="332"/>
      <c r="FCP516" s="332"/>
      <c r="FCQ516" s="332"/>
      <c r="FCR516" s="332"/>
      <c r="FCS516" s="332"/>
      <c r="FCT516" s="332"/>
      <c r="FCU516" s="332"/>
      <c r="FCV516" s="332"/>
      <c r="FCW516" s="332"/>
      <c r="FCX516" s="332"/>
      <c r="FCY516" s="332"/>
      <c r="FCZ516" s="332"/>
      <c r="FDA516" s="332"/>
      <c r="FDB516" s="332"/>
      <c r="FDC516" s="332"/>
      <c r="FDD516" s="332"/>
      <c r="FDE516" s="332"/>
      <c r="FDF516" s="332"/>
      <c r="FDG516" s="332"/>
      <c r="FDH516" s="332"/>
      <c r="FDI516" s="332"/>
      <c r="FDJ516" s="332"/>
      <c r="FDK516" s="332"/>
      <c r="FDL516" s="332"/>
      <c r="FDM516" s="332"/>
      <c r="FDN516" s="332"/>
      <c r="FDO516" s="332"/>
      <c r="FDP516" s="332"/>
      <c r="FDQ516" s="332"/>
      <c r="FDR516" s="332"/>
      <c r="FDS516" s="332"/>
      <c r="FDT516" s="332"/>
      <c r="FDU516" s="332"/>
      <c r="FDV516" s="332"/>
      <c r="FDW516" s="332"/>
      <c r="FDX516" s="332"/>
      <c r="FDY516" s="332"/>
      <c r="FDZ516" s="332"/>
      <c r="FEA516" s="332"/>
      <c r="FEB516" s="332"/>
      <c r="FEC516" s="332"/>
      <c r="FED516" s="332"/>
      <c r="FEE516" s="332"/>
      <c r="FEF516" s="332"/>
      <c r="FEG516" s="332"/>
      <c r="FEH516" s="332"/>
      <c r="FEI516" s="332"/>
      <c r="FEJ516" s="332"/>
      <c r="FEK516" s="332"/>
      <c r="FEL516" s="332"/>
      <c r="FEM516" s="332"/>
      <c r="FEN516" s="332"/>
      <c r="FEO516" s="332"/>
      <c r="FEP516" s="332"/>
      <c r="FEQ516" s="332"/>
      <c r="FER516" s="332"/>
      <c r="FES516" s="332"/>
      <c r="FET516" s="332"/>
      <c r="FEU516" s="332"/>
      <c r="FEV516" s="332"/>
      <c r="FEW516" s="332"/>
      <c r="FEX516" s="332"/>
      <c r="FEY516" s="332"/>
      <c r="FEZ516" s="332"/>
      <c r="FFA516" s="332"/>
      <c r="FFB516" s="332"/>
      <c r="FFC516" s="332"/>
      <c r="FFD516" s="332"/>
      <c r="FFE516" s="332"/>
      <c r="FFF516" s="332"/>
      <c r="FFG516" s="332"/>
      <c r="FFH516" s="332"/>
      <c r="FFI516" s="332"/>
      <c r="FFJ516" s="332"/>
      <c r="FFK516" s="332"/>
      <c r="FFL516" s="332"/>
      <c r="FFM516" s="332"/>
      <c r="FFN516" s="332"/>
      <c r="FFO516" s="332"/>
      <c r="FFP516" s="332"/>
      <c r="FFQ516" s="332"/>
      <c r="FFR516" s="332"/>
      <c r="FFS516" s="332"/>
      <c r="FFT516" s="332"/>
      <c r="FFU516" s="332"/>
      <c r="FFV516" s="332"/>
      <c r="FFW516" s="332"/>
      <c r="FFX516" s="332"/>
      <c r="FFY516" s="332"/>
      <c r="FFZ516" s="332"/>
      <c r="FGA516" s="332"/>
      <c r="FGB516" s="332"/>
      <c r="FGC516" s="332"/>
      <c r="FGD516" s="332"/>
      <c r="FGE516" s="332"/>
      <c r="FGF516" s="332"/>
      <c r="FGG516" s="332"/>
      <c r="FGH516" s="332"/>
      <c r="FGI516" s="332"/>
      <c r="FGJ516" s="332"/>
      <c r="FGK516" s="332"/>
      <c r="FGL516" s="332"/>
      <c r="FGM516" s="332"/>
      <c r="FGN516" s="332"/>
      <c r="FGO516" s="332"/>
      <c r="FGP516" s="332"/>
      <c r="FGQ516" s="332"/>
      <c r="FGR516" s="332"/>
      <c r="FGS516" s="332"/>
      <c r="FGT516" s="332"/>
      <c r="FGU516" s="332"/>
      <c r="FGV516" s="332"/>
      <c r="FGW516" s="332"/>
      <c r="FGX516" s="332"/>
      <c r="FGY516" s="332"/>
      <c r="FGZ516" s="332"/>
      <c r="FHA516" s="332"/>
      <c r="FHB516" s="332"/>
      <c r="FHC516" s="332"/>
      <c r="FHD516" s="332"/>
      <c r="FHE516" s="332"/>
      <c r="FHF516" s="332"/>
      <c r="FHG516" s="332"/>
      <c r="FHH516" s="332"/>
      <c r="FHI516" s="332"/>
      <c r="FHJ516" s="332"/>
      <c r="FHK516" s="332"/>
      <c r="FHL516" s="332"/>
      <c r="FHM516" s="332"/>
      <c r="FHN516" s="332"/>
      <c r="FHO516" s="332"/>
      <c r="FHP516" s="332"/>
      <c r="FHQ516" s="332"/>
      <c r="FHR516" s="332"/>
      <c r="FHS516" s="332"/>
      <c r="FHT516" s="332"/>
      <c r="FHU516" s="332"/>
      <c r="FHV516" s="332"/>
      <c r="FHW516" s="332"/>
      <c r="FHX516" s="332"/>
      <c r="FHY516" s="332"/>
      <c r="FHZ516" s="332"/>
      <c r="FIA516" s="332"/>
      <c r="FIB516" s="332"/>
      <c r="FIC516" s="332"/>
      <c r="FID516" s="332"/>
      <c r="FIE516" s="332"/>
      <c r="FIF516" s="332"/>
      <c r="FIG516" s="332"/>
      <c r="FIH516" s="332"/>
      <c r="FII516" s="332"/>
      <c r="FIJ516" s="332"/>
      <c r="FIK516" s="332"/>
      <c r="FIL516" s="332"/>
      <c r="FIM516" s="332"/>
      <c r="FIN516" s="332"/>
      <c r="FIO516" s="332"/>
      <c r="FIP516" s="332"/>
      <c r="FIQ516" s="332"/>
      <c r="FIR516" s="332"/>
      <c r="FIS516" s="332"/>
      <c r="FIT516" s="332"/>
      <c r="FIU516" s="332"/>
      <c r="FIV516" s="332"/>
      <c r="FIW516" s="332"/>
      <c r="FIX516" s="332"/>
      <c r="FIY516" s="332"/>
      <c r="FIZ516" s="332"/>
      <c r="FJA516" s="332"/>
      <c r="FJB516" s="332"/>
      <c r="FJC516" s="332"/>
      <c r="FJD516" s="332"/>
      <c r="FJE516" s="332"/>
      <c r="FJF516" s="332"/>
      <c r="FJG516" s="332"/>
      <c r="FJH516" s="332"/>
      <c r="FJI516" s="332"/>
      <c r="FJJ516" s="332"/>
      <c r="FJK516" s="332"/>
      <c r="FJL516" s="332"/>
      <c r="FJM516" s="332"/>
      <c r="FJN516" s="332"/>
      <c r="FJO516" s="332"/>
      <c r="FJP516" s="332"/>
      <c r="FJQ516" s="332"/>
      <c r="FJR516" s="332"/>
      <c r="FJS516" s="332"/>
      <c r="FJT516" s="332"/>
      <c r="FJU516" s="332"/>
      <c r="FJV516" s="332"/>
      <c r="FJW516" s="332"/>
      <c r="FJX516" s="332"/>
      <c r="FJY516" s="332"/>
      <c r="FJZ516" s="332"/>
      <c r="FKA516" s="332"/>
      <c r="FKB516" s="332"/>
      <c r="FKC516" s="332"/>
      <c r="FKD516" s="332"/>
      <c r="FKE516" s="332"/>
      <c r="FKF516" s="332"/>
      <c r="FKG516" s="332"/>
      <c r="FKH516" s="332"/>
      <c r="FKI516" s="332"/>
      <c r="FKJ516" s="332"/>
      <c r="FKK516" s="332"/>
      <c r="FKL516" s="332"/>
      <c r="FKM516" s="332"/>
      <c r="FKN516" s="332"/>
      <c r="FKO516" s="332"/>
      <c r="FKP516" s="332"/>
      <c r="FKQ516" s="332"/>
      <c r="FKR516" s="332"/>
      <c r="FKS516" s="332"/>
      <c r="FKT516" s="332"/>
      <c r="FKU516" s="332"/>
      <c r="FKV516" s="332"/>
      <c r="FKW516" s="332"/>
      <c r="FKX516" s="332"/>
      <c r="FKY516" s="332"/>
      <c r="FKZ516" s="332"/>
      <c r="FLA516" s="332"/>
      <c r="FLB516" s="332"/>
      <c r="FLC516" s="332"/>
      <c r="FLD516" s="332"/>
      <c r="FLE516" s="332"/>
      <c r="FLF516" s="332"/>
      <c r="FLG516" s="332"/>
      <c r="FLH516" s="332"/>
      <c r="FLI516" s="332"/>
      <c r="FLJ516" s="332"/>
      <c r="FLK516" s="332"/>
      <c r="FLL516" s="332"/>
      <c r="FLM516" s="332"/>
      <c r="FLN516" s="332"/>
      <c r="FLO516" s="332"/>
      <c r="FLP516" s="332"/>
      <c r="FLQ516" s="332"/>
      <c r="FLR516" s="332"/>
      <c r="FLS516" s="332"/>
      <c r="FLT516" s="332"/>
      <c r="FLU516" s="332"/>
      <c r="FLV516" s="332"/>
      <c r="FLW516" s="332"/>
      <c r="FLX516" s="332"/>
      <c r="FLY516" s="332"/>
      <c r="FLZ516" s="332"/>
      <c r="FMA516" s="332"/>
      <c r="FMB516" s="332"/>
      <c r="FMC516" s="332"/>
      <c r="FMD516" s="332"/>
      <c r="FME516" s="332"/>
      <c r="FMF516" s="332"/>
      <c r="FMG516" s="332"/>
      <c r="FMH516" s="332"/>
      <c r="FMI516" s="332"/>
      <c r="FMJ516" s="332"/>
      <c r="FMK516" s="332"/>
      <c r="FML516" s="332"/>
      <c r="FMM516" s="332"/>
      <c r="FMN516" s="332"/>
      <c r="FMO516" s="332"/>
      <c r="FMP516" s="332"/>
      <c r="FMQ516" s="332"/>
      <c r="FMR516" s="332"/>
      <c r="FMS516" s="332"/>
      <c r="FMT516" s="332"/>
      <c r="FMU516" s="332"/>
      <c r="FMV516" s="332"/>
      <c r="FMW516" s="332"/>
      <c r="FMX516" s="332"/>
      <c r="FMY516" s="332"/>
      <c r="FMZ516" s="332"/>
      <c r="FNA516" s="332"/>
      <c r="FNB516" s="332"/>
      <c r="FNC516" s="332"/>
      <c r="FND516" s="332"/>
      <c r="FNE516" s="332"/>
      <c r="FNF516" s="332"/>
      <c r="FNG516" s="332"/>
      <c r="FNH516" s="332"/>
      <c r="FNI516" s="332"/>
      <c r="FNJ516" s="332"/>
      <c r="FNK516" s="332"/>
      <c r="FNL516" s="332"/>
      <c r="FNM516" s="332"/>
      <c r="FNN516" s="332"/>
      <c r="FNO516" s="332"/>
      <c r="FNP516" s="332"/>
      <c r="FNQ516" s="332"/>
      <c r="FNR516" s="332"/>
      <c r="FNS516" s="332"/>
      <c r="FNT516" s="332"/>
      <c r="FNU516" s="332"/>
      <c r="FNV516" s="332"/>
      <c r="FNW516" s="332"/>
      <c r="FNX516" s="332"/>
      <c r="FNY516" s="332"/>
      <c r="FNZ516" s="332"/>
      <c r="FOA516" s="332"/>
      <c r="FOB516" s="332"/>
      <c r="FOC516" s="332"/>
      <c r="FOD516" s="332"/>
      <c r="FOE516" s="332"/>
      <c r="FOF516" s="332"/>
      <c r="FOG516" s="332"/>
      <c r="FOH516" s="332"/>
      <c r="FOI516" s="332"/>
      <c r="FOJ516" s="332"/>
      <c r="FOK516" s="332"/>
      <c r="FOL516" s="332"/>
      <c r="FOM516" s="332"/>
      <c r="FON516" s="332"/>
      <c r="FOO516" s="332"/>
      <c r="FOP516" s="332"/>
      <c r="FOQ516" s="332"/>
      <c r="FOR516" s="332"/>
      <c r="FOS516" s="332"/>
      <c r="FOT516" s="332"/>
      <c r="FOU516" s="332"/>
      <c r="FOV516" s="332"/>
      <c r="FOW516" s="332"/>
      <c r="FOX516" s="332"/>
      <c r="FOY516" s="332"/>
      <c r="FOZ516" s="332"/>
      <c r="FPA516" s="332"/>
      <c r="FPB516" s="332"/>
      <c r="FPC516" s="332"/>
      <c r="FPD516" s="332"/>
      <c r="FPE516" s="332"/>
      <c r="FPF516" s="332"/>
      <c r="FPG516" s="332"/>
      <c r="FPH516" s="332"/>
      <c r="FPI516" s="332"/>
      <c r="FPJ516" s="332"/>
      <c r="FPK516" s="332"/>
      <c r="FPL516" s="332"/>
      <c r="FPM516" s="332"/>
      <c r="FPN516" s="332"/>
      <c r="FPO516" s="332"/>
      <c r="FPP516" s="332"/>
      <c r="FPQ516" s="332"/>
      <c r="FPR516" s="332"/>
      <c r="FPS516" s="332"/>
      <c r="FPT516" s="332"/>
      <c r="FPU516" s="332"/>
      <c r="FPV516" s="332"/>
      <c r="FPW516" s="332"/>
      <c r="FPX516" s="332"/>
      <c r="FPY516" s="332"/>
      <c r="FPZ516" s="332"/>
      <c r="FQA516" s="332"/>
      <c r="FQB516" s="332"/>
      <c r="FQC516" s="332"/>
      <c r="FQD516" s="332"/>
      <c r="FQE516" s="332"/>
      <c r="FQF516" s="332"/>
      <c r="FQG516" s="332"/>
      <c r="FQH516" s="332"/>
      <c r="FQI516" s="332"/>
      <c r="FQJ516" s="332"/>
      <c r="FQK516" s="332"/>
      <c r="FQL516" s="332"/>
      <c r="FQM516" s="332"/>
      <c r="FQN516" s="332"/>
      <c r="FQO516" s="332"/>
      <c r="FQP516" s="332"/>
      <c r="FQQ516" s="332"/>
      <c r="FQR516" s="332"/>
      <c r="FQS516" s="332"/>
      <c r="FQT516" s="332"/>
      <c r="FQU516" s="332"/>
      <c r="FQV516" s="332"/>
      <c r="FQW516" s="332"/>
      <c r="FQX516" s="332"/>
      <c r="FQY516" s="332"/>
      <c r="FQZ516" s="332"/>
      <c r="FRA516" s="332"/>
      <c r="FRB516" s="332"/>
      <c r="FRC516" s="332"/>
      <c r="FRD516" s="332"/>
      <c r="FRE516" s="332"/>
      <c r="FRF516" s="332"/>
      <c r="FRG516" s="332"/>
      <c r="FRH516" s="332"/>
      <c r="FRI516" s="332"/>
      <c r="FRJ516" s="332"/>
      <c r="FRK516" s="332"/>
      <c r="FRL516" s="332"/>
      <c r="FRM516" s="332"/>
      <c r="FRN516" s="332"/>
      <c r="FRO516" s="332"/>
      <c r="FRP516" s="332"/>
      <c r="FRQ516" s="332"/>
      <c r="FRR516" s="332"/>
      <c r="FRS516" s="332"/>
      <c r="FRT516" s="332"/>
      <c r="FRU516" s="332"/>
      <c r="FRV516" s="332"/>
      <c r="FRW516" s="332"/>
      <c r="FRX516" s="332"/>
      <c r="FRY516" s="332"/>
      <c r="FRZ516" s="332"/>
      <c r="FSA516" s="332"/>
      <c r="FSB516" s="332"/>
      <c r="FSC516" s="332"/>
      <c r="FSD516" s="332"/>
      <c r="FSE516" s="332"/>
      <c r="FSF516" s="332"/>
      <c r="FSG516" s="332"/>
      <c r="FSH516" s="332"/>
      <c r="FSI516" s="332"/>
      <c r="FSJ516" s="332"/>
      <c r="FSK516" s="332"/>
      <c r="FSL516" s="332"/>
      <c r="FSM516" s="332"/>
      <c r="FSN516" s="332"/>
      <c r="FSO516" s="332"/>
      <c r="FSP516" s="332"/>
      <c r="FSQ516" s="332"/>
      <c r="FSR516" s="332"/>
      <c r="FSS516" s="332"/>
      <c r="FST516" s="332"/>
      <c r="FSU516" s="332"/>
      <c r="FSV516" s="332"/>
      <c r="FSW516" s="332"/>
      <c r="FSX516" s="332"/>
      <c r="FSY516" s="332"/>
      <c r="FSZ516" s="332"/>
      <c r="FTA516" s="332"/>
      <c r="FTB516" s="332"/>
      <c r="FTC516" s="332"/>
      <c r="FTD516" s="332"/>
      <c r="FTE516" s="332"/>
      <c r="FTF516" s="332"/>
      <c r="FTG516" s="332"/>
      <c r="FTH516" s="332"/>
      <c r="FTI516" s="332"/>
      <c r="FTJ516" s="332"/>
      <c r="FTK516" s="332"/>
      <c r="FTL516" s="332"/>
      <c r="FTM516" s="332"/>
      <c r="FTN516" s="332"/>
      <c r="FTO516" s="332"/>
      <c r="FTP516" s="332"/>
      <c r="FTQ516" s="332"/>
      <c r="FTR516" s="332"/>
      <c r="FTS516" s="332"/>
      <c r="FTT516" s="332"/>
      <c r="FTU516" s="332"/>
      <c r="FTV516" s="332"/>
      <c r="FTW516" s="332"/>
      <c r="FTX516" s="332"/>
      <c r="FTY516" s="332"/>
      <c r="FTZ516" s="332"/>
      <c r="FUA516" s="332"/>
      <c r="FUB516" s="332"/>
      <c r="FUC516" s="332"/>
      <c r="FUD516" s="332"/>
      <c r="FUE516" s="332"/>
      <c r="FUF516" s="332"/>
      <c r="FUG516" s="332"/>
      <c r="FUH516" s="332"/>
      <c r="FUI516" s="332"/>
      <c r="FUJ516" s="332"/>
      <c r="FUK516" s="332"/>
      <c r="FUL516" s="332"/>
      <c r="FUM516" s="332"/>
      <c r="FUN516" s="332"/>
      <c r="FUO516" s="332"/>
      <c r="FUP516" s="332"/>
      <c r="FUQ516" s="332"/>
      <c r="FUR516" s="332"/>
      <c r="FUS516" s="332"/>
      <c r="FUT516" s="332"/>
      <c r="FUU516" s="332"/>
      <c r="FUV516" s="332"/>
      <c r="FUW516" s="332"/>
      <c r="FUX516" s="332"/>
      <c r="FUY516" s="332"/>
      <c r="FUZ516" s="332"/>
      <c r="FVA516" s="332"/>
      <c r="FVB516" s="332"/>
      <c r="FVC516" s="332"/>
      <c r="FVD516" s="332"/>
      <c r="FVE516" s="332"/>
      <c r="FVF516" s="332"/>
      <c r="FVG516" s="332"/>
      <c r="FVH516" s="332"/>
      <c r="FVI516" s="332"/>
      <c r="FVJ516" s="332"/>
      <c r="FVK516" s="332"/>
      <c r="FVL516" s="332"/>
      <c r="FVM516" s="332"/>
      <c r="FVN516" s="332"/>
      <c r="FVO516" s="332"/>
      <c r="FVP516" s="332"/>
      <c r="FVQ516" s="332"/>
      <c r="FVR516" s="332"/>
      <c r="FVS516" s="332"/>
      <c r="FVT516" s="332"/>
      <c r="FVU516" s="332"/>
      <c r="FVV516" s="332"/>
      <c r="FVW516" s="332"/>
      <c r="FVX516" s="332"/>
      <c r="FVY516" s="332"/>
      <c r="FVZ516" s="332"/>
      <c r="FWA516" s="332"/>
      <c r="FWB516" s="332"/>
      <c r="FWC516" s="332"/>
      <c r="FWD516" s="332"/>
      <c r="FWE516" s="332"/>
      <c r="FWF516" s="332"/>
      <c r="FWG516" s="332"/>
      <c r="FWH516" s="332"/>
      <c r="FWI516" s="332"/>
      <c r="FWJ516" s="332"/>
      <c r="FWK516" s="332"/>
      <c r="FWL516" s="332"/>
      <c r="FWM516" s="332"/>
      <c r="FWN516" s="332"/>
      <c r="FWO516" s="332"/>
      <c r="FWP516" s="332"/>
      <c r="FWQ516" s="332"/>
      <c r="FWR516" s="332"/>
      <c r="FWS516" s="332"/>
      <c r="FWT516" s="332"/>
      <c r="FWU516" s="332"/>
      <c r="FWV516" s="332"/>
      <c r="FWW516" s="332"/>
      <c r="FWX516" s="332"/>
      <c r="FWY516" s="332"/>
      <c r="FWZ516" s="332"/>
      <c r="FXA516" s="332"/>
      <c r="FXB516" s="332"/>
      <c r="FXC516" s="332"/>
      <c r="FXD516" s="332"/>
      <c r="FXE516" s="332"/>
      <c r="FXF516" s="332"/>
      <c r="FXG516" s="332"/>
      <c r="FXH516" s="332"/>
      <c r="FXI516" s="332"/>
      <c r="FXJ516" s="332"/>
      <c r="FXK516" s="332"/>
      <c r="FXL516" s="332"/>
      <c r="FXM516" s="332"/>
      <c r="FXN516" s="332"/>
      <c r="FXO516" s="332"/>
      <c r="FXP516" s="332"/>
      <c r="FXQ516" s="332"/>
      <c r="FXR516" s="332"/>
      <c r="FXS516" s="332"/>
      <c r="FXT516" s="332"/>
      <c r="FXU516" s="332"/>
      <c r="FXV516" s="332"/>
      <c r="FXW516" s="332"/>
      <c r="FXX516" s="332"/>
      <c r="FXY516" s="332"/>
      <c r="FXZ516" s="332"/>
      <c r="FYA516" s="332"/>
      <c r="FYB516" s="332"/>
      <c r="FYC516" s="332"/>
      <c r="FYD516" s="332"/>
      <c r="FYE516" s="332"/>
      <c r="FYF516" s="332"/>
      <c r="FYG516" s="332"/>
      <c r="FYH516" s="332"/>
      <c r="FYI516" s="332"/>
      <c r="FYJ516" s="332"/>
      <c r="FYK516" s="332"/>
      <c r="FYL516" s="332"/>
      <c r="FYM516" s="332"/>
      <c r="FYN516" s="332"/>
      <c r="FYO516" s="332"/>
      <c r="FYP516" s="332"/>
      <c r="FYQ516" s="332"/>
      <c r="FYR516" s="332"/>
      <c r="FYS516" s="332"/>
      <c r="FYT516" s="332"/>
      <c r="FYU516" s="332"/>
      <c r="FYV516" s="332"/>
      <c r="FYW516" s="332"/>
      <c r="FYX516" s="332"/>
      <c r="FYY516" s="332"/>
      <c r="FYZ516" s="332"/>
      <c r="FZA516" s="332"/>
      <c r="FZB516" s="332"/>
      <c r="FZC516" s="332"/>
      <c r="FZD516" s="332"/>
      <c r="FZE516" s="332"/>
      <c r="FZF516" s="332"/>
      <c r="FZG516" s="332"/>
      <c r="FZH516" s="332"/>
      <c r="FZI516" s="332"/>
      <c r="FZJ516" s="332"/>
      <c r="FZK516" s="332"/>
      <c r="FZL516" s="332"/>
      <c r="FZM516" s="332"/>
      <c r="FZN516" s="332"/>
      <c r="FZO516" s="332"/>
      <c r="FZP516" s="332"/>
      <c r="FZQ516" s="332"/>
      <c r="FZR516" s="332"/>
      <c r="FZS516" s="332"/>
      <c r="FZT516" s="332"/>
      <c r="FZU516" s="332"/>
      <c r="FZV516" s="332"/>
      <c r="FZW516" s="332"/>
      <c r="FZX516" s="332"/>
      <c r="FZY516" s="332"/>
      <c r="FZZ516" s="332"/>
      <c r="GAA516" s="332"/>
      <c r="GAB516" s="332"/>
      <c r="GAC516" s="332"/>
      <c r="GAD516" s="332"/>
      <c r="GAE516" s="332"/>
      <c r="GAF516" s="332"/>
      <c r="GAG516" s="332"/>
      <c r="GAH516" s="332"/>
      <c r="GAI516" s="332"/>
      <c r="GAJ516" s="332"/>
      <c r="GAK516" s="332"/>
      <c r="GAL516" s="332"/>
      <c r="GAM516" s="332"/>
      <c r="GAN516" s="332"/>
      <c r="GAO516" s="332"/>
      <c r="GAP516" s="332"/>
      <c r="GAQ516" s="332"/>
      <c r="GAR516" s="332"/>
      <c r="GAS516" s="332"/>
      <c r="GAT516" s="332"/>
      <c r="GAU516" s="332"/>
      <c r="GAV516" s="332"/>
      <c r="GAW516" s="332"/>
      <c r="GAX516" s="332"/>
      <c r="GAY516" s="332"/>
      <c r="GAZ516" s="332"/>
      <c r="GBA516" s="332"/>
      <c r="GBB516" s="332"/>
      <c r="GBC516" s="332"/>
      <c r="GBD516" s="332"/>
      <c r="GBE516" s="332"/>
      <c r="GBF516" s="332"/>
      <c r="GBG516" s="332"/>
      <c r="GBH516" s="332"/>
      <c r="GBI516" s="332"/>
      <c r="GBJ516" s="332"/>
      <c r="GBK516" s="332"/>
      <c r="GBL516" s="332"/>
      <c r="GBM516" s="332"/>
      <c r="GBN516" s="332"/>
      <c r="GBO516" s="332"/>
      <c r="GBP516" s="332"/>
      <c r="GBQ516" s="332"/>
      <c r="GBR516" s="332"/>
      <c r="GBS516" s="332"/>
      <c r="GBT516" s="332"/>
      <c r="GBU516" s="332"/>
      <c r="GBV516" s="332"/>
      <c r="GBW516" s="332"/>
      <c r="GBX516" s="332"/>
      <c r="GBY516" s="332"/>
      <c r="GBZ516" s="332"/>
      <c r="GCA516" s="332"/>
      <c r="GCB516" s="332"/>
      <c r="GCC516" s="332"/>
      <c r="GCD516" s="332"/>
      <c r="GCE516" s="332"/>
      <c r="GCF516" s="332"/>
      <c r="GCG516" s="332"/>
      <c r="GCH516" s="332"/>
      <c r="GCI516" s="332"/>
      <c r="GCJ516" s="332"/>
      <c r="GCK516" s="332"/>
      <c r="GCL516" s="332"/>
      <c r="GCM516" s="332"/>
      <c r="GCN516" s="332"/>
      <c r="GCO516" s="332"/>
      <c r="GCP516" s="332"/>
      <c r="GCQ516" s="332"/>
      <c r="GCR516" s="332"/>
      <c r="GCS516" s="332"/>
      <c r="GCT516" s="332"/>
      <c r="GCU516" s="332"/>
      <c r="GCV516" s="332"/>
      <c r="GCW516" s="332"/>
      <c r="GCX516" s="332"/>
      <c r="GCY516" s="332"/>
      <c r="GCZ516" s="332"/>
      <c r="GDA516" s="332"/>
      <c r="GDB516" s="332"/>
      <c r="GDC516" s="332"/>
      <c r="GDD516" s="332"/>
      <c r="GDE516" s="332"/>
      <c r="GDF516" s="332"/>
      <c r="GDG516" s="332"/>
      <c r="GDH516" s="332"/>
      <c r="GDI516" s="332"/>
      <c r="GDJ516" s="332"/>
      <c r="GDK516" s="332"/>
      <c r="GDL516" s="332"/>
      <c r="GDM516" s="332"/>
      <c r="GDN516" s="332"/>
      <c r="GDO516" s="332"/>
      <c r="GDP516" s="332"/>
      <c r="GDQ516" s="332"/>
      <c r="GDR516" s="332"/>
      <c r="GDS516" s="332"/>
      <c r="GDT516" s="332"/>
      <c r="GDU516" s="332"/>
      <c r="GDV516" s="332"/>
      <c r="GDW516" s="332"/>
      <c r="GDX516" s="332"/>
      <c r="GDY516" s="332"/>
      <c r="GDZ516" s="332"/>
      <c r="GEA516" s="332"/>
      <c r="GEB516" s="332"/>
      <c r="GEC516" s="332"/>
      <c r="GED516" s="332"/>
      <c r="GEE516" s="332"/>
      <c r="GEF516" s="332"/>
      <c r="GEG516" s="332"/>
      <c r="GEH516" s="332"/>
      <c r="GEI516" s="332"/>
      <c r="GEJ516" s="332"/>
      <c r="GEK516" s="332"/>
      <c r="GEL516" s="332"/>
      <c r="GEM516" s="332"/>
      <c r="GEN516" s="332"/>
      <c r="GEO516" s="332"/>
      <c r="GEP516" s="332"/>
      <c r="GEQ516" s="332"/>
      <c r="GER516" s="332"/>
      <c r="GES516" s="332"/>
      <c r="GET516" s="332"/>
      <c r="GEU516" s="332"/>
      <c r="GEV516" s="332"/>
      <c r="GEW516" s="332"/>
      <c r="GEX516" s="332"/>
      <c r="GEY516" s="332"/>
      <c r="GEZ516" s="332"/>
      <c r="GFA516" s="332"/>
      <c r="GFB516" s="332"/>
      <c r="GFC516" s="332"/>
      <c r="GFD516" s="332"/>
      <c r="GFE516" s="332"/>
      <c r="GFF516" s="332"/>
      <c r="GFG516" s="332"/>
      <c r="GFH516" s="332"/>
      <c r="GFI516" s="332"/>
      <c r="GFJ516" s="332"/>
      <c r="GFK516" s="332"/>
      <c r="GFL516" s="332"/>
      <c r="GFM516" s="332"/>
      <c r="GFN516" s="332"/>
      <c r="GFO516" s="332"/>
      <c r="GFP516" s="332"/>
      <c r="GFQ516" s="332"/>
      <c r="GFR516" s="332"/>
      <c r="GFS516" s="332"/>
      <c r="GFT516" s="332"/>
      <c r="GFU516" s="332"/>
      <c r="GFV516" s="332"/>
      <c r="GFW516" s="332"/>
      <c r="GFX516" s="332"/>
      <c r="GFY516" s="332"/>
      <c r="GFZ516" s="332"/>
      <c r="GGA516" s="332"/>
      <c r="GGB516" s="332"/>
      <c r="GGC516" s="332"/>
      <c r="GGD516" s="332"/>
      <c r="GGE516" s="332"/>
      <c r="GGF516" s="332"/>
      <c r="GGG516" s="332"/>
      <c r="GGH516" s="332"/>
      <c r="GGI516" s="332"/>
      <c r="GGJ516" s="332"/>
      <c r="GGK516" s="332"/>
      <c r="GGL516" s="332"/>
      <c r="GGM516" s="332"/>
      <c r="GGN516" s="332"/>
      <c r="GGO516" s="332"/>
      <c r="GGP516" s="332"/>
      <c r="GGQ516" s="332"/>
      <c r="GGR516" s="332"/>
      <c r="GGS516" s="332"/>
      <c r="GGT516" s="332"/>
      <c r="GGU516" s="332"/>
      <c r="GGV516" s="332"/>
      <c r="GGW516" s="332"/>
      <c r="GGX516" s="332"/>
      <c r="GGY516" s="332"/>
      <c r="GGZ516" s="332"/>
      <c r="GHA516" s="332"/>
      <c r="GHB516" s="332"/>
      <c r="GHC516" s="332"/>
      <c r="GHD516" s="332"/>
      <c r="GHE516" s="332"/>
      <c r="GHF516" s="332"/>
      <c r="GHG516" s="332"/>
      <c r="GHH516" s="332"/>
      <c r="GHI516" s="332"/>
      <c r="GHJ516" s="332"/>
      <c r="GHK516" s="332"/>
      <c r="GHL516" s="332"/>
      <c r="GHM516" s="332"/>
      <c r="GHN516" s="332"/>
      <c r="GHO516" s="332"/>
      <c r="GHP516" s="332"/>
      <c r="GHQ516" s="332"/>
      <c r="GHR516" s="332"/>
      <c r="GHS516" s="332"/>
      <c r="GHT516" s="332"/>
      <c r="GHU516" s="332"/>
      <c r="GHV516" s="332"/>
      <c r="GHW516" s="332"/>
      <c r="GHX516" s="332"/>
      <c r="GHY516" s="332"/>
      <c r="GHZ516" s="332"/>
      <c r="GIA516" s="332"/>
      <c r="GIB516" s="332"/>
      <c r="GIC516" s="332"/>
      <c r="GID516" s="332"/>
      <c r="GIE516" s="332"/>
      <c r="GIF516" s="332"/>
      <c r="GIG516" s="332"/>
      <c r="GIH516" s="332"/>
      <c r="GII516" s="332"/>
      <c r="GIJ516" s="332"/>
      <c r="GIK516" s="332"/>
      <c r="GIL516" s="332"/>
      <c r="GIM516" s="332"/>
      <c r="GIN516" s="332"/>
      <c r="GIO516" s="332"/>
      <c r="GIP516" s="332"/>
      <c r="GIQ516" s="332"/>
      <c r="GIR516" s="332"/>
      <c r="GIS516" s="332"/>
      <c r="GIT516" s="332"/>
      <c r="GIU516" s="332"/>
      <c r="GIV516" s="332"/>
      <c r="GIW516" s="332"/>
      <c r="GIX516" s="332"/>
      <c r="GIY516" s="332"/>
      <c r="GIZ516" s="332"/>
      <c r="GJA516" s="332"/>
      <c r="GJB516" s="332"/>
      <c r="GJC516" s="332"/>
      <c r="GJD516" s="332"/>
      <c r="GJE516" s="332"/>
      <c r="GJF516" s="332"/>
      <c r="GJG516" s="332"/>
      <c r="GJH516" s="332"/>
      <c r="GJI516" s="332"/>
      <c r="GJJ516" s="332"/>
      <c r="GJK516" s="332"/>
      <c r="GJL516" s="332"/>
      <c r="GJM516" s="332"/>
      <c r="GJN516" s="332"/>
      <c r="GJO516" s="332"/>
      <c r="GJP516" s="332"/>
      <c r="GJQ516" s="332"/>
      <c r="GJR516" s="332"/>
      <c r="GJS516" s="332"/>
      <c r="GJT516" s="332"/>
      <c r="GJU516" s="332"/>
      <c r="GJV516" s="332"/>
      <c r="GJW516" s="332"/>
      <c r="GJX516" s="332"/>
      <c r="GJY516" s="332"/>
      <c r="GJZ516" s="332"/>
      <c r="GKA516" s="332"/>
      <c r="GKB516" s="332"/>
      <c r="GKC516" s="332"/>
      <c r="GKD516" s="332"/>
      <c r="GKE516" s="332"/>
      <c r="GKF516" s="332"/>
      <c r="GKG516" s="332"/>
      <c r="GKH516" s="332"/>
      <c r="GKI516" s="332"/>
      <c r="GKJ516" s="332"/>
      <c r="GKK516" s="332"/>
      <c r="GKL516" s="332"/>
      <c r="GKM516" s="332"/>
      <c r="GKN516" s="332"/>
      <c r="GKO516" s="332"/>
      <c r="GKP516" s="332"/>
      <c r="GKQ516" s="332"/>
      <c r="GKR516" s="332"/>
      <c r="GKS516" s="332"/>
      <c r="GKT516" s="332"/>
      <c r="GKU516" s="332"/>
      <c r="GKV516" s="332"/>
      <c r="GKW516" s="332"/>
      <c r="GKX516" s="332"/>
      <c r="GKY516" s="332"/>
      <c r="GKZ516" s="332"/>
      <c r="GLA516" s="332"/>
      <c r="GLB516" s="332"/>
      <c r="GLC516" s="332"/>
      <c r="GLD516" s="332"/>
      <c r="GLE516" s="332"/>
      <c r="GLF516" s="332"/>
      <c r="GLG516" s="332"/>
      <c r="GLH516" s="332"/>
      <c r="GLI516" s="332"/>
      <c r="GLJ516" s="332"/>
      <c r="GLK516" s="332"/>
      <c r="GLL516" s="332"/>
      <c r="GLM516" s="332"/>
      <c r="GLN516" s="332"/>
      <c r="GLO516" s="332"/>
      <c r="GLP516" s="332"/>
      <c r="GLQ516" s="332"/>
      <c r="GLR516" s="332"/>
      <c r="GLS516" s="332"/>
      <c r="GLT516" s="332"/>
      <c r="GLU516" s="332"/>
      <c r="GLV516" s="332"/>
      <c r="GLW516" s="332"/>
      <c r="GLX516" s="332"/>
      <c r="GLY516" s="332"/>
      <c r="GLZ516" s="332"/>
      <c r="GMA516" s="332"/>
      <c r="GMB516" s="332"/>
      <c r="GMC516" s="332"/>
      <c r="GMD516" s="332"/>
      <c r="GME516" s="332"/>
      <c r="GMF516" s="332"/>
      <c r="GMG516" s="332"/>
      <c r="GMH516" s="332"/>
      <c r="GMI516" s="332"/>
      <c r="GMJ516" s="332"/>
      <c r="GMK516" s="332"/>
      <c r="GML516" s="332"/>
      <c r="GMM516" s="332"/>
      <c r="GMN516" s="332"/>
      <c r="GMO516" s="332"/>
      <c r="GMP516" s="332"/>
      <c r="GMQ516" s="332"/>
      <c r="GMR516" s="332"/>
      <c r="GMS516" s="332"/>
      <c r="GMT516" s="332"/>
      <c r="GMU516" s="332"/>
      <c r="GMV516" s="332"/>
      <c r="GMW516" s="332"/>
      <c r="GMX516" s="332"/>
      <c r="GMY516" s="332"/>
      <c r="GMZ516" s="332"/>
      <c r="GNA516" s="332"/>
      <c r="GNB516" s="332"/>
      <c r="GNC516" s="332"/>
      <c r="GND516" s="332"/>
      <c r="GNE516" s="332"/>
      <c r="GNF516" s="332"/>
      <c r="GNG516" s="332"/>
      <c r="GNH516" s="332"/>
      <c r="GNI516" s="332"/>
      <c r="GNJ516" s="332"/>
      <c r="GNK516" s="332"/>
      <c r="GNL516" s="332"/>
      <c r="GNM516" s="332"/>
      <c r="GNN516" s="332"/>
      <c r="GNO516" s="332"/>
      <c r="GNP516" s="332"/>
      <c r="GNQ516" s="332"/>
      <c r="GNR516" s="332"/>
      <c r="GNS516" s="332"/>
      <c r="GNT516" s="332"/>
      <c r="GNU516" s="332"/>
      <c r="GNV516" s="332"/>
      <c r="GNW516" s="332"/>
      <c r="GNX516" s="332"/>
      <c r="GNY516" s="332"/>
      <c r="GNZ516" s="332"/>
      <c r="GOA516" s="332"/>
      <c r="GOB516" s="332"/>
      <c r="GOC516" s="332"/>
      <c r="GOD516" s="332"/>
      <c r="GOE516" s="332"/>
      <c r="GOF516" s="332"/>
      <c r="GOG516" s="332"/>
      <c r="GOH516" s="332"/>
      <c r="GOI516" s="332"/>
      <c r="GOJ516" s="332"/>
      <c r="GOK516" s="332"/>
      <c r="GOL516" s="332"/>
      <c r="GOM516" s="332"/>
      <c r="GON516" s="332"/>
      <c r="GOO516" s="332"/>
      <c r="GOP516" s="332"/>
      <c r="GOQ516" s="332"/>
      <c r="GOR516" s="332"/>
      <c r="GOS516" s="332"/>
      <c r="GOT516" s="332"/>
      <c r="GOU516" s="332"/>
      <c r="GOV516" s="332"/>
      <c r="GOW516" s="332"/>
      <c r="GOX516" s="332"/>
      <c r="GOY516" s="332"/>
      <c r="GOZ516" s="332"/>
      <c r="GPA516" s="332"/>
      <c r="GPB516" s="332"/>
      <c r="GPC516" s="332"/>
      <c r="GPD516" s="332"/>
      <c r="GPE516" s="332"/>
      <c r="GPF516" s="332"/>
      <c r="GPG516" s="332"/>
      <c r="GPH516" s="332"/>
      <c r="GPI516" s="332"/>
      <c r="GPJ516" s="332"/>
      <c r="GPK516" s="332"/>
      <c r="GPL516" s="332"/>
      <c r="GPM516" s="332"/>
      <c r="GPN516" s="332"/>
      <c r="GPO516" s="332"/>
      <c r="GPP516" s="332"/>
      <c r="GPQ516" s="332"/>
      <c r="GPR516" s="332"/>
      <c r="GPS516" s="332"/>
      <c r="GPT516" s="332"/>
      <c r="GPU516" s="332"/>
      <c r="GPV516" s="332"/>
      <c r="GPW516" s="332"/>
      <c r="GPX516" s="332"/>
      <c r="GPY516" s="332"/>
      <c r="GPZ516" s="332"/>
      <c r="GQA516" s="332"/>
      <c r="GQB516" s="332"/>
      <c r="GQC516" s="332"/>
      <c r="GQD516" s="332"/>
      <c r="GQE516" s="332"/>
      <c r="GQF516" s="332"/>
      <c r="GQG516" s="332"/>
      <c r="GQH516" s="332"/>
      <c r="GQI516" s="332"/>
      <c r="GQJ516" s="332"/>
      <c r="GQK516" s="332"/>
      <c r="GQL516" s="332"/>
      <c r="GQM516" s="332"/>
      <c r="GQN516" s="332"/>
      <c r="GQO516" s="332"/>
      <c r="GQP516" s="332"/>
      <c r="GQQ516" s="332"/>
      <c r="GQR516" s="332"/>
      <c r="GQS516" s="332"/>
      <c r="GQT516" s="332"/>
      <c r="GQU516" s="332"/>
      <c r="GQV516" s="332"/>
      <c r="GQW516" s="332"/>
      <c r="GQX516" s="332"/>
      <c r="GQY516" s="332"/>
      <c r="GQZ516" s="332"/>
      <c r="GRA516" s="332"/>
      <c r="GRB516" s="332"/>
      <c r="GRC516" s="332"/>
      <c r="GRD516" s="332"/>
      <c r="GRE516" s="332"/>
      <c r="GRF516" s="332"/>
      <c r="GRG516" s="332"/>
      <c r="GRH516" s="332"/>
      <c r="GRI516" s="332"/>
      <c r="GRJ516" s="332"/>
      <c r="GRK516" s="332"/>
      <c r="GRL516" s="332"/>
      <c r="GRM516" s="332"/>
      <c r="GRN516" s="332"/>
      <c r="GRO516" s="332"/>
      <c r="GRP516" s="332"/>
      <c r="GRQ516" s="332"/>
      <c r="GRR516" s="332"/>
      <c r="GRS516" s="332"/>
      <c r="GRT516" s="332"/>
      <c r="GRU516" s="332"/>
      <c r="GRV516" s="332"/>
      <c r="GRW516" s="332"/>
      <c r="GRX516" s="332"/>
      <c r="GRY516" s="332"/>
      <c r="GRZ516" s="332"/>
      <c r="GSA516" s="332"/>
      <c r="GSB516" s="332"/>
      <c r="GSC516" s="332"/>
      <c r="GSD516" s="332"/>
      <c r="GSE516" s="332"/>
      <c r="GSF516" s="332"/>
      <c r="GSG516" s="332"/>
      <c r="GSH516" s="332"/>
      <c r="GSI516" s="332"/>
      <c r="GSJ516" s="332"/>
      <c r="GSK516" s="332"/>
      <c r="GSL516" s="332"/>
      <c r="GSM516" s="332"/>
      <c r="GSN516" s="332"/>
      <c r="GSO516" s="332"/>
      <c r="GSP516" s="332"/>
      <c r="GSQ516" s="332"/>
      <c r="GSR516" s="332"/>
      <c r="GSS516" s="332"/>
      <c r="GST516" s="332"/>
      <c r="GSU516" s="332"/>
      <c r="GSV516" s="332"/>
      <c r="GSW516" s="332"/>
      <c r="GSX516" s="332"/>
      <c r="GSY516" s="332"/>
      <c r="GSZ516" s="332"/>
      <c r="GTA516" s="332"/>
      <c r="GTB516" s="332"/>
      <c r="GTC516" s="332"/>
      <c r="GTD516" s="332"/>
      <c r="GTE516" s="332"/>
      <c r="GTF516" s="332"/>
      <c r="GTG516" s="332"/>
      <c r="GTH516" s="332"/>
      <c r="GTI516" s="332"/>
      <c r="GTJ516" s="332"/>
      <c r="GTK516" s="332"/>
      <c r="GTL516" s="332"/>
      <c r="GTM516" s="332"/>
      <c r="GTN516" s="332"/>
      <c r="GTO516" s="332"/>
      <c r="GTP516" s="332"/>
      <c r="GTQ516" s="332"/>
      <c r="GTR516" s="332"/>
      <c r="GTS516" s="332"/>
      <c r="GTT516" s="332"/>
      <c r="GTU516" s="332"/>
      <c r="GTV516" s="332"/>
      <c r="GTW516" s="332"/>
      <c r="GTX516" s="332"/>
      <c r="GTY516" s="332"/>
      <c r="GTZ516" s="332"/>
      <c r="GUA516" s="332"/>
      <c r="GUB516" s="332"/>
      <c r="GUC516" s="332"/>
      <c r="GUD516" s="332"/>
      <c r="GUE516" s="332"/>
      <c r="GUF516" s="332"/>
      <c r="GUG516" s="332"/>
      <c r="GUH516" s="332"/>
      <c r="GUI516" s="332"/>
      <c r="GUJ516" s="332"/>
      <c r="GUK516" s="332"/>
      <c r="GUL516" s="332"/>
      <c r="GUM516" s="332"/>
      <c r="GUN516" s="332"/>
      <c r="GUO516" s="332"/>
      <c r="GUP516" s="332"/>
      <c r="GUQ516" s="332"/>
      <c r="GUR516" s="332"/>
      <c r="GUS516" s="332"/>
      <c r="GUT516" s="332"/>
      <c r="GUU516" s="332"/>
      <c r="GUV516" s="332"/>
      <c r="GUW516" s="332"/>
      <c r="GUX516" s="332"/>
      <c r="GUY516" s="332"/>
      <c r="GUZ516" s="332"/>
      <c r="GVA516" s="332"/>
      <c r="GVB516" s="332"/>
      <c r="GVC516" s="332"/>
      <c r="GVD516" s="332"/>
      <c r="GVE516" s="332"/>
      <c r="GVF516" s="332"/>
      <c r="GVG516" s="332"/>
      <c r="GVH516" s="332"/>
      <c r="GVI516" s="332"/>
      <c r="GVJ516" s="332"/>
      <c r="GVK516" s="332"/>
      <c r="GVL516" s="332"/>
      <c r="GVM516" s="332"/>
      <c r="GVN516" s="332"/>
      <c r="GVO516" s="332"/>
      <c r="GVP516" s="332"/>
      <c r="GVQ516" s="332"/>
      <c r="GVR516" s="332"/>
      <c r="GVS516" s="332"/>
      <c r="GVT516" s="332"/>
      <c r="GVU516" s="332"/>
      <c r="GVV516" s="332"/>
      <c r="GVW516" s="332"/>
      <c r="GVX516" s="332"/>
      <c r="GVY516" s="332"/>
      <c r="GVZ516" s="332"/>
      <c r="GWA516" s="332"/>
      <c r="GWB516" s="332"/>
      <c r="GWC516" s="332"/>
      <c r="GWD516" s="332"/>
      <c r="GWE516" s="332"/>
      <c r="GWF516" s="332"/>
      <c r="GWG516" s="332"/>
      <c r="GWH516" s="332"/>
      <c r="GWI516" s="332"/>
      <c r="GWJ516" s="332"/>
      <c r="GWK516" s="332"/>
      <c r="GWL516" s="332"/>
      <c r="GWM516" s="332"/>
      <c r="GWN516" s="332"/>
      <c r="GWO516" s="332"/>
      <c r="GWP516" s="332"/>
      <c r="GWQ516" s="332"/>
      <c r="GWR516" s="332"/>
      <c r="GWS516" s="332"/>
      <c r="GWT516" s="332"/>
      <c r="GWU516" s="332"/>
      <c r="GWV516" s="332"/>
      <c r="GWW516" s="332"/>
      <c r="GWX516" s="332"/>
      <c r="GWY516" s="332"/>
      <c r="GWZ516" s="332"/>
      <c r="GXA516" s="332"/>
      <c r="GXB516" s="332"/>
      <c r="GXC516" s="332"/>
      <c r="GXD516" s="332"/>
      <c r="GXE516" s="332"/>
      <c r="GXF516" s="332"/>
      <c r="GXG516" s="332"/>
      <c r="GXH516" s="332"/>
      <c r="GXI516" s="332"/>
      <c r="GXJ516" s="332"/>
      <c r="GXK516" s="332"/>
      <c r="GXL516" s="332"/>
      <c r="GXM516" s="332"/>
      <c r="GXN516" s="332"/>
      <c r="GXO516" s="332"/>
      <c r="GXP516" s="332"/>
      <c r="GXQ516" s="332"/>
      <c r="GXR516" s="332"/>
      <c r="GXS516" s="332"/>
      <c r="GXT516" s="332"/>
      <c r="GXU516" s="332"/>
      <c r="GXV516" s="332"/>
      <c r="GXW516" s="332"/>
      <c r="GXX516" s="332"/>
      <c r="GXY516" s="332"/>
      <c r="GXZ516" s="332"/>
      <c r="GYA516" s="332"/>
      <c r="GYB516" s="332"/>
      <c r="GYC516" s="332"/>
      <c r="GYD516" s="332"/>
      <c r="GYE516" s="332"/>
      <c r="GYF516" s="332"/>
      <c r="GYG516" s="332"/>
      <c r="GYH516" s="332"/>
      <c r="GYI516" s="332"/>
      <c r="GYJ516" s="332"/>
      <c r="GYK516" s="332"/>
      <c r="GYL516" s="332"/>
      <c r="GYM516" s="332"/>
      <c r="GYN516" s="332"/>
      <c r="GYO516" s="332"/>
      <c r="GYP516" s="332"/>
      <c r="GYQ516" s="332"/>
      <c r="GYR516" s="332"/>
      <c r="GYS516" s="332"/>
      <c r="GYT516" s="332"/>
      <c r="GYU516" s="332"/>
      <c r="GYV516" s="332"/>
      <c r="GYW516" s="332"/>
      <c r="GYX516" s="332"/>
      <c r="GYY516" s="332"/>
      <c r="GYZ516" s="332"/>
      <c r="GZA516" s="332"/>
      <c r="GZB516" s="332"/>
      <c r="GZC516" s="332"/>
      <c r="GZD516" s="332"/>
      <c r="GZE516" s="332"/>
      <c r="GZF516" s="332"/>
      <c r="GZG516" s="332"/>
      <c r="GZH516" s="332"/>
      <c r="GZI516" s="332"/>
      <c r="GZJ516" s="332"/>
      <c r="GZK516" s="332"/>
      <c r="GZL516" s="332"/>
      <c r="GZM516" s="332"/>
      <c r="GZN516" s="332"/>
      <c r="GZO516" s="332"/>
      <c r="GZP516" s="332"/>
      <c r="GZQ516" s="332"/>
      <c r="GZR516" s="332"/>
      <c r="GZS516" s="332"/>
      <c r="GZT516" s="332"/>
      <c r="GZU516" s="332"/>
      <c r="GZV516" s="332"/>
      <c r="GZW516" s="332"/>
      <c r="GZX516" s="332"/>
      <c r="GZY516" s="332"/>
      <c r="GZZ516" s="332"/>
      <c r="HAA516" s="332"/>
      <c r="HAB516" s="332"/>
      <c r="HAC516" s="332"/>
      <c r="HAD516" s="332"/>
      <c r="HAE516" s="332"/>
      <c r="HAF516" s="332"/>
      <c r="HAG516" s="332"/>
      <c r="HAH516" s="332"/>
      <c r="HAI516" s="332"/>
      <c r="HAJ516" s="332"/>
      <c r="HAK516" s="332"/>
      <c r="HAL516" s="332"/>
      <c r="HAM516" s="332"/>
      <c r="HAN516" s="332"/>
      <c r="HAO516" s="332"/>
      <c r="HAP516" s="332"/>
      <c r="HAQ516" s="332"/>
      <c r="HAR516" s="332"/>
      <c r="HAS516" s="332"/>
      <c r="HAT516" s="332"/>
      <c r="HAU516" s="332"/>
      <c r="HAV516" s="332"/>
      <c r="HAW516" s="332"/>
      <c r="HAX516" s="332"/>
      <c r="HAY516" s="332"/>
      <c r="HAZ516" s="332"/>
      <c r="HBA516" s="332"/>
      <c r="HBB516" s="332"/>
      <c r="HBC516" s="332"/>
      <c r="HBD516" s="332"/>
      <c r="HBE516" s="332"/>
      <c r="HBF516" s="332"/>
      <c r="HBG516" s="332"/>
      <c r="HBH516" s="332"/>
      <c r="HBI516" s="332"/>
      <c r="HBJ516" s="332"/>
      <c r="HBK516" s="332"/>
      <c r="HBL516" s="332"/>
      <c r="HBM516" s="332"/>
      <c r="HBN516" s="332"/>
      <c r="HBO516" s="332"/>
      <c r="HBP516" s="332"/>
      <c r="HBQ516" s="332"/>
      <c r="HBR516" s="332"/>
      <c r="HBS516" s="332"/>
      <c r="HBT516" s="332"/>
      <c r="HBU516" s="332"/>
      <c r="HBV516" s="332"/>
      <c r="HBW516" s="332"/>
      <c r="HBX516" s="332"/>
      <c r="HBY516" s="332"/>
      <c r="HBZ516" s="332"/>
      <c r="HCA516" s="332"/>
      <c r="HCB516" s="332"/>
      <c r="HCC516" s="332"/>
      <c r="HCD516" s="332"/>
      <c r="HCE516" s="332"/>
      <c r="HCF516" s="332"/>
      <c r="HCG516" s="332"/>
      <c r="HCH516" s="332"/>
      <c r="HCI516" s="332"/>
      <c r="HCJ516" s="332"/>
      <c r="HCK516" s="332"/>
      <c r="HCL516" s="332"/>
      <c r="HCM516" s="332"/>
      <c r="HCN516" s="332"/>
      <c r="HCO516" s="332"/>
      <c r="HCP516" s="332"/>
      <c r="HCQ516" s="332"/>
      <c r="HCR516" s="332"/>
      <c r="HCS516" s="332"/>
      <c r="HCT516" s="332"/>
      <c r="HCU516" s="332"/>
      <c r="HCV516" s="332"/>
      <c r="HCW516" s="332"/>
      <c r="HCX516" s="332"/>
      <c r="HCY516" s="332"/>
      <c r="HCZ516" s="332"/>
      <c r="HDA516" s="332"/>
      <c r="HDB516" s="332"/>
      <c r="HDC516" s="332"/>
      <c r="HDD516" s="332"/>
      <c r="HDE516" s="332"/>
      <c r="HDF516" s="332"/>
      <c r="HDG516" s="332"/>
      <c r="HDH516" s="332"/>
      <c r="HDI516" s="332"/>
      <c r="HDJ516" s="332"/>
      <c r="HDK516" s="332"/>
      <c r="HDL516" s="332"/>
      <c r="HDM516" s="332"/>
      <c r="HDN516" s="332"/>
      <c r="HDO516" s="332"/>
      <c r="HDP516" s="332"/>
      <c r="HDQ516" s="332"/>
      <c r="HDR516" s="332"/>
      <c r="HDS516" s="332"/>
      <c r="HDT516" s="332"/>
      <c r="HDU516" s="332"/>
      <c r="HDV516" s="332"/>
      <c r="HDW516" s="332"/>
      <c r="HDX516" s="332"/>
      <c r="HDY516" s="332"/>
      <c r="HDZ516" s="332"/>
      <c r="HEA516" s="332"/>
      <c r="HEB516" s="332"/>
      <c r="HEC516" s="332"/>
      <c r="HED516" s="332"/>
      <c r="HEE516" s="332"/>
      <c r="HEF516" s="332"/>
      <c r="HEG516" s="332"/>
      <c r="HEH516" s="332"/>
      <c r="HEI516" s="332"/>
      <c r="HEJ516" s="332"/>
      <c r="HEK516" s="332"/>
      <c r="HEL516" s="332"/>
      <c r="HEM516" s="332"/>
      <c r="HEN516" s="332"/>
      <c r="HEO516" s="332"/>
      <c r="HEP516" s="332"/>
      <c r="HEQ516" s="332"/>
      <c r="HER516" s="332"/>
      <c r="HES516" s="332"/>
      <c r="HET516" s="332"/>
      <c r="HEU516" s="332"/>
      <c r="HEV516" s="332"/>
      <c r="HEW516" s="332"/>
      <c r="HEX516" s="332"/>
      <c r="HEY516" s="332"/>
      <c r="HEZ516" s="332"/>
      <c r="HFA516" s="332"/>
      <c r="HFB516" s="332"/>
      <c r="HFC516" s="332"/>
      <c r="HFD516" s="332"/>
      <c r="HFE516" s="332"/>
      <c r="HFF516" s="332"/>
      <c r="HFG516" s="332"/>
      <c r="HFH516" s="332"/>
      <c r="HFI516" s="332"/>
      <c r="HFJ516" s="332"/>
      <c r="HFK516" s="332"/>
      <c r="HFL516" s="332"/>
      <c r="HFM516" s="332"/>
      <c r="HFN516" s="332"/>
      <c r="HFO516" s="332"/>
      <c r="HFP516" s="332"/>
      <c r="HFQ516" s="332"/>
      <c r="HFR516" s="332"/>
      <c r="HFS516" s="332"/>
      <c r="HFT516" s="332"/>
      <c r="HFU516" s="332"/>
      <c r="HFV516" s="332"/>
      <c r="HFW516" s="332"/>
      <c r="HFX516" s="332"/>
      <c r="HFY516" s="332"/>
      <c r="HFZ516" s="332"/>
      <c r="HGA516" s="332"/>
      <c r="HGB516" s="332"/>
      <c r="HGC516" s="332"/>
      <c r="HGD516" s="332"/>
      <c r="HGE516" s="332"/>
      <c r="HGF516" s="332"/>
      <c r="HGG516" s="332"/>
      <c r="HGH516" s="332"/>
      <c r="HGI516" s="332"/>
      <c r="HGJ516" s="332"/>
      <c r="HGK516" s="332"/>
      <c r="HGL516" s="332"/>
      <c r="HGM516" s="332"/>
      <c r="HGN516" s="332"/>
      <c r="HGO516" s="332"/>
      <c r="HGP516" s="332"/>
      <c r="HGQ516" s="332"/>
      <c r="HGR516" s="332"/>
      <c r="HGS516" s="332"/>
      <c r="HGT516" s="332"/>
      <c r="HGU516" s="332"/>
      <c r="HGV516" s="332"/>
      <c r="HGW516" s="332"/>
      <c r="HGX516" s="332"/>
      <c r="HGY516" s="332"/>
      <c r="HGZ516" s="332"/>
      <c r="HHA516" s="332"/>
      <c r="HHB516" s="332"/>
      <c r="HHC516" s="332"/>
      <c r="HHD516" s="332"/>
      <c r="HHE516" s="332"/>
      <c r="HHF516" s="332"/>
      <c r="HHG516" s="332"/>
      <c r="HHH516" s="332"/>
      <c r="HHI516" s="332"/>
      <c r="HHJ516" s="332"/>
      <c r="HHK516" s="332"/>
      <c r="HHL516" s="332"/>
      <c r="HHM516" s="332"/>
      <c r="HHN516" s="332"/>
      <c r="HHO516" s="332"/>
      <c r="HHP516" s="332"/>
      <c r="HHQ516" s="332"/>
      <c r="HHR516" s="332"/>
      <c r="HHS516" s="332"/>
      <c r="HHT516" s="332"/>
      <c r="HHU516" s="332"/>
      <c r="HHV516" s="332"/>
      <c r="HHW516" s="332"/>
      <c r="HHX516" s="332"/>
      <c r="HHY516" s="332"/>
      <c r="HHZ516" s="332"/>
      <c r="HIA516" s="332"/>
      <c r="HIB516" s="332"/>
      <c r="HIC516" s="332"/>
      <c r="HID516" s="332"/>
      <c r="HIE516" s="332"/>
      <c r="HIF516" s="332"/>
      <c r="HIG516" s="332"/>
      <c r="HIH516" s="332"/>
      <c r="HII516" s="332"/>
      <c r="HIJ516" s="332"/>
      <c r="HIK516" s="332"/>
      <c r="HIL516" s="332"/>
      <c r="HIM516" s="332"/>
      <c r="HIN516" s="332"/>
      <c r="HIO516" s="332"/>
      <c r="HIP516" s="332"/>
      <c r="HIQ516" s="332"/>
      <c r="HIR516" s="332"/>
      <c r="HIS516" s="332"/>
      <c r="HIT516" s="332"/>
      <c r="HIU516" s="332"/>
      <c r="HIV516" s="332"/>
      <c r="HIW516" s="332"/>
      <c r="HIX516" s="332"/>
      <c r="HIY516" s="332"/>
      <c r="HIZ516" s="332"/>
      <c r="HJA516" s="332"/>
      <c r="HJB516" s="332"/>
      <c r="HJC516" s="332"/>
      <c r="HJD516" s="332"/>
      <c r="HJE516" s="332"/>
      <c r="HJF516" s="332"/>
      <c r="HJG516" s="332"/>
      <c r="HJH516" s="332"/>
      <c r="HJI516" s="332"/>
      <c r="HJJ516" s="332"/>
      <c r="HJK516" s="332"/>
      <c r="HJL516" s="332"/>
      <c r="HJM516" s="332"/>
      <c r="HJN516" s="332"/>
      <c r="HJO516" s="332"/>
      <c r="HJP516" s="332"/>
      <c r="HJQ516" s="332"/>
      <c r="HJR516" s="332"/>
      <c r="HJS516" s="332"/>
      <c r="HJT516" s="332"/>
      <c r="HJU516" s="332"/>
      <c r="HJV516" s="332"/>
      <c r="HJW516" s="332"/>
      <c r="HJX516" s="332"/>
      <c r="HJY516" s="332"/>
      <c r="HJZ516" s="332"/>
      <c r="HKA516" s="332"/>
      <c r="HKB516" s="332"/>
      <c r="HKC516" s="332"/>
      <c r="HKD516" s="332"/>
      <c r="HKE516" s="332"/>
      <c r="HKF516" s="332"/>
      <c r="HKG516" s="332"/>
      <c r="HKH516" s="332"/>
      <c r="HKI516" s="332"/>
      <c r="HKJ516" s="332"/>
      <c r="HKK516" s="332"/>
      <c r="HKL516" s="332"/>
      <c r="HKM516" s="332"/>
      <c r="HKN516" s="332"/>
      <c r="HKO516" s="332"/>
      <c r="HKP516" s="332"/>
      <c r="HKQ516" s="332"/>
      <c r="HKR516" s="332"/>
      <c r="HKS516" s="332"/>
      <c r="HKT516" s="332"/>
      <c r="HKU516" s="332"/>
      <c r="HKV516" s="332"/>
      <c r="HKW516" s="332"/>
      <c r="HKX516" s="332"/>
      <c r="HKY516" s="332"/>
      <c r="HKZ516" s="332"/>
      <c r="HLA516" s="332"/>
      <c r="HLB516" s="332"/>
      <c r="HLC516" s="332"/>
      <c r="HLD516" s="332"/>
      <c r="HLE516" s="332"/>
      <c r="HLF516" s="332"/>
      <c r="HLG516" s="332"/>
      <c r="HLH516" s="332"/>
      <c r="HLI516" s="332"/>
      <c r="HLJ516" s="332"/>
      <c r="HLK516" s="332"/>
      <c r="HLL516" s="332"/>
      <c r="HLM516" s="332"/>
      <c r="HLN516" s="332"/>
      <c r="HLO516" s="332"/>
      <c r="HLP516" s="332"/>
      <c r="HLQ516" s="332"/>
      <c r="HLR516" s="332"/>
      <c r="HLS516" s="332"/>
      <c r="HLT516" s="332"/>
      <c r="HLU516" s="332"/>
      <c r="HLV516" s="332"/>
      <c r="HLW516" s="332"/>
      <c r="HLX516" s="332"/>
      <c r="HLY516" s="332"/>
      <c r="HLZ516" s="332"/>
      <c r="HMA516" s="332"/>
      <c r="HMB516" s="332"/>
      <c r="HMC516" s="332"/>
      <c r="HMD516" s="332"/>
      <c r="HME516" s="332"/>
      <c r="HMF516" s="332"/>
      <c r="HMG516" s="332"/>
      <c r="HMH516" s="332"/>
      <c r="HMI516" s="332"/>
      <c r="HMJ516" s="332"/>
      <c r="HMK516" s="332"/>
      <c r="HML516" s="332"/>
      <c r="HMM516" s="332"/>
      <c r="HMN516" s="332"/>
      <c r="HMO516" s="332"/>
      <c r="HMP516" s="332"/>
      <c r="HMQ516" s="332"/>
      <c r="HMR516" s="332"/>
      <c r="HMS516" s="332"/>
      <c r="HMT516" s="332"/>
      <c r="HMU516" s="332"/>
      <c r="HMV516" s="332"/>
      <c r="HMW516" s="332"/>
      <c r="HMX516" s="332"/>
      <c r="HMY516" s="332"/>
      <c r="HMZ516" s="332"/>
      <c r="HNA516" s="332"/>
      <c r="HNB516" s="332"/>
      <c r="HNC516" s="332"/>
      <c r="HND516" s="332"/>
      <c r="HNE516" s="332"/>
      <c r="HNF516" s="332"/>
      <c r="HNG516" s="332"/>
      <c r="HNH516" s="332"/>
      <c r="HNI516" s="332"/>
      <c r="HNJ516" s="332"/>
      <c r="HNK516" s="332"/>
      <c r="HNL516" s="332"/>
      <c r="HNM516" s="332"/>
      <c r="HNN516" s="332"/>
      <c r="HNO516" s="332"/>
      <c r="HNP516" s="332"/>
      <c r="HNQ516" s="332"/>
      <c r="HNR516" s="332"/>
      <c r="HNS516" s="332"/>
      <c r="HNT516" s="332"/>
      <c r="HNU516" s="332"/>
      <c r="HNV516" s="332"/>
      <c r="HNW516" s="332"/>
      <c r="HNX516" s="332"/>
      <c r="HNY516" s="332"/>
      <c r="HNZ516" s="332"/>
      <c r="HOA516" s="332"/>
      <c r="HOB516" s="332"/>
      <c r="HOC516" s="332"/>
      <c r="HOD516" s="332"/>
      <c r="HOE516" s="332"/>
      <c r="HOF516" s="332"/>
      <c r="HOG516" s="332"/>
      <c r="HOH516" s="332"/>
      <c r="HOI516" s="332"/>
      <c r="HOJ516" s="332"/>
      <c r="HOK516" s="332"/>
      <c r="HOL516" s="332"/>
      <c r="HOM516" s="332"/>
      <c r="HON516" s="332"/>
      <c r="HOO516" s="332"/>
      <c r="HOP516" s="332"/>
      <c r="HOQ516" s="332"/>
      <c r="HOR516" s="332"/>
      <c r="HOS516" s="332"/>
      <c r="HOT516" s="332"/>
      <c r="HOU516" s="332"/>
      <c r="HOV516" s="332"/>
      <c r="HOW516" s="332"/>
      <c r="HOX516" s="332"/>
      <c r="HOY516" s="332"/>
      <c r="HOZ516" s="332"/>
      <c r="HPA516" s="332"/>
      <c r="HPB516" s="332"/>
      <c r="HPC516" s="332"/>
      <c r="HPD516" s="332"/>
      <c r="HPE516" s="332"/>
      <c r="HPF516" s="332"/>
      <c r="HPG516" s="332"/>
      <c r="HPH516" s="332"/>
      <c r="HPI516" s="332"/>
      <c r="HPJ516" s="332"/>
      <c r="HPK516" s="332"/>
      <c r="HPL516" s="332"/>
      <c r="HPM516" s="332"/>
      <c r="HPN516" s="332"/>
      <c r="HPO516" s="332"/>
      <c r="HPP516" s="332"/>
      <c r="HPQ516" s="332"/>
      <c r="HPR516" s="332"/>
      <c r="HPS516" s="332"/>
      <c r="HPT516" s="332"/>
      <c r="HPU516" s="332"/>
      <c r="HPV516" s="332"/>
      <c r="HPW516" s="332"/>
      <c r="HPX516" s="332"/>
      <c r="HPY516" s="332"/>
      <c r="HPZ516" s="332"/>
      <c r="HQA516" s="332"/>
      <c r="HQB516" s="332"/>
      <c r="HQC516" s="332"/>
      <c r="HQD516" s="332"/>
      <c r="HQE516" s="332"/>
      <c r="HQF516" s="332"/>
      <c r="HQG516" s="332"/>
      <c r="HQH516" s="332"/>
      <c r="HQI516" s="332"/>
      <c r="HQJ516" s="332"/>
      <c r="HQK516" s="332"/>
      <c r="HQL516" s="332"/>
      <c r="HQM516" s="332"/>
      <c r="HQN516" s="332"/>
      <c r="HQO516" s="332"/>
      <c r="HQP516" s="332"/>
      <c r="HQQ516" s="332"/>
      <c r="HQR516" s="332"/>
      <c r="HQS516" s="332"/>
      <c r="HQT516" s="332"/>
      <c r="HQU516" s="332"/>
      <c r="HQV516" s="332"/>
      <c r="HQW516" s="332"/>
      <c r="HQX516" s="332"/>
      <c r="HQY516" s="332"/>
      <c r="HQZ516" s="332"/>
      <c r="HRA516" s="332"/>
      <c r="HRB516" s="332"/>
      <c r="HRC516" s="332"/>
      <c r="HRD516" s="332"/>
      <c r="HRE516" s="332"/>
      <c r="HRF516" s="332"/>
      <c r="HRG516" s="332"/>
      <c r="HRH516" s="332"/>
      <c r="HRI516" s="332"/>
      <c r="HRJ516" s="332"/>
      <c r="HRK516" s="332"/>
      <c r="HRL516" s="332"/>
      <c r="HRM516" s="332"/>
      <c r="HRN516" s="332"/>
      <c r="HRO516" s="332"/>
      <c r="HRP516" s="332"/>
      <c r="HRQ516" s="332"/>
      <c r="HRR516" s="332"/>
      <c r="HRS516" s="332"/>
      <c r="HRT516" s="332"/>
      <c r="HRU516" s="332"/>
      <c r="HRV516" s="332"/>
      <c r="HRW516" s="332"/>
      <c r="HRX516" s="332"/>
      <c r="HRY516" s="332"/>
      <c r="HRZ516" s="332"/>
      <c r="HSA516" s="332"/>
      <c r="HSB516" s="332"/>
      <c r="HSC516" s="332"/>
      <c r="HSD516" s="332"/>
      <c r="HSE516" s="332"/>
      <c r="HSF516" s="332"/>
      <c r="HSG516" s="332"/>
      <c r="HSH516" s="332"/>
      <c r="HSI516" s="332"/>
      <c r="HSJ516" s="332"/>
      <c r="HSK516" s="332"/>
      <c r="HSL516" s="332"/>
      <c r="HSM516" s="332"/>
      <c r="HSN516" s="332"/>
      <c r="HSO516" s="332"/>
      <c r="HSP516" s="332"/>
      <c r="HSQ516" s="332"/>
      <c r="HSR516" s="332"/>
      <c r="HSS516" s="332"/>
      <c r="HST516" s="332"/>
      <c r="HSU516" s="332"/>
      <c r="HSV516" s="332"/>
      <c r="HSW516" s="332"/>
      <c r="HSX516" s="332"/>
      <c r="HSY516" s="332"/>
      <c r="HSZ516" s="332"/>
      <c r="HTA516" s="332"/>
      <c r="HTB516" s="332"/>
      <c r="HTC516" s="332"/>
      <c r="HTD516" s="332"/>
      <c r="HTE516" s="332"/>
      <c r="HTF516" s="332"/>
      <c r="HTG516" s="332"/>
      <c r="HTH516" s="332"/>
      <c r="HTI516" s="332"/>
      <c r="HTJ516" s="332"/>
      <c r="HTK516" s="332"/>
      <c r="HTL516" s="332"/>
      <c r="HTM516" s="332"/>
      <c r="HTN516" s="332"/>
      <c r="HTO516" s="332"/>
      <c r="HTP516" s="332"/>
      <c r="HTQ516" s="332"/>
      <c r="HTR516" s="332"/>
      <c r="HTS516" s="332"/>
      <c r="HTT516" s="332"/>
      <c r="HTU516" s="332"/>
      <c r="HTV516" s="332"/>
      <c r="HTW516" s="332"/>
      <c r="HTX516" s="332"/>
      <c r="HTY516" s="332"/>
      <c r="HTZ516" s="332"/>
      <c r="HUA516" s="332"/>
      <c r="HUB516" s="332"/>
      <c r="HUC516" s="332"/>
      <c r="HUD516" s="332"/>
      <c r="HUE516" s="332"/>
      <c r="HUF516" s="332"/>
      <c r="HUG516" s="332"/>
      <c r="HUH516" s="332"/>
      <c r="HUI516" s="332"/>
      <c r="HUJ516" s="332"/>
      <c r="HUK516" s="332"/>
      <c r="HUL516" s="332"/>
      <c r="HUM516" s="332"/>
      <c r="HUN516" s="332"/>
      <c r="HUO516" s="332"/>
      <c r="HUP516" s="332"/>
      <c r="HUQ516" s="332"/>
      <c r="HUR516" s="332"/>
      <c r="HUS516" s="332"/>
      <c r="HUT516" s="332"/>
      <c r="HUU516" s="332"/>
      <c r="HUV516" s="332"/>
      <c r="HUW516" s="332"/>
      <c r="HUX516" s="332"/>
      <c r="HUY516" s="332"/>
      <c r="HUZ516" s="332"/>
      <c r="HVA516" s="332"/>
      <c r="HVB516" s="332"/>
      <c r="HVC516" s="332"/>
      <c r="HVD516" s="332"/>
      <c r="HVE516" s="332"/>
      <c r="HVF516" s="332"/>
      <c r="HVG516" s="332"/>
      <c r="HVH516" s="332"/>
      <c r="HVI516" s="332"/>
      <c r="HVJ516" s="332"/>
      <c r="HVK516" s="332"/>
      <c r="HVL516" s="332"/>
      <c r="HVM516" s="332"/>
      <c r="HVN516" s="332"/>
      <c r="HVO516" s="332"/>
      <c r="HVP516" s="332"/>
      <c r="HVQ516" s="332"/>
      <c r="HVR516" s="332"/>
      <c r="HVS516" s="332"/>
      <c r="HVT516" s="332"/>
      <c r="HVU516" s="332"/>
      <c r="HVV516" s="332"/>
      <c r="HVW516" s="332"/>
      <c r="HVX516" s="332"/>
      <c r="HVY516" s="332"/>
      <c r="HVZ516" s="332"/>
      <c r="HWA516" s="332"/>
      <c r="HWB516" s="332"/>
      <c r="HWC516" s="332"/>
      <c r="HWD516" s="332"/>
      <c r="HWE516" s="332"/>
      <c r="HWF516" s="332"/>
      <c r="HWG516" s="332"/>
      <c r="HWH516" s="332"/>
      <c r="HWI516" s="332"/>
      <c r="HWJ516" s="332"/>
      <c r="HWK516" s="332"/>
      <c r="HWL516" s="332"/>
      <c r="HWM516" s="332"/>
      <c r="HWN516" s="332"/>
      <c r="HWO516" s="332"/>
      <c r="HWP516" s="332"/>
      <c r="HWQ516" s="332"/>
      <c r="HWR516" s="332"/>
      <c r="HWS516" s="332"/>
      <c r="HWT516" s="332"/>
      <c r="HWU516" s="332"/>
      <c r="HWV516" s="332"/>
      <c r="HWW516" s="332"/>
      <c r="HWX516" s="332"/>
      <c r="HWY516" s="332"/>
      <c r="HWZ516" s="332"/>
      <c r="HXA516" s="332"/>
      <c r="HXB516" s="332"/>
      <c r="HXC516" s="332"/>
      <c r="HXD516" s="332"/>
      <c r="HXE516" s="332"/>
      <c r="HXF516" s="332"/>
      <c r="HXG516" s="332"/>
      <c r="HXH516" s="332"/>
      <c r="HXI516" s="332"/>
      <c r="HXJ516" s="332"/>
      <c r="HXK516" s="332"/>
      <c r="HXL516" s="332"/>
      <c r="HXM516" s="332"/>
      <c r="HXN516" s="332"/>
      <c r="HXO516" s="332"/>
      <c r="HXP516" s="332"/>
      <c r="HXQ516" s="332"/>
      <c r="HXR516" s="332"/>
      <c r="HXS516" s="332"/>
      <c r="HXT516" s="332"/>
      <c r="HXU516" s="332"/>
      <c r="HXV516" s="332"/>
      <c r="HXW516" s="332"/>
      <c r="HXX516" s="332"/>
      <c r="HXY516" s="332"/>
      <c r="HXZ516" s="332"/>
      <c r="HYA516" s="332"/>
      <c r="HYB516" s="332"/>
      <c r="HYC516" s="332"/>
      <c r="HYD516" s="332"/>
      <c r="HYE516" s="332"/>
      <c r="HYF516" s="332"/>
      <c r="HYG516" s="332"/>
      <c r="HYH516" s="332"/>
      <c r="HYI516" s="332"/>
      <c r="HYJ516" s="332"/>
      <c r="HYK516" s="332"/>
      <c r="HYL516" s="332"/>
      <c r="HYM516" s="332"/>
      <c r="HYN516" s="332"/>
      <c r="HYO516" s="332"/>
      <c r="HYP516" s="332"/>
      <c r="HYQ516" s="332"/>
      <c r="HYR516" s="332"/>
      <c r="HYS516" s="332"/>
      <c r="HYT516" s="332"/>
      <c r="HYU516" s="332"/>
      <c r="HYV516" s="332"/>
      <c r="HYW516" s="332"/>
      <c r="HYX516" s="332"/>
      <c r="HYY516" s="332"/>
      <c r="HYZ516" s="332"/>
      <c r="HZA516" s="332"/>
      <c r="HZB516" s="332"/>
      <c r="HZC516" s="332"/>
      <c r="HZD516" s="332"/>
      <c r="HZE516" s="332"/>
      <c r="HZF516" s="332"/>
      <c r="HZG516" s="332"/>
      <c r="HZH516" s="332"/>
      <c r="HZI516" s="332"/>
      <c r="HZJ516" s="332"/>
      <c r="HZK516" s="332"/>
      <c r="HZL516" s="332"/>
      <c r="HZM516" s="332"/>
      <c r="HZN516" s="332"/>
      <c r="HZO516" s="332"/>
      <c r="HZP516" s="332"/>
      <c r="HZQ516" s="332"/>
      <c r="HZR516" s="332"/>
      <c r="HZS516" s="332"/>
      <c r="HZT516" s="332"/>
      <c r="HZU516" s="332"/>
      <c r="HZV516" s="332"/>
      <c r="HZW516" s="332"/>
      <c r="HZX516" s="332"/>
      <c r="HZY516" s="332"/>
      <c r="HZZ516" s="332"/>
      <c r="IAA516" s="332"/>
      <c r="IAB516" s="332"/>
      <c r="IAC516" s="332"/>
      <c r="IAD516" s="332"/>
      <c r="IAE516" s="332"/>
      <c r="IAF516" s="332"/>
      <c r="IAG516" s="332"/>
      <c r="IAH516" s="332"/>
      <c r="IAI516" s="332"/>
      <c r="IAJ516" s="332"/>
      <c r="IAK516" s="332"/>
      <c r="IAL516" s="332"/>
      <c r="IAM516" s="332"/>
      <c r="IAN516" s="332"/>
      <c r="IAO516" s="332"/>
      <c r="IAP516" s="332"/>
      <c r="IAQ516" s="332"/>
      <c r="IAR516" s="332"/>
      <c r="IAS516" s="332"/>
      <c r="IAT516" s="332"/>
      <c r="IAU516" s="332"/>
      <c r="IAV516" s="332"/>
      <c r="IAW516" s="332"/>
      <c r="IAX516" s="332"/>
      <c r="IAY516" s="332"/>
      <c r="IAZ516" s="332"/>
      <c r="IBA516" s="332"/>
      <c r="IBB516" s="332"/>
      <c r="IBC516" s="332"/>
      <c r="IBD516" s="332"/>
      <c r="IBE516" s="332"/>
      <c r="IBF516" s="332"/>
      <c r="IBG516" s="332"/>
      <c r="IBH516" s="332"/>
      <c r="IBI516" s="332"/>
      <c r="IBJ516" s="332"/>
      <c r="IBK516" s="332"/>
      <c r="IBL516" s="332"/>
      <c r="IBM516" s="332"/>
      <c r="IBN516" s="332"/>
      <c r="IBO516" s="332"/>
      <c r="IBP516" s="332"/>
      <c r="IBQ516" s="332"/>
      <c r="IBR516" s="332"/>
      <c r="IBS516" s="332"/>
      <c r="IBT516" s="332"/>
      <c r="IBU516" s="332"/>
      <c r="IBV516" s="332"/>
      <c r="IBW516" s="332"/>
      <c r="IBX516" s="332"/>
      <c r="IBY516" s="332"/>
      <c r="IBZ516" s="332"/>
      <c r="ICA516" s="332"/>
      <c r="ICB516" s="332"/>
      <c r="ICC516" s="332"/>
      <c r="ICD516" s="332"/>
      <c r="ICE516" s="332"/>
      <c r="ICF516" s="332"/>
      <c r="ICG516" s="332"/>
      <c r="ICH516" s="332"/>
      <c r="ICI516" s="332"/>
      <c r="ICJ516" s="332"/>
      <c r="ICK516" s="332"/>
      <c r="ICL516" s="332"/>
      <c r="ICM516" s="332"/>
      <c r="ICN516" s="332"/>
      <c r="ICO516" s="332"/>
      <c r="ICP516" s="332"/>
      <c r="ICQ516" s="332"/>
      <c r="ICR516" s="332"/>
      <c r="ICS516" s="332"/>
      <c r="ICT516" s="332"/>
      <c r="ICU516" s="332"/>
      <c r="ICV516" s="332"/>
      <c r="ICW516" s="332"/>
      <c r="ICX516" s="332"/>
      <c r="ICY516" s="332"/>
      <c r="ICZ516" s="332"/>
      <c r="IDA516" s="332"/>
      <c r="IDB516" s="332"/>
      <c r="IDC516" s="332"/>
      <c r="IDD516" s="332"/>
      <c r="IDE516" s="332"/>
      <c r="IDF516" s="332"/>
      <c r="IDG516" s="332"/>
      <c r="IDH516" s="332"/>
      <c r="IDI516" s="332"/>
      <c r="IDJ516" s="332"/>
      <c r="IDK516" s="332"/>
      <c r="IDL516" s="332"/>
      <c r="IDM516" s="332"/>
      <c r="IDN516" s="332"/>
      <c r="IDO516" s="332"/>
      <c r="IDP516" s="332"/>
      <c r="IDQ516" s="332"/>
      <c r="IDR516" s="332"/>
      <c r="IDS516" s="332"/>
      <c r="IDT516" s="332"/>
      <c r="IDU516" s="332"/>
      <c r="IDV516" s="332"/>
      <c r="IDW516" s="332"/>
      <c r="IDX516" s="332"/>
      <c r="IDY516" s="332"/>
      <c r="IDZ516" s="332"/>
      <c r="IEA516" s="332"/>
      <c r="IEB516" s="332"/>
      <c r="IEC516" s="332"/>
      <c r="IED516" s="332"/>
      <c r="IEE516" s="332"/>
      <c r="IEF516" s="332"/>
      <c r="IEG516" s="332"/>
      <c r="IEH516" s="332"/>
      <c r="IEI516" s="332"/>
      <c r="IEJ516" s="332"/>
      <c r="IEK516" s="332"/>
      <c r="IEL516" s="332"/>
      <c r="IEM516" s="332"/>
      <c r="IEN516" s="332"/>
      <c r="IEO516" s="332"/>
      <c r="IEP516" s="332"/>
      <c r="IEQ516" s="332"/>
      <c r="IER516" s="332"/>
      <c r="IES516" s="332"/>
      <c r="IET516" s="332"/>
      <c r="IEU516" s="332"/>
      <c r="IEV516" s="332"/>
      <c r="IEW516" s="332"/>
      <c r="IEX516" s="332"/>
      <c r="IEY516" s="332"/>
      <c r="IEZ516" s="332"/>
      <c r="IFA516" s="332"/>
      <c r="IFB516" s="332"/>
      <c r="IFC516" s="332"/>
      <c r="IFD516" s="332"/>
      <c r="IFE516" s="332"/>
      <c r="IFF516" s="332"/>
      <c r="IFG516" s="332"/>
      <c r="IFH516" s="332"/>
      <c r="IFI516" s="332"/>
      <c r="IFJ516" s="332"/>
      <c r="IFK516" s="332"/>
      <c r="IFL516" s="332"/>
      <c r="IFM516" s="332"/>
      <c r="IFN516" s="332"/>
      <c r="IFO516" s="332"/>
      <c r="IFP516" s="332"/>
      <c r="IFQ516" s="332"/>
      <c r="IFR516" s="332"/>
      <c r="IFS516" s="332"/>
      <c r="IFT516" s="332"/>
      <c r="IFU516" s="332"/>
      <c r="IFV516" s="332"/>
      <c r="IFW516" s="332"/>
      <c r="IFX516" s="332"/>
      <c r="IFY516" s="332"/>
      <c r="IFZ516" s="332"/>
      <c r="IGA516" s="332"/>
      <c r="IGB516" s="332"/>
      <c r="IGC516" s="332"/>
      <c r="IGD516" s="332"/>
      <c r="IGE516" s="332"/>
      <c r="IGF516" s="332"/>
      <c r="IGG516" s="332"/>
      <c r="IGH516" s="332"/>
      <c r="IGI516" s="332"/>
      <c r="IGJ516" s="332"/>
      <c r="IGK516" s="332"/>
      <c r="IGL516" s="332"/>
      <c r="IGM516" s="332"/>
      <c r="IGN516" s="332"/>
      <c r="IGO516" s="332"/>
      <c r="IGP516" s="332"/>
      <c r="IGQ516" s="332"/>
      <c r="IGR516" s="332"/>
      <c r="IGS516" s="332"/>
      <c r="IGT516" s="332"/>
      <c r="IGU516" s="332"/>
      <c r="IGV516" s="332"/>
      <c r="IGW516" s="332"/>
      <c r="IGX516" s="332"/>
      <c r="IGY516" s="332"/>
      <c r="IGZ516" s="332"/>
      <c r="IHA516" s="332"/>
      <c r="IHB516" s="332"/>
      <c r="IHC516" s="332"/>
      <c r="IHD516" s="332"/>
      <c r="IHE516" s="332"/>
      <c r="IHF516" s="332"/>
      <c r="IHG516" s="332"/>
      <c r="IHH516" s="332"/>
      <c r="IHI516" s="332"/>
      <c r="IHJ516" s="332"/>
      <c r="IHK516" s="332"/>
      <c r="IHL516" s="332"/>
      <c r="IHM516" s="332"/>
      <c r="IHN516" s="332"/>
      <c r="IHO516" s="332"/>
      <c r="IHP516" s="332"/>
      <c r="IHQ516" s="332"/>
      <c r="IHR516" s="332"/>
      <c r="IHS516" s="332"/>
      <c r="IHT516" s="332"/>
      <c r="IHU516" s="332"/>
      <c r="IHV516" s="332"/>
      <c r="IHW516" s="332"/>
      <c r="IHX516" s="332"/>
      <c r="IHY516" s="332"/>
      <c r="IHZ516" s="332"/>
      <c r="IIA516" s="332"/>
      <c r="IIB516" s="332"/>
      <c r="IIC516" s="332"/>
      <c r="IID516" s="332"/>
      <c r="IIE516" s="332"/>
      <c r="IIF516" s="332"/>
      <c r="IIG516" s="332"/>
      <c r="IIH516" s="332"/>
      <c r="III516" s="332"/>
      <c r="IIJ516" s="332"/>
      <c r="IIK516" s="332"/>
      <c r="IIL516" s="332"/>
      <c r="IIM516" s="332"/>
      <c r="IIN516" s="332"/>
      <c r="IIO516" s="332"/>
      <c r="IIP516" s="332"/>
      <c r="IIQ516" s="332"/>
      <c r="IIR516" s="332"/>
      <c r="IIS516" s="332"/>
      <c r="IIT516" s="332"/>
      <c r="IIU516" s="332"/>
      <c r="IIV516" s="332"/>
      <c r="IIW516" s="332"/>
      <c r="IIX516" s="332"/>
      <c r="IIY516" s="332"/>
      <c r="IIZ516" s="332"/>
      <c r="IJA516" s="332"/>
      <c r="IJB516" s="332"/>
      <c r="IJC516" s="332"/>
      <c r="IJD516" s="332"/>
      <c r="IJE516" s="332"/>
      <c r="IJF516" s="332"/>
      <c r="IJG516" s="332"/>
      <c r="IJH516" s="332"/>
      <c r="IJI516" s="332"/>
      <c r="IJJ516" s="332"/>
      <c r="IJK516" s="332"/>
      <c r="IJL516" s="332"/>
      <c r="IJM516" s="332"/>
      <c r="IJN516" s="332"/>
      <c r="IJO516" s="332"/>
      <c r="IJP516" s="332"/>
      <c r="IJQ516" s="332"/>
      <c r="IJR516" s="332"/>
      <c r="IJS516" s="332"/>
      <c r="IJT516" s="332"/>
      <c r="IJU516" s="332"/>
      <c r="IJV516" s="332"/>
      <c r="IJW516" s="332"/>
      <c r="IJX516" s="332"/>
      <c r="IJY516" s="332"/>
      <c r="IJZ516" s="332"/>
      <c r="IKA516" s="332"/>
      <c r="IKB516" s="332"/>
      <c r="IKC516" s="332"/>
      <c r="IKD516" s="332"/>
      <c r="IKE516" s="332"/>
      <c r="IKF516" s="332"/>
      <c r="IKG516" s="332"/>
      <c r="IKH516" s="332"/>
      <c r="IKI516" s="332"/>
      <c r="IKJ516" s="332"/>
      <c r="IKK516" s="332"/>
      <c r="IKL516" s="332"/>
      <c r="IKM516" s="332"/>
      <c r="IKN516" s="332"/>
      <c r="IKO516" s="332"/>
      <c r="IKP516" s="332"/>
      <c r="IKQ516" s="332"/>
      <c r="IKR516" s="332"/>
      <c r="IKS516" s="332"/>
      <c r="IKT516" s="332"/>
      <c r="IKU516" s="332"/>
      <c r="IKV516" s="332"/>
      <c r="IKW516" s="332"/>
      <c r="IKX516" s="332"/>
      <c r="IKY516" s="332"/>
      <c r="IKZ516" s="332"/>
      <c r="ILA516" s="332"/>
      <c r="ILB516" s="332"/>
      <c r="ILC516" s="332"/>
      <c r="ILD516" s="332"/>
      <c r="ILE516" s="332"/>
      <c r="ILF516" s="332"/>
      <c r="ILG516" s="332"/>
      <c r="ILH516" s="332"/>
      <c r="ILI516" s="332"/>
      <c r="ILJ516" s="332"/>
      <c r="ILK516" s="332"/>
      <c r="ILL516" s="332"/>
      <c r="ILM516" s="332"/>
      <c r="ILN516" s="332"/>
      <c r="ILO516" s="332"/>
      <c r="ILP516" s="332"/>
      <c r="ILQ516" s="332"/>
      <c r="ILR516" s="332"/>
      <c r="ILS516" s="332"/>
      <c r="ILT516" s="332"/>
      <c r="ILU516" s="332"/>
      <c r="ILV516" s="332"/>
      <c r="ILW516" s="332"/>
      <c r="ILX516" s="332"/>
      <c r="ILY516" s="332"/>
      <c r="ILZ516" s="332"/>
      <c r="IMA516" s="332"/>
      <c r="IMB516" s="332"/>
      <c r="IMC516" s="332"/>
      <c r="IMD516" s="332"/>
      <c r="IME516" s="332"/>
      <c r="IMF516" s="332"/>
      <c r="IMG516" s="332"/>
      <c r="IMH516" s="332"/>
      <c r="IMI516" s="332"/>
      <c r="IMJ516" s="332"/>
      <c r="IMK516" s="332"/>
      <c r="IML516" s="332"/>
      <c r="IMM516" s="332"/>
      <c r="IMN516" s="332"/>
      <c r="IMO516" s="332"/>
      <c r="IMP516" s="332"/>
      <c r="IMQ516" s="332"/>
      <c r="IMR516" s="332"/>
      <c r="IMS516" s="332"/>
      <c r="IMT516" s="332"/>
      <c r="IMU516" s="332"/>
      <c r="IMV516" s="332"/>
      <c r="IMW516" s="332"/>
      <c r="IMX516" s="332"/>
      <c r="IMY516" s="332"/>
      <c r="IMZ516" s="332"/>
      <c r="INA516" s="332"/>
      <c r="INB516" s="332"/>
      <c r="INC516" s="332"/>
      <c r="IND516" s="332"/>
      <c r="INE516" s="332"/>
      <c r="INF516" s="332"/>
      <c r="ING516" s="332"/>
      <c r="INH516" s="332"/>
      <c r="INI516" s="332"/>
      <c r="INJ516" s="332"/>
      <c r="INK516" s="332"/>
      <c r="INL516" s="332"/>
      <c r="INM516" s="332"/>
      <c r="INN516" s="332"/>
      <c r="INO516" s="332"/>
      <c r="INP516" s="332"/>
      <c r="INQ516" s="332"/>
      <c r="INR516" s="332"/>
      <c r="INS516" s="332"/>
      <c r="INT516" s="332"/>
      <c r="INU516" s="332"/>
      <c r="INV516" s="332"/>
      <c r="INW516" s="332"/>
      <c r="INX516" s="332"/>
      <c r="INY516" s="332"/>
      <c r="INZ516" s="332"/>
      <c r="IOA516" s="332"/>
      <c r="IOB516" s="332"/>
      <c r="IOC516" s="332"/>
      <c r="IOD516" s="332"/>
      <c r="IOE516" s="332"/>
      <c r="IOF516" s="332"/>
      <c r="IOG516" s="332"/>
      <c r="IOH516" s="332"/>
      <c r="IOI516" s="332"/>
      <c r="IOJ516" s="332"/>
      <c r="IOK516" s="332"/>
      <c r="IOL516" s="332"/>
      <c r="IOM516" s="332"/>
      <c r="ION516" s="332"/>
      <c r="IOO516" s="332"/>
      <c r="IOP516" s="332"/>
      <c r="IOQ516" s="332"/>
      <c r="IOR516" s="332"/>
      <c r="IOS516" s="332"/>
      <c r="IOT516" s="332"/>
      <c r="IOU516" s="332"/>
      <c r="IOV516" s="332"/>
      <c r="IOW516" s="332"/>
      <c r="IOX516" s="332"/>
      <c r="IOY516" s="332"/>
      <c r="IOZ516" s="332"/>
      <c r="IPA516" s="332"/>
      <c r="IPB516" s="332"/>
      <c r="IPC516" s="332"/>
      <c r="IPD516" s="332"/>
      <c r="IPE516" s="332"/>
      <c r="IPF516" s="332"/>
      <c r="IPG516" s="332"/>
      <c r="IPH516" s="332"/>
      <c r="IPI516" s="332"/>
      <c r="IPJ516" s="332"/>
      <c r="IPK516" s="332"/>
      <c r="IPL516" s="332"/>
      <c r="IPM516" s="332"/>
      <c r="IPN516" s="332"/>
      <c r="IPO516" s="332"/>
      <c r="IPP516" s="332"/>
      <c r="IPQ516" s="332"/>
      <c r="IPR516" s="332"/>
      <c r="IPS516" s="332"/>
      <c r="IPT516" s="332"/>
      <c r="IPU516" s="332"/>
      <c r="IPV516" s="332"/>
      <c r="IPW516" s="332"/>
      <c r="IPX516" s="332"/>
      <c r="IPY516" s="332"/>
      <c r="IPZ516" s="332"/>
      <c r="IQA516" s="332"/>
      <c r="IQB516" s="332"/>
      <c r="IQC516" s="332"/>
      <c r="IQD516" s="332"/>
      <c r="IQE516" s="332"/>
      <c r="IQF516" s="332"/>
      <c r="IQG516" s="332"/>
      <c r="IQH516" s="332"/>
      <c r="IQI516" s="332"/>
      <c r="IQJ516" s="332"/>
      <c r="IQK516" s="332"/>
      <c r="IQL516" s="332"/>
      <c r="IQM516" s="332"/>
      <c r="IQN516" s="332"/>
      <c r="IQO516" s="332"/>
      <c r="IQP516" s="332"/>
      <c r="IQQ516" s="332"/>
      <c r="IQR516" s="332"/>
      <c r="IQS516" s="332"/>
      <c r="IQT516" s="332"/>
      <c r="IQU516" s="332"/>
      <c r="IQV516" s="332"/>
      <c r="IQW516" s="332"/>
      <c r="IQX516" s="332"/>
      <c r="IQY516" s="332"/>
      <c r="IQZ516" s="332"/>
      <c r="IRA516" s="332"/>
      <c r="IRB516" s="332"/>
      <c r="IRC516" s="332"/>
      <c r="IRD516" s="332"/>
      <c r="IRE516" s="332"/>
      <c r="IRF516" s="332"/>
      <c r="IRG516" s="332"/>
      <c r="IRH516" s="332"/>
      <c r="IRI516" s="332"/>
      <c r="IRJ516" s="332"/>
      <c r="IRK516" s="332"/>
      <c r="IRL516" s="332"/>
      <c r="IRM516" s="332"/>
      <c r="IRN516" s="332"/>
      <c r="IRO516" s="332"/>
      <c r="IRP516" s="332"/>
      <c r="IRQ516" s="332"/>
      <c r="IRR516" s="332"/>
      <c r="IRS516" s="332"/>
      <c r="IRT516" s="332"/>
      <c r="IRU516" s="332"/>
      <c r="IRV516" s="332"/>
      <c r="IRW516" s="332"/>
      <c r="IRX516" s="332"/>
      <c r="IRY516" s="332"/>
      <c r="IRZ516" s="332"/>
      <c r="ISA516" s="332"/>
      <c r="ISB516" s="332"/>
      <c r="ISC516" s="332"/>
      <c r="ISD516" s="332"/>
      <c r="ISE516" s="332"/>
      <c r="ISF516" s="332"/>
      <c r="ISG516" s="332"/>
      <c r="ISH516" s="332"/>
      <c r="ISI516" s="332"/>
      <c r="ISJ516" s="332"/>
      <c r="ISK516" s="332"/>
      <c r="ISL516" s="332"/>
      <c r="ISM516" s="332"/>
      <c r="ISN516" s="332"/>
      <c r="ISO516" s="332"/>
      <c r="ISP516" s="332"/>
      <c r="ISQ516" s="332"/>
      <c r="ISR516" s="332"/>
      <c r="ISS516" s="332"/>
      <c r="IST516" s="332"/>
      <c r="ISU516" s="332"/>
      <c r="ISV516" s="332"/>
      <c r="ISW516" s="332"/>
      <c r="ISX516" s="332"/>
      <c r="ISY516" s="332"/>
      <c r="ISZ516" s="332"/>
      <c r="ITA516" s="332"/>
      <c r="ITB516" s="332"/>
      <c r="ITC516" s="332"/>
      <c r="ITD516" s="332"/>
      <c r="ITE516" s="332"/>
      <c r="ITF516" s="332"/>
      <c r="ITG516" s="332"/>
      <c r="ITH516" s="332"/>
      <c r="ITI516" s="332"/>
      <c r="ITJ516" s="332"/>
      <c r="ITK516" s="332"/>
      <c r="ITL516" s="332"/>
      <c r="ITM516" s="332"/>
      <c r="ITN516" s="332"/>
      <c r="ITO516" s="332"/>
      <c r="ITP516" s="332"/>
      <c r="ITQ516" s="332"/>
      <c r="ITR516" s="332"/>
      <c r="ITS516" s="332"/>
      <c r="ITT516" s="332"/>
      <c r="ITU516" s="332"/>
      <c r="ITV516" s="332"/>
      <c r="ITW516" s="332"/>
      <c r="ITX516" s="332"/>
      <c r="ITY516" s="332"/>
      <c r="ITZ516" s="332"/>
      <c r="IUA516" s="332"/>
      <c r="IUB516" s="332"/>
      <c r="IUC516" s="332"/>
      <c r="IUD516" s="332"/>
      <c r="IUE516" s="332"/>
      <c r="IUF516" s="332"/>
      <c r="IUG516" s="332"/>
      <c r="IUH516" s="332"/>
      <c r="IUI516" s="332"/>
      <c r="IUJ516" s="332"/>
      <c r="IUK516" s="332"/>
      <c r="IUL516" s="332"/>
      <c r="IUM516" s="332"/>
      <c r="IUN516" s="332"/>
      <c r="IUO516" s="332"/>
      <c r="IUP516" s="332"/>
      <c r="IUQ516" s="332"/>
      <c r="IUR516" s="332"/>
      <c r="IUS516" s="332"/>
      <c r="IUT516" s="332"/>
      <c r="IUU516" s="332"/>
      <c r="IUV516" s="332"/>
      <c r="IUW516" s="332"/>
      <c r="IUX516" s="332"/>
      <c r="IUY516" s="332"/>
      <c r="IUZ516" s="332"/>
      <c r="IVA516" s="332"/>
      <c r="IVB516" s="332"/>
      <c r="IVC516" s="332"/>
      <c r="IVD516" s="332"/>
      <c r="IVE516" s="332"/>
      <c r="IVF516" s="332"/>
      <c r="IVG516" s="332"/>
      <c r="IVH516" s="332"/>
      <c r="IVI516" s="332"/>
      <c r="IVJ516" s="332"/>
      <c r="IVK516" s="332"/>
      <c r="IVL516" s="332"/>
      <c r="IVM516" s="332"/>
      <c r="IVN516" s="332"/>
      <c r="IVO516" s="332"/>
      <c r="IVP516" s="332"/>
      <c r="IVQ516" s="332"/>
      <c r="IVR516" s="332"/>
      <c r="IVS516" s="332"/>
      <c r="IVT516" s="332"/>
      <c r="IVU516" s="332"/>
      <c r="IVV516" s="332"/>
      <c r="IVW516" s="332"/>
      <c r="IVX516" s="332"/>
      <c r="IVY516" s="332"/>
      <c r="IVZ516" s="332"/>
      <c r="IWA516" s="332"/>
      <c r="IWB516" s="332"/>
      <c r="IWC516" s="332"/>
      <c r="IWD516" s="332"/>
      <c r="IWE516" s="332"/>
      <c r="IWF516" s="332"/>
      <c r="IWG516" s="332"/>
      <c r="IWH516" s="332"/>
      <c r="IWI516" s="332"/>
      <c r="IWJ516" s="332"/>
      <c r="IWK516" s="332"/>
      <c r="IWL516" s="332"/>
      <c r="IWM516" s="332"/>
      <c r="IWN516" s="332"/>
      <c r="IWO516" s="332"/>
      <c r="IWP516" s="332"/>
      <c r="IWQ516" s="332"/>
      <c r="IWR516" s="332"/>
      <c r="IWS516" s="332"/>
      <c r="IWT516" s="332"/>
      <c r="IWU516" s="332"/>
      <c r="IWV516" s="332"/>
      <c r="IWW516" s="332"/>
      <c r="IWX516" s="332"/>
      <c r="IWY516" s="332"/>
      <c r="IWZ516" s="332"/>
      <c r="IXA516" s="332"/>
      <c r="IXB516" s="332"/>
      <c r="IXC516" s="332"/>
      <c r="IXD516" s="332"/>
      <c r="IXE516" s="332"/>
      <c r="IXF516" s="332"/>
      <c r="IXG516" s="332"/>
      <c r="IXH516" s="332"/>
      <c r="IXI516" s="332"/>
      <c r="IXJ516" s="332"/>
      <c r="IXK516" s="332"/>
      <c r="IXL516" s="332"/>
      <c r="IXM516" s="332"/>
      <c r="IXN516" s="332"/>
      <c r="IXO516" s="332"/>
      <c r="IXP516" s="332"/>
      <c r="IXQ516" s="332"/>
      <c r="IXR516" s="332"/>
      <c r="IXS516" s="332"/>
      <c r="IXT516" s="332"/>
      <c r="IXU516" s="332"/>
      <c r="IXV516" s="332"/>
      <c r="IXW516" s="332"/>
      <c r="IXX516" s="332"/>
      <c r="IXY516" s="332"/>
      <c r="IXZ516" s="332"/>
      <c r="IYA516" s="332"/>
      <c r="IYB516" s="332"/>
      <c r="IYC516" s="332"/>
      <c r="IYD516" s="332"/>
      <c r="IYE516" s="332"/>
      <c r="IYF516" s="332"/>
      <c r="IYG516" s="332"/>
      <c r="IYH516" s="332"/>
      <c r="IYI516" s="332"/>
      <c r="IYJ516" s="332"/>
      <c r="IYK516" s="332"/>
      <c r="IYL516" s="332"/>
      <c r="IYM516" s="332"/>
      <c r="IYN516" s="332"/>
      <c r="IYO516" s="332"/>
      <c r="IYP516" s="332"/>
      <c r="IYQ516" s="332"/>
      <c r="IYR516" s="332"/>
      <c r="IYS516" s="332"/>
      <c r="IYT516" s="332"/>
      <c r="IYU516" s="332"/>
      <c r="IYV516" s="332"/>
      <c r="IYW516" s="332"/>
      <c r="IYX516" s="332"/>
      <c r="IYY516" s="332"/>
      <c r="IYZ516" s="332"/>
      <c r="IZA516" s="332"/>
      <c r="IZB516" s="332"/>
      <c r="IZC516" s="332"/>
      <c r="IZD516" s="332"/>
      <c r="IZE516" s="332"/>
      <c r="IZF516" s="332"/>
      <c r="IZG516" s="332"/>
      <c r="IZH516" s="332"/>
      <c r="IZI516" s="332"/>
      <c r="IZJ516" s="332"/>
      <c r="IZK516" s="332"/>
      <c r="IZL516" s="332"/>
      <c r="IZM516" s="332"/>
      <c r="IZN516" s="332"/>
      <c r="IZO516" s="332"/>
      <c r="IZP516" s="332"/>
      <c r="IZQ516" s="332"/>
      <c r="IZR516" s="332"/>
      <c r="IZS516" s="332"/>
      <c r="IZT516" s="332"/>
      <c r="IZU516" s="332"/>
      <c r="IZV516" s="332"/>
      <c r="IZW516" s="332"/>
      <c r="IZX516" s="332"/>
      <c r="IZY516" s="332"/>
      <c r="IZZ516" s="332"/>
      <c r="JAA516" s="332"/>
      <c r="JAB516" s="332"/>
      <c r="JAC516" s="332"/>
      <c r="JAD516" s="332"/>
      <c r="JAE516" s="332"/>
      <c r="JAF516" s="332"/>
      <c r="JAG516" s="332"/>
      <c r="JAH516" s="332"/>
      <c r="JAI516" s="332"/>
      <c r="JAJ516" s="332"/>
      <c r="JAK516" s="332"/>
      <c r="JAL516" s="332"/>
      <c r="JAM516" s="332"/>
      <c r="JAN516" s="332"/>
      <c r="JAO516" s="332"/>
      <c r="JAP516" s="332"/>
      <c r="JAQ516" s="332"/>
      <c r="JAR516" s="332"/>
      <c r="JAS516" s="332"/>
      <c r="JAT516" s="332"/>
      <c r="JAU516" s="332"/>
      <c r="JAV516" s="332"/>
      <c r="JAW516" s="332"/>
      <c r="JAX516" s="332"/>
      <c r="JAY516" s="332"/>
      <c r="JAZ516" s="332"/>
      <c r="JBA516" s="332"/>
      <c r="JBB516" s="332"/>
      <c r="JBC516" s="332"/>
      <c r="JBD516" s="332"/>
      <c r="JBE516" s="332"/>
      <c r="JBF516" s="332"/>
      <c r="JBG516" s="332"/>
      <c r="JBH516" s="332"/>
      <c r="JBI516" s="332"/>
      <c r="JBJ516" s="332"/>
      <c r="JBK516" s="332"/>
      <c r="JBL516" s="332"/>
      <c r="JBM516" s="332"/>
      <c r="JBN516" s="332"/>
      <c r="JBO516" s="332"/>
      <c r="JBP516" s="332"/>
      <c r="JBQ516" s="332"/>
      <c r="JBR516" s="332"/>
      <c r="JBS516" s="332"/>
      <c r="JBT516" s="332"/>
      <c r="JBU516" s="332"/>
      <c r="JBV516" s="332"/>
      <c r="JBW516" s="332"/>
      <c r="JBX516" s="332"/>
      <c r="JBY516" s="332"/>
      <c r="JBZ516" s="332"/>
      <c r="JCA516" s="332"/>
      <c r="JCB516" s="332"/>
      <c r="JCC516" s="332"/>
      <c r="JCD516" s="332"/>
      <c r="JCE516" s="332"/>
      <c r="JCF516" s="332"/>
      <c r="JCG516" s="332"/>
      <c r="JCH516" s="332"/>
      <c r="JCI516" s="332"/>
      <c r="JCJ516" s="332"/>
      <c r="JCK516" s="332"/>
      <c r="JCL516" s="332"/>
      <c r="JCM516" s="332"/>
      <c r="JCN516" s="332"/>
      <c r="JCO516" s="332"/>
      <c r="JCP516" s="332"/>
      <c r="JCQ516" s="332"/>
      <c r="JCR516" s="332"/>
      <c r="JCS516" s="332"/>
      <c r="JCT516" s="332"/>
      <c r="JCU516" s="332"/>
      <c r="JCV516" s="332"/>
      <c r="JCW516" s="332"/>
      <c r="JCX516" s="332"/>
      <c r="JCY516" s="332"/>
      <c r="JCZ516" s="332"/>
      <c r="JDA516" s="332"/>
      <c r="JDB516" s="332"/>
      <c r="JDC516" s="332"/>
      <c r="JDD516" s="332"/>
      <c r="JDE516" s="332"/>
      <c r="JDF516" s="332"/>
      <c r="JDG516" s="332"/>
      <c r="JDH516" s="332"/>
      <c r="JDI516" s="332"/>
      <c r="JDJ516" s="332"/>
      <c r="JDK516" s="332"/>
      <c r="JDL516" s="332"/>
      <c r="JDM516" s="332"/>
      <c r="JDN516" s="332"/>
      <c r="JDO516" s="332"/>
      <c r="JDP516" s="332"/>
      <c r="JDQ516" s="332"/>
      <c r="JDR516" s="332"/>
      <c r="JDS516" s="332"/>
      <c r="JDT516" s="332"/>
      <c r="JDU516" s="332"/>
      <c r="JDV516" s="332"/>
      <c r="JDW516" s="332"/>
      <c r="JDX516" s="332"/>
      <c r="JDY516" s="332"/>
      <c r="JDZ516" s="332"/>
      <c r="JEA516" s="332"/>
      <c r="JEB516" s="332"/>
      <c r="JEC516" s="332"/>
      <c r="JED516" s="332"/>
      <c r="JEE516" s="332"/>
      <c r="JEF516" s="332"/>
      <c r="JEG516" s="332"/>
      <c r="JEH516" s="332"/>
      <c r="JEI516" s="332"/>
      <c r="JEJ516" s="332"/>
      <c r="JEK516" s="332"/>
      <c r="JEL516" s="332"/>
      <c r="JEM516" s="332"/>
      <c r="JEN516" s="332"/>
      <c r="JEO516" s="332"/>
      <c r="JEP516" s="332"/>
      <c r="JEQ516" s="332"/>
      <c r="JER516" s="332"/>
      <c r="JES516" s="332"/>
      <c r="JET516" s="332"/>
      <c r="JEU516" s="332"/>
      <c r="JEV516" s="332"/>
      <c r="JEW516" s="332"/>
      <c r="JEX516" s="332"/>
      <c r="JEY516" s="332"/>
      <c r="JEZ516" s="332"/>
      <c r="JFA516" s="332"/>
      <c r="JFB516" s="332"/>
      <c r="JFC516" s="332"/>
      <c r="JFD516" s="332"/>
      <c r="JFE516" s="332"/>
      <c r="JFF516" s="332"/>
      <c r="JFG516" s="332"/>
      <c r="JFH516" s="332"/>
      <c r="JFI516" s="332"/>
      <c r="JFJ516" s="332"/>
      <c r="JFK516" s="332"/>
      <c r="JFL516" s="332"/>
      <c r="JFM516" s="332"/>
      <c r="JFN516" s="332"/>
      <c r="JFO516" s="332"/>
      <c r="JFP516" s="332"/>
      <c r="JFQ516" s="332"/>
      <c r="JFR516" s="332"/>
      <c r="JFS516" s="332"/>
      <c r="JFT516" s="332"/>
      <c r="JFU516" s="332"/>
      <c r="JFV516" s="332"/>
      <c r="JFW516" s="332"/>
      <c r="JFX516" s="332"/>
      <c r="JFY516" s="332"/>
      <c r="JFZ516" s="332"/>
      <c r="JGA516" s="332"/>
      <c r="JGB516" s="332"/>
      <c r="JGC516" s="332"/>
      <c r="JGD516" s="332"/>
      <c r="JGE516" s="332"/>
      <c r="JGF516" s="332"/>
      <c r="JGG516" s="332"/>
      <c r="JGH516" s="332"/>
      <c r="JGI516" s="332"/>
      <c r="JGJ516" s="332"/>
      <c r="JGK516" s="332"/>
      <c r="JGL516" s="332"/>
      <c r="JGM516" s="332"/>
      <c r="JGN516" s="332"/>
      <c r="JGO516" s="332"/>
      <c r="JGP516" s="332"/>
      <c r="JGQ516" s="332"/>
      <c r="JGR516" s="332"/>
      <c r="JGS516" s="332"/>
      <c r="JGT516" s="332"/>
      <c r="JGU516" s="332"/>
      <c r="JGV516" s="332"/>
      <c r="JGW516" s="332"/>
      <c r="JGX516" s="332"/>
      <c r="JGY516" s="332"/>
      <c r="JGZ516" s="332"/>
      <c r="JHA516" s="332"/>
      <c r="JHB516" s="332"/>
      <c r="JHC516" s="332"/>
      <c r="JHD516" s="332"/>
      <c r="JHE516" s="332"/>
      <c r="JHF516" s="332"/>
      <c r="JHG516" s="332"/>
      <c r="JHH516" s="332"/>
      <c r="JHI516" s="332"/>
      <c r="JHJ516" s="332"/>
      <c r="JHK516" s="332"/>
      <c r="JHL516" s="332"/>
      <c r="JHM516" s="332"/>
      <c r="JHN516" s="332"/>
      <c r="JHO516" s="332"/>
      <c r="JHP516" s="332"/>
      <c r="JHQ516" s="332"/>
      <c r="JHR516" s="332"/>
      <c r="JHS516" s="332"/>
      <c r="JHT516" s="332"/>
      <c r="JHU516" s="332"/>
      <c r="JHV516" s="332"/>
      <c r="JHW516" s="332"/>
      <c r="JHX516" s="332"/>
      <c r="JHY516" s="332"/>
      <c r="JHZ516" s="332"/>
      <c r="JIA516" s="332"/>
      <c r="JIB516" s="332"/>
      <c r="JIC516" s="332"/>
      <c r="JID516" s="332"/>
      <c r="JIE516" s="332"/>
      <c r="JIF516" s="332"/>
      <c r="JIG516" s="332"/>
      <c r="JIH516" s="332"/>
      <c r="JII516" s="332"/>
      <c r="JIJ516" s="332"/>
      <c r="JIK516" s="332"/>
      <c r="JIL516" s="332"/>
      <c r="JIM516" s="332"/>
      <c r="JIN516" s="332"/>
      <c r="JIO516" s="332"/>
      <c r="JIP516" s="332"/>
      <c r="JIQ516" s="332"/>
      <c r="JIR516" s="332"/>
      <c r="JIS516" s="332"/>
      <c r="JIT516" s="332"/>
      <c r="JIU516" s="332"/>
      <c r="JIV516" s="332"/>
      <c r="JIW516" s="332"/>
      <c r="JIX516" s="332"/>
      <c r="JIY516" s="332"/>
      <c r="JIZ516" s="332"/>
      <c r="JJA516" s="332"/>
      <c r="JJB516" s="332"/>
      <c r="JJC516" s="332"/>
      <c r="JJD516" s="332"/>
      <c r="JJE516" s="332"/>
      <c r="JJF516" s="332"/>
      <c r="JJG516" s="332"/>
      <c r="JJH516" s="332"/>
      <c r="JJI516" s="332"/>
      <c r="JJJ516" s="332"/>
      <c r="JJK516" s="332"/>
      <c r="JJL516" s="332"/>
      <c r="JJM516" s="332"/>
      <c r="JJN516" s="332"/>
      <c r="JJO516" s="332"/>
      <c r="JJP516" s="332"/>
      <c r="JJQ516" s="332"/>
      <c r="JJR516" s="332"/>
      <c r="JJS516" s="332"/>
      <c r="JJT516" s="332"/>
      <c r="JJU516" s="332"/>
      <c r="JJV516" s="332"/>
      <c r="JJW516" s="332"/>
      <c r="JJX516" s="332"/>
      <c r="JJY516" s="332"/>
      <c r="JJZ516" s="332"/>
      <c r="JKA516" s="332"/>
      <c r="JKB516" s="332"/>
      <c r="JKC516" s="332"/>
      <c r="JKD516" s="332"/>
      <c r="JKE516" s="332"/>
      <c r="JKF516" s="332"/>
      <c r="JKG516" s="332"/>
      <c r="JKH516" s="332"/>
      <c r="JKI516" s="332"/>
      <c r="JKJ516" s="332"/>
      <c r="JKK516" s="332"/>
      <c r="JKL516" s="332"/>
      <c r="JKM516" s="332"/>
      <c r="JKN516" s="332"/>
      <c r="JKO516" s="332"/>
      <c r="JKP516" s="332"/>
      <c r="JKQ516" s="332"/>
      <c r="JKR516" s="332"/>
      <c r="JKS516" s="332"/>
      <c r="JKT516" s="332"/>
      <c r="JKU516" s="332"/>
      <c r="JKV516" s="332"/>
      <c r="JKW516" s="332"/>
      <c r="JKX516" s="332"/>
      <c r="JKY516" s="332"/>
      <c r="JKZ516" s="332"/>
      <c r="JLA516" s="332"/>
      <c r="JLB516" s="332"/>
      <c r="JLC516" s="332"/>
      <c r="JLD516" s="332"/>
      <c r="JLE516" s="332"/>
      <c r="JLF516" s="332"/>
      <c r="JLG516" s="332"/>
      <c r="JLH516" s="332"/>
      <c r="JLI516" s="332"/>
      <c r="JLJ516" s="332"/>
      <c r="JLK516" s="332"/>
      <c r="JLL516" s="332"/>
      <c r="JLM516" s="332"/>
      <c r="JLN516" s="332"/>
      <c r="JLO516" s="332"/>
      <c r="JLP516" s="332"/>
      <c r="JLQ516" s="332"/>
      <c r="JLR516" s="332"/>
      <c r="JLS516" s="332"/>
      <c r="JLT516" s="332"/>
      <c r="JLU516" s="332"/>
      <c r="JLV516" s="332"/>
      <c r="JLW516" s="332"/>
      <c r="JLX516" s="332"/>
      <c r="JLY516" s="332"/>
      <c r="JLZ516" s="332"/>
      <c r="JMA516" s="332"/>
      <c r="JMB516" s="332"/>
      <c r="JMC516" s="332"/>
      <c r="JMD516" s="332"/>
      <c r="JME516" s="332"/>
      <c r="JMF516" s="332"/>
      <c r="JMG516" s="332"/>
      <c r="JMH516" s="332"/>
      <c r="JMI516" s="332"/>
      <c r="JMJ516" s="332"/>
      <c r="JMK516" s="332"/>
      <c r="JML516" s="332"/>
      <c r="JMM516" s="332"/>
      <c r="JMN516" s="332"/>
      <c r="JMO516" s="332"/>
      <c r="JMP516" s="332"/>
      <c r="JMQ516" s="332"/>
      <c r="JMR516" s="332"/>
      <c r="JMS516" s="332"/>
      <c r="JMT516" s="332"/>
      <c r="JMU516" s="332"/>
      <c r="JMV516" s="332"/>
      <c r="JMW516" s="332"/>
      <c r="JMX516" s="332"/>
      <c r="JMY516" s="332"/>
      <c r="JMZ516" s="332"/>
      <c r="JNA516" s="332"/>
      <c r="JNB516" s="332"/>
      <c r="JNC516" s="332"/>
      <c r="JND516" s="332"/>
      <c r="JNE516" s="332"/>
      <c r="JNF516" s="332"/>
      <c r="JNG516" s="332"/>
      <c r="JNH516" s="332"/>
      <c r="JNI516" s="332"/>
      <c r="JNJ516" s="332"/>
      <c r="JNK516" s="332"/>
      <c r="JNL516" s="332"/>
      <c r="JNM516" s="332"/>
      <c r="JNN516" s="332"/>
      <c r="JNO516" s="332"/>
      <c r="JNP516" s="332"/>
      <c r="JNQ516" s="332"/>
      <c r="JNR516" s="332"/>
      <c r="JNS516" s="332"/>
      <c r="JNT516" s="332"/>
      <c r="JNU516" s="332"/>
      <c r="JNV516" s="332"/>
      <c r="JNW516" s="332"/>
      <c r="JNX516" s="332"/>
      <c r="JNY516" s="332"/>
      <c r="JNZ516" s="332"/>
      <c r="JOA516" s="332"/>
      <c r="JOB516" s="332"/>
      <c r="JOC516" s="332"/>
      <c r="JOD516" s="332"/>
      <c r="JOE516" s="332"/>
      <c r="JOF516" s="332"/>
      <c r="JOG516" s="332"/>
      <c r="JOH516" s="332"/>
      <c r="JOI516" s="332"/>
      <c r="JOJ516" s="332"/>
      <c r="JOK516" s="332"/>
      <c r="JOL516" s="332"/>
      <c r="JOM516" s="332"/>
      <c r="JON516" s="332"/>
      <c r="JOO516" s="332"/>
      <c r="JOP516" s="332"/>
      <c r="JOQ516" s="332"/>
      <c r="JOR516" s="332"/>
      <c r="JOS516" s="332"/>
      <c r="JOT516" s="332"/>
      <c r="JOU516" s="332"/>
      <c r="JOV516" s="332"/>
      <c r="JOW516" s="332"/>
      <c r="JOX516" s="332"/>
      <c r="JOY516" s="332"/>
      <c r="JOZ516" s="332"/>
      <c r="JPA516" s="332"/>
      <c r="JPB516" s="332"/>
      <c r="JPC516" s="332"/>
      <c r="JPD516" s="332"/>
      <c r="JPE516" s="332"/>
      <c r="JPF516" s="332"/>
      <c r="JPG516" s="332"/>
      <c r="JPH516" s="332"/>
      <c r="JPI516" s="332"/>
      <c r="JPJ516" s="332"/>
      <c r="JPK516" s="332"/>
      <c r="JPL516" s="332"/>
      <c r="JPM516" s="332"/>
      <c r="JPN516" s="332"/>
      <c r="JPO516" s="332"/>
      <c r="JPP516" s="332"/>
      <c r="JPQ516" s="332"/>
      <c r="JPR516" s="332"/>
      <c r="JPS516" s="332"/>
      <c r="JPT516" s="332"/>
      <c r="JPU516" s="332"/>
      <c r="JPV516" s="332"/>
      <c r="JPW516" s="332"/>
      <c r="JPX516" s="332"/>
      <c r="JPY516" s="332"/>
      <c r="JPZ516" s="332"/>
      <c r="JQA516" s="332"/>
      <c r="JQB516" s="332"/>
      <c r="JQC516" s="332"/>
      <c r="JQD516" s="332"/>
      <c r="JQE516" s="332"/>
      <c r="JQF516" s="332"/>
      <c r="JQG516" s="332"/>
      <c r="JQH516" s="332"/>
      <c r="JQI516" s="332"/>
      <c r="JQJ516" s="332"/>
      <c r="JQK516" s="332"/>
      <c r="JQL516" s="332"/>
      <c r="JQM516" s="332"/>
      <c r="JQN516" s="332"/>
      <c r="JQO516" s="332"/>
      <c r="JQP516" s="332"/>
      <c r="JQQ516" s="332"/>
      <c r="JQR516" s="332"/>
      <c r="JQS516" s="332"/>
      <c r="JQT516" s="332"/>
      <c r="JQU516" s="332"/>
      <c r="JQV516" s="332"/>
      <c r="JQW516" s="332"/>
      <c r="JQX516" s="332"/>
      <c r="JQY516" s="332"/>
      <c r="JQZ516" s="332"/>
      <c r="JRA516" s="332"/>
      <c r="JRB516" s="332"/>
      <c r="JRC516" s="332"/>
      <c r="JRD516" s="332"/>
      <c r="JRE516" s="332"/>
      <c r="JRF516" s="332"/>
      <c r="JRG516" s="332"/>
      <c r="JRH516" s="332"/>
      <c r="JRI516" s="332"/>
      <c r="JRJ516" s="332"/>
      <c r="JRK516" s="332"/>
      <c r="JRL516" s="332"/>
      <c r="JRM516" s="332"/>
      <c r="JRN516" s="332"/>
      <c r="JRO516" s="332"/>
      <c r="JRP516" s="332"/>
      <c r="JRQ516" s="332"/>
      <c r="JRR516" s="332"/>
      <c r="JRS516" s="332"/>
      <c r="JRT516" s="332"/>
      <c r="JRU516" s="332"/>
      <c r="JRV516" s="332"/>
      <c r="JRW516" s="332"/>
      <c r="JRX516" s="332"/>
      <c r="JRY516" s="332"/>
      <c r="JRZ516" s="332"/>
      <c r="JSA516" s="332"/>
      <c r="JSB516" s="332"/>
      <c r="JSC516" s="332"/>
      <c r="JSD516" s="332"/>
      <c r="JSE516" s="332"/>
      <c r="JSF516" s="332"/>
      <c r="JSG516" s="332"/>
      <c r="JSH516" s="332"/>
      <c r="JSI516" s="332"/>
      <c r="JSJ516" s="332"/>
      <c r="JSK516" s="332"/>
      <c r="JSL516" s="332"/>
      <c r="JSM516" s="332"/>
      <c r="JSN516" s="332"/>
      <c r="JSO516" s="332"/>
      <c r="JSP516" s="332"/>
      <c r="JSQ516" s="332"/>
      <c r="JSR516" s="332"/>
      <c r="JSS516" s="332"/>
      <c r="JST516" s="332"/>
      <c r="JSU516" s="332"/>
      <c r="JSV516" s="332"/>
      <c r="JSW516" s="332"/>
      <c r="JSX516" s="332"/>
      <c r="JSY516" s="332"/>
      <c r="JSZ516" s="332"/>
      <c r="JTA516" s="332"/>
      <c r="JTB516" s="332"/>
      <c r="JTC516" s="332"/>
      <c r="JTD516" s="332"/>
      <c r="JTE516" s="332"/>
      <c r="JTF516" s="332"/>
      <c r="JTG516" s="332"/>
      <c r="JTH516" s="332"/>
      <c r="JTI516" s="332"/>
      <c r="JTJ516" s="332"/>
      <c r="JTK516" s="332"/>
      <c r="JTL516" s="332"/>
      <c r="JTM516" s="332"/>
      <c r="JTN516" s="332"/>
      <c r="JTO516" s="332"/>
      <c r="JTP516" s="332"/>
      <c r="JTQ516" s="332"/>
      <c r="JTR516" s="332"/>
      <c r="JTS516" s="332"/>
      <c r="JTT516" s="332"/>
      <c r="JTU516" s="332"/>
      <c r="JTV516" s="332"/>
      <c r="JTW516" s="332"/>
      <c r="JTX516" s="332"/>
      <c r="JTY516" s="332"/>
      <c r="JTZ516" s="332"/>
      <c r="JUA516" s="332"/>
      <c r="JUB516" s="332"/>
      <c r="JUC516" s="332"/>
      <c r="JUD516" s="332"/>
      <c r="JUE516" s="332"/>
      <c r="JUF516" s="332"/>
      <c r="JUG516" s="332"/>
      <c r="JUH516" s="332"/>
      <c r="JUI516" s="332"/>
      <c r="JUJ516" s="332"/>
      <c r="JUK516" s="332"/>
      <c r="JUL516" s="332"/>
      <c r="JUM516" s="332"/>
      <c r="JUN516" s="332"/>
      <c r="JUO516" s="332"/>
      <c r="JUP516" s="332"/>
      <c r="JUQ516" s="332"/>
      <c r="JUR516" s="332"/>
      <c r="JUS516" s="332"/>
      <c r="JUT516" s="332"/>
      <c r="JUU516" s="332"/>
      <c r="JUV516" s="332"/>
      <c r="JUW516" s="332"/>
      <c r="JUX516" s="332"/>
      <c r="JUY516" s="332"/>
      <c r="JUZ516" s="332"/>
      <c r="JVA516" s="332"/>
      <c r="JVB516" s="332"/>
      <c r="JVC516" s="332"/>
      <c r="JVD516" s="332"/>
      <c r="JVE516" s="332"/>
      <c r="JVF516" s="332"/>
      <c r="JVG516" s="332"/>
      <c r="JVH516" s="332"/>
      <c r="JVI516" s="332"/>
      <c r="JVJ516" s="332"/>
      <c r="JVK516" s="332"/>
      <c r="JVL516" s="332"/>
      <c r="JVM516" s="332"/>
      <c r="JVN516" s="332"/>
      <c r="JVO516" s="332"/>
      <c r="JVP516" s="332"/>
      <c r="JVQ516" s="332"/>
      <c r="JVR516" s="332"/>
      <c r="JVS516" s="332"/>
      <c r="JVT516" s="332"/>
      <c r="JVU516" s="332"/>
      <c r="JVV516" s="332"/>
      <c r="JVW516" s="332"/>
      <c r="JVX516" s="332"/>
      <c r="JVY516" s="332"/>
      <c r="JVZ516" s="332"/>
      <c r="JWA516" s="332"/>
      <c r="JWB516" s="332"/>
      <c r="JWC516" s="332"/>
      <c r="JWD516" s="332"/>
      <c r="JWE516" s="332"/>
      <c r="JWF516" s="332"/>
      <c r="JWG516" s="332"/>
      <c r="JWH516" s="332"/>
      <c r="JWI516" s="332"/>
      <c r="JWJ516" s="332"/>
      <c r="JWK516" s="332"/>
      <c r="JWL516" s="332"/>
      <c r="JWM516" s="332"/>
      <c r="JWN516" s="332"/>
      <c r="JWO516" s="332"/>
      <c r="JWP516" s="332"/>
      <c r="JWQ516" s="332"/>
      <c r="JWR516" s="332"/>
      <c r="JWS516" s="332"/>
      <c r="JWT516" s="332"/>
      <c r="JWU516" s="332"/>
      <c r="JWV516" s="332"/>
      <c r="JWW516" s="332"/>
      <c r="JWX516" s="332"/>
      <c r="JWY516" s="332"/>
      <c r="JWZ516" s="332"/>
      <c r="JXA516" s="332"/>
      <c r="JXB516" s="332"/>
      <c r="JXC516" s="332"/>
      <c r="JXD516" s="332"/>
      <c r="JXE516" s="332"/>
      <c r="JXF516" s="332"/>
      <c r="JXG516" s="332"/>
      <c r="JXH516" s="332"/>
      <c r="JXI516" s="332"/>
      <c r="JXJ516" s="332"/>
      <c r="JXK516" s="332"/>
      <c r="JXL516" s="332"/>
      <c r="JXM516" s="332"/>
      <c r="JXN516" s="332"/>
      <c r="JXO516" s="332"/>
      <c r="JXP516" s="332"/>
      <c r="JXQ516" s="332"/>
      <c r="JXR516" s="332"/>
      <c r="JXS516" s="332"/>
      <c r="JXT516" s="332"/>
      <c r="JXU516" s="332"/>
      <c r="JXV516" s="332"/>
      <c r="JXW516" s="332"/>
      <c r="JXX516" s="332"/>
      <c r="JXY516" s="332"/>
      <c r="JXZ516" s="332"/>
      <c r="JYA516" s="332"/>
      <c r="JYB516" s="332"/>
      <c r="JYC516" s="332"/>
      <c r="JYD516" s="332"/>
      <c r="JYE516" s="332"/>
      <c r="JYF516" s="332"/>
      <c r="JYG516" s="332"/>
      <c r="JYH516" s="332"/>
      <c r="JYI516" s="332"/>
      <c r="JYJ516" s="332"/>
      <c r="JYK516" s="332"/>
      <c r="JYL516" s="332"/>
      <c r="JYM516" s="332"/>
      <c r="JYN516" s="332"/>
      <c r="JYO516" s="332"/>
      <c r="JYP516" s="332"/>
      <c r="JYQ516" s="332"/>
      <c r="JYR516" s="332"/>
      <c r="JYS516" s="332"/>
      <c r="JYT516" s="332"/>
      <c r="JYU516" s="332"/>
      <c r="JYV516" s="332"/>
      <c r="JYW516" s="332"/>
      <c r="JYX516" s="332"/>
      <c r="JYY516" s="332"/>
      <c r="JYZ516" s="332"/>
      <c r="JZA516" s="332"/>
      <c r="JZB516" s="332"/>
      <c r="JZC516" s="332"/>
      <c r="JZD516" s="332"/>
      <c r="JZE516" s="332"/>
      <c r="JZF516" s="332"/>
      <c r="JZG516" s="332"/>
      <c r="JZH516" s="332"/>
      <c r="JZI516" s="332"/>
      <c r="JZJ516" s="332"/>
      <c r="JZK516" s="332"/>
      <c r="JZL516" s="332"/>
      <c r="JZM516" s="332"/>
      <c r="JZN516" s="332"/>
      <c r="JZO516" s="332"/>
      <c r="JZP516" s="332"/>
      <c r="JZQ516" s="332"/>
      <c r="JZR516" s="332"/>
      <c r="JZS516" s="332"/>
      <c r="JZT516" s="332"/>
      <c r="JZU516" s="332"/>
      <c r="JZV516" s="332"/>
      <c r="JZW516" s="332"/>
      <c r="JZX516" s="332"/>
      <c r="JZY516" s="332"/>
      <c r="JZZ516" s="332"/>
      <c r="KAA516" s="332"/>
      <c r="KAB516" s="332"/>
      <c r="KAC516" s="332"/>
      <c r="KAD516" s="332"/>
      <c r="KAE516" s="332"/>
      <c r="KAF516" s="332"/>
      <c r="KAG516" s="332"/>
      <c r="KAH516" s="332"/>
      <c r="KAI516" s="332"/>
      <c r="KAJ516" s="332"/>
      <c r="KAK516" s="332"/>
      <c r="KAL516" s="332"/>
      <c r="KAM516" s="332"/>
      <c r="KAN516" s="332"/>
      <c r="KAO516" s="332"/>
      <c r="KAP516" s="332"/>
      <c r="KAQ516" s="332"/>
      <c r="KAR516" s="332"/>
      <c r="KAS516" s="332"/>
      <c r="KAT516" s="332"/>
      <c r="KAU516" s="332"/>
      <c r="KAV516" s="332"/>
      <c r="KAW516" s="332"/>
      <c r="KAX516" s="332"/>
      <c r="KAY516" s="332"/>
      <c r="KAZ516" s="332"/>
      <c r="KBA516" s="332"/>
      <c r="KBB516" s="332"/>
      <c r="KBC516" s="332"/>
      <c r="KBD516" s="332"/>
      <c r="KBE516" s="332"/>
      <c r="KBF516" s="332"/>
      <c r="KBG516" s="332"/>
      <c r="KBH516" s="332"/>
      <c r="KBI516" s="332"/>
      <c r="KBJ516" s="332"/>
      <c r="KBK516" s="332"/>
      <c r="KBL516" s="332"/>
      <c r="KBM516" s="332"/>
      <c r="KBN516" s="332"/>
      <c r="KBO516" s="332"/>
      <c r="KBP516" s="332"/>
      <c r="KBQ516" s="332"/>
      <c r="KBR516" s="332"/>
      <c r="KBS516" s="332"/>
      <c r="KBT516" s="332"/>
      <c r="KBU516" s="332"/>
      <c r="KBV516" s="332"/>
      <c r="KBW516" s="332"/>
      <c r="KBX516" s="332"/>
      <c r="KBY516" s="332"/>
      <c r="KBZ516" s="332"/>
      <c r="KCA516" s="332"/>
      <c r="KCB516" s="332"/>
      <c r="KCC516" s="332"/>
      <c r="KCD516" s="332"/>
      <c r="KCE516" s="332"/>
      <c r="KCF516" s="332"/>
      <c r="KCG516" s="332"/>
      <c r="KCH516" s="332"/>
      <c r="KCI516" s="332"/>
      <c r="KCJ516" s="332"/>
      <c r="KCK516" s="332"/>
      <c r="KCL516" s="332"/>
      <c r="KCM516" s="332"/>
      <c r="KCN516" s="332"/>
      <c r="KCO516" s="332"/>
      <c r="KCP516" s="332"/>
      <c r="KCQ516" s="332"/>
      <c r="KCR516" s="332"/>
      <c r="KCS516" s="332"/>
      <c r="KCT516" s="332"/>
      <c r="KCU516" s="332"/>
      <c r="KCV516" s="332"/>
      <c r="KCW516" s="332"/>
      <c r="KCX516" s="332"/>
      <c r="KCY516" s="332"/>
      <c r="KCZ516" s="332"/>
      <c r="KDA516" s="332"/>
      <c r="KDB516" s="332"/>
      <c r="KDC516" s="332"/>
      <c r="KDD516" s="332"/>
      <c r="KDE516" s="332"/>
      <c r="KDF516" s="332"/>
      <c r="KDG516" s="332"/>
      <c r="KDH516" s="332"/>
      <c r="KDI516" s="332"/>
      <c r="KDJ516" s="332"/>
      <c r="KDK516" s="332"/>
      <c r="KDL516" s="332"/>
      <c r="KDM516" s="332"/>
      <c r="KDN516" s="332"/>
      <c r="KDO516" s="332"/>
      <c r="KDP516" s="332"/>
      <c r="KDQ516" s="332"/>
      <c r="KDR516" s="332"/>
      <c r="KDS516" s="332"/>
      <c r="KDT516" s="332"/>
      <c r="KDU516" s="332"/>
      <c r="KDV516" s="332"/>
      <c r="KDW516" s="332"/>
      <c r="KDX516" s="332"/>
      <c r="KDY516" s="332"/>
      <c r="KDZ516" s="332"/>
      <c r="KEA516" s="332"/>
      <c r="KEB516" s="332"/>
      <c r="KEC516" s="332"/>
      <c r="KED516" s="332"/>
      <c r="KEE516" s="332"/>
      <c r="KEF516" s="332"/>
      <c r="KEG516" s="332"/>
      <c r="KEH516" s="332"/>
      <c r="KEI516" s="332"/>
      <c r="KEJ516" s="332"/>
      <c r="KEK516" s="332"/>
      <c r="KEL516" s="332"/>
      <c r="KEM516" s="332"/>
      <c r="KEN516" s="332"/>
      <c r="KEO516" s="332"/>
      <c r="KEP516" s="332"/>
      <c r="KEQ516" s="332"/>
      <c r="KER516" s="332"/>
      <c r="KES516" s="332"/>
      <c r="KET516" s="332"/>
      <c r="KEU516" s="332"/>
      <c r="KEV516" s="332"/>
      <c r="KEW516" s="332"/>
      <c r="KEX516" s="332"/>
      <c r="KEY516" s="332"/>
      <c r="KEZ516" s="332"/>
      <c r="KFA516" s="332"/>
      <c r="KFB516" s="332"/>
      <c r="KFC516" s="332"/>
      <c r="KFD516" s="332"/>
      <c r="KFE516" s="332"/>
      <c r="KFF516" s="332"/>
      <c r="KFG516" s="332"/>
      <c r="KFH516" s="332"/>
      <c r="KFI516" s="332"/>
      <c r="KFJ516" s="332"/>
      <c r="KFK516" s="332"/>
      <c r="KFL516" s="332"/>
      <c r="KFM516" s="332"/>
      <c r="KFN516" s="332"/>
      <c r="KFO516" s="332"/>
      <c r="KFP516" s="332"/>
      <c r="KFQ516" s="332"/>
      <c r="KFR516" s="332"/>
      <c r="KFS516" s="332"/>
      <c r="KFT516" s="332"/>
      <c r="KFU516" s="332"/>
      <c r="KFV516" s="332"/>
      <c r="KFW516" s="332"/>
      <c r="KFX516" s="332"/>
      <c r="KFY516" s="332"/>
      <c r="KFZ516" s="332"/>
      <c r="KGA516" s="332"/>
      <c r="KGB516" s="332"/>
      <c r="KGC516" s="332"/>
      <c r="KGD516" s="332"/>
      <c r="KGE516" s="332"/>
      <c r="KGF516" s="332"/>
      <c r="KGG516" s="332"/>
      <c r="KGH516" s="332"/>
      <c r="KGI516" s="332"/>
      <c r="KGJ516" s="332"/>
      <c r="KGK516" s="332"/>
      <c r="KGL516" s="332"/>
      <c r="KGM516" s="332"/>
      <c r="KGN516" s="332"/>
      <c r="KGO516" s="332"/>
      <c r="KGP516" s="332"/>
      <c r="KGQ516" s="332"/>
      <c r="KGR516" s="332"/>
      <c r="KGS516" s="332"/>
      <c r="KGT516" s="332"/>
      <c r="KGU516" s="332"/>
      <c r="KGV516" s="332"/>
      <c r="KGW516" s="332"/>
      <c r="KGX516" s="332"/>
      <c r="KGY516" s="332"/>
      <c r="KGZ516" s="332"/>
      <c r="KHA516" s="332"/>
      <c r="KHB516" s="332"/>
      <c r="KHC516" s="332"/>
      <c r="KHD516" s="332"/>
      <c r="KHE516" s="332"/>
      <c r="KHF516" s="332"/>
      <c r="KHG516" s="332"/>
      <c r="KHH516" s="332"/>
      <c r="KHI516" s="332"/>
      <c r="KHJ516" s="332"/>
      <c r="KHK516" s="332"/>
      <c r="KHL516" s="332"/>
      <c r="KHM516" s="332"/>
      <c r="KHN516" s="332"/>
      <c r="KHO516" s="332"/>
      <c r="KHP516" s="332"/>
      <c r="KHQ516" s="332"/>
      <c r="KHR516" s="332"/>
      <c r="KHS516" s="332"/>
      <c r="KHT516" s="332"/>
      <c r="KHU516" s="332"/>
      <c r="KHV516" s="332"/>
      <c r="KHW516" s="332"/>
      <c r="KHX516" s="332"/>
      <c r="KHY516" s="332"/>
      <c r="KHZ516" s="332"/>
      <c r="KIA516" s="332"/>
      <c r="KIB516" s="332"/>
      <c r="KIC516" s="332"/>
      <c r="KID516" s="332"/>
      <c r="KIE516" s="332"/>
      <c r="KIF516" s="332"/>
      <c r="KIG516" s="332"/>
      <c r="KIH516" s="332"/>
      <c r="KII516" s="332"/>
      <c r="KIJ516" s="332"/>
      <c r="KIK516" s="332"/>
      <c r="KIL516" s="332"/>
      <c r="KIM516" s="332"/>
      <c r="KIN516" s="332"/>
      <c r="KIO516" s="332"/>
      <c r="KIP516" s="332"/>
      <c r="KIQ516" s="332"/>
      <c r="KIR516" s="332"/>
      <c r="KIS516" s="332"/>
      <c r="KIT516" s="332"/>
      <c r="KIU516" s="332"/>
      <c r="KIV516" s="332"/>
      <c r="KIW516" s="332"/>
      <c r="KIX516" s="332"/>
      <c r="KIY516" s="332"/>
      <c r="KIZ516" s="332"/>
      <c r="KJA516" s="332"/>
      <c r="KJB516" s="332"/>
      <c r="KJC516" s="332"/>
      <c r="KJD516" s="332"/>
      <c r="KJE516" s="332"/>
      <c r="KJF516" s="332"/>
      <c r="KJG516" s="332"/>
      <c r="KJH516" s="332"/>
      <c r="KJI516" s="332"/>
      <c r="KJJ516" s="332"/>
      <c r="KJK516" s="332"/>
      <c r="KJL516" s="332"/>
      <c r="KJM516" s="332"/>
      <c r="KJN516" s="332"/>
      <c r="KJO516" s="332"/>
      <c r="KJP516" s="332"/>
      <c r="KJQ516" s="332"/>
      <c r="KJR516" s="332"/>
      <c r="KJS516" s="332"/>
      <c r="KJT516" s="332"/>
      <c r="KJU516" s="332"/>
      <c r="KJV516" s="332"/>
      <c r="KJW516" s="332"/>
      <c r="KJX516" s="332"/>
      <c r="KJY516" s="332"/>
      <c r="KJZ516" s="332"/>
      <c r="KKA516" s="332"/>
      <c r="KKB516" s="332"/>
      <c r="KKC516" s="332"/>
      <c r="KKD516" s="332"/>
      <c r="KKE516" s="332"/>
      <c r="KKF516" s="332"/>
      <c r="KKG516" s="332"/>
      <c r="KKH516" s="332"/>
      <c r="KKI516" s="332"/>
      <c r="KKJ516" s="332"/>
      <c r="KKK516" s="332"/>
      <c r="KKL516" s="332"/>
      <c r="KKM516" s="332"/>
      <c r="KKN516" s="332"/>
      <c r="KKO516" s="332"/>
      <c r="KKP516" s="332"/>
      <c r="KKQ516" s="332"/>
      <c r="KKR516" s="332"/>
      <c r="KKS516" s="332"/>
      <c r="KKT516" s="332"/>
      <c r="KKU516" s="332"/>
      <c r="KKV516" s="332"/>
      <c r="KKW516" s="332"/>
      <c r="KKX516" s="332"/>
      <c r="KKY516" s="332"/>
      <c r="KKZ516" s="332"/>
      <c r="KLA516" s="332"/>
      <c r="KLB516" s="332"/>
      <c r="KLC516" s="332"/>
      <c r="KLD516" s="332"/>
      <c r="KLE516" s="332"/>
      <c r="KLF516" s="332"/>
      <c r="KLG516" s="332"/>
      <c r="KLH516" s="332"/>
      <c r="KLI516" s="332"/>
      <c r="KLJ516" s="332"/>
      <c r="KLK516" s="332"/>
      <c r="KLL516" s="332"/>
      <c r="KLM516" s="332"/>
      <c r="KLN516" s="332"/>
      <c r="KLO516" s="332"/>
      <c r="KLP516" s="332"/>
      <c r="KLQ516" s="332"/>
      <c r="KLR516" s="332"/>
      <c r="KLS516" s="332"/>
      <c r="KLT516" s="332"/>
      <c r="KLU516" s="332"/>
      <c r="KLV516" s="332"/>
      <c r="KLW516" s="332"/>
      <c r="KLX516" s="332"/>
      <c r="KLY516" s="332"/>
      <c r="KLZ516" s="332"/>
      <c r="KMA516" s="332"/>
      <c r="KMB516" s="332"/>
      <c r="KMC516" s="332"/>
      <c r="KMD516" s="332"/>
      <c r="KME516" s="332"/>
      <c r="KMF516" s="332"/>
      <c r="KMG516" s="332"/>
      <c r="KMH516" s="332"/>
      <c r="KMI516" s="332"/>
      <c r="KMJ516" s="332"/>
      <c r="KMK516" s="332"/>
      <c r="KML516" s="332"/>
      <c r="KMM516" s="332"/>
      <c r="KMN516" s="332"/>
      <c r="KMO516" s="332"/>
      <c r="KMP516" s="332"/>
      <c r="KMQ516" s="332"/>
      <c r="KMR516" s="332"/>
      <c r="KMS516" s="332"/>
      <c r="KMT516" s="332"/>
      <c r="KMU516" s="332"/>
      <c r="KMV516" s="332"/>
      <c r="KMW516" s="332"/>
      <c r="KMX516" s="332"/>
      <c r="KMY516" s="332"/>
      <c r="KMZ516" s="332"/>
      <c r="KNA516" s="332"/>
      <c r="KNB516" s="332"/>
      <c r="KNC516" s="332"/>
      <c r="KND516" s="332"/>
      <c r="KNE516" s="332"/>
      <c r="KNF516" s="332"/>
      <c r="KNG516" s="332"/>
      <c r="KNH516" s="332"/>
      <c r="KNI516" s="332"/>
      <c r="KNJ516" s="332"/>
      <c r="KNK516" s="332"/>
      <c r="KNL516" s="332"/>
      <c r="KNM516" s="332"/>
      <c r="KNN516" s="332"/>
      <c r="KNO516" s="332"/>
      <c r="KNP516" s="332"/>
      <c r="KNQ516" s="332"/>
      <c r="KNR516" s="332"/>
      <c r="KNS516" s="332"/>
      <c r="KNT516" s="332"/>
      <c r="KNU516" s="332"/>
      <c r="KNV516" s="332"/>
      <c r="KNW516" s="332"/>
      <c r="KNX516" s="332"/>
      <c r="KNY516" s="332"/>
      <c r="KNZ516" s="332"/>
      <c r="KOA516" s="332"/>
      <c r="KOB516" s="332"/>
      <c r="KOC516" s="332"/>
      <c r="KOD516" s="332"/>
      <c r="KOE516" s="332"/>
      <c r="KOF516" s="332"/>
      <c r="KOG516" s="332"/>
      <c r="KOH516" s="332"/>
      <c r="KOI516" s="332"/>
      <c r="KOJ516" s="332"/>
      <c r="KOK516" s="332"/>
      <c r="KOL516" s="332"/>
      <c r="KOM516" s="332"/>
      <c r="KON516" s="332"/>
      <c r="KOO516" s="332"/>
      <c r="KOP516" s="332"/>
      <c r="KOQ516" s="332"/>
      <c r="KOR516" s="332"/>
      <c r="KOS516" s="332"/>
      <c r="KOT516" s="332"/>
      <c r="KOU516" s="332"/>
      <c r="KOV516" s="332"/>
      <c r="KOW516" s="332"/>
      <c r="KOX516" s="332"/>
      <c r="KOY516" s="332"/>
      <c r="KOZ516" s="332"/>
      <c r="KPA516" s="332"/>
      <c r="KPB516" s="332"/>
      <c r="KPC516" s="332"/>
      <c r="KPD516" s="332"/>
      <c r="KPE516" s="332"/>
      <c r="KPF516" s="332"/>
      <c r="KPG516" s="332"/>
      <c r="KPH516" s="332"/>
      <c r="KPI516" s="332"/>
      <c r="KPJ516" s="332"/>
      <c r="KPK516" s="332"/>
      <c r="KPL516" s="332"/>
      <c r="KPM516" s="332"/>
      <c r="KPN516" s="332"/>
      <c r="KPO516" s="332"/>
      <c r="KPP516" s="332"/>
      <c r="KPQ516" s="332"/>
      <c r="KPR516" s="332"/>
      <c r="KPS516" s="332"/>
      <c r="KPT516" s="332"/>
      <c r="KPU516" s="332"/>
      <c r="KPV516" s="332"/>
      <c r="KPW516" s="332"/>
      <c r="KPX516" s="332"/>
      <c r="KPY516" s="332"/>
      <c r="KPZ516" s="332"/>
      <c r="KQA516" s="332"/>
      <c r="KQB516" s="332"/>
      <c r="KQC516" s="332"/>
      <c r="KQD516" s="332"/>
      <c r="KQE516" s="332"/>
      <c r="KQF516" s="332"/>
      <c r="KQG516" s="332"/>
      <c r="KQH516" s="332"/>
      <c r="KQI516" s="332"/>
      <c r="KQJ516" s="332"/>
      <c r="KQK516" s="332"/>
      <c r="KQL516" s="332"/>
      <c r="KQM516" s="332"/>
      <c r="KQN516" s="332"/>
      <c r="KQO516" s="332"/>
      <c r="KQP516" s="332"/>
      <c r="KQQ516" s="332"/>
      <c r="KQR516" s="332"/>
      <c r="KQS516" s="332"/>
      <c r="KQT516" s="332"/>
      <c r="KQU516" s="332"/>
      <c r="KQV516" s="332"/>
      <c r="KQW516" s="332"/>
      <c r="KQX516" s="332"/>
      <c r="KQY516" s="332"/>
      <c r="KQZ516" s="332"/>
      <c r="KRA516" s="332"/>
      <c r="KRB516" s="332"/>
      <c r="KRC516" s="332"/>
      <c r="KRD516" s="332"/>
      <c r="KRE516" s="332"/>
      <c r="KRF516" s="332"/>
      <c r="KRG516" s="332"/>
      <c r="KRH516" s="332"/>
      <c r="KRI516" s="332"/>
      <c r="KRJ516" s="332"/>
      <c r="KRK516" s="332"/>
      <c r="KRL516" s="332"/>
      <c r="KRM516" s="332"/>
      <c r="KRN516" s="332"/>
      <c r="KRO516" s="332"/>
      <c r="KRP516" s="332"/>
      <c r="KRQ516" s="332"/>
      <c r="KRR516" s="332"/>
      <c r="KRS516" s="332"/>
      <c r="KRT516" s="332"/>
      <c r="KRU516" s="332"/>
      <c r="KRV516" s="332"/>
      <c r="KRW516" s="332"/>
      <c r="KRX516" s="332"/>
      <c r="KRY516" s="332"/>
      <c r="KRZ516" s="332"/>
      <c r="KSA516" s="332"/>
      <c r="KSB516" s="332"/>
      <c r="KSC516" s="332"/>
      <c r="KSD516" s="332"/>
      <c r="KSE516" s="332"/>
      <c r="KSF516" s="332"/>
      <c r="KSG516" s="332"/>
      <c r="KSH516" s="332"/>
      <c r="KSI516" s="332"/>
      <c r="KSJ516" s="332"/>
      <c r="KSK516" s="332"/>
      <c r="KSL516" s="332"/>
      <c r="KSM516" s="332"/>
      <c r="KSN516" s="332"/>
      <c r="KSO516" s="332"/>
      <c r="KSP516" s="332"/>
      <c r="KSQ516" s="332"/>
      <c r="KSR516" s="332"/>
      <c r="KSS516" s="332"/>
      <c r="KST516" s="332"/>
      <c r="KSU516" s="332"/>
      <c r="KSV516" s="332"/>
      <c r="KSW516" s="332"/>
      <c r="KSX516" s="332"/>
      <c r="KSY516" s="332"/>
      <c r="KSZ516" s="332"/>
      <c r="KTA516" s="332"/>
      <c r="KTB516" s="332"/>
      <c r="KTC516" s="332"/>
      <c r="KTD516" s="332"/>
      <c r="KTE516" s="332"/>
      <c r="KTF516" s="332"/>
      <c r="KTG516" s="332"/>
      <c r="KTH516" s="332"/>
      <c r="KTI516" s="332"/>
      <c r="KTJ516" s="332"/>
      <c r="KTK516" s="332"/>
      <c r="KTL516" s="332"/>
      <c r="KTM516" s="332"/>
      <c r="KTN516" s="332"/>
      <c r="KTO516" s="332"/>
      <c r="KTP516" s="332"/>
      <c r="KTQ516" s="332"/>
      <c r="KTR516" s="332"/>
      <c r="KTS516" s="332"/>
      <c r="KTT516" s="332"/>
      <c r="KTU516" s="332"/>
      <c r="KTV516" s="332"/>
      <c r="KTW516" s="332"/>
      <c r="KTX516" s="332"/>
      <c r="KTY516" s="332"/>
      <c r="KTZ516" s="332"/>
      <c r="KUA516" s="332"/>
      <c r="KUB516" s="332"/>
      <c r="KUC516" s="332"/>
      <c r="KUD516" s="332"/>
      <c r="KUE516" s="332"/>
      <c r="KUF516" s="332"/>
      <c r="KUG516" s="332"/>
      <c r="KUH516" s="332"/>
      <c r="KUI516" s="332"/>
      <c r="KUJ516" s="332"/>
      <c r="KUK516" s="332"/>
      <c r="KUL516" s="332"/>
      <c r="KUM516" s="332"/>
      <c r="KUN516" s="332"/>
      <c r="KUO516" s="332"/>
      <c r="KUP516" s="332"/>
      <c r="KUQ516" s="332"/>
      <c r="KUR516" s="332"/>
      <c r="KUS516" s="332"/>
      <c r="KUT516" s="332"/>
      <c r="KUU516" s="332"/>
      <c r="KUV516" s="332"/>
      <c r="KUW516" s="332"/>
      <c r="KUX516" s="332"/>
      <c r="KUY516" s="332"/>
      <c r="KUZ516" s="332"/>
      <c r="KVA516" s="332"/>
      <c r="KVB516" s="332"/>
      <c r="KVC516" s="332"/>
      <c r="KVD516" s="332"/>
      <c r="KVE516" s="332"/>
      <c r="KVF516" s="332"/>
      <c r="KVG516" s="332"/>
      <c r="KVH516" s="332"/>
      <c r="KVI516" s="332"/>
      <c r="KVJ516" s="332"/>
      <c r="KVK516" s="332"/>
      <c r="KVL516" s="332"/>
      <c r="KVM516" s="332"/>
      <c r="KVN516" s="332"/>
      <c r="KVO516" s="332"/>
      <c r="KVP516" s="332"/>
      <c r="KVQ516" s="332"/>
      <c r="KVR516" s="332"/>
      <c r="KVS516" s="332"/>
      <c r="KVT516" s="332"/>
      <c r="KVU516" s="332"/>
      <c r="KVV516" s="332"/>
      <c r="KVW516" s="332"/>
      <c r="KVX516" s="332"/>
      <c r="KVY516" s="332"/>
      <c r="KVZ516" s="332"/>
      <c r="KWA516" s="332"/>
      <c r="KWB516" s="332"/>
      <c r="KWC516" s="332"/>
      <c r="KWD516" s="332"/>
      <c r="KWE516" s="332"/>
      <c r="KWF516" s="332"/>
      <c r="KWG516" s="332"/>
      <c r="KWH516" s="332"/>
      <c r="KWI516" s="332"/>
      <c r="KWJ516" s="332"/>
      <c r="KWK516" s="332"/>
      <c r="KWL516" s="332"/>
      <c r="KWM516" s="332"/>
      <c r="KWN516" s="332"/>
      <c r="KWO516" s="332"/>
      <c r="KWP516" s="332"/>
      <c r="KWQ516" s="332"/>
      <c r="KWR516" s="332"/>
      <c r="KWS516" s="332"/>
      <c r="KWT516" s="332"/>
      <c r="KWU516" s="332"/>
      <c r="KWV516" s="332"/>
      <c r="KWW516" s="332"/>
      <c r="KWX516" s="332"/>
      <c r="KWY516" s="332"/>
      <c r="KWZ516" s="332"/>
      <c r="KXA516" s="332"/>
      <c r="KXB516" s="332"/>
      <c r="KXC516" s="332"/>
      <c r="KXD516" s="332"/>
      <c r="KXE516" s="332"/>
      <c r="KXF516" s="332"/>
      <c r="KXG516" s="332"/>
      <c r="KXH516" s="332"/>
      <c r="KXI516" s="332"/>
      <c r="KXJ516" s="332"/>
      <c r="KXK516" s="332"/>
      <c r="KXL516" s="332"/>
      <c r="KXM516" s="332"/>
      <c r="KXN516" s="332"/>
      <c r="KXO516" s="332"/>
      <c r="KXP516" s="332"/>
      <c r="KXQ516" s="332"/>
      <c r="KXR516" s="332"/>
      <c r="KXS516" s="332"/>
      <c r="KXT516" s="332"/>
      <c r="KXU516" s="332"/>
      <c r="KXV516" s="332"/>
      <c r="KXW516" s="332"/>
      <c r="KXX516" s="332"/>
      <c r="KXY516" s="332"/>
      <c r="KXZ516" s="332"/>
      <c r="KYA516" s="332"/>
      <c r="KYB516" s="332"/>
      <c r="KYC516" s="332"/>
      <c r="KYD516" s="332"/>
      <c r="KYE516" s="332"/>
      <c r="KYF516" s="332"/>
      <c r="KYG516" s="332"/>
      <c r="KYH516" s="332"/>
      <c r="KYI516" s="332"/>
      <c r="KYJ516" s="332"/>
      <c r="KYK516" s="332"/>
      <c r="KYL516" s="332"/>
      <c r="KYM516" s="332"/>
      <c r="KYN516" s="332"/>
      <c r="KYO516" s="332"/>
      <c r="KYP516" s="332"/>
      <c r="KYQ516" s="332"/>
      <c r="KYR516" s="332"/>
      <c r="KYS516" s="332"/>
      <c r="KYT516" s="332"/>
      <c r="KYU516" s="332"/>
      <c r="KYV516" s="332"/>
      <c r="KYW516" s="332"/>
      <c r="KYX516" s="332"/>
      <c r="KYY516" s="332"/>
      <c r="KYZ516" s="332"/>
      <c r="KZA516" s="332"/>
      <c r="KZB516" s="332"/>
      <c r="KZC516" s="332"/>
      <c r="KZD516" s="332"/>
      <c r="KZE516" s="332"/>
      <c r="KZF516" s="332"/>
      <c r="KZG516" s="332"/>
      <c r="KZH516" s="332"/>
      <c r="KZI516" s="332"/>
      <c r="KZJ516" s="332"/>
      <c r="KZK516" s="332"/>
      <c r="KZL516" s="332"/>
      <c r="KZM516" s="332"/>
      <c r="KZN516" s="332"/>
      <c r="KZO516" s="332"/>
      <c r="KZP516" s="332"/>
      <c r="KZQ516" s="332"/>
      <c r="KZR516" s="332"/>
      <c r="KZS516" s="332"/>
      <c r="KZT516" s="332"/>
      <c r="KZU516" s="332"/>
      <c r="KZV516" s="332"/>
      <c r="KZW516" s="332"/>
      <c r="KZX516" s="332"/>
      <c r="KZY516" s="332"/>
      <c r="KZZ516" s="332"/>
      <c r="LAA516" s="332"/>
      <c r="LAB516" s="332"/>
      <c r="LAC516" s="332"/>
      <c r="LAD516" s="332"/>
      <c r="LAE516" s="332"/>
      <c r="LAF516" s="332"/>
      <c r="LAG516" s="332"/>
      <c r="LAH516" s="332"/>
      <c r="LAI516" s="332"/>
      <c r="LAJ516" s="332"/>
      <c r="LAK516" s="332"/>
      <c r="LAL516" s="332"/>
      <c r="LAM516" s="332"/>
      <c r="LAN516" s="332"/>
      <c r="LAO516" s="332"/>
      <c r="LAP516" s="332"/>
      <c r="LAQ516" s="332"/>
      <c r="LAR516" s="332"/>
      <c r="LAS516" s="332"/>
      <c r="LAT516" s="332"/>
      <c r="LAU516" s="332"/>
      <c r="LAV516" s="332"/>
      <c r="LAW516" s="332"/>
      <c r="LAX516" s="332"/>
      <c r="LAY516" s="332"/>
      <c r="LAZ516" s="332"/>
      <c r="LBA516" s="332"/>
      <c r="LBB516" s="332"/>
      <c r="LBC516" s="332"/>
      <c r="LBD516" s="332"/>
      <c r="LBE516" s="332"/>
      <c r="LBF516" s="332"/>
      <c r="LBG516" s="332"/>
      <c r="LBH516" s="332"/>
      <c r="LBI516" s="332"/>
      <c r="LBJ516" s="332"/>
      <c r="LBK516" s="332"/>
      <c r="LBL516" s="332"/>
      <c r="LBM516" s="332"/>
      <c r="LBN516" s="332"/>
      <c r="LBO516" s="332"/>
      <c r="LBP516" s="332"/>
      <c r="LBQ516" s="332"/>
      <c r="LBR516" s="332"/>
      <c r="LBS516" s="332"/>
      <c r="LBT516" s="332"/>
      <c r="LBU516" s="332"/>
      <c r="LBV516" s="332"/>
      <c r="LBW516" s="332"/>
      <c r="LBX516" s="332"/>
      <c r="LBY516" s="332"/>
      <c r="LBZ516" s="332"/>
      <c r="LCA516" s="332"/>
      <c r="LCB516" s="332"/>
      <c r="LCC516" s="332"/>
      <c r="LCD516" s="332"/>
      <c r="LCE516" s="332"/>
      <c r="LCF516" s="332"/>
      <c r="LCG516" s="332"/>
      <c r="LCH516" s="332"/>
      <c r="LCI516" s="332"/>
      <c r="LCJ516" s="332"/>
      <c r="LCK516" s="332"/>
      <c r="LCL516" s="332"/>
      <c r="LCM516" s="332"/>
      <c r="LCN516" s="332"/>
      <c r="LCO516" s="332"/>
      <c r="LCP516" s="332"/>
      <c r="LCQ516" s="332"/>
      <c r="LCR516" s="332"/>
      <c r="LCS516" s="332"/>
      <c r="LCT516" s="332"/>
      <c r="LCU516" s="332"/>
      <c r="LCV516" s="332"/>
      <c r="LCW516" s="332"/>
      <c r="LCX516" s="332"/>
      <c r="LCY516" s="332"/>
      <c r="LCZ516" s="332"/>
      <c r="LDA516" s="332"/>
      <c r="LDB516" s="332"/>
      <c r="LDC516" s="332"/>
      <c r="LDD516" s="332"/>
      <c r="LDE516" s="332"/>
      <c r="LDF516" s="332"/>
      <c r="LDG516" s="332"/>
      <c r="LDH516" s="332"/>
      <c r="LDI516" s="332"/>
      <c r="LDJ516" s="332"/>
      <c r="LDK516" s="332"/>
      <c r="LDL516" s="332"/>
      <c r="LDM516" s="332"/>
      <c r="LDN516" s="332"/>
      <c r="LDO516" s="332"/>
      <c r="LDP516" s="332"/>
      <c r="LDQ516" s="332"/>
      <c r="LDR516" s="332"/>
      <c r="LDS516" s="332"/>
      <c r="LDT516" s="332"/>
      <c r="LDU516" s="332"/>
      <c r="LDV516" s="332"/>
      <c r="LDW516" s="332"/>
      <c r="LDX516" s="332"/>
      <c r="LDY516" s="332"/>
      <c r="LDZ516" s="332"/>
      <c r="LEA516" s="332"/>
      <c r="LEB516" s="332"/>
      <c r="LEC516" s="332"/>
      <c r="LED516" s="332"/>
      <c r="LEE516" s="332"/>
      <c r="LEF516" s="332"/>
      <c r="LEG516" s="332"/>
      <c r="LEH516" s="332"/>
      <c r="LEI516" s="332"/>
      <c r="LEJ516" s="332"/>
      <c r="LEK516" s="332"/>
      <c r="LEL516" s="332"/>
      <c r="LEM516" s="332"/>
      <c r="LEN516" s="332"/>
      <c r="LEO516" s="332"/>
      <c r="LEP516" s="332"/>
      <c r="LEQ516" s="332"/>
      <c r="LER516" s="332"/>
      <c r="LES516" s="332"/>
      <c r="LET516" s="332"/>
      <c r="LEU516" s="332"/>
      <c r="LEV516" s="332"/>
      <c r="LEW516" s="332"/>
      <c r="LEX516" s="332"/>
      <c r="LEY516" s="332"/>
      <c r="LEZ516" s="332"/>
      <c r="LFA516" s="332"/>
      <c r="LFB516" s="332"/>
      <c r="LFC516" s="332"/>
      <c r="LFD516" s="332"/>
      <c r="LFE516" s="332"/>
      <c r="LFF516" s="332"/>
      <c r="LFG516" s="332"/>
      <c r="LFH516" s="332"/>
      <c r="LFI516" s="332"/>
      <c r="LFJ516" s="332"/>
      <c r="LFK516" s="332"/>
      <c r="LFL516" s="332"/>
      <c r="LFM516" s="332"/>
      <c r="LFN516" s="332"/>
      <c r="LFO516" s="332"/>
      <c r="LFP516" s="332"/>
      <c r="LFQ516" s="332"/>
      <c r="LFR516" s="332"/>
      <c r="LFS516" s="332"/>
      <c r="LFT516" s="332"/>
      <c r="LFU516" s="332"/>
      <c r="LFV516" s="332"/>
      <c r="LFW516" s="332"/>
      <c r="LFX516" s="332"/>
      <c r="LFY516" s="332"/>
      <c r="LFZ516" s="332"/>
      <c r="LGA516" s="332"/>
      <c r="LGB516" s="332"/>
      <c r="LGC516" s="332"/>
      <c r="LGD516" s="332"/>
      <c r="LGE516" s="332"/>
      <c r="LGF516" s="332"/>
      <c r="LGG516" s="332"/>
      <c r="LGH516" s="332"/>
      <c r="LGI516" s="332"/>
      <c r="LGJ516" s="332"/>
      <c r="LGK516" s="332"/>
      <c r="LGL516" s="332"/>
      <c r="LGM516" s="332"/>
      <c r="LGN516" s="332"/>
      <c r="LGO516" s="332"/>
      <c r="LGP516" s="332"/>
      <c r="LGQ516" s="332"/>
      <c r="LGR516" s="332"/>
      <c r="LGS516" s="332"/>
      <c r="LGT516" s="332"/>
      <c r="LGU516" s="332"/>
      <c r="LGV516" s="332"/>
      <c r="LGW516" s="332"/>
      <c r="LGX516" s="332"/>
      <c r="LGY516" s="332"/>
      <c r="LGZ516" s="332"/>
      <c r="LHA516" s="332"/>
      <c r="LHB516" s="332"/>
      <c r="LHC516" s="332"/>
      <c r="LHD516" s="332"/>
      <c r="LHE516" s="332"/>
      <c r="LHF516" s="332"/>
      <c r="LHG516" s="332"/>
      <c r="LHH516" s="332"/>
      <c r="LHI516" s="332"/>
      <c r="LHJ516" s="332"/>
      <c r="LHK516" s="332"/>
      <c r="LHL516" s="332"/>
      <c r="LHM516" s="332"/>
      <c r="LHN516" s="332"/>
      <c r="LHO516" s="332"/>
      <c r="LHP516" s="332"/>
      <c r="LHQ516" s="332"/>
      <c r="LHR516" s="332"/>
      <c r="LHS516" s="332"/>
      <c r="LHT516" s="332"/>
      <c r="LHU516" s="332"/>
      <c r="LHV516" s="332"/>
      <c r="LHW516" s="332"/>
      <c r="LHX516" s="332"/>
      <c r="LHY516" s="332"/>
      <c r="LHZ516" s="332"/>
      <c r="LIA516" s="332"/>
      <c r="LIB516" s="332"/>
      <c r="LIC516" s="332"/>
      <c r="LID516" s="332"/>
      <c r="LIE516" s="332"/>
      <c r="LIF516" s="332"/>
      <c r="LIG516" s="332"/>
      <c r="LIH516" s="332"/>
      <c r="LII516" s="332"/>
      <c r="LIJ516" s="332"/>
      <c r="LIK516" s="332"/>
      <c r="LIL516" s="332"/>
      <c r="LIM516" s="332"/>
      <c r="LIN516" s="332"/>
      <c r="LIO516" s="332"/>
      <c r="LIP516" s="332"/>
      <c r="LIQ516" s="332"/>
      <c r="LIR516" s="332"/>
      <c r="LIS516" s="332"/>
      <c r="LIT516" s="332"/>
      <c r="LIU516" s="332"/>
      <c r="LIV516" s="332"/>
      <c r="LIW516" s="332"/>
      <c r="LIX516" s="332"/>
      <c r="LIY516" s="332"/>
      <c r="LIZ516" s="332"/>
      <c r="LJA516" s="332"/>
      <c r="LJB516" s="332"/>
      <c r="LJC516" s="332"/>
      <c r="LJD516" s="332"/>
      <c r="LJE516" s="332"/>
      <c r="LJF516" s="332"/>
      <c r="LJG516" s="332"/>
      <c r="LJH516" s="332"/>
      <c r="LJI516" s="332"/>
      <c r="LJJ516" s="332"/>
      <c r="LJK516" s="332"/>
      <c r="LJL516" s="332"/>
      <c r="LJM516" s="332"/>
      <c r="LJN516" s="332"/>
      <c r="LJO516" s="332"/>
      <c r="LJP516" s="332"/>
      <c r="LJQ516" s="332"/>
      <c r="LJR516" s="332"/>
      <c r="LJS516" s="332"/>
      <c r="LJT516" s="332"/>
      <c r="LJU516" s="332"/>
      <c r="LJV516" s="332"/>
      <c r="LJW516" s="332"/>
      <c r="LJX516" s="332"/>
      <c r="LJY516" s="332"/>
      <c r="LJZ516" s="332"/>
      <c r="LKA516" s="332"/>
      <c r="LKB516" s="332"/>
      <c r="LKC516" s="332"/>
      <c r="LKD516" s="332"/>
      <c r="LKE516" s="332"/>
      <c r="LKF516" s="332"/>
      <c r="LKG516" s="332"/>
      <c r="LKH516" s="332"/>
      <c r="LKI516" s="332"/>
      <c r="LKJ516" s="332"/>
      <c r="LKK516" s="332"/>
      <c r="LKL516" s="332"/>
      <c r="LKM516" s="332"/>
      <c r="LKN516" s="332"/>
      <c r="LKO516" s="332"/>
      <c r="LKP516" s="332"/>
      <c r="LKQ516" s="332"/>
      <c r="LKR516" s="332"/>
      <c r="LKS516" s="332"/>
      <c r="LKT516" s="332"/>
      <c r="LKU516" s="332"/>
      <c r="LKV516" s="332"/>
      <c r="LKW516" s="332"/>
      <c r="LKX516" s="332"/>
      <c r="LKY516" s="332"/>
      <c r="LKZ516" s="332"/>
      <c r="LLA516" s="332"/>
      <c r="LLB516" s="332"/>
      <c r="LLC516" s="332"/>
      <c r="LLD516" s="332"/>
      <c r="LLE516" s="332"/>
      <c r="LLF516" s="332"/>
      <c r="LLG516" s="332"/>
      <c r="LLH516" s="332"/>
      <c r="LLI516" s="332"/>
      <c r="LLJ516" s="332"/>
      <c r="LLK516" s="332"/>
      <c r="LLL516" s="332"/>
      <c r="LLM516" s="332"/>
      <c r="LLN516" s="332"/>
      <c r="LLO516" s="332"/>
      <c r="LLP516" s="332"/>
      <c r="LLQ516" s="332"/>
      <c r="LLR516" s="332"/>
      <c r="LLS516" s="332"/>
      <c r="LLT516" s="332"/>
      <c r="LLU516" s="332"/>
      <c r="LLV516" s="332"/>
      <c r="LLW516" s="332"/>
      <c r="LLX516" s="332"/>
      <c r="LLY516" s="332"/>
      <c r="LLZ516" s="332"/>
      <c r="LMA516" s="332"/>
      <c r="LMB516" s="332"/>
      <c r="LMC516" s="332"/>
      <c r="LMD516" s="332"/>
      <c r="LME516" s="332"/>
      <c r="LMF516" s="332"/>
      <c r="LMG516" s="332"/>
      <c r="LMH516" s="332"/>
      <c r="LMI516" s="332"/>
      <c r="LMJ516" s="332"/>
      <c r="LMK516" s="332"/>
      <c r="LML516" s="332"/>
      <c r="LMM516" s="332"/>
      <c r="LMN516" s="332"/>
      <c r="LMO516" s="332"/>
      <c r="LMP516" s="332"/>
      <c r="LMQ516" s="332"/>
      <c r="LMR516" s="332"/>
      <c r="LMS516" s="332"/>
      <c r="LMT516" s="332"/>
      <c r="LMU516" s="332"/>
      <c r="LMV516" s="332"/>
      <c r="LMW516" s="332"/>
      <c r="LMX516" s="332"/>
      <c r="LMY516" s="332"/>
      <c r="LMZ516" s="332"/>
      <c r="LNA516" s="332"/>
      <c r="LNB516" s="332"/>
      <c r="LNC516" s="332"/>
      <c r="LND516" s="332"/>
      <c r="LNE516" s="332"/>
      <c r="LNF516" s="332"/>
      <c r="LNG516" s="332"/>
      <c r="LNH516" s="332"/>
      <c r="LNI516" s="332"/>
      <c r="LNJ516" s="332"/>
      <c r="LNK516" s="332"/>
      <c r="LNL516" s="332"/>
      <c r="LNM516" s="332"/>
      <c r="LNN516" s="332"/>
      <c r="LNO516" s="332"/>
      <c r="LNP516" s="332"/>
      <c r="LNQ516" s="332"/>
      <c r="LNR516" s="332"/>
      <c r="LNS516" s="332"/>
      <c r="LNT516" s="332"/>
      <c r="LNU516" s="332"/>
      <c r="LNV516" s="332"/>
      <c r="LNW516" s="332"/>
      <c r="LNX516" s="332"/>
      <c r="LNY516" s="332"/>
      <c r="LNZ516" s="332"/>
      <c r="LOA516" s="332"/>
      <c r="LOB516" s="332"/>
      <c r="LOC516" s="332"/>
      <c r="LOD516" s="332"/>
      <c r="LOE516" s="332"/>
      <c r="LOF516" s="332"/>
      <c r="LOG516" s="332"/>
      <c r="LOH516" s="332"/>
      <c r="LOI516" s="332"/>
      <c r="LOJ516" s="332"/>
      <c r="LOK516" s="332"/>
      <c r="LOL516" s="332"/>
      <c r="LOM516" s="332"/>
      <c r="LON516" s="332"/>
      <c r="LOO516" s="332"/>
      <c r="LOP516" s="332"/>
      <c r="LOQ516" s="332"/>
      <c r="LOR516" s="332"/>
      <c r="LOS516" s="332"/>
      <c r="LOT516" s="332"/>
      <c r="LOU516" s="332"/>
      <c r="LOV516" s="332"/>
      <c r="LOW516" s="332"/>
      <c r="LOX516" s="332"/>
      <c r="LOY516" s="332"/>
      <c r="LOZ516" s="332"/>
      <c r="LPA516" s="332"/>
      <c r="LPB516" s="332"/>
      <c r="LPC516" s="332"/>
      <c r="LPD516" s="332"/>
      <c r="LPE516" s="332"/>
      <c r="LPF516" s="332"/>
      <c r="LPG516" s="332"/>
      <c r="LPH516" s="332"/>
      <c r="LPI516" s="332"/>
      <c r="LPJ516" s="332"/>
      <c r="LPK516" s="332"/>
      <c r="LPL516" s="332"/>
      <c r="LPM516" s="332"/>
      <c r="LPN516" s="332"/>
      <c r="LPO516" s="332"/>
      <c r="LPP516" s="332"/>
      <c r="LPQ516" s="332"/>
      <c r="LPR516" s="332"/>
      <c r="LPS516" s="332"/>
      <c r="LPT516" s="332"/>
      <c r="LPU516" s="332"/>
      <c r="LPV516" s="332"/>
      <c r="LPW516" s="332"/>
      <c r="LPX516" s="332"/>
      <c r="LPY516" s="332"/>
      <c r="LPZ516" s="332"/>
      <c r="LQA516" s="332"/>
      <c r="LQB516" s="332"/>
      <c r="LQC516" s="332"/>
      <c r="LQD516" s="332"/>
      <c r="LQE516" s="332"/>
      <c r="LQF516" s="332"/>
      <c r="LQG516" s="332"/>
      <c r="LQH516" s="332"/>
      <c r="LQI516" s="332"/>
      <c r="LQJ516" s="332"/>
      <c r="LQK516" s="332"/>
      <c r="LQL516" s="332"/>
      <c r="LQM516" s="332"/>
      <c r="LQN516" s="332"/>
      <c r="LQO516" s="332"/>
      <c r="LQP516" s="332"/>
      <c r="LQQ516" s="332"/>
      <c r="LQR516" s="332"/>
      <c r="LQS516" s="332"/>
      <c r="LQT516" s="332"/>
      <c r="LQU516" s="332"/>
      <c r="LQV516" s="332"/>
      <c r="LQW516" s="332"/>
      <c r="LQX516" s="332"/>
      <c r="LQY516" s="332"/>
      <c r="LQZ516" s="332"/>
      <c r="LRA516" s="332"/>
      <c r="LRB516" s="332"/>
      <c r="LRC516" s="332"/>
      <c r="LRD516" s="332"/>
      <c r="LRE516" s="332"/>
      <c r="LRF516" s="332"/>
      <c r="LRG516" s="332"/>
      <c r="LRH516" s="332"/>
      <c r="LRI516" s="332"/>
      <c r="LRJ516" s="332"/>
      <c r="LRK516" s="332"/>
      <c r="LRL516" s="332"/>
      <c r="LRM516" s="332"/>
      <c r="LRN516" s="332"/>
      <c r="LRO516" s="332"/>
      <c r="LRP516" s="332"/>
      <c r="LRQ516" s="332"/>
      <c r="LRR516" s="332"/>
      <c r="LRS516" s="332"/>
      <c r="LRT516" s="332"/>
      <c r="LRU516" s="332"/>
      <c r="LRV516" s="332"/>
      <c r="LRW516" s="332"/>
      <c r="LRX516" s="332"/>
      <c r="LRY516" s="332"/>
      <c r="LRZ516" s="332"/>
      <c r="LSA516" s="332"/>
      <c r="LSB516" s="332"/>
      <c r="LSC516" s="332"/>
      <c r="LSD516" s="332"/>
      <c r="LSE516" s="332"/>
      <c r="LSF516" s="332"/>
      <c r="LSG516" s="332"/>
      <c r="LSH516" s="332"/>
      <c r="LSI516" s="332"/>
      <c r="LSJ516" s="332"/>
      <c r="LSK516" s="332"/>
      <c r="LSL516" s="332"/>
      <c r="LSM516" s="332"/>
      <c r="LSN516" s="332"/>
      <c r="LSO516" s="332"/>
      <c r="LSP516" s="332"/>
      <c r="LSQ516" s="332"/>
      <c r="LSR516" s="332"/>
      <c r="LSS516" s="332"/>
      <c r="LST516" s="332"/>
      <c r="LSU516" s="332"/>
      <c r="LSV516" s="332"/>
      <c r="LSW516" s="332"/>
      <c r="LSX516" s="332"/>
      <c r="LSY516" s="332"/>
      <c r="LSZ516" s="332"/>
      <c r="LTA516" s="332"/>
      <c r="LTB516" s="332"/>
      <c r="LTC516" s="332"/>
      <c r="LTD516" s="332"/>
      <c r="LTE516" s="332"/>
      <c r="LTF516" s="332"/>
      <c r="LTG516" s="332"/>
      <c r="LTH516" s="332"/>
      <c r="LTI516" s="332"/>
      <c r="LTJ516" s="332"/>
      <c r="LTK516" s="332"/>
      <c r="LTL516" s="332"/>
      <c r="LTM516" s="332"/>
      <c r="LTN516" s="332"/>
      <c r="LTO516" s="332"/>
      <c r="LTP516" s="332"/>
      <c r="LTQ516" s="332"/>
      <c r="LTR516" s="332"/>
      <c r="LTS516" s="332"/>
      <c r="LTT516" s="332"/>
      <c r="LTU516" s="332"/>
      <c r="LTV516" s="332"/>
      <c r="LTW516" s="332"/>
      <c r="LTX516" s="332"/>
      <c r="LTY516" s="332"/>
      <c r="LTZ516" s="332"/>
      <c r="LUA516" s="332"/>
      <c r="LUB516" s="332"/>
      <c r="LUC516" s="332"/>
      <c r="LUD516" s="332"/>
      <c r="LUE516" s="332"/>
      <c r="LUF516" s="332"/>
      <c r="LUG516" s="332"/>
      <c r="LUH516" s="332"/>
      <c r="LUI516" s="332"/>
      <c r="LUJ516" s="332"/>
      <c r="LUK516" s="332"/>
      <c r="LUL516" s="332"/>
      <c r="LUM516" s="332"/>
      <c r="LUN516" s="332"/>
      <c r="LUO516" s="332"/>
      <c r="LUP516" s="332"/>
      <c r="LUQ516" s="332"/>
      <c r="LUR516" s="332"/>
      <c r="LUS516" s="332"/>
      <c r="LUT516" s="332"/>
      <c r="LUU516" s="332"/>
      <c r="LUV516" s="332"/>
      <c r="LUW516" s="332"/>
      <c r="LUX516" s="332"/>
      <c r="LUY516" s="332"/>
      <c r="LUZ516" s="332"/>
      <c r="LVA516" s="332"/>
      <c r="LVB516" s="332"/>
      <c r="LVC516" s="332"/>
      <c r="LVD516" s="332"/>
      <c r="LVE516" s="332"/>
      <c r="LVF516" s="332"/>
      <c r="LVG516" s="332"/>
      <c r="LVH516" s="332"/>
      <c r="LVI516" s="332"/>
      <c r="LVJ516" s="332"/>
      <c r="LVK516" s="332"/>
      <c r="LVL516" s="332"/>
      <c r="LVM516" s="332"/>
      <c r="LVN516" s="332"/>
      <c r="LVO516" s="332"/>
      <c r="LVP516" s="332"/>
      <c r="LVQ516" s="332"/>
      <c r="LVR516" s="332"/>
      <c r="LVS516" s="332"/>
      <c r="LVT516" s="332"/>
      <c r="LVU516" s="332"/>
      <c r="LVV516" s="332"/>
      <c r="LVW516" s="332"/>
      <c r="LVX516" s="332"/>
      <c r="LVY516" s="332"/>
      <c r="LVZ516" s="332"/>
      <c r="LWA516" s="332"/>
      <c r="LWB516" s="332"/>
      <c r="LWC516" s="332"/>
      <c r="LWD516" s="332"/>
      <c r="LWE516" s="332"/>
      <c r="LWF516" s="332"/>
      <c r="LWG516" s="332"/>
      <c r="LWH516" s="332"/>
      <c r="LWI516" s="332"/>
      <c r="LWJ516" s="332"/>
      <c r="LWK516" s="332"/>
      <c r="LWL516" s="332"/>
      <c r="LWM516" s="332"/>
      <c r="LWN516" s="332"/>
      <c r="LWO516" s="332"/>
      <c r="LWP516" s="332"/>
      <c r="LWQ516" s="332"/>
      <c r="LWR516" s="332"/>
      <c r="LWS516" s="332"/>
      <c r="LWT516" s="332"/>
      <c r="LWU516" s="332"/>
      <c r="LWV516" s="332"/>
      <c r="LWW516" s="332"/>
      <c r="LWX516" s="332"/>
      <c r="LWY516" s="332"/>
      <c r="LWZ516" s="332"/>
      <c r="LXA516" s="332"/>
      <c r="LXB516" s="332"/>
      <c r="LXC516" s="332"/>
      <c r="LXD516" s="332"/>
      <c r="LXE516" s="332"/>
      <c r="LXF516" s="332"/>
      <c r="LXG516" s="332"/>
      <c r="LXH516" s="332"/>
      <c r="LXI516" s="332"/>
      <c r="LXJ516" s="332"/>
      <c r="LXK516" s="332"/>
      <c r="LXL516" s="332"/>
      <c r="LXM516" s="332"/>
      <c r="LXN516" s="332"/>
      <c r="LXO516" s="332"/>
      <c r="LXP516" s="332"/>
      <c r="LXQ516" s="332"/>
      <c r="LXR516" s="332"/>
      <c r="LXS516" s="332"/>
      <c r="LXT516" s="332"/>
      <c r="LXU516" s="332"/>
      <c r="LXV516" s="332"/>
      <c r="LXW516" s="332"/>
      <c r="LXX516" s="332"/>
      <c r="LXY516" s="332"/>
      <c r="LXZ516" s="332"/>
      <c r="LYA516" s="332"/>
      <c r="LYB516" s="332"/>
      <c r="LYC516" s="332"/>
      <c r="LYD516" s="332"/>
      <c r="LYE516" s="332"/>
      <c r="LYF516" s="332"/>
      <c r="LYG516" s="332"/>
      <c r="LYH516" s="332"/>
      <c r="LYI516" s="332"/>
      <c r="LYJ516" s="332"/>
      <c r="LYK516" s="332"/>
      <c r="LYL516" s="332"/>
      <c r="LYM516" s="332"/>
      <c r="LYN516" s="332"/>
      <c r="LYO516" s="332"/>
      <c r="LYP516" s="332"/>
      <c r="LYQ516" s="332"/>
      <c r="LYR516" s="332"/>
      <c r="LYS516" s="332"/>
      <c r="LYT516" s="332"/>
      <c r="LYU516" s="332"/>
      <c r="LYV516" s="332"/>
      <c r="LYW516" s="332"/>
      <c r="LYX516" s="332"/>
      <c r="LYY516" s="332"/>
      <c r="LYZ516" s="332"/>
      <c r="LZA516" s="332"/>
      <c r="LZB516" s="332"/>
      <c r="LZC516" s="332"/>
      <c r="LZD516" s="332"/>
      <c r="LZE516" s="332"/>
      <c r="LZF516" s="332"/>
      <c r="LZG516" s="332"/>
      <c r="LZH516" s="332"/>
      <c r="LZI516" s="332"/>
      <c r="LZJ516" s="332"/>
      <c r="LZK516" s="332"/>
      <c r="LZL516" s="332"/>
      <c r="LZM516" s="332"/>
      <c r="LZN516" s="332"/>
      <c r="LZO516" s="332"/>
      <c r="LZP516" s="332"/>
      <c r="LZQ516" s="332"/>
      <c r="LZR516" s="332"/>
      <c r="LZS516" s="332"/>
      <c r="LZT516" s="332"/>
      <c r="LZU516" s="332"/>
      <c r="LZV516" s="332"/>
      <c r="LZW516" s="332"/>
      <c r="LZX516" s="332"/>
      <c r="LZY516" s="332"/>
      <c r="LZZ516" s="332"/>
      <c r="MAA516" s="332"/>
      <c r="MAB516" s="332"/>
      <c r="MAC516" s="332"/>
      <c r="MAD516" s="332"/>
      <c r="MAE516" s="332"/>
      <c r="MAF516" s="332"/>
      <c r="MAG516" s="332"/>
      <c r="MAH516" s="332"/>
      <c r="MAI516" s="332"/>
      <c r="MAJ516" s="332"/>
      <c r="MAK516" s="332"/>
      <c r="MAL516" s="332"/>
      <c r="MAM516" s="332"/>
      <c r="MAN516" s="332"/>
      <c r="MAO516" s="332"/>
      <c r="MAP516" s="332"/>
      <c r="MAQ516" s="332"/>
      <c r="MAR516" s="332"/>
      <c r="MAS516" s="332"/>
      <c r="MAT516" s="332"/>
      <c r="MAU516" s="332"/>
      <c r="MAV516" s="332"/>
      <c r="MAW516" s="332"/>
      <c r="MAX516" s="332"/>
      <c r="MAY516" s="332"/>
      <c r="MAZ516" s="332"/>
      <c r="MBA516" s="332"/>
      <c r="MBB516" s="332"/>
      <c r="MBC516" s="332"/>
      <c r="MBD516" s="332"/>
      <c r="MBE516" s="332"/>
      <c r="MBF516" s="332"/>
      <c r="MBG516" s="332"/>
      <c r="MBH516" s="332"/>
      <c r="MBI516" s="332"/>
      <c r="MBJ516" s="332"/>
      <c r="MBK516" s="332"/>
      <c r="MBL516" s="332"/>
      <c r="MBM516" s="332"/>
      <c r="MBN516" s="332"/>
      <c r="MBO516" s="332"/>
      <c r="MBP516" s="332"/>
      <c r="MBQ516" s="332"/>
      <c r="MBR516" s="332"/>
      <c r="MBS516" s="332"/>
      <c r="MBT516" s="332"/>
      <c r="MBU516" s="332"/>
      <c r="MBV516" s="332"/>
      <c r="MBW516" s="332"/>
      <c r="MBX516" s="332"/>
      <c r="MBY516" s="332"/>
      <c r="MBZ516" s="332"/>
      <c r="MCA516" s="332"/>
      <c r="MCB516" s="332"/>
      <c r="MCC516" s="332"/>
      <c r="MCD516" s="332"/>
      <c r="MCE516" s="332"/>
      <c r="MCF516" s="332"/>
      <c r="MCG516" s="332"/>
      <c r="MCH516" s="332"/>
      <c r="MCI516" s="332"/>
      <c r="MCJ516" s="332"/>
      <c r="MCK516" s="332"/>
      <c r="MCL516" s="332"/>
      <c r="MCM516" s="332"/>
      <c r="MCN516" s="332"/>
      <c r="MCO516" s="332"/>
      <c r="MCP516" s="332"/>
      <c r="MCQ516" s="332"/>
      <c r="MCR516" s="332"/>
      <c r="MCS516" s="332"/>
      <c r="MCT516" s="332"/>
      <c r="MCU516" s="332"/>
      <c r="MCV516" s="332"/>
      <c r="MCW516" s="332"/>
      <c r="MCX516" s="332"/>
      <c r="MCY516" s="332"/>
      <c r="MCZ516" s="332"/>
      <c r="MDA516" s="332"/>
      <c r="MDB516" s="332"/>
      <c r="MDC516" s="332"/>
      <c r="MDD516" s="332"/>
      <c r="MDE516" s="332"/>
      <c r="MDF516" s="332"/>
      <c r="MDG516" s="332"/>
      <c r="MDH516" s="332"/>
      <c r="MDI516" s="332"/>
      <c r="MDJ516" s="332"/>
      <c r="MDK516" s="332"/>
      <c r="MDL516" s="332"/>
      <c r="MDM516" s="332"/>
      <c r="MDN516" s="332"/>
      <c r="MDO516" s="332"/>
      <c r="MDP516" s="332"/>
      <c r="MDQ516" s="332"/>
      <c r="MDR516" s="332"/>
      <c r="MDS516" s="332"/>
      <c r="MDT516" s="332"/>
      <c r="MDU516" s="332"/>
      <c r="MDV516" s="332"/>
      <c r="MDW516" s="332"/>
      <c r="MDX516" s="332"/>
      <c r="MDY516" s="332"/>
      <c r="MDZ516" s="332"/>
      <c r="MEA516" s="332"/>
      <c r="MEB516" s="332"/>
      <c r="MEC516" s="332"/>
      <c r="MED516" s="332"/>
      <c r="MEE516" s="332"/>
      <c r="MEF516" s="332"/>
      <c r="MEG516" s="332"/>
      <c r="MEH516" s="332"/>
      <c r="MEI516" s="332"/>
      <c r="MEJ516" s="332"/>
      <c r="MEK516" s="332"/>
      <c r="MEL516" s="332"/>
      <c r="MEM516" s="332"/>
      <c r="MEN516" s="332"/>
      <c r="MEO516" s="332"/>
      <c r="MEP516" s="332"/>
      <c r="MEQ516" s="332"/>
      <c r="MER516" s="332"/>
      <c r="MES516" s="332"/>
      <c r="MET516" s="332"/>
      <c r="MEU516" s="332"/>
      <c r="MEV516" s="332"/>
      <c r="MEW516" s="332"/>
      <c r="MEX516" s="332"/>
      <c r="MEY516" s="332"/>
      <c r="MEZ516" s="332"/>
      <c r="MFA516" s="332"/>
      <c r="MFB516" s="332"/>
      <c r="MFC516" s="332"/>
      <c r="MFD516" s="332"/>
      <c r="MFE516" s="332"/>
      <c r="MFF516" s="332"/>
      <c r="MFG516" s="332"/>
      <c r="MFH516" s="332"/>
      <c r="MFI516" s="332"/>
      <c r="MFJ516" s="332"/>
      <c r="MFK516" s="332"/>
      <c r="MFL516" s="332"/>
      <c r="MFM516" s="332"/>
      <c r="MFN516" s="332"/>
      <c r="MFO516" s="332"/>
      <c r="MFP516" s="332"/>
      <c r="MFQ516" s="332"/>
      <c r="MFR516" s="332"/>
      <c r="MFS516" s="332"/>
      <c r="MFT516" s="332"/>
      <c r="MFU516" s="332"/>
      <c r="MFV516" s="332"/>
      <c r="MFW516" s="332"/>
      <c r="MFX516" s="332"/>
      <c r="MFY516" s="332"/>
      <c r="MFZ516" s="332"/>
      <c r="MGA516" s="332"/>
      <c r="MGB516" s="332"/>
      <c r="MGC516" s="332"/>
      <c r="MGD516" s="332"/>
      <c r="MGE516" s="332"/>
      <c r="MGF516" s="332"/>
      <c r="MGG516" s="332"/>
      <c r="MGH516" s="332"/>
      <c r="MGI516" s="332"/>
      <c r="MGJ516" s="332"/>
      <c r="MGK516" s="332"/>
      <c r="MGL516" s="332"/>
      <c r="MGM516" s="332"/>
      <c r="MGN516" s="332"/>
      <c r="MGO516" s="332"/>
      <c r="MGP516" s="332"/>
      <c r="MGQ516" s="332"/>
      <c r="MGR516" s="332"/>
      <c r="MGS516" s="332"/>
      <c r="MGT516" s="332"/>
      <c r="MGU516" s="332"/>
      <c r="MGV516" s="332"/>
      <c r="MGW516" s="332"/>
      <c r="MGX516" s="332"/>
      <c r="MGY516" s="332"/>
      <c r="MGZ516" s="332"/>
      <c r="MHA516" s="332"/>
      <c r="MHB516" s="332"/>
      <c r="MHC516" s="332"/>
      <c r="MHD516" s="332"/>
      <c r="MHE516" s="332"/>
      <c r="MHF516" s="332"/>
      <c r="MHG516" s="332"/>
      <c r="MHH516" s="332"/>
      <c r="MHI516" s="332"/>
      <c r="MHJ516" s="332"/>
      <c r="MHK516" s="332"/>
      <c r="MHL516" s="332"/>
      <c r="MHM516" s="332"/>
      <c r="MHN516" s="332"/>
      <c r="MHO516" s="332"/>
      <c r="MHP516" s="332"/>
      <c r="MHQ516" s="332"/>
      <c r="MHR516" s="332"/>
      <c r="MHS516" s="332"/>
      <c r="MHT516" s="332"/>
      <c r="MHU516" s="332"/>
      <c r="MHV516" s="332"/>
      <c r="MHW516" s="332"/>
      <c r="MHX516" s="332"/>
      <c r="MHY516" s="332"/>
      <c r="MHZ516" s="332"/>
      <c r="MIA516" s="332"/>
      <c r="MIB516" s="332"/>
      <c r="MIC516" s="332"/>
      <c r="MID516" s="332"/>
      <c r="MIE516" s="332"/>
      <c r="MIF516" s="332"/>
      <c r="MIG516" s="332"/>
      <c r="MIH516" s="332"/>
      <c r="MII516" s="332"/>
      <c r="MIJ516" s="332"/>
      <c r="MIK516" s="332"/>
      <c r="MIL516" s="332"/>
      <c r="MIM516" s="332"/>
      <c r="MIN516" s="332"/>
      <c r="MIO516" s="332"/>
      <c r="MIP516" s="332"/>
      <c r="MIQ516" s="332"/>
      <c r="MIR516" s="332"/>
      <c r="MIS516" s="332"/>
      <c r="MIT516" s="332"/>
      <c r="MIU516" s="332"/>
      <c r="MIV516" s="332"/>
      <c r="MIW516" s="332"/>
      <c r="MIX516" s="332"/>
      <c r="MIY516" s="332"/>
      <c r="MIZ516" s="332"/>
      <c r="MJA516" s="332"/>
      <c r="MJB516" s="332"/>
      <c r="MJC516" s="332"/>
      <c r="MJD516" s="332"/>
      <c r="MJE516" s="332"/>
      <c r="MJF516" s="332"/>
      <c r="MJG516" s="332"/>
      <c r="MJH516" s="332"/>
      <c r="MJI516" s="332"/>
      <c r="MJJ516" s="332"/>
      <c r="MJK516" s="332"/>
      <c r="MJL516" s="332"/>
      <c r="MJM516" s="332"/>
      <c r="MJN516" s="332"/>
      <c r="MJO516" s="332"/>
      <c r="MJP516" s="332"/>
      <c r="MJQ516" s="332"/>
      <c r="MJR516" s="332"/>
      <c r="MJS516" s="332"/>
      <c r="MJT516" s="332"/>
      <c r="MJU516" s="332"/>
      <c r="MJV516" s="332"/>
      <c r="MJW516" s="332"/>
      <c r="MJX516" s="332"/>
      <c r="MJY516" s="332"/>
      <c r="MJZ516" s="332"/>
      <c r="MKA516" s="332"/>
      <c r="MKB516" s="332"/>
      <c r="MKC516" s="332"/>
      <c r="MKD516" s="332"/>
      <c r="MKE516" s="332"/>
      <c r="MKF516" s="332"/>
      <c r="MKG516" s="332"/>
      <c r="MKH516" s="332"/>
      <c r="MKI516" s="332"/>
      <c r="MKJ516" s="332"/>
      <c r="MKK516" s="332"/>
      <c r="MKL516" s="332"/>
      <c r="MKM516" s="332"/>
      <c r="MKN516" s="332"/>
      <c r="MKO516" s="332"/>
      <c r="MKP516" s="332"/>
      <c r="MKQ516" s="332"/>
      <c r="MKR516" s="332"/>
      <c r="MKS516" s="332"/>
      <c r="MKT516" s="332"/>
      <c r="MKU516" s="332"/>
      <c r="MKV516" s="332"/>
      <c r="MKW516" s="332"/>
      <c r="MKX516" s="332"/>
      <c r="MKY516" s="332"/>
      <c r="MKZ516" s="332"/>
      <c r="MLA516" s="332"/>
      <c r="MLB516" s="332"/>
      <c r="MLC516" s="332"/>
      <c r="MLD516" s="332"/>
      <c r="MLE516" s="332"/>
      <c r="MLF516" s="332"/>
      <c r="MLG516" s="332"/>
      <c r="MLH516" s="332"/>
      <c r="MLI516" s="332"/>
      <c r="MLJ516" s="332"/>
      <c r="MLK516" s="332"/>
      <c r="MLL516" s="332"/>
      <c r="MLM516" s="332"/>
      <c r="MLN516" s="332"/>
      <c r="MLO516" s="332"/>
      <c r="MLP516" s="332"/>
      <c r="MLQ516" s="332"/>
      <c r="MLR516" s="332"/>
      <c r="MLS516" s="332"/>
      <c r="MLT516" s="332"/>
      <c r="MLU516" s="332"/>
      <c r="MLV516" s="332"/>
      <c r="MLW516" s="332"/>
      <c r="MLX516" s="332"/>
      <c r="MLY516" s="332"/>
      <c r="MLZ516" s="332"/>
      <c r="MMA516" s="332"/>
      <c r="MMB516" s="332"/>
      <c r="MMC516" s="332"/>
      <c r="MMD516" s="332"/>
      <c r="MME516" s="332"/>
      <c r="MMF516" s="332"/>
      <c r="MMG516" s="332"/>
      <c r="MMH516" s="332"/>
      <c r="MMI516" s="332"/>
      <c r="MMJ516" s="332"/>
      <c r="MMK516" s="332"/>
      <c r="MML516" s="332"/>
      <c r="MMM516" s="332"/>
      <c r="MMN516" s="332"/>
      <c r="MMO516" s="332"/>
      <c r="MMP516" s="332"/>
      <c r="MMQ516" s="332"/>
      <c r="MMR516" s="332"/>
      <c r="MMS516" s="332"/>
      <c r="MMT516" s="332"/>
      <c r="MMU516" s="332"/>
      <c r="MMV516" s="332"/>
      <c r="MMW516" s="332"/>
      <c r="MMX516" s="332"/>
      <c r="MMY516" s="332"/>
      <c r="MMZ516" s="332"/>
      <c r="MNA516" s="332"/>
      <c r="MNB516" s="332"/>
      <c r="MNC516" s="332"/>
      <c r="MND516" s="332"/>
      <c r="MNE516" s="332"/>
      <c r="MNF516" s="332"/>
      <c r="MNG516" s="332"/>
      <c r="MNH516" s="332"/>
      <c r="MNI516" s="332"/>
      <c r="MNJ516" s="332"/>
      <c r="MNK516" s="332"/>
      <c r="MNL516" s="332"/>
      <c r="MNM516" s="332"/>
      <c r="MNN516" s="332"/>
      <c r="MNO516" s="332"/>
      <c r="MNP516" s="332"/>
      <c r="MNQ516" s="332"/>
      <c r="MNR516" s="332"/>
      <c r="MNS516" s="332"/>
      <c r="MNT516" s="332"/>
      <c r="MNU516" s="332"/>
      <c r="MNV516" s="332"/>
      <c r="MNW516" s="332"/>
      <c r="MNX516" s="332"/>
      <c r="MNY516" s="332"/>
      <c r="MNZ516" s="332"/>
      <c r="MOA516" s="332"/>
      <c r="MOB516" s="332"/>
      <c r="MOC516" s="332"/>
      <c r="MOD516" s="332"/>
      <c r="MOE516" s="332"/>
      <c r="MOF516" s="332"/>
      <c r="MOG516" s="332"/>
      <c r="MOH516" s="332"/>
      <c r="MOI516" s="332"/>
      <c r="MOJ516" s="332"/>
      <c r="MOK516" s="332"/>
      <c r="MOL516" s="332"/>
      <c r="MOM516" s="332"/>
      <c r="MON516" s="332"/>
      <c r="MOO516" s="332"/>
      <c r="MOP516" s="332"/>
      <c r="MOQ516" s="332"/>
      <c r="MOR516" s="332"/>
      <c r="MOS516" s="332"/>
      <c r="MOT516" s="332"/>
      <c r="MOU516" s="332"/>
      <c r="MOV516" s="332"/>
      <c r="MOW516" s="332"/>
      <c r="MOX516" s="332"/>
      <c r="MOY516" s="332"/>
      <c r="MOZ516" s="332"/>
      <c r="MPA516" s="332"/>
      <c r="MPB516" s="332"/>
      <c r="MPC516" s="332"/>
      <c r="MPD516" s="332"/>
      <c r="MPE516" s="332"/>
      <c r="MPF516" s="332"/>
      <c r="MPG516" s="332"/>
      <c r="MPH516" s="332"/>
      <c r="MPI516" s="332"/>
      <c r="MPJ516" s="332"/>
      <c r="MPK516" s="332"/>
      <c r="MPL516" s="332"/>
      <c r="MPM516" s="332"/>
      <c r="MPN516" s="332"/>
      <c r="MPO516" s="332"/>
      <c r="MPP516" s="332"/>
      <c r="MPQ516" s="332"/>
      <c r="MPR516" s="332"/>
      <c r="MPS516" s="332"/>
      <c r="MPT516" s="332"/>
      <c r="MPU516" s="332"/>
      <c r="MPV516" s="332"/>
      <c r="MPW516" s="332"/>
      <c r="MPX516" s="332"/>
      <c r="MPY516" s="332"/>
      <c r="MPZ516" s="332"/>
      <c r="MQA516" s="332"/>
      <c r="MQB516" s="332"/>
      <c r="MQC516" s="332"/>
      <c r="MQD516" s="332"/>
      <c r="MQE516" s="332"/>
      <c r="MQF516" s="332"/>
      <c r="MQG516" s="332"/>
      <c r="MQH516" s="332"/>
      <c r="MQI516" s="332"/>
      <c r="MQJ516" s="332"/>
      <c r="MQK516" s="332"/>
      <c r="MQL516" s="332"/>
      <c r="MQM516" s="332"/>
      <c r="MQN516" s="332"/>
      <c r="MQO516" s="332"/>
      <c r="MQP516" s="332"/>
      <c r="MQQ516" s="332"/>
      <c r="MQR516" s="332"/>
      <c r="MQS516" s="332"/>
      <c r="MQT516" s="332"/>
      <c r="MQU516" s="332"/>
      <c r="MQV516" s="332"/>
      <c r="MQW516" s="332"/>
      <c r="MQX516" s="332"/>
      <c r="MQY516" s="332"/>
      <c r="MQZ516" s="332"/>
      <c r="MRA516" s="332"/>
      <c r="MRB516" s="332"/>
      <c r="MRC516" s="332"/>
      <c r="MRD516" s="332"/>
      <c r="MRE516" s="332"/>
      <c r="MRF516" s="332"/>
      <c r="MRG516" s="332"/>
      <c r="MRH516" s="332"/>
      <c r="MRI516" s="332"/>
      <c r="MRJ516" s="332"/>
      <c r="MRK516" s="332"/>
      <c r="MRL516" s="332"/>
      <c r="MRM516" s="332"/>
      <c r="MRN516" s="332"/>
      <c r="MRO516" s="332"/>
      <c r="MRP516" s="332"/>
      <c r="MRQ516" s="332"/>
      <c r="MRR516" s="332"/>
      <c r="MRS516" s="332"/>
      <c r="MRT516" s="332"/>
      <c r="MRU516" s="332"/>
      <c r="MRV516" s="332"/>
      <c r="MRW516" s="332"/>
      <c r="MRX516" s="332"/>
      <c r="MRY516" s="332"/>
      <c r="MRZ516" s="332"/>
      <c r="MSA516" s="332"/>
      <c r="MSB516" s="332"/>
      <c r="MSC516" s="332"/>
      <c r="MSD516" s="332"/>
      <c r="MSE516" s="332"/>
      <c r="MSF516" s="332"/>
      <c r="MSG516" s="332"/>
      <c r="MSH516" s="332"/>
      <c r="MSI516" s="332"/>
      <c r="MSJ516" s="332"/>
      <c r="MSK516" s="332"/>
      <c r="MSL516" s="332"/>
      <c r="MSM516" s="332"/>
      <c r="MSN516" s="332"/>
      <c r="MSO516" s="332"/>
      <c r="MSP516" s="332"/>
      <c r="MSQ516" s="332"/>
      <c r="MSR516" s="332"/>
      <c r="MSS516" s="332"/>
      <c r="MST516" s="332"/>
      <c r="MSU516" s="332"/>
      <c r="MSV516" s="332"/>
      <c r="MSW516" s="332"/>
      <c r="MSX516" s="332"/>
      <c r="MSY516" s="332"/>
      <c r="MSZ516" s="332"/>
      <c r="MTA516" s="332"/>
      <c r="MTB516" s="332"/>
      <c r="MTC516" s="332"/>
      <c r="MTD516" s="332"/>
      <c r="MTE516" s="332"/>
      <c r="MTF516" s="332"/>
      <c r="MTG516" s="332"/>
      <c r="MTH516" s="332"/>
      <c r="MTI516" s="332"/>
      <c r="MTJ516" s="332"/>
      <c r="MTK516" s="332"/>
      <c r="MTL516" s="332"/>
      <c r="MTM516" s="332"/>
      <c r="MTN516" s="332"/>
      <c r="MTO516" s="332"/>
      <c r="MTP516" s="332"/>
      <c r="MTQ516" s="332"/>
      <c r="MTR516" s="332"/>
      <c r="MTS516" s="332"/>
      <c r="MTT516" s="332"/>
      <c r="MTU516" s="332"/>
      <c r="MTV516" s="332"/>
      <c r="MTW516" s="332"/>
      <c r="MTX516" s="332"/>
      <c r="MTY516" s="332"/>
      <c r="MTZ516" s="332"/>
      <c r="MUA516" s="332"/>
      <c r="MUB516" s="332"/>
      <c r="MUC516" s="332"/>
      <c r="MUD516" s="332"/>
      <c r="MUE516" s="332"/>
      <c r="MUF516" s="332"/>
      <c r="MUG516" s="332"/>
      <c r="MUH516" s="332"/>
      <c r="MUI516" s="332"/>
      <c r="MUJ516" s="332"/>
      <c r="MUK516" s="332"/>
      <c r="MUL516" s="332"/>
      <c r="MUM516" s="332"/>
      <c r="MUN516" s="332"/>
      <c r="MUO516" s="332"/>
      <c r="MUP516" s="332"/>
      <c r="MUQ516" s="332"/>
      <c r="MUR516" s="332"/>
      <c r="MUS516" s="332"/>
      <c r="MUT516" s="332"/>
      <c r="MUU516" s="332"/>
      <c r="MUV516" s="332"/>
      <c r="MUW516" s="332"/>
      <c r="MUX516" s="332"/>
      <c r="MUY516" s="332"/>
      <c r="MUZ516" s="332"/>
      <c r="MVA516" s="332"/>
      <c r="MVB516" s="332"/>
      <c r="MVC516" s="332"/>
      <c r="MVD516" s="332"/>
      <c r="MVE516" s="332"/>
      <c r="MVF516" s="332"/>
      <c r="MVG516" s="332"/>
      <c r="MVH516" s="332"/>
      <c r="MVI516" s="332"/>
      <c r="MVJ516" s="332"/>
      <c r="MVK516" s="332"/>
      <c r="MVL516" s="332"/>
      <c r="MVM516" s="332"/>
      <c r="MVN516" s="332"/>
      <c r="MVO516" s="332"/>
      <c r="MVP516" s="332"/>
      <c r="MVQ516" s="332"/>
      <c r="MVR516" s="332"/>
      <c r="MVS516" s="332"/>
      <c r="MVT516" s="332"/>
      <c r="MVU516" s="332"/>
      <c r="MVV516" s="332"/>
      <c r="MVW516" s="332"/>
      <c r="MVX516" s="332"/>
      <c r="MVY516" s="332"/>
      <c r="MVZ516" s="332"/>
      <c r="MWA516" s="332"/>
      <c r="MWB516" s="332"/>
      <c r="MWC516" s="332"/>
      <c r="MWD516" s="332"/>
      <c r="MWE516" s="332"/>
      <c r="MWF516" s="332"/>
      <c r="MWG516" s="332"/>
      <c r="MWH516" s="332"/>
      <c r="MWI516" s="332"/>
      <c r="MWJ516" s="332"/>
      <c r="MWK516" s="332"/>
      <c r="MWL516" s="332"/>
      <c r="MWM516" s="332"/>
      <c r="MWN516" s="332"/>
      <c r="MWO516" s="332"/>
      <c r="MWP516" s="332"/>
      <c r="MWQ516" s="332"/>
      <c r="MWR516" s="332"/>
      <c r="MWS516" s="332"/>
      <c r="MWT516" s="332"/>
      <c r="MWU516" s="332"/>
      <c r="MWV516" s="332"/>
      <c r="MWW516" s="332"/>
      <c r="MWX516" s="332"/>
      <c r="MWY516" s="332"/>
      <c r="MWZ516" s="332"/>
      <c r="MXA516" s="332"/>
      <c r="MXB516" s="332"/>
      <c r="MXC516" s="332"/>
      <c r="MXD516" s="332"/>
      <c r="MXE516" s="332"/>
      <c r="MXF516" s="332"/>
      <c r="MXG516" s="332"/>
      <c r="MXH516" s="332"/>
      <c r="MXI516" s="332"/>
      <c r="MXJ516" s="332"/>
      <c r="MXK516" s="332"/>
      <c r="MXL516" s="332"/>
      <c r="MXM516" s="332"/>
      <c r="MXN516" s="332"/>
      <c r="MXO516" s="332"/>
      <c r="MXP516" s="332"/>
      <c r="MXQ516" s="332"/>
      <c r="MXR516" s="332"/>
      <c r="MXS516" s="332"/>
      <c r="MXT516" s="332"/>
      <c r="MXU516" s="332"/>
      <c r="MXV516" s="332"/>
      <c r="MXW516" s="332"/>
      <c r="MXX516" s="332"/>
      <c r="MXY516" s="332"/>
      <c r="MXZ516" s="332"/>
      <c r="MYA516" s="332"/>
      <c r="MYB516" s="332"/>
      <c r="MYC516" s="332"/>
      <c r="MYD516" s="332"/>
      <c r="MYE516" s="332"/>
      <c r="MYF516" s="332"/>
      <c r="MYG516" s="332"/>
      <c r="MYH516" s="332"/>
      <c r="MYI516" s="332"/>
      <c r="MYJ516" s="332"/>
      <c r="MYK516" s="332"/>
      <c r="MYL516" s="332"/>
      <c r="MYM516" s="332"/>
      <c r="MYN516" s="332"/>
      <c r="MYO516" s="332"/>
      <c r="MYP516" s="332"/>
      <c r="MYQ516" s="332"/>
      <c r="MYR516" s="332"/>
      <c r="MYS516" s="332"/>
      <c r="MYT516" s="332"/>
      <c r="MYU516" s="332"/>
      <c r="MYV516" s="332"/>
      <c r="MYW516" s="332"/>
      <c r="MYX516" s="332"/>
      <c r="MYY516" s="332"/>
      <c r="MYZ516" s="332"/>
      <c r="MZA516" s="332"/>
      <c r="MZB516" s="332"/>
      <c r="MZC516" s="332"/>
      <c r="MZD516" s="332"/>
      <c r="MZE516" s="332"/>
      <c r="MZF516" s="332"/>
      <c r="MZG516" s="332"/>
      <c r="MZH516" s="332"/>
      <c r="MZI516" s="332"/>
      <c r="MZJ516" s="332"/>
      <c r="MZK516" s="332"/>
      <c r="MZL516" s="332"/>
      <c r="MZM516" s="332"/>
      <c r="MZN516" s="332"/>
      <c r="MZO516" s="332"/>
      <c r="MZP516" s="332"/>
      <c r="MZQ516" s="332"/>
      <c r="MZR516" s="332"/>
      <c r="MZS516" s="332"/>
      <c r="MZT516" s="332"/>
      <c r="MZU516" s="332"/>
      <c r="MZV516" s="332"/>
      <c r="MZW516" s="332"/>
      <c r="MZX516" s="332"/>
      <c r="MZY516" s="332"/>
      <c r="MZZ516" s="332"/>
      <c r="NAA516" s="332"/>
      <c r="NAB516" s="332"/>
      <c r="NAC516" s="332"/>
      <c r="NAD516" s="332"/>
      <c r="NAE516" s="332"/>
      <c r="NAF516" s="332"/>
      <c r="NAG516" s="332"/>
      <c r="NAH516" s="332"/>
      <c r="NAI516" s="332"/>
      <c r="NAJ516" s="332"/>
      <c r="NAK516" s="332"/>
      <c r="NAL516" s="332"/>
      <c r="NAM516" s="332"/>
      <c r="NAN516" s="332"/>
      <c r="NAO516" s="332"/>
      <c r="NAP516" s="332"/>
      <c r="NAQ516" s="332"/>
      <c r="NAR516" s="332"/>
      <c r="NAS516" s="332"/>
      <c r="NAT516" s="332"/>
      <c r="NAU516" s="332"/>
      <c r="NAV516" s="332"/>
      <c r="NAW516" s="332"/>
      <c r="NAX516" s="332"/>
      <c r="NAY516" s="332"/>
      <c r="NAZ516" s="332"/>
      <c r="NBA516" s="332"/>
      <c r="NBB516" s="332"/>
      <c r="NBC516" s="332"/>
      <c r="NBD516" s="332"/>
      <c r="NBE516" s="332"/>
      <c r="NBF516" s="332"/>
      <c r="NBG516" s="332"/>
      <c r="NBH516" s="332"/>
      <c r="NBI516" s="332"/>
      <c r="NBJ516" s="332"/>
      <c r="NBK516" s="332"/>
      <c r="NBL516" s="332"/>
      <c r="NBM516" s="332"/>
      <c r="NBN516" s="332"/>
      <c r="NBO516" s="332"/>
      <c r="NBP516" s="332"/>
      <c r="NBQ516" s="332"/>
      <c r="NBR516" s="332"/>
      <c r="NBS516" s="332"/>
      <c r="NBT516" s="332"/>
      <c r="NBU516" s="332"/>
      <c r="NBV516" s="332"/>
      <c r="NBW516" s="332"/>
      <c r="NBX516" s="332"/>
      <c r="NBY516" s="332"/>
      <c r="NBZ516" s="332"/>
      <c r="NCA516" s="332"/>
      <c r="NCB516" s="332"/>
      <c r="NCC516" s="332"/>
      <c r="NCD516" s="332"/>
      <c r="NCE516" s="332"/>
      <c r="NCF516" s="332"/>
      <c r="NCG516" s="332"/>
      <c r="NCH516" s="332"/>
      <c r="NCI516" s="332"/>
      <c r="NCJ516" s="332"/>
      <c r="NCK516" s="332"/>
      <c r="NCL516" s="332"/>
      <c r="NCM516" s="332"/>
      <c r="NCN516" s="332"/>
      <c r="NCO516" s="332"/>
      <c r="NCP516" s="332"/>
      <c r="NCQ516" s="332"/>
      <c r="NCR516" s="332"/>
      <c r="NCS516" s="332"/>
      <c r="NCT516" s="332"/>
      <c r="NCU516" s="332"/>
      <c r="NCV516" s="332"/>
      <c r="NCW516" s="332"/>
      <c r="NCX516" s="332"/>
      <c r="NCY516" s="332"/>
      <c r="NCZ516" s="332"/>
      <c r="NDA516" s="332"/>
      <c r="NDB516" s="332"/>
      <c r="NDC516" s="332"/>
      <c r="NDD516" s="332"/>
      <c r="NDE516" s="332"/>
      <c r="NDF516" s="332"/>
      <c r="NDG516" s="332"/>
      <c r="NDH516" s="332"/>
      <c r="NDI516" s="332"/>
      <c r="NDJ516" s="332"/>
      <c r="NDK516" s="332"/>
      <c r="NDL516" s="332"/>
      <c r="NDM516" s="332"/>
      <c r="NDN516" s="332"/>
      <c r="NDO516" s="332"/>
      <c r="NDP516" s="332"/>
      <c r="NDQ516" s="332"/>
      <c r="NDR516" s="332"/>
      <c r="NDS516" s="332"/>
      <c r="NDT516" s="332"/>
      <c r="NDU516" s="332"/>
      <c r="NDV516" s="332"/>
      <c r="NDW516" s="332"/>
      <c r="NDX516" s="332"/>
      <c r="NDY516" s="332"/>
      <c r="NDZ516" s="332"/>
      <c r="NEA516" s="332"/>
      <c r="NEB516" s="332"/>
      <c r="NEC516" s="332"/>
      <c r="NED516" s="332"/>
      <c r="NEE516" s="332"/>
      <c r="NEF516" s="332"/>
      <c r="NEG516" s="332"/>
      <c r="NEH516" s="332"/>
      <c r="NEI516" s="332"/>
      <c r="NEJ516" s="332"/>
      <c r="NEK516" s="332"/>
      <c r="NEL516" s="332"/>
      <c r="NEM516" s="332"/>
      <c r="NEN516" s="332"/>
      <c r="NEO516" s="332"/>
      <c r="NEP516" s="332"/>
      <c r="NEQ516" s="332"/>
      <c r="NER516" s="332"/>
      <c r="NES516" s="332"/>
      <c r="NET516" s="332"/>
      <c r="NEU516" s="332"/>
      <c r="NEV516" s="332"/>
      <c r="NEW516" s="332"/>
      <c r="NEX516" s="332"/>
      <c r="NEY516" s="332"/>
      <c r="NEZ516" s="332"/>
      <c r="NFA516" s="332"/>
      <c r="NFB516" s="332"/>
      <c r="NFC516" s="332"/>
      <c r="NFD516" s="332"/>
      <c r="NFE516" s="332"/>
      <c r="NFF516" s="332"/>
      <c r="NFG516" s="332"/>
      <c r="NFH516" s="332"/>
      <c r="NFI516" s="332"/>
      <c r="NFJ516" s="332"/>
      <c r="NFK516" s="332"/>
      <c r="NFL516" s="332"/>
      <c r="NFM516" s="332"/>
      <c r="NFN516" s="332"/>
      <c r="NFO516" s="332"/>
      <c r="NFP516" s="332"/>
      <c r="NFQ516" s="332"/>
      <c r="NFR516" s="332"/>
      <c r="NFS516" s="332"/>
      <c r="NFT516" s="332"/>
      <c r="NFU516" s="332"/>
      <c r="NFV516" s="332"/>
      <c r="NFW516" s="332"/>
      <c r="NFX516" s="332"/>
      <c r="NFY516" s="332"/>
      <c r="NFZ516" s="332"/>
      <c r="NGA516" s="332"/>
      <c r="NGB516" s="332"/>
      <c r="NGC516" s="332"/>
      <c r="NGD516" s="332"/>
      <c r="NGE516" s="332"/>
      <c r="NGF516" s="332"/>
      <c r="NGG516" s="332"/>
      <c r="NGH516" s="332"/>
      <c r="NGI516" s="332"/>
      <c r="NGJ516" s="332"/>
      <c r="NGK516" s="332"/>
      <c r="NGL516" s="332"/>
      <c r="NGM516" s="332"/>
      <c r="NGN516" s="332"/>
      <c r="NGO516" s="332"/>
      <c r="NGP516" s="332"/>
      <c r="NGQ516" s="332"/>
      <c r="NGR516" s="332"/>
      <c r="NGS516" s="332"/>
      <c r="NGT516" s="332"/>
      <c r="NGU516" s="332"/>
      <c r="NGV516" s="332"/>
      <c r="NGW516" s="332"/>
      <c r="NGX516" s="332"/>
      <c r="NGY516" s="332"/>
      <c r="NGZ516" s="332"/>
      <c r="NHA516" s="332"/>
      <c r="NHB516" s="332"/>
      <c r="NHC516" s="332"/>
      <c r="NHD516" s="332"/>
      <c r="NHE516" s="332"/>
      <c r="NHF516" s="332"/>
      <c r="NHG516" s="332"/>
      <c r="NHH516" s="332"/>
      <c r="NHI516" s="332"/>
      <c r="NHJ516" s="332"/>
      <c r="NHK516" s="332"/>
      <c r="NHL516" s="332"/>
      <c r="NHM516" s="332"/>
      <c r="NHN516" s="332"/>
      <c r="NHO516" s="332"/>
      <c r="NHP516" s="332"/>
      <c r="NHQ516" s="332"/>
      <c r="NHR516" s="332"/>
      <c r="NHS516" s="332"/>
      <c r="NHT516" s="332"/>
      <c r="NHU516" s="332"/>
      <c r="NHV516" s="332"/>
      <c r="NHW516" s="332"/>
      <c r="NHX516" s="332"/>
      <c r="NHY516" s="332"/>
      <c r="NHZ516" s="332"/>
      <c r="NIA516" s="332"/>
      <c r="NIB516" s="332"/>
      <c r="NIC516" s="332"/>
      <c r="NID516" s="332"/>
      <c r="NIE516" s="332"/>
      <c r="NIF516" s="332"/>
      <c r="NIG516" s="332"/>
      <c r="NIH516" s="332"/>
      <c r="NII516" s="332"/>
      <c r="NIJ516" s="332"/>
      <c r="NIK516" s="332"/>
      <c r="NIL516" s="332"/>
      <c r="NIM516" s="332"/>
      <c r="NIN516" s="332"/>
      <c r="NIO516" s="332"/>
      <c r="NIP516" s="332"/>
      <c r="NIQ516" s="332"/>
      <c r="NIR516" s="332"/>
      <c r="NIS516" s="332"/>
      <c r="NIT516" s="332"/>
      <c r="NIU516" s="332"/>
      <c r="NIV516" s="332"/>
      <c r="NIW516" s="332"/>
      <c r="NIX516" s="332"/>
      <c r="NIY516" s="332"/>
      <c r="NIZ516" s="332"/>
      <c r="NJA516" s="332"/>
      <c r="NJB516" s="332"/>
      <c r="NJC516" s="332"/>
      <c r="NJD516" s="332"/>
      <c r="NJE516" s="332"/>
      <c r="NJF516" s="332"/>
      <c r="NJG516" s="332"/>
      <c r="NJH516" s="332"/>
      <c r="NJI516" s="332"/>
      <c r="NJJ516" s="332"/>
      <c r="NJK516" s="332"/>
      <c r="NJL516" s="332"/>
      <c r="NJM516" s="332"/>
      <c r="NJN516" s="332"/>
      <c r="NJO516" s="332"/>
      <c r="NJP516" s="332"/>
      <c r="NJQ516" s="332"/>
      <c r="NJR516" s="332"/>
      <c r="NJS516" s="332"/>
      <c r="NJT516" s="332"/>
      <c r="NJU516" s="332"/>
      <c r="NJV516" s="332"/>
      <c r="NJW516" s="332"/>
      <c r="NJX516" s="332"/>
      <c r="NJY516" s="332"/>
      <c r="NJZ516" s="332"/>
      <c r="NKA516" s="332"/>
      <c r="NKB516" s="332"/>
      <c r="NKC516" s="332"/>
      <c r="NKD516" s="332"/>
      <c r="NKE516" s="332"/>
      <c r="NKF516" s="332"/>
      <c r="NKG516" s="332"/>
      <c r="NKH516" s="332"/>
      <c r="NKI516" s="332"/>
      <c r="NKJ516" s="332"/>
      <c r="NKK516" s="332"/>
      <c r="NKL516" s="332"/>
      <c r="NKM516" s="332"/>
      <c r="NKN516" s="332"/>
      <c r="NKO516" s="332"/>
      <c r="NKP516" s="332"/>
      <c r="NKQ516" s="332"/>
      <c r="NKR516" s="332"/>
      <c r="NKS516" s="332"/>
      <c r="NKT516" s="332"/>
      <c r="NKU516" s="332"/>
      <c r="NKV516" s="332"/>
      <c r="NKW516" s="332"/>
      <c r="NKX516" s="332"/>
      <c r="NKY516" s="332"/>
      <c r="NKZ516" s="332"/>
      <c r="NLA516" s="332"/>
      <c r="NLB516" s="332"/>
      <c r="NLC516" s="332"/>
      <c r="NLD516" s="332"/>
      <c r="NLE516" s="332"/>
      <c r="NLF516" s="332"/>
      <c r="NLG516" s="332"/>
      <c r="NLH516" s="332"/>
      <c r="NLI516" s="332"/>
      <c r="NLJ516" s="332"/>
      <c r="NLK516" s="332"/>
      <c r="NLL516" s="332"/>
      <c r="NLM516" s="332"/>
      <c r="NLN516" s="332"/>
      <c r="NLO516" s="332"/>
      <c r="NLP516" s="332"/>
      <c r="NLQ516" s="332"/>
      <c r="NLR516" s="332"/>
      <c r="NLS516" s="332"/>
      <c r="NLT516" s="332"/>
      <c r="NLU516" s="332"/>
      <c r="NLV516" s="332"/>
      <c r="NLW516" s="332"/>
      <c r="NLX516" s="332"/>
      <c r="NLY516" s="332"/>
      <c r="NLZ516" s="332"/>
      <c r="NMA516" s="332"/>
      <c r="NMB516" s="332"/>
      <c r="NMC516" s="332"/>
      <c r="NMD516" s="332"/>
      <c r="NME516" s="332"/>
      <c r="NMF516" s="332"/>
      <c r="NMG516" s="332"/>
      <c r="NMH516" s="332"/>
      <c r="NMI516" s="332"/>
      <c r="NMJ516" s="332"/>
      <c r="NMK516" s="332"/>
      <c r="NML516" s="332"/>
      <c r="NMM516" s="332"/>
      <c r="NMN516" s="332"/>
      <c r="NMO516" s="332"/>
      <c r="NMP516" s="332"/>
      <c r="NMQ516" s="332"/>
      <c r="NMR516" s="332"/>
      <c r="NMS516" s="332"/>
      <c r="NMT516" s="332"/>
      <c r="NMU516" s="332"/>
      <c r="NMV516" s="332"/>
      <c r="NMW516" s="332"/>
      <c r="NMX516" s="332"/>
      <c r="NMY516" s="332"/>
      <c r="NMZ516" s="332"/>
      <c r="NNA516" s="332"/>
      <c r="NNB516" s="332"/>
      <c r="NNC516" s="332"/>
      <c r="NND516" s="332"/>
      <c r="NNE516" s="332"/>
      <c r="NNF516" s="332"/>
      <c r="NNG516" s="332"/>
      <c r="NNH516" s="332"/>
      <c r="NNI516" s="332"/>
      <c r="NNJ516" s="332"/>
      <c r="NNK516" s="332"/>
      <c r="NNL516" s="332"/>
      <c r="NNM516" s="332"/>
      <c r="NNN516" s="332"/>
      <c r="NNO516" s="332"/>
      <c r="NNP516" s="332"/>
      <c r="NNQ516" s="332"/>
      <c r="NNR516" s="332"/>
      <c r="NNS516" s="332"/>
      <c r="NNT516" s="332"/>
      <c r="NNU516" s="332"/>
      <c r="NNV516" s="332"/>
      <c r="NNW516" s="332"/>
      <c r="NNX516" s="332"/>
      <c r="NNY516" s="332"/>
      <c r="NNZ516" s="332"/>
      <c r="NOA516" s="332"/>
      <c r="NOB516" s="332"/>
      <c r="NOC516" s="332"/>
      <c r="NOD516" s="332"/>
      <c r="NOE516" s="332"/>
      <c r="NOF516" s="332"/>
      <c r="NOG516" s="332"/>
      <c r="NOH516" s="332"/>
      <c r="NOI516" s="332"/>
      <c r="NOJ516" s="332"/>
      <c r="NOK516" s="332"/>
      <c r="NOL516" s="332"/>
      <c r="NOM516" s="332"/>
      <c r="NON516" s="332"/>
      <c r="NOO516" s="332"/>
      <c r="NOP516" s="332"/>
      <c r="NOQ516" s="332"/>
      <c r="NOR516" s="332"/>
      <c r="NOS516" s="332"/>
      <c r="NOT516" s="332"/>
      <c r="NOU516" s="332"/>
      <c r="NOV516" s="332"/>
      <c r="NOW516" s="332"/>
      <c r="NOX516" s="332"/>
      <c r="NOY516" s="332"/>
      <c r="NOZ516" s="332"/>
      <c r="NPA516" s="332"/>
      <c r="NPB516" s="332"/>
      <c r="NPC516" s="332"/>
      <c r="NPD516" s="332"/>
      <c r="NPE516" s="332"/>
      <c r="NPF516" s="332"/>
      <c r="NPG516" s="332"/>
      <c r="NPH516" s="332"/>
      <c r="NPI516" s="332"/>
      <c r="NPJ516" s="332"/>
      <c r="NPK516" s="332"/>
      <c r="NPL516" s="332"/>
      <c r="NPM516" s="332"/>
      <c r="NPN516" s="332"/>
      <c r="NPO516" s="332"/>
      <c r="NPP516" s="332"/>
      <c r="NPQ516" s="332"/>
      <c r="NPR516" s="332"/>
      <c r="NPS516" s="332"/>
      <c r="NPT516" s="332"/>
      <c r="NPU516" s="332"/>
      <c r="NPV516" s="332"/>
      <c r="NPW516" s="332"/>
      <c r="NPX516" s="332"/>
      <c r="NPY516" s="332"/>
      <c r="NPZ516" s="332"/>
      <c r="NQA516" s="332"/>
      <c r="NQB516" s="332"/>
      <c r="NQC516" s="332"/>
      <c r="NQD516" s="332"/>
      <c r="NQE516" s="332"/>
      <c r="NQF516" s="332"/>
      <c r="NQG516" s="332"/>
      <c r="NQH516" s="332"/>
      <c r="NQI516" s="332"/>
      <c r="NQJ516" s="332"/>
      <c r="NQK516" s="332"/>
      <c r="NQL516" s="332"/>
      <c r="NQM516" s="332"/>
      <c r="NQN516" s="332"/>
      <c r="NQO516" s="332"/>
      <c r="NQP516" s="332"/>
      <c r="NQQ516" s="332"/>
      <c r="NQR516" s="332"/>
      <c r="NQS516" s="332"/>
      <c r="NQT516" s="332"/>
      <c r="NQU516" s="332"/>
      <c r="NQV516" s="332"/>
      <c r="NQW516" s="332"/>
      <c r="NQX516" s="332"/>
      <c r="NQY516" s="332"/>
      <c r="NQZ516" s="332"/>
      <c r="NRA516" s="332"/>
      <c r="NRB516" s="332"/>
      <c r="NRC516" s="332"/>
      <c r="NRD516" s="332"/>
      <c r="NRE516" s="332"/>
      <c r="NRF516" s="332"/>
      <c r="NRG516" s="332"/>
      <c r="NRH516" s="332"/>
      <c r="NRI516" s="332"/>
      <c r="NRJ516" s="332"/>
      <c r="NRK516" s="332"/>
      <c r="NRL516" s="332"/>
      <c r="NRM516" s="332"/>
      <c r="NRN516" s="332"/>
      <c r="NRO516" s="332"/>
      <c r="NRP516" s="332"/>
      <c r="NRQ516" s="332"/>
      <c r="NRR516" s="332"/>
      <c r="NRS516" s="332"/>
      <c r="NRT516" s="332"/>
      <c r="NRU516" s="332"/>
      <c r="NRV516" s="332"/>
      <c r="NRW516" s="332"/>
      <c r="NRX516" s="332"/>
      <c r="NRY516" s="332"/>
      <c r="NRZ516" s="332"/>
      <c r="NSA516" s="332"/>
      <c r="NSB516" s="332"/>
      <c r="NSC516" s="332"/>
      <c r="NSD516" s="332"/>
      <c r="NSE516" s="332"/>
      <c r="NSF516" s="332"/>
      <c r="NSG516" s="332"/>
      <c r="NSH516" s="332"/>
      <c r="NSI516" s="332"/>
      <c r="NSJ516" s="332"/>
      <c r="NSK516" s="332"/>
      <c r="NSL516" s="332"/>
      <c r="NSM516" s="332"/>
      <c r="NSN516" s="332"/>
      <c r="NSO516" s="332"/>
      <c r="NSP516" s="332"/>
      <c r="NSQ516" s="332"/>
      <c r="NSR516" s="332"/>
      <c r="NSS516" s="332"/>
      <c r="NST516" s="332"/>
      <c r="NSU516" s="332"/>
      <c r="NSV516" s="332"/>
      <c r="NSW516" s="332"/>
      <c r="NSX516" s="332"/>
      <c r="NSY516" s="332"/>
      <c r="NSZ516" s="332"/>
      <c r="NTA516" s="332"/>
      <c r="NTB516" s="332"/>
      <c r="NTC516" s="332"/>
      <c r="NTD516" s="332"/>
      <c r="NTE516" s="332"/>
      <c r="NTF516" s="332"/>
      <c r="NTG516" s="332"/>
      <c r="NTH516" s="332"/>
      <c r="NTI516" s="332"/>
      <c r="NTJ516" s="332"/>
      <c r="NTK516" s="332"/>
      <c r="NTL516" s="332"/>
      <c r="NTM516" s="332"/>
      <c r="NTN516" s="332"/>
      <c r="NTO516" s="332"/>
      <c r="NTP516" s="332"/>
      <c r="NTQ516" s="332"/>
      <c r="NTR516" s="332"/>
      <c r="NTS516" s="332"/>
      <c r="NTT516" s="332"/>
      <c r="NTU516" s="332"/>
      <c r="NTV516" s="332"/>
      <c r="NTW516" s="332"/>
      <c r="NTX516" s="332"/>
      <c r="NTY516" s="332"/>
      <c r="NTZ516" s="332"/>
      <c r="NUA516" s="332"/>
      <c r="NUB516" s="332"/>
      <c r="NUC516" s="332"/>
      <c r="NUD516" s="332"/>
      <c r="NUE516" s="332"/>
      <c r="NUF516" s="332"/>
      <c r="NUG516" s="332"/>
      <c r="NUH516" s="332"/>
      <c r="NUI516" s="332"/>
      <c r="NUJ516" s="332"/>
      <c r="NUK516" s="332"/>
      <c r="NUL516" s="332"/>
      <c r="NUM516" s="332"/>
      <c r="NUN516" s="332"/>
      <c r="NUO516" s="332"/>
      <c r="NUP516" s="332"/>
      <c r="NUQ516" s="332"/>
      <c r="NUR516" s="332"/>
      <c r="NUS516" s="332"/>
      <c r="NUT516" s="332"/>
      <c r="NUU516" s="332"/>
      <c r="NUV516" s="332"/>
      <c r="NUW516" s="332"/>
      <c r="NUX516" s="332"/>
      <c r="NUY516" s="332"/>
      <c r="NUZ516" s="332"/>
      <c r="NVA516" s="332"/>
      <c r="NVB516" s="332"/>
      <c r="NVC516" s="332"/>
      <c r="NVD516" s="332"/>
      <c r="NVE516" s="332"/>
      <c r="NVF516" s="332"/>
      <c r="NVG516" s="332"/>
      <c r="NVH516" s="332"/>
      <c r="NVI516" s="332"/>
      <c r="NVJ516" s="332"/>
      <c r="NVK516" s="332"/>
      <c r="NVL516" s="332"/>
      <c r="NVM516" s="332"/>
      <c r="NVN516" s="332"/>
      <c r="NVO516" s="332"/>
      <c r="NVP516" s="332"/>
      <c r="NVQ516" s="332"/>
      <c r="NVR516" s="332"/>
      <c r="NVS516" s="332"/>
      <c r="NVT516" s="332"/>
      <c r="NVU516" s="332"/>
      <c r="NVV516" s="332"/>
      <c r="NVW516" s="332"/>
      <c r="NVX516" s="332"/>
      <c r="NVY516" s="332"/>
      <c r="NVZ516" s="332"/>
      <c r="NWA516" s="332"/>
      <c r="NWB516" s="332"/>
      <c r="NWC516" s="332"/>
      <c r="NWD516" s="332"/>
      <c r="NWE516" s="332"/>
      <c r="NWF516" s="332"/>
      <c r="NWG516" s="332"/>
      <c r="NWH516" s="332"/>
      <c r="NWI516" s="332"/>
      <c r="NWJ516" s="332"/>
      <c r="NWK516" s="332"/>
      <c r="NWL516" s="332"/>
      <c r="NWM516" s="332"/>
      <c r="NWN516" s="332"/>
      <c r="NWO516" s="332"/>
      <c r="NWP516" s="332"/>
      <c r="NWQ516" s="332"/>
      <c r="NWR516" s="332"/>
      <c r="NWS516" s="332"/>
      <c r="NWT516" s="332"/>
      <c r="NWU516" s="332"/>
      <c r="NWV516" s="332"/>
      <c r="NWW516" s="332"/>
      <c r="NWX516" s="332"/>
      <c r="NWY516" s="332"/>
      <c r="NWZ516" s="332"/>
      <c r="NXA516" s="332"/>
      <c r="NXB516" s="332"/>
      <c r="NXC516" s="332"/>
      <c r="NXD516" s="332"/>
      <c r="NXE516" s="332"/>
      <c r="NXF516" s="332"/>
      <c r="NXG516" s="332"/>
      <c r="NXH516" s="332"/>
      <c r="NXI516" s="332"/>
      <c r="NXJ516" s="332"/>
      <c r="NXK516" s="332"/>
      <c r="NXL516" s="332"/>
      <c r="NXM516" s="332"/>
      <c r="NXN516" s="332"/>
      <c r="NXO516" s="332"/>
      <c r="NXP516" s="332"/>
      <c r="NXQ516" s="332"/>
      <c r="NXR516" s="332"/>
      <c r="NXS516" s="332"/>
      <c r="NXT516" s="332"/>
      <c r="NXU516" s="332"/>
      <c r="NXV516" s="332"/>
      <c r="NXW516" s="332"/>
      <c r="NXX516" s="332"/>
      <c r="NXY516" s="332"/>
      <c r="NXZ516" s="332"/>
      <c r="NYA516" s="332"/>
      <c r="NYB516" s="332"/>
      <c r="NYC516" s="332"/>
      <c r="NYD516" s="332"/>
      <c r="NYE516" s="332"/>
      <c r="NYF516" s="332"/>
      <c r="NYG516" s="332"/>
      <c r="NYH516" s="332"/>
      <c r="NYI516" s="332"/>
      <c r="NYJ516" s="332"/>
      <c r="NYK516" s="332"/>
      <c r="NYL516" s="332"/>
      <c r="NYM516" s="332"/>
      <c r="NYN516" s="332"/>
      <c r="NYO516" s="332"/>
      <c r="NYP516" s="332"/>
      <c r="NYQ516" s="332"/>
      <c r="NYR516" s="332"/>
      <c r="NYS516" s="332"/>
      <c r="NYT516" s="332"/>
      <c r="NYU516" s="332"/>
      <c r="NYV516" s="332"/>
      <c r="NYW516" s="332"/>
      <c r="NYX516" s="332"/>
      <c r="NYY516" s="332"/>
      <c r="NYZ516" s="332"/>
      <c r="NZA516" s="332"/>
      <c r="NZB516" s="332"/>
      <c r="NZC516" s="332"/>
      <c r="NZD516" s="332"/>
      <c r="NZE516" s="332"/>
      <c r="NZF516" s="332"/>
      <c r="NZG516" s="332"/>
      <c r="NZH516" s="332"/>
      <c r="NZI516" s="332"/>
      <c r="NZJ516" s="332"/>
      <c r="NZK516" s="332"/>
      <c r="NZL516" s="332"/>
      <c r="NZM516" s="332"/>
      <c r="NZN516" s="332"/>
      <c r="NZO516" s="332"/>
      <c r="NZP516" s="332"/>
      <c r="NZQ516" s="332"/>
      <c r="NZR516" s="332"/>
      <c r="NZS516" s="332"/>
      <c r="NZT516" s="332"/>
      <c r="NZU516" s="332"/>
      <c r="NZV516" s="332"/>
      <c r="NZW516" s="332"/>
      <c r="NZX516" s="332"/>
      <c r="NZY516" s="332"/>
      <c r="NZZ516" s="332"/>
      <c r="OAA516" s="332"/>
      <c r="OAB516" s="332"/>
      <c r="OAC516" s="332"/>
      <c r="OAD516" s="332"/>
      <c r="OAE516" s="332"/>
      <c r="OAF516" s="332"/>
      <c r="OAG516" s="332"/>
      <c r="OAH516" s="332"/>
      <c r="OAI516" s="332"/>
      <c r="OAJ516" s="332"/>
      <c r="OAK516" s="332"/>
      <c r="OAL516" s="332"/>
      <c r="OAM516" s="332"/>
      <c r="OAN516" s="332"/>
      <c r="OAO516" s="332"/>
      <c r="OAP516" s="332"/>
      <c r="OAQ516" s="332"/>
      <c r="OAR516" s="332"/>
      <c r="OAS516" s="332"/>
      <c r="OAT516" s="332"/>
      <c r="OAU516" s="332"/>
      <c r="OAV516" s="332"/>
      <c r="OAW516" s="332"/>
      <c r="OAX516" s="332"/>
      <c r="OAY516" s="332"/>
      <c r="OAZ516" s="332"/>
      <c r="OBA516" s="332"/>
      <c r="OBB516" s="332"/>
      <c r="OBC516" s="332"/>
      <c r="OBD516" s="332"/>
      <c r="OBE516" s="332"/>
      <c r="OBF516" s="332"/>
      <c r="OBG516" s="332"/>
      <c r="OBH516" s="332"/>
      <c r="OBI516" s="332"/>
      <c r="OBJ516" s="332"/>
      <c r="OBK516" s="332"/>
      <c r="OBL516" s="332"/>
      <c r="OBM516" s="332"/>
      <c r="OBN516" s="332"/>
      <c r="OBO516" s="332"/>
      <c r="OBP516" s="332"/>
      <c r="OBQ516" s="332"/>
      <c r="OBR516" s="332"/>
      <c r="OBS516" s="332"/>
      <c r="OBT516" s="332"/>
      <c r="OBU516" s="332"/>
      <c r="OBV516" s="332"/>
      <c r="OBW516" s="332"/>
      <c r="OBX516" s="332"/>
      <c r="OBY516" s="332"/>
      <c r="OBZ516" s="332"/>
      <c r="OCA516" s="332"/>
      <c r="OCB516" s="332"/>
      <c r="OCC516" s="332"/>
      <c r="OCD516" s="332"/>
      <c r="OCE516" s="332"/>
      <c r="OCF516" s="332"/>
      <c r="OCG516" s="332"/>
      <c r="OCH516" s="332"/>
      <c r="OCI516" s="332"/>
      <c r="OCJ516" s="332"/>
      <c r="OCK516" s="332"/>
      <c r="OCL516" s="332"/>
      <c r="OCM516" s="332"/>
      <c r="OCN516" s="332"/>
      <c r="OCO516" s="332"/>
      <c r="OCP516" s="332"/>
      <c r="OCQ516" s="332"/>
      <c r="OCR516" s="332"/>
      <c r="OCS516" s="332"/>
      <c r="OCT516" s="332"/>
      <c r="OCU516" s="332"/>
      <c r="OCV516" s="332"/>
      <c r="OCW516" s="332"/>
      <c r="OCX516" s="332"/>
      <c r="OCY516" s="332"/>
      <c r="OCZ516" s="332"/>
      <c r="ODA516" s="332"/>
      <c r="ODB516" s="332"/>
      <c r="ODC516" s="332"/>
      <c r="ODD516" s="332"/>
      <c r="ODE516" s="332"/>
      <c r="ODF516" s="332"/>
      <c r="ODG516" s="332"/>
      <c r="ODH516" s="332"/>
      <c r="ODI516" s="332"/>
      <c r="ODJ516" s="332"/>
      <c r="ODK516" s="332"/>
      <c r="ODL516" s="332"/>
      <c r="ODM516" s="332"/>
      <c r="ODN516" s="332"/>
      <c r="ODO516" s="332"/>
      <c r="ODP516" s="332"/>
      <c r="ODQ516" s="332"/>
      <c r="ODR516" s="332"/>
      <c r="ODS516" s="332"/>
      <c r="ODT516" s="332"/>
      <c r="ODU516" s="332"/>
      <c r="ODV516" s="332"/>
      <c r="ODW516" s="332"/>
      <c r="ODX516" s="332"/>
      <c r="ODY516" s="332"/>
      <c r="ODZ516" s="332"/>
      <c r="OEA516" s="332"/>
      <c r="OEB516" s="332"/>
      <c r="OEC516" s="332"/>
      <c r="OED516" s="332"/>
      <c r="OEE516" s="332"/>
      <c r="OEF516" s="332"/>
      <c r="OEG516" s="332"/>
      <c r="OEH516" s="332"/>
      <c r="OEI516" s="332"/>
      <c r="OEJ516" s="332"/>
      <c r="OEK516" s="332"/>
      <c r="OEL516" s="332"/>
      <c r="OEM516" s="332"/>
      <c r="OEN516" s="332"/>
      <c r="OEO516" s="332"/>
      <c r="OEP516" s="332"/>
      <c r="OEQ516" s="332"/>
      <c r="OER516" s="332"/>
      <c r="OES516" s="332"/>
      <c r="OET516" s="332"/>
      <c r="OEU516" s="332"/>
      <c r="OEV516" s="332"/>
      <c r="OEW516" s="332"/>
      <c r="OEX516" s="332"/>
      <c r="OEY516" s="332"/>
      <c r="OEZ516" s="332"/>
      <c r="OFA516" s="332"/>
      <c r="OFB516" s="332"/>
      <c r="OFC516" s="332"/>
      <c r="OFD516" s="332"/>
      <c r="OFE516" s="332"/>
      <c r="OFF516" s="332"/>
      <c r="OFG516" s="332"/>
      <c r="OFH516" s="332"/>
      <c r="OFI516" s="332"/>
      <c r="OFJ516" s="332"/>
      <c r="OFK516" s="332"/>
      <c r="OFL516" s="332"/>
      <c r="OFM516" s="332"/>
      <c r="OFN516" s="332"/>
      <c r="OFO516" s="332"/>
      <c r="OFP516" s="332"/>
      <c r="OFQ516" s="332"/>
      <c r="OFR516" s="332"/>
      <c r="OFS516" s="332"/>
      <c r="OFT516" s="332"/>
      <c r="OFU516" s="332"/>
      <c r="OFV516" s="332"/>
      <c r="OFW516" s="332"/>
      <c r="OFX516" s="332"/>
      <c r="OFY516" s="332"/>
      <c r="OFZ516" s="332"/>
      <c r="OGA516" s="332"/>
      <c r="OGB516" s="332"/>
      <c r="OGC516" s="332"/>
      <c r="OGD516" s="332"/>
      <c r="OGE516" s="332"/>
      <c r="OGF516" s="332"/>
      <c r="OGG516" s="332"/>
      <c r="OGH516" s="332"/>
      <c r="OGI516" s="332"/>
      <c r="OGJ516" s="332"/>
      <c r="OGK516" s="332"/>
      <c r="OGL516" s="332"/>
      <c r="OGM516" s="332"/>
      <c r="OGN516" s="332"/>
      <c r="OGO516" s="332"/>
      <c r="OGP516" s="332"/>
      <c r="OGQ516" s="332"/>
      <c r="OGR516" s="332"/>
      <c r="OGS516" s="332"/>
      <c r="OGT516" s="332"/>
      <c r="OGU516" s="332"/>
      <c r="OGV516" s="332"/>
      <c r="OGW516" s="332"/>
      <c r="OGX516" s="332"/>
      <c r="OGY516" s="332"/>
      <c r="OGZ516" s="332"/>
      <c r="OHA516" s="332"/>
      <c r="OHB516" s="332"/>
      <c r="OHC516" s="332"/>
      <c r="OHD516" s="332"/>
      <c r="OHE516" s="332"/>
      <c r="OHF516" s="332"/>
      <c r="OHG516" s="332"/>
      <c r="OHH516" s="332"/>
      <c r="OHI516" s="332"/>
      <c r="OHJ516" s="332"/>
      <c r="OHK516" s="332"/>
      <c r="OHL516" s="332"/>
      <c r="OHM516" s="332"/>
      <c r="OHN516" s="332"/>
      <c r="OHO516" s="332"/>
      <c r="OHP516" s="332"/>
      <c r="OHQ516" s="332"/>
      <c r="OHR516" s="332"/>
      <c r="OHS516" s="332"/>
      <c r="OHT516" s="332"/>
      <c r="OHU516" s="332"/>
      <c r="OHV516" s="332"/>
      <c r="OHW516" s="332"/>
      <c r="OHX516" s="332"/>
      <c r="OHY516" s="332"/>
      <c r="OHZ516" s="332"/>
      <c r="OIA516" s="332"/>
      <c r="OIB516" s="332"/>
      <c r="OIC516" s="332"/>
      <c r="OID516" s="332"/>
      <c r="OIE516" s="332"/>
      <c r="OIF516" s="332"/>
      <c r="OIG516" s="332"/>
      <c r="OIH516" s="332"/>
      <c r="OII516" s="332"/>
      <c r="OIJ516" s="332"/>
      <c r="OIK516" s="332"/>
      <c r="OIL516" s="332"/>
      <c r="OIM516" s="332"/>
      <c r="OIN516" s="332"/>
      <c r="OIO516" s="332"/>
      <c r="OIP516" s="332"/>
      <c r="OIQ516" s="332"/>
      <c r="OIR516" s="332"/>
      <c r="OIS516" s="332"/>
      <c r="OIT516" s="332"/>
      <c r="OIU516" s="332"/>
      <c r="OIV516" s="332"/>
      <c r="OIW516" s="332"/>
      <c r="OIX516" s="332"/>
      <c r="OIY516" s="332"/>
      <c r="OIZ516" s="332"/>
      <c r="OJA516" s="332"/>
      <c r="OJB516" s="332"/>
      <c r="OJC516" s="332"/>
      <c r="OJD516" s="332"/>
      <c r="OJE516" s="332"/>
      <c r="OJF516" s="332"/>
      <c r="OJG516" s="332"/>
      <c r="OJH516" s="332"/>
      <c r="OJI516" s="332"/>
      <c r="OJJ516" s="332"/>
      <c r="OJK516" s="332"/>
      <c r="OJL516" s="332"/>
      <c r="OJM516" s="332"/>
      <c r="OJN516" s="332"/>
      <c r="OJO516" s="332"/>
      <c r="OJP516" s="332"/>
      <c r="OJQ516" s="332"/>
      <c r="OJR516" s="332"/>
      <c r="OJS516" s="332"/>
      <c r="OJT516" s="332"/>
      <c r="OJU516" s="332"/>
      <c r="OJV516" s="332"/>
      <c r="OJW516" s="332"/>
      <c r="OJX516" s="332"/>
      <c r="OJY516" s="332"/>
      <c r="OJZ516" s="332"/>
      <c r="OKA516" s="332"/>
      <c r="OKB516" s="332"/>
      <c r="OKC516" s="332"/>
      <c r="OKD516" s="332"/>
      <c r="OKE516" s="332"/>
      <c r="OKF516" s="332"/>
      <c r="OKG516" s="332"/>
      <c r="OKH516" s="332"/>
      <c r="OKI516" s="332"/>
      <c r="OKJ516" s="332"/>
      <c r="OKK516" s="332"/>
      <c r="OKL516" s="332"/>
      <c r="OKM516" s="332"/>
      <c r="OKN516" s="332"/>
      <c r="OKO516" s="332"/>
      <c r="OKP516" s="332"/>
      <c r="OKQ516" s="332"/>
      <c r="OKR516" s="332"/>
      <c r="OKS516" s="332"/>
      <c r="OKT516" s="332"/>
      <c r="OKU516" s="332"/>
      <c r="OKV516" s="332"/>
      <c r="OKW516" s="332"/>
      <c r="OKX516" s="332"/>
      <c r="OKY516" s="332"/>
      <c r="OKZ516" s="332"/>
      <c r="OLA516" s="332"/>
      <c r="OLB516" s="332"/>
      <c r="OLC516" s="332"/>
      <c r="OLD516" s="332"/>
      <c r="OLE516" s="332"/>
      <c r="OLF516" s="332"/>
      <c r="OLG516" s="332"/>
      <c r="OLH516" s="332"/>
      <c r="OLI516" s="332"/>
      <c r="OLJ516" s="332"/>
      <c r="OLK516" s="332"/>
      <c r="OLL516" s="332"/>
      <c r="OLM516" s="332"/>
      <c r="OLN516" s="332"/>
      <c r="OLO516" s="332"/>
      <c r="OLP516" s="332"/>
      <c r="OLQ516" s="332"/>
      <c r="OLR516" s="332"/>
      <c r="OLS516" s="332"/>
      <c r="OLT516" s="332"/>
      <c r="OLU516" s="332"/>
      <c r="OLV516" s="332"/>
      <c r="OLW516" s="332"/>
      <c r="OLX516" s="332"/>
      <c r="OLY516" s="332"/>
      <c r="OLZ516" s="332"/>
      <c r="OMA516" s="332"/>
      <c r="OMB516" s="332"/>
      <c r="OMC516" s="332"/>
      <c r="OMD516" s="332"/>
      <c r="OME516" s="332"/>
      <c r="OMF516" s="332"/>
      <c r="OMG516" s="332"/>
      <c r="OMH516" s="332"/>
      <c r="OMI516" s="332"/>
      <c r="OMJ516" s="332"/>
      <c r="OMK516" s="332"/>
      <c r="OML516" s="332"/>
      <c r="OMM516" s="332"/>
      <c r="OMN516" s="332"/>
      <c r="OMO516" s="332"/>
      <c r="OMP516" s="332"/>
      <c r="OMQ516" s="332"/>
      <c r="OMR516" s="332"/>
      <c r="OMS516" s="332"/>
      <c r="OMT516" s="332"/>
      <c r="OMU516" s="332"/>
      <c r="OMV516" s="332"/>
      <c r="OMW516" s="332"/>
      <c r="OMX516" s="332"/>
      <c r="OMY516" s="332"/>
      <c r="OMZ516" s="332"/>
      <c r="ONA516" s="332"/>
      <c r="ONB516" s="332"/>
      <c r="ONC516" s="332"/>
      <c r="OND516" s="332"/>
      <c r="ONE516" s="332"/>
      <c r="ONF516" s="332"/>
      <c r="ONG516" s="332"/>
      <c r="ONH516" s="332"/>
      <c r="ONI516" s="332"/>
      <c r="ONJ516" s="332"/>
      <c r="ONK516" s="332"/>
      <c r="ONL516" s="332"/>
      <c r="ONM516" s="332"/>
      <c r="ONN516" s="332"/>
      <c r="ONO516" s="332"/>
      <c r="ONP516" s="332"/>
      <c r="ONQ516" s="332"/>
      <c r="ONR516" s="332"/>
      <c r="ONS516" s="332"/>
      <c r="ONT516" s="332"/>
      <c r="ONU516" s="332"/>
      <c r="ONV516" s="332"/>
      <c r="ONW516" s="332"/>
      <c r="ONX516" s="332"/>
      <c r="ONY516" s="332"/>
      <c r="ONZ516" s="332"/>
      <c r="OOA516" s="332"/>
      <c r="OOB516" s="332"/>
      <c r="OOC516" s="332"/>
      <c r="OOD516" s="332"/>
      <c r="OOE516" s="332"/>
      <c r="OOF516" s="332"/>
      <c r="OOG516" s="332"/>
      <c r="OOH516" s="332"/>
      <c r="OOI516" s="332"/>
      <c r="OOJ516" s="332"/>
      <c r="OOK516" s="332"/>
      <c r="OOL516" s="332"/>
      <c r="OOM516" s="332"/>
      <c r="OON516" s="332"/>
      <c r="OOO516" s="332"/>
      <c r="OOP516" s="332"/>
      <c r="OOQ516" s="332"/>
      <c r="OOR516" s="332"/>
      <c r="OOS516" s="332"/>
      <c r="OOT516" s="332"/>
      <c r="OOU516" s="332"/>
      <c r="OOV516" s="332"/>
      <c r="OOW516" s="332"/>
      <c r="OOX516" s="332"/>
      <c r="OOY516" s="332"/>
      <c r="OOZ516" s="332"/>
      <c r="OPA516" s="332"/>
      <c r="OPB516" s="332"/>
      <c r="OPC516" s="332"/>
      <c r="OPD516" s="332"/>
      <c r="OPE516" s="332"/>
      <c r="OPF516" s="332"/>
      <c r="OPG516" s="332"/>
      <c r="OPH516" s="332"/>
      <c r="OPI516" s="332"/>
      <c r="OPJ516" s="332"/>
      <c r="OPK516" s="332"/>
      <c r="OPL516" s="332"/>
      <c r="OPM516" s="332"/>
      <c r="OPN516" s="332"/>
      <c r="OPO516" s="332"/>
      <c r="OPP516" s="332"/>
      <c r="OPQ516" s="332"/>
      <c r="OPR516" s="332"/>
      <c r="OPS516" s="332"/>
      <c r="OPT516" s="332"/>
      <c r="OPU516" s="332"/>
      <c r="OPV516" s="332"/>
      <c r="OPW516" s="332"/>
      <c r="OPX516" s="332"/>
      <c r="OPY516" s="332"/>
      <c r="OPZ516" s="332"/>
      <c r="OQA516" s="332"/>
      <c r="OQB516" s="332"/>
      <c r="OQC516" s="332"/>
      <c r="OQD516" s="332"/>
      <c r="OQE516" s="332"/>
      <c r="OQF516" s="332"/>
      <c r="OQG516" s="332"/>
      <c r="OQH516" s="332"/>
      <c r="OQI516" s="332"/>
      <c r="OQJ516" s="332"/>
      <c r="OQK516" s="332"/>
      <c r="OQL516" s="332"/>
      <c r="OQM516" s="332"/>
      <c r="OQN516" s="332"/>
      <c r="OQO516" s="332"/>
      <c r="OQP516" s="332"/>
      <c r="OQQ516" s="332"/>
      <c r="OQR516" s="332"/>
      <c r="OQS516" s="332"/>
      <c r="OQT516" s="332"/>
      <c r="OQU516" s="332"/>
      <c r="OQV516" s="332"/>
      <c r="OQW516" s="332"/>
      <c r="OQX516" s="332"/>
      <c r="OQY516" s="332"/>
      <c r="OQZ516" s="332"/>
      <c r="ORA516" s="332"/>
      <c r="ORB516" s="332"/>
      <c r="ORC516" s="332"/>
      <c r="ORD516" s="332"/>
      <c r="ORE516" s="332"/>
      <c r="ORF516" s="332"/>
      <c r="ORG516" s="332"/>
      <c r="ORH516" s="332"/>
      <c r="ORI516" s="332"/>
      <c r="ORJ516" s="332"/>
      <c r="ORK516" s="332"/>
      <c r="ORL516" s="332"/>
      <c r="ORM516" s="332"/>
      <c r="ORN516" s="332"/>
      <c r="ORO516" s="332"/>
      <c r="ORP516" s="332"/>
      <c r="ORQ516" s="332"/>
      <c r="ORR516" s="332"/>
      <c r="ORS516" s="332"/>
      <c r="ORT516" s="332"/>
      <c r="ORU516" s="332"/>
      <c r="ORV516" s="332"/>
      <c r="ORW516" s="332"/>
      <c r="ORX516" s="332"/>
      <c r="ORY516" s="332"/>
      <c r="ORZ516" s="332"/>
      <c r="OSA516" s="332"/>
      <c r="OSB516" s="332"/>
      <c r="OSC516" s="332"/>
      <c r="OSD516" s="332"/>
      <c r="OSE516" s="332"/>
      <c r="OSF516" s="332"/>
      <c r="OSG516" s="332"/>
      <c r="OSH516" s="332"/>
      <c r="OSI516" s="332"/>
      <c r="OSJ516" s="332"/>
      <c r="OSK516" s="332"/>
      <c r="OSL516" s="332"/>
      <c r="OSM516" s="332"/>
      <c r="OSN516" s="332"/>
      <c r="OSO516" s="332"/>
      <c r="OSP516" s="332"/>
      <c r="OSQ516" s="332"/>
      <c r="OSR516" s="332"/>
      <c r="OSS516" s="332"/>
      <c r="OST516" s="332"/>
      <c r="OSU516" s="332"/>
      <c r="OSV516" s="332"/>
      <c r="OSW516" s="332"/>
      <c r="OSX516" s="332"/>
      <c r="OSY516" s="332"/>
      <c r="OSZ516" s="332"/>
      <c r="OTA516" s="332"/>
      <c r="OTB516" s="332"/>
      <c r="OTC516" s="332"/>
      <c r="OTD516" s="332"/>
      <c r="OTE516" s="332"/>
      <c r="OTF516" s="332"/>
      <c r="OTG516" s="332"/>
      <c r="OTH516" s="332"/>
      <c r="OTI516" s="332"/>
      <c r="OTJ516" s="332"/>
      <c r="OTK516" s="332"/>
      <c r="OTL516" s="332"/>
      <c r="OTM516" s="332"/>
      <c r="OTN516" s="332"/>
      <c r="OTO516" s="332"/>
      <c r="OTP516" s="332"/>
      <c r="OTQ516" s="332"/>
      <c r="OTR516" s="332"/>
      <c r="OTS516" s="332"/>
      <c r="OTT516" s="332"/>
      <c r="OTU516" s="332"/>
      <c r="OTV516" s="332"/>
      <c r="OTW516" s="332"/>
      <c r="OTX516" s="332"/>
      <c r="OTY516" s="332"/>
      <c r="OTZ516" s="332"/>
      <c r="OUA516" s="332"/>
      <c r="OUB516" s="332"/>
      <c r="OUC516" s="332"/>
      <c r="OUD516" s="332"/>
      <c r="OUE516" s="332"/>
      <c r="OUF516" s="332"/>
      <c r="OUG516" s="332"/>
      <c r="OUH516" s="332"/>
      <c r="OUI516" s="332"/>
      <c r="OUJ516" s="332"/>
      <c r="OUK516" s="332"/>
      <c r="OUL516" s="332"/>
      <c r="OUM516" s="332"/>
      <c r="OUN516" s="332"/>
      <c r="OUO516" s="332"/>
      <c r="OUP516" s="332"/>
      <c r="OUQ516" s="332"/>
      <c r="OUR516" s="332"/>
      <c r="OUS516" s="332"/>
      <c r="OUT516" s="332"/>
      <c r="OUU516" s="332"/>
      <c r="OUV516" s="332"/>
      <c r="OUW516" s="332"/>
      <c r="OUX516" s="332"/>
      <c r="OUY516" s="332"/>
      <c r="OUZ516" s="332"/>
      <c r="OVA516" s="332"/>
      <c r="OVB516" s="332"/>
      <c r="OVC516" s="332"/>
      <c r="OVD516" s="332"/>
      <c r="OVE516" s="332"/>
      <c r="OVF516" s="332"/>
      <c r="OVG516" s="332"/>
      <c r="OVH516" s="332"/>
      <c r="OVI516" s="332"/>
      <c r="OVJ516" s="332"/>
      <c r="OVK516" s="332"/>
      <c r="OVL516" s="332"/>
      <c r="OVM516" s="332"/>
      <c r="OVN516" s="332"/>
      <c r="OVO516" s="332"/>
      <c r="OVP516" s="332"/>
      <c r="OVQ516" s="332"/>
      <c r="OVR516" s="332"/>
      <c r="OVS516" s="332"/>
      <c r="OVT516" s="332"/>
      <c r="OVU516" s="332"/>
      <c r="OVV516" s="332"/>
      <c r="OVW516" s="332"/>
      <c r="OVX516" s="332"/>
      <c r="OVY516" s="332"/>
      <c r="OVZ516" s="332"/>
      <c r="OWA516" s="332"/>
      <c r="OWB516" s="332"/>
      <c r="OWC516" s="332"/>
      <c r="OWD516" s="332"/>
      <c r="OWE516" s="332"/>
      <c r="OWF516" s="332"/>
      <c r="OWG516" s="332"/>
      <c r="OWH516" s="332"/>
      <c r="OWI516" s="332"/>
      <c r="OWJ516" s="332"/>
      <c r="OWK516" s="332"/>
      <c r="OWL516" s="332"/>
      <c r="OWM516" s="332"/>
      <c r="OWN516" s="332"/>
      <c r="OWO516" s="332"/>
      <c r="OWP516" s="332"/>
      <c r="OWQ516" s="332"/>
      <c r="OWR516" s="332"/>
      <c r="OWS516" s="332"/>
      <c r="OWT516" s="332"/>
      <c r="OWU516" s="332"/>
      <c r="OWV516" s="332"/>
      <c r="OWW516" s="332"/>
      <c r="OWX516" s="332"/>
      <c r="OWY516" s="332"/>
      <c r="OWZ516" s="332"/>
      <c r="OXA516" s="332"/>
      <c r="OXB516" s="332"/>
      <c r="OXC516" s="332"/>
      <c r="OXD516" s="332"/>
      <c r="OXE516" s="332"/>
      <c r="OXF516" s="332"/>
      <c r="OXG516" s="332"/>
      <c r="OXH516" s="332"/>
      <c r="OXI516" s="332"/>
      <c r="OXJ516" s="332"/>
      <c r="OXK516" s="332"/>
      <c r="OXL516" s="332"/>
      <c r="OXM516" s="332"/>
      <c r="OXN516" s="332"/>
      <c r="OXO516" s="332"/>
      <c r="OXP516" s="332"/>
      <c r="OXQ516" s="332"/>
      <c r="OXR516" s="332"/>
      <c r="OXS516" s="332"/>
      <c r="OXT516" s="332"/>
      <c r="OXU516" s="332"/>
      <c r="OXV516" s="332"/>
      <c r="OXW516" s="332"/>
      <c r="OXX516" s="332"/>
      <c r="OXY516" s="332"/>
      <c r="OXZ516" s="332"/>
      <c r="OYA516" s="332"/>
      <c r="OYB516" s="332"/>
      <c r="OYC516" s="332"/>
      <c r="OYD516" s="332"/>
      <c r="OYE516" s="332"/>
      <c r="OYF516" s="332"/>
      <c r="OYG516" s="332"/>
      <c r="OYH516" s="332"/>
      <c r="OYI516" s="332"/>
      <c r="OYJ516" s="332"/>
      <c r="OYK516" s="332"/>
      <c r="OYL516" s="332"/>
      <c r="OYM516" s="332"/>
      <c r="OYN516" s="332"/>
      <c r="OYO516" s="332"/>
      <c r="OYP516" s="332"/>
      <c r="OYQ516" s="332"/>
      <c r="OYR516" s="332"/>
      <c r="OYS516" s="332"/>
      <c r="OYT516" s="332"/>
      <c r="OYU516" s="332"/>
      <c r="OYV516" s="332"/>
      <c r="OYW516" s="332"/>
      <c r="OYX516" s="332"/>
      <c r="OYY516" s="332"/>
      <c r="OYZ516" s="332"/>
      <c r="OZA516" s="332"/>
      <c r="OZB516" s="332"/>
      <c r="OZC516" s="332"/>
      <c r="OZD516" s="332"/>
      <c r="OZE516" s="332"/>
      <c r="OZF516" s="332"/>
      <c r="OZG516" s="332"/>
      <c r="OZH516" s="332"/>
      <c r="OZI516" s="332"/>
      <c r="OZJ516" s="332"/>
      <c r="OZK516" s="332"/>
      <c r="OZL516" s="332"/>
      <c r="OZM516" s="332"/>
      <c r="OZN516" s="332"/>
      <c r="OZO516" s="332"/>
      <c r="OZP516" s="332"/>
      <c r="OZQ516" s="332"/>
      <c r="OZR516" s="332"/>
      <c r="OZS516" s="332"/>
      <c r="OZT516" s="332"/>
      <c r="OZU516" s="332"/>
      <c r="OZV516" s="332"/>
      <c r="OZW516" s="332"/>
      <c r="OZX516" s="332"/>
      <c r="OZY516" s="332"/>
      <c r="OZZ516" s="332"/>
      <c r="PAA516" s="332"/>
      <c r="PAB516" s="332"/>
      <c r="PAC516" s="332"/>
      <c r="PAD516" s="332"/>
      <c r="PAE516" s="332"/>
      <c r="PAF516" s="332"/>
      <c r="PAG516" s="332"/>
      <c r="PAH516" s="332"/>
      <c r="PAI516" s="332"/>
      <c r="PAJ516" s="332"/>
      <c r="PAK516" s="332"/>
      <c r="PAL516" s="332"/>
      <c r="PAM516" s="332"/>
      <c r="PAN516" s="332"/>
      <c r="PAO516" s="332"/>
      <c r="PAP516" s="332"/>
      <c r="PAQ516" s="332"/>
      <c r="PAR516" s="332"/>
      <c r="PAS516" s="332"/>
      <c r="PAT516" s="332"/>
      <c r="PAU516" s="332"/>
      <c r="PAV516" s="332"/>
      <c r="PAW516" s="332"/>
      <c r="PAX516" s="332"/>
      <c r="PAY516" s="332"/>
      <c r="PAZ516" s="332"/>
      <c r="PBA516" s="332"/>
      <c r="PBB516" s="332"/>
      <c r="PBC516" s="332"/>
      <c r="PBD516" s="332"/>
      <c r="PBE516" s="332"/>
      <c r="PBF516" s="332"/>
      <c r="PBG516" s="332"/>
      <c r="PBH516" s="332"/>
      <c r="PBI516" s="332"/>
      <c r="PBJ516" s="332"/>
      <c r="PBK516" s="332"/>
      <c r="PBL516" s="332"/>
      <c r="PBM516" s="332"/>
      <c r="PBN516" s="332"/>
      <c r="PBO516" s="332"/>
      <c r="PBP516" s="332"/>
      <c r="PBQ516" s="332"/>
      <c r="PBR516" s="332"/>
      <c r="PBS516" s="332"/>
      <c r="PBT516" s="332"/>
      <c r="PBU516" s="332"/>
      <c r="PBV516" s="332"/>
      <c r="PBW516" s="332"/>
      <c r="PBX516" s="332"/>
      <c r="PBY516" s="332"/>
      <c r="PBZ516" s="332"/>
      <c r="PCA516" s="332"/>
      <c r="PCB516" s="332"/>
      <c r="PCC516" s="332"/>
      <c r="PCD516" s="332"/>
      <c r="PCE516" s="332"/>
      <c r="PCF516" s="332"/>
      <c r="PCG516" s="332"/>
      <c r="PCH516" s="332"/>
      <c r="PCI516" s="332"/>
      <c r="PCJ516" s="332"/>
      <c r="PCK516" s="332"/>
      <c r="PCL516" s="332"/>
      <c r="PCM516" s="332"/>
      <c r="PCN516" s="332"/>
      <c r="PCO516" s="332"/>
      <c r="PCP516" s="332"/>
      <c r="PCQ516" s="332"/>
      <c r="PCR516" s="332"/>
      <c r="PCS516" s="332"/>
      <c r="PCT516" s="332"/>
      <c r="PCU516" s="332"/>
      <c r="PCV516" s="332"/>
      <c r="PCW516" s="332"/>
      <c r="PCX516" s="332"/>
      <c r="PCY516" s="332"/>
      <c r="PCZ516" s="332"/>
      <c r="PDA516" s="332"/>
      <c r="PDB516" s="332"/>
      <c r="PDC516" s="332"/>
      <c r="PDD516" s="332"/>
      <c r="PDE516" s="332"/>
      <c r="PDF516" s="332"/>
      <c r="PDG516" s="332"/>
      <c r="PDH516" s="332"/>
      <c r="PDI516" s="332"/>
      <c r="PDJ516" s="332"/>
      <c r="PDK516" s="332"/>
      <c r="PDL516" s="332"/>
      <c r="PDM516" s="332"/>
      <c r="PDN516" s="332"/>
      <c r="PDO516" s="332"/>
      <c r="PDP516" s="332"/>
      <c r="PDQ516" s="332"/>
      <c r="PDR516" s="332"/>
      <c r="PDS516" s="332"/>
      <c r="PDT516" s="332"/>
      <c r="PDU516" s="332"/>
      <c r="PDV516" s="332"/>
      <c r="PDW516" s="332"/>
      <c r="PDX516" s="332"/>
      <c r="PDY516" s="332"/>
      <c r="PDZ516" s="332"/>
      <c r="PEA516" s="332"/>
      <c r="PEB516" s="332"/>
      <c r="PEC516" s="332"/>
      <c r="PED516" s="332"/>
      <c r="PEE516" s="332"/>
      <c r="PEF516" s="332"/>
      <c r="PEG516" s="332"/>
      <c r="PEH516" s="332"/>
      <c r="PEI516" s="332"/>
      <c r="PEJ516" s="332"/>
      <c r="PEK516" s="332"/>
      <c r="PEL516" s="332"/>
      <c r="PEM516" s="332"/>
      <c r="PEN516" s="332"/>
      <c r="PEO516" s="332"/>
      <c r="PEP516" s="332"/>
      <c r="PEQ516" s="332"/>
      <c r="PER516" s="332"/>
      <c r="PES516" s="332"/>
      <c r="PET516" s="332"/>
      <c r="PEU516" s="332"/>
      <c r="PEV516" s="332"/>
      <c r="PEW516" s="332"/>
      <c r="PEX516" s="332"/>
      <c r="PEY516" s="332"/>
      <c r="PEZ516" s="332"/>
      <c r="PFA516" s="332"/>
      <c r="PFB516" s="332"/>
      <c r="PFC516" s="332"/>
      <c r="PFD516" s="332"/>
      <c r="PFE516" s="332"/>
      <c r="PFF516" s="332"/>
      <c r="PFG516" s="332"/>
      <c r="PFH516" s="332"/>
      <c r="PFI516" s="332"/>
      <c r="PFJ516" s="332"/>
      <c r="PFK516" s="332"/>
      <c r="PFL516" s="332"/>
      <c r="PFM516" s="332"/>
      <c r="PFN516" s="332"/>
      <c r="PFO516" s="332"/>
      <c r="PFP516" s="332"/>
      <c r="PFQ516" s="332"/>
      <c r="PFR516" s="332"/>
      <c r="PFS516" s="332"/>
      <c r="PFT516" s="332"/>
      <c r="PFU516" s="332"/>
      <c r="PFV516" s="332"/>
      <c r="PFW516" s="332"/>
      <c r="PFX516" s="332"/>
      <c r="PFY516" s="332"/>
      <c r="PFZ516" s="332"/>
      <c r="PGA516" s="332"/>
      <c r="PGB516" s="332"/>
      <c r="PGC516" s="332"/>
      <c r="PGD516" s="332"/>
      <c r="PGE516" s="332"/>
      <c r="PGF516" s="332"/>
      <c r="PGG516" s="332"/>
      <c r="PGH516" s="332"/>
      <c r="PGI516" s="332"/>
      <c r="PGJ516" s="332"/>
      <c r="PGK516" s="332"/>
      <c r="PGL516" s="332"/>
      <c r="PGM516" s="332"/>
      <c r="PGN516" s="332"/>
      <c r="PGO516" s="332"/>
      <c r="PGP516" s="332"/>
      <c r="PGQ516" s="332"/>
      <c r="PGR516" s="332"/>
      <c r="PGS516" s="332"/>
      <c r="PGT516" s="332"/>
      <c r="PGU516" s="332"/>
      <c r="PGV516" s="332"/>
      <c r="PGW516" s="332"/>
      <c r="PGX516" s="332"/>
      <c r="PGY516" s="332"/>
      <c r="PGZ516" s="332"/>
      <c r="PHA516" s="332"/>
      <c r="PHB516" s="332"/>
      <c r="PHC516" s="332"/>
      <c r="PHD516" s="332"/>
      <c r="PHE516" s="332"/>
      <c r="PHF516" s="332"/>
      <c r="PHG516" s="332"/>
      <c r="PHH516" s="332"/>
      <c r="PHI516" s="332"/>
      <c r="PHJ516" s="332"/>
      <c r="PHK516" s="332"/>
      <c r="PHL516" s="332"/>
      <c r="PHM516" s="332"/>
      <c r="PHN516" s="332"/>
      <c r="PHO516" s="332"/>
      <c r="PHP516" s="332"/>
      <c r="PHQ516" s="332"/>
      <c r="PHR516" s="332"/>
      <c r="PHS516" s="332"/>
      <c r="PHT516" s="332"/>
      <c r="PHU516" s="332"/>
      <c r="PHV516" s="332"/>
      <c r="PHW516" s="332"/>
      <c r="PHX516" s="332"/>
      <c r="PHY516" s="332"/>
      <c r="PHZ516" s="332"/>
      <c r="PIA516" s="332"/>
      <c r="PIB516" s="332"/>
      <c r="PIC516" s="332"/>
      <c r="PID516" s="332"/>
      <c r="PIE516" s="332"/>
      <c r="PIF516" s="332"/>
      <c r="PIG516" s="332"/>
      <c r="PIH516" s="332"/>
      <c r="PII516" s="332"/>
      <c r="PIJ516" s="332"/>
      <c r="PIK516" s="332"/>
      <c r="PIL516" s="332"/>
      <c r="PIM516" s="332"/>
      <c r="PIN516" s="332"/>
      <c r="PIO516" s="332"/>
      <c r="PIP516" s="332"/>
      <c r="PIQ516" s="332"/>
      <c r="PIR516" s="332"/>
      <c r="PIS516" s="332"/>
      <c r="PIT516" s="332"/>
      <c r="PIU516" s="332"/>
      <c r="PIV516" s="332"/>
      <c r="PIW516" s="332"/>
      <c r="PIX516" s="332"/>
      <c r="PIY516" s="332"/>
      <c r="PIZ516" s="332"/>
      <c r="PJA516" s="332"/>
      <c r="PJB516" s="332"/>
      <c r="PJC516" s="332"/>
      <c r="PJD516" s="332"/>
      <c r="PJE516" s="332"/>
      <c r="PJF516" s="332"/>
      <c r="PJG516" s="332"/>
      <c r="PJH516" s="332"/>
      <c r="PJI516" s="332"/>
      <c r="PJJ516" s="332"/>
      <c r="PJK516" s="332"/>
      <c r="PJL516" s="332"/>
      <c r="PJM516" s="332"/>
      <c r="PJN516" s="332"/>
      <c r="PJO516" s="332"/>
      <c r="PJP516" s="332"/>
      <c r="PJQ516" s="332"/>
      <c r="PJR516" s="332"/>
      <c r="PJS516" s="332"/>
      <c r="PJT516" s="332"/>
      <c r="PJU516" s="332"/>
      <c r="PJV516" s="332"/>
      <c r="PJW516" s="332"/>
      <c r="PJX516" s="332"/>
      <c r="PJY516" s="332"/>
      <c r="PJZ516" s="332"/>
      <c r="PKA516" s="332"/>
      <c r="PKB516" s="332"/>
      <c r="PKC516" s="332"/>
      <c r="PKD516" s="332"/>
      <c r="PKE516" s="332"/>
      <c r="PKF516" s="332"/>
      <c r="PKG516" s="332"/>
      <c r="PKH516" s="332"/>
      <c r="PKI516" s="332"/>
      <c r="PKJ516" s="332"/>
      <c r="PKK516" s="332"/>
      <c r="PKL516" s="332"/>
      <c r="PKM516" s="332"/>
      <c r="PKN516" s="332"/>
      <c r="PKO516" s="332"/>
      <c r="PKP516" s="332"/>
      <c r="PKQ516" s="332"/>
      <c r="PKR516" s="332"/>
      <c r="PKS516" s="332"/>
      <c r="PKT516" s="332"/>
      <c r="PKU516" s="332"/>
      <c r="PKV516" s="332"/>
      <c r="PKW516" s="332"/>
      <c r="PKX516" s="332"/>
      <c r="PKY516" s="332"/>
      <c r="PKZ516" s="332"/>
      <c r="PLA516" s="332"/>
      <c r="PLB516" s="332"/>
      <c r="PLC516" s="332"/>
      <c r="PLD516" s="332"/>
      <c r="PLE516" s="332"/>
      <c r="PLF516" s="332"/>
      <c r="PLG516" s="332"/>
      <c r="PLH516" s="332"/>
      <c r="PLI516" s="332"/>
      <c r="PLJ516" s="332"/>
      <c r="PLK516" s="332"/>
      <c r="PLL516" s="332"/>
      <c r="PLM516" s="332"/>
      <c r="PLN516" s="332"/>
      <c r="PLO516" s="332"/>
      <c r="PLP516" s="332"/>
      <c r="PLQ516" s="332"/>
      <c r="PLR516" s="332"/>
      <c r="PLS516" s="332"/>
      <c r="PLT516" s="332"/>
      <c r="PLU516" s="332"/>
      <c r="PLV516" s="332"/>
      <c r="PLW516" s="332"/>
      <c r="PLX516" s="332"/>
      <c r="PLY516" s="332"/>
      <c r="PLZ516" s="332"/>
      <c r="PMA516" s="332"/>
      <c r="PMB516" s="332"/>
      <c r="PMC516" s="332"/>
      <c r="PMD516" s="332"/>
      <c r="PME516" s="332"/>
      <c r="PMF516" s="332"/>
      <c r="PMG516" s="332"/>
      <c r="PMH516" s="332"/>
      <c r="PMI516" s="332"/>
      <c r="PMJ516" s="332"/>
      <c r="PMK516" s="332"/>
      <c r="PML516" s="332"/>
      <c r="PMM516" s="332"/>
      <c r="PMN516" s="332"/>
      <c r="PMO516" s="332"/>
      <c r="PMP516" s="332"/>
      <c r="PMQ516" s="332"/>
      <c r="PMR516" s="332"/>
      <c r="PMS516" s="332"/>
      <c r="PMT516" s="332"/>
      <c r="PMU516" s="332"/>
      <c r="PMV516" s="332"/>
      <c r="PMW516" s="332"/>
      <c r="PMX516" s="332"/>
      <c r="PMY516" s="332"/>
      <c r="PMZ516" s="332"/>
      <c r="PNA516" s="332"/>
      <c r="PNB516" s="332"/>
      <c r="PNC516" s="332"/>
      <c r="PND516" s="332"/>
      <c r="PNE516" s="332"/>
      <c r="PNF516" s="332"/>
      <c r="PNG516" s="332"/>
      <c r="PNH516" s="332"/>
      <c r="PNI516" s="332"/>
      <c r="PNJ516" s="332"/>
      <c r="PNK516" s="332"/>
      <c r="PNL516" s="332"/>
      <c r="PNM516" s="332"/>
      <c r="PNN516" s="332"/>
      <c r="PNO516" s="332"/>
      <c r="PNP516" s="332"/>
      <c r="PNQ516" s="332"/>
      <c r="PNR516" s="332"/>
      <c r="PNS516" s="332"/>
      <c r="PNT516" s="332"/>
      <c r="PNU516" s="332"/>
      <c r="PNV516" s="332"/>
      <c r="PNW516" s="332"/>
      <c r="PNX516" s="332"/>
      <c r="PNY516" s="332"/>
      <c r="PNZ516" s="332"/>
      <c r="POA516" s="332"/>
      <c r="POB516" s="332"/>
      <c r="POC516" s="332"/>
      <c r="POD516" s="332"/>
      <c r="POE516" s="332"/>
      <c r="POF516" s="332"/>
      <c r="POG516" s="332"/>
      <c r="POH516" s="332"/>
      <c r="POI516" s="332"/>
      <c r="POJ516" s="332"/>
      <c r="POK516" s="332"/>
      <c r="POL516" s="332"/>
      <c r="POM516" s="332"/>
      <c r="PON516" s="332"/>
      <c r="POO516" s="332"/>
      <c r="POP516" s="332"/>
      <c r="POQ516" s="332"/>
      <c r="POR516" s="332"/>
      <c r="POS516" s="332"/>
      <c r="POT516" s="332"/>
      <c r="POU516" s="332"/>
      <c r="POV516" s="332"/>
      <c r="POW516" s="332"/>
      <c r="POX516" s="332"/>
      <c r="POY516" s="332"/>
      <c r="POZ516" s="332"/>
      <c r="PPA516" s="332"/>
      <c r="PPB516" s="332"/>
      <c r="PPC516" s="332"/>
      <c r="PPD516" s="332"/>
      <c r="PPE516" s="332"/>
      <c r="PPF516" s="332"/>
      <c r="PPG516" s="332"/>
      <c r="PPH516" s="332"/>
      <c r="PPI516" s="332"/>
      <c r="PPJ516" s="332"/>
      <c r="PPK516" s="332"/>
      <c r="PPL516" s="332"/>
      <c r="PPM516" s="332"/>
      <c r="PPN516" s="332"/>
      <c r="PPO516" s="332"/>
      <c r="PPP516" s="332"/>
      <c r="PPQ516" s="332"/>
      <c r="PPR516" s="332"/>
      <c r="PPS516" s="332"/>
      <c r="PPT516" s="332"/>
      <c r="PPU516" s="332"/>
      <c r="PPV516" s="332"/>
      <c r="PPW516" s="332"/>
      <c r="PPX516" s="332"/>
      <c r="PPY516" s="332"/>
      <c r="PPZ516" s="332"/>
      <c r="PQA516" s="332"/>
      <c r="PQB516" s="332"/>
      <c r="PQC516" s="332"/>
      <c r="PQD516" s="332"/>
      <c r="PQE516" s="332"/>
      <c r="PQF516" s="332"/>
      <c r="PQG516" s="332"/>
      <c r="PQH516" s="332"/>
      <c r="PQI516" s="332"/>
      <c r="PQJ516" s="332"/>
      <c r="PQK516" s="332"/>
      <c r="PQL516" s="332"/>
      <c r="PQM516" s="332"/>
      <c r="PQN516" s="332"/>
      <c r="PQO516" s="332"/>
      <c r="PQP516" s="332"/>
      <c r="PQQ516" s="332"/>
      <c r="PQR516" s="332"/>
      <c r="PQS516" s="332"/>
      <c r="PQT516" s="332"/>
      <c r="PQU516" s="332"/>
      <c r="PQV516" s="332"/>
      <c r="PQW516" s="332"/>
      <c r="PQX516" s="332"/>
      <c r="PQY516" s="332"/>
      <c r="PQZ516" s="332"/>
      <c r="PRA516" s="332"/>
      <c r="PRB516" s="332"/>
      <c r="PRC516" s="332"/>
      <c r="PRD516" s="332"/>
      <c r="PRE516" s="332"/>
      <c r="PRF516" s="332"/>
      <c r="PRG516" s="332"/>
      <c r="PRH516" s="332"/>
      <c r="PRI516" s="332"/>
      <c r="PRJ516" s="332"/>
      <c r="PRK516" s="332"/>
      <c r="PRL516" s="332"/>
      <c r="PRM516" s="332"/>
      <c r="PRN516" s="332"/>
      <c r="PRO516" s="332"/>
      <c r="PRP516" s="332"/>
      <c r="PRQ516" s="332"/>
      <c r="PRR516" s="332"/>
      <c r="PRS516" s="332"/>
      <c r="PRT516" s="332"/>
      <c r="PRU516" s="332"/>
      <c r="PRV516" s="332"/>
      <c r="PRW516" s="332"/>
      <c r="PRX516" s="332"/>
      <c r="PRY516" s="332"/>
      <c r="PRZ516" s="332"/>
      <c r="PSA516" s="332"/>
      <c r="PSB516" s="332"/>
      <c r="PSC516" s="332"/>
      <c r="PSD516" s="332"/>
      <c r="PSE516" s="332"/>
      <c r="PSF516" s="332"/>
      <c r="PSG516" s="332"/>
      <c r="PSH516" s="332"/>
      <c r="PSI516" s="332"/>
      <c r="PSJ516" s="332"/>
      <c r="PSK516" s="332"/>
      <c r="PSL516" s="332"/>
      <c r="PSM516" s="332"/>
      <c r="PSN516" s="332"/>
      <c r="PSO516" s="332"/>
      <c r="PSP516" s="332"/>
      <c r="PSQ516" s="332"/>
      <c r="PSR516" s="332"/>
      <c r="PSS516" s="332"/>
      <c r="PST516" s="332"/>
      <c r="PSU516" s="332"/>
      <c r="PSV516" s="332"/>
      <c r="PSW516" s="332"/>
      <c r="PSX516" s="332"/>
      <c r="PSY516" s="332"/>
      <c r="PSZ516" s="332"/>
      <c r="PTA516" s="332"/>
      <c r="PTB516" s="332"/>
      <c r="PTC516" s="332"/>
      <c r="PTD516" s="332"/>
      <c r="PTE516" s="332"/>
      <c r="PTF516" s="332"/>
      <c r="PTG516" s="332"/>
      <c r="PTH516" s="332"/>
      <c r="PTI516" s="332"/>
      <c r="PTJ516" s="332"/>
      <c r="PTK516" s="332"/>
      <c r="PTL516" s="332"/>
      <c r="PTM516" s="332"/>
      <c r="PTN516" s="332"/>
      <c r="PTO516" s="332"/>
      <c r="PTP516" s="332"/>
      <c r="PTQ516" s="332"/>
      <c r="PTR516" s="332"/>
      <c r="PTS516" s="332"/>
      <c r="PTT516" s="332"/>
      <c r="PTU516" s="332"/>
      <c r="PTV516" s="332"/>
      <c r="PTW516" s="332"/>
      <c r="PTX516" s="332"/>
      <c r="PTY516" s="332"/>
      <c r="PTZ516" s="332"/>
      <c r="PUA516" s="332"/>
      <c r="PUB516" s="332"/>
      <c r="PUC516" s="332"/>
      <c r="PUD516" s="332"/>
      <c r="PUE516" s="332"/>
      <c r="PUF516" s="332"/>
      <c r="PUG516" s="332"/>
      <c r="PUH516" s="332"/>
      <c r="PUI516" s="332"/>
      <c r="PUJ516" s="332"/>
      <c r="PUK516" s="332"/>
      <c r="PUL516" s="332"/>
      <c r="PUM516" s="332"/>
      <c r="PUN516" s="332"/>
      <c r="PUO516" s="332"/>
      <c r="PUP516" s="332"/>
      <c r="PUQ516" s="332"/>
      <c r="PUR516" s="332"/>
      <c r="PUS516" s="332"/>
      <c r="PUT516" s="332"/>
      <c r="PUU516" s="332"/>
      <c r="PUV516" s="332"/>
      <c r="PUW516" s="332"/>
      <c r="PUX516" s="332"/>
      <c r="PUY516" s="332"/>
      <c r="PUZ516" s="332"/>
      <c r="PVA516" s="332"/>
      <c r="PVB516" s="332"/>
      <c r="PVC516" s="332"/>
      <c r="PVD516" s="332"/>
      <c r="PVE516" s="332"/>
      <c r="PVF516" s="332"/>
      <c r="PVG516" s="332"/>
      <c r="PVH516" s="332"/>
      <c r="PVI516" s="332"/>
      <c r="PVJ516" s="332"/>
      <c r="PVK516" s="332"/>
      <c r="PVL516" s="332"/>
      <c r="PVM516" s="332"/>
      <c r="PVN516" s="332"/>
      <c r="PVO516" s="332"/>
      <c r="PVP516" s="332"/>
      <c r="PVQ516" s="332"/>
      <c r="PVR516" s="332"/>
      <c r="PVS516" s="332"/>
      <c r="PVT516" s="332"/>
      <c r="PVU516" s="332"/>
      <c r="PVV516" s="332"/>
      <c r="PVW516" s="332"/>
      <c r="PVX516" s="332"/>
      <c r="PVY516" s="332"/>
      <c r="PVZ516" s="332"/>
      <c r="PWA516" s="332"/>
      <c r="PWB516" s="332"/>
      <c r="PWC516" s="332"/>
      <c r="PWD516" s="332"/>
      <c r="PWE516" s="332"/>
      <c r="PWF516" s="332"/>
      <c r="PWG516" s="332"/>
      <c r="PWH516" s="332"/>
      <c r="PWI516" s="332"/>
      <c r="PWJ516" s="332"/>
      <c r="PWK516" s="332"/>
      <c r="PWL516" s="332"/>
      <c r="PWM516" s="332"/>
      <c r="PWN516" s="332"/>
      <c r="PWO516" s="332"/>
      <c r="PWP516" s="332"/>
      <c r="PWQ516" s="332"/>
      <c r="PWR516" s="332"/>
      <c r="PWS516" s="332"/>
      <c r="PWT516" s="332"/>
      <c r="PWU516" s="332"/>
      <c r="PWV516" s="332"/>
      <c r="PWW516" s="332"/>
      <c r="PWX516" s="332"/>
      <c r="PWY516" s="332"/>
      <c r="PWZ516" s="332"/>
      <c r="PXA516" s="332"/>
      <c r="PXB516" s="332"/>
      <c r="PXC516" s="332"/>
      <c r="PXD516" s="332"/>
      <c r="PXE516" s="332"/>
      <c r="PXF516" s="332"/>
      <c r="PXG516" s="332"/>
      <c r="PXH516" s="332"/>
      <c r="PXI516" s="332"/>
      <c r="PXJ516" s="332"/>
      <c r="PXK516" s="332"/>
      <c r="PXL516" s="332"/>
      <c r="PXM516" s="332"/>
      <c r="PXN516" s="332"/>
      <c r="PXO516" s="332"/>
      <c r="PXP516" s="332"/>
      <c r="PXQ516" s="332"/>
      <c r="PXR516" s="332"/>
      <c r="PXS516" s="332"/>
      <c r="PXT516" s="332"/>
      <c r="PXU516" s="332"/>
      <c r="PXV516" s="332"/>
      <c r="PXW516" s="332"/>
      <c r="PXX516" s="332"/>
      <c r="PXY516" s="332"/>
      <c r="PXZ516" s="332"/>
      <c r="PYA516" s="332"/>
      <c r="PYB516" s="332"/>
      <c r="PYC516" s="332"/>
      <c r="PYD516" s="332"/>
      <c r="PYE516" s="332"/>
      <c r="PYF516" s="332"/>
      <c r="PYG516" s="332"/>
      <c r="PYH516" s="332"/>
      <c r="PYI516" s="332"/>
      <c r="PYJ516" s="332"/>
      <c r="PYK516" s="332"/>
      <c r="PYL516" s="332"/>
      <c r="PYM516" s="332"/>
      <c r="PYN516" s="332"/>
      <c r="PYO516" s="332"/>
      <c r="PYP516" s="332"/>
      <c r="PYQ516" s="332"/>
      <c r="PYR516" s="332"/>
      <c r="PYS516" s="332"/>
      <c r="PYT516" s="332"/>
      <c r="PYU516" s="332"/>
      <c r="PYV516" s="332"/>
      <c r="PYW516" s="332"/>
      <c r="PYX516" s="332"/>
      <c r="PYY516" s="332"/>
      <c r="PYZ516" s="332"/>
      <c r="PZA516" s="332"/>
      <c r="PZB516" s="332"/>
      <c r="PZC516" s="332"/>
      <c r="PZD516" s="332"/>
      <c r="PZE516" s="332"/>
      <c r="PZF516" s="332"/>
      <c r="PZG516" s="332"/>
      <c r="PZH516" s="332"/>
      <c r="PZI516" s="332"/>
      <c r="PZJ516" s="332"/>
      <c r="PZK516" s="332"/>
      <c r="PZL516" s="332"/>
      <c r="PZM516" s="332"/>
      <c r="PZN516" s="332"/>
      <c r="PZO516" s="332"/>
      <c r="PZP516" s="332"/>
      <c r="PZQ516" s="332"/>
      <c r="PZR516" s="332"/>
      <c r="PZS516" s="332"/>
      <c r="PZT516" s="332"/>
      <c r="PZU516" s="332"/>
      <c r="PZV516" s="332"/>
      <c r="PZW516" s="332"/>
      <c r="PZX516" s="332"/>
      <c r="PZY516" s="332"/>
      <c r="PZZ516" s="332"/>
      <c r="QAA516" s="332"/>
      <c r="QAB516" s="332"/>
      <c r="QAC516" s="332"/>
      <c r="QAD516" s="332"/>
      <c r="QAE516" s="332"/>
      <c r="QAF516" s="332"/>
      <c r="QAG516" s="332"/>
      <c r="QAH516" s="332"/>
      <c r="QAI516" s="332"/>
      <c r="QAJ516" s="332"/>
      <c r="QAK516" s="332"/>
      <c r="QAL516" s="332"/>
      <c r="QAM516" s="332"/>
      <c r="QAN516" s="332"/>
      <c r="QAO516" s="332"/>
      <c r="QAP516" s="332"/>
      <c r="QAQ516" s="332"/>
      <c r="QAR516" s="332"/>
      <c r="QAS516" s="332"/>
      <c r="QAT516" s="332"/>
      <c r="QAU516" s="332"/>
      <c r="QAV516" s="332"/>
      <c r="QAW516" s="332"/>
      <c r="QAX516" s="332"/>
      <c r="QAY516" s="332"/>
      <c r="QAZ516" s="332"/>
      <c r="QBA516" s="332"/>
      <c r="QBB516" s="332"/>
      <c r="QBC516" s="332"/>
      <c r="QBD516" s="332"/>
      <c r="QBE516" s="332"/>
      <c r="QBF516" s="332"/>
      <c r="QBG516" s="332"/>
      <c r="QBH516" s="332"/>
      <c r="QBI516" s="332"/>
      <c r="QBJ516" s="332"/>
      <c r="QBK516" s="332"/>
      <c r="QBL516" s="332"/>
      <c r="QBM516" s="332"/>
      <c r="QBN516" s="332"/>
      <c r="QBO516" s="332"/>
      <c r="QBP516" s="332"/>
      <c r="QBQ516" s="332"/>
      <c r="QBR516" s="332"/>
      <c r="QBS516" s="332"/>
      <c r="QBT516" s="332"/>
      <c r="QBU516" s="332"/>
      <c r="QBV516" s="332"/>
      <c r="QBW516" s="332"/>
      <c r="QBX516" s="332"/>
      <c r="QBY516" s="332"/>
      <c r="QBZ516" s="332"/>
      <c r="QCA516" s="332"/>
      <c r="QCB516" s="332"/>
      <c r="QCC516" s="332"/>
      <c r="QCD516" s="332"/>
      <c r="QCE516" s="332"/>
      <c r="QCF516" s="332"/>
      <c r="QCG516" s="332"/>
      <c r="QCH516" s="332"/>
      <c r="QCI516" s="332"/>
      <c r="QCJ516" s="332"/>
      <c r="QCK516" s="332"/>
      <c r="QCL516" s="332"/>
      <c r="QCM516" s="332"/>
      <c r="QCN516" s="332"/>
      <c r="QCO516" s="332"/>
      <c r="QCP516" s="332"/>
      <c r="QCQ516" s="332"/>
      <c r="QCR516" s="332"/>
      <c r="QCS516" s="332"/>
      <c r="QCT516" s="332"/>
      <c r="QCU516" s="332"/>
      <c r="QCV516" s="332"/>
      <c r="QCW516" s="332"/>
      <c r="QCX516" s="332"/>
      <c r="QCY516" s="332"/>
      <c r="QCZ516" s="332"/>
      <c r="QDA516" s="332"/>
      <c r="QDB516" s="332"/>
      <c r="QDC516" s="332"/>
      <c r="QDD516" s="332"/>
      <c r="QDE516" s="332"/>
      <c r="QDF516" s="332"/>
      <c r="QDG516" s="332"/>
      <c r="QDH516" s="332"/>
      <c r="QDI516" s="332"/>
      <c r="QDJ516" s="332"/>
      <c r="QDK516" s="332"/>
      <c r="QDL516" s="332"/>
      <c r="QDM516" s="332"/>
      <c r="QDN516" s="332"/>
      <c r="QDO516" s="332"/>
      <c r="QDP516" s="332"/>
      <c r="QDQ516" s="332"/>
      <c r="QDR516" s="332"/>
      <c r="QDS516" s="332"/>
      <c r="QDT516" s="332"/>
      <c r="QDU516" s="332"/>
      <c r="QDV516" s="332"/>
      <c r="QDW516" s="332"/>
      <c r="QDX516" s="332"/>
      <c r="QDY516" s="332"/>
      <c r="QDZ516" s="332"/>
      <c r="QEA516" s="332"/>
      <c r="QEB516" s="332"/>
      <c r="QEC516" s="332"/>
      <c r="QED516" s="332"/>
      <c r="QEE516" s="332"/>
      <c r="QEF516" s="332"/>
      <c r="QEG516" s="332"/>
      <c r="QEH516" s="332"/>
      <c r="QEI516" s="332"/>
      <c r="QEJ516" s="332"/>
      <c r="QEK516" s="332"/>
      <c r="QEL516" s="332"/>
      <c r="QEM516" s="332"/>
      <c r="QEN516" s="332"/>
      <c r="QEO516" s="332"/>
      <c r="QEP516" s="332"/>
      <c r="QEQ516" s="332"/>
      <c r="QER516" s="332"/>
      <c r="QES516" s="332"/>
      <c r="QET516" s="332"/>
      <c r="QEU516" s="332"/>
      <c r="QEV516" s="332"/>
      <c r="QEW516" s="332"/>
      <c r="QEX516" s="332"/>
      <c r="QEY516" s="332"/>
      <c r="QEZ516" s="332"/>
      <c r="QFA516" s="332"/>
      <c r="QFB516" s="332"/>
      <c r="QFC516" s="332"/>
      <c r="QFD516" s="332"/>
      <c r="QFE516" s="332"/>
      <c r="QFF516" s="332"/>
      <c r="QFG516" s="332"/>
      <c r="QFH516" s="332"/>
      <c r="QFI516" s="332"/>
      <c r="QFJ516" s="332"/>
      <c r="QFK516" s="332"/>
      <c r="QFL516" s="332"/>
      <c r="QFM516" s="332"/>
      <c r="QFN516" s="332"/>
      <c r="QFO516" s="332"/>
      <c r="QFP516" s="332"/>
      <c r="QFQ516" s="332"/>
      <c r="QFR516" s="332"/>
      <c r="QFS516" s="332"/>
      <c r="QFT516" s="332"/>
      <c r="QFU516" s="332"/>
      <c r="QFV516" s="332"/>
      <c r="QFW516" s="332"/>
      <c r="QFX516" s="332"/>
      <c r="QFY516" s="332"/>
      <c r="QFZ516" s="332"/>
      <c r="QGA516" s="332"/>
      <c r="QGB516" s="332"/>
      <c r="QGC516" s="332"/>
      <c r="QGD516" s="332"/>
      <c r="QGE516" s="332"/>
      <c r="QGF516" s="332"/>
      <c r="QGG516" s="332"/>
      <c r="QGH516" s="332"/>
      <c r="QGI516" s="332"/>
      <c r="QGJ516" s="332"/>
      <c r="QGK516" s="332"/>
      <c r="QGL516" s="332"/>
      <c r="QGM516" s="332"/>
      <c r="QGN516" s="332"/>
      <c r="QGO516" s="332"/>
      <c r="QGP516" s="332"/>
      <c r="QGQ516" s="332"/>
      <c r="QGR516" s="332"/>
      <c r="QGS516" s="332"/>
      <c r="QGT516" s="332"/>
      <c r="QGU516" s="332"/>
      <c r="QGV516" s="332"/>
      <c r="QGW516" s="332"/>
      <c r="QGX516" s="332"/>
      <c r="QGY516" s="332"/>
      <c r="QGZ516" s="332"/>
      <c r="QHA516" s="332"/>
      <c r="QHB516" s="332"/>
      <c r="QHC516" s="332"/>
      <c r="QHD516" s="332"/>
      <c r="QHE516" s="332"/>
      <c r="QHF516" s="332"/>
      <c r="QHG516" s="332"/>
      <c r="QHH516" s="332"/>
      <c r="QHI516" s="332"/>
      <c r="QHJ516" s="332"/>
      <c r="QHK516" s="332"/>
      <c r="QHL516" s="332"/>
      <c r="QHM516" s="332"/>
      <c r="QHN516" s="332"/>
      <c r="QHO516" s="332"/>
      <c r="QHP516" s="332"/>
      <c r="QHQ516" s="332"/>
      <c r="QHR516" s="332"/>
      <c r="QHS516" s="332"/>
      <c r="QHT516" s="332"/>
      <c r="QHU516" s="332"/>
      <c r="QHV516" s="332"/>
      <c r="QHW516" s="332"/>
      <c r="QHX516" s="332"/>
      <c r="QHY516" s="332"/>
      <c r="QHZ516" s="332"/>
      <c r="QIA516" s="332"/>
      <c r="QIB516" s="332"/>
      <c r="QIC516" s="332"/>
      <c r="QID516" s="332"/>
      <c r="QIE516" s="332"/>
      <c r="QIF516" s="332"/>
      <c r="QIG516" s="332"/>
      <c r="QIH516" s="332"/>
      <c r="QII516" s="332"/>
      <c r="QIJ516" s="332"/>
      <c r="QIK516" s="332"/>
      <c r="QIL516" s="332"/>
      <c r="QIM516" s="332"/>
      <c r="QIN516" s="332"/>
      <c r="QIO516" s="332"/>
      <c r="QIP516" s="332"/>
      <c r="QIQ516" s="332"/>
      <c r="QIR516" s="332"/>
      <c r="QIS516" s="332"/>
      <c r="QIT516" s="332"/>
      <c r="QIU516" s="332"/>
      <c r="QIV516" s="332"/>
      <c r="QIW516" s="332"/>
      <c r="QIX516" s="332"/>
      <c r="QIY516" s="332"/>
      <c r="QIZ516" s="332"/>
      <c r="QJA516" s="332"/>
      <c r="QJB516" s="332"/>
      <c r="QJC516" s="332"/>
      <c r="QJD516" s="332"/>
      <c r="QJE516" s="332"/>
      <c r="QJF516" s="332"/>
      <c r="QJG516" s="332"/>
      <c r="QJH516" s="332"/>
      <c r="QJI516" s="332"/>
      <c r="QJJ516" s="332"/>
      <c r="QJK516" s="332"/>
      <c r="QJL516" s="332"/>
      <c r="QJM516" s="332"/>
      <c r="QJN516" s="332"/>
      <c r="QJO516" s="332"/>
      <c r="QJP516" s="332"/>
      <c r="QJQ516" s="332"/>
      <c r="QJR516" s="332"/>
      <c r="QJS516" s="332"/>
      <c r="QJT516" s="332"/>
      <c r="QJU516" s="332"/>
      <c r="QJV516" s="332"/>
      <c r="QJW516" s="332"/>
      <c r="QJX516" s="332"/>
      <c r="QJY516" s="332"/>
      <c r="QJZ516" s="332"/>
      <c r="QKA516" s="332"/>
      <c r="QKB516" s="332"/>
      <c r="QKC516" s="332"/>
      <c r="QKD516" s="332"/>
      <c r="QKE516" s="332"/>
      <c r="QKF516" s="332"/>
      <c r="QKG516" s="332"/>
      <c r="QKH516" s="332"/>
      <c r="QKI516" s="332"/>
      <c r="QKJ516" s="332"/>
      <c r="QKK516" s="332"/>
      <c r="QKL516" s="332"/>
      <c r="QKM516" s="332"/>
      <c r="QKN516" s="332"/>
      <c r="QKO516" s="332"/>
      <c r="QKP516" s="332"/>
      <c r="QKQ516" s="332"/>
      <c r="QKR516" s="332"/>
      <c r="QKS516" s="332"/>
      <c r="QKT516" s="332"/>
      <c r="QKU516" s="332"/>
      <c r="QKV516" s="332"/>
      <c r="QKW516" s="332"/>
      <c r="QKX516" s="332"/>
      <c r="QKY516" s="332"/>
      <c r="QKZ516" s="332"/>
      <c r="QLA516" s="332"/>
      <c r="QLB516" s="332"/>
      <c r="QLC516" s="332"/>
      <c r="QLD516" s="332"/>
      <c r="QLE516" s="332"/>
      <c r="QLF516" s="332"/>
      <c r="QLG516" s="332"/>
      <c r="QLH516" s="332"/>
      <c r="QLI516" s="332"/>
      <c r="QLJ516" s="332"/>
      <c r="QLK516" s="332"/>
      <c r="QLL516" s="332"/>
      <c r="QLM516" s="332"/>
      <c r="QLN516" s="332"/>
      <c r="QLO516" s="332"/>
      <c r="QLP516" s="332"/>
      <c r="QLQ516" s="332"/>
      <c r="QLR516" s="332"/>
      <c r="QLS516" s="332"/>
      <c r="QLT516" s="332"/>
      <c r="QLU516" s="332"/>
      <c r="QLV516" s="332"/>
      <c r="QLW516" s="332"/>
      <c r="QLX516" s="332"/>
      <c r="QLY516" s="332"/>
      <c r="QLZ516" s="332"/>
      <c r="QMA516" s="332"/>
      <c r="QMB516" s="332"/>
      <c r="QMC516" s="332"/>
      <c r="QMD516" s="332"/>
      <c r="QME516" s="332"/>
      <c r="QMF516" s="332"/>
      <c r="QMG516" s="332"/>
      <c r="QMH516" s="332"/>
      <c r="QMI516" s="332"/>
      <c r="QMJ516" s="332"/>
      <c r="QMK516" s="332"/>
      <c r="QML516" s="332"/>
      <c r="QMM516" s="332"/>
      <c r="QMN516" s="332"/>
      <c r="QMO516" s="332"/>
      <c r="QMP516" s="332"/>
      <c r="QMQ516" s="332"/>
      <c r="QMR516" s="332"/>
      <c r="QMS516" s="332"/>
      <c r="QMT516" s="332"/>
      <c r="QMU516" s="332"/>
      <c r="QMV516" s="332"/>
      <c r="QMW516" s="332"/>
      <c r="QMX516" s="332"/>
      <c r="QMY516" s="332"/>
      <c r="QMZ516" s="332"/>
      <c r="QNA516" s="332"/>
      <c r="QNB516" s="332"/>
      <c r="QNC516" s="332"/>
      <c r="QND516" s="332"/>
      <c r="QNE516" s="332"/>
      <c r="QNF516" s="332"/>
      <c r="QNG516" s="332"/>
      <c r="QNH516" s="332"/>
      <c r="QNI516" s="332"/>
      <c r="QNJ516" s="332"/>
      <c r="QNK516" s="332"/>
      <c r="QNL516" s="332"/>
      <c r="QNM516" s="332"/>
      <c r="QNN516" s="332"/>
      <c r="QNO516" s="332"/>
      <c r="QNP516" s="332"/>
      <c r="QNQ516" s="332"/>
      <c r="QNR516" s="332"/>
      <c r="QNS516" s="332"/>
      <c r="QNT516" s="332"/>
      <c r="QNU516" s="332"/>
      <c r="QNV516" s="332"/>
      <c r="QNW516" s="332"/>
      <c r="QNX516" s="332"/>
      <c r="QNY516" s="332"/>
      <c r="QNZ516" s="332"/>
      <c r="QOA516" s="332"/>
      <c r="QOB516" s="332"/>
      <c r="QOC516" s="332"/>
      <c r="QOD516" s="332"/>
      <c r="QOE516" s="332"/>
      <c r="QOF516" s="332"/>
      <c r="QOG516" s="332"/>
      <c r="QOH516" s="332"/>
      <c r="QOI516" s="332"/>
      <c r="QOJ516" s="332"/>
      <c r="QOK516" s="332"/>
      <c r="QOL516" s="332"/>
      <c r="QOM516" s="332"/>
      <c r="QON516" s="332"/>
      <c r="QOO516" s="332"/>
      <c r="QOP516" s="332"/>
      <c r="QOQ516" s="332"/>
      <c r="QOR516" s="332"/>
      <c r="QOS516" s="332"/>
      <c r="QOT516" s="332"/>
      <c r="QOU516" s="332"/>
      <c r="QOV516" s="332"/>
      <c r="QOW516" s="332"/>
      <c r="QOX516" s="332"/>
      <c r="QOY516" s="332"/>
      <c r="QOZ516" s="332"/>
      <c r="QPA516" s="332"/>
      <c r="QPB516" s="332"/>
      <c r="QPC516" s="332"/>
      <c r="QPD516" s="332"/>
      <c r="QPE516" s="332"/>
      <c r="QPF516" s="332"/>
      <c r="QPG516" s="332"/>
      <c r="QPH516" s="332"/>
      <c r="QPI516" s="332"/>
      <c r="QPJ516" s="332"/>
      <c r="QPK516" s="332"/>
      <c r="QPL516" s="332"/>
      <c r="QPM516" s="332"/>
      <c r="QPN516" s="332"/>
      <c r="QPO516" s="332"/>
      <c r="QPP516" s="332"/>
      <c r="QPQ516" s="332"/>
      <c r="QPR516" s="332"/>
      <c r="QPS516" s="332"/>
      <c r="QPT516" s="332"/>
      <c r="QPU516" s="332"/>
      <c r="QPV516" s="332"/>
      <c r="QPW516" s="332"/>
      <c r="QPX516" s="332"/>
      <c r="QPY516" s="332"/>
      <c r="QPZ516" s="332"/>
      <c r="QQA516" s="332"/>
      <c r="QQB516" s="332"/>
      <c r="QQC516" s="332"/>
      <c r="QQD516" s="332"/>
      <c r="QQE516" s="332"/>
      <c r="QQF516" s="332"/>
      <c r="QQG516" s="332"/>
      <c r="QQH516" s="332"/>
      <c r="QQI516" s="332"/>
      <c r="QQJ516" s="332"/>
      <c r="QQK516" s="332"/>
      <c r="QQL516" s="332"/>
      <c r="QQM516" s="332"/>
      <c r="QQN516" s="332"/>
      <c r="QQO516" s="332"/>
      <c r="QQP516" s="332"/>
      <c r="QQQ516" s="332"/>
      <c r="QQR516" s="332"/>
      <c r="QQS516" s="332"/>
      <c r="QQT516" s="332"/>
      <c r="QQU516" s="332"/>
      <c r="QQV516" s="332"/>
      <c r="QQW516" s="332"/>
      <c r="QQX516" s="332"/>
      <c r="QQY516" s="332"/>
      <c r="QQZ516" s="332"/>
      <c r="QRA516" s="332"/>
      <c r="QRB516" s="332"/>
      <c r="QRC516" s="332"/>
      <c r="QRD516" s="332"/>
      <c r="QRE516" s="332"/>
      <c r="QRF516" s="332"/>
      <c r="QRG516" s="332"/>
      <c r="QRH516" s="332"/>
      <c r="QRI516" s="332"/>
      <c r="QRJ516" s="332"/>
      <c r="QRK516" s="332"/>
      <c r="QRL516" s="332"/>
      <c r="QRM516" s="332"/>
      <c r="QRN516" s="332"/>
      <c r="QRO516" s="332"/>
      <c r="QRP516" s="332"/>
      <c r="QRQ516" s="332"/>
      <c r="QRR516" s="332"/>
      <c r="QRS516" s="332"/>
      <c r="QRT516" s="332"/>
      <c r="QRU516" s="332"/>
      <c r="QRV516" s="332"/>
      <c r="QRW516" s="332"/>
      <c r="QRX516" s="332"/>
      <c r="QRY516" s="332"/>
      <c r="QRZ516" s="332"/>
      <c r="QSA516" s="332"/>
      <c r="QSB516" s="332"/>
      <c r="QSC516" s="332"/>
      <c r="QSD516" s="332"/>
      <c r="QSE516" s="332"/>
      <c r="QSF516" s="332"/>
      <c r="QSG516" s="332"/>
      <c r="QSH516" s="332"/>
      <c r="QSI516" s="332"/>
      <c r="QSJ516" s="332"/>
      <c r="QSK516" s="332"/>
      <c r="QSL516" s="332"/>
      <c r="QSM516" s="332"/>
      <c r="QSN516" s="332"/>
      <c r="QSO516" s="332"/>
      <c r="QSP516" s="332"/>
      <c r="QSQ516" s="332"/>
      <c r="QSR516" s="332"/>
      <c r="QSS516" s="332"/>
      <c r="QST516" s="332"/>
      <c r="QSU516" s="332"/>
      <c r="QSV516" s="332"/>
      <c r="QSW516" s="332"/>
      <c r="QSX516" s="332"/>
      <c r="QSY516" s="332"/>
      <c r="QSZ516" s="332"/>
      <c r="QTA516" s="332"/>
      <c r="QTB516" s="332"/>
      <c r="QTC516" s="332"/>
      <c r="QTD516" s="332"/>
      <c r="QTE516" s="332"/>
      <c r="QTF516" s="332"/>
      <c r="QTG516" s="332"/>
      <c r="QTH516" s="332"/>
      <c r="QTI516" s="332"/>
      <c r="QTJ516" s="332"/>
      <c r="QTK516" s="332"/>
      <c r="QTL516" s="332"/>
      <c r="QTM516" s="332"/>
      <c r="QTN516" s="332"/>
      <c r="QTO516" s="332"/>
      <c r="QTP516" s="332"/>
      <c r="QTQ516" s="332"/>
      <c r="QTR516" s="332"/>
      <c r="QTS516" s="332"/>
      <c r="QTT516" s="332"/>
      <c r="QTU516" s="332"/>
      <c r="QTV516" s="332"/>
      <c r="QTW516" s="332"/>
      <c r="QTX516" s="332"/>
      <c r="QTY516" s="332"/>
      <c r="QTZ516" s="332"/>
      <c r="QUA516" s="332"/>
      <c r="QUB516" s="332"/>
      <c r="QUC516" s="332"/>
      <c r="QUD516" s="332"/>
      <c r="QUE516" s="332"/>
      <c r="QUF516" s="332"/>
      <c r="QUG516" s="332"/>
      <c r="QUH516" s="332"/>
      <c r="QUI516" s="332"/>
      <c r="QUJ516" s="332"/>
      <c r="QUK516" s="332"/>
      <c r="QUL516" s="332"/>
      <c r="QUM516" s="332"/>
      <c r="QUN516" s="332"/>
      <c r="QUO516" s="332"/>
      <c r="QUP516" s="332"/>
      <c r="QUQ516" s="332"/>
      <c r="QUR516" s="332"/>
      <c r="QUS516" s="332"/>
      <c r="QUT516" s="332"/>
      <c r="QUU516" s="332"/>
      <c r="QUV516" s="332"/>
      <c r="QUW516" s="332"/>
      <c r="QUX516" s="332"/>
      <c r="QUY516" s="332"/>
      <c r="QUZ516" s="332"/>
      <c r="QVA516" s="332"/>
      <c r="QVB516" s="332"/>
      <c r="QVC516" s="332"/>
      <c r="QVD516" s="332"/>
      <c r="QVE516" s="332"/>
      <c r="QVF516" s="332"/>
      <c r="QVG516" s="332"/>
      <c r="QVH516" s="332"/>
      <c r="QVI516" s="332"/>
      <c r="QVJ516" s="332"/>
      <c r="QVK516" s="332"/>
      <c r="QVL516" s="332"/>
      <c r="QVM516" s="332"/>
      <c r="QVN516" s="332"/>
      <c r="QVO516" s="332"/>
      <c r="QVP516" s="332"/>
      <c r="QVQ516" s="332"/>
      <c r="QVR516" s="332"/>
      <c r="QVS516" s="332"/>
      <c r="QVT516" s="332"/>
      <c r="QVU516" s="332"/>
      <c r="QVV516" s="332"/>
      <c r="QVW516" s="332"/>
      <c r="QVX516" s="332"/>
      <c r="QVY516" s="332"/>
      <c r="QVZ516" s="332"/>
      <c r="QWA516" s="332"/>
      <c r="QWB516" s="332"/>
      <c r="QWC516" s="332"/>
      <c r="QWD516" s="332"/>
      <c r="QWE516" s="332"/>
      <c r="QWF516" s="332"/>
      <c r="QWG516" s="332"/>
      <c r="QWH516" s="332"/>
      <c r="QWI516" s="332"/>
      <c r="QWJ516" s="332"/>
      <c r="QWK516" s="332"/>
      <c r="QWL516" s="332"/>
      <c r="QWM516" s="332"/>
      <c r="QWN516" s="332"/>
      <c r="QWO516" s="332"/>
      <c r="QWP516" s="332"/>
      <c r="QWQ516" s="332"/>
      <c r="QWR516" s="332"/>
      <c r="QWS516" s="332"/>
      <c r="QWT516" s="332"/>
      <c r="QWU516" s="332"/>
      <c r="QWV516" s="332"/>
      <c r="QWW516" s="332"/>
      <c r="QWX516" s="332"/>
      <c r="QWY516" s="332"/>
      <c r="QWZ516" s="332"/>
      <c r="QXA516" s="332"/>
      <c r="QXB516" s="332"/>
      <c r="QXC516" s="332"/>
      <c r="QXD516" s="332"/>
      <c r="QXE516" s="332"/>
      <c r="QXF516" s="332"/>
      <c r="QXG516" s="332"/>
      <c r="QXH516" s="332"/>
      <c r="QXI516" s="332"/>
      <c r="QXJ516" s="332"/>
      <c r="QXK516" s="332"/>
      <c r="QXL516" s="332"/>
      <c r="QXM516" s="332"/>
      <c r="QXN516" s="332"/>
      <c r="QXO516" s="332"/>
      <c r="QXP516" s="332"/>
      <c r="QXQ516" s="332"/>
      <c r="QXR516" s="332"/>
      <c r="QXS516" s="332"/>
      <c r="QXT516" s="332"/>
      <c r="QXU516" s="332"/>
      <c r="QXV516" s="332"/>
      <c r="QXW516" s="332"/>
      <c r="QXX516" s="332"/>
      <c r="QXY516" s="332"/>
      <c r="QXZ516" s="332"/>
      <c r="QYA516" s="332"/>
      <c r="QYB516" s="332"/>
      <c r="QYC516" s="332"/>
      <c r="QYD516" s="332"/>
      <c r="QYE516" s="332"/>
      <c r="QYF516" s="332"/>
      <c r="QYG516" s="332"/>
      <c r="QYH516" s="332"/>
      <c r="QYI516" s="332"/>
      <c r="QYJ516" s="332"/>
      <c r="QYK516" s="332"/>
      <c r="QYL516" s="332"/>
      <c r="QYM516" s="332"/>
      <c r="QYN516" s="332"/>
      <c r="QYO516" s="332"/>
      <c r="QYP516" s="332"/>
      <c r="QYQ516" s="332"/>
      <c r="QYR516" s="332"/>
      <c r="QYS516" s="332"/>
      <c r="QYT516" s="332"/>
      <c r="QYU516" s="332"/>
      <c r="QYV516" s="332"/>
      <c r="QYW516" s="332"/>
      <c r="QYX516" s="332"/>
      <c r="QYY516" s="332"/>
      <c r="QYZ516" s="332"/>
      <c r="QZA516" s="332"/>
      <c r="QZB516" s="332"/>
      <c r="QZC516" s="332"/>
      <c r="QZD516" s="332"/>
      <c r="QZE516" s="332"/>
      <c r="QZF516" s="332"/>
      <c r="QZG516" s="332"/>
      <c r="QZH516" s="332"/>
      <c r="QZI516" s="332"/>
      <c r="QZJ516" s="332"/>
      <c r="QZK516" s="332"/>
      <c r="QZL516" s="332"/>
      <c r="QZM516" s="332"/>
      <c r="QZN516" s="332"/>
      <c r="QZO516" s="332"/>
      <c r="QZP516" s="332"/>
      <c r="QZQ516" s="332"/>
      <c r="QZR516" s="332"/>
      <c r="QZS516" s="332"/>
      <c r="QZT516" s="332"/>
      <c r="QZU516" s="332"/>
      <c r="QZV516" s="332"/>
      <c r="QZW516" s="332"/>
      <c r="QZX516" s="332"/>
      <c r="QZY516" s="332"/>
      <c r="QZZ516" s="332"/>
      <c r="RAA516" s="332"/>
      <c r="RAB516" s="332"/>
      <c r="RAC516" s="332"/>
      <c r="RAD516" s="332"/>
      <c r="RAE516" s="332"/>
      <c r="RAF516" s="332"/>
      <c r="RAG516" s="332"/>
      <c r="RAH516" s="332"/>
      <c r="RAI516" s="332"/>
      <c r="RAJ516" s="332"/>
      <c r="RAK516" s="332"/>
      <c r="RAL516" s="332"/>
      <c r="RAM516" s="332"/>
      <c r="RAN516" s="332"/>
      <c r="RAO516" s="332"/>
      <c r="RAP516" s="332"/>
      <c r="RAQ516" s="332"/>
      <c r="RAR516" s="332"/>
      <c r="RAS516" s="332"/>
      <c r="RAT516" s="332"/>
      <c r="RAU516" s="332"/>
      <c r="RAV516" s="332"/>
      <c r="RAW516" s="332"/>
      <c r="RAX516" s="332"/>
      <c r="RAY516" s="332"/>
      <c r="RAZ516" s="332"/>
      <c r="RBA516" s="332"/>
      <c r="RBB516" s="332"/>
      <c r="RBC516" s="332"/>
      <c r="RBD516" s="332"/>
      <c r="RBE516" s="332"/>
      <c r="RBF516" s="332"/>
      <c r="RBG516" s="332"/>
      <c r="RBH516" s="332"/>
      <c r="RBI516" s="332"/>
      <c r="RBJ516" s="332"/>
      <c r="RBK516" s="332"/>
      <c r="RBL516" s="332"/>
      <c r="RBM516" s="332"/>
      <c r="RBN516" s="332"/>
      <c r="RBO516" s="332"/>
      <c r="RBP516" s="332"/>
      <c r="RBQ516" s="332"/>
      <c r="RBR516" s="332"/>
      <c r="RBS516" s="332"/>
      <c r="RBT516" s="332"/>
      <c r="RBU516" s="332"/>
      <c r="RBV516" s="332"/>
      <c r="RBW516" s="332"/>
      <c r="RBX516" s="332"/>
      <c r="RBY516" s="332"/>
      <c r="RBZ516" s="332"/>
      <c r="RCA516" s="332"/>
      <c r="RCB516" s="332"/>
      <c r="RCC516" s="332"/>
      <c r="RCD516" s="332"/>
      <c r="RCE516" s="332"/>
      <c r="RCF516" s="332"/>
      <c r="RCG516" s="332"/>
      <c r="RCH516" s="332"/>
      <c r="RCI516" s="332"/>
      <c r="RCJ516" s="332"/>
      <c r="RCK516" s="332"/>
      <c r="RCL516" s="332"/>
      <c r="RCM516" s="332"/>
      <c r="RCN516" s="332"/>
      <c r="RCO516" s="332"/>
      <c r="RCP516" s="332"/>
      <c r="RCQ516" s="332"/>
      <c r="RCR516" s="332"/>
      <c r="RCS516" s="332"/>
      <c r="RCT516" s="332"/>
      <c r="RCU516" s="332"/>
      <c r="RCV516" s="332"/>
      <c r="RCW516" s="332"/>
      <c r="RCX516" s="332"/>
      <c r="RCY516" s="332"/>
      <c r="RCZ516" s="332"/>
      <c r="RDA516" s="332"/>
      <c r="RDB516" s="332"/>
      <c r="RDC516" s="332"/>
      <c r="RDD516" s="332"/>
      <c r="RDE516" s="332"/>
      <c r="RDF516" s="332"/>
      <c r="RDG516" s="332"/>
      <c r="RDH516" s="332"/>
      <c r="RDI516" s="332"/>
      <c r="RDJ516" s="332"/>
      <c r="RDK516" s="332"/>
      <c r="RDL516" s="332"/>
      <c r="RDM516" s="332"/>
      <c r="RDN516" s="332"/>
      <c r="RDO516" s="332"/>
      <c r="RDP516" s="332"/>
      <c r="RDQ516" s="332"/>
      <c r="RDR516" s="332"/>
      <c r="RDS516" s="332"/>
      <c r="RDT516" s="332"/>
      <c r="RDU516" s="332"/>
      <c r="RDV516" s="332"/>
      <c r="RDW516" s="332"/>
      <c r="RDX516" s="332"/>
      <c r="RDY516" s="332"/>
      <c r="RDZ516" s="332"/>
      <c r="REA516" s="332"/>
      <c r="REB516" s="332"/>
      <c r="REC516" s="332"/>
      <c r="RED516" s="332"/>
      <c r="REE516" s="332"/>
      <c r="REF516" s="332"/>
      <c r="REG516" s="332"/>
      <c r="REH516" s="332"/>
      <c r="REI516" s="332"/>
      <c r="REJ516" s="332"/>
      <c r="REK516" s="332"/>
      <c r="REL516" s="332"/>
      <c r="REM516" s="332"/>
      <c r="REN516" s="332"/>
      <c r="REO516" s="332"/>
      <c r="REP516" s="332"/>
      <c r="REQ516" s="332"/>
      <c r="RER516" s="332"/>
      <c r="RES516" s="332"/>
      <c r="RET516" s="332"/>
      <c r="REU516" s="332"/>
      <c r="REV516" s="332"/>
      <c r="REW516" s="332"/>
      <c r="REX516" s="332"/>
      <c r="REY516" s="332"/>
      <c r="REZ516" s="332"/>
      <c r="RFA516" s="332"/>
      <c r="RFB516" s="332"/>
      <c r="RFC516" s="332"/>
      <c r="RFD516" s="332"/>
      <c r="RFE516" s="332"/>
      <c r="RFF516" s="332"/>
      <c r="RFG516" s="332"/>
      <c r="RFH516" s="332"/>
      <c r="RFI516" s="332"/>
      <c r="RFJ516" s="332"/>
      <c r="RFK516" s="332"/>
      <c r="RFL516" s="332"/>
      <c r="RFM516" s="332"/>
      <c r="RFN516" s="332"/>
      <c r="RFO516" s="332"/>
      <c r="RFP516" s="332"/>
      <c r="RFQ516" s="332"/>
      <c r="RFR516" s="332"/>
      <c r="RFS516" s="332"/>
      <c r="RFT516" s="332"/>
      <c r="RFU516" s="332"/>
      <c r="RFV516" s="332"/>
      <c r="RFW516" s="332"/>
      <c r="RFX516" s="332"/>
      <c r="RFY516" s="332"/>
      <c r="RFZ516" s="332"/>
      <c r="RGA516" s="332"/>
      <c r="RGB516" s="332"/>
      <c r="RGC516" s="332"/>
      <c r="RGD516" s="332"/>
      <c r="RGE516" s="332"/>
      <c r="RGF516" s="332"/>
      <c r="RGG516" s="332"/>
      <c r="RGH516" s="332"/>
      <c r="RGI516" s="332"/>
      <c r="RGJ516" s="332"/>
      <c r="RGK516" s="332"/>
      <c r="RGL516" s="332"/>
      <c r="RGM516" s="332"/>
      <c r="RGN516" s="332"/>
      <c r="RGO516" s="332"/>
      <c r="RGP516" s="332"/>
      <c r="RGQ516" s="332"/>
      <c r="RGR516" s="332"/>
      <c r="RGS516" s="332"/>
      <c r="RGT516" s="332"/>
      <c r="RGU516" s="332"/>
      <c r="RGV516" s="332"/>
      <c r="RGW516" s="332"/>
      <c r="RGX516" s="332"/>
      <c r="RGY516" s="332"/>
      <c r="RGZ516" s="332"/>
      <c r="RHA516" s="332"/>
      <c r="RHB516" s="332"/>
      <c r="RHC516" s="332"/>
      <c r="RHD516" s="332"/>
      <c r="RHE516" s="332"/>
      <c r="RHF516" s="332"/>
      <c r="RHG516" s="332"/>
      <c r="RHH516" s="332"/>
      <c r="RHI516" s="332"/>
      <c r="RHJ516" s="332"/>
      <c r="RHK516" s="332"/>
      <c r="RHL516" s="332"/>
      <c r="RHM516" s="332"/>
      <c r="RHN516" s="332"/>
      <c r="RHO516" s="332"/>
      <c r="RHP516" s="332"/>
      <c r="RHQ516" s="332"/>
      <c r="RHR516" s="332"/>
      <c r="RHS516" s="332"/>
      <c r="RHT516" s="332"/>
      <c r="RHU516" s="332"/>
      <c r="RHV516" s="332"/>
      <c r="RHW516" s="332"/>
      <c r="RHX516" s="332"/>
      <c r="RHY516" s="332"/>
      <c r="RHZ516" s="332"/>
      <c r="RIA516" s="332"/>
      <c r="RIB516" s="332"/>
      <c r="RIC516" s="332"/>
      <c r="RID516" s="332"/>
      <c r="RIE516" s="332"/>
      <c r="RIF516" s="332"/>
      <c r="RIG516" s="332"/>
      <c r="RIH516" s="332"/>
      <c r="RII516" s="332"/>
      <c r="RIJ516" s="332"/>
      <c r="RIK516" s="332"/>
      <c r="RIL516" s="332"/>
      <c r="RIM516" s="332"/>
      <c r="RIN516" s="332"/>
      <c r="RIO516" s="332"/>
      <c r="RIP516" s="332"/>
      <c r="RIQ516" s="332"/>
      <c r="RIR516" s="332"/>
      <c r="RIS516" s="332"/>
      <c r="RIT516" s="332"/>
      <c r="RIU516" s="332"/>
      <c r="RIV516" s="332"/>
      <c r="RIW516" s="332"/>
      <c r="RIX516" s="332"/>
      <c r="RIY516" s="332"/>
      <c r="RIZ516" s="332"/>
      <c r="RJA516" s="332"/>
      <c r="RJB516" s="332"/>
      <c r="RJC516" s="332"/>
      <c r="RJD516" s="332"/>
      <c r="RJE516" s="332"/>
      <c r="RJF516" s="332"/>
      <c r="RJG516" s="332"/>
      <c r="RJH516" s="332"/>
      <c r="RJI516" s="332"/>
      <c r="RJJ516" s="332"/>
      <c r="RJK516" s="332"/>
      <c r="RJL516" s="332"/>
      <c r="RJM516" s="332"/>
      <c r="RJN516" s="332"/>
      <c r="RJO516" s="332"/>
      <c r="RJP516" s="332"/>
      <c r="RJQ516" s="332"/>
      <c r="RJR516" s="332"/>
      <c r="RJS516" s="332"/>
      <c r="RJT516" s="332"/>
      <c r="RJU516" s="332"/>
      <c r="RJV516" s="332"/>
      <c r="RJW516" s="332"/>
      <c r="RJX516" s="332"/>
      <c r="RJY516" s="332"/>
      <c r="RJZ516" s="332"/>
      <c r="RKA516" s="332"/>
      <c r="RKB516" s="332"/>
      <c r="RKC516" s="332"/>
      <c r="RKD516" s="332"/>
      <c r="RKE516" s="332"/>
      <c r="RKF516" s="332"/>
      <c r="RKG516" s="332"/>
      <c r="RKH516" s="332"/>
      <c r="RKI516" s="332"/>
      <c r="RKJ516" s="332"/>
      <c r="RKK516" s="332"/>
      <c r="RKL516" s="332"/>
      <c r="RKM516" s="332"/>
      <c r="RKN516" s="332"/>
      <c r="RKO516" s="332"/>
      <c r="RKP516" s="332"/>
      <c r="RKQ516" s="332"/>
      <c r="RKR516" s="332"/>
      <c r="RKS516" s="332"/>
      <c r="RKT516" s="332"/>
      <c r="RKU516" s="332"/>
      <c r="RKV516" s="332"/>
      <c r="RKW516" s="332"/>
      <c r="RKX516" s="332"/>
      <c r="RKY516" s="332"/>
      <c r="RKZ516" s="332"/>
      <c r="RLA516" s="332"/>
      <c r="RLB516" s="332"/>
      <c r="RLC516" s="332"/>
      <c r="RLD516" s="332"/>
      <c r="RLE516" s="332"/>
      <c r="RLF516" s="332"/>
      <c r="RLG516" s="332"/>
      <c r="RLH516" s="332"/>
      <c r="RLI516" s="332"/>
      <c r="RLJ516" s="332"/>
      <c r="RLK516" s="332"/>
      <c r="RLL516" s="332"/>
      <c r="RLM516" s="332"/>
      <c r="RLN516" s="332"/>
      <c r="RLO516" s="332"/>
      <c r="RLP516" s="332"/>
      <c r="RLQ516" s="332"/>
      <c r="RLR516" s="332"/>
      <c r="RLS516" s="332"/>
      <c r="RLT516" s="332"/>
      <c r="RLU516" s="332"/>
      <c r="RLV516" s="332"/>
      <c r="RLW516" s="332"/>
      <c r="RLX516" s="332"/>
      <c r="RLY516" s="332"/>
      <c r="RLZ516" s="332"/>
      <c r="RMA516" s="332"/>
      <c r="RMB516" s="332"/>
      <c r="RMC516" s="332"/>
      <c r="RMD516" s="332"/>
      <c r="RME516" s="332"/>
      <c r="RMF516" s="332"/>
      <c r="RMG516" s="332"/>
      <c r="RMH516" s="332"/>
      <c r="RMI516" s="332"/>
      <c r="RMJ516" s="332"/>
      <c r="RMK516" s="332"/>
      <c r="RML516" s="332"/>
      <c r="RMM516" s="332"/>
      <c r="RMN516" s="332"/>
      <c r="RMO516" s="332"/>
      <c r="RMP516" s="332"/>
      <c r="RMQ516" s="332"/>
      <c r="RMR516" s="332"/>
      <c r="RMS516" s="332"/>
      <c r="RMT516" s="332"/>
      <c r="RMU516" s="332"/>
      <c r="RMV516" s="332"/>
      <c r="RMW516" s="332"/>
      <c r="RMX516" s="332"/>
      <c r="RMY516" s="332"/>
      <c r="RMZ516" s="332"/>
      <c r="RNA516" s="332"/>
      <c r="RNB516" s="332"/>
      <c r="RNC516" s="332"/>
      <c r="RND516" s="332"/>
      <c r="RNE516" s="332"/>
      <c r="RNF516" s="332"/>
      <c r="RNG516" s="332"/>
      <c r="RNH516" s="332"/>
      <c r="RNI516" s="332"/>
      <c r="RNJ516" s="332"/>
      <c r="RNK516" s="332"/>
      <c r="RNL516" s="332"/>
      <c r="RNM516" s="332"/>
      <c r="RNN516" s="332"/>
      <c r="RNO516" s="332"/>
      <c r="RNP516" s="332"/>
      <c r="RNQ516" s="332"/>
      <c r="RNR516" s="332"/>
      <c r="RNS516" s="332"/>
      <c r="RNT516" s="332"/>
      <c r="RNU516" s="332"/>
      <c r="RNV516" s="332"/>
      <c r="RNW516" s="332"/>
      <c r="RNX516" s="332"/>
      <c r="RNY516" s="332"/>
      <c r="RNZ516" s="332"/>
      <c r="ROA516" s="332"/>
      <c r="ROB516" s="332"/>
      <c r="ROC516" s="332"/>
      <c r="ROD516" s="332"/>
      <c r="ROE516" s="332"/>
      <c r="ROF516" s="332"/>
      <c r="ROG516" s="332"/>
      <c r="ROH516" s="332"/>
      <c r="ROI516" s="332"/>
      <c r="ROJ516" s="332"/>
      <c r="ROK516" s="332"/>
      <c r="ROL516" s="332"/>
      <c r="ROM516" s="332"/>
      <c r="RON516" s="332"/>
      <c r="ROO516" s="332"/>
      <c r="ROP516" s="332"/>
      <c r="ROQ516" s="332"/>
      <c r="ROR516" s="332"/>
      <c r="ROS516" s="332"/>
      <c r="ROT516" s="332"/>
      <c r="ROU516" s="332"/>
      <c r="ROV516" s="332"/>
      <c r="ROW516" s="332"/>
      <c r="ROX516" s="332"/>
      <c r="ROY516" s="332"/>
      <c r="ROZ516" s="332"/>
      <c r="RPA516" s="332"/>
      <c r="RPB516" s="332"/>
      <c r="RPC516" s="332"/>
      <c r="RPD516" s="332"/>
      <c r="RPE516" s="332"/>
      <c r="RPF516" s="332"/>
      <c r="RPG516" s="332"/>
      <c r="RPH516" s="332"/>
      <c r="RPI516" s="332"/>
      <c r="RPJ516" s="332"/>
      <c r="RPK516" s="332"/>
      <c r="RPL516" s="332"/>
      <c r="RPM516" s="332"/>
      <c r="RPN516" s="332"/>
      <c r="RPO516" s="332"/>
      <c r="RPP516" s="332"/>
      <c r="RPQ516" s="332"/>
      <c r="RPR516" s="332"/>
      <c r="RPS516" s="332"/>
      <c r="RPT516" s="332"/>
      <c r="RPU516" s="332"/>
      <c r="RPV516" s="332"/>
      <c r="RPW516" s="332"/>
      <c r="RPX516" s="332"/>
      <c r="RPY516" s="332"/>
      <c r="RPZ516" s="332"/>
      <c r="RQA516" s="332"/>
      <c r="RQB516" s="332"/>
      <c r="RQC516" s="332"/>
      <c r="RQD516" s="332"/>
      <c r="RQE516" s="332"/>
      <c r="RQF516" s="332"/>
      <c r="RQG516" s="332"/>
      <c r="RQH516" s="332"/>
      <c r="RQI516" s="332"/>
      <c r="RQJ516" s="332"/>
      <c r="RQK516" s="332"/>
      <c r="RQL516" s="332"/>
      <c r="RQM516" s="332"/>
      <c r="RQN516" s="332"/>
      <c r="RQO516" s="332"/>
      <c r="RQP516" s="332"/>
      <c r="RQQ516" s="332"/>
      <c r="RQR516" s="332"/>
      <c r="RQS516" s="332"/>
      <c r="RQT516" s="332"/>
      <c r="RQU516" s="332"/>
      <c r="RQV516" s="332"/>
      <c r="RQW516" s="332"/>
      <c r="RQX516" s="332"/>
      <c r="RQY516" s="332"/>
      <c r="RQZ516" s="332"/>
      <c r="RRA516" s="332"/>
      <c r="RRB516" s="332"/>
      <c r="RRC516" s="332"/>
      <c r="RRD516" s="332"/>
      <c r="RRE516" s="332"/>
      <c r="RRF516" s="332"/>
      <c r="RRG516" s="332"/>
      <c r="RRH516" s="332"/>
      <c r="RRI516" s="332"/>
      <c r="RRJ516" s="332"/>
      <c r="RRK516" s="332"/>
      <c r="RRL516" s="332"/>
      <c r="RRM516" s="332"/>
      <c r="RRN516" s="332"/>
      <c r="RRO516" s="332"/>
      <c r="RRP516" s="332"/>
      <c r="RRQ516" s="332"/>
      <c r="RRR516" s="332"/>
      <c r="RRS516" s="332"/>
      <c r="RRT516" s="332"/>
      <c r="RRU516" s="332"/>
      <c r="RRV516" s="332"/>
      <c r="RRW516" s="332"/>
      <c r="RRX516" s="332"/>
      <c r="RRY516" s="332"/>
      <c r="RRZ516" s="332"/>
      <c r="RSA516" s="332"/>
      <c r="RSB516" s="332"/>
      <c r="RSC516" s="332"/>
      <c r="RSD516" s="332"/>
      <c r="RSE516" s="332"/>
      <c r="RSF516" s="332"/>
      <c r="RSG516" s="332"/>
      <c r="RSH516" s="332"/>
      <c r="RSI516" s="332"/>
      <c r="RSJ516" s="332"/>
      <c r="RSK516" s="332"/>
      <c r="RSL516" s="332"/>
      <c r="RSM516" s="332"/>
      <c r="RSN516" s="332"/>
      <c r="RSO516" s="332"/>
      <c r="RSP516" s="332"/>
      <c r="RSQ516" s="332"/>
      <c r="RSR516" s="332"/>
      <c r="RSS516" s="332"/>
      <c r="RST516" s="332"/>
      <c r="RSU516" s="332"/>
      <c r="RSV516" s="332"/>
      <c r="RSW516" s="332"/>
      <c r="RSX516" s="332"/>
      <c r="RSY516" s="332"/>
      <c r="RSZ516" s="332"/>
      <c r="RTA516" s="332"/>
      <c r="RTB516" s="332"/>
      <c r="RTC516" s="332"/>
      <c r="RTD516" s="332"/>
      <c r="RTE516" s="332"/>
      <c r="RTF516" s="332"/>
      <c r="RTG516" s="332"/>
      <c r="RTH516" s="332"/>
      <c r="RTI516" s="332"/>
      <c r="RTJ516" s="332"/>
      <c r="RTK516" s="332"/>
      <c r="RTL516" s="332"/>
      <c r="RTM516" s="332"/>
      <c r="RTN516" s="332"/>
      <c r="RTO516" s="332"/>
      <c r="RTP516" s="332"/>
      <c r="RTQ516" s="332"/>
      <c r="RTR516" s="332"/>
      <c r="RTS516" s="332"/>
      <c r="RTT516" s="332"/>
      <c r="RTU516" s="332"/>
      <c r="RTV516" s="332"/>
      <c r="RTW516" s="332"/>
      <c r="RTX516" s="332"/>
      <c r="RTY516" s="332"/>
      <c r="RTZ516" s="332"/>
      <c r="RUA516" s="332"/>
      <c r="RUB516" s="332"/>
      <c r="RUC516" s="332"/>
      <c r="RUD516" s="332"/>
      <c r="RUE516" s="332"/>
      <c r="RUF516" s="332"/>
      <c r="RUG516" s="332"/>
      <c r="RUH516" s="332"/>
      <c r="RUI516" s="332"/>
      <c r="RUJ516" s="332"/>
      <c r="RUK516" s="332"/>
      <c r="RUL516" s="332"/>
      <c r="RUM516" s="332"/>
      <c r="RUN516" s="332"/>
      <c r="RUO516" s="332"/>
      <c r="RUP516" s="332"/>
      <c r="RUQ516" s="332"/>
      <c r="RUR516" s="332"/>
      <c r="RUS516" s="332"/>
      <c r="RUT516" s="332"/>
      <c r="RUU516" s="332"/>
      <c r="RUV516" s="332"/>
      <c r="RUW516" s="332"/>
      <c r="RUX516" s="332"/>
      <c r="RUY516" s="332"/>
      <c r="RUZ516" s="332"/>
      <c r="RVA516" s="332"/>
      <c r="RVB516" s="332"/>
      <c r="RVC516" s="332"/>
      <c r="RVD516" s="332"/>
      <c r="RVE516" s="332"/>
      <c r="RVF516" s="332"/>
      <c r="RVG516" s="332"/>
      <c r="RVH516" s="332"/>
      <c r="RVI516" s="332"/>
      <c r="RVJ516" s="332"/>
      <c r="RVK516" s="332"/>
      <c r="RVL516" s="332"/>
      <c r="RVM516" s="332"/>
      <c r="RVN516" s="332"/>
      <c r="RVO516" s="332"/>
      <c r="RVP516" s="332"/>
      <c r="RVQ516" s="332"/>
      <c r="RVR516" s="332"/>
      <c r="RVS516" s="332"/>
      <c r="RVT516" s="332"/>
      <c r="RVU516" s="332"/>
      <c r="RVV516" s="332"/>
      <c r="RVW516" s="332"/>
      <c r="RVX516" s="332"/>
      <c r="RVY516" s="332"/>
      <c r="RVZ516" s="332"/>
      <c r="RWA516" s="332"/>
      <c r="RWB516" s="332"/>
      <c r="RWC516" s="332"/>
      <c r="RWD516" s="332"/>
      <c r="RWE516" s="332"/>
      <c r="RWF516" s="332"/>
      <c r="RWG516" s="332"/>
      <c r="RWH516" s="332"/>
      <c r="RWI516" s="332"/>
      <c r="RWJ516" s="332"/>
      <c r="RWK516" s="332"/>
      <c r="RWL516" s="332"/>
      <c r="RWM516" s="332"/>
      <c r="RWN516" s="332"/>
      <c r="RWO516" s="332"/>
      <c r="RWP516" s="332"/>
      <c r="RWQ516" s="332"/>
      <c r="RWR516" s="332"/>
      <c r="RWS516" s="332"/>
      <c r="RWT516" s="332"/>
      <c r="RWU516" s="332"/>
      <c r="RWV516" s="332"/>
      <c r="RWW516" s="332"/>
      <c r="RWX516" s="332"/>
      <c r="RWY516" s="332"/>
      <c r="RWZ516" s="332"/>
      <c r="RXA516" s="332"/>
      <c r="RXB516" s="332"/>
      <c r="RXC516" s="332"/>
      <c r="RXD516" s="332"/>
      <c r="RXE516" s="332"/>
      <c r="RXF516" s="332"/>
      <c r="RXG516" s="332"/>
      <c r="RXH516" s="332"/>
      <c r="RXI516" s="332"/>
      <c r="RXJ516" s="332"/>
      <c r="RXK516" s="332"/>
      <c r="RXL516" s="332"/>
      <c r="RXM516" s="332"/>
      <c r="RXN516" s="332"/>
      <c r="RXO516" s="332"/>
      <c r="RXP516" s="332"/>
      <c r="RXQ516" s="332"/>
      <c r="RXR516" s="332"/>
      <c r="RXS516" s="332"/>
      <c r="RXT516" s="332"/>
      <c r="RXU516" s="332"/>
      <c r="RXV516" s="332"/>
      <c r="RXW516" s="332"/>
      <c r="RXX516" s="332"/>
      <c r="RXY516" s="332"/>
      <c r="RXZ516" s="332"/>
      <c r="RYA516" s="332"/>
      <c r="RYB516" s="332"/>
      <c r="RYC516" s="332"/>
      <c r="RYD516" s="332"/>
      <c r="RYE516" s="332"/>
      <c r="RYF516" s="332"/>
      <c r="RYG516" s="332"/>
      <c r="RYH516" s="332"/>
      <c r="RYI516" s="332"/>
      <c r="RYJ516" s="332"/>
      <c r="RYK516" s="332"/>
      <c r="RYL516" s="332"/>
      <c r="RYM516" s="332"/>
      <c r="RYN516" s="332"/>
      <c r="RYO516" s="332"/>
      <c r="RYP516" s="332"/>
      <c r="RYQ516" s="332"/>
      <c r="RYR516" s="332"/>
      <c r="RYS516" s="332"/>
      <c r="RYT516" s="332"/>
      <c r="RYU516" s="332"/>
      <c r="RYV516" s="332"/>
      <c r="RYW516" s="332"/>
      <c r="RYX516" s="332"/>
      <c r="RYY516" s="332"/>
      <c r="RYZ516" s="332"/>
      <c r="RZA516" s="332"/>
      <c r="RZB516" s="332"/>
      <c r="RZC516" s="332"/>
      <c r="RZD516" s="332"/>
      <c r="RZE516" s="332"/>
      <c r="RZF516" s="332"/>
      <c r="RZG516" s="332"/>
      <c r="RZH516" s="332"/>
      <c r="RZI516" s="332"/>
      <c r="RZJ516" s="332"/>
      <c r="RZK516" s="332"/>
      <c r="RZL516" s="332"/>
      <c r="RZM516" s="332"/>
      <c r="RZN516" s="332"/>
      <c r="RZO516" s="332"/>
      <c r="RZP516" s="332"/>
      <c r="RZQ516" s="332"/>
      <c r="RZR516" s="332"/>
      <c r="RZS516" s="332"/>
      <c r="RZT516" s="332"/>
      <c r="RZU516" s="332"/>
      <c r="RZV516" s="332"/>
      <c r="RZW516" s="332"/>
      <c r="RZX516" s="332"/>
      <c r="RZY516" s="332"/>
      <c r="RZZ516" s="332"/>
      <c r="SAA516" s="332"/>
      <c r="SAB516" s="332"/>
      <c r="SAC516" s="332"/>
      <c r="SAD516" s="332"/>
      <c r="SAE516" s="332"/>
      <c r="SAF516" s="332"/>
      <c r="SAG516" s="332"/>
      <c r="SAH516" s="332"/>
      <c r="SAI516" s="332"/>
      <c r="SAJ516" s="332"/>
      <c r="SAK516" s="332"/>
      <c r="SAL516" s="332"/>
      <c r="SAM516" s="332"/>
      <c r="SAN516" s="332"/>
      <c r="SAO516" s="332"/>
      <c r="SAP516" s="332"/>
      <c r="SAQ516" s="332"/>
      <c r="SAR516" s="332"/>
      <c r="SAS516" s="332"/>
      <c r="SAT516" s="332"/>
      <c r="SAU516" s="332"/>
      <c r="SAV516" s="332"/>
      <c r="SAW516" s="332"/>
      <c r="SAX516" s="332"/>
      <c r="SAY516" s="332"/>
      <c r="SAZ516" s="332"/>
      <c r="SBA516" s="332"/>
      <c r="SBB516" s="332"/>
      <c r="SBC516" s="332"/>
      <c r="SBD516" s="332"/>
      <c r="SBE516" s="332"/>
      <c r="SBF516" s="332"/>
      <c r="SBG516" s="332"/>
      <c r="SBH516" s="332"/>
      <c r="SBI516" s="332"/>
      <c r="SBJ516" s="332"/>
      <c r="SBK516" s="332"/>
      <c r="SBL516" s="332"/>
      <c r="SBM516" s="332"/>
      <c r="SBN516" s="332"/>
      <c r="SBO516" s="332"/>
      <c r="SBP516" s="332"/>
      <c r="SBQ516" s="332"/>
      <c r="SBR516" s="332"/>
      <c r="SBS516" s="332"/>
      <c r="SBT516" s="332"/>
      <c r="SBU516" s="332"/>
      <c r="SBV516" s="332"/>
      <c r="SBW516" s="332"/>
      <c r="SBX516" s="332"/>
      <c r="SBY516" s="332"/>
      <c r="SBZ516" s="332"/>
      <c r="SCA516" s="332"/>
      <c r="SCB516" s="332"/>
      <c r="SCC516" s="332"/>
      <c r="SCD516" s="332"/>
      <c r="SCE516" s="332"/>
      <c r="SCF516" s="332"/>
      <c r="SCG516" s="332"/>
      <c r="SCH516" s="332"/>
      <c r="SCI516" s="332"/>
      <c r="SCJ516" s="332"/>
      <c r="SCK516" s="332"/>
      <c r="SCL516" s="332"/>
      <c r="SCM516" s="332"/>
      <c r="SCN516" s="332"/>
      <c r="SCO516" s="332"/>
      <c r="SCP516" s="332"/>
      <c r="SCQ516" s="332"/>
      <c r="SCR516" s="332"/>
      <c r="SCS516" s="332"/>
      <c r="SCT516" s="332"/>
      <c r="SCU516" s="332"/>
      <c r="SCV516" s="332"/>
      <c r="SCW516" s="332"/>
      <c r="SCX516" s="332"/>
      <c r="SCY516" s="332"/>
      <c r="SCZ516" s="332"/>
      <c r="SDA516" s="332"/>
      <c r="SDB516" s="332"/>
      <c r="SDC516" s="332"/>
      <c r="SDD516" s="332"/>
      <c r="SDE516" s="332"/>
      <c r="SDF516" s="332"/>
      <c r="SDG516" s="332"/>
      <c r="SDH516" s="332"/>
      <c r="SDI516" s="332"/>
      <c r="SDJ516" s="332"/>
      <c r="SDK516" s="332"/>
      <c r="SDL516" s="332"/>
      <c r="SDM516" s="332"/>
      <c r="SDN516" s="332"/>
      <c r="SDO516" s="332"/>
      <c r="SDP516" s="332"/>
      <c r="SDQ516" s="332"/>
      <c r="SDR516" s="332"/>
      <c r="SDS516" s="332"/>
      <c r="SDT516" s="332"/>
      <c r="SDU516" s="332"/>
      <c r="SDV516" s="332"/>
      <c r="SDW516" s="332"/>
      <c r="SDX516" s="332"/>
      <c r="SDY516" s="332"/>
      <c r="SDZ516" s="332"/>
      <c r="SEA516" s="332"/>
      <c r="SEB516" s="332"/>
      <c r="SEC516" s="332"/>
      <c r="SED516" s="332"/>
      <c r="SEE516" s="332"/>
      <c r="SEF516" s="332"/>
      <c r="SEG516" s="332"/>
      <c r="SEH516" s="332"/>
      <c r="SEI516" s="332"/>
      <c r="SEJ516" s="332"/>
      <c r="SEK516" s="332"/>
      <c r="SEL516" s="332"/>
      <c r="SEM516" s="332"/>
      <c r="SEN516" s="332"/>
      <c r="SEO516" s="332"/>
      <c r="SEP516" s="332"/>
      <c r="SEQ516" s="332"/>
      <c r="SER516" s="332"/>
      <c r="SES516" s="332"/>
      <c r="SET516" s="332"/>
      <c r="SEU516" s="332"/>
      <c r="SEV516" s="332"/>
      <c r="SEW516" s="332"/>
      <c r="SEX516" s="332"/>
      <c r="SEY516" s="332"/>
      <c r="SEZ516" s="332"/>
      <c r="SFA516" s="332"/>
      <c r="SFB516" s="332"/>
      <c r="SFC516" s="332"/>
      <c r="SFD516" s="332"/>
      <c r="SFE516" s="332"/>
      <c r="SFF516" s="332"/>
      <c r="SFG516" s="332"/>
      <c r="SFH516" s="332"/>
      <c r="SFI516" s="332"/>
      <c r="SFJ516" s="332"/>
      <c r="SFK516" s="332"/>
      <c r="SFL516" s="332"/>
      <c r="SFM516" s="332"/>
      <c r="SFN516" s="332"/>
      <c r="SFO516" s="332"/>
      <c r="SFP516" s="332"/>
      <c r="SFQ516" s="332"/>
      <c r="SFR516" s="332"/>
      <c r="SFS516" s="332"/>
      <c r="SFT516" s="332"/>
      <c r="SFU516" s="332"/>
      <c r="SFV516" s="332"/>
      <c r="SFW516" s="332"/>
      <c r="SFX516" s="332"/>
      <c r="SFY516" s="332"/>
      <c r="SFZ516" s="332"/>
      <c r="SGA516" s="332"/>
      <c r="SGB516" s="332"/>
      <c r="SGC516" s="332"/>
      <c r="SGD516" s="332"/>
      <c r="SGE516" s="332"/>
      <c r="SGF516" s="332"/>
      <c r="SGG516" s="332"/>
      <c r="SGH516" s="332"/>
      <c r="SGI516" s="332"/>
      <c r="SGJ516" s="332"/>
      <c r="SGK516" s="332"/>
      <c r="SGL516" s="332"/>
      <c r="SGM516" s="332"/>
      <c r="SGN516" s="332"/>
      <c r="SGO516" s="332"/>
      <c r="SGP516" s="332"/>
      <c r="SGQ516" s="332"/>
      <c r="SGR516" s="332"/>
      <c r="SGS516" s="332"/>
      <c r="SGT516" s="332"/>
      <c r="SGU516" s="332"/>
      <c r="SGV516" s="332"/>
      <c r="SGW516" s="332"/>
      <c r="SGX516" s="332"/>
      <c r="SGY516" s="332"/>
      <c r="SGZ516" s="332"/>
      <c r="SHA516" s="332"/>
      <c r="SHB516" s="332"/>
      <c r="SHC516" s="332"/>
      <c r="SHD516" s="332"/>
      <c r="SHE516" s="332"/>
      <c r="SHF516" s="332"/>
      <c r="SHG516" s="332"/>
      <c r="SHH516" s="332"/>
      <c r="SHI516" s="332"/>
      <c r="SHJ516" s="332"/>
      <c r="SHK516" s="332"/>
      <c r="SHL516" s="332"/>
      <c r="SHM516" s="332"/>
      <c r="SHN516" s="332"/>
      <c r="SHO516" s="332"/>
      <c r="SHP516" s="332"/>
      <c r="SHQ516" s="332"/>
      <c r="SHR516" s="332"/>
      <c r="SHS516" s="332"/>
      <c r="SHT516" s="332"/>
      <c r="SHU516" s="332"/>
      <c r="SHV516" s="332"/>
      <c r="SHW516" s="332"/>
      <c r="SHX516" s="332"/>
      <c r="SHY516" s="332"/>
      <c r="SHZ516" s="332"/>
      <c r="SIA516" s="332"/>
      <c r="SIB516" s="332"/>
      <c r="SIC516" s="332"/>
      <c r="SID516" s="332"/>
      <c r="SIE516" s="332"/>
      <c r="SIF516" s="332"/>
      <c r="SIG516" s="332"/>
      <c r="SIH516" s="332"/>
      <c r="SII516" s="332"/>
      <c r="SIJ516" s="332"/>
      <c r="SIK516" s="332"/>
      <c r="SIL516" s="332"/>
      <c r="SIM516" s="332"/>
      <c r="SIN516" s="332"/>
      <c r="SIO516" s="332"/>
      <c r="SIP516" s="332"/>
      <c r="SIQ516" s="332"/>
      <c r="SIR516" s="332"/>
      <c r="SIS516" s="332"/>
      <c r="SIT516" s="332"/>
      <c r="SIU516" s="332"/>
      <c r="SIV516" s="332"/>
      <c r="SIW516" s="332"/>
      <c r="SIX516" s="332"/>
      <c r="SIY516" s="332"/>
      <c r="SIZ516" s="332"/>
      <c r="SJA516" s="332"/>
      <c r="SJB516" s="332"/>
      <c r="SJC516" s="332"/>
      <c r="SJD516" s="332"/>
      <c r="SJE516" s="332"/>
      <c r="SJF516" s="332"/>
      <c r="SJG516" s="332"/>
      <c r="SJH516" s="332"/>
      <c r="SJI516" s="332"/>
      <c r="SJJ516" s="332"/>
      <c r="SJK516" s="332"/>
      <c r="SJL516" s="332"/>
      <c r="SJM516" s="332"/>
      <c r="SJN516" s="332"/>
      <c r="SJO516" s="332"/>
      <c r="SJP516" s="332"/>
      <c r="SJQ516" s="332"/>
      <c r="SJR516" s="332"/>
      <c r="SJS516" s="332"/>
      <c r="SJT516" s="332"/>
      <c r="SJU516" s="332"/>
      <c r="SJV516" s="332"/>
      <c r="SJW516" s="332"/>
      <c r="SJX516" s="332"/>
      <c r="SJY516" s="332"/>
      <c r="SJZ516" s="332"/>
      <c r="SKA516" s="332"/>
      <c r="SKB516" s="332"/>
      <c r="SKC516" s="332"/>
      <c r="SKD516" s="332"/>
      <c r="SKE516" s="332"/>
      <c r="SKF516" s="332"/>
      <c r="SKG516" s="332"/>
      <c r="SKH516" s="332"/>
      <c r="SKI516" s="332"/>
      <c r="SKJ516" s="332"/>
      <c r="SKK516" s="332"/>
      <c r="SKL516" s="332"/>
      <c r="SKM516" s="332"/>
      <c r="SKN516" s="332"/>
      <c r="SKO516" s="332"/>
      <c r="SKP516" s="332"/>
      <c r="SKQ516" s="332"/>
      <c r="SKR516" s="332"/>
      <c r="SKS516" s="332"/>
      <c r="SKT516" s="332"/>
      <c r="SKU516" s="332"/>
      <c r="SKV516" s="332"/>
      <c r="SKW516" s="332"/>
      <c r="SKX516" s="332"/>
      <c r="SKY516" s="332"/>
      <c r="SKZ516" s="332"/>
      <c r="SLA516" s="332"/>
      <c r="SLB516" s="332"/>
      <c r="SLC516" s="332"/>
      <c r="SLD516" s="332"/>
      <c r="SLE516" s="332"/>
      <c r="SLF516" s="332"/>
      <c r="SLG516" s="332"/>
      <c r="SLH516" s="332"/>
      <c r="SLI516" s="332"/>
      <c r="SLJ516" s="332"/>
      <c r="SLK516" s="332"/>
      <c r="SLL516" s="332"/>
      <c r="SLM516" s="332"/>
      <c r="SLN516" s="332"/>
      <c r="SLO516" s="332"/>
      <c r="SLP516" s="332"/>
      <c r="SLQ516" s="332"/>
      <c r="SLR516" s="332"/>
      <c r="SLS516" s="332"/>
      <c r="SLT516" s="332"/>
      <c r="SLU516" s="332"/>
      <c r="SLV516" s="332"/>
      <c r="SLW516" s="332"/>
      <c r="SLX516" s="332"/>
      <c r="SLY516" s="332"/>
      <c r="SLZ516" s="332"/>
      <c r="SMA516" s="332"/>
      <c r="SMB516" s="332"/>
      <c r="SMC516" s="332"/>
      <c r="SMD516" s="332"/>
      <c r="SME516" s="332"/>
      <c r="SMF516" s="332"/>
      <c r="SMG516" s="332"/>
      <c r="SMH516" s="332"/>
      <c r="SMI516" s="332"/>
      <c r="SMJ516" s="332"/>
      <c r="SMK516" s="332"/>
      <c r="SML516" s="332"/>
      <c r="SMM516" s="332"/>
      <c r="SMN516" s="332"/>
      <c r="SMO516" s="332"/>
      <c r="SMP516" s="332"/>
      <c r="SMQ516" s="332"/>
      <c r="SMR516" s="332"/>
      <c r="SMS516" s="332"/>
      <c r="SMT516" s="332"/>
      <c r="SMU516" s="332"/>
      <c r="SMV516" s="332"/>
      <c r="SMW516" s="332"/>
      <c r="SMX516" s="332"/>
      <c r="SMY516" s="332"/>
      <c r="SMZ516" s="332"/>
      <c r="SNA516" s="332"/>
      <c r="SNB516" s="332"/>
      <c r="SNC516" s="332"/>
      <c r="SND516" s="332"/>
      <c r="SNE516" s="332"/>
      <c r="SNF516" s="332"/>
      <c r="SNG516" s="332"/>
      <c r="SNH516" s="332"/>
      <c r="SNI516" s="332"/>
      <c r="SNJ516" s="332"/>
      <c r="SNK516" s="332"/>
      <c r="SNL516" s="332"/>
      <c r="SNM516" s="332"/>
      <c r="SNN516" s="332"/>
      <c r="SNO516" s="332"/>
      <c r="SNP516" s="332"/>
      <c r="SNQ516" s="332"/>
      <c r="SNR516" s="332"/>
      <c r="SNS516" s="332"/>
      <c r="SNT516" s="332"/>
      <c r="SNU516" s="332"/>
      <c r="SNV516" s="332"/>
      <c r="SNW516" s="332"/>
      <c r="SNX516" s="332"/>
      <c r="SNY516" s="332"/>
      <c r="SNZ516" s="332"/>
      <c r="SOA516" s="332"/>
      <c r="SOB516" s="332"/>
      <c r="SOC516" s="332"/>
      <c r="SOD516" s="332"/>
      <c r="SOE516" s="332"/>
      <c r="SOF516" s="332"/>
      <c r="SOG516" s="332"/>
      <c r="SOH516" s="332"/>
      <c r="SOI516" s="332"/>
      <c r="SOJ516" s="332"/>
      <c r="SOK516" s="332"/>
      <c r="SOL516" s="332"/>
      <c r="SOM516" s="332"/>
      <c r="SON516" s="332"/>
      <c r="SOO516" s="332"/>
      <c r="SOP516" s="332"/>
      <c r="SOQ516" s="332"/>
      <c r="SOR516" s="332"/>
      <c r="SOS516" s="332"/>
      <c r="SOT516" s="332"/>
      <c r="SOU516" s="332"/>
      <c r="SOV516" s="332"/>
      <c r="SOW516" s="332"/>
      <c r="SOX516" s="332"/>
      <c r="SOY516" s="332"/>
      <c r="SOZ516" s="332"/>
      <c r="SPA516" s="332"/>
      <c r="SPB516" s="332"/>
      <c r="SPC516" s="332"/>
      <c r="SPD516" s="332"/>
      <c r="SPE516" s="332"/>
      <c r="SPF516" s="332"/>
      <c r="SPG516" s="332"/>
      <c r="SPH516" s="332"/>
      <c r="SPI516" s="332"/>
      <c r="SPJ516" s="332"/>
      <c r="SPK516" s="332"/>
      <c r="SPL516" s="332"/>
      <c r="SPM516" s="332"/>
      <c r="SPN516" s="332"/>
      <c r="SPO516" s="332"/>
      <c r="SPP516" s="332"/>
      <c r="SPQ516" s="332"/>
      <c r="SPR516" s="332"/>
      <c r="SPS516" s="332"/>
      <c r="SPT516" s="332"/>
      <c r="SPU516" s="332"/>
      <c r="SPV516" s="332"/>
      <c r="SPW516" s="332"/>
      <c r="SPX516" s="332"/>
      <c r="SPY516" s="332"/>
      <c r="SPZ516" s="332"/>
      <c r="SQA516" s="332"/>
      <c r="SQB516" s="332"/>
      <c r="SQC516" s="332"/>
      <c r="SQD516" s="332"/>
      <c r="SQE516" s="332"/>
      <c r="SQF516" s="332"/>
      <c r="SQG516" s="332"/>
      <c r="SQH516" s="332"/>
      <c r="SQI516" s="332"/>
      <c r="SQJ516" s="332"/>
      <c r="SQK516" s="332"/>
      <c r="SQL516" s="332"/>
      <c r="SQM516" s="332"/>
      <c r="SQN516" s="332"/>
      <c r="SQO516" s="332"/>
      <c r="SQP516" s="332"/>
      <c r="SQQ516" s="332"/>
      <c r="SQR516" s="332"/>
      <c r="SQS516" s="332"/>
      <c r="SQT516" s="332"/>
      <c r="SQU516" s="332"/>
      <c r="SQV516" s="332"/>
      <c r="SQW516" s="332"/>
      <c r="SQX516" s="332"/>
      <c r="SQY516" s="332"/>
      <c r="SQZ516" s="332"/>
      <c r="SRA516" s="332"/>
      <c r="SRB516" s="332"/>
      <c r="SRC516" s="332"/>
      <c r="SRD516" s="332"/>
      <c r="SRE516" s="332"/>
      <c r="SRF516" s="332"/>
      <c r="SRG516" s="332"/>
      <c r="SRH516" s="332"/>
      <c r="SRI516" s="332"/>
      <c r="SRJ516" s="332"/>
      <c r="SRK516" s="332"/>
      <c r="SRL516" s="332"/>
      <c r="SRM516" s="332"/>
      <c r="SRN516" s="332"/>
      <c r="SRO516" s="332"/>
      <c r="SRP516" s="332"/>
      <c r="SRQ516" s="332"/>
      <c r="SRR516" s="332"/>
      <c r="SRS516" s="332"/>
      <c r="SRT516" s="332"/>
      <c r="SRU516" s="332"/>
      <c r="SRV516" s="332"/>
      <c r="SRW516" s="332"/>
      <c r="SRX516" s="332"/>
      <c r="SRY516" s="332"/>
      <c r="SRZ516" s="332"/>
      <c r="SSA516" s="332"/>
      <c r="SSB516" s="332"/>
      <c r="SSC516" s="332"/>
      <c r="SSD516" s="332"/>
      <c r="SSE516" s="332"/>
      <c r="SSF516" s="332"/>
      <c r="SSG516" s="332"/>
      <c r="SSH516" s="332"/>
      <c r="SSI516" s="332"/>
      <c r="SSJ516" s="332"/>
      <c r="SSK516" s="332"/>
      <c r="SSL516" s="332"/>
      <c r="SSM516" s="332"/>
      <c r="SSN516" s="332"/>
      <c r="SSO516" s="332"/>
      <c r="SSP516" s="332"/>
      <c r="SSQ516" s="332"/>
      <c r="SSR516" s="332"/>
      <c r="SSS516" s="332"/>
      <c r="SST516" s="332"/>
      <c r="SSU516" s="332"/>
      <c r="SSV516" s="332"/>
      <c r="SSW516" s="332"/>
      <c r="SSX516" s="332"/>
      <c r="SSY516" s="332"/>
      <c r="SSZ516" s="332"/>
      <c r="STA516" s="332"/>
      <c r="STB516" s="332"/>
      <c r="STC516" s="332"/>
      <c r="STD516" s="332"/>
      <c r="STE516" s="332"/>
      <c r="STF516" s="332"/>
      <c r="STG516" s="332"/>
      <c r="STH516" s="332"/>
      <c r="STI516" s="332"/>
      <c r="STJ516" s="332"/>
      <c r="STK516" s="332"/>
      <c r="STL516" s="332"/>
      <c r="STM516" s="332"/>
      <c r="STN516" s="332"/>
      <c r="STO516" s="332"/>
      <c r="STP516" s="332"/>
      <c r="STQ516" s="332"/>
      <c r="STR516" s="332"/>
      <c r="STS516" s="332"/>
      <c r="STT516" s="332"/>
      <c r="STU516" s="332"/>
      <c r="STV516" s="332"/>
      <c r="STW516" s="332"/>
      <c r="STX516" s="332"/>
      <c r="STY516" s="332"/>
      <c r="STZ516" s="332"/>
      <c r="SUA516" s="332"/>
      <c r="SUB516" s="332"/>
      <c r="SUC516" s="332"/>
      <c r="SUD516" s="332"/>
      <c r="SUE516" s="332"/>
      <c r="SUF516" s="332"/>
      <c r="SUG516" s="332"/>
      <c r="SUH516" s="332"/>
      <c r="SUI516" s="332"/>
      <c r="SUJ516" s="332"/>
      <c r="SUK516" s="332"/>
      <c r="SUL516" s="332"/>
      <c r="SUM516" s="332"/>
      <c r="SUN516" s="332"/>
      <c r="SUO516" s="332"/>
      <c r="SUP516" s="332"/>
      <c r="SUQ516" s="332"/>
      <c r="SUR516" s="332"/>
      <c r="SUS516" s="332"/>
      <c r="SUT516" s="332"/>
      <c r="SUU516" s="332"/>
      <c r="SUV516" s="332"/>
      <c r="SUW516" s="332"/>
      <c r="SUX516" s="332"/>
      <c r="SUY516" s="332"/>
      <c r="SUZ516" s="332"/>
      <c r="SVA516" s="332"/>
      <c r="SVB516" s="332"/>
      <c r="SVC516" s="332"/>
      <c r="SVD516" s="332"/>
      <c r="SVE516" s="332"/>
      <c r="SVF516" s="332"/>
      <c r="SVG516" s="332"/>
      <c r="SVH516" s="332"/>
      <c r="SVI516" s="332"/>
      <c r="SVJ516" s="332"/>
      <c r="SVK516" s="332"/>
      <c r="SVL516" s="332"/>
      <c r="SVM516" s="332"/>
      <c r="SVN516" s="332"/>
      <c r="SVO516" s="332"/>
      <c r="SVP516" s="332"/>
      <c r="SVQ516" s="332"/>
      <c r="SVR516" s="332"/>
      <c r="SVS516" s="332"/>
      <c r="SVT516" s="332"/>
      <c r="SVU516" s="332"/>
      <c r="SVV516" s="332"/>
      <c r="SVW516" s="332"/>
      <c r="SVX516" s="332"/>
      <c r="SVY516" s="332"/>
      <c r="SVZ516" s="332"/>
      <c r="SWA516" s="332"/>
      <c r="SWB516" s="332"/>
      <c r="SWC516" s="332"/>
      <c r="SWD516" s="332"/>
      <c r="SWE516" s="332"/>
      <c r="SWF516" s="332"/>
      <c r="SWG516" s="332"/>
      <c r="SWH516" s="332"/>
      <c r="SWI516" s="332"/>
      <c r="SWJ516" s="332"/>
      <c r="SWK516" s="332"/>
      <c r="SWL516" s="332"/>
      <c r="SWM516" s="332"/>
      <c r="SWN516" s="332"/>
      <c r="SWO516" s="332"/>
      <c r="SWP516" s="332"/>
      <c r="SWQ516" s="332"/>
      <c r="SWR516" s="332"/>
      <c r="SWS516" s="332"/>
      <c r="SWT516" s="332"/>
      <c r="SWU516" s="332"/>
      <c r="SWV516" s="332"/>
      <c r="SWW516" s="332"/>
      <c r="SWX516" s="332"/>
      <c r="SWY516" s="332"/>
      <c r="SWZ516" s="332"/>
      <c r="SXA516" s="332"/>
      <c r="SXB516" s="332"/>
      <c r="SXC516" s="332"/>
      <c r="SXD516" s="332"/>
      <c r="SXE516" s="332"/>
      <c r="SXF516" s="332"/>
      <c r="SXG516" s="332"/>
      <c r="SXH516" s="332"/>
      <c r="SXI516" s="332"/>
      <c r="SXJ516" s="332"/>
      <c r="SXK516" s="332"/>
      <c r="SXL516" s="332"/>
      <c r="SXM516" s="332"/>
      <c r="SXN516" s="332"/>
      <c r="SXO516" s="332"/>
      <c r="SXP516" s="332"/>
      <c r="SXQ516" s="332"/>
      <c r="SXR516" s="332"/>
      <c r="SXS516" s="332"/>
      <c r="SXT516" s="332"/>
      <c r="SXU516" s="332"/>
      <c r="SXV516" s="332"/>
      <c r="SXW516" s="332"/>
      <c r="SXX516" s="332"/>
      <c r="SXY516" s="332"/>
      <c r="SXZ516" s="332"/>
      <c r="SYA516" s="332"/>
      <c r="SYB516" s="332"/>
      <c r="SYC516" s="332"/>
      <c r="SYD516" s="332"/>
      <c r="SYE516" s="332"/>
      <c r="SYF516" s="332"/>
      <c r="SYG516" s="332"/>
      <c r="SYH516" s="332"/>
      <c r="SYI516" s="332"/>
      <c r="SYJ516" s="332"/>
      <c r="SYK516" s="332"/>
      <c r="SYL516" s="332"/>
      <c r="SYM516" s="332"/>
      <c r="SYN516" s="332"/>
      <c r="SYO516" s="332"/>
      <c r="SYP516" s="332"/>
      <c r="SYQ516" s="332"/>
      <c r="SYR516" s="332"/>
      <c r="SYS516" s="332"/>
      <c r="SYT516" s="332"/>
      <c r="SYU516" s="332"/>
      <c r="SYV516" s="332"/>
      <c r="SYW516" s="332"/>
      <c r="SYX516" s="332"/>
      <c r="SYY516" s="332"/>
      <c r="SYZ516" s="332"/>
      <c r="SZA516" s="332"/>
      <c r="SZB516" s="332"/>
      <c r="SZC516" s="332"/>
      <c r="SZD516" s="332"/>
      <c r="SZE516" s="332"/>
      <c r="SZF516" s="332"/>
      <c r="SZG516" s="332"/>
      <c r="SZH516" s="332"/>
      <c r="SZI516" s="332"/>
      <c r="SZJ516" s="332"/>
      <c r="SZK516" s="332"/>
      <c r="SZL516" s="332"/>
      <c r="SZM516" s="332"/>
      <c r="SZN516" s="332"/>
      <c r="SZO516" s="332"/>
      <c r="SZP516" s="332"/>
      <c r="SZQ516" s="332"/>
      <c r="SZR516" s="332"/>
      <c r="SZS516" s="332"/>
      <c r="SZT516" s="332"/>
      <c r="SZU516" s="332"/>
      <c r="SZV516" s="332"/>
      <c r="SZW516" s="332"/>
      <c r="SZX516" s="332"/>
      <c r="SZY516" s="332"/>
      <c r="SZZ516" s="332"/>
      <c r="TAA516" s="332"/>
      <c r="TAB516" s="332"/>
      <c r="TAC516" s="332"/>
      <c r="TAD516" s="332"/>
      <c r="TAE516" s="332"/>
      <c r="TAF516" s="332"/>
      <c r="TAG516" s="332"/>
      <c r="TAH516" s="332"/>
      <c r="TAI516" s="332"/>
      <c r="TAJ516" s="332"/>
      <c r="TAK516" s="332"/>
      <c r="TAL516" s="332"/>
      <c r="TAM516" s="332"/>
      <c r="TAN516" s="332"/>
      <c r="TAO516" s="332"/>
      <c r="TAP516" s="332"/>
      <c r="TAQ516" s="332"/>
      <c r="TAR516" s="332"/>
      <c r="TAS516" s="332"/>
      <c r="TAT516" s="332"/>
      <c r="TAU516" s="332"/>
      <c r="TAV516" s="332"/>
      <c r="TAW516" s="332"/>
      <c r="TAX516" s="332"/>
      <c r="TAY516" s="332"/>
      <c r="TAZ516" s="332"/>
      <c r="TBA516" s="332"/>
      <c r="TBB516" s="332"/>
      <c r="TBC516" s="332"/>
      <c r="TBD516" s="332"/>
      <c r="TBE516" s="332"/>
      <c r="TBF516" s="332"/>
      <c r="TBG516" s="332"/>
      <c r="TBH516" s="332"/>
      <c r="TBI516" s="332"/>
      <c r="TBJ516" s="332"/>
      <c r="TBK516" s="332"/>
      <c r="TBL516" s="332"/>
      <c r="TBM516" s="332"/>
      <c r="TBN516" s="332"/>
      <c r="TBO516" s="332"/>
      <c r="TBP516" s="332"/>
      <c r="TBQ516" s="332"/>
      <c r="TBR516" s="332"/>
      <c r="TBS516" s="332"/>
      <c r="TBT516" s="332"/>
      <c r="TBU516" s="332"/>
      <c r="TBV516" s="332"/>
      <c r="TBW516" s="332"/>
      <c r="TBX516" s="332"/>
      <c r="TBY516" s="332"/>
      <c r="TBZ516" s="332"/>
      <c r="TCA516" s="332"/>
      <c r="TCB516" s="332"/>
      <c r="TCC516" s="332"/>
      <c r="TCD516" s="332"/>
      <c r="TCE516" s="332"/>
      <c r="TCF516" s="332"/>
      <c r="TCG516" s="332"/>
      <c r="TCH516" s="332"/>
      <c r="TCI516" s="332"/>
      <c r="TCJ516" s="332"/>
      <c r="TCK516" s="332"/>
      <c r="TCL516" s="332"/>
      <c r="TCM516" s="332"/>
      <c r="TCN516" s="332"/>
      <c r="TCO516" s="332"/>
      <c r="TCP516" s="332"/>
      <c r="TCQ516" s="332"/>
      <c r="TCR516" s="332"/>
      <c r="TCS516" s="332"/>
      <c r="TCT516" s="332"/>
      <c r="TCU516" s="332"/>
      <c r="TCV516" s="332"/>
      <c r="TCW516" s="332"/>
      <c r="TCX516" s="332"/>
      <c r="TCY516" s="332"/>
      <c r="TCZ516" s="332"/>
      <c r="TDA516" s="332"/>
      <c r="TDB516" s="332"/>
      <c r="TDC516" s="332"/>
      <c r="TDD516" s="332"/>
      <c r="TDE516" s="332"/>
      <c r="TDF516" s="332"/>
      <c r="TDG516" s="332"/>
      <c r="TDH516" s="332"/>
      <c r="TDI516" s="332"/>
      <c r="TDJ516" s="332"/>
      <c r="TDK516" s="332"/>
      <c r="TDL516" s="332"/>
      <c r="TDM516" s="332"/>
      <c r="TDN516" s="332"/>
      <c r="TDO516" s="332"/>
      <c r="TDP516" s="332"/>
      <c r="TDQ516" s="332"/>
      <c r="TDR516" s="332"/>
      <c r="TDS516" s="332"/>
      <c r="TDT516" s="332"/>
      <c r="TDU516" s="332"/>
      <c r="TDV516" s="332"/>
      <c r="TDW516" s="332"/>
      <c r="TDX516" s="332"/>
      <c r="TDY516" s="332"/>
      <c r="TDZ516" s="332"/>
      <c r="TEA516" s="332"/>
      <c r="TEB516" s="332"/>
      <c r="TEC516" s="332"/>
      <c r="TED516" s="332"/>
      <c r="TEE516" s="332"/>
      <c r="TEF516" s="332"/>
      <c r="TEG516" s="332"/>
      <c r="TEH516" s="332"/>
      <c r="TEI516" s="332"/>
      <c r="TEJ516" s="332"/>
      <c r="TEK516" s="332"/>
      <c r="TEL516" s="332"/>
      <c r="TEM516" s="332"/>
      <c r="TEN516" s="332"/>
      <c r="TEO516" s="332"/>
      <c r="TEP516" s="332"/>
      <c r="TEQ516" s="332"/>
      <c r="TER516" s="332"/>
      <c r="TES516" s="332"/>
      <c r="TET516" s="332"/>
      <c r="TEU516" s="332"/>
      <c r="TEV516" s="332"/>
      <c r="TEW516" s="332"/>
      <c r="TEX516" s="332"/>
      <c r="TEY516" s="332"/>
      <c r="TEZ516" s="332"/>
      <c r="TFA516" s="332"/>
      <c r="TFB516" s="332"/>
      <c r="TFC516" s="332"/>
      <c r="TFD516" s="332"/>
      <c r="TFE516" s="332"/>
      <c r="TFF516" s="332"/>
      <c r="TFG516" s="332"/>
      <c r="TFH516" s="332"/>
      <c r="TFI516" s="332"/>
      <c r="TFJ516" s="332"/>
      <c r="TFK516" s="332"/>
      <c r="TFL516" s="332"/>
      <c r="TFM516" s="332"/>
      <c r="TFN516" s="332"/>
      <c r="TFO516" s="332"/>
      <c r="TFP516" s="332"/>
      <c r="TFQ516" s="332"/>
      <c r="TFR516" s="332"/>
      <c r="TFS516" s="332"/>
      <c r="TFT516" s="332"/>
      <c r="TFU516" s="332"/>
      <c r="TFV516" s="332"/>
      <c r="TFW516" s="332"/>
      <c r="TFX516" s="332"/>
      <c r="TFY516" s="332"/>
      <c r="TFZ516" s="332"/>
      <c r="TGA516" s="332"/>
      <c r="TGB516" s="332"/>
      <c r="TGC516" s="332"/>
      <c r="TGD516" s="332"/>
      <c r="TGE516" s="332"/>
      <c r="TGF516" s="332"/>
      <c r="TGG516" s="332"/>
      <c r="TGH516" s="332"/>
      <c r="TGI516" s="332"/>
      <c r="TGJ516" s="332"/>
      <c r="TGK516" s="332"/>
      <c r="TGL516" s="332"/>
      <c r="TGM516" s="332"/>
      <c r="TGN516" s="332"/>
      <c r="TGO516" s="332"/>
      <c r="TGP516" s="332"/>
      <c r="TGQ516" s="332"/>
      <c r="TGR516" s="332"/>
      <c r="TGS516" s="332"/>
      <c r="TGT516" s="332"/>
      <c r="TGU516" s="332"/>
      <c r="TGV516" s="332"/>
      <c r="TGW516" s="332"/>
      <c r="TGX516" s="332"/>
      <c r="TGY516" s="332"/>
      <c r="TGZ516" s="332"/>
      <c r="THA516" s="332"/>
      <c r="THB516" s="332"/>
      <c r="THC516" s="332"/>
      <c r="THD516" s="332"/>
      <c r="THE516" s="332"/>
      <c r="THF516" s="332"/>
      <c r="THG516" s="332"/>
      <c r="THH516" s="332"/>
      <c r="THI516" s="332"/>
      <c r="THJ516" s="332"/>
      <c r="THK516" s="332"/>
      <c r="THL516" s="332"/>
      <c r="THM516" s="332"/>
      <c r="THN516" s="332"/>
      <c r="THO516" s="332"/>
      <c r="THP516" s="332"/>
      <c r="THQ516" s="332"/>
      <c r="THR516" s="332"/>
      <c r="THS516" s="332"/>
      <c r="THT516" s="332"/>
      <c r="THU516" s="332"/>
      <c r="THV516" s="332"/>
      <c r="THW516" s="332"/>
      <c r="THX516" s="332"/>
      <c r="THY516" s="332"/>
      <c r="THZ516" s="332"/>
      <c r="TIA516" s="332"/>
      <c r="TIB516" s="332"/>
      <c r="TIC516" s="332"/>
      <c r="TID516" s="332"/>
      <c r="TIE516" s="332"/>
      <c r="TIF516" s="332"/>
      <c r="TIG516" s="332"/>
      <c r="TIH516" s="332"/>
      <c r="TII516" s="332"/>
      <c r="TIJ516" s="332"/>
      <c r="TIK516" s="332"/>
      <c r="TIL516" s="332"/>
      <c r="TIM516" s="332"/>
      <c r="TIN516" s="332"/>
      <c r="TIO516" s="332"/>
      <c r="TIP516" s="332"/>
      <c r="TIQ516" s="332"/>
      <c r="TIR516" s="332"/>
      <c r="TIS516" s="332"/>
      <c r="TIT516" s="332"/>
      <c r="TIU516" s="332"/>
      <c r="TIV516" s="332"/>
      <c r="TIW516" s="332"/>
      <c r="TIX516" s="332"/>
      <c r="TIY516" s="332"/>
      <c r="TIZ516" s="332"/>
      <c r="TJA516" s="332"/>
      <c r="TJB516" s="332"/>
      <c r="TJC516" s="332"/>
      <c r="TJD516" s="332"/>
      <c r="TJE516" s="332"/>
      <c r="TJF516" s="332"/>
      <c r="TJG516" s="332"/>
      <c r="TJH516" s="332"/>
      <c r="TJI516" s="332"/>
      <c r="TJJ516" s="332"/>
      <c r="TJK516" s="332"/>
      <c r="TJL516" s="332"/>
      <c r="TJM516" s="332"/>
      <c r="TJN516" s="332"/>
      <c r="TJO516" s="332"/>
      <c r="TJP516" s="332"/>
      <c r="TJQ516" s="332"/>
      <c r="TJR516" s="332"/>
      <c r="TJS516" s="332"/>
      <c r="TJT516" s="332"/>
      <c r="TJU516" s="332"/>
      <c r="TJV516" s="332"/>
      <c r="TJW516" s="332"/>
      <c r="TJX516" s="332"/>
      <c r="TJY516" s="332"/>
      <c r="TJZ516" s="332"/>
      <c r="TKA516" s="332"/>
      <c r="TKB516" s="332"/>
      <c r="TKC516" s="332"/>
      <c r="TKD516" s="332"/>
      <c r="TKE516" s="332"/>
      <c r="TKF516" s="332"/>
      <c r="TKG516" s="332"/>
      <c r="TKH516" s="332"/>
      <c r="TKI516" s="332"/>
      <c r="TKJ516" s="332"/>
      <c r="TKK516" s="332"/>
      <c r="TKL516" s="332"/>
      <c r="TKM516" s="332"/>
      <c r="TKN516" s="332"/>
      <c r="TKO516" s="332"/>
      <c r="TKP516" s="332"/>
      <c r="TKQ516" s="332"/>
      <c r="TKR516" s="332"/>
      <c r="TKS516" s="332"/>
      <c r="TKT516" s="332"/>
      <c r="TKU516" s="332"/>
      <c r="TKV516" s="332"/>
      <c r="TKW516" s="332"/>
      <c r="TKX516" s="332"/>
      <c r="TKY516" s="332"/>
      <c r="TKZ516" s="332"/>
      <c r="TLA516" s="332"/>
      <c r="TLB516" s="332"/>
      <c r="TLC516" s="332"/>
      <c r="TLD516" s="332"/>
      <c r="TLE516" s="332"/>
      <c r="TLF516" s="332"/>
      <c r="TLG516" s="332"/>
      <c r="TLH516" s="332"/>
      <c r="TLI516" s="332"/>
      <c r="TLJ516" s="332"/>
      <c r="TLK516" s="332"/>
      <c r="TLL516" s="332"/>
      <c r="TLM516" s="332"/>
      <c r="TLN516" s="332"/>
      <c r="TLO516" s="332"/>
      <c r="TLP516" s="332"/>
      <c r="TLQ516" s="332"/>
      <c r="TLR516" s="332"/>
      <c r="TLS516" s="332"/>
      <c r="TLT516" s="332"/>
      <c r="TLU516" s="332"/>
      <c r="TLV516" s="332"/>
      <c r="TLW516" s="332"/>
      <c r="TLX516" s="332"/>
      <c r="TLY516" s="332"/>
      <c r="TLZ516" s="332"/>
      <c r="TMA516" s="332"/>
      <c r="TMB516" s="332"/>
      <c r="TMC516" s="332"/>
      <c r="TMD516" s="332"/>
      <c r="TME516" s="332"/>
      <c r="TMF516" s="332"/>
      <c r="TMG516" s="332"/>
      <c r="TMH516" s="332"/>
      <c r="TMI516" s="332"/>
      <c r="TMJ516" s="332"/>
      <c r="TMK516" s="332"/>
      <c r="TML516" s="332"/>
      <c r="TMM516" s="332"/>
      <c r="TMN516" s="332"/>
      <c r="TMO516" s="332"/>
      <c r="TMP516" s="332"/>
      <c r="TMQ516" s="332"/>
      <c r="TMR516" s="332"/>
      <c r="TMS516" s="332"/>
      <c r="TMT516" s="332"/>
      <c r="TMU516" s="332"/>
      <c r="TMV516" s="332"/>
      <c r="TMW516" s="332"/>
      <c r="TMX516" s="332"/>
      <c r="TMY516" s="332"/>
      <c r="TMZ516" s="332"/>
      <c r="TNA516" s="332"/>
      <c r="TNB516" s="332"/>
      <c r="TNC516" s="332"/>
      <c r="TND516" s="332"/>
      <c r="TNE516" s="332"/>
      <c r="TNF516" s="332"/>
      <c r="TNG516" s="332"/>
      <c r="TNH516" s="332"/>
      <c r="TNI516" s="332"/>
      <c r="TNJ516" s="332"/>
      <c r="TNK516" s="332"/>
      <c r="TNL516" s="332"/>
      <c r="TNM516" s="332"/>
      <c r="TNN516" s="332"/>
      <c r="TNO516" s="332"/>
      <c r="TNP516" s="332"/>
      <c r="TNQ516" s="332"/>
      <c r="TNR516" s="332"/>
      <c r="TNS516" s="332"/>
      <c r="TNT516" s="332"/>
      <c r="TNU516" s="332"/>
      <c r="TNV516" s="332"/>
      <c r="TNW516" s="332"/>
      <c r="TNX516" s="332"/>
      <c r="TNY516" s="332"/>
      <c r="TNZ516" s="332"/>
      <c r="TOA516" s="332"/>
      <c r="TOB516" s="332"/>
      <c r="TOC516" s="332"/>
      <c r="TOD516" s="332"/>
      <c r="TOE516" s="332"/>
      <c r="TOF516" s="332"/>
      <c r="TOG516" s="332"/>
      <c r="TOH516" s="332"/>
      <c r="TOI516" s="332"/>
      <c r="TOJ516" s="332"/>
      <c r="TOK516" s="332"/>
      <c r="TOL516" s="332"/>
      <c r="TOM516" s="332"/>
      <c r="TON516" s="332"/>
      <c r="TOO516" s="332"/>
      <c r="TOP516" s="332"/>
      <c r="TOQ516" s="332"/>
      <c r="TOR516" s="332"/>
      <c r="TOS516" s="332"/>
      <c r="TOT516" s="332"/>
      <c r="TOU516" s="332"/>
      <c r="TOV516" s="332"/>
      <c r="TOW516" s="332"/>
      <c r="TOX516" s="332"/>
      <c r="TOY516" s="332"/>
      <c r="TOZ516" s="332"/>
      <c r="TPA516" s="332"/>
      <c r="TPB516" s="332"/>
      <c r="TPC516" s="332"/>
      <c r="TPD516" s="332"/>
      <c r="TPE516" s="332"/>
      <c r="TPF516" s="332"/>
      <c r="TPG516" s="332"/>
      <c r="TPH516" s="332"/>
      <c r="TPI516" s="332"/>
      <c r="TPJ516" s="332"/>
      <c r="TPK516" s="332"/>
      <c r="TPL516" s="332"/>
      <c r="TPM516" s="332"/>
      <c r="TPN516" s="332"/>
      <c r="TPO516" s="332"/>
      <c r="TPP516" s="332"/>
      <c r="TPQ516" s="332"/>
      <c r="TPR516" s="332"/>
      <c r="TPS516" s="332"/>
      <c r="TPT516" s="332"/>
      <c r="TPU516" s="332"/>
      <c r="TPV516" s="332"/>
      <c r="TPW516" s="332"/>
      <c r="TPX516" s="332"/>
      <c r="TPY516" s="332"/>
      <c r="TPZ516" s="332"/>
      <c r="TQA516" s="332"/>
      <c r="TQB516" s="332"/>
      <c r="TQC516" s="332"/>
      <c r="TQD516" s="332"/>
      <c r="TQE516" s="332"/>
      <c r="TQF516" s="332"/>
      <c r="TQG516" s="332"/>
      <c r="TQH516" s="332"/>
      <c r="TQI516" s="332"/>
      <c r="TQJ516" s="332"/>
      <c r="TQK516" s="332"/>
      <c r="TQL516" s="332"/>
      <c r="TQM516" s="332"/>
      <c r="TQN516" s="332"/>
      <c r="TQO516" s="332"/>
      <c r="TQP516" s="332"/>
      <c r="TQQ516" s="332"/>
      <c r="TQR516" s="332"/>
      <c r="TQS516" s="332"/>
      <c r="TQT516" s="332"/>
      <c r="TQU516" s="332"/>
      <c r="TQV516" s="332"/>
      <c r="TQW516" s="332"/>
      <c r="TQX516" s="332"/>
      <c r="TQY516" s="332"/>
      <c r="TQZ516" s="332"/>
      <c r="TRA516" s="332"/>
      <c r="TRB516" s="332"/>
      <c r="TRC516" s="332"/>
      <c r="TRD516" s="332"/>
      <c r="TRE516" s="332"/>
      <c r="TRF516" s="332"/>
      <c r="TRG516" s="332"/>
      <c r="TRH516" s="332"/>
      <c r="TRI516" s="332"/>
      <c r="TRJ516" s="332"/>
      <c r="TRK516" s="332"/>
      <c r="TRL516" s="332"/>
      <c r="TRM516" s="332"/>
      <c r="TRN516" s="332"/>
      <c r="TRO516" s="332"/>
      <c r="TRP516" s="332"/>
      <c r="TRQ516" s="332"/>
      <c r="TRR516" s="332"/>
      <c r="TRS516" s="332"/>
      <c r="TRT516" s="332"/>
      <c r="TRU516" s="332"/>
      <c r="TRV516" s="332"/>
      <c r="TRW516" s="332"/>
      <c r="TRX516" s="332"/>
      <c r="TRY516" s="332"/>
      <c r="TRZ516" s="332"/>
      <c r="TSA516" s="332"/>
      <c r="TSB516" s="332"/>
      <c r="TSC516" s="332"/>
      <c r="TSD516" s="332"/>
      <c r="TSE516" s="332"/>
      <c r="TSF516" s="332"/>
      <c r="TSG516" s="332"/>
      <c r="TSH516" s="332"/>
      <c r="TSI516" s="332"/>
      <c r="TSJ516" s="332"/>
      <c r="TSK516" s="332"/>
      <c r="TSL516" s="332"/>
      <c r="TSM516" s="332"/>
      <c r="TSN516" s="332"/>
      <c r="TSO516" s="332"/>
      <c r="TSP516" s="332"/>
      <c r="TSQ516" s="332"/>
      <c r="TSR516" s="332"/>
      <c r="TSS516" s="332"/>
      <c r="TST516" s="332"/>
      <c r="TSU516" s="332"/>
      <c r="TSV516" s="332"/>
      <c r="TSW516" s="332"/>
      <c r="TSX516" s="332"/>
      <c r="TSY516" s="332"/>
      <c r="TSZ516" s="332"/>
      <c r="TTA516" s="332"/>
      <c r="TTB516" s="332"/>
      <c r="TTC516" s="332"/>
      <c r="TTD516" s="332"/>
      <c r="TTE516" s="332"/>
      <c r="TTF516" s="332"/>
      <c r="TTG516" s="332"/>
      <c r="TTH516" s="332"/>
      <c r="TTI516" s="332"/>
      <c r="TTJ516" s="332"/>
      <c r="TTK516" s="332"/>
      <c r="TTL516" s="332"/>
      <c r="TTM516" s="332"/>
      <c r="TTN516" s="332"/>
      <c r="TTO516" s="332"/>
      <c r="TTP516" s="332"/>
      <c r="TTQ516" s="332"/>
      <c r="TTR516" s="332"/>
      <c r="TTS516" s="332"/>
      <c r="TTT516" s="332"/>
      <c r="TTU516" s="332"/>
      <c r="TTV516" s="332"/>
      <c r="TTW516" s="332"/>
      <c r="TTX516" s="332"/>
      <c r="TTY516" s="332"/>
      <c r="TTZ516" s="332"/>
      <c r="TUA516" s="332"/>
      <c r="TUB516" s="332"/>
      <c r="TUC516" s="332"/>
      <c r="TUD516" s="332"/>
      <c r="TUE516" s="332"/>
      <c r="TUF516" s="332"/>
      <c r="TUG516" s="332"/>
      <c r="TUH516" s="332"/>
      <c r="TUI516" s="332"/>
      <c r="TUJ516" s="332"/>
      <c r="TUK516" s="332"/>
      <c r="TUL516" s="332"/>
      <c r="TUM516" s="332"/>
      <c r="TUN516" s="332"/>
      <c r="TUO516" s="332"/>
      <c r="TUP516" s="332"/>
      <c r="TUQ516" s="332"/>
      <c r="TUR516" s="332"/>
      <c r="TUS516" s="332"/>
      <c r="TUT516" s="332"/>
      <c r="TUU516" s="332"/>
      <c r="TUV516" s="332"/>
      <c r="TUW516" s="332"/>
      <c r="TUX516" s="332"/>
      <c r="TUY516" s="332"/>
      <c r="TUZ516" s="332"/>
      <c r="TVA516" s="332"/>
      <c r="TVB516" s="332"/>
      <c r="TVC516" s="332"/>
      <c r="TVD516" s="332"/>
      <c r="TVE516" s="332"/>
      <c r="TVF516" s="332"/>
      <c r="TVG516" s="332"/>
      <c r="TVH516" s="332"/>
      <c r="TVI516" s="332"/>
      <c r="TVJ516" s="332"/>
      <c r="TVK516" s="332"/>
      <c r="TVL516" s="332"/>
      <c r="TVM516" s="332"/>
      <c r="TVN516" s="332"/>
      <c r="TVO516" s="332"/>
      <c r="TVP516" s="332"/>
      <c r="TVQ516" s="332"/>
      <c r="TVR516" s="332"/>
      <c r="TVS516" s="332"/>
      <c r="TVT516" s="332"/>
      <c r="TVU516" s="332"/>
      <c r="TVV516" s="332"/>
      <c r="TVW516" s="332"/>
      <c r="TVX516" s="332"/>
      <c r="TVY516" s="332"/>
      <c r="TVZ516" s="332"/>
      <c r="TWA516" s="332"/>
      <c r="TWB516" s="332"/>
      <c r="TWC516" s="332"/>
      <c r="TWD516" s="332"/>
      <c r="TWE516" s="332"/>
      <c r="TWF516" s="332"/>
      <c r="TWG516" s="332"/>
      <c r="TWH516" s="332"/>
      <c r="TWI516" s="332"/>
      <c r="TWJ516" s="332"/>
      <c r="TWK516" s="332"/>
      <c r="TWL516" s="332"/>
      <c r="TWM516" s="332"/>
      <c r="TWN516" s="332"/>
      <c r="TWO516" s="332"/>
      <c r="TWP516" s="332"/>
      <c r="TWQ516" s="332"/>
      <c r="TWR516" s="332"/>
      <c r="TWS516" s="332"/>
      <c r="TWT516" s="332"/>
      <c r="TWU516" s="332"/>
      <c r="TWV516" s="332"/>
      <c r="TWW516" s="332"/>
      <c r="TWX516" s="332"/>
      <c r="TWY516" s="332"/>
      <c r="TWZ516" s="332"/>
      <c r="TXA516" s="332"/>
      <c r="TXB516" s="332"/>
      <c r="TXC516" s="332"/>
      <c r="TXD516" s="332"/>
      <c r="TXE516" s="332"/>
      <c r="TXF516" s="332"/>
      <c r="TXG516" s="332"/>
      <c r="TXH516" s="332"/>
      <c r="TXI516" s="332"/>
      <c r="TXJ516" s="332"/>
      <c r="TXK516" s="332"/>
      <c r="TXL516" s="332"/>
      <c r="TXM516" s="332"/>
      <c r="TXN516" s="332"/>
      <c r="TXO516" s="332"/>
      <c r="TXP516" s="332"/>
      <c r="TXQ516" s="332"/>
      <c r="TXR516" s="332"/>
      <c r="TXS516" s="332"/>
      <c r="TXT516" s="332"/>
      <c r="TXU516" s="332"/>
      <c r="TXV516" s="332"/>
      <c r="TXW516" s="332"/>
      <c r="TXX516" s="332"/>
      <c r="TXY516" s="332"/>
      <c r="TXZ516" s="332"/>
      <c r="TYA516" s="332"/>
      <c r="TYB516" s="332"/>
      <c r="TYC516" s="332"/>
      <c r="TYD516" s="332"/>
      <c r="TYE516" s="332"/>
      <c r="TYF516" s="332"/>
      <c r="TYG516" s="332"/>
      <c r="TYH516" s="332"/>
      <c r="TYI516" s="332"/>
      <c r="TYJ516" s="332"/>
      <c r="TYK516" s="332"/>
      <c r="TYL516" s="332"/>
      <c r="TYM516" s="332"/>
      <c r="TYN516" s="332"/>
      <c r="TYO516" s="332"/>
      <c r="TYP516" s="332"/>
      <c r="TYQ516" s="332"/>
      <c r="TYR516" s="332"/>
      <c r="TYS516" s="332"/>
      <c r="TYT516" s="332"/>
      <c r="TYU516" s="332"/>
      <c r="TYV516" s="332"/>
      <c r="TYW516" s="332"/>
      <c r="TYX516" s="332"/>
      <c r="TYY516" s="332"/>
      <c r="TYZ516" s="332"/>
      <c r="TZA516" s="332"/>
      <c r="TZB516" s="332"/>
      <c r="TZC516" s="332"/>
      <c r="TZD516" s="332"/>
      <c r="TZE516" s="332"/>
      <c r="TZF516" s="332"/>
      <c r="TZG516" s="332"/>
      <c r="TZH516" s="332"/>
      <c r="TZI516" s="332"/>
      <c r="TZJ516" s="332"/>
      <c r="TZK516" s="332"/>
      <c r="TZL516" s="332"/>
      <c r="TZM516" s="332"/>
      <c r="TZN516" s="332"/>
      <c r="TZO516" s="332"/>
      <c r="TZP516" s="332"/>
      <c r="TZQ516" s="332"/>
      <c r="TZR516" s="332"/>
      <c r="TZS516" s="332"/>
      <c r="TZT516" s="332"/>
      <c r="TZU516" s="332"/>
      <c r="TZV516" s="332"/>
      <c r="TZW516" s="332"/>
      <c r="TZX516" s="332"/>
      <c r="TZY516" s="332"/>
      <c r="TZZ516" s="332"/>
      <c r="UAA516" s="332"/>
      <c r="UAB516" s="332"/>
      <c r="UAC516" s="332"/>
      <c r="UAD516" s="332"/>
      <c r="UAE516" s="332"/>
      <c r="UAF516" s="332"/>
      <c r="UAG516" s="332"/>
      <c r="UAH516" s="332"/>
      <c r="UAI516" s="332"/>
      <c r="UAJ516" s="332"/>
      <c r="UAK516" s="332"/>
      <c r="UAL516" s="332"/>
      <c r="UAM516" s="332"/>
      <c r="UAN516" s="332"/>
      <c r="UAO516" s="332"/>
      <c r="UAP516" s="332"/>
      <c r="UAQ516" s="332"/>
      <c r="UAR516" s="332"/>
      <c r="UAS516" s="332"/>
      <c r="UAT516" s="332"/>
      <c r="UAU516" s="332"/>
      <c r="UAV516" s="332"/>
      <c r="UAW516" s="332"/>
      <c r="UAX516" s="332"/>
      <c r="UAY516" s="332"/>
      <c r="UAZ516" s="332"/>
      <c r="UBA516" s="332"/>
      <c r="UBB516" s="332"/>
      <c r="UBC516" s="332"/>
      <c r="UBD516" s="332"/>
      <c r="UBE516" s="332"/>
      <c r="UBF516" s="332"/>
      <c r="UBG516" s="332"/>
      <c r="UBH516" s="332"/>
      <c r="UBI516" s="332"/>
      <c r="UBJ516" s="332"/>
      <c r="UBK516" s="332"/>
      <c r="UBL516" s="332"/>
      <c r="UBM516" s="332"/>
      <c r="UBN516" s="332"/>
      <c r="UBO516" s="332"/>
      <c r="UBP516" s="332"/>
      <c r="UBQ516" s="332"/>
      <c r="UBR516" s="332"/>
      <c r="UBS516" s="332"/>
      <c r="UBT516" s="332"/>
      <c r="UBU516" s="332"/>
      <c r="UBV516" s="332"/>
      <c r="UBW516" s="332"/>
      <c r="UBX516" s="332"/>
      <c r="UBY516" s="332"/>
      <c r="UBZ516" s="332"/>
      <c r="UCA516" s="332"/>
      <c r="UCB516" s="332"/>
      <c r="UCC516" s="332"/>
      <c r="UCD516" s="332"/>
      <c r="UCE516" s="332"/>
      <c r="UCF516" s="332"/>
      <c r="UCG516" s="332"/>
      <c r="UCH516" s="332"/>
      <c r="UCI516" s="332"/>
      <c r="UCJ516" s="332"/>
      <c r="UCK516" s="332"/>
      <c r="UCL516" s="332"/>
      <c r="UCM516" s="332"/>
      <c r="UCN516" s="332"/>
      <c r="UCO516" s="332"/>
      <c r="UCP516" s="332"/>
      <c r="UCQ516" s="332"/>
      <c r="UCR516" s="332"/>
      <c r="UCS516" s="332"/>
      <c r="UCT516" s="332"/>
      <c r="UCU516" s="332"/>
      <c r="UCV516" s="332"/>
      <c r="UCW516" s="332"/>
      <c r="UCX516" s="332"/>
      <c r="UCY516" s="332"/>
      <c r="UCZ516" s="332"/>
      <c r="UDA516" s="332"/>
      <c r="UDB516" s="332"/>
      <c r="UDC516" s="332"/>
      <c r="UDD516" s="332"/>
      <c r="UDE516" s="332"/>
      <c r="UDF516" s="332"/>
      <c r="UDG516" s="332"/>
      <c r="UDH516" s="332"/>
      <c r="UDI516" s="332"/>
      <c r="UDJ516" s="332"/>
      <c r="UDK516" s="332"/>
      <c r="UDL516" s="332"/>
      <c r="UDM516" s="332"/>
      <c r="UDN516" s="332"/>
      <c r="UDO516" s="332"/>
      <c r="UDP516" s="332"/>
      <c r="UDQ516" s="332"/>
      <c r="UDR516" s="332"/>
      <c r="UDS516" s="332"/>
      <c r="UDT516" s="332"/>
      <c r="UDU516" s="332"/>
      <c r="UDV516" s="332"/>
      <c r="UDW516" s="332"/>
      <c r="UDX516" s="332"/>
      <c r="UDY516" s="332"/>
      <c r="UDZ516" s="332"/>
      <c r="UEA516" s="332"/>
      <c r="UEB516" s="332"/>
      <c r="UEC516" s="332"/>
      <c r="UED516" s="332"/>
      <c r="UEE516" s="332"/>
      <c r="UEF516" s="332"/>
      <c r="UEG516" s="332"/>
      <c r="UEH516" s="332"/>
      <c r="UEI516" s="332"/>
      <c r="UEJ516" s="332"/>
      <c r="UEK516" s="332"/>
      <c r="UEL516" s="332"/>
      <c r="UEM516" s="332"/>
      <c r="UEN516" s="332"/>
      <c r="UEO516" s="332"/>
      <c r="UEP516" s="332"/>
      <c r="UEQ516" s="332"/>
      <c r="UER516" s="332"/>
      <c r="UES516" s="332"/>
      <c r="UET516" s="332"/>
      <c r="UEU516" s="332"/>
      <c r="UEV516" s="332"/>
      <c r="UEW516" s="332"/>
      <c r="UEX516" s="332"/>
      <c r="UEY516" s="332"/>
      <c r="UEZ516" s="332"/>
      <c r="UFA516" s="332"/>
      <c r="UFB516" s="332"/>
      <c r="UFC516" s="332"/>
      <c r="UFD516" s="332"/>
      <c r="UFE516" s="332"/>
      <c r="UFF516" s="332"/>
      <c r="UFG516" s="332"/>
      <c r="UFH516" s="332"/>
      <c r="UFI516" s="332"/>
      <c r="UFJ516" s="332"/>
      <c r="UFK516" s="332"/>
      <c r="UFL516" s="332"/>
      <c r="UFM516" s="332"/>
      <c r="UFN516" s="332"/>
      <c r="UFO516" s="332"/>
      <c r="UFP516" s="332"/>
      <c r="UFQ516" s="332"/>
      <c r="UFR516" s="332"/>
      <c r="UFS516" s="332"/>
      <c r="UFT516" s="332"/>
      <c r="UFU516" s="332"/>
      <c r="UFV516" s="332"/>
      <c r="UFW516" s="332"/>
      <c r="UFX516" s="332"/>
      <c r="UFY516" s="332"/>
      <c r="UFZ516" s="332"/>
      <c r="UGA516" s="332"/>
      <c r="UGB516" s="332"/>
      <c r="UGC516" s="332"/>
      <c r="UGD516" s="332"/>
      <c r="UGE516" s="332"/>
      <c r="UGF516" s="332"/>
      <c r="UGG516" s="332"/>
      <c r="UGH516" s="332"/>
      <c r="UGI516" s="332"/>
      <c r="UGJ516" s="332"/>
      <c r="UGK516" s="332"/>
      <c r="UGL516" s="332"/>
      <c r="UGM516" s="332"/>
      <c r="UGN516" s="332"/>
      <c r="UGO516" s="332"/>
      <c r="UGP516" s="332"/>
      <c r="UGQ516" s="332"/>
      <c r="UGR516" s="332"/>
      <c r="UGS516" s="332"/>
      <c r="UGT516" s="332"/>
      <c r="UGU516" s="332"/>
      <c r="UGV516" s="332"/>
      <c r="UGW516" s="332"/>
      <c r="UGX516" s="332"/>
      <c r="UGY516" s="332"/>
      <c r="UGZ516" s="332"/>
      <c r="UHA516" s="332"/>
      <c r="UHB516" s="332"/>
      <c r="UHC516" s="332"/>
      <c r="UHD516" s="332"/>
      <c r="UHE516" s="332"/>
      <c r="UHF516" s="332"/>
      <c r="UHG516" s="332"/>
      <c r="UHH516" s="332"/>
      <c r="UHI516" s="332"/>
      <c r="UHJ516" s="332"/>
      <c r="UHK516" s="332"/>
      <c r="UHL516" s="332"/>
      <c r="UHM516" s="332"/>
      <c r="UHN516" s="332"/>
      <c r="UHO516" s="332"/>
      <c r="UHP516" s="332"/>
      <c r="UHQ516" s="332"/>
      <c r="UHR516" s="332"/>
      <c r="UHS516" s="332"/>
      <c r="UHT516" s="332"/>
      <c r="UHU516" s="332"/>
      <c r="UHV516" s="332"/>
      <c r="UHW516" s="332"/>
      <c r="UHX516" s="332"/>
      <c r="UHY516" s="332"/>
      <c r="UHZ516" s="332"/>
      <c r="UIA516" s="332"/>
      <c r="UIB516" s="332"/>
      <c r="UIC516" s="332"/>
      <c r="UID516" s="332"/>
      <c r="UIE516" s="332"/>
      <c r="UIF516" s="332"/>
      <c r="UIG516" s="332"/>
      <c r="UIH516" s="332"/>
      <c r="UII516" s="332"/>
      <c r="UIJ516" s="332"/>
      <c r="UIK516" s="332"/>
      <c r="UIL516" s="332"/>
      <c r="UIM516" s="332"/>
      <c r="UIN516" s="332"/>
      <c r="UIO516" s="332"/>
      <c r="UIP516" s="332"/>
      <c r="UIQ516" s="332"/>
      <c r="UIR516" s="332"/>
      <c r="UIS516" s="332"/>
      <c r="UIT516" s="332"/>
      <c r="UIU516" s="332"/>
      <c r="UIV516" s="332"/>
      <c r="UIW516" s="332"/>
      <c r="UIX516" s="332"/>
      <c r="UIY516" s="332"/>
      <c r="UIZ516" s="332"/>
      <c r="UJA516" s="332"/>
      <c r="UJB516" s="332"/>
      <c r="UJC516" s="332"/>
      <c r="UJD516" s="332"/>
      <c r="UJE516" s="332"/>
      <c r="UJF516" s="332"/>
      <c r="UJG516" s="332"/>
      <c r="UJH516" s="332"/>
      <c r="UJI516" s="332"/>
      <c r="UJJ516" s="332"/>
      <c r="UJK516" s="332"/>
      <c r="UJL516" s="332"/>
      <c r="UJM516" s="332"/>
      <c r="UJN516" s="332"/>
      <c r="UJO516" s="332"/>
      <c r="UJP516" s="332"/>
      <c r="UJQ516" s="332"/>
      <c r="UJR516" s="332"/>
      <c r="UJS516" s="332"/>
      <c r="UJT516" s="332"/>
      <c r="UJU516" s="332"/>
      <c r="UJV516" s="332"/>
      <c r="UJW516" s="332"/>
      <c r="UJX516" s="332"/>
      <c r="UJY516" s="332"/>
      <c r="UJZ516" s="332"/>
      <c r="UKA516" s="332"/>
      <c r="UKB516" s="332"/>
      <c r="UKC516" s="332"/>
      <c r="UKD516" s="332"/>
      <c r="UKE516" s="332"/>
      <c r="UKF516" s="332"/>
      <c r="UKG516" s="332"/>
      <c r="UKH516" s="332"/>
      <c r="UKI516" s="332"/>
      <c r="UKJ516" s="332"/>
      <c r="UKK516" s="332"/>
      <c r="UKL516" s="332"/>
      <c r="UKM516" s="332"/>
      <c r="UKN516" s="332"/>
      <c r="UKO516" s="332"/>
      <c r="UKP516" s="332"/>
      <c r="UKQ516" s="332"/>
      <c r="UKR516" s="332"/>
      <c r="UKS516" s="332"/>
      <c r="UKT516" s="332"/>
      <c r="UKU516" s="332"/>
      <c r="UKV516" s="332"/>
      <c r="UKW516" s="332"/>
      <c r="UKX516" s="332"/>
      <c r="UKY516" s="332"/>
      <c r="UKZ516" s="332"/>
      <c r="ULA516" s="332"/>
      <c r="ULB516" s="332"/>
      <c r="ULC516" s="332"/>
      <c r="ULD516" s="332"/>
      <c r="ULE516" s="332"/>
      <c r="ULF516" s="332"/>
      <c r="ULG516" s="332"/>
      <c r="ULH516" s="332"/>
      <c r="ULI516" s="332"/>
      <c r="ULJ516" s="332"/>
      <c r="ULK516" s="332"/>
      <c r="ULL516" s="332"/>
      <c r="ULM516" s="332"/>
      <c r="ULN516" s="332"/>
      <c r="ULO516" s="332"/>
      <c r="ULP516" s="332"/>
      <c r="ULQ516" s="332"/>
      <c r="ULR516" s="332"/>
      <c r="ULS516" s="332"/>
      <c r="ULT516" s="332"/>
      <c r="ULU516" s="332"/>
      <c r="ULV516" s="332"/>
      <c r="ULW516" s="332"/>
      <c r="ULX516" s="332"/>
      <c r="ULY516" s="332"/>
      <c r="ULZ516" s="332"/>
      <c r="UMA516" s="332"/>
      <c r="UMB516" s="332"/>
      <c r="UMC516" s="332"/>
      <c r="UMD516" s="332"/>
      <c r="UME516" s="332"/>
      <c r="UMF516" s="332"/>
      <c r="UMG516" s="332"/>
      <c r="UMH516" s="332"/>
      <c r="UMI516" s="332"/>
      <c r="UMJ516" s="332"/>
      <c r="UMK516" s="332"/>
      <c r="UML516" s="332"/>
      <c r="UMM516" s="332"/>
      <c r="UMN516" s="332"/>
      <c r="UMO516" s="332"/>
      <c r="UMP516" s="332"/>
      <c r="UMQ516" s="332"/>
      <c r="UMR516" s="332"/>
      <c r="UMS516" s="332"/>
      <c r="UMT516" s="332"/>
      <c r="UMU516" s="332"/>
      <c r="UMV516" s="332"/>
      <c r="UMW516" s="332"/>
      <c r="UMX516" s="332"/>
      <c r="UMY516" s="332"/>
      <c r="UMZ516" s="332"/>
      <c r="UNA516" s="332"/>
      <c r="UNB516" s="332"/>
      <c r="UNC516" s="332"/>
      <c r="UND516" s="332"/>
      <c r="UNE516" s="332"/>
      <c r="UNF516" s="332"/>
      <c r="UNG516" s="332"/>
      <c r="UNH516" s="332"/>
      <c r="UNI516" s="332"/>
      <c r="UNJ516" s="332"/>
      <c r="UNK516" s="332"/>
      <c r="UNL516" s="332"/>
      <c r="UNM516" s="332"/>
      <c r="UNN516" s="332"/>
      <c r="UNO516" s="332"/>
      <c r="UNP516" s="332"/>
      <c r="UNQ516" s="332"/>
      <c r="UNR516" s="332"/>
      <c r="UNS516" s="332"/>
      <c r="UNT516" s="332"/>
      <c r="UNU516" s="332"/>
      <c r="UNV516" s="332"/>
      <c r="UNW516" s="332"/>
      <c r="UNX516" s="332"/>
      <c r="UNY516" s="332"/>
      <c r="UNZ516" s="332"/>
      <c r="UOA516" s="332"/>
      <c r="UOB516" s="332"/>
      <c r="UOC516" s="332"/>
      <c r="UOD516" s="332"/>
      <c r="UOE516" s="332"/>
      <c r="UOF516" s="332"/>
      <c r="UOG516" s="332"/>
      <c r="UOH516" s="332"/>
      <c r="UOI516" s="332"/>
      <c r="UOJ516" s="332"/>
      <c r="UOK516" s="332"/>
      <c r="UOL516" s="332"/>
      <c r="UOM516" s="332"/>
      <c r="UON516" s="332"/>
      <c r="UOO516" s="332"/>
      <c r="UOP516" s="332"/>
      <c r="UOQ516" s="332"/>
      <c r="UOR516" s="332"/>
      <c r="UOS516" s="332"/>
      <c r="UOT516" s="332"/>
      <c r="UOU516" s="332"/>
      <c r="UOV516" s="332"/>
      <c r="UOW516" s="332"/>
      <c r="UOX516" s="332"/>
      <c r="UOY516" s="332"/>
      <c r="UOZ516" s="332"/>
      <c r="UPA516" s="332"/>
      <c r="UPB516" s="332"/>
      <c r="UPC516" s="332"/>
      <c r="UPD516" s="332"/>
      <c r="UPE516" s="332"/>
      <c r="UPF516" s="332"/>
      <c r="UPG516" s="332"/>
      <c r="UPH516" s="332"/>
      <c r="UPI516" s="332"/>
      <c r="UPJ516" s="332"/>
      <c r="UPK516" s="332"/>
      <c r="UPL516" s="332"/>
      <c r="UPM516" s="332"/>
      <c r="UPN516" s="332"/>
      <c r="UPO516" s="332"/>
      <c r="UPP516" s="332"/>
      <c r="UPQ516" s="332"/>
      <c r="UPR516" s="332"/>
      <c r="UPS516" s="332"/>
      <c r="UPT516" s="332"/>
      <c r="UPU516" s="332"/>
      <c r="UPV516" s="332"/>
      <c r="UPW516" s="332"/>
      <c r="UPX516" s="332"/>
      <c r="UPY516" s="332"/>
      <c r="UPZ516" s="332"/>
      <c r="UQA516" s="332"/>
      <c r="UQB516" s="332"/>
      <c r="UQC516" s="332"/>
      <c r="UQD516" s="332"/>
      <c r="UQE516" s="332"/>
      <c r="UQF516" s="332"/>
      <c r="UQG516" s="332"/>
      <c r="UQH516" s="332"/>
      <c r="UQI516" s="332"/>
      <c r="UQJ516" s="332"/>
      <c r="UQK516" s="332"/>
      <c r="UQL516" s="332"/>
      <c r="UQM516" s="332"/>
      <c r="UQN516" s="332"/>
      <c r="UQO516" s="332"/>
      <c r="UQP516" s="332"/>
      <c r="UQQ516" s="332"/>
      <c r="UQR516" s="332"/>
      <c r="UQS516" s="332"/>
      <c r="UQT516" s="332"/>
      <c r="UQU516" s="332"/>
      <c r="UQV516" s="332"/>
      <c r="UQW516" s="332"/>
      <c r="UQX516" s="332"/>
      <c r="UQY516" s="332"/>
      <c r="UQZ516" s="332"/>
      <c r="URA516" s="332"/>
      <c r="URB516" s="332"/>
      <c r="URC516" s="332"/>
      <c r="URD516" s="332"/>
      <c r="URE516" s="332"/>
      <c r="URF516" s="332"/>
      <c r="URG516" s="332"/>
      <c r="URH516" s="332"/>
      <c r="URI516" s="332"/>
      <c r="URJ516" s="332"/>
      <c r="URK516" s="332"/>
      <c r="URL516" s="332"/>
      <c r="URM516" s="332"/>
      <c r="URN516" s="332"/>
      <c r="URO516" s="332"/>
      <c r="URP516" s="332"/>
      <c r="URQ516" s="332"/>
      <c r="URR516" s="332"/>
      <c r="URS516" s="332"/>
      <c r="URT516" s="332"/>
      <c r="URU516" s="332"/>
      <c r="URV516" s="332"/>
      <c r="URW516" s="332"/>
      <c r="URX516" s="332"/>
      <c r="URY516" s="332"/>
      <c r="URZ516" s="332"/>
      <c r="USA516" s="332"/>
      <c r="USB516" s="332"/>
      <c r="USC516" s="332"/>
      <c r="USD516" s="332"/>
      <c r="USE516" s="332"/>
      <c r="USF516" s="332"/>
      <c r="USG516" s="332"/>
      <c r="USH516" s="332"/>
      <c r="USI516" s="332"/>
      <c r="USJ516" s="332"/>
      <c r="USK516" s="332"/>
      <c r="USL516" s="332"/>
      <c r="USM516" s="332"/>
      <c r="USN516" s="332"/>
      <c r="USO516" s="332"/>
      <c r="USP516" s="332"/>
      <c r="USQ516" s="332"/>
      <c r="USR516" s="332"/>
      <c r="USS516" s="332"/>
      <c r="UST516" s="332"/>
      <c r="USU516" s="332"/>
      <c r="USV516" s="332"/>
      <c r="USW516" s="332"/>
      <c r="USX516" s="332"/>
      <c r="USY516" s="332"/>
      <c r="USZ516" s="332"/>
      <c r="UTA516" s="332"/>
      <c r="UTB516" s="332"/>
      <c r="UTC516" s="332"/>
      <c r="UTD516" s="332"/>
      <c r="UTE516" s="332"/>
      <c r="UTF516" s="332"/>
      <c r="UTG516" s="332"/>
      <c r="UTH516" s="332"/>
      <c r="UTI516" s="332"/>
      <c r="UTJ516" s="332"/>
      <c r="UTK516" s="332"/>
      <c r="UTL516" s="332"/>
      <c r="UTM516" s="332"/>
      <c r="UTN516" s="332"/>
      <c r="UTO516" s="332"/>
      <c r="UTP516" s="332"/>
      <c r="UTQ516" s="332"/>
      <c r="UTR516" s="332"/>
      <c r="UTS516" s="332"/>
      <c r="UTT516" s="332"/>
      <c r="UTU516" s="332"/>
      <c r="UTV516" s="332"/>
      <c r="UTW516" s="332"/>
      <c r="UTX516" s="332"/>
      <c r="UTY516" s="332"/>
      <c r="UTZ516" s="332"/>
      <c r="UUA516" s="332"/>
      <c r="UUB516" s="332"/>
      <c r="UUC516" s="332"/>
      <c r="UUD516" s="332"/>
      <c r="UUE516" s="332"/>
      <c r="UUF516" s="332"/>
      <c r="UUG516" s="332"/>
      <c r="UUH516" s="332"/>
      <c r="UUI516" s="332"/>
      <c r="UUJ516" s="332"/>
      <c r="UUK516" s="332"/>
      <c r="UUL516" s="332"/>
      <c r="UUM516" s="332"/>
      <c r="UUN516" s="332"/>
      <c r="UUO516" s="332"/>
      <c r="UUP516" s="332"/>
      <c r="UUQ516" s="332"/>
      <c r="UUR516" s="332"/>
      <c r="UUS516" s="332"/>
      <c r="UUT516" s="332"/>
      <c r="UUU516" s="332"/>
      <c r="UUV516" s="332"/>
      <c r="UUW516" s="332"/>
      <c r="UUX516" s="332"/>
      <c r="UUY516" s="332"/>
      <c r="UUZ516" s="332"/>
      <c r="UVA516" s="332"/>
      <c r="UVB516" s="332"/>
      <c r="UVC516" s="332"/>
      <c r="UVD516" s="332"/>
      <c r="UVE516" s="332"/>
      <c r="UVF516" s="332"/>
      <c r="UVG516" s="332"/>
      <c r="UVH516" s="332"/>
      <c r="UVI516" s="332"/>
      <c r="UVJ516" s="332"/>
      <c r="UVK516" s="332"/>
      <c r="UVL516" s="332"/>
      <c r="UVM516" s="332"/>
      <c r="UVN516" s="332"/>
      <c r="UVO516" s="332"/>
      <c r="UVP516" s="332"/>
      <c r="UVQ516" s="332"/>
      <c r="UVR516" s="332"/>
      <c r="UVS516" s="332"/>
      <c r="UVT516" s="332"/>
      <c r="UVU516" s="332"/>
      <c r="UVV516" s="332"/>
      <c r="UVW516" s="332"/>
      <c r="UVX516" s="332"/>
      <c r="UVY516" s="332"/>
      <c r="UVZ516" s="332"/>
      <c r="UWA516" s="332"/>
      <c r="UWB516" s="332"/>
      <c r="UWC516" s="332"/>
      <c r="UWD516" s="332"/>
      <c r="UWE516" s="332"/>
      <c r="UWF516" s="332"/>
      <c r="UWG516" s="332"/>
      <c r="UWH516" s="332"/>
      <c r="UWI516" s="332"/>
      <c r="UWJ516" s="332"/>
      <c r="UWK516" s="332"/>
      <c r="UWL516" s="332"/>
      <c r="UWM516" s="332"/>
      <c r="UWN516" s="332"/>
      <c r="UWO516" s="332"/>
      <c r="UWP516" s="332"/>
      <c r="UWQ516" s="332"/>
      <c r="UWR516" s="332"/>
      <c r="UWS516" s="332"/>
      <c r="UWT516" s="332"/>
      <c r="UWU516" s="332"/>
      <c r="UWV516" s="332"/>
      <c r="UWW516" s="332"/>
      <c r="UWX516" s="332"/>
      <c r="UWY516" s="332"/>
      <c r="UWZ516" s="332"/>
      <c r="UXA516" s="332"/>
      <c r="UXB516" s="332"/>
      <c r="UXC516" s="332"/>
      <c r="UXD516" s="332"/>
      <c r="UXE516" s="332"/>
      <c r="UXF516" s="332"/>
      <c r="UXG516" s="332"/>
      <c r="UXH516" s="332"/>
      <c r="UXI516" s="332"/>
      <c r="UXJ516" s="332"/>
      <c r="UXK516" s="332"/>
      <c r="UXL516" s="332"/>
      <c r="UXM516" s="332"/>
      <c r="UXN516" s="332"/>
      <c r="UXO516" s="332"/>
      <c r="UXP516" s="332"/>
      <c r="UXQ516" s="332"/>
      <c r="UXR516" s="332"/>
      <c r="UXS516" s="332"/>
      <c r="UXT516" s="332"/>
      <c r="UXU516" s="332"/>
      <c r="UXV516" s="332"/>
      <c r="UXW516" s="332"/>
      <c r="UXX516" s="332"/>
      <c r="UXY516" s="332"/>
      <c r="UXZ516" s="332"/>
      <c r="UYA516" s="332"/>
      <c r="UYB516" s="332"/>
      <c r="UYC516" s="332"/>
      <c r="UYD516" s="332"/>
      <c r="UYE516" s="332"/>
      <c r="UYF516" s="332"/>
      <c r="UYG516" s="332"/>
      <c r="UYH516" s="332"/>
      <c r="UYI516" s="332"/>
      <c r="UYJ516" s="332"/>
      <c r="UYK516" s="332"/>
      <c r="UYL516" s="332"/>
      <c r="UYM516" s="332"/>
      <c r="UYN516" s="332"/>
      <c r="UYO516" s="332"/>
      <c r="UYP516" s="332"/>
      <c r="UYQ516" s="332"/>
      <c r="UYR516" s="332"/>
      <c r="UYS516" s="332"/>
      <c r="UYT516" s="332"/>
      <c r="UYU516" s="332"/>
      <c r="UYV516" s="332"/>
      <c r="UYW516" s="332"/>
      <c r="UYX516" s="332"/>
      <c r="UYY516" s="332"/>
      <c r="UYZ516" s="332"/>
      <c r="UZA516" s="332"/>
      <c r="UZB516" s="332"/>
      <c r="UZC516" s="332"/>
      <c r="UZD516" s="332"/>
      <c r="UZE516" s="332"/>
      <c r="UZF516" s="332"/>
      <c r="UZG516" s="332"/>
      <c r="UZH516" s="332"/>
      <c r="UZI516" s="332"/>
      <c r="UZJ516" s="332"/>
      <c r="UZK516" s="332"/>
      <c r="UZL516" s="332"/>
      <c r="UZM516" s="332"/>
      <c r="UZN516" s="332"/>
      <c r="UZO516" s="332"/>
      <c r="UZP516" s="332"/>
      <c r="UZQ516" s="332"/>
      <c r="UZR516" s="332"/>
      <c r="UZS516" s="332"/>
      <c r="UZT516" s="332"/>
      <c r="UZU516" s="332"/>
      <c r="UZV516" s="332"/>
      <c r="UZW516" s="332"/>
      <c r="UZX516" s="332"/>
      <c r="UZY516" s="332"/>
      <c r="UZZ516" s="332"/>
      <c r="VAA516" s="332"/>
      <c r="VAB516" s="332"/>
      <c r="VAC516" s="332"/>
      <c r="VAD516" s="332"/>
      <c r="VAE516" s="332"/>
      <c r="VAF516" s="332"/>
      <c r="VAG516" s="332"/>
      <c r="VAH516" s="332"/>
      <c r="VAI516" s="332"/>
      <c r="VAJ516" s="332"/>
      <c r="VAK516" s="332"/>
      <c r="VAL516" s="332"/>
      <c r="VAM516" s="332"/>
      <c r="VAN516" s="332"/>
      <c r="VAO516" s="332"/>
      <c r="VAP516" s="332"/>
      <c r="VAQ516" s="332"/>
      <c r="VAR516" s="332"/>
      <c r="VAS516" s="332"/>
      <c r="VAT516" s="332"/>
      <c r="VAU516" s="332"/>
      <c r="VAV516" s="332"/>
      <c r="VAW516" s="332"/>
      <c r="VAX516" s="332"/>
      <c r="VAY516" s="332"/>
      <c r="VAZ516" s="332"/>
      <c r="VBA516" s="332"/>
      <c r="VBB516" s="332"/>
      <c r="VBC516" s="332"/>
      <c r="VBD516" s="332"/>
      <c r="VBE516" s="332"/>
      <c r="VBF516" s="332"/>
      <c r="VBG516" s="332"/>
      <c r="VBH516" s="332"/>
      <c r="VBI516" s="332"/>
      <c r="VBJ516" s="332"/>
      <c r="VBK516" s="332"/>
      <c r="VBL516" s="332"/>
      <c r="VBM516" s="332"/>
      <c r="VBN516" s="332"/>
      <c r="VBO516" s="332"/>
      <c r="VBP516" s="332"/>
      <c r="VBQ516" s="332"/>
      <c r="VBR516" s="332"/>
      <c r="VBS516" s="332"/>
      <c r="VBT516" s="332"/>
      <c r="VBU516" s="332"/>
      <c r="VBV516" s="332"/>
      <c r="VBW516" s="332"/>
      <c r="VBX516" s="332"/>
      <c r="VBY516" s="332"/>
      <c r="VBZ516" s="332"/>
      <c r="VCA516" s="332"/>
      <c r="VCB516" s="332"/>
      <c r="VCC516" s="332"/>
      <c r="VCD516" s="332"/>
      <c r="VCE516" s="332"/>
      <c r="VCF516" s="332"/>
      <c r="VCG516" s="332"/>
      <c r="VCH516" s="332"/>
      <c r="VCI516" s="332"/>
      <c r="VCJ516" s="332"/>
      <c r="VCK516" s="332"/>
      <c r="VCL516" s="332"/>
      <c r="VCM516" s="332"/>
      <c r="VCN516" s="332"/>
      <c r="VCO516" s="332"/>
      <c r="VCP516" s="332"/>
      <c r="VCQ516" s="332"/>
      <c r="VCR516" s="332"/>
      <c r="VCS516" s="332"/>
      <c r="VCT516" s="332"/>
      <c r="VCU516" s="332"/>
      <c r="VCV516" s="332"/>
      <c r="VCW516" s="332"/>
      <c r="VCX516" s="332"/>
      <c r="VCY516" s="332"/>
      <c r="VCZ516" s="332"/>
      <c r="VDA516" s="332"/>
      <c r="VDB516" s="332"/>
      <c r="VDC516" s="332"/>
      <c r="VDD516" s="332"/>
      <c r="VDE516" s="332"/>
      <c r="VDF516" s="332"/>
      <c r="VDG516" s="332"/>
      <c r="VDH516" s="332"/>
      <c r="VDI516" s="332"/>
      <c r="VDJ516" s="332"/>
      <c r="VDK516" s="332"/>
      <c r="VDL516" s="332"/>
      <c r="VDM516" s="332"/>
      <c r="VDN516" s="332"/>
      <c r="VDO516" s="332"/>
      <c r="VDP516" s="332"/>
      <c r="VDQ516" s="332"/>
      <c r="VDR516" s="332"/>
      <c r="VDS516" s="332"/>
      <c r="VDT516" s="332"/>
      <c r="VDU516" s="332"/>
      <c r="VDV516" s="332"/>
      <c r="VDW516" s="332"/>
      <c r="VDX516" s="332"/>
      <c r="VDY516" s="332"/>
      <c r="VDZ516" s="332"/>
      <c r="VEA516" s="332"/>
      <c r="VEB516" s="332"/>
      <c r="VEC516" s="332"/>
      <c r="VED516" s="332"/>
      <c r="VEE516" s="332"/>
      <c r="VEF516" s="332"/>
      <c r="VEG516" s="332"/>
      <c r="VEH516" s="332"/>
      <c r="VEI516" s="332"/>
      <c r="VEJ516" s="332"/>
      <c r="VEK516" s="332"/>
      <c r="VEL516" s="332"/>
      <c r="VEM516" s="332"/>
      <c r="VEN516" s="332"/>
      <c r="VEO516" s="332"/>
      <c r="VEP516" s="332"/>
      <c r="VEQ516" s="332"/>
      <c r="VER516" s="332"/>
      <c r="VES516" s="332"/>
      <c r="VET516" s="332"/>
      <c r="VEU516" s="332"/>
      <c r="VEV516" s="332"/>
      <c r="VEW516" s="332"/>
      <c r="VEX516" s="332"/>
      <c r="VEY516" s="332"/>
      <c r="VEZ516" s="332"/>
      <c r="VFA516" s="332"/>
      <c r="VFB516" s="332"/>
      <c r="VFC516" s="332"/>
      <c r="VFD516" s="332"/>
      <c r="VFE516" s="332"/>
      <c r="VFF516" s="332"/>
      <c r="VFG516" s="332"/>
      <c r="VFH516" s="332"/>
      <c r="VFI516" s="332"/>
      <c r="VFJ516" s="332"/>
      <c r="VFK516" s="332"/>
      <c r="VFL516" s="332"/>
      <c r="VFM516" s="332"/>
      <c r="VFN516" s="332"/>
      <c r="VFO516" s="332"/>
      <c r="VFP516" s="332"/>
      <c r="VFQ516" s="332"/>
      <c r="VFR516" s="332"/>
      <c r="VFS516" s="332"/>
      <c r="VFT516" s="332"/>
      <c r="VFU516" s="332"/>
      <c r="VFV516" s="332"/>
      <c r="VFW516" s="332"/>
      <c r="VFX516" s="332"/>
      <c r="VFY516" s="332"/>
      <c r="VFZ516" s="332"/>
      <c r="VGA516" s="332"/>
      <c r="VGB516" s="332"/>
      <c r="VGC516" s="332"/>
      <c r="VGD516" s="332"/>
      <c r="VGE516" s="332"/>
      <c r="VGF516" s="332"/>
      <c r="VGG516" s="332"/>
      <c r="VGH516" s="332"/>
      <c r="VGI516" s="332"/>
      <c r="VGJ516" s="332"/>
      <c r="VGK516" s="332"/>
      <c r="VGL516" s="332"/>
      <c r="VGM516" s="332"/>
      <c r="VGN516" s="332"/>
      <c r="VGO516" s="332"/>
      <c r="VGP516" s="332"/>
      <c r="VGQ516" s="332"/>
      <c r="VGR516" s="332"/>
      <c r="VGS516" s="332"/>
      <c r="VGT516" s="332"/>
      <c r="VGU516" s="332"/>
      <c r="VGV516" s="332"/>
      <c r="VGW516" s="332"/>
      <c r="VGX516" s="332"/>
      <c r="VGY516" s="332"/>
      <c r="VGZ516" s="332"/>
      <c r="VHA516" s="332"/>
      <c r="VHB516" s="332"/>
      <c r="VHC516" s="332"/>
      <c r="VHD516" s="332"/>
      <c r="VHE516" s="332"/>
      <c r="VHF516" s="332"/>
      <c r="VHG516" s="332"/>
      <c r="VHH516" s="332"/>
      <c r="VHI516" s="332"/>
      <c r="VHJ516" s="332"/>
      <c r="VHK516" s="332"/>
      <c r="VHL516" s="332"/>
      <c r="VHM516" s="332"/>
      <c r="VHN516" s="332"/>
      <c r="VHO516" s="332"/>
      <c r="VHP516" s="332"/>
      <c r="VHQ516" s="332"/>
      <c r="VHR516" s="332"/>
      <c r="VHS516" s="332"/>
      <c r="VHT516" s="332"/>
      <c r="VHU516" s="332"/>
      <c r="VHV516" s="332"/>
      <c r="VHW516" s="332"/>
      <c r="VHX516" s="332"/>
      <c r="VHY516" s="332"/>
      <c r="VHZ516" s="332"/>
      <c r="VIA516" s="332"/>
      <c r="VIB516" s="332"/>
      <c r="VIC516" s="332"/>
      <c r="VID516" s="332"/>
      <c r="VIE516" s="332"/>
      <c r="VIF516" s="332"/>
      <c r="VIG516" s="332"/>
      <c r="VIH516" s="332"/>
      <c r="VII516" s="332"/>
      <c r="VIJ516" s="332"/>
      <c r="VIK516" s="332"/>
      <c r="VIL516" s="332"/>
      <c r="VIM516" s="332"/>
      <c r="VIN516" s="332"/>
      <c r="VIO516" s="332"/>
      <c r="VIP516" s="332"/>
      <c r="VIQ516" s="332"/>
      <c r="VIR516" s="332"/>
      <c r="VIS516" s="332"/>
      <c r="VIT516" s="332"/>
      <c r="VIU516" s="332"/>
      <c r="VIV516" s="332"/>
      <c r="VIW516" s="332"/>
      <c r="VIX516" s="332"/>
      <c r="VIY516" s="332"/>
      <c r="VIZ516" s="332"/>
      <c r="VJA516" s="332"/>
      <c r="VJB516" s="332"/>
      <c r="VJC516" s="332"/>
      <c r="VJD516" s="332"/>
      <c r="VJE516" s="332"/>
      <c r="VJF516" s="332"/>
      <c r="VJG516" s="332"/>
      <c r="VJH516" s="332"/>
      <c r="VJI516" s="332"/>
      <c r="VJJ516" s="332"/>
      <c r="VJK516" s="332"/>
      <c r="VJL516" s="332"/>
      <c r="VJM516" s="332"/>
      <c r="VJN516" s="332"/>
      <c r="VJO516" s="332"/>
      <c r="VJP516" s="332"/>
      <c r="VJQ516" s="332"/>
      <c r="VJR516" s="332"/>
      <c r="VJS516" s="332"/>
      <c r="VJT516" s="332"/>
      <c r="VJU516" s="332"/>
      <c r="VJV516" s="332"/>
      <c r="VJW516" s="332"/>
      <c r="VJX516" s="332"/>
      <c r="VJY516" s="332"/>
      <c r="VJZ516" s="332"/>
      <c r="VKA516" s="332"/>
      <c r="VKB516" s="332"/>
      <c r="VKC516" s="332"/>
      <c r="VKD516" s="332"/>
      <c r="VKE516" s="332"/>
      <c r="VKF516" s="332"/>
      <c r="VKG516" s="332"/>
      <c r="VKH516" s="332"/>
      <c r="VKI516" s="332"/>
      <c r="VKJ516" s="332"/>
      <c r="VKK516" s="332"/>
      <c r="VKL516" s="332"/>
      <c r="VKM516" s="332"/>
      <c r="VKN516" s="332"/>
      <c r="VKO516" s="332"/>
      <c r="VKP516" s="332"/>
      <c r="VKQ516" s="332"/>
      <c r="VKR516" s="332"/>
      <c r="VKS516" s="332"/>
      <c r="VKT516" s="332"/>
      <c r="VKU516" s="332"/>
      <c r="VKV516" s="332"/>
      <c r="VKW516" s="332"/>
      <c r="VKX516" s="332"/>
      <c r="VKY516" s="332"/>
      <c r="VKZ516" s="332"/>
      <c r="VLA516" s="332"/>
      <c r="VLB516" s="332"/>
      <c r="VLC516" s="332"/>
      <c r="VLD516" s="332"/>
      <c r="VLE516" s="332"/>
      <c r="VLF516" s="332"/>
      <c r="VLG516" s="332"/>
      <c r="VLH516" s="332"/>
      <c r="VLI516" s="332"/>
      <c r="VLJ516" s="332"/>
      <c r="VLK516" s="332"/>
      <c r="VLL516" s="332"/>
      <c r="VLM516" s="332"/>
      <c r="VLN516" s="332"/>
      <c r="VLO516" s="332"/>
      <c r="VLP516" s="332"/>
      <c r="VLQ516" s="332"/>
      <c r="VLR516" s="332"/>
      <c r="VLS516" s="332"/>
      <c r="VLT516" s="332"/>
      <c r="VLU516" s="332"/>
      <c r="VLV516" s="332"/>
      <c r="VLW516" s="332"/>
      <c r="VLX516" s="332"/>
      <c r="VLY516" s="332"/>
      <c r="VLZ516" s="332"/>
      <c r="VMA516" s="332"/>
      <c r="VMB516" s="332"/>
      <c r="VMC516" s="332"/>
      <c r="VMD516" s="332"/>
      <c r="VME516" s="332"/>
      <c r="VMF516" s="332"/>
      <c r="VMG516" s="332"/>
      <c r="VMH516" s="332"/>
      <c r="VMI516" s="332"/>
      <c r="VMJ516" s="332"/>
      <c r="VMK516" s="332"/>
      <c r="VML516" s="332"/>
      <c r="VMM516" s="332"/>
      <c r="VMN516" s="332"/>
      <c r="VMO516" s="332"/>
      <c r="VMP516" s="332"/>
      <c r="VMQ516" s="332"/>
      <c r="VMR516" s="332"/>
      <c r="VMS516" s="332"/>
      <c r="VMT516" s="332"/>
      <c r="VMU516" s="332"/>
      <c r="VMV516" s="332"/>
      <c r="VMW516" s="332"/>
      <c r="VMX516" s="332"/>
      <c r="VMY516" s="332"/>
      <c r="VMZ516" s="332"/>
      <c r="VNA516" s="332"/>
      <c r="VNB516" s="332"/>
      <c r="VNC516" s="332"/>
      <c r="VND516" s="332"/>
      <c r="VNE516" s="332"/>
      <c r="VNF516" s="332"/>
      <c r="VNG516" s="332"/>
      <c r="VNH516" s="332"/>
      <c r="VNI516" s="332"/>
      <c r="VNJ516" s="332"/>
      <c r="VNK516" s="332"/>
      <c r="VNL516" s="332"/>
      <c r="VNM516" s="332"/>
      <c r="VNN516" s="332"/>
      <c r="VNO516" s="332"/>
      <c r="VNP516" s="332"/>
      <c r="VNQ516" s="332"/>
      <c r="VNR516" s="332"/>
      <c r="VNS516" s="332"/>
      <c r="VNT516" s="332"/>
      <c r="VNU516" s="332"/>
      <c r="VNV516" s="332"/>
      <c r="VNW516" s="332"/>
      <c r="VNX516" s="332"/>
      <c r="VNY516" s="332"/>
      <c r="VNZ516" s="332"/>
      <c r="VOA516" s="332"/>
      <c r="VOB516" s="332"/>
      <c r="VOC516" s="332"/>
      <c r="VOD516" s="332"/>
      <c r="VOE516" s="332"/>
      <c r="VOF516" s="332"/>
      <c r="VOG516" s="332"/>
      <c r="VOH516" s="332"/>
      <c r="VOI516" s="332"/>
      <c r="VOJ516" s="332"/>
      <c r="VOK516" s="332"/>
      <c r="VOL516" s="332"/>
      <c r="VOM516" s="332"/>
      <c r="VON516" s="332"/>
      <c r="VOO516" s="332"/>
      <c r="VOP516" s="332"/>
      <c r="VOQ516" s="332"/>
      <c r="VOR516" s="332"/>
      <c r="VOS516" s="332"/>
      <c r="VOT516" s="332"/>
      <c r="VOU516" s="332"/>
      <c r="VOV516" s="332"/>
      <c r="VOW516" s="332"/>
      <c r="VOX516" s="332"/>
      <c r="VOY516" s="332"/>
      <c r="VOZ516" s="332"/>
      <c r="VPA516" s="332"/>
      <c r="VPB516" s="332"/>
      <c r="VPC516" s="332"/>
      <c r="VPD516" s="332"/>
      <c r="VPE516" s="332"/>
      <c r="VPF516" s="332"/>
      <c r="VPG516" s="332"/>
      <c r="VPH516" s="332"/>
      <c r="VPI516" s="332"/>
      <c r="VPJ516" s="332"/>
      <c r="VPK516" s="332"/>
      <c r="VPL516" s="332"/>
      <c r="VPM516" s="332"/>
      <c r="VPN516" s="332"/>
      <c r="VPO516" s="332"/>
      <c r="VPP516" s="332"/>
      <c r="VPQ516" s="332"/>
      <c r="VPR516" s="332"/>
      <c r="VPS516" s="332"/>
      <c r="VPT516" s="332"/>
      <c r="VPU516" s="332"/>
      <c r="VPV516" s="332"/>
      <c r="VPW516" s="332"/>
      <c r="VPX516" s="332"/>
      <c r="VPY516" s="332"/>
      <c r="VPZ516" s="332"/>
      <c r="VQA516" s="332"/>
      <c r="VQB516" s="332"/>
      <c r="VQC516" s="332"/>
      <c r="VQD516" s="332"/>
      <c r="VQE516" s="332"/>
      <c r="VQF516" s="332"/>
      <c r="VQG516" s="332"/>
      <c r="VQH516" s="332"/>
      <c r="VQI516" s="332"/>
      <c r="VQJ516" s="332"/>
      <c r="VQK516" s="332"/>
      <c r="VQL516" s="332"/>
      <c r="VQM516" s="332"/>
      <c r="VQN516" s="332"/>
      <c r="VQO516" s="332"/>
      <c r="VQP516" s="332"/>
      <c r="VQQ516" s="332"/>
      <c r="VQR516" s="332"/>
      <c r="VQS516" s="332"/>
      <c r="VQT516" s="332"/>
      <c r="VQU516" s="332"/>
      <c r="VQV516" s="332"/>
      <c r="VQW516" s="332"/>
      <c r="VQX516" s="332"/>
      <c r="VQY516" s="332"/>
      <c r="VQZ516" s="332"/>
      <c r="VRA516" s="332"/>
      <c r="VRB516" s="332"/>
      <c r="VRC516" s="332"/>
      <c r="VRD516" s="332"/>
      <c r="VRE516" s="332"/>
      <c r="VRF516" s="332"/>
      <c r="VRG516" s="332"/>
      <c r="VRH516" s="332"/>
      <c r="VRI516" s="332"/>
      <c r="VRJ516" s="332"/>
      <c r="VRK516" s="332"/>
      <c r="VRL516" s="332"/>
      <c r="VRM516" s="332"/>
      <c r="VRN516" s="332"/>
      <c r="VRO516" s="332"/>
      <c r="VRP516" s="332"/>
      <c r="VRQ516" s="332"/>
      <c r="VRR516" s="332"/>
      <c r="VRS516" s="332"/>
      <c r="VRT516" s="332"/>
      <c r="VRU516" s="332"/>
      <c r="VRV516" s="332"/>
      <c r="VRW516" s="332"/>
      <c r="VRX516" s="332"/>
      <c r="VRY516" s="332"/>
      <c r="VRZ516" s="332"/>
      <c r="VSA516" s="332"/>
      <c r="VSB516" s="332"/>
      <c r="VSC516" s="332"/>
      <c r="VSD516" s="332"/>
      <c r="VSE516" s="332"/>
      <c r="VSF516" s="332"/>
      <c r="VSG516" s="332"/>
      <c r="VSH516" s="332"/>
      <c r="VSI516" s="332"/>
      <c r="VSJ516" s="332"/>
      <c r="VSK516" s="332"/>
      <c r="VSL516" s="332"/>
      <c r="VSM516" s="332"/>
      <c r="VSN516" s="332"/>
      <c r="VSO516" s="332"/>
      <c r="VSP516" s="332"/>
      <c r="VSQ516" s="332"/>
      <c r="VSR516" s="332"/>
      <c r="VSS516" s="332"/>
      <c r="VST516" s="332"/>
      <c r="VSU516" s="332"/>
      <c r="VSV516" s="332"/>
      <c r="VSW516" s="332"/>
      <c r="VSX516" s="332"/>
      <c r="VSY516" s="332"/>
      <c r="VSZ516" s="332"/>
      <c r="VTA516" s="332"/>
      <c r="VTB516" s="332"/>
      <c r="VTC516" s="332"/>
      <c r="VTD516" s="332"/>
      <c r="VTE516" s="332"/>
      <c r="VTF516" s="332"/>
      <c r="VTG516" s="332"/>
      <c r="VTH516" s="332"/>
      <c r="VTI516" s="332"/>
      <c r="VTJ516" s="332"/>
      <c r="VTK516" s="332"/>
      <c r="VTL516" s="332"/>
      <c r="VTM516" s="332"/>
      <c r="VTN516" s="332"/>
      <c r="VTO516" s="332"/>
      <c r="VTP516" s="332"/>
      <c r="VTQ516" s="332"/>
      <c r="VTR516" s="332"/>
      <c r="VTS516" s="332"/>
      <c r="VTT516" s="332"/>
      <c r="VTU516" s="332"/>
      <c r="VTV516" s="332"/>
      <c r="VTW516" s="332"/>
      <c r="VTX516" s="332"/>
      <c r="VTY516" s="332"/>
      <c r="VTZ516" s="332"/>
      <c r="VUA516" s="332"/>
      <c r="VUB516" s="332"/>
      <c r="VUC516" s="332"/>
      <c r="VUD516" s="332"/>
      <c r="VUE516" s="332"/>
      <c r="VUF516" s="332"/>
      <c r="VUG516" s="332"/>
      <c r="VUH516" s="332"/>
      <c r="VUI516" s="332"/>
      <c r="VUJ516" s="332"/>
      <c r="VUK516" s="332"/>
      <c r="VUL516" s="332"/>
      <c r="VUM516" s="332"/>
      <c r="VUN516" s="332"/>
      <c r="VUO516" s="332"/>
      <c r="VUP516" s="332"/>
      <c r="VUQ516" s="332"/>
      <c r="VUR516" s="332"/>
      <c r="VUS516" s="332"/>
      <c r="VUT516" s="332"/>
      <c r="VUU516" s="332"/>
      <c r="VUV516" s="332"/>
      <c r="VUW516" s="332"/>
      <c r="VUX516" s="332"/>
      <c r="VUY516" s="332"/>
      <c r="VUZ516" s="332"/>
      <c r="VVA516" s="332"/>
      <c r="VVB516" s="332"/>
      <c r="VVC516" s="332"/>
      <c r="VVD516" s="332"/>
      <c r="VVE516" s="332"/>
      <c r="VVF516" s="332"/>
      <c r="VVG516" s="332"/>
      <c r="VVH516" s="332"/>
      <c r="VVI516" s="332"/>
      <c r="VVJ516" s="332"/>
      <c r="VVK516" s="332"/>
      <c r="VVL516" s="332"/>
      <c r="VVM516" s="332"/>
      <c r="VVN516" s="332"/>
      <c r="VVO516" s="332"/>
      <c r="VVP516" s="332"/>
      <c r="VVQ516" s="332"/>
      <c r="VVR516" s="332"/>
      <c r="VVS516" s="332"/>
      <c r="VVT516" s="332"/>
      <c r="VVU516" s="332"/>
      <c r="VVV516" s="332"/>
      <c r="VVW516" s="332"/>
      <c r="VVX516" s="332"/>
      <c r="VVY516" s="332"/>
      <c r="VVZ516" s="332"/>
      <c r="VWA516" s="332"/>
      <c r="VWB516" s="332"/>
      <c r="VWC516" s="332"/>
      <c r="VWD516" s="332"/>
      <c r="VWE516" s="332"/>
      <c r="VWF516" s="332"/>
      <c r="VWG516" s="332"/>
      <c r="VWH516" s="332"/>
      <c r="VWI516" s="332"/>
      <c r="VWJ516" s="332"/>
      <c r="VWK516" s="332"/>
      <c r="VWL516" s="332"/>
      <c r="VWM516" s="332"/>
      <c r="VWN516" s="332"/>
      <c r="VWO516" s="332"/>
      <c r="VWP516" s="332"/>
      <c r="VWQ516" s="332"/>
      <c r="VWR516" s="332"/>
      <c r="VWS516" s="332"/>
      <c r="VWT516" s="332"/>
      <c r="VWU516" s="332"/>
      <c r="VWV516" s="332"/>
      <c r="VWW516" s="332"/>
      <c r="VWX516" s="332"/>
      <c r="VWY516" s="332"/>
      <c r="VWZ516" s="332"/>
      <c r="VXA516" s="332"/>
      <c r="VXB516" s="332"/>
      <c r="VXC516" s="332"/>
      <c r="VXD516" s="332"/>
      <c r="VXE516" s="332"/>
      <c r="VXF516" s="332"/>
      <c r="VXG516" s="332"/>
      <c r="VXH516" s="332"/>
      <c r="VXI516" s="332"/>
      <c r="VXJ516" s="332"/>
      <c r="VXK516" s="332"/>
      <c r="VXL516" s="332"/>
      <c r="VXM516" s="332"/>
      <c r="VXN516" s="332"/>
      <c r="VXO516" s="332"/>
      <c r="VXP516" s="332"/>
      <c r="VXQ516" s="332"/>
      <c r="VXR516" s="332"/>
      <c r="VXS516" s="332"/>
      <c r="VXT516" s="332"/>
      <c r="VXU516" s="332"/>
      <c r="VXV516" s="332"/>
      <c r="VXW516" s="332"/>
      <c r="VXX516" s="332"/>
      <c r="VXY516" s="332"/>
      <c r="VXZ516" s="332"/>
      <c r="VYA516" s="332"/>
      <c r="VYB516" s="332"/>
      <c r="VYC516" s="332"/>
      <c r="VYD516" s="332"/>
      <c r="VYE516" s="332"/>
      <c r="VYF516" s="332"/>
      <c r="VYG516" s="332"/>
      <c r="VYH516" s="332"/>
      <c r="VYI516" s="332"/>
      <c r="VYJ516" s="332"/>
      <c r="VYK516" s="332"/>
      <c r="VYL516" s="332"/>
      <c r="VYM516" s="332"/>
      <c r="VYN516" s="332"/>
      <c r="VYO516" s="332"/>
      <c r="VYP516" s="332"/>
      <c r="VYQ516" s="332"/>
      <c r="VYR516" s="332"/>
      <c r="VYS516" s="332"/>
      <c r="VYT516" s="332"/>
      <c r="VYU516" s="332"/>
      <c r="VYV516" s="332"/>
      <c r="VYW516" s="332"/>
      <c r="VYX516" s="332"/>
      <c r="VYY516" s="332"/>
      <c r="VYZ516" s="332"/>
      <c r="VZA516" s="332"/>
      <c r="VZB516" s="332"/>
      <c r="VZC516" s="332"/>
      <c r="VZD516" s="332"/>
      <c r="VZE516" s="332"/>
      <c r="VZF516" s="332"/>
      <c r="VZG516" s="332"/>
      <c r="VZH516" s="332"/>
      <c r="VZI516" s="332"/>
      <c r="VZJ516" s="332"/>
      <c r="VZK516" s="332"/>
      <c r="VZL516" s="332"/>
      <c r="VZM516" s="332"/>
      <c r="VZN516" s="332"/>
      <c r="VZO516" s="332"/>
      <c r="VZP516" s="332"/>
      <c r="VZQ516" s="332"/>
      <c r="VZR516" s="332"/>
      <c r="VZS516" s="332"/>
      <c r="VZT516" s="332"/>
      <c r="VZU516" s="332"/>
      <c r="VZV516" s="332"/>
      <c r="VZW516" s="332"/>
      <c r="VZX516" s="332"/>
      <c r="VZY516" s="332"/>
      <c r="VZZ516" s="332"/>
      <c r="WAA516" s="332"/>
      <c r="WAB516" s="332"/>
      <c r="WAC516" s="332"/>
      <c r="WAD516" s="332"/>
      <c r="WAE516" s="332"/>
      <c r="WAF516" s="332"/>
      <c r="WAG516" s="332"/>
      <c r="WAH516" s="332"/>
      <c r="WAI516" s="332"/>
      <c r="WAJ516" s="332"/>
      <c r="WAK516" s="332"/>
      <c r="WAL516" s="332"/>
      <c r="WAM516" s="332"/>
      <c r="WAN516" s="332"/>
      <c r="WAO516" s="332"/>
      <c r="WAP516" s="332"/>
      <c r="WAQ516" s="332"/>
      <c r="WAR516" s="332"/>
      <c r="WAS516" s="332"/>
      <c r="WAT516" s="332"/>
      <c r="WAU516" s="332"/>
      <c r="WAV516" s="332"/>
      <c r="WAW516" s="332"/>
      <c r="WAX516" s="332"/>
      <c r="WAY516" s="332"/>
      <c r="WAZ516" s="332"/>
      <c r="WBA516" s="332"/>
      <c r="WBB516" s="332"/>
      <c r="WBC516" s="332"/>
      <c r="WBD516" s="332"/>
      <c r="WBE516" s="332"/>
      <c r="WBF516" s="332"/>
      <c r="WBG516" s="332"/>
      <c r="WBH516" s="332"/>
      <c r="WBI516" s="332"/>
      <c r="WBJ516" s="332"/>
      <c r="WBK516" s="332"/>
      <c r="WBL516" s="332"/>
      <c r="WBM516" s="332"/>
      <c r="WBN516" s="332"/>
      <c r="WBO516" s="332"/>
      <c r="WBP516" s="332"/>
      <c r="WBQ516" s="332"/>
      <c r="WBR516" s="332"/>
      <c r="WBS516" s="332"/>
      <c r="WBT516" s="332"/>
      <c r="WBU516" s="332"/>
      <c r="WBV516" s="332"/>
      <c r="WBW516" s="332"/>
      <c r="WBX516" s="332"/>
      <c r="WBY516" s="332"/>
      <c r="WBZ516" s="332"/>
      <c r="WCA516" s="332"/>
      <c r="WCB516" s="332"/>
      <c r="WCC516" s="332"/>
      <c r="WCD516" s="332"/>
      <c r="WCE516" s="332"/>
      <c r="WCF516" s="332"/>
      <c r="WCG516" s="332"/>
      <c r="WCH516" s="332"/>
      <c r="WCI516" s="332"/>
      <c r="WCJ516" s="332"/>
      <c r="WCK516" s="332"/>
      <c r="WCL516" s="332"/>
      <c r="WCM516" s="332"/>
      <c r="WCN516" s="332"/>
      <c r="WCO516" s="332"/>
      <c r="WCP516" s="332"/>
      <c r="WCQ516" s="332"/>
      <c r="WCR516" s="332"/>
      <c r="WCS516" s="332"/>
      <c r="WCT516" s="332"/>
      <c r="WCU516" s="332"/>
      <c r="WCV516" s="332"/>
      <c r="WCW516" s="332"/>
      <c r="WCX516" s="332"/>
      <c r="WCY516" s="332"/>
      <c r="WCZ516" s="332"/>
      <c r="WDA516" s="332"/>
      <c r="WDB516" s="332"/>
      <c r="WDC516" s="332"/>
      <c r="WDD516" s="332"/>
      <c r="WDE516" s="332"/>
      <c r="WDF516" s="332"/>
      <c r="WDG516" s="332"/>
      <c r="WDH516" s="332"/>
      <c r="WDI516" s="332"/>
      <c r="WDJ516" s="332"/>
      <c r="WDK516" s="332"/>
      <c r="WDL516" s="332"/>
      <c r="WDM516" s="332"/>
      <c r="WDN516" s="332"/>
      <c r="WDO516" s="332"/>
      <c r="WDP516" s="332"/>
      <c r="WDQ516" s="332"/>
      <c r="WDR516" s="332"/>
      <c r="WDS516" s="332"/>
      <c r="WDT516" s="332"/>
      <c r="WDU516" s="332"/>
      <c r="WDV516" s="332"/>
      <c r="WDW516" s="332"/>
      <c r="WDX516" s="332"/>
      <c r="WDY516" s="332"/>
      <c r="WDZ516" s="332"/>
      <c r="WEA516" s="332"/>
      <c r="WEB516" s="332"/>
      <c r="WEC516" s="332"/>
      <c r="WED516" s="332"/>
      <c r="WEE516" s="332"/>
      <c r="WEF516" s="332"/>
      <c r="WEG516" s="332"/>
      <c r="WEH516" s="332"/>
      <c r="WEI516" s="332"/>
      <c r="WEJ516" s="332"/>
      <c r="WEK516" s="332"/>
      <c r="WEL516" s="332"/>
      <c r="WEM516" s="332"/>
      <c r="WEN516" s="332"/>
      <c r="WEO516" s="332"/>
      <c r="WEP516" s="332"/>
      <c r="WEQ516" s="332"/>
      <c r="WER516" s="332"/>
      <c r="WES516" s="332"/>
      <c r="WET516" s="332"/>
      <c r="WEU516" s="332"/>
      <c r="WEV516" s="332"/>
      <c r="WEW516" s="332"/>
      <c r="WEX516" s="332"/>
      <c r="WEY516" s="332"/>
      <c r="WEZ516" s="332"/>
      <c r="WFA516" s="332"/>
      <c r="WFB516" s="332"/>
      <c r="WFC516" s="332"/>
      <c r="WFD516" s="332"/>
      <c r="WFE516" s="332"/>
      <c r="WFF516" s="332"/>
      <c r="WFG516" s="332"/>
      <c r="WFH516" s="332"/>
      <c r="WFI516" s="332"/>
      <c r="WFJ516" s="332"/>
      <c r="WFK516" s="332"/>
      <c r="WFL516" s="332"/>
      <c r="WFM516" s="332"/>
      <c r="WFN516" s="332"/>
      <c r="WFO516" s="332"/>
      <c r="WFP516" s="332"/>
      <c r="WFQ516" s="332"/>
      <c r="WFR516" s="332"/>
      <c r="WFS516" s="332"/>
      <c r="WFT516" s="332"/>
      <c r="WFU516" s="332"/>
      <c r="WFV516" s="332"/>
      <c r="WFW516" s="332"/>
      <c r="WFX516" s="332"/>
      <c r="WFY516" s="332"/>
      <c r="WFZ516" s="332"/>
      <c r="WGA516" s="332"/>
      <c r="WGB516" s="332"/>
      <c r="WGC516" s="332"/>
      <c r="WGD516" s="332"/>
      <c r="WGE516" s="332"/>
      <c r="WGF516" s="332"/>
      <c r="WGG516" s="332"/>
      <c r="WGH516" s="332"/>
      <c r="WGI516" s="332"/>
      <c r="WGJ516" s="332"/>
      <c r="WGK516" s="332"/>
      <c r="WGL516" s="332"/>
      <c r="WGM516" s="332"/>
      <c r="WGN516" s="332"/>
      <c r="WGO516" s="332"/>
      <c r="WGP516" s="332"/>
      <c r="WGQ516" s="332"/>
      <c r="WGR516" s="332"/>
      <c r="WGS516" s="332"/>
      <c r="WGT516" s="332"/>
      <c r="WGU516" s="332"/>
      <c r="WGV516" s="332"/>
      <c r="WGW516" s="332"/>
      <c r="WGX516" s="332"/>
      <c r="WGY516" s="332"/>
      <c r="WGZ516" s="332"/>
      <c r="WHA516" s="332"/>
      <c r="WHB516" s="332"/>
      <c r="WHC516" s="332"/>
      <c r="WHD516" s="332"/>
      <c r="WHE516" s="332"/>
      <c r="WHF516" s="332"/>
      <c r="WHG516" s="332"/>
      <c r="WHH516" s="332"/>
      <c r="WHI516" s="332"/>
      <c r="WHJ516" s="332"/>
      <c r="WHK516" s="332"/>
      <c r="WHL516" s="332"/>
      <c r="WHM516" s="332"/>
      <c r="WHN516" s="332"/>
      <c r="WHO516" s="332"/>
      <c r="WHP516" s="332"/>
      <c r="WHQ516" s="332"/>
      <c r="WHR516" s="332"/>
      <c r="WHS516" s="332"/>
      <c r="WHT516" s="332"/>
      <c r="WHU516" s="332"/>
      <c r="WHV516" s="332"/>
      <c r="WHW516" s="332"/>
      <c r="WHX516" s="332"/>
      <c r="WHY516" s="332"/>
      <c r="WHZ516" s="332"/>
      <c r="WIA516" s="332"/>
      <c r="WIB516" s="332"/>
      <c r="WIC516" s="332"/>
      <c r="WID516" s="332"/>
      <c r="WIE516" s="332"/>
      <c r="WIF516" s="332"/>
      <c r="WIG516" s="332"/>
      <c r="WIH516" s="332"/>
      <c r="WII516" s="332"/>
      <c r="WIJ516" s="332"/>
      <c r="WIK516" s="332"/>
      <c r="WIL516" s="332"/>
      <c r="WIM516" s="332"/>
      <c r="WIN516" s="332"/>
      <c r="WIO516" s="332"/>
      <c r="WIP516" s="332"/>
      <c r="WIQ516" s="332"/>
      <c r="WIR516" s="332"/>
      <c r="WIS516" s="332"/>
      <c r="WIT516" s="332"/>
      <c r="WIU516" s="332"/>
      <c r="WIV516" s="332"/>
      <c r="WIW516" s="332"/>
      <c r="WIX516" s="332"/>
      <c r="WIY516" s="332"/>
      <c r="WIZ516" s="332"/>
      <c r="WJA516" s="332"/>
      <c r="WJB516" s="332"/>
      <c r="WJC516" s="332"/>
      <c r="WJD516" s="332"/>
      <c r="WJE516" s="332"/>
      <c r="WJF516" s="332"/>
      <c r="WJG516" s="332"/>
      <c r="WJH516" s="332"/>
      <c r="WJI516" s="332"/>
      <c r="WJJ516" s="332"/>
      <c r="WJK516" s="332"/>
      <c r="WJL516" s="332"/>
      <c r="WJM516" s="332"/>
      <c r="WJN516" s="332"/>
      <c r="WJO516" s="332"/>
      <c r="WJP516" s="332"/>
      <c r="WJQ516" s="332"/>
      <c r="WJR516" s="332"/>
      <c r="WJS516" s="332"/>
      <c r="WJT516" s="332"/>
      <c r="WJU516" s="332"/>
      <c r="WJV516" s="332"/>
      <c r="WJW516" s="332"/>
      <c r="WJX516" s="332"/>
      <c r="WJY516" s="332"/>
      <c r="WJZ516" s="332"/>
      <c r="WKA516" s="332"/>
      <c r="WKB516" s="332"/>
      <c r="WKC516" s="332"/>
      <c r="WKD516" s="332"/>
      <c r="WKE516" s="332"/>
      <c r="WKF516" s="332"/>
      <c r="WKG516" s="332"/>
      <c r="WKH516" s="332"/>
      <c r="WKI516" s="332"/>
      <c r="WKJ516" s="332"/>
      <c r="WKK516" s="332"/>
      <c r="WKL516" s="332"/>
      <c r="WKM516" s="332"/>
      <c r="WKN516" s="332"/>
      <c r="WKO516" s="332"/>
      <c r="WKP516" s="332"/>
      <c r="WKQ516" s="332"/>
      <c r="WKR516" s="332"/>
      <c r="WKS516" s="332"/>
      <c r="WKT516" s="332"/>
      <c r="WKU516" s="332"/>
      <c r="WKV516" s="332"/>
      <c r="WKW516" s="332"/>
      <c r="WKX516" s="332"/>
      <c r="WKY516" s="332"/>
      <c r="WKZ516" s="332"/>
      <c r="WLA516" s="332"/>
      <c r="WLB516" s="332"/>
      <c r="WLC516" s="332"/>
      <c r="WLD516" s="332"/>
      <c r="WLE516" s="332"/>
      <c r="WLF516" s="332"/>
      <c r="WLG516" s="332"/>
      <c r="WLH516" s="332"/>
      <c r="WLI516" s="332"/>
      <c r="WLJ516" s="332"/>
      <c r="WLK516" s="332"/>
      <c r="WLL516" s="332"/>
      <c r="WLM516" s="332"/>
      <c r="WLN516" s="332"/>
      <c r="WLO516" s="332"/>
      <c r="WLP516" s="332"/>
      <c r="WLQ516" s="332"/>
      <c r="WLR516" s="332"/>
      <c r="WLS516" s="332"/>
      <c r="WLT516" s="332"/>
      <c r="WLU516" s="332"/>
      <c r="WLV516" s="332"/>
      <c r="WLW516" s="332"/>
      <c r="WLX516" s="332"/>
      <c r="WLY516" s="332"/>
      <c r="WLZ516" s="332"/>
      <c r="WMA516" s="332"/>
      <c r="WMB516" s="332"/>
      <c r="WMC516" s="332"/>
      <c r="WMD516" s="332"/>
      <c r="WME516" s="332"/>
      <c r="WMF516" s="332"/>
      <c r="WMG516" s="332"/>
      <c r="WMH516" s="332"/>
      <c r="WMI516" s="332"/>
      <c r="WMJ516" s="332"/>
      <c r="WMK516" s="332"/>
      <c r="WML516" s="332"/>
      <c r="WMM516" s="332"/>
      <c r="WMN516" s="332"/>
      <c r="WMO516" s="332"/>
      <c r="WMP516" s="332"/>
      <c r="WMQ516" s="332"/>
      <c r="WMR516" s="332"/>
      <c r="WMS516" s="332"/>
      <c r="WMT516" s="332"/>
      <c r="WMU516" s="332"/>
      <c r="WMV516" s="332"/>
      <c r="WMW516" s="332"/>
      <c r="WMX516" s="332"/>
      <c r="WMY516" s="332"/>
      <c r="WMZ516" s="332"/>
      <c r="WNA516" s="332"/>
      <c r="WNB516" s="332"/>
      <c r="WNC516" s="332"/>
      <c r="WND516" s="332"/>
      <c r="WNE516" s="332"/>
      <c r="WNF516" s="332"/>
      <c r="WNG516" s="332"/>
      <c r="WNH516" s="332"/>
      <c r="WNI516" s="332"/>
      <c r="WNJ516" s="332"/>
      <c r="WNK516" s="332"/>
      <c r="WNL516" s="332"/>
      <c r="WNM516" s="332"/>
      <c r="WNN516" s="332"/>
      <c r="WNO516" s="332"/>
      <c r="WNP516" s="332"/>
      <c r="WNQ516" s="332"/>
      <c r="WNR516" s="332"/>
      <c r="WNS516" s="332"/>
      <c r="WNT516" s="332"/>
      <c r="WNU516" s="332"/>
      <c r="WNV516" s="332"/>
      <c r="WNW516" s="332"/>
      <c r="WNX516" s="332"/>
      <c r="WNY516" s="332"/>
      <c r="WNZ516" s="332"/>
      <c r="WOA516" s="332"/>
      <c r="WOB516" s="332"/>
      <c r="WOC516" s="332"/>
      <c r="WOD516" s="332"/>
      <c r="WOE516" s="332"/>
      <c r="WOF516" s="332"/>
      <c r="WOG516" s="332"/>
      <c r="WOH516" s="332"/>
      <c r="WOI516" s="332"/>
      <c r="WOJ516" s="332"/>
      <c r="WOK516" s="332"/>
      <c r="WOL516" s="332"/>
      <c r="WOM516" s="332"/>
      <c r="WON516" s="332"/>
      <c r="WOO516" s="332"/>
      <c r="WOP516" s="332"/>
      <c r="WOQ516" s="332"/>
      <c r="WOR516" s="332"/>
      <c r="WOS516" s="332"/>
      <c r="WOT516" s="332"/>
      <c r="WOU516" s="332"/>
      <c r="WOV516" s="332"/>
      <c r="WOW516" s="332"/>
      <c r="WOX516" s="332"/>
      <c r="WOY516" s="332"/>
      <c r="WOZ516" s="332"/>
      <c r="WPA516" s="332"/>
      <c r="WPB516" s="332"/>
      <c r="WPC516" s="332"/>
      <c r="WPD516" s="332"/>
      <c r="WPE516" s="332"/>
      <c r="WPF516" s="332"/>
      <c r="WPG516" s="332"/>
      <c r="WPH516" s="332"/>
      <c r="WPI516" s="332"/>
      <c r="WPJ516" s="332"/>
      <c r="WPK516" s="332"/>
      <c r="WPL516" s="332"/>
      <c r="WPM516" s="332"/>
      <c r="WPN516" s="332"/>
      <c r="WPO516" s="332"/>
      <c r="WPP516" s="332"/>
      <c r="WPQ516" s="332"/>
      <c r="WPR516" s="332"/>
      <c r="WPS516" s="332"/>
      <c r="WPT516" s="332"/>
      <c r="WPU516" s="332"/>
      <c r="WPV516" s="332"/>
      <c r="WPW516" s="332"/>
      <c r="WPX516" s="332"/>
      <c r="WPY516" s="332"/>
      <c r="WPZ516" s="332"/>
      <c r="WQA516" s="332"/>
      <c r="WQB516" s="332"/>
      <c r="WQC516" s="332"/>
      <c r="WQD516" s="332"/>
      <c r="WQE516" s="332"/>
      <c r="WQF516" s="332"/>
      <c r="WQG516" s="332"/>
      <c r="WQH516" s="332"/>
      <c r="WQI516" s="332"/>
      <c r="WQJ516" s="332"/>
      <c r="WQK516" s="332"/>
      <c r="WQL516" s="332"/>
      <c r="WQM516" s="332"/>
      <c r="WQN516" s="332"/>
      <c r="WQO516" s="332"/>
      <c r="WQP516" s="332"/>
      <c r="WQQ516" s="332"/>
      <c r="WQR516" s="332"/>
      <c r="WQS516" s="332"/>
      <c r="WQT516" s="332"/>
      <c r="WQU516" s="332"/>
      <c r="WQV516" s="332"/>
      <c r="WQW516" s="332"/>
      <c r="WQX516" s="332"/>
      <c r="WQY516" s="332"/>
      <c r="WQZ516" s="332"/>
      <c r="WRA516" s="332"/>
      <c r="WRB516" s="332"/>
      <c r="WRC516" s="332"/>
      <c r="WRD516" s="332"/>
      <c r="WRE516" s="332"/>
      <c r="WRF516" s="332"/>
      <c r="WRG516" s="332"/>
      <c r="WRH516" s="332"/>
      <c r="WRI516" s="332"/>
      <c r="WRJ516" s="332"/>
      <c r="WRK516" s="332"/>
      <c r="WRL516" s="332"/>
      <c r="WRM516" s="332"/>
      <c r="WRN516" s="332"/>
      <c r="WRO516" s="332"/>
      <c r="WRP516" s="332"/>
      <c r="WRQ516" s="332"/>
      <c r="WRR516" s="332"/>
      <c r="WRS516" s="332"/>
      <c r="WRT516" s="332"/>
      <c r="WRU516" s="332"/>
      <c r="WRV516" s="332"/>
      <c r="WRW516" s="332"/>
      <c r="WRX516" s="332"/>
      <c r="WRY516" s="332"/>
      <c r="WRZ516" s="332"/>
      <c r="WSA516" s="332"/>
      <c r="WSB516" s="332"/>
      <c r="WSC516" s="332"/>
      <c r="WSD516" s="332"/>
      <c r="WSE516" s="332"/>
      <c r="WSF516" s="332"/>
      <c r="WSG516" s="332"/>
      <c r="WSH516" s="332"/>
      <c r="WSI516" s="332"/>
      <c r="WSJ516" s="332"/>
      <c r="WSK516" s="332"/>
      <c r="WSL516" s="332"/>
      <c r="WSM516" s="332"/>
      <c r="WSN516" s="332"/>
      <c r="WSO516" s="332"/>
      <c r="WSP516" s="332"/>
      <c r="WSQ516" s="332"/>
      <c r="WSR516" s="332"/>
      <c r="WSS516" s="332"/>
      <c r="WST516" s="332"/>
      <c r="WSU516" s="332"/>
      <c r="WSV516" s="332"/>
      <c r="WSW516" s="332"/>
      <c r="WSX516" s="332"/>
      <c r="WSY516" s="332"/>
      <c r="WSZ516" s="332"/>
      <c r="WTA516" s="332"/>
      <c r="WTB516" s="332"/>
      <c r="WTC516" s="332"/>
      <c r="WTD516" s="332"/>
      <c r="WTE516" s="332"/>
      <c r="WTF516" s="332"/>
      <c r="WTG516" s="332"/>
      <c r="WTH516" s="332"/>
      <c r="WTI516" s="332"/>
      <c r="WTJ516" s="332"/>
      <c r="WTK516" s="332"/>
      <c r="WTL516" s="332"/>
      <c r="WTM516" s="332"/>
      <c r="WTN516" s="332"/>
      <c r="WTO516" s="332"/>
      <c r="WTP516" s="332"/>
      <c r="WTQ516" s="332"/>
      <c r="WTR516" s="332"/>
      <c r="WTS516" s="332"/>
      <c r="WTT516" s="332"/>
      <c r="WTU516" s="332"/>
      <c r="WTV516" s="332"/>
      <c r="WTW516" s="332"/>
      <c r="WTX516" s="332"/>
      <c r="WTY516" s="332"/>
      <c r="WTZ516" s="332"/>
      <c r="WUA516" s="332"/>
      <c r="WUB516" s="332"/>
      <c r="WUC516" s="332"/>
      <c r="WUD516" s="332"/>
      <c r="WUE516" s="332"/>
      <c r="WUF516" s="332"/>
      <c r="WUG516" s="332"/>
      <c r="WUH516" s="332"/>
      <c r="WUI516" s="332"/>
      <c r="WUJ516" s="332"/>
      <c r="WUK516" s="332"/>
      <c r="WUL516" s="332"/>
      <c r="WUM516" s="332"/>
      <c r="WUN516" s="332"/>
      <c r="WUO516" s="332"/>
      <c r="WUP516" s="332"/>
      <c r="WUQ516" s="332"/>
      <c r="WUR516" s="332"/>
      <c r="WUS516" s="332"/>
      <c r="WUT516" s="332"/>
      <c r="WUU516" s="332"/>
      <c r="WUV516" s="332"/>
      <c r="WUW516" s="332"/>
      <c r="WUX516" s="332"/>
      <c r="WUY516" s="332"/>
      <c r="WUZ516" s="332"/>
      <c r="WVA516" s="332"/>
      <c r="WVB516" s="332"/>
      <c r="WVC516" s="332"/>
      <c r="WVD516" s="332"/>
      <c r="WVE516" s="332"/>
      <c r="WVF516" s="332"/>
      <c r="WVG516" s="332"/>
      <c r="WVH516" s="332"/>
      <c r="WVI516" s="332"/>
      <c r="WVJ516" s="332"/>
      <c r="WVK516" s="332"/>
      <c r="WVL516" s="332"/>
      <c r="WVM516" s="332"/>
      <c r="WVN516" s="332"/>
      <c r="WVO516" s="332"/>
      <c r="WVP516" s="332"/>
      <c r="WVQ516" s="332"/>
      <c r="WVR516" s="332"/>
      <c r="WVS516" s="332"/>
      <c r="WVT516" s="332"/>
      <c r="WVU516" s="332"/>
      <c r="WVV516" s="332"/>
      <c r="WVW516" s="332"/>
      <c r="WVX516" s="332"/>
      <c r="WVY516" s="332"/>
      <c r="WVZ516" s="332"/>
      <c r="WWA516" s="332"/>
      <c r="WWB516" s="332"/>
      <c r="WWC516" s="332"/>
      <c r="WWD516" s="332"/>
      <c r="WWE516" s="332"/>
      <c r="WWF516" s="332"/>
      <c r="WWG516" s="332"/>
      <c r="WWH516" s="332"/>
      <c r="WWI516" s="332"/>
      <c r="WWJ516" s="332"/>
      <c r="WWK516" s="332"/>
      <c r="WWL516" s="332"/>
      <c r="WWM516" s="332"/>
      <c r="WWN516" s="332"/>
      <c r="WWO516" s="332"/>
      <c r="WWP516" s="332"/>
      <c r="WWQ516" s="332"/>
      <c r="WWR516" s="332"/>
      <c r="WWS516" s="332"/>
      <c r="WWT516" s="332"/>
      <c r="WWU516" s="332"/>
      <c r="WWV516" s="332"/>
      <c r="WWW516" s="332"/>
      <c r="WWX516" s="332"/>
      <c r="WWY516" s="332"/>
      <c r="WWZ516" s="332"/>
      <c r="WXA516" s="332"/>
      <c r="WXB516" s="332"/>
      <c r="WXC516" s="332"/>
      <c r="WXD516" s="332"/>
      <c r="WXE516" s="332"/>
      <c r="WXF516" s="332"/>
      <c r="WXG516" s="332"/>
      <c r="WXH516" s="332"/>
      <c r="WXI516" s="332"/>
      <c r="WXJ516" s="332"/>
      <c r="WXK516" s="332"/>
      <c r="WXL516" s="332"/>
      <c r="WXM516" s="332"/>
      <c r="WXN516" s="332"/>
      <c r="WXO516" s="332"/>
      <c r="WXP516" s="332"/>
      <c r="WXQ516" s="332"/>
      <c r="WXR516" s="332"/>
      <c r="WXS516" s="332"/>
      <c r="WXT516" s="332"/>
      <c r="WXU516" s="332"/>
      <c r="WXV516" s="332"/>
      <c r="WXW516" s="332"/>
      <c r="WXX516" s="332"/>
      <c r="WXY516" s="332"/>
      <c r="WXZ516" s="332"/>
      <c r="WYA516" s="332"/>
      <c r="WYB516" s="332"/>
      <c r="WYC516" s="332"/>
      <c r="WYD516" s="332"/>
      <c r="WYE516" s="332"/>
      <c r="WYF516" s="332"/>
      <c r="WYG516" s="332"/>
      <c r="WYH516" s="332"/>
      <c r="WYI516" s="332"/>
      <c r="WYJ516" s="332"/>
      <c r="WYK516" s="332"/>
      <c r="WYL516" s="332"/>
      <c r="WYM516" s="332"/>
      <c r="WYN516" s="332"/>
      <c r="WYO516" s="332"/>
      <c r="WYP516" s="332"/>
      <c r="WYQ516" s="332"/>
      <c r="WYR516" s="332"/>
      <c r="WYS516" s="332"/>
      <c r="WYT516" s="332"/>
      <c r="WYU516" s="332"/>
      <c r="WYV516" s="332"/>
      <c r="WYW516" s="332"/>
      <c r="WYX516" s="332"/>
      <c r="WYY516" s="332"/>
      <c r="WYZ516" s="332"/>
      <c r="WZA516" s="332"/>
      <c r="WZB516" s="332"/>
      <c r="WZC516" s="332"/>
      <c r="WZD516" s="332"/>
      <c r="WZE516" s="332"/>
      <c r="WZF516" s="332"/>
      <c r="WZG516" s="332"/>
      <c r="WZH516" s="332"/>
      <c r="WZI516" s="332"/>
      <c r="WZJ516" s="332"/>
      <c r="WZK516" s="332"/>
      <c r="WZL516" s="332"/>
      <c r="WZM516" s="332"/>
      <c r="WZN516" s="332"/>
      <c r="WZO516" s="332"/>
      <c r="WZP516" s="332"/>
      <c r="WZQ516" s="332"/>
      <c r="WZR516" s="332"/>
      <c r="WZS516" s="332"/>
      <c r="WZT516" s="332"/>
      <c r="WZU516" s="332"/>
      <c r="WZV516" s="332"/>
      <c r="WZW516" s="332"/>
      <c r="WZX516" s="332"/>
      <c r="WZY516" s="332"/>
      <c r="WZZ516" s="332"/>
      <c r="XAA516" s="332"/>
      <c r="XAB516" s="332"/>
      <c r="XAC516" s="332"/>
      <c r="XAD516" s="332"/>
      <c r="XAE516" s="332"/>
      <c r="XAF516" s="332"/>
      <c r="XAG516" s="332"/>
      <c r="XAH516" s="332"/>
      <c r="XAI516" s="332"/>
      <c r="XAJ516" s="332"/>
      <c r="XAK516" s="332"/>
      <c r="XAL516" s="332"/>
      <c r="XAM516" s="332"/>
      <c r="XAN516" s="332"/>
      <c r="XAO516" s="332"/>
      <c r="XAP516" s="332"/>
      <c r="XAQ516" s="332"/>
      <c r="XAR516" s="332"/>
      <c r="XAS516" s="332"/>
      <c r="XAT516" s="332"/>
      <c r="XAU516" s="332"/>
      <c r="XAV516" s="332"/>
      <c r="XAW516" s="332"/>
      <c r="XAX516" s="332"/>
      <c r="XAY516" s="332"/>
      <c r="XAZ516" s="332"/>
      <c r="XBA516" s="332"/>
      <c r="XBB516" s="332"/>
      <c r="XBC516" s="332"/>
      <c r="XBD516" s="332"/>
      <c r="XBE516" s="332"/>
      <c r="XBF516" s="332"/>
      <c r="XBG516" s="332"/>
      <c r="XBH516" s="332"/>
      <c r="XBI516" s="332"/>
      <c r="XBJ516" s="332"/>
      <c r="XBK516" s="332"/>
      <c r="XBL516" s="332"/>
      <c r="XBM516" s="332"/>
      <c r="XBN516" s="332"/>
      <c r="XBO516" s="332"/>
      <c r="XBP516" s="332"/>
      <c r="XBQ516" s="332"/>
      <c r="XBR516" s="332"/>
      <c r="XBS516" s="332"/>
      <c r="XBT516" s="332"/>
      <c r="XBU516" s="332"/>
      <c r="XBV516" s="332"/>
      <c r="XBW516" s="332"/>
      <c r="XBX516" s="332"/>
      <c r="XBY516" s="332"/>
      <c r="XBZ516" s="332"/>
      <c r="XCA516" s="332"/>
      <c r="XCB516" s="332"/>
      <c r="XCC516" s="332"/>
      <c r="XCD516" s="332"/>
      <c r="XCE516" s="332"/>
      <c r="XCF516" s="332"/>
      <c r="XCG516" s="332"/>
      <c r="XCH516" s="332"/>
      <c r="XCI516" s="332"/>
      <c r="XCJ516" s="332"/>
      <c r="XCK516" s="332"/>
      <c r="XCL516" s="332"/>
      <c r="XCM516" s="332"/>
      <c r="XCN516" s="332"/>
      <c r="XCO516" s="332"/>
      <c r="XCP516" s="332"/>
      <c r="XCQ516" s="332"/>
      <c r="XCR516" s="332"/>
      <c r="XCS516" s="332"/>
      <c r="XCT516" s="332"/>
      <c r="XCU516" s="332"/>
      <c r="XCV516" s="332"/>
      <c r="XCW516" s="332"/>
      <c r="XCX516" s="332"/>
      <c r="XCY516" s="332"/>
      <c r="XCZ516" s="332"/>
      <c r="XDA516" s="332"/>
      <c r="XDB516" s="332"/>
      <c r="XDC516" s="332"/>
      <c r="XDD516" s="332"/>
      <c r="XDE516" s="332"/>
      <c r="XDF516" s="332"/>
      <c r="XDG516" s="332"/>
      <c r="XDH516" s="332"/>
      <c r="XDI516" s="332"/>
      <c r="XDJ516" s="332"/>
      <c r="XDK516" s="332"/>
      <c r="XDL516" s="332"/>
      <c r="XDM516" s="332"/>
      <c r="XDN516" s="332"/>
      <c r="XDO516" s="332"/>
      <c r="XDP516" s="332"/>
      <c r="XDQ516" s="332"/>
      <c r="XDR516" s="332"/>
      <c r="XDS516" s="332"/>
      <c r="XDT516" s="332"/>
      <c r="XDU516" s="332"/>
      <c r="XDV516" s="332"/>
      <c r="XDW516" s="332"/>
      <c r="XDX516" s="332"/>
      <c r="XDY516" s="332"/>
      <c r="XDZ516" s="332"/>
      <c r="XEA516" s="332"/>
      <c r="XEB516" s="332"/>
      <c r="XEC516" s="332"/>
      <c r="XED516" s="332"/>
      <c r="XEE516" s="332"/>
      <c r="XEF516" s="332"/>
      <c r="XEG516" s="332"/>
      <c r="XEH516" s="332"/>
      <c r="XEI516" s="332"/>
      <c r="XEJ516" s="332"/>
      <c r="XEK516" s="332"/>
      <c r="XEL516" s="332"/>
      <c r="XEM516" s="332"/>
      <c r="XEN516" s="332"/>
      <c r="XEO516" s="332"/>
      <c r="XEP516" s="332"/>
      <c r="XEQ516" s="332"/>
      <c r="XER516" s="332"/>
      <c r="XES516" s="332"/>
      <c r="XET516" s="332"/>
      <c r="XEU516" s="332"/>
      <c r="XEV516" s="332"/>
      <c r="XEW516" s="332"/>
      <c r="XEX516" s="332"/>
      <c r="XEY516" s="332"/>
      <c r="XEZ516" s="332"/>
      <c r="XFA516" s="332"/>
      <c r="XFB516" s="332"/>
      <c r="XFC516" s="332"/>
      <c r="XFD516" s="333"/>
    </row>
    <row r="517" spans="1:16384" s="264" customFormat="1" ht="12.75" hidden="1">
      <c r="A517" s="1642"/>
      <c r="B517" s="1643"/>
      <c r="C517" s="1643"/>
      <c r="D517" s="1644"/>
      <c r="E517" s="330"/>
      <c r="F517" s="330"/>
      <c r="G517" s="330"/>
      <c r="H517" s="330"/>
      <c r="I517" s="330"/>
      <c r="J517" s="330"/>
      <c r="K517" s="330"/>
      <c r="L517" s="330"/>
      <c r="M517" s="330"/>
      <c r="N517" s="330"/>
      <c r="O517" s="330"/>
      <c r="P517" s="330"/>
      <c r="Q517" s="330"/>
      <c r="R517" s="330"/>
      <c r="S517" s="330"/>
      <c r="T517" s="330"/>
      <c r="U517" s="330"/>
      <c r="V517" s="330"/>
      <c r="W517" s="330"/>
      <c r="X517" s="330"/>
      <c r="Y517" s="330"/>
      <c r="Z517" s="330"/>
      <c r="AA517" s="330"/>
      <c r="AB517" s="330"/>
      <c r="AC517" s="330"/>
      <c r="AD517" s="330"/>
      <c r="AE517" s="330"/>
      <c r="AF517" s="330"/>
      <c r="AG517" s="330"/>
      <c r="AH517" s="330"/>
      <c r="AI517" s="330"/>
      <c r="AJ517" s="330"/>
      <c r="AK517" s="330"/>
      <c r="AL517" s="330"/>
      <c r="AM517" s="330"/>
      <c r="AN517" s="330"/>
      <c r="AO517" s="330"/>
      <c r="AP517" s="330"/>
      <c r="AQ517" s="330"/>
      <c r="AR517" s="330"/>
      <c r="AS517" s="330"/>
      <c r="AT517" s="330"/>
      <c r="AU517" s="330"/>
      <c r="AV517" s="330"/>
      <c r="AW517" s="330"/>
      <c r="AX517" s="330"/>
      <c r="AY517" s="330"/>
      <c r="AZ517" s="330"/>
      <c r="BA517" s="330"/>
      <c r="BB517" s="330"/>
      <c r="BC517" s="330"/>
      <c r="BD517" s="330"/>
      <c r="BE517" s="330"/>
      <c r="BF517" s="330"/>
      <c r="BG517" s="330"/>
      <c r="BH517" s="330"/>
      <c r="BI517" s="330"/>
      <c r="BJ517" s="330"/>
      <c r="BK517" s="330"/>
      <c r="BL517" s="330"/>
      <c r="BM517" s="330"/>
      <c r="BN517" s="330"/>
      <c r="BO517" s="330"/>
      <c r="BP517" s="330"/>
      <c r="BQ517" s="330"/>
      <c r="BR517" s="330"/>
      <c r="BS517" s="330"/>
      <c r="BT517" s="330"/>
      <c r="BU517" s="330"/>
      <c r="BV517" s="330"/>
      <c r="BW517" s="330"/>
      <c r="BX517" s="330"/>
      <c r="BY517" s="330"/>
      <c r="BZ517" s="330"/>
      <c r="CA517" s="330"/>
      <c r="CB517" s="330"/>
      <c r="CC517" s="330"/>
      <c r="CD517" s="330"/>
      <c r="CE517" s="330"/>
      <c r="CF517" s="330"/>
      <c r="CG517" s="330"/>
      <c r="CH517" s="330"/>
      <c r="CI517" s="330"/>
      <c r="CJ517" s="330"/>
      <c r="CK517" s="330"/>
      <c r="CL517" s="330"/>
      <c r="CM517" s="330"/>
      <c r="CN517" s="330"/>
      <c r="CO517" s="330"/>
      <c r="CP517" s="330"/>
      <c r="CQ517" s="330"/>
      <c r="CR517" s="330"/>
      <c r="CS517" s="330"/>
      <c r="CT517" s="330"/>
      <c r="CU517" s="330"/>
      <c r="CV517" s="330"/>
      <c r="CW517" s="330"/>
      <c r="CX517" s="330"/>
      <c r="CY517" s="330"/>
      <c r="CZ517" s="330"/>
      <c r="DA517" s="330"/>
      <c r="DB517" s="330"/>
      <c r="DC517" s="330"/>
      <c r="DD517" s="330"/>
      <c r="DE517" s="330"/>
      <c r="DF517" s="330"/>
      <c r="DG517" s="330"/>
      <c r="DH517" s="330"/>
      <c r="DI517" s="330"/>
      <c r="DJ517" s="330"/>
      <c r="DK517" s="330"/>
      <c r="DL517" s="330"/>
      <c r="DM517" s="330"/>
      <c r="DN517" s="330"/>
      <c r="DO517" s="330"/>
      <c r="DP517" s="330"/>
      <c r="DQ517" s="330"/>
      <c r="DR517" s="330"/>
      <c r="DS517" s="330"/>
      <c r="DT517" s="330"/>
      <c r="DU517" s="330"/>
      <c r="DV517" s="330"/>
      <c r="DW517" s="330"/>
      <c r="DX517" s="330"/>
      <c r="DY517" s="330"/>
      <c r="DZ517" s="330"/>
      <c r="EA517" s="330"/>
      <c r="EB517" s="330"/>
      <c r="EC517" s="330"/>
      <c r="ED517" s="330"/>
      <c r="EE517" s="330"/>
      <c r="EF517" s="330"/>
      <c r="EG517" s="330"/>
      <c r="EH517" s="330"/>
      <c r="EI517" s="330"/>
      <c r="EJ517" s="330"/>
      <c r="EK517" s="330"/>
      <c r="EL517" s="330"/>
      <c r="EM517" s="330"/>
      <c r="EN517" s="330"/>
      <c r="EO517" s="330"/>
      <c r="EP517" s="330"/>
      <c r="EQ517" s="330"/>
      <c r="ER517" s="330"/>
    </row>
    <row r="518" spans="1:16384" s="336" customFormat="1" ht="15" hidden="1" customHeight="1">
      <c r="A518" s="335"/>
      <c r="B518" s="332"/>
      <c r="C518" s="332"/>
      <c r="D518" s="332"/>
      <c r="E518" s="332"/>
      <c r="F518" s="332"/>
      <c r="G518" s="332"/>
      <c r="H518" s="332"/>
      <c r="I518" s="332"/>
      <c r="J518" s="332"/>
      <c r="K518" s="332"/>
      <c r="L518" s="332"/>
      <c r="M518" s="332"/>
      <c r="N518" s="332"/>
      <c r="O518" s="332"/>
      <c r="P518" s="332"/>
      <c r="Q518" s="332"/>
      <c r="R518" s="332"/>
      <c r="S518" s="332"/>
      <c r="T518" s="332"/>
      <c r="U518" s="332"/>
      <c r="V518" s="332"/>
      <c r="W518" s="332"/>
      <c r="X518" s="332"/>
      <c r="Y518" s="332"/>
      <c r="Z518" s="332"/>
      <c r="AA518" s="332"/>
      <c r="AB518" s="332"/>
      <c r="AC518" s="332"/>
      <c r="AD518" s="332"/>
      <c r="AE518" s="332"/>
      <c r="AF518" s="332"/>
      <c r="AG518" s="332"/>
      <c r="AH518" s="332"/>
      <c r="AI518" s="332"/>
      <c r="AJ518" s="332"/>
      <c r="AK518" s="332"/>
      <c r="AL518" s="332"/>
      <c r="AM518" s="332"/>
      <c r="AN518" s="332"/>
      <c r="AO518" s="332"/>
      <c r="AP518" s="332"/>
      <c r="AQ518" s="332"/>
      <c r="AR518" s="332"/>
      <c r="AS518" s="332"/>
      <c r="AT518" s="332"/>
      <c r="AU518" s="332"/>
      <c r="AV518" s="332"/>
      <c r="AW518" s="332"/>
      <c r="AX518" s="332"/>
      <c r="AY518" s="332"/>
      <c r="AZ518" s="332"/>
      <c r="BA518" s="332"/>
      <c r="BB518" s="332"/>
      <c r="BC518" s="332"/>
      <c r="BD518" s="332"/>
      <c r="BE518" s="332"/>
      <c r="BF518" s="332"/>
      <c r="BG518" s="332"/>
      <c r="BH518" s="332"/>
      <c r="BI518" s="332"/>
      <c r="BJ518" s="332"/>
      <c r="BK518" s="332"/>
      <c r="BL518" s="332"/>
      <c r="BM518" s="332"/>
      <c r="BN518" s="332"/>
      <c r="BO518" s="332"/>
      <c r="BP518" s="332"/>
      <c r="BQ518" s="332"/>
      <c r="BR518" s="332"/>
      <c r="BS518" s="332"/>
      <c r="BT518" s="332"/>
      <c r="BU518" s="332"/>
      <c r="BV518" s="332"/>
      <c r="BW518" s="332"/>
      <c r="BX518" s="332"/>
      <c r="BY518" s="332"/>
      <c r="BZ518" s="332"/>
      <c r="CA518" s="332"/>
      <c r="CB518" s="332"/>
      <c r="CC518" s="332"/>
      <c r="CD518" s="332"/>
      <c r="CE518" s="332"/>
      <c r="CF518" s="332"/>
      <c r="CG518" s="332"/>
      <c r="CH518" s="332"/>
      <c r="CI518" s="332"/>
      <c r="CJ518" s="332"/>
      <c r="CK518" s="332"/>
      <c r="CL518" s="332"/>
      <c r="CM518" s="332"/>
      <c r="CN518" s="332"/>
      <c r="CO518" s="332"/>
      <c r="CP518" s="332"/>
      <c r="CQ518" s="332"/>
      <c r="CR518" s="332"/>
      <c r="CS518" s="332"/>
      <c r="CT518" s="332"/>
      <c r="CU518" s="332"/>
      <c r="CV518" s="332"/>
      <c r="CW518" s="332"/>
      <c r="CX518" s="332"/>
      <c r="CY518" s="332"/>
      <c r="CZ518" s="332"/>
      <c r="DA518" s="332"/>
      <c r="DB518" s="332"/>
      <c r="DC518" s="332"/>
      <c r="DD518" s="332"/>
      <c r="DE518" s="332"/>
      <c r="DF518" s="332"/>
      <c r="DG518" s="332"/>
      <c r="DH518" s="332"/>
      <c r="DI518" s="332"/>
      <c r="DJ518" s="332"/>
      <c r="DK518" s="332"/>
      <c r="DL518" s="332"/>
      <c r="DM518" s="332"/>
      <c r="DN518" s="332"/>
      <c r="DO518" s="332"/>
      <c r="DP518" s="332"/>
      <c r="DQ518" s="332"/>
      <c r="DR518" s="332"/>
      <c r="DS518" s="332"/>
      <c r="DT518" s="332"/>
      <c r="DU518" s="332"/>
      <c r="DV518" s="332"/>
      <c r="DW518" s="332"/>
      <c r="DX518" s="332"/>
      <c r="DY518" s="332"/>
      <c r="DZ518" s="332"/>
      <c r="EA518" s="332"/>
      <c r="EB518" s="332"/>
      <c r="EC518" s="332"/>
      <c r="ED518" s="332"/>
      <c r="EE518" s="332"/>
      <c r="EF518" s="332"/>
      <c r="EG518" s="332"/>
      <c r="EH518" s="332"/>
      <c r="EI518" s="332"/>
      <c r="EJ518" s="332"/>
      <c r="EK518" s="332"/>
      <c r="EL518" s="332"/>
      <c r="EM518" s="332"/>
      <c r="EN518" s="332"/>
      <c r="EO518" s="332"/>
      <c r="EP518" s="332"/>
      <c r="EQ518" s="332"/>
      <c r="ER518" s="332"/>
      <c r="ES518" s="332"/>
      <c r="ET518" s="332"/>
      <c r="EU518" s="332"/>
      <c r="EV518" s="332"/>
      <c r="EW518" s="332"/>
      <c r="EX518" s="332"/>
      <c r="EY518" s="332"/>
      <c r="EZ518" s="332"/>
      <c r="FA518" s="332"/>
      <c r="FB518" s="332"/>
      <c r="FC518" s="332"/>
      <c r="FD518" s="332"/>
      <c r="FE518" s="332"/>
      <c r="FF518" s="332"/>
      <c r="FG518" s="332"/>
      <c r="FH518" s="332"/>
      <c r="FI518" s="332"/>
      <c r="FJ518" s="332"/>
      <c r="FK518" s="332"/>
      <c r="FL518" s="332"/>
      <c r="FM518" s="332"/>
      <c r="FN518" s="332"/>
      <c r="FO518" s="332"/>
      <c r="FP518" s="332"/>
      <c r="FQ518" s="332"/>
      <c r="FR518" s="332"/>
      <c r="FS518" s="332"/>
      <c r="FT518" s="332"/>
      <c r="FU518" s="332"/>
      <c r="FV518" s="332"/>
      <c r="FW518" s="332"/>
      <c r="FX518" s="332"/>
      <c r="FY518" s="332"/>
      <c r="FZ518" s="332"/>
      <c r="GA518" s="332"/>
      <c r="GB518" s="332"/>
      <c r="GC518" s="332"/>
      <c r="GD518" s="332"/>
      <c r="GE518" s="332"/>
      <c r="GF518" s="332"/>
      <c r="GG518" s="332"/>
      <c r="GH518" s="332"/>
      <c r="GI518" s="332"/>
      <c r="GJ518" s="332"/>
      <c r="GK518" s="332"/>
      <c r="GL518" s="332"/>
      <c r="GM518" s="332"/>
      <c r="GN518" s="332"/>
      <c r="GO518" s="332"/>
      <c r="GP518" s="332"/>
      <c r="GQ518" s="332"/>
      <c r="GR518" s="332"/>
      <c r="GS518" s="332"/>
      <c r="GT518" s="332"/>
      <c r="GU518" s="332"/>
      <c r="GV518" s="332"/>
      <c r="GW518" s="332"/>
      <c r="GX518" s="332"/>
      <c r="GY518" s="332"/>
      <c r="GZ518" s="332"/>
      <c r="HA518" s="332"/>
      <c r="HB518" s="332"/>
      <c r="HC518" s="332"/>
      <c r="HD518" s="332"/>
      <c r="HE518" s="332"/>
      <c r="HF518" s="332"/>
      <c r="HG518" s="332"/>
      <c r="HH518" s="332"/>
      <c r="HI518" s="332"/>
      <c r="HJ518" s="332"/>
      <c r="HK518" s="332"/>
      <c r="HL518" s="332"/>
      <c r="HM518" s="332"/>
      <c r="HN518" s="332"/>
      <c r="HO518" s="332"/>
      <c r="HP518" s="332"/>
      <c r="HQ518" s="332"/>
      <c r="HR518" s="332"/>
      <c r="HS518" s="332"/>
      <c r="HT518" s="332"/>
      <c r="HU518" s="332"/>
      <c r="HV518" s="332"/>
      <c r="HW518" s="332"/>
      <c r="HX518" s="332"/>
      <c r="HY518" s="332"/>
      <c r="HZ518" s="332"/>
      <c r="IA518" s="332"/>
      <c r="IB518" s="332"/>
      <c r="IC518" s="332"/>
      <c r="ID518" s="332"/>
      <c r="IE518" s="332"/>
      <c r="IF518" s="332"/>
      <c r="IG518" s="332"/>
      <c r="IH518" s="332"/>
      <c r="II518" s="332"/>
      <c r="IJ518" s="332"/>
      <c r="IK518" s="332"/>
      <c r="IL518" s="332"/>
      <c r="IM518" s="332"/>
      <c r="IN518" s="332"/>
      <c r="IO518" s="332"/>
      <c r="IP518" s="332"/>
      <c r="IQ518" s="332"/>
      <c r="IR518" s="332"/>
      <c r="IS518" s="332"/>
      <c r="IT518" s="332"/>
      <c r="IU518" s="332"/>
      <c r="IV518" s="332"/>
      <c r="IW518" s="332"/>
      <c r="IX518" s="332"/>
      <c r="IY518" s="332"/>
      <c r="IZ518" s="332"/>
      <c r="JA518" s="332"/>
      <c r="JB518" s="332"/>
      <c r="JC518" s="332"/>
      <c r="JD518" s="332"/>
      <c r="JE518" s="332"/>
      <c r="JF518" s="332"/>
      <c r="JG518" s="332"/>
      <c r="JH518" s="332"/>
      <c r="JI518" s="332"/>
      <c r="JJ518" s="332"/>
      <c r="JK518" s="332"/>
      <c r="JL518" s="332"/>
      <c r="JM518" s="332"/>
      <c r="JN518" s="332"/>
      <c r="JO518" s="332"/>
      <c r="JP518" s="332"/>
      <c r="JQ518" s="332"/>
      <c r="JR518" s="332"/>
      <c r="JS518" s="332"/>
      <c r="JT518" s="332"/>
      <c r="JU518" s="332"/>
      <c r="JV518" s="332"/>
      <c r="JW518" s="332"/>
      <c r="JX518" s="332"/>
      <c r="JY518" s="332"/>
      <c r="JZ518" s="332"/>
      <c r="KA518" s="332"/>
      <c r="KB518" s="332"/>
      <c r="KC518" s="332"/>
      <c r="KD518" s="332"/>
      <c r="KE518" s="332"/>
      <c r="KF518" s="332"/>
      <c r="KG518" s="332"/>
      <c r="KH518" s="332"/>
      <c r="KI518" s="332"/>
      <c r="KJ518" s="332"/>
      <c r="KK518" s="332"/>
      <c r="KL518" s="332"/>
      <c r="KM518" s="332"/>
      <c r="KN518" s="332"/>
      <c r="KO518" s="332"/>
      <c r="KP518" s="332"/>
      <c r="KQ518" s="332"/>
      <c r="KR518" s="332"/>
      <c r="KS518" s="332"/>
      <c r="KT518" s="332"/>
      <c r="KU518" s="332"/>
      <c r="KV518" s="332"/>
      <c r="KW518" s="332"/>
      <c r="KX518" s="332"/>
      <c r="KY518" s="332"/>
      <c r="KZ518" s="332"/>
      <c r="LA518" s="332"/>
      <c r="LB518" s="332"/>
      <c r="LC518" s="332"/>
      <c r="LD518" s="332"/>
      <c r="LE518" s="332"/>
      <c r="LF518" s="332"/>
      <c r="LG518" s="332"/>
      <c r="LH518" s="332"/>
      <c r="LI518" s="332"/>
      <c r="LJ518" s="332"/>
      <c r="LK518" s="332"/>
      <c r="LL518" s="332"/>
      <c r="LM518" s="332"/>
      <c r="LN518" s="332"/>
      <c r="LO518" s="332"/>
      <c r="LP518" s="332"/>
      <c r="LQ518" s="332"/>
      <c r="LR518" s="332"/>
      <c r="LS518" s="332"/>
      <c r="LT518" s="332"/>
      <c r="LU518" s="332"/>
      <c r="LV518" s="332"/>
      <c r="LW518" s="332"/>
      <c r="LX518" s="332"/>
      <c r="LY518" s="332"/>
      <c r="LZ518" s="332"/>
      <c r="MA518" s="332"/>
      <c r="MB518" s="332"/>
      <c r="MC518" s="332"/>
      <c r="MD518" s="332"/>
      <c r="ME518" s="332"/>
      <c r="MF518" s="332"/>
      <c r="MG518" s="332"/>
      <c r="MH518" s="332"/>
      <c r="MI518" s="332"/>
      <c r="MJ518" s="332"/>
      <c r="MK518" s="332"/>
      <c r="ML518" s="332"/>
      <c r="MM518" s="332"/>
      <c r="MN518" s="332"/>
      <c r="MO518" s="332"/>
      <c r="MP518" s="332"/>
      <c r="MQ518" s="332"/>
      <c r="MR518" s="332"/>
      <c r="MS518" s="332"/>
      <c r="MT518" s="332"/>
      <c r="MU518" s="332"/>
      <c r="MV518" s="332"/>
      <c r="MW518" s="332"/>
      <c r="MX518" s="332"/>
      <c r="MY518" s="332"/>
      <c r="MZ518" s="332"/>
      <c r="NA518" s="332"/>
      <c r="NB518" s="332"/>
      <c r="NC518" s="332"/>
      <c r="ND518" s="332"/>
      <c r="NE518" s="332"/>
      <c r="NF518" s="332"/>
      <c r="NG518" s="332"/>
      <c r="NH518" s="332"/>
      <c r="NI518" s="332"/>
      <c r="NJ518" s="332"/>
      <c r="NK518" s="332"/>
      <c r="NL518" s="332"/>
      <c r="NM518" s="332"/>
      <c r="NN518" s="332"/>
      <c r="NO518" s="332"/>
      <c r="NP518" s="332"/>
      <c r="NQ518" s="332"/>
      <c r="NR518" s="332"/>
      <c r="NS518" s="332"/>
      <c r="NT518" s="332"/>
      <c r="NU518" s="332"/>
      <c r="NV518" s="332"/>
      <c r="NW518" s="332"/>
      <c r="NX518" s="332"/>
      <c r="NY518" s="332"/>
      <c r="NZ518" s="332"/>
      <c r="OA518" s="332"/>
      <c r="OB518" s="332"/>
      <c r="OC518" s="332"/>
      <c r="OD518" s="332"/>
      <c r="OE518" s="332"/>
      <c r="OF518" s="332"/>
      <c r="OG518" s="332"/>
      <c r="OH518" s="332"/>
      <c r="OI518" s="332"/>
      <c r="OJ518" s="332"/>
      <c r="OK518" s="332"/>
      <c r="OL518" s="332"/>
      <c r="OM518" s="332"/>
      <c r="ON518" s="332"/>
      <c r="OO518" s="332"/>
      <c r="OP518" s="332"/>
      <c r="OQ518" s="332"/>
      <c r="OR518" s="332"/>
      <c r="OS518" s="332"/>
      <c r="OT518" s="332"/>
      <c r="OU518" s="332"/>
      <c r="OV518" s="332"/>
      <c r="OW518" s="332"/>
      <c r="OX518" s="332"/>
      <c r="OY518" s="332"/>
      <c r="OZ518" s="332"/>
      <c r="PA518" s="332"/>
      <c r="PB518" s="332"/>
      <c r="PC518" s="332"/>
      <c r="PD518" s="332"/>
      <c r="PE518" s="332"/>
      <c r="PF518" s="332"/>
      <c r="PG518" s="332"/>
      <c r="PH518" s="332"/>
      <c r="PI518" s="332"/>
      <c r="PJ518" s="332"/>
      <c r="PK518" s="332"/>
      <c r="PL518" s="332"/>
      <c r="PM518" s="332"/>
      <c r="PN518" s="332"/>
      <c r="PO518" s="332"/>
      <c r="PP518" s="332"/>
      <c r="PQ518" s="332"/>
      <c r="PR518" s="332"/>
      <c r="PS518" s="332"/>
      <c r="PT518" s="332"/>
      <c r="PU518" s="332"/>
      <c r="PV518" s="332"/>
      <c r="PW518" s="332"/>
      <c r="PX518" s="332"/>
      <c r="PY518" s="332"/>
      <c r="PZ518" s="332"/>
      <c r="QA518" s="332"/>
      <c r="QB518" s="332"/>
      <c r="QC518" s="332"/>
      <c r="QD518" s="332"/>
      <c r="QE518" s="332"/>
      <c r="QF518" s="332"/>
      <c r="QG518" s="332"/>
      <c r="QH518" s="332"/>
      <c r="QI518" s="332"/>
      <c r="QJ518" s="332"/>
      <c r="QK518" s="332"/>
      <c r="QL518" s="332"/>
      <c r="QM518" s="332"/>
      <c r="QN518" s="332"/>
      <c r="QO518" s="332"/>
      <c r="QP518" s="332"/>
      <c r="QQ518" s="332"/>
      <c r="QR518" s="332"/>
      <c r="QS518" s="332"/>
      <c r="QT518" s="332"/>
      <c r="QU518" s="332"/>
      <c r="QV518" s="332"/>
      <c r="QW518" s="332"/>
      <c r="QX518" s="332"/>
      <c r="QY518" s="332"/>
      <c r="QZ518" s="332"/>
      <c r="RA518" s="332"/>
      <c r="RB518" s="332"/>
      <c r="RC518" s="332"/>
      <c r="RD518" s="332"/>
      <c r="RE518" s="332"/>
      <c r="RF518" s="332"/>
      <c r="RG518" s="332"/>
      <c r="RH518" s="332"/>
      <c r="RI518" s="332"/>
      <c r="RJ518" s="332"/>
      <c r="RK518" s="332"/>
      <c r="RL518" s="332"/>
      <c r="RM518" s="332"/>
      <c r="RN518" s="332"/>
      <c r="RO518" s="332"/>
      <c r="RP518" s="332"/>
      <c r="RQ518" s="332"/>
      <c r="RR518" s="332"/>
      <c r="RS518" s="332"/>
      <c r="RT518" s="332"/>
      <c r="RU518" s="332"/>
      <c r="RV518" s="332"/>
      <c r="RW518" s="332"/>
      <c r="RX518" s="332"/>
      <c r="RY518" s="332"/>
      <c r="RZ518" s="332"/>
      <c r="SA518" s="332"/>
      <c r="SB518" s="332"/>
      <c r="SC518" s="332"/>
      <c r="SD518" s="332"/>
      <c r="SE518" s="332"/>
      <c r="SF518" s="332"/>
      <c r="SG518" s="332"/>
      <c r="SH518" s="332"/>
      <c r="SI518" s="332"/>
      <c r="SJ518" s="332"/>
      <c r="SK518" s="332"/>
      <c r="SL518" s="332"/>
      <c r="SM518" s="332"/>
      <c r="SN518" s="332"/>
      <c r="SO518" s="332"/>
      <c r="SP518" s="332"/>
      <c r="SQ518" s="332"/>
      <c r="SR518" s="332"/>
      <c r="SS518" s="332"/>
      <c r="ST518" s="332"/>
      <c r="SU518" s="332"/>
      <c r="SV518" s="332"/>
      <c r="SW518" s="332"/>
      <c r="SX518" s="332"/>
      <c r="SY518" s="332"/>
      <c r="SZ518" s="332"/>
      <c r="TA518" s="332"/>
      <c r="TB518" s="332"/>
      <c r="TC518" s="332"/>
      <c r="TD518" s="332"/>
      <c r="TE518" s="332"/>
      <c r="TF518" s="332"/>
      <c r="TG518" s="332"/>
      <c r="TH518" s="332"/>
      <c r="TI518" s="332"/>
      <c r="TJ518" s="332"/>
      <c r="TK518" s="332"/>
      <c r="TL518" s="332"/>
      <c r="TM518" s="332"/>
      <c r="TN518" s="332"/>
      <c r="TO518" s="332"/>
      <c r="TP518" s="332"/>
      <c r="TQ518" s="332"/>
      <c r="TR518" s="332"/>
      <c r="TS518" s="332"/>
      <c r="TT518" s="332"/>
      <c r="TU518" s="332"/>
      <c r="TV518" s="332"/>
      <c r="TW518" s="332"/>
      <c r="TX518" s="332"/>
      <c r="TY518" s="332"/>
      <c r="TZ518" s="332"/>
      <c r="UA518" s="332"/>
      <c r="UB518" s="332"/>
      <c r="UC518" s="332"/>
      <c r="UD518" s="332"/>
      <c r="UE518" s="332"/>
      <c r="UF518" s="332"/>
      <c r="UG518" s="332"/>
      <c r="UH518" s="332"/>
      <c r="UI518" s="332"/>
      <c r="UJ518" s="332"/>
      <c r="UK518" s="332"/>
      <c r="UL518" s="332"/>
      <c r="UM518" s="332"/>
      <c r="UN518" s="332"/>
      <c r="UO518" s="332"/>
      <c r="UP518" s="332"/>
      <c r="UQ518" s="332"/>
      <c r="UR518" s="332"/>
      <c r="US518" s="332"/>
      <c r="UT518" s="332"/>
      <c r="UU518" s="332"/>
      <c r="UV518" s="332"/>
      <c r="UW518" s="332"/>
      <c r="UX518" s="332"/>
      <c r="UY518" s="332"/>
      <c r="UZ518" s="332"/>
      <c r="VA518" s="332"/>
      <c r="VB518" s="332"/>
      <c r="VC518" s="332"/>
      <c r="VD518" s="332"/>
      <c r="VE518" s="332"/>
      <c r="VF518" s="332"/>
      <c r="VG518" s="332"/>
      <c r="VH518" s="332"/>
      <c r="VI518" s="332"/>
      <c r="VJ518" s="332"/>
      <c r="VK518" s="332"/>
      <c r="VL518" s="332"/>
      <c r="VM518" s="332"/>
      <c r="VN518" s="332"/>
      <c r="VO518" s="332"/>
      <c r="VP518" s="332"/>
      <c r="VQ518" s="332"/>
      <c r="VR518" s="332"/>
      <c r="VS518" s="332"/>
      <c r="VT518" s="332"/>
      <c r="VU518" s="332"/>
      <c r="VV518" s="332"/>
      <c r="VW518" s="332"/>
      <c r="VX518" s="332"/>
      <c r="VY518" s="332"/>
      <c r="VZ518" s="332"/>
      <c r="WA518" s="332"/>
      <c r="WB518" s="332"/>
      <c r="WC518" s="332"/>
      <c r="WD518" s="332"/>
      <c r="WE518" s="332"/>
      <c r="WF518" s="332"/>
      <c r="WG518" s="332"/>
      <c r="WH518" s="332"/>
      <c r="WI518" s="332"/>
      <c r="WJ518" s="332"/>
      <c r="WK518" s="332"/>
      <c r="WL518" s="332"/>
      <c r="WM518" s="332"/>
      <c r="WN518" s="332"/>
      <c r="WO518" s="332"/>
      <c r="WP518" s="332"/>
      <c r="WQ518" s="332"/>
      <c r="WR518" s="332"/>
      <c r="WS518" s="332"/>
      <c r="WT518" s="332"/>
      <c r="WU518" s="332"/>
      <c r="WV518" s="332"/>
      <c r="WW518" s="332"/>
      <c r="WX518" s="332"/>
      <c r="WY518" s="332"/>
      <c r="WZ518" s="332"/>
      <c r="XA518" s="332"/>
      <c r="XB518" s="332"/>
      <c r="XC518" s="332"/>
      <c r="XD518" s="332"/>
      <c r="XE518" s="332"/>
      <c r="XF518" s="332"/>
      <c r="XG518" s="332"/>
      <c r="XH518" s="332"/>
      <c r="XI518" s="332"/>
      <c r="XJ518" s="332"/>
      <c r="XK518" s="332"/>
      <c r="XL518" s="332"/>
      <c r="XM518" s="332"/>
      <c r="XN518" s="332"/>
      <c r="XO518" s="332"/>
      <c r="XP518" s="332"/>
      <c r="XQ518" s="332"/>
      <c r="XR518" s="332"/>
      <c r="XS518" s="332"/>
      <c r="XT518" s="332"/>
      <c r="XU518" s="332"/>
      <c r="XV518" s="332"/>
      <c r="XW518" s="332"/>
      <c r="XX518" s="332"/>
      <c r="XY518" s="332"/>
      <c r="XZ518" s="332"/>
      <c r="YA518" s="332"/>
      <c r="YB518" s="332"/>
      <c r="YC518" s="332"/>
      <c r="YD518" s="332"/>
      <c r="YE518" s="332"/>
      <c r="YF518" s="332"/>
      <c r="YG518" s="332"/>
      <c r="YH518" s="332"/>
      <c r="YI518" s="332"/>
      <c r="YJ518" s="332"/>
      <c r="YK518" s="332"/>
      <c r="YL518" s="332"/>
      <c r="YM518" s="332"/>
      <c r="YN518" s="332"/>
      <c r="YO518" s="332"/>
      <c r="YP518" s="332"/>
      <c r="YQ518" s="332"/>
      <c r="YR518" s="332"/>
      <c r="YS518" s="332"/>
      <c r="YT518" s="332"/>
      <c r="YU518" s="332"/>
      <c r="YV518" s="332"/>
      <c r="YW518" s="332"/>
      <c r="YX518" s="332"/>
      <c r="YY518" s="332"/>
      <c r="YZ518" s="332"/>
      <c r="ZA518" s="332"/>
      <c r="ZB518" s="332"/>
      <c r="ZC518" s="332"/>
      <c r="ZD518" s="332"/>
      <c r="ZE518" s="332"/>
      <c r="ZF518" s="332"/>
      <c r="ZG518" s="332"/>
      <c r="ZH518" s="332"/>
      <c r="ZI518" s="332"/>
      <c r="ZJ518" s="332"/>
      <c r="ZK518" s="332"/>
      <c r="ZL518" s="332"/>
      <c r="ZM518" s="332"/>
      <c r="ZN518" s="332"/>
      <c r="ZO518" s="332"/>
      <c r="ZP518" s="332"/>
      <c r="ZQ518" s="332"/>
      <c r="ZR518" s="332"/>
      <c r="ZS518" s="332"/>
      <c r="ZT518" s="332"/>
      <c r="ZU518" s="332"/>
      <c r="ZV518" s="332"/>
      <c r="ZW518" s="332"/>
      <c r="ZX518" s="332"/>
      <c r="ZY518" s="332"/>
      <c r="ZZ518" s="332"/>
      <c r="AAA518" s="332"/>
      <c r="AAB518" s="332"/>
      <c r="AAC518" s="332"/>
      <c r="AAD518" s="332"/>
      <c r="AAE518" s="332"/>
      <c r="AAF518" s="332"/>
      <c r="AAG518" s="332"/>
      <c r="AAH518" s="332"/>
      <c r="AAI518" s="332"/>
      <c r="AAJ518" s="332"/>
      <c r="AAK518" s="332"/>
      <c r="AAL518" s="332"/>
      <c r="AAM518" s="332"/>
      <c r="AAN518" s="332"/>
      <c r="AAO518" s="332"/>
      <c r="AAP518" s="332"/>
      <c r="AAQ518" s="332"/>
      <c r="AAR518" s="332"/>
      <c r="AAS518" s="332"/>
      <c r="AAT518" s="332"/>
      <c r="AAU518" s="332"/>
      <c r="AAV518" s="332"/>
      <c r="AAW518" s="332"/>
      <c r="AAX518" s="332"/>
      <c r="AAY518" s="332"/>
      <c r="AAZ518" s="332"/>
      <c r="ABA518" s="332"/>
      <c r="ABB518" s="332"/>
      <c r="ABC518" s="332"/>
      <c r="ABD518" s="332"/>
      <c r="ABE518" s="332"/>
      <c r="ABF518" s="332"/>
      <c r="ABG518" s="332"/>
      <c r="ABH518" s="332"/>
      <c r="ABI518" s="332"/>
      <c r="ABJ518" s="332"/>
      <c r="ABK518" s="332"/>
      <c r="ABL518" s="332"/>
      <c r="ABM518" s="332"/>
      <c r="ABN518" s="332"/>
      <c r="ABO518" s="332"/>
      <c r="ABP518" s="332"/>
      <c r="ABQ518" s="332"/>
      <c r="ABR518" s="332"/>
      <c r="ABS518" s="332"/>
      <c r="ABT518" s="332"/>
      <c r="ABU518" s="332"/>
      <c r="ABV518" s="332"/>
      <c r="ABW518" s="332"/>
      <c r="ABX518" s="332"/>
      <c r="ABY518" s="332"/>
      <c r="ABZ518" s="332"/>
      <c r="ACA518" s="332"/>
      <c r="ACB518" s="332"/>
      <c r="ACC518" s="332"/>
      <c r="ACD518" s="332"/>
      <c r="ACE518" s="332"/>
      <c r="ACF518" s="332"/>
      <c r="ACG518" s="332"/>
      <c r="ACH518" s="332"/>
      <c r="ACI518" s="332"/>
      <c r="ACJ518" s="332"/>
      <c r="ACK518" s="332"/>
      <c r="ACL518" s="332"/>
      <c r="ACM518" s="332"/>
      <c r="ACN518" s="332"/>
      <c r="ACO518" s="332"/>
      <c r="ACP518" s="332"/>
      <c r="ACQ518" s="332"/>
      <c r="ACR518" s="332"/>
      <c r="ACS518" s="332"/>
      <c r="ACT518" s="332"/>
      <c r="ACU518" s="332"/>
      <c r="ACV518" s="332"/>
      <c r="ACW518" s="332"/>
      <c r="ACX518" s="332"/>
      <c r="ACY518" s="332"/>
      <c r="ACZ518" s="332"/>
      <c r="ADA518" s="332"/>
      <c r="ADB518" s="332"/>
      <c r="ADC518" s="332"/>
      <c r="ADD518" s="332"/>
      <c r="ADE518" s="332"/>
      <c r="ADF518" s="332"/>
      <c r="ADG518" s="332"/>
      <c r="ADH518" s="332"/>
      <c r="ADI518" s="332"/>
      <c r="ADJ518" s="332"/>
      <c r="ADK518" s="332"/>
      <c r="ADL518" s="332"/>
      <c r="ADM518" s="332"/>
      <c r="ADN518" s="332"/>
      <c r="ADO518" s="332"/>
      <c r="ADP518" s="332"/>
      <c r="ADQ518" s="332"/>
      <c r="ADR518" s="332"/>
      <c r="ADS518" s="332"/>
      <c r="ADT518" s="332"/>
      <c r="ADU518" s="332"/>
      <c r="ADV518" s="332"/>
      <c r="ADW518" s="332"/>
      <c r="ADX518" s="332"/>
      <c r="ADY518" s="332"/>
      <c r="ADZ518" s="332"/>
      <c r="AEA518" s="332"/>
      <c r="AEB518" s="332"/>
      <c r="AEC518" s="332"/>
      <c r="AED518" s="332"/>
      <c r="AEE518" s="332"/>
      <c r="AEF518" s="332"/>
      <c r="AEG518" s="332"/>
      <c r="AEH518" s="332"/>
      <c r="AEI518" s="332"/>
      <c r="AEJ518" s="332"/>
      <c r="AEK518" s="332"/>
      <c r="AEL518" s="332"/>
      <c r="AEM518" s="332"/>
      <c r="AEN518" s="332"/>
      <c r="AEO518" s="332"/>
      <c r="AEP518" s="332"/>
      <c r="AEQ518" s="332"/>
      <c r="AER518" s="332"/>
      <c r="AES518" s="332"/>
      <c r="AET518" s="332"/>
      <c r="AEU518" s="332"/>
      <c r="AEV518" s="332"/>
      <c r="AEW518" s="332"/>
      <c r="AEX518" s="332"/>
      <c r="AEY518" s="332"/>
      <c r="AEZ518" s="332"/>
      <c r="AFA518" s="332"/>
      <c r="AFB518" s="332"/>
      <c r="AFC518" s="332"/>
      <c r="AFD518" s="332"/>
      <c r="AFE518" s="332"/>
      <c r="AFF518" s="332"/>
      <c r="AFG518" s="332"/>
      <c r="AFH518" s="332"/>
      <c r="AFI518" s="332"/>
      <c r="AFJ518" s="332"/>
      <c r="AFK518" s="332"/>
      <c r="AFL518" s="332"/>
      <c r="AFM518" s="332"/>
      <c r="AFN518" s="332"/>
      <c r="AFO518" s="332"/>
      <c r="AFP518" s="332"/>
      <c r="AFQ518" s="332"/>
      <c r="AFR518" s="332"/>
      <c r="AFS518" s="332"/>
      <c r="AFT518" s="332"/>
      <c r="AFU518" s="332"/>
      <c r="AFV518" s="332"/>
      <c r="AFW518" s="332"/>
      <c r="AFX518" s="332"/>
      <c r="AFY518" s="332"/>
      <c r="AFZ518" s="332"/>
      <c r="AGA518" s="332"/>
      <c r="AGB518" s="332"/>
      <c r="AGC518" s="332"/>
      <c r="AGD518" s="332"/>
      <c r="AGE518" s="332"/>
      <c r="AGF518" s="332"/>
      <c r="AGG518" s="332"/>
      <c r="AGH518" s="332"/>
      <c r="AGI518" s="332"/>
      <c r="AGJ518" s="332"/>
      <c r="AGK518" s="332"/>
      <c r="AGL518" s="332"/>
      <c r="AGM518" s="332"/>
      <c r="AGN518" s="332"/>
      <c r="AGO518" s="332"/>
      <c r="AGP518" s="332"/>
      <c r="AGQ518" s="332"/>
      <c r="AGR518" s="332"/>
      <c r="AGS518" s="332"/>
      <c r="AGT518" s="332"/>
      <c r="AGU518" s="332"/>
      <c r="AGV518" s="332"/>
      <c r="AGW518" s="332"/>
      <c r="AGX518" s="332"/>
      <c r="AGY518" s="332"/>
      <c r="AGZ518" s="332"/>
      <c r="AHA518" s="332"/>
      <c r="AHB518" s="332"/>
      <c r="AHC518" s="332"/>
      <c r="AHD518" s="332"/>
      <c r="AHE518" s="332"/>
      <c r="AHF518" s="332"/>
      <c r="AHG518" s="332"/>
      <c r="AHH518" s="332"/>
      <c r="AHI518" s="332"/>
      <c r="AHJ518" s="332"/>
      <c r="AHK518" s="332"/>
      <c r="AHL518" s="332"/>
      <c r="AHM518" s="332"/>
      <c r="AHN518" s="332"/>
      <c r="AHO518" s="332"/>
      <c r="AHP518" s="332"/>
      <c r="AHQ518" s="332"/>
      <c r="AHR518" s="332"/>
      <c r="AHS518" s="332"/>
      <c r="AHT518" s="332"/>
      <c r="AHU518" s="332"/>
      <c r="AHV518" s="332"/>
      <c r="AHW518" s="332"/>
      <c r="AHX518" s="332"/>
      <c r="AHY518" s="332"/>
      <c r="AHZ518" s="332"/>
      <c r="AIA518" s="332"/>
      <c r="AIB518" s="332"/>
      <c r="AIC518" s="332"/>
      <c r="AID518" s="332"/>
      <c r="AIE518" s="332"/>
      <c r="AIF518" s="332"/>
      <c r="AIG518" s="332"/>
      <c r="AIH518" s="332"/>
      <c r="AII518" s="332"/>
      <c r="AIJ518" s="332"/>
      <c r="AIK518" s="332"/>
      <c r="AIL518" s="332"/>
      <c r="AIM518" s="332"/>
      <c r="AIN518" s="332"/>
      <c r="AIO518" s="332"/>
      <c r="AIP518" s="332"/>
      <c r="AIQ518" s="332"/>
      <c r="AIR518" s="332"/>
      <c r="AIS518" s="332"/>
      <c r="AIT518" s="332"/>
      <c r="AIU518" s="332"/>
      <c r="AIV518" s="332"/>
      <c r="AIW518" s="332"/>
      <c r="AIX518" s="332"/>
      <c r="AIY518" s="332"/>
      <c r="AIZ518" s="332"/>
      <c r="AJA518" s="332"/>
      <c r="AJB518" s="332"/>
      <c r="AJC518" s="332"/>
      <c r="AJD518" s="332"/>
      <c r="AJE518" s="332"/>
      <c r="AJF518" s="332"/>
      <c r="AJG518" s="332"/>
      <c r="AJH518" s="332"/>
      <c r="AJI518" s="332"/>
      <c r="AJJ518" s="332"/>
      <c r="AJK518" s="332"/>
      <c r="AJL518" s="332"/>
      <c r="AJM518" s="332"/>
      <c r="AJN518" s="332"/>
      <c r="AJO518" s="332"/>
      <c r="AJP518" s="332"/>
      <c r="AJQ518" s="332"/>
      <c r="AJR518" s="332"/>
      <c r="AJS518" s="332"/>
      <c r="AJT518" s="332"/>
      <c r="AJU518" s="332"/>
      <c r="AJV518" s="332"/>
      <c r="AJW518" s="332"/>
      <c r="AJX518" s="332"/>
      <c r="AJY518" s="332"/>
      <c r="AJZ518" s="332"/>
      <c r="AKA518" s="332"/>
      <c r="AKB518" s="332"/>
      <c r="AKC518" s="332"/>
      <c r="AKD518" s="332"/>
      <c r="AKE518" s="332"/>
      <c r="AKF518" s="332"/>
      <c r="AKG518" s="332"/>
      <c r="AKH518" s="332"/>
      <c r="AKI518" s="332"/>
      <c r="AKJ518" s="332"/>
      <c r="AKK518" s="332"/>
      <c r="AKL518" s="332"/>
      <c r="AKM518" s="332"/>
      <c r="AKN518" s="332"/>
      <c r="AKO518" s="332"/>
      <c r="AKP518" s="332"/>
      <c r="AKQ518" s="332"/>
      <c r="AKR518" s="332"/>
      <c r="AKS518" s="332"/>
      <c r="AKT518" s="332"/>
      <c r="AKU518" s="332"/>
      <c r="AKV518" s="332"/>
      <c r="AKW518" s="332"/>
      <c r="AKX518" s="332"/>
      <c r="AKY518" s="332"/>
      <c r="AKZ518" s="332"/>
      <c r="ALA518" s="332"/>
      <c r="ALB518" s="332"/>
      <c r="ALC518" s="332"/>
      <c r="ALD518" s="332"/>
      <c r="ALE518" s="332"/>
      <c r="ALF518" s="332"/>
      <c r="ALG518" s="332"/>
      <c r="ALH518" s="332"/>
      <c r="ALI518" s="332"/>
      <c r="ALJ518" s="332"/>
      <c r="ALK518" s="332"/>
      <c r="ALL518" s="332"/>
      <c r="ALM518" s="332"/>
      <c r="ALN518" s="332"/>
      <c r="ALO518" s="332"/>
      <c r="ALP518" s="332"/>
      <c r="ALQ518" s="332"/>
      <c r="ALR518" s="332"/>
      <c r="ALS518" s="332"/>
      <c r="ALT518" s="332"/>
      <c r="ALU518" s="332"/>
      <c r="ALV518" s="332"/>
      <c r="ALW518" s="332"/>
      <c r="ALX518" s="332"/>
      <c r="ALY518" s="332"/>
      <c r="ALZ518" s="332"/>
      <c r="AMA518" s="332"/>
      <c r="AMB518" s="332"/>
      <c r="AMC518" s="332"/>
      <c r="AMD518" s="332"/>
      <c r="AME518" s="332"/>
      <c r="AMF518" s="332"/>
      <c r="AMG518" s="332"/>
      <c r="AMH518" s="332"/>
      <c r="AMI518" s="332"/>
      <c r="AMJ518" s="332"/>
      <c r="AMK518" s="332"/>
      <c r="AML518" s="332"/>
      <c r="AMM518" s="332"/>
      <c r="AMN518" s="332"/>
      <c r="AMO518" s="332"/>
      <c r="AMP518" s="332"/>
      <c r="AMQ518" s="332"/>
      <c r="AMR518" s="332"/>
      <c r="AMS518" s="332"/>
      <c r="AMT518" s="332"/>
      <c r="AMU518" s="332"/>
      <c r="AMV518" s="332"/>
      <c r="AMW518" s="332"/>
      <c r="AMX518" s="332"/>
      <c r="AMY518" s="332"/>
      <c r="AMZ518" s="332"/>
      <c r="ANA518" s="332"/>
      <c r="ANB518" s="332"/>
      <c r="ANC518" s="332"/>
      <c r="AND518" s="332"/>
      <c r="ANE518" s="332"/>
      <c r="ANF518" s="332"/>
      <c r="ANG518" s="332"/>
      <c r="ANH518" s="332"/>
      <c r="ANI518" s="332"/>
      <c r="ANJ518" s="332"/>
      <c r="ANK518" s="332"/>
      <c r="ANL518" s="332"/>
      <c r="ANM518" s="332"/>
      <c r="ANN518" s="332"/>
      <c r="ANO518" s="332"/>
      <c r="ANP518" s="332"/>
      <c r="ANQ518" s="332"/>
      <c r="ANR518" s="332"/>
      <c r="ANS518" s="332"/>
      <c r="ANT518" s="332"/>
      <c r="ANU518" s="332"/>
      <c r="ANV518" s="332"/>
      <c r="ANW518" s="332"/>
      <c r="ANX518" s="332"/>
      <c r="ANY518" s="332"/>
      <c r="ANZ518" s="332"/>
      <c r="AOA518" s="332"/>
      <c r="AOB518" s="332"/>
      <c r="AOC518" s="332"/>
      <c r="AOD518" s="332"/>
      <c r="AOE518" s="332"/>
      <c r="AOF518" s="332"/>
      <c r="AOG518" s="332"/>
      <c r="AOH518" s="332"/>
      <c r="AOI518" s="332"/>
      <c r="AOJ518" s="332"/>
      <c r="AOK518" s="332"/>
      <c r="AOL518" s="332"/>
      <c r="AOM518" s="332"/>
      <c r="AON518" s="332"/>
      <c r="AOO518" s="332"/>
      <c r="AOP518" s="332"/>
      <c r="AOQ518" s="332"/>
      <c r="AOR518" s="332"/>
      <c r="AOS518" s="332"/>
      <c r="AOT518" s="332"/>
      <c r="AOU518" s="332"/>
      <c r="AOV518" s="332"/>
      <c r="AOW518" s="332"/>
      <c r="AOX518" s="332"/>
      <c r="AOY518" s="332"/>
      <c r="AOZ518" s="332"/>
      <c r="APA518" s="332"/>
      <c r="APB518" s="332"/>
      <c r="APC518" s="332"/>
      <c r="APD518" s="332"/>
      <c r="APE518" s="332"/>
      <c r="APF518" s="332"/>
      <c r="APG518" s="332"/>
      <c r="APH518" s="332"/>
      <c r="API518" s="332"/>
      <c r="APJ518" s="332"/>
      <c r="APK518" s="332"/>
      <c r="APL518" s="332"/>
      <c r="APM518" s="332"/>
      <c r="APN518" s="332"/>
      <c r="APO518" s="332"/>
      <c r="APP518" s="332"/>
      <c r="APQ518" s="332"/>
      <c r="APR518" s="332"/>
      <c r="APS518" s="332"/>
      <c r="APT518" s="332"/>
      <c r="APU518" s="332"/>
      <c r="APV518" s="332"/>
      <c r="APW518" s="332"/>
      <c r="APX518" s="332"/>
      <c r="APY518" s="332"/>
      <c r="APZ518" s="332"/>
      <c r="AQA518" s="332"/>
      <c r="AQB518" s="332"/>
      <c r="AQC518" s="332"/>
      <c r="AQD518" s="332"/>
      <c r="AQE518" s="332"/>
      <c r="AQF518" s="332"/>
      <c r="AQG518" s="332"/>
      <c r="AQH518" s="332"/>
      <c r="AQI518" s="332"/>
      <c r="AQJ518" s="332"/>
      <c r="AQK518" s="332"/>
      <c r="AQL518" s="332"/>
      <c r="AQM518" s="332"/>
      <c r="AQN518" s="332"/>
      <c r="AQO518" s="332"/>
      <c r="AQP518" s="332"/>
      <c r="AQQ518" s="332"/>
      <c r="AQR518" s="332"/>
      <c r="AQS518" s="332"/>
      <c r="AQT518" s="332"/>
      <c r="AQU518" s="332"/>
      <c r="AQV518" s="332"/>
      <c r="AQW518" s="332"/>
      <c r="AQX518" s="332"/>
      <c r="AQY518" s="332"/>
      <c r="AQZ518" s="332"/>
      <c r="ARA518" s="332"/>
      <c r="ARB518" s="332"/>
      <c r="ARC518" s="332"/>
      <c r="ARD518" s="332"/>
      <c r="ARE518" s="332"/>
      <c r="ARF518" s="332"/>
      <c r="ARG518" s="332"/>
      <c r="ARH518" s="332"/>
      <c r="ARI518" s="332"/>
      <c r="ARJ518" s="332"/>
      <c r="ARK518" s="332"/>
      <c r="ARL518" s="332"/>
      <c r="ARM518" s="332"/>
      <c r="ARN518" s="332"/>
      <c r="ARO518" s="332"/>
      <c r="ARP518" s="332"/>
      <c r="ARQ518" s="332"/>
      <c r="ARR518" s="332"/>
      <c r="ARS518" s="332"/>
      <c r="ART518" s="332"/>
      <c r="ARU518" s="332"/>
      <c r="ARV518" s="332"/>
      <c r="ARW518" s="332"/>
      <c r="ARX518" s="332"/>
      <c r="ARY518" s="332"/>
      <c r="ARZ518" s="332"/>
      <c r="ASA518" s="332"/>
      <c r="ASB518" s="332"/>
      <c r="ASC518" s="332"/>
      <c r="ASD518" s="332"/>
      <c r="ASE518" s="332"/>
      <c r="ASF518" s="332"/>
      <c r="ASG518" s="332"/>
      <c r="ASH518" s="332"/>
      <c r="ASI518" s="332"/>
      <c r="ASJ518" s="332"/>
      <c r="ASK518" s="332"/>
      <c r="ASL518" s="332"/>
      <c r="ASM518" s="332"/>
      <c r="ASN518" s="332"/>
      <c r="ASO518" s="332"/>
      <c r="ASP518" s="332"/>
      <c r="ASQ518" s="332"/>
      <c r="ASR518" s="332"/>
      <c r="ASS518" s="332"/>
      <c r="AST518" s="332"/>
      <c r="ASU518" s="332"/>
      <c r="ASV518" s="332"/>
      <c r="ASW518" s="332"/>
      <c r="ASX518" s="332"/>
      <c r="ASY518" s="332"/>
      <c r="ASZ518" s="332"/>
      <c r="ATA518" s="332"/>
      <c r="ATB518" s="332"/>
      <c r="ATC518" s="332"/>
      <c r="ATD518" s="332"/>
      <c r="ATE518" s="332"/>
      <c r="ATF518" s="332"/>
      <c r="ATG518" s="332"/>
      <c r="ATH518" s="332"/>
      <c r="ATI518" s="332"/>
      <c r="ATJ518" s="332"/>
      <c r="ATK518" s="332"/>
      <c r="ATL518" s="332"/>
      <c r="ATM518" s="332"/>
      <c r="ATN518" s="332"/>
      <c r="ATO518" s="332"/>
      <c r="ATP518" s="332"/>
      <c r="ATQ518" s="332"/>
      <c r="ATR518" s="332"/>
      <c r="ATS518" s="332"/>
      <c r="ATT518" s="332"/>
      <c r="ATU518" s="332"/>
      <c r="ATV518" s="332"/>
      <c r="ATW518" s="332"/>
      <c r="ATX518" s="332"/>
      <c r="ATY518" s="332"/>
      <c r="ATZ518" s="332"/>
      <c r="AUA518" s="332"/>
      <c r="AUB518" s="332"/>
      <c r="AUC518" s="332"/>
      <c r="AUD518" s="332"/>
      <c r="AUE518" s="332"/>
      <c r="AUF518" s="332"/>
      <c r="AUG518" s="332"/>
      <c r="AUH518" s="332"/>
      <c r="AUI518" s="332"/>
      <c r="AUJ518" s="332"/>
      <c r="AUK518" s="332"/>
      <c r="AUL518" s="332"/>
      <c r="AUM518" s="332"/>
      <c r="AUN518" s="332"/>
      <c r="AUO518" s="332"/>
      <c r="AUP518" s="332"/>
      <c r="AUQ518" s="332"/>
      <c r="AUR518" s="332"/>
      <c r="AUS518" s="332"/>
      <c r="AUT518" s="332"/>
      <c r="AUU518" s="332"/>
      <c r="AUV518" s="332"/>
      <c r="AUW518" s="332"/>
      <c r="AUX518" s="332"/>
      <c r="AUY518" s="332"/>
      <c r="AUZ518" s="332"/>
      <c r="AVA518" s="332"/>
      <c r="AVB518" s="332"/>
      <c r="AVC518" s="332"/>
      <c r="AVD518" s="332"/>
      <c r="AVE518" s="332"/>
      <c r="AVF518" s="332"/>
      <c r="AVG518" s="332"/>
      <c r="AVH518" s="332"/>
      <c r="AVI518" s="332"/>
      <c r="AVJ518" s="332"/>
      <c r="AVK518" s="332"/>
      <c r="AVL518" s="332"/>
      <c r="AVM518" s="332"/>
      <c r="AVN518" s="332"/>
      <c r="AVO518" s="332"/>
      <c r="AVP518" s="332"/>
      <c r="AVQ518" s="332"/>
      <c r="AVR518" s="332"/>
      <c r="AVS518" s="332"/>
      <c r="AVT518" s="332"/>
      <c r="AVU518" s="332"/>
      <c r="AVV518" s="332"/>
      <c r="AVW518" s="332"/>
      <c r="AVX518" s="332"/>
      <c r="AVY518" s="332"/>
      <c r="AVZ518" s="332"/>
      <c r="AWA518" s="332"/>
      <c r="AWB518" s="332"/>
      <c r="AWC518" s="332"/>
      <c r="AWD518" s="332"/>
      <c r="AWE518" s="332"/>
      <c r="AWF518" s="332"/>
      <c r="AWG518" s="332"/>
      <c r="AWH518" s="332"/>
      <c r="AWI518" s="332"/>
      <c r="AWJ518" s="332"/>
      <c r="AWK518" s="332"/>
      <c r="AWL518" s="332"/>
      <c r="AWM518" s="332"/>
      <c r="AWN518" s="332"/>
      <c r="AWO518" s="332"/>
      <c r="AWP518" s="332"/>
      <c r="AWQ518" s="332"/>
      <c r="AWR518" s="332"/>
      <c r="AWS518" s="332"/>
      <c r="AWT518" s="332"/>
      <c r="AWU518" s="332"/>
      <c r="AWV518" s="332"/>
      <c r="AWW518" s="332"/>
      <c r="AWX518" s="332"/>
      <c r="AWY518" s="332"/>
      <c r="AWZ518" s="332"/>
      <c r="AXA518" s="332"/>
      <c r="AXB518" s="332"/>
      <c r="AXC518" s="332"/>
      <c r="AXD518" s="332"/>
      <c r="AXE518" s="332"/>
      <c r="AXF518" s="332"/>
      <c r="AXG518" s="332"/>
      <c r="AXH518" s="332"/>
      <c r="AXI518" s="332"/>
      <c r="AXJ518" s="332"/>
      <c r="AXK518" s="332"/>
      <c r="AXL518" s="332"/>
      <c r="AXM518" s="332"/>
      <c r="AXN518" s="332"/>
      <c r="AXO518" s="332"/>
      <c r="AXP518" s="332"/>
      <c r="AXQ518" s="332"/>
      <c r="AXR518" s="332"/>
      <c r="AXS518" s="332"/>
      <c r="AXT518" s="332"/>
      <c r="AXU518" s="332"/>
      <c r="AXV518" s="332"/>
      <c r="AXW518" s="332"/>
      <c r="AXX518" s="332"/>
      <c r="AXY518" s="332"/>
      <c r="AXZ518" s="332"/>
      <c r="AYA518" s="332"/>
      <c r="AYB518" s="332"/>
      <c r="AYC518" s="332"/>
      <c r="AYD518" s="332"/>
      <c r="AYE518" s="332"/>
      <c r="AYF518" s="332"/>
      <c r="AYG518" s="332"/>
      <c r="AYH518" s="332"/>
      <c r="AYI518" s="332"/>
      <c r="AYJ518" s="332"/>
      <c r="AYK518" s="332"/>
      <c r="AYL518" s="332"/>
      <c r="AYM518" s="332"/>
      <c r="AYN518" s="332"/>
      <c r="AYO518" s="332"/>
      <c r="AYP518" s="332"/>
      <c r="AYQ518" s="332"/>
      <c r="AYR518" s="332"/>
      <c r="AYS518" s="332"/>
      <c r="AYT518" s="332"/>
      <c r="AYU518" s="332"/>
      <c r="AYV518" s="332"/>
      <c r="AYW518" s="332"/>
      <c r="AYX518" s="332"/>
      <c r="AYY518" s="332"/>
      <c r="AYZ518" s="332"/>
      <c r="AZA518" s="332"/>
      <c r="AZB518" s="332"/>
      <c r="AZC518" s="332"/>
      <c r="AZD518" s="332"/>
      <c r="AZE518" s="332"/>
      <c r="AZF518" s="332"/>
      <c r="AZG518" s="332"/>
      <c r="AZH518" s="332"/>
      <c r="AZI518" s="332"/>
      <c r="AZJ518" s="332"/>
      <c r="AZK518" s="332"/>
      <c r="AZL518" s="332"/>
      <c r="AZM518" s="332"/>
      <c r="AZN518" s="332"/>
      <c r="AZO518" s="332"/>
      <c r="AZP518" s="332"/>
      <c r="AZQ518" s="332"/>
      <c r="AZR518" s="332"/>
      <c r="AZS518" s="332"/>
      <c r="AZT518" s="332"/>
      <c r="AZU518" s="332"/>
      <c r="AZV518" s="332"/>
      <c r="AZW518" s="332"/>
      <c r="AZX518" s="332"/>
      <c r="AZY518" s="332"/>
      <c r="AZZ518" s="332"/>
      <c r="BAA518" s="332"/>
      <c r="BAB518" s="332"/>
      <c r="BAC518" s="332"/>
      <c r="BAD518" s="332"/>
      <c r="BAE518" s="332"/>
      <c r="BAF518" s="332"/>
      <c r="BAG518" s="332"/>
      <c r="BAH518" s="332"/>
      <c r="BAI518" s="332"/>
      <c r="BAJ518" s="332"/>
      <c r="BAK518" s="332"/>
      <c r="BAL518" s="332"/>
      <c r="BAM518" s="332"/>
      <c r="BAN518" s="332"/>
      <c r="BAO518" s="332"/>
      <c r="BAP518" s="332"/>
      <c r="BAQ518" s="332"/>
      <c r="BAR518" s="332"/>
      <c r="BAS518" s="332"/>
      <c r="BAT518" s="332"/>
      <c r="BAU518" s="332"/>
      <c r="BAV518" s="332"/>
      <c r="BAW518" s="332"/>
      <c r="BAX518" s="332"/>
      <c r="BAY518" s="332"/>
      <c r="BAZ518" s="332"/>
      <c r="BBA518" s="332"/>
      <c r="BBB518" s="332"/>
      <c r="BBC518" s="332"/>
      <c r="BBD518" s="332"/>
      <c r="BBE518" s="332"/>
      <c r="BBF518" s="332"/>
      <c r="BBG518" s="332"/>
      <c r="BBH518" s="332"/>
      <c r="BBI518" s="332"/>
      <c r="BBJ518" s="332"/>
      <c r="BBK518" s="332"/>
      <c r="BBL518" s="332"/>
      <c r="BBM518" s="332"/>
      <c r="BBN518" s="332"/>
      <c r="BBO518" s="332"/>
      <c r="BBP518" s="332"/>
      <c r="BBQ518" s="332"/>
      <c r="BBR518" s="332"/>
      <c r="BBS518" s="332"/>
      <c r="BBT518" s="332"/>
      <c r="BBU518" s="332"/>
      <c r="BBV518" s="332"/>
      <c r="BBW518" s="332"/>
      <c r="BBX518" s="332"/>
      <c r="BBY518" s="332"/>
      <c r="BBZ518" s="332"/>
      <c r="BCA518" s="332"/>
      <c r="BCB518" s="332"/>
      <c r="BCC518" s="332"/>
      <c r="BCD518" s="332"/>
      <c r="BCE518" s="332"/>
      <c r="BCF518" s="332"/>
      <c r="BCG518" s="332"/>
      <c r="BCH518" s="332"/>
      <c r="BCI518" s="332"/>
      <c r="BCJ518" s="332"/>
      <c r="BCK518" s="332"/>
      <c r="BCL518" s="332"/>
      <c r="BCM518" s="332"/>
      <c r="BCN518" s="332"/>
      <c r="BCO518" s="332"/>
      <c r="BCP518" s="332"/>
      <c r="BCQ518" s="332"/>
      <c r="BCR518" s="332"/>
      <c r="BCS518" s="332"/>
      <c r="BCT518" s="332"/>
      <c r="BCU518" s="332"/>
      <c r="BCV518" s="332"/>
      <c r="BCW518" s="332"/>
      <c r="BCX518" s="332"/>
      <c r="BCY518" s="332"/>
      <c r="BCZ518" s="332"/>
      <c r="BDA518" s="332"/>
      <c r="BDB518" s="332"/>
      <c r="BDC518" s="332"/>
      <c r="BDD518" s="332"/>
      <c r="BDE518" s="332"/>
      <c r="BDF518" s="332"/>
      <c r="BDG518" s="332"/>
      <c r="BDH518" s="332"/>
      <c r="BDI518" s="332"/>
      <c r="BDJ518" s="332"/>
      <c r="BDK518" s="332"/>
      <c r="BDL518" s="332"/>
      <c r="BDM518" s="332"/>
      <c r="BDN518" s="332"/>
      <c r="BDO518" s="332"/>
      <c r="BDP518" s="332"/>
      <c r="BDQ518" s="332"/>
      <c r="BDR518" s="332"/>
      <c r="BDS518" s="332"/>
      <c r="BDT518" s="332"/>
      <c r="BDU518" s="332"/>
      <c r="BDV518" s="332"/>
      <c r="BDW518" s="332"/>
      <c r="BDX518" s="332"/>
      <c r="BDY518" s="332"/>
      <c r="BDZ518" s="332"/>
      <c r="BEA518" s="332"/>
      <c r="BEB518" s="332"/>
      <c r="BEC518" s="332"/>
      <c r="BED518" s="332"/>
      <c r="BEE518" s="332"/>
      <c r="BEF518" s="332"/>
      <c r="BEG518" s="332"/>
      <c r="BEH518" s="332"/>
      <c r="BEI518" s="332"/>
      <c r="BEJ518" s="332"/>
      <c r="BEK518" s="332"/>
      <c r="BEL518" s="332"/>
      <c r="BEM518" s="332"/>
      <c r="BEN518" s="332"/>
      <c r="BEO518" s="332"/>
      <c r="BEP518" s="332"/>
      <c r="BEQ518" s="332"/>
      <c r="BER518" s="332"/>
      <c r="BES518" s="332"/>
      <c r="BET518" s="332"/>
      <c r="BEU518" s="332"/>
      <c r="BEV518" s="332"/>
      <c r="BEW518" s="332"/>
      <c r="BEX518" s="332"/>
      <c r="BEY518" s="332"/>
      <c r="BEZ518" s="332"/>
      <c r="BFA518" s="332"/>
      <c r="BFB518" s="332"/>
      <c r="BFC518" s="332"/>
      <c r="BFD518" s="332"/>
      <c r="BFE518" s="332"/>
      <c r="BFF518" s="332"/>
      <c r="BFG518" s="332"/>
      <c r="BFH518" s="332"/>
      <c r="BFI518" s="332"/>
      <c r="BFJ518" s="332"/>
      <c r="BFK518" s="332"/>
      <c r="BFL518" s="332"/>
      <c r="BFM518" s="332"/>
      <c r="BFN518" s="332"/>
      <c r="BFO518" s="332"/>
      <c r="BFP518" s="332"/>
      <c r="BFQ518" s="332"/>
      <c r="BFR518" s="332"/>
      <c r="BFS518" s="332"/>
      <c r="BFT518" s="332"/>
      <c r="BFU518" s="332"/>
      <c r="BFV518" s="332"/>
      <c r="BFW518" s="332"/>
      <c r="BFX518" s="332"/>
      <c r="BFY518" s="332"/>
      <c r="BFZ518" s="332"/>
      <c r="BGA518" s="332"/>
      <c r="BGB518" s="332"/>
      <c r="BGC518" s="332"/>
      <c r="BGD518" s="332"/>
      <c r="BGE518" s="332"/>
      <c r="BGF518" s="332"/>
      <c r="BGG518" s="332"/>
      <c r="BGH518" s="332"/>
      <c r="BGI518" s="332"/>
      <c r="BGJ518" s="332"/>
      <c r="BGK518" s="332"/>
      <c r="BGL518" s="332"/>
      <c r="BGM518" s="332"/>
      <c r="BGN518" s="332"/>
      <c r="BGO518" s="332"/>
      <c r="BGP518" s="332"/>
      <c r="BGQ518" s="332"/>
      <c r="BGR518" s="332"/>
      <c r="BGS518" s="332"/>
      <c r="BGT518" s="332"/>
      <c r="BGU518" s="332"/>
      <c r="BGV518" s="332"/>
      <c r="BGW518" s="332"/>
      <c r="BGX518" s="332"/>
      <c r="BGY518" s="332"/>
      <c r="BGZ518" s="332"/>
      <c r="BHA518" s="332"/>
      <c r="BHB518" s="332"/>
      <c r="BHC518" s="332"/>
      <c r="BHD518" s="332"/>
      <c r="BHE518" s="332"/>
      <c r="BHF518" s="332"/>
      <c r="BHG518" s="332"/>
      <c r="BHH518" s="332"/>
      <c r="BHI518" s="332"/>
      <c r="BHJ518" s="332"/>
      <c r="BHK518" s="332"/>
      <c r="BHL518" s="332"/>
      <c r="BHM518" s="332"/>
      <c r="BHN518" s="332"/>
      <c r="BHO518" s="332"/>
      <c r="BHP518" s="332"/>
      <c r="BHQ518" s="332"/>
      <c r="BHR518" s="332"/>
      <c r="BHS518" s="332"/>
      <c r="BHT518" s="332"/>
      <c r="BHU518" s="332"/>
      <c r="BHV518" s="332"/>
      <c r="BHW518" s="332"/>
      <c r="BHX518" s="332"/>
      <c r="BHY518" s="332"/>
      <c r="BHZ518" s="332"/>
      <c r="BIA518" s="332"/>
      <c r="BIB518" s="332"/>
      <c r="BIC518" s="332"/>
      <c r="BID518" s="332"/>
      <c r="BIE518" s="332"/>
      <c r="BIF518" s="332"/>
      <c r="BIG518" s="332"/>
      <c r="BIH518" s="332"/>
      <c r="BII518" s="332"/>
      <c r="BIJ518" s="332"/>
      <c r="BIK518" s="332"/>
      <c r="BIL518" s="332"/>
      <c r="BIM518" s="332"/>
      <c r="BIN518" s="332"/>
      <c r="BIO518" s="332"/>
      <c r="BIP518" s="332"/>
      <c r="BIQ518" s="332"/>
      <c r="BIR518" s="332"/>
      <c r="BIS518" s="332"/>
      <c r="BIT518" s="332"/>
      <c r="BIU518" s="332"/>
      <c r="BIV518" s="332"/>
      <c r="BIW518" s="332"/>
      <c r="BIX518" s="332"/>
      <c r="BIY518" s="332"/>
      <c r="BIZ518" s="332"/>
      <c r="BJA518" s="332"/>
      <c r="BJB518" s="332"/>
      <c r="BJC518" s="332"/>
      <c r="BJD518" s="332"/>
      <c r="BJE518" s="332"/>
      <c r="BJF518" s="332"/>
      <c r="BJG518" s="332"/>
      <c r="BJH518" s="332"/>
      <c r="BJI518" s="332"/>
      <c r="BJJ518" s="332"/>
      <c r="BJK518" s="332"/>
      <c r="BJL518" s="332"/>
      <c r="BJM518" s="332"/>
      <c r="BJN518" s="332"/>
      <c r="BJO518" s="332"/>
      <c r="BJP518" s="332"/>
      <c r="BJQ518" s="332"/>
      <c r="BJR518" s="332"/>
      <c r="BJS518" s="332"/>
      <c r="BJT518" s="332"/>
      <c r="BJU518" s="332"/>
      <c r="BJV518" s="332"/>
      <c r="BJW518" s="332"/>
      <c r="BJX518" s="332"/>
      <c r="BJY518" s="332"/>
      <c r="BJZ518" s="332"/>
      <c r="BKA518" s="332"/>
      <c r="BKB518" s="332"/>
      <c r="BKC518" s="332"/>
      <c r="BKD518" s="332"/>
      <c r="BKE518" s="332"/>
      <c r="BKF518" s="332"/>
      <c r="BKG518" s="332"/>
      <c r="BKH518" s="332"/>
      <c r="BKI518" s="332"/>
      <c r="BKJ518" s="332"/>
      <c r="BKK518" s="332"/>
      <c r="BKL518" s="332"/>
      <c r="BKM518" s="332"/>
      <c r="BKN518" s="332"/>
      <c r="BKO518" s="332"/>
      <c r="BKP518" s="332"/>
      <c r="BKQ518" s="332"/>
      <c r="BKR518" s="332"/>
      <c r="BKS518" s="332"/>
      <c r="BKT518" s="332"/>
      <c r="BKU518" s="332"/>
      <c r="BKV518" s="332"/>
      <c r="BKW518" s="332"/>
      <c r="BKX518" s="332"/>
      <c r="BKY518" s="332"/>
      <c r="BKZ518" s="332"/>
      <c r="BLA518" s="332"/>
      <c r="BLB518" s="332"/>
      <c r="BLC518" s="332"/>
      <c r="BLD518" s="332"/>
      <c r="BLE518" s="332"/>
      <c r="BLF518" s="332"/>
      <c r="BLG518" s="332"/>
      <c r="BLH518" s="332"/>
      <c r="BLI518" s="332"/>
      <c r="BLJ518" s="332"/>
      <c r="BLK518" s="332"/>
      <c r="BLL518" s="332"/>
      <c r="BLM518" s="332"/>
      <c r="BLN518" s="332"/>
      <c r="BLO518" s="332"/>
      <c r="BLP518" s="332"/>
      <c r="BLQ518" s="332"/>
      <c r="BLR518" s="332"/>
      <c r="BLS518" s="332"/>
      <c r="BLT518" s="332"/>
      <c r="BLU518" s="332"/>
      <c r="BLV518" s="332"/>
      <c r="BLW518" s="332"/>
      <c r="BLX518" s="332"/>
      <c r="BLY518" s="332"/>
      <c r="BLZ518" s="332"/>
      <c r="BMA518" s="332"/>
      <c r="BMB518" s="332"/>
      <c r="BMC518" s="332"/>
      <c r="BMD518" s="332"/>
      <c r="BME518" s="332"/>
      <c r="BMF518" s="332"/>
      <c r="BMG518" s="332"/>
      <c r="BMH518" s="332"/>
      <c r="BMI518" s="332"/>
      <c r="BMJ518" s="332"/>
      <c r="BMK518" s="332"/>
      <c r="BML518" s="332"/>
      <c r="BMM518" s="332"/>
      <c r="BMN518" s="332"/>
      <c r="BMO518" s="332"/>
      <c r="BMP518" s="332"/>
      <c r="BMQ518" s="332"/>
      <c r="BMR518" s="332"/>
      <c r="BMS518" s="332"/>
      <c r="BMT518" s="332"/>
      <c r="BMU518" s="332"/>
      <c r="BMV518" s="332"/>
      <c r="BMW518" s="332"/>
      <c r="BMX518" s="332"/>
      <c r="BMY518" s="332"/>
      <c r="BMZ518" s="332"/>
      <c r="BNA518" s="332"/>
      <c r="BNB518" s="332"/>
      <c r="BNC518" s="332"/>
      <c r="BND518" s="332"/>
      <c r="BNE518" s="332"/>
      <c r="BNF518" s="332"/>
      <c r="BNG518" s="332"/>
      <c r="BNH518" s="332"/>
      <c r="BNI518" s="332"/>
      <c r="BNJ518" s="332"/>
      <c r="BNK518" s="332"/>
      <c r="BNL518" s="332"/>
      <c r="BNM518" s="332"/>
      <c r="BNN518" s="332"/>
      <c r="BNO518" s="332"/>
      <c r="BNP518" s="332"/>
      <c r="BNQ518" s="332"/>
      <c r="BNR518" s="332"/>
      <c r="BNS518" s="332"/>
      <c r="BNT518" s="332"/>
      <c r="BNU518" s="332"/>
      <c r="BNV518" s="332"/>
      <c r="BNW518" s="332"/>
      <c r="BNX518" s="332"/>
      <c r="BNY518" s="332"/>
      <c r="BNZ518" s="332"/>
      <c r="BOA518" s="332"/>
      <c r="BOB518" s="332"/>
      <c r="BOC518" s="332"/>
      <c r="BOD518" s="332"/>
      <c r="BOE518" s="332"/>
      <c r="BOF518" s="332"/>
      <c r="BOG518" s="332"/>
      <c r="BOH518" s="332"/>
      <c r="BOI518" s="332"/>
      <c r="BOJ518" s="332"/>
      <c r="BOK518" s="332"/>
      <c r="BOL518" s="332"/>
      <c r="BOM518" s="332"/>
      <c r="BON518" s="332"/>
      <c r="BOO518" s="332"/>
      <c r="BOP518" s="332"/>
      <c r="BOQ518" s="332"/>
      <c r="BOR518" s="332"/>
      <c r="BOS518" s="332"/>
      <c r="BOT518" s="332"/>
      <c r="BOU518" s="332"/>
      <c r="BOV518" s="332"/>
      <c r="BOW518" s="332"/>
      <c r="BOX518" s="332"/>
      <c r="BOY518" s="332"/>
      <c r="BOZ518" s="332"/>
      <c r="BPA518" s="332"/>
      <c r="BPB518" s="332"/>
      <c r="BPC518" s="332"/>
      <c r="BPD518" s="332"/>
      <c r="BPE518" s="332"/>
      <c r="BPF518" s="332"/>
      <c r="BPG518" s="332"/>
      <c r="BPH518" s="332"/>
      <c r="BPI518" s="332"/>
      <c r="BPJ518" s="332"/>
      <c r="BPK518" s="332"/>
      <c r="BPL518" s="332"/>
      <c r="BPM518" s="332"/>
      <c r="BPN518" s="332"/>
      <c r="BPO518" s="332"/>
      <c r="BPP518" s="332"/>
      <c r="BPQ518" s="332"/>
      <c r="BPR518" s="332"/>
      <c r="BPS518" s="332"/>
      <c r="BPT518" s="332"/>
      <c r="BPU518" s="332"/>
      <c r="BPV518" s="332"/>
      <c r="BPW518" s="332"/>
      <c r="BPX518" s="332"/>
      <c r="BPY518" s="332"/>
      <c r="BPZ518" s="332"/>
      <c r="BQA518" s="332"/>
      <c r="BQB518" s="332"/>
      <c r="BQC518" s="332"/>
      <c r="BQD518" s="332"/>
      <c r="BQE518" s="332"/>
      <c r="BQF518" s="332"/>
      <c r="BQG518" s="332"/>
      <c r="BQH518" s="332"/>
      <c r="BQI518" s="332"/>
      <c r="BQJ518" s="332"/>
      <c r="BQK518" s="332"/>
      <c r="BQL518" s="332"/>
      <c r="BQM518" s="332"/>
      <c r="BQN518" s="332"/>
      <c r="BQO518" s="332"/>
      <c r="BQP518" s="332"/>
      <c r="BQQ518" s="332"/>
      <c r="BQR518" s="332"/>
      <c r="BQS518" s="332"/>
      <c r="BQT518" s="332"/>
      <c r="BQU518" s="332"/>
      <c r="BQV518" s="332"/>
      <c r="BQW518" s="332"/>
      <c r="BQX518" s="332"/>
      <c r="BQY518" s="332"/>
      <c r="BQZ518" s="332"/>
      <c r="BRA518" s="332"/>
      <c r="BRB518" s="332"/>
      <c r="BRC518" s="332"/>
      <c r="BRD518" s="332"/>
      <c r="BRE518" s="332"/>
      <c r="BRF518" s="332"/>
      <c r="BRG518" s="332"/>
      <c r="BRH518" s="332"/>
      <c r="BRI518" s="332"/>
      <c r="BRJ518" s="332"/>
      <c r="BRK518" s="332"/>
      <c r="BRL518" s="332"/>
      <c r="BRM518" s="332"/>
      <c r="BRN518" s="332"/>
      <c r="BRO518" s="332"/>
      <c r="BRP518" s="332"/>
      <c r="BRQ518" s="332"/>
      <c r="BRR518" s="332"/>
      <c r="BRS518" s="332"/>
      <c r="BRT518" s="332"/>
      <c r="BRU518" s="332"/>
      <c r="BRV518" s="332"/>
      <c r="BRW518" s="332"/>
      <c r="BRX518" s="332"/>
      <c r="BRY518" s="332"/>
      <c r="BRZ518" s="332"/>
      <c r="BSA518" s="332"/>
      <c r="BSB518" s="332"/>
      <c r="BSC518" s="332"/>
      <c r="BSD518" s="332"/>
      <c r="BSE518" s="332"/>
      <c r="BSF518" s="332"/>
      <c r="BSG518" s="332"/>
      <c r="BSH518" s="332"/>
      <c r="BSI518" s="332"/>
      <c r="BSJ518" s="332"/>
      <c r="BSK518" s="332"/>
      <c r="BSL518" s="332"/>
      <c r="BSM518" s="332"/>
      <c r="BSN518" s="332"/>
      <c r="BSO518" s="332"/>
      <c r="BSP518" s="332"/>
      <c r="BSQ518" s="332"/>
      <c r="BSR518" s="332"/>
      <c r="BSS518" s="332"/>
      <c r="BST518" s="332"/>
      <c r="BSU518" s="332"/>
      <c r="BSV518" s="332"/>
      <c r="BSW518" s="332"/>
      <c r="BSX518" s="332"/>
      <c r="BSY518" s="332"/>
      <c r="BSZ518" s="332"/>
      <c r="BTA518" s="332"/>
      <c r="BTB518" s="332"/>
      <c r="BTC518" s="332"/>
      <c r="BTD518" s="332"/>
      <c r="BTE518" s="332"/>
      <c r="BTF518" s="332"/>
      <c r="BTG518" s="332"/>
      <c r="BTH518" s="332"/>
      <c r="BTI518" s="332"/>
      <c r="BTJ518" s="332"/>
      <c r="BTK518" s="332"/>
      <c r="BTL518" s="332"/>
      <c r="BTM518" s="332"/>
      <c r="BTN518" s="332"/>
      <c r="BTO518" s="332"/>
      <c r="BTP518" s="332"/>
      <c r="BTQ518" s="332"/>
      <c r="BTR518" s="332"/>
      <c r="BTS518" s="332"/>
      <c r="BTT518" s="332"/>
      <c r="BTU518" s="332"/>
      <c r="BTV518" s="332"/>
      <c r="BTW518" s="332"/>
      <c r="BTX518" s="332"/>
      <c r="BTY518" s="332"/>
      <c r="BTZ518" s="332"/>
      <c r="BUA518" s="332"/>
      <c r="BUB518" s="332"/>
      <c r="BUC518" s="332"/>
      <c r="BUD518" s="332"/>
      <c r="BUE518" s="332"/>
      <c r="BUF518" s="332"/>
      <c r="BUG518" s="332"/>
      <c r="BUH518" s="332"/>
      <c r="BUI518" s="332"/>
      <c r="BUJ518" s="332"/>
      <c r="BUK518" s="332"/>
      <c r="BUL518" s="332"/>
      <c r="BUM518" s="332"/>
      <c r="BUN518" s="332"/>
      <c r="BUO518" s="332"/>
      <c r="BUP518" s="332"/>
      <c r="BUQ518" s="332"/>
      <c r="BUR518" s="332"/>
      <c r="BUS518" s="332"/>
      <c r="BUT518" s="332"/>
      <c r="BUU518" s="332"/>
      <c r="BUV518" s="332"/>
      <c r="BUW518" s="332"/>
      <c r="BUX518" s="332"/>
      <c r="BUY518" s="332"/>
      <c r="BUZ518" s="332"/>
      <c r="BVA518" s="332"/>
      <c r="BVB518" s="332"/>
      <c r="BVC518" s="332"/>
      <c r="BVD518" s="332"/>
      <c r="BVE518" s="332"/>
      <c r="BVF518" s="332"/>
      <c r="BVG518" s="332"/>
      <c r="BVH518" s="332"/>
      <c r="BVI518" s="332"/>
      <c r="BVJ518" s="332"/>
      <c r="BVK518" s="332"/>
      <c r="BVL518" s="332"/>
      <c r="BVM518" s="332"/>
      <c r="BVN518" s="332"/>
      <c r="BVO518" s="332"/>
      <c r="BVP518" s="332"/>
      <c r="BVQ518" s="332"/>
      <c r="BVR518" s="332"/>
      <c r="BVS518" s="332"/>
      <c r="BVT518" s="332"/>
      <c r="BVU518" s="332"/>
      <c r="BVV518" s="332"/>
      <c r="BVW518" s="332"/>
      <c r="BVX518" s="332"/>
      <c r="BVY518" s="332"/>
      <c r="BVZ518" s="332"/>
      <c r="BWA518" s="332"/>
      <c r="BWB518" s="332"/>
      <c r="BWC518" s="332"/>
      <c r="BWD518" s="332"/>
      <c r="BWE518" s="332"/>
      <c r="BWF518" s="332"/>
      <c r="BWG518" s="332"/>
      <c r="BWH518" s="332"/>
      <c r="BWI518" s="332"/>
      <c r="BWJ518" s="332"/>
      <c r="BWK518" s="332"/>
      <c r="BWL518" s="332"/>
      <c r="BWM518" s="332"/>
      <c r="BWN518" s="332"/>
      <c r="BWO518" s="332"/>
      <c r="BWP518" s="332"/>
      <c r="BWQ518" s="332"/>
      <c r="BWR518" s="332"/>
      <c r="BWS518" s="332"/>
      <c r="BWT518" s="332"/>
      <c r="BWU518" s="332"/>
      <c r="BWV518" s="332"/>
      <c r="BWW518" s="332"/>
      <c r="BWX518" s="332"/>
      <c r="BWY518" s="332"/>
      <c r="BWZ518" s="332"/>
      <c r="BXA518" s="332"/>
      <c r="BXB518" s="332"/>
      <c r="BXC518" s="332"/>
      <c r="BXD518" s="332"/>
      <c r="BXE518" s="332"/>
      <c r="BXF518" s="332"/>
      <c r="BXG518" s="332"/>
      <c r="BXH518" s="332"/>
      <c r="BXI518" s="332"/>
      <c r="BXJ518" s="332"/>
      <c r="BXK518" s="332"/>
      <c r="BXL518" s="332"/>
      <c r="BXM518" s="332"/>
      <c r="BXN518" s="332"/>
      <c r="BXO518" s="332"/>
      <c r="BXP518" s="332"/>
      <c r="BXQ518" s="332"/>
      <c r="BXR518" s="332"/>
      <c r="BXS518" s="332"/>
      <c r="BXT518" s="332"/>
      <c r="BXU518" s="332"/>
      <c r="BXV518" s="332"/>
      <c r="BXW518" s="332"/>
      <c r="BXX518" s="332"/>
      <c r="BXY518" s="332"/>
      <c r="BXZ518" s="332"/>
      <c r="BYA518" s="332"/>
      <c r="BYB518" s="332"/>
      <c r="BYC518" s="332"/>
      <c r="BYD518" s="332"/>
      <c r="BYE518" s="332"/>
      <c r="BYF518" s="332"/>
      <c r="BYG518" s="332"/>
      <c r="BYH518" s="332"/>
      <c r="BYI518" s="332"/>
      <c r="BYJ518" s="332"/>
      <c r="BYK518" s="332"/>
      <c r="BYL518" s="332"/>
      <c r="BYM518" s="332"/>
      <c r="BYN518" s="332"/>
      <c r="BYO518" s="332"/>
      <c r="BYP518" s="332"/>
      <c r="BYQ518" s="332"/>
      <c r="BYR518" s="332"/>
      <c r="BYS518" s="332"/>
      <c r="BYT518" s="332"/>
      <c r="BYU518" s="332"/>
      <c r="BYV518" s="332"/>
      <c r="BYW518" s="332"/>
      <c r="BYX518" s="332"/>
      <c r="BYY518" s="332"/>
      <c r="BYZ518" s="332"/>
      <c r="BZA518" s="332"/>
      <c r="BZB518" s="332"/>
      <c r="BZC518" s="332"/>
      <c r="BZD518" s="332"/>
      <c r="BZE518" s="332"/>
      <c r="BZF518" s="332"/>
      <c r="BZG518" s="332"/>
      <c r="BZH518" s="332"/>
      <c r="BZI518" s="332"/>
      <c r="BZJ518" s="332"/>
      <c r="BZK518" s="332"/>
      <c r="BZL518" s="332"/>
      <c r="BZM518" s="332"/>
      <c r="BZN518" s="332"/>
      <c r="BZO518" s="332"/>
      <c r="BZP518" s="332"/>
      <c r="BZQ518" s="332"/>
      <c r="BZR518" s="332"/>
      <c r="BZS518" s="332"/>
      <c r="BZT518" s="332"/>
      <c r="BZU518" s="332"/>
      <c r="BZV518" s="332"/>
      <c r="BZW518" s="332"/>
      <c r="BZX518" s="332"/>
      <c r="BZY518" s="332"/>
      <c r="BZZ518" s="332"/>
      <c r="CAA518" s="332"/>
      <c r="CAB518" s="332"/>
      <c r="CAC518" s="332"/>
      <c r="CAD518" s="332"/>
      <c r="CAE518" s="332"/>
      <c r="CAF518" s="332"/>
      <c r="CAG518" s="332"/>
      <c r="CAH518" s="332"/>
      <c r="CAI518" s="332"/>
      <c r="CAJ518" s="332"/>
      <c r="CAK518" s="332"/>
      <c r="CAL518" s="332"/>
      <c r="CAM518" s="332"/>
      <c r="CAN518" s="332"/>
      <c r="CAO518" s="332"/>
      <c r="CAP518" s="332"/>
      <c r="CAQ518" s="332"/>
      <c r="CAR518" s="332"/>
      <c r="CAS518" s="332"/>
      <c r="CAT518" s="332"/>
      <c r="CAU518" s="332"/>
      <c r="CAV518" s="332"/>
      <c r="CAW518" s="332"/>
      <c r="CAX518" s="332"/>
      <c r="CAY518" s="332"/>
      <c r="CAZ518" s="332"/>
      <c r="CBA518" s="332"/>
      <c r="CBB518" s="332"/>
      <c r="CBC518" s="332"/>
      <c r="CBD518" s="332"/>
      <c r="CBE518" s="332"/>
      <c r="CBF518" s="332"/>
      <c r="CBG518" s="332"/>
      <c r="CBH518" s="332"/>
      <c r="CBI518" s="332"/>
      <c r="CBJ518" s="332"/>
      <c r="CBK518" s="332"/>
      <c r="CBL518" s="332"/>
      <c r="CBM518" s="332"/>
      <c r="CBN518" s="332"/>
      <c r="CBO518" s="332"/>
      <c r="CBP518" s="332"/>
      <c r="CBQ518" s="332"/>
      <c r="CBR518" s="332"/>
      <c r="CBS518" s="332"/>
      <c r="CBT518" s="332"/>
      <c r="CBU518" s="332"/>
      <c r="CBV518" s="332"/>
      <c r="CBW518" s="332"/>
      <c r="CBX518" s="332"/>
      <c r="CBY518" s="332"/>
      <c r="CBZ518" s="332"/>
      <c r="CCA518" s="332"/>
      <c r="CCB518" s="332"/>
      <c r="CCC518" s="332"/>
      <c r="CCD518" s="332"/>
      <c r="CCE518" s="332"/>
      <c r="CCF518" s="332"/>
      <c r="CCG518" s="332"/>
      <c r="CCH518" s="332"/>
      <c r="CCI518" s="332"/>
      <c r="CCJ518" s="332"/>
      <c r="CCK518" s="332"/>
      <c r="CCL518" s="332"/>
      <c r="CCM518" s="332"/>
      <c r="CCN518" s="332"/>
      <c r="CCO518" s="332"/>
      <c r="CCP518" s="332"/>
      <c r="CCQ518" s="332"/>
      <c r="CCR518" s="332"/>
      <c r="CCS518" s="332"/>
      <c r="CCT518" s="332"/>
      <c r="CCU518" s="332"/>
      <c r="CCV518" s="332"/>
      <c r="CCW518" s="332"/>
      <c r="CCX518" s="332"/>
      <c r="CCY518" s="332"/>
      <c r="CCZ518" s="332"/>
      <c r="CDA518" s="332"/>
      <c r="CDB518" s="332"/>
      <c r="CDC518" s="332"/>
      <c r="CDD518" s="332"/>
      <c r="CDE518" s="332"/>
      <c r="CDF518" s="332"/>
      <c r="CDG518" s="332"/>
      <c r="CDH518" s="332"/>
      <c r="CDI518" s="332"/>
      <c r="CDJ518" s="332"/>
      <c r="CDK518" s="332"/>
      <c r="CDL518" s="332"/>
      <c r="CDM518" s="332"/>
      <c r="CDN518" s="332"/>
      <c r="CDO518" s="332"/>
      <c r="CDP518" s="332"/>
      <c r="CDQ518" s="332"/>
      <c r="CDR518" s="332"/>
      <c r="CDS518" s="332"/>
      <c r="CDT518" s="332"/>
      <c r="CDU518" s="332"/>
      <c r="CDV518" s="332"/>
      <c r="CDW518" s="332"/>
      <c r="CDX518" s="332"/>
      <c r="CDY518" s="332"/>
      <c r="CDZ518" s="332"/>
      <c r="CEA518" s="332"/>
      <c r="CEB518" s="332"/>
      <c r="CEC518" s="332"/>
      <c r="CED518" s="332"/>
      <c r="CEE518" s="332"/>
      <c r="CEF518" s="332"/>
      <c r="CEG518" s="332"/>
      <c r="CEH518" s="332"/>
      <c r="CEI518" s="332"/>
      <c r="CEJ518" s="332"/>
      <c r="CEK518" s="332"/>
      <c r="CEL518" s="332"/>
      <c r="CEM518" s="332"/>
      <c r="CEN518" s="332"/>
      <c r="CEO518" s="332"/>
      <c r="CEP518" s="332"/>
      <c r="CEQ518" s="332"/>
      <c r="CER518" s="332"/>
      <c r="CES518" s="332"/>
      <c r="CET518" s="332"/>
      <c r="CEU518" s="332"/>
      <c r="CEV518" s="332"/>
      <c r="CEW518" s="332"/>
      <c r="CEX518" s="332"/>
      <c r="CEY518" s="332"/>
      <c r="CEZ518" s="332"/>
      <c r="CFA518" s="332"/>
      <c r="CFB518" s="332"/>
      <c r="CFC518" s="332"/>
      <c r="CFD518" s="332"/>
      <c r="CFE518" s="332"/>
      <c r="CFF518" s="332"/>
      <c r="CFG518" s="332"/>
      <c r="CFH518" s="332"/>
      <c r="CFI518" s="332"/>
      <c r="CFJ518" s="332"/>
      <c r="CFK518" s="332"/>
      <c r="CFL518" s="332"/>
      <c r="CFM518" s="332"/>
      <c r="CFN518" s="332"/>
      <c r="CFO518" s="332"/>
      <c r="CFP518" s="332"/>
      <c r="CFQ518" s="332"/>
      <c r="CFR518" s="332"/>
      <c r="CFS518" s="332"/>
      <c r="CFT518" s="332"/>
      <c r="CFU518" s="332"/>
      <c r="CFV518" s="332"/>
      <c r="CFW518" s="332"/>
      <c r="CFX518" s="332"/>
      <c r="CFY518" s="332"/>
      <c r="CFZ518" s="332"/>
      <c r="CGA518" s="332"/>
      <c r="CGB518" s="332"/>
      <c r="CGC518" s="332"/>
      <c r="CGD518" s="332"/>
      <c r="CGE518" s="332"/>
      <c r="CGF518" s="332"/>
      <c r="CGG518" s="332"/>
      <c r="CGH518" s="332"/>
      <c r="CGI518" s="332"/>
      <c r="CGJ518" s="332"/>
      <c r="CGK518" s="332"/>
      <c r="CGL518" s="332"/>
      <c r="CGM518" s="332"/>
      <c r="CGN518" s="332"/>
      <c r="CGO518" s="332"/>
      <c r="CGP518" s="332"/>
      <c r="CGQ518" s="332"/>
      <c r="CGR518" s="332"/>
      <c r="CGS518" s="332"/>
      <c r="CGT518" s="332"/>
      <c r="CGU518" s="332"/>
      <c r="CGV518" s="332"/>
      <c r="CGW518" s="332"/>
      <c r="CGX518" s="332"/>
      <c r="CGY518" s="332"/>
      <c r="CGZ518" s="332"/>
      <c r="CHA518" s="332"/>
      <c r="CHB518" s="332"/>
      <c r="CHC518" s="332"/>
      <c r="CHD518" s="332"/>
      <c r="CHE518" s="332"/>
      <c r="CHF518" s="332"/>
      <c r="CHG518" s="332"/>
      <c r="CHH518" s="332"/>
      <c r="CHI518" s="332"/>
      <c r="CHJ518" s="332"/>
      <c r="CHK518" s="332"/>
      <c r="CHL518" s="332"/>
      <c r="CHM518" s="332"/>
      <c r="CHN518" s="332"/>
      <c r="CHO518" s="332"/>
      <c r="CHP518" s="332"/>
      <c r="CHQ518" s="332"/>
      <c r="CHR518" s="332"/>
      <c r="CHS518" s="332"/>
      <c r="CHT518" s="332"/>
      <c r="CHU518" s="332"/>
      <c r="CHV518" s="332"/>
      <c r="CHW518" s="332"/>
      <c r="CHX518" s="332"/>
      <c r="CHY518" s="332"/>
      <c r="CHZ518" s="332"/>
      <c r="CIA518" s="332"/>
      <c r="CIB518" s="332"/>
      <c r="CIC518" s="332"/>
      <c r="CID518" s="332"/>
      <c r="CIE518" s="332"/>
      <c r="CIF518" s="332"/>
      <c r="CIG518" s="332"/>
      <c r="CIH518" s="332"/>
      <c r="CII518" s="332"/>
      <c r="CIJ518" s="332"/>
      <c r="CIK518" s="332"/>
      <c r="CIL518" s="332"/>
      <c r="CIM518" s="332"/>
      <c r="CIN518" s="332"/>
      <c r="CIO518" s="332"/>
      <c r="CIP518" s="332"/>
      <c r="CIQ518" s="332"/>
      <c r="CIR518" s="332"/>
      <c r="CIS518" s="332"/>
      <c r="CIT518" s="332"/>
      <c r="CIU518" s="332"/>
      <c r="CIV518" s="332"/>
      <c r="CIW518" s="332"/>
      <c r="CIX518" s="332"/>
      <c r="CIY518" s="332"/>
      <c r="CIZ518" s="332"/>
      <c r="CJA518" s="332"/>
      <c r="CJB518" s="332"/>
      <c r="CJC518" s="332"/>
      <c r="CJD518" s="332"/>
      <c r="CJE518" s="332"/>
      <c r="CJF518" s="332"/>
      <c r="CJG518" s="332"/>
      <c r="CJH518" s="332"/>
      <c r="CJI518" s="332"/>
      <c r="CJJ518" s="332"/>
      <c r="CJK518" s="332"/>
      <c r="CJL518" s="332"/>
      <c r="CJM518" s="332"/>
      <c r="CJN518" s="332"/>
      <c r="CJO518" s="332"/>
      <c r="CJP518" s="332"/>
      <c r="CJQ518" s="332"/>
      <c r="CJR518" s="332"/>
      <c r="CJS518" s="332"/>
      <c r="CJT518" s="332"/>
      <c r="CJU518" s="332"/>
      <c r="CJV518" s="332"/>
      <c r="CJW518" s="332"/>
      <c r="CJX518" s="332"/>
      <c r="CJY518" s="332"/>
      <c r="CJZ518" s="332"/>
      <c r="CKA518" s="332"/>
      <c r="CKB518" s="332"/>
      <c r="CKC518" s="332"/>
      <c r="CKD518" s="332"/>
      <c r="CKE518" s="332"/>
      <c r="CKF518" s="332"/>
      <c r="CKG518" s="332"/>
      <c r="CKH518" s="332"/>
      <c r="CKI518" s="332"/>
      <c r="CKJ518" s="332"/>
      <c r="CKK518" s="332"/>
      <c r="CKL518" s="332"/>
      <c r="CKM518" s="332"/>
      <c r="CKN518" s="332"/>
      <c r="CKO518" s="332"/>
      <c r="CKP518" s="332"/>
      <c r="CKQ518" s="332"/>
      <c r="CKR518" s="332"/>
      <c r="CKS518" s="332"/>
      <c r="CKT518" s="332"/>
      <c r="CKU518" s="332"/>
      <c r="CKV518" s="332"/>
      <c r="CKW518" s="332"/>
      <c r="CKX518" s="332"/>
      <c r="CKY518" s="332"/>
      <c r="CKZ518" s="332"/>
      <c r="CLA518" s="332"/>
      <c r="CLB518" s="332"/>
      <c r="CLC518" s="332"/>
      <c r="CLD518" s="332"/>
      <c r="CLE518" s="332"/>
      <c r="CLF518" s="332"/>
      <c r="CLG518" s="332"/>
      <c r="CLH518" s="332"/>
      <c r="CLI518" s="332"/>
      <c r="CLJ518" s="332"/>
      <c r="CLK518" s="332"/>
      <c r="CLL518" s="332"/>
      <c r="CLM518" s="332"/>
      <c r="CLN518" s="332"/>
      <c r="CLO518" s="332"/>
      <c r="CLP518" s="332"/>
      <c r="CLQ518" s="332"/>
      <c r="CLR518" s="332"/>
      <c r="CLS518" s="332"/>
      <c r="CLT518" s="332"/>
      <c r="CLU518" s="332"/>
      <c r="CLV518" s="332"/>
      <c r="CLW518" s="332"/>
      <c r="CLX518" s="332"/>
      <c r="CLY518" s="332"/>
      <c r="CLZ518" s="332"/>
      <c r="CMA518" s="332"/>
      <c r="CMB518" s="332"/>
      <c r="CMC518" s="332"/>
      <c r="CMD518" s="332"/>
      <c r="CME518" s="332"/>
      <c r="CMF518" s="332"/>
      <c r="CMG518" s="332"/>
      <c r="CMH518" s="332"/>
      <c r="CMI518" s="332"/>
      <c r="CMJ518" s="332"/>
      <c r="CMK518" s="332"/>
      <c r="CML518" s="332"/>
      <c r="CMM518" s="332"/>
      <c r="CMN518" s="332"/>
      <c r="CMO518" s="332"/>
      <c r="CMP518" s="332"/>
      <c r="CMQ518" s="332"/>
      <c r="CMR518" s="332"/>
      <c r="CMS518" s="332"/>
      <c r="CMT518" s="332"/>
      <c r="CMU518" s="332"/>
      <c r="CMV518" s="332"/>
      <c r="CMW518" s="332"/>
      <c r="CMX518" s="332"/>
      <c r="CMY518" s="332"/>
      <c r="CMZ518" s="332"/>
      <c r="CNA518" s="332"/>
      <c r="CNB518" s="332"/>
      <c r="CNC518" s="332"/>
      <c r="CND518" s="332"/>
      <c r="CNE518" s="332"/>
      <c r="CNF518" s="332"/>
      <c r="CNG518" s="332"/>
      <c r="CNH518" s="332"/>
      <c r="CNI518" s="332"/>
      <c r="CNJ518" s="332"/>
      <c r="CNK518" s="332"/>
      <c r="CNL518" s="332"/>
      <c r="CNM518" s="332"/>
      <c r="CNN518" s="332"/>
      <c r="CNO518" s="332"/>
      <c r="CNP518" s="332"/>
      <c r="CNQ518" s="332"/>
      <c r="CNR518" s="332"/>
      <c r="CNS518" s="332"/>
      <c r="CNT518" s="332"/>
      <c r="CNU518" s="332"/>
      <c r="CNV518" s="332"/>
      <c r="CNW518" s="332"/>
      <c r="CNX518" s="332"/>
      <c r="CNY518" s="332"/>
      <c r="CNZ518" s="332"/>
      <c r="COA518" s="332"/>
      <c r="COB518" s="332"/>
      <c r="COC518" s="332"/>
      <c r="COD518" s="332"/>
      <c r="COE518" s="332"/>
      <c r="COF518" s="332"/>
      <c r="COG518" s="332"/>
      <c r="COH518" s="332"/>
      <c r="COI518" s="332"/>
      <c r="COJ518" s="332"/>
      <c r="COK518" s="332"/>
      <c r="COL518" s="332"/>
      <c r="COM518" s="332"/>
      <c r="CON518" s="332"/>
      <c r="COO518" s="332"/>
      <c r="COP518" s="332"/>
      <c r="COQ518" s="332"/>
      <c r="COR518" s="332"/>
      <c r="COS518" s="332"/>
      <c r="COT518" s="332"/>
      <c r="COU518" s="332"/>
      <c r="COV518" s="332"/>
      <c r="COW518" s="332"/>
      <c r="COX518" s="332"/>
      <c r="COY518" s="332"/>
      <c r="COZ518" s="332"/>
      <c r="CPA518" s="332"/>
      <c r="CPB518" s="332"/>
      <c r="CPC518" s="332"/>
      <c r="CPD518" s="332"/>
      <c r="CPE518" s="332"/>
      <c r="CPF518" s="332"/>
      <c r="CPG518" s="332"/>
      <c r="CPH518" s="332"/>
      <c r="CPI518" s="332"/>
      <c r="CPJ518" s="332"/>
      <c r="CPK518" s="332"/>
      <c r="CPL518" s="332"/>
      <c r="CPM518" s="332"/>
      <c r="CPN518" s="332"/>
      <c r="CPO518" s="332"/>
      <c r="CPP518" s="332"/>
      <c r="CPQ518" s="332"/>
      <c r="CPR518" s="332"/>
      <c r="CPS518" s="332"/>
      <c r="CPT518" s="332"/>
      <c r="CPU518" s="332"/>
      <c r="CPV518" s="332"/>
      <c r="CPW518" s="332"/>
      <c r="CPX518" s="332"/>
      <c r="CPY518" s="332"/>
      <c r="CPZ518" s="332"/>
      <c r="CQA518" s="332"/>
      <c r="CQB518" s="332"/>
      <c r="CQC518" s="332"/>
      <c r="CQD518" s="332"/>
      <c r="CQE518" s="332"/>
      <c r="CQF518" s="332"/>
      <c r="CQG518" s="332"/>
      <c r="CQH518" s="332"/>
      <c r="CQI518" s="332"/>
      <c r="CQJ518" s="332"/>
      <c r="CQK518" s="332"/>
      <c r="CQL518" s="332"/>
      <c r="CQM518" s="332"/>
      <c r="CQN518" s="332"/>
      <c r="CQO518" s="332"/>
      <c r="CQP518" s="332"/>
      <c r="CQQ518" s="332"/>
      <c r="CQR518" s="332"/>
      <c r="CQS518" s="332"/>
      <c r="CQT518" s="332"/>
      <c r="CQU518" s="332"/>
      <c r="CQV518" s="332"/>
      <c r="CQW518" s="332"/>
      <c r="CQX518" s="332"/>
      <c r="CQY518" s="332"/>
      <c r="CQZ518" s="332"/>
      <c r="CRA518" s="332"/>
      <c r="CRB518" s="332"/>
      <c r="CRC518" s="332"/>
      <c r="CRD518" s="332"/>
      <c r="CRE518" s="332"/>
      <c r="CRF518" s="332"/>
      <c r="CRG518" s="332"/>
      <c r="CRH518" s="332"/>
      <c r="CRI518" s="332"/>
      <c r="CRJ518" s="332"/>
      <c r="CRK518" s="332"/>
      <c r="CRL518" s="332"/>
      <c r="CRM518" s="332"/>
      <c r="CRN518" s="332"/>
      <c r="CRO518" s="332"/>
      <c r="CRP518" s="332"/>
      <c r="CRQ518" s="332"/>
      <c r="CRR518" s="332"/>
      <c r="CRS518" s="332"/>
      <c r="CRT518" s="332"/>
      <c r="CRU518" s="332"/>
      <c r="CRV518" s="332"/>
      <c r="CRW518" s="332"/>
      <c r="CRX518" s="332"/>
      <c r="CRY518" s="332"/>
      <c r="CRZ518" s="332"/>
      <c r="CSA518" s="332"/>
      <c r="CSB518" s="332"/>
      <c r="CSC518" s="332"/>
      <c r="CSD518" s="332"/>
      <c r="CSE518" s="332"/>
      <c r="CSF518" s="332"/>
      <c r="CSG518" s="332"/>
      <c r="CSH518" s="332"/>
      <c r="CSI518" s="332"/>
      <c r="CSJ518" s="332"/>
      <c r="CSK518" s="332"/>
      <c r="CSL518" s="332"/>
      <c r="CSM518" s="332"/>
      <c r="CSN518" s="332"/>
      <c r="CSO518" s="332"/>
      <c r="CSP518" s="332"/>
      <c r="CSQ518" s="332"/>
      <c r="CSR518" s="332"/>
      <c r="CSS518" s="332"/>
      <c r="CST518" s="332"/>
      <c r="CSU518" s="332"/>
      <c r="CSV518" s="332"/>
      <c r="CSW518" s="332"/>
      <c r="CSX518" s="332"/>
      <c r="CSY518" s="332"/>
      <c r="CSZ518" s="332"/>
      <c r="CTA518" s="332"/>
      <c r="CTB518" s="332"/>
      <c r="CTC518" s="332"/>
      <c r="CTD518" s="332"/>
      <c r="CTE518" s="332"/>
      <c r="CTF518" s="332"/>
      <c r="CTG518" s="332"/>
      <c r="CTH518" s="332"/>
      <c r="CTI518" s="332"/>
      <c r="CTJ518" s="332"/>
      <c r="CTK518" s="332"/>
      <c r="CTL518" s="332"/>
      <c r="CTM518" s="332"/>
      <c r="CTN518" s="332"/>
      <c r="CTO518" s="332"/>
      <c r="CTP518" s="332"/>
      <c r="CTQ518" s="332"/>
      <c r="CTR518" s="332"/>
      <c r="CTS518" s="332"/>
      <c r="CTT518" s="332"/>
      <c r="CTU518" s="332"/>
      <c r="CTV518" s="332"/>
      <c r="CTW518" s="332"/>
      <c r="CTX518" s="332"/>
      <c r="CTY518" s="332"/>
      <c r="CTZ518" s="332"/>
      <c r="CUA518" s="332"/>
      <c r="CUB518" s="332"/>
      <c r="CUC518" s="332"/>
      <c r="CUD518" s="332"/>
      <c r="CUE518" s="332"/>
      <c r="CUF518" s="332"/>
      <c r="CUG518" s="332"/>
      <c r="CUH518" s="332"/>
      <c r="CUI518" s="332"/>
      <c r="CUJ518" s="332"/>
      <c r="CUK518" s="332"/>
      <c r="CUL518" s="332"/>
      <c r="CUM518" s="332"/>
      <c r="CUN518" s="332"/>
      <c r="CUO518" s="332"/>
      <c r="CUP518" s="332"/>
      <c r="CUQ518" s="332"/>
      <c r="CUR518" s="332"/>
      <c r="CUS518" s="332"/>
      <c r="CUT518" s="332"/>
      <c r="CUU518" s="332"/>
      <c r="CUV518" s="332"/>
      <c r="CUW518" s="332"/>
      <c r="CUX518" s="332"/>
      <c r="CUY518" s="332"/>
      <c r="CUZ518" s="332"/>
      <c r="CVA518" s="332"/>
      <c r="CVB518" s="332"/>
      <c r="CVC518" s="332"/>
      <c r="CVD518" s="332"/>
      <c r="CVE518" s="332"/>
      <c r="CVF518" s="332"/>
      <c r="CVG518" s="332"/>
      <c r="CVH518" s="332"/>
      <c r="CVI518" s="332"/>
      <c r="CVJ518" s="332"/>
      <c r="CVK518" s="332"/>
      <c r="CVL518" s="332"/>
      <c r="CVM518" s="332"/>
      <c r="CVN518" s="332"/>
      <c r="CVO518" s="332"/>
      <c r="CVP518" s="332"/>
      <c r="CVQ518" s="332"/>
      <c r="CVR518" s="332"/>
      <c r="CVS518" s="332"/>
      <c r="CVT518" s="332"/>
      <c r="CVU518" s="332"/>
      <c r="CVV518" s="332"/>
      <c r="CVW518" s="332"/>
      <c r="CVX518" s="332"/>
      <c r="CVY518" s="332"/>
      <c r="CVZ518" s="332"/>
      <c r="CWA518" s="332"/>
      <c r="CWB518" s="332"/>
      <c r="CWC518" s="332"/>
      <c r="CWD518" s="332"/>
      <c r="CWE518" s="332"/>
      <c r="CWF518" s="332"/>
      <c r="CWG518" s="332"/>
      <c r="CWH518" s="332"/>
      <c r="CWI518" s="332"/>
      <c r="CWJ518" s="332"/>
      <c r="CWK518" s="332"/>
      <c r="CWL518" s="332"/>
      <c r="CWM518" s="332"/>
      <c r="CWN518" s="332"/>
      <c r="CWO518" s="332"/>
      <c r="CWP518" s="332"/>
      <c r="CWQ518" s="332"/>
      <c r="CWR518" s="332"/>
      <c r="CWS518" s="332"/>
      <c r="CWT518" s="332"/>
      <c r="CWU518" s="332"/>
      <c r="CWV518" s="332"/>
      <c r="CWW518" s="332"/>
      <c r="CWX518" s="332"/>
      <c r="CWY518" s="332"/>
      <c r="CWZ518" s="332"/>
      <c r="CXA518" s="332"/>
      <c r="CXB518" s="332"/>
      <c r="CXC518" s="332"/>
      <c r="CXD518" s="332"/>
      <c r="CXE518" s="332"/>
      <c r="CXF518" s="332"/>
      <c r="CXG518" s="332"/>
      <c r="CXH518" s="332"/>
      <c r="CXI518" s="332"/>
      <c r="CXJ518" s="332"/>
      <c r="CXK518" s="332"/>
      <c r="CXL518" s="332"/>
      <c r="CXM518" s="332"/>
      <c r="CXN518" s="332"/>
      <c r="CXO518" s="332"/>
      <c r="CXP518" s="332"/>
      <c r="CXQ518" s="332"/>
      <c r="CXR518" s="332"/>
      <c r="CXS518" s="332"/>
      <c r="CXT518" s="332"/>
      <c r="CXU518" s="332"/>
      <c r="CXV518" s="332"/>
      <c r="CXW518" s="332"/>
      <c r="CXX518" s="332"/>
      <c r="CXY518" s="332"/>
      <c r="CXZ518" s="332"/>
      <c r="CYA518" s="332"/>
      <c r="CYB518" s="332"/>
      <c r="CYC518" s="332"/>
      <c r="CYD518" s="332"/>
      <c r="CYE518" s="332"/>
      <c r="CYF518" s="332"/>
      <c r="CYG518" s="332"/>
      <c r="CYH518" s="332"/>
      <c r="CYI518" s="332"/>
      <c r="CYJ518" s="332"/>
      <c r="CYK518" s="332"/>
      <c r="CYL518" s="332"/>
      <c r="CYM518" s="332"/>
      <c r="CYN518" s="332"/>
      <c r="CYO518" s="332"/>
      <c r="CYP518" s="332"/>
      <c r="CYQ518" s="332"/>
      <c r="CYR518" s="332"/>
      <c r="CYS518" s="332"/>
      <c r="CYT518" s="332"/>
      <c r="CYU518" s="332"/>
      <c r="CYV518" s="332"/>
      <c r="CYW518" s="332"/>
      <c r="CYX518" s="332"/>
      <c r="CYY518" s="332"/>
      <c r="CYZ518" s="332"/>
      <c r="CZA518" s="332"/>
      <c r="CZB518" s="332"/>
      <c r="CZC518" s="332"/>
      <c r="CZD518" s="332"/>
      <c r="CZE518" s="332"/>
      <c r="CZF518" s="332"/>
      <c r="CZG518" s="332"/>
      <c r="CZH518" s="332"/>
      <c r="CZI518" s="332"/>
      <c r="CZJ518" s="332"/>
      <c r="CZK518" s="332"/>
      <c r="CZL518" s="332"/>
      <c r="CZM518" s="332"/>
      <c r="CZN518" s="332"/>
      <c r="CZO518" s="332"/>
      <c r="CZP518" s="332"/>
      <c r="CZQ518" s="332"/>
      <c r="CZR518" s="332"/>
      <c r="CZS518" s="332"/>
      <c r="CZT518" s="332"/>
      <c r="CZU518" s="332"/>
      <c r="CZV518" s="332"/>
      <c r="CZW518" s="332"/>
      <c r="CZX518" s="332"/>
      <c r="CZY518" s="332"/>
      <c r="CZZ518" s="332"/>
      <c r="DAA518" s="332"/>
      <c r="DAB518" s="332"/>
      <c r="DAC518" s="332"/>
      <c r="DAD518" s="332"/>
      <c r="DAE518" s="332"/>
      <c r="DAF518" s="332"/>
      <c r="DAG518" s="332"/>
      <c r="DAH518" s="332"/>
      <c r="DAI518" s="332"/>
      <c r="DAJ518" s="332"/>
      <c r="DAK518" s="332"/>
      <c r="DAL518" s="332"/>
      <c r="DAM518" s="332"/>
      <c r="DAN518" s="332"/>
      <c r="DAO518" s="332"/>
      <c r="DAP518" s="332"/>
      <c r="DAQ518" s="332"/>
      <c r="DAR518" s="332"/>
      <c r="DAS518" s="332"/>
      <c r="DAT518" s="332"/>
      <c r="DAU518" s="332"/>
      <c r="DAV518" s="332"/>
      <c r="DAW518" s="332"/>
      <c r="DAX518" s="332"/>
      <c r="DAY518" s="332"/>
      <c r="DAZ518" s="332"/>
      <c r="DBA518" s="332"/>
      <c r="DBB518" s="332"/>
      <c r="DBC518" s="332"/>
      <c r="DBD518" s="332"/>
      <c r="DBE518" s="332"/>
      <c r="DBF518" s="332"/>
      <c r="DBG518" s="332"/>
      <c r="DBH518" s="332"/>
      <c r="DBI518" s="332"/>
      <c r="DBJ518" s="332"/>
      <c r="DBK518" s="332"/>
      <c r="DBL518" s="332"/>
      <c r="DBM518" s="332"/>
      <c r="DBN518" s="332"/>
      <c r="DBO518" s="332"/>
      <c r="DBP518" s="332"/>
      <c r="DBQ518" s="332"/>
      <c r="DBR518" s="332"/>
      <c r="DBS518" s="332"/>
      <c r="DBT518" s="332"/>
      <c r="DBU518" s="332"/>
      <c r="DBV518" s="332"/>
      <c r="DBW518" s="332"/>
      <c r="DBX518" s="332"/>
      <c r="DBY518" s="332"/>
      <c r="DBZ518" s="332"/>
      <c r="DCA518" s="332"/>
      <c r="DCB518" s="332"/>
      <c r="DCC518" s="332"/>
      <c r="DCD518" s="332"/>
      <c r="DCE518" s="332"/>
      <c r="DCF518" s="332"/>
      <c r="DCG518" s="332"/>
      <c r="DCH518" s="332"/>
      <c r="DCI518" s="332"/>
      <c r="DCJ518" s="332"/>
      <c r="DCK518" s="332"/>
      <c r="DCL518" s="332"/>
      <c r="DCM518" s="332"/>
      <c r="DCN518" s="332"/>
      <c r="DCO518" s="332"/>
      <c r="DCP518" s="332"/>
      <c r="DCQ518" s="332"/>
      <c r="DCR518" s="332"/>
      <c r="DCS518" s="332"/>
      <c r="DCT518" s="332"/>
      <c r="DCU518" s="332"/>
      <c r="DCV518" s="332"/>
      <c r="DCW518" s="332"/>
      <c r="DCX518" s="332"/>
      <c r="DCY518" s="332"/>
      <c r="DCZ518" s="332"/>
      <c r="DDA518" s="332"/>
      <c r="DDB518" s="332"/>
      <c r="DDC518" s="332"/>
      <c r="DDD518" s="332"/>
      <c r="DDE518" s="332"/>
      <c r="DDF518" s="332"/>
      <c r="DDG518" s="332"/>
      <c r="DDH518" s="332"/>
      <c r="DDI518" s="332"/>
      <c r="DDJ518" s="332"/>
      <c r="DDK518" s="332"/>
      <c r="DDL518" s="332"/>
      <c r="DDM518" s="332"/>
      <c r="DDN518" s="332"/>
      <c r="DDO518" s="332"/>
      <c r="DDP518" s="332"/>
      <c r="DDQ518" s="332"/>
      <c r="DDR518" s="332"/>
      <c r="DDS518" s="332"/>
      <c r="DDT518" s="332"/>
      <c r="DDU518" s="332"/>
      <c r="DDV518" s="332"/>
      <c r="DDW518" s="332"/>
      <c r="DDX518" s="332"/>
      <c r="DDY518" s="332"/>
      <c r="DDZ518" s="332"/>
      <c r="DEA518" s="332"/>
      <c r="DEB518" s="332"/>
      <c r="DEC518" s="332"/>
      <c r="DED518" s="332"/>
      <c r="DEE518" s="332"/>
      <c r="DEF518" s="332"/>
      <c r="DEG518" s="332"/>
      <c r="DEH518" s="332"/>
      <c r="DEI518" s="332"/>
      <c r="DEJ518" s="332"/>
      <c r="DEK518" s="332"/>
      <c r="DEL518" s="332"/>
      <c r="DEM518" s="332"/>
      <c r="DEN518" s="332"/>
      <c r="DEO518" s="332"/>
      <c r="DEP518" s="332"/>
      <c r="DEQ518" s="332"/>
      <c r="DER518" s="332"/>
      <c r="DES518" s="332"/>
      <c r="DET518" s="332"/>
      <c r="DEU518" s="332"/>
      <c r="DEV518" s="332"/>
      <c r="DEW518" s="332"/>
      <c r="DEX518" s="332"/>
      <c r="DEY518" s="332"/>
      <c r="DEZ518" s="332"/>
      <c r="DFA518" s="332"/>
      <c r="DFB518" s="332"/>
      <c r="DFC518" s="332"/>
      <c r="DFD518" s="332"/>
      <c r="DFE518" s="332"/>
      <c r="DFF518" s="332"/>
      <c r="DFG518" s="332"/>
      <c r="DFH518" s="332"/>
      <c r="DFI518" s="332"/>
      <c r="DFJ518" s="332"/>
      <c r="DFK518" s="332"/>
      <c r="DFL518" s="332"/>
      <c r="DFM518" s="332"/>
      <c r="DFN518" s="332"/>
      <c r="DFO518" s="332"/>
      <c r="DFP518" s="332"/>
      <c r="DFQ518" s="332"/>
      <c r="DFR518" s="332"/>
      <c r="DFS518" s="332"/>
      <c r="DFT518" s="332"/>
      <c r="DFU518" s="332"/>
      <c r="DFV518" s="332"/>
      <c r="DFW518" s="332"/>
      <c r="DFX518" s="332"/>
      <c r="DFY518" s="332"/>
      <c r="DFZ518" s="332"/>
      <c r="DGA518" s="332"/>
      <c r="DGB518" s="332"/>
      <c r="DGC518" s="332"/>
      <c r="DGD518" s="332"/>
      <c r="DGE518" s="332"/>
      <c r="DGF518" s="332"/>
      <c r="DGG518" s="332"/>
      <c r="DGH518" s="332"/>
      <c r="DGI518" s="332"/>
      <c r="DGJ518" s="332"/>
      <c r="DGK518" s="332"/>
      <c r="DGL518" s="332"/>
      <c r="DGM518" s="332"/>
      <c r="DGN518" s="332"/>
      <c r="DGO518" s="332"/>
      <c r="DGP518" s="332"/>
      <c r="DGQ518" s="332"/>
      <c r="DGR518" s="332"/>
      <c r="DGS518" s="332"/>
      <c r="DGT518" s="332"/>
      <c r="DGU518" s="332"/>
      <c r="DGV518" s="332"/>
      <c r="DGW518" s="332"/>
      <c r="DGX518" s="332"/>
      <c r="DGY518" s="332"/>
      <c r="DGZ518" s="332"/>
      <c r="DHA518" s="332"/>
      <c r="DHB518" s="332"/>
      <c r="DHC518" s="332"/>
      <c r="DHD518" s="332"/>
      <c r="DHE518" s="332"/>
      <c r="DHF518" s="332"/>
      <c r="DHG518" s="332"/>
      <c r="DHH518" s="332"/>
      <c r="DHI518" s="332"/>
      <c r="DHJ518" s="332"/>
      <c r="DHK518" s="332"/>
      <c r="DHL518" s="332"/>
      <c r="DHM518" s="332"/>
      <c r="DHN518" s="332"/>
      <c r="DHO518" s="332"/>
      <c r="DHP518" s="332"/>
      <c r="DHQ518" s="332"/>
      <c r="DHR518" s="332"/>
      <c r="DHS518" s="332"/>
      <c r="DHT518" s="332"/>
      <c r="DHU518" s="332"/>
      <c r="DHV518" s="332"/>
      <c r="DHW518" s="332"/>
      <c r="DHX518" s="332"/>
      <c r="DHY518" s="332"/>
      <c r="DHZ518" s="332"/>
      <c r="DIA518" s="332"/>
      <c r="DIB518" s="332"/>
      <c r="DIC518" s="332"/>
      <c r="DID518" s="332"/>
      <c r="DIE518" s="332"/>
      <c r="DIF518" s="332"/>
      <c r="DIG518" s="332"/>
      <c r="DIH518" s="332"/>
      <c r="DII518" s="332"/>
      <c r="DIJ518" s="332"/>
      <c r="DIK518" s="332"/>
      <c r="DIL518" s="332"/>
      <c r="DIM518" s="332"/>
      <c r="DIN518" s="332"/>
      <c r="DIO518" s="332"/>
      <c r="DIP518" s="332"/>
      <c r="DIQ518" s="332"/>
      <c r="DIR518" s="332"/>
      <c r="DIS518" s="332"/>
      <c r="DIT518" s="332"/>
      <c r="DIU518" s="332"/>
      <c r="DIV518" s="332"/>
      <c r="DIW518" s="332"/>
      <c r="DIX518" s="332"/>
      <c r="DIY518" s="332"/>
      <c r="DIZ518" s="332"/>
      <c r="DJA518" s="332"/>
      <c r="DJB518" s="332"/>
      <c r="DJC518" s="332"/>
      <c r="DJD518" s="332"/>
      <c r="DJE518" s="332"/>
      <c r="DJF518" s="332"/>
      <c r="DJG518" s="332"/>
      <c r="DJH518" s="332"/>
      <c r="DJI518" s="332"/>
      <c r="DJJ518" s="332"/>
      <c r="DJK518" s="332"/>
      <c r="DJL518" s="332"/>
      <c r="DJM518" s="332"/>
      <c r="DJN518" s="332"/>
      <c r="DJO518" s="332"/>
      <c r="DJP518" s="332"/>
      <c r="DJQ518" s="332"/>
      <c r="DJR518" s="332"/>
      <c r="DJS518" s="332"/>
      <c r="DJT518" s="332"/>
      <c r="DJU518" s="332"/>
      <c r="DJV518" s="332"/>
      <c r="DJW518" s="332"/>
      <c r="DJX518" s="332"/>
      <c r="DJY518" s="332"/>
      <c r="DJZ518" s="332"/>
      <c r="DKA518" s="332"/>
      <c r="DKB518" s="332"/>
      <c r="DKC518" s="332"/>
      <c r="DKD518" s="332"/>
      <c r="DKE518" s="332"/>
      <c r="DKF518" s="332"/>
      <c r="DKG518" s="332"/>
      <c r="DKH518" s="332"/>
      <c r="DKI518" s="332"/>
      <c r="DKJ518" s="332"/>
      <c r="DKK518" s="332"/>
      <c r="DKL518" s="332"/>
      <c r="DKM518" s="332"/>
      <c r="DKN518" s="332"/>
      <c r="DKO518" s="332"/>
      <c r="DKP518" s="332"/>
      <c r="DKQ518" s="332"/>
      <c r="DKR518" s="332"/>
      <c r="DKS518" s="332"/>
      <c r="DKT518" s="332"/>
      <c r="DKU518" s="332"/>
      <c r="DKV518" s="332"/>
      <c r="DKW518" s="332"/>
      <c r="DKX518" s="332"/>
      <c r="DKY518" s="332"/>
      <c r="DKZ518" s="332"/>
      <c r="DLA518" s="332"/>
      <c r="DLB518" s="332"/>
      <c r="DLC518" s="332"/>
      <c r="DLD518" s="332"/>
      <c r="DLE518" s="332"/>
      <c r="DLF518" s="332"/>
      <c r="DLG518" s="332"/>
      <c r="DLH518" s="332"/>
      <c r="DLI518" s="332"/>
      <c r="DLJ518" s="332"/>
      <c r="DLK518" s="332"/>
      <c r="DLL518" s="332"/>
      <c r="DLM518" s="332"/>
      <c r="DLN518" s="332"/>
      <c r="DLO518" s="332"/>
      <c r="DLP518" s="332"/>
      <c r="DLQ518" s="332"/>
      <c r="DLR518" s="332"/>
      <c r="DLS518" s="332"/>
      <c r="DLT518" s="332"/>
      <c r="DLU518" s="332"/>
      <c r="DLV518" s="332"/>
      <c r="DLW518" s="332"/>
      <c r="DLX518" s="332"/>
      <c r="DLY518" s="332"/>
      <c r="DLZ518" s="332"/>
      <c r="DMA518" s="332"/>
      <c r="DMB518" s="332"/>
      <c r="DMC518" s="332"/>
      <c r="DMD518" s="332"/>
      <c r="DME518" s="332"/>
      <c r="DMF518" s="332"/>
      <c r="DMG518" s="332"/>
      <c r="DMH518" s="332"/>
      <c r="DMI518" s="332"/>
      <c r="DMJ518" s="332"/>
      <c r="DMK518" s="332"/>
      <c r="DML518" s="332"/>
      <c r="DMM518" s="332"/>
      <c r="DMN518" s="332"/>
      <c r="DMO518" s="332"/>
      <c r="DMP518" s="332"/>
      <c r="DMQ518" s="332"/>
      <c r="DMR518" s="332"/>
      <c r="DMS518" s="332"/>
      <c r="DMT518" s="332"/>
      <c r="DMU518" s="332"/>
      <c r="DMV518" s="332"/>
      <c r="DMW518" s="332"/>
      <c r="DMX518" s="332"/>
      <c r="DMY518" s="332"/>
      <c r="DMZ518" s="332"/>
      <c r="DNA518" s="332"/>
      <c r="DNB518" s="332"/>
      <c r="DNC518" s="332"/>
      <c r="DND518" s="332"/>
      <c r="DNE518" s="332"/>
      <c r="DNF518" s="332"/>
      <c r="DNG518" s="332"/>
      <c r="DNH518" s="332"/>
      <c r="DNI518" s="332"/>
      <c r="DNJ518" s="332"/>
      <c r="DNK518" s="332"/>
      <c r="DNL518" s="332"/>
      <c r="DNM518" s="332"/>
      <c r="DNN518" s="332"/>
      <c r="DNO518" s="332"/>
      <c r="DNP518" s="332"/>
      <c r="DNQ518" s="332"/>
      <c r="DNR518" s="332"/>
      <c r="DNS518" s="332"/>
      <c r="DNT518" s="332"/>
      <c r="DNU518" s="332"/>
      <c r="DNV518" s="332"/>
      <c r="DNW518" s="332"/>
      <c r="DNX518" s="332"/>
      <c r="DNY518" s="332"/>
      <c r="DNZ518" s="332"/>
      <c r="DOA518" s="332"/>
      <c r="DOB518" s="332"/>
      <c r="DOC518" s="332"/>
      <c r="DOD518" s="332"/>
      <c r="DOE518" s="332"/>
      <c r="DOF518" s="332"/>
      <c r="DOG518" s="332"/>
      <c r="DOH518" s="332"/>
      <c r="DOI518" s="332"/>
      <c r="DOJ518" s="332"/>
      <c r="DOK518" s="332"/>
      <c r="DOL518" s="332"/>
      <c r="DOM518" s="332"/>
      <c r="DON518" s="332"/>
      <c r="DOO518" s="332"/>
      <c r="DOP518" s="332"/>
      <c r="DOQ518" s="332"/>
      <c r="DOR518" s="332"/>
      <c r="DOS518" s="332"/>
      <c r="DOT518" s="332"/>
      <c r="DOU518" s="332"/>
      <c r="DOV518" s="332"/>
      <c r="DOW518" s="332"/>
      <c r="DOX518" s="332"/>
      <c r="DOY518" s="332"/>
      <c r="DOZ518" s="332"/>
      <c r="DPA518" s="332"/>
      <c r="DPB518" s="332"/>
      <c r="DPC518" s="332"/>
      <c r="DPD518" s="332"/>
      <c r="DPE518" s="332"/>
      <c r="DPF518" s="332"/>
      <c r="DPG518" s="332"/>
      <c r="DPH518" s="332"/>
      <c r="DPI518" s="332"/>
      <c r="DPJ518" s="332"/>
      <c r="DPK518" s="332"/>
      <c r="DPL518" s="332"/>
      <c r="DPM518" s="332"/>
      <c r="DPN518" s="332"/>
      <c r="DPO518" s="332"/>
      <c r="DPP518" s="332"/>
      <c r="DPQ518" s="332"/>
      <c r="DPR518" s="332"/>
      <c r="DPS518" s="332"/>
      <c r="DPT518" s="332"/>
      <c r="DPU518" s="332"/>
      <c r="DPV518" s="332"/>
      <c r="DPW518" s="332"/>
      <c r="DPX518" s="332"/>
      <c r="DPY518" s="332"/>
      <c r="DPZ518" s="332"/>
      <c r="DQA518" s="332"/>
      <c r="DQB518" s="332"/>
      <c r="DQC518" s="332"/>
      <c r="DQD518" s="332"/>
      <c r="DQE518" s="332"/>
      <c r="DQF518" s="332"/>
      <c r="DQG518" s="332"/>
      <c r="DQH518" s="332"/>
      <c r="DQI518" s="332"/>
      <c r="DQJ518" s="332"/>
      <c r="DQK518" s="332"/>
      <c r="DQL518" s="332"/>
      <c r="DQM518" s="332"/>
      <c r="DQN518" s="332"/>
      <c r="DQO518" s="332"/>
      <c r="DQP518" s="332"/>
      <c r="DQQ518" s="332"/>
      <c r="DQR518" s="332"/>
      <c r="DQS518" s="332"/>
      <c r="DQT518" s="332"/>
      <c r="DQU518" s="332"/>
      <c r="DQV518" s="332"/>
      <c r="DQW518" s="332"/>
      <c r="DQX518" s="332"/>
      <c r="DQY518" s="332"/>
      <c r="DQZ518" s="332"/>
      <c r="DRA518" s="332"/>
      <c r="DRB518" s="332"/>
      <c r="DRC518" s="332"/>
      <c r="DRD518" s="332"/>
      <c r="DRE518" s="332"/>
      <c r="DRF518" s="332"/>
      <c r="DRG518" s="332"/>
      <c r="DRH518" s="332"/>
      <c r="DRI518" s="332"/>
      <c r="DRJ518" s="332"/>
      <c r="DRK518" s="332"/>
      <c r="DRL518" s="332"/>
      <c r="DRM518" s="332"/>
      <c r="DRN518" s="332"/>
      <c r="DRO518" s="332"/>
      <c r="DRP518" s="332"/>
      <c r="DRQ518" s="332"/>
      <c r="DRR518" s="332"/>
      <c r="DRS518" s="332"/>
      <c r="DRT518" s="332"/>
      <c r="DRU518" s="332"/>
      <c r="DRV518" s="332"/>
      <c r="DRW518" s="332"/>
      <c r="DRX518" s="332"/>
      <c r="DRY518" s="332"/>
      <c r="DRZ518" s="332"/>
      <c r="DSA518" s="332"/>
      <c r="DSB518" s="332"/>
      <c r="DSC518" s="332"/>
      <c r="DSD518" s="332"/>
      <c r="DSE518" s="332"/>
      <c r="DSF518" s="332"/>
      <c r="DSG518" s="332"/>
      <c r="DSH518" s="332"/>
      <c r="DSI518" s="332"/>
      <c r="DSJ518" s="332"/>
      <c r="DSK518" s="332"/>
      <c r="DSL518" s="332"/>
      <c r="DSM518" s="332"/>
      <c r="DSN518" s="332"/>
      <c r="DSO518" s="332"/>
      <c r="DSP518" s="332"/>
      <c r="DSQ518" s="332"/>
      <c r="DSR518" s="332"/>
      <c r="DSS518" s="332"/>
      <c r="DST518" s="332"/>
      <c r="DSU518" s="332"/>
      <c r="DSV518" s="332"/>
      <c r="DSW518" s="332"/>
      <c r="DSX518" s="332"/>
      <c r="DSY518" s="332"/>
      <c r="DSZ518" s="332"/>
      <c r="DTA518" s="332"/>
      <c r="DTB518" s="332"/>
      <c r="DTC518" s="332"/>
      <c r="DTD518" s="332"/>
      <c r="DTE518" s="332"/>
      <c r="DTF518" s="332"/>
      <c r="DTG518" s="332"/>
      <c r="DTH518" s="332"/>
      <c r="DTI518" s="332"/>
      <c r="DTJ518" s="332"/>
      <c r="DTK518" s="332"/>
      <c r="DTL518" s="332"/>
      <c r="DTM518" s="332"/>
      <c r="DTN518" s="332"/>
      <c r="DTO518" s="332"/>
      <c r="DTP518" s="332"/>
      <c r="DTQ518" s="332"/>
      <c r="DTR518" s="332"/>
      <c r="DTS518" s="332"/>
      <c r="DTT518" s="332"/>
      <c r="DTU518" s="332"/>
      <c r="DTV518" s="332"/>
      <c r="DTW518" s="332"/>
      <c r="DTX518" s="332"/>
      <c r="DTY518" s="332"/>
      <c r="DTZ518" s="332"/>
      <c r="DUA518" s="332"/>
      <c r="DUB518" s="332"/>
      <c r="DUC518" s="332"/>
      <c r="DUD518" s="332"/>
      <c r="DUE518" s="332"/>
      <c r="DUF518" s="332"/>
      <c r="DUG518" s="332"/>
      <c r="DUH518" s="332"/>
      <c r="DUI518" s="332"/>
      <c r="DUJ518" s="332"/>
      <c r="DUK518" s="332"/>
      <c r="DUL518" s="332"/>
      <c r="DUM518" s="332"/>
      <c r="DUN518" s="332"/>
      <c r="DUO518" s="332"/>
      <c r="DUP518" s="332"/>
      <c r="DUQ518" s="332"/>
      <c r="DUR518" s="332"/>
      <c r="DUS518" s="332"/>
      <c r="DUT518" s="332"/>
      <c r="DUU518" s="332"/>
      <c r="DUV518" s="332"/>
      <c r="DUW518" s="332"/>
      <c r="DUX518" s="332"/>
      <c r="DUY518" s="332"/>
      <c r="DUZ518" s="332"/>
      <c r="DVA518" s="332"/>
      <c r="DVB518" s="332"/>
      <c r="DVC518" s="332"/>
      <c r="DVD518" s="332"/>
      <c r="DVE518" s="332"/>
      <c r="DVF518" s="332"/>
      <c r="DVG518" s="332"/>
      <c r="DVH518" s="332"/>
      <c r="DVI518" s="332"/>
      <c r="DVJ518" s="332"/>
      <c r="DVK518" s="332"/>
      <c r="DVL518" s="332"/>
      <c r="DVM518" s="332"/>
      <c r="DVN518" s="332"/>
      <c r="DVO518" s="332"/>
      <c r="DVP518" s="332"/>
      <c r="DVQ518" s="332"/>
      <c r="DVR518" s="332"/>
      <c r="DVS518" s="332"/>
      <c r="DVT518" s="332"/>
      <c r="DVU518" s="332"/>
      <c r="DVV518" s="332"/>
      <c r="DVW518" s="332"/>
      <c r="DVX518" s="332"/>
      <c r="DVY518" s="332"/>
      <c r="DVZ518" s="332"/>
      <c r="DWA518" s="332"/>
      <c r="DWB518" s="332"/>
      <c r="DWC518" s="332"/>
      <c r="DWD518" s="332"/>
      <c r="DWE518" s="332"/>
      <c r="DWF518" s="332"/>
      <c r="DWG518" s="332"/>
      <c r="DWH518" s="332"/>
      <c r="DWI518" s="332"/>
      <c r="DWJ518" s="332"/>
      <c r="DWK518" s="332"/>
      <c r="DWL518" s="332"/>
      <c r="DWM518" s="332"/>
      <c r="DWN518" s="332"/>
      <c r="DWO518" s="332"/>
      <c r="DWP518" s="332"/>
      <c r="DWQ518" s="332"/>
      <c r="DWR518" s="332"/>
      <c r="DWS518" s="332"/>
      <c r="DWT518" s="332"/>
      <c r="DWU518" s="332"/>
      <c r="DWV518" s="332"/>
      <c r="DWW518" s="332"/>
      <c r="DWX518" s="332"/>
      <c r="DWY518" s="332"/>
      <c r="DWZ518" s="332"/>
      <c r="DXA518" s="332"/>
      <c r="DXB518" s="332"/>
      <c r="DXC518" s="332"/>
      <c r="DXD518" s="332"/>
      <c r="DXE518" s="332"/>
      <c r="DXF518" s="332"/>
      <c r="DXG518" s="332"/>
      <c r="DXH518" s="332"/>
      <c r="DXI518" s="332"/>
      <c r="DXJ518" s="332"/>
      <c r="DXK518" s="332"/>
      <c r="DXL518" s="332"/>
      <c r="DXM518" s="332"/>
      <c r="DXN518" s="332"/>
      <c r="DXO518" s="332"/>
      <c r="DXP518" s="332"/>
      <c r="DXQ518" s="332"/>
      <c r="DXR518" s="332"/>
      <c r="DXS518" s="332"/>
      <c r="DXT518" s="332"/>
      <c r="DXU518" s="332"/>
      <c r="DXV518" s="332"/>
      <c r="DXW518" s="332"/>
      <c r="DXX518" s="332"/>
      <c r="DXY518" s="332"/>
      <c r="DXZ518" s="332"/>
      <c r="DYA518" s="332"/>
      <c r="DYB518" s="332"/>
      <c r="DYC518" s="332"/>
      <c r="DYD518" s="332"/>
      <c r="DYE518" s="332"/>
      <c r="DYF518" s="332"/>
      <c r="DYG518" s="332"/>
      <c r="DYH518" s="332"/>
      <c r="DYI518" s="332"/>
      <c r="DYJ518" s="332"/>
      <c r="DYK518" s="332"/>
      <c r="DYL518" s="332"/>
      <c r="DYM518" s="332"/>
      <c r="DYN518" s="332"/>
      <c r="DYO518" s="332"/>
      <c r="DYP518" s="332"/>
      <c r="DYQ518" s="332"/>
      <c r="DYR518" s="332"/>
      <c r="DYS518" s="332"/>
      <c r="DYT518" s="332"/>
      <c r="DYU518" s="332"/>
      <c r="DYV518" s="332"/>
      <c r="DYW518" s="332"/>
      <c r="DYX518" s="332"/>
      <c r="DYY518" s="332"/>
      <c r="DYZ518" s="332"/>
      <c r="DZA518" s="332"/>
      <c r="DZB518" s="332"/>
      <c r="DZC518" s="332"/>
      <c r="DZD518" s="332"/>
      <c r="DZE518" s="332"/>
      <c r="DZF518" s="332"/>
      <c r="DZG518" s="332"/>
      <c r="DZH518" s="332"/>
      <c r="DZI518" s="332"/>
      <c r="DZJ518" s="332"/>
      <c r="DZK518" s="332"/>
      <c r="DZL518" s="332"/>
      <c r="DZM518" s="332"/>
      <c r="DZN518" s="332"/>
      <c r="DZO518" s="332"/>
      <c r="DZP518" s="332"/>
      <c r="DZQ518" s="332"/>
      <c r="DZR518" s="332"/>
      <c r="DZS518" s="332"/>
      <c r="DZT518" s="332"/>
      <c r="DZU518" s="332"/>
      <c r="DZV518" s="332"/>
      <c r="DZW518" s="332"/>
      <c r="DZX518" s="332"/>
      <c r="DZY518" s="332"/>
      <c r="DZZ518" s="332"/>
      <c r="EAA518" s="332"/>
      <c r="EAB518" s="332"/>
      <c r="EAC518" s="332"/>
      <c r="EAD518" s="332"/>
      <c r="EAE518" s="332"/>
      <c r="EAF518" s="332"/>
      <c r="EAG518" s="332"/>
      <c r="EAH518" s="332"/>
      <c r="EAI518" s="332"/>
      <c r="EAJ518" s="332"/>
      <c r="EAK518" s="332"/>
      <c r="EAL518" s="332"/>
      <c r="EAM518" s="332"/>
      <c r="EAN518" s="332"/>
      <c r="EAO518" s="332"/>
      <c r="EAP518" s="332"/>
      <c r="EAQ518" s="332"/>
      <c r="EAR518" s="332"/>
      <c r="EAS518" s="332"/>
      <c r="EAT518" s="332"/>
      <c r="EAU518" s="332"/>
      <c r="EAV518" s="332"/>
      <c r="EAW518" s="332"/>
      <c r="EAX518" s="332"/>
      <c r="EAY518" s="332"/>
      <c r="EAZ518" s="332"/>
      <c r="EBA518" s="332"/>
      <c r="EBB518" s="332"/>
      <c r="EBC518" s="332"/>
      <c r="EBD518" s="332"/>
      <c r="EBE518" s="332"/>
      <c r="EBF518" s="332"/>
      <c r="EBG518" s="332"/>
      <c r="EBH518" s="332"/>
      <c r="EBI518" s="332"/>
      <c r="EBJ518" s="332"/>
      <c r="EBK518" s="332"/>
      <c r="EBL518" s="332"/>
      <c r="EBM518" s="332"/>
      <c r="EBN518" s="332"/>
      <c r="EBO518" s="332"/>
      <c r="EBP518" s="332"/>
      <c r="EBQ518" s="332"/>
      <c r="EBR518" s="332"/>
      <c r="EBS518" s="332"/>
      <c r="EBT518" s="332"/>
      <c r="EBU518" s="332"/>
      <c r="EBV518" s="332"/>
      <c r="EBW518" s="332"/>
      <c r="EBX518" s="332"/>
      <c r="EBY518" s="332"/>
      <c r="EBZ518" s="332"/>
      <c r="ECA518" s="332"/>
      <c r="ECB518" s="332"/>
      <c r="ECC518" s="332"/>
      <c r="ECD518" s="332"/>
      <c r="ECE518" s="332"/>
      <c r="ECF518" s="332"/>
      <c r="ECG518" s="332"/>
      <c r="ECH518" s="332"/>
      <c r="ECI518" s="332"/>
      <c r="ECJ518" s="332"/>
      <c r="ECK518" s="332"/>
      <c r="ECL518" s="332"/>
      <c r="ECM518" s="332"/>
      <c r="ECN518" s="332"/>
      <c r="ECO518" s="332"/>
      <c r="ECP518" s="332"/>
      <c r="ECQ518" s="332"/>
      <c r="ECR518" s="332"/>
      <c r="ECS518" s="332"/>
      <c r="ECT518" s="332"/>
      <c r="ECU518" s="332"/>
      <c r="ECV518" s="332"/>
      <c r="ECW518" s="332"/>
      <c r="ECX518" s="332"/>
      <c r="ECY518" s="332"/>
      <c r="ECZ518" s="332"/>
      <c r="EDA518" s="332"/>
      <c r="EDB518" s="332"/>
      <c r="EDC518" s="332"/>
      <c r="EDD518" s="332"/>
      <c r="EDE518" s="332"/>
      <c r="EDF518" s="332"/>
      <c r="EDG518" s="332"/>
      <c r="EDH518" s="332"/>
      <c r="EDI518" s="332"/>
      <c r="EDJ518" s="332"/>
      <c r="EDK518" s="332"/>
      <c r="EDL518" s="332"/>
      <c r="EDM518" s="332"/>
      <c r="EDN518" s="332"/>
      <c r="EDO518" s="332"/>
      <c r="EDP518" s="332"/>
      <c r="EDQ518" s="332"/>
      <c r="EDR518" s="332"/>
      <c r="EDS518" s="332"/>
      <c r="EDT518" s="332"/>
      <c r="EDU518" s="332"/>
      <c r="EDV518" s="332"/>
      <c r="EDW518" s="332"/>
      <c r="EDX518" s="332"/>
      <c r="EDY518" s="332"/>
      <c r="EDZ518" s="332"/>
      <c r="EEA518" s="332"/>
      <c r="EEB518" s="332"/>
      <c r="EEC518" s="332"/>
      <c r="EED518" s="332"/>
      <c r="EEE518" s="332"/>
      <c r="EEF518" s="332"/>
      <c r="EEG518" s="332"/>
      <c r="EEH518" s="332"/>
      <c r="EEI518" s="332"/>
      <c r="EEJ518" s="332"/>
      <c r="EEK518" s="332"/>
      <c r="EEL518" s="332"/>
      <c r="EEM518" s="332"/>
      <c r="EEN518" s="332"/>
      <c r="EEO518" s="332"/>
      <c r="EEP518" s="332"/>
      <c r="EEQ518" s="332"/>
      <c r="EER518" s="332"/>
      <c r="EES518" s="332"/>
      <c r="EET518" s="332"/>
      <c r="EEU518" s="332"/>
      <c r="EEV518" s="332"/>
      <c r="EEW518" s="332"/>
      <c r="EEX518" s="332"/>
      <c r="EEY518" s="332"/>
      <c r="EEZ518" s="332"/>
      <c r="EFA518" s="332"/>
      <c r="EFB518" s="332"/>
      <c r="EFC518" s="332"/>
      <c r="EFD518" s="332"/>
      <c r="EFE518" s="332"/>
      <c r="EFF518" s="332"/>
      <c r="EFG518" s="332"/>
      <c r="EFH518" s="332"/>
      <c r="EFI518" s="332"/>
      <c r="EFJ518" s="332"/>
      <c r="EFK518" s="332"/>
      <c r="EFL518" s="332"/>
      <c r="EFM518" s="332"/>
      <c r="EFN518" s="332"/>
      <c r="EFO518" s="332"/>
      <c r="EFP518" s="332"/>
      <c r="EFQ518" s="332"/>
      <c r="EFR518" s="332"/>
      <c r="EFS518" s="332"/>
      <c r="EFT518" s="332"/>
      <c r="EFU518" s="332"/>
      <c r="EFV518" s="332"/>
      <c r="EFW518" s="332"/>
      <c r="EFX518" s="332"/>
      <c r="EFY518" s="332"/>
      <c r="EFZ518" s="332"/>
      <c r="EGA518" s="332"/>
      <c r="EGB518" s="332"/>
      <c r="EGC518" s="332"/>
      <c r="EGD518" s="332"/>
      <c r="EGE518" s="332"/>
      <c r="EGF518" s="332"/>
      <c r="EGG518" s="332"/>
      <c r="EGH518" s="332"/>
      <c r="EGI518" s="332"/>
      <c r="EGJ518" s="332"/>
      <c r="EGK518" s="332"/>
      <c r="EGL518" s="332"/>
      <c r="EGM518" s="332"/>
      <c r="EGN518" s="332"/>
      <c r="EGO518" s="332"/>
      <c r="EGP518" s="332"/>
      <c r="EGQ518" s="332"/>
      <c r="EGR518" s="332"/>
      <c r="EGS518" s="332"/>
      <c r="EGT518" s="332"/>
      <c r="EGU518" s="332"/>
      <c r="EGV518" s="332"/>
      <c r="EGW518" s="332"/>
      <c r="EGX518" s="332"/>
      <c r="EGY518" s="332"/>
      <c r="EGZ518" s="332"/>
      <c r="EHA518" s="332"/>
      <c r="EHB518" s="332"/>
      <c r="EHC518" s="332"/>
      <c r="EHD518" s="332"/>
      <c r="EHE518" s="332"/>
      <c r="EHF518" s="332"/>
      <c r="EHG518" s="332"/>
      <c r="EHH518" s="332"/>
      <c r="EHI518" s="332"/>
      <c r="EHJ518" s="332"/>
      <c r="EHK518" s="332"/>
      <c r="EHL518" s="332"/>
      <c r="EHM518" s="332"/>
      <c r="EHN518" s="332"/>
      <c r="EHO518" s="332"/>
      <c r="EHP518" s="332"/>
      <c r="EHQ518" s="332"/>
      <c r="EHR518" s="332"/>
      <c r="EHS518" s="332"/>
      <c r="EHT518" s="332"/>
      <c r="EHU518" s="332"/>
      <c r="EHV518" s="332"/>
      <c r="EHW518" s="332"/>
      <c r="EHX518" s="332"/>
      <c r="EHY518" s="332"/>
      <c r="EHZ518" s="332"/>
      <c r="EIA518" s="332"/>
      <c r="EIB518" s="332"/>
      <c r="EIC518" s="332"/>
      <c r="EID518" s="332"/>
      <c r="EIE518" s="332"/>
      <c r="EIF518" s="332"/>
      <c r="EIG518" s="332"/>
      <c r="EIH518" s="332"/>
      <c r="EII518" s="332"/>
      <c r="EIJ518" s="332"/>
      <c r="EIK518" s="332"/>
      <c r="EIL518" s="332"/>
      <c r="EIM518" s="332"/>
      <c r="EIN518" s="332"/>
      <c r="EIO518" s="332"/>
      <c r="EIP518" s="332"/>
      <c r="EIQ518" s="332"/>
      <c r="EIR518" s="332"/>
      <c r="EIS518" s="332"/>
      <c r="EIT518" s="332"/>
      <c r="EIU518" s="332"/>
      <c r="EIV518" s="332"/>
      <c r="EIW518" s="332"/>
      <c r="EIX518" s="332"/>
      <c r="EIY518" s="332"/>
      <c r="EIZ518" s="332"/>
      <c r="EJA518" s="332"/>
      <c r="EJB518" s="332"/>
      <c r="EJC518" s="332"/>
      <c r="EJD518" s="332"/>
      <c r="EJE518" s="332"/>
      <c r="EJF518" s="332"/>
      <c r="EJG518" s="332"/>
      <c r="EJH518" s="332"/>
      <c r="EJI518" s="332"/>
      <c r="EJJ518" s="332"/>
      <c r="EJK518" s="332"/>
      <c r="EJL518" s="332"/>
      <c r="EJM518" s="332"/>
      <c r="EJN518" s="332"/>
      <c r="EJO518" s="332"/>
      <c r="EJP518" s="332"/>
      <c r="EJQ518" s="332"/>
      <c r="EJR518" s="332"/>
      <c r="EJS518" s="332"/>
      <c r="EJT518" s="332"/>
      <c r="EJU518" s="332"/>
      <c r="EJV518" s="332"/>
      <c r="EJW518" s="332"/>
      <c r="EJX518" s="332"/>
      <c r="EJY518" s="332"/>
      <c r="EJZ518" s="332"/>
      <c r="EKA518" s="332"/>
      <c r="EKB518" s="332"/>
      <c r="EKC518" s="332"/>
      <c r="EKD518" s="332"/>
      <c r="EKE518" s="332"/>
      <c r="EKF518" s="332"/>
      <c r="EKG518" s="332"/>
      <c r="EKH518" s="332"/>
      <c r="EKI518" s="332"/>
      <c r="EKJ518" s="332"/>
      <c r="EKK518" s="332"/>
      <c r="EKL518" s="332"/>
      <c r="EKM518" s="332"/>
      <c r="EKN518" s="332"/>
      <c r="EKO518" s="332"/>
      <c r="EKP518" s="332"/>
      <c r="EKQ518" s="332"/>
      <c r="EKR518" s="332"/>
      <c r="EKS518" s="332"/>
      <c r="EKT518" s="332"/>
      <c r="EKU518" s="332"/>
      <c r="EKV518" s="332"/>
      <c r="EKW518" s="332"/>
      <c r="EKX518" s="332"/>
      <c r="EKY518" s="332"/>
      <c r="EKZ518" s="332"/>
      <c r="ELA518" s="332"/>
      <c r="ELB518" s="332"/>
      <c r="ELC518" s="332"/>
      <c r="ELD518" s="332"/>
      <c r="ELE518" s="332"/>
      <c r="ELF518" s="332"/>
      <c r="ELG518" s="332"/>
      <c r="ELH518" s="332"/>
      <c r="ELI518" s="332"/>
      <c r="ELJ518" s="332"/>
      <c r="ELK518" s="332"/>
      <c r="ELL518" s="332"/>
      <c r="ELM518" s="332"/>
      <c r="ELN518" s="332"/>
      <c r="ELO518" s="332"/>
      <c r="ELP518" s="332"/>
      <c r="ELQ518" s="332"/>
      <c r="ELR518" s="332"/>
      <c r="ELS518" s="332"/>
      <c r="ELT518" s="332"/>
      <c r="ELU518" s="332"/>
      <c r="ELV518" s="332"/>
      <c r="ELW518" s="332"/>
      <c r="ELX518" s="332"/>
      <c r="ELY518" s="332"/>
      <c r="ELZ518" s="332"/>
      <c r="EMA518" s="332"/>
      <c r="EMB518" s="332"/>
      <c r="EMC518" s="332"/>
      <c r="EMD518" s="332"/>
      <c r="EME518" s="332"/>
      <c r="EMF518" s="332"/>
      <c r="EMG518" s="332"/>
      <c r="EMH518" s="332"/>
      <c r="EMI518" s="332"/>
      <c r="EMJ518" s="332"/>
      <c r="EMK518" s="332"/>
      <c r="EML518" s="332"/>
      <c r="EMM518" s="332"/>
      <c r="EMN518" s="332"/>
      <c r="EMO518" s="332"/>
      <c r="EMP518" s="332"/>
      <c r="EMQ518" s="332"/>
      <c r="EMR518" s="332"/>
      <c r="EMS518" s="332"/>
      <c r="EMT518" s="332"/>
      <c r="EMU518" s="332"/>
      <c r="EMV518" s="332"/>
      <c r="EMW518" s="332"/>
      <c r="EMX518" s="332"/>
      <c r="EMY518" s="332"/>
      <c r="EMZ518" s="332"/>
      <c r="ENA518" s="332"/>
      <c r="ENB518" s="332"/>
      <c r="ENC518" s="332"/>
      <c r="END518" s="332"/>
      <c r="ENE518" s="332"/>
      <c r="ENF518" s="332"/>
      <c r="ENG518" s="332"/>
      <c r="ENH518" s="332"/>
      <c r="ENI518" s="332"/>
      <c r="ENJ518" s="332"/>
      <c r="ENK518" s="332"/>
      <c r="ENL518" s="332"/>
      <c r="ENM518" s="332"/>
      <c r="ENN518" s="332"/>
      <c r="ENO518" s="332"/>
      <c r="ENP518" s="332"/>
      <c r="ENQ518" s="332"/>
      <c r="ENR518" s="332"/>
      <c r="ENS518" s="332"/>
      <c r="ENT518" s="332"/>
      <c r="ENU518" s="332"/>
      <c r="ENV518" s="332"/>
      <c r="ENW518" s="332"/>
      <c r="ENX518" s="332"/>
      <c r="ENY518" s="332"/>
      <c r="ENZ518" s="332"/>
      <c r="EOA518" s="332"/>
      <c r="EOB518" s="332"/>
      <c r="EOC518" s="332"/>
      <c r="EOD518" s="332"/>
      <c r="EOE518" s="332"/>
      <c r="EOF518" s="332"/>
      <c r="EOG518" s="332"/>
      <c r="EOH518" s="332"/>
      <c r="EOI518" s="332"/>
      <c r="EOJ518" s="332"/>
      <c r="EOK518" s="332"/>
      <c r="EOL518" s="332"/>
      <c r="EOM518" s="332"/>
      <c r="EON518" s="332"/>
      <c r="EOO518" s="332"/>
      <c r="EOP518" s="332"/>
      <c r="EOQ518" s="332"/>
      <c r="EOR518" s="332"/>
      <c r="EOS518" s="332"/>
      <c r="EOT518" s="332"/>
      <c r="EOU518" s="332"/>
      <c r="EOV518" s="332"/>
      <c r="EOW518" s="332"/>
      <c r="EOX518" s="332"/>
      <c r="EOY518" s="332"/>
      <c r="EOZ518" s="332"/>
      <c r="EPA518" s="332"/>
      <c r="EPB518" s="332"/>
      <c r="EPC518" s="332"/>
      <c r="EPD518" s="332"/>
      <c r="EPE518" s="332"/>
      <c r="EPF518" s="332"/>
      <c r="EPG518" s="332"/>
      <c r="EPH518" s="332"/>
      <c r="EPI518" s="332"/>
      <c r="EPJ518" s="332"/>
      <c r="EPK518" s="332"/>
      <c r="EPL518" s="332"/>
      <c r="EPM518" s="332"/>
      <c r="EPN518" s="332"/>
      <c r="EPO518" s="332"/>
      <c r="EPP518" s="332"/>
      <c r="EPQ518" s="332"/>
      <c r="EPR518" s="332"/>
      <c r="EPS518" s="332"/>
      <c r="EPT518" s="332"/>
      <c r="EPU518" s="332"/>
      <c r="EPV518" s="332"/>
      <c r="EPW518" s="332"/>
      <c r="EPX518" s="332"/>
      <c r="EPY518" s="332"/>
      <c r="EPZ518" s="332"/>
      <c r="EQA518" s="332"/>
      <c r="EQB518" s="332"/>
      <c r="EQC518" s="332"/>
      <c r="EQD518" s="332"/>
      <c r="EQE518" s="332"/>
      <c r="EQF518" s="332"/>
      <c r="EQG518" s="332"/>
      <c r="EQH518" s="332"/>
      <c r="EQI518" s="332"/>
      <c r="EQJ518" s="332"/>
      <c r="EQK518" s="332"/>
      <c r="EQL518" s="332"/>
      <c r="EQM518" s="332"/>
      <c r="EQN518" s="332"/>
      <c r="EQO518" s="332"/>
      <c r="EQP518" s="332"/>
      <c r="EQQ518" s="332"/>
      <c r="EQR518" s="332"/>
      <c r="EQS518" s="332"/>
      <c r="EQT518" s="332"/>
      <c r="EQU518" s="332"/>
      <c r="EQV518" s="332"/>
      <c r="EQW518" s="332"/>
      <c r="EQX518" s="332"/>
      <c r="EQY518" s="332"/>
      <c r="EQZ518" s="332"/>
      <c r="ERA518" s="332"/>
      <c r="ERB518" s="332"/>
      <c r="ERC518" s="332"/>
      <c r="ERD518" s="332"/>
      <c r="ERE518" s="332"/>
      <c r="ERF518" s="332"/>
      <c r="ERG518" s="332"/>
      <c r="ERH518" s="332"/>
      <c r="ERI518" s="332"/>
      <c r="ERJ518" s="332"/>
      <c r="ERK518" s="332"/>
      <c r="ERL518" s="332"/>
      <c r="ERM518" s="332"/>
      <c r="ERN518" s="332"/>
      <c r="ERO518" s="332"/>
      <c r="ERP518" s="332"/>
      <c r="ERQ518" s="332"/>
      <c r="ERR518" s="332"/>
      <c r="ERS518" s="332"/>
      <c r="ERT518" s="332"/>
      <c r="ERU518" s="332"/>
      <c r="ERV518" s="332"/>
      <c r="ERW518" s="332"/>
      <c r="ERX518" s="332"/>
      <c r="ERY518" s="332"/>
      <c r="ERZ518" s="332"/>
      <c r="ESA518" s="332"/>
      <c r="ESB518" s="332"/>
      <c r="ESC518" s="332"/>
      <c r="ESD518" s="332"/>
      <c r="ESE518" s="332"/>
      <c r="ESF518" s="332"/>
      <c r="ESG518" s="332"/>
      <c r="ESH518" s="332"/>
      <c r="ESI518" s="332"/>
      <c r="ESJ518" s="332"/>
      <c r="ESK518" s="332"/>
      <c r="ESL518" s="332"/>
      <c r="ESM518" s="332"/>
      <c r="ESN518" s="332"/>
      <c r="ESO518" s="332"/>
      <c r="ESP518" s="332"/>
      <c r="ESQ518" s="332"/>
      <c r="ESR518" s="332"/>
      <c r="ESS518" s="332"/>
      <c r="EST518" s="332"/>
      <c r="ESU518" s="332"/>
      <c r="ESV518" s="332"/>
      <c r="ESW518" s="332"/>
      <c r="ESX518" s="332"/>
      <c r="ESY518" s="332"/>
      <c r="ESZ518" s="332"/>
      <c r="ETA518" s="332"/>
      <c r="ETB518" s="332"/>
      <c r="ETC518" s="332"/>
      <c r="ETD518" s="332"/>
      <c r="ETE518" s="332"/>
      <c r="ETF518" s="332"/>
      <c r="ETG518" s="332"/>
      <c r="ETH518" s="332"/>
      <c r="ETI518" s="332"/>
      <c r="ETJ518" s="332"/>
      <c r="ETK518" s="332"/>
      <c r="ETL518" s="332"/>
      <c r="ETM518" s="332"/>
      <c r="ETN518" s="332"/>
      <c r="ETO518" s="332"/>
      <c r="ETP518" s="332"/>
      <c r="ETQ518" s="332"/>
      <c r="ETR518" s="332"/>
      <c r="ETS518" s="332"/>
      <c r="ETT518" s="332"/>
      <c r="ETU518" s="332"/>
      <c r="ETV518" s="332"/>
      <c r="ETW518" s="332"/>
      <c r="ETX518" s="332"/>
      <c r="ETY518" s="332"/>
      <c r="ETZ518" s="332"/>
      <c r="EUA518" s="332"/>
      <c r="EUB518" s="332"/>
      <c r="EUC518" s="332"/>
      <c r="EUD518" s="332"/>
      <c r="EUE518" s="332"/>
      <c r="EUF518" s="332"/>
      <c r="EUG518" s="332"/>
      <c r="EUH518" s="332"/>
      <c r="EUI518" s="332"/>
      <c r="EUJ518" s="332"/>
      <c r="EUK518" s="332"/>
      <c r="EUL518" s="332"/>
      <c r="EUM518" s="332"/>
      <c r="EUN518" s="332"/>
      <c r="EUO518" s="332"/>
      <c r="EUP518" s="332"/>
      <c r="EUQ518" s="332"/>
      <c r="EUR518" s="332"/>
      <c r="EUS518" s="332"/>
      <c r="EUT518" s="332"/>
      <c r="EUU518" s="332"/>
      <c r="EUV518" s="332"/>
      <c r="EUW518" s="332"/>
      <c r="EUX518" s="332"/>
      <c r="EUY518" s="332"/>
      <c r="EUZ518" s="332"/>
      <c r="EVA518" s="332"/>
      <c r="EVB518" s="332"/>
      <c r="EVC518" s="332"/>
      <c r="EVD518" s="332"/>
      <c r="EVE518" s="332"/>
      <c r="EVF518" s="332"/>
      <c r="EVG518" s="332"/>
      <c r="EVH518" s="332"/>
      <c r="EVI518" s="332"/>
      <c r="EVJ518" s="332"/>
      <c r="EVK518" s="332"/>
      <c r="EVL518" s="332"/>
      <c r="EVM518" s="332"/>
      <c r="EVN518" s="332"/>
      <c r="EVO518" s="332"/>
      <c r="EVP518" s="332"/>
      <c r="EVQ518" s="332"/>
      <c r="EVR518" s="332"/>
      <c r="EVS518" s="332"/>
      <c r="EVT518" s="332"/>
      <c r="EVU518" s="332"/>
      <c r="EVV518" s="332"/>
      <c r="EVW518" s="332"/>
      <c r="EVX518" s="332"/>
      <c r="EVY518" s="332"/>
      <c r="EVZ518" s="332"/>
      <c r="EWA518" s="332"/>
      <c r="EWB518" s="332"/>
      <c r="EWC518" s="332"/>
      <c r="EWD518" s="332"/>
      <c r="EWE518" s="332"/>
      <c r="EWF518" s="332"/>
      <c r="EWG518" s="332"/>
      <c r="EWH518" s="332"/>
      <c r="EWI518" s="332"/>
      <c r="EWJ518" s="332"/>
      <c r="EWK518" s="332"/>
      <c r="EWL518" s="332"/>
      <c r="EWM518" s="332"/>
      <c r="EWN518" s="332"/>
      <c r="EWO518" s="332"/>
      <c r="EWP518" s="332"/>
      <c r="EWQ518" s="332"/>
      <c r="EWR518" s="332"/>
      <c r="EWS518" s="332"/>
      <c r="EWT518" s="332"/>
      <c r="EWU518" s="332"/>
      <c r="EWV518" s="332"/>
      <c r="EWW518" s="332"/>
      <c r="EWX518" s="332"/>
      <c r="EWY518" s="332"/>
      <c r="EWZ518" s="332"/>
      <c r="EXA518" s="332"/>
      <c r="EXB518" s="332"/>
      <c r="EXC518" s="332"/>
      <c r="EXD518" s="332"/>
      <c r="EXE518" s="332"/>
      <c r="EXF518" s="332"/>
      <c r="EXG518" s="332"/>
      <c r="EXH518" s="332"/>
      <c r="EXI518" s="332"/>
      <c r="EXJ518" s="332"/>
      <c r="EXK518" s="332"/>
      <c r="EXL518" s="332"/>
      <c r="EXM518" s="332"/>
      <c r="EXN518" s="332"/>
      <c r="EXO518" s="332"/>
      <c r="EXP518" s="332"/>
      <c r="EXQ518" s="332"/>
      <c r="EXR518" s="332"/>
      <c r="EXS518" s="332"/>
      <c r="EXT518" s="332"/>
      <c r="EXU518" s="332"/>
      <c r="EXV518" s="332"/>
      <c r="EXW518" s="332"/>
      <c r="EXX518" s="332"/>
      <c r="EXY518" s="332"/>
      <c r="EXZ518" s="332"/>
      <c r="EYA518" s="332"/>
      <c r="EYB518" s="332"/>
      <c r="EYC518" s="332"/>
      <c r="EYD518" s="332"/>
      <c r="EYE518" s="332"/>
      <c r="EYF518" s="332"/>
      <c r="EYG518" s="332"/>
      <c r="EYH518" s="332"/>
      <c r="EYI518" s="332"/>
      <c r="EYJ518" s="332"/>
      <c r="EYK518" s="332"/>
      <c r="EYL518" s="332"/>
      <c r="EYM518" s="332"/>
      <c r="EYN518" s="332"/>
      <c r="EYO518" s="332"/>
      <c r="EYP518" s="332"/>
      <c r="EYQ518" s="332"/>
      <c r="EYR518" s="332"/>
      <c r="EYS518" s="332"/>
      <c r="EYT518" s="332"/>
      <c r="EYU518" s="332"/>
      <c r="EYV518" s="332"/>
      <c r="EYW518" s="332"/>
      <c r="EYX518" s="332"/>
      <c r="EYY518" s="332"/>
      <c r="EYZ518" s="332"/>
      <c r="EZA518" s="332"/>
      <c r="EZB518" s="332"/>
      <c r="EZC518" s="332"/>
      <c r="EZD518" s="332"/>
      <c r="EZE518" s="332"/>
      <c r="EZF518" s="332"/>
      <c r="EZG518" s="332"/>
      <c r="EZH518" s="332"/>
      <c r="EZI518" s="332"/>
      <c r="EZJ518" s="332"/>
      <c r="EZK518" s="332"/>
      <c r="EZL518" s="332"/>
      <c r="EZM518" s="332"/>
      <c r="EZN518" s="332"/>
      <c r="EZO518" s="332"/>
      <c r="EZP518" s="332"/>
      <c r="EZQ518" s="332"/>
      <c r="EZR518" s="332"/>
      <c r="EZS518" s="332"/>
      <c r="EZT518" s="332"/>
      <c r="EZU518" s="332"/>
      <c r="EZV518" s="332"/>
      <c r="EZW518" s="332"/>
      <c r="EZX518" s="332"/>
      <c r="EZY518" s="332"/>
      <c r="EZZ518" s="332"/>
      <c r="FAA518" s="332"/>
      <c r="FAB518" s="332"/>
      <c r="FAC518" s="332"/>
      <c r="FAD518" s="332"/>
      <c r="FAE518" s="332"/>
      <c r="FAF518" s="332"/>
      <c r="FAG518" s="332"/>
      <c r="FAH518" s="332"/>
      <c r="FAI518" s="332"/>
      <c r="FAJ518" s="332"/>
      <c r="FAK518" s="332"/>
      <c r="FAL518" s="332"/>
      <c r="FAM518" s="332"/>
      <c r="FAN518" s="332"/>
      <c r="FAO518" s="332"/>
      <c r="FAP518" s="332"/>
      <c r="FAQ518" s="332"/>
      <c r="FAR518" s="332"/>
      <c r="FAS518" s="332"/>
      <c r="FAT518" s="332"/>
      <c r="FAU518" s="332"/>
      <c r="FAV518" s="332"/>
      <c r="FAW518" s="332"/>
      <c r="FAX518" s="332"/>
      <c r="FAY518" s="332"/>
      <c r="FAZ518" s="332"/>
      <c r="FBA518" s="332"/>
      <c r="FBB518" s="332"/>
      <c r="FBC518" s="332"/>
      <c r="FBD518" s="332"/>
      <c r="FBE518" s="332"/>
      <c r="FBF518" s="332"/>
      <c r="FBG518" s="332"/>
      <c r="FBH518" s="332"/>
      <c r="FBI518" s="332"/>
      <c r="FBJ518" s="332"/>
      <c r="FBK518" s="332"/>
      <c r="FBL518" s="332"/>
      <c r="FBM518" s="332"/>
      <c r="FBN518" s="332"/>
      <c r="FBO518" s="332"/>
      <c r="FBP518" s="332"/>
      <c r="FBQ518" s="332"/>
      <c r="FBR518" s="332"/>
      <c r="FBS518" s="332"/>
      <c r="FBT518" s="332"/>
      <c r="FBU518" s="332"/>
      <c r="FBV518" s="332"/>
      <c r="FBW518" s="332"/>
      <c r="FBX518" s="332"/>
      <c r="FBY518" s="332"/>
      <c r="FBZ518" s="332"/>
      <c r="FCA518" s="332"/>
      <c r="FCB518" s="332"/>
      <c r="FCC518" s="332"/>
      <c r="FCD518" s="332"/>
      <c r="FCE518" s="332"/>
      <c r="FCF518" s="332"/>
      <c r="FCG518" s="332"/>
      <c r="FCH518" s="332"/>
      <c r="FCI518" s="332"/>
      <c r="FCJ518" s="332"/>
      <c r="FCK518" s="332"/>
      <c r="FCL518" s="332"/>
      <c r="FCM518" s="332"/>
      <c r="FCN518" s="332"/>
      <c r="FCO518" s="332"/>
      <c r="FCP518" s="332"/>
      <c r="FCQ518" s="332"/>
      <c r="FCR518" s="332"/>
      <c r="FCS518" s="332"/>
      <c r="FCT518" s="332"/>
      <c r="FCU518" s="332"/>
      <c r="FCV518" s="332"/>
      <c r="FCW518" s="332"/>
      <c r="FCX518" s="332"/>
      <c r="FCY518" s="332"/>
      <c r="FCZ518" s="332"/>
      <c r="FDA518" s="332"/>
      <c r="FDB518" s="332"/>
      <c r="FDC518" s="332"/>
      <c r="FDD518" s="332"/>
      <c r="FDE518" s="332"/>
      <c r="FDF518" s="332"/>
      <c r="FDG518" s="332"/>
      <c r="FDH518" s="332"/>
      <c r="FDI518" s="332"/>
      <c r="FDJ518" s="332"/>
      <c r="FDK518" s="332"/>
      <c r="FDL518" s="332"/>
      <c r="FDM518" s="332"/>
      <c r="FDN518" s="332"/>
      <c r="FDO518" s="332"/>
      <c r="FDP518" s="332"/>
      <c r="FDQ518" s="332"/>
      <c r="FDR518" s="332"/>
      <c r="FDS518" s="332"/>
      <c r="FDT518" s="332"/>
      <c r="FDU518" s="332"/>
      <c r="FDV518" s="332"/>
      <c r="FDW518" s="332"/>
      <c r="FDX518" s="332"/>
      <c r="FDY518" s="332"/>
      <c r="FDZ518" s="332"/>
      <c r="FEA518" s="332"/>
      <c r="FEB518" s="332"/>
      <c r="FEC518" s="332"/>
      <c r="FED518" s="332"/>
      <c r="FEE518" s="332"/>
      <c r="FEF518" s="332"/>
      <c r="FEG518" s="332"/>
      <c r="FEH518" s="332"/>
      <c r="FEI518" s="332"/>
      <c r="FEJ518" s="332"/>
      <c r="FEK518" s="332"/>
      <c r="FEL518" s="332"/>
      <c r="FEM518" s="332"/>
      <c r="FEN518" s="332"/>
      <c r="FEO518" s="332"/>
      <c r="FEP518" s="332"/>
      <c r="FEQ518" s="332"/>
      <c r="FER518" s="332"/>
      <c r="FES518" s="332"/>
      <c r="FET518" s="332"/>
      <c r="FEU518" s="332"/>
      <c r="FEV518" s="332"/>
      <c r="FEW518" s="332"/>
      <c r="FEX518" s="332"/>
      <c r="FEY518" s="332"/>
      <c r="FEZ518" s="332"/>
      <c r="FFA518" s="332"/>
      <c r="FFB518" s="332"/>
      <c r="FFC518" s="332"/>
      <c r="FFD518" s="332"/>
      <c r="FFE518" s="332"/>
      <c r="FFF518" s="332"/>
      <c r="FFG518" s="332"/>
      <c r="FFH518" s="332"/>
      <c r="FFI518" s="332"/>
      <c r="FFJ518" s="332"/>
      <c r="FFK518" s="332"/>
      <c r="FFL518" s="332"/>
      <c r="FFM518" s="332"/>
      <c r="FFN518" s="332"/>
      <c r="FFO518" s="332"/>
      <c r="FFP518" s="332"/>
      <c r="FFQ518" s="332"/>
      <c r="FFR518" s="332"/>
      <c r="FFS518" s="332"/>
      <c r="FFT518" s="332"/>
      <c r="FFU518" s="332"/>
      <c r="FFV518" s="332"/>
      <c r="FFW518" s="332"/>
      <c r="FFX518" s="332"/>
      <c r="FFY518" s="332"/>
      <c r="FFZ518" s="332"/>
      <c r="FGA518" s="332"/>
      <c r="FGB518" s="332"/>
      <c r="FGC518" s="332"/>
      <c r="FGD518" s="332"/>
      <c r="FGE518" s="332"/>
      <c r="FGF518" s="332"/>
      <c r="FGG518" s="332"/>
      <c r="FGH518" s="332"/>
      <c r="FGI518" s="332"/>
      <c r="FGJ518" s="332"/>
      <c r="FGK518" s="332"/>
      <c r="FGL518" s="332"/>
      <c r="FGM518" s="332"/>
      <c r="FGN518" s="332"/>
      <c r="FGO518" s="332"/>
      <c r="FGP518" s="332"/>
      <c r="FGQ518" s="332"/>
      <c r="FGR518" s="332"/>
      <c r="FGS518" s="332"/>
      <c r="FGT518" s="332"/>
      <c r="FGU518" s="332"/>
      <c r="FGV518" s="332"/>
      <c r="FGW518" s="332"/>
      <c r="FGX518" s="332"/>
      <c r="FGY518" s="332"/>
      <c r="FGZ518" s="332"/>
      <c r="FHA518" s="332"/>
      <c r="FHB518" s="332"/>
      <c r="FHC518" s="332"/>
      <c r="FHD518" s="332"/>
      <c r="FHE518" s="332"/>
      <c r="FHF518" s="332"/>
      <c r="FHG518" s="332"/>
      <c r="FHH518" s="332"/>
      <c r="FHI518" s="332"/>
      <c r="FHJ518" s="332"/>
      <c r="FHK518" s="332"/>
      <c r="FHL518" s="332"/>
      <c r="FHM518" s="332"/>
      <c r="FHN518" s="332"/>
      <c r="FHO518" s="332"/>
      <c r="FHP518" s="332"/>
      <c r="FHQ518" s="332"/>
      <c r="FHR518" s="332"/>
      <c r="FHS518" s="332"/>
      <c r="FHT518" s="332"/>
      <c r="FHU518" s="332"/>
      <c r="FHV518" s="332"/>
      <c r="FHW518" s="332"/>
      <c r="FHX518" s="332"/>
      <c r="FHY518" s="332"/>
      <c r="FHZ518" s="332"/>
      <c r="FIA518" s="332"/>
      <c r="FIB518" s="332"/>
      <c r="FIC518" s="332"/>
      <c r="FID518" s="332"/>
      <c r="FIE518" s="332"/>
      <c r="FIF518" s="332"/>
      <c r="FIG518" s="332"/>
      <c r="FIH518" s="332"/>
      <c r="FII518" s="332"/>
      <c r="FIJ518" s="332"/>
      <c r="FIK518" s="332"/>
      <c r="FIL518" s="332"/>
      <c r="FIM518" s="332"/>
      <c r="FIN518" s="332"/>
      <c r="FIO518" s="332"/>
      <c r="FIP518" s="332"/>
      <c r="FIQ518" s="332"/>
      <c r="FIR518" s="332"/>
      <c r="FIS518" s="332"/>
      <c r="FIT518" s="332"/>
      <c r="FIU518" s="332"/>
      <c r="FIV518" s="332"/>
      <c r="FIW518" s="332"/>
      <c r="FIX518" s="332"/>
      <c r="FIY518" s="332"/>
      <c r="FIZ518" s="332"/>
      <c r="FJA518" s="332"/>
      <c r="FJB518" s="332"/>
      <c r="FJC518" s="332"/>
      <c r="FJD518" s="332"/>
      <c r="FJE518" s="332"/>
      <c r="FJF518" s="332"/>
      <c r="FJG518" s="332"/>
      <c r="FJH518" s="332"/>
      <c r="FJI518" s="332"/>
      <c r="FJJ518" s="332"/>
      <c r="FJK518" s="332"/>
      <c r="FJL518" s="332"/>
      <c r="FJM518" s="332"/>
      <c r="FJN518" s="332"/>
      <c r="FJO518" s="332"/>
      <c r="FJP518" s="332"/>
      <c r="FJQ518" s="332"/>
      <c r="FJR518" s="332"/>
      <c r="FJS518" s="332"/>
      <c r="FJT518" s="332"/>
      <c r="FJU518" s="332"/>
      <c r="FJV518" s="332"/>
      <c r="FJW518" s="332"/>
      <c r="FJX518" s="332"/>
      <c r="FJY518" s="332"/>
      <c r="FJZ518" s="332"/>
      <c r="FKA518" s="332"/>
      <c r="FKB518" s="332"/>
      <c r="FKC518" s="332"/>
      <c r="FKD518" s="332"/>
      <c r="FKE518" s="332"/>
      <c r="FKF518" s="332"/>
      <c r="FKG518" s="332"/>
      <c r="FKH518" s="332"/>
      <c r="FKI518" s="332"/>
      <c r="FKJ518" s="332"/>
      <c r="FKK518" s="332"/>
      <c r="FKL518" s="332"/>
      <c r="FKM518" s="332"/>
      <c r="FKN518" s="332"/>
      <c r="FKO518" s="332"/>
      <c r="FKP518" s="332"/>
      <c r="FKQ518" s="332"/>
      <c r="FKR518" s="332"/>
      <c r="FKS518" s="332"/>
      <c r="FKT518" s="332"/>
      <c r="FKU518" s="332"/>
      <c r="FKV518" s="332"/>
      <c r="FKW518" s="332"/>
      <c r="FKX518" s="332"/>
      <c r="FKY518" s="332"/>
      <c r="FKZ518" s="332"/>
      <c r="FLA518" s="332"/>
      <c r="FLB518" s="332"/>
      <c r="FLC518" s="332"/>
      <c r="FLD518" s="332"/>
      <c r="FLE518" s="332"/>
      <c r="FLF518" s="332"/>
      <c r="FLG518" s="332"/>
      <c r="FLH518" s="332"/>
      <c r="FLI518" s="332"/>
      <c r="FLJ518" s="332"/>
      <c r="FLK518" s="332"/>
      <c r="FLL518" s="332"/>
      <c r="FLM518" s="332"/>
      <c r="FLN518" s="332"/>
      <c r="FLO518" s="332"/>
      <c r="FLP518" s="332"/>
      <c r="FLQ518" s="332"/>
      <c r="FLR518" s="332"/>
      <c r="FLS518" s="332"/>
      <c r="FLT518" s="332"/>
      <c r="FLU518" s="332"/>
      <c r="FLV518" s="332"/>
      <c r="FLW518" s="332"/>
      <c r="FLX518" s="332"/>
      <c r="FLY518" s="332"/>
      <c r="FLZ518" s="332"/>
      <c r="FMA518" s="332"/>
      <c r="FMB518" s="332"/>
      <c r="FMC518" s="332"/>
      <c r="FMD518" s="332"/>
      <c r="FME518" s="332"/>
      <c r="FMF518" s="332"/>
      <c r="FMG518" s="332"/>
      <c r="FMH518" s="332"/>
      <c r="FMI518" s="332"/>
      <c r="FMJ518" s="332"/>
      <c r="FMK518" s="332"/>
      <c r="FML518" s="332"/>
      <c r="FMM518" s="332"/>
      <c r="FMN518" s="332"/>
      <c r="FMO518" s="332"/>
      <c r="FMP518" s="332"/>
      <c r="FMQ518" s="332"/>
      <c r="FMR518" s="332"/>
      <c r="FMS518" s="332"/>
      <c r="FMT518" s="332"/>
      <c r="FMU518" s="332"/>
      <c r="FMV518" s="332"/>
      <c r="FMW518" s="332"/>
      <c r="FMX518" s="332"/>
      <c r="FMY518" s="332"/>
      <c r="FMZ518" s="332"/>
      <c r="FNA518" s="332"/>
      <c r="FNB518" s="332"/>
      <c r="FNC518" s="332"/>
      <c r="FND518" s="332"/>
      <c r="FNE518" s="332"/>
      <c r="FNF518" s="332"/>
      <c r="FNG518" s="332"/>
      <c r="FNH518" s="332"/>
      <c r="FNI518" s="332"/>
      <c r="FNJ518" s="332"/>
      <c r="FNK518" s="332"/>
      <c r="FNL518" s="332"/>
      <c r="FNM518" s="332"/>
      <c r="FNN518" s="332"/>
      <c r="FNO518" s="332"/>
      <c r="FNP518" s="332"/>
      <c r="FNQ518" s="332"/>
      <c r="FNR518" s="332"/>
      <c r="FNS518" s="332"/>
      <c r="FNT518" s="332"/>
      <c r="FNU518" s="332"/>
      <c r="FNV518" s="332"/>
      <c r="FNW518" s="332"/>
      <c r="FNX518" s="332"/>
      <c r="FNY518" s="332"/>
      <c r="FNZ518" s="332"/>
      <c r="FOA518" s="332"/>
      <c r="FOB518" s="332"/>
      <c r="FOC518" s="332"/>
      <c r="FOD518" s="332"/>
      <c r="FOE518" s="332"/>
      <c r="FOF518" s="332"/>
      <c r="FOG518" s="332"/>
      <c r="FOH518" s="332"/>
      <c r="FOI518" s="332"/>
      <c r="FOJ518" s="332"/>
      <c r="FOK518" s="332"/>
      <c r="FOL518" s="332"/>
      <c r="FOM518" s="332"/>
      <c r="FON518" s="332"/>
      <c r="FOO518" s="332"/>
      <c r="FOP518" s="332"/>
      <c r="FOQ518" s="332"/>
      <c r="FOR518" s="332"/>
      <c r="FOS518" s="332"/>
      <c r="FOT518" s="332"/>
      <c r="FOU518" s="332"/>
      <c r="FOV518" s="332"/>
      <c r="FOW518" s="332"/>
      <c r="FOX518" s="332"/>
      <c r="FOY518" s="332"/>
      <c r="FOZ518" s="332"/>
      <c r="FPA518" s="332"/>
      <c r="FPB518" s="332"/>
      <c r="FPC518" s="332"/>
      <c r="FPD518" s="332"/>
      <c r="FPE518" s="332"/>
      <c r="FPF518" s="332"/>
      <c r="FPG518" s="332"/>
      <c r="FPH518" s="332"/>
      <c r="FPI518" s="332"/>
      <c r="FPJ518" s="332"/>
      <c r="FPK518" s="332"/>
      <c r="FPL518" s="332"/>
      <c r="FPM518" s="332"/>
      <c r="FPN518" s="332"/>
      <c r="FPO518" s="332"/>
      <c r="FPP518" s="332"/>
      <c r="FPQ518" s="332"/>
      <c r="FPR518" s="332"/>
      <c r="FPS518" s="332"/>
      <c r="FPT518" s="332"/>
      <c r="FPU518" s="332"/>
      <c r="FPV518" s="332"/>
      <c r="FPW518" s="332"/>
      <c r="FPX518" s="332"/>
      <c r="FPY518" s="332"/>
      <c r="FPZ518" s="332"/>
      <c r="FQA518" s="332"/>
      <c r="FQB518" s="332"/>
      <c r="FQC518" s="332"/>
      <c r="FQD518" s="332"/>
      <c r="FQE518" s="332"/>
      <c r="FQF518" s="332"/>
      <c r="FQG518" s="332"/>
      <c r="FQH518" s="332"/>
      <c r="FQI518" s="332"/>
      <c r="FQJ518" s="332"/>
      <c r="FQK518" s="332"/>
      <c r="FQL518" s="332"/>
      <c r="FQM518" s="332"/>
      <c r="FQN518" s="332"/>
      <c r="FQO518" s="332"/>
      <c r="FQP518" s="332"/>
      <c r="FQQ518" s="332"/>
      <c r="FQR518" s="332"/>
      <c r="FQS518" s="332"/>
      <c r="FQT518" s="332"/>
      <c r="FQU518" s="332"/>
      <c r="FQV518" s="332"/>
      <c r="FQW518" s="332"/>
      <c r="FQX518" s="332"/>
      <c r="FQY518" s="332"/>
      <c r="FQZ518" s="332"/>
      <c r="FRA518" s="332"/>
      <c r="FRB518" s="332"/>
      <c r="FRC518" s="332"/>
      <c r="FRD518" s="332"/>
      <c r="FRE518" s="332"/>
      <c r="FRF518" s="332"/>
      <c r="FRG518" s="332"/>
      <c r="FRH518" s="332"/>
      <c r="FRI518" s="332"/>
      <c r="FRJ518" s="332"/>
      <c r="FRK518" s="332"/>
      <c r="FRL518" s="332"/>
      <c r="FRM518" s="332"/>
      <c r="FRN518" s="332"/>
      <c r="FRO518" s="332"/>
      <c r="FRP518" s="332"/>
      <c r="FRQ518" s="332"/>
      <c r="FRR518" s="332"/>
      <c r="FRS518" s="332"/>
      <c r="FRT518" s="332"/>
      <c r="FRU518" s="332"/>
      <c r="FRV518" s="332"/>
      <c r="FRW518" s="332"/>
      <c r="FRX518" s="332"/>
      <c r="FRY518" s="332"/>
      <c r="FRZ518" s="332"/>
      <c r="FSA518" s="332"/>
      <c r="FSB518" s="332"/>
      <c r="FSC518" s="332"/>
      <c r="FSD518" s="332"/>
      <c r="FSE518" s="332"/>
      <c r="FSF518" s="332"/>
      <c r="FSG518" s="332"/>
      <c r="FSH518" s="332"/>
      <c r="FSI518" s="332"/>
      <c r="FSJ518" s="332"/>
      <c r="FSK518" s="332"/>
      <c r="FSL518" s="332"/>
      <c r="FSM518" s="332"/>
      <c r="FSN518" s="332"/>
      <c r="FSO518" s="332"/>
      <c r="FSP518" s="332"/>
      <c r="FSQ518" s="332"/>
      <c r="FSR518" s="332"/>
      <c r="FSS518" s="332"/>
      <c r="FST518" s="332"/>
      <c r="FSU518" s="332"/>
      <c r="FSV518" s="332"/>
      <c r="FSW518" s="332"/>
      <c r="FSX518" s="332"/>
      <c r="FSY518" s="332"/>
      <c r="FSZ518" s="332"/>
      <c r="FTA518" s="332"/>
      <c r="FTB518" s="332"/>
      <c r="FTC518" s="332"/>
      <c r="FTD518" s="332"/>
      <c r="FTE518" s="332"/>
      <c r="FTF518" s="332"/>
      <c r="FTG518" s="332"/>
      <c r="FTH518" s="332"/>
      <c r="FTI518" s="332"/>
      <c r="FTJ518" s="332"/>
      <c r="FTK518" s="332"/>
      <c r="FTL518" s="332"/>
      <c r="FTM518" s="332"/>
      <c r="FTN518" s="332"/>
      <c r="FTO518" s="332"/>
      <c r="FTP518" s="332"/>
      <c r="FTQ518" s="332"/>
      <c r="FTR518" s="332"/>
      <c r="FTS518" s="332"/>
      <c r="FTT518" s="332"/>
      <c r="FTU518" s="332"/>
      <c r="FTV518" s="332"/>
      <c r="FTW518" s="332"/>
      <c r="FTX518" s="332"/>
      <c r="FTY518" s="332"/>
      <c r="FTZ518" s="332"/>
      <c r="FUA518" s="332"/>
      <c r="FUB518" s="332"/>
      <c r="FUC518" s="332"/>
      <c r="FUD518" s="332"/>
      <c r="FUE518" s="332"/>
      <c r="FUF518" s="332"/>
      <c r="FUG518" s="332"/>
      <c r="FUH518" s="332"/>
      <c r="FUI518" s="332"/>
      <c r="FUJ518" s="332"/>
      <c r="FUK518" s="332"/>
      <c r="FUL518" s="332"/>
      <c r="FUM518" s="332"/>
      <c r="FUN518" s="332"/>
      <c r="FUO518" s="332"/>
      <c r="FUP518" s="332"/>
      <c r="FUQ518" s="332"/>
      <c r="FUR518" s="332"/>
      <c r="FUS518" s="332"/>
      <c r="FUT518" s="332"/>
      <c r="FUU518" s="332"/>
      <c r="FUV518" s="332"/>
      <c r="FUW518" s="332"/>
      <c r="FUX518" s="332"/>
      <c r="FUY518" s="332"/>
      <c r="FUZ518" s="332"/>
      <c r="FVA518" s="332"/>
      <c r="FVB518" s="332"/>
      <c r="FVC518" s="332"/>
      <c r="FVD518" s="332"/>
      <c r="FVE518" s="332"/>
      <c r="FVF518" s="332"/>
      <c r="FVG518" s="332"/>
      <c r="FVH518" s="332"/>
      <c r="FVI518" s="332"/>
      <c r="FVJ518" s="332"/>
      <c r="FVK518" s="332"/>
      <c r="FVL518" s="332"/>
      <c r="FVM518" s="332"/>
      <c r="FVN518" s="332"/>
      <c r="FVO518" s="332"/>
      <c r="FVP518" s="332"/>
      <c r="FVQ518" s="332"/>
      <c r="FVR518" s="332"/>
      <c r="FVS518" s="332"/>
      <c r="FVT518" s="332"/>
      <c r="FVU518" s="332"/>
      <c r="FVV518" s="332"/>
      <c r="FVW518" s="332"/>
      <c r="FVX518" s="332"/>
      <c r="FVY518" s="332"/>
      <c r="FVZ518" s="332"/>
      <c r="FWA518" s="332"/>
      <c r="FWB518" s="332"/>
      <c r="FWC518" s="332"/>
      <c r="FWD518" s="332"/>
      <c r="FWE518" s="332"/>
      <c r="FWF518" s="332"/>
      <c r="FWG518" s="332"/>
      <c r="FWH518" s="332"/>
      <c r="FWI518" s="332"/>
      <c r="FWJ518" s="332"/>
      <c r="FWK518" s="332"/>
      <c r="FWL518" s="332"/>
      <c r="FWM518" s="332"/>
      <c r="FWN518" s="332"/>
      <c r="FWO518" s="332"/>
      <c r="FWP518" s="332"/>
      <c r="FWQ518" s="332"/>
      <c r="FWR518" s="332"/>
      <c r="FWS518" s="332"/>
      <c r="FWT518" s="332"/>
      <c r="FWU518" s="332"/>
      <c r="FWV518" s="332"/>
      <c r="FWW518" s="332"/>
      <c r="FWX518" s="332"/>
      <c r="FWY518" s="332"/>
      <c r="FWZ518" s="332"/>
      <c r="FXA518" s="332"/>
      <c r="FXB518" s="332"/>
      <c r="FXC518" s="332"/>
      <c r="FXD518" s="332"/>
      <c r="FXE518" s="332"/>
      <c r="FXF518" s="332"/>
      <c r="FXG518" s="332"/>
      <c r="FXH518" s="332"/>
      <c r="FXI518" s="332"/>
      <c r="FXJ518" s="332"/>
      <c r="FXK518" s="332"/>
      <c r="FXL518" s="332"/>
      <c r="FXM518" s="332"/>
      <c r="FXN518" s="332"/>
      <c r="FXO518" s="332"/>
      <c r="FXP518" s="332"/>
      <c r="FXQ518" s="332"/>
      <c r="FXR518" s="332"/>
      <c r="FXS518" s="332"/>
      <c r="FXT518" s="332"/>
      <c r="FXU518" s="332"/>
      <c r="FXV518" s="332"/>
      <c r="FXW518" s="332"/>
      <c r="FXX518" s="332"/>
      <c r="FXY518" s="332"/>
      <c r="FXZ518" s="332"/>
      <c r="FYA518" s="332"/>
      <c r="FYB518" s="332"/>
      <c r="FYC518" s="332"/>
      <c r="FYD518" s="332"/>
      <c r="FYE518" s="332"/>
      <c r="FYF518" s="332"/>
      <c r="FYG518" s="332"/>
      <c r="FYH518" s="332"/>
      <c r="FYI518" s="332"/>
      <c r="FYJ518" s="332"/>
      <c r="FYK518" s="332"/>
      <c r="FYL518" s="332"/>
      <c r="FYM518" s="332"/>
      <c r="FYN518" s="332"/>
      <c r="FYO518" s="332"/>
      <c r="FYP518" s="332"/>
      <c r="FYQ518" s="332"/>
      <c r="FYR518" s="332"/>
      <c r="FYS518" s="332"/>
      <c r="FYT518" s="332"/>
      <c r="FYU518" s="332"/>
      <c r="FYV518" s="332"/>
      <c r="FYW518" s="332"/>
      <c r="FYX518" s="332"/>
      <c r="FYY518" s="332"/>
      <c r="FYZ518" s="332"/>
      <c r="FZA518" s="332"/>
      <c r="FZB518" s="332"/>
      <c r="FZC518" s="332"/>
      <c r="FZD518" s="332"/>
      <c r="FZE518" s="332"/>
      <c r="FZF518" s="332"/>
      <c r="FZG518" s="332"/>
      <c r="FZH518" s="332"/>
      <c r="FZI518" s="332"/>
      <c r="FZJ518" s="332"/>
      <c r="FZK518" s="332"/>
      <c r="FZL518" s="332"/>
      <c r="FZM518" s="332"/>
      <c r="FZN518" s="332"/>
      <c r="FZO518" s="332"/>
      <c r="FZP518" s="332"/>
      <c r="FZQ518" s="332"/>
      <c r="FZR518" s="332"/>
      <c r="FZS518" s="332"/>
      <c r="FZT518" s="332"/>
      <c r="FZU518" s="332"/>
      <c r="FZV518" s="332"/>
      <c r="FZW518" s="332"/>
      <c r="FZX518" s="332"/>
      <c r="FZY518" s="332"/>
      <c r="FZZ518" s="332"/>
      <c r="GAA518" s="332"/>
      <c r="GAB518" s="332"/>
      <c r="GAC518" s="332"/>
      <c r="GAD518" s="332"/>
      <c r="GAE518" s="332"/>
      <c r="GAF518" s="332"/>
      <c r="GAG518" s="332"/>
      <c r="GAH518" s="332"/>
      <c r="GAI518" s="332"/>
      <c r="GAJ518" s="332"/>
      <c r="GAK518" s="332"/>
      <c r="GAL518" s="332"/>
      <c r="GAM518" s="332"/>
      <c r="GAN518" s="332"/>
      <c r="GAO518" s="332"/>
      <c r="GAP518" s="332"/>
      <c r="GAQ518" s="332"/>
      <c r="GAR518" s="332"/>
      <c r="GAS518" s="332"/>
      <c r="GAT518" s="332"/>
      <c r="GAU518" s="332"/>
      <c r="GAV518" s="332"/>
      <c r="GAW518" s="332"/>
      <c r="GAX518" s="332"/>
      <c r="GAY518" s="332"/>
      <c r="GAZ518" s="332"/>
      <c r="GBA518" s="332"/>
      <c r="GBB518" s="332"/>
      <c r="GBC518" s="332"/>
      <c r="GBD518" s="332"/>
      <c r="GBE518" s="332"/>
      <c r="GBF518" s="332"/>
      <c r="GBG518" s="332"/>
      <c r="GBH518" s="332"/>
      <c r="GBI518" s="332"/>
      <c r="GBJ518" s="332"/>
      <c r="GBK518" s="332"/>
      <c r="GBL518" s="332"/>
      <c r="GBM518" s="332"/>
      <c r="GBN518" s="332"/>
      <c r="GBO518" s="332"/>
      <c r="GBP518" s="332"/>
      <c r="GBQ518" s="332"/>
      <c r="GBR518" s="332"/>
      <c r="GBS518" s="332"/>
      <c r="GBT518" s="332"/>
      <c r="GBU518" s="332"/>
      <c r="GBV518" s="332"/>
      <c r="GBW518" s="332"/>
      <c r="GBX518" s="332"/>
      <c r="GBY518" s="332"/>
      <c r="GBZ518" s="332"/>
      <c r="GCA518" s="332"/>
      <c r="GCB518" s="332"/>
      <c r="GCC518" s="332"/>
      <c r="GCD518" s="332"/>
      <c r="GCE518" s="332"/>
      <c r="GCF518" s="332"/>
      <c r="GCG518" s="332"/>
      <c r="GCH518" s="332"/>
      <c r="GCI518" s="332"/>
      <c r="GCJ518" s="332"/>
      <c r="GCK518" s="332"/>
      <c r="GCL518" s="332"/>
      <c r="GCM518" s="332"/>
      <c r="GCN518" s="332"/>
      <c r="GCO518" s="332"/>
      <c r="GCP518" s="332"/>
      <c r="GCQ518" s="332"/>
      <c r="GCR518" s="332"/>
      <c r="GCS518" s="332"/>
      <c r="GCT518" s="332"/>
      <c r="GCU518" s="332"/>
      <c r="GCV518" s="332"/>
      <c r="GCW518" s="332"/>
      <c r="GCX518" s="332"/>
      <c r="GCY518" s="332"/>
      <c r="GCZ518" s="332"/>
      <c r="GDA518" s="332"/>
      <c r="GDB518" s="332"/>
      <c r="GDC518" s="332"/>
      <c r="GDD518" s="332"/>
      <c r="GDE518" s="332"/>
      <c r="GDF518" s="332"/>
      <c r="GDG518" s="332"/>
      <c r="GDH518" s="332"/>
      <c r="GDI518" s="332"/>
      <c r="GDJ518" s="332"/>
      <c r="GDK518" s="332"/>
      <c r="GDL518" s="332"/>
      <c r="GDM518" s="332"/>
      <c r="GDN518" s="332"/>
      <c r="GDO518" s="332"/>
      <c r="GDP518" s="332"/>
      <c r="GDQ518" s="332"/>
      <c r="GDR518" s="332"/>
      <c r="GDS518" s="332"/>
      <c r="GDT518" s="332"/>
      <c r="GDU518" s="332"/>
      <c r="GDV518" s="332"/>
      <c r="GDW518" s="332"/>
      <c r="GDX518" s="332"/>
      <c r="GDY518" s="332"/>
      <c r="GDZ518" s="332"/>
      <c r="GEA518" s="332"/>
      <c r="GEB518" s="332"/>
      <c r="GEC518" s="332"/>
      <c r="GED518" s="332"/>
      <c r="GEE518" s="332"/>
      <c r="GEF518" s="332"/>
      <c r="GEG518" s="332"/>
      <c r="GEH518" s="332"/>
      <c r="GEI518" s="332"/>
      <c r="GEJ518" s="332"/>
      <c r="GEK518" s="332"/>
      <c r="GEL518" s="332"/>
      <c r="GEM518" s="332"/>
      <c r="GEN518" s="332"/>
      <c r="GEO518" s="332"/>
      <c r="GEP518" s="332"/>
      <c r="GEQ518" s="332"/>
      <c r="GER518" s="332"/>
      <c r="GES518" s="332"/>
      <c r="GET518" s="332"/>
      <c r="GEU518" s="332"/>
      <c r="GEV518" s="332"/>
      <c r="GEW518" s="332"/>
      <c r="GEX518" s="332"/>
      <c r="GEY518" s="332"/>
      <c r="GEZ518" s="332"/>
      <c r="GFA518" s="332"/>
      <c r="GFB518" s="332"/>
      <c r="GFC518" s="332"/>
      <c r="GFD518" s="332"/>
      <c r="GFE518" s="332"/>
      <c r="GFF518" s="332"/>
      <c r="GFG518" s="332"/>
      <c r="GFH518" s="332"/>
      <c r="GFI518" s="332"/>
      <c r="GFJ518" s="332"/>
      <c r="GFK518" s="332"/>
      <c r="GFL518" s="332"/>
      <c r="GFM518" s="332"/>
      <c r="GFN518" s="332"/>
      <c r="GFO518" s="332"/>
      <c r="GFP518" s="332"/>
      <c r="GFQ518" s="332"/>
      <c r="GFR518" s="332"/>
      <c r="GFS518" s="332"/>
      <c r="GFT518" s="332"/>
      <c r="GFU518" s="332"/>
      <c r="GFV518" s="332"/>
      <c r="GFW518" s="332"/>
      <c r="GFX518" s="332"/>
      <c r="GFY518" s="332"/>
      <c r="GFZ518" s="332"/>
      <c r="GGA518" s="332"/>
      <c r="GGB518" s="332"/>
      <c r="GGC518" s="332"/>
      <c r="GGD518" s="332"/>
      <c r="GGE518" s="332"/>
      <c r="GGF518" s="332"/>
      <c r="GGG518" s="332"/>
      <c r="GGH518" s="332"/>
      <c r="GGI518" s="332"/>
      <c r="GGJ518" s="332"/>
      <c r="GGK518" s="332"/>
      <c r="GGL518" s="332"/>
      <c r="GGM518" s="332"/>
      <c r="GGN518" s="332"/>
      <c r="GGO518" s="332"/>
      <c r="GGP518" s="332"/>
      <c r="GGQ518" s="332"/>
      <c r="GGR518" s="332"/>
      <c r="GGS518" s="332"/>
      <c r="GGT518" s="332"/>
      <c r="GGU518" s="332"/>
      <c r="GGV518" s="332"/>
      <c r="GGW518" s="332"/>
      <c r="GGX518" s="332"/>
      <c r="GGY518" s="332"/>
      <c r="GGZ518" s="332"/>
      <c r="GHA518" s="332"/>
      <c r="GHB518" s="332"/>
      <c r="GHC518" s="332"/>
      <c r="GHD518" s="332"/>
      <c r="GHE518" s="332"/>
      <c r="GHF518" s="332"/>
      <c r="GHG518" s="332"/>
      <c r="GHH518" s="332"/>
      <c r="GHI518" s="332"/>
      <c r="GHJ518" s="332"/>
      <c r="GHK518" s="332"/>
      <c r="GHL518" s="332"/>
      <c r="GHM518" s="332"/>
      <c r="GHN518" s="332"/>
      <c r="GHO518" s="332"/>
      <c r="GHP518" s="332"/>
      <c r="GHQ518" s="332"/>
      <c r="GHR518" s="332"/>
      <c r="GHS518" s="332"/>
      <c r="GHT518" s="332"/>
      <c r="GHU518" s="332"/>
      <c r="GHV518" s="332"/>
      <c r="GHW518" s="332"/>
      <c r="GHX518" s="332"/>
      <c r="GHY518" s="332"/>
      <c r="GHZ518" s="332"/>
      <c r="GIA518" s="332"/>
      <c r="GIB518" s="332"/>
      <c r="GIC518" s="332"/>
      <c r="GID518" s="332"/>
      <c r="GIE518" s="332"/>
      <c r="GIF518" s="332"/>
      <c r="GIG518" s="332"/>
      <c r="GIH518" s="332"/>
      <c r="GII518" s="332"/>
      <c r="GIJ518" s="332"/>
      <c r="GIK518" s="332"/>
      <c r="GIL518" s="332"/>
      <c r="GIM518" s="332"/>
      <c r="GIN518" s="332"/>
      <c r="GIO518" s="332"/>
      <c r="GIP518" s="332"/>
      <c r="GIQ518" s="332"/>
      <c r="GIR518" s="332"/>
      <c r="GIS518" s="332"/>
      <c r="GIT518" s="332"/>
      <c r="GIU518" s="332"/>
      <c r="GIV518" s="332"/>
      <c r="GIW518" s="332"/>
      <c r="GIX518" s="332"/>
      <c r="GIY518" s="332"/>
      <c r="GIZ518" s="332"/>
      <c r="GJA518" s="332"/>
      <c r="GJB518" s="332"/>
      <c r="GJC518" s="332"/>
      <c r="GJD518" s="332"/>
      <c r="GJE518" s="332"/>
      <c r="GJF518" s="332"/>
      <c r="GJG518" s="332"/>
      <c r="GJH518" s="332"/>
      <c r="GJI518" s="332"/>
      <c r="GJJ518" s="332"/>
      <c r="GJK518" s="332"/>
      <c r="GJL518" s="332"/>
      <c r="GJM518" s="332"/>
      <c r="GJN518" s="332"/>
      <c r="GJO518" s="332"/>
      <c r="GJP518" s="332"/>
      <c r="GJQ518" s="332"/>
      <c r="GJR518" s="332"/>
      <c r="GJS518" s="332"/>
      <c r="GJT518" s="332"/>
      <c r="GJU518" s="332"/>
      <c r="GJV518" s="332"/>
      <c r="GJW518" s="332"/>
      <c r="GJX518" s="332"/>
      <c r="GJY518" s="332"/>
      <c r="GJZ518" s="332"/>
      <c r="GKA518" s="332"/>
      <c r="GKB518" s="332"/>
      <c r="GKC518" s="332"/>
      <c r="GKD518" s="332"/>
      <c r="GKE518" s="332"/>
      <c r="GKF518" s="332"/>
      <c r="GKG518" s="332"/>
      <c r="GKH518" s="332"/>
      <c r="GKI518" s="332"/>
      <c r="GKJ518" s="332"/>
      <c r="GKK518" s="332"/>
      <c r="GKL518" s="332"/>
      <c r="GKM518" s="332"/>
      <c r="GKN518" s="332"/>
      <c r="GKO518" s="332"/>
      <c r="GKP518" s="332"/>
      <c r="GKQ518" s="332"/>
      <c r="GKR518" s="332"/>
      <c r="GKS518" s="332"/>
      <c r="GKT518" s="332"/>
      <c r="GKU518" s="332"/>
      <c r="GKV518" s="332"/>
      <c r="GKW518" s="332"/>
      <c r="GKX518" s="332"/>
      <c r="GKY518" s="332"/>
      <c r="GKZ518" s="332"/>
      <c r="GLA518" s="332"/>
      <c r="GLB518" s="332"/>
      <c r="GLC518" s="332"/>
      <c r="GLD518" s="332"/>
      <c r="GLE518" s="332"/>
      <c r="GLF518" s="332"/>
      <c r="GLG518" s="332"/>
      <c r="GLH518" s="332"/>
      <c r="GLI518" s="332"/>
      <c r="GLJ518" s="332"/>
      <c r="GLK518" s="332"/>
      <c r="GLL518" s="332"/>
      <c r="GLM518" s="332"/>
      <c r="GLN518" s="332"/>
      <c r="GLO518" s="332"/>
      <c r="GLP518" s="332"/>
      <c r="GLQ518" s="332"/>
      <c r="GLR518" s="332"/>
      <c r="GLS518" s="332"/>
      <c r="GLT518" s="332"/>
      <c r="GLU518" s="332"/>
      <c r="GLV518" s="332"/>
      <c r="GLW518" s="332"/>
      <c r="GLX518" s="332"/>
      <c r="GLY518" s="332"/>
      <c r="GLZ518" s="332"/>
      <c r="GMA518" s="332"/>
      <c r="GMB518" s="332"/>
      <c r="GMC518" s="332"/>
      <c r="GMD518" s="332"/>
      <c r="GME518" s="332"/>
      <c r="GMF518" s="332"/>
      <c r="GMG518" s="332"/>
      <c r="GMH518" s="332"/>
      <c r="GMI518" s="332"/>
      <c r="GMJ518" s="332"/>
      <c r="GMK518" s="332"/>
      <c r="GML518" s="332"/>
      <c r="GMM518" s="332"/>
      <c r="GMN518" s="332"/>
      <c r="GMO518" s="332"/>
      <c r="GMP518" s="332"/>
      <c r="GMQ518" s="332"/>
      <c r="GMR518" s="332"/>
      <c r="GMS518" s="332"/>
      <c r="GMT518" s="332"/>
      <c r="GMU518" s="332"/>
      <c r="GMV518" s="332"/>
      <c r="GMW518" s="332"/>
      <c r="GMX518" s="332"/>
      <c r="GMY518" s="332"/>
      <c r="GMZ518" s="332"/>
      <c r="GNA518" s="332"/>
      <c r="GNB518" s="332"/>
      <c r="GNC518" s="332"/>
      <c r="GND518" s="332"/>
      <c r="GNE518" s="332"/>
      <c r="GNF518" s="332"/>
      <c r="GNG518" s="332"/>
      <c r="GNH518" s="332"/>
      <c r="GNI518" s="332"/>
      <c r="GNJ518" s="332"/>
      <c r="GNK518" s="332"/>
      <c r="GNL518" s="332"/>
      <c r="GNM518" s="332"/>
      <c r="GNN518" s="332"/>
      <c r="GNO518" s="332"/>
      <c r="GNP518" s="332"/>
      <c r="GNQ518" s="332"/>
      <c r="GNR518" s="332"/>
      <c r="GNS518" s="332"/>
      <c r="GNT518" s="332"/>
      <c r="GNU518" s="332"/>
      <c r="GNV518" s="332"/>
      <c r="GNW518" s="332"/>
      <c r="GNX518" s="332"/>
      <c r="GNY518" s="332"/>
      <c r="GNZ518" s="332"/>
      <c r="GOA518" s="332"/>
      <c r="GOB518" s="332"/>
      <c r="GOC518" s="332"/>
      <c r="GOD518" s="332"/>
      <c r="GOE518" s="332"/>
      <c r="GOF518" s="332"/>
      <c r="GOG518" s="332"/>
      <c r="GOH518" s="332"/>
      <c r="GOI518" s="332"/>
      <c r="GOJ518" s="332"/>
      <c r="GOK518" s="332"/>
      <c r="GOL518" s="332"/>
      <c r="GOM518" s="332"/>
      <c r="GON518" s="332"/>
      <c r="GOO518" s="332"/>
      <c r="GOP518" s="332"/>
      <c r="GOQ518" s="332"/>
      <c r="GOR518" s="332"/>
      <c r="GOS518" s="332"/>
      <c r="GOT518" s="332"/>
      <c r="GOU518" s="332"/>
      <c r="GOV518" s="332"/>
      <c r="GOW518" s="332"/>
      <c r="GOX518" s="332"/>
      <c r="GOY518" s="332"/>
      <c r="GOZ518" s="332"/>
      <c r="GPA518" s="332"/>
      <c r="GPB518" s="332"/>
      <c r="GPC518" s="332"/>
      <c r="GPD518" s="332"/>
      <c r="GPE518" s="332"/>
      <c r="GPF518" s="332"/>
      <c r="GPG518" s="332"/>
      <c r="GPH518" s="332"/>
      <c r="GPI518" s="332"/>
      <c r="GPJ518" s="332"/>
      <c r="GPK518" s="332"/>
      <c r="GPL518" s="332"/>
      <c r="GPM518" s="332"/>
      <c r="GPN518" s="332"/>
      <c r="GPO518" s="332"/>
      <c r="GPP518" s="332"/>
      <c r="GPQ518" s="332"/>
      <c r="GPR518" s="332"/>
      <c r="GPS518" s="332"/>
      <c r="GPT518" s="332"/>
      <c r="GPU518" s="332"/>
      <c r="GPV518" s="332"/>
      <c r="GPW518" s="332"/>
      <c r="GPX518" s="332"/>
      <c r="GPY518" s="332"/>
      <c r="GPZ518" s="332"/>
      <c r="GQA518" s="332"/>
      <c r="GQB518" s="332"/>
      <c r="GQC518" s="332"/>
      <c r="GQD518" s="332"/>
      <c r="GQE518" s="332"/>
      <c r="GQF518" s="332"/>
      <c r="GQG518" s="332"/>
      <c r="GQH518" s="332"/>
      <c r="GQI518" s="332"/>
      <c r="GQJ518" s="332"/>
      <c r="GQK518" s="332"/>
      <c r="GQL518" s="332"/>
      <c r="GQM518" s="332"/>
      <c r="GQN518" s="332"/>
      <c r="GQO518" s="332"/>
      <c r="GQP518" s="332"/>
      <c r="GQQ518" s="332"/>
      <c r="GQR518" s="332"/>
      <c r="GQS518" s="332"/>
      <c r="GQT518" s="332"/>
      <c r="GQU518" s="332"/>
      <c r="GQV518" s="332"/>
      <c r="GQW518" s="332"/>
      <c r="GQX518" s="332"/>
      <c r="GQY518" s="332"/>
      <c r="GQZ518" s="332"/>
      <c r="GRA518" s="332"/>
      <c r="GRB518" s="332"/>
      <c r="GRC518" s="332"/>
      <c r="GRD518" s="332"/>
      <c r="GRE518" s="332"/>
      <c r="GRF518" s="332"/>
      <c r="GRG518" s="332"/>
      <c r="GRH518" s="332"/>
      <c r="GRI518" s="332"/>
      <c r="GRJ518" s="332"/>
      <c r="GRK518" s="332"/>
      <c r="GRL518" s="332"/>
      <c r="GRM518" s="332"/>
      <c r="GRN518" s="332"/>
      <c r="GRO518" s="332"/>
      <c r="GRP518" s="332"/>
      <c r="GRQ518" s="332"/>
      <c r="GRR518" s="332"/>
      <c r="GRS518" s="332"/>
      <c r="GRT518" s="332"/>
      <c r="GRU518" s="332"/>
      <c r="GRV518" s="332"/>
      <c r="GRW518" s="332"/>
      <c r="GRX518" s="332"/>
      <c r="GRY518" s="332"/>
      <c r="GRZ518" s="332"/>
      <c r="GSA518" s="332"/>
      <c r="GSB518" s="332"/>
      <c r="GSC518" s="332"/>
      <c r="GSD518" s="332"/>
      <c r="GSE518" s="332"/>
      <c r="GSF518" s="332"/>
      <c r="GSG518" s="332"/>
      <c r="GSH518" s="332"/>
      <c r="GSI518" s="332"/>
      <c r="GSJ518" s="332"/>
      <c r="GSK518" s="332"/>
      <c r="GSL518" s="332"/>
      <c r="GSM518" s="332"/>
      <c r="GSN518" s="332"/>
      <c r="GSO518" s="332"/>
      <c r="GSP518" s="332"/>
      <c r="GSQ518" s="332"/>
      <c r="GSR518" s="332"/>
      <c r="GSS518" s="332"/>
      <c r="GST518" s="332"/>
      <c r="GSU518" s="332"/>
      <c r="GSV518" s="332"/>
      <c r="GSW518" s="332"/>
      <c r="GSX518" s="332"/>
      <c r="GSY518" s="332"/>
      <c r="GSZ518" s="332"/>
      <c r="GTA518" s="332"/>
      <c r="GTB518" s="332"/>
      <c r="GTC518" s="332"/>
      <c r="GTD518" s="332"/>
      <c r="GTE518" s="332"/>
      <c r="GTF518" s="332"/>
      <c r="GTG518" s="332"/>
      <c r="GTH518" s="332"/>
      <c r="GTI518" s="332"/>
      <c r="GTJ518" s="332"/>
      <c r="GTK518" s="332"/>
      <c r="GTL518" s="332"/>
      <c r="GTM518" s="332"/>
      <c r="GTN518" s="332"/>
      <c r="GTO518" s="332"/>
      <c r="GTP518" s="332"/>
      <c r="GTQ518" s="332"/>
      <c r="GTR518" s="332"/>
      <c r="GTS518" s="332"/>
      <c r="GTT518" s="332"/>
      <c r="GTU518" s="332"/>
      <c r="GTV518" s="332"/>
      <c r="GTW518" s="332"/>
      <c r="GTX518" s="332"/>
      <c r="GTY518" s="332"/>
      <c r="GTZ518" s="332"/>
      <c r="GUA518" s="332"/>
      <c r="GUB518" s="332"/>
      <c r="GUC518" s="332"/>
      <c r="GUD518" s="332"/>
      <c r="GUE518" s="332"/>
      <c r="GUF518" s="332"/>
      <c r="GUG518" s="332"/>
      <c r="GUH518" s="332"/>
      <c r="GUI518" s="332"/>
      <c r="GUJ518" s="332"/>
      <c r="GUK518" s="332"/>
      <c r="GUL518" s="332"/>
      <c r="GUM518" s="332"/>
      <c r="GUN518" s="332"/>
      <c r="GUO518" s="332"/>
      <c r="GUP518" s="332"/>
      <c r="GUQ518" s="332"/>
      <c r="GUR518" s="332"/>
      <c r="GUS518" s="332"/>
      <c r="GUT518" s="332"/>
      <c r="GUU518" s="332"/>
      <c r="GUV518" s="332"/>
      <c r="GUW518" s="332"/>
      <c r="GUX518" s="332"/>
      <c r="GUY518" s="332"/>
      <c r="GUZ518" s="332"/>
      <c r="GVA518" s="332"/>
      <c r="GVB518" s="332"/>
      <c r="GVC518" s="332"/>
      <c r="GVD518" s="332"/>
      <c r="GVE518" s="332"/>
      <c r="GVF518" s="332"/>
      <c r="GVG518" s="332"/>
      <c r="GVH518" s="332"/>
      <c r="GVI518" s="332"/>
      <c r="GVJ518" s="332"/>
      <c r="GVK518" s="332"/>
      <c r="GVL518" s="332"/>
      <c r="GVM518" s="332"/>
      <c r="GVN518" s="332"/>
      <c r="GVO518" s="332"/>
      <c r="GVP518" s="332"/>
      <c r="GVQ518" s="332"/>
      <c r="GVR518" s="332"/>
      <c r="GVS518" s="332"/>
      <c r="GVT518" s="332"/>
      <c r="GVU518" s="332"/>
      <c r="GVV518" s="332"/>
      <c r="GVW518" s="332"/>
      <c r="GVX518" s="332"/>
      <c r="GVY518" s="332"/>
      <c r="GVZ518" s="332"/>
      <c r="GWA518" s="332"/>
      <c r="GWB518" s="332"/>
      <c r="GWC518" s="332"/>
      <c r="GWD518" s="332"/>
      <c r="GWE518" s="332"/>
      <c r="GWF518" s="332"/>
      <c r="GWG518" s="332"/>
      <c r="GWH518" s="332"/>
      <c r="GWI518" s="332"/>
      <c r="GWJ518" s="332"/>
      <c r="GWK518" s="332"/>
      <c r="GWL518" s="332"/>
      <c r="GWM518" s="332"/>
      <c r="GWN518" s="332"/>
      <c r="GWO518" s="332"/>
      <c r="GWP518" s="332"/>
      <c r="GWQ518" s="332"/>
      <c r="GWR518" s="332"/>
      <c r="GWS518" s="332"/>
      <c r="GWT518" s="332"/>
      <c r="GWU518" s="332"/>
      <c r="GWV518" s="332"/>
      <c r="GWW518" s="332"/>
      <c r="GWX518" s="332"/>
      <c r="GWY518" s="332"/>
      <c r="GWZ518" s="332"/>
      <c r="GXA518" s="332"/>
      <c r="GXB518" s="332"/>
      <c r="GXC518" s="332"/>
      <c r="GXD518" s="332"/>
      <c r="GXE518" s="332"/>
      <c r="GXF518" s="332"/>
      <c r="GXG518" s="332"/>
      <c r="GXH518" s="332"/>
      <c r="GXI518" s="332"/>
      <c r="GXJ518" s="332"/>
      <c r="GXK518" s="332"/>
      <c r="GXL518" s="332"/>
      <c r="GXM518" s="332"/>
      <c r="GXN518" s="332"/>
      <c r="GXO518" s="332"/>
      <c r="GXP518" s="332"/>
      <c r="GXQ518" s="332"/>
      <c r="GXR518" s="332"/>
      <c r="GXS518" s="332"/>
      <c r="GXT518" s="332"/>
      <c r="GXU518" s="332"/>
      <c r="GXV518" s="332"/>
      <c r="GXW518" s="332"/>
      <c r="GXX518" s="332"/>
      <c r="GXY518" s="332"/>
      <c r="GXZ518" s="332"/>
      <c r="GYA518" s="332"/>
      <c r="GYB518" s="332"/>
      <c r="GYC518" s="332"/>
      <c r="GYD518" s="332"/>
      <c r="GYE518" s="332"/>
      <c r="GYF518" s="332"/>
      <c r="GYG518" s="332"/>
      <c r="GYH518" s="332"/>
      <c r="GYI518" s="332"/>
      <c r="GYJ518" s="332"/>
      <c r="GYK518" s="332"/>
      <c r="GYL518" s="332"/>
      <c r="GYM518" s="332"/>
      <c r="GYN518" s="332"/>
      <c r="GYO518" s="332"/>
      <c r="GYP518" s="332"/>
      <c r="GYQ518" s="332"/>
      <c r="GYR518" s="332"/>
      <c r="GYS518" s="332"/>
      <c r="GYT518" s="332"/>
      <c r="GYU518" s="332"/>
      <c r="GYV518" s="332"/>
      <c r="GYW518" s="332"/>
      <c r="GYX518" s="332"/>
      <c r="GYY518" s="332"/>
      <c r="GYZ518" s="332"/>
      <c r="GZA518" s="332"/>
      <c r="GZB518" s="332"/>
      <c r="GZC518" s="332"/>
      <c r="GZD518" s="332"/>
      <c r="GZE518" s="332"/>
      <c r="GZF518" s="332"/>
      <c r="GZG518" s="332"/>
      <c r="GZH518" s="332"/>
      <c r="GZI518" s="332"/>
      <c r="GZJ518" s="332"/>
      <c r="GZK518" s="332"/>
      <c r="GZL518" s="332"/>
      <c r="GZM518" s="332"/>
      <c r="GZN518" s="332"/>
      <c r="GZO518" s="332"/>
      <c r="GZP518" s="332"/>
      <c r="GZQ518" s="332"/>
      <c r="GZR518" s="332"/>
      <c r="GZS518" s="332"/>
      <c r="GZT518" s="332"/>
      <c r="GZU518" s="332"/>
      <c r="GZV518" s="332"/>
      <c r="GZW518" s="332"/>
      <c r="GZX518" s="332"/>
      <c r="GZY518" s="332"/>
      <c r="GZZ518" s="332"/>
      <c r="HAA518" s="332"/>
      <c r="HAB518" s="332"/>
      <c r="HAC518" s="332"/>
      <c r="HAD518" s="332"/>
      <c r="HAE518" s="332"/>
      <c r="HAF518" s="332"/>
      <c r="HAG518" s="332"/>
      <c r="HAH518" s="332"/>
      <c r="HAI518" s="332"/>
      <c r="HAJ518" s="332"/>
      <c r="HAK518" s="332"/>
      <c r="HAL518" s="332"/>
      <c r="HAM518" s="332"/>
      <c r="HAN518" s="332"/>
      <c r="HAO518" s="332"/>
      <c r="HAP518" s="332"/>
      <c r="HAQ518" s="332"/>
      <c r="HAR518" s="332"/>
      <c r="HAS518" s="332"/>
      <c r="HAT518" s="332"/>
      <c r="HAU518" s="332"/>
      <c r="HAV518" s="332"/>
      <c r="HAW518" s="332"/>
      <c r="HAX518" s="332"/>
      <c r="HAY518" s="332"/>
      <c r="HAZ518" s="332"/>
      <c r="HBA518" s="332"/>
      <c r="HBB518" s="332"/>
      <c r="HBC518" s="332"/>
      <c r="HBD518" s="332"/>
      <c r="HBE518" s="332"/>
      <c r="HBF518" s="332"/>
      <c r="HBG518" s="332"/>
      <c r="HBH518" s="332"/>
      <c r="HBI518" s="332"/>
      <c r="HBJ518" s="332"/>
      <c r="HBK518" s="332"/>
      <c r="HBL518" s="332"/>
      <c r="HBM518" s="332"/>
      <c r="HBN518" s="332"/>
      <c r="HBO518" s="332"/>
      <c r="HBP518" s="332"/>
      <c r="HBQ518" s="332"/>
      <c r="HBR518" s="332"/>
      <c r="HBS518" s="332"/>
      <c r="HBT518" s="332"/>
      <c r="HBU518" s="332"/>
      <c r="HBV518" s="332"/>
      <c r="HBW518" s="332"/>
      <c r="HBX518" s="332"/>
      <c r="HBY518" s="332"/>
      <c r="HBZ518" s="332"/>
      <c r="HCA518" s="332"/>
      <c r="HCB518" s="332"/>
      <c r="HCC518" s="332"/>
      <c r="HCD518" s="332"/>
      <c r="HCE518" s="332"/>
      <c r="HCF518" s="332"/>
      <c r="HCG518" s="332"/>
      <c r="HCH518" s="332"/>
      <c r="HCI518" s="332"/>
      <c r="HCJ518" s="332"/>
      <c r="HCK518" s="332"/>
      <c r="HCL518" s="332"/>
      <c r="HCM518" s="332"/>
      <c r="HCN518" s="332"/>
      <c r="HCO518" s="332"/>
      <c r="HCP518" s="332"/>
      <c r="HCQ518" s="332"/>
      <c r="HCR518" s="332"/>
      <c r="HCS518" s="332"/>
      <c r="HCT518" s="332"/>
      <c r="HCU518" s="332"/>
      <c r="HCV518" s="332"/>
      <c r="HCW518" s="332"/>
      <c r="HCX518" s="332"/>
      <c r="HCY518" s="332"/>
      <c r="HCZ518" s="332"/>
      <c r="HDA518" s="332"/>
      <c r="HDB518" s="332"/>
      <c r="HDC518" s="332"/>
      <c r="HDD518" s="332"/>
      <c r="HDE518" s="332"/>
      <c r="HDF518" s="332"/>
      <c r="HDG518" s="332"/>
      <c r="HDH518" s="332"/>
      <c r="HDI518" s="332"/>
      <c r="HDJ518" s="332"/>
      <c r="HDK518" s="332"/>
      <c r="HDL518" s="332"/>
      <c r="HDM518" s="332"/>
      <c r="HDN518" s="332"/>
      <c r="HDO518" s="332"/>
      <c r="HDP518" s="332"/>
      <c r="HDQ518" s="332"/>
      <c r="HDR518" s="332"/>
      <c r="HDS518" s="332"/>
      <c r="HDT518" s="332"/>
      <c r="HDU518" s="332"/>
      <c r="HDV518" s="332"/>
      <c r="HDW518" s="332"/>
      <c r="HDX518" s="332"/>
      <c r="HDY518" s="332"/>
      <c r="HDZ518" s="332"/>
      <c r="HEA518" s="332"/>
      <c r="HEB518" s="332"/>
      <c r="HEC518" s="332"/>
      <c r="HED518" s="332"/>
      <c r="HEE518" s="332"/>
      <c r="HEF518" s="332"/>
      <c r="HEG518" s="332"/>
      <c r="HEH518" s="332"/>
      <c r="HEI518" s="332"/>
      <c r="HEJ518" s="332"/>
      <c r="HEK518" s="332"/>
      <c r="HEL518" s="332"/>
      <c r="HEM518" s="332"/>
      <c r="HEN518" s="332"/>
      <c r="HEO518" s="332"/>
      <c r="HEP518" s="332"/>
      <c r="HEQ518" s="332"/>
      <c r="HER518" s="332"/>
      <c r="HES518" s="332"/>
      <c r="HET518" s="332"/>
      <c r="HEU518" s="332"/>
      <c r="HEV518" s="332"/>
      <c r="HEW518" s="332"/>
      <c r="HEX518" s="332"/>
      <c r="HEY518" s="332"/>
      <c r="HEZ518" s="332"/>
      <c r="HFA518" s="332"/>
      <c r="HFB518" s="332"/>
      <c r="HFC518" s="332"/>
      <c r="HFD518" s="332"/>
      <c r="HFE518" s="332"/>
      <c r="HFF518" s="332"/>
      <c r="HFG518" s="332"/>
      <c r="HFH518" s="332"/>
      <c r="HFI518" s="332"/>
      <c r="HFJ518" s="332"/>
      <c r="HFK518" s="332"/>
      <c r="HFL518" s="332"/>
      <c r="HFM518" s="332"/>
      <c r="HFN518" s="332"/>
      <c r="HFO518" s="332"/>
      <c r="HFP518" s="332"/>
      <c r="HFQ518" s="332"/>
      <c r="HFR518" s="332"/>
      <c r="HFS518" s="332"/>
      <c r="HFT518" s="332"/>
      <c r="HFU518" s="332"/>
      <c r="HFV518" s="332"/>
      <c r="HFW518" s="332"/>
      <c r="HFX518" s="332"/>
      <c r="HFY518" s="332"/>
      <c r="HFZ518" s="332"/>
      <c r="HGA518" s="332"/>
      <c r="HGB518" s="332"/>
      <c r="HGC518" s="332"/>
      <c r="HGD518" s="332"/>
      <c r="HGE518" s="332"/>
      <c r="HGF518" s="332"/>
      <c r="HGG518" s="332"/>
      <c r="HGH518" s="332"/>
      <c r="HGI518" s="332"/>
      <c r="HGJ518" s="332"/>
      <c r="HGK518" s="332"/>
      <c r="HGL518" s="332"/>
      <c r="HGM518" s="332"/>
      <c r="HGN518" s="332"/>
      <c r="HGO518" s="332"/>
      <c r="HGP518" s="332"/>
      <c r="HGQ518" s="332"/>
      <c r="HGR518" s="332"/>
      <c r="HGS518" s="332"/>
      <c r="HGT518" s="332"/>
      <c r="HGU518" s="332"/>
      <c r="HGV518" s="332"/>
      <c r="HGW518" s="332"/>
      <c r="HGX518" s="332"/>
      <c r="HGY518" s="332"/>
      <c r="HGZ518" s="332"/>
      <c r="HHA518" s="332"/>
      <c r="HHB518" s="332"/>
      <c r="HHC518" s="332"/>
      <c r="HHD518" s="332"/>
      <c r="HHE518" s="332"/>
      <c r="HHF518" s="332"/>
      <c r="HHG518" s="332"/>
      <c r="HHH518" s="332"/>
      <c r="HHI518" s="332"/>
      <c r="HHJ518" s="332"/>
      <c r="HHK518" s="332"/>
      <c r="HHL518" s="332"/>
      <c r="HHM518" s="332"/>
      <c r="HHN518" s="332"/>
      <c r="HHO518" s="332"/>
      <c r="HHP518" s="332"/>
      <c r="HHQ518" s="332"/>
      <c r="HHR518" s="332"/>
      <c r="HHS518" s="332"/>
      <c r="HHT518" s="332"/>
      <c r="HHU518" s="332"/>
      <c r="HHV518" s="332"/>
      <c r="HHW518" s="332"/>
      <c r="HHX518" s="332"/>
      <c r="HHY518" s="332"/>
      <c r="HHZ518" s="332"/>
      <c r="HIA518" s="332"/>
      <c r="HIB518" s="332"/>
      <c r="HIC518" s="332"/>
      <c r="HID518" s="332"/>
      <c r="HIE518" s="332"/>
      <c r="HIF518" s="332"/>
      <c r="HIG518" s="332"/>
      <c r="HIH518" s="332"/>
      <c r="HII518" s="332"/>
      <c r="HIJ518" s="332"/>
      <c r="HIK518" s="332"/>
      <c r="HIL518" s="332"/>
      <c r="HIM518" s="332"/>
      <c r="HIN518" s="332"/>
      <c r="HIO518" s="332"/>
      <c r="HIP518" s="332"/>
      <c r="HIQ518" s="332"/>
      <c r="HIR518" s="332"/>
      <c r="HIS518" s="332"/>
      <c r="HIT518" s="332"/>
      <c r="HIU518" s="332"/>
      <c r="HIV518" s="332"/>
      <c r="HIW518" s="332"/>
      <c r="HIX518" s="332"/>
      <c r="HIY518" s="332"/>
      <c r="HIZ518" s="332"/>
      <c r="HJA518" s="332"/>
      <c r="HJB518" s="332"/>
      <c r="HJC518" s="332"/>
      <c r="HJD518" s="332"/>
      <c r="HJE518" s="332"/>
      <c r="HJF518" s="332"/>
      <c r="HJG518" s="332"/>
      <c r="HJH518" s="332"/>
      <c r="HJI518" s="332"/>
      <c r="HJJ518" s="332"/>
      <c r="HJK518" s="332"/>
      <c r="HJL518" s="332"/>
      <c r="HJM518" s="332"/>
      <c r="HJN518" s="332"/>
      <c r="HJO518" s="332"/>
      <c r="HJP518" s="332"/>
      <c r="HJQ518" s="332"/>
      <c r="HJR518" s="332"/>
      <c r="HJS518" s="332"/>
      <c r="HJT518" s="332"/>
      <c r="HJU518" s="332"/>
      <c r="HJV518" s="332"/>
      <c r="HJW518" s="332"/>
      <c r="HJX518" s="332"/>
      <c r="HJY518" s="332"/>
      <c r="HJZ518" s="332"/>
      <c r="HKA518" s="332"/>
      <c r="HKB518" s="332"/>
      <c r="HKC518" s="332"/>
      <c r="HKD518" s="332"/>
      <c r="HKE518" s="332"/>
      <c r="HKF518" s="332"/>
      <c r="HKG518" s="332"/>
      <c r="HKH518" s="332"/>
      <c r="HKI518" s="332"/>
      <c r="HKJ518" s="332"/>
      <c r="HKK518" s="332"/>
      <c r="HKL518" s="332"/>
      <c r="HKM518" s="332"/>
      <c r="HKN518" s="332"/>
      <c r="HKO518" s="332"/>
      <c r="HKP518" s="332"/>
      <c r="HKQ518" s="332"/>
      <c r="HKR518" s="332"/>
      <c r="HKS518" s="332"/>
      <c r="HKT518" s="332"/>
      <c r="HKU518" s="332"/>
      <c r="HKV518" s="332"/>
      <c r="HKW518" s="332"/>
      <c r="HKX518" s="332"/>
      <c r="HKY518" s="332"/>
      <c r="HKZ518" s="332"/>
      <c r="HLA518" s="332"/>
      <c r="HLB518" s="332"/>
      <c r="HLC518" s="332"/>
      <c r="HLD518" s="332"/>
      <c r="HLE518" s="332"/>
      <c r="HLF518" s="332"/>
      <c r="HLG518" s="332"/>
      <c r="HLH518" s="332"/>
      <c r="HLI518" s="332"/>
      <c r="HLJ518" s="332"/>
      <c r="HLK518" s="332"/>
      <c r="HLL518" s="332"/>
      <c r="HLM518" s="332"/>
      <c r="HLN518" s="332"/>
      <c r="HLO518" s="332"/>
      <c r="HLP518" s="332"/>
      <c r="HLQ518" s="332"/>
      <c r="HLR518" s="332"/>
      <c r="HLS518" s="332"/>
      <c r="HLT518" s="332"/>
      <c r="HLU518" s="332"/>
      <c r="HLV518" s="332"/>
      <c r="HLW518" s="332"/>
      <c r="HLX518" s="332"/>
      <c r="HLY518" s="332"/>
      <c r="HLZ518" s="332"/>
      <c r="HMA518" s="332"/>
      <c r="HMB518" s="332"/>
      <c r="HMC518" s="332"/>
      <c r="HMD518" s="332"/>
      <c r="HME518" s="332"/>
      <c r="HMF518" s="332"/>
      <c r="HMG518" s="332"/>
      <c r="HMH518" s="332"/>
      <c r="HMI518" s="332"/>
      <c r="HMJ518" s="332"/>
      <c r="HMK518" s="332"/>
      <c r="HML518" s="332"/>
      <c r="HMM518" s="332"/>
      <c r="HMN518" s="332"/>
      <c r="HMO518" s="332"/>
      <c r="HMP518" s="332"/>
      <c r="HMQ518" s="332"/>
      <c r="HMR518" s="332"/>
      <c r="HMS518" s="332"/>
      <c r="HMT518" s="332"/>
      <c r="HMU518" s="332"/>
      <c r="HMV518" s="332"/>
      <c r="HMW518" s="332"/>
      <c r="HMX518" s="332"/>
      <c r="HMY518" s="332"/>
      <c r="HMZ518" s="332"/>
      <c r="HNA518" s="332"/>
      <c r="HNB518" s="332"/>
      <c r="HNC518" s="332"/>
      <c r="HND518" s="332"/>
      <c r="HNE518" s="332"/>
      <c r="HNF518" s="332"/>
      <c r="HNG518" s="332"/>
      <c r="HNH518" s="332"/>
      <c r="HNI518" s="332"/>
      <c r="HNJ518" s="332"/>
      <c r="HNK518" s="332"/>
      <c r="HNL518" s="332"/>
      <c r="HNM518" s="332"/>
      <c r="HNN518" s="332"/>
      <c r="HNO518" s="332"/>
      <c r="HNP518" s="332"/>
      <c r="HNQ518" s="332"/>
      <c r="HNR518" s="332"/>
      <c r="HNS518" s="332"/>
      <c r="HNT518" s="332"/>
      <c r="HNU518" s="332"/>
      <c r="HNV518" s="332"/>
      <c r="HNW518" s="332"/>
      <c r="HNX518" s="332"/>
      <c r="HNY518" s="332"/>
      <c r="HNZ518" s="332"/>
      <c r="HOA518" s="332"/>
      <c r="HOB518" s="332"/>
      <c r="HOC518" s="332"/>
      <c r="HOD518" s="332"/>
      <c r="HOE518" s="332"/>
      <c r="HOF518" s="332"/>
      <c r="HOG518" s="332"/>
      <c r="HOH518" s="332"/>
      <c r="HOI518" s="332"/>
      <c r="HOJ518" s="332"/>
      <c r="HOK518" s="332"/>
      <c r="HOL518" s="332"/>
      <c r="HOM518" s="332"/>
      <c r="HON518" s="332"/>
      <c r="HOO518" s="332"/>
      <c r="HOP518" s="332"/>
      <c r="HOQ518" s="332"/>
      <c r="HOR518" s="332"/>
      <c r="HOS518" s="332"/>
      <c r="HOT518" s="332"/>
      <c r="HOU518" s="332"/>
      <c r="HOV518" s="332"/>
      <c r="HOW518" s="332"/>
      <c r="HOX518" s="332"/>
      <c r="HOY518" s="332"/>
      <c r="HOZ518" s="332"/>
      <c r="HPA518" s="332"/>
      <c r="HPB518" s="332"/>
      <c r="HPC518" s="332"/>
      <c r="HPD518" s="332"/>
      <c r="HPE518" s="332"/>
      <c r="HPF518" s="332"/>
      <c r="HPG518" s="332"/>
      <c r="HPH518" s="332"/>
      <c r="HPI518" s="332"/>
      <c r="HPJ518" s="332"/>
      <c r="HPK518" s="332"/>
      <c r="HPL518" s="332"/>
      <c r="HPM518" s="332"/>
      <c r="HPN518" s="332"/>
      <c r="HPO518" s="332"/>
      <c r="HPP518" s="332"/>
      <c r="HPQ518" s="332"/>
      <c r="HPR518" s="332"/>
      <c r="HPS518" s="332"/>
      <c r="HPT518" s="332"/>
      <c r="HPU518" s="332"/>
      <c r="HPV518" s="332"/>
      <c r="HPW518" s="332"/>
      <c r="HPX518" s="332"/>
      <c r="HPY518" s="332"/>
      <c r="HPZ518" s="332"/>
      <c r="HQA518" s="332"/>
      <c r="HQB518" s="332"/>
      <c r="HQC518" s="332"/>
      <c r="HQD518" s="332"/>
      <c r="HQE518" s="332"/>
      <c r="HQF518" s="332"/>
      <c r="HQG518" s="332"/>
      <c r="HQH518" s="332"/>
      <c r="HQI518" s="332"/>
      <c r="HQJ518" s="332"/>
      <c r="HQK518" s="332"/>
      <c r="HQL518" s="332"/>
      <c r="HQM518" s="332"/>
      <c r="HQN518" s="332"/>
      <c r="HQO518" s="332"/>
      <c r="HQP518" s="332"/>
      <c r="HQQ518" s="332"/>
      <c r="HQR518" s="332"/>
      <c r="HQS518" s="332"/>
      <c r="HQT518" s="332"/>
      <c r="HQU518" s="332"/>
      <c r="HQV518" s="332"/>
      <c r="HQW518" s="332"/>
      <c r="HQX518" s="332"/>
      <c r="HQY518" s="332"/>
      <c r="HQZ518" s="332"/>
      <c r="HRA518" s="332"/>
      <c r="HRB518" s="332"/>
      <c r="HRC518" s="332"/>
      <c r="HRD518" s="332"/>
      <c r="HRE518" s="332"/>
      <c r="HRF518" s="332"/>
      <c r="HRG518" s="332"/>
      <c r="HRH518" s="332"/>
      <c r="HRI518" s="332"/>
      <c r="HRJ518" s="332"/>
      <c r="HRK518" s="332"/>
      <c r="HRL518" s="332"/>
      <c r="HRM518" s="332"/>
      <c r="HRN518" s="332"/>
      <c r="HRO518" s="332"/>
      <c r="HRP518" s="332"/>
      <c r="HRQ518" s="332"/>
      <c r="HRR518" s="332"/>
      <c r="HRS518" s="332"/>
      <c r="HRT518" s="332"/>
      <c r="HRU518" s="332"/>
      <c r="HRV518" s="332"/>
      <c r="HRW518" s="332"/>
      <c r="HRX518" s="332"/>
      <c r="HRY518" s="332"/>
      <c r="HRZ518" s="332"/>
      <c r="HSA518" s="332"/>
      <c r="HSB518" s="332"/>
      <c r="HSC518" s="332"/>
      <c r="HSD518" s="332"/>
      <c r="HSE518" s="332"/>
      <c r="HSF518" s="332"/>
      <c r="HSG518" s="332"/>
      <c r="HSH518" s="332"/>
      <c r="HSI518" s="332"/>
      <c r="HSJ518" s="332"/>
      <c r="HSK518" s="332"/>
      <c r="HSL518" s="332"/>
      <c r="HSM518" s="332"/>
      <c r="HSN518" s="332"/>
      <c r="HSO518" s="332"/>
      <c r="HSP518" s="332"/>
      <c r="HSQ518" s="332"/>
      <c r="HSR518" s="332"/>
      <c r="HSS518" s="332"/>
      <c r="HST518" s="332"/>
      <c r="HSU518" s="332"/>
      <c r="HSV518" s="332"/>
      <c r="HSW518" s="332"/>
      <c r="HSX518" s="332"/>
      <c r="HSY518" s="332"/>
      <c r="HSZ518" s="332"/>
      <c r="HTA518" s="332"/>
      <c r="HTB518" s="332"/>
      <c r="HTC518" s="332"/>
      <c r="HTD518" s="332"/>
      <c r="HTE518" s="332"/>
      <c r="HTF518" s="332"/>
      <c r="HTG518" s="332"/>
      <c r="HTH518" s="332"/>
      <c r="HTI518" s="332"/>
      <c r="HTJ518" s="332"/>
      <c r="HTK518" s="332"/>
      <c r="HTL518" s="332"/>
      <c r="HTM518" s="332"/>
      <c r="HTN518" s="332"/>
      <c r="HTO518" s="332"/>
      <c r="HTP518" s="332"/>
      <c r="HTQ518" s="332"/>
      <c r="HTR518" s="332"/>
      <c r="HTS518" s="332"/>
      <c r="HTT518" s="332"/>
      <c r="HTU518" s="332"/>
      <c r="HTV518" s="332"/>
      <c r="HTW518" s="332"/>
      <c r="HTX518" s="332"/>
      <c r="HTY518" s="332"/>
      <c r="HTZ518" s="332"/>
      <c r="HUA518" s="332"/>
      <c r="HUB518" s="332"/>
      <c r="HUC518" s="332"/>
      <c r="HUD518" s="332"/>
      <c r="HUE518" s="332"/>
      <c r="HUF518" s="332"/>
      <c r="HUG518" s="332"/>
      <c r="HUH518" s="332"/>
      <c r="HUI518" s="332"/>
      <c r="HUJ518" s="332"/>
      <c r="HUK518" s="332"/>
      <c r="HUL518" s="332"/>
      <c r="HUM518" s="332"/>
      <c r="HUN518" s="332"/>
      <c r="HUO518" s="332"/>
      <c r="HUP518" s="332"/>
      <c r="HUQ518" s="332"/>
      <c r="HUR518" s="332"/>
      <c r="HUS518" s="332"/>
      <c r="HUT518" s="332"/>
      <c r="HUU518" s="332"/>
      <c r="HUV518" s="332"/>
      <c r="HUW518" s="332"/>
      <c r="HUX518" s="332"/>
      <c r="HUY518" s="332"/>
      <c r="HUZ518" s="332"/>
      <c r="HVA518" s="332"/>
      <c r="HVB518" s="332"/>
      <c r="HVC518" s="332"/>
      <c r="HVD518" s="332"/>
      <c r="HVE518" s="332"/>
      <c r="HVF518" s="332"/>
      <c r="HVG518" s="332"/>
      <c r="HVH518" s="332"/>
      <c r="HVI518" s="332"/>
      <c r="HVJ518" s="332"/>
      <c r="HVK518" s="332"/>
      <c r="HVL518" s="332"/>
      <c r="HVM518" s="332"/>
      <c r="HVN518" s="332"/>
      <c r="HVO518" s="332"/>
      <c r="HVP518" s="332"/>
      <c r="HVQ518" s="332"/>
      <c r="HVR518" s="332"/>
      <c r="HVS518" s="332"/>
      <c r="HVT518" s="332"/>
      <c r="HVU518" s="332"/>
      <c r="HVV518" s="332"/>
      <c r="HVW518" s="332"/>
      <c r="HVX518" s="332"/>
      <c r="HVY518" s="332"/>
      <c r="HVZ518" s="332"/>
      <c r="HWA518" s="332"/>
      <c r="HWB518" s="332"/>
      <c r="HWC518" s="332"/>
      <c r="HWD518" s="332"/>
      <c r="HWE518" s="332"/>
      <c r="HWF518" s="332"/>
      <c r="HWG518" s="332"/>
      <c r="HWH518" s="332"/>
      <c r="HWI518" s="332"/>
      <c r="HWJ518" s="332"/>
      <c r="HWK518" s="332"/>
      <c r="HWL518" s="332"/>
      <c r="HWM518" s="332"/>
      <c r="HWN518" s="332"/>
      <c r="HWO518" s="332"/>
      <c r="HWP518" s="332"/>
      <c r="HWQ518" s="332"/>
      <c r="HWR518" s="332"/>
      <c r="HWS518" s="332"/>
      <c r="HWT518" s="332"/>
      <c r="HWU518" s="332"/>
      <c r="HWV518" s="332"/>
      <c r="HWW518" s="332"/>
      <c r="HWX518" s="332"/>
      <c r="HWY518" s="332"/>
      <c r="HWZ518" s="332"/>
      <c r="HXA518" s="332"/>
      <c r="HXB518" s="332"/>
      <c r="HXC518" s="332"/>
      <c r="HXD518" s="332"/>
      <c r="HXE518" s="332"/>
      <c r="HXF518" s="332"/>
      <c r="HXG518" s="332"/>
      <c r="HXH518" s="332"/>
      <c r="HXI518" s="332"/>
      <c r="HXJ518" s="332"/>
      <c r="HXK518" s="332"/>
      <c r="HXL518" s="332"/>
      <c r="HXM518" s="332"/>
      <c r="HXN518" s="332"/>
      <c r="HXO518" s="332"/>
      <c r="HXP518" s="332"/>
      <c r="HXQ518" s="332"/>
      <c r="HXR518" s="332"/>
      <c r="HXS518" s="332"/>
      <c r="HXT518" s="332"/>
      <c r="HXU518" s="332"/>
      <c r="HXV518" s="332"/>
      <c r="HXW518" s="332"/>
      <c r="HXX518" s="332"/>
      <c r="HXY518" s="332"/>
      <c r="HXZ518" s="332"/>
      <c r="HYA518" s="332"/>
      <c r="HYB518" s="332"/>
      <c r="HYC518" s="332"/>
      <c r="HYD518" s="332"/>
      <c r="HYE518" s="332"/>
      <c r="HYF518" s="332"/>
      <c r="HYG518" s="332"/>
      <c r="HYH518" s="332"/>
      <c r="HYI518" s="332"/>
      <c r="HYJ518" s="332"/>
      <c r="HYK518" s="332"/>
      <c r="HYL518" s="332"/>
      <c r="HYM518" s="332"/>
      <c r="HYN518" s="332"/>
      <c r="HYO518" s="332"/>
      <c r="HYP518" s="332"/>
      <c r="HYQ518" s="332"/>
      <c r="HYR518" s="332"/>
      <c r="HYS518" s="332"/>
      <c r="HYT518" s="332"/>
      <c r="HYU518" s="332"/>
      <c r="HYV518" s="332"/>
      <c r="HYW518" s="332"/>
      <c r="HYX518" s="332"/>
      <c r="HYY518" s="332"/>
      <c r="HYZ518" s="332"/>
      <c r="HZA518" s="332"/>
      <c r="HZB518" s="332"/>
      <c r="HZC518" s="332"/>
      <c r="HZD518" s="332"/>
      <c r="HZE518" s="332"/>
      <c r="HZF518" s="332"/>
      <c r="HZG518" s="332"/>
      <c r="HZH518" s="332"/>
      <c r="HZI518" s="332"/>
      <c r="HZJ518" s="332"/>
      <c r="HZK518" s="332"/>
      <c r="HZL518" s="332"/>
      <c r="HZM518" s="332"/>
      <c r="HZN518" s="332"/>
      <c r="HZO518" s="332"/>
      <c r="HZP518" s="332"/>
      <c r="HZQ518" s="332"/>
      <c r="HZR518" s="332"/>
      <c r="HZS518" s="332"/>
      <c r="HZT518" s="332"/>
      <c r="HZU518" s="332"/>
      <c r="HZV518" s="332"/>
      <c r="HZW518" s="332"/>
      <c r="HZX518" s="332"/>
      <c r="HZY518" s="332"/>
      <c r="HZZ518" s="332"/>
      <c r="IAA518" s="332"/>
      <c r="IAB518" s="332"/>
      <c r="IAC518" s="332"/>
      <c r="IAD518" s="332"/>
      <c r="IAE518" s="332"/>
      <c r="IAF518" s="332"/>
      <c r="IAG518" s="332"/>
      <c r="IAH518" s="332"/>
      <c r="IAI518" s="332"/>
      <c r="IAJ518" s="332"/>
      <c r="IAK518" s="332"/>
      <c r="IAL518" s="332"/>
      <c r="IAM518" s="332"/>
      <c r="IAN518" s="332"/>
      <c r="IAO518" s="332"/>
      <c r="IAP518" s="332"/>
      <c r="IAQ518" s="332"/>
      <c r="IAR518" s="332"/>
      <c r="IAS518" s="332"/>
      <c r="IAT518" s="332"/>
      <c r="IAU518" s="332"/>
      <c r="IAV518" s="332"/>
      <c r="IAW518" s="332"/>
      <c r="IAX518" s="332"/>
      <c r="IAY518" s="332"/>
      <c r="IAZ518" s="332"/>
      <c r="IBA518" s="332"/>
      <c r="IBB518" s="332"/>
      <c r="IBC518" s="332"/>
      <c r="IBD518" s="332"/>
      <c r="IBE518" s="332"/>
      <c r="IBF518" s="332"/>
      <c r="IBG518" s="332"/>
      <c r="IBH518" s="332"/>
      <c r="IBI518" s="332"/>
      <c r="IBJ518" s="332"/>
      <c r="IBK518" s="332"/>
      <c r="IBL518" s="332"/>
      <c r="IBM518" s="332"/>
      <c r="IBN518" s="332"/>
      <c r="IBO518" s="332"/>
      <c r="IBP518" s="332"/>
      <c r="IBQ518" s="332"/>
      <c r="IBR518" s="332"/>
      <c r="IBS518" s="332"/>
      <c r="IBT518" s="332"/>
      <c r="IBU518" s="332"/>
      <c r="IBV518" s="332"/>
      <c r="IBW518" s="332"/>
      <c r="IBX518" s="332"/>
      <c r="IBY518" s="332"/>
      <c r="IBZ518" s="332"/>
      <c r="ICA518" s="332"/>
      <c r="ICB518" s="332"/>
      <c r="ICC518" s="332"/>
      <c r="ICD518" s="332"/>
      <c r="ICE518" s="332"/>
      <c r="ICF518" s="332"/>
      <c r="ICG518" s="332"/>
      <c r="ICH518" s="332"/>
      <c r="ICI518" s="332"/>
      <c r="ICJ518" s="332"/>
      <c r="ICK518" s="332"/>
      <c r="ICL518" s="332"/>
      <c r="ICM518" s="332"/>
      <c r="ICN518" s="332"/>
      <c r="ICO518" s="332"/>
      <c r="ICP518" s="332"/>
      <c r="ICQ518" s="332"/>
      <c r="ICR518" s="332"/>
      <c r="ICS518" s="332"/>
      <c r="ICT518" s="332"/>
      <c r="ICU518" s="332"/>
      <c r="ICV518" s="332"/>
      <c r="ICW518" s="332"/>
      <c r="ICX518" s="332"/>
      <c r="ICY518" s="332"/>
      <c r="ICZ518" s="332"/>
      <c r="IDA518" s="332"/>
      <c r="IDB518" s="332"/>
      <c r="IDC518" s="332"/>
      <c r="IDD518" s="332"/>
      <c r="IDE518" s="332"/>
      <c r="IDF518" s="332"/>
      <c r="IDG518" s="332"/>
      <c r="IDH518" s="332"/>
      <c r="IDI518" s="332"/>
      <c r="IDJ518" s="332"/>
      <c r="IDK518" s="332"/>
      <c r="IDL518" s="332"/>
      <c r="IDM518" s="332"/>
      <c r="IDN518" s="332"/>
      <c r="IDO518" s="332"/>
      <c r="IDP518" s="332"/>
      <c r="IDQ518" s="332"/>
      <c r="IDR518" s="332"/>
      <c r="IDS518" s="332"/>
      <c r="IDT518" s="332"/>
      <c r="IDU518" s="332"/>
      <c r="IDV518" s="332"/>
      <c r="IDW518" s="332"/>
      <c r="IDX518" s="332"/>
      <c r="IDY518" s="332"/>
      <c r="IDZ518" s="332"/>
      <c r="IEA518" s="332"/>
      <c r="IEB518" s="332"/>
      <c r="IEC518" s="332"/>
      <c r="IED518" s="332"/>
      <c r="IEE518" s="332"/>
      <c r="IEF518" s="332"/>
      <c r="IEG518" s="332"/>
      <c r="IEH518" s="332"/>
      <c r="IEI518" s="332"/>
      <c r="IEJ518" s="332"/>
      <c r="IEK518" s="332"/>
      <c r="IEL518" s="332"/>
      <c r="IEM518" s="332"/>
      <c r="IEN518" s="332"/>
      <c r="IEO518" s="332"/>
      <c r="IEP518" s="332"/>
      <c r="IEQ518" s="332"/>
      <c r="IER518" s="332"/>
      <c r="IES518" s="332"/>
      <c r="IET518" s="332"/>
      <c r="IEU518" s="332"/>
      <c r="IEV518" s="332"/>
      <c r="IEW518" s="332"/>
      <c r="IEX518" s="332"/>
      <c r="IEY518" s="332"/>
      <c r="IEZ518" s="332"/>
      <c r="IFA518" s="332"/>
      <c r="IFB518" s="332"/>
      <c r="IFC518" s="332"/>
      <c r="IFD518" s="332"/>
      <c r="IFE518" s="332"/>
      <c r="IFF518" s="332"/>
      <c r="IFG518" s="332"/>
      <c r="IFH518" s="332"/>
      <c r="IFI518" s="332"/>
      <c r="IFJ518" s="332"/>
      <c r="IFK518" s="332"/>
      <c r="IFL518" s="332"/>
      <c r="IFM518" s="332"/>
      <c r="IFN518" s="332"/>
      <c r="IFO518" s="332"/>
      <c r="IFP518" s="332"/>
      <c r="IFQ518" s="332"/>
      <c r="IFR518" s="332"/>
      <c r="IFS518" s="332"/>
      <c r="IFT518" s="332"/>
      <c r="IFU518" s="332"/>
      <c r="IFV518" s="332"/>
      <c r="IFW518" s="332"/>
      <c r="IFX518" s="332"/>
      <c r="IFY518" s="332"/>
      <c r="IFZ518" s="332"/>
      <c r="IGA518" s="332"/>
      <c r="IGB518" s="332"/>
      <c r="IGC518" s="332"/>
      <c r="IGD518" s="332"/>
      <c r="IGE518" s="332"/>
      <c r="IGF518" s="332"/>
      <c r="IGG518" s="332"/>
      <c r="IGH518" s="332"/>
      <c r="IGI518" s="332"/>
      <c r="IGJ518" s="332"/>
      <c r="IGK518" s="332"/>
      <c r="IGL518" s="332"/>
      <c r="IGM518" s="332"/>
      <c r="IGN518" s="332"/>
      <c r="IGO518" s="332"/>
      <c r="IGP518" s="332"/>
      <c r="IGQ518" s="332"/>
      <c r="IGR518" s="332"/>
      <c r="IGS518" s="332"/>
      <c r="IGT518" s="332"/>
      <c r="IGU518" s="332"/>
      <c r="IGV518" s="332"/>
      <c r="IGW518" s="332"/>
      <c r="IGX518" s="332"/>
      <c r="IGY518" s="332"/>
      <c r="IGZ518" s="332"/>
      <c r="IHA518" s="332"/>
      <c r="IHB518" s="332"/>
      <c r="IHC518" s="332"/>
      <c r="IHD518" s="332"/>
      <c r="IHE518" s="332"/>
      <c r="IHF518" s="332"/>
      <c r="IHG518" s="332"/>
      <c r="IHH518" s="332"/>
      <c r="IHI518" s="332"/>
      <c r="IHJ518" s="332"/>
      <c r="IHK518" s="332"/>
      <c r="IHL518" s="332"/>
      <c r="IHM518" s="332"/>
      <c r="IHN518" s="332"/>
      <c r="IHO518" s="332"/>
      <c r="IHP518" s="332"/>
      <c r="IHQ518" s="332"/>
      <c r="IHR518" s="332"/>
      <c r="IHS518" s="332"/>
      <c r="IHT518" s="332"/>
      <c r="IHU518" s="332"/>
      <c r="IHV518" s="332"/>
      <c r="IHW518" s="332"/>
      <c r="IHX518" s="332"/>
      <c r="IHY518" s="332"/>
      <c r="IHZ518" s="332"/>
      <c r="IIA518" s="332"/>
      <c r="IIB518" s="332"/>
      <c r="IIC518" s="332"/>
      <c r="IID518" s="332"/>
      <c r="IIE518" s="332"/>
      <c r="IIF518" s="332"/>
      <c r="IIG518" s="332"/>
      <c r="IIH518" s="332"/>
      <c r="III518" s="332"/>
      <c r="IIJ518" s="332"/>
      <c r="IIK518" s="332"/>
      <c r="IIL518" s="332"/>
      <c r="IIM518" s="332"/>
      <c r="IIN518" s="332"/>
      <c r="IIO518" s="332"/>
      <c r="IIP518" s="332"/>
      <c r="IIQ518" s="332"/>
      <c r="IIR518" s="332"/>
      <c r="IIS518" s="332"/>
      <c r="IIT518" s="332"/>
      <c r="IIU518" s="332"/>
      <c r="IIV518" s="332"/>
      <c r="IIW518" s="332"/>
      <c r="IIX518" s="332"/>
      <c r="IIY518" s="332"/>
      <c r="IIZ518" s="332"/>
      <c r="IJA518" s="332"/>
      <c r="IJB518" s="332"/>
      <c r="IJC518" s="332"/>
      <c r="IJD518" s="332"/>
      <c r="IJE518" s="332"/>
      <c r="IJF518" s="332"/>
      <c r="IJG518" s="332"/>
      <c r="IJH518" s="332"/>
      <c r="IJI518" s="332"/>
      <c r="IJJ518" s="332"/>
      <c r="IJK518" s="332"/>
      <c r="IJL518" s="332"/>
      <c r="IJM518" s="332"/>
      <c r="IJN518" s="332"/>
      <c r="IJO518" s="332"/>
      <c r="IJP518" s="332"/>
      <c r="IJQ518" s="332"/>
      <c r="IJR518" s="332"/>
      <c r="IJS518" s="332"/>
      <c r="IJT518" s="332"/>
      <c r="IJU518" s="332"/>
      <c r="IJV518" s="332"/>
      <c r="IJW518" s="332"/>
      <c r="IJX518" s="332"/>
      <c r="IJY518" s="332"/>
      <c r="IJZ518" s="332"/>
      <c r="IKA518" s="332"/>
      <c r="IKB518" s="332"/>
      <c r="IKC518" s="332"/>
      <c r="IKD518" s="332"/>
      <c r="IKE518" s="332"/>
      <c r="IKF518" s="332"/>
      <c r="IKG518" s="332"/>
      <c r="IKH518" s="332"/>
      <c r="IKI518" s="332"/>
      <c r="IKJ518" s="332"/>
      <c r="IKK518" s="332"/>
      <c r="IKL518" s="332"/>
      <c r="IKM518" s="332"/>
      <c r="IKN518" s="332"/>
      <c r="IKO518" s="332"/>
      <c r="IKP518" s="332"/>
      <c r="IKQ518" s="332"/>
      <c r="IKR518" s="332"/>
      <c r="IKS518" s="332"/>
      <c r="IKT518" s="332"/>
      <c r="IKU518" s="332"/>
      <c r="IKV518" s="332"/>
      <c r="IKW518" s="332"/>
      <c r="IKX518" s="332"/>
      <c r="IKY518" s="332"/>
      <c r="IKZ518" s="332"/>
      <c r="ILA518" s="332"/>
      <c r="ILB518" s="332"/>
      <c r="ILC518" s="332"/>
      <c r="ILD518" s="332"/>
      <c r="ILE518" s="332"/>
      <c r="ILF518" s="332"/>
      <c r="ILG518" s="332"/>
      <c r="ILH518" s="332"/>
      <c r="ILI518" s="332"/>
      <c r="ILJ518" s="332"/>
      <c r="ILK518" s="332"/>
      <c r="ILL518" s="332"/>
      <c r="ILM518" s="332"/>
      <c r="ILN518" s="332"/>
      <c r="ILO518" s="332"/>
      <c r="ILP518" s="332"/>
      <c r="ILQ518" s="332"/>
      <c r="ILR518" s="332"/>
      <c r="ILS518" s="332"/>
      <c r="ILT518" s="332"/>
      <c r="ILU518" s="332"/>
      <c r="ILV518" s="332"/>
      <c r="ILW518" s="332"/>
      <c r="ILX518" s="332"/>
      <c r="ILY518" s="332"/>
      <c r="ILZ518" s="332"/>
      <c r="IMA518" s="332"/>
      <c r="IMB518" s="332"/>
      <c r="IMC518" s="332"/>
      <c r="IMD518" s="332"/>
      <c r="IME518" s="332"/>
      <c r="IMF518" s="332"/>
      <c r="IMG518" s="332"/>
      <c r="IMH518" s="332"/>
      <c r="IMI518" s="332"/>
      <c r="IMJ518" s="332"/>
      <c r="IMK518" s="332"/>
      <c r="IML518" s="332"/>
      <c r="IMM518" s="332"/>
      <c r="IMN518" s="332"/>
      <c r="IMO518" s="332"/>
      <c r="IMP518" s="332"/>
      <c r="IMQ518" s="332"/>
      <c r="IMR518" s="332"/>
      <c r="IMS518" s="332"/>
      <c r="IMT518" s="332"/>
      <c r="IMU518" s="332"/>
      <c r="IMV518" s="332"/>
      <c r="IMW518" s="332"/>
      <c r="IMX518" s="332"/>
      <c r="IMY518" s="332"/>
      <c r="IMZ518" s="332"/>
      <c r="INA518" s="332"/>
      <c r="INB518" s="332"/>
      <c r="INC518" s="332"/>
      <c r="IND518" s="332"/>
      <c r="INE518" s="332"/>
      <c r="INF518" s="332"/>
      <c r="ING518" s="332"/>
      <c r="INH518" s="332"/>
      <c r="INI518" s="332"/>
      <c r="INJ518" s="332"/>
      <c r="INK518" s="332"/>
      <c r="INL518" s="332"/>
      <c r="INM518" s="332"/>
      <c r="INN518" s="332"/>
      <c r="INO518" s="332"/>
      <c r="INP518" s="332"/>
      <c r="INQ518" s="332"/>
      <c r="INR518" s="332"/>
      <c r="INS518" s="332"/>
      <c r="INT518" s="332"/>
      <c r="INU518" s="332"/>
      <c r="INV518" s="332"/>
      <c r="INW518" s="332"/>
      <c r="INX518" s="332"/>
      <c r="INY518" s="332"/>
      <c r="INZ518" s="332"/>
      <c r="IOA518" s="332"/>
      <c r="IOB518" s="332"/>
      <c r="IOC518" s="332"/>
      <c r="IOD518" s="332"/>
      <c r="IOE518" s="332"/>
      <c r="IOF518" s="332"/>
      <c r="IOG518" s="332"/>
      <c r="IOH518" s="332"/>
      <c r="IOI518" s="332"/>
      <c r="IOJ518" s="332"/>
      <c r="IOK518" s="332"/>
      <c r="IOL518" s="332"/>
      <c r="IOM518" s="332"/>
      <c r="ION518" s="332"/>
      <c r="IOO518" s="332"/>
      <c r="IOP518" s="332"/>
      <c r="IOQ518" s="332"/>
      <c r="IOR518" s="332"/>
      <c r="IOS518" s="332"/>
      <c r="IOT518" s="332"/>
      <c r="IOU518" s="332"/>
      <c r="IOV518" s="332"/>
      <c r="IOW518" s="332"/>
      <c r="IOX518" s="332"/>
      <c r="IOY518" s="332"/>
      <c r="IOZ518" s="332"/>
      <c r="IPA518" s="332"/>
      <c r="IPB518" s="332"/>
      <c r="IPC518" s="332"/>
      <c r="IPD518" s="332"/>
      <c r="IPE518" s="332"/>
      <c r="IPF518" s="332"/>
      <c r="IPG518" s="332"/>
      <c r="IPH518" s="332"/>
      <c r="IPI518" s="332"/>
      <c r="IPJ518" s="332"/>
      <c r="IPK518" s="332"/>
      <c r="IPL518" s="332"/>
      <c r="IPM518" s="332"/>
      <c r="IPN518" s="332"/>
      <c r="IPO518" s="332"/>
      <c r="IPP518" s="332"/>
      <c r="IPQ518" s="332"/>
      <c r="IPR518" s="332"/>
      <c r="IPS518" s="332"/>
      <c r="IPT518" s="332"/>
      <c r="IPU518" s="332"/>
      <c r="IPV518" s="332"/>
      <c r="IPW518" s="332"/>
      <c r="IPX518" s="332"/>
      <c r="IPY518" s="332"/>
      <c r="IPZ518" s="332"/>
      <c r="IQA518" s="332"/>
      <c r="IQB518" s="332"/>
      <c r="IQC518" s="332"/>
      <c r="IQD518" s="332"/>
      <c r="IQE518" s="332"/>
      <c r="IQF518" s="332"/>
      <c r="IQG518" s="332"/>
      <c r="IQH518" s="332"/>
      <c r="IQI518" s="332"/>
      <c r="IQJ518" s="332"/>
      <c r="IQK518" s="332"/>
      <c r="IQL518" s="332"/>
      <c r="IQM518" s="332"/>
      <c r="IQN518" s="332"/>
      <c r="IQO518" s="332"/>
      <c r="IQP518" s="332"/>
      <c r="IQQ518" s="332"/>
      <c r="IQR518" s="332"/>
      <c r="IQS518" s="332"/>
      <c r="IQT518" s="332"/>
      <c r="IQU518" s="332"/>
      <c r="IQV518" s="332"/>
      <c r="IQW518" s="332"/>
      <c r="IQX518" s="332"/>
      <c r="IQY518" s="332"/>
      <c r="IQZ518" s="332"/>
      <c r="IRA518" s="332"/>
      <c r="IRB518" s="332"/>
      <c r="IRC518" s="332"/>
      <c r="IRD518" s="332"/>
      <c r="IRE518" s="332"/>
      <c r="IRF518" s="332"/>
      <c r="IRG518" s="332"/>
      <c r="IRH518" s="332"/>
      <c r="IRI518" s="332"/>
      <c r="IRJ518" s="332"/>
      <c r="IRK518" s="332"/>
      <c r="IRL518" s="332"/>
      <c r="IRM518" s="332"/>
      <c r="IRN518" s="332"/>
      <c r="IRO518" s="332"/>
      <c r="IRP518" s="332"/>
      <c r="IRQ518" s="332"/>
      <c r="IRR518" s="332"/>
      <c r="IRS518" s="332"/>
      <c r="IRT518" s="332"/>
      <c r="IRU518" s="332"/>
      <c r="IRV518" s="332"/>
      <c r="IRW518" s="332"/>
      <c r="IRX518" s="332"/>
      <c r="IRY518" s="332"/>
      <c r="IRZ518" s="332"/>
      <c r="ISA518" s="332"/>
      <c r="ISB518" s="332"/>
      <c r="ISC518" s="332"/>
      <c r="ISD518" s="332"/>
      <c r="ISE518" s="332"/>
      <c r="ISF518" s="332"/>
      <c r="ISG518" s="332"/>
      <c r="ISH518" s="332"/>
      <c r="ISI518" s="332"/>
      <c r="ISJ518" s="332"/>
      <c r="ISK518" s="332"/>
      <c r="ISL518" s="332"/>
      <c r="ISM518" s="332"/>
      <c r="ISN518" s="332"/>
      <c r="ISO518" s="332"/>
      <c r="ISP518" s="332"/>
      <c r="ISQ518" s="332"/>
      <c r="ISR518" s="332"/>
      <c r="ISS518" s="332"/>
      <c r="IST518" s="332"/>
      <c r="ISU518" s="332"/>
      <c r="ISV518" s="332"/>
      <c r="ISW518" s="332"/>
      <c r="ISX518" s="332"/>
      <c r="ISY518" s="332"/>
      <c r="ISZ518" s="332"/>
      <c r="ITA518" s="332"/>
      <c r="ITB518" s="332"/>
      <c r="ITC518" s="332"/>
      <c r="ITD518" s="332"/>
      <c r="ITE518" s="332"/>
      <c r="ITF518" s="332"/>
      <c r="ITG518" s="332"/>
      <c r="ITH518" s="332"/>
      <c r="ITI518" s="332"/>
      <c r="ITJ518" s="332"/>
      <c r="ITK518" s="332"/>
      <c r="ITL518" s="332"/>
      <c r="ITM518" s="332"/>
      <c r="ITN518" s="332"/>
      <c r="ITO518" s="332"/>
      <c r="ITP518" s="332"/>
      <c r="ITQ518" s="332"/>
      <c r="ITR518" s="332"/>
      <c r="ITS518" s="332"/>
      <c r="ITT518" s="332"/>
      <c r="ITU518" s="332"/>
      <c r="ITV518" s="332"/>
      <c r="ITW518" s="332"/>
      <c r="ITX518" s="332"/>
      <c r="ITY518" s="332"/>
      <c r="ITZ518" s="332"/>
      <c r="IUA518" s="332"/>
      <c r="IUB518" s="332"/>
      <c r="IUC518" s="332"/>
      <c r="IUD518" s="332"/>
      <c r="IUE518" s="332"/>
      <c r="IUF518" s="332"/>
      <c r="IUG518" s="332"/>
      <c r="IUH518" s="332"/>
      <c r="IUI518" s="332"/>
      <c r="IUJ518" s="332"/>
      <c r="IUK518" s="332"/>
      <c r="IUL518" s="332"/>
      <c r="IUM518" s="332"/>
      <c r="IUN518" s="332"/>
      <c r="IUO518" s="332"/>
      <c r="IUP518" s="332"/>
      <c r="IUQ518" s="332"/>
      <c r="IUR518" s="332"/>
      <c r="IUS518" s="332"/>
      <c r="IUT518" s="332"/>
      <c r="IUU518" s="332"/>
      <c r="IUV518" s="332"/>
      <c r="IUW518" s="332"/>
      <c r="IUX518" s="332"/>
      <c r="IUY518" s="332"/>
      <c r="IUZ518" s="332"/>
      <c r="IVA518" s="332"/>
      <c r="IVB518" s="332"/>
      <c r="IVC518" s="332"/>
      <c r="IVD518" s="332"/>
      <c r="IVE518" s="332"/>
      <c r="IVF518" s="332"/>
      <c r="IVG518" s="332"/>
      <c r="IVH518" s="332"/>
      <c r="IVI518" s="332"/>
      <c r="IVJ518" s="332"/>
      <c r="IVK518" s="332"/>
      <c r="IVL518" s="332"/>
      <c r="IVM518" s="332"/>
      <c r="IVN518" s="332"/>
      <c r="IVO518" s="332"/>
      <c r="IVP518" s="332"/>
      <c r="IVQ518" s="332"/>
      <c r="IVR518" s="332"/>
      <c r="IVS518" s="332"/>
      <c r="IVT518" s="332"/>
      <c r="IVU518" s="332"/>
      <c r="IVV518" s="332"/>
      <c r="IVW518" s="332"/>
      <c r="IVX518" s="332"/>
      <c r="IVY518" s="332"/>
      <c r="IVZ518" s="332"/>
      <c r="IWA518" s="332"/>
      <c r="IWB518" s="332"/>
      <c r="IWC518" s="332"/>
      <c r="IWD518" s="332"/>
      <c r="IWE518" s="332"/>
      <c r="IWF518" s="332"/>
      <c r="IWG518" s="332"/>
      <c r="IWH518" s="332"/>
      <c r="IWI518" s="332"/>
      <c r="IWJ518" s="332"/>
      <c r="IWK518" s="332"/>
      <c r="IWL518" s="332"/>
      <c r="IWM518" s="332"/>
      <c r="IWN518" s="332"/>
      <c r="IWO518" s="332"/>
      <c r="IWP518" s="332"/>
      <c r="IWQ518" s="332"/>
      <c r="IWR518" s="332"/>
      <c r="IWS518" s="332"/>
      <c r="IWT518" s="332"/>
      <c r="IWU518" s="332"/>
      <c r="IWV518" s="332"/>
      <c r="IWW518" s="332"/>
      <c r="IWX518" s="332"/>
      <c r="IWY518" s="332"/>
      <c r="IWZ518" s="332"/>
      <c r="IXA518" s="332"/>
      <c r="IXB518" s="332"/>
      <c r="IXC518" s="332"/>
      <c r="IXD518" s="332"/>
      <c r="IXE518" s="332"/>
      <c r="IXF518" s="332"/>
      <c r="IXG518" s="332"/>
      <c r="IXH518" s="332"/>
      <c r="IXI518" s="332"/>
      <c r="IXJ518" s="332"/>
      <c r="IXK518" s="332"/>
      <c r="IXL518" s="332"/>
      <c r="IXM518" s="332"/>
      <c r="IXN518" s="332"/>
      <c r="IXO518" s="332"/>
      <c r="IXP518" s="332"/>
      <c r="IXQ518" s="332"/>
      <c r="IXR518" s="332"/>
      <c r="IXS518" s="332"/>
      <c r="IXT518" s="332"/>
      <c r="IXU518" s="332"/>
      <c r="IXV518" s="332"/>
      <c r="IXW518" s="332"/>
      <c r="IXX518" s="332"/>
      <c r="IXY518" s="332"/>
      <c r="IXZ518" s="332"/>
      <c r="IYA518" s="332"/>
      <c r="IYB518" s="332"/>
      <c r="IYC518" s="332"/>
      <c r="IYD518" s="332"/>
      <c r="IYE518" s="332"/>
      <c r="IYF518" s="332"/>
      <c r="IYG518" s="332"/>
      <c r="IYH518" s="332"/>
      <c r="IYI518" s="332"/>
      <c r="IYJ518" s="332"/>
      <c r="IYK518" s="332"/>
      <c r="IYL518" s="332"/>
      <c r="IYM518" s="332"/>
      <c r="IYN518" s="332"/>
      <c r="IYO518" s="332"/>
      <c r="IYP518" s="332"/>
      <c r="IYQ518" s="332"/>
      <c r="IYR518" s="332"/>
      <c r="IYS518" s="332"/>
      <c r="IYT518" s="332"/>
      <c r="IYU518" s="332"/>
      <c r="IYV518" s="332"/>
      <c r="IYW518" s="332"/>
      <c r="IYX518" s="332"/>
      <c r="IYY518" s="332"/>
      <c r="IYZ518" s="332"/>
      <c r="IZA518" s="332"/>
      <c r="IZB518" s="332"/>
      <c r="IZC518" s="332"/>
      <c r="IZD518" s="332"/>
      <c r="IZE518" s="332"/>
      <c r="IZF518" s="332"/>
      <c r="IZG518" s="332"/>
      <c r="IZH518" s="332"/>
      <c r="IZI518" s="332"/>
      <c r="IZJ518" s="332"/>
      <c r="IZK518" s="332"/>
      <c r="IZL518" s="332"/>
      <c r="IZM518" s="332"/>
      <c r="IZN518" s="332"/>
      <c r="IZO518" s="332"/>
      <c r="IZP518" s="332"/>
      <c r="IZQ518" s="332"/>
      <c r="IZR518" s="332"/>
      <c r="IZS518" s="332"/>
      <c r="IZT518" s="332"/>
      <c r="IZU518" s="332"/>
      <c r="IZV518" s="332"/>
      <c r="IZW518" s="332"/>
      <c r="IZX518" s="332"/>
      <c r="IZY518" s="332"/>
      <c r="IZZ518" s="332"/>
      <c r="JAA518" s="332"/>
      <c r="JAB518" s="332"/>
      <c r="JAC518" s="332"/>
      <c r="JAD518" s="332"/>
      <c r="JAE518" s="332"/>
      <c r="JAF518" s="332"/>
      <c r="JAG518" s="332"/>
      <c r="JAH518" s="332"/>
      <c r="JAI518" s="332"/>
      <c r="JAJ518" s="332"/>
      <c r="JAK518" s="332"/>
      <c r="JAL518" s="332"/>
      <c r="JAM518" s="332"/>
      <c r="JAN518" s="332"/>
      <c r="JAO518" s="332"/>
      <c r="JAP518" s="332"/>
      <c r="JAQ518" s="332"/>
      <c r="JAR518" s="332"/>
      <c r="JAS518" s="332"/>
      <c r="JAT518" s="332"/>
      <c r="JAU518" s="332"/>
      <c r="JAV518" s="332"/>
      <c r="JAW518" s="332"/>
      <c r="JAX518" s="332"/>
      <c r="JAY518" s="332"/>
      <c r="JAZ518" s="332"/>
      <c r="JBA518" s="332"/>
      <c r="JBB518" s="332"/>
      <c r="JBC518" s="332"/>
      <c r="JBD518" s="332"/>
      <c r="JBE518" s="332"/>
      <c r="JBF518" s="332"/>
      <c r="JBG518" s="332"/>
      <c r="JBH518" s="332"/>
      <c r="JBI518" s="332"/>
      <c r="JBJ518" s="332"/>
      <c r="JBK518" s="332"/>
      <c r="JBL518" s="332"/>
      <c r="JBM518" s="332"/>
      <c r="JBN518" s="332"/>
      <c r="JBO518" s="332"/>
      <c r="JBP518" s="332"/>
      <c r="JBQ518" s="332"/>
      <c r="JBR518" s="332"/>
      <c r="JBS518" s="332"/>
      <c r="JBT518" s="332"/>
      <c r="JBU518" s="332"/>
      <c r="JBV518" s="332"/>
      <c r="JBW518" s="332"/>
      <c r="JBX518" s="332"/>
      <c r="JBY518" s="332"/>
      <c r="JBZ518" s="332"/>
      <c r="JCA518" s="332"/>
      <c r="JCB518" s="332"/>
      <c r="JCC518" s="332"/>
      <c r="JCD518" s="332"/>
      <c r="JCE518" s="332"/>
      <c r="JCF518" s="332"/>
      <c r="JCG518" s="332"/>
      <c r="JCH518" s="332"/>
      <c r="JCI518" s="332"/>
      <c r="JCJ518" s="332"/>
      <c r="JCK518" s="332"/>
      <c r="JCL518" s="332"/>
      <c r="JCM518" s="332"/>
      <c r="JCN518" s="332"/>
      <c r="JCO518" s="332"/>
      <c r="JCP518" s="332"/>
      <c r="JCQ518" s="332"/>
      <c r="JCR518" s="332"/>
      <c r="JCS518" s="332"/>
      <c r="JCT518" s="332"/>
      <c r="JCU518" s="332"/>
      <c r="JCV518" s="332"/>
      <c r="JCW518" s="332"/>
      <c r="JCX518" s="332"/>
      <c r="JCY518" s="332"/>
      <c r="JCZ518" s="332"/>
      <c r="JDA518" s="332"/>
      <c r="JDB518" s="332"/>
      <c r="JDC518" s="332"/>
      <c r="JDD518" s="332"/>
      <c r="JDE518" s="332"/>
      <c r="JDF518" s="332"/>
      <c r="JDG518" s="332"/>
      <c r="JDH518" s="332"/>
      <c r="JDI518" s="332"/>
      <c r="JDJ518" s="332"/>
      <c r="JDK518" s="332"/>
      <c r="JDL518" s="332"/>
      <c r="JDM518" s="332"/>
      <c r="JDN518" s="332"/>
      <c r="JDO518" s="332"/>
      <c r="JDP518" s="332"/>
      <c r="JDQ518" s="332"/>
      <c r="JDR518" s="332"/>
      <c r="JDS518" s="332"/>
      <c r="JDT518" s="332"/>
      <c r="JDU518" s="332"/>
      <c r="JDV518" s="332"/>
      <c r="JDW518" s="332"/>
      <c r="JDX518" s="332"/>
      <c r="JDY518" s="332"/>
      <c r="JDZ518" s="332"/>
      <c r="JEA518" s="332"/>
      <c r="JEB518" s="332"/>
      <c r="JEC518" s="332"/>
      <c r="JED518" s="332"/>
      <c r="JEE518" s="332"/>
      <c r="JEF518" s="332"/>
      <c r="JEG518" s="332"/>
      <c r="JEH518" s="332"/>
      <c r="JEI518" s="332"/>
      <c r="JEJ518" s="332"/>
      <c r="JEK518" s="332"/>
      <c r="JEL518" s="332"/>
      <c r="JEM518" s="332"/>
      <c r="JEN518" s="332"/>
      <c r="JEO518" s="332"/>
      <c r="JEP518" s="332"/>
      <c r="JEQ518" s="332"/>
      <c r="JER518" s="332"/>
      <c r="JES518" s="332"/>
      <c r="JET518" s="332"/>
      <c r="JEU518" s="332"/>
      <c r="JEV518" s="332"/>
      <c r="JEW518" s="332"/>
      <c r="JEX518" s="332"/>
      <c r="JEY518" s="332"/>
      <c r="JEZ518" s="332"/>
      <c r="JFA518" s="332"/>
      <c r="JFB518" s="332"/>
      <c r="JFC518" s="332"/>
      <c r="JFD518" s="332"/>
      <c r="JFE518" s="332"/>
      <c r="JFF518" s="332"/>
      <c r="JFG518" s="332"/>
      <c r="JFH518" s="332"/>
      <c r="JFI518" s="332"/>
      <c r="JFJ518" s="332"/>
      <c r="JFK518" s="332"/>
      <c r="JFL518" s="332"/>
      <c r="JFM518" s="332"/>
      <c r="JFN518" s="332"/>
      <c r="JFO518" s="332"/>
      <c r="JFP518" s="332"/>
      <c r="JFQ518" s="332"/>
      <c r="JFR518" s="332"/>
      <c r="JFS518" s="332"/>
      <c r="JFT518" s="332"/>
      <c r="JFU518" s="332"/>
      <c r="JFV518" s="332"/>
      <c r="JFW518" s="332"/>
      <c r="JFX518" s="332"/>
      <c r="JFY518" s="332"/>
      <c r="JFZ518" s="332"/>
      <c r="JGA518" s="332"/>
      <c r="JGB518" s="332"/>
      <c r="JGC518" s="332"/>
      <c r="JGD518" s="332"/>
      <c r="JGE518" s="332"/>
      <c r="JGF518" s="332"/>
      <c r="JGG518" s="332"/>
      <c r="JGH518" s="332"/>
      <c r="JGI518" s="332"/>
      <c r="JGJ518" s="332"/>
      <c r="JGK518" s="332"/>
      <c r="JGL518" s="332"/>
      <c r="JGM518" s="332"/>
      <c r="JGN518" s="332"/>
      <c r="JGO518" s="332"/>
      <c r="JGP518" s="332"/>
      <c r="JGQ518" s="332"/>
      <c r="JGR518" s="332"/>
      <c r="JGS518" s="332"/>
      <c r="JGT518" s="332"/>
      <c r="JGU518" s="332"/>
      <c r="JGV518" s="332"/>
      <c r="JGW518" s="332"/>
      <c r="JGX518" s="332"/>
      <c r="JGY518" s="332"/>
      <c r="JGZ518" s="332"/>
      <c r="JHA518" s="332"/>
      <c r="JHB518" s="332"/>
      <c r="JHC518" s="332"/>
      <c r="JHD518" s="332"/>
      <c r="JHE518" s="332"/>
      <c r="JHF518" s="332"/>
      <c r="JHG518" s="332"/>
      <c r="JHH518" s="332"/>
      <c r="JHI518" s="332"/>
      <c r="JHJ518" s="332"/>
      <c r="JHK518" s="332"/>
      <c r="JHL518" s="332"/>
      <c r="JHM518" s="332"/>
      <c r="JHN518" s="332"/>
      <c r="JHO518" s="332"/>
      <c r="JHP518" s="332"/>
      <c r="JHQ518" s="332"/>
      <c r="JHR518" s="332"/>
      <c r="JHS518" s="332"/>
      <c r="JHT518" s="332"/>
      <c r="JHU518" s="332"/>
      <c r="JHV518" s="332"/>
      <c r="JHW518" s="332"/>
      <c r="JHX518" s="332"/>
      <c r="JHY518" s="332"/>
      <c r="JHZ518" s="332"/>
      <c r="JIA518" s="332"/>
      <c r="JIB518" s="332"/>
      <c r="JIC518" s="332"/>
      <c r="JID518" s="332"/>
      <c r="JIE518" s="332"/>
      <c r="JIF518" s="332"/>
      <c r="JIG518" s="332"/>
      <c r="JIH518" s="332"/>
      <c r="JII518" s="332"/>
      <c r="JIJ518" s="332"/>
      <c r="JIK518" s="332"/>
      <c r="JIL518" s="332"/>
      <c r="JIM518" s="332"/>
      <c r="JIN518" s="332"/>
      <c r="JIO518" s="332"/>
      <c r="JIP518" s="332"/>
      <c r="JIQ518" s="332"/>
      <c r="JIR518" s="332"/>
      <c r="JIS518" s="332"/>
      <c r="JIT518" s="332"/>
      <c r="JIU518" s="332"/>
      <c r="JIV518" s="332"/>
      <c r="JIW518" s="332"/>
      <c r="JIX518" s="332"/>
      <c r="JIY518" s="332"/>
      <c r="JIZ518" s="332"/>
      <c r="JJA518" s="332"/>
      <c r="JJB518" s="332"/>
      <c r="JJC518" s="332"/>
      <c r="JJD518" s="332"/>
      <c r="JJE518" s="332"/>
      <c r="JJF518" s="332"/>
      <c r="JJG518" s="332"/>
      <c r="JJH518" s="332"/>
      <c r="JJI518" s="332"/>
      <c r="JJJ518" s="332"/>
      <c r="JJK518" s="332"/>
      <c r="JJL518" s="332"/>
      <c r="JJM518" s="332"/>
      <c r="JJN518" s="332"/>
      <c r="JJO518" s="332"/>
      <c r="JJP518" s="332"/>
      <c r="JJQ518" s="332"/>
      <c r="JJR518" s="332"/>
      <c r="JJS518" s="332"/>
      <c r="JJT518" s="332"/>
      <c r="JJU518" s="332"/>
      <c r="JJV518" s="332"/>
      <c r="JJW518" s="332"/>
      <c r="JJX518" s="332"/>
      <c r="JJY518" s="332"/>
      <c r="JJZ518" s="332"/>
      <c r="JKA518" s="332"/>
      <c r="JKB518" s="332"/>
      <c r="JKC518" s="332"/>
      <c r="JKD518" s="332"/>
      <c r="JKE518" s="332"/>
      <c r="JKF518" s="332"/>
      <c r="JKG518" s="332"/>
      <c r="JKH518" s="332"/>
      <c r="JKI518" s="332"/>
      <c r="JKJ518" s="332"/>
      <c r="JKK518" s="332"/>
      <c r="JKL518" s="332"/>
      <c r="JKM518" s="332"/>
      <c r="JKN518" s="332"/>
      <c r="JKO518" s="332"/>
      <c r="JKP518" s="332"/>
      <c r="JKQ518" s="332"/>
      <c r="JKR518" s="332"/>
      <c r="JKS518" s="332"/>
      <c r="JKT518" s="332"/>
      <c r="JKU518" s="332"/>
      <c r="JKV518" s="332"/>
      <c r="JKW518" s="332"/>
      <c r="JKX518" s="332"/>
      <c r="JKY518" s="332"/>
      <c r="JKZ518" s="332"/>
      <c r="JLA518" s="332"/>
      <c r="JLB518" s="332"/>
      <c r="JLC518" s="332"/>
      <c r="JLD518" s="332"/>
      <c r="JLE518" s="332"/>
      <c r="JLF518" s="332"/>
      <c r="JLG518" s="332"/>
      <c r="JLH518" s="332"/>
      <c r="JLI518" s="332"/>
      <c r="JLJ518" s="332"/>
      <c r="JLK518" s="332"/>
      <c r="JLL518" s="332"/>
      <c r="JLM518" s="332"/>
      <c r="JLN518" s="332"/>
      <c r="JLO518" s="332"/>
      <c r="JLP518" s="332"/>
      <c r="JLQ518" s="332"/>
      <c r="JLR518" s="332"/>
      <c r="JLS518" s="332"/>
      <c r="JLT518" s="332"/>
      <c r="JLU518" s="332"/>
      <c r="JLV518" s="332"/>
      <c r="JLW518" s="332"/>
      <c r="JLX518" s="332"/>
      <c r="JLY518" s="332"/>
      <c r="JLZ518" s="332"/>
      <c r="JMA518" s="332"/>
      <c r="JMB518" s="332"/>
      <c r="JMC518" s="332"/>
      <c r="JMD518" s="332"/>
      <c r="JME518" s="332"/>
      <c r="JMF518" s="332"/>
      <c r="JMG518" s="332"/>
      <c r="JMH518" s="332"/>
      <c r="JMI518" s="332"/>
      <c r="JMJ518" s="332"/>
      <c r="JMK518" s="332"/>
      <c r="JML518" s="332"/>
      <c r="JMM518" s="332"/>
      <c r="JMN518" s="332"/>
      <c r="JMO518" s="332"/>
      <c r="JMP518" s="332"/>
      <c r="JMQ518" s="332"/>
      <c r="JMR518" s="332"/>
      <c r="JMS518" s="332"/>
      <c r="JMT518" s="332"/>
      <c r="JMU518" s="332"/>
      <c r="JMV518" s="332"/>
      <c r="JMW518" s="332"/>
      <c r="JMX518" s="332"/>
      <c r="JMY518" s="332"/>
      <c r="JMZ518" s="332"/>
      <c r="JNA518" s="332"/>
      <c r="JNB518" s="332"/>
      <c r="JNC518" s="332"/>
      <c r="JND518" s="332"/>
      <c r="JNE518" s="332"/>
      <c r="JNF518" s="332"/>
      <c r="JNG518" s="332"/>
      <c r="JNH518" s="332"/>
      <c r="JNI518" s="332"/>
      <c r="JNJ518" s="332"/>
      <c r="JNK518" s="332"/>
      <c r="JNL518" s="332"/>
      <c r="JNM518" s="332"/>
      <c r="JNN518" s="332"/>
      <c r="JNO518" s="332"/>
      <c r="JNP518" s="332"/>
      <c r="JNQ518" s="332"/>
      <c r="JNR518" s="332"/>
      <c r="JNS518" s="332"/>
      <c r="JNT518" s="332"/>
      <c r="JNU518" s="332"/>
      <c r="JNV518" s="332"/>
      <c r="JNW518" s="332"/>
      <c r="JNX518" s="332"/>
      <c r="JNY518" s="332"/>
      <c r="JNZ518" s="332"/>
      <c r="JOA518" s="332"/>
      <c r="JOB518" s="332"/>
      <c r="JOC518" s="332"/>
      <c r="JOD518" s="332"/>
      <c r="JOE518" s="332"/>
      <c r="JOF518" s="332"/>
      <c r="JOG518" s="332"/>
      <c r="JOH518" s="332"/>
      <c r="JOI518" s="332"/>
      <c r="JOJ518" s="332"/>
      <c r="JOK518" s="332"/>
      <c r="JOL518" s="332"/>
      <c r="JOM518" s="332"/>
      <c r="JON518" s="332"/>
      <c r="JOO518" s="332"/>
      <c r="JOP518" s="332"/>
      <c r="JOQ518" s="332"/>
      <c r="JOR518" s="332"/>
      <c r="JOS518" s="332"/>
      <c r="JOT518" s="332"/>
      <c r="JOU518" s="332"/>
      <c r="JOV518" s="332"/>
      <c r="JOW518" s="332"/>
      <c r="JOX518" s="332"/>
      <c r="JOY518" s="332"/>
      <c r="JOZ518" s="332"/>
      <c r="JPA518" s="332"/>
      <c r="JPB518" s="332"/>
      <c r="JPC518" s="332"/>
      <c r="JPD518" s="332"/>
      <c r="JPE518" s="332"/>
      <c r="JPF518" s="332"/>
      <c r="JPG518" s="332"/>
      <c r="JPH518" s="332"/>
      <c r="JPI518" s="332"/>
      <c r="JPJ518" s="332"/>
      <c r="JPK518" s="332"/>
      <c r="JPL518" s="332"/>
      <c r="JPM518" s="332"/>
      <c r="JPN518" s="332"/>
      <c r="JPO518" s="332"/>
      <c r="JPP518" s="332"/>
      <c r="JPQ518" s="332"/>
      <c r="JPR518" s="332"/>
      <c r="JPS518" s="332"/>
      <c r="JPT518" s="332"/>
      <c r="JPU518" s="332"/>
      <c r="JPV518" s="332"/>
      <c r="JPW518" s="332"/>
      <c r="JPX518" s="332"/>
      <c r="JPY518" s="332"/>
      <c r="JPZ518" s="332"/>
      <c r="JQA518" s="332"/>
      <c r="JQB518" s="332"/>
      <c r="JQC518" s="332"/>
      <c r="JQD518" s="332"/>
      <c r="JQE518" s="332"/>
      <c r="JQF518" s="332"/>
      <c r="JQG518" s="332"/>
      <c r="JQH518" s="332"/>
      <c r="JQI518" s="332"/>
      <c r="JQJ518" s="332"/>
      <c r="JQK518" s="332"/>
      <c r="JQL518" s="332"/>
      <c r="JQM518" s="332"/>
      <c r="JQN518" s="332"/>
      <c r="JQO518" s="332"/>
      <c r="JQP518" s="332"/>
      <c r="JQQ518" s="332"/>
      <c r="JQR518" s="332"/>
      <c r="JQS518" s="332"/>
      <c r="JQT518" s="332"/>
      <c r="JQU518" s="332"/>
      <c r="JQV518" s="332"/>
      <c r="JQW518" s="332"/>
      <c r="JQX518" s="332"/>
      <c r="JQY518" s="332"/>
      <c r="JQZ518" s="332"/>
      <c r="JRA518" s="332"/>
      <c r="JRB518" s="332"/>
      <c r="JRC518" s="332"/>
      <c r="JRD518" s="332"/>
      <c r="JRE518" s="332"/>
      <c r="JRF518" s="332"/>
      <c r="JRG518" s="332"/>
      <c r="JRH518" s="332"/>
      <c r="JRI518" s="332"/>
      <c r="JRJ518" s="332"/>
      <c r="JRK518" s="332"/>
      <c r="JRL518" s="332"/>
      <c r="JRM518" s="332"/>
      <c r="JRN518" s="332"/>
      <c r="JRO518" s="332"/>
      <c r="JRP518" s="332"/>
      <c r="JRQ518" s="332"/>
      <c r="JRR518" s="332"/>
      <c r="JRS518" s="332"/>
      <c r="JRT518" s="332"/>
      <c r="JRU518" s="332"/>
      <c r="JRV518" s="332"/>
      <c r="JRW518" s="332"/>
      <c r="JRX518" s="332"/>
      <c r="JRY518" s="332"/>
      <c r="JRZ518" s="332"/>
      <c r="JSA518" s="332"/>
      <c r="JSB518" s="332"/>
      <c r="JSC518" s="332"/>
      <c r="JSD518" s="332"/>
      <c r="JSE518" s="332"/>
      <c r="JSF518" s="332"/>
      <c r="JSG518" s="332"/>
      <c r="JSH518" s="332"/>
      <c r="JSI518" s="332"/>
      <c r="JSJ518" s="332"/>
      <c r="JSK518" s="332"/>
      <c r="JSL518" s="332"/>
      <c r="JSM518" s="332"/>
      <c r="JSN518" s="332"/>
      <c r="JSO518" s="332"/>
      <c r="JSP518" s="332"/>
      <c r="JSQ518" s="332"/>
      <c r="JSR518" s="332"/>
      <c r="JSS518" s="332"/>
      <c r="JST518" s="332"/>
      <c r="JSU518" s="332"/>
      <c r="JSV518" s="332"/>
      <c r="JSW518" s="332"/>
      <c r="JSX518" s="332"/>
      <c r="JSY518" s="332"/>
      <c r="JSZ518" s="332"/>
      <c r="JTA518" s="332"/>
      <c r="JTB518" s="332"/>
      <c r="JTC518" s="332"/>
      <c r="JTD518" s="332"/>
      <c r="JTE518" s="332"/>
      <c r="JTF518" s="332"/>
      <c r="JTG518" s="332"/>
      <c r="JTH518" s="332"/>
      <c r="JTI518" s="332"/>
      <c r="JTJ518" s="332"/>
      <c r="JTK518" s="332"/>
      <c r="JTL518" s="332"/>
      <c r="JTM518" s="332"/>
      <c r="JTN518" s="332"/>
      <c r="JTO518" s="332"/>
      <c r="JTP518" s="332"/>
      <c r="JTQ518" s="332"/>
      <c r="JTR518" s="332"/>
      <c r="JTS518" s="332"/>
      <c r="JTT518" s="332"/>
      <c r="JTU518" s="332"/>
      <c r="JTV518" s="332"/>
      <c r="JTW518" s="332"/>
      <c r="JTX518" s="332"/>
      <c r="JTY518" s="332"/>
      <c r="JTZ518" s="332"/>
      <c r="JUA518" s="332"/>
      <c r="JUB518" s="332"/>
      <c r="JUC518" s="332"/>
      <c r="JUD518" s="332"/>
      <c r="JUE518" s="332"/>
      <c r="JUF518" s="332"/>
      <c r="JUG518" s="332"/>
      <c r="JUH518" s="332"/>
      <c r="JUI518" s="332"/>
      <c r="JUJ518" s="332"/>
      <c r="JUK518" s="332"/>
      <c r="JUL518" s="332"/>
      <c r="JUM518" s="332"/>
      <c r="JUN518" s="332"/>
      <c r="JUO518" s="332"/>
      <c r="JUP518" s="332"/>
      <c r="JUQ518" s="332"/>
      <c r="JUR518" s="332"/>
      <c r="JUS518" s="332"/>
      <c r="JUT518" s="332"/>
      <c r="JUU518" s="332"/>
      <c r="JUV518" s="332"/>
      <c r="JUW518" s="332"/>
      <c r="JUX518" s="332"/>
      <c r="JUY518" s="332"/>
      <c r="JUZ518" s="332"/>
      <c r="JVA518" s="332"/>
      <c r="JVB518" s="332"/>
      <c r="JVC518" s="332"/>
      <c r="JVD518" s="332"/>
      <c r="JVE518" s="332"/>
      <c r="JVF518" s="332"/>
      <c r="JVG518" s="332"/>
      <c r="JVH518" s="332"/>
      <c r="JVI518" s="332"/>
      <c r="JVJ518" s="332"/>
      <c r="JVK518" s="332"/>
      <c r="JVL518" s="332"/>
      <c r="JVM518" s="332"/>
      <c r="JVN518" s="332"/>
      <c r="JVO518" s="332"/>
      <c r="JVP518" s="332"/>
      <c r="JVQ518" s="332"/>
      <c r="JVR518" s="332"/>
      <c r="JVS518" s="332"/>
      <c r="JVT518" s="332"/>
      <c r="JVU518" s="332"/>
      <c r="JVV518" s="332"/>
      <c r="JVW518" s="332"/>
      <c r="JVX518" s="332"/>
      <c r="JVY518" s="332"/>
      <c r="JVZ518" s="332"/>
      <c r="JWA518" s="332"/>
      <c r="JWB518" s="332"/>
      <c r="JWC518" s="332"/>
      <c r="JWD518" s="332"/>
      <c r="JWE518" s="332"/>
      <c r="JWF518" s="332"/>
      <c r="JWG518" s="332"/>
      <c r="JWH518" s="332"/>
      <c r="JWI518" s="332"/>
      <c r="JWJ518" s="332"/>
      <c r="JWK518" s="332"/>
      <c r="JWL518" s="332"/>
      <c r="JWM518" s="332"/>
      <c r="JWN518" s="332"/>
      <c r="JWO518" s="332"/>
      <c r="JWP518" s="332"/>
      <c r="JWQ518" s="332"/>
      <c r="JWR518" s="332"/>
      <c r="JWS518" s="332"/>
      <c r="JWT518" s="332"/>
      <c r="JWU518" s="332"/>
      <c r="JWV518" s="332"/>
      <c r="JWW518" s="332"/>
      <c r="JWX518" s="332"/>
      <c r="JWY518" s="332"/>
      <c r="JWZ518" s="332"/>
      <c r="JXA518" s="332"/>
      <c r="JXB518" s="332"/>
      <c r="JXC518" s="332"/>
      <c r="JXD518" s="332"/>
      <c r="JXE518" s="332"/>
      <c r="JXF518" s="332"/>
      <c r="JXG518" s="332"/>
      <c r="JXH518" s="332"/>
      <c r="JXI518" s="332"/>
      <c r="JXJ518" s="332"/>
      <c r="JXK518" s="332"/>
      <c r="JXL518" s="332"/>
      <c r="JXM518" s="332"/>
      <c r="JXN518" s="332"/>
      <c r="JXO518" s="332"/>
      <c r="JXP518" s="332"/>
      <c r="JXQ518" s="332"/>
      <c r="JXR518" s="332"/>
      <c r="JXS518" s="332"/>
      <c r="JXT518" s="332"/>
      <c r="JXU518" s="332"/>
      <c r="JXV518" s="332"/>
      <c r="JXW518" s="332"/>
      <c r="JXX518" s="332"/>
      <c r="JXY518" s="332"/>
      <c r="JXZ518" s="332"/>
      <c r="JYA518" s="332"/>
      <c r="JYB518" s="332"/>
      <c r="JYC518" s="332"/>
      <c r="JYD518" s="332"/>
      <c r="JYE518" s="332"/>
      <c r="JYF518" s="332"/>
      <c r="JYG518" s="332"/>
      <c r="JYH518" s="332"/>
      <c r="JYI518" s="332"/>
      <c r="JYJ518" s="332"/>
      <c r="JYK518" s="332"/>
      <c r="JYL518" s="332"/>
      <c r="JYM518" s="332"/>
      <c r="JYN518" s="332"/>
      <c r="JYO518" s="332"/>
      <c r="JYP518" s="332"/>
      <c r="JYQ518" s="332"/>
      <c r="JYR518" s="332"/>
      <c r="JYS518" s="332"/>
      <c r="JYT518" s="332"/>
      <c r="JYU518" s="332"/>
      <c r="JYV518" s="332"/>
      <c r="JYW518" s="332"/>
      <c r="JYX518" s="332"/>
      <c r="JYY518" s="332"/>
      <c r="JYZ518" s="332"/>
      <c r="JZA518" s="332"/>
      <c r="JZB518" s="332"/>
      <c r="JZC518" s="332"/>
      <c r="JZD518" s="332"/>
      <c r="JZE518" s="332"/>
      <c r="JZF518" s="332"/>
      <c r="JZG518" s="332"/>
      <c r="JZH518" s="332"/>
      <c r="JZI518" s="332"/>
      <c r="JZJ518" s="332"/>
      <c r="JZK518" s="332"/>
      <c r="JZL518" s="332"/>
      <c r="JZM518" s="332"/>
      <c r="JZN518" s="332"/>
      <c r="JZO518" s="332"/>
      <c r="JZP518" s="332"/>
      <c r="JZQ518" s="332"/>
      <c r="JZR518" s="332"/>
      <c r="JZS518" s="332"/>
      <c r="JZT518" s="332"/>
      <c r="JZU518" s="332"/>
      <c r="JZV518" s="332"/>
      <c r="JZW518" s="332"/>
      <c r="JZX518" s="332"/>
      <c r="JZY518" s="332"/>
      <c r="JZZ518" s="332"/>
      <c r="KAA518" s="332"/>
      <c r="KAB518" s="332"/>
      <c r="KAC518" s="332"/>
      <c r="KAD518" s="332"/>
      <c r="KAE518" s="332"/>
      <c r="KAF518" s="332"/>
      <c r="KAG518" s="332"/>
      <c r="KAH518" s="332"/>
      <c r="KAI518" s="332"/>
      <c r="KAJ518" s="332"/>
      <c r="KAK518" s="332"/>
      <c r="KAL518" s="332"/>
      <c r="KAM518" s="332"/>
      <c r="KAN518" s="332"/>
      <c r="KAO518" s="332"/>
      <c r="KAP518" s="332"/>
      <c r="KAQ518" s="332"/>
      <c r="KAR518" s="332"/>
      <c r="KAS518" s="332"/>
      <c r="KAT518" s="332"/>
      <c r="KAU518" s="332"/>
      <c r="KAV518" s="332"/>
      <c r="KAW518" s="332"/>
      <c r="KAX518" s="332"/>
      <c r="KAY518" s="332"/>
      <c r="KAZ518" s="332"/>
      <c r="KBA518" s="332"/>
      <c r="KBB518" s="332"/>
      <c r="KBC518" s="332"/>
      <c r="KBD518" s="332"/>
      <c r="KBE518" s="332"/>
      <c r="KBF518" s="332"/>
      <c r="KBG518" s="332"/>
      <c r="KBH518" s="332"/>
      <c r="KBI518" s="332"/>
      <c r="KBJ518" s="332"/>
      <c r="KBK518" s="332"/>
      <c r="KBL518" s="332"/>
      <c r="KBM518" s="332"/>
      <c r="KBN518" s="332"/>
      <c r="KBO518" s="332"/>
      <c r="KBP518" s="332"/>
      <c r="KBQ518" s="332"/>
      <c r="KBR518" s="332"/>
      <c r="KBS518" s="332"/>
      <c r="KBT518" s="332"/>
      <c r="KBU518" s="332"/>
      <c r="KBV518" s="332"/>
      <c r="KBW518" s="332"/>
      <c r="KBX518" s="332"/>
      <c r="KBY518" s="332"/>
      <c r="KBZ518" s="332"/>
      <c r="KCA518" s="332"/>
      <c r="KCB518" s="332"/>
      <c r="KCC518" s="332"/>
      <c r="KCD518" s="332"/>
      <c r="KCE518" s="332"/>
      <c r="KCF518" s="332"/>
      <c r="KCG518" s="332"/>
      <c r="KCH518" s="332"/>
      <c r="KCI518" s="332"/>
      <c r="KCJ518" s="332"/>
      <c r="KCK518" s="332"/>
      <c r="KCL518" s="332"/>
      <c r="KCM518" s="332"/>
      <c r="KCN518" s="332"/>
      <c r="KCO518" s="332"/>
      <c r="KCP518" s="332"/>
      <c r="KCQ518" s="332"/>
      <c r="KCR518" s="332"/>
      <c r="KCS518" s="332"/>
      <c r="KCT518" s="332"/>
      <c r="KCU518" s="332"/>
      <c r="KCV518" s="332"/>
      <c r="KCW518" s="332"/>
      <c r="KCX518" s="332"/>
      <c r="KCY518" s="332"/>
      <c r="KCZ518" s="332"/>
      <c r="KDA518" s="332"/>
      <c r="KDB518" s="332"/>
      <c r="KDC518" s="332"/>
      <c r="KDD518" s="332"/>
      <c r="KDE518" s="332"/>
      <c r="KDF518" s="332"/>
      <c r="KDG518" s="332"/>
      <c r="KDH518" s="332"/>
      <c r="KDI518" s="332"/>
      <c r="KDJ518" s="332"/>
      <c r="KDK518" s="332"/>
      <c r="KDL518" s="332"/>
      <c r="KDM518" s="332"/>
      <c r="KDN518" s="332"/>
      <c r="KDO518" s="332"/>
      <c r="KDP518" s="332"/>
      <c r="KDQ518" s="332"/>
      <c r="KDR518" s="332"/>
      <c r="KDS518" s="332"/>
      <c r="KDT518" s="332"/>
      <c r="KDU518" s="332"/>
      <c r="KDV518" s="332"/>
      <c r="KDW518" s="332"/>
      <c r="KDX518" s="332"/>
      <c r="KDY518" s="332"/>
      <c r="KDZ518" s="332"/>
      <c r="KEA518" s="332"/>
      <c r="KEB518" s="332"/>
      <c r="KEC518" s="332"/>
      <c r="KED518" s="332"/>
      <c r="KEE518" s="332"/>
      <c r="KEF518" s="332"/>
      <c r="KEG518" s="332"/>
      <c r="KEH518" s="332"/>
      <c r="KEI518" s="332"/>
      <c r="KEJ518" s="332"/>
      <c r="KEK518" s="332"/>
      <c r="KEL518" s="332"/>
      <c r="KEM518" s="332"/>
      <c r="KEN518" s="332"/>
      <c r="KEO518" s="332"/>
      <c r="KEP518" s="332"/>
      <c r="KEQ518" s="332"/>
      <c r="KER518" s="332"/>
      <c r="KES518" s="332"/>
      <c r="KET518" s="332"/>
      <c r="KEU518" s="332"/>
      <c r="KEV518" s="332"/>
      <c r="KEW518" s="332"/>
      <c r="KEX518" s="332"/>
      <c r="KEY518" s="332"/>
      <c r="KEZ518" s="332"/>
      <c r="KFA518" s="332"/>
      <c r="KFB518" s="332"/>
      <c r="KFC518" s="332"/>
      <c r="KFD518" s="332"/>
      <c r="KFE518" s="332"/>
      <c r="KFF518" s="332"/>
      <c r="KFG518" s="332"/>
      <c r="KFH518" s="332"/>
      <c r="KFI518" s="332"/>
      <c r="KFJ518" s="332"/>
      <c r="KFK518" s="332"/>
      <c r="KFL518" s="332"/>
      <c r="KFM518" s="332"/>
      <c r="KFN518" s="332"/>
      <c r="KFO518" s="332"/>
      <c r="KFP518" s="332"/>
      <c r="KFQ518" s="332"/>
      <c r="KFR518" s="332"/>
      <c r="KFS518" s="332"/>
      <c r="KFT518" s="332"/>
      <c r="KFU518" s="332"/>
      <c r="KFV518" s="332"/>
      <c r="KFW518" s="332"/>
      <c r="KFX518" s="332"/>
      <c r="KFY518" s="332"/>
      <c r="KFZ518" s="332"/>
      <c r="KGA518" s="332"/>
      <c r="KGB518" s="332"/>
      <c r="KGC518" s="332"/>
      <c r="KGD518" s="332"/>
      <c r="KGE518" s="332"/>
      <c r="KGF518" s="332"/>
      <c r="KGG518" s="332"/>
      <c r="KGH518" s="332"/>
      <c r="KGI518" s="332"/>
      <c r="KGJ518" s="332"/>
      <c r="KGK518" s="332"/>
      <c r="KGL518" s="332"/>
      <c r="KGM518" s="332"/>
      <c r="KGN518" s="332"/>
      <c r="KGO518" s="332"/>
      <c r="KGP518" s="332"/>
      <c r="KGQ518" s="332"/>
      <c r="KGR518" s="332"/>
      <c r="KGS518" s="332"/>
      <c r="KGT518" s="332"/>
      <c r="KGU518" s="332"/>
      <c r="KGV518" s="332"/>
      <c r="KGW518" s="332"/>
      <c r="KGX518" s="332"/>
      <c r="KGY518" s="332"/>
      <c r="KGZ518" s="332"/>
      <c r="KHA518" s="332"/>
      <c r="KHB518" s="332"/>
      <c r="KHC518" s="332"/>
      <c r="KHD518" s="332"/>
      <c r="KHE518" s="332"/>
      <c r="KHF518" s="332"/>
      <c r="KHG518" s="332"/>
      <c r="KHH518" s="332"/>
      <c r="KHI518" s="332"/>
      <c r="KHJ518" s="332"/>
      <c r="KHK518" s="332"/>
      <c r="KHL518" s="332"/>
      <c r="KHM518" s="332"/>
      <c r="KHN518" s="332"/>
      <c r="KHO518" s="332"/>
      <c r="KHP518" s="332"/>
      <c r="KHQ518" s="332"/>
      <c r="KHR518" s="332"/>
      <c r="KHS518" s="332"/>
      <c r="KHT518" s="332"/>
      <c r="KHU518" s="332"/>
      <c r="KHV518" s="332"/>
      <c r="KHW518" s="332"/>
      <c r="KHX518" s="332"/>
      <c r="KHY518" s="332"/>
      <c r="KHZ518" s="332"/>
      <c r="KIA518" s="332"/>
      <c r="KIB518" s="332"/>
      <c r="KIC518" s="332"/>
      <c r="KID518" s="332"/>
      <c r="KIE518" s="332"/>
      <c r="KIF518" s="332"/>
      <c r="KIG518" s="332"/>
      <c r="KIH518" s="332"/>
      <c r="KII518" s="332"/>
      <c r="KIJ518" s="332"/>
      <c r="KIK518" s="332"/>
      <c r="KIL518" s="332"/>
      <c r="KIM518" s="332"/>
      <c r="KIN518" s="332"/>
      <c r="KIO518" s="332"/>
      <c r="KIP518" s="332"/>
      <c r="KIQ518" s="332"/>
      <c r="KIR518" s="332"/>
      <c r="KIS518" s="332"/>
      <c r="KIT518" s="332"/>
      <c r="KIU518" s="332"/>
      <c r="KIV518" s="332"/>
      <c r="KIW518" s="332"/>
      <c r="KIX518" s="332"/>
      <c r="KIY518" s="332"/>
      <c r="KIZ518" s="332"/>
      <c r="KJA518" s="332"/>
      <c r="KJB518" s="332"/>
      <c r="KJC518" s="332"/>
      <c r="KJD518" s="332"/>
      <c r="KJE518" s="332"/>
      <c r="KJF518" s="332"/>
      <c r="KJG518" s="332"/>
      <c r="KJH518" s="332"/>
      <c r="KJI518" s="332"/>
      <c r="KJJ518" s="332"/>
      <c r="KJK518" s="332"/>
      <c r="KJL518" s="332"/>
      <c r="KJM518" s="332"/>
      <c r="KJN518" s="332"/>
      <c r="KJO518" s="332"/>
      <c r="KJP518" s="332"/>
      <c r="KJQ518" s="332"/>
      <c r="KJR518" s="332"/>
      <c r="KJS518" s="332"/>
      <c r="KJT518" s="332"/>
      <c r="KJU518" s="332"/>
      <c r="KJV518" s="332"/>
      <c r="KJW518" s="332"/>
      <c r="KJX518" s="332"/>
      <c r="KJY518" s="332"/>
      <c r="KJZ518" s="332"/>
      <c r="KKA518" s="332"/>
      <c r="KKB518" s="332"/>
      <c r="KKC518" s="332"/>
      <c r="KKD518" s="332"/>
      <c r="KKE518" s="332"/>
      <c r="KKF518" s="332"/>
      <c r="KKG518" s="332"/>
      <c r="KKH518" s="332"/>
      <c r="KKI518" s="332"/>
      <c r="KKJ518" s="332"/>
      <c r="KKK518" s="332"/>
      <c r="KKL518" s="332"/>
      <c r="KKM518" s="332"/>
      <c r="KKN518" s="332"/>
      <c r="KKO518" s="332"/>
      <c r="KKP518" s="332"/>
      <c r="KKQ518" s="332"/>
      <c r="KKR518" s="332"/>
      <c r="KKS518" s="332"/>
      <c r="KKT518" s="332"/>
      <c r="KKU518" s="332"/>
      <c r="KKV518" s="332"/>
      <c r="KKW518" s="332"/>
      <c r="KKX518" s="332"/>
      <c r="KKY518" s="332"/>
      <c r="KKZ518" s="332"/>
      <c r="KLA518" s="332"/>
      <c r="KLB518" s="332"/>
      <c r="KLC518" s="332"/>
      <c r="KLD518" s="332"/>
      <c r="KLE518" s="332"/>
      <c r="KLF518" s="332"/>
      <c r="KLG518" s="332"/>
      <c r="KLH518" s="332"/>
      <c r="KLI518" s="332"/>
      <c r="KLJ518" s="332"/>
      <c r="KLK518" s="332"/>
      <c r="KLL518" s="332"/>
      <c r="KLM518" s="332"/>
      <c r="KLN518" s="332"/>
      <c r="KLO518" s="332"/>
      <c r="KLP518" s="332"/>
      <c r="KLQ518" s="332"/>
      <c r="KLR518" s="332"/>
      <c r="KLS518" s="332"/>
      <c r="KLT518" s="332"/>
      <c r="KLU518" s="332"/>
      <c r="KLV518" s="332"/>
      <c r="KLW518" s="332"/>
      <c r="KLX518" s="332"/>
      <c r="KLY518" s="332"/>
      <c r="KLZ518" s="332"/>
      <c r="KMA518" s="332"/>
      <c r="KMB518" s="332"/>
      <c r="KMC518" s="332"/>
      <c r="KMD518" s="332"/>
      <c r="KME518" s="332"/>
      <c r="KMF518" s="332"/>
      <c r="KMG518" s="332"/>
      <c r="KMH518" s="332"/>
      <c r="KMI518" s="332"/>
      <c r="KMJ518" s="332"/>
      <c r="KMK518" s="332"/>
      <c r="KML518" s="332"/>
      <c r="KMM518" s="332"/>
      <c r="KMN518" s="332"/>
      <c r="KMO518" s="332"/>
      <c r="KMP518" s="332"/>
      <c r="KMQ518" s="332"/>
      <c r="KMR518" s="332"/>
      <c r="KMS518" s="332"/>
      <c r="KMT518" s="332"/>
      <c r="KMU518" s="332"/>
      <c r="KMV518" s="332"/>
      <c r="KMW518" s="332"/>
      <c r="KMX518" s="332"/>
      <c r="KMY518" s="332"/>
      <c r="KMZ518" s="332"/>
      <c r="KNA518" s="332"/>
      <c r="KNB518" s="332"/>
      <c r="KNC518" s="332"/>
      <c r="KND518" s="332"/>
      <c r="KNE518" s="332"/>
      <c r="KNF518" s="332"/>
      <c r="KNG518" s="332"/>
      <c r="KNH518" s="332"/>
      <c r="KNI518" s="332"/>
      <c r="KNJ518" s="332"/>
      <c r="KNK518" s="332"/>
      <c r="KNL518" s="332"/>
      <c r="KNM518" s="332"/>
      <c r="KNN518" s="332"/>
      <c r="KNO518" s="332"/>
      <c r="KNP518" s="332"/>
      <c r="KNQ518" s="332"/>
      <c r="KNR518" s="332"/>
      <c r="KNS518" s="332"/>
      <c r="KNT518" s="332"/>
      <c r="KNU518" s="332"/>
      <c r="KNV518" s="332"/>
      <c r="KNW518" s="332"/>
      <c r="KNX518" s="332"/>
      <c r="KNY518" s="332"/>
      <c r="KNZ518" s="332"/>
      <c r="KOA518" s="332"/>
      <c r="KOB518" s="332"/>
      <c r="KOC518" s="332"/>
      <c r="KOD518" s="332"/>
      <c r="KOE518" s="332"/>
      <c r="KOF518" s="332"/>
      <c r="KOG518" s="332"/>
      <c r="KOH518" s="332"/>
      <c r="KOI518" s="332"/>
      <c r="KOJ518" s="332"/>
      <c r="KOK518" s="332"/>
      <c r="KOL518" s="332"/>
      <c r="KOM518" s="332"/>
      <c r="KON518" s="332"/>
      <c r="KOO518" s="332"/>
      <c r="KOP518" s="332"/>
      <c r="KOQ518" s="332"/>
      <c r="KOR518" s="332"/>
      <c r="KOS518" s="332"/>
      <c r="KOT518" s="332"/>
      <c r="KOU518" s="332"/>
      <c r="KOV518" s="332"/>
      <c r="KOW518" s="332"/>
      <c r="KOX518" s="332"/>
      <c r="KOY518" s="332"/>
      <c r="KOZ518" s="332"/>
      <c r="KPA518" s="332"/>
      <c r="KPB518" s="332"/>
      <c r="KPC518" s="332"/>
      <c r="KPD518" s="332"/>
      <c r="KPE518" s="332"/>
      <c r="KPF518" s="332"/>
      <c r="KPG518" s="332"/>
      <c r="KPH518" s="332"/>
      <c r="KPI518" s="332"/>
      <c r="KPJ518" s="332"/>
      <c r="KPK518" s="332"/>
      <c r="KPL518" s="332"/>
      <c r="KPM518" s="332"/>
      <c r="KPN518" s="332"/>
      <c r="KPO518" s="332"/>
      <c r="KPP518" s="332"/>
      <c r="KPQ518" s="332"/>
      <c r="KPR518" s="332"/>
      <c r="KPS518" s="332"/>
      <c r="KPT518" s="332"/>
      <c r="KPU518" s="332"/>
      <c r="KPV518" s="332"/>
      <c r="KPW518" s="332"/>
      <c r="KPX518" s="332"/>
      <c r="KPY518" s="332"/>
      <c r="KPZ518" s="332"/>
      <c r="KQA518" s="332"/>
      <c r="KQB518" s="332"/>
      <c r="KQC518" s="332"/>
      <c r="KQD518" s="332"/>
      <c r="KQE518" s="332"/>
      <c r="KQF518" s="332"/>
      <c r="KQG518" s="332"/>
      <c r="KQH518" s="332"/>
      <c r="KQI518" s="332"/>
      <c r="KQJ518" s="332"/>
      <c r="KQK518" s="332"/>
      <c r="KQL518" s="332"/>
      <c r="KQM518" s="332"/>
      <c r="KQN518" s="332"/>
      <c r="KQO518" s="332"/>
      <c r="KQP518" s="332"/>
      <c r="KQQ518" s="332"/>
      <c r="KQR518" s="332"/>
      <c r="KQS518" s="332"/>
      <c r="KQT518" s="332"/>
      <c r="KQU518" s="332"/>
      <c r="KQV518" s="332"/>
      <c r="KQW518" s="332"/>
      <c r="KQX518" s="332"/>
      <c r="KQY518" s="332"/>
      <c r="KQZ518" s="332"/>
      <c r="KRA518" s="332"/>
      <c r="KRB518" s="332"/>
      <c r="KRC518" s="332"/>
      <c r="KRD518" s="332"/>
      <c r="KRE518" s="332"/>
      <c r="KRF518" s="332"/>
      <c r="KRG518" s="332"/>
      <c r="KRH518" s="332"/>
      <c r="KRI518" s="332"/>
      <c r="KRJ518" s="332"/>
      <c r="KRK518" s="332"/>
      <c r="KRL518" s="332"/>
      <c r="KRM518" s="332"/>
      <c r="KRN518" s="332"/>
      <c r="KRO518" s="332"/>
      <c r="KRP518" s="332"/>
      <c r="KRQ518" s="332"/>
      <c r="KRR518" s="332"/>
      <c r="KRS518" s="332"/>
      <c r="KRT518" s="332"/>
      <c r="KRU518" s="332"/>
      <c r="KRV518" s="332"/>
      <c r="KRW518" s="332"/>
      <c r="KRX518" s="332"/>
      <c r="KRY518" s="332"/>
      <c r="KRZ518" s="332"/>
      <c r="KSA518" s="332"/>
      <c r="KSB518" s="332"/>
      <c r="KSC518" s="332"/>
      <c r="KSD518" s="332"/>
      <c r="KSE518" s="332"/>
      <c r="KSF518" s="332"/>
      <c r="KSG518" s="332"/>
      <c r="KSH518" s="332"/>
      <c r="KSI518" s="332"/>
      <c r="KSJ518" s="332"/>
      <c r="KSK518" s="332"/>
      <c r="KSL518" s="332"/>
      <c r="KSM518" s="332"/>
      <c r="KSN518" s="332"/>
      <c r="KSO518" s="332"/>
      <c r="KSP518" s="332"/>
      <c r="KSQ518" s="332"/>
      <c r="KSR518" s="332"/>
      <c r="KSS518" s="332"/>
      <c r="KST518" s="332"/>
      <c r="KSU518" s="332"/>
      <c r="KSV518" s="332"/>
      <c r="KSW518" s="332"/>
      <c r="KSX518" s="332"/>
      <c r="KSY518" s="332"/>
      <c r="KSZ518" s="332"/>
      <c r="KTA518" s="332"/>
      <c r="KTB518" s="332"/>
      <c r="KTC518" s="332"/>
      <c r="KTD518" s="332"/>
      <c r="KTE518" s="332"/>
      <c r="KTF518" s="332"/>
      <c r="KTG518" s="332"/>
      <c r="KTH518" s="332"/>
      <c r="KTI518" s="332"/>
      <c r="KTJ518" s="332"/>
      <c r="KTK518" s="332"/>
      <c r="KTL518" s="332"/>
      <c r="KTM518" s="332"/>
      <c r="KTN518" s="332"/>
      <c r="KTO518" s="332"/>
      <c r="KTP518" s="332"/>
      <c r="KTQ518" s="332"/>
      <c r="KTR518" s="332"/>
      <c r="KTS518" s="332"/>
      <c r="KTT518" s="332"/>
      <c r="KTU518" s="332"/>
      <c r="KTV518" s="332"/>
      <c r="KTW518" s="332"/>
      <c r="KTX518" s="332"/>
      <c r="KTY518" s="332"/>
      <c r="KTZ518" s="332"/>
      <c r="KUA518" s="332"/>
      <c r="KUB518" s="332"/>
      <c r="KUC518" s="332"/>
      <c r="KUD518" s="332"/>
      <c r="KUE518" s="332"/>
      <c r="KUF518" s="332"/>
      <c r="KUG518" s="332"/>
      <c r="KUH518" s="332"/>
      <c r="KUI518" s="332"/>
      <c r="KUJ518" s="332"/>
      <c r="KUK518" s="332"/>
      <c r="KUL518" s="332"/>
      <c r="KUM518" s="332"/>
      <c r="KUN518" s="332"/>
      <c r="KUO518" s="332"/>
      <c r="KUP518" s="332"/>
      <c r="KUQ518" s="332"/>
      <c r="KUR518" s="332"/>
      <c r="KUS518" s="332"/>
      <c r="KUT518" s="332"/>
      <c r="KUU518" s="332"/>
      <c r="KUV518" s="332"/>
      <c r="KUW518" s="332"/>
      <c r="KUX518" s="332"/>
      <c r="KUY518" s="332"/>
      <c r="KUZ518" s="332"/>
      <c r="KVA518" s="332"/>
      <c r="KVB518" s="332"/>
      <c r="KVC518" s="332"/>
      <c r="KVD518" s="332"/>
      <c r="KVE518" s="332"/>
      <c r="KVF518" s="332"/>
      <c r="KVG518" s="332"/>
      <c r="KVH518" s="332"/>
      <c r="KVI518" s="332"/>
      <c r="KVJ518" s="332"/>
      <c r="KVK518" s="332"/>
      <c r="KVL518" s="332"/>
      <c r="KVM518" s="332"/>
      <c r="KVN518" s="332"/>
      <c r="KVO518" s="332"/>
      <c r="KVP518" s="332"/>
      <c r="KVQ518" s="332"/>
      <c r="KVR518" s="332"/>
      <c r="KVS518" s="332"/>
      <c r="KVT518" s="332"/>
      <c r="KVU518" s="332"/>
      <c r="KVV518" s="332"/>
      <c r="KVW518" s="332"/>
      <c r="KVX518" s="332"/>
      <c r="KVY518" s="332"/>
      <c r="KVZ518" s="332"/>
      <c r="KWA518" s="332"/>
      <c r="KWB518" s="332"/>
      <c r="KWC518" s="332"/>
      <c r="KWD518" s="332"/>
      <c r="KWE518" s="332"/>
      <c r="KWF518" s="332"/>
      <c r="KWG518" s="332"/>
      <c r="KWH518" s="332"/>
      <c r="KWI518" s="332"/>
      <c r="KWJ518" s="332"/>
      <c r="KWK518" s="332"/>
      <c r="KWL518" s="332"/>
      <c r="KWM518" s="332"/>
      <c r="KWN518" s="332"/>
      <c r="KWO518" s="332"/>
      <c r="KWP518" s="332"/>
      <c r="KWQ518" s="332"/>
      <c r="KWR518" s="332"/>
      <c r="KWS518" s="332"/>
      <c r="KWT518" s="332"/>
      <c r="KWU518" s="332"/>
      <c r="KWV518" s="332"/>
      <c r="KWW518" s="332"/>
      <c r="KWX518" s="332"/>
      <c r="KWY518" s="332"/>
      <c r="KWZ518" s="332"/>
      <c r="KXA518" s="332"/>
      <c r="KXB518" s="332"/>
      <c r="KXC518" s="332"/>
      <c r="KXD518" s="332"/>
      <c r="KXE518" s="332"/>
      <c r="KXF518" s="332"/>
      <c r="KXG518" s="332"/>
      <c r="KXH518" s="332"/>
      <c r="KXI518" s="332"/>
      <c r="KXJ518" s="332"/>
      <c r="KXK518" s="332"/>
      <c r="KXL518" s="332"/>
      <c r="KXM518" s="332"/>
      <c r="KXN518" s="332"/>
      <c r="KXO518" s="332"/>
      <c r="KXP518" s="332"/>
      <c r="KXQ518" s="332"/>
      <c r="KXR518" s="332"/>
      <c r="KXS518" s="332"/>
      <c r="KXT518" s="332"/>
      <c r="KXU518" s="332"/>
      <c r="KXV518" s="332"/>
      <c r="KXW518" s="332"/>
      <c r="KXX518" s="332"/>
      <c r="KXY518" s="332"/>
      <c r="KXZ518" s="332"/>
      <c r="KYA518" s="332"/>
      <c r="KYB518" s="332"/>
      <c r="KYC518" s="332"/>
      <c r="KYD518" s="332"/>
      <c r="KYE518" s="332"/>
      <c r="KYF518" s="332"/>
      <c r="KYG518" s="332"/>
      <c r="KYH518" s="332"/>
      <c r="KYI518" s="332"/>
      <c r="KYJ518" s="332"/>
      <c r="KYK518" s="332"/>
      <c r="KYL518" s="332"/>
      <c r="KYM518" s="332"/>
      <c r="KYN518" s="332"/>
      <c r="KYO518" s="332"/>
      <c r="KYP518" s="332"/>
      <c r="KYQ518" s="332"/>
      <c r="KYR518" s="332"/>
      <c r="KYS518" s="332"/>
      <c r="KYT518" s="332"/>
      <c r="KYU518" s="332"/>
      <c r="KYV518" s="332"/>
      <c r="KYW518" s="332"/>
      <c r="KYX518" s="332"/>
      <c r="KYY518" s="332"/>
      <c r="KYZ518" s="332"/>
      <c r="KZA518" s="332"/>
      <c r="KZB518" s="332"/>
      <c r="KZC518" s="332"/>
      <c r="KZD518" s="332"/>
      <c r="KZE518" s="332"/>
      <c r="KZF518" s="332"/>
      <c r="KZG518" s="332"/>
      <c r="KZH518" s="332"/>
      <c r="KZI518" s="332"/>
      <c r="KZJ518" s="332"/>
      <c r="KZK518" s="332"/>
      <c r="KZL518" s="332"/>
      <c r="KZM518" s="332"/>
      <c r="KZN518" s="332"/>
      <c r="KZO518" s="332"/>
      <c r="KZP518" s="332"/>
      <c r="KZQ518" s="332"/>
      <c r="KZR518" s="332"/>
      <c r="KZS518" s="332"/>
      <c r="KZT518" s="332"/>
      <c r="KZU518" s="332"/>
      <c r="KZV518" s="332"/>
      <c r="KZW518" s="332"/>
      <c r="KZX518" s="332"/>
      <c r="KZY518" s="332"/>
      <c r="KZZ518" s="332"/>
      <c r="LAA518" s="332"/>
      <c r="LAB518" s="332"/>
      <c r="LAC518" s="332"/>
      <c r="LAD518" s="332"/>
      <c r="LAE518" s="332"/>
      <c r="LAF518" s="332"/>
      <c r="LAG518" s="332"/>
      <c r="LAH518" s="332"/>
      <c r="LAI518" s="332"/>
      <c r="LAJ518" s="332"/>
      <c r="LAK518" s="332"/>
      <c r="LAL518" s="332"/>
      <c r="LAM518" s="332"/>
      <c r="LAN518" s="332"/>
      <c r="LAO518" s="332"/>
      <c r="LAP518" s="332"/>
      <c r="LAQ518" s="332"/>
      <c r="LAR518" s="332"/>
      <c r="LAS518" s="332"/>
      <c r="LAT518" s="332"/>
      <c r="LAU518" s="332"/>
      <c r="LAV518" s="332"/>
      <c r="LAW518" s="332"/>
      <c r="LAX518" s="332"/>
      <c r="LAY518" s="332"/>
      <c r="LAZ518" s="332"/>
      <c r="LBA518" s="332"/>
      <c r="LBB518" s="332"/>
      <c r="LBC518" s="332"/>
      <c r="LBD518" s="332"/>
      <c r="LBE518" s="332"/>
      <c r="LBF518" s="332"/>
      <c r="LBG518" s="332"/>
      <c r="LBH518" s="332"/>
      <c r="LBI518" s="332"/>
      <c r="LBJ518" s="332"/>
      <c r="LBK518" s="332"/>
      <c r="LBL518" s="332"/>
      <c r="LBM518" s="332"/>
      <c r="LBN518" s="332"/>
      <c r="LBO518" s="332"/>
      <c r="LBP518" s="332"/>
      <c r="LBQ518" s="332"/>
      <c r="LBR518" s="332"/>
      <c r="LBS518" s="332"/>
      <c r="LBT518" s="332"/>
      <c r="LBU518" s="332"/>
      <c r="LBV518" s="332"/>
      <c r="LBW518" s="332"/>
      <c r="LBX518" s="332"/>
      <c r="LBY518" s="332"/>
      <c r="LBZ518" s="332"/>
      <c r="LCA518" s="332"/>
      <c r="LCB518" s="332"/>
      <c r="LCC518" s="332"/>
      <c r="LCD518" s="332"/>
      <c r="LCE518" s="332"/>
      <c r="LCF518" s="332"/>
      <c r="LCG518" s="332"/>
      <c r="LCH518" s="332"/>
      <c r="LCI518" s="332"/>
      <c r="LCJ518" s="332"/>
      <c r="LCK518" s="332"/>
      <c r="LCL518" s="332"/>
      <c r="LCM518" s="332"/>
      <c r="LCN518" s="332"/>
      <c r="LCO518" s="332"/>
      <c r="LCP518" s="332"/>
      <c r="LCQ518" s="332"/>
      <c r="LCR518" s="332"/>
      <c r="LCS518" s="332"/>
      <c r="LCT518" s="332"/>
      <c r="LCU518" s="332"/>
      <c r="LCV518" s="332"/>
      <c r="LCW518" s="332"/>
      <c r="LCX518" s="332"/>
      <c r="LCY518" s="332"/>
      <c r="LCZ518" s="332"/>
      <c r="LDA518" s="332"/>
      <c r="LDB518" s="332"/>
      <c r="LDC518" s="332"/>
      <c r="LDD518" s="332"/>
      <c r="LDE518" s="332"/>
      <c r="LDF518" s="332"/>
      <c r="LDG518" s="332"/>
      <c r="LDH518" s="332"/>
      <c r="LDI518" s="332"/>
      <c r="LDJ518" s="332"/>
      <c r="LDK518" s="332"/>
      <c r="LDL518" s="332"/>
      <c r="LDM518" s="332"/>
      <c r="LDN518" s="332"/>
      <c r="LDO518" s="332"/>
      <c r="LDP518" s="332"/>
      <c r="LDQ518" s="332"/>
      <c r="LDR518" s="332"/>
      <c r="LDS518" s="332"/>
      <c r="LDT518" s="332"/>
      <c r="LDU518" s="332"/>
      <c r="LDV518" s="332"/>
      <c r="LDW518" s="332"/>
      <c r="LDX518" s="332"/>
      <c r="LDY518" s="332"/>
      <c r="LDZ518" s="332"/>
      <c r="LEA518" s="332"/>
      <c r="LEB518" s="332"/>
      <c r="LEC518" s="332"/>
      <c r="LED518" s="332"/>
      <c r="LEE518" s="332"/>
      <c r="LEF518" s="332"/>
      <c r="LEG518" s="332"/>
      <c r="LEH518" s="332"/>
      <c r="LEI518" s="332"/>
      <c r="LEJ518" s="332"/>
      <c r="LEK518" s="332"/>
      <c r="LEL518" s="332"/>
      <c r="LEM518" s="332"/>
      <c r="LEN518" s="332"/>
      <c r="LEO518" s="332"/>
      <c r="LEP518" s="332"/>
      <c r="LEQ518" s="332"/>
      <c r="LER518" s="332"/>
      <c r="LES518" s="332"/>
      <c r="LET518" s="332"/>
      <c r="LEU518" s="332"/>
      <c r="LEV518" s="332"/>
      <c r="LEW518" s="332"/>
      <c r="LEX518" s="332"/>
      <c r="LEY518" s="332"/>
      <c r="LEZ518" s="332"/>
      <c r="LFA518" s="332"/>
      <c r="LFB518" s="332"/>
      <c r="LFC518" s="332"/>
      <c r="LFD518" s="332"/>
      <c r="LFE518" s="332"/>
      <c r="LFF518" s="332"/>
      <c r="LFG518" s="332"/>
      <c r="LFH518" s="332"/>
      <c r="LFI518" s="332"/>
      <c r="LFJ518" s="332"/>
      <c r="LFK518" s="332"/>
      <c r="LFL518" s="332"/>
      <c r="LFM518" s="332"/>
      <c r="LFN518" s="332"/>
      <c r="LFO518" s="332"/>
      <c r="LFP518" s="332"/>
      <c r="LFQ518" s="332"/>
      <c r="LFR518" s="332"/>
      <c r="LFS518" s="332"/>
      <c r="LFT518" s="332"/>
      <c r="LFU518" s="332"/>
      <c r="LFV518" s="332"/>
      <c r="LFW518" s="332"/>
      <c r="LFX518" s="332"/>
      <c r="LFY518" s="332"/>
      <c r="LFZ518" s="332"/>
      <c r="LGA518" s="332"/>
      <c r="LGB518" s="332"/>
      <c r="LGC518" s="332"/>
      <c r="LGD518" s="332"/>
      <c r="LGE518" s="332"/>
      <c r="LGF518" s="332"/>
      <c r="LGG518" s="332"/>
      <c r="LGH518" s="332"/>
      <c r="LGI518" s="332"/>
      <c r="LGJ518" s="332"/>
      <c r="LGK518" s="332"/>
      <c r="LGL518" s="332"/>
      <c r="LGM518" s="332"/>
      <c r="LGN518" s="332"/>
      <c r="LGO518" s="332"/>
      <c r="LGP518" s="332"/>
      <c r="LGQ518" s="332"/>
      <c r="LGR518" s="332"/>
      <c r="LGS518" s="332"/>
      <c r="LGT518" s="332"/>
      <c r="LGU518" s="332"/>
      <c r="LGV518" s="332"/>
      <c r="LGW518" s="332"/>
      <c r="LGX518" s="332"/>
      <c r="LGY518" s="332"/>
      <c r="LGZ518" s="332"/>
      <c r="LHA518" s="332"/>
      <c r="LHB518" s="332"/>
      <c r="LHC518" s="332"/>
      <c r="LHD518" s="332"/>
      <c r="LHE518" s="332"/>
      <c r="LHF518" s="332"/>
      <c r="LHG518" s="332"/>
      <c r="LHH518" s="332"/>
      <c r="LHI518" s="332"/>
      <c r="LHJ518" s="332"/>
      <c r="LHK518" s="332"/>
      <c r="LHL518" s="332"/>
      <c r="LHM518" s="332"/>
      <c r="LHN518" s="332"/>
      <c r="LHO518" s="332"/>
      <c r="LHP518" s="332"/>
      <c r="LHQ518" s="332"/>
      <c r="LHR518" s="332"/>
      <c r="LHS518" s="332"/>
      <c r="LHT518" s="332"/>
      <c r="LHU518" s="332"/>
      <c r="LHV518" s="332"/>
      <c r="LHW518" s="332"/>
      <c r="LHX518" s="332"/>
      <c r="LHY518" s="332"/>
      <c r="LHZ518" s="332"/>
      <c r="LIA518" s="332"/>
      <c r="LIB518" s="332"/>
      <c r="LIC518" s="332"/>
      <c r="LID518" s="332"/>
      <c r="LIE518" s="332"/>
      <c r="LIF518" s="332"/>
      <c r="LIG518" s="332"/>
      <c r="LIH518" s="332"/>
      <c r="LII518" s="332"/>
      <c r="LIJ518" s="332"/>
      <c r="LIK518" s="332"/>
      <c r="LIL518" s="332"/>
      <c r="LIM518" s="332"/>
      <c r="LIN518" s="332"/>
      <c r="LIO518" s="332"/>
      <c r="LIP518" s="332"/>
      <c r="LIQ518" s="332"/>
      <c r="LIR518" s="332"/>
      <c r="LIS518" s="332"/>
      <c r="LIT518" s="332"/>
      <c r="LIU518" s="332"/>
      <c r="LIV518" s="332"/>
      <c r="LIW518" s="332"/>
      <c r="LIX518" s="332"/>
      <c r="LIY518" s="332"/>
      <c r="LIZ518" s="332"/>
      <c r="LJA518" s="332"/>
      <c r="LJB518" s="332"/>
      <c r="LJC518" s="332"/>
      <c r="LJD518" s="332"/>
      <c r="LJE518" s="332"/>
      <c r="LJF518" s="332"/>
      <c r="LJG518" s="332"/>
      <c r="LJH518" s="332"/>
      <c r="LJI518" s="332"/>
      <c r="LJJ518" s="332"/>
      <c r="LJK518" s="332"/>
      <c r="LJL518" s="332"/>
      <c r="LJM518" s="332"/>
      <c r="LJN518" s="332"/>
      <c r="LJO518" s="332"/>
      <c r="LJP518" s="332"/>
      <c r="LJQ518" s="332"/>
      <c r="LJR518" s="332"/>
      <c r="LJS518" s="332"/>
      <c r="LJT518" s="332"/>
      <c r="LJU518" s="332"/>
      <c r="LJV518" s="332"/>
      <c r="LJW518" s="332"/>
      <c r="LJX518" s="332"/>
      <c r="LJY518" s="332"/>
      <c r="LJZ518" s="332"/>
      <c r="LKA518" s="332"/>
      <c r="LKB518" s="332"/>
      <c r="LKC518" s="332"/>
      <c r="LKD518" s="332"/>
      <c r="LKE518" s="332"/>
      <c r="LKF518" s="332"/>
      <c r="LKG518" s="332"/>
      <c r="LKH518" s="332"/>
      <c r="LKI518" s="332"/>
      <c r="LKJ518" s="332"/>
      <c r="LKK518" s="332"/>
      <c r="LKL518" s="332"/>
      <c r="LKM518" s="332"/>
      <c r="LKN518" s="332"/>
      <c r="LKO518" s="332"/>
      <c r="LKP518" s="332"/>
      <c r="LKQ518" s="332"/>
      <c r="LKR518" s="332"/>
      <c r="LKS518" s="332"/>
      <c r="LKT518" s="332"/>
      <c r="LKU518" s="332"/>
      <c r="LKV518" s="332"/>
      <c r="LKW518" s="332"/>
      <c r="LKX518" s="332"/>
      <c r="LKY518" s="332"/>
      <c r="LKZ518" s="332"/>
      <c r="LLA518" s="332"/>
      <c r="LLB518" s="332"/>
      <c r="LLC518" s="332"/>
      <c r="LLD518" s="332"/>
      <c r="LLE518" s="332"/>
      <c r="LLF518" s="332"/>
      <c r="LLG518" s="332"/>
      <c r="LLH518" s="332"/>
      <c r="LLI518" s="332"/>
      <c r="LLJ518" s="332"/>
      <c r="LLK518" s="332"/>
      <c r="LLL518" s="332"/>
      <c r="LLM518" s="332"/>
      <c r="LLN518" s="332"/>
      <c r="LLO518" s="332"/>
      <c r="LLP518" s="332"/>
      <c r="LLQ518" s="332"/>
      <c r="LLR518" s="332"/>
      <c r="LLS518" s="332"/>
      <c r="LLT518" s="332"/>
      <c r="LLU518" s="332"/>
      <c r="LLV518" s="332"/>
      <c r="LLW518" s="332"/>
      <c r="LLX518" s="332"/>
      <c r="LLY518" s="332"/>
      <c r="LLZ518" s="332"/>
      <c r="LMA518" s="332"/>
      <c r="LMB518" s="332"/>
      <c r="LMC518" s="332"/>
      <c r="LMD518" s="332"/>
      <c r="LME518" s="332"/>
      <c r="LMF518" s="332"/>
      <c r="LMG518" s="332"/>
      <c r="LMH518" s="332"/>
      <c r="LMI518" s="332"/>
      <c r="LMJ518" s="332"/>
      <c r="LMK518" s="332"/>
      <c r="LML518" s="332"/>
      <c r="LMM518" s="332"/>
      <c r="LMN518" s="332"/>
      <c r="LMO518" s="332"/>
      <c r="LMP518" s="332"/>
      <c r="LMQ518" s="332"/>
      <c r="LMR518" s="332"/>
      <c r="LMS518" s="332"/>
      <c r="LMT518" s="332"/>
      <c r="LMU518" s="332"/>
      <c r="LMV518" s="332"/>
      <c r="LMW518" s="332"/>
      <c r="LMX518" s="332"/>
      <c r="LMY518" s="332"/>
      <c r="LMZ518" s="332"/>
      <c r="LNA518" s="332"/>
      <c r="LNB518" s="332"/>
      <c r="LNC518" s="332"/>
      <c r="LND518" s="332"/>
      <c r="LNE518" s="332"/>
      <c r="LNF518" s="332"/>
      <c r="LNG518" s="332"/>
      <c r="LNH518" s="332"/>
      <c r="LNI518" s="332"/>
      <c r="LNJ518" s="332"/>
      <c r="LNK518" s="332"/>
      <c r="LNL518" s="332"/>
      <c r="LNM518" s="332"/>
      <c r="LNN518" s="332"/>
      <c r="LNO518" s="332"/>
      <c r="LNP518" s="332"/>
      <c r="LNQ518" s="332"/>
      <c r="LNR518" s="332"/>
      <c r="LNS518" s="332"/>
      <c r="LNT518" s="332"/>
      <c r="LNU518" s="332"/>
      <c r="LNV518" s="332"/>
      <c r="LNW518" s="332"/>
      <c r="LNX518" s="332"/>
      <c r="LNY518" s="332"/>
      <c r="LNZ518" s="332"/>
      <c r="LOA518" s="332"/>
      <c r="LOB518" s="332"/>
      <c r="LOC518" s="332"/>
      <c r="LOD518" s="332"/>
      <c r="LOE518" s="332"/>
      <c r="LOF518" s="332"/>
      <c r="LOG518" s="332"/>
      <c r="LOH518" s="332"/>
      <c r="LOI518" s="332"/>
      <c r="LOJ518" s="332"/>
      <c r="LOK518" s="332"/>
      <c r="LOL518" s="332"/>
      <c r="LOM518" s="332"/>
      <c r="LON518" s="332"/>
      <c r="LOO518" s="332"/>
      <c r="LOP518" s="332"/>
      <c r="LOQ518" s="332"/>
      <c r="LOR518" s="332"/>
      <c r="LOS518" s="332"/>
      <c r="LOT518" s="332"/>
      <c r="LOU518" s="332"/>
      <c r="LOV518" s="332"/>
      <c r="LOW518" s="332"/>
      <c r="LOX518" s="332"/>
      <c r="LOY518" s="332"/>
      <c r="LOZ518" s="332"/>
      <c r="LPA518" s="332"/>
      <c r="LPB518" s="332"/>
      <c r="LPC518" s="332"/>
      <c r="LPD518" s="332"/>
      <c r="LPE518" s="332"/>
      <c r="LPF518" s="332"/>
      <c r="LPG518" s="332"/>
      <c r="LPH518" s="332"/>
      <c r="LPI518" s="332"/>
      <c r="LPJ518" s="332"/>
      <c r="LPK518" s="332"/>
      <c r="LPL518" s="332"/>
      <c r="LPM518" s="332"/>
      <c r="LPN518" s="332"/>
      <c r="LPO518" s="332"/>
      <c r="LPP518" s="332"/>
      <c r="LPQ518" s="332"/>
      <c r="LPR518" s="332"/>
      <c r="LPS518" s="332"/>
      <c r="LPT518" s="332"/>
      <c r="LPU518" s="332"/>
      <c r="LPV518" s="332"/>
      <c r="LPW518" s="332"/>
      <c r="LPX518" s="332"/>
      <c r="LPY518" s="332"/>
      <c r="LPZ518" s="332"/>
      <c r="LQA518" s="332"/>
      <c r="LQB518" s="332"/>
      <c r="LQC518" s="332"/>
      <c r="LQD518" s="332"/>
      <c r="LQE518" s="332"/>
      <c r="LQF518" s="332"/>
      <c r="LQG518" s="332"/>
      <c r="LQH518" s="332"/>
      <c r="LQI518" s="332"/>
      <c r="LQJ518" s="332"/>
      <c r="LQK518" s="332"/>
      <c r="LQL518" s="332"/>
      <c r="LQM518" s="332"/>
      <c r="LQN518" s="332"/>
      <c r="LQO518" s="332"/>
      <c r="LQP518" s="332"/>
      <c r="LQQ518" s="332"/>
      <c r="LQR518" s="332"/>
      <c r="LQS518" s="332"/>
      <c r="LQT518" s="332"/>
      <c r="LQU518" s="332"/>
      <c r="LQV518" s="332"/>
      <c r="LQW518" s="332"/>
      <c r="LQX518" s="332"/>
      <c r="LQY518" s="332"/>
      <c r="LQZ518" s="332"/>
      <c r="LRA518" s="332"/>
      <c r="LRB518" s="332"/>
      <c r="LRC518" s="332"/>
      <c r="LRD518" s="332"/>
      <c r="LRE518" s="332"/>
      <c r="LRF518" s="332"/>
      <c r="LRG518" s="332"/>
      <c r="LRH518" s="332"/>
      <c r="LRI518" s="332"/>
      <c r="LRJ518" s="332"/>
      <c r="LRK518" s="332"/>
      <c r="LRL518" s="332"/>
      <c r="LRM518" s="332"/>
      <c r="LRN518" s="332"/>
      <c r="LRO518" s="332"/>
      <c r="LRP518" s="332"/>
      <c r="LRQ518" s="332"/>
      <c r="LRR518" s="332"/>
      <c r="LRS518" s="332"/>
      <c r="LRT518" s="332"/>
      <c r="LRU518" s="332"/>
      <c r="LRV518" s="332"/>
      <c r="LRW518" s="332"/>
      <c r="LRX518" s="332"/>
      <c r="LRY518" s="332"/>
      <c r="LRZ518" s="332"/>
      <c r="LSA518" s="332"/>
      <c r="LSB518" s="332"/>
      <c r="LSC518" s="332"/>
      <c r="LSD518" s="332"/>
      <c r="LSE518" s="332"/>
      <c r="LSF518" s="332"/>
      <c r="LSG518" s="332"/>
      <c r="LSH518" s="332"/>
      <c r="LSI518" s="332"/>
      <c r="LSJ518" s="332"/>
      <c r="LSK518" s="332"/>
      <c r="LSL518" s="332"/>
      <c r="LSM518" s="332"/>
      <c r="LSN518" s="332"/>
      <c r="LSO518" s="332"/>
      <c r="LSP518" s="332"/>
      <c r="LSQ518" s="332"/>
      <c r="LSR518" s="332"/>
      <c r="LSS518" s="332"/>
      <c r="LST518" s="332"/>
      <c r="LSU518" s="332"/>
      <c r="LSV518" s="332"/>
      <c r="LSW518" s="332"/>
      <c r="LSX518" s="332"/>
      <c r="LSY518" s="332"/>
      <c r="LSZ518" s="332"/>
      <c r="LTA518" s="332"/>
      <c r="LTB518" s="332"/>
      <c r="LTC518" s="332"/>
      <c r="LTD518" s="332"/>
      <c r="LTE518" s="332"/>
      <c r="LTF518" s="332"/>
      <c r="LTG518" s="332"/>
      <c r="LTH518" s="332"/>
      <c r="LTI518" s="332"/>
      <c r="LTJ518" s="332"/>
      <c r="LTK518" s="332"/>
      <c r="LTL518" s="332"/>
      <c r="LTM518" s="332"/>
      <c r="LTN518" s="332"/>
      <c r="LTO518" s="332"/>
      <c r="LTP518" s="332"/>
      <c r="LTQ518" s="332"/>
      <c r="LTR518" s="332"/>
      <c r="LTS518" s="332"/>
      <c r="LTT518" s="332"/>
      <c r="LTU518" s="332"/>
      <c r="LTV518" s="332"/>
      <c r="LTW518" s="332"/>
      <c r="LTX518" s="332"/>
      <c r="LTY518" s="332"/>
      <c r="LTZ518" s="332"/>
      <c r="LUA518" s="332"/>
      <c r="LUB518" s="332"/>
      <c r="LUC518" s="332"/>
      <c r="LUD518" s="332"/>
      <c r="LUE518" s="332"/>
      <c r="LUF518" s="332"/>
      <c r="LUG518" s="332"/>
      <c r="LUH518" s="332"/>
      <c r="LUI518" s="332"/>
      <c r="LUJ518" s="332"/>
      <c r="LUK518" s="332"/>
      <c r="LUL518" s="332"/>
      <c r="LUM518" s="332"/>
      <c r="LUN518" s="332"/>
      <c r="LUO518" s="332"/>
      <c r="LUP518" s="332"/>
      <c r="LUQ518" s="332"/>
      <c r="LUR518" s="332"/>
      <c r="LUS518" s="332"/>
      <c r="LUT518" s="332"/>
      <c r="LUU518" s="332"/>
      <c r="LUV518" s="332"/>
      <c r="LUW518" s="332"/>
      <c r="LUX518" s="332"/>
      <c r="LUY518" s="332"/>
      <c r="LUZ518" s="332"/>
      <c r="LVA518" s="332"/>
      <c r="LVB518" s="332"/>
      <c r="LVC518" s="332"/>
      <c r="LVD518" s="332"/>
      <c r="LVE518" s="332"/>
      <c r="LVF518" s="332"/>
      <c r="LVG518" s="332"/>
      <c r="LVH518" s="332"/>
      <c r="LVI518" s="332"/>
      <c r="LVJ518" s="332"/>
      <c r="LVK518" s="332"/>
      <c r="LVL518" s="332"/>
      <c r="LVM518" s="332"/>
      <c r="LVN518" s="332"/>
      <c r="LVO518" s="332"/>
      <c r="LVP518" s="332"/>
      <c r="LVQ518" s="332"/>
      <c r="LVR518" s="332"/>
      <c r="LVS518" s="332"/>
      <c r="LVT518" s="332"/>
      <c r="LVU518" s="332"/>
      <c r="LVV518" s="332"/>
      <c r="LVW518" s="332"/>
      <c r="LVX518" s="332"/>
      <c r="LVY518" s="332"/>
      <c r="LVZ518" s="332"/>
      <c r="LWA518" s="332"/>
      <c r="LWB518" s="332"/>
      <c r="LWC518" s="332"/>
      <c r="LWD518" s="332"/>
      <c r="LWE518" s="332"/>
      <c r="LWF518" s="332"/>
      <c r="LWG518" s="332"/>
      <c r="LWH518" s="332"/>
      <c r="LWI518" s="332"/>
      <c r="LWJ518" s="332"/>
      <c r="LWK518" s="332"/>
      <c r="LWL518" s="332"/>
      <c r="LWM518" s="332"/>
      <c r="LWN518" s="332"/>
      <c r="LWO518" s="332"/>
      <c r="LWP518" s="332"/>
      <c r="LWQ518" s="332"/>
      <c r="LWR518" s="332"/>
      <c r="LWS518" s="332"/>
      <c r="LWT518" s="332"/>
      <c r="LWU518" s="332"/>
      <c r="LWV518" s="332"/>
      <c r="LWW518" s="332"/>
      <c r="LWX518" s="332"/>
      <c r="LWY518" s="332"/>
      <c r="LWZ518" s="332"/>
      <c r="LXA518" s="332"/>
      <c r="LXB518" s="332"/>
      <c r="LXC518" s="332"/>
      <c r="LXD518" s="332"/>
      <c r="LXE518" s="332"/>
      <c r="LXF518" s="332"/>
      <c r="LXG518" s="332"/>
      <c r="LXH518" s="332"/>
      <c r="LXI518" s="332"/>
      <c r="LXJ518" s="332"/>
      <c r="LXK518" s="332"/>
      <c r="LXL518" s="332"/>
      <c r="LXM518" s="332"/>
      <c r="LXN518" s="332"/>
      <c r="LXO518" s="332"/>
      <c r="LXP518" s="332"/>
      <c r="LXQ518" s="332"/>
      <c r="LXR518" s="332"/>
      <c r="LXS518" s="332"/>
      <c r="LXT518" s="332"/>
      <c r="LXU518" s="332"/>
      <c r="LXV518" s="332"/>
      <c r="LXW518" s="332"/>
      <c r="LXX518" s="332"/>
      <c r="LXY518" s="332"/>
      <c r="LXZ518" s="332"/>
      <c r="LYA518" s="332"/>
      <c r="LYB518" s="332"/>
      <c r="LYC518" s="332"/>
      <c r="LYD518" s="332"/>
      <c r="LYE518" s="332"/>
      <c r="LYF518" s="332"/>
      <c r="LYG518" s="332"/>
      <c r="LYH518" s="332"/>
      <c r="LYI518" s="332"/>
      <c r="LYJ518" s="332"/>
      <c r="LYK518" s="332"/>
      <c r="LYL518" s="332"/>
      <c r="LYM518" s="332"/>
      <c r="LYN518" s="332"/>
      <c r="LYO518" s="332"/>
      <c r="LYP518" s="332"/>
      <c r="LYQ518" s="332"/>
      <c r="LYR518" s="332"/>
      <c r="LYS518" s="332"/>
      <c r="LYT518" s="332"/>
      <c r="LYU518" s="332"/>
      <c r="LYV518" s="332"/>
      <c r="LYW518" s="332"/>
      <c r="LYX518" s="332"/>
      <c r="LYY518" s="332"/>
      <c r="LYZ518" s="332"/>
      <c r="LZA518" s="332"/>
      <c r="LZB518" s="332"/>
      <c r="LZC518" s="332"/>
      <c r="LZD518" s="332"/>
      <c r="LZE518" s="332"/>
      <c r="LZF518" s="332"/>
      <c r="LZG518" s="332"/>
      <c r="LZH518" s="332"/>
      <c r="LZI518" s="332"/>
      <c r="LZJ518" s="332"/>
      <c r="LZK518" s="332"/>
      <c r="LZL518" s="332"/>
      <c r="LZM518" s="332"/>
      <c r="LZN518" s="332"/>
      <c r="LZO518" s="332"/>
      <c r="LZP518" s="332"/>
      <c r="LZQ518" s="332"/>
      <c r="LZR518" s="332"/>
      <c r="LZS518" s="332"/>
      <c r="LZT518" s="332"/>
      <c r="LZU518" s="332"/>
      <c r="LZV518" s="332"/>
      <c r="LZW518" s="332"/>
      <c r="LZX518" s="332"/>
      <c r="LZY518" s="332"/>
      <c r="LZZ518" s="332"/>
      <c r="MAA518" s="332"/>
      <c r="MAB518" s="332"/>
      <c r="MAC518" s="332"/>
      <c r="MAD518" s="332"/>
      <c r="MAE518" s="332"/>
      <c r="MAF518" s="332"/>
      <c r="MAG518" s="332"/>
      <c r="MAH518" s="332"/>
      <c r="MAI518" s="332"/>
      <c r="MAJ518" s="332"/>
      <c r="MAK518" s="332"/>
      <c r="MAL518" s="332"/>
      <c r="MAM518" s="332"/>
      <c r="MAN518" s="332"/>
      <c r="MAO518" s="332"/>
      <c r="MAP518" s="332"/>
      <c r="MAQ518" s="332"/>
      <c r="MAR518" s="332"/>
      <c r="MAS518" s="332"/>
      <c r="MAT518" s="332"/>
      <c r="MAU518" s="332"/>
      <c r="MAV518" s="332"/>
      <c r="MAW518" s="332"/>
      <c r="MAX518" s="332"/>
      <c r="MAY518" s="332"/>
      <c r="MAZ518" s="332"/>
      <c r="MBA518" s="332"/>
      <c r="MBB518" s="332"/>
      <c r="MBC518" s="332"/>
      <c r="MBD518" s="332"/>
      <c r="MBE518" s="332"/>
      <c r="MBF518" s="332"/>
      <c r="MBG518" s="332"/>
      <c r="MBH518" s="332"/>
      <c r="MBI518" s="332"/>
      <c r="MBJ518" s="332"/>
      <c r="MBK518" s="332"/>
      <c r="MBL518" s="332"/>
      <c r="MBM518" s="332"/>
      <c r="MBN518" s="332"/>
      <c r="MBO518" s="332"/>
      <c r="MBP518" s="332"/>
      <c r="MBQ518" s="332"/>
      <c r="MBR518" s="332"/>
      <c r="MBS518" s="332"/>
      <c r="MBT518" s="332"/>
      <c r="MBU518" s="332"/>
      <c r="MBV518" s="332"/>
      <c r="MBW518" s="332"/>
      <c r="MBX518" s="332"/>
      <c r="MBY518" s="332"/>
      <c r="MBZ518" s="332"/>
      <c r="MCA518" s="332"/>
      <c r="MCB518" s="332"/>
      <c r="MCC518" s="332"/>
      <c r="MCD518" s="332"/>
      <c r="MCE518" s="332"/>
      <c r="MCF518" s="332"/>
      <c r="MCG518" s="332"/>
      <c r="MCH518" s="332"/>
      <c r="MCI518" s="332"/>
      <c r="MCJ518" s="332"/>
      <c r="MCK518" s="332"/>
      <c r="MCL518" s="332"/>
      <c r="MCM518" s="332"/>
      <c r="MCN518" s="332"/>
      <c r="MCO518" s="332"/>
      <c r="MCP518" s="332"/>
      <c r="MCQ518" s="332"/>
      <c r="MCR518" s="332"/>
      <c r="MCS518" s="332"/>
      <c r="MCT518" s="332"/>
      <c r="MCU518" s="332"/>
      <c r="MCV518" s="332"/>
      <c r="MCW518" s="332"/>
      <c r="MCX518" s="332"/>
      <c r="MCY518" s="332"/>
      <c r="MCZ518" s="332"/>
      <c r="MDA518" s="332"/>
      <c r="MDB518" s="332"/>
      <c r="MDC518" s="332"/>
      <c r="MDD518" s="332"/>
      <c r="MDE518" s="332"/>
      <c r="MDF518" s="332"/>
      <c r="MDG518" s="332"/>
      <c r="MDH518" s="332"/>
      <c r="MDI518" s="332"/>
      <c r="MDJ518" s="332"/>
      <c r="MDK518" s="332"/>
      <c r="MDL518" s="332"/>
      <c r="MDM518" s="332"/>
      <c r="MDN518" s="332"/>
      <c r="MDO518" s="332"/>
      <c r="MDP518" s="332"/>
      <c r="MDQ518" s="332"/>
      <c r="MDR518" s="332"/>
      <c r="MDS518" s="332"/>
      <c r="MDT518" s="332"/>
      <c r="MDU518" s="332"/>
      <c r="MDV518" s="332"/>
      <c r="MDW518" s="332"/>
      <c r="MDX518" s="332"/>
      <c r="MDY518" s="332"/>
      <c r="MDZ518" s="332"/>
      <c r="MEA518" s="332"/>
      <c r="MEB518" s="332"/>
      <c r="MEC518" s="332"/>
      <c r="MED518" s="332"/>
      <c r="MEE518" s="332"/>
      <c r="MEF518" s="332"/>
      <c r="MEG518" s="332"/>
      <c r="MEH518" s="332"/>
      <c r="MEI518" s="332"/>
      <c r="MEJ518" s="332"/>
      <c r="MEK518" s="332"/>
      <c r="MEL518" s="332"/>
      <c r="MEM518" s="332"/>
      <c r="MEN518" s="332"/>
      <c r="MEO518" s="332"/>
      <c r="MEP518" s="332"/>
      <c r="MEQ518" s="332"/>
      <c r="MER518" s="332"/>
      <c r="MES518" s="332"/>
      <c r="MET518" s="332"/>
      <c r="MEU518" s="332"/>
      <c r="MEV518" s="332"/>
      <c r="MEW518" s="332"/>
      <c r="MEX518" s="332"/>
      <c r="MEY518" s="332"/>
      <c r="MEZ518" s="332"/>
      <c r="MFA518" s="332"/>
      <c r="MFB518" s="332"/>
      <c r="MFC518" s="332"/>
      <c r="MFD518" s="332"/>
      <c r="MFE518" s="332"/>
      <c r="MFF518" s="332"/>
      <c r="MFG518" s="332"/>
      <c r="MFH518" s="332"/>
      <c r="MFI518" s="332"/>
      <c r="MFJ518" s="332"/>
      <c r="MFK518" s="332"/>
      <c r="MFL518" s="332"/>
      <c r="MFM518" s="332"/>
      <c r="MFN518" s="332"/>
      <c r="MFO518" s="332"/>
      <c r="MFP518" s="332"/>
      <c r="MFQ518" s="332"/>
      <c r="MFR518" s="332"/>
      <c r="MFS518" s="332"/>
      <c r="MFT518" s="332"/>
      <c r="MFU518" s="332"/>
      <c r="MFV518" s="332"/>
      <c r="MFW518" s="332"/>
      <c r="MFX518" s="332"/>
      <c r="MFY518" s="332"/>
      <c r="MFZ518" s="332"/>
      <c r="MGA518" s="332"/>
      <c r="MGB518" s="332"/>
      <c r="MGC518" s="332"/>
      <c r="MGD518" s="332"/>
      <c r="MGE518" s="332"/>
      <c r="MGF518" s="332"/>
      <c r="MGG518" s="332"/>
      <c r="MGH518" s="332"/>
      <c r="MGI518" s="332"/>
      <c r="MGJ518" s="332"/>
      <c r="MGK518" s="332"/>
      <c r="MGL518" s="332"/>
      <c r="MGM518" s="332"/>
      <c r="MGN518" s="332"/>
      <c r="MGO518" s="332"/>
      <c r="MGP518" s="332"/>
      <c r="MGQ518" s="332"/>
      <c r="MGR518" s="332"/>
      <c r="MGS518" s="332"/>
      <c r="MGT518" s="332"/>
      <c r="MGU518" s="332"/>
      <c r="MGV518" s="332"/>
      <c r="MGW518" s="332"/>
      <c r="MGX518" s="332"/>
      <c r="MGY518" s="332"/>
      <c r="MGZ518" s="332"/>
      <c r="MHA518" s="332"/>
      <c r="MHB518" s="332"/>
      <c r="MHC518" s="332"/>
      <c r="MHD518" s="332"/>
      <c r="MHE518" s="332"/>
      <c r="MHF518" s="332"/>
      <c r="MHG518" s="332"/>
      <c r="MHH518" s="332"/>
      <c r="MHI518" s="332"/>
      <c r="MHJ518" s="332"/>
      <c r="MHK518" s="332"/>
      <c r="MHL518" s="332"/>
      <c r="MHM518" s="332"/>
      <c r="MHN518" s="332"/>
      <c r="MHO518" s="332"/>
      <c r="MHP518" s="332"/>
      <c r="MHQ518" s="332"/>
      <c r="MHR518" s="332"/>
      <c r="MHS518" s="332"/>
      <c r="MHT518" s="332"/>
      <c r="MHU518" s="332"/>
      <c r="MHV518" s="332"/>
      <c r="MHW518" s="332"/>
      <c r="MHX518" s="332"/>
      <c r="MHY518" s="332"/>
      <c r="MHZ518" s="332"/>
      <c r="MIA518" s="332"/>
      <c r="MIB518" s="332"/>
      <c r="MIC518" s="332"/>
      <c r="MID518" s="332"/>
      <c r="MIE518" s="332"/>
      <c r="MIF518" s="332"/>
      <c r="MIG518" s="332"/>
      <c r="MIH518" s="332"/>
      <c r="MII518" s="332"/>
      <c r="MIJ518" s="332"/>
      <c r="MIK518" s="332"/>
      <c r="MIL518" s="332"/>
      <c r="MIM518" s="332"/>
      <c r="MIN518" s="332"/>
      <c r="MIO518" s="332"/>
      <c r="MIP518" s="332"/>
      <c r="MIQ518" s="332"/>
      <c r="MIR518" s="332"/>
      <c r="MIS518" s="332"/>
      <c r="MIT518" s="332"/>
      <c r="MIU518" s="332"/>
      <c r="MIV518" s="332"/>
      <c r="MIW518" s="332"/>
      <c r="MIX518" s="332"/>
      <c r="MIY518" s="332"/>
      <c r="MIZ518" s="332"/>
      <c r="MJA518" s="332"/>
      <c r="MJB518" s="332"/>
      <c r="MJC518" s="332"/>
      <c r="MJD518" s="332"/>
      <c r="MJE518" s="332"/>
      <c r="MJF518" s="332"/>
      <c r="MJG518" s="332"/>
      <c r="MJH518" s="332"/>
      <c r="MJI518" s="332"/>
      <c r="MJJ518" s="332"/>
      <c r="MJK518" s="332"/>
      <c r="MJL518" s="332"/>
      <c r="MJM518" s="332"/>
      <c r="MJN518" s="332"/>
      <c r="MJO518" s="332"/>
      <c r="MJP518" s="332"/>
      <c r="MJQ518" s="332"/>
      <c r="MJR518" s="332"/>
      <c r="MJS518" s="332"/>
      <c r="MJT518" s="332"/>
      <c r="MJU518" s="332"/>
      <c r="MJV518" s="332"/>
      <c r="MJW518" s="332"/>
      <c r="MJX518" s="332"/>
      <c r="MJY518" s="332"/>
      <c r="MJZ518" s="332"/>
      <c r="MKA518" s="332"/>
      <c r="MKB518" s="332"/>
      <c r="MKC518" s="332"/>
      <c r="MKD518" s="332"/>
      <c r="MKE518" s="332"/>
      <c r="MKF518" s="332"/>
      <c r="MKG518" s="332"/>
      <c r="MKH518" s="332"/>
      <c r="MKI518" s="332"/>
      <c r="MKJ518" s="332"/>
      <c r="MKK518" s="332"/>
      <c r="MKL518" s="332"/>
      <c r="MKM518" s="332"/>
      <c r="MKN518" s="332"/>
      <c r="MKO518" s="332"/>
      <c r="MKP518" s="332"/>
      <c r="MKQ518" s="332"/>
      <c r="MKR518" s="332"/>
      <c r="MKS518" s="332"/>
      <c r="MKT518" s="332"/>
      <c r="MKU518" s="332"/>
      <c r="MKV518" s="332"/>
      <c r="MKW518" s="332"/>
      <c r="MKX518" s="332"/>
      <c r="MKY518" s="332"/>
      <c r="MKZ518" s="332"/>
      <c r="MLA518" s="332"/>
      <c r="MLB518" s="332"/>
      <c r="MLC518" s="332"/>
      <c r="MLD518" s="332"/>
      <c r="MLE518" s="332"/>
      <c r="MLF518" s="332"/>
      <c r="MLG518" s="332"/>
      <c r="MLH518" s="332"/>
      <c r="MLI518" s="332"/>
      <c r="MLJ518" s="332"/>
      <c r="MLK518" s="332"/>
      <c r="MLL518" s="332"/>
      <c r="MLM518" s="332"/>
      <c r="MLN518" s="332"/>
      <c r="MLO518" s="332"/>
      <c r="MLP518" s="332"/>
      <c r="MLQ518" s="332"/>
      <c r="MLR518" s="332"/>
      <c r="MLS518" s="332"/>
      <c r="MLT518" s="332"/>
      <c r="MLU518" s="332"/>
      <c r="MLV518" s="332"/>
      <c r="MLW518" s="332"/>
      <c r="MLX518" s="332"/>
      <c r="MLY518" s="332"/>
      <c r="MLZ518" s="332"/>
      <c r="MMA518" s="332"/>
      <c r="MMB518" s="332"/>
      <c r="MMC518" s="332"/>
      <c r="MMD518" s="332"/>
      <c r="MME518" s="332"/>
      <c r="MMF518" s="332"/>
      <c r="MMG518" s="332"/>
      <c r="MMH518" s="332"/>
      <c r="MMI518" s="332"/>
      <c r="MMJ518" s="332"/>
      <c r="MMK518" s="332"/>
      <c r="MML518" s="332"/>
      <c r="MMM518" s="332"/>
      <c r="MMN518" s="332"/>
      <c r="MMO518" s="332"/>
      <c r="MMP518" s="332"/>
      <c r="MMQ518" s="332"/>
      <c r="MMR518" s="332"/>
      <c r="MMS518" s="332"/>
      <c r="MMT518" s="332"/>
      <c r="MMU518" s="332"/>
      <c r="MMV518" s="332"/>
      <c r="MMW518" s="332"/>
      <c r="MMX518" s="332"/>
      <c r="MMY518" s="332"/>
      <c r="MMZ518" s="332"/>
      <c r="MNA518" s="332"/>
      <c r="MNB518" s="332"/>
      <c r="MNC518" s="332"/>
      <c r="MND518" s="332"/>
      <c r="MNE518" s="332"/>
      <c r="MNF518" s="332"/>
      <c r="MNG518" s="332"/>
      <c r="MNH518" s="332"/>
      <c r="MNI518" s="332"/>
      <c r="MNJ518" s="332"/>
      <c r="MNK518" s="332"/>
      <c r="MNL518" s="332"/>
      <c r="MNM518" s="332"/>
      <c r="MNN518" s="332"/>
      <c r="MNO518" s="332"/>
      <c r="MNP518" s="332"/>
      <c r="MNQ518" s="332"/>
      <c r="MNR518" s="332"/>
      <c r="MNS518" s="332"/>
      <c r="MNT518" s="332"/>
      <c r="MNU518" s="332"/>
      <c r="MNV518" s="332"/>
      <c r="MNW518" s="332"/>
      <c r="MNX518" s="332"/>
      <c r="MNY518" s="332"/>
      <c r="MNZ518" s="332"/>
      <c r="MOA518" s="332"/>
      <c r="MOB518" s="332"/>
      <c r="MOC518" s="332"/>
      <c r="MOD518" s="332"/>
      <c r="MOE518" s="332"/>
      <c r="MOF518" s="332"/>
      <c r="MOG518" s="332"/>
      <c r="MOH518" s="332"/>
      <c r="MOI518" s="332"/>
      <c r="MOJ518" s="332"/>
      <c r="MOK518" s="332"/>
      <c r="MOL518" s="332"/>
      <c r="MOM518" s="332"/>
      <c r="MON518" s="332"/>
      <c r="MOO518" s="332"/>
      <c r="MOP518" s="332"/>
      <c r="MOQ518" s="332"/>
      <c r="MOR518" s="332"/>
      <c r="MOS518" s="332"/>
      <c r="MOT518" s="332"/>
      <c r="MOU518" s="332"/>
      <c r="MOV518" s="332"/>
      <c r="MOW518" s="332"/>
      <c r="MOX518" s="332"/>
      <c r="MOY518" s="332"/>
      <c r="MOZ518" s="332"/>
      <c r="MPA518" s="332"/>
      <c r="MPB518" s="332"/>
      <c r="MPC518" s="332"/>
      <c r="MPD518" s="332"/>
      <c r="MPE518" s="332"/>
      <c r="MPF518" s="332"/>
      <c r="MPG518" s="332"/>
      <c r="MPH518" s="332"/>
      <c r="MPI518" s="332"/>
      <c r="MPJ518" s="332"/>
      <c r="MPK518" s="332"/>
      <c r="MPL518" s="332"/>
      <c r="MPM518" s="332"/>
      <c r="MPN518" s="332"/>
      <c r="MPO518" s="332"/>
      <c r="MPP518" s="332"/>
      <c r="MPQ518" s="332"/>
      <c r="MPR518" s="332"/>
      <c r="MPS518" s="332"/>
      <c r="MPT518" s="332"/>
      <c r="MPU518" s="332"/>
      <c r="MPV518" s="332"/>
      <c r="MPW518" s="332"/>
      <c r="MPX518" s="332"/>
      <c r="MPY518" s="332"/>
      <c r="MPZ518" s="332"/>
      <c r="MQA518" s="332"/>
      <c r="MQB518" s="332"/>
      <c r="MQC518" s="332"/>
      <c r="MQD518" s="332"/>
      <c r="MQE518" s="332"/>
      <c r="MQF518" s="332"/>
      <c r="MQG518" s="332"/>
      <c r="MQH518" s="332"/>
      <c r="MQI518" s="332"/>
      <c r="MQJ518" s="332"/>
      <c r="MQK518" s="332"/>
      <c r="MQL518" s="332"/>
      <c r="MQM518" s="332"/>
      <c r="MQN518" s="332"/>
      <c r="MQO518" s="332"/>
      <c r="MQP518" s="332"/>
      <c r="MQQ518" s="332"/>
      <c r="MQR518" s="332"/>
      <c r="MQS518" s="332"/>
      <c r="MQT518" s="332"/>
      <c r="MQU518" s="332"/>
      <c r="MQV518" s="332"/>
      <c r="MQW518" s="332"/>
      <c r="MQX518" s="332"/>
      <c r="MQY518" s="332"/>
      <c r="MQZ518" s="332"/>
      <c r="MRA518" s="332"/>
      <c r="MRB518" s="332"/>
      <c r="MRC518" s="332"/>
      <c r="MRD518" s="332"/>
      <c r="MRE518" s="332"/>
      <c r="MRF518" s="332"/>
      <c r="MRG518" s="332"/>
      <c r="MRH518" s="332"/>
      <c r="MRI518" s="332"/>
      <c r="MRJ518" s="332"/>
      <c r="MRK518" s="332"/>
      <c r="MRL518" s="332"/>
      <c r="MRM518" s="332"/>
      <c r="MRN518" s="332"/>
      <c r="MRO518" s="332"/>
      <c r="MRP518" s="332"/>
      <c r="MRQ518" s="332"/>
      <c r="MRR518" s="332"/>
      <c r="MRS518" s="332"/>
      <c r="MRT518" s="332"/>
      <c r="MRU518" s="332"/>
      <c r="MRV518" s="332"/>
      <c r="MRW518" s="332"/>
      <c r="MRX518" s="332"/>
      <c r="MRY518" s="332"/>
      <c r="MRZ518" s="332"/>
      <c r="MSA518" s="332"/>
      <c r="MSB518" s="332"/>
      <c r="MSC518" s="332"/>
      <c r="MSD518" s="332"/>
      <c r="MSE518" s="332"/>
      <c r="MSF518" s="332"/>
      <c r="MSG518" s="332"/>
      <c r="MSH518" s="332"/>
      <c r="MSI518" s="332"/>
      <c r="MSJ518" s="332"/>
      <c r="MSK518" s="332"/>
      <c r="MSL518" s="332"/>
      <c r="MSM518" s="332"/>
      <c r="MSN518" s="332"/>
      <c r="MSO518" s="332"/>
      <c r="MSP518" s="332"/>
      <c r="MSQ518" s="332"/>
      <c r="MSR518" s="332"/>
      <c r="MSS518" s="332"/>
      <c r="MST518" s="332"/>
      <c r="MSU518" s="332"/>
      <c r="MSV518" s="332"/>
      <c r="MSW518" s="332"/>
      <c r="MSX518" s="332"/>
      <c r="MSY518" s="332"/>
      <c r="MSZ518" s="332"/>
      <c r="MTA518" s="332"/>
      <c r="MTB518" s="332"/>
      <c r="MTC518" s="332"/>
      <c r="MTD518" s="332"/>
      <c r="MTE518" s="332"/>
      <c r="MTF518" s="332"/>
      <c r="MTG518" s="332"/>
      <c r="MTH518" s="332"/>
      <c r="MTI518" s="332"/>
      <c r="MTJ518" s="332"/>
      <c r="MTK518" s="332"/>
      <c r="MTL518" s="332"/>
      <c r="MTM518" s="332"/>
      <c r="MTN518" s="332"/>
      <c r="MTO518" s="332"/>
      <c r="MTP518" s="332"/>
      <c r="MTQ518" s="332"/>
      <c r="MTR518" s="332"/>
      <c r="MTS518" s="332"/>
      <c r="MTT518" s="332"/>
      <c r="MTU518" s="332"/>
      <c r="MTV518" s="332"/>
      <c r="MTW518" s="332"/>
      <c r="MTX518" s="332"/>
      <c r="MTY518" s="332"/>
      <c r="MTZ518" s="332"/>
      <c r="MUA518" s="332"/>
      <c r="MUB518" s="332"/>
      <c r="MUC518" s="332"/>
      <c r="MUD518" s="332"/>
      <c r="MUE518" s="332"/>
      <c r="MUF518" s="332"/>
      <c r="MUG518" s="332"/>
      <c r="MUH518" s="332"/>
      <c r="MUI518" s="332"/>
      <c r="MUJ518" s="332"/>
      <c r="MUK518" s="332"/>
      <c r="MUL518" s="332"/>
      <c r="MUM518" s="332"/>
      <c r="MUN518" s="332"/>
      <c r="MUO518" s="332"/>
      <c r="MUP518" s="332"/>
      <c r="MUQ518" s="332"/>
      <c r="MUR518" s="332"/>
      <c r="MUS518" s="332"/>
      <c r="MUT518" s="332"/>
      <c r="MUU518" s="332"/>
      <c r="MUV518" s="332"/>
      <c r="MUW518" s="332"/>
      <c r="MUX518" s="332"/>
      <c r="MUY518" s="332"/>
      <c r="MUZ518" s="332"/>
      <c r="MVA518" s="332"/>
      <c r="MVB518" s="332"/>
      <c r="MVC518" s="332"/>
      <c r="MVD518" s="332"/>
      <c r="MVE518" s="332"/>
      <c r="MVF518" s="332"/>
      <c r="MVG518" s="332"/>
      <c r="MVH518" s="332"/>
      <c r="MVI518" s="332"/>
      <c r="MVJ518" s="332"/>
      <c r="MVK518" s="332"/>
      <c r="MVL518" s="332"/>
      <c r="MVM518" s="332"/>
      <c r="MVN518" s="332"/>
      <c r="MVO518" s="332"/>
      <c r="MVP518" s="332"/>
      <c r="MVQ518" s="332"/>
      <c r="MVR518" s="332"/>
      <c r="MVS518" s="332"/>
      <c r="MVT518" s="332"/>
      <c r="MVU518" s="332"/>
      <c r="MVV518" s="332"/>
      <c r="MVW518" s="332"/>
      <c r="MVX518" s="332"/>
      <c r="MVY518" s="332"/>
      <c r="MVZ518" s="332"/>
      <c r="MWA518" s="332"/>
      <c r="MWB518" s="332"/>
      <c r="MWC518" s="332"/>
      <c r="MWD518" s="332"/>
      <c r="MWE518" s="332"/>
      <c r="MWF518" s="332"/>
      <c r="MWG518" s="332"/>
      <c r="MWH518" s="332"/>
      <c r="MWI518" s="332"/>
      <c r="MWJ518" s="332"/>
      <c r="MWK518" s="332"/>
      <c r="MWL518" s="332"/>
      <c r="MWM518" s="332"/>
      <c r="MWN518" s="332"/>
      <c r="MWO518" s="332"/>
      <c r="MWP518" s="332"/>
      <c r="MWQ518" s="332"/>
      <c r="MWR518" s="332"/>
      <c r="MWS518" s="332"/>
      <c r="MWT518" s="332"/>
      <c r="MWU518" s="332"/>
      <c r="MWV518" s="332"/>
      <c r="MWW518" s="332"/>
      <c r="MWX518" s="332"/>
      <c r="MWY518" s="332"/>
      <c r="MWZ518" s="332"/>
      <c r="MXA518" s="332"/>
      <c r="MXB518" s="332"/>
      <c r="MXC518" s="332"/>
      <c r="MXD518" s="332"/>
      <c r="MXE518" s="332"/>
      <c r="MXF518" s="332"/>
      <c r="MXG518" s="332"/>
      <c r="MXH518" s="332"/>
      <c r="MXI518" s="332"/>
      <c r="MXJ518" s="332"/>
      <c r="MXK518" s="332"/>
      <c r="MXL518" s="332"/>
      <c r="MXM518" s="332"/>
      <c r="MXN518" s="332"/>
      <c r="MXO518" s="332"/>
      <c r="MXP518" s="332"/>
      <c r="MXQ518" s="332"/>
      <c r="MXR518" s="332"/>
      <c r="MXS518" s="332"/>
      <c r="MXT518" s="332"/>
      <c r="MXU518" s="332"/>
      <c r="MXV518" s="332"/>
      <c r="MXW518" s="332"/>
      <c r="MXX518" s="332"/>
      <c r="MXY518" s="332"/>
      <c r="MXZ518" s="332"/>
      <c r="MYA518" s="332"/>
      <c r="MYB518" s="332"/>
      <c r="MYC518" s="332"/>
      <c r="MYD518" s="332"/>
      <c r="MYE518" s="332"/>
      <c r="MYF518" s="332"/>
      <c r="MYG518" s="332"/>
      <c r="MYH518" s="332"/>
      <c r="MYI518" s="332"/>
      <c r="MYJ518" s="332"/>
      <c r="MYK518" s="332"/>
      <c r="MYL518" s="332"/>
      <c r="MYM518" s="332"/>
      <c r="MYN518" s="332"/>
      <c r="MYO518" s="332"/>
      <c r="MYP518" s="332"/>
      <c r="MYQ518" s="332"/>
      <c r="MYR518" s="332"/>
      <c r="MYS518" s="332"/>
      <c r="MYT518" s="332"/>
      <c r="MYU518" s="332"/>
      <c r="MYV518" s="332"/>
      <c r="MYW518" s="332"/>
      <c r="MYX518" s="332"/>
      <c r="MYY518" s="332"/>
      <c r="MYZ518" s="332"/>
      <c r="MZA518" s="332"/>
      <c r="MZB518" s="332"/>
      <c r="MZC518" s="332"/>
      <c r="MZD518" s="332"/>
      <c r="MZE518" s="332"/>
      <c r="MZF518" s="332"/>
      <c r="MZG518" s="332"/>
      <c r="MZH518" s="332"/>
      <c r="MZI518" s="332"/>
      <c r="MZJ518" s="332"/>
      <c r="MZK518" s="332"/>
      <c r="MZL518" s="332"/>
      <c r="MZM518" s="332"/>
      <c r="MZN518" s="332"/>
      <c r="MZO518" s="332"/>
      <c r="MZP518" s="332"/>
      <c r="MZQ518" s="332"/>
      <c r="MZR518" s="332"/>
      <c r="MZS518" s="332"/>
      <c r="MZT518" s="332"/>
      <c r="MZU518" s="332"/>
      <c r="MZV518" s="332"/>
      <c r="MZW518" s="332"/>
      <c r="MZX518" s="332"/>
      <c r="MZY518" s="332"/>
      <c r="MZZ518" s="332"/>
      <c r="NAA518" s="332"/>
      <c r="NAB518" s="332"/>
      <c r="NAC518" s="332"/>
      <c r="NAD518" s="332"/>
      <c r="NAE518" s="332"/>
      <c r="NAF518" s="332"/>
      <c r="NAG518" s="332"/>
      <c r="NAH518" s="332"/>
      <c r="NAI518" s="332"/>
      <c r="NAJ518" s="332"/>
      <c r="NAK518" s="332"/>
      <c r="NAL518" s="332"/>
      <c r="NAM518" s="332"/>
      <c r="NAN518" s="332"/>
      <c r="NAO518" s="332"/>
      <c r="NAP518" s="332"/>
      <c r="NAQ518" s="332"/>
      <c r="NAR518" s="332"/>
      <c r="NAS518" s="332"/>
      <c r="NAT518" s="332"/>
      <c r="NAU518" s="332"/>
      <c r="NAV518" s="332"/>
      <c r="NAW518" s="332"/>
      <c r="NAX518" s="332"/>
      <c r="NAY518" s="332"/>
      <c r="NAZ518" s="332"/>
      <c r="NBA518" s="332"/>
      <c r="NBB518" s="332"/>
      <c r="NBC518" s="332"/>
      <c r="NBD518" s="332"/>
      <c r="NBE518" s="332"/>
      <c r="NBF518" s="332"/>
      <c r="NBG518" s="332"/>
      <c r="NBH518" s="332"/>
      <c r="NBI518" s="332"/>
      <c r="NBJ518" s="332"/>
      <c r="NBK518" s="332"/>
      <c r="NBL518" s="332"/>
      <c r="NBM518" s="332"/>
      <c r="NBN518" s="332"/>
      <c r="NBO518" s="332"/>
      <c r="NBP518" s="332"/>
      <c r="NBQ518" s="332"/>
      <c r="NBR518" s="332"/>
      <c r="NBS518" s="332"/>
      <c r="NBT518" s="332"/>
      <c r="NBU518" s="332"/>
      <c r="NBV518" s="332"/>
      <c r="NBW518" s="332"/>
      <c r="NBX518" s="332"/>
      <c r="NBY518" s="332"/>
      <c r="NBZ518" s="332"/>
      <c r="NCA518" s="332"/>
      <c r="NCB518" s="332"/>
      <c r="NCC518" s="332"/>
      <c r="NCD518" s="332"/>
      <c r="NCE518" s="332"/>
      <c r="NCF518" s="332"/>
      <c r="NCG518" s="332"/>
      <c r="NCH518" s="332"/>
      <c r="NCI518" s="332"/>
      <c r="NCJ518" s="332"/>
      <c r="NCK518" s="332"/>
      <c r="NCL518" s="332"/>
      <c r="NCM518" s="332"/>
      <c r="NCN518" s="332"/>
      <c r="NCO518" s="332"/>
      <c r="NCP518" s="332"/>
      <c r="NCQ518" s="332"/>
      <c r="NCR518" s="332"/>
      <c r="NCS518" s="332"/>
      <c r="NCT518" s="332"/>
      <c r="NCU518" s="332"/>
      <c r="NCV518" s="332"/>
      <c r="NCW518" s="332"/>
      <c r="NCX518" s="332"/>
      <c r="NCY518" s="332"/>
      <c r="NCZ518" s="332"/>
      <c r="NDA518" s="332"/>
      <c r="NDB518" s="332"/>
      <c r="NDC518" s="332"/>
      <c r="NDD518" s="332"/>
      <c r="NDE518" s="332"/>
      <c r="NDF518" s="332"/>
      <c r="NDG518" s="332"/>
      <c r="NDH518" s="332"/>
      <c r="NDI518" s="332"/>
      <c r="NDJ518" s="332"/>
      <c r="NDK518" s="332"/>
      <c r="NDL518" s="332"/>
      <c r="NDM518" s="332"/>
      <c r="NDN518" s="332"/>
      <c r="NDO518" s="332"/>
      <c r="NDP518" s="332"/>
      <c r="NDQ518" s="332"/>
      <c r="NDR518" s="332"/>
      <c r="NDS518" s="332"/>
      <c r="NDT518" s="332"/>
      <c r="NDU518" s="332"/>
      <c r="NDV518" s="332"/>
      <c r="NDW518" s="332"/>
      <c r="NDX518" s="332"/>
      <c r="NDY518" s="332"/>
      <c r="NDZ518" s="332"/>
      <c r="NEA518" s="332"/>
      <c r="NEB518" s="332"/>
      <c r="NEC518" s="332"/>
      <c r="NED518" s="332"/>
      <c r="NEE518" s="332"/>
      <c r="NEF518" s="332"/>
      <c r="NEG518" s="332"/>
      <c r="NEH518" s="332"/>
      <c r="NEI518" s="332"/>
      <c r="NEJ518" s="332"/>
      <c r="NEK518" s="332"/>
      <c r="NEL518" s="332"/>
      <c r="NEM518" s="332"/>
      <c r="NEN518" s="332"/>
      <c r="NEO518" s="332"/>
      <c r="NEP518" s="332"/>
      <c r="NEQ518" s="332"/>
      <c r="NER518" s="332"/>
      <c r="NES518" s="332"/>
      <c r="NET518" s="332"/>
      <c r="NEU518" s="332"/>
      <c r="NEV518" s="332"/>
      <c r="NEW518" s="332"/>
      <c r="NEX518" s="332"/>
      <c r="NEY518" s="332"/>
      <c r="NEZ518" s="332"/>
      <c r="NFA518" s="332"/>
      <c r="NFB518" s="332"/>
      <c r="NFC518" s="332"/>
      <c r="NFD518" s="332"/>
      <c r="NFE518" s="332"/>
      <c r="NFF518" s="332"/>
      <c r="NFG518" s="332"/>
      <c r="NFH518" s="332"/>
      <c r="NFI518" s="332"/>
      <c r="NFJ518" s="332"/>
      <c r="NFK518" s="332"/>
      <c r="NFL518" s="332"/>
      <c r="NFM518" s="332"/>
      <c r="NFN518" s="332"/>
      <c r="NFO518" s="332"/>
      <c r="NFP518" s="332"/>
      <c r="NFQ518" s="332"/>
      <c r="NFR518" s="332"/>
      <c r="NFS518" s="332"/>
      <c r="NFT518" s="332"/>
      <c r="NFU518" s="332"/>
      <c r="NFV518" s="332"/>
      <c r="NFW518" s="332"/>
      <c r="NFX518" s="332"/>
      <c r="NFY518" s="332"/>
      <c r="NFZ518" s="332"/>
      <c r="NGA518" s="332"/>
      <c r="NGB518" s="332"/>
      <c r="NGC518" s="332"/>
      <c r="NGD518" s="332"/>
      <c r="NGE518" s="332"/>
      <c r="NGF518" s="332"/>
      <c r="NGG518" s="332"/>
      <c r="NGH518" s="332"/>
      <c r="NGI518" s="332"/>
      <c r="NGJ518" s="332"/>
      <c r="NGK518" s="332"/>
      <c r="NGL518" s="332"/>
      <c r="NGM518" s="332"/>
      <c r="NGN518" s="332"/>
      <c r="NGO518" s="332"/>
      <c r="NGP518" s="332"/>
      <c r="NGQ518" s="332"/>
      <c r="NGR518" s="332"/>
      <c r="NGS518" s="332"/>
      <c r="NGT518" s="332"/>
      <c r="NGU518" s="332"/>
      <c r="NGV518" s="332"/>
      <c r="NGW518" s="332"/>
      <c r="NGX518" s="332"/>
      <c r="NGY518" s="332"/>
      <c r="NGZ518" s="332"/>
      <c r="NHA518" s="332"/>
      <c r="NHB518" s="332"/>
      <c r="NHC518" s="332"/>
      <c r="NHD518" s="332"/>
      <c r="NHE518" s="332"/>
      <c r="NHF518" s="332"/>
      <c r="NHG518" s="332"/>
      <c r="NHH518" s="332"/>
      <c r="NHI518" s="332"/>
      <c r="NHJ518" s="332"/>
      <c r="NHK518" s="332"/>
      <c r="NHL518" s="332"/>
      <c r="NHM518" s="332"/>
      <c r="NHN518" s="332"/>
      <c r="NHO518" s="332"/>
      <c r="NHP518" s="332"/>
      <c r="NHQ518" s="332"/>
      <c r="NHR518" s="332"/>
      <c r="NHS518" s="332"/>
      <c r="NHT518" s="332"/>
      <c r="NHU518" s="332"/>
      <c r="NHV518" s="332"/>
      <c r="NHW518" s="332"/>
      <c r="NHX518" s="332"/>
      <c r="NHY518" s="332"/>
      <c r="NHZ518" s="332"/>
      <c r="NIA518" s="332"/>
      <c r="NIB518" s="332"/>
      <c r="NIC518" s="332"/>
      <c r="NID518" s="332"/>
      <c r="NIE518" s="332"/>
      <c r="NIF518" s="332"/>
      <c r="NIG518" s="332"/>
      <c r="NIH518" s="332"/>
      <c r="NII518" s="332"/>
      <c r="NIJ518" s="332"/>
      <c r="NIK518" s="332"/>
      <c r="NIL518" s="332"/>
      <c r="NIM518" s="332"/>
      <c r="NIN518" s="332"/>
      <c r="NIO518" s="332"/>
      <c r="NIP518" s="332"/>
      <c r="NIQ518" s="332"/>
      <c r="NIR518" s="332"/>
      <c r="NIS518" s="332"/>
      <c r="NIT518" s="332"/>
      <c r="NIU518" s="332"/>
      <c r="NIV518" s="332"/>
      <c r="NIW518" s="332"/>
      <c r="NIX518" s="332"/>
      <c r="NIY518" s="332"/>
      <c r="NIZ518" s="332"/>
      <c r="NJA518" s="332"/>
      <c r="NJB518" s="332"/>
      <c r="NJC518" s="332"/>
      <c r="NJD518" s="332"/>
      <c r="NJE518" s="332"/>
      <c r="NJF518" s="332"/>
      <c r="NJG518" s="332"/>
      <c r="NJH518" s="332"/>
      <c r="NJI518" s="332"/>
      <c r="NJJ518" s="332"/>
      <c r="NJK518" s="332"/>
      <c r="NJL518" s="332"/>
      <c r="NJM518" s="332"/>
      <c r="NJN518" s="332"/>
      <c r="NJO518" s="332"/>
      <c r="NJP518" s="332"/>
      <c r="NJQ518" s="332"/>
      <c r="NJR518" s="332"/>
      <c r="NJS518" s="332"/>
      <c r="NJT518" s="332"/>
      <c r="NJU518" s="332"/>
      <c r="NJV518" s="332"/>
      <c r="NJW518" s="332"/>
      <c r="NJX518" s="332"/>
      <c r="NJY518" s="332"/>
      <c r="NJZ518" s="332"/>
      <c r="NKA518" s="332"/>
      <c r="NKB518" s="332"/>
      <c r="NKC518" s="332"/>
      <c r="NKD518" s="332"/>
      <c r="NKE518" s="332"/>
      <c r="NKF518" s="332"/>
      <c r="NKG518" s="332"/>
      <c r="NKH518" s="332"/>
      <c r="NKI518" s="332"/>
      <c r="NKJ518" s="332"/>
      <c r="NKK518" s="332"/>
      <c r="NKL518" s="332"/>
      <c r="NKM518" s="332"/>
      <c r="NKN518" s="332"/>
      <c r="NKO518" s="332"/>
      <c r="NKP518" s="332"/>
      <c r="NKQ518" s="332"/>
      <c r="NKR518" s="332"/>
      <c r="NKS518" s="332"/>
      <c r="NKT518" s="332"/>
      <c r="NKU518" s="332"/>
      <c r="NKV518" s="332"/>
      <c r="NKW518" s="332"/>
      <c r="NKX518" s="332"/>
      <c r="NKY518" s="332"/>
      <c r="NKZ518" s="332"/>
      <c r="NLA518" s="332"/>
      <c r="NLB518" s="332"/>
      <c r="NLC518" s="332"/>
      <c r="NLD518" s="332"/>
      <c r="NLE518" s="332"/>
      <c r="NLF518" s="332"/>
      <c r="NLG518" s="332"/>
      <c r="NLH518" s="332"/>
      <c r="NLI518" s="332"/>
      <c r="NLJ518" s="332"/>
      <c r="NLK518" s="332"/>
      <c r="NLL518" s="332"/>
      <c r="NLM518" s="332"/>
      <c r="NLN518" s="332"/>
      <c r="NLO518" s="332"/>
      <c r="NLP518" s="332"/>
      <c r="NLQ518" s="332"/>
      <c r="NLR518" s="332"/>
      <c r="NLS518" s="332"/>
      <c r="NLT518" s="332"/>
      <c r="NLU518" s="332"/>
      <c r="NLV518" s="332"/>
      <c r="NLW518" s="332"/>
      <c r="NLX518" s="332"/>
      <c r="NLY518" s="332"/>
      <c r="NLZ518" s="332"/>
      <c r="NMA518" s="332"/>
      <c r="NMB518" s="332"/>
      <c r="NMC518" s="332"/>
      <c r="NMD518" s="332"/>
      <c r="NME518" s="332"/>
      <c r="NMF518" s="332"/>
      <c r="NMG518" s="332"/>
      <c r="NMH518" s="332"/>
      <c r="NMI518" s="332"/>
      <c r="NMJ518" s="332"/>
      <c r="NMK518" s="332"/>
      <c r="NML518" s="332"/>
      <c r="NMM518" s="332"/>
      <c r="NMN518" s="332"/>
      <c r="NMO518" s="332"/>
      <c r="NMP518" s="332"/>
      <c r="NMQ518" s="332"/>
      <c r="NMR518" s="332"/>
      <c r="NMS518" s="332"/>
      <c r="NMT518" s="332"/>
      <c r="NMU518" s="332"/>
      <c r="NMV518" s="332"/>
      <c r="NMW518" s="332"/>
      <c r="NMX518" s="332"/>
      <c r="NMY518" s="332"/>
      <c r="NMZ518" s="332"/>
      <c r="NNA518" s="332"/>
      <c r="NNB518" s="332"/>
      <c r="NNC518" s="332"/>
      <c r="NND518" s="332"/>
      <c r="NNE518" s="332"/>
      <c r="NNF518" s="332"/>
      <c r="NNG518" s="332"/>
      <c r="NNH518" s="332"/>
      <c r="NNI518" s="332"/>
      <c r="NNJ518" s="332"/>
      <c r="NNK518" s="332"/>
      <c r="NNL518" s="332"/>
      <c r="NNM518" s="332"/>
      <c r="NNN518" s="332"/>
      <c r="NNO518" s="332"/>
      <c r="NNP518" s="332"/>
      <c r="NNQ518" s="332"/>
      <c r="NNR518" s="332"/>
      <c r="NNS518" s="332"/>
      <c r="NNT518" s="332"/>
      <c r="NNU518" s="332"/>
      <c r="NNV518" s="332"/>
      <c r="NNW518" s="332"/>
      <c r="NNX518" s="332"/>
      <c r="NNY518" s="332"/>
      <c r="NNZ518" s="332"/>
      <c r="NOA518" s="332"/>
      <c r="NOB518" s="332"/>
      <c r="NOC518" s="332"/>
      <c r="NOD518" s="332"/>
      <c r="NOE518" s="332"/>
      <c r="NOF518" s="332"/>
      <c r="NOG518" s="332"/>
      <c r="NOH518" s="332"/>
      <c r="NOI518" s="332"/>
      <c r="NOJ518" s="332"/>
      <c r="NOK518" s="332"/>
      <c r="NOL518" s="332"/>
      <c r="NOM518" s="332"/>
      <c r="NON518" s="332"/>
      <c r="NOO518" s="332"/>
      <c r="NOP518" s="332"/>
      <c r="NOQ518" s="332"/>
      <c r="NOR518" s="332"/>
      <c r="NOS518" s="332"/>
      <c r="NOT518" s="332"/>
      <c r="NOU518" s="332"/>
      <c r="NOV518" s="332"/>
      <c r="NOW518" s="332"/>
      <c r="NOX518" s="332"/>
      <c r="NOY518" s="332"/>
      <c r="NOZ518" s="332"/>
      <c r="NPA518" s="332"/>
      <c r="NPB518" s="332"/>
      <c r="NPC518" s="332"/>
      <c r="NPD518" s="332"/>
      <c r="NPE518" s="332"/>
      <c r="NPF518" s="332"/>
      <c r="NPG518" s="332"/>
      <c r="NPH518" s="332"/>
      <c r="NPI518" s="332"/>
      <c r="NPJ518" s="332"/>
      <c r="NPK518" s="332"/>
      <c r="NPL518" s="332"/>
      <c r="NPM518" s="332"/>
      <c r="NPN518" s="332"/>
      <c r="NPO518" s="332"/>
      <c r="NPP518" s="332"/>
      <c r="NPQ518" s="332"/>
      <c r="NPR518" s="332"/>
      <c r="NPS518" s="332"/>
      <c r="NPT518" s="332"/>
      <c r="NPU518" s="332"/>
      <c r="NPV518" s="332"/>
      <c r="NPW518" s="332"/>
      <c r="NPX518" s="332"/>
      <c r="NPY518" s="332"/>
      <c r="NPZ518" s="332"/>
      <c r="NQA518" s="332"/>
      <c r="NQB518" s="332"/>
      <c r="NQC518" s="332"/>
      <c r="NQD518" s="332"/>
      <c r="NQE518" s="332"/>
      <c r="NQF518" s="332"/>
      <c r="NQG518" s="332"/>
      <c r="NQH518" s="332"/>
      <c r="NQI518" s="332"/>
      <c r="NQJ518" s="332"/>
      <c r="NQK518" s="332"/>
      <c r="NQL518" s="332"/>
      <c r="NQM518" s="332"/>
      <c r="NQN518" s="332"/>
      <c r="NQO518" s="332"/>
      <c r="NQP518" s="332"/>
      <c r="NQQ518" s="332"/>
      <c r="NQR518" s="332"/>
      <c r="NQS518" s="332"/>
      <c r="NQT518" s="332"/>
      <c r="NQU518" s="332"/>
      <c r="NQV518" s="332"/>
      <c r="NQW518" s="332"/>
      <c r="NQX518" s="332"/>
      <c r="NQY518" s="332"/>
      <c r="NQZ518" s="332"/>
      <c r="NRA518" s="332"/>
      <c r="NRB518" s="332"/>
      <c r="NRC518" s="332"/>
      <c r="NRD518" s="332"/>
      <c r="NRE518" s="332"/>
      <c r="NRF518" s="332"/>
      <c r="NRG518" s="332"/>
      <c r="NRH518" s="332"/>
      <c r="NRI518" s="332"/>
      <c r="NRJ518" s="332"/>
      <c r="NRK518" s="332"/>
      <c r="NRL518" s="332"/>
      <c r="NRM518" s="332"/>
      <c r="NRN518" s="332"/>
      <c r="NRO518" s="332"/>
      <c r="NRP518" s="332"/>
      <c r="NRQ518" s="332"/>
      <c r="NRR518" s="332"/>
      <c r="NRS518" s="332"/>
      <c r="NRT518" s="332"/>
      <c r="NRU518" s="332"/>
      <c r="NRV518" s="332"/>
      <c r="NRW518" s="332"/>
      <c r="NRX518" s="332"/>
      <c r="NRY518" s="332"/>
      <c r="NRZ518" s="332"/>
      <c r="NSA518" s="332"/>
      <c r="NSB518" s="332"/>
      <c r="NSC518" s="332"/>
      <c r="NSD518" s="332"/>
      <c r="NSE518" s="332"/>
      <c r="NSF518" s="332"/>
      <c r="NSG518" s="332"/>
      <c r="NSH518" s="332"/>
      <c r="NSI518" s="332"/>
      <c r="NSJ518" s="332"/>
      <c r="NSK518" s="332"/>
      <c r="NSL518" s="332"/>
      <c r="NSM518" s="332"/>
      <c r="NSN518" s="332"/>
      <c r="NSO518" s="332"/>
      <c r="NSP518" s="332"/>
      <c r="NSQ518" s="332"/>
      <c r="NSR518" s="332"/>
      <c r="NSS518" s="332"/>
      <c r="NST518" s="332"/>
      <c r="NSU518" s="332"/>
      <c r="NSV518" s="332"/>
      <c r="NSW518" s="332"/>
      <c r="NSX518" s="332"/>
      <c r="NSY518" s="332"/>
      <c r="NSZ518" s="332"/>
      <c r="NTA518" s="332"/>
      <c r="NTB518" s="332"/>
      <c r="NTC518" s="332"/>
      <c r="NTD518" s="332"/>
      <c r="NTE518" s="332"/>
      <c r="NTF518" s="332"/>
      <c r="NTG518" s="332"/>
      <c r="NTH518" s="332"/>
      <c r="NTI518" s="332"/>
      <c r="NTJ518" s="332"/>
      <c r="NTK518" s="332"/>
      <c r="NTL518" s="332"/>
      <c r="NTM518" s="332"/>
      <c r="NTN518" s="332"/>
      <c r="NTO518" s="332"/>
      <c r="NTP518" s="332"/>
      <c r="NTQ518" s="332"/>
      <c r="NTR518" s="332"/>
      <c r="NTS518" s="332"/>
      <c r="NTT518" s="332"/>
      <c r="NTU518" s="332"/>
      <c r="NTV518" s="332"/>
      <c r="NTW518" s="332"/>
      <c r="NTX518" s="332"/>
      <c r="NTY518" s="332"/>
      <c r="NTZ518" s="332"/>
      <c r="NUA518" s="332"/>
      <c r="NUB518" s="332"/>
      <c r="NUC518" s="332"/>
      <c r="NUD518" s="332"/>
      <c r="NUE518" s="332"/>
      <c r="NUF518" s="332"/>
      <c r="NUG518" s="332"/>
      <c r="NUH518" s="332"/>
      <c r="NUI518" s="332"/>
      <c r="NUJ518" s="332"/>
      <c r="NUK518" s="332"/>
      <c r="NUL518" s="332"/>
      <c r="NUM518" s="332"/>
      <c r="NUN518" s="332"/>
      <c r="NUO518" s="332"/>
      <c r="NUP518" s="332"/>
      <c r="NUQ518" s="332"/>
      <c r="NUR518" s="332"/>
      <c r="NUS518" s="332"/>
      <c r="NUT518" s="332"/>
      <c r="NUU518" s="332"/>
      <c r="NUV518" s="332"/>
      <c r="NUW518" s="332"/>
      <c r="NUX518" s="332"/>
      <c r="NUY518" s="332"/>
      <c r="NUZ518" s="332"/>
      <c r="NVA518" s="332"/>
      <c r="NVB518" s="332"/>
      <c r="NVC518" s="332"/>
      <c r="NVD518" s="332"/>
      <c r="NVE518" s="332"/>
      <c r="NVF518" s="332"/>
      <c r="NVG518" s="332"/>
      <c r="NVH518" s="332"/>
      <c r="NVI518" s="332"/>
      <c r="NVJ518" s="332"/>
      <c r="NVK518" s="332"/>
      <c r="NVL518" s="332"/>
      <c r="NVM518" s="332"/>
      <c r="NVN518" s="332"/>
      <c r="NVO518" s="332"/>
      <c r="NVP518" s="332"/>
      <c r="NVQ518" s="332"/>
      <c r="NVR518" s="332"/>
      <c r="NVS518" s="332"/>
      <c r="NVT518" s="332"/>
      <c r="NVU518" s="332"/>
      <c r="NVV518" s="332"/>
      <c r="NVW518" s="332"/>
      <c r="NVX518" s="332"/>
      <c r="NVY518" s="332"/>
      <c r="NVZ518" s="332"/>
      <c r="NWA518" s="332"/>
      <c r="NWB518" s="332"/>
      <c r="NWC518" s="332"/>
      <c r="NWD518" s="332"/>
      <c r="NWE518" s="332"/>
      <c r="NWF518" s="332"/>
      <c r="NWG518" s="332"/>
      <c r="NWH518" s="332"/>
      <c r="NWI518" s="332"/>
      <c r="NWJ518" s="332"/>
      <c r="NWK518" s="332"/>
      <c r="NWL518" s="332"/>
      <c r="NWM518" s="332"/>
      <c r="NWN518" s="332"/>
      <c r="NWO518" s="332"/>
      <c r="NWP518" s="332"/>
      <c r="NWQ518" s="332"/>
      <c r="NWR518" s="332"/>
      <c r="NWS518" s="332"/>
      <c r="NWT518" s="332"/>
      <c r="NWU518" s="332"/>
      <c r="NWV518" s="332"/>
      <c r="NWW518" s="332"/>
      <c r="NWX518" s="332"/>
      <c r="NWY518" s="332"/>
      <c r="NWZ518" s="332"/>
      <c r="NXA518" s="332"/>
      <c r="NXB518" s="332"/>
      <c r="NXC518" s="332"/>
      <c r="NXD518" s="332"/>
      <c r="NXE518" s="332"/>
      <c r="NXF518" s="332"/>
      <c r="NXG518" s="332"/>
      <c r="NXH518" s="332"/>
      <c r="NXI518" s="332"/>
      <c r="NXJ518" s="332"/>
      <c r="NXK518" s="332"/>
      <c r="NXL518" s="332"/>
      <c r="NXM518" s="332"/>
      <c r="NXN518" s="332"/>
      <c r="NXO518" s="332"/>
      <c r="NXP518" s="332"/>
      <c r="NXQ518" s="332"/>
      <c r="NXR518" s="332"/>
      <c r="NXS518" s="332"/>
      <c r="NXT518" s="332"/>
      <c r="NXU518" s="332"/>
      <c r="NXV518" s="332"/>
      <c r="NXW518" s="332"/>
      <c r="NXX518" s="332"/>
      <c r="NXY518" s="332"/>
      <c r="NXZ518" s="332"/>
      <c r="NYA518" s="332"/>
      <c r="NYB518" s="332"/>
      <c r="NYC518" s="332"/>
      <c r="NYD518" s="332"/>
      <c r="NYE518" s="332"/>
      <c r="NYF518" s="332"/>
      <c r="NYG518" s="332"/>
      <c r="NYH518" s="332"/>
      <c r="NYI518" s="332"/>
      <c r="NYJ518" s="332"/>
      <c r="NYK518" s="332"/>
      <c r="NYL518" s="332"/>
      <c r="NYM518" s="332"/>
      <c r="NYN518" s="332"/>
      <c r="NYO518" s="332"/>
      <c r="NYP518" s="332"/>
      <c r="NYQ518" s="332"/>
      <c r="NYR518" s="332"/>
      <c r="NYS518" s="332"/>
      <c r="NYT518" s="332"/>
      <c r="NYU518" s="332"/>
      <c r="NYV518" s="332"/>
      <c r="NYW518" s="332"/>
      <c r="NYX518" s="332"/>
      <c r="NYY518" s="332"/>
      <c r="NYZ518" s="332"/>
      <c r="NZA518" s="332"/>
      <c r="NZB518" s="332"/>
      <c r="NZC518" s="332"/>
      <c r="NZD518" s="332"/>
      <c r="NZE518" s="332"/>
      <c r="NZF518" s="332"/>
      <c r="NZG518" s="332"/>
      <c r="NZH518" s="332"/>
      <c r="NZI518" s="332"/>
      <c r="NZJ518" s="332"/>
      <c r="NZK518" s="332"/>
      <c r="NZL518" s="332"/>
      <c r="NZM518" s="332"/>
      <c r="NZN518" s="332"/>
      <c r="NZO518" s="332"/>
      <c r="NZP518" s="332"/>
      <c r="NZQ518" s="332"/>
      <c r="NZR518" s="332"/>
      <c r="NZS518" s="332"/>
      <c r="NZT518" s="332"/>
      <c r="NZU518" s="332"/>
      <c r="NZV518" s="332"/>
      <c r="NZW518" s="332"/>
      <c r="NZX518" s="332"/>
      <c r="NZY518" s="332"/>
      <c r="NZZ518" s="332"/>
      <c r="OAA518" s="332"/>
      <c r="OAB518" s="332"/>
      <c r="OAC518" s="332"/>
      <c r="OAD518" s="332"/>
      <c r="OAE518" s="332"/>
      <c r="OAF518" s="332"/>
      <c r="OAG518" s="332"/>
      <c r="OAH518" s="332"/>
      <c r="OAI518" s="332"/>
      <c r="OAJ518" s="332"/>
      <c r="OAK518" s="332"/>
      <c r="OAL518" s="332"/>
      <c r="OAM518" s="332"/>
      <c r="OAN518" s="332"/>
      <c r="OAO518" s="332"/>
      <c r="OAP518" s="332"/>
      <c r="OAQ518" s="332"/>
      <c r="OAR518" s="332"/>
      <c r="OAS518" s="332"/>
      <c r="OAT518" s="332"/>
      <c r="OAU518" s="332"/>
      <c r="OAV518" s="332"/>
      <c r="OAW518" s="332"/>
      <c r="OAX518" s="332"/>
      <c r="OAY518" s="332"/>
      <c r="OAZ518" s="332"/>
      <c r="OBA518" s="332"/>
      <c r="OBB518" s="332"/>
      <c r="OBC518" s="332"/>
      <c r="OBD518" s="332"/>
      <c r="OBE518" s="332"/>
      <c r="OBF518" s="332"/>
      <c r="OBG518" s="332"/>
      <c r="OBH518" s="332"/>
      <c r="OBI518" s="332"/>
      <c r="OBJ518" s="332"/>
      <c r="OBK518" s="332"/>
      <c r="OBL518" s="332"/>
      <c r="OBM518" s="332"/>
      <c r="OBN518" s="332"/>
      <c r="OBO518" s="332"/>
      <c r="OBP518" s="332"/>
      <c r="OBQ518" s="332"/>
      <c r="OBR518" s="332"/>
      <c r="OBS518" s="332"/>
      <c r="OBT518" s="332"/>
      <c r="OBU518" s="332"/>
      <c r="OBV518" s="332"/>
      <c r="OBW518" s="332"/>
      <c r="OBX518" s="332"/>
      <c r="OBY518" s="332"/>
      <c r="OBZ518" s="332"/>
      <c r="OCA518" s="332"/>
      <c r="OCB518" s="332"/>
      <c r="OCC518" s="332"/>
      <c r="OCD518" s="332"/>
      <c r="OCE518" s="332"/>
      <c r="OCF518" s="332"/>
      <c r="OCG518" s="332"/>
      <c r="OCH518" s="332"/>
      <c r="OCI518" s="332"/>
      <c r="OCJ518" s="332"/>
      <c r="OCK518" s="332"/>
      <c r="OCL518" s="332"/>
      <c r="OCM518" s="332"/>
      <c r="OCN518" s="332"/>
      <c r="OCO518" s="332"/>
      <c r="OCP518" s="332"/>
      <c r="OCQ518" s="332"/>
      <c r="OCR518" s="332"/>
      <c r="OCS518" s="332"/>
      <c r="OCT518" s="332"/>
      <c r="OCU518" s="332"/>
      <c r="OCV518" s="332"/>
      <c r="OCW518" s="332"/>
      <c r="OCX518" s="332"/>
      <c r="OCY518" s="332"/>
      <c r="OCZ518" s="332"/>
      <c r="ODA518" s="332"/>
      <c r="ODB518" s="332"/>
      <c r="ODC518" s="332"/>
      <c r="ODD518" s="332"/>
      <c r="ODE518" s="332"/>
      <c r="ODF518" s="332"/>
      <c r="ODG518" s="332"/>
      <c r="ODH518" s="332"/>
      <c r="ODI518" s="332"/>
      <c r="ODJ518" s="332"/>
      <c r="ODK518" s="332"/>
      <c r="ODL518" s="332"/>
      <c r="ODM518" s="332"/>
      <c r="ODN518" s="332"/>
      <c r="ODO518" s="332"/>
      <c r="ODP518" s="332"/>
      <c r="ODQ518" s="332"/>
      <c r="ODR518" s="332"/>
      <c r="ODS518" s="332"/>
      <c r="ODT518" s="332"/>
      <c r="ODU518" s="332"/>
      <c r="ODV518" s="332"/>
      <c r="ODW518" s="332"/>
      <c r="ODX518" s="332"/>
      <c r="ODY518" s="332"/>
      <c r="ODZ518" s="332"/>
      <c r="OEA518" s="332"/>
      <c r="OEB518" s="332"/>
      <c r="OEC518" s="332"/>
      <c r="OED518" s="332"/>
      <c r="OEE518" s="332"/>
      <c r="OEF518" s="332"/>
      <c r="OEG518" s="332"/>
      <c r="OEH518" s="332"/>
      <c r="OEI518" s="332"/>
      <c r="OEJ518" s="332"/>
      <c r="OEK518" s="332"/>
      <c r="OEL518" s="332"/>
      <c r="OEM518" s="332"/>
      <c r="OEN518" s="332"/>
      <c r="OEO518" s="332"/>
      <c r="OEP518" s="332"/>
      <c r="OEQ518" s="332"/>
      <c r="OER518" s="332"/>
      <c r="OES518" s="332"/>
      <c r="OET518" s="332"/>
      <c r="OEU518" s="332"/>
      <c r="OEV518" s="332"/>
      <c r="OEW518" s="332"/>
      <c r="OEX518" s="332"/>
      <c r="OEY518" s="332"/>
      <c r="OEZ518" s="332"/>
      <c r="OFA518" s="332"/>
      <c r="OFB518" s="332"/>
      <c r="OFC518" s="332"/>
      <c r="OFD518" s="332"/>
      <c r="OFE518" s="332"/>
      <c r="OFF518" s="332"/>
      <c r="OFG518" s="332"/>
      <c r="OFH518" s="332"/>
      <c r="OFI518" s="332"/>
      <c r="OFJ518" s="332"/>
      <c r="OFK518" s="332"/>
      <c r="OFL518" s="332"/>
      <c r="OFM518" s="332"/>
      <c r="OFN518" s="332"/>
      <c r="OFO518" s="332"/>
      <c r="OFP518" s="332"/>
      <c r="OFQ518" s="332"/>
      <c r="OFR518" s="332"/>
      <c r="OFS518" s="332"/>
      <c r="OFT518" s="332"/>
      <c r="OFU518" s="332"/>
      <c r="OFV518" s="332"/>
      <c r="OFW518" s="332"/>
      <c r="OFX518" s="332"/>
      <c r="OFY518" s="332"/>
      <c r="OFZ518" s="332"/>
      <c r="OGA518" s="332"/>
      <c r="OGB518" s="332"/>
      <c r="OGC518" s="332"/>
      <c r="OGD518" s="332"/>
      <c r="OGE518" s="332"/>
      <c r="OGF518" s="332"/>
      <c r="OGG518" s="332"/>
      <c r="OGH518" s="332"/>
      <c r="OGI518" s="332"/>
      <c r="OGJ518" s="332"/>
      <c r="OGK518" s="332"/>
      <c r="OGL518" s="332"/>
      <c r="OGM518" s="332"/>
      <c r="OGN518" s="332"/>
      <c r="OGO518" s="332"/>
      <c r="OGP518" s="332"/>
      <c r="OGQ518" s="332"/>
      <c r="OGR518" s="332"/>
      <c r="OGS518" s="332"/>
      <c r="OGT518" s="332"/>
      <c r="OGU518" s="332"/>
      <c r="OGV518" s="332"/>
      <c r="OGW518" s="332"/>
      <c r="OGX518" s="332"/>
      <c r="OGY518" s="332"/>
      <c r="OGZ518" s="332"/>
      <c r="OHA518" s="332"/>
      <c r="OHB518" s="332"/>
      <c r="OHC518" s="332"/>
      <c r="OHD518" s="332"/>
      <c r="OHE518" s="332"/>
      <c r="OHF518" s="332"/>
      <c r="OHG518" s="332"/>
      <c r="OHH518" s="332"/>
      <c r="OHI518" s="332"/>
      <c r="OHJ518" s="332"/>
      <c r="OHK518" s="332"/>
      <c r="OHL518" s="332"/>
      <c r="OHM518" s="332"/>
      <c r="OHN518" s="332"/>
      <c r="OHO518" s="332"/>
      <c r="OHP518" s="332"/>
      <c r="OHQ518" s="332"/>
      <c r="OHR518" s="332"/>
      <c r="OHS518" s="332"/>
      <c r="OHT518" s="332"/>
      <c r="OHU518" s="332"/>
      <c r="OHV518" s="332"/>
      <c r="OHW518" s="332"/>
      <c r="OHX518" s="332"/>
      <c r="OHY518" s="332"/>
      <c r="OHZ518" s="332"/>
      <c r="OIA518" s="332"/>
      <c r="OIB518" s="332"/>
      <c r="OIC518" s="332"/>
      <c r="OID518" s="332"/>
      <c r="OIE518" s="332"/>
      <c r="OIF518" s="332"/>
      <c r="OIG518" s="332"/>
      <c r="OIH518" s="332"/>
      <c r="OII518" s="332"/>
      <c r="OIJ518" s="332"/>
      <c r="OIK518" s="332"/>
      <c r="OIL518" s="332"/>
      <c r="OIM518" s="332"/>
      <c r="OIN518" s="332"/>
      <c r="OIO518" s="332"/>
      <c r="OIP518" s="332"/>
      <c r="OIQ518" s="332"/>
      <c r="OIR518" s="332"/>
      <c r="OIS518" s="332"/>
      <c r="OIT518" s="332"/>
      <c r="OIU518" s="332"/>
      <c r="OIV518" s="332"/>
      <c r="OIW518" s="332"/>
      <c r="OIX518" s="332"/>
      <c r="OIY518" s="332"/>
      <c r="OIZ518" s="332"/>
      <c r="OJA518" s="332"/>
      <c r="OJB518" s="332"/>
      <c r="OJC518" s="332"/>
      <c r="OJD518" s="332"/>
      <c r="OJE518" s="332"/>
      <c r="OJF518" s="332"/>
      <c r="OJG518" s="332"/>
      <c r="OJH518" s="332"/>
      <c r="OJI518" s="332"/>
      <c r="OJJ518" s="332"/>
      <c r="OJK518" s="332"/>
      <c r="OJL518" s="332"/>
      <c r="OJM518" s="332"/>
      <c r="OJN518" s="332"/>
      <c r="OJO518" s="332"/>
      <c r="OJP518" s="332"/>
      <c r="OJQ518" s="332"/>
      <c r="OJR518" s="332"/>
      <c r="OJS518" s="332"/>
      <c r="OJT518" s="332"/>
      <c r="OJU518" s="332"/>
      <c r="OJV518" s="332"/>
      <c r="OJW518" s="332"/>
      <c r="OJX518" s="332"/>
      <c r="OJY518" s="332"/>
      <c r="OJZ518" s="332"/>
      <c r="OKA518" s="332"/>
      <c r="OKB518" s="332"/>
      <c r="OKC518" s="332"/>
      <c r="OKD518" s="332"/>
      <c r="OKE518" s="332"/>
      <c r="OKF518" s="332"/>
      <c r="OKG518" s="332"/>
      <c r="OKH518" s="332"/>
      <c r="OKI518" s="332"/>
      <c r="OKJ518" s="332"/>
      <c r="OKK518" s="332"/>
      <c r="OKL518" s="332"/>
      <c r="OKM518" s="332"/>
      <c r="OKN518" s="332"/>
      <c r="OKO518" s="332"/>
      <c r="OKP518" s="332"/>
      <c r="OKQ518" s="332"/>
      <c r="OKR518" s="332"/>
      <c r="OKS518" s="332"/>
      <c r="OKT518" s="332"/>
      <c r="OKU518" s="332"/>
      <c r="OKV518" s="332"/>
      <c r="OKW518" s="332"/>
      <c r="OKX518" s="332"/>
      <c r="OKY518" s="332"/>
      <c r="OKZ518" s="332"/>
      <c r="OLA518" s="332"/>
      <c r="OLB518" s="332"/>
      <c r="OLC518" s="332"/>
      <c r="OLD518" s="332"/>
      <c r="OLE518" s="332"/>
      <c r="OLF518" s="332"/>
      <c r="OLG518" s="332"/>
      <c r="OLH518" s="332"/>
      <c r="OLI518" s="332"/>
      <c r="OLJ518" s="332"/>
      <c r="OLK518" s="332"/>
      <c r="OLL518" s="332"/>
      <c r="OLM518" s="332"/>
      <c r="OLN518" s="332"/>
      <c r="OLO518" s="332"/>
      <c r="OLP518" s="332"/>
      <c r="OLQ518" s="332"/>
      <c r="OLR518" s="332"/>
      <c r="OLS518" s="332"/>
      <c r="OLT518" s="332"/>
      <c r="OLU518" s="332"/>
      <c r="OLV518" s="332"/>
      <c r="OLW518" s="332"/>
      <c r="OLX518" s="332"/>
      <c r="OLY518" s="332"/>
      <c r="OLZ518" s="332"/>
      <c r="OMA518" s="332"/>
      <c r="OMB518" s="332"/>
      <c r="OMC518" s="332"/>
      <c r="OMD518" s="332"/>
      <c r="OME518" s="332"/>
      <c r="OMF518" s="332"/>
      <c r="OMG518" s="332"/>
      <c r="OMH518" s="332"/>
      <c r="OMI518" s="332"/>
      <c r="OMJ518" s="332"/>
      <c r="OMK518" s="332"/>
      <c r="OML518" s="332"/>
      <c r="OMM518" s="332"/>
      <c r="OMN518" s="332"/>
      <c r="OMO518" s="332"/>
      <c r="OMP518" s="332"/>
      <c r="OMQ518" s="332"/>
      <c r="OMR518" s="332"/>
      <c r="OMS518" s="332"/>
      <c r="OMT518" s="332"/>
      <c r="OMU518" s="332"/>
      <c r="OMV518" s="332"/>
      <c r="OMW518" s="332"/>
      <c r="OMX518" s="332"/>
      <c r="OMY518" s="332"/>
      <c r="OMZ518" s="332"/>
      <c r="ONA518" s="332"/>
      <c r="ONB518" s="332"/>
      <c r="ONC518" s="332"/>
      <c r="OND518" s="332"/>
      <c r="ONE518" s="332"/>
      <c r="ONF518" s="332"/>
      <c r="ONG518" s="332"/>
      <c r="ONH518" s="332"/>
      <c r="ONI518" s="332"/>
      <c r="ONJ518" s="332"/>
      <c r="ONK518" s="332"/>
      <c r="ONL518" s="332"/>
      <c r="ONM518" s="332"/>
      <c r="ONN518" s="332"/>
      <c r="ONO518" s="332"/>
      <c r="ONP518" s="332"/>
      <c r="ONQ518" s="332"/>
      <c r="ONR518" s="332"/>
      <c r="ONS518" s="332"/>
      <c r="ONT518" s="332"/>
      <c r="ONU518" s="332"/>
      <c r="ONV518" s="332"/>
      <c r="ONW518" s="332"/>
      <c r="ONX518" s="332"/>
      <c r="ONY518" s="332"/>
      <c r="ONZ518" s="332"/>
      <c r="OOA518" s="332"/>
      <c r="OOB518" s="332"/>
      <c r="OOC518" s="332"/>
      <c r="OOD518" s="332"/>
      <c r="OOE518" s="332"/>
      <c r="OOF518" s="332"/>
      <c r="OOG518" s="332"/>
      <c r="OOH518" s="332"/>
      <c r="OOI518" s="332"/>
      <c r="OOJ518" s="332"/>
      <c r="OOK518" s="332"/>
      <c r="OOL518" s="332"/>
      <c r="OOM518" s="332"/>
      <c r="OON518" s="332"/>
      <c r="OOO518" s="332"/>
      <c r="OOP518" s="332"/>
      <c r="OOQ518" s="332"/>
      <c r="OOR518" s="332"/>
      <c r="OOS518" s="332"/>
      <c r="OOT518" s="332"/>
      <c r="OOU518" s="332"/>
      <c r="OOV518" s="332"/>
      <c r="OOW518" s="332"/>
      <c r="OOX518" s="332"/>
      <c r="OOY518" s="332"/>
      <c r="OOZ518" s="332"/>
      <c r="OPA518" s="332"/>
      <c r="OPB518" s="332"/>
      <c r="OPC518" s="332"/>
      <c r="OPD518" s="332"/>
      <c r="OPE518" s="332"/>
      <c r="OPF518" s="332"/>
      <c r="OPG518" s="332"/>
      <c r="OPH518" s="332"/>
      <c r="OPI518" s="332"/>
      <c r="OPJ518" s="332"/>
      <c r="OPK518" s="332"/>
      <c r="OPL518" s="332"/>
      <c r="OPM518" s="332"/>
      <c r="OPN518" s="332"/>
      <c r="OPO518" s="332"/>
      <c r="OPP518" s="332"/>
      <c r="OPQ518" s="332"/>
      <c r="OPR518" s="332"/>
      <c r="OPS518" s="332"/>
      <c r="OPT518" s="332"/>
      <c r="OPU518" s="332"/>
      <c r="OPV518" s="332"/>
      <c r="OPW518" s="332"/>
      <c r="OPX518" s="332"/>
      <c r="OPY518" s="332"/>
      <c r="OPZ518" s="332"/>
      <c r="OQA518" s="332"/>
      <c r="OQB518" s="332"/>
      <c r="OQC518" s="332"/>
      <c r="OQD518" s="332"/>
      <c r="OQE518" s="332"/>
      <c r="OQF518" s="332"/>
      <c r="OQG518" s="332"/>
      <c r="OQH518" s="332"/>
      <c r="OQI518" s="332"/>
      <c r="OQJ518" s="332"/>
      <c r="OQK518" s="332"/>
      <c r="OQL518" s="332"/>
      <c r="OQM518" s="332"/>
      <c r="OQN518" s="332"/>
      <c r="OQO518" s="332"/>
      <c r="OQP518" s="332"/>
      <c r="OQQ518" s="332"/>
      <c r="OQR518" s="332"/>
      <c r="OQS518" s="332"/>
      <c r="OQT518" s="332"/>
      <c r="OQU518" s="332"/>
      <c r="OQV518" s="332"/>
      <c r="OQW518" s="332"/>
      <c r="OQX518" s="332"/>
      <c r="OQY518" s="332"/>
      <c r="OQZ518" s="332"/>
      <c r="ORA518" s="332"/>
      <c r="ORB518" s="332"/>
      <c r="ORC518" s="332"/>
      <c r="ORD518" s="332"/>
      <c r="ORE518" s="332"/>
      <c r="ORF518" s="332"/>
      <c r="ORG518" s="332"/>
      <c r="ORH518" s="332"/>
      <c r="ORI518" s="332"/>
      <c r="ORJ518" s="332"/>
      <c r="ORK518" s="332"/>
      <c r="ORL518" s="332"/>
      <c r="ORM518" s="332"/>
      <c r="ORN518" s="332"/>
      <c r="ORO518" s="332"/>
      <c r="ORP518" s="332"/>
      <c r="ORQ518" s="332"/>
      <c r="ORR518" s="332"/>
      <c r="ORS518" s="332"/>
      <c r="ORT518" s="332"/>
      <c r="ORU518" s="332"/>
      <c r="ORV518" s="332"/>
      <c r="ORW518" s="332"/>
      <c r="ORX518" s="332"/>
      <c r="ORY518" s="332"/>
      <c r="ORZ518" s="332"/>
      <c r="OSA518" s="332"/>
      <c r="OSB518" s="332"/>
      <c r="OSC518" s="332"/>
      <c r="OSD518" s="332"/>
      <c r="OSE518" s="332"/>
      <c r="OSF518" s="332"/>
      <c r="OSG518" s="332"/>
      <c r="OSH518" s="332"/>
      <c r="OSI518" s="332"/>
      <c r="OSJ518" s="332"/>
      <c r="OSK518" s="332"/>
      <c r="OSL518" s="332"/>
      <c r="OSM518" s="332"/>
      <c r="OSN518" s="332"/>
      <c r="OSO518" s="332"/>
      <c r="OSP518" s="332"/>
      <c r="OSQ518" s="332"/>
      <c r="OSR518" s="332"/>
      <c r="OSS518" s="332"/>
      <c r="OST518" s="332"/>
      <c r="OSU518" s="332"/>
      <c r="OSV518" s="332"/>
      <c r="OSW518" s="332"/>
      <c r="OSX518" s="332"/>
      <c r="OSY518" s="332"/>
      <c r="OSZ518" s="332"/>
      <c r="OTA518" s="332"/>
      <c r="OTB518" s="332"/>
      <c r="OTC518" s="332"/>
      <c r="OTD518" s="332"/>
      <c r="OTE518" s="332"/>
      <c r="OTF518" s="332"/>
      <c r="OTG518" s="332"/>
      <c r="OTH518" s="332"/>
      <c r="OTI518" s="332"/>
      <c r="OTJ518" s="332"/>
      <c r="OTK518" s="332"/>
      <c r="OTL518" s="332"/>
      <c r="OTM518" s="332"/>
      <c r="OTN518" s="332"/>
      <c r="OTO518" s="332"/>
      <c r="OTP518" s="332"/>
      <c r="OTQ518" s="332"/>
      <c r="OTR518" s="332"/>
      <c r="OTS518" s="332"/>
      <c r="OTT518" s="332"/>
      <c r="OTU518" s="332"/>
      <c r="OTV518" s="332"/>
      <c r="OTW518" s="332"/>
      <c r="OTX518" s="332"/>
      <c r="OTY518" s="332"/>
      <c r="OTZ518" s="332"/>
      <c r="OUA518" s="332"/>
      <c r="OUB518" s="332"/>
      <c r="OUC518" s="332"/>
      <c r="OUD518" s="332"/>
      <c r="OUE518" s="332"/>
      <c r="OUF518" s="332"/>
      <c r="OUG518" s="332"/>
      <c r="OUH518" s="332"/>
      <c r="OUI518" s="332"/>
      <c r="OUJ518" s="332"/>
      <c r="OUK518" s="332"/>
      <c r="OUL518" s="332"/>
      <c r="OUM518" s="332"/>
      <c r="OUN518" s="332"/>
      <c r="OUO518" s="332"/>
      <c r="OUP518" s="332"/>
      <c r="OUQ518" s="332"/>
      <c r="OUR518" s="332"/>
      <c r="OUS518" s="332"/>
      <c r="OUT518" s="332"/>
      <c r="OUU518" s="332"/>
      <c r="OUV518" s="332"/>
      <c r="OUW518" s="332"/>
      <c r="OUX518" s="332"/>
      <c r="OUY518" s="332"/>
      <c r="OUZ518" s="332"/>
      <c r="OVA518" s="332"/>
      <c r="OVB518" s="332"/>
      <c r="OVC518" s="332"/>
      <c r="OVD518" s="332"/>
      <c r="OVE518" s="332"/>
      <c r="OVF518" s="332"/>
      <c r="OVG518" s="332"/>
      <c r="OVH518" s="332"/>
      <c r="OVI518" s="332"/>
      <c r="OVJ518" s="332"/>
      <c r="OVK518" s="332"/>
      <c r="OVL518" s="332"/>
      <c r="OVM518" s="332"/>
      <c r="OVN518" s="332"/>
      <c r="OVO518" s="332"/>
      <c r="OVP518" s="332"/>
      <c r="OVQ518" s="332"/>
      <c r="OVR518" s="332"/>
      <c r="OVS518" s="332"/>
      <c r="OVT518" s="332"/>
      <c r="OVU518" s="332"/>
      <c r="OVV518" s="332"/>
      <c r="OVW518" s="332"/>
      <c r="OVX518" s="332"/>
      <c r="OVY518" s="332"/>
      <c r="OVZ518" s="332"/>
      <c r="OWA518" s="332"/>
      <c r="OWB518" s="332"/>
      <c r="OWC518" s="332"/>
      <c r="OWD518" s="332"/>
      <c r="OWE518" s="332"/>
      <c r="OWF518" s="332"/>
      <c r="OWG518" s="332"/>
      <c r="OWH518" s="332"/>
      <c r="OWI518" s="332"/>
      <c r="OWJ518" s="332"/>
      <c r="OWK518" s="332"/>
      <c r="OWL518" s="332"/>
      <c r="OWM518" s="332"/>
      <c r="OWN518" s="332"/>
      <c r="OWO518" s="332"/>
      <c r="OWP518" s="332"/>
      <c r="OWQ518" s="332"/>
      <c r="OWR518" s="332"/>
      <c r="OWS518" s="332"/>
      <c r="OWT518" s="332"/>
      <c r="OWU518" s="332"/>
      <c r="OWV518" s="332"/>
      <c r="OWW518" s="332"/>
      <c r="OWX518" s="332"/>
      <c r="OWY518" s="332"/>
      <c r="OWZ518" s="332"/>
      <c r="OXA518" s="332"/>
      <c r="OXB518" s="332"/>
      <c r="OXC518" s="332"/>
      <c r="OXD518" s="332"/>
      <c r="OXE518" s="332"/>
      <c r="OXF518" s="332"/>
      <c r="OXG518" s="332"/>
      <c r="OXH518" s="332"/>
      <c r="OXI518" s="332"/>
      <c r="OXJ518" s="332"/>
      <c r="OXK518" s="332"/>
      <c r="OXL518" s="332"/>
      <c r="OXM518" s="332"/>
      <c r="OXN518" s="332"/>
      <c r="OXO518" s="332"/>
      <c r="OXP518" s="332"/>
      <c r="OXQ518" s="332"/>
      <c r="OXR518" s="332"/>
      <c r="OXS518" s="332"/>
      <c r="OXT518" s="332"/>
      <c r="OXU518" s="332"/>
      <c r="OXV518" s="332"/>
      <c r="OXW518" s="332"/>
      <c r="OXX518" s="332"/>
      <c r="OXY518" s="332"/>
      <c r="OXZ518" s="332"/>
      <c r="OYA518" s="332"/>
      <c r="OYB518" s="332"/>
      <c r="OYC518" s="332"/>
      <c r="OYD518" s="332"/>
      <c r="OYE518" s="332"/>
      <c r="OYF518" s="332"/>
      <c r="OYG518" s="332"/>
      <c r="OYH518" s="332"/>
      <c r="OYI518" s="332"/>
      <c r="OYJ518" s="332"/>
      <c r="OYK518" s="332"/>
      <c r="OYL518" s="332"/>
      <c r="OYM518" s="332"/>
      <c r="OYN518" s="332"/>
      <c r="OYO518" s="332"/>
      <c r="OYP518" s="332"/>
      <c r="OYQ518" s="332"/>
      <c r="OYR518" s="332"/>
      <c r="OYS518" s="332"/>
      <c r="OYT518" s="332"/>
      <c r="OYU518" s="332"/>
      <c r="OYV518" s="332"/>
      <c r="OYW518" s="332"/>
      <c r="OYX518" s="332"/>
      <c r="OYY518" s="332"/>
      <c r="OYZ518" s="332"/>
      <c r="OZA518" s="332"/>
      <c r="OZB518" s="332"/>
      <c r="OZC518" s="332"/>
      <c r="OZD518" s="332"/>
      <c r="OZE518" s="332"/>
      <c r="OZF518" s="332"/>
      <c r="OZG518" s="332"/>
      <c r="OZH518" s="332"/>
      <c r="OZI518" s="332"/>
      <c r="OZJ518" s="332"/>
      <c r="OZK518" s="332"/>
      <c r="OZL518" s="332"/>
      <c r="OZM518" s="332"/>
      <c r="OZN518" s="332"/>
      <c r="OZO518" s="332"/>
      <c r="OZP518" s="332"/>
      <c r="OZQ518" s="332"/>
      <c r="OZR518" s="332"/>
      <c r="OZS518" s="332"/>
      <c r="OZT518" s="332"/>
      <c r="OZU518" s="332"/>
      <c r="OZV518" s="332"/>
      <c r="OZW518" s="332"/>
      <c r="OZX518" s="332"/>
      <c r="OZY518" s="332"/>
      <c r="OZZ518" s="332"/>
      <c r="PAA518" s="332"/>
      <c r="PAB518" s="332"/>
      <c r="PAC518" s="332"/>
      <c r="PAD518" s="332"/>
      <c r="PAE518" s="332"/>
      <c r="PAF518" s="332"/>
      <c r="PAG518" s="332"/>
      <c r="PAH518" s="332"/>
      <c r="PAI518" s="332"/>
      <c r="PAJ518" s="332"/>
      <c r="PAK518" s="332"/>
      <c r="PAL518" s="332"/>
      <c r="PAM518" s="332"/>
      <c r="PAN518" s="332"/>
      <c r="PAO518" s="332"/>
      <c r="PAP518" s="332"/>
      <c r="PAQ518" s="332"/>
      <c r="PAR518" s="332"/>
      <c r="PAS518" s="332"/>
      <c r="PAT518" s="332"/>
      <c r="PAU518" s="332"/>
      <c r="PAV518" s="332"/>
      <c r="PAW518" s="332"/>
      <c r="PAX518" s="332"/>
      <c r="PAY518" s="332"/>
      <c r="PAZ518" s="332"/>
      <c r="PBA518" s="332"/>
      <c r="PBB518" s="332"/>
      <c r="PBC518" s="332"/>
      <c r="PBD518" s="332"/>
      <c r="PBE518" s="332"/>
      <c r="PBF518" s="332"/>
      <c r="PBG518" s="332"/>
      <c r="PBH518" s="332"/>
      <c r="PBI518" s="332"/>
      <c r="PBJ518" s="332"/>
      <c r="PBK518" s="332"/>
      <c r="PBL518" s="332"/>
      <c r="PBM518" s="332"/>
      <c r="PBN518" s="332"/>
      <c r="PBO518" s="332"/>
      <c r="PBP518" s="332"/>
      <c r="PBQ518" s="332"/>
      <c r="PBR518" s="332"/>
      <c r="PBS518" s="332"/>
      <c r="PBT518" s="332"/>
      <c r="PBU518" s="332"/>
      <c r="PBV518" s="332"/>
      <c r="PBW518" s="332"/>
      <c r="PBX518" s="332"/>
      <c r="PBY518" s="332"/>
      <c r="PBZ518" s="332"/>
      <c r="PCA518" s="332"/>
      <c r="PCB518" s="332"/>
      <c r="PCC518" s="332"/>
      <c r="PCD518" s="332"/>
      <c r="PCE518" s="332"/>
      <c r="PCF518" s="332"/>
      <c r="PCG518" s="332"/>
      <c r="PCH518" s="332"/>
      <c r="PCI518" s="332"/>
      <c r="PCJ518" s="332"/>
      <c r="PCK518" s="332"/>
      <c r="PCL518" s="332"/>
      <c r="PCM518" s="332"/>
      <c r="PCN518" s="332"/>
      <c r="PCO518" s="332"/>
      <c r="PCP518" s="332"/>
      <c r="PCQ518" s="332"/>
      <c r="PCR518" s="332"/>
      <c r="PCS518" s="332"/>
      <c r="PCT518" s="332"/>
      <c r="PCU518" s="332"/>
      <c r="PCV518" s="332"/>
      <c r="PCW518" s="332"/>
      <c r="PCX518" s="332"/>
      <c r="PCY518" s="332"/>
      <c r="PCZ518" s="332"/>
      <c r="PDA518" s="332"/>
      <c r="PDB518" s="332"/>
      <c r="PDC518" s="332"/>
      <c r="PDD518" s="332"/>
      <c r="PDE518" s="332"/>
      <c r="PDF518" s="332"/>
      <c r="PDG518" s="332"/>
      <c r="PDH518" s="332"/>
      <c r="PDI518" s="332"/>
      <c r="PDJ518" s="332"/>
      <c r="PDK518" s="332"/>
      <c r="PDL518" s="332"/>
      <c r="PDM518" s="332"/>
      <c r="PDN518" s="332"/>
      <c r="PDO518" s="332"/>
      <c r="PDP518" s="332"/>
      <c r="PDQ518" s="332"/>
      <c r="PDR518" s="332"/>
      <c r="PDS518" s="332"/>
      <c r="PDT518" s="332"/>
      <c r="PDU518" s="332"/>
      <c r="PDV518" s="332"/>
      <c r="PDW518" s="332"/>
      <c r="PDX518" s="332"/>
      <c r="PDY518" s="332"/>
      <c r="PDZ518" s="332"/>
      <c r="PEA518" s="332"/>
      <c r="PEB518" s="332"/>
      <c r="PEC518" s="332"/>
      <c r="PED518" s="332"/>
      <c r="PEE518" s="332"/>
      <c r="PEF518" s="332"/>
      <c r="PEG518" s="332"/>
      <c r="PEH518" s="332"/>
      <c r="PEI518" s="332"/>
      <c r="PEJ518" s="332"/>
      <c r="PEK518" s="332"/>
      <c r="PEL518" s="332"/>
      <c r="PEM518" s="332"/>
      <c r="PEN518" s="332"/>
      <c r="PEO518" s="332"/>
      <c r="PEP518" s="332"/>
      <c r="PEQ518" s="332"/>
      <c r="PER518" s="332"/>
      <c r="PES518" s="332"/>
      <c r="PET518" s="332"/>
      <c r="PEU518" s="332"/>
      <c r="PEV518" s="332"/>
      <c r="PEW518" s="332"/>
      <c r="PEX518" s="332"/>
      <c r="PEY518" s="332"/>
      <c r="PEZ518" s="332"/>
      <c r="PFA518" s="332"/>
      <c r="PFB518" s="332"/>
      <c r="PFC518" s="332"/>
      <c r="PFD518" s="332"/>
      <c r="PFE518" s="332"/>
      <c r="PFF518" s="332"/>
      <c r="PFG518" s="332"/>
      <c r="PFH518" s="332"/>
      <c r="PFI518" s="332"/>
      <c r="PFJ518" s="332"/>
      <c r="PFK518" s="332"/>
      <c r="PFL518" s="332"/>
      <c r="PFM518" s="332"/>
      <c r="PFN518" s="332"/>
      <c r="PFO518" s="332"/>
      <c r="PFP518" s="332"/>
      <c r="PFQ518" s="332"/>
      <c r="PFR518" s="332"/>
      <c r="PFS518" s="332"/>
      <c r="PFT518" s="332"/>
      <c r="PFU518" s="332"/>
      <c r="PFV518" s="332"/>
      <c r="PFW518" s="332"/>
      <c r="PFX518" s="332"/>
      <c r="PFY518" s="332"/>
      <c r="PFZ518" s="332"/>
      <c r="PGA518" s="332"/>
      <c r="PGB518" s="332"/>
      <c r="PGC518" s="332"/>
      <c r="PGD518" s="332"/>
      <c r="PGE518" s="332"/>
      <c r="PGF518" s="332"/>
      <c r="PGG518" s="332"/>
      <c r="PGH518" s="332"/>
      <c r="PGI518" s="332"/>
      <c r="PGJ518" s="332"/>
      <c r="PGK518" s="332"/>
      <c r="PGL518" s="332"/>
      <c r="PGM518" s="332"/>
      <c r="PGN518" s="332"/>
      <c r="PGO518" s="332"/>
      <c r="PGP518" s="332"/>
      <c r="PGQ518" s="332"/>
      <c r="PGR518" s="332"/>
      <c r="PGS518" s="332"/>
      <c r="PGT518" s="332"/>
      <c r="PGU518" s="332"/>
      <c r="PGV518" s="332"/>
      <c r="PGW518" s="332"/>
      <c r="PGX518" s="332"/>
      <c r="PGY518" s="332"/>
      <c r="PGZ518" s="332"/>
      <c r="PHA518" s="332"/>
      <c r="PHB518" s="332"/>
      <c r="PHC518" s="332"/>
      <c r="PHD518" s="332"/>
      <c r="PHE518" s="332"/>
      <c r="PHF518" s="332"/>
      <c r="PHG518" s="332"/>
      <c r="PHH518" s="332"/>
      <c r="PHI518" s="332"/>
      <c r="PHJ518" s="332"/>
      <c r="PHK518" s="332"/>
      <c r="PHL518" s="332"/>
      <c r="PHM518" s="332"/>
      <c r="PHN518" s="332"/>
      <c r="PHO518" s="332"/>
      <c r="PHP518" s="332"/>
      <c r="PHQ518" s="332"/>
      <c r="PHR518" s="332"/>
      <c r="PHS518" s="332"/>
      <c r="PHT518" s="332"/>
      <c r="PHU518" s="332"/>
      <c r="PHV518" s="332"/>
      <c r="PHW518" s="332"/>
      <c r="PHX518" s="332"/>
      <c r="PHY518" s="332"/>
      <c r="PHZ518" s="332"/>
      <c r="PIA518" s="332"/>
      <c r="PIB518" s="332"/>
      <c r="PIC518" s="332"/>
      <c r="PID518" s="332"/>
      <c r="PIE518" s="332"/>
      <c r="PIF518" s="332"/>
      <c r="PIG518" s="332"/>
      <c r="PIH518" s="332"/>
      <c r="PII518" s="332"/>
      <c r="PIJ518" s="332"/>
      <c r="PIK518" s="332"/>
      <c r="PIL518" s="332"/>
      <c r="PIM518" s="332"/>
      <c r="PIN518" s="332"/>
      <c r="PIO518" s="332"/>
      <c r="PIP518" s="332"/>
      <c r="PIQ518" s="332"/>
      <c r="PIR518" s="332"/>
      <c r="PIS518" s="332"/>
      <c r="PIT518" s="332"/>
      <c r="PIU518" s="332"/>
      <c r="PIV518" s="332"/>
      <c r="PIW518" s="332"/>
      <c r="PIX518" s="332"/>
      <c r="PIY518" s="332"/>
      <c r="PIZ518" s="332"/>
      <c r="PJA518" s="332"/>
      <c r="PJB518" s="332"/>
      <c r="PJC518" s="332"/>
      <c r="PJD518" s="332"/>
      <c r="PJE518" s="332"/>
      <c r="PJF518" s="332"/>
      <c r="PJG518" s="332"/>
      <c r="PJH518" s="332"/>
      <c r="PJI518" s="332"/>
      <c r="PJJ518" s="332"/>
      <c r="PJK518" s="332"/>
      <c r="PJL518" s="332"/>
      <c r="PJM518" s="332"/>
      <c r="PJN518" s="332"/>
      <c r="PJO518" s="332"/>
      <c r="PJP518" s="332"/>
      <c r="PJQ518" s="332"/>
      <c r="PJR518" s="332"/>
      <c r="PJS518" s="332"/>
      <c r="PJT518" s="332"/>
      <c r="PJU518" s="332"/>
      <c r="PJV518" s="332"/>
      <c r="PJW518" s="332"/>
      <c r="PJX518" s="332"/>
      <c r="PJY518" s="332"/>
      <c r="PJZ518" s="332"/>
      <c r="PKA518" s="332"/>
      <c r="PKB518" s="332"/>
      <c r="PKC518" s="332"/>
      <c r="PKD518" s="332"/>
      <c r="PKE518" s="332"/>
      <c r="PKF518" s="332"/>
      <c r="PKG518" s="332"/>
      <c r="PKH518" s="332"/>
      <c r="PKI518" s="332"/>
      <c r="PKJ518" s="332"/>
      <c r="PKK518" s="332"/>
      <c r="PKL518" s="332"/>
      <c r="PKM518" s="332"/>
      <c r="PKN518" s="332"/>
      <c r="PKO518" s="332"/>
      <c r="PKP518" s="332"/>
      <c r="PKQ518" s="332"/>
      <c r="PKR518" s="332"/>
      <c r="PKS518" s="332"/>
      <c r="PKT518" s="332"/>
      <c r="PKU518" s="332"/>
      <c r="PKV518" s="332"/>
      <c r="PKW518" s="332"/>
      <c r="PKX518" s="332"/>
      <c r="PKY518" s="332"/>
      <c r="PKZ518" s="332"/>
      <c r="PLA518" s="332"/>
      <c r="PLB518" s="332"/>
      <c r="PLC518" s="332"/>
      <c r="PLD518" s="332"/>
      <c r="PLE518" s="332"/>
      <c r="PLF518" s="332"/>
      <c r="PLG518" s="332"/>
      <c r="PLH518" s="332"/>
      <c r="PLI518" s="332"/>
      <c r="PLJ518" s="332"/>
      <c r="PLK518" s="332"/>
      <c r="PLL518" s="332"/>
      <c r="PLM518" s="332"/>
      <c r="PLN518" s="332"/>
      <c r="PLO518" s="332"/>
      <c r="PLP518" s="332"/>
      <c r="PLQ518" s="332"/>
      <c r="PLR518" s="332"/>
      <c r="PLS518" s="332"/>
      <c r="PLT518" s="332"/>
      <c r="PLU518" s="332"/>
      <c r="PLV518" s="332"/>
      <c r="PLW518" s="332"/>
      <c r="PLX518" s="332"/>
      <c r="PLY518" s="332"/>
      <c r="PLZ518" s="332"/>
      <c r="PMA518" s="332"/>
      <c r="PMB518" s="332"/>
      <c r="PMC518" s="332"/>
      <c r="PMD518" s="332"/>
      <c r="PME518" s="332"/>
      <c r="PMF518" s="332"/>
      <c r="PMG518" s="332"/>
      <c r="PMH518" s="332"/>
      <c r="PMI518" s="332"/>
      <c r="PMJ518" s="332"/>
      <c r="PMK518" s="332"/>
      <c r="PML518" s="332"/>
      <c r="PMM518" s="332"/>
      <c r="PMN518" s="332"/>
      <c r="PMO518" s="332"/>
      <c r="PMP518" s="332"/>
      <c r="PMQ518" s="332"/>
      <c r="PMR518" s="332"/>
      <c r="PMS518" s="332"/>
      <c r="PMT518" s="332"/>
      <c r="PMU518" s="332"/>
      <c r="PMV518" s="332"/>
      <c r="PMW518" s="332"/>
      <c r="PMX518" s="332"/>
      <c r="PMY518" s="332"/>
      <c r="PMZ518" s="332"/>
      <c r="PNA518" s="332"/>
      <c r="PNB518" s="332"/>
      <c r="PNC518" s="332"/>
      <c r="PND518" s="332"/>
      <c r="PNE518" s="332"/>
      <c r="PNF518" s="332"/>
      <c r="PNG518" s="332"/>
      <c r="PNH518" s="332"/>
      <c r="PNI518" s="332"/>
      <c r="PNJ518" s="332"/>
      <c r="PNK518" s="332"/>
      <c r="PNL518" s="332"/>
      <c r="PNM518" s="332"/>
      <c r="PNN518" s="332"/>
      <c r="PNO518" s="332"/>
      <c r="PNP518" s="332"/>
      <c r="PNQ518" s="332"/>
      <c r="PNR518" s="332"/>
      <c r="PNS518" s="332"/>
      <c r="PNT518" s="332"/>
      <c r="PNU518" s="332"/>
      <c r="PNV518" s="332"/>
      <c r="PNW518" s="332"/>
      <c r="PNX518" s="332"/>
      <c r="PNY518" s="332"/>
      <c r="PNZ518" s="332"/>
      <c r="POA518" s="332"/>
      <c r="POB518" s="332"/>
      <c r="POC518" s="332"/>
      <c r="POD518" s="332"/>
      <c r="POE518" s="332"/>
      <c r="POF518" s="332"/>
      <c r="POG518" s="332"/>
      <c r="POH518" s="332"/>
      <c r="POI518" s="332"/>
      <c r="POJ518" s="332"/>
      <c r="POK518" s="332"/>
      <c r="POL518" s="332"/>
      <c r="POM518" s="332"/>
      <c r="PON518" s="332"/>
      <c r="POO518" s="332"/>
      <c r="POP518" s="332"/>
      <c r="POQ518" s="332"/>
      <c r="POR518" s="332"/>
      <c r="POS518" s="332"/>
      <c r="POT518" s="332"/>
      <c r="POU518" s="332"/>
      <c r="POV518" s="332"/>
      <c r="POW518" s="332"/>
      <c r="POX518" s="332"/>
      <c r="POY518" s="332"/>
      <c r="POZ518" s="332"/>
      <c r="PPA518" s="332"/>
      <c r="PPB518" s="332"/>
      <c r="PPC518" s="332"/>
      <c r="PPD518" s="332"/>
      <c r="PPE518" s="332"/>
      <c r="PPF518" s="332"/>
      <c r="PPG518" s="332"/>
      <c r="PPH518" s="332"/>
      <c r="PPI518" s="332"/>
      <c r="PPJ518" s="332"/>
      <c r="PPK518" s="332"/>
      <c r="PPL518" s="332"/>
      <c r="PPM518" s="332"/>
      <c r="PPN518" s="332"/>
      <c r="PPO518" s="332"/>
      <c r="PPP518" s="332"/>
      <c r="PPQ518" s="332"/>
      <c r="PPR518" s="332"/>
      <c r="PPS518" s="332"/>
      <c r="PPT518" s="332"/>
      <c r="PPU518" s="332"/>
      <c r="PPV518" s="332"/>
      <c r="PPW518" s="332"/>
      <c r="PPX518" s="332"/>
      <c r="PPY518" s="332"/>
      <c r="PPZ518" s="332"/>
      <c r="PQA518" s="332"/>
      <c r="PQB518" s="332"/>
      <c r="PQC518" s="332"/>
      <c r="PQD518" s="332"/>
      <c r="PQE518" s="332"/>
      <c r="PQF518" s="332"/>
      <c r="PQG518" s="332"/>
      <c r="PQH518" s="332"/>
      <c r="PQI518" s="332"/>
      <c r="PQJ518" s="332"/>
      <c r="PQK518" s="332"/>
      <c r="PQL518" s="332"/>
      <c r="PQM518" s="332"/>
      <c r="PQN518" s="332"/>
      <c r="PQO518" s="332"/>
      <c r="PQP518" s="332"/>
      <c r="PQQ518" s="332"/>
      <c r="PQR518" s="332"/>
      <c r="PQS518" s="332"/>
      <c r="PQT518" s="332"/>
      <c r="PQU518" s="332"/>
      <c r="PQV518" s="332"/>
      <c r="PQW518" s="332"/>
      <c r="PQX518" s="332"/>
      <c r="PQY518" s="332"/>
      <c r="PQZ518" s="332"/>
      <c r="PRA518" s="332"/>
      <c r="PRB518" s="332"/>
      <c r="PRC518" s="332"/>
      <c r="PRD518" s="332"/>
      <c r="PRE518" s="332"/>
      <c r="PRF518" s="332"/>
      <c r="PRG518" s="332"/>
      <c r="PRH518" s="332"/>
      <c r="PRI518" s="332"/>
      <c r="PRJ518" s="332"/>
      <c r="PRK518" s="332"/>
      <c r="PRL518" s="332"/>
      <c r="PRM518" s="332"/>
      <c r="PRN518" s="332"/>
      <c r="PRO518" s="332"/>
      <c r="PRP518" s="332"/>
      <c r="PRQ518" s="332"/>
      <c r="PRR518" s="332"/>
      <c r="PRS518" s="332"/>
      <c r="PRT518" s="332"/>
      <c r="PRU518" s="332"/>
      <c r="PRV518" s="332"/>
      <c r="PRW518" s="332"/>
      <c r="PRX518" s="332"/>
      <c r="PRY518" s="332"/>
      <c r="PRZ518" s="332"/>
      <c r="PSA518" s="332"/>
      <c r="PSB518" s="332"/>
      <c r="PSC518" s="332"/>
      <c r="PSD518" s="332"/>
      <c r="PSE518" s="332"/>
      <c r="PSF518" s="332"/>
      <c r="PSG518" s="332"/>
      <c r="PSH518" s="332"/>
      <c r="PSI518" s="332"/>
      <c r="PSJ518" s="332"/>
      <c r="PSK518" s="332"/>
      <c r="PSL518" s="332"/>
      <c r="PSM518" s="332"/>
      <c r="PSN518" s="332"/>
      <c r="PSO518" s="332"/>
      <c r="PSP518" s="332"/>
      <c r="PSQ518" s="332"/>
      <c r="PSR518" s="332"/>
      <c r="PSS518" s="332"/>
      <c r="PST518" s="332"/>
      <c r="PSU518" s="332"/>
      <c r="PSV518" s="332"/>
      <c r="PSW518" s="332"/>
      <c r="PSX518" s="332"/>
      <c r="PSY518" s="332"/>
      <c r="PSZ518" s="332"/>
      <c r="PTA518" s="332"/>
      <c r="PTB518" s="332"/>
      <c r="PTC518" s="332"/>
      <c r="PTD518" s="332"/>
      <c r="PTE518" s="332"/>
      <c r="PTF518" s="332"/>
      <c r="PTG518" s="332"/>
      <c r="PTH518" s="332"/>
      <c r="PTI518" s="332"/>
      <c r="PTJ518" s="332"/>
      <c r="PTK518" s="332"/>
      <c r="PTL518" s="332"/>
      <c r="PTM518" s="332"/>
      <c r="PTN518" s="332"/>
      <c r="PTO518" s="332"/>
      <c r="PTP518" s="332"/>
      <c r="PTQ518" s="332"/>
      <c r="PTR518" s="332"/>
      <c r="PTS518" s="332"/>
      <c r="PTT518" s="332"/>
      <c r="PTU518" s="332"/>
      <c r="PTV518" s="332"/>
      <c r="PTW518" s="332"/>
      <c r="PTX518" s="332"/>
      <c r="PTY518" s="332"/>
      <c r="PTZ518" s="332"/>
      <c r="PUA518" s="332"/>
      <c r="PUB518" s="332"/>
      <c r="PUC518" s="332"/>
      <c r="PUD518" s="332"/>
      <c r="PUE518" s="332"/>
      <c r="PUF518" s="332"/>
      <c r="PUG518" s="332"/>
      <c r="PUH518" s="332"/>
      <c r="PUI518" s="332"/>
      <c r="PUJ518" s="332"/>
      <c r="PUK518" s="332"/>
      <c r="PUL518" s="332"/>
      <c r="PUM518" s="332"/>
      <c r="PUN518" s="332"/>
      <c r="PUO518" s="332"/>
      <c r="PUP518" s="332"/>
      <c r="PUQ518" s="332"/>
      <c r="PUR518" s="332"/>
      <c r="PUS518" s="332"/>
      <c r="PUT518" s="332"/>
      <c r="PUU518" s="332"/>
      <c r="PUV518" s="332"/>
      <c r="PUW518" s="332"/>
      <c r="PUX518" s="332"/>
      <c r="PUY518" s="332"/>
      <c r="PUZ518" s="332"/>
      <c r="PVA518" s="332"/>
      <c r="PVB518" s="332"/>
      <c r="PVC518" s="332"/>
      <c r="PVD518" s="332"/>
      <c r="PVE518" s="332"/>
      <c r="PVF518" s="332"/>
      <c r="PVG518" s="332"/>
      <c r="PVH518" s="332"/>
      <c r="PVI518" s="332"/>
      <c r="PVJ518" s="332"/>
      <c r="PVK518" s="332"/>
      <c r="PVL518" s="332"/>
      <c r="PVM518" s="332"/>
      <c r="PVN518" s="332"/>
      <c r="PVO518" s="332"/>
      <c r="PVP518" s="332"/>
      <c r="PVQ518" s="332"/>
      <c r="PVR518" s="332"/>
      <c r="PVS518" s="332"/>
      <c r="PVT518" s="332"/>
      <c r="PVU518" s="332"/>
      <c r="PVV518" s="332"/>
      <c r="PVW518" s="332"/>
      <c r="PVX518" s="332"/>
      <c r="PVY518" s="332"/>
      <c r="PVZ518" s="332"/>
      <c r="PWA518" s="332"/>
      <c r="PWB518" s="332"/>
      <c r="PWC518" s="332"/>
      <c r="PWD518" s="332"/>
      <c r="PWE518" s="332"/>
      <c r="PWF518" s="332"/>
      <c r="PWG518" s="332"/>
      <c r="PWH518" s="332"/>
      <c r="PWI518" s="332"/>
      <c r="PWJ518" s="332"/>
      <c r="PWK518" s="332"/>
      <c r="PWL518" s="332"/>
      <c r="PWM518" s="332"/>
      <c r="PWN518" s="332"/>
      <c r="PWO518" s="332"/>
      <c r="PWP518" s="332"/>
      <c r="PWQ518" s="332"/>
      <c r="PWR518" s="332"/>
      <c r="PWS518" s="332"/>
      <c r="PWT518" s="332"/>
      <c r="PWU518" s="332"/>
      <c r="PWV518" s="332"/>
      <c r="PWW518" s="332"/>
      <c r="PWX518" s="332"/>
      <c r="PWY518" s="332"/>
      <c r="PWZ518" s="332"/>
      <c r="PXA518" s="332"/>
      <c r="PXB518" s="332"/>
      <c r="PXC518" s="332"/>
      <c r="PXD518" s="332"/>
      <c r="PXE518" s="332"/>
      <c r="PXF518" s="332"/>
      <c r="PXG518" s="332"/>
      <c r="PXH518" s="332"/>
      <c r="PXI518" s="332"/>
      <c r="PXJ518" s="332"/>
      <c r="PXK518" s="332"/>
      <c r="PXL518" s="332"/>
      <c r="PXM518" s="332"/>
      <c r="PXN518" s="332"/>
      <c r="PXO518" s="332"/>
      <c r="PXP518" s="332"/>
      <c r="PXQ518" s="332"/>
      <c r="PXR518" s="332"/>
      <c r="PXS518" s="332"/>
      <c r="PXT518" s="332"/>
      <c r="PXU518" s="332"/>
      <c r="PXV518" s="332"/>
      <c r="PXW518" s="332"/>
      <c r="PXX518" s="332"/>
      <c r="PXY518" s="332"/>
      <c r="PXZ518" s="332"/>
      <c r="PYA518" s="332"/>
      <c r="PYB518" s="332"/>
      <c r="PYC518" s="332"/>
      <c r="PYD518" s="332"/>
      <c r="PYE518" s="332"/>
      <c r="PYF518" s="332"/>
      <c r="PYG518" s="332"/>
      <c r="PYH518" s="332"/>
      <c r="PYI518" s="332"/>
      <c r="PYJ518" s="332"/>
      <c r="PYK518" s="332"/>
      <c r="PYL518" s="332"/>
      <c r="PYM518" s="332"/>
      <c r="PYN518" s="332"/>
      <c r="PYO518" s="332"/>
      <c r="PYP518" s="332"/>
      <c r="PYQ518" s="332"/>
      <c r="PYR518" s="332"/>
      <c r="PYS518" s="332"/>
      <c r="PYT518" s="332"/>
      <c r="PYU518" s="332"/>
      <c r="PYV518" s="332"/>
      <c r="PYW518" s="332"/>
      <c r="PYX518" s="332"/>
      <c r="PYY518" s="332"/>
      <c r="PYZ518" s="332"/>
      <c r="PZA518" s="332"/>
      <c r="PZB518" s="332"/>
      <c r="PZC518" s="332"/>
      <c r="PZD518" s="332"/>
      <c r="PZE518" s="332"/>
      <c r="PZF518" s="332"/>
      <c r="PZG518" s="332"/>
      <c r="PZH518" s="332"/>
      <c r="PZI518" s="332"/>
      <c r="PZJ518" s="332"/>
      <c r="PZK518" s="332"/>
      <c r="PZL518" s="332"/>
      <c r="PZM518" s="332"/>
      <c r="PZN518" s="332"/>
      <c r="PZO518" s="332"/>
      <c r="PZP518" s="332"/>
      <c r="PZQ518" s="332"/>
      <c r="PZR518" s="332"/>
      <c r="PZS518" s="332"/>
      <c r="PZT518" s="332"/>
      <c r="PZU518" s="332"/>
      <c r="PZV518" s="332"/>
      <c r="PZW518" s="332"/>
      <c r="PZX518" s="332"/>
      <c r="PZY518" s="332"/>
      <c r="PZZ518" s="332"/>
      <c r="QAA518" s="332"/>
      <c r="QAB518" s="332"/>
      <c r="QAC518" s="332"/>
      <c r="QAD518" s="332"/>
      <c r="QAE518" s="332"/>
      <c r="QAF518" s="332"/>
      <c r="QAG518" s="332"/>
      <c r="QAH518" s="332"/>
      <c r="QAI518" s="332"/>
      <c r="QAJ518" s="332"/>
      <c r="QAK518" s="332"/>
      <c r="QAL518" s="332"/>
      <c r="QAM518" s="332"/>
      <c r="QAN518" s="332"/>
      <c r="QAO518" s="332"/>
      <c r="QAP518" s="332"/>
      <c r="QAQ518" s="332"/>
      <c r="QAR518" s="332"/>
      <c r="QAS518" s="332"/>
      <c r="QAT518" s="332"/>
      <c r="QAU518" s="332"/>
      <c r="QAV518" s="332"/>
      <c r="QAW518" s="332"/>
      <c r="QAX518" s="332"/>
      <c r="QAY518" s="332"/>
      <c r="QAZ518" s="332"/>
      <c r="QBA518" s="332"/>
      <c r="QBB518" s="332"/>
      <c r="QBC518" s="332"/>
      <c r="QBD518" s="332"/>
      <c r="QBE518" s="332"/>
      <c r="QBF518" s="332"/>
      <c r="QBG518" s="332"/>
      <c r="QBH518" s="332"/>
      <c r="QBI518" s="332"/>
      <c r="QBJ518" s="332"/>
      <c r="QBK518" s="332"/>
      <c r="QBL518" s="332"/>
      <c r="QBM518" s="332"/>
      <c r="QBN518" s="332"/>
      <c r="QBO518" s="332"/>
      <c r="QBP518" s="332"/>
      <c r="QBQ518" s="332"/>
      <c r="QBR518" s="332"/>
      <c r="QBS518" s="332"/>
      <c r="QBT518" s="332"/>
      <c r="QBU518" s="332"/>
      <c r="QBV518" s="332"/>
      <c r="QBW518" s="332"/>
      <c r="QBX518" s="332"/>
      <c r="QBY518" s="332"/>
      <c r="QBZ518" s="332"/>
      <c r="QCA518" s="332"/>
      <c r="QCB518" s="332"/>
      <c r="QCC518" s="332"/>
      <c r="QCD518" s="332"/>
      <c r="QCE518" s="332"/>
      <c r="QCF518" s="332"/>
      <c r="QCG518" s="332"/>
      <c r="QCH518" s="332"/>
      <c r="QCI518" s="332"/>
      <c r="QCJ518" s="332"/>
      <c r="QCK518" s="332"/>
      <c r="QCL518" s="332"/>
      <c r="QCM518" s="332"/>
      <c r="QCN518" s="332"/>
      <c r="QCO518" s="332"/>
      <c r="QCP518" s="332"/>
      <c r="QCQ518" s="332"/>
      <c r="QCR518" s="332"/>
      <c r="QCS518" s="332"/>
      <c r="QCT518" s="332"/>
      <c r="QCU518" s="332"/>
      <c r="QCV518" s="332"/>
      <c r="QCW518" s="332"/>
      <c r="QCX518" s="332"/>
      <c r="QCY518" s="332"/>
      <c r="QCZ518" s="332"/>
      <c r="QDA518" s="332"/>
      <c r="QDB518" s="332"/>
      <c r="QDC518" s="332"/>
      <c r="QDD518" s="332"/>
      <c r="QDE518" s="332"/>
      <c r="QDF518" s="332"/>
      <c r="QDG518" s="332"/>
      <c r="QDH518" s="332"/>
      <c r="QDI518" s="332"/>
      <c r="QDJ518" s="332"/>
      <c r="QDK518" s="332"/>
      <c r="QDL518" s="332"/>
      <c r="QDM518" s="332"/>
      <c r="QDN518" s="332"/>
      <c r="QDO518" s="332"/>
      <c r="QDP518" s="332"/>
      <c r="QDQ518" s="332"/>
      <c r="QDR518" s="332"/>
      <c r="QDS518" s="332"/>
      <c r="QDT518" s="332"/>
      <c r="QDU518" s="332"/>
      <c r="QDV518" s="332"/>
      <c r="QDW518" s="332"/>
      <c r="QDX518" s="332"/>
      <c r="QDY518" s="332"/>
      <c r="QDZ518" s="332"/>
      <c r="QEA518" s="332"/>
      <c r="QEB518" s="332"/>
      <c r="QEC518" s="332"/>
      <c r="QED518" s="332"/>
      <c r="QEE518" s="332"/>
      <c r="QEF518" s="332"/>
      <c r="QEG518" s="332"/>
      <c r="QEH518" s="332"/>
      <c r="QEI518" s="332"/>
      <c r="QEJ518" s="332"/>
      <c r="QEK518" s="332"/>
      <c r="QEL518" s="332"/>
      <c r="QEM518" s="332"/>
      <c r="QEN518" s="332"/>
      <c r="QEO518" s="332"/>
      <c r="QEP518" s="332"/>
      <c r="QEQ518" s="332"/>
      <c r="QER518" s="332"/>
      <c r="QES518" s="332"/>
      <c r="QET518" s="332"/>
      <c r="QEU518" s="332"/>
      <c r="QEV518" s="332"/>
      <c r="QEW518" s="332"/>
      <c r="QEX518" s="332"/>
      <c r="QEY518" s="332"/>
      <c r="QEZ518" s="332"/>
      <c r="QFA518" s="332"/>
      <c r="QFB518" s="332"/>
      <c r="QFC518" s="332"/>
      <c r="QFD518" s="332"/>
      <c r="QFE518" s="332"/>
      <c r="QFF518" s="332"/>
      <c r="QFG518" s="332"/>
      <c r="QFH518" s="332"/>
      <c r="QFI518" s="332"/>
      <c r="QFJ518" s="332"/>
      <c r="QFK518" s="332"/>
      <c r="QFL518" s="332"/>
      <c r="QFM518" s="332"/>
      <c r="QFN518" s="332"/>
      <c r="QFO518" s="332"/>
      <c r="QFP518" s="332"/>
      <c r="QFQ518" s="332"/>
      <c r="QFR518" s="332"/>
      <c r="QFS518" s="332"/>
      <c r="QFT518" s="332"/>
      <c r="QFU518" s="332"/>
      <c r="QFV518" s="332"/>
      <c r="QFW518" s="332"/>
      <c r="QFX518" s="332"/>
      <c r="QFY518" s="332"/>
      <c r="QFZ518" s="332"/>
      <c r="QGA518" s="332"/>
      <c r="QGB518" s="332"/>
      <c r="QGC518" s="332"/>
      <c r="QGD518" s="332"/>
      <c r="QGE518" s="332"/>
      <c r="QGF518" s="332"/>
      <c r="QGG518" s="332"/>
      <c r="QGH518" s="332"/>
      <c r="QGI518" s="332"/>
      <c r="QGJ518" s="332"/>
      <c r="QGK518" s="332"/>
      <c r="QGL518" s="332"/>
      <c r="QGM518" s="332"/>
      <c r="QGN518" s="332"/>
      <c r="QGO518" s="332"/>
      <c r="QGP518" s="332"/>
      <c r="QGQ518" s="332"/>
      <c r="QGR518" s="332"/>
      <c r="QGS518" s="332"/>
      <c r="QGT518" s="332"/>
      <c r="QGU518" s="332"/>
      <c r="QGV518" s="332"/>
      <c r="QGW518" s="332"/>
      <c r="QGX518" s="332"/>
      <c r="QGY518" s="332"/>
      <c r="QGZ518" s="332"/>
      <c r="QHA518" s="332"/>
      <c r="QHB518" s="332"/>
      <c r="QHC518" s="332"/>
      <c r="QHD518" s="332"/>
      <c r="QHE518" s="332"/>
      <c r="QHF518" s="332"/>
      <c r="QHG518" s="332"/>
      <c r="QHH518" s="332"/>
      <c r="QHI518" s="332"/>
      <c r="QHJ518" s="332"/>
      <c r="QHK518" s="332"/>
      <c r="QHL518" s="332"/>
      <c r="QHM518" s="332"/>
      <c r="QHN518" s="332"/>
      <c r="QHO518" s="332"/>
      <c r="QHP518" s="332"/>
      <c r="QHQ518" s="332"/>
      <c r="QHR518" s="332"/>
      <c r="QHS518" s="332"/>
      <c r="QHT518" s="332"/>
      <c r="QHU518" s="332"/>
      <c r="QHV518" s="332"/>
      <c r="QHW518" s="332"/>
      <c r="QHX518" s="332"/>
      <c r="QHY518" s="332"/>
      <c r="QHZ518" s="332"/>
      <c r="QIA518" s="332"/>
      <c r="QIB518" s="332"/>
      <c r="QIC518" s="332"/>
      <c r="QID518" s="332"/>
      <c r="QIE518" s="332"/>
      <c r="QIF518" s="332"/>
      <c r="QIG518" s="332"/>
      <c r="QIH518" s="332"/>
      <c r="QII518" s="332"/>
      <c r="QIJ518" s="332"/>
      <c r="QIK518" s="332"/>
      <c r="QIL518" s="332"/>
      <c r="QIM518" s="332"/>
      <c r="QIN518" s="332"/>
      <c r="QIO518" s="332"/>
      <c r="QIP518" s="332"/>
      <c r="QIQ518" s="332"/>
      <c r="QIR518" s="332"/>
      <c r="QIS518" s="332"/>
      <c r="QIT518" s="332"/>
      <c r="QIU518" s="332"/>
      <c r="QIV518" s="332"/>
      <c r="QIW518" s="332"/>
      <c r="QIX518" s="332"/>
      <c r="QIY518" s="332"/>
      <c r="QIZ518" s="332"/>
      <c r="QJA518" s="332"/>
      <c r="QJB518" s="332"/>
      <c r="QJC518" s="332"/>
      <c r="QJD518" s="332"/>
      <c r="QJE518" s="332"/>
      <c r="QJF518" s="332"/>
      <c r="QJG518" s="332"/>
      <c r="QJH518" s="332"/>
      <c r="QJI518" s="332"/>
      <c r="QJJ518" s="332"/>
      <c r="QJK518" s="332"/>
      <c r="QJL518" s="332"/>
      <c r="QJM518" s="332"/>
      <c r="QJN518" s="332"/>
      <c r="QJO518" s="332"/>
      <c r="QJP518" s="332"/>
      <c r="QJQ518" s="332"/>
      <c r="QJR518" s="332"/>
      <c r="QJS518" s="332"/>
      <c r="QJT518" s="332"/>
      <c r="QJU518" s="332"/>
      <c r="QJV518" s="332"/>
      <c r="QJW518" s="332"/>
      <c r="QJX518" s="332"/>
      <c r="QJY518" s="332"/>
      <c r="QJZ518" s="332"/>
      <c r="QKA518" s="332"/>
      <c r="QKB518" s="332"/>
      <c r="QKC518" s="332"/>
      <c r="QKD518" s="332"/>
      <c r="QKE518" s="332"/>
      <c r="QKF518" s="332"/>
      <c r="QKG518" s="332"/>
      <c r="QKH518" s="332"/>
      <c r="QKI518" s="332"/>
      <c r="QKJ518" s="332"/>
      <c r="QKK518" s="332"/>
      <c r="QKL518" s="332"/>
      <c r="QKM518" s="332"/>
      <c r="QKN518" s="332"/>
      <c r="QKO518" s="332"/>
      <c r="QKP518" s="332"/>
      <c r="QKQ518" s="332"/>
      <c r="QKR518" s="332"/>
      <c r="QKS518" s="332"/>
      <c r="QKT518" s="332"/>
      <c r="QKU518" s="332"/>
      <c r="QKV518" s="332"/>
      <c r="QKW518" s="332"/>
      <c r="QKX518" s="332"/>
      <c r="QKY518" s="332"/>
      <c r="QKZ518" s="332"/>
      <c r="QLA518" s="332"/>
      <c r="QLB518" s="332"/>
      <c r="QLC518" s="332"/>
      <c r="QLD518" s="332"/>
      <c r="QLE518" s="332"/>
      <c r="QLF518" s="332"/>
      <c r="QLG518" s="332"/>
      <c r="QLH518" s="332"/>
      <c r="QLI518" s="332"/>
      <c r="QLJ518" s="332"/>
      <c r="QLK518" s="332"/>
      <c r="QLL518" s="332"/>
      <c r="QLM518" s="332"/>
      <c r="QLN518" s="332"/>
      <c r="QLO518" s="332"/>
      <c r="QLP518" s="332"/>
      <c r="QLQ518" s="332"/>
      <c r="QLR518" s="332"/>
      <c r="QLS518" s="332"/>
      <c r="QLT518" s="332"/>
      <c r="QLU518" s="332"/>
      <c r="QLV518" s="332"/>
      <c r="QLW518" s="332"/>
      <c r="QLX518" s="332"/>
      <c r="QLY518" s="332"/>
      <c r="QLZ518" s="332"/>
      <c r="QMA518" s="332"/>
      <c r="QMB518" s="332"/>
      <c r="QMC518" s="332"/>
      <c r="QMD518" s="332"/>
      <c r="QME518" s="332"/>
      <c r="QMF518" s="332"/>
      <c r="QMG518" s="332"/>
      <c r="QMH518" s="332"/>
      <c r="QMI518" s="332"/>
      <c r="QMJ518" s="332"/>
      <c r="QMK518" s="332"/>
      <c r="QML518" s="332"/>
      <c r="QMM518" s="332"/>
      <c r="QMN518" s="332"/>
      <c r="QMO518" s="332"/>
      <c r="QMP518" s="332"/>
      <c r="QMQ518" s="332"/>
      <c r="QMR518" s="332"/>
      <c r="QMS518" s="332"/>
      <c r="QMT518" s="332"/>
      <c r="QMU518" s="332"/>
      <c r="QMV518" s="332"/>
      <c r="QMW518" s="332"/>
      <c r="QMX518" s="332"/>
      <c r="QMY518" s="332"/>
      <c r="QMZ518" s="332"/>
      <c r="QNA518" s="332"/>
      <c r="QNB518" s="332"/>
      <c r="QNC518" s="332"/>
      <c r="QND518" s="332"/>
      <c r="QNE518" s="332"/>
      <c r="QNF518" s="332"/>
      <c r="QNG518" s="332"/>
      <c r="QNH518" s="332"/>
      <c r="QNI518" s="332"/>
      <c r="QNJ518" s="332"/>
      <c r="QNK518" s="332"/>
      <c r="QNL518" s="332"/>
      <c r="QNM518" s="332"/>
      <c r="QNN518" s="332"/>
      <c r="QNO518" s="332"/>
      <c r="QNP518" s="332"/>
      <c r="QNQ518" s="332"/>
      <c r="QNR518" s="332"/>
      <c r="QNS518" s="332"/>
      <c r="QNT518" s="332"/>
      <c r="QNU518" s="332"/>
      <c r="QNV518" s="332"/>
      <c r="QNW518" s="332"/>
      <c r="QNX518" s="332"/>
      <c r="QNY518" s="332"/>
      <c r="QNZ518" s="332"/>
      <c r="QOA518" s="332"/>
      <c r="QOB518" s="332"/>
      <c r="QOC518" s="332"/>
      <c r="QOD518" s="332"/>
      <c r="QOE518" s="332"/>
      <c r="QOF518" s="332"/>
      <c r="QOG518" s="332"/>
      <c r="QOH518" s="332"/>
      <c r="QOI518" s="332"/>
      <c r="QOJ518" s="332"/>
      <c r="QOK518" s="332"/>
      <c r="QOL518" s="332"/>
      <c r="QOM518" s="332"/>
      <c r="QON518" s="332"/>
      <c r="QOO518" s="332"/>
      <c r="QOP518" s="332"/>
      <c r="QOQ518" s="332"/>
      <c r="QOR518" s="332"/>
      <c r="QOS518" s="332"/>
      <c r="QOT518" s="332"/>
      <c r="QOU518" s="332"/>
      <c r="QOV518" s="332"/>
      <c r="QOW518" s="332"/>
      <c r="QOX518" s="332"/>
      <c r="QOY518" s="332"/>
      <c r="QOZ518" s="332"/>
      <c r="QPA518" s="332"/>
      <c r="QPB518" s="332"/>
      <c r="QPC518" s="332"/>
      <c r="QPD518" s="332"/>
      <c r="QPE518" s="332"/>
      <c r="QPF518" s="332"/>
      <c r="QPG518" s="332"/>
      <c r="QPH518" s="332"/>
      <c r="QPI518" s="332"/>
      <c r="QPJ518" s="332"/>
      <c r="QPK518" s="332"/>
      <c r="QPL518" s="332"/>
      <c r="QPM518" s="332"/>
      <c r="QPN518" s="332"/>
      <c r="QPO518" s="332"/>
      <c r="QPP518" s="332"/>
      <c r="QPQ518" s="332"/>
      <c r="QPR518" s="332"/>
      <c r="QPS518" s="332"/>
      <c r="QPT518" s="332"/>
      <c r="QPU518" s="332"/>
      <c r="QPV518" s="332"/>
      <c r="QPW518" s="332"/>
      <c r="QPX518" s="332"/>
      <c r="QPY518" s="332"/>
      <c r="QPZ518" s="332"/>
      <c r="QQA518" s="332"/>
      <c r="QQB518" s="332"/>
      <c r="QQC518" s="332"/>
      <c r="QQD518" s="332"/>
      <c r="QQE518" s="332"/>
      <c r="QQF518" s="332"/>
      <c r="QQG518" s="332"/>
      <c r="QQH518" s="332"/>
      <c r="QQI518" s="332"/>
      <c r="QQJ518" s="332"/>
      <c r="QQK518" s="332"/>
      <c r="QQL518" s="332"/>
      <c r="QQM518" s="332"/>
      <c r="QQN518" s="332"/>
      <c r="QQO518" s="332"/>
      <c r="QQP518" s="332"/>
      <c r="QQQ518" s="332"/>
      <c r="QQR518" s="332"/>
      <c r="QQS518" s="332"/>
      <c r="QQT518" s="332"/>
      <c r="QQU518" s="332"/>
      <c r="QQV518" s="332"/>
      <c r="QQW518" s="332"/>
      <c r="QQX518" s="332"/>
      <c r="QQY518" s="332"/>
      <c r="QQZ518" s="332"/>
      <c r="QRA518" s="332"/>
      <c r="QRB518" s="332"/>
      <c r="QRC518" s="332"/>
      <c r="QRD518" s="332"/>
      <c r="QRE518" s="332"/>
      <c r="QRF518" s="332"/>
      <c r="QRG518" s="332"/>
      <c r="QRH518" s="332"/>
      <c r="QRI518" s="332"/>
      <c r="QRJ518" s="332"/>
      <c r="QRK518" s="332"/>
      <c r="QRL518" s="332"/>
      <c r="QRM518" s="332"/>
      <c r="QRN518" s="332"/>
      <c r="QRO518" s="332"/>
      <c r="QRP518" s="332"/>
      <c r="QRQ518" s="332"/>
      <c r="QRR518" s="332"/>
      <c r="QRS518" s="332"/>
      <c r="QRT518" s="332"/>
      <c r="QRU518" s="332"/>
      <c r="QRV518" s="332"/>
      <c r="QRW518" s="332"/>
      <c r="QRX518" s="332"/>
      <c r="QRY518" s="332"/>
      <c r="QRZ518" s="332"/>
      <c r="QSA518" s="332"/>
      <c r="QSB518" s="332"/>
      <c r="QSC518" s="332"/>
      <c r="QSD518" s="332"/>
      <c r="QSE518" s="332"/>
      <c r="QSF518" s="332"/>
      <c r="QSG518" s="332"/>
      <c r="QSH518" s="332"/>
      <c r="QSI518" s="332"/>
      <c r="QSJ518" s="332"/>
      <c r="QSK518" s="332"/>
      <c r="QSL518" s="332"/>
      <c r="QSM518" s="332"/>
      <c r="QSN518" s="332"/>
      <c r="QSO518" s="332"/>
      <c r="QSP518" s="332"/>
      <c r="QSQ518" s="332"/>
      <c r="QSR518" s="332"/>
      <c r="QSS518" s="332"/>
      <c r="QST518" s="332"/>
      <c r="QSU518" s="332"/>
      <c r="QSV518" s="332"/>
      <c r="QSW518" s="332"/>
      <c r="QSX518" s="332"/>
      <c r="QSY518" s="332"/>
      <c r="QSZ518" s="332"/>
      <c r="QTA518" s="332"/>
      <c r="QTB518" s="332"/>
      <c r="QTC518" s="332"/>
      <c r="QTD518" s="332"/>
      <c r="QTE518" s="332"/>
      <c r="QTF518" s="332"/>
      <c r="QTG518" s="332"/>
      <c r="QTH518" s="332"/>
      <c r="QTI518" s="332"/>
      <c r="QTJ518" s="332"/>
      <c r="QTK518" s="332"/>
      <c r="QTL518" s="332"/>
      <c r="QTM518" s="332"/>
      <c r="QTN518" s="332"/>
      <c r="QTO518" s="332"/>
      <c r="QTP518" s="332"/>
      <c r="QTQ518" s="332"/>
      <c r="QTR518" s="332"/>
      <c r="QTS518" s="332"/>
      <c r="QTT518" s="332"/>
      <c r="QTU518" s="332"/>
      <c r="QTV518" s="332"/>
      <c r="QTW518" s="332"/>
      <c r="QTX518" s="332"/>
      <c r="QTY518" s="332"/>
      <c r="QTZ518" s="332"/>
      <c r="QUA518" s="332"/>
      <c r="QUB518" s="332"/>
      <c r="QUC518" s="332"/>
      <c r="QUD518" s="332"/>
      <c r="QUE518" s="332"/>
      <c r="QUF518" s="332"/>
      <c r="QUG518" s="332"/>
      <c r="QUH518" s="332"/>
      <c r="QUI518" s="332"/>
      <c r="QUJ518" s="332"/>
      <c r="QUK518" s="332"/>
      <c r="QUL518" s="332"/>
      <c r="QUM518" s="332"/>
      <c r="QUN518" s="332"/>
      <c r="QUO518" s="332"/>
      <c r="QUP518" s="332"/>
      <c r="QUQ518" s="332"/>
      <c r="QUR518" s="332"/>
      <c r="QUS518" s="332"/>
      <c r="QUT518" s="332"/>
      <c r="QUU518" s="332"/>
      <c r="QUV518" s="332"/>
      <c r="QUW518" s="332"/>
      <c r="QUX518" s="332"/>
      <c r="QUY518" s="332"/>
      <c r="QUZ518" s="332"/>
      <c r="QVA518" s="332"/>
      <c r="QVB518" s="332"/>
      <c r="QVC518" s="332"/>
      <c r="QVD518" s="332"/>
      <c r="QVE518" s="332"/>
      <c r="QVF518" s="332"/>
      <c r="QVG518" s="332"/>
      <c r="QVH518" s="332"/>
      <c r="QVI518" s="332"/>
      <c r="QVJ518" s="332"/>
      <c r="QVK518" s="332"/>
      <c r="QVL518" s="332"/>
      <c r="QVM518" s="332"/>
      <c r="QVN518" s="332"/>
      <c r="QVO518" s="332"/>
      <c r="QVP518" s="332"/>
      <c r="QVQ518" s="332"/>
      <c r="QVR518" s="332"/>
      <c r="QVS518" s="332"/>
      <c r="QVT518" s="332"/>
      <c r="QVU518" s="332"/>
      <c r="QVV518" s="332"/>
      <c r="QVW518" s="332"/>
      <c r="QVX518" s="332"/>
      <c r="QVY518" s="332"/>
      <c r="QVZ518" s="332"/>
      <c r="QWA518" s="332"/>
      <c r="QWB518" s="332"/>
      <c r="QWC518" s="332"/>
      <c r="QWD518" s="332"/>
      <c r="QWE518" s="332"/>
      <c r="QWF518" s="332"/>
      <c r="QWG518" s="332"/>
      <c r="QWH518" s="332"/>
      <c r="QWI518" s="332"/>
      <c r="QWJ518" s="332"/>
      <c r="QWK518" s="332"/>
      <c r="QWL518" s="332"/>
      <c r="QWM518" s="332"/>
      <c r="QWN518" s="332"/>
      <c r="QWO518" s="332"/>
      <c r="QWP518" s="332"/>
      <c r="QWQ518" s="332"/>
      <c r="QWR518" s="332"/>
      <c r="QWS518" s="332"/>
      <c r="QWT518" s="332"/>
      <c r="QWU518" s="332"/>
      <c r="QWV518" s="332"/>
      <c r="QWW518" s="332"/>
      <c r="QWX518" s="332"/>
      <c r="QWY518" s="332"/>
      <c r="QWZ518" s="332"/>
      <c r="QXA518" s="332"/>
      <c r="QXB518" s="332"/>
      <c r="QXC518" s="332"/>
      <c r="QXD518" s="332"/>
      <c r="QXE518" s="332"/>
      <c r="QXF518" s="332"/>
      <c r="QXG518" s="332"/>
      <c r="QXH518" s="332"/>
      <c r="QXI518" s="332"/>
      <c r="QXJ518" s="332"/>
      <c r="QXK518" s="332"/>
      <c r="QXL518" s="332"/>
      <c r="QXM518" s="332"/>
      <c r="QXN518" s="332"/>
      <c r="QXO518" s="332"/>
      <c r="QXP518" s="332"/>
      <c r="QXQ518" s="332"/>
      <c r="QXR518" s="332"/>
      <c r="QXS518" s="332"/>
      <c r="QXT518" s="332"/>
      <c r="QXU518" s="332"/>
      <c r="QXV518" s="332"/>
      <c r="QXW518" s="332"/>
      <c r="QXX518" s="332"/>
      <c r="QXY518" s="332"/>
      <c r="QXZ518" s="332"/>
      <c r="QYA518" s="332"/>
      <c r="QYB518" s="332"/>
      <c r="QYC518" s="332"/>
      <c r="QYD518" s="332"/>
      <c r="QYE518" s="332"/>
      <c r="QYF518" s="332"/>
      <c r="QYG518" s="332"/>
      <c r="QYH518" s="332"/>
      <c r="QYI518" s="332"/>
      <c r="QYJ518" s="332"/>
      <c r="QYK518" s="332"/>
      <c r="QYL518" s="332"/>
      <c r="QYM518" s="332"/>
      <c r="QYN518" s="332"/>
      <c r="QYO518" s="332"/>
      <c r="QYP518" s="332"/>
      <c r="QYQ518" s="332"/>
      <c r="QYR518" s="332"/>
      <c r="QYS518" s="332"/>
      <c r="QYT518" s="332"/>
      <c r="QYU518" s="332"/>
      <c r="QYV518" s="332"/>
      <c r="QYW518" s="332"/>
      <c r="QYX518" s="332"/>
      <c r="QYY518" s="332"/>
      <c r="QYZ518" s="332"/>
      <c r="QZA518" s="332"/>
      <c r="QZB518" s="332"/>
      <c r="QZC518" s="332"/>
      <c r="QZD518" s="332"/>
      <c r="QZE518" s="332"/>
      <c r="QZF518" s="332"/>
      <c r="QZG518" s="332"/>
      <c r="QZH518" s="332"/>
      <c r="QZI518" s="332"/>
      <c r="QZJ518" s="332"/>
      <c r="QZK518" s="332"/>
      <c r="QZL518" s="332"/>
      <c r="QZM518" s="332"/>
      <c r="QZN518" s="332"/>
      <c r="QZO518" s="332"/>
      <c r="QZP518" s="332"/>
      <c r="QZQ518" s="332"/>
      <c r="QZR518" s="332"/>
      <c r="QZS518" s="332"/>
      <c r="QZT518" s="332"/>
      <c r="QZU518" s="332"/>
      <c r="QZV518" s="332"/>
      <c r="QZW518" s="332"/>
      <c r="QZX518" s="332"/>
      <c r="QZY518" s="332"/>
      <c r="QZZ518" s="332"/>
      <c r="RAA518" s="332"/>
      <c r="RAB518" s="332"/>
      <c r="RAC518" s="332"/>
      <c r="RAD518" s="332"/>
      <c r="RAE518" s="332"/>
      <c r="RAF518" s="332"/>
      <c r="RAG518" s="332"/>
      <c r="RAH518" s="332"/>
      <c r="RAI518" s="332"/>
      <c r="RAJ518" s="332"/>
      <c r="RAK518" s="332"/>
      <c r="RAL518" s="332"/>
      <c r="RAM518" s="332"/>
      <c r="RAN518" s="332"/>
      <c r="RAO518" s="332"/>
      <c r="RAP518" s="332"/>
      <c r="RAQ518" s="332"/>
      <c r="RAR518" s="332"/>
      <c r="RAS518" s="332"/>
      <c r="RAT518" s="332"/>
      <c r="RAU518" s="332"/>
      <c r="RAV518" s="332"/>
      <c r="RAW518" s="332"/>
      <c r="RAX518" s="332"/>
      <c r="RAY518" s="332"/>
      <c r="RAZ518" s="332"/>
      <c r="RBA518" s="332"/>
      <c r="RBB518" s="332"/>
      <c r="RBC518" s="332"/>
      <c r="RBD518" s="332"/>
      <c r="RBE518" s="332"/>
      <c r="RBF518" s="332"/>
      <c r="RBG518" s="332"/>
      <c r="RBH518" s="332"/>
      <c r="RBI518" s="332"/>
      <c r="RBJ518" s="332"/>
      <c r="RBK518" s="332"/>
      <c r="RBL518" s="332"/>
      <c r="RBM518" s="332"/>
      <c r="RBN518" s="332"/>
      <c r="RBO518" s="332"/>
      <c r="RBP518" s="332"/>
      <c r="RBQ518" s="332"/>
      <c r="RBR518" s="332"/>
      <c r="RBS518" s="332"/>
      <c r="RBT518" s="332"/>
      <c r="RBU518" s="332"/>
      <c r="RBV518" s="332"/>
      <c r="RBW518" s="332"/>
      <c r="RBX518" s="332"/>
      <c r="RBY518" s="332"/>
      <c r="RBZ518" s="332"/>
      <c r="RCA518" s="332"/>
      <c r="RCB518" s="332"/>
      <c r="RCC518" s="332"/>
      <c r="RCD518" s="332"/>
      <c r="RCE518" s="332"/>
      <c r="RCF518" s="332"/>
      <c r="RCG518" s="332"/>
      <c r="RCH518" s="332"/>
      <c r="RCI518" s="332"/>
      <c r="RCJ518" s="332"/>
      <c r="RCK518" s="332"/>
      <c r="RCL518" s="332"/>
      <c r="RCM518" s="332"/>
      <c r="RCN518" s="332"/>
      <c r="RCO518" s="332"/>
      <c r="RCP518" s="332"/>
      <c r="RCQ518" s="332"/>
      <c r="RCR518" s="332"/>
      <c r="RCS518" s="332"/>
      <c r="RCT518" s="332"/>
      <c r="RCU518" s="332"/>
      <c r="RCV518" s="332"/>
      <c r="RCW518" s="332"/>
      <c r="RCX518" s="332"/>
      <c r="RCY518" s="332"/>
      <c r="RCZ518" s="332"/>
      <c r="RDA518" s="332"/>
      <c r="RDB518" s="332"/>
      <c r="RDC518" s="332"/>
      <c r="RDD518" s="332"/>
      <c r="RDE518" s="332"/>
      <c r="RDF518" s="332"/>
      <c r="RDG518" s="332"/>
      <c r="RDH518" s="332"/>
      <c r="RDI518" s="332"/>
      <c r="RDJ518" s="332"/>
      <c r="RDK518" s="332"/>
      <c r="RDL518" s="332"/>
      <c r="RDM518" s="332"/>
      <c r="RDN518" s="332"/>
      <c r="RDO518" s="332"/>
      <c r="RDP518" s="332"/>
      <c r="RDQ518" s="332"/>
      <c r="RDR518" s="332"/>
      <c r="RDS518" s="332"/>
      <c r="RDT518" s="332"/>
      <c r="RDU518" s="332"/>
      <c r="RDV518" s="332"/>
      <c r="RDW518" s="332"/>
      <c r="RDX518" s="332"/>
      <c r="RDY518" s="332"/>
      <c r="RDZ518" s="332"/>
      <c r="REA518" s="332"/>
      <c r="REB518" s="332"/>
      <c r="REC518" s="332"/>
      <c r="RED518" s="332"/>
      <c r="REE518" s="332"/>
      <c r="REF518" s="332"/>
      <c r="REG518" s="332"/>
      <c r="REH518" s="332"/>
      <c r="REI518" s="332"/>
      <c r="REJ518" s="332"/>
      <c r="REK518" s="332"/>
      <c r="REL518" s="332"/>
      <c r="REM518" s="332"/>
      <c r="REN518" s="332"/>
      <c r="REO518" s="332"/>
      <c r="REP518" s="332"/>
      <c r="REQ518" s="332"/>
      <c r="RER518" s="332"/>
      <c r="RES518" s="332"/>
      <c r="RET518" s="332"/>
      <c r="REU518" s="332"/>
      <c r="REV518" s="332"/>
      <c r="REW518" s="332"/>
      <c r="REX518" s="332"/>
      <c r="REY518" s="332"/>
      <c r="REZ518" s="332"/>
      <c r="RFA518" s="332"/>
      <c r="RFB518" s="332"/>
      <c r="RFC518" s="332"/>
      <c r="RFD518" s="332"/>
      <c r="RFE518" s="332"/>
      <c r="RFF518" s="332"/>
      <c r="RFG518" s="332"/>
      <c r="RFH518" s="332"/>
      <c r="RFI518" s="332"/>
      <c r="RFJ518" s="332"/>
      <c r="RFK518" s="332"/>
      <c r="RFL518" s="332"/>
      <c r="RFM518" s="332"/>
      <c r="RFN518" s="332"/>
      <c r="RFO518" s="332"/>
      <c r="RFP518" s="332"/>
      <c r="RFQ518" s="332"/>
      <c r="RFR518" s="332"/>
      <c r="RFS518" s="332"/>
      <c r="RFT518" s="332"/>
      <c r="RFU518" s="332"/>
      <c r="RFV518" s="332"/>
      <c r="RFW518" s="332"/>
      <c r="RFX518" s="332"/>
      <c r="RFY518" s="332"/>
      <c r="RFZ518" s="332"/>
      <c r="RGA518" s="332"/>
      <c r="RGB518" s="332"/>
      <c r="RGC518" s="332"/>
      <c r="RGD518" s="332"/>
      <c r="RGE518" s="332"/>
      <c r="RGF518" s="332"/>
      <c r="RGG518" s="332"/>
      <c r="RGH518" s="332"/>
      <c r="RGI518" s="332"/>
      <c r="RGJ518" s="332"/>
      <c r="RGK518" s="332"/>
      <c r="RGL518" s="332"/>
      <c r="RGM518" s="332"/>
      <c r="RGN518" s="332"/>
      <c r="RGO518" s="332"/>
      <c r="RGP518" s="332"/>
      <c r="RGQ518" s="332"/>
      <c r="RGR518" s="332"/>
      <c r="RGS518" s="332"/>
      <c r="RGT518" s="332"/>
      <c r="RGU518" s="332"/>
      <c r="RGV518" s="332"/>
      <c r="RGW518" s="332"/>
      <c r="RGX518" s="332"/>
      <c r="RGY518" s="332"/>
      <c r="RGZ518" s="332"/>
      <c r="RHA518" s="332"/>
      <c r="RHB518" s="332"/>
      <c r="RHC518" s="332"/>
      <c r="RHD518" s="332"/>
      <c r="RHE518" s="332"/>
      <c r="RHF518" s="332"/>
      <c r="RHG518" s="332"/>
      <c r="RHH518" s="332"/>
      <c r="RHI518" s="332"/>
      <c r="RHJ518" s="332"/>
      <c r="RHK518" s="332"/>
      <c r="RHL518" s="332"/>
      <c r="RHM518" s="332"/>
      <c r="RHN518" s="332"/>
      <c r="RHO518" s="332"/>
      <c r="RHP518" s="332"/>
      <c r="RHQ518" s="332"/>
      <c r="RHR518" s="332"/>
      <c r="RHS518" s="332"/>
      <c r="RHT518" s="332"/>
      <c r="RHU518" s="332"/>
      <c r="RHV518" s="332"/>
      <c r="RHW518" s="332"/>
      <c r="RHX518" s="332"/>
      <c r="RHY518" s="332"/>
      <c r="RHZ518" s="332"/>
      <c r="RIA518" s="332"/>
      <c r="RIB518" s="332"/>
      <c r="RIC518" s="332"/>
      <c r="RID518" s="332"/>
      <c r="RIE518" s="332"/>
      <c r="RIF518" s="332"/>
      <c r="RIG518" s="332"/>
      <c r="RIH518" s="332"/>
      <c r="RII518" s="332"/>
      <c r="RIJ518" s="332"/>
      <c r="RIK518" s="332"/>
      <c r="RIL518" s="332"/>
      <c r="RIM518" s="332"/>
      <c r="RIN518" s="332"/>
      <c r="RIO518" s="332"/>
      <c r="RIP518" s="332"/>
      <c r="RIQ518" s="332"/>
      <c r="RIR518" s="332"/>
      <c r="RIS518" s="332"/>
      <c r="RIT518" s="332"/>
      <c r="RIU518" s="332"/>
      <c r="RIV518" s="332"/>
      <c r="RIW518" s="332"/>
      <c r="RIX518" s="332"/>
      <c r="RIY518" s="332"/>
      <c r="RIZ518" s="332"/>
      <c r="RJA518" s="332"/>
      <c r="RJB518" s="332"/>
      <c r="RJC518" s="332"/>
      <c r="RJD518" s="332"/>
      <c r="RJE518" s="332"/>
      <c r="RJF518" s="332"/>
      <c r="RJG518" s="332"/>
      <c r="RJH518" s="332"/>
      <c r="RJI518" s="332"/>
      <c r="RJJ518" s="332"/>
      <c r="RJK518" s="332"/>
      <c r="RJL518" s="332"/>
      <c r="RJM518" s="332"/>
      <c r="RJN518" s="332"/>
      <c r="RJO518" s="332"/>
      <c r="RJP518" s="332"/>
      <c r="RJQ518" s="332"/>
      <c r="RJR518" s="332"/>
      <c r="RJS518" s="332"/>
      <c r="RJT518" s="332"/>
      <c r="RJU518" s="332"/>
      <c r="RJV518" s="332"/>
      <c r="RJW518" s="332"/>
      <c r="RJX518" s="332"/>
      <c r="RJY518" s="332"/>
      <c r="RJZ518" s="332"/>
      <c r="RKA518" s="332"/>
      <c r="RKB518" s="332"/>
      <c r="RKC518" s="332"/>
      <c r="RKD518" s="332"/>
      <c r="RKE518" s="332"/>
      <c r="RKF518" s="332"/>
      <c r="RKG518" s="332"/>
      <c r="RKH518" s="332"/>
      <c r="RKI518" s="332"/>
      <c r="RKJ518" s="332"/>
      <c r="RKK518" s="332"/>
      <c r="RKL518" s="332"/>
      <c r="RKM518" s="332"/>
      <c r="RKN518" s="332"/>
      <c r="RKO518" s="332"/>
      <c r="RKP518" s="332"/>
      <c r="RKQ518" s="332"/>
      <c r="RKR518" s="332"/>
      <c r="RKS518" s="332"/>
      <c r="RKT518" s="332"/>
      <c r="RKU518" s="332"/>
      <c r="RKV518" s="332"/>
      <c r="RKW518" s="332"/>
      <c r="RKX518" s="332"/>
      <c r="RKY518" s="332"/>
      <c r="RKZ518" s="332"/>
      <c r="RLA518" s="332"/>
      <c r="RLB518" s="332"/>
      <c r="RLC518" s="332"/>
      <c r="RLD518" s="332"/>
      <c r="RLE518" s="332"/>
      <c r="RLF518" s="332"/>
      <c r="RLG518" s="332"/>
      <c r="RLH518" s="332"/>
      <c r="RLI518" s="332"/>
      <c r="RLJ518" s="332"/>
      <c r="RLK518" s="332"/>
      <c r="RLL518" s="332"/>
      <c r="RLM518" s="332"/>
      <c r="RLN518" s="332"/>
      <c r="RLO518" s="332"/>
      <c r="RLP518" s="332"/>
      <c r="RLQ518" s="332"/>
      <c r="RLR518" s="332"/>
      <c r="RLS518" s="332"/>
      <c r="RLT518" s="332"/>
      <c r="RLU518" s="332"/>
      <c r="RLV518" s="332"/>
      <c r="RLW518" s="332"/>
      <c r="RLX518" s="332"/>
      <c r="RLY518" s="332"/>
      <c r="RLZ518" s="332"/>
      <c r="RMA518" s="332"/>
      <c r="RMB518" s="332"/>
      <c r="RMC518" s="332"/>
      <c r="RMD518" s="332"/>
      <c r="RME518" s="332"/>
      <c r="RMF518" s="332"/>
      <c r="RMG518" s="332"/>
      <c r="RMH518" s="332"/>
      <c r="RMI518" s="332"/>
      <c r="RMJ518" s="332"/>
      <c r="RMK518" s="332"/>
      <c r="RML518" s="332"/>
      <c r="RMM518" s="332"/>
      <c r="RMN518" s="332"/>
      <c r="RMO518" s="332"/>
      <c r="RMP518" s="332"/>
      <c r="RMQ518" s="332"/>
      <c r="RMR518" s="332"/>
      <c r="RMS518" s="332"/>
      <c r="RMT518" s="332"/>
      <c r="RMU518" s="332"/>
      <c r="RMV518" s="332"/>
      <c r="RMW518" s="332"/>
      <c r="RMX518" s="332"/>
      <c r="RMY518" s="332"/>
      <c r="RMZ518" s="332"/>
      <c r="RNA518" s="332"/>
      <c r="RNB518" s="332"/>
      <c r="RNC518" s="332"/>
      <c r="RND518" s="332"/>
      <c r="RNE518" s="332"/>
      <c r="RNF518" s="332"/>
      <c r="RNG518" s="332"/>
      <c r="RNH518" s="332"/>
      <c r="RNI518" s="332"/>
      <c r="RNJ518" s="332"/>
      <c r="RNK518" s="332"/>
      <c r="RNL518" s="332"/>
      <c r="RNM518" s="332"/>
      <c r="RNN518" s="332"/>
      <c r="RNO518" s="332"/>
      <c r="RNP518" s="332"/>
      <c r="RNQ518" s="332"/>
      <c r="RNR518" s="332"/>
      <c r="RNS518" s="332"/>
      <c r="RNT518" s="332"/>
      <c r="RNU518" s="332"/>
      <c r="RNV518" s="332"/>
      <c r="RNW518" s="332"/>
      <c r="RNX518" s="332"/>
      <c r="RNY518" s="332"/>
      <c r="RNZ518" s="332"/>
      <c r="ROA518" s="332"/>
      <c r="ROB518" s="332"/>
      <c r="ROC518" s="332"/>
      <c r="ROD518" s="332"/>
      <c r="ROE518" s="332"/>
      <c r="ROF518" s="332"/>
      <c r="ROG518" s="332"/>
      <c r="ROH518" s="332"/>
      <c r="ROI518" s="332"/>
      <c r="ROJ518" s="332"/>
      <c r="ROK518" s="332"/>
      <c r="ROL518" s="332"/>
      <c r="ROM518" s="332"/>
      <c r="RON518" s="332"/>
      <c r="ROO518" s="332"/>
      <c r="ROP518" s="332"/>
      <c r="ROQ518" s="332"/>
      <c r="ROR518" s="332"/>
      <c r="ROS518" s="332"/>
      <c r="ROT518" s="332"/>
      <c r="ROU518" s="332"/>
      <c r="ROV518" s="332"/>
      <c r="ROW518" s="332"/>
      <c r="ROX518" s="332"/>
      <c r="ROY518" s="332"/>
      <c r="ROZ518" s="332"/>
      <c r="RPA518" s="332"/>
      <c r="RPB518" s="332"/>
      <c r="RPC518" s="332"/>
      <c r="RPD518" s="332"/>
      <c r="RPE518" s="332"/>
      <c r="RPF518" s="332"/>
      <c r="RPG518" s="332"/>
      <c r="RPH518" s="332"/>
      <c r="RPI518" s="332"/>
      <c r="RPJ518" s="332"/>
      <c r="RPK518" s="332"/>
      <c r="RPL518" s="332"/>
      <c r="RPM518" s="332"/>
      <c r="RPN518" s="332"/>
      <c r="RPO518" s="332"/>
      <c r="RPP518" s="332"/>
      <c r="RPQ518" s="332"/>
      <c r="RPR518" s="332"/>
      <c r="RPS518" s="332"/>
      <c r="RPT518" s="332"/>
      <c r="RPU518" s="332"/>
      <c r="RPV518" s="332"/>
      <c r="RPW518" s="332"/>
      <c r="RPX518" s="332"/>
      <c r="RPY518" s="332"/>
      <c r="RPZ518" s="332"/>
      <c r="RQA518" s="332"/>
      <c r="RQB518" s="332"/>
      <c r="RQC518" s="332"/>
      <c r="RQD518" s="332"/>
      <c r="RQE518" s="332"/>
      <c r="RQF518" s="332"/>
      <c r="RQG518" s="332"/>
      <c r="RQH518" s="332"/>
      <c r="RQI518" s="332"/>
      <c r="RQJ518" s="332"/>
      <c r="RQK518" s="332"/>
      <c r="RQL518" s="332"/>
      <c r="RQM518" s="332"/>
      <c r="RQN518" s="332"/>
      <c r="RQO518" s="332"/>
      <c r="RQP518" s="332"/>
      <c r="RQQ518" s="332"/>
      <c r="RQR518" s="332"/>
      <c r="RQS518" s="332"/>
      <c r="RQT518" s="332"/>
      <c r="RQU518" s="332"/>
      <c r="RQV518" s="332"/>
      <c r="RQW518" s="332"/>
      <c r="RQX518" s="332"/>
      <c r="RQY518" s="332"/>
      <c r="RQZ518" s="332"/>
      <c r="RRA518" s="332"/>
      <c r="RRB518" s="332"/>
      <c r="RRC518" s="332"/>
      <c r="RRD518" s="332"/>
      <c r="RRE518" s="332"/>
      <c r="RRF518" s="332"/>
      <c r="RRG518" s="332"/>
      <c r="RRH518" s="332"/>
      <c r="RRI518" s="332"/>
      <c r="RRJ518" s="332"/>
      <c r="RRK518" s="332"/>
      <c r="RRL518" s="332"/>
      <c r="RRM518" s="332"/>
      <c r="RRN518" s="332"/>
      <c r="RRO518" s="332"/>
      <c r="RRP518" s="332"/>
      <c r="RRQ518" s="332"/>
      <c r="RRR518" s="332"/>
      <c r="RRS518" s="332"/>
      <c r="RRT518" s="332"/>
      <c r="RRU518" s="332"/>
      <c r="RRV518" s="332"/>
      <c r="RRW518" s="332"/>
      <c r="RRX518" s="332"/>
      <c r="RRY518" s="332"/>
      <c r="RRZ518" s="332"/>
      <c r="RSA518" s="332"/>
      <c r="RSB518" s="332"/>
      <c r="RSC518" s="332"/>
      <c r="RSD518" s="332"/>
      <c r="RSE518" s="332"/>
      <c r="RSF518" s="332"/>
      <c r="RSG518" s="332"/>
      <c r="RSH518" s="332"/>
      <c r="RSI518" s="332"/>
      <c r="RSJ518" s="332"/>
      <c r="RSK518" s="332"/>
      <c r="RSL518" s="332"/>
      <c r="RSM518" s="332"/>
      <c r="RSN518" s="332"/>
      <c r="RSO518" s="332"/>
      <c r="RSP518" s="332"/>
      <c r="RSQ518" s="332"/>
      <c r="RSR518" s="332"/>
      <c r="RSS518" s="332"/>
      <c r="RST518" s="332"/>
      <c r="RSU518" s="332"/>
      <c r="RSV518" s="332"/>
      <c r="RSW518" s="332"/>
      <c r="RSX518" s="332"/>
      <c r="RSY518" s="332"/>
      <c r="RSZ518" s="332"/>
      <c r="RTA518" s="332"/>
      <c r="RTB518" s="332"/>
      <c r="RTC518" s="332"/>
      <c r="RTD518" s="332"/>
      <c r="RTE518" s="332"/>
      <c r="RTF518" s="332"/>
      <c r="RTG518" s="332"/>
      <c r="RTH518" s="332"/>
      <c r="RTI518" s="332"/>
      <c r="RTJ518" s="332"/>
      <c r="RTK518" s="332"/>
      <c r="RTL518" s="332"/>
      <c r="RTM518" s="332"/>
      <c r="RTN518" s="332"/>
      <c r="RTO518" s="332"/>
      <c r="RTP518" s="332"/>
      <c r="RTQ518" s="332"/>
      <c r="RTR518" s="332"/>
      <c r="RTS518" s="332"/>
      <c r="RTT518" s="332"/>
      <c r="RTU518" s="332"/>
      <c r="RTV518" s="332"/>
      <c r="RTW518" s="332"/>
      <c r="RTX518" s="332"/>
      <c r="RTY518" s="332"/>
      <c r="RTZ518" s="332"/>
      <c r="RUA518" s="332"/>
      <c r="RUB518" s="332"/>
      <c r="RUC518" s="332"/>
      <c r="RUD518" s="332"/>
      <c r="RUE518" s="332"/>
      <c r="RUF518" s="332"/>
      <c r="RUG518" s="332"/>
      <c r="RUH518" s="332"/>
      <c r="RUI518" s="332"/>
      <c r="RUJ518" s="332"/>
      <c r="RUK518" s="332"/>
      <c r="RUL518" s="332"/>
      <c r="RUM518" s="332"/>
      <c r="RUN518" s="332"/>
      <c r="RUO518" s="332"/>
      <c r="RUP518" s="332"/>
      <c r="RUQ518" s="332"/>
      <c r="RUR518" s="332"/>
      <c r="RUS518" s="332"/>
      <c r="RUT518" s="332"/>
      <c r="RUU518" s="332"/>
      <c r="RUV518" s="332"/>
      <c r="RUW518" s="332"/>
      <c r="RUX518" s="332"/>
      <c r="RUY518" s="332"/>
      <c r="RUZ518" s="332"/>
      <c r="RVA518" s="332"/>
      <c r="RVB518" s="332"/>
      <c r="RVC518" s="332"/>
      <c r="RVD518" s="332"/>
      <c r="RVE518" s="332"/>
      <c r="RVF518" s="332"/>
      <c r="RVG518" s="332"/>
      <c r="RVH518" s="332"/>
      <c r="RVI518" s="332"/>
      <c r="RVJ518" s="332"/>
      <c r="RVK518" s="332"/>
      <c r="RVL518" s="332"/>
      <c r="RVM518" s="332"/>
      <c r="RVN518" s="332"/>
      <c r="RVO518" s="332"/>
      <c r="RVP518" s="332"/>
      <c r="RVQ518" s="332"/>
      <c r="RVR518" s="332"/>
      <c r="RVS518" s="332"/>
      <c r="RVT518" s="332"/>
      <c r="RVU518" s="332"/>
      <c r="RVV518" s="332"/>
      <c r="RVW518" s="332"/>
      <c r="RVX518" s="332"/>
      <c r="RVY518" s="332"/>
      <c r="RVZ518" s="332"/>
      <c r="RWA518" s="332"/>
      <c r="RWB518" s="332"/>
      <c r="RWC518" s="332"/>
      <c r="RWD518" s="332"/>
      <c r="RWE518" s="332"/>
      <c r="RWF518" s="332"/>
      <c r="RWG518" s="332"/>
      <c r="RWH518" s="332"/>
      <c r="RWI518" s="332"/>
      <c r="RWJ518" s="332"/>
      <c r="RWK518" s="332"/>
      <c r="RWL518" s="332"/>
      <c r="RWM518" s="332"/>
      <c r="RWN518" s="332"/>
      <c r="RWO518" s="332"/>
      <c r="RWP518" s="332"/>
      <c r="RWQ518" s="332"/>
      <c r="RWR518" s="332"/>
      <c r="RWS518" s="332"/>
      <c r="RWT518" s="332"/>
      <c r="RWU518" s="332"/>
      <c r="RWV518" s="332"/>
      <c r="RWW518" s="332"/>
      <c r="RWX518" s="332"/>
      <c r="RWY518" s="332"/>
      <c r="RWZ518" s="332"/>
      <c r="RXA518" s="332"/>
      <c r="RXB518" s="332"/>
      <c r="RXC518" s="332"/>
      <c r="RXD518" s="332"/>
      <c r="RXE518" s="332"/>
      <c r="RXF518" s="332"/>
      <c r="RXG518" s="332"/>
      <c r="RXH518" s="332"/>
      <c r="RXI518" s="332"/>
      <c r="RXJ518" s="332"/>
      <c r="RXK518" s="332"/>
      <c r="RXL518" s="332"/>
      <c r="RXM518" s="332"/>
      <c r="RXN518" s="332"/>
      <c r="RXO518" s="332"/>
      <c r="RXP518" s="332"/>
      <c r="RXQ518" s="332"/>
      <c r="RXR518" s="332"/>
      <c r="RXS518" s="332"/>
      <c r="RXT518" s="332"/>
      <c r="RXU518" s="332"/>
      <c r="RXV518" s="332"/>
      <c r="RXW518" s="332"/>
      <c r="RXX518" s="332"/>
      <c r="RXY518" s="332"/>
      <c r="RXZ518" s="332"/>
      <c r="RYA518" s="332"/>
      <c r="RYB518" s="332"/>
      <c r="RYC518" s="332"/>
      <c r="RYD518" s="332"/>
      <c r="RYE518" s="332"/>
      <c r="RYF518" s="332"/>
      <c r="RYG518" s="332"/>
      <c r="RYH518" s="332"/>
      <c r="RYI518" s="332"/>
      <c r="RYJ518" s="332"/>
      <c r="RYK518" s="332"/>
      <c r="RYL518" s="332"/>
      <c r="RYM518" s="332"/>
      <c r="RYN518" s="332"/>
      <c r="RYO518" s="332"/>
      <c r="RYP518" s="332"/>
      <c r="RYQ518" s="332"/>
      <c r="RYR518" s="332"/>
      <c r="RYS518" s="332"/>
      <c r="RYT518" s="332"/>
      <c r="RYU518" s="332"/>
      <c r="RYV518" s="332"/>
      <c r="RYW518" s="332"/>
      <c r="RYX518" s="332"/>
      <c r="RYY518" s="332"/>
      <c r="RYZ518" s="332"/>
      <c r="RZA518" s="332"/>
      <c r="RZB518" s="332"/>
      <c r="RZC518" s="332"/>
      <c r="RZD518" s="332"/>
      <c r="RZE518" s="332"/>
      <c r="RZF518" s="332"/>
      <c r="RZG518" s="332"/>
      <c r="RZH518" s="332"/>
      <c r="RZI518" s="332"/>
      <c r="RZJ518" s="332"/>
      <c r="RZK518" s="332"/>
      <c r="RZL518" s="332"/>
      <c r="RZM518" s="332"/>
      <c r="RZN518" s="332"/>
      <c r="RZO518" s="332"/>
      <c r="RZP518" s="332"/>
      <c r="RZQ518" s="332"/>
      <c r="RZR518" s="332"/>
      <c r="RZS518" s="332"/>
      <c r="RZT518" s="332"/>
      <c r="RZU518" s="332"/>
      <c r="RZV518" s="332"/>
      <c r="RZW518" s="332"/>
      <c r="RZX518" s="332"/>
      <c r="RZY518" s="332"/>
      <c r="RZZ518" s="332"/>
      <c r="SAA518" s="332"/>
      <c r="SAB518" s="332"/>
      <c r="SAC518" s="332"/>
      <c r="SAD518" s="332"/>
      <c r="SAE518" s="332"/>
      <c r="SAF518" s="332"/>
      <c r="SAG518" s="332"/>
      <c r="SAH518" s="332"/>
      <c r="SAI518" s="332"/>
      <c r="SAJ518" s="332"/>
      <c r="SAK518" s="332"/>
      <c r="SAL518" s="332"/>
      <c r="SAM518" s="332"/>
      <c r="SAN518" s="332"/>
      <c r="SAO518" s="332"/>
      <c r="SAP518" s="332"/>
      <c r="SAQ518" s="332"/>
      <c r="SAR518" s="332"/>
      <c r="SAS518" s="332"/>
      <c r="SAT518" s="332"/>
      <c r="SAU518" s="332"/>
      <c r="SAV518" s="332"/>
      <c r="SAW518" s="332"/>
      <c r="SAX518" s="332"/>
      <c r="SAY518" s="332"/>
      <c r="SAZ518" s="332"/>
      <c r="SBA518" s="332"/>
      <c r="SBB518" s="332"/>
      <c r="SBC518" s="332"/>
      <c r="SBD518" s="332"/>
      <c r="SBE518" s="332"/>
      <c r="SBF518" s="332"/>
      <c r="SBG518" s="332"/>
      <c r="SBH518" s="332"/>
      <c r="SBI518" s="332"/>
      <c r="SBJ518" s="332"/>
      <c r="SBK518" s="332"/>
      <c r="SBL518" s="332"/>
      <c r="SBM518" s="332"/>
      <c r="SBN518" s="332"/>
      <c r="SBO518" s="332"/>
      <c r="SBP518" s="332"/>
      <c r="SBQ518" s="332"/>
      <c r="SBR518" s="332"/>
      <c r="SBS518" s="332"/>
      <c r="SBT518" s="332"/>
      <c r="SBU518" s="332"/>
      <c r="SBV518" s="332"/>
      <c r="SBW518" s="332"/>
      <c r="SBX518" s="332"/>
      <c r="SBY518" s="332"/>
      <c r="SBZ518" s="332"/>
      <c r="SCA518" s="332"/>
      <c r="SCB518" s="332"/>
      <c r="SCC518" s="332"/>
      <c r="SCD518" s="332"/>
      <c r="SCE518" s="332"/>
      <c r="SCF518" s="332"/>
      <c r="SCG518" s="332"/>
      <c r="SCH518" s="332"/>
      <c r="SCI518" s="332"/>
      <c r="SCJ518" s="332"/>
      <c r="SCK518" s="332"/>
      <c r="SCL518" s="332"/>
      <c r="SCM518" s="332"/>
      <c r="SCN518" s="332"/>
      <c r="SCO518" s="332"/>
      <c r="SCP518" s="332"/>
      <c r="SCQ518" s="332"/>
      <c r="SCR518" s="332"/>
      <c r="SCS518" s="332"/>
      <c r="SCT518" s="332"/>
      <c r="SCU518" s="332"/>
      <c r="SCV518" s="332"/>
      <c r="SCW518" s="332"/>
      <c r="SCX518" s="332"/>
      <c r="SCY518" s="332"/>
      <c r="SCZ518" s="332"/>
      <c r="SDA518" s="332"/>
      <c r="SDB518" s="332"/>
      <c r="SDC518" s="332"/>
      <c r="SDD518" s="332"/>
      <c r="SDE518" s="332"/>
      <c r="SDF518" s="332"/>
      <c r="SDG518" s="332"/>
      <c r="SDH518" s="332"/>
      <c r="SDI518" s="332"/>
      <c r="SDJ518" s="332"/>
      <c r="SDK518" s="332"/>
      <c r="SDL518" s="332"/>
      <c r="SDM518" s="332"/>
      <c r="SDN518" s="332"/>
      <c r="SDO518" s="332"/>
      <c r="SDP518" s="332"/>
      <c r="SDQ518" s="332"/>
      <c r="SDR518" s="332"/>
      <c r="SDS518" s="332"/>
      <c r="SDT518" s="332"/>
      <c r="SDU518" s="332"/>
      <c r="SDV518" s="332"/>
      <c r="SDW518" s="332"/>
      <c r="SDX518" s="332"/>
      <c r="SDY518" s="332"/>
      <c r="SDZ518" s="332"/>
      <c r="SEA518" s="332"/>
      <c r="SEB518" s="332"/>
      <c r="SEC518" s="332"/>
      <c r="SED518" s="332"/>
      <c r="SEE518" s="332"/>
      <c r="SEF518" s="332"/>
      <c r="SEG518" s="332"/>
      <c r="SEH518" s="332"/>
      <c r="SEI518" s="332"/>
      <c r="SEJ518" s="332"/>
      <c r="SEK518" s="332"/>
      <c r="SEL518" s="332"/>
      <c r="SEM518" s="332"/>
      <c r="SEN518" s="332"/>
      <c r="SEO518" s="332"/>
      <c r="SEP518" s="332"/>
      <c r="SEQ518" s="332"/>
      <c r="SER518" s="332"/>
      <c r="SES518" s="332"/>
      <c r="SET518" s="332"/>
      <c r="SEU518" s="332"/>
      <c r="SEV518" s="332"/>
      <c r="SEW518" s="332"/>
      <c r="SEX518" s="332"/>
      <c r="SEY518" s="332"/>
      <c r="SEZ518" s="332"/>
      <c r="SFA518" s="332"/>
      <c r="SFB518" s="332"/>
      <c r="SFC518" s="332"/>
      <c r="SFD518" s="332"/>
      <c r="SFE518" s="332"/>
      <c r="SFF518" s="332"/>
      <c r="SFG518" s="332"/>
      <c r="SFH518" s="332"/>
      <c r="SFI518" s="332"/>
      <c r="SFJ518" s="332"/>
      <c r="SFK518" s="332"/>
      <c r="SFL518" s="332"/>
      <c r="SFM518" s="332"/>
      <c r="SFN518" s="332"/>
      <c r="SFO518" s="332"/>
      <c r="SFP518" s="332"/>
      <c r="SFQ518" s="332"/>
      <c r="SFR518" s="332"/>
      <c r="SFS518" s="332"/>
      <c r="SFT518" s="332"/>
      <c r="SFU518" s="332"/>
      <c r="SFV518" s="332"/>
      <c r="SFW518" s="332"/>
      <c r="SFX518" s="332"/>
      <c r="SFY518" s="332"/>
      <c r="SFZ518" s="332"/>
      <c r="SGA518" s="332"/>
      <c r="SGB518" s="332"/>
      <c r="SGC518" s="332"/>
      <c r="SGD518" s="332"/>
      <c r="SGE518" s="332"/>
      <c r="SGF518" s="332"/>
      <c r="SGG518" s="332"/>
      <c r="SGH518" s="332"/>
      <c r="SGI518" s="332"/>
      <c r="SGJ518" s="332"/>
      <c r="SGK518" s="332"/>
      <c r="SGL518" s="332"/>
      <c r="SGM518" s="332"/>
      <c r="SGN518" s="332"/>
      <c r="SGO518" s="332"/>
      <c r="SGP518" s="332"/>
      <c r="SGQ518" s="332"/>
      <c r="SGR518" s="332"/>
      <c r="SGS518" s="332"/>
      <c r="SGT518" s="332"/>
      <c r="SGU518" s="332"/>
      <c r="SGV518" s="332"/>
      <c r="SGW518" s="332"/>
      <c r="SGX518" s="332"/>
      <c r="SGY518" s="332"/>
      <c r="SGZ518" s="332"/>
      <c r="SHA518" s="332"/>
      <c r="SHB518" s="332"/>
      <c r="SHC518" s="332"/>
      <c r="SHD518" s="332"/>
      <c r="SHE518" s="332"/>
      <c r="SHF518" s="332"/>
      <c r="SHG518" s="332"/>
      <c r="SHH518" s="332"/>
      <c r="SHI518" s="332"/>
      <c r="SHJ518" s="332"/>
      <c r="SHK518" s="332"/>
      <c r="SHL518" s="332"/>
      <c r="SHM518" s="332"/>
      <c r="SHN518" s="332"/>
      <c r="SHO518" s="332"/>
      <c r="SHP518" s="332"/>
      <c r="SHQ518" s="332"/>
      <c r="SHR518" s="332"/>
      <c r="SHS518" s="332"/>
      <c r="SHT518" s="332"/>
      <c r="SHU518" s="332"/>
      <c r="SHV518" s="332"/>
      <c r="SHW518" s="332"/>
      <c r="SHX518" s="332"/>
      <c r="SHY518" s="332"/>
      <c r="SHZ518" s="332"/>
      <c r="SIA518" s="332"/>
      <c r="SIB518" s="332"/>
      <c r="SIC518" s="332"/>
      <c r="SID518" s="332"/>
      <c r="SIE518" s="332"/>
      <c r="SIF518" s="332"/>
      <c r="SIG518" s="332"/>
      <c r="SIH518" s="332"/>
      <c r="SII518" s="332"/>
      <c r="SIJ518" s="332"/>
      <c r="SIK518" s="332"/>
      <c r="SIL518" s="332"/>
      <c r="SIM518" s="332"/>
      <c r="SIN518" s="332"/>
      <c r="SIO518" s="332"/>
      <c r="SIP518" s="332"/>
      <c r="SIQ518" s="332"/>
      <c r="SIR518" s="332"/>
      <c r="SIS518" s="332"/>
      <c r="SIT518" s="332"/>
      <c r="SIU518" s="332"/>
      <c r="SIV518" s="332"/>
      <c r="SIW518" s="332"/>
      <c r="SIX518" s="332"/>
      <c r="SIY518" s="332"/>
      <c r="SIZ518" s="332"/>
      <c r="SJA518" s="332"/>
      <c r="SJB518" s="332"/>
      <c r="SJC518" s="332"/>
      <c r="SJD518" s="332"/>
      <c r="SJE518" s="332"/>
      <c r="SJF518" s="332"/>
      <c r="SJG518" s="332"/>
      <c r="SJH518" s="332"/>
      <c r="SJI518" s="332"/>
      <c r="SJJ518" s="332"/>
      <c r="SJK518" s="332"/>
      <c r="SJL518" s="332"/>
      <c r="SJM518" s="332"/>
      <c r="SJN518" s="332"/>
      <c r="SJO518" s="332"/>
      <c r="SJP518" s="332"/>
      <c r="SJQ518" s="332"/>
      <c r="SJR518" s="332"/>
      <c r="SJS518" s="332"/>
      <c r="SJT518" s="332"/>
      <c r="SJU518" s="332"/>
      <c r="SJV518" s="332"/>
      <c r="SJW518" s="332"/>
      <c r="SJX518" s="332"/>
      <c r="SJY518" s="332"/>
      <c r="SJZ518" s="332"/>
      <c r="SKA518" s="332"/>
      <c r="SKB518" s="332"/>
      <c r="SKC518" s="332"/>
      <c r="SKD518" s="332"/>
      <c r="SKE518" s="332"/>
      <c r="SKF518" s="332"/>
      <c r="SKG518" s="332"/>
      <c r="SKH518" s="332"/>
      <c r="SKI518" s="332"/>
      <c r="SKJ518" s="332"/>
      <c r="SKK518" s="332"/>
      <c r="SKL518" s="332"/>
      <c r="SKM518" s="332"/>
      <c r="SKN518" s="332"/>
      <c r="SKO518" s="332"/>
      <c r="SKP518" s="332"/>
      <c r="SKQ518" s="332"/>
      <c r="SKR518" s="332"/>
      <c r="SKS518" s="332"/>
      <c r="SKT518" s="332"/>
      <c r="SKU518" s="332"/>
      <c r="SKV518" s="332"/>
      <c r="SKW518" s="332"/>
      <c r="SKX518" s="332"/>
      <c r="SKY518" s="332"/>
      <c r="SKZ518" s="332"/>
      <c r="SLA518" s="332"/>
      <c r="SLB518" s="332"/>
      <c r="SLC518" s="332"/>
      <c r="SLD518" s="332"/>
      <c r="SLE518" s="332"/>
      <c r="SLF518" s="332"/>
      <c r="SLG518" s="332"/>
      <c r="SLH518" s="332"/>
      <c r="SLI518" s="332"/>
      <c r="SLJ518" s="332"/>
      <c r="SLK518" s="332"/>
      <c r="SLL518" s="332"/>
      <c r="SLM518" s="332"/>
      <c r="SLN518" s="332"/>
      <c r="SLO518" s="332"/>
      <c r="SLP518" s="332"/>
      <c r="SLQ518" s="332"/>
      <c r="SLR518" s="332"/>
      <c r="SLS518" s="332"/>
      <c r="SLT518" s="332"/>
      <c r="SLU518" s="332"/>
      <c r="SLV518" s="332"/>
      <c r="SLW518" s="332"/>
      <c r="SLX518" s="332"/>
      <c r="SLY518" s="332"/>
      <c r="SLZ518" s="332"/>
      <c r="SMA518" s="332"/>
      <c r="SMB518" s="332"/>
      <c r="SMC518" s="332"/>
      <c r="SMD518" s="332"/>
      <c r="SME518" s="332"/>
      <c r="SMF518" s="332"/>
      <c r="SMG518" s="332"/>
      <c r="SMH518" s="332"/>
      <c r="SMI518" s="332"/>
      <c r="SMJ518" s="332"/>
      <c r="SMK518" s="332"/>
      <c r="SML518" s="332"/>
      <c r="SMM518" s="332"/>
      <c r="SMN518" s="332"/>
      <c r="SMO518" s="332"/>
      <c r="SMP518" s="332"/>
      <c r="SMQ518" s="332"/>
      <c r="SMR518" s="332"/>
      <c r="SMS518" s="332"/>
      <c r="SMT518" s="332"/>
      <c r="SMU518" s="332"/>
      <c r="SMV518" s="332"/>
      <c r="SMW518" s="332"/>
      <c r="SMX518" s="332"/>
      <c r="SMY518" s="332"/>
      <c r="SMZ518" s="332"/>
      <c r="SNA518" s="332"/>
      <c r="SNB518" s="332"/>
      <c r="SNC518" s="332"/>
      <c r="SND518" s="332"/>
      <c r="SNE518" s="332"/>
      <c r="SNF518" s="332"/>
      <c r="SNG518" s="332"/>
      <c r="SNH518" s="332"/>
      <c r="SNI518" s="332"/>
      <c r="SNJ518" s="332"/>
      <c r="SNK518" s="332"/>
      <c r="SNL518" s="332"/>
      <c r="SNM518" s="332"/>
      <c r="SNN518" s="332"/>
      <c r="SNO518" s="332"/>
      <c r="SNP518" s="332"/>
      <c r="SNQ518" s="332"/>
      <c r="SNR518" s="332"/>
      <c r="SNS518" s="332"/>
      <c r="SNT518" s="332"/>
      <c r="SNU518" s="332"/>
      <c r="SNV518" s="332"/>
      <c r="SNW518" s="332"/>
      <c r="SNX518" s="332"/>
      <c r="SNY518" s="332"/>
      <c r="SNZ518" s="332"/>
      <c r="SOA518" s="332"/>
      <c r="SOB518" s="332"/>
      <c r="SOC518" s="332"/>
      <c r="SOD518" s="332"/>
      <c r="SOE518" s="332"/>
      <c r="SOF518" s="332"/>
      <c r="SOG518" s="332"/>
      <c r="SOH518" s="332"/>
      <c r="SOI518" s="332"/>
      <c r="SOJ518" s="332"/>
      <c r="SOK518" s="332"/>
      <c r="SOL518" s="332"/>
      <c r="SOM518" s="332"/>
      <c r="SON518" s="332"/>
      <c r="SOO518" s="332"/>
      <c r="SOP518" s="332"/>
      <c r="SOQ518" s="332"/>
      <c r="SOR518" s="332"/>
      <c r="SOS518" s="332"/>
      <c r="SOT518" s="332"/>
      <c r="SOU518" s="332"/>
      <c r="SOV518" s="332"/>
      <c r="SOW518" s="332"/>
      <c r="SOX518" s="332"/>
      <c r="SOY518" s="332"/>
      <c r="SOZ518" s="332"/>
      <c r="SPA518" s="332"/>
      <c r="SPB518" s="332"/>
      <c r="SPC518" s="332"/>
      <c r="SPD518" s="332"/>
      <c r="SPE518" s="332"/>
      <c r="SPF518" s="332"/>
      <c r="SPG518" s="332"/>
      <c r="SPH518" s="332"/>
      <c r="SPI518" s="332"/>
      <c r="SPJ518" s="332"/>
      <c r="SPK518" s="332"/>
      <c r="SPL518" s="332"/>
      <c r="SPM518" s="332"/>
      <c r="SPN518" s="332"/>
      <c r="SPO518" s="332"/>
      <c r="SPP518" s="332"/>
      <c r="SPQ518" s="332"/>
      <c r="SPR518" s="332"/>
      <c r="SPS518" s="332"/>
      <c r="SPT518" s="332"/>
      <c r="SPU518" s="332"/>
      <c r="SPV518" s="332"/>
      <c r="SPW518" s="332"/>
      <c r="SPX518" s="332"/>
      <c r="SPY518" s="332"/>
      <c r="SPZ518" s="332"/>
      <c r="SQA518" s="332"/>
      <c r="SQB518" s="332"/>
      <c r="SQC518" s="332"/>
      <c r="SQD518" s="332"/>
      <c r="SQE518" s="332"/>
      <c r="SQF518" s="332"/>
      <c r="SQG518" s="332"/>
      <c r="SQH518" s="332"/>
      <c r="SQI518" s="332"/>
      <c r="SQJ518" s="332"/>
      <c r="SQK518" s="332"/>
      <c r="SQL518" s="332"/>
      <c r="SQM518" s="332"/>
      <c r="SQN518" s="332"/>
      <c r="SQO518" s="332"/>
      <c r="SQP518" s="332"/>
      <c r="SQQ518" s="332"/>
      <c r="SQR518" s="332"/>
      <c r="SQS518" s="332"/>
      <c r="SQT518" s="332"/>
      <c r="SQU518" s="332"/>
      <c r="SQV518" s="332"/>
      <c r="SQW518" s="332"/>
      <c r="SQX518" s="332"/>
      <c r="SQY518" s="332"/>
      <c r="SQZ518" s="332"/>
      <c r="SRA518" s="332"/>
      <c r="SRB518" s="332"/>
      <c r="SRC518" s="332"/>
      <c r="SRD518" s="332"/>
      <c r="SRE518" s="332"/>
      <c r="SRF518" s="332"/>
      <c r="SRG518" s="332"/>
      <c r="SRH518" s="332"/>
      <c r="SRI518" s="332"/>
      <c r="SRJ518" s="332"/>
      <c r="SRK518" s="332"/>
      <c r="SRL518" s="332"/>
      <c r="SRM518" s="332"/>
      <c r="SRN518" s="332"/>
      <c r="SRO518" s="332"/>
      <c r="SRP518" s="332"/>
      <c r="SRQ518" s="332"/>
      <c r="SRR518" s="332"/>
      <c r="SRS518" s="332"/>
      <c r="SRT518" s="332"/>
      <c r="SRU518" s="332"/>
      <c r="SRV518" s="332"/>
      <c r="SRW518" s="332"/>
      <c r="SRX518" s="332"/>
      <c r="SRY518" s="332"/>
      <c r="SRZ518" s="332"/>
      <c r="SSA518" s="332"/>
      <c r="SSB518" s="332"/>
      <c r="SSC518" s="332"/>
      <c r="SSD518" s="332"/>
      <c r="SSE518" s="332"/>
      <c r="SSF518" s="332"/>
      <c r="SSG518" s="332"/>
      <c r="SSH518" s="332"/>
      <c r="SSI518" s="332"/>
      <c r="SSJ518" s="332"/>
      <c r="SSK518" s="332"/>
      <c r="SSL518" s="332"/>
      <c r="SSM518" s="332"/>
      <c r="SSN518" s="332"/>
      <c r="SSO518" s="332"/>
      <c r="SSP518" s="332"/>
      <c r="SSQ518" s="332"/>
      <c r="SSR518" s="332"/>
      <c r="SSS518" s="332"/>
      <c r="SST518" s="332"/>
      <c r="SSU518" s="332"/>
      <c r="SSV518" s="332"/>
      <c r="SSW518" s="332"/>
      <c r="SSX518" s="332"/>
      <c r="SSY518" s="332"/>
      <c r="SSZ518" s="332"/>
      <c r="STA518" s="332"/>
      <c r="STB518" s="332"/>
      <c r="STC518" s="332"/>
      <c r="STD518" s="332"/>
      <c r="STE518" s="332"/>
      <c r="STF518" s="332"/>
      <c r="STG518" s="332"/>
      <c r="STH518" s="332"/>
      <c r="STI518" s="332"/>
      <c r="STJ518" s="332"/>
      <c r="STK518" s="332"/>
      <c r="STL518" s="332"/>
      <c r="STM518" s="332"/>
      <c r="STN518" s="332"/>
      <c r="STO518" s="332"/>
      <c r="STP518" s="332"/>
      <c r="STQ518" s="332"/>
      <c r="STR518" s="332"/>
      <c r="STS518" s="332"/>
      <c r="STT518" s="332"/>
      <c r="STU518" s="332"/>
      <c r="STV518" s="332"/>
      <c r="STW518" s="332"/>
      <c r="STX518" s="332"/>
      <c r="STY518" s="332"/>
      <c r="STZ518" s="332"/>
      <c r="SUA518" s="332"/>
      <c r="SUB518" s="332"/>
      <c r="SUC518" s="332"/>
      <c r="SUD518" s="332"/>
      <c r="SUE518" s="332"/>
      <c r="SUF518" s="332"/>
      <c r="SUG518" s="332"/>
      <c r="SUH518" s="332"/>
      <c r="SUI518" s="332"/>
      <c r="SUJ518" s="332"/>
      <c r="SUK518" s="332"/>
      <c r="SUL518" s="332"/>
      <c r="SUM518" s="332"/>
      <c r="SUN518" s="332"/>
      <c r="SUO518" s="332"/>
      <c r="SUP518" s="332"/>
      <c r="SUQ518" s="332"/>
      <c r="SUR518" s="332"/>
      <c r="SUS518" s="332"/>
      <c r="SUT518" s="332"/>
      <c r="SUU518" s="332"/>
      <c r="SUV518" s="332"/>
      <c r="SUW518" s="332"/>
      <c r="SUX518" s="332"/>
      <c r="SUY518" s="332"/>
      <c r="SUZ518" s="332"/>
      <c r="SVA518" s="332"/>
      <c r="SVB518" s="332"/>
      <c r="SVC518" s="332"/>
      <c r="SVD518" s="332"/>
      <c r="SVE518" s="332"/>
      <c r="SVF518" s="332"/>
      <c r="SVG518" s="332"/>
      <c r="SVH518" s="332"/>
      <c r="SVI518" s="332"/>
      <c r="SVJ518" s="332"/>
      <c r="SVK518" s="332"/>
      <c r="SVL518" s="332"/>
      <c r="SVM518" s="332"/>
      <c r="SVN518" s="332"/>
      <c r="SVO518" s="332"/>
      <c r="SVP518" s="332"/>
      <c r="SVQ518" s="332"/>
      <c r="SVR518" s="332"/>
      <c r="SVS518" s="332"/>
      <c r="SVT518" s="332"/>
      <c r="SVU518" s="332"/>
      <c r="SVV518" s="332"/>
      <c r="SVW518" s="332"/>
      <c r="SVX518" s="332"/>
      <c r="SVY518" s="332"/>
      <c r="SVZ518" s="332"/>
      <c r="SWA518" s="332"/>
      <c r="SWB518" s="332"/>
      <c r="SWC518" s="332"/>
      <c r="SWD518" s="332"/>
      <c r="SWE518" s="332"/>
      <c r="SWF518" s="332"/>
      <c r="SWG518" s="332"/>
      <c r="SWH518" s="332"/>
      <c r="SWI518" s="332"/>
      <c r="SWJ518" s="332"/>
      <c r="SWK518" s="332"/>
      <c r="SWL518" s="332"/>
      <c r="SWM518" s="332"/>
      <c r="SWN518" s="332"/>
      <c r="SWO518" s="332"/>
      <c r="SWP518" s="332"/>
      <c r="SWQ518" s="332"/>
      <c r="SWR518" s="332"/>
      <c r="SWS518" s="332"/>
      <c r="SWT518" s="332"/>
      <c r="SWU518" s="332"/>
      <c r="SWV518" s="332"/>
      <c r="SWW518" s="332"/>
      <c r="SWX518" s="332"/>
      <c r="SWY518" s="332"/>
      <c r="SWZ518" s="332"/>
      <c r="SXA518" s="332"/>
      <c r="SXB518" s="332"/>
      <c r="SXC518" s="332"/>
      <c r="SXD518" s="332"/>
      <c r="SXE518" s="332"/>
      <c r="SXF518" s="332"/>
      <c r="SXG518" s="332"/>
      <c r="SXH518" s="332"/>
      <c r="SXI518" s="332"/>
      <c r="SXJ518" s="332"/>
      <c r="SXK518" s="332"/>
      <c r="SXL518" s="332"/>
      <c r="SXM518" s="332"/>
      <c r="SXN518" s="332"/>
      <c r="SXO518" s="332"/>
      <c r="SXP518" s="332"/>
      <c r="SXQ518" s="332"/>
      <c r="SXR518" s="332"/>
      <c r="SXS518" s="332"/>
      <c r="SXT518" s="332"/>
      <c r="SXU518" s="332"/>
      <c r="SXV518" s="332"/>
      <c r="SXW518" s="332"/>
      <c r="SXX518" s="332"/>
      <c r="SXY518" s="332"/>
      <c r="SXZ518" s="332"/>
      <c r="SYA518" s="332"/>
      <c r="SYB518" s="332"/>
      <c r="SYC518" s="332"/>
      <c r="SYD518" s="332"/>
      <c r="SYE518" s="332"/>
      <c r="SYF518" s="332"/>
      <c r="SYG518" s="332"/>
      <c r="SYH518" s="332"/>
      <c r="SYI518" s="332"/>
      <c r="SYJ518" s="332"/>
      <c r="SYK518" s="332"/>
      <c r="SYL518" s="332"/>
      <c r="SYM518" s="332"/>
      <c r="SYN518" s="332"/>
      <c r="SYO518" s="332"/>
      <c r="SYP518" s="332"/>
      <c r="SYQ518" s="332"/>
      <c r="SYR518" s="332"/>
      <c r="SYS518" s="332"/>
      <c r="SYT518" s="332"/>
      <c r="SYU518" s="332"/>
      <c r="SYV518" s="332"/>
      <c r="SYW518" s="332"/>
      <c r="SYX518" s="332"/>
      <c r="SYY518" s="332"/>
      <c r="SYZ518" s="332"/>
      <c r="SZA518" s="332"/>
      <c r="SZB518" s="332"/>
      <c r="SZC518" s="332"/>
      <c r="SZD518" s="332"/>
      <c r="SZE518" s="332"/>
      <c r="SZF518" s="332"/>
      <c r="SZG518" s="332"/>
      <c r="SZH518" s="332"/>
      <c r="SZI518" s="332"/>
      <c r="SZJ518" s="332"/>
      <c r="SZK518" s="332"/>
      <c r="SZL518" s="332"/>
      <c r="SZM518" s="332"/>
      <c r="SZN518" s="332"/>
      <c r="SZO518" s="332"/>
      <c r="SZP518" s="332"/>
      <c r="SZQ518" s="332"/>
      <c r="SZR518" s="332"/>
      <c r="SZS518" s="332"/>
      <c r="SZT518" s="332"/>
      <c r="SZU518" s="332"/>
      <c r="SZV518" s="332"/>
      <c r="SZW518" s="332"/>
      <c r="SZX518" s="332"/>
      <c r="SZY518" s="332"/>
      <c r="SZZ518" s="332"/>
      <c r="TAA518" s="332"/>
      <c r="TAB518" s="332"/>
      <c r="TAC518" s="332"/>
      <c r="TAD518" s="332"/>
      <c r="TAE518" s="332"/>
      <c r="TAF518" s="332"/>
      <c r="TAG518" s="332"/>
      <c r="TAH518" s="332"/>
      <c r="TAI518" s="332"/>
      <c r="TAJ518" s="332"/>
      <c r="TAK518" s="332"/>
      <c r="TAL518" s="332"/>
      <c r="TAM518" s="332"/>
      <c r="TAN518" s="332"/>
      <c r="TAO518" s="332"/>
      <c r="TAP518" s="332"/>
      <c r="TAQ518" s="332"/>
      <c r="TAR518" s="332"/>
      <c r="TAS518" s="332"/>
      <c r="TAT518" s="332"/>
      <c r="TAU518" s="332"/>
      <c r="TAV518" s="332"/>
      <c r="TAW518" s="332"/>
      <c r="TAX518" s="332"/>
      <c r="TAY518" s="332"/>
      <c r="TAZ518" s="332"/>
      <c r="TBA518" s="332"/>
      <c r="TBB518" s="332"/>
      <c r="TBC518" s="332"/>
      <c r="TBD518" s="332"/>
      <c r="TBE518" s="332"/>
      <c r="TBF518" s="332"/>
      <c r="TBG518" s="332"/>
      <c r="TBH518" s="332"/>
      <c r="TBI518" s="332"/>
      <c r="TBJ518" s="332"/>
      <c r="TBK518" s="332"/>
      <c r="TBL518" s="332"/>
      <c r="TBM518" s="332"/>
      <c r="TBN518" s="332"/>
      <c r="TBO518" s="332"/>
      <c r="TBP518" s="332"/>
      <c r="TBQ518" s="332"/>
      <c r="TBR518" s="332"/>
      <c r="TBS518" s="332"/>
      <c r="TBT518" s="332"/>
      <c r="TBU518" s="332"/>
      <c r="TBV518" s="332"/>
      <c r="TBW518" s="332"/>
      <c r="TBX518" s="332"/>
      <c r="TBY518" s="332"/>
      <c r="TBZ518" s="332"/>
      <c r="TCA518" s="332"/>
      <c r="TCB518" s="332"/>
      <c r="TCC518" s="332"/>
      <c r="TCD518" s="332"/>
      <c r="TCE518" s="332"/>
      <c r="TCF518" s="332"/>
      <c r="TCG518" s="332"/>
      <c r="TCH518" s="332"/>
      <c r="TCI518" s="332"/>
      <c r="TCJ518" s="332"/>
      <c r="TCK518" s="332"/>
      <c r="TCL518" s="332"/>
      <c r="TCM518" s="332"/>
      <c r="TCN518" s="332"/>
      <c r="TCO518" s="332"/>
      <c r="TCP518" s="332"/>
      <c r="TCQ518" s="332"/>
      <c r="TCR518" s="332"/>
      <c r="TCS518" s="332"/>
      <c r="TCT518" s="332"/>
      <c r="TCU518" s="332"/>
      <c r="TCV518" s="332"/>
      <c r="TCW518" s="332"/>
      <c r="TCX518" s="332"/>
      <c r="TCY518" s="332"/>
      <c r="TCZ518" s="332"/>
      <c r="TDA518" s="332"/>
      <c r="TDB518" s="332"/>
      <c r="TDC518" s="332"/>
      <c r="TDD518" s="332"/>
      <c r="TDE518" s="332"/>
      <c r="TDF518" s="332"/>
      <c r="TDG518" s="332"/>
      <c r="TDH518" s="332"/>
      <c r="TDI518" s="332"/>
      <c r="TDJ518" s="332"/>
      <c r="TDK518" s="332"/>
      <c r="TDL518" s="332"/>
      <c r="TDM518" s="332"/>
      <c r="TDN518" s="332"/>
      <c r="TDO518" s="332"/>
      <c r="TDP518" s="332"/>
      <c r="TDQ518" s="332"/>
      <c r="TDR518" s="332"/>
      <c r="TDS518" s="332"/>
      <c r="TDT518" s="332"/>
      <c r="TDU518" s="332"/>
      <c r="TDV518" s="332"/>
      <c r="TDW518" s="332"/>
      <c r="TDX518" s="332"/>
      <c r="TDY518" s="332"/>
      <c r="TDZ518" s="332"/>
      <c r="TEA518" s="332"/>
      <c r="TEB518" s="332"/>
      <c r="TEC518" s="332"/>
      <c r="TED518" s="332"/>
      <c r="TEE518" s="332"/>
      <c r="TEF518" s="332"/>
      <c r="TEG518" s="332"/>
      <c r="TEH518" s="332"/>
      <c r="TEI518" s="332"/>
      <c r="TEJ518" s="332"/>
      <c r="TEK518" s="332"/>
      <c r="TEL518" s="332"/>
      <c r="TEM518" s="332"/>
      <c r="TEN518" s="332"/>
      <c r="TEO518" s="332"/>
      <c r="TEP518" s="332"/>
      <c r="TEQ518" s="332"/>
      <c r="TER518" s="332"/>
      <c r="TES518" s="332"/>
      <c r="TET518" s="332"/>
      <c r="TEU518" s="332"/>
      <c r="TEV518" s="332"/>
      <c r="TEW518" s="332"/>
      <c r="TEX518" s="332"/>
      <c r="TEY518" s="332"/>
      <c r="TEZ518" s="332"/>
      <c r="TFA518" s="332"/>
      <c r="TFB518" s="332"/>
      <c r="TFC518" s="332"/>
      <c r="TFD518" s="332"/>
      <c r="TFE518" s="332"/>
      <c r="TFF518" s="332"/>
      <c r="TFG518" s="332"/>
      <c r="TFH518" s="332"/>
      <c r="TFI518" s="332"/>
      <c r="TFJ518" s="332"/>
      <c r="TFK518" s="332"/>
      <c r="TFL518" s="332"/>
      <c r="TFM518" s="332"/>
      <c r="TFN518" s="332"/>
      <c r="TFO518" s="332"/>
      <c r="TFP518" s="332"/>
      <c r="TFQ518" s="332"/>
      <c r="TFR518" s="332"/>
      <c r="TFS518" s="332"/>
      <c r="TFT518" s="332"/>
      <c r="TFU518" s="332"/>
      <c r="TFV518" s="332"/>
      <c r="TFW518" s="332"/>
      <c r="TFX518" s="332"/>
      <c r="TFY518" s="332"/>
      <c r="TFZ518" s="332"/>
      <c r="TGA518" s="332"/>
      <c r="TGB518" s="332"/>
      <c r="TGC518" s="332"/>
      <c r="TGD518" s="332"/>
      <c r="TGE518" s="332"/>
      <c r="TGF518" s="332"/>
      <c r="TGG518" s="332"/>
      <c r="TGH518" s="332"/>
      <c r="TGI518" s="332"/>
      <c r="TGJ518" s="332"/>
      <c r="TGK518" s="332"/>
      <c r="TGL518" s="332"/>
      <c r="TGM518" s="332"/>
      <c r="TGN518" s="332"/>
      <c r="TGO518" s="332"/>
      <c r="TGP518" s="332"/>
      <c r="TGQ518" s="332"/>
      <c r="TGR518" s="332"/>
      <c r="TGS518" s="332"/>
      <c r="TGT518" s="332"/>
      <c r="TGU518" s="332"/>
      <c r="TGV518" s="332"/>
      <c r="TGW518" s="332"/>
      <c r="TGX518" s="332"/>
      <c r="TGY518" s="332"/>
      <c r="TGZ518" s="332"/>
      <c r="THA518" s="332"/>
      <c r="THB518" s="332"/>
      <c r="THC518" s="332"/>
      <c r="THD518" s="332"/>
      <c r="THE518" s="332"/>
      <c r="THF518" s="332"/>
      <c r="THG518" s="332"/>
      <c r="THH518" s="332"/>
      <c r="THI518" s="332"/>
      <c r="THJ518" s="332"/>
      <c r="THK518" s="332"/>
      <c r="THL518" s="332"/>
      <c r="THM518" s="332"/>
      <c r="THN518" s="332"/>
      <c r="THO518" s="332"/>
      <c r="THP518" s="332"/>
      <c r="THQ518" s="332"/>
      <c r="THR518" s="332"/>
      <c r="THS518" s="332"/>
      <c r="THT518" s="332"/>
      <c r="THU518" s="332"/>
      <c r="THV518" s="332"/>
      <c r="THW518" s="332"/>
      <c r="THX518" s="332"/>
      <c r="THY518" s="332"/>
      <c r="THZ518" s="332"/>
      <c r="TIA518" s="332"/>
      <c r="TIB518" s="332"/>
      <c r="TIC518" s="332"/>
      <c r="TID518" s="332"/>
      <c r="TIE518" s="332"/>
      <c r="TIF518" s="332"/>
      <c r="TIG518" s="332"/>
      <c r="TIH518" s="332"/>
      <c r="TII518" s="332"/>
      <c r="TIJ518" s="332"/>
      <c r="TIK518" s="332"/>
      <c r="TIL518" s="332"/>
      <c r="TIM518" s="332"/>
      <c r="TIN518" s="332"/>
      <c r="TIO518" s="332"/>
      <c r="TIP518" s="332"/>
      <c r="TIQ518" s="332"/>
      <c r="TIR518" s="332"/>
      <c r="TIS518" s="332"/>
      <c r="TIT518" s="332"/>
      <c r="TIU518" s="332"/>
      <c r="TIV518" s="332"/>
      <c r="TIW518" s="332"/>
      <c r="TIX518" s="332"/>
      <c r="TIY518" s="332"/>
      <c r="TIZ518" s="332"/>
      <c r="TJA518" s="332"/>
      <c r="TJB518" s="332"/>
      <c r="TJC518" s="332"/>
      <c r="TJD518" s="332"/>
      <c r="TJE518" s="332"/>
      <c r="TJF518" s="332"/>
      <c r="TJG518" s="332"/>
      <c r="TJH518" s="332"/>
      <c r="TJI518" s="332"/>
      <c r="TJJ518" s="332"/>
      <c r="TJK518" s="332"/>
      <c r="TJL518" s="332"/>
      <c r="TJM518" s="332"/>
      <c r="TJN518" s="332"/>
      <c r="TJO518" s="332"/>
      <c r="TJP518" s="332"/>
      <c r="TJQ518" s="332"/>
      <c r="TJR518" s="332"/>
      <c r="TJS518" s="332"/>
      <c r="TJT518" s="332"/>
      <c r="TJU518" s="332"/>
      <c r="TJV518" s="332"/>
      <c r="TJW518" s="332"/>
      <c r="TJX518" s="332"/>
      <c r="TJY518" s="332"/>
      <c r="TJZ518" s="332"/>
      <c r="TKA518" s="332"/>
      <c r="TKB518" s="332"/>
      <c r="TKC518" s="332"/>
      <c r="TKD518" s="332"/>
      <c r="TKE518" s="332"/>
      <c r="TKF518" s="332"/>
      <c r="TKG518" s="332"/>
      <c r="TKH518" s="332"/>
      <c r="TKI518" s="332"/>
      <c r="TKJ518" s="332"/>
      <c r="TKK518" s="332"/>
      <c r="TKL518" s="332"/>
      <c r="TKM518" s="332"/>
      <c r="TKN518" s="332"/>
      <c r="TKO518" s="332"/>
      <c r="TKP518" s="332"/>
      <c r="TKQ518" s="332"/>
      <c r="TKR518" s="332"/>
      <c r="TKS518" s="332"/>
      <c r="TKT518" s="332"/>
      <c r="TKU518" s="332"/>
      <c r="TKV518" s="332"/>
      <c r="TKW518" s="332"/>
      <c r="TKX518" s="332"/>
      <c r="TKY518" s="332"/>
      <c r="TKZ518" s="332"/>
      <c r="TLA518" s="332"/>
      <c r="TLB518" s="332"/>
      <c r="TLC518" s="332"/>
      <c r="TLD518" s="332"/>
      <c r="TLE518" s="332"/>
      <c r="TLF518" s="332"/>
      <c r="TLG518" s="332"/>
      <c r="TLH518" s="332"/>
      <c r="TLI518" s="332"/>
      <c r="TLJ518" s="332"/>
      <c r="TLK518" s="332"/>
      <c r="TLL518" s="332"/>
      <c r="TLM518" s="332"/>
      <c r="TLN518" s="332"/>
      <c r="TLO518" s="332"/>
      <c r="TLP518" s="332"/>
      <c r="TLQ518" s="332"/>
      <c r="TLR518" s="332"/>
      <c r="TLS518" s="332"/>
      <c r="TLT518" s="332"/>
      <c r="TLU518" s="332"/>
      <c r="TLV518" s="332"/>
      <c r="TLW518" s="332"/>
      <c r="TLX518" s="332"/>
      <c r="TLY518" s="332"/>
      <c r="TLZ518" s="332"/>
      <c r="TMA518" s="332"/>
      <c r="TMB518" s="332"/>
      <c r="TMC518" s="332"/>
      <c r="TMD518" s="332"/>
      <c r="TME518" s="332"/>
      <c r="TMF518" s="332"/>
      <c r="TMG518" s="332"/>
      <c r="TMH518" s="332"/>
      <c r="TMI518" s="332"/>
      <c r="TMJ518" s="332"/>
      <c r="TMK518" s="332"/>
      <c r="TML518" s="332"/>
      <c r="TMM518" s="332"/>
      <c r="TMN518" s="332"/>
      <c r="TMO518" s="332"/>
      <c r="TMP518" s="332"/>
      <c r="TMQ518" s="332"/>
      <c r="TMR518" s="332"/>
      <c r="TMS518" s="332"/>
      <c r="TMT518" s="332"/>
      <c r="TMU518" s="332"/>
      <c r="TMV518" s="332"/>
      <c r="TMW518" s="332"/>
      <c r="TMX518" s="332"/>
      <c r="TMY518" s="332"/>
      <c r="TMZ518" s="332"/>
      <c r="TNA518" s="332"/>
      <c r="TNB518" s="332"/>
      <c r="TNC518" s="332"/>
      <c r="TND518" s="332"/>
      <c r="TNE518" s="332"/>
      <c r="TNF518" s="332"/>
      <c r="TNG518" s="332"/>
      <c r="TNH518" s="332"/>
      <c r="TNI518" s="332"/>
      <c r="TNJ518" s="332"/>
      <c r="TNK518" s="332"/>
      <c r="TNL518" s="332"/>
      <c r="TNM518" s="332"/>
      <c r="TNN518" s="332"/>
      <c r="TNO518" s="332"/>
      <c r="TNP518" s="332"/>
      <c r="TNQ518" s="332"/>
      <c r="TNR518" s="332"/>
      <c r="TNS518" s="332"/>
      <c r="TNT518" s="332"/>
      <c r="TNU518" s="332"/>
      <c r="TNV518" s="332"/>
      <c r="TNW518" s="332"/>
      <c r="TNX518" s="332"/>
      <c r="TNY518" s="332"/>
      <c r="TNZ518" s="332"/>
      <c r="TOA518" s="332"/>
      <c r="TOB518" s="332"/>
      <c r="TOC518" s="332"/>
      <c r="TOD518" s="332"/>
      <c r="TOE518" s="332"/>
      <c r="TOF518" s="332"/>
      <c r="TOG518" s="332"/>
      <c r="TOH518" s="332"/>
      <c r="TOI518" s="332"/>
      <c r="TOJ518" s="332"/>
      <c r="TOK518" s="332"/>
      <c r="TOL518" s="332"/>
      <c r="TOM518" s="332"/>
      <c r="TON518" s="332"/>
      <c r="TOO518" s="332"/>
      <c r="TOP518" s="332"/>
      <c r="TOQ518" s="332"/>
      <c r="TOR518" s="332"/>
      <c r="TOS518" s="332"/>
      <c r="TOT518" s="332"/>
      <c r="TOU518" s="332"/>
      <c r="TOV518" s="332"/>
      <c r="TOW518" s="332"/>
      <c r="TOX518" s="332"/>
      <c r="TOY518" s="332"/>
      <c r="TOZ518" s="332"/>
      <c r="TPA518" s="332"/>
      <c r="TPB518" s="332"/>
      <c r="TPC518" s="332"/>
      <c r="TPD518" s="332"/>
      <c r="TPE518" s="332"/>
      <c r="TPF518" s="332"/>
      <c r="TPG518" s="332"/>
      <c r="TPH518" s="332"/>
      <c r="TPI518" s="332"/>
      <c r="TPJ518" s="332"/>
      <c r="TPK518" s="332"/>
      <c r="TPL518" s="332"/>
      <c r="TPM518" s="332"/>
      <c r="TPN518" s="332"/>
      <c r="TPO518" s="332"/>
      <c r="TPP518" s="332"/>
      <c r="TPQ518" s="332"/>
      <c r="TPR518" s="332"/>
      <c r="TPS518" s="332"/>
      <c r="TPT518" s="332"/>
      <c r="TPU518" s="332"/>
      <c r="TPV518" s="332"/>
      <c r="TPW518" s="332"/>
      <c r="TPX518" s="332"/>
      <c r="TPY518" s="332"/>
      <c r="TPZ518" s="332"/>
      <c r="TQA518" s="332"/>
      <c r="TQB518" s="332"/>
      <c r="TQC518" s="332"/>
      <c r="TQD518" s="332"/>
      <c r="TQE518" s="332"/>
      <c r="TQF518" s="332"/>
      <c r="TQG518" s="332"/>
      <c r="TQH518" s="332"/>
      <c r="TQI518" s="332"/>
      <c r="TQJ518" s="332"/>
      <c r="TQK518" s="332"/>
      <c r="TQL518" s="332"/>
      <c r="TQM518" s="332"/>
      <c r="TQN518" s="332"/>
      <c r="TQO518" s="332"/>
      <c r="TQP518" s="332"/>
      <c r="TQQ518" s="332"/>
      <c r="TQR518" s="332"/>
      <c r="TQS518" s="332"/>
      <c r="TQT518" s="332"/>
      <c r="TQU518" s="332"/>
      <c r="TQV518" s="332"/>
      <c r="TQW518" s="332"/>
      <c r="TQX518" s="332"/>
      <c r="TQY518" s="332"/>
      <c r="TQZ518" s="332"/>
      <c r="TRA518" s="332"/>
      <c r="TRB518" s="332"/>
      <c r="TRC518" s="332"/>
      <c r="TRD518" s="332"/>
      <c r="TRE518" s="332"/>
      <c r="TRF518" s="332"/>
      <c r="TRG518" s="332"/>
      <c r="TRH518" s="332"/>
      <c r="TRI518" s="332"/>
      <c r="TRJ518" s="332"/>
      <c r="TRK518" s="332"/>
      <c r="TRL518" s="332"/>
      <c r="TRM518" s="332"/>
      <c r="TRN518" s="332"/>
      <c r="TRO518" s="332"/>
      <c r="TRP518" s="332"/>
      <c r="TRQ518" s="332"/>
      <c r="TRR518" s="332"/>
      <c r="TRS518" s="332"/>
      <c r="TRT518" s="332"/>
      <c r="TRU518" s="332"/>
      <c r="TRV518" s="332"/>
      <c r="TRW518" s="332"/>
      <c r="TRX518" s="332"/>
      <c r="TRY518" s="332"/>
      <c r="TRZ518" s="332"/>
      <c r="TSA518" s="332"/>
      <c r="TSB518" s="332"/>
      <c r="TSC518" s="332"/>
      <c r="TSD518" s="332"/>
      <c r="TSE518" s="332"/>
      <c r="TSF518" s="332"/>
      <c r="TSG518" s="332"/>
      <c r="TSH518" s="332"/>
      <c r="TSI518" s="332"/>
      <c r="TSJ518" s="332"/>
      <c r="TSK518" s="332"/>
      <c r="TSL518" s="332"/>
      <c r="TSM518" s="332"/>
      <c r="TSN518" s="332"/>
      <c r="TSO518" s="332"/>
      <c r="TSP518" s="332"/>
      <c r="TSQ518" s="332"/>
      <c r="TSR518" s="332"/>
      <c r="TSS518" s="332"/>
      <c r="TST518" s="332"/>
      <c r="TSU518" s="332"/>
      <c r="TSV518" s="332"/>
      <c r="TSW518" s="332"/>
      <c r="TSX518" s="332"/>
      <c r="TSY518" s="332"/>
      <c r="TSZ518" s="332"/>
      <c r="TTA518" s="332"/>
      <c r="TTB518" s="332"/>
      <c r="TTC518" s="332"/>
      <c r="TTD518" s="332"/>
      <c r="TTE518" s="332"/>
      <c r="TTF518" s="332"/>
      <c r="TTG518" s="332"/>
      <c r="TTH518" s="332"/>
      <c r="TTI518" s="332"/>
      <c r="TTJ518" s="332"/>
      <c r="TTK518" s="332"/>
      <c r="TTL518" s="332"/>
      <c r="TTM518" s="332"/>
      <c r="TTN518" s="332"/>
      <c r="TTO518" s="332"/>
      <c r="TTP518" s="332"/>
      <c r="TTQ518" s="332"/>
      <c r="TTR518" s="332"/>
      <c r="TTS518" s="332"/>
      <c r="TTT518" s="332"/>
      <c r="TTU518" s="332"/>
      <c r="TTV518" s="332"/>
      <c r="TTW518" s="332"/>
      <c r="TTX518" s="332"/>
      <c r="TTY518" s="332"/>
      <c r="TTZ518" s="332"/>
      <c r="TUA518" s="332"/>
      <c r="TUB518" s="332"/>
      <c r="TUC518" s="332"/>
      <c r="TUD518" s="332"/>
      <c r="TUE518" s="332"/>
      <c r="TUF518" s="332"/>
      <c r="TUG518" s="332"/>
      <c r="TUH518" s="332"/>
      <c r="TUI518" s="332"/>
      <c r="TUJ518" s="332"/>
      <c r="TUK518" s="332"/>
      <c r="TUL518" s="332"/>
      <c r="TUM518" s="332"/>
      <c r="TUN518" s="332"/>
      <c r="TUO518" s="332"/>
      <c r="TUP518" s="332"/>
      <c r="TUQ518" s="332"/>
      <c r="TUR518" s="332"/>
      <c r="TUS518" s="332"/>
      <c r="TUT518" s="332"/>
      <c r="TUU518" s="332"/>
      <c r="TUV518" s="332"/>
      <c r="TUW518" s="332"/>
      <c r="TUX518" s="332"/>
      <c r="TUY518" s="332"/>
      <c r="TUZ518" s="332"/>
      <c r="TVA518" s="332"/>
      <c r="TVB518" s="332"/>
      <c r="TVC518" s="332"/>
      <c r="TVD518" s="332"/>
      <c r="TVE518" s="332"/>
      <c r="TVF518" s="332"/>
      <c r="TVG518" s="332"/>
      <c r="TVH518" s="332"/>
      <c r="TVI518" s="332"/>
      <c r="TVJ518" s="332"/>
      <c r="TVK518" s="332"/>
      <c r="TVL518" s="332"/>
      <c r="TVM518" s="332"/>
      <c r="TVN518" s="332"/>
      <c r="TVO518" s="332"/>
      <c r="TVP518" s="332"/>
      <c r="TVQ518" s="332"/>
      <c r="TVR518" s="332"/>
      <c r="TVS518" s="332"/>
      <c r="TVT518" s="332"/>
      <c r="TVU518" s="332"/>
      <c r="TVV518" s="332"/>
      <c r="TVW518" s="332"/>
      <c r="TVX518" s="332"/>
      <c r="TVY518" s="332"/>
      <c r="TVZ518" s="332"/>
      <c r="TWA518" s="332"/>
      <c r="TWB518" s="332"/>
      <c r="TWC518" s="332"/>
      <c r="TWD518" s="332"/>
      <c r="TWE518" s="332"/>
      <c r="TWF518" s="332"/>
      <c r="TWG518" s="332"/>
      <c r="TWH518" s="332"/>
      <c r="TWI518" s="332"/>
      <c r="TWJ518" s="332"/>
      <c r="TWK518" s="332"/>
      <c r="TWL518" s="332"/>
      <c r="TWM518" s="332"/>
      <c r="TWN518" s="332"/>
      <c r="TWO518" s="332"/>
      <c r="TWP518" s="332"/>
      <c r="TWQ518" s="332"/>
      <c r="TWR518" s="332"/>
      <c r="TWS518" s="332"/>
      <c r="TWT518" s="332"/>
      <c r="TWU518" s="332"/>
      <c r="TWV518" s="332"/>
      <c r="TWW518" s="332"/>
      <c r="TWX518" s="332"/>
      <c r="TWY518" s="332"/>
      <c r="TWZ518" s="332"/>
      <c r="TXA518" s="332"/>
      <c r="TXB518" s="332"/>
      <c r="TXC518" s="332"/>
      <c r="TXD518" s="332"/>
      <c r="TXE518" s="332"/>
      <c r="TXF518" s="332"/>
      <c r="TXG518" s="332"/>
      <c r="TXH518" s="332"/>
      <c r="TXI518" s="332"/>
      <c r="TXJ518" s="332"/>
      <c r="TXK518" s="332"/>
      <c r="TXL518" s="332"/>
      <c r="TXM518" s="332"/>
      <c r="TXN518" s="332"/>
      <c r="TXO518" s="332"/>
      <c r="TXP518" s="332"/>
      <c r="TXQ518" s="332"/>
      <c r="TXR518" s="332"/>
      <c r="TXS518" s="332"/>
      <c r="TXT518" s="332"/>
      <c r="TXU518" s="332"/>
      <c r="TXV518" s="332"/>
      <c r="TXW518" s="332"/>
      <c r="TXX518" s="332"/>
      <c r="TXY518" s="332"/>
      <c r="TXZ518" s="332"/>
      <c r="TYA518" s="332"/>
      <c r="TYB518" s="332"/>
      <c r="TYC518" s="332"/>
      <c r="TYD518" s="332"/>
      <c r="TYE518" s="332"/>
      <c r="TYF518" s="332"/>
      <c r="TYG518" s="332"/>
      <c r="TYH518" s="332"/>
      <c r="TYI518" s="332"/>
      <c r="TYJ518" s="332"/>
      <c r="TYK518" s="332"/>
      <c r="TYL518" s="332"/>
      <c r="TYM518" s="332"/>
      <c r="TYN518" s="332"/>
      <c r="TYO518" s="332"/>
      <c r="TYP518" s="332"/>
      <c r="TYQ518" s="332"/>
      <c r="TYR518" s="332"/>
      <c r="TYS518" s="332"/>
      <c r="TYT518" s="332"/>
      <c r="TYU518" s="332"/>
      <c r="TYV518" s="332"/>
      <c r="TYW518" s="332"/>
      <c r="TYX518" s="332"/>
      <c r="TYY518" s="332"/>
      <c r="TYZ518" s="332"/>
      <c r="TZA518" s="332"/>
      <c r="TZB518" s="332"/>
      <c r="TZC518" s="332"/>
      <c r="TZD518" s="332"/>
      <c r="TZE518" s="332"/>
      <c r="TZF518" s="332"/>
      <c r="TZG518" s="332"/>
      <c r="TZH518" s="332"/>
      <c r="TZI518" s="332"/>
      <c r="TZJ518" s="332"/>
      <c r="TZK518" s="332"/>
      <c r="TZL518" s="332"/>
      <c r="TZM518" s="332"/>
      <c r="TZN518" s="332"/>
      <c r="TZO518" s="332"/>
      <c r="TZP518" s="332"/>
      <c r="TZQ518" s="332"/>
      <c r="TZR518" s="332"/>
      <c r="TZS518" s="332"/>
      <c r="TZT518" s="332"/>
      <c r="TZU518" s="332"/>
      <c r="TZV518" s="332"/>
      <c r="TZW518" s="332"/>
      <c r="TZX518" s="332"/>
      <c r="TZY518" s="332"/>
      <c r="TZZ518" s="332"/>
      <c r="UAA518" s="332"/>
      <c r="UAB518" s="332"/>
      <c r="UAC518" s="332"/>
      <c r="UAD518" s="332"/>
      <c r="UAE518" s="332"/>
      <c r="UAF518" s="332"/>
      <c r="UAG518" s="332"/>
      <c r="UAH518" s="332"/>
      <c r="UAI518" s="332"/>
      <c r="UAJ518" s="332"/>
      <c r="UAK518" s="332"/>
      <c r="UAL518" s="332"/>
      <c r="UAM518" s="332"/>
      <c r="UAN518" s="332"/>
      <c r="UAO518" s="332"/>
      <c r="UAP518" s="332"/>
      <c r="UAQ518" s="332"/>
      <c r="UAR518" s="332"/>
      <c r="UAS518" s="332"/>
      <c r="UAT518" s="332"/>
      <c r="UAU518" s="332"/>
      <c r="UAV518" s="332"/>
      <c r="UAW518" s="332"/>
      <c r="UAX518" s="332"/>
      <c r="UAY518" s="332"/>
      <c r="UAZ518" s="332"/>
      <c r="UBA518" s="332"/>
      <c r="UBB518" s="332"/>
      <c r="UBC518" s="332"/>
      <c r="UBD518" s="332"/>
      <c r="UBE518" s="332"/>
      <c r="UBF518" s="332"/>
      <c r="UBG518" s="332"/>
      <c r="UBH518" s="332"/>
      <c r="UBI518" s="332"/>
      <c r="UBJ518" s="332"/>
      <c r="UBK518" s="332"/>
      <c r="UBL518" s="332"/>
      <c r="UBM518" s="332"/>
      <c r="UBN518" s="332"/>
      <c r="UBO518" s="332"/>
      <c r="UBP518" s="332"/>
      <c r="UBQ518" s="332"/>
      <c r="UBR518" s="332"/>
      <c r="UBS518" s="332"/>
      <c r="UBT518" s="332"/>
      <c r="UBU518" s="332"/>
      <c r="UBV518" s="332"/>
      <c r="UBW518" s="332"/>
      <c r="UBX518" s="332"/>
      <c r="UBY518" s="332"/>
      <c r="UBZ518" s="332"/>
      <c r="UCA518" s="332"/>
      <c r="UCB518" s="332"/>
      <c r="UCC518" s="332"/>
      <c r="UCD518" s="332"/>
      <c r="UCE518" s="332"/>
      <c r="UCF518" s="332"/>
      <c r="UCG518" s="332"/>
      <c r="UCH518" s="332"/>
      <c r="UCI518" s="332"/>
      <c r="UCJ518" s="332"/>
      <c r="UCK518" s="332"/>
      <c r="UCL518" s="332"/>
      <c r="UCM518" s="332"/>
      <c r="UCN518" s="332"/>
      <c r="UCO518" s="332"/>
      <c r="UCP518" s="332"/>
      <c r="UCQ518" s="332"/>
      <c r="UCR518" s="332"/>
      <c r="UCS518" s="332"/>
      <c r="UCT518" s="332"/>
      <c r="UCU518" s="332"/>
      <c r="UCV518" s="332"/>
      <c r="UCW518" s="332"/>
      <c r="UCX518" s="332"/>
      <c r="UCY518" s="332"/>
      <c r="UCZ518" s="332"/>
      <c r="UDA518" s="332"/>
      <c r="UDB518" s="332"/>
      <c r="UDC518" s="332"/>
      <c r="UDD518" s="332"/>
      <c r="UDE518" s="332"/>
      <c r="UDF518" s="332"/>
      <c r="UDG518" s="332"/>
      <c r="UDH518" s="332"/>
      <c r="UDI518" s="332"/>
      <c r="UDJ518" s="332"/>
      <c r="UDK518" s="332"/>
      <c r="UDL518" s="332"/>
      <c r="UDM518" s="332"/>
      <c r="UDN518" s="332"/>
      <c r="UDO518" s="332"/>
      <c r="UDP518" s="332"/>
      <c r="UDQ518" s="332"/>
      <c r="UDR518" s="332"/>
      <c r="UDS518" s="332"/>
      <c r="UDT518" s="332"/>
      <c r="UDU518" s="332"/>
      <c r="UDV518" s="332"/>
      <c r="UDW518" s="332"/>
      <c r="UDX518" s="332"/>
      <c r="UDY518" s="332"/>
      <c r="UDZ518" s="332"/>
      <c r="UEA518" s="332"/>
      <c r="UEB518" s="332"/>
      <c r="UEC518" s="332"/>
      <c r="UED518" s="332"/>
      <c r="UEE518" s="332"/>
      <c r="UEF518" s="332"/>
      <c r="UEG518" s="332"/>
      <c r="UEH518" s="332"/>
      <c r="UEI518" s="332"/>
      <c r="UEJ518" s="332"/>
      <c r="UEK518" s="332"/>
      <c r="UEL518" s="332"/>
      <c r="UEM518" s="332"/>
      <c r="UEN518" s="332"/>
      <c r="UEO518" s="332"/>
      <c r="UEP518" s="332"/>
      <c r="UEQ518" s="332"/>
      <c r="UER518" s="332"/>
      <c r="UES518" s="332"/>
      <c r="UET518" s="332"/>
      <c r="UEU518" s="332"/>
      <c r="UEV518" s="332"/>
      <c r="UEW518" s="332"/>
      <c r="UEX518" s="332"/>
      <c r="UEY518" s="332"/>
      <c r="UEZ518" s="332"/>
      <c r="UFA518" s="332"/>
      <c r="UFB518" s="332"/>
      <c r="UFC518" s="332"/>
      <c r="UFD518" s="332"/>
      <c r="UFE518" s="332"/>
      <c r="UFF518" s="332"/>
      <c r="UFG518" s="332"/>
      <c r="UFH518" s="332"/>
      <c r="UFI518" s="332"/>
      <c r="UFJ518" s="332"/>
      <c r="UFK518" s="332"/>
      <c r="UFL518" s="332"/>
      <c r="UFM518" s="332"/>
      <c r="UFN518" s="332"/>
      <c r="UFO518" s="332"/>
      <c r="UFP518" s="332"/>
      <c r="UFQ518" s="332"/>
      <c r="UFR518" s="332"/>
      <c r="UFS518" s="332"/>
      <c r="UFT518" s="332"/>
      <c r="UFU518" s="332"/>
      <c r="UFV518" s="332"/>
      <c r="UFW518" s="332"/>
      <c r="UFX518" s="332"/>
      <c r="UFY518" s="332"/>
      <c r="UFZ518" s="332"/>
      <c r="UGA518" s="332"/>
      <c r="UGB518" s="332"/>
      <c r="UGC518" s="332"/>
      <c r="UGD518" s="332"/>
      <c r="UGE518" s="332"/>
      <c r="UGF518" s="332"/>
      <c r="UGG518" s="332"/>
      <c r="UGH518" s="332"/>
      <c r="UGI518" s="332"/>
      <c r="UGJ518" s="332"/>
      <c r="UGK518" s="332"/>
      <c r="UGL518" s="332"/>
      <c r="UGM518" s="332"/>
      <c r="UGN518" s="332"/>
      <c r="UGO518" s="332"/>
      <c r="UGP518" s="332"/>
      <c r="UGQ518" s="332"/>
      <c r="UGR518" s="332"/>
      <c r="UGS518" s="332"/>
      <c r="UGT518" s="332"/>
      <c r="UGU518" s="332"/>
      <c r="UGV518" s="332"/>
      <c r="UGW518" s="332"/>
      <c r="UGX518" s="332"/>
      <c r="UGY518" s="332"/>
      <c r="UGZ518" s="332"/>
      <c r="UHA518" s="332"/>
      <c r="UHB518" s="332"/>
      <c r="UHC518" s="332"/>
      <c r="UHD518" s="332"/>
      <c r="UHE518" s="332"/>
      <c r="UHF518" s="332"/>
      <c r="UHG518" s="332"/>
      <c r="UHH518" s="332"/>
      <c r="UHI518" s="332"/>
      <c r="UHJ518" s="332"/>
      <c r="UHK518" s="332"/>
      <c r="UHL518" s="332"/>
      <c r="UHM518" s="332"/>
      <c r="UHN518" s="332"/>
      <c r="UHO518" s="332"/>
      <c r="UHP518" s="332"/>
      <c r="UHQ518" s="332"/>
      <c r="UHR518" s="332"/>
      <c r="UHS518" s="332"/>
      <c r="UHT518" s="332"/>
      <c r="UHU518" s="332"/>
      <c r="UHV518" s="332"/>
      <c r="UHW518" s="332"/>
      <c r="UHX518" s="332"/>
      <c r="UHY518" s="332"/>
      <c r="UHZ518" s="332"/>
      <c r="UIA518" s="332"/>
      <c r="UIB518" s="332"/>
      <c r="UIC518" s="332"/>
      <c r="UID518" s="332"/>
      <c r="UIE518" s="332"/>
      <c r="UIF518" s="332"/>
      <c r="UIG518" s="332"/>
      <c r="UIH518" s="332"/>
      <c r="UII518" s="332"/>
      <c r="UIJ518" s="332"/>
      <c r="UIK518" s="332"/>
      <c r="UIL518" s="332"/>
      <c r="UIM518" s="332"/>
      <c r="UIN518" s="332"/>
      <c r="UIO518" s="332"/>
      <c r="UIP518" s="332"/>
      <c r="UIQ518" s="332"/>
      <c r="UIR518" s="332"/>
      <c r="UIS518" s="332"/>
      <c r="UIT518" s="332"/>
      <c r="UIU518" s="332"/>
      <c r="UIV518" s="332"/>
      <c r="UIW518" s="332"/>
      <c r="UIX518" s="332"/>
      <c r="UIY518" s="332"/>
      <c r="UIZ518" s="332"/>
      <c r="UJA518" s="332"/>
      <c r="UJB518" s="332"/>
      <c r="UJC518" s="332"/>
      <c r="UJD518" s="332"/>
      <c r="UJE518" s="332"/>
      <c r="UJF518" s="332"/>
      <c r="UJG518" s="332"/>
      <c r="UJH518" s="332"/>
      <c r="UJI518" s="332"/>
      <c r="UJJ518" s="332"/>
      <c r="UJK518" s="332"/>
      <c r="UJL518" s="332"/>
      <c r="UJM518" s="332"/>
      <c r="UJN518" s="332"/>
      <c r="UJO518" s="332"/>
      <c r="UJP518" s="332"/>
      <c r="UJQ518" s="332"/>
      <c r="UJR518" s="332"/>
      <c r="UJS518" s="332"/>
      <c r="UJT518" s="332"/>
      <c r="UJU518" s="332"/>
      <c r="UJV518" s="332"/>
      <c r="UJW518" s="332"/>
      <c r="UJX518" s="332"/>
      <c r="UJY518" s="332"/>
      <c r="UJZ518" s="332"/>
      <c r="UKA518" s="332"/>
      <c r="UKB518" s="332"/>
      <c r="UKC518" s="332"/>
      <c r="UKD518" s="332"/>
      <c r="UKE518" s="332"/>
      <c r="UKF518" s="332"/>
      <c r="UKG518" s="332"/>
      <c r="UKH518" s="332"/>
      <c r="UKI518" s="332"/>
      <c r="UKJ518" s="332"/>
      <c r="UKK518" s="332"/>
      <c r="UKL518" s="332"/>
      <c r="UKM518" s="332"/>
      <c r="UKN518" s="332"/>
      <c r="UKO518" s="332"/>
      <c r="UKP518" s="332"/>
      <c r="UKQ518" s="332"/>
      <c r="UKR518" s="332"/>
      <c r="UKS518" s="332"/>
      <c r="UKT518" s="332"/>
      <c r="UKU518" s="332"/>
      <c r="UKV518" s="332"/>
      <c r="UKW518" s="332"/>
      <c r="UKX518" s="332"/>
      <c r="UKY518" s="332"/>
      <c r="UKZ518" s="332"/>
      <c r="ULA518" s="332"/>
      <c r="ULB518" s="332"/>
      <c r="ULC518" s="332"/>
      <c r="ULD518" s="332"/>
      <c r="ULE518" s="332"/>
      <c r="ULF518" s="332"/>
      <c r="ULG518" s="332"/>
      <c r="ULH518" s="332"/>
      <c r="ULI518" s="332"/>
      <c r="ULJ518" s="332"/>
      <c r="ULK518" s="332"/>
      <c r="ULL518" s="332"/>
      <c r="ULM518" s="332"/>
      <c r="ULN518" s="332"/>
      <c r="ULO518" s="332"/>
      <c r="ULP518" s="332"/>
      <c r="ULQ518" s="332"/>
      <c r="ULR518" s="332"/>
      <c r="ULS518" s="332"/>
      <c r="ULT518" s="332"/>
      <c r="ULU518" s="332"/>
      <c r="ULV518" s="332"/>
      <c r="ULW518" s="332"/>
      <c r="ULX518" s="332"/>
      <c r="ULY518" s="332"/>
      <c r="ULZ518" s="332"/>
      <c r="UMA518" s="332"/>
      <c r="UMB518" s="332"/>
      <c r="UMC518" s="332"/>
      <c r="UMD518" s="332"/>
      <c r="UME518" s="332"/>
      <c r="UMF518" s="332"/>
      <c r="UMG518" s="332"/>
      <c r="UMH518" s="332"/>
      <c r="UMI518" s="332"/>
      <c r="UMJ518" s="332"/>
      <c r="UMK518" s="332"/>
      <c r="UML518" s="332"/>
      <c r="UMM518" s="332"/>
      <c r="UMN518" s="332"/>
      <c r="UMO518" s="332"/>
      <c r="UMP518" s="332"/>
      <c r="UMQ518" s="332"/>
      <c r="UMR518" s="332"/>
      <c r="UMS518" s="332"/>
      <c r="UMT518" s="332"/>
      <c r="UMU518" s="332"/>
      <c r="UMV518" s="332"/>
      <c r="UMW518" s="332"/>
      <c r="UMX518" s="332"/>
      <c r="UMY518" s="332"/>
      <c r="UMZ518" s="332"/>
      <c r="UNA518" s="332"/>
      <c r="UNB518" s="332"/>
      <c r="UNC518" s="332"/>
      <c r="UND518" s="332"/>
      <c r="UNE518" s="332"/>
      <c r="UNF518" s="332"/>
      <c r="UNG518" s="332"/>
      <c r="UNH518" s="332"/>
      <c r="UNI518" s="332"/>
      <c r="UNJ518" s="332"/>
      <c r="UNK518" s="332"/>
      <c r="UNL518" s="332"/>
      <c r="UNM518" s="332"/>
      <c r="UNN518" s="332"/>
      <c r="UNO518" s="332"/>
      <c r="UNP518" s="332"/>
      <c r="UNQ518" s="332"/>
      <c r="UNR518" s="332"/>
      <c r="UNS518" s="332"/>
      <c r="UNT518" s="332"/>
      <c r="UNU518" s="332"/>
      <c r="UNV518" s="332"/>
      <c r="UNW518" s="332"/>
      <c r="UNX518" s="332"/>
      <c r="UNY518" s="332"/>
      <c r="UNZ518" s="332"/>
      <c r="UOA518" s="332"/>
      <c r="UOB518" s="332"/>
      <c r="UOC518" s="332"/>
      <c r="UOD518" s="332"/>
      <c r="UOE518" s="332"/>
      <c r="UOF518" s="332"/>
      <c r="UOG518" s="332"/>
      <c r="UOH518" s="332"/>
      <c r="UOI518" s="332"/>
      <c r="UOJ518" s="332"/>
      <c r="UOK518" s="332"/>
      <c r="UOL518" s="332"/>
      <c r="UOM518" s="332"/>
      <c r="UON518" s="332"/>
      <c r="UOO518" s="332"/>
      <c r="UOP518" s="332"/>
      <c r="UOQ518" s="332"/>
      <c r="UOR518" s="332"/>
      <c r="UOS518" s="332"/>
      <c r="UOT518" s="332"/>
      <c r="UOU518" s="332"/>
      <c r="UOV518" s="332"/>
      <c r="UOW518" s="332"/>
      <c r="UOX518" s="332"/>
      <c r="UOY518" s="332"/>
      <c r="UOZ518" s="332"/>
      <c r="UPA518" s="332"/>
      <c r="UPB518" s="332"/>
      <c r="UPC518" s="332"/>
      <c r="UPD518" s="332"/>
      <c r="UPE518" s="332"/>
      <c r="UPF518" s="332"/>
      <c r="UPG518" s="332"/>
      <c r="UPH518" s="332"/>
      <c r="UPI518" s="332"/>
      <c r="UPJ518" s="332"/>
      <c r="UPK518" s="332"/>
      <c r="UPL518" s="332"/>
      <c r="UPM518" s="332"/>
      <c r="UPN518" s="332"/>
      <c r="UPO518" s="332"/>
      <c r="UPP518" s="332"/>
      <c r="UPQ518" s="332"/>
      <c r="UPR518" s="332"/>
      <c r="UPS518" s="332"/>
      <c r="UPT518" s="332"/>
      <c r="UPU518" s="332"/>
      <c r="UPV518" s="332"/>
      <c r="UPW518" s="332"/>
      <c r="UPX518" s="332"/>
      <c r="UPY518" s="332"/>
      <c r="UPZ518" s="332"/>
      <c r="UQA518" s="332"/>
      <c r="UQB518" s="332"/>
      <c r="UQC518" s="332"/>
      <c r="UQD518" s="332"/>
      <c r="UQE518" s="332"/>
      <c r="UQF518" s="332"/>
      <c r="UQG518" s="332"/>
      <c r="UQH518" s="332"/>
      <c r="UQI518" s="332"/>
      <c r="UQJ518" s="332"/>
      <c r="UQK518" s="332"/>
      <c r="UQL518" s="332"/>
      <c r="UQM518" s="332"/>
      <c r="UQN518" s="332"/>
      <c r="UQO518" s="332"/>
      <c r="UQP518" s="332"/>
      <c r="UQQ518" s="332"/>
      <c r="UQR518" s="332"/>
      <c r="UQS518" s="332"/>
      <c r="UQT518" s="332"/>
      <c r="UQU518" s="332"/>
      <c r="UQV518" s="332"/>
      <c r="UQW518" s="332"/>
      <c r="UQX518" s="332"/>
      <c r="UQY518" s="332"/>
      <c r="UQZ518" s="332"/>
      <c r="URA518" s="332"/>
      <c r="URB518" s="332"/>
      <c r="URC518" s="332"/>
      <c r="URD518" s="332"/>
      <c r="URE518" s="332"/>
      <c r="URF518" s="332"/>
      <c r="URG518" s="332"/>
      <c r="URH518" s="332"/>
      <c r="URI518" s="332"/>
      <c r="URJ518" s="332"/>
      <c r="URK518" s="332"/>
      <c r="URL518" s="332"/>
      <c r="URM518" s="332"/>
      <c r="URN518" s="332"/>
      <c r="URO518" s="332"/>
      <c r="URP518" s="332"/>
      <c r="URQ518" s="332"/>
      <c r="URR518" s="332"/>
      <c r="URS518" s="332"/>
      <c r="URT518" s="332"/>
      <c r="URU518" s="332"/>
      <c r="URV518" s="332"/>
      <c r="URW518" s="332"/>
      <c r="URX518" s="332"/>
      <c r="URY518" s="332"/>
      <c r="URZ518" s="332"/>
      <c r="USA518" s="332"/>
      <c r="USB518" s="332"/>
      <c r="USC518" s="332"/>
      <c r="USD518" s="332"/>
      <c r="USE518" s="332"/>
      <c r="USF518" s="332"/>
      <c r="USG518" s="332"/>
      <c r="USH518" s="332"/>
      <c r="USI518" s="332"/>
      <c r="USJ518" s="332"/>
      <c r="USK518" s="332"/>
      <c r="USL518" s="332"/>
      <c r="USM518" s="332"/>
      <c r="USN518" s="332"/>
      <c r="USO518" s="332"/>
      <c r="USP518" s="332"/>
      <c r="USQ518" s="332"/>
      <c r="USR518" s="332"/>
      <c r="USS518" s="332"/>
      <c r="UST518" s="332"/>
      <c r="USU518" s="332"/>
      <c r="USV518" s="332"/>
      <c r="USW518" s="332"/>
      <c r="USX518" s="332"/>
      <c r="USY518" s="332"/>
      <c r="USZ518" s="332"/>
      <c r="UTA518" s="332"/>
      <c r="UTB518" s="332"/>
      <c r="UTC518" s="332"/>
      <c r="UTD518" s="332"/>
      <c r="UTE518" s="332"/>
      <c r="UTF518" s="332"/>
      <c r="UTG518" s="332"/>
      <c r="UTH518" s="332"/>
      <c r="UTI518" s="332"/>
      <c r="UTJ518" s="332"/>
      <c r="UTK518" s="332"/>
      <c r="UTL518" s="332"/>
      <c r="UTM518" s="332"/>
      <c r="UTN518" s="332"/>
      <c r="UTO518" s="332"/>
      <c r="UTP518" s="332"/>
      <c r="UTQ518" s="332"/>
      <c r="UTR518" s="332"/>
      <c r="UTS518" s="332"/>
      <c r="UTT518" s="332"/>
      <c r="UTU518" s="332"/>
      <c r="UTV518" s="332"/>
      <c r="UTW518" s="332"/>
      <c r="UTX518" s="332"/>
      <c r="UTY518" s="332"/>
      <c r="UTZ518" s="332"/>
      <c r="UUA518" s="332"/>
      <c r="UUB518" s="332"/>
      <c r="UUC518" s="332"/>
      <c r="UUD518" s="332"/>
      <c r="UUE518" s="332"/>
      <c r="UUF518" s="332"/>
      <c r="UUG518" s="332"/>
      <c r="UUH518" s="332"/>
      <c r="UUI518" s="332"/>
      <c r="UUJ518" s="332"/>
      <c r="UUK518" s="332"/>
      <c r="UUL518" s="332"/>
      <c r="UUM518" s="332"/>
      <c r="UUN518" s="332"/>
      <c r="UUO518" s="332"/>
      <c r="UUP518" s="332"/>
      <c r="UUQ518" s="332"/>
      <c r="UUR518" s="332"/>
      <c r="UUS518" s="332"/>
      <c r="UUT518" s="332"/>
      <c r="UUU518" s="332"/>
      <c r="UUV518" s="332"/>
      <c r="UUW518" s="332"/>
      <c r="UUX518" s="332"/>
      <c r="UUY518" s="332"/>
      <c r="UUZ518" s="332"/>
      <c r="UVA518" s="332"/>
      <c r="UVB518" s="332"/>
      <c r="UVC518" s="332"/>
      <c r="UVD518" s="332"/>
      <c r="UVE518" s="332"/>
      <c r="UVF518" s="332"/>
      <c r="UVG518" s="332"/>
      <c r="UVH518" s="332"/>
      <c r="UVI518" s="332"/>
      <c r="UVJ518" s="332"/>
      <c r="UVK518" s="332"/>
      <c r="UVL518" s="332"/>
      <c r="UVM518" s="332"/>
      <c r="UVN518" s="332"/>
      <c r="UVO518" s="332"/>
      <c r="UVP518" s="332"/>
      <c r="UVQ518" s="332"/>
      <c r="UVR518" s="332"/>
      <c r="UVS518" s="332"/>
      <c r="UVT518" s="332"/>
      <c r="UVU518" s="332"/>
      <c r="UVV518" s="332"/>
      <c r="UVW518" s="332"/>
      <c r="UVX518" s="332"/>
      <c r="UVY518" s="332"/>
      <c r="UVZ518" s="332"/>
      <c r="UWA518" s="332"/>
      <c r="UWB518" s="332"/>
      <c r="UWC518" s="332"/>
      <c r="UWD518" s="332"/>
      <c r="UWE518" s="332"/>
      <c r="UWF518" s="332"/>
      <c r="UWG518" s="332"/>
      <c r="UWH518" s="332"/>
      <c r="UWI518" s="332"/>
      <c r="UWJ518" s="332"/>
      <c r="UWK518" s="332"/>
      <c r="UWL518" s="332"/>
      <c r="UWM518" s="332"/>
      <c r="UWN518" s="332"/>
      <c r="UWO518" s="332"/>
      <c r="UWP518" s="332"/>
      <c r="UWQ518" s="332"/>
      <c r="UWR518" s="332"/>
      <c r="UWS518" s="332"/>
      <c r="UWT518" s="332"/>
      <c r="UWU518" s="332"/>
      <c r="UWV518" s="332"/>
      <c r="UWW518" s="332"/>
      <c r="UWX518" s="332"/>
      <c r="UWY518" s="332"/>
      <c r="UWZ518" s="332"/>
      <c r="UXA518" s="332"/>
      <c r="UXB518" s="332"/>
      <c r="UXC518" s="332"/>
      <c r="UXD518" s="332"/>
      <c r="UXE518" s="332"/>
      <c r="UXF518" s="332"/>
      <c r="UXG518" s="332"/>
      <c r="UXH518" s="332"/>
      <c r="UXI518" s="332"/>
      <c r="UXJ518" s="332"/>
      <c r="UXK518" s="332"/>
      <c r="UXL518" s="332"/>
      <c r="UXM518" s="332"/>
      <c r="UXN518" s="332"/>
      <c r="UXO518" s="332"/>
      <c r="UXP518" s="332"/>
      <c r="UXQ518" s="332"/>
      <c r="UXR518" s="332"/>
      <c r="UXS518" s="332"/>
      <c r="UXT518" s="332"/>
      <c r="UXU518" s="332"/>
      <c r="UXV518" s="332"/>
      <c r="UXW518" s="332"/>
      <c r="UXX518" s="332"/>
      <c r="UXY518" s="332"/>
      <c r="UXZ518" s="332"/>
      <c r="UYA518" s="332"/>
      <c r="UYB518" s="332"/>
      <c r="UYC518" s="332"/>
      <c r="UYD518" s="332"/>
      <c r="UYE518" s="332"/>
      <c r="UYF518" s="332"/>
      <c r="UYG518" s="332"/>
      <c r="UYH518" s="332"/>
      <c r="UYI518" s="332"/>
      <c r="UYJ518" s="332"/>
      <c r="UYK518" s="332"/>
      <c r="UYL518" s="332"/>
      <c r="UYM518" s="332"/>
      <c r="UYN518" s="332"/>
      <c r="UYO518" s="332"/>
      <c r="UYP518" s="332"/>
      <c r="UYQ518" s="332"/>
      <c r="UYR518" s="332"/>
      <c r="UYS518" s="332"/>
      <c r="UYT518" s="332"/>
      <c r="UYU518" s="332"/>
      <c r="UYV518" s="332"/>
      <c r="UYW518" s="332"/>
      <c r="UYX518" s="332"/>
      <c r="UYY518" s="332"/>
      <c r="UYZ518" s="332"/>
      <c r="UZA518" s="332"/>
      <c r="UZB518" s="332"/>
      <c r="UZC518" s="332"/>
      <c r="UZD518" s="332"/>
      <c r="UZE518" s="332"/>
      <c r="UZF518" s="332"/>
      <c r="UZG518" s="332"/>
      <c r="UZH518" s="332"/>
      <c r="UZI518" s="332"/>
      <c r="UZJ518" s="332"/>
      <c r="UZK518" s="332"/>
      <c r="UZL518" s="332"/>
      <c r="UZM518" s="332"/>
      <c r="UZN518" s="332"/>
      <c r="UZO518" s="332"/>
      <c r="UZP518" s="332"/>
      <c r="UZQ518" s="332"/>
      <c r="UZR518" s="332"/>
      <c r="UZS518" s="332"/>
      <c r="UZT518" s="332"/>
      <c r="UZU518" s="332"/>
      <c r="UZV518" s="332"/>
      <c r="UZW518" s="332"/>
      <c r="UZX518" s="332"/>
      <c r="UZY518" s="332"/>
      <c r="UZZ518" s="332"/>
      <c r="VAA518" s="332"/>
      <c r="VAB518" s="332"/>
      <c r="VAC518" s="332"/>
      <c r="VAD518" s="332"/>
      <c r="VAE518" s="332"/>
      <c r="VAF518" s="332"/>
      <c r="VAG518" s="332"/>
      <c r="VAH518" s="332"/>
      <c r="VAI518" s="332"/>
      <c r="VAJ518" s="332"/>
      <c r="VAK518" s="332"/>
      <c r="VAL518" s="332"/>
      <c r="VAM518" s="332"/>
      <c r="VAN518" s="332"/>
      <c r="VAO518" s="332"/>
      <c r="VAP518" s="332"/>
      <c r="VAQ518" s="332"/>
      <c r="VAR518" s="332"/>
      <c r="VAS518" s="332"/>
      <c r="VAT518" s="332"/>
      <c r="VAU518" s="332"/>
      <c r="VAV518" s="332"/>
      <c r="VAW518" s="332"/>
      <c r="VAX518" s="332"/>
      <c r="VAY518" s="332"/>
      <c r="VAZ518" s="332"/>
      <c r="VBA518" s="332"/>
      <c r="VBB518" s="332"/>
      <c r="VBC518" s="332"/>
      <c r="VBD518" s="332"/>
      <c r="VBE518" s="332"/>
      <c r="VBF518" s="332"/>
      <c r="VBG518" s="332"/>
      <c r="VBH518" s="332"/>
      <c r="VBI518" s="332"/>
      <c r="VBJ518" s="332"/>
      <c r="VBK518" s="332"/>
      <c r="VBL518" s="332"/>
      <c r="VBM518" s="332"/>
      <c r="VBN518" s="332"/>
      <c r="VBO518" s="332"/>
      <c r="VBP518" s="332"/>
      <c r="VBQ518" s="332"/>
      <c r="VBR518" s="332"/>
      <c r="VBS518" s="332"/>
      <c r="VBT518" s="332"/>
      <c r="VBU518" s="332"/>
      <c r="VBV518" s="332"/>
      <c r="VBW518" s="332"/>
      <c r="VBX518" s="332"/>
      <c r="VBY518" s="332"/>
      <c r="VBZ518" s="332"/>
      <c r="VCA518" s="332"/>
      <c r="VCB518" s="332"/>
      <c r="VCC518" s="332"/>
      <c r="VCD518" s="332"/>
      <c r="VCE518" s="332"/>
      <c r="VCF518" s="332"/>
      <c r="VCG518" s="332"/>
      <c r="VCH518" s="332"/>
      <c r="VCI518" s="332"/>
      <c r="VCJ518" s="332"/>
      <c r="VCK518" s="332"/>
      <c r="VCL518" s="332"/>
      <c r="VCM518" s="332"/>
      <c r="VCN518" s="332"/>
      <c r="VCO518" s="332"/>
      <c r="VCP518" s="332"/>
      <c r="VCQ518" s="332"/>
      <c r="VCR518" s="332"/>
      <c r="VCS518" s="332"/>
      <c r="VCT518" s="332"/>
      <c r="VCU518" s="332"/>
      <c r="VCV518" s="332"/>
      <c r="VCW518" s="332"/>
      <c r="VCX518" s="332"/>
      <c r="VCY518" s="332"/>
      <c r="VCZ518" s="332"/>
      <c r="VDA518" s="332"/>
      <c r="VDB518" s="332"/>
      <c r="VDC518" s="332"/>
      <c r="VDD518" s="332"/>
      <c r="VDE518" s="332"/>
      <c r="VDF518" s="332"/>
      <c r="VDG518" s="332"/>
      <c r="VDH518" s="332"/>
      <c r="VDI518" s="332"/>
      <c r="VDJ518" s="332"/>
      <c r="VDK518" s="332"/>
      <c r="VDL518" s="332"/>
      <c r="VDM518" s="332"/>
      <c r="VDN518" s="332"/>
      <c r="VDO518" s="332"/>
      <c r="VDP518" s="332"/>
      <c r="VDQ518" s="332"/>
      <c r="VDR518" s="332"/>
      <c r="VDS518" s="332"/>
      <c r="VDT518" s="332"/>
      <c r="VDU518" s="332"/>
      <c r="VDV518" s="332"/>
      <c r="VDW518" s="332"/>
      <c r="VDX518" s="332"/>
      <c r="VDY518" s="332"/>
      <c r="VDZ518" s="332"/>
      <c r="VEA518" s="332"/>
      <c r="VEB518" s="332"/>
      <c r="VEC518" s="332"/>
      <c r="VED518" s="332"/>
      <c r="VEE518" s="332"/>
      <c r="VEF518" s="332"/>
      <c r="VEG518" s="332"/>
      <c r="VEH518" s="332"/>
      <c r="VEI518" s="332"/>
      <c r="VEJ518" s="332"/>
      <c r="VEK518" s="332"/>
      <c r="VEL518" s="332"/>
      <c r="VEM518" s="332"/>
      <c r="VEN518" s="332"/>
      <c r="VEO518" s="332"/>
      <c r="VEP518" s="332"/>
      <c r="VEQ518" s="332"/>
      <c r="VER518" s="332"/>
      <c r="VES518" s="332"/>
      <c r="VET518" s="332"/>
      <c r="VEU518" s="332"/>
      <c r="VEV518" s="332"/>
      <c r="VEW518" s="332"/>
      <c r="VEX518" s="332"/>
      <c r="VEY518" s="332"/>
      <c r="VEZ518" s="332"/>
      <c r="VFA518" s="332"/>
      <c r="VFB518" s="332"/>
      <c r="VFC518" s="332"/>
      <c r="VFD518" s="332"/>
      <c r="VFE518" s="332"/>
      <c r="VFF518" s="332"/>
      <c r="VFG518" s="332"/>
      <c r="VFH518" s="332"/>
      <c r="VFI518" s="332"/>
      <c r="VFJ518" s="332"/>
      <c r="VFK518" s="332"/>
      <c r="VFL518" s="332"/>
      <c r="VFM518" s="332"/>
      <c r="VFN518" s="332"/>
      <c r="VFO518" s="332"/>
      <c r="VFP518" s="332"/>
      <c r="VFQ518" s="332"/>
      <c r="VFR518" s="332"/>
      <c r="VFS518" s="332"/>
      <c r="VFT518" s="332"/>
      <c r="VFU518" s="332"/>
      <c r="VFV518" s="332"/>
      <c r="VFW518" s="332"/>
      <c r="VFX518" s="332"/>
      <c r="VFY518" s="332"/>
      <c r="VFZ518" s="332"/>
      <c r="VGA518" s="332"/>
      <c r="VGB518" s="332"/>
      <c r="VGC518" s="332"/>
      <c r="VGD518" s="332"/>
      <c r="VGE518" s="332"/>
      <c r="VGF518" s="332"/>
      <c r="VGG518" s="332"/>
      <c r="VGH518" s="332"/>
      <c r="VGI518" s="332"/>
      <c r="VGJ518" s="332"/>
      <c r="VGK518" s="332"/>
      <c r="VGL518" s="332"/>
      <c r="VGM518" s="332"/>
      <c r="VGN518" s="332"/>
      <c r="VGO518" s="332"/>
      <c r="VGP518" s="332"/>
      <c r="VGQ518" s="332"/>
      <c r="VGR518" s="332"/>
      <c r="VGS518" s="332"/>
      <c r="VGT518" s="332"/>
      <c r="VGU518" s="332"/>
      <c r="VGV518" s="332"/>
      <c r="VGW518" s="332"/>
      <c r="VGX518" s="332"/>
      <c r="VGY518" s="332"/>
      <c r="VGZ518" s="332"/>
      <c r="VHA518" s="332"/>
      <c r="VHB518" s="332"/>
      <c r="VHC518" s="332"/>
      <c r="VHD518" s="332"/>
      <c r="VHE518" s="332"/>
      <c r="VHF518" s="332"/>
      <c r="VHG518" s="332"/>
      <c r="VHH518" s="332"/>
      <c r="VHI518" s="332"/>
      <c r="VHJ518" s="332"/>
      <c r="VHK518" s="332"/>
      <c r="VHL518" s="332"/>
      <c r="VHM518" s="332"/>
      <c r="VHN518" s="332"/>
      <c r="VHO518" s="332"/>
      <c r="VHP518" s="332"/>
      <c r="VHQ518" s="332"/>
      <c r="VHR518" s="332"/>
      <c r="VHS518" s="332"/>
      <c r="VHT518" s="332"/>
      <c r="VHU518" s="332"/>
      <c r="VHV518" s="332"/>
      <c r="VHW518" s="332"/>
      <c r="VHX518" s="332"/>
      <c r="VHY518" s="332"/>
      <c r="VHZ518" s="332"/>
      <c r="VIA518" s="332"/>
      <c r="VIB518" s="332"/>
      <c r="VIC518" s="332"/>
      <c r="VID518" s="332"/>
      <c r="VIE518" s="332"/>
      <c r="VIF518" s="332"/>
      <c r="VIG518" s="332"/>
      <c r="VIH518" s="332"/>
      <c r="VII518" s="332"/>
      <c r="VIJ518" s="332"/>
      <c r="VIK518" s="332"/>
      <c r="VIL518" s="332"/>
      <c r="VIM518" s="332"/>
      <c r="VIN518" s="332"/>
      <c r="VIO518" s="332"/>
      <c r="VIP518" s="332"/>
      <c r="VIQ518" s="332"/>
      <c r="VIR518" s="332"/>
      <c r="VIS518" s="332"/>
      <c r="VIT518" s="332"/>
      <c r="VIU518" s="332"/>
      <c r="VIV518" s="332"/>
      <c r="VIW518" s="332"/>
      <c r="VIX518" s="332"/>
      <c r="VIY518" s="332"/>
      <c r="VIZ518" s="332"/>
      <c r="VJA518" s="332"/>
      <c r="VJB518" s="332"/>
      <c r="VJC518" s="332"/>
      <c r="VJD518" s="332"/>
      <c r="VJE518" s="332"/>
      <c r="VJF518" s="332"/>
      <c r="VJG518" s="332"/>
      <c r="VJH518" s="332"/>
      <c r="VJI518" s="332"/>
      <c r="VJJ518" s="332"/>
      <c r="VJK518" s="332"/>
      <c r="VJL518" s="332"/>
      <c r="VJM518" s="332"/>
      <c r="VJN518" s="332"/>
      <c r="VJO518" s="332"/>
      <c r="VJP518" s="332"/>
      <c r="VJQ518" s="332"/>
      <c r="VJR518" s="332"/>
      <c r="VJS518" s="332"/>
      <c r="VJT518" s="332"/>
      <c r="VJU518" s="332"/>
      <c r="VJV518" s="332"/>
      <c r="VJW518" s="332"/>
      <c r="VJX518" s="332"/>
      <c r="VJY518" s="332"/>
      <c r="VJZ518" s="332"/>
      <c r="VKA518" s="332"/>
      <c r="VKB518" s="332"/>
      <c r="VKC518" s="332"/>
      <c r="VKD518" s="332"/>
      <c r="VKE518" s="332"/>
      <c r="VKF518" s="332"/>
      <c r="VKG518" s="332"/>
      <c r="VKH518" s="332"/>
      <c r="VKI518" s="332"/>
      <c r="VKJ518" s="332"/>
      <c r="VKK518" s="332"/>
      <c r="VKL518" s="332"/>
      <c r="VKM518" s="332"/>
      <c r="VKN518" s="332"/>
      <c r="VKO518" s="332"/>
      <c r="VKP518" s="332"/>
      <c r="VKQ518" s="332"/>
      <c r="VKR518" s="332"/>
      <c r="VKS518" s="332"/>
      <c r="VKT518" s="332"/>
      <c r="VKU518" s="332"/>
      <c r="VKV518" s="332"/>
      <c r="VKW518" s="332"/>
      <c r="VKX518" s="332"/>
      <c r="VKY518" s="332"/>
      <c r="VKZ518" s="332"/>
      <c r="VLA518" s="332"/>
      <c r="VLB518" s="332"/>
      <c r="VLC518" s="332"/>
      <c r="VLD518" s="332"/>
      <c r="VLE518" s="332"/>
      <c r="VLF518" s="332"/>
      <c r="VLG518" s="332"/>
      <c r="VLH518" s="332"/>
      <c r="VLI518" s="332"/>
      <c r="VLJ518" s="332"/>
      <c r="VLK518" s="332"/>
      <c r="VLL518" s="332"/>
      <c r="VLM518" s="332"/>
      <c r="VLN518" s="332"/>
      <c r="VLO518" s="332"/>
      <c r="VLP518" s="332"/>
      <c r="VLQ518" s="332"/>
      <c r="VLR518" s="332"/>
      <c r="VLS518" s="332"/>
      <c r="VLT518" s="332"/>
      <c r="VLU518" s="332"/>
      <c r="VLV518" s="332"/>
      <c r="VLW518" s="332"/>
      <c r="VLX518" s="332"/>
      <c r="VLY518" s="332"/>
      <c r="VLZ518" s="332"/>
      <c r="VMA518" s="332"/>
      <c r="VMB518" s="332"/>
      <c r="VMC518" s="332"/>
      <c r="VMD518" s="332"/>
      <c r="VME518" s="332"/>
      <c r="VMF518" s="332"/>
      <c r="VMG518" s="332"/>
      <c r="VMH518" s="332"/>
      <c r="VMI518" s="332"/>
      <c r="VMJ518" s="332"/>
      <c r="VMK518" s="332"/>
      <c r="VML518" s="332"/>
      <c r="VMM518" s="332"/>
      <c r="VMN518" s="332"/>
      <c r="VMO518" s="332"/>
      <c r="VMP518" s="332"/>
      <c r="VMQ518" s="332"/>
      <c r="VMR518" s="332"/>
      <c r="VMS518" s="332"/>
      <c r="VMT518" s="332"/>
      <c r="VMU518" s="332"/>
      <c r="VMV518" s="332"/>
      <c r="VMW518" s="332"/>
      <c r="VMX518" s="332"/>
      <c r="VMY518" s="332"/>
      <c r="VMZ518" s="332"/>
      <c r="VNA518" s="332"/>
      <c r="VNB518" s="332"/>
      <c r="VNC518" s="332"/>
      <c r="VND518" s="332"/>
      <c r="VNE518" s="332"/>
      <c r="VNF518" s="332"/>
      <c r="VNG518" s="332"/>
      <c r="VNH518" s="332"/>
      <c r="VNI518" s="332"/>
      <c r="VNJ518" s="332"/>
      <c r="VNK518" s="332"/>
      <c r="VNL518" s="332"/>
      <c r="VNM518" s="332"/>
      <c r="VNN518" s="332"/>
      <c r="VNO518" s="332"/>
      <c r="VNP518" s="332"/>
      <c r="VNQ518" s="332"/>
      <c r="VNR518" s="332"/>
      <c r="VNS518" s="332"/>
      <c r="VNT518" s="332"/>
      <c r="VNU518" s="332"/>
      <c r="VNV518" s="332"/>
      <c r="VNW518" s="332"/>
      <c r="VNX518" s="332"/>
      <c r="VNY518" s="332"/>
      <c r="VNZ518" s="332"/>
      <c r="VOA518" s="332"/>
      <c r="VOB518" s="332"/>
      <c r="VOC518" s="332"/>
      <c r="VOD518" s="332"/>
      <c r="VOE518" s="332"/>
      <c r="VOF518" s="332"/>
      <c r="VOG518" s="332"/>
      <c r="VOH518" s="332"/>
      <c r="VOI518" s="332"/>
      <c r="VOJ518" s="332"/>
      <c r="VOK518" s="332"/>
      <c r="VOL518" s="332"/>
      <c r="VOM518" s="332"/>
      <c r="VON518" s="332"/>
      <c r="VOO518" s="332"/>
      <c r="VOP518" s="332"/>
      <c r="VOQ518" s="332"/>
      <c r="VOR518" s="332"/>
      <c r="VOS518" s="332"/>
      <c r="VOT518" s="332"/>
      <c r="VOU518" s="332"/>
      <c r="VOV518" s="332"/>
      <c r="VOW518" s="332"/>
      <c r="VOX518" s="332"/>
      <c r="VOY518" s="332"/>
      <c r="VOZ518" s="332"/>
      <c r="VPA518" s="332"/>
      <c r="VPB518" s="332"/>
      <c r="VPC518" s="332"/>
      <c r="VPD518" s="332"/>
      <c r="VPE518" s="332"/>
      <c r="VPF518" s="332"/>
      <c r="VPG518" s="332"/>
      <c r="VPH518" s="332"/>
      <c r="VPI518" s="332"/>
      <c r="VPJ518" s="332"/>
      <c r="VPK518" s="332"/>
      <c r="VPL518" s="332"/>
      <c r="VPM518" s="332"/>
      <c r="VPN518" s="332"/>
      <c r="VPO518" s="332"/>
      <c r="VPP518" s="332"/>
      <c r="VPQ518" s="332"/>
      <c r="VPR518" s="332"/>
      <c r="VPS518" s="332"/>
      <c r="VPT518" s="332"/>
      <c r="VPU518" s="332"/>
      <c r="VPV518" s="332"/>
      <c r="VPW518" s="332"/>
      <c r="VPX518" s="332"/>
      <c r="VPY518" s="332"/>
      <c r="VPZ518" s="332"/>
      <c r="VQA518" s="332"/>
      <c r="VQB518" s="332"/>
      <c r="VQC518" s="332"/>
      <c r="VQD518" s="332"/>
      <c r="VQE518" s="332"/>
      <c r="VQF518" s="332"/>
      <c r="VQG518" s="332"/>
      <c r="VQH518" s="332"/>
      <c r="VQI518" s="332"/>
      <c r="VQJ518" s="332"/>
      <c r="VQK518" s="332"/>
      <c r="VQL518" s="332"/>
      <c r="VQM518" s="332"/>
      <c r="VQN518" s="332"/>
      <c r="VQO518" s="332"/>
      <c r="VQP518" s="332"/>
      <c r="VQQ518" s="332"/>
      <c r="VQR518" s="332"/>
      <c r="VQS518" s="332"/>
      <c r="VQT518" s="332"/>
      <c r="VQU518" s="332"/>
      <c r="VQV518" s="332"/>
      <c r="VQW518" s="332"/>
      <c r="VQX518" s="332"/>
      <c r="VQY518" s="332"/>
      <c r="VQZ518" s="332"/>
      <c r="VRA518" s="332"/>
      <c r="VRB518" s="332"/>
      <c r="VRC518" s="332"/>
      <c r="VRD518" s="332"/>
      <c r="VRE518" s="332"/>
      <c r="VRF518" s="332"/>
      <c r="VRG518" s="332"/>
      <c r="VRH518" s="332"/>
      <c r="VRI518" s="332"/>
      <c r="VRJ518" s="332"/>
      <c r="VRK518" s="332"/>
      <c r="VRL518" s="332"/>
      <c r="VRM518" s="332"/>
      <c r="VRN518" s="332"/>
      <c r="VRO518" s="332"/>
      <c r="VRP518" s="332"/>
      <c r="VRQ518" s="332"/>
      <c r="VRR518" s="332"/>
      <c r="VRS518" s="332"/>
      <c r="VRT518" s="332"/>
      <c r="VRU518" s="332"/>
      <c r="VRV518" s="332"/>
      <c r="VRW518" s="332"/>
      <c r="VRX518" s="332"/>
      <c r="VRY518" s="332"/>
      <c r="VRZ518" s="332"/>
      <c r="VSA518" s="332"/>
      <c r="VSB518" s="332"/>
      <c r="VSC518" s="332"/>
      <c r="VSD518" s="332"/>
      <c r="VSE518" s="332"/>
      <c r="VSF518" s="332"/>
      <c r="VSG518" s="332"/>
      <c r="VSH518" s="332"/>
      <c r="VSI518" s="332"/>
      <c r="VSJ518" s="332"/>
      <c r="VSK518" s="332"/>
      <c r="VSL518" s="332"/>
      <c r="VSM518" s="332"/>
      <c r="VSN518" s="332"/>
      <c r="VSO518" s="332"/>
      <c r="VSP518" s="332"/>
      <c r="VSQ518" s="332"/>
      <c r="VSR518" s="332"/>
      <c r="VSS518" s="332"/>
      <c r="VST518" s="332"/>
      <c r="VSU518" s="332"/>
      <c r="VSV518" s="332"/>
      <c r="VSW518" s="332"/>
      <c r="VSX518" s="332"/>
      <c r="VSY518" s="332"/>
      <c r="VSZ518" s="332"/>
      <c r="VTA518" s="332"/>
      <c r="VTB518" s="332"/>
      <c r="VTC518" s="332"/>
      <c r="VTD518" s="332"/>
      <c r="VTE518" s="332"/>
      <c r="VTF518" s="332"/>
      <c r="VTG518" s="332"/>
      <c r="VTH518" s="332"/>
      <c r="VTI518" s="332"/>
      <c r="VTJ518" s="332"/>
      <c r="VTK518" s="332"/>
      <c r="VTL518" s="332"/>
      <c r="VTM518" s="332"/>
      <c r="VTN518" s="332"/>
      <c r="VTO518" s="332"/>
      <c r="VTP518" s="332"/>
      <c r="VTQ518" s="332"/>
      <c r="VTR518" s="332"/>
      <c r="VTS518" s="332"/>
      <c r="VTT518" s="332"/>
      <c r="VTU518" s="332"/>
      <c r="VTV518" s="332"/>
      <c r="VTW518" s="332"/>
      <c r="VTX518" s="332"/>
      <c r="VTY518" s="332"/>
      <c r="VTZ518" s="332"/>
      <c r="VUA518" s="332"/>
      <c r="VUB518" s="332"/>
      <c r="VUC518" s="332"/>
      <c r="VUD518" s="332"/>
      <c r="VUE518" s="332"/>
      <c r="VUF518" s="332"/>
      <c r="VUG518" s="332"/>
      <c r="VUH518" s="332"/>
      <c r="VUI518" s="332"/>
      <c r="VUJ518" s="332"/>
      <c r="VUK518" s="332"/>
      <c r="VUL518" s="332"/>
      <c r="VUM518" s="332"/>
      <c r="VUN518" s="332"/>
      <c r="VUO518" s="332"/>
      <c r="VUP518" s="332"/>
      <c r="VUQ518" s="332"/>
      <c r="VUR518" s="332"/>
      <c r="VUS518" s="332"/>
      <c r="VUT518" s="332"/>
      <c r="VUU518" s="332"/>
      <c r="VUV518" s="332"/>
      <c r="VUW518" s="332"/>
      <c r="VUX518" s="332"/>
      <c r="VUY518" s="332"/>
      <c r="VUZ518" s="332"/>
      <c r="VVA518" s="332"/>
      <c r="VVB518" s="332"/>
      <c r="VVC518" s="332"/>
      <c r="VVD518" s="332"/>
      <c r="VVE518" s="332"/>
      <c r="VVF518" s="332"/>
      <c r="VVG518" s="332"/>
      <c r="VVH518" s="332"/>
      <c r="VVI518" s="332"/>
      <c r="VVJ518" s="332"/>
      <c r="VVK518" s="332"/>
      <c r="VVL518" s="332"/>
      <c r="VVM518" s="332"/>
      <c r="VVN518" s="332"/>
      <c r="VVO518" s="332"/>
      <c r="VVP518" s="332"/>
      <c r="VVQ518" s="332"/>
      <c r="VVR518" s="332"/>
      <c r="VVS518" s="332"/>
      <c r="VVT518" s="332"/>
      <c r="VVU518" s="332"/>
      <c r="VVV518" s="332"/>
      <c r="VVW518" s="332"/>
      <c r="VVX518" s="332"/>
      <c r="VVY518" s="332"/>
      <c r="VVZ518" s="332"/>
      <c r="VWA518" s="332"/>
      <c r="VWB518" s="332"/>
      <c r="VWC518" s="332"/>
      <c r="VWD518" s="332"/>
      <c r="VWE518" s="332"/>
      <c r="VWF518" s="332"/>
      <c r="VWG518" s="332"/>
      <c r="VWH518" s="332"/>
      <c r="VWI518" s="332"/>
      <c r="VWJ518" s="332"/>
      <c r="VWK518" s="332"/>
      <c r="VWL518" s="332"/>
      <c r="VWM518" s="332"/>
      <c r="VWN518" s="332"/>
      <c r="VWO518" s="332"/>
      <c r="VWP518" s="332"/>
      <c r="VWQ518" s="332"/>
      <c r="VWR518" s="332"/>
      <c r="VWS518" s="332"/>
      <c r="VWT518" s="332"/>
      <c r="VWU518" s="332"/>
      <c r="VWV518" s="332"/>
      <c r="VWW518" s="332"/>
      <c r="VWX518" s="332"/>
      <c r="VWY518" s="332"/>
      <c r="VWZ518" s="332"/>
      <c r="VXA518" s="332"/>
      <c r="VXB518" s="332"/>
      <c r="VXC518" s="332"/>
      <c r="VXD518" s="332"/>
      <c r="VXE518" s="332"/>
      <c r="VXF518" s="332"/>
      <c r="VXG518" s="332"/>
      <c r="VXH518" s="332"/>
      <c r="VXI518" s="332"/>
      <c r="VXJ518" s="332"/>
      <c r="VXK518" s="332"/>
      <c r="VXL518" s="332"/>
      <c r="VXM518" s="332"/>
      <c r="VXN518" s="332"/>
      <c r="VXO518" s="332"/>
      <c r="VXP518" s="332"/>
      <c r="VXQ518" s="332"/>
      <c r="VXR518" s="332"/>
      <c r="VXS518" s="332"/>
      <c r="VXT518" s="332"/>
      <c r="VXU518" s="332"/>
      <c r="VXV518" s="332"/>
      <c r="VXW518" s="332"/>
      <c r="VXX518" s="332"/>
      <c r="VXY518" s="332"/>
      <c r="VXZ518" s="332"/>
      <c r="VYA518" s="332"/>
      <c r="VYB518" s="332"/>
      <c r="VYC518" s="332"/>
      <c r="VYD518" s="332"/>
      <c r="VYE518" s="332"/>
      <c r="VYF518" s="332"/>
      <c r="VYG518" s="332"/>
      <c r="VYH518" s="332"/>
      <c r="VYI518" s="332"/>
      <c r="VYJ518" s="332"/>
      <c r="VYK518" s="332"/>
      <c r="VYL518" s="332"/>
      <c r="VYM518" s="332"/>
      <c r="VYN518" s="332"/>
      <c r="VYO518" s="332"/>
      <c r="VYP518" s="332"/>
      <c r="VYQ518" s="332"/>
      <c r="VYR518" s="332"/>
      <c r="VYS518" s="332"/>
      <c r="VYT518" s="332"/>
      <c r="VYU518" s="332"/>
      <c r="VYV518" s="332"/>
      <c r="VYW518" s="332"/>
      <c r="VYX518" s="332"/>
      <c r="VYY518" s="332"/>
      <c r="VYZ518" s="332"/>
      <c r="VZA518" s="332"/>
      <c r="VZB518" s="332"/>
      <c r="VZC518" s="332"/>
      <c r="VZD518" s="332"/>
      <c r="VZE518" s="332"/>
      <c r="VZF518" s="332"/>
      <c r="VZG518" s="332"/>
      <c r="VZH518" s="332"/>
      <c r="VZI518" s="332"/>
      <c r="VZJ518" s="332"/>
      <c r="VZK518" s="332"/>
      <c r="VZL518" s="332"/>
      <c r="VZM518" s="332"/>
      <c r="VZN518" s="332"/>
      <c r="VZO518" s="332"/>
      <c r="VZP518" s="332"/>
      <c r="VZQ518" s="332"/>
      <c r="VZR518" s="332"/>
      <c r="VZS518" s="332"/>
      <c r="VZT518" s="332"/>
      <c r="VZU518" s="332"/>
      <c r="VZV518" s="332"/>
      <c r="VZW518" s="332"/>
      <c r="VZX518" s="332"/>
      <c r="VZY518" s="332"/>
      <c r="VZZ518" s="332"/>
      <c r="WAA518" s="332"/>
      <c r="WAB518" s="332"/>
      <c r="WAC518" s="332"/>
      <c r="WAD518" s="332"/>
      <c r="WAE518" s="332"/>
      <c r="WAF518" s="332"/>
      <c r="WAG518" s="332"/>
      <c r="WAH518" s="332"/>
      <c r="WAI518" s="332"/>
      <c r="WAJ518" s="332"/>
      <c r="WAK518" s="332"/>
      <c r="WAL518" s="332"/>
      <c r="WAM518" s="332"/>
      <c r="WAN518" s="332"/>
      <c r="WAO518" s="332"/>
      <c r="WAP518" s="332"/>
      <c r="WAQ518" s="332"/>
      <c r="WAR518" s="332"/>
      <c r="WAS518" s="332"/>
      <c r="WAT518" s="332"/>
      <c r="WAU518" s="332"/>
      <c r="WAV518" s="332"/>
      <c r="WAW518" s="332"/>
      <c r="WAX518" s="332"/>
      <c r="WAY518" s="332"/>
      <c r="WAZ518" s="332"/>
      <c r="WBA518" s="332"/>
      <c r="WBB518" s="332"/>
      <c r="WBC518" s="332"/>
      <c r="WBD518" s="332"/>
      <c r="WBE518" s="332"/>
      <c r="WBF518" s="332"/>
      <c r="WBG518" s="332"/>
      <c r="WBH518" s="332"/>
      <c r="WBI518" s="332"/>
      <c r="WBJ518" s="332"/>
      <c r="WBK518" s="332"/>
      <c r="WBL518" s="332"/>
      <c r="WBM518" s="332"/>
      <c r="WBN518" s="332"/>
      <c r="WBO518" s="332"/>
      <c r="WBP518" s="332"/>
      <c r="WBQ518" s="332"/>
      <c r="WBR518" s="332"/>
      <c r="WBS518" s="332"/>
      <c r="WBT518" s="332"/>
      <c r="WBU518" s="332"/>
      <c r="WBV518" s="332"/>
      <c r="WBW518" s="332"/>
      <c r="WBX518" s="332"/>
      <c r="WBY518" s="332"/>
      <c r="WBZ518" s="332"/>
      <c r="WCA518" s="332"/>
      <c r="WCB518" s="332"/>
      <c r="WCC518" s="332"/>
      <c r="WCD518" s="332"/>
      <c r="WCE518" s="332"/>
      <c r="WCF518" s="332"/>
      <c r="WCG518" s="332"/>
      <c r="WCH518" s="332"/>
      <c r="WCI518" s="332"/>
      <c r="WCJ518" s="332"/>
      <c r="WCK518" s="332"/>
      <c r="WCL518" s="332"/>
      <c r="WCM518" s="332"/>
      <c r="WCN518" s="332"/>
      <c r="WCO518" s="332"/>
      <c r="WCP518" s="332"/>
      <c r="WCQ518" s="332"/>
      <c r="WCR518" s="332"/>
      <c r="WCS518" s="332"/>
      <c r="WCT518" s="332"/>
      <c r="WCU518" s="332"/>
      <c r="WCV518" s="332"/>
      <c r="WCW518" s="332"/>
      <c r="WCX518" s="332"/>
      <c r="WCY518" s="332"/>
      <c r="WCZ518" s="332"/>
      <c r="WDA518" s="332"/>
      <c r="WDB518" s="332"/>
      <c r="WDC518" s="332"/>
      <c r="WDD518" s="332"/>
      <c r="WDE518" s="332"/>
      <c r="WDF518" s="332"/>
      <c r="WDG518" s="332"/>
      <c r="WDH518" s="332"/>
      <c r="WDI518" s="332"/>
      <c r="WDJ518" s="332"/>
      <c r="WDK518" s="332"/>
      <c r="WDL518" s="332"/>
      <c r="WDM518" s="332"/>
      <c r="WDN518" s="332"/>
      <c r="WDO518" s="332"/>
      <c r="WDP518" s="332"/>
      <c r="WDQ518" s="332"/>
      <c r="WDR518" s="332"/>
      <c r="WDS518" s="332"/>
      <c r="WDT518" s="332"/>
      <c r="WDU518" s="332"/>
      <c r="WDV518" s="332"/>
      <c r="WDW518" s="332"/>
      <c r="WDX518" s="332"/>
      <c r="WDY518" s="332"/>
      <c r="WDZ518" s="332"/>
      <c r="WEA518" s="332"/>
      <c r="WEB518" s="332"/>
      <c r="WEC518" s="332"/>
      <c r="WED518" s="332"/>
      <c r="WEE518" s="332"/>
      <c r="WEF518" s="332"/>
      <c r="WEG518" s="332"/>
      <c r="WEH518" s="332"/>
      <c r="WEI518" s="332"/>
      <c r="WEJ518" s="332"/>
      <c r="WEK518" s="332"/>
      <c r="WEL518" s="332"/>
      <c r="WEM518" s="332"/>
      <c r="WEN518" s="332"/>
      <c r="WEO518" s="332"/>
      <c r="WEP518" s="332"/>
      <c r="WEQ518" s="332"/>
      <c r="WER518" s="332"/>
      <c r="WES518" s="332"/>
      <c r="WET518" s="332"/>
      <c r="WEU518" s="332"/>
      <c r="WEV518" s="332"/>
      <c r="WEW518" s="332"/>
      <c r="WEX518" s="332"/>
      <c r="WEY518" s="332"/>
      <c r="WEZ518" s="332"/>
      <c r="WFA518" s="332"/>
      <c r="WFB518" s="332"/>
      <c r="WFC518" s="332"/>
      <c r="WFD518" s="332"/>
      <c r="WFE518" s="332"/>
      <c r="WFF518" s="332"/>
      <c r="WFG518" s="332"/>
      <c r="WFH518" s="332"/>
      <c r="WFI518" s="332"/>
      <c r="WFJ518" s="332"/>
      <c r="WFK518" s="332"/>
      <c r="WFL518" s="332"/>
      <c r="WFM518" s="332"/>
      <c r="WFN518" s="332"/>
      <c r="WFO518" s="332"/>
      <c r="WFP518" s="332"/>
      <c r="WFQ518" s="332"/>
      <c r="WFR518" s="332"/>
      <c r="WFS518" s="332"/>
      <c r="WFT518" s="332"/>
      <c r="WFU518" s="332"/>
      <c r="WFV518" s="332"/>
      <c r="WFW518" s="332"/>
      <c r="WFX518" s="332"/>
      <c r="WFY518" s="332"/>
      <c r="WFZ518" s="332"/>
      <c r="WGA518" s="332"/>
      <c r="WGB518" s="332"/>
      <c r="WGC518" s="332"/>
      <c r="WGD518" s="332"/>
      <c r="WGE518" s="332"/>
      <c r="WGF518" s="332"/>
      <c r="WGG518" s="332"/>
      <c r="WGH518" s="332"/>
      <c r="WGI518" s="332"/>
      <c r="WGJ518" s="332"/>
      <c r="WGK518" s="332"/>
      <c r="WGL518" s="332"/>
      <c r="WGM518" s="332"/>
      <c r="WGN518" s="332"/>
      <c r="WGO518" s="332"/>
      <c r="WGP518" s="332"/>
      <c r="WGQ518" s="332"/>
      <c r="WGR518" s="332"/>
      <c r="WGS518" s="332"/>
      <c r="WGT518" s="332"/>
      <c r="WGU518" s="332"/>
      <c r="WGV518" s="332"/>
      <c r="WGW518" s="332"/>
      <c r="WGX518" s="332"/>
      <c r="WGY518" s="332"/>
      <c r="WGZ518" s="332"/>
      <c r="WHA518" s="332"/>
      <c r="WHB518" s="332"/>
      <c r="WHC518" s="332"/>
      <c r="WHD518" s="332"/>
      <c r="WHE518" s="332"/>
      <c r="WHF518" s="332"/>
      <c r="WHG518" s="332"/>
      <c r="WHH518" s="332"/>
      <c r="WHI518" s="332"/>
      <c r="WHJ518" s="332"/>
      <c r="WHK518" s="332"/>
      <c r="WHL518" s="332"/>
      <c r="WHM518" s="332"/>
      <c r="WHN518" s="332"/>
      <c r="WHO518" s="332"/>
      <c r="WHP518" s="332"/>
      <c r="WHQ518" s="332"/>
      <c r="WHR518" s="332"/>
      <c r="WHS518" s="332"/>
      <c r="WHT518" s="332"/>
      <c r="WHU518" s="332"/>
      <c r="WHV518" s="332"/>
      <c r="WHW518" s="332"/>
      <c r="WHX518" s="332"/>
      <c r="WHY518" s="332"/>
      <c r="WHZ518" s="332"/>
      <c r="WIA518" s="332"/>
      <c r="WIB518" s="332"/>
      <c r="WIC518" s="332"/>
      <c r="WID518" s="332"/>
      <c r="WIE518" s="332"/>
      <c r="WIF518" s="332"/>
      <c r="WIG518" s="332"/>
      <c r="WIH518" s="332"/>
      <c r="WII518" s="332"/>
      <c r="WIJ518" s="332"/>
      <c r="WIK518" s="332"/>
      <c r="WIL518" s="332"/>
      <c r="WIM518" s="332"/>
      <c r="WIN518" s="332"/>
      <c r="WIO518" s="332"/>
      <c r="WIP518" s="332"/>
      <c r="WIQ518" s="332"/>
      <c r="WIR518" s="332"/>
      <c r="WIS518" s="332"/>
      <c r="WIT518" s="332"/>
      <c r="WIU518" s="332"/>
      <c r="WIV518" s="332"/>
      <c r="WIW518" s="332"/>
      <c r="WIX518" s="332"/>
      <c r="WIY518" s="332"/>
      <c r="WIZ518" s="332"/>
      <c r="WJA518" s="332"/>
      <c r="WJB518" s="332"/>
      <c r="WJC518" s="332"/>
      <c r="WJD518" s="332"/>
      <c r="WJE518" s="332"/>
      <c r="WJF518" s="332"/>
      <c r="WJG518" s="332"/>
      <c r="WJH518" s="332"/>
      <c r="WJI518" s="332"/>
      <c r="WJJ518" s="332"/>
      <c r="WJK518" s="332"/>
      <c r="WJL518" s="332"/>
      <c r="WJM518" s="332"/>
      <c r="WJN518" s="332"/>
      <c r="WJO518" s="332"/>
      <c r="WJP518" s="332"/>
      <c r="WJQ518" s="332"/>
      <c r="WJR518" s="332"/>
      <c r="WJS518" s="332"/>
      <c r="WJT518" s="332"/>
      <c r="WJU518" s="332"/>
      <c r="WJV518" s="332"/>
      <c r="WJW518" s="332"/>
      <c r="WJX518" s="332"/>
      <c r="WJY518" s="332"/>
      <c r="WJZ518" s="332"/>
      <c r="WKA518" s="332"/>
      <c r="WKB518" s="332"/>
      <c r="WKC518" s="332"/>
      <c r="WKD518" s="332"/>
      <c r="WKE518" s="332"/>
      <c r="WKF518" s="332"/>
      <c r="WKG518" s="332"/>
      <c r="WKH518" s="332"/>
      <c r="WKI518" s="332"/>
      <c r="WKJ518" s="332"/>
      <c r="WKK518" s="332"/>
      <c r="WKL518" s="332"/>
      <c r="WKM518" s="332"/>
      <c r="WKN518" s="332"/>
      <c r="WKO518" s="332"/>
      <c r="WKP518" s="332"/>
      <c r="WKQ518" s="332"/>
      <c r="WKR518" s="332"/>
      <c r="WKS518" s="332"/>
      <c r="WKT518" s="332"/>
      <c r="WKU518" s="332"/>
      <c r="WKV518" s="332"/>
      <c r="WKW518" s="332"/>
      <c r="WKX518" s="332"/>
      <c r="WKY518" s="332"/>
      <c r="WKZ518" s="332"/>
      <c r="WLA518" s="332"/>
      <c r="WLB518" s="332"/>
      <c r="WLC518" s="332"/>
      <c r="WLD518" s="332"/>
      <c r="WLE518" s="332"/>
      <c r="WLF518" s="332"/>
      <c r="WLG518" s="332"/>
      <c r="WLH518" s="332"/>
      <c r="WLI518" s="332"/>
      <c r="WLJ518" s="332"/>
      <c r="WLK518" s="332"/>
      <c r="WLL518" s="332"/>
      <c r="WLM518" s="332"/>
      <c r="WLN518" s="332"/>
      <c r="WLO518" s="332"/>
      <c r="WLP518" s="332"/>
      <c r="WLQ518" s="332"/>
      <c r="WLR518" s="332"/>
      <c r="WLS518" s="332"/>
      <c r="WLT518" s="332"/>
      <c r="WLU518" s="332"/>
      <c r="WLV518" s="332"/>
      <c r="WLW518" s="332"/>
      <c r="WLX518" s="332"/>
      <c r="WLY518" s="332"/>
      <c r="WLZ518" s="332"/>
      <c r="WMA518" s="332"/>
      <c r="WMB518" s="332"/>
      <c r="WMC518" s="332"/>
      <c r="WMD518" s="332"/>
      <c r="WME518" s="332"/>
      <c r="WMF518" s="332"/>
      <c r="WMG518" s="332"/>
      <c r="WMH518" s="332"/>
      <c r="WMI518" s="332"/>
      <c r="WMJ518" s="332"/>
      <c r="WMK518" s="332"/>
      <c r="WML518" s="332"/>
      <c r="WMM518" s="332"/>
      <c r="WMN518" s="332"/>
      <c r="WMO518" s="332"/>
      <c r="WMP518" s="332"/>
      <c r="WMQ518" s="332"/>
      <c r="WMR518" s="332"/>
      <c r="WMS518" s="332"/>
      <c r="WMT518" s="332"/>
      <c r="WMU518" s="332"/>
      <c r="WMV518" s="332"/>
      <c r="WMW518" s="332"/>
      <c r="WMX518" s="332"/>
      <c r="WMY518" s="332"/>
      <c r="WMZ518" s="332"/>
      <c r="WNA518" s="332"/>
      <c r="WNB518" s="332"/>
      <c r="WNC518" s="332"/>
      <c r="WND518" s="332"/>
      <c r="WNE518" s="332"/>
      <c r="WNF518" s="332"/>
      <c r="WNG518" s="332"/>
      <c r="WNH518" s="332"/>
      <c r="WNI518" s="332"/>
      <c r="WNJ518" s="332"/>
      <c r="WNK518" s="332"/>
      <c r="WNL518" s="332"/>
      <c r="WNM518" s="332"/>
      <c r="WNN518" s="332"/>
      <c r="WNO518" s="332"/>
      <c r="WNP518" s="332"/>
      <c r="WNQ518" s="332"/>
      <c r="WNR518" s="332"/>
      <c r="WNS518" s="332"/>
      <c r="WNT518" s="332"/>
      <c r="WNU518" s="332"/>
      <c r="WNV518" s="332"/>
      <c r="WNW518" s="332"/>
      <c r="WNX518" s="332"/>
      <c r="WNY518" s="332"/>
      <c r="WNZ518" s="332"/>
      <c r="WOA518" s="332"/>
      <c r="WOB518" s="332"/>
      <c r="WOC518" s="332"/>
      <c r="WOD518" s="332"/>
      <c r="WOE518" s="332"/>
      <c r="WOF518" s="332"/>
      <c r="WOG518" s="332"/>
      <c r="WOH518" s="332"/>
      <c r="WOI518" s="332"/>
      <c r="WOJ518" s="332"/>
      <c r="WOK518" s="332"/>
      <c r="WOL518" s="332"/>
      <c r="WOM518" s="332"/>
      <c r="WON518" s="332"/>
      <c r="WOO518" s="332"/>
      <c r="WOP518" s="332"/>
      <c r="WOQ518" s="332"/>
      <c r="WOR518" s="332"/>
      <c r="WOS518" s="332"/>
      <c r="WOT518" s="332"/>
      <c r="WOU518" s="332"/>
      <c r="WOV518" s="332"/>
      <c r="WOW518" s="332"/>
      <c r="WOX518" s="332"/>
      <c r="WOY518" s="332"/>
      <c r="WOZ518" s="332"/>
      <c r="WPA518" s="332"/>
      <c r="WPB518" s="332"/>
      <c r="WPC518" s="332"/>
      <c r="WPD518" s="332"/>
      <c r="WPE518" s="332"/>
      <c r="WPF518" s="332"/>
      <c r="WPG518" s="332"/>
      <c r="WPH518" s="332"/>
      <c r="WPI518" s="332"/>
      <c r="WPJ518" s="332"/>
      <c r="WPK518" s="332"/>
      <c r="WPL518" s="332"/>
      <c r="WPM518" s="332"/>
      <c r="WPN518" s="332"/>
      <c r="WPO518" s="332"/>
      <c r="WPP518" s="332"/>
      <c r="WPQ518" s="332"/>
      <c r="WPR518" s="332"/>
      <c r="WPS518" s="332"/>
      <c r="WPT518" s="332"/>
      <c r="WPU518" s="332"/>
      <c r="WPV518" s="332"/>
      <c r="WPW518" s="332"/>
      <c r="WPX518" s="332"/>
      <c r="WPY518" s="332"/>
      <c r="WPZ518" s="332"/>
      <c r="WQA518" s="332"/>
      <c r="WQB518" s="332"/>
      <c r="WQC518" s="332"/>
      <c r="WQD518" s="332"/>
      <c r="WQE518" s="332"/>
      <c r="WQF518" s="332"/>
      <c r="WQG518" s="332"/>
      <c r="WQH518" s="332"/>
      <c r="WQI518" s="332"/>
      <c r="WQJ518" s="332"/>
      <c r="WQK518" s="332"/>
      <c r="WQL518" s="332"/>
      <c r="WQM518" s="332"/>
      <c r="WQN518" s="332"/>
      <c r="WQO518" s="332"/>
      <c r="WQP518" s="332"/>
      <c r="WQQ518" s="332"/>
      <c r="WQR518" s="332"/>
      <c r="WQS518" s="332"/>
      <c r="WQT518" s="332"/>
      <c r="WQU518" s="332"/>
      <c r="WQV518" s="332"/>
      <c r="WQW518" s="332"/>
      <c r="WQX518" s="332"/>
      <c r="WQY518" s="332"/>
      <c r="WQZ518" s="332"/>
      <c r="WRA518" s="332"/>
      <c r="WRB518" s="332"/>
      <c r="WRC518" s="332"/>
      <c r="WRD518" s="332"/>
      <c r="WRE518" s="332"/>
      <c r="WRF518" s="332"/>
      <c r="WRG518" s="332"/>
      <c r="WRH518" s="332"/>
      <c r="WRI518" s="332"/>
      <c r="WRJ518" s="332"/>
      <c r="WRK518" s="332"/>
      <c r="WRL518" s="332"/>
      <c r="WRM518" s="332"/>
      <c r="WRN518" s="332"/>
      <c r="WRO518" s="332"/>
      <c r="WRP518" s="332"/>
      <c r="WRQ518" s="332"/>
      <c r="WRR518" s="332"/>
      <c r="WRS518" s="332"/>
      <c r="WRT518" s="332"/>
      <c r="WRU518" s="332"/>
      <c r="WRV518" s="332"/>
      <c r="WRW518" s="332"/>
      <c r="WRX518" s="332"/>
      <c r="WRY518" s="332"/>
      <c r="WRZ518" s="332"/>
      <c r="WSA518" s="332"/>
      <c r="WSB518" s="332"/>
      <c r="WSC518" s="332"/>
      <c r="WSD518" s="332"/>
      <c r="WSE518" s="332"/>
      <c r="WSF518" s="332"/>
      <c r="WSG518" s="332"/>
      <c r="WSH518" s="332"/>
      <c r="WSI518" s="332"/>
      <c r="WSJ518" s="332"/>
      <c r="WSK518" s="332"/>
      <c r="WSL518" s="332"/>
      <c r="WSM518" s="332"/>
      <c r="WSN518" s="332"/>
      <c r="WSO518" s="332"/>
      <c r="WSP518" s="332"/>
      <c r="WSQ518" s="332"/>
      <c r="WSR518" s="332"/>
      <c r="WSS518" s="332"/>
      <c r="WST518" s="332"/>
      <c r="WSU518" s="332"/>
      <c r="WSV518" s="332"/>
      <c r="WSW518" s="332"/>
      <c r="WSX518" s="332"/>
      <c r="WSY518" s="332"/>
      <c r="WSZ518" s="332"/>
      <c r="WTA518" s="332"/>
      <c r="WTB518" s="332"/>
      <c r="WTC518" s="332"/>
      <c r="WTD518" s="332"/>
      <c r="WTE518" s="332"/>
      <c r="WTF518" s="332"/>
      <c r="WTG518" s="332"/>
      <c r="WTH518" s="332"/>
      <c r="WTI518" s="332"/>
      <c r="WTJ518" s="332"/>
      <c r="WTK518" s="332"/>
      <c r="WTL518" s="332"/>
      <c r="WTM518" s="332"/>
      <c r="WTN518" s="332"/>
      <c r="WTO518" s="332"/>
      <c r="WTP518" s="332"/>
      <c r="WTQ518" s="332"/>
      <c r="WTR518" s="332"/>
      <c r="WTS518" s="332"/>
      <c r="WTT518" s="332"/>
      <c r="WTU518" s="332"/>
      <c r="WTV518" s="332"/>
      <c r="WTW518" s="332"/>
      <c r="WTX518" s="332"/>
      <c r="WTY518" s="332"/>
      <c r="WTZ518" s="332"/>
      <c r="WUA518" s="332"/>
      <c r="WUB518" s="332"/>
      <c r="WUC518" s="332"/>
      <c r="WUD518" s="332"/>
      <c r="WUE518" s="332"/>
      <c r="WUF518" s="332"/>
      <c r="WUG518" s="332"/>
      <c r="WUH518" s="332"/>
      <c r="WUI518" s="332"/>
      <c r="WUJ518" s="332"/>
      <c r="WUK518" s="332"/>
      <c r="WUL518" s="332"/>
      <c r="WUM518" s="332"/>
      <c r="WUN518" s="332"/>
      <c r="WUO518" s="332"/>
      <c r="WUP518" s="332"/>
      <c r="WUQ518" s="332"/>
      <c r="WUR518" s="332"/>
      <c r="WUS518" s="332"/>
      <c r="WUT518" s="332"/>
      <c r="WUU518" s="332"/>
      <c r="WUV518" s="332"/>
      <c r="WUW518" s="332"/>
      <c r="WUX518" s="332"/>
      <c r="WUY518" s="332"/>
      <c r="WUZ518" s="332"/>
      <c r="WVA518" s="332"/>
      <c r="WVB518" s="332"/>
      <c r="WVC518" s="332"/>
      <c r="WVD518" s="332"/>
      <c r="WVE518" s="332"/>
      <c r="WVF518" s="332"/>
      <c r="WVG518" s="332"/>
      <c r="WVH518" s="332"/>
      <c r="WVI518" s="332"/>
      <c r="WVJ518" s="332"/>
      <c r="WVK518" s="332"/>
      <c r="WVL518" s="332"/>
      <c r="WVM518" s="332"/>
      <c r="WVN518" s="332"/>
      <c r="WVO518" s="332"/>
      <c r="WVP518" s="332"/>
      <c r="WVQ518" s="332"/>
      <c r="WVR518" s="332"/>
      <c r="WVS518" s="332"/>
      <c r="WVT518" s="332"/>
      <c r="WVU518" s="332"/>
      <c r="WVV518" s="332"/>
      <c r="WVW518" s="332"/>
      <c r="WVX518" s="332"/>
      <c r="WVY518" s="332"/>
      <c r="WVZ518" s="332"/>
      <c r="WWA518" s="332"/>
      <c r="WWB518" s="332"/>
      <c r="WWC518" s="332"/>
      <c r="WWD518" s="332"/>
      <c r="WWE518" s="332"/>
      <c r="WWF518" s="332"/>
      <c r="WWG518" s="332"/>
      <c r="WWH518" s="332"/>
      <c r="WWI518" s="332"/>
      <c r="WWJ518" s="332"/>
      <c r="WWK518" s="332"/>
      <c r="WWL518" s="332"/>
      <c r="WWM518" s="332"/>
      <c r="WWN518" s="332"/>
      <c r="WWO518" s="332"/>
      <c r="WWP518" s="332"/>
      <c r="WWQ518" s="332"/>
      <c r="WWR518" s="332"/>
      <c r="WWS518" s="332"/>
      <c r="WWT518" s="332"/>
      <c r="WWU518" s="332"/>
      <c r="WWV518" s="332"/>
      <c r="WWW518" s="332"/>
      <c r="WWX518" s="332"/>
      <c r="WWY518" s="332"/>
      <c r="WWZ518" s="332"/>
      <c r="WXA518" s="332"/>
      <c r="WXB518" s="332"/>
      <c r="WXC518" s="332"/>
      <c r="WXD518" s="332"/>
      <c r="WXE518" s="332"/>
      <c r="WXF518" s="332"/>
      <c r="WXG518" s="332"/>
      <c r="WXH518" s="332"/>
      <c r="WXI518" s="332"/>
      <c r="WXJ518" s="332"/>
      <c r="WXK518" s="332"/>
      <c r="WXL518" s="332"/>
      <c r="WXM518" s="332"/>
      <c r="WXN518" s="332"/>
      <c r="WXO518" s="332"/>
      <c r="WXP518" s="332"/>
      <c r="WXQ518" s="332"/>
      <c r="WXR518" s="332"/>
      <c r="WXS518" s="332"/>
      <c r="WXT518" s="332"/>
      <c r="WXU518" s="332"/>
      <c r="WXV518" s="332"/>
      <c r="WXW518" s="332"/>
      <c r="WXX518" s="332"/>
      <c r="WXY518" s="332"/>
      <c r="WXZ518" s="332"/>
      <c r="WYA518" s="332"/>
      <c r="WYB518" s="332"/>
      <c r="WYC518" s="332"/>
      <c r="WYD518" s="332"/>
      <c r="WYE518" s="332"/>
      <c r="WYF518" s="332"/>
      <c r="WYG518" s="332"/>
      <c r="WYH518" s="332"/>
      <c r="WYI518" s="332"/>
      <c r="WYJ518" s="332"/>
      <c r="WYK518" s="332"/>
      <c r="WYL518" s="332"/>
      <c r="WYM518" s="332"/>
      <c r="WYN518" s="332"/>
      <c r="WYO518" s="332"/>
      <c r="WYP518" s="332"/>
      <c r="WYQ518" s="332"/>
      <c r="WYR518" s="332"/>
      <c r="WYS518" s="332"/>
      <c r="WYT518" s="332"/>
      <c r="WYU518" s="332"/>
      <c r="WYV518" s="332"/>
      <c r="WYW518" s="332"/>
      <c r="WYX518" s="332"/>
      <c r="WYY518" s="332"/>
      <c r="WYZ518" s="332"/>
      <c r="WZA518" s="332"/>
      <c r="WZB518" s="332"/>
      <c r="WZC518" s="332"/>
      <c r="WZD518" s="332"/>
      <c r="WZE518" s="332"/>
      <c r="WZF518" s="332"/>
      <c r="WZG518" s="332"/>
      <c r="WZH518" s="332"/>
      <c r="WZI518" s="332"/>
      <c r="WZJ518" s="332"/>
      <c r="WZK518" s="332"/>
      <c r="WZL518" s="332"/>
      <c r="WZM518" s="332"/>
      <c r="WZN518" s="332"/>
      <c r="WZO518" s="332"/>
      <c r="WZP518" s="332"/>
      <c r="WZQ518" s="332"/>
      <c r="WZR518" s="332"/>
      <c r="WZS518" s="332"/>
      <c r="WZT518" s="332"/>
      <c r="WZU518" s="332"/>
      <c r="WZV518" s="332"/>
      <c r="WZW518" s="332"/>
      <c r="WZX518" s="332"/>
      <c r="WZY518" s="332"/>
      <c r="WZZ518" s="332"/>
      <c r="XAA518" s="332"/>
      <c r="XAB518" s="332"/>
      <c r="XAC518" s="332"/>
      <c r="XAD518" s="332"/>
      <c r="XAE518" s="332"/>
      <c r="XAF518" s="332"/>
      <c r="XAG518" s="332"/>
      <c r="XAH518" s="332"/>
      <c r="XAI518" s="332"/>
      <c r="XAJ518" s="332"/>
      <c r="XAK518" s="332"/>
      <c r="XAL518" s="332"/>
      <c r="XAM518" s="332"/>
      <c r="XAN518" s="332"/>
      <c r="XAO518" s="332"/>
      <c r="XAP518" s="332"/>
      <c r="XAQ518" s="332"/>
      <c r="XAR518" s="332"/>
      <c r="XAS518" s="332"/>
      <c r="XAT518" s="332"/>
      <c r="XAU518" s="332"/>
      <c r="XAV518" s="332"/>
      <c r="XAW518" s="332"/>
      <c r="XAX518" s="332"/>
      <c r="XAY518" s="332"/>
      <c r="XAZ518" s="332"/>
      <c r="XBA518" s="332"/>
      <c r="XBB518" s="332"/>
      <c r="XBC518" s="332"/>
      <c r="XBD518" s="332"/>
      <c r="XBE518" s="332"/>
      <c r="XBF518" s="332"/>
      <c r="XBG518" s="332"/>
      <c r="XBH518" s="332"/>
      <c r="XBI518" s="332"/>
      <c r="XBJ518" s="332"/>
      <c r="XBK518" s="332"/>
      <c r="XBL518" s="332"/>
      <c r="XBM518" s="332"/>
      <c r="XBN518" s="332"/>
      <c r="XBO518" s="332"/>
      <c r="XBP518" s="332"/>
      <c r="XBQ518" s="332"/>
      <c r="XBR518" s="332"/>
      <c r="XBS518" s="332"/>
      <c r="XBT518" s="332"/>
      <c r="XBU518" s="332"/>
      <c r="XBV518" s="332"/>
      <c r="XBW518" s="332"/>
      <c r="XBX518" s="332"/>
      <c r="XBY518" s="332"/>
      <c r="XBZ518" s="332"/>
      <c r="XCA518" s="332"/>
      <c r="XCB518" s="332"/>
      <c r="XCC518" s="332"/>
      <c r="XCD518" s="332"/>
      <c r="XCE518" s="332"/>
      <c r="XCF518" s="332"/>
      <c r="XCG518" s="332"/>
      <c r="XCH518" s="332"/>
      <c r="XCI518" s="332"/>
      <c r="XCJ518" s="332"/>
      <c r="XCK518" s="332"/>
      <c r="XCL518" s="332"/>
      <c r="XCM518" s="332"/>
      <c r="XCN518" s="332"/>
      <c r="XCO518" s="332"/>
      <c r="XCP518" s="332"/>
      <c r="XCQ518" s="332"/>
      <c r="XCR518" s="332"/>
      <c r="XCS518" s="332"/>
      <c r="XCT518" s="332"/>
      <c r="XCU518" s="332"/>
      <c r="XCV518" s="332"/>
      <c r="XCW518" s="332"/>
      <c r="XCX518" s="332"/>
      <c r="XCY518" s="332"/>
      <c r="XCZ518" s="332"/>
      <c r="XDA518" s="332"/>
      <c r="XDB518" s="332"/>
      <c r="XDC518" s="332"/>
      <c r="XDD518" s="332"/>
      <c r="XDE518" s="332"/>
      <c r="XDF518" s="332"/>
      <c r="XDG518" s="332"/>
      <c r="XDH518" s="332"/>
      <c r="XDI518" s="332"/>
      <c r="XDJ518" s="332"/>
      <c r="XDK518" s="332"/>
      <c r="XDL518" s="332"/>
      <c r="XDM518" s="332"/>
      <c r="XDN518" s="332"/>
      <c r="XDO518" s="332"/>
      <c r="XDP518" s="332"/>
      <c r="XDQ518" s="332"/>
      <c r="XDR518" s="332"/>
      <c r="XDS518" s="332"/>
      <c r="XDT518" s="332"/>
      <c r="XDU518" s="332"/>
      <c r="XDV518" s="332"/>
      <c r="XDW518" s="332"/>
      <c r="XDX518" s="332"/>
      <c r="XDY518" s="332"/>
      <c r="XDZ518" s="332"/>
      <c r="XEA518" s="332"/>
      <c r="XEB518" s="332"/>
      <c r="XEC518" s="332"/>
      <c r="XED518" s="332"/>
      <c r="XEE518" s="332"/>
      <c r="XEF518" s="332"/>
      <c r="XEG518" s="332"/>
      <c r="XEH518" s="332"/>
      <c r="XEI518" s="332"/>
      <c r="XEJ518" s="332"/>
      <c r="XEK518" s="332"/>
      <c r="XEL518" s="332"/>
      <c r="XEM518" s="332"/>
      <c r="XEN518" s="332"/>
      <c r="XEO518" s="332"/>
      <c r="XEP518" s="332"/>
      <c r="XEQ518" s="332"/>
      <c r="XER518" s="332"/>
      <c r="XES518" s="332"/>
      <c r="XET518" s="332"/>
      <c r="XEU518" s="332"/>
      <c r="XEV518" s="332"/>
      <c r="XEW518" s="332"/>
      <c r="XEX518" s="332"/>
      <c r="XEY518" s="332"/>
      <c r="XEZ518" s="332"/>
      <c r="XFA518" s="332"/>
      <c r="XFB518" s="332"/>
      <c r="XFC518" s="332"/>
      <c r="XFD518" s="333"/>
    </row>
    <row r="519" spans="1:16384" s="264" customFormat="1" ht="12.75">
      <c r="A519" s="1642"/>
      <c r="B519" s="1643"/>
      <c r="C519" s="1643"/>
      <c r="D519" s="1644"/>
      <c r="E519" s="330"/>
      <c r="F519" s="330"/>
      <c r="G519" s="330"/>
      <c r="H519" s="330"/>
      <c r="I519" s="330"/>
      <c r="J519" s="330"/>
      <c r="K519" s="330"/>
      <c r="L519" s="330"/>
      <c r="M519" s="330"/>
      <c r="N519" s="330"/>
      <c r="O519" s="330"/>
      <c r="P519" s="330"/>
      <c r="Q519" s="330"/>
      <c r="R519" s="330"/>
      <c r="S519" s="330"/>
      <c r="T519" s="330"/>
      <c r="U519" s="330"/>
      <c r="V519" s="330"/>
      <c r="W519" s="330"/>
      <c r="X519" s="330"/>
      <c r="Y519" s="330"/>
      <c r="Z519" s="330"/>
      <c r="AA519" s="330"/>
      <c r="AB519" s="330"/>
      <c r="AC519" s="330"/>
      <c r="AD519" s="330"/>
      <c r="AE519" s="330"/>
      <c r="AF519" s="330"/>
      <c r="AG519" s="330"/>
      <c r="AH519" s="330"/>
      <c r="AI519" s="330"/>
      <c r="AJ519" s="330"/>
      <c r="AK519" s="330"/>
      <c r="AL519" s="330"/>
      <c r="AM519" s="330"/>
      <c r="AN519" s="330"/>
      <c r="AO519" s="330"/>
      <c r="AP519" s="330"/>
      <c r="AQ519" s="330"/>
      <c r="AR519" s="330"/>
      <c r="AS519" s="330"/>
      <c r="AT519" s="330"/>
      <c r="AU519" s="330"/>
      <c r="AV519" s="330"/>
      <c r="AW519" s="330"/>
      <c r="AX519" s="330"/>
      <c r="AY519" s="330"/>
      <c r="AZ519" s="330"/>
      <c r="BA519" s="330"/>
      <c r="BB519" s="330"/>
      <c r="BC519" s="330"/>
      <c r="BD519" s="330"/>
      <c r="BE519" s="330"/>
      <c r="BF519" s="330"/>
      <c r="BG519" s="330"/>
      <c r="BH519" s="330"/>
      <c r="BI519" s="330"/>
      <c r="BJ519" s="330"/>
      <c r="BK519" s="330"/>
      <c r="BL519" s="330"/>
      <c r="BM519" s="330"/>
      <c r="BN519" s="330"/>
      <c r="BO519" s="330"/>
      <c r="BP519" s="330"/>
      <c r="BQ519" s="330"/>
      <c r="BR519" s="330"/>
      <c r="BS519" s="330"/>
      <c r="BT519" s="330"/>
      <c r="BU519" s="330"/>
      <c r="BV519" s="330"/>
      <c r="BW519" s="330"/>
      <c r="BX519" s="330"/>
      <c r="BY519" s="330"/>
      <c r="BZ519" s="330"/>
      <c r="CA519" s="330"/>
      <c r="CB519" s="330"/>
      <c r="CC519" s="330"/>
      <c r="CD519" s="330"/>
      <c r="CE519" s="330"/>
      <c r="CF519" s="330"/>
      <c r="CG519" s="330"/>
      <c r="CH519" s="330"/>
      <c r="CI519" s="330"/>
      <c r="CJ519" s="330"/>
      <c r="CK519" s="330"/>
      <c r="CL519" s="330"/>
      <c r="CM519" s="330"/>
      <c r="CN519" s="330"/>
      <c r="CO519" s="330"/>
      <c r="CP519" s="330"/>
      <c r="CQ519" s="330"/>
      <c r="CR519" s="330"/>
      <c r="CS519" s="330"/>
      <c r="CT519" s="330"/>
      <c r="CU519" s="330"/>
      <c r="CV519" s="330"/>
      <c r="CW519" s="330"/>
      <c r="CX519" s="330"/>
      <c r="CY519" s="330"/>
      <c r="CZ519" s="330"/>
      <c r="DA519" s="330"/>
      <c r="DB519" s="330"/>
      <c r="DC519" s="330"/>
      <c r="DD519" s="330"/>
      <c r="DE519" s="330"/>
      <c r="DF519" s="330"/>
      <c r="DG519" s="330"/>
      <c r="DH519" s="330"/>
      <c r="DI519" s="330"/>
      <c r="DJ519" s="330"/>
      <c r="DK519" s="330"/>
      <c r="DL519" s="330"/>
      <c r="DM519" s="330"/>
      <c r="DN519" s="330"/>
      <c r="DO519" s="330"/>
      <c r="DP519" s="330"/>
      <c r="DQ519" s="330"/>
      <c r="DR519" s="330"/>
      <c r="DS519" s="330"/>
      <c r="DT519" s="330"/>
      <c r="DU519" s="330"/>
      <c r="DV519" s="330"/>
      <c r="DW519" s="330"/>
      <c r="DX519" s="330"/>
      <c r="DY519" s="330"/>
      <c r="DZ519" s="330"/>
      <c r="EA519" s="330"/>
      <c r="EB519" s="330"/>
      <c r="EC519" s="330"/>
      <c r="ED519" s="330"/>
      <c r="EE519" s="330"/>
      <c r="EF519" s="330"/>
      <c r="EG519" s="330"/>
      <c r="EH519" s="330"/>
      <c r="EI519" s="330"/>
      <c r="EJ519" s="330"/>
      <c r="EK519" s="330"/>
      <c r="EL519" s="330"/>
      <c r="EM519" s="330"/>
      <c r="EN519" s="330"/>
      <c r="EO519" s="330"/>
      <c r="EP519" s="330"/>
      <c r="EQ519" s="330"/>
      <c r="ER519" s="330"/>
      <c r="ES519" s="330"/>
      <c r="ET519" s="330"/>
      <c r="EU519" s="330"/>
      <c r="EV519" s="330"/>
      <c r="EW519" s="330"/>
      <c r="EX519" s="330"/>
      <c r="EY519" s="330"/>
      <c r="EZ519" s="330"/>
      <c r="FA519" s="330"/>
      <c r="FB519" s="330"/>
      <c r="FC519" s="330"/>
      <c r="FD519" s="330"/>
      <c r="FE519" s="330"/>
      <c r="FF519" s="330"/>
      <c r="FG519" s="330"/>
      <c r="FH519" s="330"/>
      <c r="FI519" s="330"/>
      <c r="FJ519" s="330"/>
      <c r="FK519" s="330"/>
    </row>
    <row r="520" spans="1:16384" s="336" customFormat="1" ht="15" customHeight="1">
      <c r="A520" s="335"/>
      <c r="B520" s="332"/>
      <c r="C520" s="332"/>
      <c r="D520" s="332"/>
      <c r="E520" s="332"/>
      <c r="F520" s="332"/>
      <c r="G520" s="332"/>
      <c r="H520" s="332"/>
      <c r="I520" s="332"/>
      <c r="J520" s="332"/>
      <c r="K520" s="332"/>
      <c r="L520" s="332"/>
      <c r="M520" s="332"/>
      <c r="N520" s="332"/>
      <c r="O520" s="332"/>
      <c r="P520" s="332"/>
      <c r="Q520" s="332"/>
      <c r="R520" s="332"/>
      <c r="S520" s="332"/>
      <c r="T520" s="332"/>
      <c r="U520" s="332"/>
      <c r="V520" s="332"/>
      <c r="W520" s="332"/>
      <c r="X520" s="332"/>
      <c r="Y520" s="332"/>
      <c r="Z520" s="332"/>
      <c r="AA520" s="332"/>
      <c r="AB520" s="332"/>
      <c r="AC520" s="332"/>
      <c r="AD520" s="332"/>
      <c r="AE520" s="332"/>
      <c r="AF520" s="332"/>
      <c r="AG520" s="332"/>
      <c r="AH520" s="332"/>
      <c r="AI520" s="332"/>
      <c r="AJ520" s="332"/>
      <c r="AK520" s="332"/>
      <c r="AL520" s="332"/>
      <c r="AM520" s="332"/>
      <c r="AN520" s="332"/>
      <c r="AO520" s="332"/>
      <c r="AP520" s="332"/>
      <c r="AQ520" s="332"/>
      <c r="AR520" s="332"/>
      <c r="AS520" s="332"/>
      <c r="AT520" s="332"/>
      <c r="AU520" s="332"/>
      <c r="AV520" s="332"/>
      <c r="AW520" s="332"/>
      <c r="AX520" s="332"/>
      <c r="AY520" s="332"/>
      <c r="AZ520" s="332"/>
      <c r="BA520" s="332"/>
      <c r="BB520" s="332"/>
      <c r="BC520" s="332"/>
      <c r="BD520" s="332"/>
      <c r="BE520" s="332"/>
      <c r="BF520" s="332"/>
      <c r="BG520" s="332"/>
      <c r="BH520" s="332"/>
      <c r="BI520" s="332"/>
      <c r="BJ520" s="332"/>
      <c r="BK520" s="332"/>
      <c r="BL520" s="332"/>
      <c r="BM520" s="332"/>
      <c r="BN520" s="332"/>
      <c r="BO520" s="332"/>
      <c r="BP520" s="332"/>
      <c r="BQ520" s="332"/>
      <c r="BR520" s="332"/>
      <c r="BS520" s="332"/>
      <c r="BT520" s="332"/>
      <c r="BU520" s="332"/>
      <c r="BV520" s="332"/>
      <c r="BW520" s="332"/>
      <c r="BX520" s="332"/>
      <c r="BY520" s="332"/>
      <c r="BZ520" s="332"/>
      <c r="CA520" s="332"/>
      <c r="CB520" s="332"/>
      <c r="CC520" s="332"/>
      <c r="CD520" s="332"/>
      <c r="CE520" s="332"/>
      <c r="CF520" s="332"/>
      <c r="CG520" s="332"/>
      <c r="CH520" s="332"/>
      <c r="CI520" s="332"/>
      <c r="CJ520" s="332"/>
      <c r="CK520" s="332"/>
      <c r="CL520" s="332"/>
      <c r="CM520" s="332"/>
      <c r="CN520" s="332"/>
      <c r="CO520" s="332"/>
      <c r="CP520" s="332"/>
      <c r="CQ520" s="332"/>
      <c r="CR520" s="332"/>
      <c r="CS520" s="332"/>
      <c r="CT520" s="332"/>
      <c r="CU520" s="332"/>
      <c r="CV520" s="332"/>
      <c r="CW520" s="332"/>
      <c r="CX520" s="332"/>
      <c r="CY520" s="332"/>
      <c r="CZ520" s="332"/>
      <c r="DA520" s="332"/>
      <c r="DB520" s="332"/>
      <c r="DC520" s="332"/>
      <c r="DD520" s="332"/>
      <c r="DE520" s="332"/>
      <c r="DF520" s="332"/>
      <c r="DG520" s="332"/>
      <c r="DH520" s="332"/>
      <c r="DI520" s="332"/>
      <c r="DJ520" s="332"/>
      <c r="DK520" s="332"/>
      <c r="DL520" s="332"/>
      <c r="DM520" s="332"/>
      <c r="DN520" s="332"/>
      <c r="DO520" s="332"/>
      <c r="DP520" s="332"/>
      <c r="DQ520" s="332"/>
      <c r="DR520" s="332"/>
      <c r="DS520" s="332"/>
      <c r="DT520" s="332"/>
      <c r="DU520" s="332"/>
      <c r="DV520" s="332"/>
      <c r="DW520" s="332"/>
      <c r="DX520" s="332"/>
      <c r="DY520" s="332"/>
      <c r="DZ520" s="332"/>
      <c r="EA520" s="332"/>
      <c r="EB520" s="332"/>
      <c r="EC520" s="332"/>
      <c r="ED520" s="332"/>
      <c r="EE520" s="332"/>
      <c r="EF520" s="332"/>
      <c r="EG520" s="332"/>
      <c r="EH520" s="332"/>
      <c r="EI520" s="332"/>
      <c r="EJ520" s="332"/>
      <c r="EK520" s="332"/>
      <c r="EL520" s="332"/>
      <c r="EM520" s="332"/>
      <c r="EN520" s="332"/>
      <c r="EO520" s="332"/>
      <c r="EP520" s="332"/>
      <c r="EQ520" s="332"/>
      <c r="ER520" s="332"/>
      <c r="ES520" s="332"/>
      <c r="ET520" s="332"/>
      <c r="EU520" s="332"/>
      <c r="EV520" s="332"/>
      <c r="EW520" s="332"/>
      <c r="EX520" s="332"/>
      <c r="EY520" s="332"/>
      <c r="EZ520" s="332"/>
      <c r="FA520" s="332"/>
      <c r="FB520" s="332"/>
      <c r="FC520" s="332"/>
      <c r="FD520" s="332"/>
      <c r="FE520" s="332"/>
      <c r="FF520" s="332"/>
      <c r="FG520" s="332"/>
      <c r="FH520" s="332"/>
      <c r="FI520" s="332"/>
      <c r="FJ520" s="332"/>
      <c r="FK520" s="332"/>
      <c r="FL520" s="332"/>
      <c r="FM520" s="332"/>
      <c r="FN520" s="332"/>
      <c r="FO520" s="332"/>
    </row>
    <row r="521" spans="1:16384" s="264" customFormat="1" ht="12.75">
      <c r="A521" s="1645"/>
      <c r="B521" s="1646"/>
      <c r="C521" s="1646"/>
      <c r="D521" s="1647"/>
      <c r="E521" s="330"/>
      <c r="F521" s="330"/>
      <c r="G521" s="330"/>
      <c r="H521" s="330"/>
      <c r="I521" s="330"/>
      <c r="J521" s="330"/>
      <c r="K521" s="330"/>
      <c r="L521" s="330"/>
      <c r="M521" s="330"/>
      <c r="N521" s="330"/>
      <c r="O521" s="330"/>
      <c r="P521" s="330"/>
      <c r="Q521" s="330"/>
      <c r="R521" s="330"/>
      <c r="S521" s="330"/>
      <c r="T521" s="330"/>
      <c r="U521" s="330"/>
      <c r="V521" s="330"/>
      <c r="W521" s="330"/>
      <c r="X521" s="330"/>
      <c r="Y521" s="330"/>
      <c r="Z521" s="330"/>
      <c r="AA521" s="330"/>
      <c r="AB521" s="330"/>
      <c r="AC521" s="330"/>
      <c r="AD521" s="330"/>
      <c r="AE521" s="330"/>
      <c r="AF521" s="330"/>
      <c r="AG521" s="330"/>
      <c r="AH521" s="330"/>
      <c r="AI521" s="330"/>
      <c r="AJ521" s="330"/>
      <c r="AK521" s="330"/>
      <c r="AL521" s="330"/>
      <c r="AM521" s="330"/>
      <c r="AN521" s="330"/>
      <c r="AO521" s="330"/>
      <c r="AP521" s="330"/>
      <c r="AQ521" s="330"/>
      <c r="AR521" s="330"/>
      <c r="AS521" s="330"/>
      <c r="AT521" s="330"/>
      <c r="AU521" s="330"/>
      <c r="AV521" s="330"/>
      <c r="AW521" s="330"/>
      <c r="AX521" s="330"/>
      <c r="AY521" s="330"/>
      <c r="AZ521" s="330"/>
      <c r="BA521" s="330"/>
      <c r="BB521" s="330"/>
      <c r="BC521" s="330"/>
      <c r="BD521" s="330"/>
      <c r="BE521" s="330"/>
      <c r="BF521" s="330"/>
      <c r="BG521" s="330"/>
      <c r="BH521" s="330"/>
      <c r="BI521" s="330"/>
      <c r="BJ521" s="330"/>
      <c r="BK521" s="330"/>
      <c r="BL521" s="330"/>
      <c r="BM521" s="330"/>
      <c r="BN521" s="330"/>
      <c r="BO521" s="330"/>
      <c r="BP521" s="330"/>
      <c r="BQ521" s="330"/>
      <c r="BR521" s="330"/>
      <c r="BS521" s="330"/>
      <c r="BT521" s="330"/>
      <c r="BU521" s="330"/>
      <c r="BV521" s="330"/>
      <c r="BW521" s="330"/>
      <c r="BX521" s="330"/>
      <c r="BY521" s="330"/>
      <c r="BZ521" s="330"/>
      <c r="CA521" s="330"/>
      <c r="CB521" s="330"/>
      <c r="CC521" s="330"/>
      <c r="CD521" s="330"/>
      <c r="CE521" s="330"/>
      <c r="CF521" s="330"/>
      <c r="CG521" s="330"/>
      <c r="CH521" s="330"/>
      <c r="CI521" s="330"/>
      <c r="CJ521" s="330"/>
      <c r="CK521" s="330"/>
      <c r="CL521" s="330"/>
      <c r="CM521" s="330"/>
      <c r="CN521" s="330"/>
      <c r="CO521" s="330"/>
      <c r="CP521" s="330"/>
      <c r="CQ521" s="330"/>
      <c r="CR521" s="330"/>
      <c r="CS521" s="330"/>
      <c r="CT521" s="330"/>
      <c r="CU521" s="330"/>
      <c r="CV521" s="330"/>
      <c r="CW521" s="330"/>
      <c r="CX521" s="330"/>
      <c r="CY521" s="330"/>
      <c r="CZ521" s="330"/>
      <c r="DA521" s="330"/>
      <c r="DB521" s="330"/>
      <c r="DC521" s="330"/>
      <c r="DD521" s="330"/>
      <c r="DE521" s="330"/>
      <c r="DF521" s="330"/>
      <c r="DG521" s="330"/>
      <c r="DH521" s="330"/>
      <c r="DI521" s="330"/>
      <c r="DJ521" s="330"/>
      <c r="DK521" s="330"/>
      <c r="DL521" s="330"/>
      <c r="DM521" s="330"/>
      <c r="DN521" s="330"/>
      <c r="DO521" s="330"/>
      <c r="DP521" s="330"/>
      <c r="DQ521" s="330"/>
      <c r="DR521" s="330"/>
      <c r="DS521" s="330"/>
      <c r="DT521" s="330"/>
      <c r="DU521" s="330"/>
      <c r="DV521" s="330"/>
      <c r="DW521" s="330"/>
      <c r="DX521" s="330"/>
      <c r="DY521" s="330"/>
      <c r="DZ521" s="330"/>
      <c r="EA521" s="330"/>
      <c r="EB521" s="330"/>
      <c r="EC521" s="330"/>
      <c r="ED521" s="330"/>
      <c r="EE521" s="330"/>
      <c r="EF521" s="330"/>
      <c r="EG521" s="330"/>
      <c r="EH521" s="330"/>
      <c r="EI521" s="330"/>
      <c r="EJ521" s="330"/>
      <c r="EK521" s="330"/>
      <c r="EL521" s="330"/>
      <c r="EM521" s="330"/>
      <c r="EN521" s="330"/>
      <c r="EO521" s="330"/>
      <c r="EP521" s="330"/>
      <c r="EQ521" s="330"/>
      <c r="ER521" s="330"/>
      <c r="ES521" s="330"/>
      <c r="ET521" s="330"/>
      <c r="EU521" s="330"/>
      <c r="EV521" s="330"/>
      <c r="EW521" s="330"/>
      <c r="EX521" s="330"/>
      <c r="EY521" s="330"/>
      <c r="EZ521" s="330"/>
      <c r="FA521" s="330"/>
      <c r="FB521" s="330"/>
      <c r="FC521" s="330"/>
      <c r="FD521" s="330"/>
      <c r="FE521" s="330"/>
      <c r="FF521" s="330"/>
      <c r="FG521" s="330"/>
      <c r="FH521" s="330"/>
      <c r="FI521" s="330"/>
      <c r="FJ521" s="330"/>
      <c r="FK521" s="330"/>
      <c r="FL521" s="330"/>
      <c r="FM521" s="330"/>
      <c r="FN521" s="330"/>
      <c r="FO521" s="330"/>
    </row>
    <row r="522" spans="1:16384" s="336" customFormat="1" ht="15" customHeight="1">
      <c r="A522" s="335"/>
      <c r="B522" s="332"/>
      <c r="C522" s="332"/>
      <c r="D522" s="332"/>
      <c r="E522" s="325"/>
      <c r="F522" s="325"/>
      <c r="G522" s="325"/>
      <c r="H522" s="325"/>
      <c r="I522" s="325"/>
      <c r="J522" s="325"/>
      <c r="K522" s="325"/>
      <c r="L522" s="325"/>
      <c r="M522" s="325"/>
      <c r="N522" s="325"/>
      <c r="O522" s="325"/>
      <c r="P522" s="325"/>
      <c r="Q522" s="325"/>
      <c r="R522" s="325"/>
      <c r="S522" s="325"/>
      <c r="T522" s="325"/>
      <c r="U522" s="325"/>
      <c r="V522" s="325"/>
      <c r="W522" s="325"/>
      <c r="X522" s="325"/>
      <c r="Y522" s="325"/>
      <c r="Z522" s="325"/>
      <c r="AA522" s="325"/>
      <c r="AB522" s="325"/>
      <c r="AC522" s="325"/>
      <c r="AD522" s="325"/>
      <c r="AE522" s="325"/>
      <c r="AF522" s="325"/>
      <c r="AG522" s="325"/>
      <c r="AH522" s="325"/>
      <c r="AI522" s="325"/>
      <c r="AJ522" s="325"/>
      <c r="AK522" s="325"/>
      <c r="AL522" s="325"/>
      <c r="AM522" s="325"/>
      <c r="AN522" s="325"/>
      <c r="AO522" s="325"/>
      <c r="AP522" s="325"/>
      <c r="AQ522" s="325"/>
      <c r="AR522" s="325"/>
      <c r="AS522" s="325"/>
      <c r="AT522" s="325"/>
      <c r="AU522" s="325"/>
      <c r="AV522" s="325"/>
      <c r="AW522" s="325"/>
      <c r="AX522" s="325"/>
      <c r="AY522" s="325"/>
      <c r="AZ522" s="325"/>
      <c r="BA522" s="325"/>
      <c r="BB522" s="325"/>
      <c r="BC522" s="325"/>
      <c r="BD522" s="325"/>
      <c r="BE522" s="325"/>
      <c r="BF522" s="325"/>
      <c r="BG522" s="325"/>
      <c r="BH522" s="325"/>
      <c r="BI522" s="325"/>
      <c r="BJ522" s="325"/>
      <c r="BK522" s="325"/>
      <c r="BL522" s="325"/>
      <c r="BM522" s="325"/>
      <c r="BN522" s="325"/>
      <c r="BO522" s="325"/>
      <c r="BP522" s="325"/>
      <c r="BQ522" s="325"/>
      <c r="BR522" s="325"/>
      <c r="BS522" s="325"/>
      <c r="BT522" s="325"/>
      <c r="BU522" s="325"/>
      <c r="BV522" s="325"/>
      <c r="BW522" s="325"/>
      <c r="BX522" s="325"/>
      <c r="BY522" s="325"/>
      <c r="BZ522" s="325"/>
      <c r="CA522" s="325"/>
      <c r="CB522" s="325"/>
      <c r="CC522" s="325"/>
      <c r="CD522" s="325"/>
      <c r="CE522" s="325"/>
      <c r="CF522" s="325"/>
      <c r="CG522" s="325"/>
      <c r="CH522" s="325"/>
      <c r="CI522" s="325"/>
      <c r="CJ522" s="325"/>
      <c r="CK522" s="325"/>
      <c r="CL522" s="325"/>
      <c r="CM522" s="325"/>
      <c r="CN522" s="325"/>
      <c r="CO522" s="325"/>
      <c r="CP522" s="325"/>
      <c r="CQ522" s="325"/>
      <c r="CR522" s="325"/>
      <c r="CS522" s="325"/>
      <c r="CT522" s="325"/>
      <c r="CU522" s="325"/>
      <c r="CV522" s="325"/>
      <c r="CW522" s="325"/>
      <c r="CX522" s="325"/>
      <c r="CY522" s="325"/>
      <c r="CZ522" s="325"/>
      <c r="DA522" s="325"/>
      <c r="DB522" s="325"/>
      <c r="DC522" s="325"/>
      <c r="DD522" s="325"/>
      <c r="DE522" s="325"/>
      <c r="DF522" s="325"/>
      <c r="DG522" s="325"/>
      <c r="DH522" s="325"/>
      <c r="DI522" s="325"/>
      <c r="DJ522" s="325"/>
      <c r="DK522" s="325"/>
      <c r="DL522" s="325"/>
      <c r="DM522" s="325"/>
      <c r="DN522" s="325"/>
      <c r="DO522" s="325"/>
      <c r="DP522" s="325"/>
      <c r="DQ522" s="325"/>
      <c r="DR522" s="325"/>
      <c r="DS522" s="325"/>
      <c r="DT522" s="325"/>
      <c r="DU522" s="325"/>
      <c r="DV522" s="325"/>
      <c r="DW522" s="325"/>
      <c r="DX522" s="325"/>
      <c r="DY522" s="325"/>
      <c r="DZ522" s="325"/>
      <c r="EA522" s="325"/>
      <c r="EB522" s="325"/>
      <c r="EC522" s="325"/>
      <c r="ED522" s="325"/>
      <c r="EE522" s="325"/>
      <c r="EF522" s="325"/>
      <c r="EG522" s="325"/>
      <c r="EH522" s="325"/>
      <c r="EI522" s="325"/>
      <c r="EJ522" s="325"/>
      <c r="EK522" s="332"/>
      <c r="EL522" s="332"/>
      <c r="EM522" s="332"/>
      <c r="EN522" s="332"/>
      <c r="EO522" s="332"/>
      <c r="EP522" s="332"/>
      <c r="EQ522" s="332"/>
      <c r="ER522" s="332"/>
      <c r="ES522" s="332"/>
      <c r="ET522" s="332"/>
      <c r="EU522" s="332"/>
      <c r="EV522" s="332"/>
      <c r="EW522" s="332"/>
      <c r="EX522" s="332"/>
      <c r="EY522" s="332"/>
      <c r="EZ522" s="332"/>
      <c r="FA522" s="332"/>
      <c r="FB522" s="332"/>
      <c r="FC522" s="332"/>
      <c r="FD522" s="332"/>
      <c r="FE522" s="332"/>
      <c r="FF522" s="332"/>
      <c r="FG522" s="332"/>
      <c r="FH522" s="332"/>
      <c r="FI522" s="332"/>
      <c r="FJ522" s="332"/>
      <c r="FK522" s="332"/>
      <c r="FL522" s="332"/>
      <c r="FM522" s="332"/>
      <c r="FN522" s="332"/>
      <c r="FO522" s="332"/>
    </row>
    <row r="523" spans="1:16384" s="339" customFormat="1" ht="15" customHeight="1">
      <c r="A523" s="337"/>
      <c r="B523" s="338"/>
      <c r="C523" s="338"/>
      <c r="D523" s="338"/>
      <c r="E523" s="338"/>
      <c r="F523" s="338"/>
      <c r="G523" s="338"/>
      <c r="H523" s="338"/>
      <c r="I523" s="338"/>
      <c r="J523" s="338"/>
      <c r="K523" s="338"/>
      <c r="L523" s="338"/>
      <c r="M523" s="338"/>
      <c r="N523" s="338"/>
      <c r="O523" s="338"/>
      <c r="P523" s="338"/>
      <c r="Q523" s="338"/>
      <c r="R523" s="338"/>
      <c r="S523" s="338"/>
      <c r="T523" s="338"/>
      <c r="U523" s="338"/>
      <c r="V523" s="338"/>
      <c r="W523" s="338"/>
      <c r="X523" s="338"/>
      <c r="Y523" s="338"/>
      <c r="Z523" s="338"/>
      <c r="AA523" s="338"/>
      <c r="AB523" s="338"/>
      <c r="AC523" s="338"/>
      <c r="AD523" s="338"/>
      <c r="AE523" s="338"/>
      <c r="AF523" s="338"/>
      <c r="AG523" s="338"/>
      <c r="AH523" s="338"/>
      <c r="AI523" s="338"/>
      <c r="AJ523" s="338"/>
      <c r="AK523" s="338"/>
      <c r="AL523" s="338"/>
      <c r="AM523" s="338"/>
      <c r="AN523" s="338"/>
      <c r="AO523" s="338"/>
      <c r="AP523" s="338"/>
      <c r="AQ523" s="338"/>
      <c r="AR523" s="338"/>
      <c r="AS523" s="338"/>
      <c r="AT523" s="338"/>
      <c r="AU523" s="338"/>
      <c r="AV523" s="338"/>
      <c r="AW523" s="338"/>
      <c r="AX523" s="338"/>
      <c r="AY523" s="338"/>
      <c r="AZ523" s="338"/>
      <c r="BA523" s="338"/>
      <c r="BB523" s="338"/>
      <c r="BC523" s="338"/>
      <c r="BD523" s="338"/>
      <c r="BE523" s="338"/>
      <c r="BF523" s="338"/>
      <c r="BG523" s="338"/>
      <c r="BH523" s="338"/>
      <c r="BI523" s="338"/>
      <c r="BJ523" s="338"/>
      <c r="BK523" s="338"/>
      <c r="BL523" s="338"/>
      <c r="BM523" s="338"/>
      <c r="BN523" s="338"/>
      <c r="BO523" s="338"/>
      <c r="BP523" s="338"/>
      <c r="BQ523" s="338"/>
      <c r="BR523" s="338"/>
      <c r="BS523" s="338"/>
      <c r="BT523" s="338"/>
      <c r="BU523" s="338"/>
      <c r="BV523" s="338"/>
      <c r="BW523" s="338"/>
      <c r="BX523" s="338"/>
      <c r="BY523" s="338"/>
      <c r="BZ523" s="338"/>
      <c r="CA523" s="338"/>
      <c r="CB523" s="338"/>
      <c r="CC523" s="338"/>
      <c r="CD523" s="338"/>
      <c r="CE523" s="338"/>
      <c r="CF523" s="338"/>
      <c r="CG523" s="338"/>
      <c r="CH523" s="338"/>
      <c r="CI523" s="338"/>
      <c r="CJ523" s="338"/>
      <c r="CK523" s="338"/>
      <c r="CL523" s="338"/>
      <c r="CM523" s="338"/>
      <c r="CN523" s="338"/>
      <c r="CO523" s="338"/>
      <c r="CP523" s="338"/>
      <c r="CQ523" s="338"/>
      <c r="CR523" s="338"/>
      <c r="CS523" s="338"/>
      <c r="CT523" s="338"/>
      <c r="CU523" s="338"/>
      <c r="CV523" s="338"/>
      <c r="CW523" s="338"/>
      <c r="CX523" s="338"/>
      <c r="CY523" s="338"/>
      <c r="CZ523" s="338"/>
      <c r="DA523" s="338"/>
      <c r="DB523" s="338"/>
      <c r="DC523" s="338"/>
      <c r="DD523" s="338"/>
      <c r="DE523" s="338"/>
      <c r="DF523" s="338"/>
      <c r="DG523" s="338"/>
      <c r="DH523" s="338"/>
      <c r="DI523" s="338"/>
      <c r="DJ523" s="338"/>
      <c r="DK523" s="338"/>
      <c r="DL523" s="338"/>
      <c r="DM523" s="338"/>
      <c r="DN523" s="338"/>
      <c r="DO523" s="338"/>
      <c r="DP523" s="338"/>
      <c r="DQ523" s="338"/>
      <c r="DR523" s="338"/>
      <c r="DS523" s="338"/>
      <c r="DT523" s="338"/>
      <c r="DU523" s="338"/>
      <c r="DV523" s="338"/>
      <c r="DW523" s="338"/>
      <c r="DX523" s="338"/>
      <c r="DY523" s="338"/>
      <c r="DZ523" s="338"/>
      <c r="EA523" s="338"/>
      <c r="EB523" s="338"/>
      <c r="EC523" s="338"/>
      <c r="ED523" s="338"/>
      <c r="EE523" s="338"/>
      <c r="EF523" s="338"/>
      <c r="EG523" s="338"/>
      <c r="EH523" s="338"/>
      <c r="EI523" s="338"/>
      <c r="EJ523" s="338"/>
      <c r="EK523" s="338"/>
      <c r="EL523" s="338"/>
      <c r="EM523" s="338"/>
      <c r="EN523" s="338"/>
      <c r="EO523" s="338"/>
      <c r="EP523" s="338"/>
      <c r="EQ523" s="338"/>
      <c r="ER523" s="338"/>
      <c r="ES523" s="338"/>
      <c r="ET523" s="338"/>
      <c r="EU523" s="338"/>
      <c r="EV523" s="338"/>
      <c r="EW523" s="338"/>
      <c r="EX523" s="338"/>
      <c r="EY523" s="338"/>
      <c r="EZ523" s="338"/>
      <c r="FA523" s="338"/>
      <c r="FB523" s="338"/>
      <c r="FC523" s="338"/>
      <c r="FD523" s="338"/>
      <c r="FE523" s="338"/>
      <c r="FF523" s="338"/>
      <c r="FG523" s="338"/>
      <c r="FH523" s="338"/>
      <c r="FI523" s="338"/>
      <c r="FJ523" s="338"/>
      <c r="FK523" s="338"/>
      <c r="FL523" s="338"/>
      <c r="FM523" s="338"/>
      <c r="FN523" s="338"/>
      <c r="FO523" s="338"/>
    </row>
    <row r="524" spans="1:16384" ht="14.65" customHeight="1">
      <c r="C524" s="1641"/>
      <c r="D524" s="1641"/>
      <c r="E524" s="242"/>
      <c r="F524" s="340"/>
      <c r="G524" s="340"/>
      <c r="H524" s="340"/>
      <c r="I524" s="340"/>
      <c r="J524" s="340"/>
      <c r="K524" s="340"/>
      <c r="L524" s="283"/>
      <c r="M524" s="256"/>
      <c r="N524" s="256"/>
      <c r="O524" s="256"/>
      <c r="P524" s="256"/>
      <c r="Q524" s="341"/>
      <c r="R524" s="262"/>
      <c r="S524" s="262"/>
      <c r="T524" s="262"/>
      <c r="AF524" s="258"/>
      <c r="AG524" s="258"/>
      <c r="AH524" s="258"/>
      <c r="AI524" s="258"/>
      <c r="AJ524" s="258"/>
      <c r="AS524" s="282"/>
      <c r="AT524" s="283"/>
      <c r="AU524" s="343"/>
      <c r="AV524" s="344"/>
      <c r="BD524" s="234"/>
      <c r="BE524" s="234"/>
      <c r="BF524" s="234"/>
      <c r="BG524" s="234"/>
      <c r="BP524" s="258"/>
      <c r="CC524" s="234"/>
      <c r="CG524" s="258"/>
      <c r="CH524" s="258"/>
      <c r="CI524" s="258"/>
      <c r="CJ524" s="274"/>
      <c r="CK524" s="258"/>
      <c r="CL524" s="258"/>
      <c r="CM524" s="258"/>
      <c r="CN524" s="258"/>
      <c r="CO524" s="258"/>
      <c r="CP524" s="258"/>
      <c r="CQ524" s="258"/>
      <c r="CR524" s="258"/>
      <c r="CS524" s="258"/>
      <c r="CT524" s="258"/>
      <c r="CU524" s="274"/>
      <c r="DK524" s="223"/>
    </row>
    <row r="525" spans="1:16384" ht="12" thickBot="1">
      <c r="C525" s="257"/>
      <c r="D525" s="345"/>
      <c r="F525" s="259"/>
      <c r="G525" s="257"/>
      <c r="H525" s="259"/>
      <c r="I525" s="259"/>
      <c r="J525" s="259"/>
      <c r="K525" s="259"/>
      <c r="L525" s="259"/>
      <c r="AH525" s="348"/>
      <c r="AI525" s="348"/>
      <c r="AJ525" s="349"/>
      <c r="AN525" s="262"/>
      <c r="AO525" s="262"/>
      <c r="AP525" s="262"/>
      <c r="AQ525" s="330"/>
      <c r="AR525" s="350"/>
      <c r="BD525" s="1097"/>
      <c r="BH525" s="256">
        <v>22</v>
      </c>
      <c r="CG525" s="351"/>
      <c r="DK525" s="223"/>
    </row>
    <row r="526" spans="1:16384">
      <c r="C526" s="257"/>
      <c r="D526" s="345"/>
      <c r="E526" s="256" t="s">
        <v>333</v>
      </c>
      <c r="F526" s="259"/>
      <c r="G526" s="257"/>
      <c r="H526" s="259"/>
      <c r="I526" s="259"/>
      <c r="J526" s="259"/>
      <c r="K526" s="259"/>
      <c r="L526" s="259"/>
      <c r="AG526" s="352"/>
      <c r="AH526" s="353" t="s">
        <v>334</v>
      </c>
      <c r="AI526" s="354"/>
      <c r="AJ526" s="355" t="s">
        <v>335</v>
      </c>
      <c r="AK526" s="356"/>
      <c r="AN526" s="262"/>
      <c r="AO526" s="262"/>
      <c r="AP526" s="262"/>
      <c r="AU526" s="256">
        <f ca="1">+AU503+BA503+CS503</f>
        <v>1512.0899420004212</v>
      </c>
      <c r="DK526" s="223"/>
    </row>
    <row r="527" spans="1:16384">
      <c r="C527" s="257"/>
      <c r="D527" s="345"/>
      <c r="E527" s="256" t="s">
        <v>336</v>
      </c>
      <c r="G527" s="257"/>
      <c r="H527" s="259"/>
      <c r="I527" s="259">
        <v>1.1000000000000001</v>
      </c>
      <c r="J527" s="259"/>
      <c r="K527" s="259"/>
      <c r="L527" s="259"/>
      <c r="AG527" s="352"/>
      <c r="AH527" s="357">
        <f ca="1">+AC503+AD503+AE503+AF503+AG503+AH503+AI503</f>
        <v>2523.7037480129848</v>
      </c>
      <c r="AI527" s="275"/>
      <c r="AJ527" s="358"/>
      <c r="AK527" s="356"/>
      <c r="AN527" s="262"/>
      <c r="AO527" s="262"/>
      <c r="AP527" s="262"/>
      <c r="BD527" s="256">
        <v>25.206492420998668</v>
      </c>
      <c r="BH527" s="256">
        <f ca="1">+BH503+BH525</f>
        <v>38</v>
      </c>
      <c r="DK527" s="223"/>
    </row>
    <row r="528" spans="1:16384" s="277" customFormat="1" ht="12.75" customHeight="1">
      <c r="Q528" s="342"/>
      <c r="AB528" s="342"/>
      <c r="AC528" s="317"/>
      <c r="AD528" s="317"/>
      <c r="AE528" s="317"/>
      <c r="AG528" s="359"/>
      <c r="AH528" s="360" t="s">
        <v>337</v>
      </c>
      <c r="AI528" s="342"/>
      <c r="AJ528" s="361" t="str">
        <f ca="1">+IF(AH527=AH529,"ok","error")</f>
        <v>error</v>
      </c>
      <c r="AK528" s="362"/>
      <c r="AL528" s="317"/>
      <c r="AQ528" s="363"/>
      <c r="AR528" s="364"/>
      <c r="AV528" s="344"/>
      <c r="BC528" s="277">
        <f ca="1">+BC503/1.1</f>
        <v>1939.433903230012</v>
      </c>
      <c r="BD528" s="277">
        <f ca="1">+BD503+BD527</f>
        <v>40.266492420998688</v>
      </c>
      <c r="CJ528" s="344"/>
      <c r="CN528" s="256"/>
      <c r="CU528" s="344"/>
      <c r="DI528" s="342"/>
      <c r="DK528" s="317"/>
      <c r="DS528" s="317"/>
      <c r="DT528" s="317"/>
    </row>
    <row r="529" spans="5:124" s="277" customFormat="1" ht="12.75" customHeight="1">
      <c r="E529" s="292" t="s">
        <v>338</v>
      </c>
      <c r="F529" s="292">
        <f>+E503*0.4</f>
        <v>497.07599999999996</v>
      </c>
      <c r="J529" s="256"/>
      <c r="Q529" s="342"/>
      <c r="AB529" s="342"/>
      <c r="AG529" s="359"/>
      <c r="AH529" s="357">
        <f ca="1">AZ503+AT503+AU503+BA503+BB503+BI503</f>
        <v>2557.6704234783342</v>
      </c>
      <c r="AI529" s="342"/>
      <c r="AJ529" s="361"/>
      <c r="AK529" s="362"/>
      <c r="AL529" s="223"/>
      <c r="AQ529" s="363"/>
      <c r="AR529" s="364"/>
      <c r="AV529" s="344"/>
      <c r="CJ529" s="344"/>
      <c r="CU529" s="344"/>
      <c r="DI529" s="342"/>
      <c r="DK529" s="317"/>
      <c r="DS529" s="317"/>
      <c r="DT529" s="223"/>
    </row>
    <row r="530" spans="5:124" s="277" customFormat="1" ht="12.75" customHeight="1">
      <c r="J530" s="256"/>
      <c r="L530" s="351"/>
      <c r="Q530" s="342"/>
      <c r="AB530" s="342"/>
      <c r="AG530" s="359"/>
      <c r="AH530" s="360" t="s">
        <v>339</v>
      </c>
      <c r="AI530" s="275"/>
      <c r="AJ530" s="361" t="str">
        <f ca="1">+IF(AH531=BC503,"ok","error")</f>
        <v>error</v>
      </c>
      <c r="AK530" s="362"/>
      <c r="AL530" s="317"/>
      <c r="AQ530" s="363"/>
      <c r="AR530" s="364"/>
      <c r="AV530" s="344"/>
      <c r="CJ530" s="344"/>
      <c r="CU530" s="344"/>
      <c r="DI530" s="342"/>
      <c r="DK530" s="317"/>
      <c r="DS530" s="317"/>
      <c r="DT530" s="317"/>
    </row>
    <row r="531" spans="5:124" s="277" customFormat="1" ht="12.75" customHeight="1" thickBot="1">
      <c r="J531" s="256"/>
      <c r="L531" s="351"/>
      <c r="Q531" s="342"/>
      <c r="U531" s="277" t="s">
        <v>340</v>
      </c>
      <c r="AB531" s="342"/>
      <c r="AG531" s="359"/>
      <c r="AH531" s="365">
        <f ca="1">+AH527-AZ503</f>
        <v>2099.4106180876643</v>
      </c>
      <c r="AI531" s="366"/>
      <c r="AJ531" s="367"/>
      <c r="AK531" s="362"/>
      <c r="AL531" s="317"/>
      <c r="AQ531" s="363"/>
      <c r="AR531" s="364"/>
      <c r="AV531" s="344"/>
      <c r="CJ531" s="344"/>
      <c r="CU531" s="344"/>
      <c r="DI531" s="342"/>
      <c r="DK531" s="317"/>
      <c r="DS531" s="317"/>
      <c r="DT531" s="317"/>
    </row>
    <row r="532" spans="5:124" s="277" customFormat="1" ht="12.75" customHeight="1">
      <c r="J532" s="256"/>
      <c r="L532" s="368"/>
      <c r="Q532" s="342"/>
      <c r="U532" s="277" t="s">
        <v>341</v>
      </c>
      <c r="AB532" s="342"/>
      <c r="AH532" s="369"/>
      <c r="AI532" s="369"/>
      <c r="AJ532" s="369"/>
      <c r="AK532" s="317"/>
      <c r="AL532" s="317"/>
      <c r="AQ532" s="363"/>
      <c r="AR532" s="364"/>
      <c r="AV532" s="344"/>
      <c r="CJ532" s="344"/>
      <c r="CU532" s="344"/>
      <c r="DI532" s="342"/>
      <c r="DK532" s="317"/>
      <c r="DS532" s="317"/>
      <c r="DT532" s="317"/>
    </row>
    <row r="533" spans="5:124" s="277" customFormat="1" ht="12.75" customHeight="1">
      <c r="J533" s="256"/>
      <c r="Q533" s="342"/>
      <c r="T533" s="277" t="s">
        <v>342</v>
      </c>
      <c r="AB533" s="342"/>
      <c r="AK533" s="317"/>
      <c r="AL533" s="317"/>
      <c r="AQ533" s="363"/>
      <c r="AR533" s="364"/>
      <c r="AV533" s="344"/>
      <c r="CJ533" s="344"/>
      <c r="CU533" s="344"/>
      <c r="DI533" s="342"/>
      <c r="DK533" s="317"/>
      <c r="DS533" s="317"/>
      <c r="DT533" s="317"/>
    </row>
    <row r="534" spans="5:124" s="277" customFormat="1" ht="12.75" customHeight="1">
      <c r="Q534" s="342"/>
      <c r="AB534" s="342"/>
      <c r="AK534" s="317"/>
      <c r="AL534" s="317"/>
      <c r="AQ534" s="363"/>
      <c r="AR534" s="364"/>
      <c r="AV534" s="344"/>
      <c r="CJ534" s="344"/>
      <c r="CU534" s="344"/>
      <c r="DI534" s="342"/>
      <c r="DK534" s="317"/>
      <c r="DS534" s="317"/>
      <c r="DT534" s="317"/>
    </row>
    <row r="535" spans="5:124" s="277" customFormat="1" ht="12.75" customHeight="1">
      <c r="K535" s="277">
        <f>+(17000000*1.3)/60</f>
        <v>368333.33333333331</v>
      </c>
      <c r="Q535" s="342"/>
      <c r="AB535" s="342"/>
      <c r="AK535" s="317"/>
      <c r="AL535" s="317"/>
      <c r="AQ535" s="363"/>
      <c r="AR535" s="364"/>
      <c r="AV535" s="344"/>
      <c r="CJ535" s="344"/>
      <c r="CU535" s="344"/>
      <c r="DI535" s="342"/>
      <c r="DK535" s="317"/>
      <c r="DS535" s="317"/>
      <c r="DT535" s="317"/>
    </row>
    <row r="536" spans="5:124" s="277" customFormat="1" ht="12.75" customHeight="1">
      <c r="Q536" s="342"/>
      <c r="AB536" s="342"/>
      <c r="AK536" s="317"/>
      <c r="AL536" s="317"/>
      <c r="AQ536" s="363"/>
      <c r="AR536" s="364"/>
      <c r="AV536" s="344"/>
      <c r="CJ536" s="344"/>
      <c r="CU536" s="344"/>
      <c r="DI536" s="342"/>
      <c r="DK536" s="317"/>
      <c r="DS536" s="317"/>
      <c r="DT536" s="317"/>
    </row>
    <row r="537" spans="5:124" s="277" customFormat="1" ht="12.75" customHeight="1">
      <c r="Q537" s="342"/>
      <c r="AB537" s="342"/>
      <c r="AK537" s="317"/>
      <c r="AL537" s="317"/>
      <c r="AQ537" s="363"/>
      <c r="AR537" s="364"/>
      <c r="AV537" s="344"/>
      <c r="CJ537" s="344"/>
      <c r="CU537" s="344"/>
      <c r="DI537" s="342"/>
      <c r="DK537" s="317"/>
      <c r="DS537" s="317"/>
      <c r="DT537" s="317"/>
    </row>
    <row r="538" spans="5:124" s="277" customFormat="1" ht="12.75" customHeight="1">
      <c r="K538" s="277">
        <f>+(17000000*1.2)/60</f>
        <v>340000</v>
      </c>
      <c r="M538" s="277">
        <f>+(18000000*1.1)/60</f>
        <v>330000</v>
      </c>
      <c r="Q538" s="342"/>
      <c r="AB538" s="342"/>
      <c r="AK538" s="317"/>
      <c r="AL538" s="317"/>
      <c r="AQ538" s="363"/>
      <c r="AR538" s="364"/>
      <c r="AV538" s="344"/>
      <c r="CJ538" s="344"/>
      <c r="CU538" s="344"/>
      <c r="DI538" s="342"/>
      <c r="DK538" s="317"/>
      <c r="DS538" s="317"/>
      <c r="DT538" s="317"/>
    </row>
    <row r="539" spans="5:124" s="277" customFormat="1" ht="12.75" customHeight="1">
      <c r="Q539" s="342"/>
      <c r="AB539" s="342"/>
      <c r="AK539" s="317"/>
      <c r="AL539" s="317"/>
      <c r="AQ539" s="363"/>
      <c r="AR539" s="364"/>
      <c r="AV539" s="344"/>
      <c r="CJ539" s="344"/>
      <c r="CU539" s="344"/>
      <c r="DI539" s="342"/>
      <c r="DK539" s="317"/>
      <c r="DS539" s="317"/>
      <c r="DT539" s="317"/>
    </row>
    <row r="540" spans="5:124" s="277" customFormat="1" ht="12.75" customHeight="1">
      <c r="Q540" s="342"/>
      <c r="AB540" s="342"/>
      <c r="AK540" s="317"/>
      <c r="AL540" s="317"/>
      <c r="AQ540" s="363"/>
      <c r="AR540" s="364"/>
      <c r="AV540" s="344"/>
      <c r="CJ540" s="344"/>
      <c r="CU540" s="344"/>
      <c r="DI540" s="342"/>
      <c r="DK540" s="317"/>
      <c r="DS540" s="317"/>
      <c r="DT540" s="317"/>
    </row>
    <row r="541" spans="5:124" s="277" customFormat="1" ht="12.75" customHeight="1">
      <c r="K541" s="277">
        <f>+(17000000*1.1)/60</f>
        <v>311666.66666666669</v>
      </c>
      <c r="M541" s="277">
        <f>+(20000000*1.1)/60</f>
        <v>366666.66666666669</v>
      </c>
      <c r="Q541" s="342"/>
      <c r="AB541" s="342"/>
      <c r="AK541" s="317"/>
      <c r="AL541" s="317"/>
      <c r="AQ541" s="363"/>
      <c r="AR541" s="364"/>
      <c r="AV541" s="344"/>
      <c r="CJ541" s="344"/>
      <c r="CU541" s="344"/>
      <c r="DI541" s="342"/>
      <c r="DK541" s="317"/>
      <c r="DS541" s="317"/>
      <c r="DT541" s="317"/>
    </row>
    <row r="542" spans="5:124" s="277" customFormat="1" ht="12.75" customHeight="1">
      <c r="Q542" s="342"/>
      <c r="AB542" s="342"/>
      <c r="AK542" s="317"/>
      <c r="AL542" s="317"/>
      <c r="AQ542" s="363"/>
      <c r="AR542" s="364"/>
      <c r="AV542" s="344"/>
      <c r="CJ542" s="344"/>
      <c r="CU542" s="344"/>
      <c r="DI542" s="342"/>
      <c r="DK542" s="317"/>
      <c r="DS542" s="317"/>
      <c r="DT542" s="317"/>
    </row>
    <row r="543" spans="5:124" s="277" customFormat="1" ht="12.75" customHeight="1">
      <c r="Q543" s="342"/>
      <c r="AB543" s="342"/>
      <c r="AK543" s="317"/>
      <c r="AL543" s="317"/>
      <c r="AQ543" s="363"/>
      <c r="AR543" s="364"/>
      <c r="AV543" s="344"/>
      <c r="CJ543" s="344"/>
      <c r="CU543" s="344"/>
      <c r="DI543" s="342"/>
      <c r="DK543" s="317"/>
      <c r="DS543" s="317"/>
      <c r="DT543" s="317"/>
    </row>
    <row r="544" spans="5:124" s="277" customFormat="1" ht="12.75" customHeight="1">
      <c r="Q544" s="342"/>
      <c r="AB544" s="342"/>
      <c r="AK544" s="317"/>
      <c r="AL544" s="317"/>
      <c r="AQ544" s="363"/>
      <c r="AR544" s="364"/>
      <c r="AV544" s="344"/>
      <c r="CJ544" s="344"/>
      <c r="CU544" s="344"/>
      <c r="DI544" s="342"/>
      <c r="DK544" s="317"/>
      <c r="DS544" s="317"/>
      <c r="DT544" s="317"/>
    </row>
    <row r="545" spans="17:124" s="277" customFormat="1" ht="12.75" customHeight="1">
      <c r="Q545" s="342"/>
      <c r="AB545" s="342"/>
      <c r="AK545" s="317"/>
      <c r="AL545" s="317"/>
      <c r="AQ545" s="363"/>
      <c r="AR545" s="364"/>
      <c r="AV545" s="344"/>
      <c r="CJ545" s="344"/>
      <c r="CU545" s="344"/>
      <c r="DI545" s="342"/>
      <c r="DK545" s="317"/>
      <c r="DS545" s="317"/>
      <c r="DT545" s="317"/>
    </row>
    <row r="546" spans="17:124" s="277" customFormat="1" ht="12.75" customHeight="1">
      <c r="Q546" s="342"/>
      <c r="AB546" s="342"/>
      <c r="AK546" s="317"/>
      <c r="AL546" s="317"/>
      <c r="AQ546" s="363"/>
      <c r="AR546" s="364"/>
      <c r="AV546" s="344"/>
      <c r="CJ546" s="344"/>
      <c r="CU546" s="344"/>
      <c r="DI546" s="342"/>
      <c r="DK546" s="317"/>
      <c r="DS546" s="317"/>
      <c r="DT546" s="317"/>
    </row>
    <row r="547" spans="17:124" s="277" customFormat="1" ht="12.75" customHeight="1">
      <c r="Q547" s="342"/>
      <c r="AB547" s="342"/>
      <c r="AK547" s="317"/>
      <c r="AL547" s="317"/>
      <c r="AQ547" s="363"/>
      <c r="AR547" s="364"/>
      <c r="AV547" s="344"/>
      <c r="CJ547" s="344"/>
      <c r="CU547" s="344"/>
      <c r="DI547" s="342"/>
      <c r="DK547" s="317"/>
      <c r="DS547" s="317"/>
      <c r="DT547" s="317"/>
    </row>
    <row r="548" spans="17:124" s="277" customFormat="1" ht="12.75" customHeight="1">
      <c r="Q548" s="342"/>
      <c r="AB548" s="342"/>
      <c r="AK548" s="317"/>
      <c r="AL548" s="317"/>
      <c r="AQ548" s="363"/>
      <c r="AR548" s="364"/>
      <c r="AV548" s="344"/>
      <c r="CJ548" s="344"/>
      <c r="CU548" s="344"/>
      <c r="DI548" s="342"/>
      <c r="DK548" s="317"/>
      <c r="DS548" s="317"/>
      <c r="DT548" s="317"/>
    </row>
    <row r="549" spans="17:124" s="277" customFormat="1" ht="12.75" customHeight="1">
      <c r="Q549" s="342"/>
      <c r="AB549" s="342"/>
      <c r="AK549" s="317"/>
      <c r="AL549" s="317"/>
      <c r="AQ549" s="363"/>
      <c r="AR549" s="364"/>
      <c r="AV549" s="344"/>
      <c r="CJ549" s="344"/>
      <c r="CU549" s="344"/>
      <c r="DI549" s="342"/>
      <c r="DK549" s="317"/>
      <c r="DS549" s="317"/>
      <c r="DT549" s="317"/>
    </row>
    <row r="550" spans="17:124" s="277" customFormat="1" ht="12.75" customHeight="1">
      <c r="Q550" s="342"/>
      <c r="AB550" s="342"/>
      <c r="AK550" s="317"/>
      <c r="AL550" s="317"/>
      <c r="AQ550" s="363"/>
      <c r="AR550" s="364"/>
      <c r="AV550" s="344"/>
      <c r="CJ550" s="344"/>
      <c r="CU550" s="344"/>
      <c r="DI550" s="342"/>
      <c r="DK550" s="317"/>
      <c r="DS550" s="317"/>
      <c r="DT550" s="317"/>
    </row>
    <row r="551" spans="17:124" s="277" customFormat="1" ht="12.75" customHeight="1">
      <c r="Q551" s="342"/>
      <c r="AB551" s="342"/>
      <c r="AK551" s="317"/>
      <c r="AL551" s="317"/>
      <c r="AQ551" s="363"/>
      <c r="AR551" s="364"/>
      <c r="AV551" s="344"/>
      <c r="CJ551" s="344"/>
      <c r="CU551" s="344"/>
      <c r="DI551" s="342"/>
      <c r="DK551" s="317"/>
      <c r="DS551" s="317"/>
      <c r="DT551" s="317"/>
    </row>
    <row r="552" spans="17:124" s="277" customFormat="1" ht="12.75" customHeight="1">
      <c r="Q552" s="342"/>
      <c r="AB552" s="342"/>
      <c r="AK552" s="317"/>
      <c r="AL552" s="317"/>
      <c r="AQ552" s="363"/>
      <c r="AR552" s="364"/>
      <c r="AV552" s="344"/>
      <c r="CJ552" s="344"/>
      <c r="CU552" s="344"/>
      <c r="DI552" s="342"/>
      <c r="DK552" s="317"/>
      <c r="DS552" s="317"/>
      <c r="DT552" s="317"/>
    </row>
    <row r="553" spans="17:124" s="277" customFormat="1" ht="12.75" customHeight="1">
      <c r="Q553" s="342"/>
      <c r="AB553" s="342"/>
      <c r="AK553" s="317"/>
      <c r="AL553" s="317"/>
      <c r="AQ553" s="363"/>
      <c r="AR553" s="364"/>
      <c r="AV553" s="344"/>
      <c r="CJ553" s="344"/>
      <c r="CU553" s="344"/>
      <c r="DI553" s="342"/>
      <c r="DK553" s="317"/>
      <c r="DS553" s="317"/>
      <c r="DT553" s="317"/>
    </row>
    <row r="554" spans="17:124" s="277" customFormat="1" ht="12.75" customHeight="1">
      <c r="Q554" s="342"/>
      <c r="AB554" s="342"/>
      <c r="AK554" s="317"/>
      <c r="AL554" s="317"/>
      <c r="AQ554" s="363"/>
      <c r="AR554" s="364"/>
      <c r="AV554" s="344"/>
      <c r="CJ554" s="344"/>
      <c r="CU554" s="344"/>
      <c r="DI554" s="342"/>
      <c r="DK554" s="317"/>
      <c r="DS554" s="317"/>
      <c r="DT554" s="317"/>
    </row>
    <row r="555" spans="17:124" s="277" customFormat="1" ht="12.75" customHeight="1">
      <c r="Q555" s="342"/>
      <c r="AB555" s="342"/>
      <c r="AK555" s="317"/>
      <c r="AL555" s="317"/>
      <c r="AQ555" s="363"/>
      <c r="AR555" s="364"/>
      <c r="AV555" s="344"/>
      <c r="CJ555" s="344"/>
      <c r="CU555" s="344"/>
      <c r="DI555" s="342"/>
      <c r="DK555" s="317"/>
      <c r="DS555" s="317"/>
      <c r="DT555" s="317"/>
    </row>
    <row r="556" spans="17:124" s="277" customFormat="1" ht="12.75" customHeight="1">
      <c r="Q556" s="342"/>
      <c r="AB556" s="342"/>
      <c r="AK556" s="317"/>
      <c r="AL556" s="317"/>
      <c r="AQ556" s="363"/>
      <c r="AR556" s="364"/>
      <c r="AV556" s="344"/>
      <c r="CJ556" s="344"/>
      <c r="CU556" s="344"/>
      <c r="DI556" s="342"/>
      <c r="DK556" s="317"/>
      <c r="DS556" s="317"/>
      <c r="DT556" s="317"/>
    </row>
    <row r="557" spans="17:124" s="277" customFormat="1" ht="12.75" customHeight="1">
      <c r="Q557" s="342"/>
      <c r="AB557" s="342"/>
      <c r="AK557" s="317"/>
      <c r="AL557" s="317"/>
      <c r="AQ557" s="363"/>
      <c r="AR557" s="364"/>
      <c r="AV557" s="344"/>
      <c r="CJ557" s="344"/>
      <c r="CU557" s="344"/>
      <c r="DI557" s="342"/>
      <c r="DK557" s="317"/>
      <c r="DS557" s="317"/>
      <c r="DT557" s="317"/>
    </row>
    <row r="558" spans="17:124" s="277" customFormat="1" ht="12.75" customHeight="1">
      <c r="Q558" s="342"/>
      <c r="AB558" s="342"/>
      <c r="AK558" s="317"/>
      <c r="AL558" s="317"/>
      <c r="AQ558" s="363"/>
      <c r="AR558" s="364"/>
      <c r="AV558" s="344"/>
      <c r="CJ558" s="344"/>
      <c r="CU558" s="344"/>
      <c r="DI558" s="342"/>
      <c r="DK558" s="317"/>
      <c r="DS558" s="317"/>
      <c r="DT558" s="317"/>
    </row>
    <row r="559" spans="17:124" s="277" customFormat="1" ht="12.75" customHeight="1">
      <c r="Q559" s="342"/>
      <c r="AB559" s="342"/>
      <c r="AK559" s="317"/>
      <c r="AL559" s="317"/>
      <c r="AQ559" s="363"/>
      <c r="AR559" s="364"/>
      <c r="AV559" s="344"/>
      <c r="CJ559" s="344"/>
      <c r="CU559" s="344"/>
      <c r="DI559" s="342"/>
      <c r="DK559" s="317"/>
      <c r="DS559" s="317"/>
      <c r="DT559" s="317"/>
    </row>
    <row r="560" spans="17:124" s="277" customFormat="1" ht="12.75" customHeight="1">
      <c r="Q560" s="342"/>
      <c r="AB560" s="342"/>
      <c r="AK560" s="317"/>
      <c r="AL560" s="317"/>
      <c r="AQ560" s="363"/>
      <c r="AR560" s="364"/>
      <c r="AV560" s="344"/>
      <c r="CJ560" s="344"/>
      <c r="CU560" s="344"/>
      <c r="DI560" s="342"/>
      <c r="DK560" s="317"/>
      <c r="DS560" s="317"/>
      <c r="DT560" s="317"/>
    </row>
    <row r="561" spans="17:124" s="277" customFormat="1" ht="12.75" customHeight="1">
      <c r="Q561" s="342"/>
      <c r="AB561" s="342"/>
      <c r="AK561" s="317"/>
      <c r="AL561" s="317"/>
      <c r="AQ561" s="363"/>
      <c r="AR561" s="364"/>
      <c r="AV561" s="344"/>
      <c r="CJ561" s="344"/>
      <c r="CU561" s="344"/>
      <c r="DI561" s="342"/>
      <c r="DK561" s="317"/>
      <c r="DS561" s="317"/>
      <c r="DT561" s="317"/>
    </row>
    <row r="562" spans="17:124" s="277" customFormat="1" ht="12.75" customHeight="1">
      <c r="Q562" s="342"/>
      <c r="AB562" s="342"/>
      <c r="AK562" s="317"/>
      <c r="AL562" s="317"/>
      <c r="AQ562" s="363"/>
      <c r="AR562" s="364"/>
      <c r="AV562" s="344"/>
      <c r="CJ562" s="344"/>
      <c r="CU562" s="344"/>
      <c r="DI562" s="342"/>
      <c r="DK562" s="317"/>
      <c r="DS562" s="317"/>
      <c r="DT562" s="317"/>
    </row>
    <row r="563" spans="17:124" s="277" customFormat="1" ht="12.75" customHeight="1">
      <c r="Q563" s="342"/>
      <c r="AB563" s="342"/>
      <c r="AK563" s="317"/>
      <c r="AL563" s="317"/>
      <c r="AQ563" s="363"/>
      <c r="AR563" s="364"/>
      <c r="AV563" s="344"/>
      <c r="CJ563" s="344"/>
      <c r="CU563" s="344"/>
      <c r="DI563" s="342"/>
      <c r="DK563" s="317"/>
      <c r="DS563" s="317"/>
      <c r="DT563" s="317"/>
    </row>
    <row r="564" spans="17:124" s="277" customFormat="1" ht="12.75" customHeight="1">
      <c r="Q564" s="342"/>
      <c r="AB564" s="342"/>
      <c r="AK564" s="317"/>
      <c r="AL564" s="317"/>
      <c r="AQ564" s="363"/>
      <c r="AR564" s="364"/>
      <c r="AV564" s="344"/>
      <c r="CJ564" s="344"/>
      <c r="CU564" s="344"/>
      <c r="DI564" s="342"/>
      <c r="DK564" s="317"/>
      <c r="DS564" s="317"/>
      <c r="DT564" s="317"/>
    </row>
    <row r="565" spans="17:124" s="277" customFormat="1" ht="12.75" customHeight="1">
      <c r="Q565" s="342"/>
      <c r="AB565" s="342"/>
      <c r="AK565" s="317"/>
      <c r="AL565" s="317"/>
      <c r="AQ565" s="363"/>
      <c r="AR565" s="364"/>
      <c r="AV565" s="344"/>
      <c r="CJ565" s="344"/>
      <c r="CU565" s="344"/>
      <c r="DI565" s="342"/>
      <c r="DK565" s="317"/>
      <c r="DS565" s="317"/>
      <c r="DT565" s="317"/>
    </row>
    <row r="566" spans="17:124" s="277" customFormat="1" ht="12.75" customHeight="1">
      <c r="Q566" s="342"/>
      <c r="AB566" s="342"/>
      <c r="AK566" s="317"/>
      <c r="AL566" s="317"/>
      <c r="AQ566" s="363"/>
      <c r="AR566" s="364"/>
      <c r="AV566" s="344"/>
      <c r="CJ566" s="344"/>
      <c r="CU566" s="344"/>
      <c r="DI566" s="342"/>
      <c r="DK566" s="317"/>
      <c r="DS566" s="317"/>
      <c r="DT566" s="317"/>
    </row>
    <row r="567" spans="17:124" s="277" customFormat="1" ht="12.75" customHeight="1">
      <c r="Q567" s="342"/>
      <c r="AB567" s="342"/>
      <c r="AK567" s="317"/>
      <c r="AL567" s="317"/>
      <c r="AQ567" s="363"/>
      <c r="AR567" s="364"/>
      <c r="AV567" s="344"/>
      <c r="CJ567" s="344"/>
      <c r="CU567" s="344"/>
      <c r="DI567" s="342"/>
      <c r="DK567" s="317"/>
      <c r="DS567" s="317"/>
      <c r="DT567" s="317"/>
    </row>
    <row r="568" spans="17:124" s="277" customFormat="1" ht="12.75" customHeight="1">
      <c r="Q568" s="342"/>
      <c r="AB568" s="342"/>
      <c r="AK568" s="317"/>
      <c r="AL568" s="317"/>
      <c r="AQ568" s="363"/>
      <c r="AR568" s="364"/>
      <c r="AV568" s="344"/>
      <c r="CJ568" s="344"/>
      <c r="CU568" s="344"/>
      <c r="DI568" s="342"/>
      <c r="DK568" s="317"/>
      <c r="DS568" s="317"/>
      <c r="DT568" s="317"/>
    </row>
    <row r="569" spans="17:124" s="277" customFormat="1" ht="12.75" customHeight="1">
      <c r="Q569" s="342"/>
      <c r="AB569" s="342"/>
      <c r="AK569" s="317"/>
      <c r="AL569" s="317"/>
      <c r="AQ569" s="363"/>
      <c r="AR569" s="364"/>
      <c r="AV569" s="344"/>
      <c r="CJ569" s="344"/>
      <c r="CU569" s="344"/>
      <c r="DI569" s="342"/>
      <c r="DK569" s="317"/>
      <c r="DS569" s="317"/>
      <c r="DT569" s="317"/>
    </row>
    <row r="570" spans="17:124" s="277" customFormat="1" ht="12.75" customHeight="1">
      <c r="Q570" s="342"/>
      <c r="AB570" s="342"/>
      <c r="AK570" s="317"/>
      <c r="AL570" s="317"/>
      <c r="AQ570" s="363"/>
      <c r="AR570" s="364"/>
      <c r="AV570" s="344"/>
      <c r="CJ570" s="344"/>
      <c r="CU570" s="344"/>
      <c r="DI570" s="342"/>
      <c r="DK570" s="317"/>
      <c r="DS570" s="317"/>
      <c r="DT570" s="317"/>
    </row>
    <row r="571" spans="17:124" s="277" customFormat="1" ht="12.75" customHeight="1">
      <c r="Q571" s="342"/>
      <c r="AB571" s="342"/>
      <c r="AK571" s="317"/>
      <c r="AL571" s="317"/>
      <c r="AQ571" s="363"/>
      <c r="AR571" s="364"/>
      <c r="AV571" s="344"/>
      <c r="CJ571" s="344"/>
      <c r="CU571" s="344"/>
      <c r="DI571" s="342"/>
      <c r="DK571" s="317"/>
      <c r="DS571" s="317"/>
      <c r="DT571" s="317"/>
    </row>
    <row r="572" spans="17:124" s="277" customFormat="1" ht="12.75" customHeight="1">
      <c r="Q572" s="342"/>
      <c r="AB572" s="342"/>
      <c r="AK572" s="317"/>
      <c r="AL572" s="317"/>
      <c r="AQ572" s="363"/>
      <c r="AR572" s="364"/>
      <c r="AV572" s="344"/>
      <c r="CJ572" s="344"/>
      <c r="CU572" s="344"/>
      <c r="DI572" s="342"/>
      <c r="DK572" s="317"/>
      <c r="DS572" s="317"/>
      <c r="DT572" s="317"/>
    </row>
    <row r="573" spans="17:124" s="277" customFormat="1" ht="12.75" customHeight="1">
      <c r="Q573" s="342"/>
      <c r="AB573" s="342"/>
      <c r="AK573" s="317"/>
      <c r="AL573" s="317"/>
      <c r="AQ573" s="363"/>
      <c r="AR573" s="364"/>
      <c r="AV573" s="344"/>
      <c r="CJ573" s="344"/>
      <c r="CU573" s="344"/>
      <c r="DI573" s="342"/>
      <c r="DK573" s="317"/>
      <c r="DS573" s="317"/>
      <c r="DT573" s="317"/>
    </row>
    <row r="574" spans="17:124" s="277" customFormat="1" ht="12.75" customHeight="1">
      <c r="Q574" s="342"/>
      <c r="AB574" s="342"/>
      <c r="AK574" s="317"/>
      <c r="AL574" s="317"/>
      <c r="AQ574" s="363"/>
      <c r="AR574" s="364"/>
      <c r="AV574" s="344"/>
      <c r="CJ574" s="344"/>
      <c r="CU574" s="344"/>
      <c r="DI574" s="342"/>
      <c r="DK574" s="317"/>
      <c r="DS574" s="317"/>
      <c r="DT574" s="317"/>
    </row>
    <row r="575" spans="17:124" s="277" customFormat="1" ht="12.75" customHeight="1">
      <c r="Q575" s="342"/>
      <c r="AB575" s="342"/>
      <c r="AK575" s="317"/>
      <c r="AL575" s="317"/>
      <c r="AQ575" s="363"/>
      <c r="AR575" s="364"/>
      <c r="AV575" s="344"/>
      <c r="CJ575" s="344"/>
      <c r="CU575" s="344"/>
      <c r="DI575" s="342"/>
      <c r="DK575" s="317"/>
      <c r="DS575" s="317"/>
      <c r="DT575" s="317"/>
    </row>
    <row r="576" spans="17:124" s="277" customFormat="1" ht="12.75" customHeight="1">
      <c r="Q576" s="342"/>
      <c r="AB576" s="342"/>
      <c r="AK576" s="317"/>
      <c r="AL576" s="317"/>
      <c r="AQ576" s="363"/>
      <c r="AR576" s="364"/>
      <c r="AV576" s="344"/>
      <c r="CJ576" s="344"/>
      <c r="CU576" s="344"/>
      <c r="DI576" s="342"/>
      <c r="DK576" s="317"/>
      <c r="DS576" s="317"/>
      <c r="DT576" s="317"/>
    </row>
    <row r="577" spans="17:124" s="277" customFormat="1" ht="12.75" customHeight="1">
      <c r="Q577" s="342"/>
      <c r="AB577" s="342"/>
      <c r="AK577" s="317"/>
      <c r="AL577" s="317"/>
      <c r="AQ577" s="363"/>
      <c r="AR577" s="364"/>
      <c r="AV577" s="344"/>
      <c r="CJ577" s="344"/>
      <c r="CU577" s="344"/>
      <c r="DI577" s="342"/>
      <c r="DK577" s="317"/>
      <c r="DS577" s="317"/>
      <c r="DT577" s="317"/>
    </row>
    <row r="578" spans="17:124" s="277" customFormat="1" ht="12.75" customHeight="1">
      <c r="Q578" s="342"/>
      <c r="AB578" s="342"/>
      <c r="AK578" s="317"/>
      <c r="AL578" s="317"/>
      <c r="AQ578" s="363"/>
      <c r="AR578" s="364"/>
      <c r="AV578" s="344"/>
      <c r="CJ578" s="344"/>
      <c r="CU578" s="344"/>
      <c r="DI578" s="342"/>
      <c r="DK578" s="317"/>
      <c r="DS578" s="317"/>
      <c r="DT578" s="317"/>
    </row>
    <row r="579" spans="17:124" s="277" customFormat="1" ht="12.75" customHeight="1">
      <c r="Q579" s="342"/>
      <c r="AB579" s="342"/>
      <c r="AK579" s="317"/>
      <c r="AL579" s="317"/>
      <c r="AQ579" s="363"/>
      <c r="AR579" s="364"/>
      <c r="AV579" s="344"/>
      <c r="CJ579" s="344"/>
      <c r="CU579" s="344"/>
      <c r="DI579" s="342"/>
      <c r="DK579" s="317"/>
      <c r="DS579" s="317"/>
      <c r="DT579" s="317"/>
    </row>
    <row r="580" spans="17:124" s="277" customFormat="1" ht="12.75" customHeight="1">
      <c r="Q580" s="342"/>
      <c r="AB580" s="342"/>
      <c r="AK580" s="317"/>
      <c r="AL580" s="317"/>
      <c r="AQ580" s="363"/>
      <c r="AR580" s="364"/>
      <c r="AV580" s="344"/>
      <c r="CJ580" s="344"/>
      <c r="CU580" s="344"/>
      <c r="DI580" s="342"/>
      <c r="DK580" s="317"/>
      <c r="DS580" s="317"/>
      <c r="DT580" s="317"/>
    </row>
    <row r="581" spans="17:124" s="277" customFormat="1" ht="12.75" customHeight="1">
      <c r="Q581" s="342"/>
      <c r="AB581" s="342"/>
      <c r="AK581" s="317"/>
      <c r="AL581" s="317"/>
      <c r="AQ581" s="363"/>
      <c r="AR581" s="364"/>
      <c r="AV581" s="344"/>
      <c r="CJ581" s="344"/>
      <c r="CU581" s="344"/>
      <c r="DI581" s="342"/>
      <c r="DK581" s="317"/>
      <c r="DS581" s="317"/>
      <c r="DT581" s="317"/>
    </row>
    <row r="582" spans="17:124" s="277" customFormat="1" ht="12.75" customHeight="1">
      <c r="Q582" s="342"/>
      <c r="AB582" s="342"/>
      <c r="AK582" s="317"/>
      <c r="AL582" s="317"/>
      <c r="AQ582" s="363"/>
      <c r="AR582" s="364"/>
      <c r="AV582" s="344"/>
      <c r="CJ582" s="344"/>
      <c r="CU582" s="344"/>
      <c r="DI582" s="342"/>
      <c r="DK582" s="317"/>
      <c r="DS582" s="317"/>
      <c r="DT582" s="317"/>
    </row>
    <row r="583" spans="17:124" s="277" customFormat="1" ht="12.75" customHeight="1">
      <c r="Q583" s="342"/>
      <c r="AB583" s="342"/>
      <c r="AK583" s="317"/>
      <c r="AL583" s="317"/>
      <c r="AQ583" s="363"/>
      <c r="AR583" s="364"/>
      <c r="AV583" s="344"/>
      <c r="CJ583" s="344"/>
      <c r="CU583" s="344"/>
      <c r="DI583" s="342"/>
      <c r="DK583" s="317"/>
      <c r="DS583" s="317"/>
      <c r="DT583" s="317"/>
    </row>
    <row r="584" spans="17:124" s="277" customFormat="1" ht="12.75" customHeight="1">
      <c r="Q584" s="342"/>
      <c r="AB584" s="342"/>
      <c r="AK584" s="317"/>
      <c r="AL584" s="317"/>
      <c r="AQ584" s="363"/>
      <c r="AR584" s="364"/>
      <c r="AV584" s="344"/>
      <c r="CJ584" s="344"/>
      <c r="CU584" s="344"/>
      <c r="DI584" s="342"/>
      <c r="DK584" s="317"/>
      <c r="DS584" s="317"/>
      <c r="DT584" s="317"/>
    </row>
    <row r="585" spans="17:124" s="277" customFormat="1" ht="12.75" customHeight="1">
      <c r="Q585" s="342"/>
      <c r="AB585" s="342"/>
      <c r="AK585" s="317"/>
      <c r="AL585" s="317"/>
      <c r="AQ585" s="363"/>
      <c r="AR585" s="364"/>
      <c r="AV585" s="344"/>
      <c r="CJ585" s="344"/>
      <c r="CU585" s="344"/>
      <c r="DI585" s="342"/>
      <c r="DK585" s="317"/>
      <c r="DS585" s="317"/>
      <c r="DT585" s="317"/>
    </row>
    <row r="586" spans="17:124" s="277" customFormat="1" ht="12.75" customHeight="1">
      <c r="Q586" s="342"/>
      <c r="AB586" s="342"/>
      <c r="AK586" s="317"/>
      <c r="AL586" s="317"/>
      <c r="AQ586" s="363"/>
      <c r="AR586" s="364"/>
      <c r="AV586" s="344"/>
      <c r="CJ586" s="344"/>
      <c r="CU586" s="344"/>
      <c r="DI586" s="342"/>
      <c r="DK586" s="317"/>
      <c r="DS586" s="317"/>
      <c r="DT586" s="317"/>
    </row>
    <row r="587" spans="17:124" s="277" customFormat="1" ht="12.75" customHeight="1">
      <c r="Q587" s="342"/>
      <c r="AB587" s="342"/>
      <c r="AK587" s="317"/>
      <c r="AL587" s="317"/>
      <c r="AQ587" s="363"/>
      <c r="AR587" s="364"/>
      <c r="AV587" s="344"/>
      <c r="CJ587" s="344"/>
      <c r="CU587" s="344"/>
      <c r="DI587" s="342"/>
      <c r="DK587" s="317"/>
      <c r="DS587" s="317"/>
      <c r="DT587" s="317"/>
    </row>
    <row r="588" spans="17:124" s="277" customFormat="1" ht="12.75" customHeight="1">
      <c r="Q588" s="342"/>
      <c r="AB588" s="342"/>
      <c r="AK588" s="317"/>
      <c r="AL588" s="317"/>
      <c r="AQ588" s="363"/>
      <c r="AR588" s="364"/>
      <c r="AV588" s="344"/>
      <c r="CJ588" s="344"/>
      <c r="CU588" s="344"/>
      <c r="DI588" s="342"/>
      <c r="DK588" s="317"/>
      <c r="DS588" s="317"/>
      <c r="DT588" s="317"/>
    </row>
    <row r="589" spans="17:124" s="277" customFormat="1" ht="12.75" customHeight="1">
      <c r="Q589" s="342"/>
      <c r="AB589" s="342"/>
      <c r="AK589" s="317"/>
      <c r="AL589" s="317"/>
      <c r="AQ589" s="363"/>
      <c r="AR589" s="364"/>
      <c r="AV589" s="344"/>
      <c r="CJ589" s="344"/>
      <c r="CU589" s="344"/>
      <c r="DI589" s="342"/>
      <c r="DK589" s="317"/>
      <c r="DS589" s="317"/>
      <c r="DT589" s="317"/>
    </row>
    <row r="590" spans="17:124" s="277" customFormat="1" ht="12.75" customHeight="1">
      <c r="Q590" s="342"/>
      <c r="AB590" s="342"/>
      <c r="AK590" s="317"/>
      <c r="AL590" s="317"/>
      <c r="AQ590" s="363"/>
      <c r="AR590" s="364"/>
      <c r="AV590" s="344"/>
      <c r="CJ590" s="344"/>
      <c r="CU590" s="344"/>
      <c r="DI590" s="342"/>
      <c r="DK590" s="317"/>
      <c r="DS590" s="317"/>
      <c r="DT590" s="317"/>
    </row>
    <row r="591" spans="17:124" s="277" customFormat="1" ht="12.75" customHeight="1">
      <c r="Q591" s="342"/>
      <c r="AB591" s="342"/>
      <c r="AK591" s="317"/>
      <c r="AL591" s="317"/>
      <c r="AQ591" s="363"/>
      <c r="AR591" s="364"/>
      <c r="AV591" s="344"/>
      <c r="CJ591" s="344"/>
      <c r="CU591" s="344"/>
      <c r="DI591" s="342"/>
      <c r="DK591" s="317"/>
      <c r="DS591" s="317"/>
      <c r="DT591" s="317"/>
    </row>
    <row r="592" spans="17:124" s="277" customFormat="1" ht="12.75" customHeight="1">
      <c r="Q592" s="342"/>
      <c r="AB592" s="342"/>
      <c r="AK592" s="317"/>
      <c r="AL592" s="317"/>
      <c r="AQ592" s="363"/>
      <c r="AR592" s="364"/>
      <c r="AV592" s="344"/>
      <c r="CJ592" s="344"/>
      <c r="CU592" s="344"/>
      <c r="DI592" s="342"/>
      <c r="DK592" s="317"/>
      <c r="DS592" s="317"/>
      <c r="DT592" s="317"/>
    </row>
    <row r="593" spans="17:124" s="277" customFormat="1" ht="12.75" customHeight="1">
      <c r="Q593" s="342"/>
      <c r="AB593" s="342"/>
      <c r="AK593" s="317"/>
      <c r="AL593" s="317"/>
      <c r="AQ593" s="363"/>
      <c r="AR593" s="364"/>
      <c r="AV593" s="344"/>
      <c r="CJ593" s="344"/>
      <c r="CU593" s="344"/>
      <c r="DI593" s="342"/>
      <c r="DK593" s="317"/>
      <c r="DS593" s="317"/>
      <c r="DT593" s="317"/>
    </row>
    <row r="594" spans="17:124" s="277" customFormat="1" ht="12.75" customHeight="1">
      <c r="Q594" s="342"/>
      <c r="AB594" s="342"/>
      <c r="AK594" s="317"/>
      <c r="AL594" s="317"/>
      <c r="AQ594" s="363"/>
      <c r="AR594" s="364"/>
      <c r="AV594" s="344"/>
      <c r="CJ594" s="344"/>
      <c r="CU594" s="344"/>
      <c r="DI594" s="342"/>
      <c r="DK594" s="317"/>
      <c r="DS594" s="317"/>
      <c r="DT594" s="317"/>
    </row>
    <row r="595" spans="17:124" s="277" customFormat="1" ht="12.75" customHeight="1">
      <c r="Q595" s="342"/>
      <c r="AB595" s="342"/>
      <c r="AK595" s="317"/>
      <c r="AL595" s="317"/>
      <c r="AQ595" s="363"/>
      <c r="AR595" s="364"/>
      <c r="AV595" s="344"/>
      <c r="CJ595" s="344"/>
      <c r="CU595" s="344"/>
      <c r="DI595" s="342"/>
      <c r="DK595" s="317"/>
      <c r="DS595" s="317"/>
      <c r="DT595" s="317"/>
    </row>
    <row r="596" spans="17:124" s="277" customFormat="1" ht="12.75" customHeight="1">
      <c r="Q596" s="342"/>
      <c r="AB596" s="342"/>
      <c r="AK596" s="317"/>
      <c r="AL596" s="317"/>
      <c r="AQ596" s="363"/>
      <c r="AR596" s="364"/>
      <c r="AV596" s="344"/>
      <c r="CJ596" s="344"/>
      <c r="CU596" s="344"/>
      <c r="DI596" s="342"/>
      <c r="DK596" s="317"/>
      <c r="DS596" s="317"/>
      <c r="DT596" s="317"/>
    </row>
    <row r="597" spans="17:124" s="277" customFormat="1" ht="12.75" customHeight="1">
      <c r="Q597" s="342"/>
      <c r="AB597" s="342"/>
      <c r="AK597" s="317"/>
      <c r="AL597" s="317"/>
      <c r="AQ597" s="363"/>
      <c r="AR597" s="364"/>
      <c r="AV597" s="344"/>
      <c r="CJ597" s="344"/>
      <c r="CU597" s="344"/>
      <c r="DI597" s="342"/>
      <c r="DK597" s="317"/>
      <c r="DS597" s="317"/>
      <c r="DT597" s="317"/>
    </row>
    <row r="598" spans="17:124" s="277" customFormat="1" ht="12.75" customHeight="1">
      <c r="Q598" s="342"/>
      <c r="AB598" s="342"/>
      <c r="AK598" s="317"/>
      <c r="AL598" s="317"/>
      <c r="AQ598" s="363"/>
      <c r="AR598" s="364"/>
      <c r="AV598" s="344"/>
      <c r="CJ598" s="344"/>
      <c r="CU598" s="344"/>
      <c r="DI598" s="342"/>
      <c r="DK598" s="317"/>
      <c r="DS598" s="317"/>
      <c r="DT598" s="317"/>
    </row>
    <row r="599" spans="17:124" s="277" customFormat="1" ht="12.75" customHeight="1">
      <c r="Q599" s="342"/>
      <c r="AB599" s="342"/>
      <c r="AK599" s="317"/>
      <c r="AL599" s="317"/>
      <c r="AQ599" s="363"/>
      <c r="AR599" s="364"/>
      <c r="AV599" s="344"/>
      <c r="CJ599" s="344"/>
      <c r="CU599" s="344"/>
      <c r="DI599" s="342"/>
      <c r="DK599" s="317"/>
      <c r="DS599" s="317"/>
      <c r="DT599" s="317"/>
    </row>
    <row r="600" spans="17:124" s="277" customFormat="1" ht="12.75" customHeight="1">
      <c r="Q600" s="342"/>
      <c r="AB600" s="342"/>
      <c r="AK600" s="317"/>
      <c r="AL600" s="317"/>
      <c r="AQ600" s="363"/>
      <c r="AR600" s="364"/>
      <c r="AV600" s="344"/>
      <c r="CJ600" s="344"/>
      <c r="CU600" s="344"/>
      <c r="DI600" s="342"/>
      <c r="DK600" s="317"/>
      <c r="DS600" s="317"/>
      <c r="DT600" s="317"/>
    </row>
    <row r="601" spans="17:124" s="277" customFormat="1" ht="12.75" customHeight="1">
      <c r="Q601" s="342"/>
      <c r="AB601" s="342"/>
      <c r="AK601" s="317"/>
      <c r="AL601" s="317"/>
      <c r="AQ601" s="363"/>
      <c r="AR601" s="364"/>
      <c r="AV601" s="344"/>
      <c r="CJ601" s="344"/>
      <c r="CU601" s="344"/>
      <c r="DI601" s="342"/>
      <c r="DK601" s="317"/>
      <c r="DS601" s="317"/>
      <c r="DT601" s="317"/>
    </row>
    <row r="602" spans="17:124" s="277" customFormat="1" ht="12.75" customHeight="1">
      <c r="Q602" s="342"/>
      <c r="AB602" s="342"/>
      <c r="AK602" s="317"/>
      <c r="AL602" s="317"/>
      <c r="AQ602" s="363"/>
      <c r="AR602" s="364"/>
      <c r="AV602" s="344"/>
      <c r="CJ602" s="344"/>
      <c r="CU602" s="344"/>
      <c r="DI602" s="342"/>
      <c r="DK602" s="317"/>
      <c r="DS602" s="317"/>
      <c r="DT602" s="317"/>
    </row>
    <row r="603" spans="17:124" s="277" customFormat="1" ht="12.75" customHeight="1">
      <c r="Q603" s="342"/>
      <c r="AB603" s="342"/>
      <c r="AK603" s="317"/>
      <c r="AL603" s="317"/>
      <c r="AQ603" s="363"/>
      <c r="AR603" s="364"/>
      <c r="AV603" s="344"/>
      <c r="CJ603" s="344"/>
      <c r="CU603" s="344"/>
      <c r="DI603" s="342"/>
      <c r="DK603" s="317"/>
      <c r="DS603" s="317"/>
      <c r="DT603" s="317"/>
    </row>
    <row r="604" spans="17:124" s="277" customFormat="1" ht="12.75" customHeight="1">
      <c r="Q604" s="342"/>
      <c r="AB604" s="342"/>
      <c r="AK604" s="317"/>
      <c r="AL604" s="317"/>
      <c r="AQ604" s="363"/>
      <c r="AR604" s="364"/>
      <c r="AV604" s="344"/>
      <c r="CJ604" s="344"/>
      <c r="CU604" s="344"/>
      <c r="DI604" s="342"/>
      <c r="DK604" s="317"/>
      <c r="DS604" s="317"/>
      <c r="DT604" s="317"/>
    </row>
    <row r="605" spans="17:124" s="277" customFormat="1" ht="12.75" customHeight="1">
      <c r="Q605" s="342"/>
      <c r="AB605" s="342"/>
      <c r="AK605" s="317"/>
      <c r="AL605" s="317"/>
      <c r="AQ605" s="363"/>
      <c r="AR605" s="364"/>
      <c r="AV605" s="344"/>
      <c r="CJ605" s="344"/>
      <c r="CU605" s="344"/>
      <c r="DI605" s="342"/>
      <c r="DK605" s="317"/>
      <c r="DS605" s="317"/>
      <c r="DT605" s="317"/>
    </row>
    <row r="606" spans="17:124" s="277" customFormat="1" ht="12.75" customHeight="1">
      <c r="Q606" s="342"/>
      <c r="AB606" s="342"/>
      <c r="AK606" s="317"/>
      <c r="AL606" s="317"/>
      <c r="AQ606" s="363"/>
      <c r="AR606" s="364"/>
      <c r="AV606" s="344"/>
      <c r="CJ606" s="344"/>
      <c r="CU606" s="344"/>
      <c r="DI606" s="342"/>
      <c r="DK606" s="317"/>
      <c r="DS606" s="317"/>
      <c r="DT606" s="317"/>
    </row>
    <row r="607" spans="17:124" s="277" customFormat="1" ht="12.75" customHeight="1">
      <c r="Q607" s="342"/>
      <c r="AB607" s="342"/>
      <c r="AK607" s="317"/>
      <c r="AL607" s="317"/>
      <c r="AQ607" s="363"/>
      <c r="AR607" s="364"/>
      <c r="AV607" s="344"/>
      <c r="CJ607" s="344"/>
      <c r="CU607" s="344"/>
      <c r="DI607" s="342"/>
      <c r="DK607" s="317"/>
      <c r="DS607" s="317"/>
      <c r="DT607" s="317"/>
    </row>
    <row r="608" spans="17:124" s="277" customFormat="1" ht="12.75" customHeight="1">
      <c r="Q608" s="342"/>
      <c r="AB608" s="342"/>
      <c r="AK608" s="317"/>
      <c r="AL608" s="317"/>
      <c r="AQ608" s="363"/>
      <c r="AR608" s="364"/>
      <c r="AV608" s="344"/>
      <c r="CJ608" s="344"/>
      <c r="CU608" s="344"/>
      <c r="DI608" s="342"/>
      <c r="DK608" s="317"/>
      <c r="DS608" s="317"/>
      <c r="DT608" s="317"/>
    </row>
    <row r="609" spans="17:124" s="277" customFormat="1" ht="12.75" customHeight="1">
      <c r="Q609" s="342"/>
      <c r="AB609" s="342"/>
      <c r="AK609" s="317"/>
      <c r="AL609" s="317"/>
      <c r="AQ609" s="363"/>
      <c r="AR609" s="364"/>
      <c r="AV609" s="344"/>
      <c r="CJ609" s="344"/>
      <c r="CU609" s="344"/>
      <c r="DI609" s="342"/>
      <c r="DK609" s="317"/>
      <c r="DS609" s="317"/>
      <c r="DT609" s="317"/>
    </row>
    <row r="610" spans="17:124" s="277" customFormat="1" ht="12.75" customHeight="1">
      <c r="Q610" s="342"/>
      <c r="AB610" s="342"/>
      <c r="AK610" s="317"/>
      <c r="AL610" s="317"/>
      <c r="AQ610" s="363"/>
      <c r="AR610" s="364"/>
      <c r="AV610" s="344"/>
      <c r="CJ610" s="344"/>
      <c r="CU610" s="344"/>
      <c r="DI610" s="342"/>
      <c r="DK610" s="317"/>
      <c r="DS610" s="317"/>
      <c r="DT610" s="317"/>
    </row>
    <row r="611" spans="17:124" s="277" customFormat="1" ht="12.75" customHeight="1">
      <c r="Q611" s="342"/>
      <c r="AB611" s="342"/>
      <c r="AK611" s="317"/>
      <c r="AL611" s="317"/>
      <c r="AQ611" s="363"/>
      <c r="AR611" s="364"/>
      <c r="AV611" s="344"/>
      <c r="CJ611" s="344"/>
      <c r="CU611" s="344"/>
      <c r="DI611" s="342"/>
      <c r="DK611" s="317"/>
      <c r="DS611" s="317"/>
      <c r="DT611" s="317"/>
    </row>
    <row r="612" spans="17:124" s="277" customFormat="1" ht="12.75" customHeight="1">
      <c r="Q612" s="342"/>
      <c r="AB612" s="342"/>
      <c r="AK612" s="317"/>
      <c r="AL612" s="317"/>
      <c r="AQ612" s="363"/>
      <c r="AR612" s="364"/>
      <c r="AV612" s="344"/>
      <c r="CJ612" s="344"/>
      <c r="CU612" s="344"/>
      <c r="DI612" s="342"/>
      <c r="DK612" s="317"/>
      <c r="DS612" s="317"/>
      <c r="DT612" s="317"/>
    </row>
    <row r="613" spans="17:124" s="277" customFormat="1" ht="12.75" customHeight="1">
      <c r="Q613" s="342"/>
      <c r="AB613" s="342"/>
      <c r="AK613" s="317"/>
      <c r="AL613" s="317"/>
      <c r="AQ613" s="363"/>
      <c r="AR613" s="364"/>
      <c r="AV613" s="344"/>
      <c r="CJ613" s="344"/>
      <c r="CU613" s="344"/>
      <c r="DI613" s="342"/>
      <c r="DK613" s="317"/>
      <c r="DS613" s="317"/>
      <c r="DT613" s="317"/>
    </row>
    <row r="614" spans="17:124" s="277" customFormat="1" ht="12.75" customHeight="1">
      <c r="Q614" s="342"/>
      <c r="AB614" s="342"/>
      <c r="AK614" s="317"/>
      <c r="AL614" s="317"/>
      <c r="AQ614" s="363"/>
      <c r="AR614" s="364"/>
      <c r="AV614" s="344"/>
      <c r="CJ614" s="344"/>
      <c r="CU614" s="344"/>
      <c r="DI614" s="342"/>
      <c r="DK614" s="317"/>
      <c r="DS614" s="317"/>
      <c r="DT614" s="317"/>
    </row>
    <row r="615" spans="17:124" s="277" customFormat="1" ht="12.75" customHeight="1">
      <c r="Q615" s="342"/>
      <c r="AB615" s="342"/>
      <c r="AK615" s="317"/>
      <c r="AL615" s="317"/>
      <c r="AQ615" s="363"/>
      <c r="AR615" s="364"/>
      <c r="AV615" s="344"/>
      <c r="CJ615" s="344"/>
      <c r="CU615" s="344"/>
      <c r="DI615" s="342"/>
      <c r="DK615" s="317"/>
      <c r="DS615" s="317"/>
      <c r="DT615" s="317"/>
    </row>
    <row r="616" spans="17:124" s="277" customFormat="1" ht="12.75" customHeight="1">
      <c r="Q616" s="342"/>
      <c r="AB616" s="342"/>
      <c r="AK616" s="317"/>
      <c r="AL616" s="317"/>
      <c r="AQ616" s="363"/>
      <c r="AR616" s="364"/>
      <c r="AV616" s="344"/>
      <c r="CJ616" s="344"/>
      <c r="CU616" s="344"/>
      <c r="DI616" s="342"/>
      <c r="DK616" s="317"/>
      <c r="DS616" s="317"/>
      <c r="DT616" s="317"/>
    </row>
    <row r="617" spans="17:124" s="277" customFormat="1" ht="12.75" customHeight="1">
      <c r="Q617" s="342"/>
      <c r="AB617" s="342"/>
      <c r="AK617" s="317"/>
      <c r="AL617" s="317"/>
      <c r="AQ617" s="363"/>
      <c r="AR617" s="364"/>
      <c r="AV617" s="344"/>
      <c r="CJ617" s="344"/>
      <c r="CU617" s="344"/>
      <c r="DI617" s="342"/>
      <c r="DK617" s="317"/>
      <c r="DS617" s="317"/>
      <c r="DT617" s="317"/>
    </row>
    <row r="618" spans="17:124" s="277" customFormat="1" ht="12.75" customHeight="1">
      <c r="Q618" s="342"/>
      <c r="AB618" s="342"/>
      <c r="AK618" s="317"/>
      <c r="AL618" s="317"/>
      <c r="AQ618" s="363"/>
      <c r="AR618" s="364"/>
      <c r="AV618" s="344"/>
      <c r="CJ618" s="344"/>
      <c r="CU618" s="344"/>
      <c r="DI618" s="342"/>
      <c r="DK618" s="317"/>
      <c r="DS618" s="317"/>
      <c r="DT618" s="317"/>
    </row>
    <row r="619" spans="17:124" s="277" customFormat="1" ht="12.75" customHeight="1">
      <c r="Q619" s="342"/>
      <c r="AB619" s="342"/>
      <c r="AK619" s="317"/>
      <c r="AL619" s="317"/>
      <c r="AQ619" s="363"/>
      <c r="AR619" s="364"/>
      <c r="AV619" s="344"/>
      <c r="CJ619" s="344"/>
      <c r="CU619" s="344"/>
      <c r="DI619" s="342"/>
      <c r="DK619" s="317"/>
      <c r="DS619" s="317"/>
      <c r="DT619" s="317"/>
    </row>
    <row r="620" spans="17:124" s="277" customFormat="1" ht="12.75" customHeight="1">
      <c r="Q620" s="342"/>
      <c r="AB620" s="342"/>
      <c r="AK620" s="317"/>
      <c r="AL620" s="317"/>
      <c r="AQ620" s="363"/>
      <c r="AR620" s="364"/>
      <c r="AV620" s="344"/>
      <c r="CJ620" s="344"/>
      <c r="CU620" s="344"/>
      <c r="DI620" s="342"/>
      <c r="DK620" s="317"/>
      <c r="DS620" s="317"/>
      <c r="DT620" s="317"/>
    </row>
    <row r="621" spans="17:124" s="277" customFormat="1" ht="12.75" customHeight="1">
      <c r="Q621" s="342"/>
      <c r="AB621" s="342"/>
      <c r="AK621" s="317"/>
      <c r="AL621" s="317"/>
      <c r="AQ621" s="363"/>
      <c r="AR621" s="364"/>
      <c r="AV621" s="344"/>
      <c r="CJ621" s="344"/>
      <c r="CU621" s="344"/>
      <c r="DI621" s="342"/>
      <c r="DK621" s="317"/>
      <c r="DS621" s="317"/>
      <c r="DT621" s="317"/>
    </row>
    <row r="622" spans="17:124" s="277" customFormat="1" ht="12.75" customHeight="1">
      <c r="Q622" s="342"/>
      <c r="AB622" s="342"/>
      <c r="AK622" s="317"/>
      <c r="AL622" s="317"/>
      <c r="AQ622" s="363"/>
      <c r="AR622" s="364"/>
      <c r="AV622" s="344"/>
      <c r="CJ622" s="344"/>
      <c r="CU622" s="344"/>
      <c r="DI622" s="342"/>
      <c r="DK622" s="317"/>
      <c r="DS622" s="317"/>
      <c r="DT622" s="317"/>
    </row>
    <row r="623" spans="17:124" s="277" customFormat="1" ht="12.75" customHeight="1">
      <c r="Q623" s="342"/>
      <c r="AB623" s="342"/>
      <c r="AK623" s="317"/>
      <c r="AL623" s="317"/>
      <c r="AQ623" s="363"/>
      <c r="AR623" s="364"/>
      <c r="AV623" s="344"/>
      <c r="CJ623" s="344"/>
      <c r="CU623" s="344"/>
      <c r="DI623" s="342"/>
      <c r="DK623" s="317"/>
      <c r="DS623" s="317"/>
      <c r="DT623" s="317"/>
    </row>
    <row r="624" spans="17:124" s="277" customFormat="1" ht="12.75" customHeight="1">
      <c r="Q624" s="342"/>
      <c r="AB624" s="342"/>
      <c r="AK624" s="317"/>
      <c r="AL624" s="317"/>
      <c r="AQ624" s="363"/>
      <c r="AR624" s="364"/>
      <c r="AV624" s="344"/>
      <c r="CJ624" s="344"/>
      <c r="CU624" s="344"/>
      <c r="DI624" s="342"/>
      <c r="DK624" s="317"/>
      <c r="DS624" s="317"/>
      <c r="DT624" s="317"/>
    </row>
    <row r="625" spans="17:124" s="277" customFormat="1" ht="12.75" customHeight="1">
      <c r="Q625" s="342"/>
      <c r="AB625" s="342"/>
      <c r="AK625" s="317"/>
      <c r="AL625" s="317"/>
      <c r="AQ625" s="363"/>
      <c r="AR625" s="364"/>
      <c r="AV625" s="344"/>
      <c r="CJ625" s="344"/>
      <c r="CU625" s="344"/>
      <c r="DI625" s="342"/>
      <c r="DK625" s="317"/>
      <c r="DS625" s="317"/>
      <c r="DT625" s="317"/>
    </row>
    <row r="626" spans="17:124" s="277" customFormat="1" ht="12.75" customHeight="1">
      <c r="Q626" s="342"/>
      <c r="AB626" s="342"/>
      <c r="AK626" s="317"/>
      <c r="AL626" s="317"/>
      <c r="AQ626" s="363"/>
      <c r="AR626" s="364"/>
      <c r="AV626" s="344"/>
      <c r="CJ626" s="344"/>
      <c r="CU626" s="344"/>
      <c r="DI626" s="342"/>
      <c r="DK626" s="317"/>
      <c r="DS626" s="317"/>
      <c r="DT626" s="317"/>
    </row>
    <row r="627" spans="17:124" s="277" customFormat="1" ht="12.75" customHeight="1">
      <c r="Q627" s="342"/>
      <c r="AB627" s="342"/>
      <c r="AK627" s="317"/>
      <c r="AL627" s="317"/>
      <c r="AQ627" s="363"/>
      <c r="AR627" s="364"/>
      <c r="AV627" s="344"/>
      <c r="CJ627" s="344"/>
      <c r="CU627" s="344"/>
      <c r="DI627" s="342"/>
      <c r="DK627" s="317"/>
      <c r="DS627" s="317"/>
      <c r="DT627" s="317"/>
    </row>
    <row r="628" spans="17:124" s="277" customFormat="1" ht="12.75" customHeight="1">
      <c r="Q628" s="342"/>
      <c r="AB628" s="342"/>
      <c r="AK628" s="317"/>
      <c r="AL628" s="317"/>
      <c r="AQ628" s="363"/>
      <c r="AR628" s="364"/>
      <c r="AV628" s="344"/>
      <c r="CJ628" s="344"/>
      <c r="CU628" s="344"/>
      <c r="DI628" s="342"/>
      <c r="DK628" s="317"/>
      <c r="DS628" s="317"/>
      <c r="DT628" s="317"/>
    </row>
    <row r="629" spans="17:124" s="277" customFormat="1" ht="12.75" customHeight="1">
      <c r="Q629" s="342"/>
      <c r="AB629" s="342"/>
      <c r="AK629" s="317"/>
      <c r="AL629" s="317"/>
      <c r="AQ629" s="363"/>
      <c r="AR629" s="364"/>
      <c r="AV629" s="344"/>
      <c r="CJ629" s="344"/>
      <c r="CU629" s="344"/>
      <c r="DI629" s="342"/>
      <c r="DK629" s="317"/>
      <c r="DS629" s="317"/>
      <c r="DT629" s="317"/>
    </row>
    <row r="630" spans="17:124" s="277" customFormat="1" ht="12.75" customHeight="1">
      <c r="Q630" s="342"/>
      <c r="AB630" s="342"/>
      <c r="AK630" s="317"/>
      <c r="AL630" s="317"/>
      <c r="AQ630" s="363"/>
      <c r="AR630" s="364"/>
      <c r="AV630" s="344"/>
      <c r="CJ630" s="344"/>
      <c r="CU630" s="344"/>
      <c r="DI630" s="342"/>
      <c r="DK630" s="317"/>
      <c r="DS630" s="317"/>
      <c r="DT630" s="317"/>
    </row>
    <row r="631" spans="17:124" s="277" customFormat="1" ht="12.75" customHeight="1">
      <c r="Q631" s="342"/>
      <c r="AB631" s="342"/>
      <c r="AK631" s="317"/>
      <c r="AL631" s="317"/>
      <c r="AQ631" s="363"/>
      <c r="AR631" s="364"/>
      <c r="AV631" s="344"/>
      <c r="CJ631" s="344"/>
      <c r="CU631" s="344"/>
      <c r="DI631" s="342"/>
      <c r="DK631" s="317"/>
      <c r="DS631" s="317"/>
      <c r="DT631" s="317"/>
    </row>
    <row r="632" spans="17:124" s="277" customFormat="1" ht="12.75" customHeight="1">
      <c r="Q632" s="342"/>
      <c r="AB632" s="342"/>
      <c r="AK632" s="317"/>
      <c r="AL632" s="317"/>
      <c r="AQ632" s="363"/>
      <c r="AR632" s="364"/>
      <c r="AV632" s="344"/>
      <c r="CJ632" s="344"/>
      <c r="CU632" s="344"/>
      <c r="DI632" s="342"/>
      <c r="DK632" s="317"/>
      <c r="DS632" s="317"/>
      <c r="DT632" s="317"/>
    </row>
    <row r="633" spans="17:124" s="277" customFormat="1" ht="12.75" customHeight="1">
      <c r="Q633" s="342"/>
      <c r="AB633" s="342"/>
      <c r="AK633" s="317"/>
      <c r="AL633" s="317"/>
      <c r="AQ633" s="363"/>
      <c r="AR633" s="364"/>
      <c r="AV633" s="344"/>
      <c r="CJ633" s="344"/>
      <c r="CU633" s="344"/>
      <c r="DI633" s="342"/>
      <c r="DK633" s="317"/>
      <c r="DS633" s="317"/>
      <c r="DT633" s="317"/>
    </row>
    <row r="634" spans="17:124" s="277" customFormat="1" ht="12.75" customHeight="1">
      <c r="Q634" s="342"/>
      <c r="AB634" s="342"/>
      <c r="AK634" s="317"/>
      <c r="AL634" s="317"/>
      <c r="AQ634" s="363"/>
      <c r="AR634" s="364"/>
      <c r="AV634" s="344"/>
      <c r="CJ634" s="344"/>
      <c r="CU634" s="344"/>
      <c r="DI634" s="342"/>
      <c r="DK634" s="317"/>
      <c r="DS634" s="317"/>
      <c r="DT634" s="317"/>
    </row>
    <row r="635" spans="17:124" s="277" customFormat="1" ht="12.75" customHeight="1">
      <c r="Q635" s="342"/>
      <c r="AB635" s="342"/>
      <c r="AK635" s="317"/>
      <c r="AL635" s="317"/>
      <c r="AQ635" s="363"/>
      <c r="AR635" s="364"/>
      <c r="AV635" s="344"/>
      <c r="CJ635" s="344"/>
      <c r="CU635" s="344"/>
      <c r="DI635" s="342"/>
      <c r="DK635" s="317"/>
      <c r="DS635" s="317"/>
      <c r="DT635" s="317"/>
    </row>
    <row r="636" spans="17:124" s="277" customFormat="1" ht="12.75" customHeight="1">
      <c r="Q636" s="342"/>
      <c r="AB636" s="342"/>
      <c r="AK636" s="317"/>
      <c r="AL636" s="317"/>
      <c r="AQ636" s="363"/>
      <c r="AR636" s="364"/>
      <c r="AV636" s="344"/>
      <c r="CJ636" s="344"/>
      <c r="CU636" s="344"/>
      <c r="DI636" s="342"/>
      <c r="DK636" s="317"/>
      <c r="DS636" s="317"/>
      <c r="DT636" s="317"/>
    </row>
    <row r="637" spans="17:124" s="277" customFormat="1" ht="12.75" customHeight="1">
      <c r="Q637" s="342"/>
      <c r="AB637" s="342"/>
      <c r="AK637" s="317"/>
      <c r="AL637" s="317"/>
      <c r="AQ637" s="363"/>
      <c r="AR637" s="364"/>
      <c r="AV637" s="344"/>
      <c r="CJ637" s="344"/>
      <c r="CU637" s="344"/>
      <c r="DI637" s="342"/>
      <c r="DK637" s="317"/>
      <c r="DS637" s="317"/>
      <c r="DT637" s="317"/>
    </row>
    <row r="638" spans="17:124" s="277" customFormat="1" ht="12.75" customHeight="1">
      <c r="Q638" s="342"/>
      <c r="AB638" s="342"/>
      <c r="AK638" s="317"/>
      <c r="AL638" s="317"/>
      <c r="AQ638" s="363"/>
      <c r="AR638" s="364"/>
      <c r="AV638" s="344"/>
      <c r="CJ638" s="344"/>
      <c r="CU638" s="344"/>
      <c r="DI638" s="342"/>
      <c r="DK638" s="317"/>
      <c r="DS638" s="317"/>
      <c r="DT638" s="317"/>
    </row>
    <row r="639" spans="17:124" s="277" customFormat="1" ht="12.75" customHeight="1">
      <c r="Q639" s="342"/>
      <c r="AB639" s="342"/>
      <c r="AK639" s="317"/>
      <c r="AL639" s="317"/>
      <c r="AQ639" s="363"/>
      <c r="AR639" s="364"/>
      <c r="AV639" s="344"/>
      <c r="CJ639" s="344"/>
      <c r="CU639" s="344"/>
      <c r="DI639" s="342"/>
      <c r="DK639" s="317"/>
      <c r="DS639" s="317"/>
      <c r="DT639" s="317"/>
    </row>
    <row r="640" spans="17:124" s="277" customFormat="1" ht="12.75" customHeight="1">
      <c r="Q640" s="342"/>
      <c r="AB640" s="342"/>
      <c r="AK640" s="317"/>
      <c r="AL640" s="317"/>
      <c r="AQ640" s="363"/>
      <c r="AR640" s="364"/>
      <c r="AV640" s="344"/>
      <c r="CJ640" s="344"/>
      <c r="CU640" s="344"/>
      <c r="DI640" s="342"/>
      <c r="DK640" s="317"/>
      <c r="DS640" s="317"/>
      <c r="DT640" s="317"/>
    </row>
    <row r="641" spans="17:124" s="277" customFormat="1" ht="12.75" customHeight="1">
      <c r="Q641" s="342"/>
      <c r="AB641" s="342"/>
      <c r="AK641" s="317"/>
      <c r="AL641" s="317"/>
      <c r="AQ641" s="363"/>
      <c r="AR641" s="364"/>
      <c r="AV641" s="344"/>
      <c r="CJ641" s="344"/>
      <c r="CU641" s="344"/>
      <c r="DI641" s="342"/>
      <c r="DK641" s="317"/>
      <c r="DS641" s="317"/>
      <c r="DT641" s="317"/>
    </row>
    <row r="642" spans="17:124" s="277" customFormat="1" ht="12.75" customHeight="1">
      <c r="Q642" s="342"/>
      <c r="AB642" s="342"/>
      <c r="AK642" s="317"/>
      <c r="AL642" s="317"/>
      <c r="AQ642" s="363"/>
      <c r="AR642" s="364"/>
      <c r="AV642" s="344"/>
      <c r="CJ642" s="344"/>
      <c r="CU642" s="344"/>
      <c r="DI642" s="342"/>
      <c r="DK642" s="317"/>
      <c r="DS642" s="317"/>
      <c r="DT642" s="317"/>
    </row>
    <row r="643" spans="17:124" s="277" customFormat="1" ht="12.75" customHeight="1">
      <c r="Q643" s="342"/>
      <c r="AB643" s="342"/>
      <c r="AK643" s="317"/>
      <c r="AL643" s="317"/>
      <c r="AQ643" s="363"/>
      <c r="AR643" s="364"/>
      <c r="AV643" s="344"/>
      <c r="CJ643" s="344"/>
      <c r="CU643" s="344"/>
      <c r="DI643" s="342"/>
      <c r="DK643" s="317"/>
      <c r="DS643" s="317"/>
      <c r="DT643" s="317"/>
    </row>
    <row r="644" spans="17:124" s="277" customFormat="1" ht="12.75" customHeight="1">
      <c r="Q644" s="342"/>
      <c r="AB644" s="342"/>
      <c r="AK644" s="317"/>
      <c r="AL644" s="317"/>
      <c r="AQ644" s="363"/>
      <c r="AR644" s="364"/>
      <c r="AV644" s="344"/>
      <c r="CJ644" s="344"/>
      <c r="CU644" s="344"/>
      <c r="DI644" s="342"/>
      <c r="DK644" s="317"/>
      <c r="DS644" s="317"/>
      <c r="DT644" s="317"/>
    </row>
    <row r="645" spans="17:124" s="277" customFormat="1" ht="12.75" customHeight="1">
      <c r="Q645" s="342"/>
      <c r="AB645" s="342"/>
      <c r="AK645" s="317"/>
      <c r="AL645" s="317"/>
      <c r="AQ645" s="363"/>
      <c r="AR645" s="364"/>
      <c r="AV645" s="344"/>
      <c r="CJ645" s="344"/>
      <c r="CU645" s="344"/>
      <c r="DI645" s="342"/>
      <c r="DK645" s="317"/>
      <c r="DS645" s="317"/>
      <c r="DT645" s="317"/>
    </row>
    <row r="646" spans="17:124" s="277" customFormat="1" ht="12.75" customHeight="1">
      <c r="Q646" s="342"/>
      <c r="AB646" s="342"/>
      <c r="AK646" s="317"/>
      <c r="AL646" s="317"/>
      <c r="AQ646" s="363"/>
      <c r="AR646" s="364"/>
      <c r="AV646" s="344"/>
      <c r="CJ646" s="344"/>
      <c r="CU646" s="344"/>
      <c r="DI646" s="342"/>
      <c r="DK646" s="317"/>
      <c r="DS646" s="317"/>
      <c r="DT646" s="317"/>
    </row>
    <row r="647" spans="17:124" s="277" customFormat="1" ht="12.75" customHeight="1">
      <c r="Q647" s="342"/>
      <c r="AB647" s="342"/>
      <c r="AK647" s="317"/>
      <c r="AL647" s="317"/>
      <c r="AQ647" s="363"/>
      <c r="AR647" s="364"/>
      <c r="AV647" s="344"/>
      <c r="CJ647" s="344"/>
      <c r="CU647" s="344"/>
      <c r="DI647" s="342"/>
      <c r="DK647" s="317"/>
      <c r="DS647" s="317"/>
      <c r="DT647" s="317"/>
    </row>
    <row r="648" spans="17:124" s="277" customFormat="1" ht="12.75" customHeight="1">
      <c r="Q648" s="342"/>
      <c r="AB648" s="342"/>
      <c r="AK648" s="317"/>
      <c r="AL648" s="317"/>
      <c r="AQ648" s="363"/>
      <c r="AR648" s="364"/>
      <c r="AV648" s="344"/>
      <c r="CJ648" s="344"/>
      <c r="CU648" s="344"/>
      <c r="DI648" s="342"/>
      <c r="DK648" s="317"/>
      <c r="DS648" s="317"/>
      <c r="DT648" s="317"/>
    </row>
    <row r="649" spans="17:124" s="277" customFormat="1" ht="12.75" customHeight="1">
      <c r="Q649" s="342"/>
      <c r="AB649" s="342"/>
      <c r="AK649" s="317"/>
      <c r="AL649" s="317"/>
      <c r="AQ649" s="363"/>
      <c r="AR649" s="364"/>
      <c r="AV649" s="344"/>
      <c r="CJ649" s="344"/>
      <c r="CU649" s="344"/>
      <c r="DI649" s="342"/>
      <c r="DK649" s="317"/>
      <c r="DS649" s="317"/>
      <c r="DT649" s="317"/>
    </row>
    <row r="650" spans="17:124" s="277" customFormat="1" ht="12.75" customHeight="1">
      <c r="Q650" s="342"/>
      <c r="AB650" s="342"/>
      <c r="AK650" s="317"/>
      <c r="AL650" s="317"/>
      <c r="AQ650" s="363"/>
      <c r="AR650" s="364"/>
      <c r="AV650" s="344"/>
      <c r="CJ650" s="344"/>
      <c r="CU650" s="344"/>
      <c r="DI650" s="342"/>
      <c r="DK650" s="317"/>
      <c r="DS650" s="317"/>
      <c r="DT650" s="317"/>
    </row>
    <row r="651" spans="17:124" s="277" customFormat="1" ht="12.75" customHeight="1">
      <c r="Q651" s="342"/>
      <c r="AB651" s="342"/>
      <c r="AK651" s="317"/>
      <c r="AL651" s="317"/>
      <c r="AQ651" s="363"/>
      <c r="AR651" s="364"/>
      <c r="AV651" s="344"/>
      <c r="CJ651" s="344"/>
      <c r="CU651" s="344"/>
      <c r="DI651" s="342"/>
      <c r="DK651" s="317"/>
      <c r="DS651" s="317"/>
      <c r="DT651" s="317"/>
    </row>
    <row r="652" spans="17:124" s="277" customFormat="1" ht="12.75" customHeight="1">
      <c r="Q652" s="342"/>
      <c r="AB652" s="342"/>
      <c r="AK652" s="317"/>
      <c r="AL652" s="317"/>
      <c r="AQ652" s="363"/>
      <c r="AR652" s="364"/>
      <c r="AV652" s="344"/>
      <c r="CJ652" s="344"/>
      <c r="CU652" s="344"/>
      <c r="DI652" s="342"/>
      <c r="DK652" s="317"/>
      <c r="DS652" s="317"/>
      <c r="DT652" s="317"/>
    </row>
    <row r="653" spans="17:124" s="277" customFormat="1" ht="12.75" customHeight="1">
      <c r="Q653" s="342"/>
      <c r="AB653" s="342"/>
      <c r="AK653" s="317"/>
      <c r="AL653" s="317"/>
      <c r="AQ653" s="363"/>
      <c r="AR653" s="364"/>
      <c r="AV653" s="344"/>
      <c r="CJ653" s="344"/>
      <c r="CU653" s="344"/>
      <c r="DI653" s="342"/>
      <c r="DK653" s="317"/>
      <c r="DS653" s="317"/>
      <c r="DT653" s="317"/>
    </row>
    <row r="654" spans="17:124" s="277" customFormat="1" ht="12.75" customHeight="1">
      <c r="Q654" s="342"/>
      <c r="AB654" s="342"/>
      <c r="AK654" s="317"/>
      <c r="AL654" s="317"/>
      <c r="AQ654" s="363"/>
      <c r="AR654" s="364"/>
      <c r="AV654" s="344"/>
      <c r="CJ654" s="344"/>
      <c r="CU654" s="344"/>
      <c r="DI654" s="342"/>
      <c r="DK654" s="317"/>
      <c r="DS654" s="317"/>
      <c r="DT654" s="317"/>
    </row>
    <row r="655" spans="17:124" s="277" customFormat="1" ht="12.75" customHeight="1">
      <c r="Q655" s="342"/>
      <c r="AB655" s="342"/>
      <c r="AK655" s="317"/>
      <c r="AL655" s="317"/>
      <c r="AQ655" s="363"/>
      <c r="AR655" s="364"/>
      <c r="AV655" s="344"/>
      <c r="CJ655" s="344"/>
      <c r="CU655" s="344"/>
      <c r="DI655" s="342"/>
      <c r="DK655" s="317"/>
      <c r="DS655" s="317"/>
      <c r="DT655" s="317"/>
    </row>
    <row r="656" spans="17:124" s="277" customFormat="1" ht="12.75" customHeight="1">
      <c r="Q656" s="342"/>
      <c r="AB656" s="342"/>
      <c r="AK656" s="317"/>
      <c r="AL656" s="317"/>
      <c r="AQ656" s="363"/>
      <c r="AR656" s="364"/>
      <c r="AV656" s="344"/>
      <c r="CJ656" s="344"/>
      <c r="CU656" s="344"/>
      <c r="DI656" s="342"/>
      <c r="DK656" s="317"/>
      <c r="DS656" s="317"/>
      <c r="DT656" s="317"/>
    </row>
    <row r="657" spans="17:124" s="277" customFormat="1" ht="12.75" customHeight="1">
      <c r="Q657" s="342"/>
      <c r="AB657" s="342"/>
      <c r="AK657" s="317"/>
      <c r="AL657" s="317"/>
      <c r="AQ657" s="363"/>
      <c r="AR657" s="364"/>
      <c r="AV657" s="344"/>
      <c r="CJ657" s="344"/>
      <c r="CU657" s="344"/>
      <c r="DI657" s="342"/>
      <c r="DK657" s="317"/>
      <c r="DS657" s="317"/>
      <c r="DT657" s="317"/>
    </row>
    <row r="658" spans="17:124" s="277" customFormat="1" ht="12.75" customHeight="1">
      <c r="Q658" s="342"/>
      <c r="AB658" s="342"/>
      <c r="AK658" s="317"/>
      <c r="AL658" s="317"/>
      <c r="AQ658" s="363"/>
      <c r="AR658" s="364"/>
      <c r="AV658" s="344"/>
      <c r="CJ658" s="344"/>
      <c r="CU658" s="344"/>
      <c r="DI658" s="342"/>
      <c r="DK658" s="317"/>
      <c r="DS658" s="317"/>
      <c r="DT658" s="317"/>
    </row>
    <row r="659" spans="17:124" s="277" customFormat="1" ht="12.75" customHeight="1">
      <c r="Q659" s="342"/>
      <c r="AB659" s="342"/>
      <c r="AK659" s="317"/>
      <c r="AL659" s="317"/>
      <c r="AQ659" s="363"/>
      <c r="AR659" s="364"/>
      <c r="AV659" s="344"/>
      <c r="CJ659" s="344"/>
      <c r="CU659" s="344"/>
      <c r="DI659" s="342"/>
      <c r="DK659" s="317"/>
      <c r="DS659" s="317"/>
      <c r="DT659" s="317"/>
    </row>
    <row r="660" spans="17:124" s="277" customFormat="1" ht="12.75" customHeight="1">
      <c r="Q660" s="342"/>
      <c r="AB660" s="342"/>
      <c r="AK660" s="317"/>
      <c r="AL660" s="317"/>
      <c r="AQ660" s="363"/>
      <c r="AR660" s="364"/>
      <c r="AV660" s="344"/>
      <c r="CJ660" s="344"/>
      <c r="CU660" s="344"/>
      <c r="DI660" s="342"/>
      <c r="DK660" s="317"/>
      <c r="DS660" s="317"/>
      <c r="DT660" s="317"/>
    </row>
    <row r="661" spans="17:124" s="277" customFormat="1" ht="12.75" customHeight="1">
      <c r="Q661" s="342"/>
      <c r="AB661" s="342"/>
      <c r="AK661" s="317"/>
      <c r="AL661" s="317"/>
      <c r="AQ661" s="363"/>
      <c r="AR661" s="364"/>
      <c r="AV661" s="344"/>
      <c r="CJ661" s="344"/>
      <c r="CU661" s="344"/>
      <c r="DI661" s="342"/>
      <c r="DK661" s="317"/>
      <c r="DS661" s="317"/>
      <c r="DT661" s="317"/>
    </row>
    <row r="662" spans="17:124" s="277" customFormat="1" ht="12.75" customHeight="1">
      <c r="Q662" s="342"/>
      <c r="AB662" s="342"/>
      <c r="AK662" s="317"/>
      <c r="AL662" s="317"/>
      <c r="AQ662" s="363"/>
      <c r="AR662" s="364"/>
      <c r="AV662" s="344"/>
      <c r="CJ662" s="344"/>
      <c r="CU662" s="344"/>
      <c r="DI662" s="342"/>
      <c r="DK662" s="317"/>
      <c r="DS662" s="317"/>
      <c r="DT662" s="317"/>
    </row>
    <row r="663" spans="17:124" s="277" customFormat="1" ht="12.75" customHeight="1">
      <c r="Q663" s="342"/>
      <c r="AB663" s="342"/>
      <c r="AK663" s="317"/>
      <c r="AL663" s="317"/>
      <c r="AQ663" s="363"/>
      <c r="AR663" s="364"/>
      <c r="AV663" s="344"/>
      <c r="CJ663" s="344"/>
      <c r="CU663" s="344"/>
      <c r="DI663" s="342"/>
      <c r="DK663" s="317"/>
      <c r="DS663" s="317"/>
      <c r="DT663" s="317"/>
    </row>
    <row r="664" spans="17:124" s="277" customFormat="1" ht="12.75" customHeight="1">
      <c r="Q664" s="342"/>
      <c r="AB664" s="342"/>
      <c r="AK664" s="317"/>
      <c r="AL664" s="317"/>
      <c r="AQ664" s="363"/>
      <c r="AR664" s="364"/>
      <c r="AV664" s="344"/>
      <c r="CJ664" s="344"/>
      <c r="CU664" s="344"/>
      <c r="DI664" s="342"/>
      <c r="DK664" s="317"/>
      <c r="DS664" s="317"/>
      <c r="DT664" s="317"/>
    </row>
    <row r="665" spans="17:124" s="277" customFormat="1" ht="12.75" customHeight="1">
      <c r="Q665" s="342"/>
      <c r="AB665" s="342"/>
      <c r="AK665" s="317"/>
      <c r="AL665" s="317"/>
      <c r="AQ665" s="363"/>
      <c r="AR665" s="364"/>
      <c r="AV665" s="344"/>
      <c r="CJ665" s="344"/>
      <c r="CU665" s="344"/>
      <c r="DI665" s="342"/>
      <c r="DK665" s="317"/>
      <c r="DS665" s="317"/>
      <c r="DT665" s="317"/>
    </row>
    <row r="666" spans="17:124" s="277" customFormat="1" ht="12.75" customHeight="1">
      <c r="Q666" s="342"/>
      <c r="AB666" s="342"/>
      <c r="AK666" s="317"/>
      <c r="AL666" s="317"/>
      <c r="AQ666" s="363"/>
      <c r="AR666" s="364"/>
      <c r="AV666" s="344"/>
      <c r="CJ666" s="344"/>
      <c r="CU666" s="344"/>
      <c r="DI666" s="342"/>
      <c r="DK666" s="317"/>
      <c r="DS666" s="317"/>
      <c r="DT666" s="317"/>
    </row>
    <row r="667" spans="17:124" s="277" customFormat="1" ht="12.75" customHeight="1">
      <c r="Q667" s="342"/>
      <c r="AB667" s="342"/>
      <c r="AK667" s="317"/>
      <c r="AL667" s="317"/>
      <c r="AQ667" s="363"/>
      <c r="AR667" s="364"/>
      <c r="AV667" s="344"/>
      <c r="CJ667" s="344"/>
      <c r="CU667" s="344"/>
      <c r="DI667" s="342"/>
      <c r="DK667" s="317"/>
      <c r="DS667" s="317"/>
      <c r="DT667" s="317"/>
    </row>
    <row r="668" spans="17:124" s="277" customFormat="1" ht="12.75" customHeight="1">
      <c r="Q668" s="342"/>
      <c r="AB668" s="342"/>
      <c r="AK668" s="317"/>
      <c r="AL668" s="317"/>
      <c r="AQ668" s="363"/>
      <c r="AR668" s="364"/>
      <c r="AV668" s="344"/>
      <c r="CJ668" s="344"/>
      <c r="CU668" s="344"/>
      <c r="DI668" s="342"/>
      <c r="DK668" s="317"/>
      <c r="DS668" s="317"/>
      <c r="DT668" s="317"/>
    </row>
    <row r="669" spans="17:124" s="277" customFormat="1" ht="12.75" customHeight="1">
      <c r="Q669" s="342"/>
      <c r="AB669" s="342"/>
      <c r="AK669" s="317"/>
      <c r="AL669" s="317"/>
      <c r="AQ669" s="363"/>
      <c r="AR669" s="364"/>
      <c r="AV669" s="344"/>
      <c r="CJ669" s="344"/>
      <c r="CU669" s="344"/>
      <c r="DI669" s="342"/>
      <c r="DK669" s="317"/>
      <c r="DS669" s="317"/>
      <c r="DT669" s="317"/>
    </row>
    <row r="670" spans="17:124" s="277" customFormat="1" ht="12.75" customHeight="1">
      <c r="Q670" s="342"/>
      <c r="AB670" s="342"/>
      <c r="AK670" s="317"/>
      <c r="AL670" s="317"/>
      <c r="AQ670" s="363"/>
      <c r="AR670" s="364"/>
      <c r="AV670" s="344"/>
      <c r="CJ670" s="344"/>
      <c r="CU670" s="344"/>
      <c r="DI670" s="342"/>
      <c r="DK670" s="317"/>
      <c r="DS670" s="317"/>
      <c r="DT670" s="317"/>
    </row>
    <row r="671" spans="17:124" s="277" customFormat="1" ht="12.75" customHeight="1">
      <c r="Q671" s="342"/>
      <c r="AB671" s="342"/>
      <c r="AK671" s="317"/>
      <c r="AL671" s="317"/>
      <c r="AQ671" s="363"/>
      <c r="AR671" s="364"/>
      <c r="AV671" s="344"/>
      <c r="CJ671" s="344"/>
      <c r="CU671" s="344"/>
      <c r="DI671" s="342"/>
      <c r="DK671" s="317"/>
      <c r="DS671" s="317"/>
      <c r="DT671" s="317"/>
    </row>
    <row r="672" spans="17:124" s="277" customFormat="1" ht="12.75" customHeight="1">
      <c r="Q672" s="342"/>
      <c r="AB672" s="342"/>
      <c r="AK672" s="317"/>
      <c r="AL672" s="317"/>
      <c r="AQ672" s="363"/>
      <c r="AR672" s="364"/>
      <c r="AV672" s="344"/>
      <c r="CJ672" s="344"/>
      <c r="CU672" s="344"/>
      <c r="DI672" s="342"/>
      <c r="DK672" s="317"/>
      <c r="DS672" s="317"/>
      <c r="DT672" s="317"/>
    </row>
    <row r="673" spans="17:124" s="277" customFormat="1" ht="12.75" customHeight="1">
      <c r="Q673" s="342"/>
      <c r="AB673" s="342"/>
      <c r="AK673" s="317"/>
      <c r="AL673" s="317"/>
      <c r="AQ673" s="363"/>
      <c r="AR673" s="364"/>
      <c r="AV673" s="344"/>
      <c r="CJ673" s="344"/>
      <c r="CU673" s="344"/>
      <c r="DI673" s="342"/>
      <c r="DK673" s="317"/>
      <c r="DS673" s="317"/>
      <c r="DT673" s="317"/>
    </row>
    <row r="674" spans="17:124" s="277" customFormat="1" ht="12.75" customHeight="1">
      <c r="Q674" s="342"/>
      <c r="AB674" s="342"/>
      <c r="AK674" s="317"/>
      <c r="AL674" s="317"/>
      <c r="AQ674" s="363"/>
      <c r="AR674" s="364"/>
      <c r="AV674" s="344"/>
      <c r="CJ674" s="344"/>
      <c r="CU674" s="344"/>
      <c r="DI674" s="342"/>
      <c r="DK674" s="317"/>
      <c r="DS674" s="317"/>
      <c r="DT674" s="317"/>
    </row>
    <row r="675" spans="17:124" s="277" customFormat="1" ht="12.75" customHeight="1">
      <c r="Q675" s="342"/>
      <c r="AB675" s="342"/>
      <c r="AK675" s="317"/>
      <c r="AL675" s="317"/>
      <c r="AQ675" s="363"/>
      <c r="AR675" s="364"/>
      <c r="AV675" s="344"/>
      <c r="CJ675" s="344"/>
      <c r="CU675" s="344"/>
      <c r="DI675" s="342"/>
      <c r="DK675" s="317"/>
      <c r="DS675" s="317"/>
      <c r="DT675" s="317"/>
    </row>
    <row r="676" spans="17:124" s="277" customFormat="1" ht="12.75" customHeight="1">
      <c r="Q676" s="342"/>
      <c r="AB676" s="342"/>
      <c r="AK676" s="317"/>
      <c r="AL676" s="317"/>
      <c r="AQ676" s="363"/>
      <c r="AR676" s="364"/>
      <c r="AV676" s="344"/>
      <c r="CJ676" s="344"/>
      <c r="CU676" s="344"/>
      <c r="DI676" s="342"/>
      <c r="DK676" s="317"/>
      <c r="DS676" s="317"/>
      <c r="DT676" s="317"/>
    </row>
    <row r="677" spans="17:124" s="277" customFormat="1" ht="12.75" customHeight="1">
      <c r="Q677" s="342"/>
      <c r="AB677" s="342"/>
      <c r="AK677" s="317"/>
      <c r="AL677" s="317"/>
      <c r="AQ677" s="363"/>
      <c r="AR677" s="364"/>
      <c r="AV677" s="344"/>
      <c r="CJ677" s="344"/>
      <c r="CU677" s="344"/>
      <c r="DI677" s="342"/>
      <c r="DK677" s="317"/>
      <c r="DS677" s="317"/>
      <c r="DT677" s="317"/>
    </row>
    <row r="678" spans="17:124" s="277" customFormat="1" ht="12.75" customHeight="1">
      <c r="Q678" s="342"/>
      <c r="AB678" s="342"/>
      <c r="AK678" s="317"/>
      <c r="AL678" s="317"/>
      <c r="AQ678" s="363"/>
      <c r="AR678" s="364"/>
      <c r="AV678" s="344"/>
      <c r="CJ678" s="344"/>
      <c r="CU678" s="344"/>
      <c r="DI678" s="342"/>
      <c r="DK678" s="317"/>
      <c r="DS678" s="317"/>
      <c r="DT678" s="317"/>
    </row>
    <row r="679" spans="17:124" s="277" customFormat="1" ht="12.75" customHeight="1">
      <c r="Q679" s="342"/>
      <c r="AB679" s="342"/>
      <c r="AK679" s="317"/>
      <c r="AL679" s="317"/>
      <c r="AQ679" s="363"/>
      <c r="AR679" s="364"/>
      <c r="AV679" s="344"/>
      <c r="CJ679" s="344"/>
      <c r="CU679" s="344"/>
      <c r="DI679" s="342"/>
      <c r="DK679" s="317"/>
      <c r="DS679" s="317"/>
      <c r="DT679" s="317"/>
    </row>
    <row r="680" spans="17:124" s="277" customFormat="1" ht="12.75" customHeight="1">
      <c r="Q680" s="342"/>
      <c r="AB680" s="342"/>
      <c r="AK680" s="317"/>
      <c r="AL680" s="317"/>
      <c r="AQ680" s="363"/>
      <c r="AR680" s="364"/>
      <c r="AV680" s="344"/>
      <c r="CJ680" s="344"/>
      <c r="CU680" s="344"/>
      <c r="DI680" s="342"/>
      <c r="DK680" s="317"/>
      <c r="DS680" s="317"/>
      <c r="DT680" s="317"/>
    </row>
    <row r="681" spans="17:124" s="277" customFormat="1" ht="12.75" customHeight="1">
      <c r="Q681" s="342"/>
      <c r="AB681" s="342"/>
      <c r="AK681" s="317"/>
      <c r="AL681" s="317"/>
      <c r="AQ681" s="363"/>
      <c r="AR681" s="364"/>
      <c r="AV681" s="344"/>
      <c r="CJ681" s="344"/>
      <c r="CU681" s="344"/>
      <c r="DI681" s="342"/>
      <c r="DK681" s="317"/>
      <c r="DS681" s="317"/>
      <c r="DT681" s="317"/>
    </row>
    <row r="682" spans="17:124" s="277" customFormat="1" ht="12.75" customHeight="1">
      <c r="Q682" s="342"/>
      <c r="AB682" s="342"/>
      <c r="AK682" s="317"/>
      <c r="AL682" s="317"/>
      <c r="AQ682" s="363"/>
      <c r="AR682" s="364"/>
      <c r="AV682" s="344"/>
      <c r="CJ682" s="344"/>
      <c r="CU682" s="344"/>
      <c r="DI682" s="342"/>
      <c r="DK682" s="317"/>
      <c r="DS682" s="317"/>
      <c r="DT682" s="317"/>
    </row>
    <row r="683" spans="17:124" s="277" customFormat="1" ht="12.75" customHeight="1">
      <c r="Q683" s="342"/>
      <c r="AB683" s="342"/>
      <c r="AK683" s="317"/>
      <c r="AL683" s="317"/>
      <c r="AQ683" s="363"/>
      <c r="AR683" s="364"/>
      <c r="AV683" s="344"/>
      <c r="CJ683" s="344"/>
      <c r="CU683" s="344"/>
      <c r="DI683" s="342"/>
      <c r="DK683" s="317"/>
      <c r="DS683" s="317"/>
      <c r="DT683" s="317"/>
    </row>
    <row r="684" spans="17:124" s="277" customFormat="1" ht="12.75" customHeight="1">
      <c r="Q684" s="342"/>
      <c r="AB684" s="342"/>
      <c r="AK684" s="317"/>
      <c r="AL684" s="317"/>
      <c r="AQ684" s="363"/>
      <c r="AR684" s="364"/>
      <c r="AV684" s="344"/>
      <c r="CJ684" s="344"/>
      <c r="CU684" s="344"/>
      <c r="DI684" s="342"/>
      <c r="DK684" s="317"/>
      <c r="DS684" s="317"/>
      <c r="DT684" s="317"/>
    </row>
    <row r="685" spans="17:124" s="277" customFormat="1" ht="12.75" customHeight="1">
      <c r="Q685" s="342"/>
      <c r="AB685" s="342"/>
      <c r="AK685" s="317"/>
      <c r="AL685" s="317"/>
      <c r="AQ685" s="363"/>
      <c r="AR685" s="364"/>
      <c r="AV685" s="344"/>
      <c r="CJ685" s="344"/>
      <c r="CU685" s="344"/>
      <c r="DI685" s="342"/>
      <c r="DK685" s="317"/>
      <c r="DS685" s="317"/>
      <c r="DT685" s="317"/>
    </row>
    <row r="686" spans="17:124" s="277" customFormat="1" ht="12.75" customHeight="1">
      <c r="Q686" s="342"/>
      <c r="AB686" s="342"/>
      <c r="AK686" s="317"/>
      <c r="AL686" s="317"/>
      <c r="AQ686" s="363"/>
      <c r="AR686" s="364"/>
      <c r="AV686" s="344"/>
      <c r="CJ686" s="344"/>
      <c r="CU686" s="344"/>
      <c r="DI686" s="342"/>
      <c r="DK686" s="317"/>
      <c r="DS686" s="317"/>
      <c r="DT686" s="317"/>
    </row>
    <row r="687" spans="17:124" s="277" customFormat="1" ht="12.75" customHeight="1">
      <c r="Q687" s="342"/>
      <c r="AB687" s="342"/>
      <c r="AK687" s="317"/>
      <c r="AL687" s="317"/>
      <c r="AQ687" s="363"/>
      <c r="AR687" s="364"/>
      <c r="AV687" s="344"/>
      <c r="CJ687" s="344"/>
      <c r="CU687" s="344"/>
      <c r="DI687" s="342"/>
      <c r="DK687" s="317"/>
      <c r="DS687" s="317"/>
      <c r="DT687" s="317"/>
    </row>
    <row r="688" spans="17:124" s="277" customFormat="1" ht="12.75" customHeight="1">
      <c r="Q688" s="342"/>
      <c r="AB688" s="342"/>
      <c r="AK688" s="317"/>
      <c r="AL688" s="317"/>
      <c r="AQ688" s="363"/>
      <c r="AR688" s="364"/>
      <c r="AV688" s="344"/>
      <c r="CJ688" s="344"/>
      <c r="CU688" s="344"/>
      <c r="DI688" s="342"/>
      <c r="DK688" s="317"/>
      <c r="DS688" s="317"/>
      <c r="DT688" s="317"/>
    </row>
    <row r="689" spans="17:124" s="277" customFormat="1" ht="12.75" customHeight="1">
      <c r="Q689" s="342"/>
      <c r="AB689" s="342"/>
      <c r="AK689" s="317"/>
      <c r="AL689" s="317"/>
      <c r="AQ689" s="363"/>
      <c r="AR689" s="364"/>
      <c r="AV689" s="344"/>
      <c r="CJ689" s="344"/>
      <c r="CU689" s="344"/>
      <c r="DI689" s="342"/>
      <c r="DK689" s="317"/>
      <c r="DS689" s="317"/>
      <c r="DT689" s="317"/>
    </row>
    <row r="690" spans="17:124" s="277" customFormat="1" ht="12.75" customHeight="1">
      <c r="Q690" s="342"/>
      <c r="AB690" s="342"/>
      <c r="AK690" s="317"/>
      <c r="AL690" s="317"/>
      <c r="AQ690" s="363"/>
      <c r="AR690" s="364"/>
      <c r="AV690" s="344"/>
      <c r="CJ690" s="344"/>
      <c r="CU690" s="344"/>
      <c r="DI690" s="342"/>
      <c r="DK690" s="317"/>
      <c r="DS690" s="317"/>
      <c r="DT690" s="317"/>
    </row>
    <row r="691" spans="17:124" s="277" customFormat="1" ht="12.75" customHeight="1">
      <c r="Q691" s="342"/>
      <c r="AB691" s="342"/>
      <c r="AK691" s="317"/>
      <c r="AL691" s="317"/>
      <c r="AQ691" s="363"/>
      <c r="AR691" s="364"/>
      <c r="AV691" s="344"/>
      <c r="CJ691" s="344"/>
      <c r="CU691" s="344"/>
      <c r="DI691" s="342"/>
      <c r="DK691" s="317"/>
      <c r="DS691" s="317"/>
      <c r="DT691" s="317"/>
    </row>
    <row r="692" spans="17:124" s="277" customFormat="1" ht="12.75" customHeight="1">
      <c r="Q692" s="342"/>
      <c r="AB692" s="342"/>
      <c r="AK692" s="317"/>
      <c r="AL692" s="317"/>
      <c r="AQ692" s="363"/>
      <c r="AR692" s="364"/>
      <c r="AV692" s="344"/>
      <c r="CJ692" s="344"/>
      <c r="CU692" s="344"/>
      <c r="DI692" s="342"/>
      <c r="DK692" s="317"/>
      <c r="DS692" s="317"/>
      <c r="DT692" s="317"/>
    </row>
    <row r="693" spans="17:124" s="277" customFormat="1" ht="12.75" customHeight="1">
      <c r="Q693" s="342"/>
      <c r="AB693" s="342"/>
      <c r="AK693" s="317"/>
      <c r="AL693" s="317"/>
      <c r="AQ693" s="363"/>
      <c r="AR693" s="364"/>
      <c r="AV693" s="344"/>
      <c r="CJ693" s="344"/>
      <c r="CU693" s="344"/>
      <c r="DI693" s="342"/>
      <c r="DK693" s="317"/>
      <c r="DS693" s="317"/>
      <c r="DT693" s="317"/>
    </row>
    <row r="694" spans="17:124" s="277" customFormat="1" ht="12.75" customHeight="1">
      <c r="Q694" s="342"/>
      <c r="AB694" s="342"/>
      <c r="AK694" s="317"/>
      <c r="AL694" s="317"/>
      <c r="AQ694" s="363"/>
      <c r="AR694" s="364"/>
      <c r="AV694" s="344"/>
      <c r="CJ694" s="344"/>
      <c r="CU694" s="344"/>
      <c r="DI694" s="342"/>
      <c r="DK694" s="317"/>
      <c r="DS694" s="317"/>
      <c r="DT694" s="317"/>
    </row>
    <row r="695" spans="17:124" s="277" customFormat="1" ht="12.75" customHeight="1">
      <c r="Q695" s="342"/>
      <c r="AB695" s="342"/>
      <c r="AK695" s="317"/>
      <c r="AL695" s="317"/>
      <c r="AQ695" s="363"/>
      <c r="AR695" s="364"/>
      <c r="AV695" s="344"/>
      <c r="CJ695" s="344"/>
      <c r="CU695" s="344"/>
      <c r="DI695" s="342"/>
      <c r="DK695" s="317"/>
      <c r="DS695" s="317"/>
      <c r="DT695" s="317"/>
    </row>
    <row r="696" spans="17:124" s="277" customFormat="1" ht="12.75" customHeight="1">
      <c r="Q696" s="342"/>
      <c r="AB696" s="342"/>
      <c r="AK696" s="317"/>
      <c r="AL696" s="317"/>
      <c r="AQ696" s="363"/>
      <c r="AR696" s="364"/>
      <c r="AV696" s="344"/>
      <c r="CJ696" s="344"/>
      <c r="CU696" s="344"/>
      <c r="DI696" s="342"/>
      <c r="DK696" s="317"/>
      <c r="DS696" s="317"/>
      <c r="DT696" s="317"/>
    </row>
    <row r="697" spans="17:124" s="277" customFormat="1" ht="12.75" customHeight="1">
      <c r="Q697" s="342"/>
      <c r="AB697" s="342"/>
      <c r="AK697" s="317"/>
      <c r="AL697" s="317"/>
      <c r="AQ697" s="363"/>
      <c r="AR697" s="364"/>
      <c r="AV697" s="344"/>
      <c r="CJ697" s="344"/>
      <c r="CU697" s="344"/>
      <c r="DI697" s="342"/>
      <c r="DK697" s="317"/>
      <c r="DS697" s="317"/>
      <c r="DT697" s="317"/>
    </row>
    <row r="698" spans="17:124" s="277" customFormat="1" ht="12.75" customHeight="1">
      <c r="Q698" s="342"/>
      <c r="AB698" s="342"/>
      <c r="AK698" s="317"/>
      <c r="AL698" s="317"/>
      <c r="AQ698" s="363"/>
      <c r="AR698" s="364"/>
      <c r="AV698" s="344"/>
      <c r="CJ698" s="344"/>
      <c r="CU698" s="344"/>
      <c r="DI698" s="342"/>
      <c r="DK698" s="317"/>
      <c r="DS698" s="317"/>
      <c r="DT698" s="317"/>
    </row>
    <row r="699" spans="17:124" s="277" customFormat="1" ht="12.75" customHeight="1">
      <c r="Q699" s="342"/>
      <c r="AB699" s="342"/>
      <c r="AK699" s="317"/>
      <c r="AL699" s="317"/>
      <c r="AQ699" s="363"/>
      <c r="AR699" s="364"/>
      <c r="AV699" s="344"/>
      <c r="CJ699" s="344"/>
      <c r="CU699" s="344"/>
      <c r="DI699" s="342"/>
      <c r="DK699" s="317"/>
      <c r="DS699" s="317"/>
      <c r="DT699" s="317"/>
    </row>
    <row r="700" spans="17:124" s="277" customFormat="1" ht="12.75" customHeight="1">
      <c r="Q700" s="342"/>
      <c r="AB700" s="342"/>
      <c r="AK700" s="317"/>
      <c r="AL700" s="317"/>
      <c r="AQ700" s="363"/>
      <c r="AR700" s="364"/>
      <c r="AV700" s="344"/>
      <c r="CJ700" s="344"/>
      <c r="CU700" s="344"/>
      <c r="DI700" s="342"/>
      <c r="DK700" s="317"/>
      <c r="DS700" s="317"/>
      <c r="DT700" s="317"/>
    </row>
    <row r="701" spans="17:124" s="277" customFormat="1" ht="12.75" customHeight="1">
      <c r="Q701" s="342"/>
      <c r="AB701" s="342"/>
      <c r="AK701" s="317"/>
      <c r="AL701" s="317"/>
      <c r="AQ701" s="363"/>
      <c r="AR701" s="364"/>
      <c r="AV701" s="344"/>
      <c r="CJ701" s="344"/>
      <c r="CU701" s="344"/>
      <c r="DI701" s="342"/>
      <c r="DK701" s="317"/>
      <c r="DS701" s="317"/>
      <c r="DT701" s="317"/>
    </row>
    <row r="702" spans="17:124" s="277" customFormat="1" ht="12.75" customHeight="1">
      <c r="Q702" s="342"/>
      <c r="AB702" s="342"/>
      <c r="AK702" s="317"/>
      <c r="AL702" s="317"/>
      <c r="AQ702" s="363"/>
      <c r="AR702" s="364"/>
      <c r="AV702" s="344"/>
      <c r="CJ702" s="344"/>
      <c r="CU702" s="344"/>
      <c r="DI702" s="342"/>
      <c r="DK702" s="317"/>
      <c r="DS702" s="317"/>
      <c r="DT702" s="317"/>
    </row>
    <row r="703" spans="17:124" s="277" customFormat="1" ht="12.75" customHeight="1">
      <c r="Q703" s="342"/>
      <c r="AB703" s="342"/>
      <c r="AK703" s="317"/>
      <c r="AL703" s="317"/>
      <c r="AQ703" s="363"/>
      <c r="AR703" s="364"/>
      <c r="AV703" s="344"/>
      <c r="CJ703" s="344"/>
      <c r="CU703" s="344"/>
      <c r="DI703" s="342"/>
      <c r="DK703" s="317"/>
      <c r="DS703" s="317"/>
      <c r="DT703" s="317"/>
    </row>
    <row r="704" spans="17:124" s="277" customFormat="1" ht="12.75" customHeight="1">
      <c r="Q704" s="342"/>
      <c r="AB704" s="342"/>
      <c r="AK704" s="317"/>
      <c r="AL704" s="317"/>
      <c r="AQ704" s="363"/>
      <c r="AR704" s="364"/>
      <c r="AV704" s="344"/>
      <c r="CJ704" s="344"/>
      <c r="CU704" s="344"/>
      <c r="DI704" s="342"/>
      <c r="DK704" s="317"/>
      <c r="DS704" s="317"/>
      <c r="DT704" s="317"/>
    </row>
    <row r="705" spans="17:124" s="277" customFormat="1" ht="12.75" customHeight="1">
      <c r="Q705" s="342"/>
      <c r="AB705" s="342"/>
      <c r="AK705" s="317"/>
      <c r="AL705" s="317"/>
      <c r="AQ705" s="363"/>
      <c r="AR705" s="364"/>
      <c r="AV705" s="344"/>
      <c r="CJ705" s="344"/>
      <c r="CU705" s="344"/>
      <c r="DI705" s="342"/>
      <c r="DK705" s="317"/>
      <c r="DS705" s="317"/>
      <c r="DT705" s="317"/>
    </row>
    <row r="706" spans="17:124" s="277" customFormat="1" ht="12.75" customHeight="1">
      <c r="Q706" s="342"/>
      <c r="AB706" s="342"/>
      <c r="AK706" s="317"/>
      <c r="AL706" s="317"/>
      <c r="AQ706" s="363"/>
      <c r="AR706" s="364"/>
      <c r="AV706" s="344"/>
      <c r="CJ706" s="344"/>
      <c r="CU706" s="344"/>
      <c r="DI706" s="342"/>
      <c r="DK706" s="317"/>
      <c r="DS706" s="317"/>
      <c r="DT706" s="317"/>
    </row>
    <row r="707" spans="17:124" s="277" customFormat="1" ht="12.75" customHeight="1">
      <c r="Q707" s="342"/>
      <c r="AB707" s="342"/>
      <c r="AK707" s="317"/>
      <c r="AL707" s="317"/>
      <c r="AQ707" s="363"/>
      <c r="AR707" s="364"/>
      <c r="AV707" s="344"/>
      <c r="CJ707" s="344"/>
      <c r="CU707" s="344"/>
      <c r="DI707" s="342"/>
      <c r="DK707" s="317"/>
      <c r="DS707" s="317"/>
      <c r="DT707" s="317"/>
    </row>
    <row r="708" spans="17:124" s="277" customFormat="1" ht="12.75" customHeight="1">
      <c r="Q708" s="342"/>
      <c r="AB708" s="342"/>
      <c r="AK708" s="317"/>
      <c r="AL708" s="317"/>
      <c r="AQ708" s="363"/>
      <c r="AR708" s="364"/>
      <c r="AV708" s="344"/>
      <c r="CJ708" s="344"/>
      <c r="CU708" s="344"/>
      <c r="DI708" s="342"/>
      <c r="DK708" s="317"/>
      <c r="DS708" s="317"/>
      <c r="DT708" s="317"/>
    </row>
    <row r="709" spans="17:124" s="277" customFormat="1" ht="12.75" customHeight="1">
      <c r="Q709" s="342"/>
      <c r="AB709" s="342"/>
      <c r="AK709" s="317"/>
      <c r="AL709" s="317"/>
      <c r="AQ709" s="363"/>
      <c r="AR709" s="364"/>
      <c r="AV709" s="344"/>
      <c r="CJ709" s="344"/>
      <c r="CU709" s="344"/>
      <c r="DI709" s="342"/>
      <c r="DK709" s="317"/>
      <c r="DS709" s="317"/>
      <c r="DT709" s="317"/>
    </row>
    <row r="710" spans="17:124" s="277" customFormat="1" ht="12.75" customHeight="1">
      <c r="Q710" s="342"/>
      <c r="AB710" s="342"/>
      <c r="AK710" s="317"/>
      <c r="AL710" s="317"/>
      <c r="AQ710" s="363"/>
      <c r="AR710" s="364"/>
      <c r="AV710" s="344"/>
      <c r="CJ710" s="344"/>
      <c r="CU710" s="344"/>
      <c r="DI710" s="342"/>
      <c r="DK710" s="317"/>
      <c r="DS710" s="317"/>
      <c r="DT710" s="317"/>
    </row>
    <row r="711" spans="17:124" s="277" customFormat="1" ht="12.75" customHeight="1">
      <c r="Q711" s="342"/>
      <c r="AB711" s="342"/>
      <c r="AK711" s="317"/>
      <c r="AL711" s="317"/>
      <c r="AQ711" s="363"/>
      <c r="AR711" s="364"/>
      <c r="AV711" s="344"/>
      <c r="CJ711" s="344"/>
      <c r="CU711" s="344"/>
      <c r="DI711" s="342"/>
      <c r="DK711" s="317"/>
      <c r="DS711" s="317"/>
      <c r="DT711" s="317"/>
    </row>
    <row r="712" spans="17:124" s="277" customFormat="1" ht="12.75" customHeight="1">
      <c r="Q712" s="342"/>
      <c r="AB712" s="342"/>
      <c r="AK712" s="317"/>
      <c r="AL712" s="317"/>
      <c r="AQ712" s="363"/>
      <c r="AR712" s="364"/>
      <c r="AV712" s="344"/>
      <c r="CJ712" s="344"/>
      <c r="CU712" s="344"/>
      <c r="DI712" s="342"/>
      <c r="DK712" s="317"/>
      <c r="DS712" s="317"/>
      <c r="DT712" s="317"/>
    </row>
    <row r="713" spans="17:124" s="277" customFormat="1" ht="12.75" customHeight="1">
      <c r="Q713" s="342"/>
      <c r="AB713" s="342"/>
      <c r="AK713" s="317"/>
      <c r="AL713" s="317"/>
      <c r="AQ713" s="363"/>
      <c r="AR713" s="364"/>
      <c r="AV713" s="344"/>
      <c r="CJ713" s="344"/>
      <c r="CU713" s="344"/>
      <c r="DI713" s="342"/>
      <c r="DK713" s="317"/>
      <c r="DS713" s="317"/>
      <c r="DT713" s="317"/>
    </row>
    <row r="714" spans="17:124" s="277" customFormat="1" ht="12.75" customHeight="1">
      <c r="Q714" s="342"/>
      <c r="AB714" s="342"/>
      <c r="AK714" s="317"/>
      <c r="AL714" s="317"/>
      <c r="AQ714" s="363"/>
      <c r="AR714" s="364"/>
      <c r="AV714" s="344"/>
      <c r="CJ714" s="344"/>
      <c r="CU714" s="344"/>
      <c r="DI714" s="342"/>
      <c r="DK714" s="317"/>
      <c r="DS714" s="317"/>
      <c r="DT714" s="317"/>
    </row>
    <row r="715" spans="17:124" s="277" customFormat="1" ht="12.75" customHeight="1">
      <c r="Q715" s="342"/>
      <c r="AB715" s="342"/>
      <c r="AK715" s="317"/>
      <c r="AL715" s="317"/>
      <c r="AQ715" s="363"/>
      <c r="AR715" s="364"/>
      <c r="AV715" s="344"/>
      <c r="CJ715" s="344"/>
      <c r="CU715" s="344"/>
      <c r="DI715" s="342"/>
      <c r="DK715" s="317"/>
      <c r="DS715" s="317"/>
      <c r="DT715" s="317"/>
    </row>
    <row r="716" spans="17:124" s="277" customFormat="1" ht="12.75" customHeight="1">
      <c r="Q716" s="342"/>
      <c r="AB716" s="342"/>
      <c r="AK716" s="317"/>
      <c r="AL716" s="317"/>
      <c r="AQ716" s="363"/>
      <c r="AR716" s="364"/>
      <c r="AV716" s="344"/>
      <c r="CJ716" s="344"/>
      <c r="CU716" s="344"/>
      <c r="DI716" s="342"/>
      <c r="DK716" s="317"/>
      <c r="DS716" s="317"/>
      <c r="DT716" s="317"/>
    </row>
    <row r="717" spans="17:124" s="277" customFormat="1" ht="12.75" customHeight="1">
      <c r="Q717" s="342"/>
      <c r="AB717" s="342"/>
      <c r="AK717" s="317"/>
      <c r="AL717" s="317"/>
      <c r="AQ717" s="363"/>
      <c r="AR717" s="364"/>
      <c r="AV717" s="344"/>
      <c r="CJ717" s="344"/>
      <c r="CU717" s="344"/>
      <c r="DI717" s="342"/>
      <c r="DK717" s="317"/>
      <c r="DS717" s="317"/>
      <c r="DT717" s="317"/>
    </row>
    <row r="718" spans="17:124" s="277" customFormat="1" ht="12.75" customHeight="1">
      <c r="Q718" s="342"/>
      <c r="AB718" s="342"/>
      <c r="AK718" s="317"/>
      <c r="AL718" s="317"/>
      <c r="AQ718" s="363"/>
      <c r="AR718" s="364"/>
      <c r="AV718" s="344"/>
      <c r="CJ718" s="344"/>
      <c r="CU718" s="344"/>
      <c r="DI718" s="342"/>
      <c r="DK718" s="317"/>
      <c r="DS718" s="317"/>
      <c r="DT718" s="317"/>
    </row>
    <row r="719" spans="17:124" s="277" customFormat="1" ht="12.75" customHeight="1">
      <c r="Q719" s="342"/>
      <c r="AB719" s="342"/>
      <c r="AK719" s="317"/>
      <c r="AL719" s="317"/>
      <c r="AQ719" s="363"/>
      <c r="AR719" s="364"/>
      <c r="AV719" s="344"/>
      <c r="CJ719" s="344"/>
      <c r="CU719" s="344"/>
      <c r="DI719" s="342"/>
      <c r="DK719" s="317"/>
      <c r="DS719" s="317"/>
      <c r="DT719" s="317"/>
    </row>
    <row r="720" spans="17:124" s="277" customFormat="1" ht="12.75" customHeight="1">
      <c r="Q720" s="342"/>
      <c r="AB720" s="342"/>
      <c r="AK720" s="317"/>
      <c r="AL720" s="317"/>
      <c r="AQ720" s="363"/>
      <c r="AR720" s="364"/>
      <c r="AV720" s="344"/>
      <c r="CJ720" s="344"/>
      <c r="CU720" s="344"/>
      <c r="DI720" s="342"/>
      <c r="DK720" s="317"/>
      <c r="DS720" s="317"/>
      <c r="DT720" s="317"/>
    </row>
    <row r="721" spans="17:124" s="277" customFormat="1" ht="12.75" customHeight="1">
      <c r="Q721" s="342"/>
      <c r="AB721" s="342"/>
      <c r="AK721" s="317"/>
      <c r="AL721" s="317"/>
      <c r="AQ721" s="363"/>
      <c r="AR721" s="364"/>
      <c r="AV721" s="344"/>
      <c r="CJ721" s="344"/>
      <c r="CU721" s="344"/>
      <c r="DI721" s="342"/>
      <c r="DK721" s="317"/>
      <c r="DS721" s="317"/>
      <c r="DT721" s="317"/>
    </row>
    <row r="722" spans="17:124" s="277" customFormat="1" ht="12.75" customHeight="1">
      <c r="Q722" s="342"/>
      <c r="AB722" s="342"/>
      <c r="AK722" s="317"/>
      <c r="AL722" s="317"/>
      <c r="AQ722" s="363"/>
      <c r="AR722" s="364"/>
      <c r="AV722" s="344"/>
      <c r="CJ722" s="344"/>
      <c r="CU722" s="344"/>
      <c r="DI722" s="342"/>
      <c r="DK722" s="317"/>
      <c r="DS722" s="317"/>
      <c r="DT722" s="317"/>
    </row>
    <row r="723" spans="17:124" s="277" customFormat="1" ht="12.75" customHeight="1">
      <c r="Q723" s="342"/>
      <c r="AB723" s="342"/>
      <c r="AK723" s="317"/>
      <c r="AL723" s="317"/>
      <c r="AQ723" s="363"/>
      <c r="AR723" s="364"/>
      <c r="AV723" s="344"/>
      <c r="CJ723" s="344"/>
      <c r="CU723" s="344"/>
      <c r="DI723" s="342"/>
      <c r="DK723" s="317"/>
      <c r="DS723" s="317"/>
      <c r="DT723" s="317"/>
    </row>
    <row r="724" spans="17:124" s="277" customFormat="1" ht="12.75" customHeight="1">
      <c r="Q724" s="342"/>
      <c r="AB724" s="342"/>
      <c r="AK724" s="317"/>
      <c r="AL724" s="317"/>
      <c r="AQ724" s="363"/>
      <c r="AR724" s="364"/>
      <c r="AV724" s="344"/>
      <c r="CJ724" s="344"/>
      <c r="CU724" s="344"/>
      <c r="DI724" s="342"/>
      <c r="DK724" s="317"/>
      <c r="DS724" s="317"/>
      <c r="DT724" s="317"/>
    </row>
    <row r="725" spans="17:124" s="277" customFormat="1" ht="12.75" customHeight="1">
      <c r="Q725" s="342"/>
      <c r="AB725" s="342"/>
      <c r="AK725" s="317"/>
      <c r="AL725" s="317"/>
      <c r="AQ725" s="363"/>
      <c r="AR725" s="364"/>
      <c r="AV725" s="344"/>
      <c r="CJ725" s="344"/>
      <c r="CU725" s="344"/>
      <c r="DI725" s="342"/>
      <c r="DK725" s="317"/>
      <c r="DS725" s="317"/>
      <c r="DT725" s="317"/>
    </row>
    <row r="726" spans="17:124" s="277" customFormat="1" ht="12.75" customHeight="1">
      <c r="Q726" s="342"/>
      <c r="AB726" s="342"/>
      <c r="AK726" s="317"/>
      <c r="AL726" s="317"/>
      <c r="AQ726" s="363"/>
      <c r="AR726" s="364"/>
      <c r="AV726" s="344"/>
      <c r="CJ726" s="344"/>
      <c r="CU726" s="344"/>
      <c r="DI726" s="342"/>
      <c r="DK726" s="317"/>
      <c r="DS726" s="317"/>
      <c r="DT726" s="317"/>
    </row>
    <row r="727" spans="17:124" s="277" customFormat="1" ht="12.75" customHeight="1">
      <c r="Q727" s="342"/>
      <c r="AB727" s="342"/>
      <c r="AK727" s="317"/>
      <c r="AL727" s="317"/>
      <c r="AQ727" s="363"/>
      <c r="AR727" s="364"/>
      <c r="AV727" s="344"/>
      <c r="CJ727" s="344"/>
      <c r="CU727" s="344"/>
      <c r="DI727" s="342"/>
      <c r="DK727" s="317"/>
      <c r="DS727" s="317"/>
      <c r="DT727" s="317"/>
    </row>
    <row r="728" spans="17:124" s="277" customFormat="1" ht="12.75" customHeight="1">
      <c r="Q728" s="342"/>
      <c r="AB728" s="342"/>
      <c r="AK728" s="317"/>
      <c r="AL728" s="317"/>
      <c r="AQ728" s="363"/>
      <c r="AR728" s="364"/>
      <c r="AV728" s="344"/>
      <c r="CJ728" s="344"/>
      <c r="CU728" s="344"/>
      <c r="DI728" s="342"/>
      <c r="DK728" s="317"/>
      <c r="DS728" s="317"/>
      <c r="DT728" s="317"/>
    </row>
    <row r="729" spans="17:124" s="277" customFormat="1" ht="12.75" customHeight="1">
      <c r="Q729" s="342"/>
      <c r="AB729" s="342"/>
      <c r="AK729" s="317"/>
      <c r="AL729" s="317"/>
      <c r="AQ729" s="363"/>
      <c r="AR729" s="364"/>
      <c r="AV729" s="344"/>
      <c r="CJ729" s="344"/>
      <c r="CU729" s="344"/>
      <c r="DI729" s="342"/>
      <c r="DK729" s="317"/>
      <c r="DS729" s="317"/>
      <c r="DT729" s="317"/>
    </row>
    <row r="730" spans="17:124" s="277" customFormat="1" ht="12.75" customHeight="1">
      <c r="Q730" s="342"/>
      <c r="AB730" s="342"/>
      <c r="AK730" s="317"/>
      <c r="AL730" s="317"/>
      <c r="AQ730" s="363"/>
      <c r="AR730" s="364"/>
      <c r="AV730" s="344"/>
      <c r="CJ730" s="344"/>
      <c r="CU730" s="344"/>
      <c r="DI730" s="342"/>
      <c r="DK730" s="317"/>
      <c r="DS730" s="317"/>
      <c r="DT730" s="317"/>
    </row>
    <row r="731" spans="17:124" s="277" customFormat="1" ht="12.75" customHeight="1">
      <c r="Q731" s="342"/>
      <c r="AB731" s="342"/>
      <c r="AK731" s="317"/>
      <c r="AL731" s="317"/>
      <c r="AQ731" s="363"/>
      <c r="AR731" s="364"/>
      <c r="AV731" s="344"/>
      <c r="CJ731" s="344"/>
      <c r="CU731" s="344"/>
      <c r="DI731" s="342"/>
      <c r="DK731" s="317"/>
      <c r="DS731" s="317"/>
      <c r="DT731" s="317"/>
    </row>
    <row r="732" spans="17:124" s="277" customFormat="1" ht="12.75" customHeight="1">
      <c r="Q732" s="342"/>
      <c r="AB732" s="342"/>
      <c r="AK732" s="317"/>
      <c r="AL732" s="317"/>
      <c r="AQ732" s="363"/>
      <c r="AR732" s="364"/>
      <c r="AV732" s="344"/>
      <c r="CJ732" s="344"/>
      <c r="CU732" s="344"/>
      <c r="DI732" s="342"/>
      <c r="DK732" s="317"/>
      <c r="DS732" s="317"/>
      <c r="DT732" s="317"/>
    </row>
    <row r="733" spans="17:124" s="277" customFormat="1" ht="12.75" customHeight="1">
      <c r="Q733" s="342"/>
      <c r="AB733" s="342"/>
      <c r="AK733" s="317"/>
      <c r="AL733" s="317"/>
      <c r="AQ733" s="363"/>
      <c r="AR733" s="364"/>
      <c r="AV733" s="344"/>
      <c r="CJ733" s="344"/>
      <c r="CU733" s="344"/>
      <c r="DI733" s="342"/>
      <c r="DK733" s="317"/>
      <c r="DS733" s="317"/>
      <c r="DT733" s="317"/>
    </row>
    <row r="734" spans="17:124" s="277" customFormat="1" ht="12.75" customHeight="1">
      <c r="Q734" s="342"/>
      <c r="AB734" s="342"/>
      <c r="AK734" s="317"/>
      <c r="AL734" s="317"/>
      <c r="AQ734" s="363"/>
      <c r="AR734" s="364"/>
      <c r="AV734" s="344"/>
      <c r="CJ734" s="344"/>
      <c r="CU734" s="344"/>
      <c r="DI734" s="342"/>
      <c r="DK734" s="317"/>
      <c r="DS734" s="317"/>
      <c r="DT734" s="317"/>
    </row>
    <row r="735" spans="17:124" s="277" customFormat="1" ht="12.75" customHeight="1">
      <c r="Q735" s="342"/>
      <c r="AB735" s="342"/>
      <c r="AK735" s="317"/>
      <c r="AL735" s="317"/>
      <c r="AQ735" s="363"/>
      <c r="AR735" s="364"/>
      <c r="AV735" s="344"/>
      <c r="CJ735" s="344"/>
      <c r="CU735" s="344"/>
      <c r="DI735" s="342"/>
      <c r="DK735" s="317"/>
      <c r="DS735" s="317"/>
      <c r="DT735" s="317"/>
    </row>
    <row r="736" spans="17:124" s="277" customFormat="1" ht="12.75" customHeight="1">
      <c r="Q736" s="342"/>
      <c r="AB736" s="342"/>
      <c r="AK736" s="317"/>
      <c r="AL736" s="317"/>
      <c r="AQ736" s="363"/>
      <c r="AR736" s="364"/>
      <c r="AV736" s="344"/>
      <c r="CJ736" s="344"/>
      <c r="CU736" s="344"/>
      <c r="DI736" s="342"/>
      <c r="DK736" s="317"/>
      <c r="DS736" s="317"/>
      <c r="DT736" s="317"/>
    </row>
    <row r="737" spans="17:124" s="277" customFormat="1" ht="12.75" customHeight="1">
      <c r="Q737" s="342"/>
      <c r="AB737" s="342"/>
      <c r="AK737" s="317"/>
      <c r="AL737" s="317"/>
      <c r="AQ737" s="363"/>
      <c r="AR737" s="364"/>
      <c r="AV737" s="344"/>
      <c r="CJ737" s="344"/>
      <c r="CU737" s="344"/>
      <c r="DI737" s="342"/>
      <c r="DK737" s="317"/>
      <c r="DS737" s="317"/>
      <c r="DT737" s="317"/>
    </row>
    <row r="738" spans="17:124" s="277" customFormat="1" ht="12.75" customHeight="1">
      <c r="Q738" s="342"/>
      <c r="AB738" s="342"/>
      <c r="AK738" s="317"/>
      <c r="AL738" s="317"/>
      <c r="AQ738" s="363"/>
      <c r="AR738" s="364"/>
      <c r="AV738" s="344"/>
      <c r="CJ738" s="344"/>
      <c r="CU738" s="344"/>
      <c r="DI738" s="342"/>
      <c r="DK738" s="317"/>
      <c r="DS738" s="317"/>
      <c r="DT738" s="317"/>
    </row>
    <row r="739" spans="17:124" s="277" customFormat="1" ht="12.75" customHeight="1">
      <c r="Q739" s="342"/>
      <c r="AB739" s="342"/>
      <c r="AK739" s="317"/>
      <c r="AL739" s="317"/>
      <c r="AQ739" s="363"/>
      <c r="AR739" s="364"/>
      <c r="AV739" s="344"/>
      <c r="CJ739" s="344"/>
      <c r="CU739" s="344"/>
      <c r="DI739" s="342"/>
      <c r="DK739" s="317"/>
      <c r="DS739" s="317"/>
      <c r="DT739" s="317"/>
    </row>
    <row r="740" spans="17:124" s="277" customFormat="1" ht="12.75" customHeight="1">
      <c r="Q740" s="342"/>
      <c r="AB740" s="342"/>
      <c r="AK740" s="317"/>
      <c r="AL740" s="317"/>
      <c r="AQ740" s="363"/>
      <c r="AR740" s="364"/>
      <c r="AV740" s="344"/>
      <c r="CJ740" s="344"/>
      <c r="CU740" s="344"/>
      <c r="DI740" s="342"/>
      <c r="DK740" s="317"/>
      <c r="DS740" s="317"/>
      <c r="DT740" s="317"/>
    </row>
    <row r="741" spans="17:124" s="277" customFormat="1" ht="12.75" customHeight="1">
      <c r="Q741" s="342"/>
      <c r="AB741" s="342"/>
      <c r="AK741" s="317"/>
      <c r="AL741" s="317"/>
      <c r="AQ741" s="363"/>
      <c r="AR741" s="364"/>
      <c r="AV741" s="344"/>
      <c r="CJ741" s="344"/>
      <c r="CU741" s="344"/>
      <c r="DI741" s="342"/>
      <c r="DK741" s="317"/>
      <c r="DS741" s="317"/>
      <c r="DT741" s="317"/>
    </row>
    <row r="742" spans="17:124" s="277" customFormat="1" ht="12.75" customHeight="1">
      <c r="Q742" s="342"/>
      <c r="AB742" s="342"/>
      <c r="AK742" s="317"/>
      <c r="AL742" s="317"/>
      <c r="AQ742" s="363"/>
      <c r="AR742" s="364"/>
      <c r="AV742" s="344"/>
      <c r="CJ742" s="344"/>
      <c r="CU742" s="344"/>
      <c r="DI742" s="342"/>
      <c r="DK742" s="317"/>
      <c r="DS742" s="317"/>
      <c r="DT742" s="317"/>
    </row>
    <row r="743" spans="17:124" s="277" customFormat="1" ht="12.75" customHeight="1">
      <c r="Q743" s="342"/>
      <c r="AB743" s="342"/>
      <c r="AK743" s="317"/>
      <c r="AL743" s="317"/>
      <c r="AQ743" s="363"/>
      <c r="AR743" s="364"/>
      <c r="AV743" s="344"/>
      <c r="CJ743" s="344"/>
      <c r="CU743" s="344"/>
      <c r="DI743" s="342"/>
      <c r="DK743" s="317"/>
      <c r="DS743" s="317"/>
      <c r="DT743" s="317"/>
    </row>
    <row r="744" spans="17:124" s="277" customFormat="1" ht="12.75" customHeight="1">
      <c r="Q744" s="342"/>
      <c r="AB744" s="342"/>
      <c r="AK744" s="317"/>
      <c r="AL744" s="317"/>
      <c r="AQ744" s="363"/>
      <c r="AR744" s="364"/>
      <c r="AV744" s="344"/>
      <c r="CJ744" s="344"/>
      <c r="CU744" s="344"/>
      <c r="DI744" s="342"/>
      <c r="DK744" s="317"/>
      <c r="DS744" s="317"/>
      <c r="DT744" s="317"/>
    </row>
    <row r="745" spans="17:124" s="277" customFormat="1" ht="12.75" customHeight="1">
      <c r="Q745" s="342"/>
      <c r="AB745" s="342"/>
      <c r="AK745" s="317"/>
      <c r="AL745" s="317"/>
      <c r="AQ745" s="363"/>
      <c r="AR745" s="364"/>
      <c r="AV745" s="344"/>
      <c r="CJ745" s="344"/>
      <c r="CU745" s="344"/>
      <c r="DI745" s="342"/>
      <c r="DK745" s="317"/>
      <c r="DS745" s="317"/>
      <c r="DT745" s="317"/>
    </row>
    <row r="746" spans="17:124" s="277" customFormat="1" ht="12.75" customHeight="1">
      <c r="Q746" s="342"/>
      <c r="AB746" s="342"/>
      <c r="AK746" s="317"/>
      <c r="AL746" s="317"/>
      <c r="AQ746" s="363"/>
      <c r="AR746" s="364"/>
      <c r="AV746" s="344"/>
      <c r="CJ746" s="344"/>
      <c r="CU746" s="344"/>
      <c r="DI746" s="342"/>
      <c r="DK746" s="344"/>
      <c r="DS746" s="317"/>
      <c r="DT746" s="317"/>
    </row>
    <row r="747" spans="17:124" s="277" customFormat="1" ht="12.75" customHeight="1">
      <c r="Q747" s="342"/>
      <c r="AB747" s="342"/>
      <c r="AK747" s="317"/>
      <c r="AL747" s="317"/>
      <c r="AQ747" s="363"/>
      <c r="AR747" s="364"/>
      <c r="AV747" s="344"/>
      <c r="CJ747" s="344"/>
      <c r="CU747" s="344"/>
      <c r="DI747" s="342"/>
      <c r="DK747" s="344"/>
      <c r="DS747" s="317"/>
      <c r="DT747" s="317"/>
    </row>
    <row r="748" spans="17:124" s="277" customFormat="1" ht="12.75" customHeight="1">
      <c r="Q748" s="342"/>
      <c r="AB748" s="342"/>
      <c r="AK748" s="317"/>
      <c r="AL748" s="317"/>
      <c r="AQ748" s="363"/>
      <c r="AR748" s="364"/>
      <c r="AV748" s="344"/>
      <c r="CJ748" s="344"/>
      <c r="CU748" s="344"/>
      <c r="DI748" s="342"/>
      <c r="DK748" s="344"/>
      <c r="DS748" s="317"/>
      <c r="DT748" s="317"/>
    </row>
    <row r="749" spans="17:124" s="277" customFormat="1" ht="12.75" customHeight="1">
      <c r="Q749" s="342"/>
      <c r="AB749" s="342"/>
      <c r="AK749" s="317"/>
      <c r="AL749" s="317"/>
      <c r="AQ749" s="363"/>
      <c r="AR749" s="364"/>
      <c r="AV749" s="344"/>
      <c r="CJ749" s="344"/>
      <c r="CU749" s="344"/>
      <c r="DI749" s="342"/>
      <c r="DK749" s="344"/>
      <c r="DS749" s="317"/>
      <c r="DT749" s="317"/>
    </row>
    <row r="750" spans="17:124" s="277" customFormat="1" ht="12.75" customHeight="1">
      <c r="Q750" s="342"/>
      <c r="AB750" s="342"/>
      <c r="AK750" s="317"/>
      <c r="AL750" s="317"/>
      <c r="AQ750" s="363"/>
      <c r="AR750" s="364"/>
      <c r="AV750" s="344"/>
      <c r="CJ750" s="344"/>
      <c r="CU750" s="344"/>
      <c r="DI750" s="342"/>
      <c r="DK750" s="344"/>
      <c r="DS750" s="317"/>
      <c r="DT750" s="317"/>
    </row>
    <row r="751" spans="17:124" s="277" customFormat="1" ht="12.75" customHeight="1">
      <c r="Q751" s="342"/>
      <c r="AB751" s="342"/>
      <c r="AK751" s="317"/>
      <c r="AL751" s="317"/>
      <c r="AQ751" s="363"/>
      <c r="AR751" s="364"/>
      <c r="AV751" s="344"/>
      <c r="CJ751" s="344"/>
      <c r="CU751" s="344"/>
      <c r="DI751" s="342"/>
      <c r="DK751" s="344"/>
      <c r="DS751" s="317"/>
      <c r="DT751" s="317"/>
    </row>
    <row r="752" spans="17:124" s="277" customFormat="1" ht="12.75" customHeight="1">
      <c r="Q752" s="342"/>
      <c r="AB752" s="342"/>
      <c r="AK752" s="317"/>
      <c r="AL752" s="317"/>
      <c r="AQ752" s="363"/>
      <c r="AR752" s="364"/>
      <c r="AV752" s="344"/>
      <c r="CJ752" s="344"/>
      <c r="CU752" s="344"/>
      <c r="DI752" s="342"/>
      <c r="DK752" s="344"/>
      <c r="DS752" s="317"/>
      <c r="DT752" s="317"/>
    </row>
    <row r="753" spans="17:124" s="277" customFormat="1" ht="12.75" customHeight="1">
      <c r="Q753" s="342"/>
      <c r="AB753" s="342"/>
      <c r="AK753" s="317"/>
      <c r="AL753" s="317"/>
      <c r="AQ753" s="363"/>
      <c r="AR753" s="364"/>
      <c r="AV753" s="344"/>
      <c r="CJ753" s="344"/>
      <c r="CU753" s="344"/>
      <c r="DI753" s="342"/>
      <c r="DK753" s="344"/>
      <c r="DS753" s="317"/>
      <c r="DT753" s="317"/>
    </row>
    <row r="754" spans="17:124" s="277" customFormat="1" ht="12.75" customHeight="1">
      <c r="Q754" s="342"/>
      <c r="AB754" s="342"/>
      <c r="AK754" s="317"/>
      <c r="AL754" s="317"/>
      <c r="AQ754" s="363"/>
      <c r="AR754" s="364"/>
      <c r="AV754" s="344"/>
      <c r="CJ754" s="344"/>
      <c r="CU754" s="344"/>
      <c r="DI754" s="342"/>
      <c r="DK754" s="344"/>
      <c r="DS754" s="317"/>
      <c r="DT754" s="317"/>
    </row>
    <row r="755" spans="17:124" s="277" customFormat="1" ht="12.75" customHeight="1">
      <c r="Q755" s="342"/>
      <c r="AB755" s="342"/>
      <c r="AK755" s="317"/>
      <c r="AL755" s="317"/>
      <c r="AQ755" s="363"/>
      <c r="AR755" s="364"/>
      <c r="AV755" s="344"/>
      <c r="CJ755" s="344"/>
      <c r="CU755" s="344"/>
      <c r="DI755" s="342"/>
      <c r="DK755" s="344"/>
      <c r="DS755" s="317"/>
      <c r="DT755" s="317"/>
    </row>
    <row r="756" spans="17:124" s="277" customFormat="1" ht="12.75" customHeight="1">
      <c r="Q756" s="342"/>
      <c r="AB756" s="342"/>
      <c r="AK756" s="317"/>
      <c r="AL756" s="317"/>
      <c r="AQ756" s="363"/>
      <c r="AR756" s="364"/>
      <c r="AV756" s="344"/>
      <c r="CJ756" s="344"/>
      <c r="CU756" s="344"/>
      <c r="DI756" s="342"/>
      <c r="DK756" s="344"/>
      <c r="DS756" s="317"/>
      <c r="DT756" s="317"/>
    </row>
    <row r="757" spans="17:124" s="277" customFormat="1" ht="12.75" customHeight="1">
      <c r="Q757" s="342"/>
      <c r="AB757" s="342"/>
      <c r="AK757" s="317"/>
      <c r="AL757" s="317"/>
      <c r="AQ757" s="363"/>
      <c r="AR757" s="364"/>
      <c r="AV757" s="344"/>
      <c r="CJ757" s="344"/>
      <c r="CU757" s="344"/>
      <c r="DI757" s="342"/>
      <c r="DK757" s="344"/>
      <c r="DS757" s="317"/>
      <c r="DT757" s="317"/>
    </row>
    <row r="758" spans="17:124" s="277" customFormat="1" ht="12.75" customHeight="1">
      <c r="Q758" s="342"/>
      <c r="AB758" s="342"/>
      <c r="AK758" s="317"/>
      <c r="AL758" s="317"/>
      <c r="AQ758" s="363"/>
      <c r="AR758" s="364"/>
      <c r="AV758" s="344"/>
      <c r="CJ758" s="344"/>
      <c r="CU758" s="344"/>
      <c r="DI758" s="342"/>
      <c r="DK758" s="344"/>
      <c r="DS758" s="317"/>
      <c r="DT758" s="317"/>
    </row>
    <row r="759" spans="17:124" s="277" customFormat="1" ht="12.75" customHeight="1">
      <c r="Q759" s="342"/>
      <c r="AB759" s="342"/>
      <c r="AK759" s="317"/>
      <c r="AL759" s="317"/>
      <c r="AQ759" s="363"/>
      <c r="AR759" s="364"/>
      <c r="AV759" s="344"/>
      <c r="CJ759" s="344"/>
      <c r="CU759" s="344"/>
      <c r="DI759" s="342"/>
      <c r="DK759" s="344"/>
      <c r="DS759" s="317"/>
      <c r="DT759" s="317"/>
    </row>
    <row r="760" spans="17:124" s="277" customFormat="1" ht="12.75" customHeight="1">
      <c r="Q760" s="342"/>
      <c r="AB760" s="342"/>
      <c r="AK760" s="317"/>
      <c r="AL760" s="317"/>
      <c r="AQ760" s="363"/>
      <c r="AR760" s="364"/>
      <c r="AV760" s="344"/>
      <c r="CJ760" s="344"/>
      <c r="CU760" s="344"/>
      <c r="DI760" s="342"/>
      <c r="DK760" s="344"/>
      <c r="DS760" s="317"/>
      <c r="DT760" s="317"/>
    </row>
    <row r="761" spans="17:124" s="277" customFormat="1" ht="12.75" customHeight="1">
      <c r="Q761" s="342"/>
      <c r="AB761" s="342"/>
      <c r="AK761" s="317"/>
      <c r="AL761" s="317"/>
      <c r="AQ761" s="363"/>
      <c r="AR761" s="364"/>
      <c r="AV761" s="344"/>
      <c r="CJ761" s="344"/>
      <c r="CU761" s="344"/>
      <c r="DI761" s="342"/>
      <c r="DK761" s="344"/>
      <c r="DS761" s="317"/>
      <c r="DT761" s="317"/>
    </row>
    <row r="762" spans="17:124" s="277" customFormat="1" ht="12.75" customHeight="1">
      <c r="Q762" s="342"/>
      <c r="AB762" s="342"/>
      <c r="AK762" s="317"/>
      <c r="AL762" s="317"/>
      <c r="AQ762" s="363"/>
      <c r="AR762" s="364"/>
      <c r="AV762" s="344"/>
      <c r="CJ762" s="344"/>
      <c r="CU762" s="344"/>
      <c r="DI762" s="342"/>
      <c r="DK762" s="344"/>
      <c r="DS762" s="317"/>
      <c r="DT762" s="317"/>
    </row>
    <row r="763" spans="17:124" s="277" customFormat="1" ht="12.75" customHeight="1">
      <c r="Q763" s="342"/>
      <c r="AB763" s="342"/>
      <c r="AK763" s="317"/>
      <c r="AL763" s="317"/>
      <c r="AQ763" s="363"/>
      <c r="AR763" s="364"/>
      <c r="AV763" s="344"/>
      <c r="CJ763" s="344"/>
      <c r="CU763" s="344"/>
      <c r="DI763" s="342"/>
      <c r="DK763" s="344"/>
      <c r="DS763" s="317"/>
      <c r="DT763" s="317"/>
    </row>
    <row r="764" spans="17:124" s="277" customFormat="1" ht="12.75" customHeight="1">
      <c r="Q764" s="342"/>
      <c r="AB764" s="342"/>
      <c r="AK764" s="317"/>
      <c r="AL764" s="317"/>
      <c r="AQ764" s="363"/>
      <c r="AR764" s="364"/>
      <c r="AV764" s="344"/>
      <c r="CJ764" s="344"/>
      <c r="CU764" s="344"/>
      <c r="DI764" s="342"/>
      <c r="DK764" s="344"/>
      <c r="DS764" s="317"/>
      <c r="DT764" s="317"/>
    </row>
    <row r="765" spans="17:124" s="277" customFormat="1" ht="12.75" customHeight="1">
      <c r="Q765" s="342"/>
      <c r="AB765" s="342"/>
      <c r="AK765" s="317"/>
      <c r="AL765" s="317"/>
      <c r="AQ765" s="363"/>
      <c r="AR765" s="364"/>
      <c r="AV765" s="344"/>
      <c r="CJ765" s="344"/>
      <c r="CU765" s="344"/>
      <c r="DI765" s="342"/>
      <c r="DK765" s="344"/>
      <c r="DS765" s="317"/>
      <c r="DT765" s="317"/>
    </row>
    <row r="766" spans="17:124" s="277" customFormat="1" ht="12.75" customHeight="1">
      <c r="Q766" s="342"/>
      <c r="AB766" s="342"/>
      <c r="AK766" s="317"/>
      <c r="AL766" s="317"/>
      <c r="AQ766" s="363"/>
      <c r="AR766" s="364"/>
      <c r="AV766" s="344"/>
      <c r="CJ766" s="344"/>
      <c r="CU766" s="344"/>
      <c r="DI766" s="342"/>
      <c r="DK766" s="344"/>
      <c r="DS766" s="317"/>
      <c r="DT766" s="317"/>
    </row>
    <row r="767" spans="17:124" s="277" customFormat="1" ht="12.75" customHeight="1">
      <c r="Q767" s="342"/>
      <c r="AB767" s="342"/>
      <c r="AK767" s="317"/>
      <c r="AL767" s="317"/>
      <c r="AQ767" s="363"/>
      <c r="AR767" s="364"/>
      <c r="AV767" s="344"/>
      <c r="CJ767" s="344"/>
      <c r="CU767" s="344"/>
      <c r="DI767" s="342"/>
      <c r="DK767" s="344"/>
      <c r="DS767" s="317"/>
      <c r="DT767" s="317"/>
    </row>
    <row r="768" spans="17:124" s="277" customFormat="1" ht="12.75" customHeight="1">
      <c r="Q768" s="342"/>
      <c r="AB768" s="342"/>
      <c r="AK768" s="317"/>
      <c r="AL768" s="317"/>
      <c r="AQ768" s="363"/>
      <c r="AR768" s="364"/>
      <c r="AV768" s="344"/>
      <c r="CJ768" s="344"/>
      <c r="CU768" s="344"/>
      <c r="DI768" s="342"/>
      <c r="DK768" s="344"/>
      <c r="DS768" s="317"/>
      <c r="DT768" s="317"/>
    </row>
    <row r="769" spans="17:124" s="277" customFormat="1" ht="12.75" customHeight="1">
      <c r="Q769" s="342"/>
      <c r="AB769" s="342"/>
      <c r="AK769" s="317"/>
      <c r="AL769" s="317"/>
      <c r="AQ769" s="363"/>
      <c r="AR769" s="364"/>
      <c r="AV769" s="344"/>
      <c r="CJ769" s="344"/>
      <c r="CU769" s="344"/>
      <c r="DI769" s="342"/>
      <c r="DK769" s="344"/>
      <c r="DS769" s="317"/>
      <c r="DT769" s="317"/>
    </row>
    <row r="770" spans="17:124" s="277" customFormat="1" ht="12.75" customHeight="1">
      <c r="Q770" s="342"/>
      <c r="AB770" s="342"/>
      <c r="AK770" s="317"/>
      <c r="AL770" s="317"/>
      <c r="AQ770" s="363"/>
      <c r="AR770" s="364"/>
      <c r="AV770" s="344"/>
      <c r="CJ770" s="344"/>
      <c r="CU770" s="344"/>
      <c r="DI770" s="342"/>
      <c r="DK770" s="344"/>
      <c r="DS770" s="317"/>
      <c r="DT770" s="317"/>
    </row>
    <row r="771" spans="17:124" s="277" customFormat="1" ht="12.75" customHeight="1">
      <c r="Q771" s="342"/>
      <c r="AB771" s="342"/>
      <c r="AK771" s="317"/>
      <c r="AL771" s="317"/>
      <c r="AQ771" s="363"/>
      <c r="AR771" s="364"/>
      <c r="AV771" s="344"/>
      <c r="CJ771" s="344"/>
      <c r="CU771" s="344"/>
      <c r="DI771" s="342"/>
      <c r="DK771" s="344"/>
      <c r="DS771" s="317"/>
      <c r="DT771" s="317"/>
    </row>
    <row r="772" spans="17:124" s="277" customFormat="1" ht="12.75" customHeight="1">
      <c r="Q772" s="342"/>
      <c r="AB772" s="342"/>
      <c r="AK772" s="317"/>
      <c r="AL772" s="317"/>
      <c r="AQ772" s="363"/>
      <c r="AR772" s="364"/>
      <c r="AV772" s="344"/>
      <c r="CJ772" s="344"/>
      <c r="CU772" s="344"/>
      <c r="DI772" s="342"/>
      <c r="DK772" s="344"/>
      <c r="DS772" s="317"/>
      <c r="DT772" s="317"/>
    </row>
    <row r="773" spans="17:124" s="277" customFormat="1" ht="12.75" customHeight="1">
      <c r="Q773" s="342"/>
      <c r="AB773" s="342"/>
      <c r="AK773" s="317"/>
      <c r="AL773" s="317"/>
      <c r="AQ773" s="363"/>
      <c r="AR773" s="364"/>
      <c r="AV773" s="344"/>
      <c r="CJ773" s="344"/>
      <c r="CU773" s="344"/>
      <c r="DI773" s="342"/>
      <c r="DK773" s="344"/>
      <c r="DS773" s="317"/>
      <c r="DT773" s="317"/>
    </row>
    <row r="774" spans="17:124" s="277" customFormat="1" ht="12.75" customHeight="1">
      <c r="Q774" s="342"/>
      <c r="AB774" s="342"/>
      <c r="AK774" s="317"/>
      <c r="AL774" s="317"/>
      <c r="AQ774" s="363"/>
      <c r="AR774" s="364"/>
      <c r="AV774" s="344"/>
      <c r="CJ774" s="344"/>
      <c r="CU774" s="344"/>
      <c r="DI774" s="342"/>
      <c r="DK774" s="344"/>
      <c r="DS774" s="317"/>
      <c r="DT774" s="317"/>
    </row>
    <row r="775" spans="17:124" s="277" customFormat="1" ht="12.75" customHeight="1">
      <c r="Q775" s="342"/>
      <c r="AB775" s="342"/>
      <c r="AK775" s="317"/>
      <c r="AL775" s="317"/>
      <c r="AQ775" s="363"/>
      <c r="AR775" s="364"/>
      <c r="AV775" s="344"/>
      <c r="CJ775" s="344"/>
      <c r="CU775" s="344"/>
      <c r="DI775" s="342"/>
      <c r="DK775" s="344"/>
      <c r="DS775" s="317"/>
      <c r="DT775" s="317"/>
    </row>
    <row r="776" spans="17:124" s="277" customFormat="1" ht="12.75" customHeight="1">
      <c r="Q776" s="342"/>
      <c r="AB776" s="342"/>
      <c r="AK776" s="317"/>
      <c r="AL776" s="317"/>
      <c r="AQ776" s="363"/>
      <c r="AR776" s="364"/>
      <c r="AV776" s="344"/>
      <c r="CJ776" s="344"/>
      <c r="CU776" s="344"/>
      <c r="DI776" s="342"/>
      <c r="DK776" s="344"/>
      <c r="DS776" s="317"/>
      <c r="DT776" s="317"/>
    </row>
    <row r="777" spans="17:124" s="277" customFormat="1" ht="12.75" customHeight="1">
      <c r="Q777" s="342"/>
      <c r="AB777" s="342"/>
      <c r="AK777" s="317"/>
      <c r="AL777" s="317"/>
      <c r="AQ777" s="363"/>
      <c r="AR777" s="364"/>
      <c r="AV777" s="344"/>
      <c r="CJ777" s="344"/>
      <c r="CU777" s="344"/>
      <c r="DI777" s="342"/>
      <c r="DK777" s="344"/>
      <c r="DS777" s="317"/>
      <c r="DT777" s="317"/>
    </row>
    <row r="778" spans="17:124" s="277" customFormat="1" ht="12.75" customHeight="1">
      <c r="Q778" s="342"/>
      <c r="AB778" s="342"/>
      <c r="AK778" s="317"/>
      <c r="AL778" s="317"/>
      <c r="AQ778" s="363"/>
      <c r="AR778" s="364"/>
      <c r="AV778" s="344"/>
      <c r="CJ778" s="344"/>
      <c r="CU778" s="344"/>
      <c r="DI778" s="342"/>
      <c r="DK778" s="344"/>
      <c r="DS778" s="317"/>
      <c r="DT778" s="317"/>
    </row>
    <row r="779" spans="17:124" s="277" customFormat="1" ht="12.75" customHeight="1">
      <c r="Q779" s="342"/>
      <c r="AB779" s="342"/>
      <c r="AK779" s="317"/>
      <c r="AL779" s="317"/>
      <c r="AQ779" s="363"/>
      <c r="AR779" s="364"/>
      <c r="AV779" s="344"/>
      <c r="CJ779" s="344"/>
      <c r="CU779" s="344"/>
      <c r="DI779" s="342"/>
      <c r="DK779" s="344"/>
      <c r="DS779" s="317"/>
      <c r="DT779" s="317"/>
    </row>
    <row r="780" spans="17:124" s="277" customFormat="1" ht="12.75" customHeight="1">
      <c r="Q780" s="342"/>
      <c r="AB780" s="342"/>
      <c r="AK780" s="317"/>
      <c r="AL780" s="317"/>
      <c r="AQ780" s="363"/>
      <c r="AR780" s="364"/>
      <c r="AV780" s="344"/>
      <c r="CJ780" s="344"/>
      <c r="CU780" s="344"/>
      <c r="DI780" s="342"/>
      <c r="DK780" s="344"/>
      <c r="DS780" s="317"/>
      <c r="DT780" s="317"/>
    </row>
    <row r="781" spans="17:124" s="277" customFormat="1" ht="12.75" customHeight="1">
      <c r="Q781" s="342"/>
      <c r="AB781" s="342"/>
      <c r="AK781" s="317"/>
      <c r="AL781" s="317"/>
      <c r="AQ781" s="363"/>
      <c r="AR781" s="364"/>
      <c r="AV781" s="344"/>
      <c r="CJ781" s="344"/>
      <c r="CU781" s="344"/>
      <c r="DI781" s="342"/>
      <c r="DK781" s="344"/>
      <c r="DS781" s="317"/>
      <c r="DT781" s="317"/>
    </row>
    <row r="782" spans="17:124" s="277" customFormat="1" ht="12.75" customHeight="1">
      <c r="Q782" s="342"/>
      <c r="AB782" s="342"/>
      <c r="AK782" s="317"/>
      <c r="AL782" s="317"/>
      <c r="AQ782" s="363"/>
      <c r="AR782" s="364"/>
      <c r="AV782" s="344"/>
      <c r="CJ782" s="344"/>
      <c r="CU782" s="344"/>
      <c r="DI782" s="342"/>
      <c r="DK782" s="344"/>
      <c r="DS782" s="317"/>
      <c r="DT782" s="317"/>
    </row>
    <row r="783" spans="17:124" s="277" customFormat="1" ht="12.75" customHeight="1">
      <c r="Q783" s="342"/>
      <c r="AB783" s="342"/>
      <c r="AK783" s="317"/>
      <c r="AL783" s="317"/>
      <c r="AQ783" s="363"/>
      <c r="AR783" s="364"/>
      <c r="AV783" s="344"/>
      <c r="CJ783" s="344"/>
      <c r="CU783" s="344"/>
      <c r="DI783" s="342"/>
      <c r="DK783" s="344"/>
      <c r="DS783" s="317"/>
      <c r="DT783" s="317"/>
    </row>
    <row r="784" spans="17:124" s="277" customFormat="1" ht="12.75" customHeight="1">
      <c r="Q784" s="342"/>
      <c r="AB784" s="342"/>
      <c r="AK784" s="317"/>
      <c r="AL784" s="317"/>
      <c r="AQ784" s="363"/>
      <c r="AR784" s="364"/>
      <c r="AV784" s="344"/>
      <c r="CJ784" s="344"/>
      <c r="CU784" s="344"/>
      <c r="DI784" s="342"/>
      <c r="DK784" s="344"/>
      <c r="DS784" s="317"/>
      <c r="DT784" s="317"/>
    </row>
    <row r="785" spans="17:124" s="277" customFormat="1" ht="12.75" customHeight="1">
      <c r="Q785" s="342"/>
      <c r="AB785" s="342"/>
      <c r="AK785" s="317"/>
      <c r="AL785" s="317"/>
      <c r="AQ785" s="363"/>
      <c r="AR785" s="364"/>
      <c r="AV785" s="344"/>
      <c r="CJ785" s="344"/>
      <c r="CU785" s="344"/>
      <c r="DI785" s="342"/>
      <c r="DK785" s="344"/>
      <c r="DS785" s="317"/>
      <c r="DT785" s="317"/>
    </row>
    <row r="786" spans="17:124" s="277" customFormat="1" ht="12.75" customHeight="1">
      <c r="Q786" s="342"/>
      <c r="AB786" s="342"/>
      <c r="AK786" s="317"/>
      <c r="AL786" s="317"/>
      <c r="AQ786" s="363"/>
      <c r="AR786" s="364"/>
      <c r="AV786" s="344"/>
      <c r="CJ786" s="344"/>
      <c r="CU786" s="344"/>
      <c r="DI786" s="342"/>
      <c r="DK786" s="344"/>
      <c r="DS786" s="317"/>
      <c r="DT786" s="317"/>
    </row>
    <row r="787" spans="17:124" s="277" customFormat="1" ht="12.75" customHeight="1">
      <c r="Q787" s="342"/>
      <c r="AB787" s="342"/>
      <c r="AK787" s="317"/>
      <c r="AL787" s="317"/>
      <c r="AQ787" s="363"/>
      <c r="AR787" s="364"/>
      <c r="AV787" s="344"/>
      <c r="CJ787" s="344"/>
      <c r="CU787" s="344"/>
      <c r="DI787" s="342"/>
      <c r="DK787" s="344"/>
      <c r="DS787" s="317"/>
      <c r="DT787" s="317"/>
    </row>
    <row r="788" spans="17:124" s="277" customFormat="1" ht="12.75" customHeight="1">
      <c r="Q788" s="342"/>
      <c r="AB788" s="342"/>
      <c r="AK788" s="317"/>
      <c r="AL788" s="317"/>
      <c r="AQ788" s="363"/>
      <c r="AR788" s="364"/>
      <c r="AV788" s="344"/>
      <c r="CJ788" s="344"/>
      <c r="CU788" s="344"/>
      <c r="DI788" s="342"/>
      <c r="DK788" s="344"/>
      <c r="DS788" s="317"/>
      <c r="DT788" s="317"/>
    </row>
    <row r="789" spans="17:124" s="277" customFormat="1" ht="12.75" customHeight="1">
      <c r="Q789" s="342"/>
      <c r="AB789" s="342"/>
      <c r="AK789" s="317"/>
      <c r="AL789" s="317"/>
      <c r="AQ789" s="363"/>
      <c r="AR789" s="364"/>
      <c r="AV789" s="344"/>
      <c r="CJ789" s="344"/>
      <c r="CU789" s="344"/>
      <c r="DI789" s="342"/>
      <c r="DK789" s="344"/>
      <c r="DS789" s="317"/>
      <c r="DT789" s="317"/>
    </row>
    <row r="790" spans="17:124" s="277" customFormat="1" ht="12.75" customHeight="1">
      <c r="Q790" s="342"/>
      <c r="AB790" s="342"/>
      <c r="AK790" s="317"/>
      <c r="AL790" s="317"/>
      <c r="AQ790" s="363"/>
      <c r="AR790" s="364"/>
      <c r="AV790" s="344"/>
      <c r="CJ790" s="344"/>
      <c r="CU790" s="344"/>
      <c r="DI790" s="342"/>
      <c r="DK790" s="344"/>
      <c r="DS790" s="317"/>
      <c r="DT790" s="317"/>
    </row>
    <row r="791" spans="17:124" s="277" customFormat="1" ht="12.75" customHeight="1">
      <c r="Q791" s="342"/>
      <c r="AB791" s="342"/>
      <c r="AK791" s="317"/>
      <c r="AL791" s="317"/>
      <c r="AQ791" s="363"/>
      <c r="AR791" s="364"/>
      <c r="AV791" s="344"/>
      <c r="CJ791" s="344"/>
      <c r="CU791" s="344"/>
      <c r="DI791" s="342"/>
      <c r="DK791" s="344"/>
      <c r="DS791" s="317"/>
      <c r="DT791" s="317"/>
    </row>
    <row r="792" spans="17:124" s="277" customFormat="1" ht="12.75" customHeight="1">
      <c r="Q792" s="342"/>
      <c r="AB792" s="342"/>
      <c r="AK792" s="317"/>
      <c r="AL792" s="317"/>
      <c r="AQ792" s="363"/>
      <c r="AR792" s="364"/>
      <c r="AV792" s="344"/>
      <c r="CJ792" s="344"/>
      <c r="CU792" s="344"/>
      <c r="DI792" s="342"/>
      <c r="DK792" s="344"/>
      <c r="DS792" s="317"/>
      <c r="DT792" s="317"/>
    </row>
    <row r="793" spans="17:124" s="277" customFormat="1" ht="12.75" customHeight="1">
      <c r="Q793" s="342"/>
      <c r="AB793" s="342"/>
      <c r="AK793" s="317"/>
      <c r="AL793" s="317"/>
      <c r="AQ793" s="363"/>
      <c r="AR793" s="364"/>
      <c r="AV793" s="344"/>
      <c r="CJ793" s="344"/>
      <c r="CU793" s="344"/>
      <c r="DI793" s="342"/>
      <c r="DK793" s="344"/>
      <c r="DS793" s="317"/>
      <c r="DT793" s="317"/>
    </row>
    <row r="794" spans="17:124" s="277" customFormat="1" ht="12.75" customHeight="1">
      <c r="Q794" s="342"/>
      <c r="AB794" s="342"/>
      <c r="AK794" s="317"/>
      <c r="AL794" s="317"/>
      <c r="AQ794" s="363"/>
      <c r="AR794" s="364"/>
      <c r="AV794" s="344"/>
      <c r="CJ794" s="344"/>
      <c r="CU794" s="344"/>
      <c r="DI794" s="342"/>
      <c r="DK794" s="344"/>
      <c r="DS794" s="317"/>
      <c r="DT794" s="317"/>
    </row>
    <row r="795" spans="17:124" s="277" customFormat="1" ht="12.75" customHeight="1">
      <c r="Q795" s="342"/>
      <c r="AB795" s="342"/>
      <c r="AK795" s="317"/>
      <c r="AL795" s="317"/>
      <c r="AQ795" s="363"/>
      <c r="AR795" s="364"/>
      <c r="AV795" s="344"/>
      <c r="CJ795" s="344"/>
      <c r="CU795" s="344"/>
      <c r="DI795" s="342"/>
      <c r="DK795" s="344"/>
      <c r="DS795" s="317"/>
      <c r="DT795" s="317"/>
    </row>
    <row r="796" spans="17:124" s="277" customFormat="1" ht="12.75" customHeight="1">
      <c r="Q796" s="342"/>
      <c r="AB796" s="342"/>
      <c r="AK796" s="317"/>
      <c r="AL796" s="317"/>
      <c r="AQ796" s="363"/>
      <c r="AR796" s="364"/>
      <c r="AV796" s="344"/>
      <c r="CJ796" s="344"/>
      <c r="CU796" s="344"/>
      <c r="DI796" s="342"/>
      <c r="DK796" s="344"/>
      <c r="DS796" s="317"/>
      <c r="DT796" s="317"/>
    </row>
    <row r="797" spans="17:124" s="277" customFormat="1" ht="12.75" customHeight="1">
      <c r="Q797" s="342"/>
      <c r="AB797" s="342"/>
      <c r="AK797" s="317"/>
      <c r="AL797" s="317"/>
      <c r="AQ797" s="363"/>
      <c r="AR797" s="364"/>
      <c r="AV797" s="344"/>
      <c r="CJ797" s="344"/>
      <c r="CU797" s="344"/>
      <c r="DI797" s="342"/>
      <c r="DK797" s="344"/>
      <c r="DS797" s="317"/>
      <c r="DT797" s="317"/>
    </row>
    <row r="798" spans="17:124" s="277" customFormat="1" ht="12.75" customHeight="1">
      <c r="Q798" s="342"/>
      <c r="AB798" s="342"/>
      <c r="AK798" s="317"/>
      <c r="AL798" s="317"/>
      <c r="AQ798" s="363"/>
      <c r="AR798" s="364"/>
      <c r="AV798" s="344"/>
      <c r="CJ798" s="344"/>
      <c r="CU798" s="344"/>
      <c r="DI798" s="342"/>
      <c r="DK798" s="344"/>
      <c r="DS798" s="317"/>
      <c r="DT798" s="317"/>
    </row>
    <row r="799" spans="17:124" s="277" customFormat="1" ht="12.75" customHeight="1">
      <c r="Q799" s="342"/>
      <c r="AB799" s="342"/>
      <c r="AK799" s="317"/>
      <c r="AL799" s="317"/>
      <c r="AQ799" s="363"/>
      <c r="AR799" s="364"/>
      <c r="AV799" s="344"/>
      <c r="CJ799" s="344"/>
      <c r="CU799" s="344"/>
      <c r="DI799" s="342"/>
      <c r="DK799" s="344"/>
      <c r="DS799" s="317"/>
      <c r="DT799" s="317"/>
    </row>
    <row r="800" spans="17:124" s="277" customFormat="1" ht="12.75" customHeight="1">
      <c r="Q800" s="342"/>
      <c r="AB800" s="342"/>
      <c r="AK800" s="317"/>
      <c r="AL800" s="317"/>
      <c r="AQ800" s="363"/>
      <c r="AR800" s="364"/>
      <c r="AV800" s="344"/>
      <c r="CJ800" s="344"/>
      <c r="CU800" s="344"/>
      <c r="DI800" s="342"/>
      <c r="DK800" s="344"/>
      <c r="DS800" s="317"/>
      <c r="DT800" s="317"/>
    </row>
    <row r="801" spans="17:124" s="277" customFormat="1" ht="12.75" customHeight="1">
      <c r="Q801" s="342"/>
      <c r="AB801" s="342"/>
      <c r="AK801" s="317"/>
      <c r="AL801" s="317"/>
      <c r="AQ801" s="363"/>
      <c r="AR801" s="364"/>
      <c r="AV801" s="344"/>
      <c r="CJ801" s="344"/>
      <c r="CU801" s="344"/>
      <c r="DI801" s="342"/>
      <c r="DK801" s="344"/>
      <c r="DS801" s="317"/>
      <c r="DT801" s="317"/>
    </row>
    <row r="802" spans="17:124" s="277" customFormat="1" ht="12.75" customHeight="1">
      <c r="Q802" s="342"/>
      <c r="AB802" s="342"/>
      <c r="AK802" s="317"/>
      <c r="AL802" s="317"/>
      <c r="AQ802" s="363"/>
      <c r="AR802" s="364"/>
      <c r="AV802" s="344"/>
      <c r="CJ802" s="344"/>
      <c r="CU802" s="344"/>
      <c r="DI802" s="342"/>
      <c r="DK802" s="344"/>
      <c r="DS802" s="317"/>
      <c r="DT802" s="317"/>
    </row>
    <row r="803" spans="17:124" s="277" customFormat="1" ht="12.75" customHeight="1">
      <c r="Q803" s="342"/>
      <c r="AB803" s="342"/>
      <c r="AK803" s="317"/>
      <c r="AL803" s="317"/>
      <c r="AQ803" s="363"/>
      <c r="AR803" s="364"/>
      <c r="AV803" s="344"/>
      <c r="CJ803" s="344"/>
      <c r="CU803" s="344"/>
      <c r="DI803" s="342"/>
      <c r="DK803" s="344"/>
      <c r="DS803" s="317"/>
      <c r="DT803" s="317"/>
    </row>
    <row r="804" spans="17:124" s="277" customFormat="1" ht="12.75" customHeight="1">
      <c r="Q804" s="342"/>
      <c r="AB804" s="342"/>
      <c r="AK804" s="317"/>
      <c r="AL804" s="317"/>
      <c r="AQ804" s="363"/>
      <c r="AR804" s="364"/>
      <c r="AV804" s="344"/>
      <c r="CJ804" s="344"/>
      <c r="CU804" s="344"/>
      <c r="DI804" s="342"/>
      <c r="DK804" s="344"/>
      <c r="DS804" s="317"/>
      <c r="DT804" s="317"/>
    </row>
    <row r="805" spans="17:124" s="277" customFormat="1" ht="12.75" customHeight="1">
      <c r="Q805" s="342"/>
      <c r="AB805" s="342"/>
      <c r="AK805" s="317"/>
      <c r="AL805" s="317"/>
      <c r="AQ805" s="363"/>
      <c r="AR805" s="364"/>
      <c r="AV805" s="344"/>
      <c r="CJ805" s="344"/>
      <c r="CU805" s="344"/>
      <c r="DI805" s="342"/>
      <c r="DK805" s="344"/>
      <c r="DS805" s="317"/>
      <c r="DT805" s="317"/>
    </row>
    <row r="806" spans="17:124" s="277" customFormat="1" ht="12.75" customHeight="1">
      <c r="Q806" s="342"/>
      <c r="AB806" s="342"/>
      <c r="AK806" s="317"/>
      <c r="AL806" s="317"/>
      <c r="AQ806" s="363"/>
      <c r="AR806" s="364"/>
      <c r="AV806" s="344"/>
      <c r="CJ806" s="344"/>
      <c r="CU806" s="344"/>
      <c r="DI806" s="342"/>
      <c r="DK806" s="344"/>
      <c r="DS806" s="317"/>
      <c r="DT806" s="317"/>
    </row>
    <row r="807" spans="17:124" s="277" customFormat="1" ht="12.75" customHeight="1">
      <c r="Q807" s="342"/>
      <c r="AB807" s="342"/>
      <c r="AK807" s="317"/>
      <c r="AL807" s="317"/>
      <c r="AQ807" s="363"/>
      <c r="AR807" s="364"/>
      <c r="AV807" s="344"/>
      <c r="CJ807" s="344"/>
      <c r="CU807" s="344"/>
      <c r="DI807" s="342"/>
      <c r="DK807" s="344"/>
      <c r="DS807" s="317"/>
      <c r="DT807" s="317"/>
    </row>
    <row r="808" spans="17:124" s="277" customFormat="1" ht="12.75" customHeight="1">
      <c r="Q808" s="342"/>
      <c r="AB808" s="342"/>
      <c r="AK808" s="317"/>
      <c r="AL808" s="317"/>
      <c r="AQ808" s="363"/>
      <c r="AR808" s="364"/>
      <c r="AV808" s="344"/>
      <c r="CJ808" s="344"/>
      <c r="CU808" s="344"/>
      <c r="DI808" s="342"/>
      <c r="DK808" s="344"/>
      <c r="DS808" s="317"/>
      <c r="DT808" s="317"/>
    </row>
    <row r="809" spans="17:124" s="277" customFormat="1" ht="12.75" customHeight="1">
      <c r="Q809" s="342"/>
      <c r="AB809" s="342"/>
      <c r="AK809" s="317"/>
      <c r="AL809" s="317"/>
      <c r="AQ809" s="363"/>
      <c r="AR809" s="364"/>
      <c r="AV809" s="344"/>
      <c r="CJ809" s="344"/>
      <c r="CU809" s="344"/>
      <c r="DI809" s="342"/>
      <c r="DK809" s="344"/>
      <c r="DS809" s="317"/>
      <c r="DT809" s="317"/>
    </row>
    <row r="810" spans="17:124" s="277" customFormat="1" ht="12.75" customHeight="1">
      <c r="Q810" s="342"/>
      <c r="AB810" s="342"/>
      <c r="AK810" s="317"/>
      <c r="AL810" s="317"/>
      <c r="AQ810" s="363"/>
      <c r="AR810" s="364"/>
      <c r="AV810" s="344"/>
      <c r="CJ810" s="344"/>
      <c r="CU810" s="344"/>
      <c r="DI810" s="342"/>
      <c r="DK810" s="344"/>
      <c r="DS810" s="317"/>
      <c r="DT810" s="317"/>
    </row>
    <row r="811" spans="17:124" s="277" customFormat="1" ht="12.75" customHeight="1">
      <c r="Q811" s="342"/>
      <c r="AB811" s="342"/>
      <c r="AK811" s="317"/>
      <c r="AL811" s="317"/>
      <c r="AQ811" s="363"/>
      <c r="AR811" s="364"/>
      <c r="AV811" s="344"/>
      <c r="CJ811" s="344"/>
      <c r="CU811" s="344"/>
      <c r="DI811" s="342"/>
      <c r="DK811" s="344"/>
      <c r="DS811" s="317"/>
      <c r="DT811" s="317"/>
    </row>
    <row r="812" spans="17:124" s="277" customFormat="1" ht="12.75" customHeight="1">
      <c r="Q812" s="342"/>
      <c r="AB812" s="342"/>
      <c r="AK812" s="317"/>
      <c r="AL812" s="317"/>
      <c r="AQ812" s="363"/>
      <c r="AR812" s="364"/>
      <c r="AV812" s="344"/>
      <c r="CJ812" s="344"/>
      <c r="CU812" s="344"/>
      <c r="DI812" s="342"/>
      <c r="DK812" s="344"/>
      <c r="DS812" s="317"/>
      <c r="DT812" s="317"/>
    </row>
    <row r="813" spans="17:124" s="277" customFormat="1" ht="12.75" customHeight="1">
      <c r="Q813" s="342"/>
      <c r="AB813" s="342"/>
      <c r="AK813" s="317"/>
      <c r="AL813" s="317"/>
      <c r="AQ813" s="363"/>
      <c r="AR813" s="364"/>
      <c r="AV813" s="344"/>
      <c r="CJ813" s="344"/>
      <c r="CU813" s="344"/>
      <c r="DI813" s="342"/>
      <c r="DK813" s="344"/>
      <c r="DS813" s="317"/>
      <c r="DT813" s="317"/>
    </row>
    <row r="814" spans="17:124" s="277" customFormat="1" ht="12.75" customHeight="1">
      <c r="Q814" s="342"/>
      <c r="AB814" s="342"/>
      <c r="AK814" s="317"/>
      <c r="AL814" s="317"/>
      <c r="AQ814" s="363"/>
      <c r="AR814" s="364"/>
      <c r="AV814" s="344"/>
      <c r="CJ814" s="344"/>
      <c r="CU814" s="344"/>
      <c r="DI814" s="342"/>
      <c r="DK814" s="344"/>
      <c r="DS814" s="317"/>
      <c r="DT814" s="317"/>
    </row>
    <row r="815" spans="17:124" s="277" customFormat="1" ht="12.75" customHeight="1">
      <c r="Q815" s="342"/>
      <c r="AB815" s="342"/>
      <c r="AK815" s="317"/>
      <c r="AL815" s="317"/>
      <c r="AQ815" s="363"/>
      <c r="AR815" s="364"/>
      <c r="AV815" s="344"/>
      <c r="CJ815" s="344"/>
      <c r="CU815" s="344"/>
      <c r="DI815" s="342"/>
      <c r="DK815" s="344"/>
      <c r="DS815" s="317"/>
      <c r="DT815" s="317"/>
    </row>
    <row r="816" spans="17:124" s="277" customFormat="1" ht="12.75" customHeight="1">
      <c r="Q816" s="342"/>
      <c r="AB816" s="342"/>
      <c r="AK816" s="317"/>
      <c r="AL816" s="317"/>
      <c r="AQ816" s="363"/>
      <c r="AR816" s="364"/>
      <c r="AV816" s="344"/>
      <c r="CJ816" s="344"/>
      <c r="CU816" s="344"/>
      <c r="DI816" s="342"/>
      <c r="DK816" s="344"/>
      <c r="DS816" s="317"/>
      <c r="DT816" s="317"/>
    </row>
    <row r="817" spans="17:124" s="277" customFormat="1" ht="12.75" customHeight="1">
      <c r="Q817" s="342"/>
      <c r="AB817" s="342"/>
      <c r="AK817" s="317"/>
      <c r="AL817" s="317"/>
      <c r="AQ817" s="363"/>
      <c r="AR817" s="364"/>
      <c r="AV817" s="344"/>
      <c r="CJ817" s="344"/>
      <c r="CU817" s="344"/>
      <c r="DI817" s="342"/>
      <c r="DK817" s="344"/>
      <c r="DS817" s="317"/>
      <c r="DT817" s="317"/>
    </row>
    <row r="818" spans="17:124" s="277" customFormat="1" ht="12.75" customHeight="1">
      <c r="Q818" s="342"/>
      <c r="AB818" s="342"/>
      <c r="AK818" s="317"/>
      <c r="AL818" s="317"/>
      <c r="AQ818" s="363"/>
      <c r="AR818" s="364"/>
      <c r="AV818" s="344"/>
      <c r="CJ818" s="344"/>
      <c r="CU818" s="344"/>
      <c r="DI818" s="342"/>
      <c r="DK818" s="344"/>
      <c r="DS818" s="317"/>
      <c r="DT818" s="317"/>
    </row>
    <row r="819" spans="17:124" s="277" customFormat="1" ht="12.75" customHeight="1">
      <c r="Q819" s="342"/>
      <c r="AB819" s="342"/>
      <c r="AK819" s="317"/>
      <c r="AL819" s="317"/>
      <c r="AQ819" s="363"/>
      <c r="AR819" s="364"/>
      <c r="AV819" s="344"/>
      <c r="CJ819" s="344"/>
      <c r="CU819" s="344"/>
      <c r="DI819" s="342"/>
      <c r="DK819" s="344"/>
      <c r="DS819" s="317"/>
      <c r="DT819" s="317"/>
    </row>
    <row r="820" spans="17:124" s="277" customFormat="1" ht="12.75" customHeight="1">
      <c r="Q820" s="342"/>
      <c r="AB820" s="342"/>
      <c r="AK820" s="317"/>
      <c r="AL820" s="317"/>
      <c r="AQ820" s="363"/>
      <c r="AR820" s="364"/>
      <c r="AV820" s="344"/>
      <c r="CJ820" s="344"/>
      <c r="CU820" s="344"/>
      <c r="DI820" s="342"/>
      <c r="DK820" s="344"/>
      <c r="DS820" s="317"/>
      <c r="DT820" s="317"/>
    </row>
    <row r="821" spans="17:124" s="277" customFormat="1" ht="12.75" customHeight="1">
      <c r="Q821" s="342"/>
      <c r="AB821" s="342"/>
      <c r="AK821" s="317"/>
      <c r="AL821" s="317"/>
      <c r="AQ821" s="363"/>
      <c r="AR821" s="364"/>
      <c r="AV821" s="344"/>
      <c r="CJ821" s="344"/>
      <c r="CU821" s="344"/>
      <c r="DI821" s="342"/>
      <c r="DK821" s="344"/>
      <c r="DS821" s="317"/>
      <c r="DT821" s="317"/>
    </row>
    <row r="822" spans="17:124" s="277" customFormat="1" ht="12.75" customHeight="1">
      <c r="Q822" s="342"/>
      <c r="AB822" s="342"/>
      <c r="AK822" s="317"/>
      <c r="AL822" s="317"/>
      <c r="AQ822" s="363"/>
      <c r="AR822" s="364"/>
      <c r="AV822" s="344"/>
      <c r="CJ822" s="344"/>
      <c r="CU822" s="344"/>
      <c r="DI822" s="342"/>
      <c r="DK822" s="344"/>
      <c r="DS822" s="317"/>
      <c r="DT822" s="317"/>
    </row>
    <row r="823" spans="17:124" s="277" customFormat="1" ht="12.75" customHeight="1">
      <c r="Q823" s="342"/>
      <c r="AB823" s="342"/>
      <c r="AK823" s="317"/>
      <c r="AL823" s="317"/>
      <c r="AQ823" s="363"/>
      <c r="AR823" s="364"/>
      <c r="AV823" s="344"/>
      <c r="CJ823" s="344"/>
      <c r="CU823" s="344"/>
      <c r="DI823" s="342"/>
      <c r="DK823" s="344"/>
      <c r="DS823" s="317"/>
      <c r="DT823" s="317"/>
    </row>
    <row r="824" spans="17:124" s="277" customFormat="1" ht="12.75" customHeight="1">
      <c r="Q824" s="342"/>
      <c r="AB824" s="342"/>
      <c r="AK824" s="317"/>
      <c r="AL824" s="317"/>
      <c r="AQ824" s="363"/>
      <c r="AR824" s="364"/>
      <c r="AV824" s="344"/>
      <c r="CJ824" s="344"/>
      <c r="CU824" s="344"/>
      <c r="DI824" s="342"/>
      <c r="DK824" s="344"/>
      <c r="DS824" s="317"/>
      <c r="DT824" s="317"/>
    </row>
    <row r="825" spans="17:124" s="277" customFormat="1" ht="12.75" customHeight="1">
      <c r="Q825" s="342"/>
      <c r="AB825" s="342"/>
      <c r="AK825" s="317"/>
      <c r="AL825" s="317"/>
      <c r="AQ825" s="363"/>
      <c r="AR825" s="364"/>
      <c r="AV825" s="344"/>
      <c r="CJ825" s="344"/>
      <c r="CU825" s="344"/>
      <c r="DI825" s="342"/>
      <c r="DK825" s="344"/>
      <c r="DS825" s="317"/>
      <c r="DT825" s="317"/>
    </row>
    <row r="826" spans="17:124" s="277" customFormat="1" ht="12.75" customHeight="1">
      <c r="Q826" s="342"/>
      <c r="AB826" s="342"/>
      <c r="AK826" s="317"/>
      <c r="AL826" s="317"/>
      <c r="AQ826" s="363"/>
      <c r="AR826" s="364"/>
      <c r="AV826" s="344"/>
      <c r="CJ826" s="344"/>
      <c r="CU826" s="344"/>
      <c r="DI826" s="342"/>
      <c r="DK826" s="344"/>
      <c r="DS826" s="317"/>
      <c r="DT826" s="317"/>
    </row>
    <row r="827" spans="17:124" s="277" customFormat="1" ht="12.75" customHeight="1">
      <c r="Q827" s="342"/>
      <c r="AB827" s="342"/>
      <c r="AK827" s="317"/>
      <c r="AL827" s="317"/>
      <c r="AQ827" s="363"/>
      <c r="AR827" s="364"/>
      <c r="AV827" s="344"/>
      <c r="CJ827" s="344"/>
      <c r="CU827" s="344"/>
      <c r="DI827" s="342"/>
      <c r="DK827" s="344"/>
      <c r="DS827" s="317"/>
      <c r="DT827" s="317"/>
    </row>
    <row r="828" spans="17:124" s="277" customFormat="1" ht="12.75" customHeight="1">
      <c r="Q828" s="342"/>
      <c r="AB828" s="342"/>
      <c r="AK828" s="317"/>
      <c r="AL828" s="317"/>
      <c r="AQ828" s="363"/>
      <c r="AR828" s="364"/>
      <c r="AV828" s="344"/>
      <c r="CJ828" s="344"/>
      <c r="CU828" s="344"/>
      <c r="DI828" s="342"/>
      <c r="DK828" s="344"/>
      <c r="DS828" s="317"/>
      <c r="DT828" s="317"/>
    </row>
    <row r="829" spans="17:124" s="277" customFormat="1" ht="12.75" customHeight="1">
      <c r="Q829" s="342"/>
      <c r="AB829" s="342"/>
      <c r="AK829" s="317"/>
      <c r="AL829" s="317"/>
      <c r="AQ829" s="363"/>
      <c r="AR829" s="364"/>
      <c r="AV829" s="344"/>
      <c r="CJ829" s="344"/>
      <c r="CU829" s="344"/>
      <c r="DI829" s="342"/>
      <c r="DK829" s="344"/>
      <c r="DS829" s="317"/>
      <c r="DT829" s="317"/>
    </row>
    <row r="830" spans="17:124" s="277" customFormat="1" ht="12.75" customHeight="1">
      <c r="Q830" s="342"/>
      <c r="AB830" s="342"/>
      <c r="AK830" s="317"/>
      <c r="AL830" s="317"/>
      <c r="AQ830" s="363"/>
      <c r="AR830" s="364"/>
      <c r="AV830" s="344"/>
      <c r="CJ830" s="344"/>
      <c r="CU830" s="344"/>
      <c r="DI830" s="342"/>
      <c r="DK830" s="344"/>
      <c r="DS830" s="317"/>
      <c r="DT830" s="317"/>
    </row>
    <row r="831" spans="17:124" s="277" customFormat="1" ht="12.75" customHeight="1">
      <c r="Q831" s="342"/>
      <c r="AB831" s="342"/>
      <c r="AK831" s="317"/>
      <c r="AL831" s="317"/>
      <c r="AQ831" s="363"/>
      <c r="AR831" s="364"/>
      <c r="AV831" s="344"/>
      <c r="CJ831" s="344"/>
      <c r="CU831" s="344"/>
      <c r="DI831" s="342"/>
      <c r="DK831" s="344"/>
      <c r="DS831" s="317"/>
      <c r="DT831" s="317"/>
    </row>
    <row r="832" spans="17:124" s="277" customFormat="1" ht="12.75" customHeight="1">
      <c r="Q832" s="342"/>
      <c r="AB832" s="342"/>
      <c r="AK832" s="317"/>
      <c r="AL832" s="317"/>
      <c r="AQ832" s="363"/>
      <c r="AR832" s="364"/>
      <c r="AV832" s="344"/>
      <c r="CJ832" s="344"/>
      <c r="CU832" s="344"/>
      <c r="DI832" s="342"/>
      <c r="DK832" s="344"/>
      <c r="DS832" s="317"/>
      <c r="DT832" s="317"/>
    </row>
    <row r="833" spans="17:124" s="277" customFormat="1" ht="12.75" customHeight="1">
      <c r="Q833" s="342"/>
      <c r="AB833" s="342"/>
      <c r="AK833" s="317"/>
      <c r="AL833" s="317"/>
      <c r="AQ833" s="363"/>
      <c r="AR833" s="364"/>
      <c r="AV833" s="344"/>
      <c r="CJ833" s="344"/>
      <c r="CU833" s="344"/>
      <c r="DI833" s="342"/>
      <c r="DK833" s="344"/>
      <c r="DS833" s="317"/>
      <c r="DT833" s="317"/>
    </row>
    <row r="834" spans="17:124" s="277" customFormat="1" ht="12.75" customHeight="1">
      <c r="Q834" s="342"/>
      <c r="AB834" s="342"/>
      <c r="AK834" s="317"/>
      <c r="AL834" s="317"/>
      <c r="AQ834" s="363"/>
      <c r="AR834" s="364"/>
      <c r="AV834" s="344"/>
      <c r="CJ834" s="344"/>
      <c r="CU834" s="344"/>
      <c r="DI834" s="342"/>
      <c r="DK834" s="344"/>
      <c r="DS834" s="317"/>
      <c r="DT834" s="317"/>
    </row>
    <row r="835" spans="17:124" s="277" customFormat="1" ht="12.75" customHeight="1">
      <c r="Q835" s="342"/>
      <c r="AB835" s="342"/>
      <c r="AK835" s="317"/>
      <c r="AL835" s="317"/>
      <c r="AQ835" s="363"/>
      <c r="AR835" s="364"/>
      <c r="AV835" s="344"/>
      <c r="CJ835" s="344"/>
      <c r="CU835" s="344"/>
      <c r="DI835" s="342"/>
      <c r="DK835" s="344"/>
      <c r="DS835" s="317"/>
      <c r="DT835" s="317"/>
    </row>
    <row r="836" spans="17:124" s="277" customFormat="1" ht="12.75" customHeight="1">
      <c r="Q836" s="342"/>
      <c r="AB836" s="342"/>
      <c r="AK836" s="317"/>
      <c r="AL836" s="317"/>
      <c r="AQ836" s="363"/>
      <c r="AR836" s="364"/>
      <c r="AV836" s="344"/>
      <c r="CJ836" s="344"/>
      <c r="CU836" s="344"/>
      <c r="DI836" s="342"/>
      <c r="DK836" s="344"/>
      <c r="DS836" s="317"/>
      <c r="DT836" s="317"/>
    </row>
    <row r="837" spans="17:124" s="277" customFormat="1" ht="12.75" customHeight="1">
      <c r="Q837" s="342"/>
      <c r="AB837" s="342"/>
      <c r="AK837" s="317"/>
      <c r="AL837" s="317"/>
      <c r="AQ837" s="363"/>
      <c r="AR837" s="364"/>
      <c r="AV837" s="344"/>
      <c r="CJ837" s="344"/>
      <c r="CU837" s="344"/>
      <c r="DI837" s="342"/>
      <c r="DK837" s="344"/>
      <c r="DS837" s="317"/>
      <c r="DT837" s="317"/>
    </row>
    <row r="838" spans="17:124" s="277" customFormat="1" ht="12.75" customHeight="1">
      <c r="Q838" s="342"/>
      <c r="AB838" s="342"/>
      <c r="AK838" s="317"/>
      <c r="AL838" s="317"/>
      <c r="AQ838" s="363"/>
      <c r="AR838" s="364"/>
      <c r="AV838" s="344"/>
      <c r="CJ838" s="344"/>
      <c r="CU838" s="344"/>
      <c r="DI838" s="342"/>
      <c r="DK838" s="344"/>
      <c r="DS838" s="317"/>
      <c r="DT838" s="317"/>
    </row>
    <row r="839" spans="17:124" s="277" customFormat="1" ht="12.75" customHeight="1">
      <c r="Q839" s="342"/>
      <c r="AB839" s="342"/>
      <c r="AK839" s="317"/>
      <c r="AL839" s="317"/>
      <c r="AQ839" s="363"/>
      <c r="AR839" s="364"/>
      <c r="AV839" s="344"/>
      <c r="CJ839" s="344"/>
      <c r="CU839" s="344"/>
      <c r="DI839" s="342"/>
      <c r="DK839" s="344"/>
      <c r="DS839" s="317"/>
      <c r="DT839" s="317"/>
    </row>
    <row r="840" spans="17:124" s="277" customFormat="1" ht="12.75" customHeight="1">
      <c r="Q840" s="342"/>
      <c r="AB840" s="342"/>
      <c r="AK840" s="317"/>
      <c r="AL840" s="317"/>
      <c r="AQ840" s="363"/>
      <c r="AR840" s="364"/>
      <c r="AV840" s="344"/>
      <c r="CJ840" s="344"/>
      <c r="CU840" s="344"/>
      <c r="DI840" s="342"/>
      <c r="DK840" s="344"/>
      <c r="DS840" s="317"/>
      <c r="DT840" s="317"/>
    </row>
    <row r="841" spans="17:124" s="277" customFormat="1" ht="12.75" customHeight="1">
      <c r="Q841" s="342"/>
      <c r="AB841" s="342"/>
      <c r="AK841" s="317"/>
      <c r="AL841" s="317"/>
      <c r="AQ841" s="363"/>
      <c r="AR841" s="364"/>
      <c r="AV841" s="344"/>
      <c r="CJ841" s="344"/>
      <c r="CU841" s="344"/>
      <c r="DI841" s="342"/>
      <c r="DK841" s="344"/>
      <c r="DS841" s="317"/>
      <c r="DT841" s="317"/>
    </row>
    <row r="842" spans="17:124" s="277" customFormat="1" ht="12.75" customHeight="1">
      <c r="Q842" s="342"/>
      <c r="AB842" s="342"/>
      <c r="AK842" s="317"/>
      <c r="AL842" s="317"/>
      <c r="AQ842" s="363"/>
      <c r="AR842" s="364"/>
      <c r="AV842" s="344"/>
      <c r="CJ842" s="344"/>
      <c r="CU842" s="344"/>
      <c r="DI842" s="342"/>
      <c r="DK842" s="344"/>
      <c r="DS842" s="317"/>
      <c r="DT842" s="317"/>
    </row>
    <row r="843" spans="17:124" s="277" customFormat="1" ht="12.75" customHeight="1">
      <c r="Q843" s="342"/>
      <c r="AB843" s="342"/>
      <c r="AK843" s="317"/>
      <c r="AL843" s="317"/>
      <c r="AQ843" s="363"/>
      <c r="AR843" s="364"/>
      <c r="AV843" s="344"/>
      <c r="CJ843" s="344"/>
      <c r="CU843" s="344"/>
      <c r="DI843" s="342"/>
      <c r="DK843" s="344"/>
      <c r="DS843" s="317"/>
      <c r="DT843" s="317"/>
    </row>
    <row r="844" spans="17:124" s="277" customFormat="1" ht="12.75" customHeight="1">
      <c r="Q844" s="342"/>
      <c r="AB844" s="342"/>
      <c r="AK844" s="317"/>
      <c r="AL844" s="317"/>
      <c r="AQ844" s="363"/>
      <c r="AR844" s="364"/>
      <c r="AV844" s="344"/>
      <c r="CJ844" s="344"/>
      <c r="CU844" s="344"/>
      <c r="DI844" s="342"/>
      <c r="DK844" s="344"/>
      <c r="DS844" s="317"/>
      <c r="DT844" s="317"/>
    </row>
    <row r="845" spans="17:124" s="277" customFormat="1" ht="12.75" customHeight="1">
      <c r="Q845" s="342"/>
      <c r="AB845" s="342"/>
      <c r="AK845" s="317"/>
      <c r="AL845" s="317"/>
      <c r="AQ845" s="363"/>
      <c r="AR845" s="364"/>
      <c r="AV845" s="344"/>
      <c r="CJ845" s="344"/>
      <c r="CU845" s="344"/>
      <c r="DI845" s="342"/>
      <c r="DK845" s="344"/>
      <c r="DS845" s="317"/>
      <c r="DT845" s="317"/>
    </row>
    <row r="846" spans="17:124" s="277" customFormat="1" ht="12.75" customHeight="1">
      <c r="Q846" s="342"/>
      <c r="AB846" s="342"/>
      <c r="AK846" s="317"/>
      <c r="AL846" s="317"/>
      <c r="AQ846" s="363"/>
      <c r="AR846" s="364"/>
      <c r="AV846" s="344"/>
      <c r="CJ846" s="344"/>
      <c r="CU846" s="344"/>
      <c r="DI846" s="342"/>
      <c r="DK846" s="344"/>
      <c r="DS846" s="317"/>
      <c r="DT846" s="317"/>
    </row>
    <row r="847" spans="17:124" s="277" customFormat="1" ht="12.75" customHeight="1">
      <c r="Q847" s="342"/>
      <c r="AB847" s="342"/>
      <c r="AK847" s="317"/>
      <c r="AL847" s="317"/>
      <c r="AQ847" s="363"/>
      <c r="AR847" s="364"/>
      <c r="AV847" s="344"/>
      <c r="CJ847" s="344"/>
      <c r="CU847" s="344"/>
      <c r="DI847" s="342"/>
      <c r="DK847" s="344"/>
      <c r="DS847" s="317"/>
      <c r="DT847" s="317"/>
    </row>
    <row r="848" spans="17:124" s="277" customFormat="1" ht="12.75" customHeight="1">
      <c r="Q848" s="342"/>
      <c r="AB848" s="342"/>
      <c r="AK848" s="317"/>
      <c r="AL848" s="317"/>
      <c r="AQ848" s="363"/>
      <c r="AR848" s="364"/>
      <c r="AV848" s="344"/>
      <c r="CJ848" s="344"/>
      <c r="CU848" s="344"/>
      <c r="DI848" s="342"/>
      <c r="DK848" s="344"/>
      <c r="DS848" s="317"/>
      <c r="DT848" s="317"/>
    </row>
    <row r="849" spans="17:124" s="277" customFormat="1" ht="12.75" customHeight="1">
      <c r="Q849" s="342"/>
      <c r="AB849" s="342"/>
      <c r="AK849" s="317"/>
      <c r="AL849" s="317"/>
      <c r="AQ849" s="363"/>
      <c r="AR849" s="364"/>
      <c r="AV849" s="344"/>
      <c r="CJ849" s="344"/>
      <c r="CU849" s="344"/>
      <c r="DI849" s="342"/>
      <c r="DK849" s="344"/>
      <c r="DS849" s="317"/>
      <c r="DT849" s="317"/>
    </row>
    <row r="850" spans="17:124" s="277" customFormat="1" ht="12.75" customHeight="1">
      <c r="Q850" s="342"/>
      <c r="AB850" s="342"/>
      <c r="AK850" s="317"/>
      <c r="AL850" s="317"/>
      <c r="AQ850" s="363"/>
      <c r="AR850" s="364"/>
      <c r="AV850" s="344"/>
      <c r="CJ850" s="344"/>
      <c r="CU850" s="344"/>
      <c r="DI850" s="342"/>
      <c r="DK850" s="344"/>
      <c r="DS850" s="317"/>
      <c r="DT850" s="317"/>
    </row>
    <row r="851" spans="17:124" s="277" customFormat="1" ht="12.75" customHeight="1">
      <c r="Q851" s="342"/>
      <c r="AB851" s="342"/>
      <c r="AK851" s="317"/>
      <c r="AL851" s="317"/>
      <c r="AQ851" s="363"/>
      <c r="AR851" s="364"/>
      <c r="AV851" s="344"/>
      <c r="CJ851" s="344"/>
      <c r="CU851" s="344"/>
      <c r="DI851" s="342"/>
      <c r="DK851" s="344"/>
      <c r="DS851" s="317"/>
      <c r="DT851" s="317"/>
    </row>
    <row r="852" spans="17:124" s="277" customFormat="1" ht="12.75" customHeight="1">
      <c r="Q852" s="342"/>
      <c r="AB852" s="342"/>
      <c r="AK852" s="317"/>
      <c r="AL852" s="317"/>
      <c r="AQ852" s="363"/>
      <c r="AR852" s="364"/>
      <c r="AV852" s="344"/>
      <c r="CJ852" s="344"/>
      <c r="CU852" s="344"/>
      <c r="DI852" s="342"/>
      <c r="DK852" s="344"/>
      <c r="DS852" s="317"/>
      <c r="DT852" s="317"/>
    </row>
    <row r="853" spans="17:124" s="277" customFormat="1" ht="12.75" customHeight="1">
      <c r="Q853" s="342"/>
      <c r="AB853" s="342"/>
      <c r="AK853" s="317"/>
      <c r="AL853" s="317"/>
      <c r="AQ853" s="363"/>
      <c r="AR853" s="364"/>
      <c r="AV853" s="344"/>
      <c r="CJ853" s="344"/>
      <c r="CU853" s="344"/>
      <c r="DI853" s="342"/>
      <c r="DK853" s="344"/>
      <c r="DS853" s="317"/>
      <c r="DT853" s="317"/>
    </row>
    <row r="854" spans="17:124" s="277" customFormat="1" ht="12.75" customHeight="1">
      <c r="Q854" s="342"/>
      <c r="AB854" s="342"/>
      <c r="AK854" s="317"/>
      <c r="AL854" s="317"/>
      <c r="AQ854" s="363"/>
      <c r="AR854" s="364"/>
      <c r="AV854" s="344"/>
      <c r="CJ854" s="344"/>
      <c r="CU854" s="344"/>
      <c r="DI854" s="342"/>
      <c r="DK854" s="344"/>
      <c r="DS854" s="317"/>
      <c r="DT854" s="317"/>
    </row>
    <row r="855" spans="17:124" s="277" customFormat="1" ht="12.75" customHeight="1">
      <c r="Q855" s="342"/>
      <c r="AB855" s="342"/>
      <c r="AK855" s="317"/>
      <c r="AL855" s="317"/>
      <c r="AQ855" s="363"/>
      <c r="AR855" s="364"/>
      <c r="AV855" s="344"/>
      <c r="CJ855" s="344"/>
      <c r="CU855" s="344"/>
      <c r="DI855" s="342"/>
      <c r="DK855" s="344"/>
      <c r="DS855" s="317"/>
      <c r="DT855" s="317"/>
    </row>
    <row r="856" spans="17:124" s="277" customFormat="1" ht="12.75" customHeight="1">
      <c r="Q856" s="342"/>
      <c r="AB856" s="342"/>
      <c r="AK856" s="317"/>
      <c r="AL856" s="317"/>
      <c r="AQ856" s="363"/>
      <c r="AR856" s="364"/>
      <c r="AV856" s="344"/>
      <c r="CJ856" s="344"/>
      <c r="CU856" s="344"/>
      <c r="DI856" s="342"/>
      <c r="DK856" s="344"/>
      <c r="DS856" s="317"/>
      <c r="DT856" s="317"/>
    </row>
    <row r="857" spans="17:124" s="277" customFormat="1" ht="12.75" customHeight="1">
      <c r="Q857" s="342"/>
      <c r="AB857" s="342"/>
      <c r="AK857" s="317"/>
      <c r="AL857" s="317"/>
      <c r="AQ857" s="363"/>
      <c r="AR857" s="364"/>
      <c r="AV857" s="344"/>
      <c r="CJ857" s="344"/>
      <c r="CU857" s="344"/>
      <c r="DI857" s="342"/>
      <c r="DK857" s="344"/>
      <c r="DS857" s="317"/>
      <c r="DT857" s="317"/>
    </row>
    <row r="858" spans="17:124" s="277" customFormat="1" ht="12.75" customHeight="1">
      <c r="Q858" s="342"/>
      <c r="AB858" s="342"/>
      <c r="AK858" s="317"/>
      <c r="AL858" s="317"/>
      <c r="AQ858" s="363"/>
      <c r="AR858" s="364"/>
      <c r="AV858" s="344"/>
      <c r="CJ858" s="344"/>
      <c r="CU858" s="344"/>
      <c r="DI858" s="342"/>
      <c r="DK858" s="344"/>
      <c r="DS858" s="317"/>
      <c r="DT858" s="317"/>
    </row>
    <row r="859" spans="17:124" s="277" customFormat="1" ht="12.75" customHeight="1">
      <c r="Q859" s="342"/>
      <c r="AB859" s="342"/>
      <c r="AK859" s="317"/>
      <c r="AL859" s="317"/>
      <c r="AQ859" s="363"/>
      <c r="AR859" s="364"/>
      <c r="AV859" s="344"/>
      <c r="CJ859" s="344"/>
      <c r="CU859" s="344"/>
      <c r="DI859" s="342"/>
      <c r="DK859" s="344"/>
      <c r="DS859" s="317"/>
      <c r="DT859" s="317"/>
    </row>
    <row r="860" spans="17:124" s="277" customFormat="1" ht="12.75" customHeight="1">
      <c r="Q860" s="342"/>
      <c r="AB860" s="342"/>
      <c r="AK860" s="317"/>
      <c r="AL860" s="317"/>
      <c r="AQ860" s="363"/>
      <c r="AR860" s="364"/>
      <c r="AV860" s="344"/>
      <c r="CJ860" s="344"/>
      <c r="CU860" s="344"/>
      <c r="DI860" s="342"/>
      <c r="DK860" s="344"/>
      <c r="DS860" s="317"/>
      <c r="DT860" s="317"/>
    </row>
    <row r="861" spans="17:124" s="277" customFormat="1" ht="12.75" customHeight="1">
      <c r="Q861" s="342"/>
      <c r="AB861" s="342"/>
      <c r="AK861" s="317"/>
      <c r="AL861" s="317"/>
      <c r="AQ861" s="363"/>
      <c r="AR861" s="364"/>
      <c r="AV861" s="344"/>
      <c r="CJ861" s="344"/>
      <c r="CU861" s="344"/>
      <c r="DI861" s="342"/>
      <c r="DK861" s="344"/>
      <c r="DS861" s="317"/>
      <c r="DT861" s="317"/>
    </row>
    <row r="862" spans="17:124" s="277" customFormat="1" ht="12.75" customHeight="1">
      <c r="Q862" s="342"/>
      <c r="AB862" s="342"/>
      <c r="AK862" s="317"/>
      <c r="AL862" s="317"/>
      <c r="AQ862" s="363"/>
      <c r="AR862" s="364"/>
      <c r="AV862" s="344"/>
      <c r="CJ862" s="344"/>
      <c r="CU862" s="344"/>
      <c r="DI862" s="342"/>
      <c r="DK862" s="344"/>
      <c r="DS862" s="317"/>
      <c r="DT862" s="317"/>
    </row>
    <row r="863" spans="17:124" s="277" customFormat="1" ht="12.75" customHeight="1">
      <c r="Q863" s="342"/>
      <c r="AB863" s="342"/>
      <c r="AK863" s="317"/>
      <c r="AL863" s="317"/>
      <c r="AQ863" s="363"/>
      <c r="AR863" s="364"/>
      <c r="AV863" s="344"/>
      <c r="CJ863" s="344"/>
      <c r="CU863" s="344"/>
      <c r="DI863" s="342"/>
      <c r="DK863" s="344"/>
      <c r="DS863" s="317"/>
      <c r="DT863" s="317"/>
    </row>
    <row r="864" spans="17:124" s="277" customFormat="1" ht="12.75" customHeight="1">
      <c r="Q864" s="342"/>
      <c r="AB864" s="342"/>
      <c r="AK864" s="317"/>
      <c r="AL864" s="317"/>
      <c r="AQ864" s="363"/>
      <c r="AR864" s="364"/>
      <c r="AV864" s="344"/>
      <c r="CJ864" s="344"/>
      <c r="CU864" s="344"/>
      <c r="DI864" s="342"/>
      <c r="DK864" s="344"/>
      <c r="DS864" s="317"/>
      <c r="DT864" s="317"/>
    </row>
    <row r="865" spans="17:124" s="277" customFormat="1" ht="12.75" customHeight="1">
      <c r="Q865" s="342"/>
      <c r="AB865" s="342"/>
      <c r="AK865" s="317"/>
      <c r="AL865" s="317"/>
      <c r="AQ865" s="363"/>
      <c r="AR865" s="364"/>
      <c r="AV865" s="344"/>
      <c r="CJ865" s="344"/>
      <c r="CU865" s="344"/>
      <c r="DI865" s="342"/>
      <c r="DK865" s="344"/>
      <c r="DS865" s="317"/>
      <c r="DT865" s="317"/>
    </row>
    <row r="866" spans="17:124" s="277" customFormat="1" ht="12.75" customHeight="1">
      <c r="Q866" s="342"/>
      <c r="AB866" s="342"/>
      <c r="AK866" s="317"/>
      <c r="AL866" s="317"/>
      <c r="AQ866" s="363"/>
      <c r="AR866" s="364"/>
      <c r="AV866" s="344"/>
      <c r="CJ866" s="344"/>
      <c r="CU866" s="344"/>
      <c r="DI866" s="342"/>
      <c r="DK866" s="344"/>
      <c r="DS866" s="317"/>
      <c r="DT866" s="317"/>
    </row>
    <row r="867" spans="17:124" s="277" customFormat="1" ht="12.75" customHeight="1">
      <c r="Q867" s="342"/>
      <c r="AB867" s="342"/>
      <c r="AK867" s="317"/>
      <c r="AL867" s="317"/>
      <c r="AQ867" s="363"/>
      <c r="AR867" s="364"/>
      <c r="AV867" s="344"/>
      <c r="CJ867" s="344"/>
      <c r="CU867" s="344"/>
      <c r="DI867" s="342"/>
      <c r="DK867" s="344"/>
      <c r="DS867" s="317"/>
      <c r="DT867" s="317"/>
    </row>
    <row r="868" spans="17:124" s="277" customFormat="1" ht="12.75" customHeight="1">
      <c r="Q868" s="342"/>
      <c r="AB868" s="342"/>
      <c r="AK868" s="317"/>
      <c r="AL868" s="317"/>
      <c r="AQ868" s="363"/>
      <c r="AR868" s="364"/>
      <c r="AV868" s="344"/>
      <c r="CJ868" s="344"/>
      <c r="CU868" s="344"/>
      <c r="DI868" s="342"/>
      <c r="DK868" s="344"/>
      <c r="DS868" s="317"/>
      <c r="DT868" s="317"/>
    </row>
    <row r="869" spans="17:124" s="277" customFormat="1" ht="12.75" customHeight="1">
      <c r="Q869" s="342"/>
      <c r="AB869" s="342"/>
      <c r="AK869" s="317"/>
      <c r="AL869" s="317"/>
      <c r="AQ869" s="363"/>
      <c r="AR869" s="364"/>
      <c r="AV869" s="344"/>
      <c r="CJ869" s="344"/>
      <c r="CU869" s="344"/>
      <c r="DI869" s="342"/>
      <c r="DK869" s="344"/>
      <c r="DS869" s="317"/>
      <c r="DT869" s="317"/>
    </row>
    <row r="870" spans="17:124" s="277" customFormat="1" ht="12.75" customHeight="1">
      <c r="Q870" s="342"/>
      <c r="AB870" s="342"/>
      <c r="AK870" s="317"/>
      <c r="AL870" s="317"/>
      <c r="AQ870" s="363"/>
      <c r="AR870" s="364"/>
      <c r="AV870" s="344"/>
      <c r="CJ870" s="344"/>
      <c r="CU870" s="344"/>
      <c r="DI870" s="342"/>
      <c r="DK870" s="344"/>
      <c r="DS870" s="317"/>
      <c r="DT870" s="317"/>
    </row>
    <row r="871" spans="17:124" s="277" customFormat="1" ht="12.75" customHeight="1">
      <c r="Q871" s="342"/>
      <c r="AB871" s="342"/>
      <c r="AK871" s="317"/>
      <c r="AL871" s="317"/>
      <c r="AQ871" s="363"/>
      <c r="AR871" s="364"/>
      <c r="AV871" s="344"/>
      <c r="CJ871" s="344"/>
      <c r="CU871" s="344"/>
      <c r="DI871" s="342"/>
      <c r="DK871" s="344"/>
      <c r="DS871" s="317"/>
      <c r="DT871" s="317"/>
    </row>
    <row r="872" spans="17:124" s="277" customFormat="1" ht="12.75" customHeight="1">
      <c r="Q872" s="342"/>
      <c r="AB872" s="342"/>
      <c r="AK872" s="317"/>
      <c r="AL872" s="317"/>
      <c r="AQ872" s="363"/>
      <c r="AR872" s="364"/>
      <c r="AV872" s="344"/>
      <c r="CJ872" s="344"/>
      <c r="CU872" s="344"/>
      <c r="DI872" s="342"/>
      <c r="DK872" s="344"/>
      <c r="DS872" s="317"/>
      <c r="DT872" s="317"/>
    </row>
    <row r="873" spans="17:124" s="277" customFormat="1" ht="12.75" customHeight="1">
      <c r="Q873" s="342"/>
      <c r="AB873" s="342"/>
      <c r="AK873" s="317"/>
      <c r="AL873" s="317"/>
      <c r="AQ873" s="363"/>
      <c r="AR873" s="364"/>
      <c r="AV873" s="344"/>
      <c r="CJ873" s="344"/>
      <c r="CU873" s="344"/>
      <c r="DI873" s="342"/>
      <c r="DK873" s="344"/>
      <c r="DS873" s="317"/>
      <c r="DT873" s="317"/>
    </row>
    <row r="874" spans="17:124" s="277" customFormat="1" ht="12.75" customHeight="1">
      <c r="Q874" s="342"/>
      <c r="AB874" s="342"/>
      <c r="AK874" s="317"/>
      <c r="AL874" s="317"/>
      <c r="AQ874" s="363"/>
      <c r="AR874" s="364"/>
      <c r="AV874" s="344"/>
      <c r="CJ874" s="344"/>
      <c r="CU874" s="344"/>
      <c r="DI874" s="342"/>
      <c r="DK874" s="344"/>
      <c r="DS874" s="317"/>
      <c r="DT874" s="317"/>
    </row>
    <row r="875" spans="17:124" s="277" customFormat="1" ht="12.75" customHeight="1">
      <c r="Q875" s="342"/>
      <c r="AB875" s="342"/>
      <c r="AK875" s="317"/>
      <c r="AL875" s="317"/>
      <c r="AQ875" s="363"/>
      <c r="AR875" s="364"/>
      <c r="AV875" s="344"/>
      <c r="CJ875" s="344"/>
      <c r="CU875" s="344"/>
      <c r="DI875" s="342"/>
      <c r="DK875" s="344"/>
      <c r="DS875" s="317"/>
      <c r="DT875" s="317"/>
    </row>
    <row r="876" spans="17:124" s="277" customFormat="1" ht="12.75" customHeight="1">
      <c r="Q876" s="342"/>
      <c r="AB876" s="342"/>
      <c r="AK876" s="317"/>
      <c r="AL876" s="317"/>
      <c r="AQ876" s="363"/>
      <c r="AR876" s="364"/>
      <c r="AV876" s="344"/>
      <c r="CJ876" s="344"/>
      <c r="CU876" s="344"/>
      <c r="DI876" s="342"/>
      <c r="DK876" s="344"/>
      <c r="DS876" s="317"/>
      <c r="DT876" s="317"/>
    </row>
    <row r="877" spans="17:124" s="277" customFormat="1" ht="12.75" customHeight="1">
      <c r="Q877" s="342"/>
      <c r="AB877" s="342"/>
      <c r="AK877" s="317"/>
      <c r="AL877" s="317"/>
      <c r="AQ877" s="363"/>
      <c r="AR877" s="364"/>
      <c r="AV877" s="344"/>
      <c r="CJ877" s="344"/>
      <c r="CU877" s="344"/>
      <c r="DI877" s="342"/>
      <c r="DK877" s="344"/>
      <c r="DS877" s="317"/>
      <c r="DT877" s="317"/>
    </row>
    <row r="878" spans="17:124" s="277" customFormat="1" ht="12.75" customHeight="1">
      <c r="Q878" s="342"/>
      <c r="AB878" s="342"/>
      <c r="AK878" s="317"/>
      <c r="AL878" s="317"/>
      <c r="AQ878" s="363"/>
      <c r="AR878" s="364"/>
      <c r="AV878" s="344"/>
      <c r="CJ878" s="344"/>
      <c r="CU878" s="344"/>
      <c r="DI878" s="342"/>
      <c r="DK878" s="344"/>
      <c r="DS878" s="317"/>
      <c r="DT878" s="317"/>
    </row>
    <row r="879" spans="17:124" s="277" customFormat="1" ht="12.75" customHeight="1">
      <c r="Q879" s="342"/>
      <c r="AB879" s="342"/>
      <c r="AK879" s="317"/>
      <c r="AL879" s="317"/>
      <c r="AQ879" s="363"/>
      <c r="AR879" s="364"/>
      <c r="AV879" s="344"/>
      <c r="CJ879" s="344"/>
      <c r="CU879" s="344"/>
      <c r="DI879" s="342"/>
      <c r="DK879" s="344"/>
      <c r="DS879" s="317"/>
      <c r="DT879" s="317"/>
    </row>
    <row r="880" spans="17:124" s="277" customFormat="1" ht="12.75" customHeight="1">
      <c r="Q880" s="342"/>
      <c r="AB880" s="342"/>
      <c r="AK880" s="317"/>
      <c r="AL880" s="317"/>
      <c r="AQ880" s="363"/>
      <c r="AR880" s="364"/>
      <c r="AV880" s="344"/>
      <c r="CJ880" s="344"/>
      <c r="CU880" s="344"/>
      <c r="DI880" s="342"/>
      <c r="DK880" s="344"/>
      <c r="DS880" s="317"/>
      <c r="DT880" s="317"/>
    </row>
    <row r="881" spans="17:124" s="277" customFormat="1" ht="12.75" customHeight="1">
      <c r="Q881" s="342"/>
      <c r="AB881" s="342"/>
      <c r="AK881" s="317"/>
      <c r="AL881" s="317"/>
      <c r="AQ881" s="363"/>
      <c r="AR881" s="364"/>
      <c r="AV881" s="344"/>
      <c r="CJ881" s="344"/>
      <c r="CU881" s="344"/>
      <c r="DI881" s="342"/>
      <c r="DK881" s="344"/>
      <c r="DS881" s="317"/>
      <c r="DT881" s="317"/>
    </row>
    <row r="882" spans="17:124" s="277" customFormat="1" ht="12.75" customHeight="1">
      <c r="Q882" s="342"/>
      <c r="AB882" s="342"/>
      <c r="AK882" s="317"/>
      <c r="AL882" s="317"/>
      <c r="AQ882" s="363"/>
      <c r="AR882" s="364"/>
      <c r="AV882" s="344"/>
      <c r="CJ882" s="344"/>
      <c r="CU882" s="344"/>
      <c r="DI882" s="342"/>
      <c r="DK882" s="344"/>
      <c r="DS882" s="317"/>
      <c r="DT882" s="317"/>
    </row>
    <row r="883" spans="17:124" s="277" customFormat="1" ht="12.75" customHeight="1">
      <c r="Q883" s="342"/>
      <c r="AB883" s="342"/>
      <c r="AK883" s="317"/>
      <c r="AL883" s="317"/>
      <c r="AQ883" s="363"/>
      <c r="AR883" s="364"/>
      <c r="AV883" s="344"/>
      <c r="CJ883" s="344"/>
      <c r="CU883" s="344"/>
      <c r="DI883" s="342"/>
      <c r="DK883" s="344"/>
      <c r="DS883" s="317"/>
      <c r="DT883" s="317"/>
    </row>
    <row r="884" spans="17:124" s="277" customFormat="1" ht="12.75" customHeight="1">
      <c r="Q884" s="342"/>
      <c r="AB884" s="342"/>
      <c r="AK884" s="317"/>
      <c r="AL884" s="317"/>
      <c r="AQ884" s="363"/>
      <c r="AR884" s="364"/>
      <c r="AV884" s="344"/>
      <c r="CJ884" s="344"/>
      <c r="CU884" s="344"/>
      <c r="DI884" s="342"/>
      <c r="DK884" s="344"/>
      <c r="DS884" s="317"/>
      <c r="DT884" s="317"/>
    </row>
    <row r="885" spans="17:124" s="277" customFormat="1" ht="12.75" customHeight="1">
      <c r="Q885" s="342"/>
      <c r="AB885" s="342"/>
      <c r="AK885" s="317"/>
      <c r="AL885" s="317"/>
      <c r="AQ885" s="363"/>
      <c r="AR885" s="364"/>
      <c r="AV885" s="344"/>
      <c r="CJ885" s="344"/>
      <c r="CU885" s="344"/>
      <c r="DI885" s="342"/>
      <c r="DK885" s="344"/>
      <c r="DS885" s="317"/>
      <c r="DT885" s="317"/>
    </row>
    <row r="886" spans="17:124" s="277" customFormat="1" ht="12.75" customHeight="1">
      <c r="Q886" s="342"/>
      <c r="AB886" s="342"/>
      <c r="AK886" s="317"/>
      <c r="AL886" s="317"/>
      <c r="AQ886" s="363"/>
      <c r="AR886" s="364"/>
      <c r="AV886" s="344"/>
      <c r="CJ886" s="344"/>
      <c r="CU886" s="344"/>
      <c r="DI886" s="342"/>
      <c r="DK886" s="344"/>
      <c r="DS886" s="317"/>
      <c r="DT886" s="317"/>
    </row>
    <row r="887" spans="17:124" s="277" customFormat="1" ht="12.75" customHeight="1">
      <c r="Q887" s="342"/>
      <c r="AB887" s="342"/>
      <c r="AK887" s="317"/>
      <c r="AL887" s="317"/>
      <c r="AQ887" s="363"/>
      <c r="AR887" s="364"/>
      <c r="AV887" s="344"/>
      <c r="CJ887" s="344"/>
      <c r="CU887" s="344"/>
      <c r="DI887" s="342"/>
      <c r="DK887" s="344"/>
      <c r="DS887" s="317"/>
      <c r="DT887" s="317"/>
    </row>
    <row r="888" spans="17:124" s="277" customFormat="1" ht="12.75" customHeight="1">
      <c r="Q888" s="342"/>
      <c r="AB888" s="342"/>
      <c r="AK888" s="317"/>
      <c r="AL888" s="317"/>
      <c r="AQ888" s="363"/>
      <c r="AR888" s="364"/>
      <c r="AV888" s="344"/>
      <c r="CJ888" s="344"/>
      <c r="CU888" s="344"/>
      <c r="DI888" s="342"/>
      <c r="DK888" s="344"/>
      <c r="DS888" s="317"/>
      <c r="DT888" s="317"/>
    </row>
    <row r="889" spans="17:124" s="277" customFormat="1" ht="12.75" customHeight="1">
      <c r="Q889" s="342"/>
      <c r="AB889" s="342"/>
      <c r="AK889" s="317"/>
      <c r="AL889" s="317"/>
      <c r="AQ889" s="363"/>
      <c r="AR889" s="364"/>
      <c r="AV889" s="344"/>
      <c r="CJ889" s="344"/>
      <c r="CU889" s="344"/>
      <c r="DI889" s="342"/>
      <c r="DK889" s="344"/>
      <c r="DS889" s="317"/>
      <c r="DT889" s="317"/>
    </row>
    <row r="890" spans="17:124" s="277" customFormat="1" ht="12.75" customHeight="1">
      <c r="Q890" s="342"/>
      <c r="AB890" s="342"/>
      <c r="AK890" s="317"/>
      <c r="AL890" s="317"/>
      <c r="AQ890" s="363"/>
      <c r="AR890" s="364"/>
      <c r="AV890" s="344"/>
      <c r="CJ890" s="344"/>
      <c r="CU890" s="344"/>
      <c r="DI890" s="342"/>
      <c r="DK890" s="344"/>
      <c r="DS890" s="317"/>
      <c r="DT890" s="317"/>
    </row>
    <row r="891" spans="17:124" s="277" customFormat="1" ht="12.75" customHeight="1">
      <c r="Q891" s="342"/>
      <c r="AB891" s="342"/>
      <c r="AK891" s="317"/>
      <c r="AL891" s="317"/>
      <c r="AQ891" s="363"/>
      <c r="AR891" s="364"/>
      <c r="AV891" s="344"/>
      <c r="CJ891" s="344"/>
      <c r="CU891" s="344"/>
      <c r="DI891" s="342"/>
      <c r="DK891" s="344"/>
      <c r="DS891" s="317"/>
      <c r="DT891" s="317"/>
    </row>
    <row r="892" spans="17:124" s="277" customFormat="1" ht="12.75" customHeight="1">
      <c r="Q892" s="342"/>
      <c r="AB892" s="342"/>
      <c r="AK892" s="317"/>
      <c r="AL892" s="317"/>
      <c r="AQ892" s="363"/>
      <c r="AR892" s="364"/>
      <c r="AV892" s="344"/>
      <c r="CJ892" s="344"/>
      <c r="CU892" s="344"/>
      <c r="DI892" s="342"/>
      <c r="DK892" s="344"/>
      <c r="DS892" s="317"/>
      <c r="DT892" s="317"/>
    </row>
    <row r="893" spans="17:124" s="277" customFormat="1" ht="12.75" customHeight="1">
      <c r="Q893" s="342"/>
      <c r="AB893" s="342"/>
      <c r="AK893" s="317"/>
      <c r="AL893" s="317"/>
      <c r="AQ893" s="363"/>
      <c r="AR893" s="364"/>
      <c r="AV893" s="344"/>
      <c r="CJ893" s="344"/>
      <c r="CU893" s="344"/>
      <c r="DI893" s="342"/>
      <c r="DK893" s="344"/>
      <c r="DS893" s="317"/>
      <c r="DT893" s="317"/>
    </row>
    <row r="894" spans="17:124" s="277" customFormat="1" ht="12.75" customHeight="1">
      <c r="Q894" s="342"/>
      <c r="AB894" s="342"/>
      <c r="AK894" s="317"/>
      <c r="AL894" s="317"/>
      <c r="AQ894" s="363"/>
      <c r="AR894" s="364"/>
      <c r="AV894" s="344"/>
      <c r="CJ894" s="344"/>
      <c r="CU894" s="344"/>
      <c r="DI894" s="342"/>
      <c r="DK894" s="344"/>
      <c r="DS894" s="317"/>
      <c r="DT894" s="317"/>
    </row>
    <row r="895" spans="17:124" s="277" customFormat="1" ht="12.75" customHeight="1">
      <c r="Q895" s="342"/>
      <c r="AB895" s="342"/>
      <c r="AK895" s="317"/>
      <c r="AL895" s="317"/>
      <c r="AQ895" s="363"/>
      <c r="AR895" s="364"/>
      <c r="AV895" s="344"/>
      <c r="CJ895" s="344"/>
      <c r="CU895" s="344"/>
      <c r="DI895" s="342"/>
      <c r="DK895" s="344"/>
      <c r="DS895" s="317"/>
      <c r="DT895" s="317"/>
    </row>
    <row r="896" spans="17:124" s="277" customFormat="1" ht="12.75" customHeight="1">
      <c r="Q896" s="342"/>
      <c r="AB896" s="342"/>
      <c r="AK896" s="317"/>
      <c r="AL896" s="317"/>
      <c r="AQ896" s="363"/>
      <c r="AR896" s="364"/>
      <c r="AV896" s="344"/>
      <c r="CJ896" s="344"/>
      <c r="CU896" s="344"/>
      <c r="DI896" s="342"/>
      <c r="DK896" s="344"/>
      <c r="DS896" s="317"/>
      <c r="DT896" s="317"/>
    </row>
    <row r="897" spans="17:124" s="277" customFormat="1" ht="12.75" customHeight="1">
      <c r="Q897" s="342"/>
      <c r="AB897" s="342"/>
      <c r="AK897" s="317"/>
      <c r="AL897" s="317"/>
      <c r="AQ897" s="363"/>
      <c r="AR897" s="364"/>
      <c r="AV897" s="344"/>
      <c r="CJ897" s="344"/>
      <c r="CU897" s="344"/>
      <c r="DI897" s="342"/>
      <c r="DK897" s="344"/>
      <c r="DS897" s="317"/>
      <c r="DT897" s="317"/>
    </row>
    <row r="898" spans="17:124" s="277" customFormat="1" ht="12.75" customHeight="1">
      <c r="Q898" s="342"/>
      <c r="AB898" s="342"/>
      <c r="AK898" s="317"/>
      <c r="AL898" s="317"/>
      <c r="AQ898" s="363"/>
      <c r="AR898" s="364"/>
      <c r="AV898" s="344"/>
      <c r="CJ898" s="344"/>
      <c r="CU898" s="344"/>
      <c r="DI898" s="342"/>
      <c r="DK898" s="344"/>
      <c r="DS898" s="317"/>
      <c r="DT898" s="317"/>
    </row>
    <row r="899" spans="17:124" s="277" customFormat="1" ht="12.75" customHeight="1">
      <c r="Q899" s="342"/>
      <c r="AB899" s="342"/>
      <c r="AK899" s="317"/>
      <c r="AL899" s="317"/>
      <c r="AQ899" s="363"/>
      <c r="AR899" s="364"/>
      <c r="AV899" s="344"/>
      <c r="CJ899" s="344"/>
      <c r="CU899" s="344"/>
      <c r="DI899" s="342"/>
      <c r="DK899" s="344"/>
      <c r="DS899" s="317"/>
      <c r="DT899" s="317"/>
    </row>
    <row r="900" spans="17:124" s="277" customFormat="1" ht="12.75" customHeight="1">
      <c r="Q900" s="342"/>
      <c r="AB900" s="342"/>
      <c r="AK900" s="317"/>
      <c r="AL900" s="317"/>
      <c r="AQ900" s="363"/>
      <c r="AR900" s="364"/>
      <c r="AV900" s="344"/>
      <c r="CJ900" s="344"/>
      <c r="CU900" s="344"/>
      <c r="DI900" s="342"/>
      <c r="DK900" s="344"/>
      <c r="DS900" s="317"/>
      <c r="DT900" s="317"/>
    </row>
    <row r="901" spans="17:124" s="277" customFormat="1" ht="12.75" customHeight="1">
      <c r="Q901" s="342"/>
      <c r="AB901" s="342"/>
      <c r="AK901" s="317"/>
      <c r="AL901" s="317"/>
      <c r="AQ901" s="363"/>
      <c r="AR901" s="364"/>
      <c r="AV901" s="344"/>
      <c r="CJ901" s="344"/>
      <c r="CU901" s="344"/>
      <c r="DI901" s="342"/>
      <c r="DK901" s="344"/>
      <c r="DS901" s="317"/>
      <c r="DT901" s="317"/>
    </row>
    <row r="902" spans="17:124" s="277" customFormat="1" ht="12.75" customHeight="1">
      <c r="Q902" s="342"/>
      <c r="AB902" s="342"/>
      <c r="AK902" s="317"/>
      <c r="AL902" s="317"/>
      <c r="AQ902" s="363"/>
      <c r="AR902" s="364"/>
      <c r="AV902" s="344"/>
      <c r="CJ902" s="344"/>
      <c r="CU902" s="344"/>
      <c r="DI902" s="342"/>
      <c r="DK902" s="344"/>
      <c r="DS902" s="317"/>
      <c r="DT902" s="317"/>
    </row>
    <row r="903" spans="17:124" s="277" customFormat="1" ht="12.75" customHeight="1">
      <c r="Q903" s="342"/>
      <c r="AB903" s="342"/>
      <c r="AK903" s="317"/>
      <c r="AL903" s="317"/>
      <c r="AQ903" s="363"/>
      <c r="AR903" s="364"/>
      <c r="AV903" s="344"/>
      <c r="CJ903" s="344"/>
      <c r="CU903" s="344"/>
      <c r="DI903" s="342"/>
      <c r="DK903" s="344"/>
      <c r="DS903" s="317"/>
      <c r="DT903" s="317"/>
    </row>
    <row r="904" spans="17:124" s="277" customFormat="1" ht="12.75" customHeight="1">
      <c r="Q904" s="342"/>
      <c r="AB904" s="342"/>
      <c r="AK904" s="317"/>
      <c r="AL904" s="317"/>
      <c r="AQ904" s="363"/>
      <c r="AR904" s="364"/>
      <c r="AV904" s="344"/>
      <c r="CJ904" s="344"/>
      <c r="CU904" s="344"/>
      <c r="DI904" s="342"/>
      <c r="DK904" s="344"/>
      <c r="DS904" s="317"/>
      <c r="DT904" s="317"/>
    </row>
    <row r="905" spans="17:124" s="277" customFormat="1" ht="12.75" customHeight="1">
      <c r="Q905" s="342"/>
      <c r="AB905" s="342"/>
      <c r="AK905" s="317"/>
      <c r="AL905" s="317"/>
      <c r="AQ905" s="363"/>
      <c r="AR905" s="364"/>
      <c r="AV905" s="344"/>
      <c r="CJ905" s="344"/>
      <c r="CU905" s="344"/>
      <c r="DI905" s="342"/>
      <c r="DK905" s="344"/>
      <c r="DS905" s="317"/>
      <c r="DT905" s="317"/>
    </row>
    <row r="906" spans="17:124" s="277" customFormat="1" ht="12.75" customHeight="1">
      <c r="Q906" s="342"/>
      <c r="AB906" s="342"/>
      <c r="AK906" s="317"/>
      <c r="AL906" s="317"/>
      <c r="AQ906" s="363"/>
      <c r="AR906" s="364"/>
      <c r="AV906" s="344"/>
      <c r="CJ906" s="344"/>
      <c r="CU906" s="344"/>
      <c r="DI906" s="342"/>
      <c r="DK906" s="344"/>
      <c r="DS906" s="317"/>
      <c r="DT906" s="317"/>
    </row>
    <row r="907" spans="17:124" s="277" customFormat="1" ht="12.75" customHeight="1">
      <c r="Q907" s="342"/>
      <c r="AB907" s="342"/>
      <c r="AK907" s="317"/>
      <c r="AL907" s="317"/>
      <c r="AQ907" s="363"/>
      <c r="AR907" s="364"/>
      <c r="AV907" s="344"/>
      <c r="CJ907" s="344"/>
      <c r="CU907" s="344"/>
      <c r="DI907" s="342"/>
      <c r="DK907" s="344"/>
      <c r="DS907" s="317"/>
      <c r="DT907" s="317"/>
    </row>
    <row r="908" spans="17:124" s="277" customFormat="1" ht="12.75" customHeight="1">
      <c r="Q908" s="342"/>
      <c r="AB908" s="342"/>
      <c r="AK908" s="317"/>
      <c r="AL908" s="317"/>
      <c r="AQ908" s="363"/>
      <c r="AR908" s="364"/>
      <c r="AV908" s="344"/>
      <c r="CJ908" s="344"/>
      <c r="CU908" s="344"/>
      <c r="DI908" s="342"/>
      <c r="DK908" s="344"/>
      <c r="DS908" s="317"/>
      <c r="DT908" s="317"/>
    </row>
    <row r="909" spans="17:124" s="277" customFormat="1" ht="12.75" customHeight="1">
      <c r="Q909" s="342"/>
      <c r="AB909" s="342"/>
      <c r="AK909" s="317"/>
      <c r="AL909" s="317"/>
      <c r="AQ909" s="363"/>
      <c r="AR909" s="364"/>
      <c r="AV909" s="344"/>
      <c r="CJ909" s="344"/>
      <c r="CU909" s="344"/>
      <c r="DI909" s="342"/>
      <c r="DK909" s="344"/>
      <c r="DS909" s="317"/>
      <c r="DT909" s="317"/>
    </row>
    <row r="910" spans="17:124" s="277" customFormat="1" ht="12.75" customHeight="1">
      <c r="Q910" s="342"/>
      <c r="AB910" s="342"/>
      <c r="AK910" s="317"/>
      <c r="AL910" s="317"/>
      <c r="AQ910" s="363"/>
      <c r="AR910" s="364"/>
      <c r="AV910" s="344"/>
      <c r="CJ910" s="344"/>
      <c r="CU910" s="344"/>
      <c r="DI910" s="342"/>
      <c r="DK910" s="344"/>
      <c r="DS910" s="317"/>
      <c r="DT910" s="317"/>
    </row>
    <row r="911" spans="17:124" s="277" customFormat="1" ht="12.75" customHeight="1">
      <c r="Q911" s="342"/>
      <c r="AB911" s="342"/>
      <c r="AK911" s="317"/>
      <c r="AL911" s="317"/>
      <c r="AQ911" s="363"/>
      <c r="AR911" s="364"/>
      <c r="AV911" s="344"/>
      <c r="CJ911" s="344"/>
      <c r="CU911" s="344"/>
      <c r="DI911" s="342"/>
      <c r="DK911" s="344"/>
      <c r="DS911" s="317"/>
      <c r="DT911" s="317"/>
    </row>
    <row r="912" spans="17:124" s="277" customFormat="1" ht="12.75" customHeight="1">
      <c r="Q912" s="342"/>
      <c r="AB912" s="342"/>
      <c r="AK912" s="317"/>
      <c r="AL912" s="317"/>
      <c r="AQ912" s="363"/>
      <c r="AR912" s="364"/>
      <c r="AV912" s="344"/>
      <c r="CJ912" s="344"/>
      <c r="CU912" s="344"/>
      <c r="DI912" s="342"/>
      <c r="DK912" s="344"/>
      <c r="DS912" s="317"/>
      <c r="DT912" s="317"/>
    </row>
    <row r="913" spans="17:124" s="277" customFormat="1" ht="12.75" customHeight="1">
      <c r="Q913" s="342"/>
      <c r="AB913" s="342"/>
      <c r="AK913" s="317"/>
      <c r="AL913" s="317"/>
      <c r="AQ913" s="363"/>
      <c r="AR913" s="364"/>
      <c r="AV913" s="344"/>
      <c r="CJ913" s="344"/>
      <c r="CU913" s="344"/>
      <c r="DI913" s="342"/>
      <c r="DK913" s="344"/>
      <c r="DS913" s="317"/>
      <c r="DT913" s="317"/>
    </row>
    <row r="914" spans="17:124" s="277" customFormat="1" ht="12.75" customHeight="1">
      <c r="Q914" s="342"/>
      <c r="AB914" s="342"/>
      <c r="AK914" s="317"/>
      <c r="AL914" s="317"/>
      <c r="AQ914" s="363"/>
      <c r="AR914" s="364"/>
      <c r="AV914" s="344"/>
      <c r="CJ914" s="344"/>
      <c r="CU914" s="344"/>
      <c r="DI914" s="342"/>
      <c r="DK914" s="344"/>
      <c r="DS914" s="317"/>
      <c r="DT914" s="317"/>
    </row>
    <row r="915" spans="17:124" s="277" customFormat="1" ht="12.75" customHeight="1">
      <c r="Q915" s="342"/>
      <c r="AB915" s="342"/>
      <c r="AK915" s="317"/>
      <c r="AL915" s="317"/>
      <c r="AQ915" s="363"/>
      <c r="AR915" s="364"/>
      <c r="AV915" s="344"/>
      <c r="CJ915" s="344"/>
      <c r="CU915" s="344"/>
      <c r="DI915" s="342"/>
      <c r="DK915" s="344"/>
      <c r="DS915" s="317"/>
      <c r="DT915" s="317"/>
    </row>
    <row r="916" spans="17:124" s="277" customFormat="1" ht="12.75" customHeight="1">
      <c r="Q916" s="342"/>
      <c r="AB916" s="342"/>
      <c r="AK916" s="317"/>
      <c r="AL916" s="317"/>
      <c r="AQ916" s="363"/>
      <c r="AR916" s="364"/>
      <c r="AV916" s="344"/>
      <c r="CJ916" s="344"/>
      <c r="CU916" s="344"/>
      <c r="DI916" s="342"/>
      <c r="DK916" s="344"/>
      <c r="DS916" s="317"/>
      <c r="DT916" s="317"/>
    </row>
    <row r="917" spans="17:124" s="277" customFormat="1" ht="12.75" customHeight="1">
      <c r="Q917" s="342"/>
      <c r="AB917" s="342"/>
      <c r="AK917" s="317"/>
      <c r="AL917" s="317"/>
      <c r="AQ917" s="363"/>
      <c r="AR917" s="364"/>
      <c r="AV917" s="344"/>
      <c r="CJ917" s="344"/>
      <c r="CU917" s="344"/>
      <c r="DI917" s="342"/>
      <c r="DK917" s="344"/>
      <c r="DS917" s="317"/>
      <c r="DT917" s="317"/>
    </row>
    <row r="918" spans="17:124" s="277" customFormat="1" ht="12.75" customHeight="1">
      <c r="Q918" s="342"/>
      <c r="AB918" s="342"/>
      <c r="AK918" s="317"/>
      <c r="AL918" s="317"/>
      <c r="AQ918" s="363"/>
      <c r="AR918" s="364"/>
      <c r="AV918" s="344"/>
      <c r="CJ918" s="344"/>
      <c r="CU918" s="344"/>
      <c r="DI918" s="342"/>
      <c r="DK918" s="344"/>
      <c r="DS918" s="317"/>
      <c r="DT918" s="317"/>
    </row>
    <row r="919" spans="17:124" s="277" customFormat="1" ht="12.75" customHeight="1">
      <c r="Q919" s="342"/>
      <c r="AB919" s="342"/>
      <c r="AK919" s="317"/>
      <c r="AL919" s="317"/>
      <c r="AQ919" s="363"/>
      <c r="AR919" s="364"/>
      <c r="AV919" s="344"/>
      <c r="CJ919" s="344"/>
      <c r="CU919" s="344"/>
      <c r="DI919" s="342"/>
      <c r="DK919" s="344"/>
      <c r="DS919" s="317"/>
      <c r="DT919" s="317"/>
    </row>
    <row r="920" spans="17:124" s="277" customFormat="1" ht="12.75" customHeight="1">
      <c r="Q920" s="342"/>
      <c r="AB920" s="342"/>
      <c r="AK920" s="317"/>
      <c r="AL920" s="317"/>
      <c r="AQ920" s="363"/>
      <c r="AR920" s="364"/>
      <c r="AV920" s="344"/>
      <c r="CJ920" s="344"/>
      <c r="CU920" s="344"/>
      <c r="DI920" s="342"/>
      <c r="DK920" s="344"/>
      <c r="DS920" s="317"/>
      <c r="DT920" s="317"/>
    </row>
    <row r="921" spans="17:124" s="277" customFormat="1" ht="12.75" customHeight="1">
      <c r="Q921" s="342"/>
      <c r="AB921" s="342"/>
      <c r="AK921" s="317"/>
      <c r="AL921" s="317"/>
      <c r="AQ921" s="363"/>
      <c r="AR921" s="364"/>
      <c r="AV921" s="344"/>
      <c r="CJ921" s="344"/>
      <c r="CU921" s="344"/>
      <c r="DI921" s="342"/>
      <c r="DK921" s="344"/>
      <c r="DS921" s="317"/>
      <c r="DT921" s="317"/>
    </row>
    <row r="922" spans="17:124" s="277" customFormat="1" ht="12.75" customHeight="1">
      <c r="Q922" s="342"/>
      <c r="AB922" s="342"/>
      <c r="AK922" s="317"/>
      <c r="AL922" s="317"/>
      <c r="AQ922" s="363"/>
      <c r="AR922" s="364"/>
      <c r="AV922" s="344"/>
      <c r="CJ922" s="344"/>
      <c r="CU922" s="344"/>
      <c r="DI922" s="342"/>
      <c r="DK922" s="344"/>
      <c r="DS922" s="317"/>
      <c r="DT922" s="317"/>
    </row>
    <row r="923" spans="17:124" s="277" customFormat="1" ht="12.75" customHeight="1">
      <c r="Q923" s="342"/>
      <c r="AB923" s="342"/>
      <c r="AK923" s="317"/>
      <c r="AL923" s="317"/>
      <c r="AQ923" s="363"/>
      <c r="AR923" s="364"/>
      <c r="AV923" s="344"/>
      <c r="CJ923" s="344"/>
      <c r="CU923" s="344"/>
      <c r="DI923" s="342"/>
      <c r="DK923" s="344"/>
      <c r="DS923" s="317"/>
      <c r="DT923" s="317"/>
    </row>
    <row r="924" spans="17:124" s="277" customFormat="1" ht="12.75" customHeight="1">
      <c r="Q924" s="342"/>
      <c r="AB924" s="342"/>
      <c r="AK924" s="317"/>
      <c r="AL924" s="317"/>
      <c r="AQ924" s="363"/>
      <c r="AR924" s="364"/>
      <c r="AV924" s="344"/>
      <c r="CJ924" s="344"/>
      <c r="CU924" s="344"/>
      <c r="DI924" s="342"/>
      <c r="DK924" s="344"/>
      <c r="DS924" s="317"/>
      <c r="DT924" s="317"/>
    </row>
    <row r="925" spans="17:124" s="277" customFormat="1" ht="12.75" customHeight="1">
      <c r="Q925" s="342"/>
      <c r="AB925" s="342"/>
      <c r="AK925" s="317"/>
      <c r="AL925" s="317"/>
      <c r="AQ925" s="363"/>
      <c r="AR925" s="364"/>
      <c r="AV925" s="344"/>
      <c r="CJ925" s="344"/>
      <c r="CU925" s="344"/>
      <c r="DI925" s="342"/>
      <c r="DK925" s="344"/>
      <c r="DS925" s="317"/>
      <c r="DT925" s="317"/>
    </row>
    <row r="926" spans="17:124" s="277" customFormat="1" ht="12.75" customHeight="1">
      <c r="Q926" s="342"/>
      <c r="AB926" s="342"/>
      <c r="AK926" s="317"/>
      <c r="AL926" s="317"/>
      <c r="AQ926" s="363"/>
      <c r="AR926" s="364"/>
      <c r="AV926" s="344"/>
      <c r="CJ926" s="344"/>
      <c r="CU926" s="344"/>
      <c r="DI926" s="342"/>
      <c r="DK926" s="344"/>
      <c r="DS926" s="317"/>
      <c r="DT926" s="317"/>
    </row>
    <row r="927" spans="17:124" s="277" customFormat="1" ht="12.75" customHeight="1">
      <c r="Q927" s="342"/>
      <c r="AB927" s="342"/>
      <c r="AK927" s="317"/>
      <c r="AL927" s="317"/>
      <c r="AQ927" s="363"/>
      <c r="AR927" s="364"/>
      <c r="AV927" s="344"/>
      <c r="CJ927" s="344"/>
      <c r="CU927" s="344"/>
      <c r="DI927" s="342"/>
      <c r="DK927" s="344"/>
      <c r="DS927" s="317"/>
      <c r="DT927" s="317"/>
    </row>
    <row r="928" spans="17:124" s="277" customFormat="1" ht="12.75" customHeight="1">
      <c r="Q928" s="342"/>
      <c r="AB928" s="342"/>
      <c r="AK928" s="317"/>
      <c r="AL928" s="317"/>
      <c r="AQ928" s="363"/>
      <c r="AR928" s="364"/>
      <c r="AV928" s="344"/>
      <c r="CJ928" s="344"/>
      <c r="CU928" s="344"/>
      <c r="DI928" s="342"/>
      <c r="DK928" s="344"/>
      <c r="DS928" s="317"/>
      <c r="DT928" s="317"/>
    </row>
    <row r="929" spans="17:124" s="277" customFormat="1" ht="12.75" customHeight="1">
      <c r="Q929" s="342"/>
      <c r="AB929" s="342"/>
      <c r="AK929" s="317"/>
      <c r="AL929" s="317"/>
      <c r="AQ929" s="363"/>
      <c r="AR929" s="364"/>
      <c r="AV929" s="344"/>
      <c r="CJ929" s="344"/>
      <c r="CU929" s="344"/>
      <c r="DI929" s="342"/>
      <c r="DK929" s="344"/>
      <c r="DS929" s="317"/>
      <c r="DT929" s="317"/>
    </row>
    <row r="930" spans="17:124" s="277" customFormat="1" ht="12.75" customHeight="1">
      <c r="Q930" s="342"/>
      <c r="AB930" s="342"/>
      <c r="AK930" s="317"/>
      <c r="AL930" s="317"/>
      <c r="AQ930" s="363"/>
      <c r="AR930" s="364"/>
      <c r="AV930" s="344"/>
      <c r="CJ930" s="344"/>
      <c r="CU930" s="344"/>
      <c r="DI930" s="342"/>
      <c r="DK930" s="344"/>
      <c r="DS930" s="317"/>
      <c r="DT930" s="317"/>
    </row>
    <row r="931" spans="17:124" s="277" customFormat="1" ht="12.75" customHeight="1">
      <c r="Q931" s="342"/>
      <c r="AB931" s="342"/>
      <c r="AK931" s="317"/>
      <c r="AL931" s="317"/>
      <c r="AQ931" s="363"/>
      <c r="AR931" s="364"/>
      <c r="AV931" s="344"/>
      <c r="CJ931" s="344"/>
      <c r="CU931" s="344"/>
      <c r="DI931" s="342"/>
      <c r="DK931" s="344"/>
      <c r="DS931" s="317"/>
      <c r="DT931" s="317"/>
    </row>
    <row r="932" spans="17:124" s="277" customFormat="1" ht="12.75" customHeight="1">
      <c r="Q932" s="342"/>
      <c r="AB932" s="342"/>
      <c r="AK932" s="317"/>
      <c r="AL932" s="317"/>
      <c r="AQ932" s="363"/>
      <c r="AR932" s="364"/>
      <c r="AV932" s="344"/>
      <c r="CJ932" s="344"/>
      <c r="CU932" s="344"/>
      <c r="DI932" s="342"/>
      <c r="DK932" s="344"/>
      <c r="DS932" s="317"/>
      <c r="DT932" s="317"/>
    </row>
    <row r="933" spans="17:124" s="277" customFormat="1" ht="12.75" customHeight="1">
      <c r="Q933" s="342"/>
      <c r="AB933" s="342"/>
      <c r="AK933" s="317"/>
      <c r="AL933" s="317"/>
      <c r="AQ933" s="363"/>
      <c r="AR933" s="364"/>
      <c r="AV933" s="344"/>
      <c r="CJ933" s="344"/>
      <c r="CU933" s="344"/>
      <c r="DI933" s="342"/>
      <c r="DK933" s="344"/>
      <c r="DS933" s="317"/>
      <c r="DT933" s="317"/>
    </row>
    <row r="934" spans="17:124" s="277" customFormat="1" ht="12.75" customHeight="1">
      <c r="Q934" s="342"/>
      <c r="AB934" s="342"/>
      <c r="AK934" s="317"/>
      <c r="AL934" s="317"/>
      <c r="AQ934" s="363"/>
      <c r="AR934" s="364"/>
      <c r="AV934" s="344"/>
      <c r="CJ934" s="344"/>
      <c r="CU934" s="344"/>
      <c r="DI934" s="342"/>
      <c r="DK934" s="344"/>
      <c r="DS934" s="317"/>
      <c r="DT934" s="317"/>
    </row>
    <row r="935" spans="17:124" s="277" customFormat="1" ht="12.75" customHeight="1">
      <c r="Q935" s="342"/>
      <c r="AB935" s="342"/>
      <c r="AK935" s="317"/>
      <c r="AL935" s="317"/>
      <c r="AQ935" s="363"/>
      <c r="AR935" s="364"/>
      <c r="AV935" s="344"/>
      <c r="CJ935" s="344"/>
      <c r="CU935" s="344"/>
      <c r="DI935" s="342"/>
      <c r="DK935" s="344"/>
      <c r="DS935" s="317"/>
      <c r="DT935" s="317"/>
    </row>
    <row r="936" spans="17:124" s="277" customFormat="1" ht="12.75" customHeight="1">
      <c r="Q936" s="342"/>
      <c r="AB936" s="342"/>
      <c r="AK936" s="317"/>
      <c r="AL936" s="317"/>
      <c r="AQ936" s="363"/>
      <c r="AR936" s="364"/>
      <c r="AV936" s="344"/>
      <c r="CJ936" s="344"/>
      <c r="CU936" s="344"/>
      <c r="DI936" s="342"/>
      <c r="DK936" s="344"/>
      <c r="DS936" s="317"/>
      <c r="DT936" s="317"/>
    </row>
    <row r="937" spans="17:124" s="277" customFormat="1" ht="12.75" customHeight="1">
      <c r="Q937" s="342"/>
      <c r="AB937" s="342"/>
      <c r="AK937" s="317"/>
      <c r="AL937" s="317"/>
      <c r="AQ937" s="363"/>
      <c r="AR937" s="364"/>
      <c r="AV937" s="344"/>
      <c r="CJ937" s="344"/>
      <c r="CU937" s="344"/>
      <c r="DI937" s="342"/>
      <c r="DK937" s="344"/>
      <c r="DS937" s="317"/>
      <c r="DT937" s="317"/>
    </row>
    <row r="938" spans="17:124" s="277" customFormat="1" ht="12.75" customHeight="1">
      <c r="Q938" s="342"/>
      <c r="AB938" s="342"/>
      <c r="AK938" s="317"/>
      <c r="AL938" s="317"/>
      <c r="AQ938" s="363"/>
      <c r="AR938" s="364"/>
      <c r="AV938" s="344"/>
      <c r="CJ938" s="344"/>
      <c r="CU938" s="344"/>
      <c r="DI938" s="342"/>
      <c r="DK938" s="344"/>
      <c r="DS938" s="317"/>
      <c r="DT938" s="317"/>
    </row>
    <row r="939" spans="17:124" s="277" customFormat="1" ht="12.75" customHeight="1">
      <c r="Q939" s="342"/>
      <c r="AB939" s="342"/>
      <c r="AK939" s="317"/>
      <c r="AL939" s="317"/>
      <c r="AQ939" s="363"/>
      <c r="AR939" s="364"/>
      <c r="AV939" s="344"/>
      <c r="CJ939" s="344"/>
      <c r="CU939" s="344"/>
      <c r="DI939" s="342"/>
      <c r="DK939" s="344"/>
      <c r="DS939" s="317"/>
      <c r="DT939" s="317"/>
    </row>
    <row r="940" spans="17:124" s="277" customFormat="1" ht="12.75" customHeight="1">
      <c r="Q940" s="342"/>
      <c r="AB940" s="342"/>
      <c r="AK940" s="317"/>
      <c r="AL940" s="317"/>
      <c r="AQ940" s="363"/>
      <c r="AR940" s="364"/>
      <c r="AV940" s="344"/>
      <c r="CJ940" s="344"/>
      <c r="CU940" s="344"/>
      <c r="DI940" s="342"/>
      <c r="DK940" s="344"/>
      <c r="DS940" s="317"/>
      <c r="DT940" s="317"/>
    </row>
    <row r="941" spans="17:124" s="277" customFormat="1" ht="12.75" customHeight="1">
      <c r="Q941" s="342"/>
      <c r="AB941" s="342"/>
      <c r="AK941" s="317"/>
      <c r="AL941" s="317"/>
      <c r="AQ941" s="363"/>
      <c r="AR941" s="364"/>
      <c r="AV941" s="344"/>
      <c r="CJ941" s="344"/>
      <c r="CU941" s="344"/>
      <c r="DI941" s="342"/>
      <c r="DK941" s="344"/>
      <c r="DS941" s="317"/>
      <c r="DT941" s="317"/>
    </row>
    <row r="942" spans="17:124" s="277" customFormat="1" ht="12.75" customHeight="1">
      <c r="Q942" s="342"/>
      <c r="AB942" s="342"/>
      <c r="AK942" s="317"/>
      <c r="AL942" s="317"/>
      <c r="AQ942" s="363"/>
      <c r="AR942" s="364"/>
      <c r="AV942" s="344"/>
      <c r="CJ942" s="344"/>
      <c r="CU942" s="344"/>
      <c r="DI942" s="342"/>
      <c r="DK942" s="344"/>
      <c r="DS942" s="317"/>
      <c r="DT942" s="317"/>
    </row>
    <row r="943" spans="17:124" s="277" customFormat="1" ht="12.75" customHeight="1">
      <c r="Q943" s="342"/>
      <c r="AB943" s="342"/>
      <c r="AK943" s="317"/>
      <c r="AL943" s="317"/>
      <c r="AQ943" s="363"/>
      <c r="AR943" s="364"/>
      <c r="AV943" s="344"/>
      <c r="CJ943" s="344"/>
      <c r="CU943" s="344"/>
      <c r="DI943" s="342"/>
      <c r="DK943" s="344"/>
      <c r="DS943" s="317"/>
      <c r="DT943" s="317"/>
    </row>
    <row r="944" spans="17:124" s="277" customFormat="1" ht="12.75" customHeight="1">
      <c r="Q944" s="342"/>
      <c r="AB944" s="342"/>
      <c r="AK944" s="317"/>
      <c r="AL944" s="317"/>
      <c r="AQ944" s="363"/>
      <c r="AR944" s="364"/>
      <c r="AV944" s="344"/>
      <c r="CJ944" s="344"/>
      <c r="CU944" s="344"/>
      <c r="DI944" s="342"/>
      <c r="DK944" s="344"/>
      <c r="DS944" s="317"/>
      <c r="DT944" s="317"/>
    </row>
    <row r="945" spans="17:124" s="277" customFormat="1" ht="12.75" customHeight="1">
      <c r="Q945" s="342"/>
      <c r="AB945" s="342"/>
      <c r="AK945" s="317"/>
      <c r="AL945" s="317"/>
      <c r="AQ945" s="363"/>
      <c r="AR945" s="364"/>
      <c r="AV945" s="344"/>
      <c r="CJ945" s="344"/>
      <c r="CU945" s="344"/>
      <c r="DI945" s="342"/>
      <c r="DK945" s="344"/>
      <c r="DS945" s="317"/>
      <c r="DT945" s="317"/>
    </row>
    <row r="946" spans="17:124" s="277" customFormat="1" ht="12.75" customHeight="1">
      <c r="Q946" s="342"/>
      <c r="AB946" s="342"/>
      <c r="AK946" s="317"/>
      <c r="AL946" s="317"/>
      <c r="AQ946" s="363"/>
      <c r="AR946" s="364"/>
      <c r="AV946" s="344"/>
      <c r="CJ946" s="344"/>
      <c r="CU946" s="344"/>
      <c r="DI946" s="342"/>
      <c r="DK946" s="344"/>
      <c r="DS946" s="317"/>
      <c r="DT946" s="317"/>
    </row>
    <row r="947" spans="17:124" s="277" customFormat="1" ht="12.75" customHeight="1">
      <c r="Q947" s="342"/>
      <c r="AB947" s="342"/>
      <c r="AK947" s="317"/>
      <c r="AL947" s="317"/>
      <c r="AQ947" s="363"/>
      <c r="AR947" s="364"/>
      <c r="AV947" s="344"/>
      <c r="CJ947" s="344"/>
      <c r="CU947" s="344"/>
      <c r="DI947" s="342"/>
      <c r="DK947" s="344"/>
      <c r="DS947" s="317"/>
      <c r="DT947" s="317"/>
    </row>
    <row r="948" spans="17:124" s="277" customFormat="1" ht="12.75" customHeight="1">
      <c r="Q948" s="342"/>
      <c r="AB948" s="342"/>
      <c r="AK948" s="317"/>
      <c r="AL948" s="317"/>
      <c r="AQ948" s="363"/>
      <c r="AR948" s="364"/>
      <c r="AV948" s="344"/>
      <c r="CJ948" s="344"/>
      <c r="CU948" s="344"/>
      <c r="DI948" s="342"/>
      <c r="DK948" s="344"/>
      <c r="DS948" s="317"/>
      <c r="DT948" s="317"/>
    </row>
    <row r="949" spans="17:124" s="277" customFormat="1" ht="12.75" customHeight="1">
      <c r="Q949" s="342"/>
      <c r="AB949" s="342"/>
      <c r="AK949" s="317"/>
      <c r="AL949" s="317"/>
      <c r="AQ949" s="363"/>
      <c r="AR949" s="364"/>
      <c r="AV949" s="344"/>
      <c r="CJ949" s="344"/>
      <c r="CU949" s="344"/>
      <c r="DI949" s="342"/>
      <c r="DK949" s="344"/>
      <c r="DS949" s="317"/>
      <c r="DT949" s="317"/>
    </row>
    <row r="950" spans="17:124" s="277" customFormat="1" ht="12.75" customHeight="1">
      <c r="Q950" s="342"/>
      <c r="AB950" s="342"/>
      <c r="AK950" s="317"/>
      <c r="AL950" s="317"/>
      <c r="AQ950" s="363"/>
      <c r="AR950" s="364"/>
      <c r="AV950" s="344"/>
      <c r="CJ950" s="344"/>
      <c r="CU950" s="344"/>
      <c r="DI950" s="342"/>
      <c r="DK950" s="344"/>
      <c r="DS950" s="317"/>
      <c r="DT950" s="317"/>
    </row>
    <row r="951" spans="17:124" s="277" customFormat="1" ht="12.75" customHeight="1">
      <c r="Q951" s="342"/>
      <c r="AB951" s="342"/>
      <c r="AK951" s="317"/>
      <c r="AL951" s="317"/>
      <c r="AQ951" s="363"/>
      <c r="AR951" s="364"/>
      <c r="AV951" s="344"/>
      <c r="CJ951" s="344"/>
      <c r="CU951" s="344"/>
      <c r="DI951" s="342"/>
      <c r="DK951" s="344"/>
      <c r="DS951" s="317"/>
      <c r="DT951" s="317"/>
    </row>
    <row r="952" spans="17:124" s="277" customFormat="1" ht="12.75" customHeight="1">
      <c r="Q952" s="342"/>
      <c r="AB952" s="342"/>
      <c r="AK952" s="317"/>
      <c r="AL952" s="317"/>
      <c r="AQ952" s="363"/>
      <c r="AR952" s="364"/>
      <c r="AV952" s="344"/>
      <c r="CJ952" s="344"/>
      <c r="CU952" s="344"/>
      <c r="DI952" s="342"/>
      <c r="DK952" s="344"/>
      <c r="DS952" s="317"/>
      <c r="DT952" s="317"/>
    </row>
    <row r="953" spans="17:124" s="277" customFormat="1" ht="12.75" customHeight="1">
      <c r="Q953" s="342"/>
      <c r="AB953" s="342"/>
      <c r="AK953" s="317"/>
      <c r="AL953" s="317"/>
      <c r="AQ953" s="363"/>
      <c r="AR953" s="364"/>
      <c r="AV953" s="344"/>
      <c r="CJ953" s="344"/>
      <c r="CU953" s="344"/>
      <c r="DI953" s="342"/>
      <c r="DK953" s="344"/>
      <c r="DS953" s="317"/>
      <c r="DT953" s="317"/>
    </row>
    <row r="954" spans="17:124" s="277" customFormat="1" ht="12.75" customHeight="1">
      <c r="Q954" s="342"/>
      <c r="AB954" s="342"/>
      <c r="AK954" s="317"/>
      <c r="AL954" s="317"/>
      <c r="AQ954" s="363"/>
      <c r="AR954" s="364"/>
      <c r="AV954" s="344"/>
      <c r="CJ954" s="344"/>
      <c r="CU954" s="344"/>
      <c r="DI954" s="342"/>
      <c r="DK954" s="344"/>
      <c r="DS954" s="317"/>
      <c r="DT954" s="317"/>
    </row>
    <row r="955" spans="17:124" s="277" customFormat="1" ht="12.75" customHeight="1">
      <c r="Q955" s="342"/>
      <c r="AB955" s="342"/>
      <c r="AK955" s="317"/>
      <c r="AL955" s="317"/>
      <c r="AQ955" s="363"/>
      <c r="AR955" s="364"/>
      <c r="AV955" s="344"/>
      <c r="CJ955" s="344"/>
      <c r="CU955" s="344"/>
      <c r="DI955" s="342"/>
      <c r="DK955" s="344"/>
      <c r="DS955" s="317"/>
      <c r="DT955" s="317"/>
    </row>
    <row r="956" spans="17:124" s="277" customFormat="1" ht="12.75" customHeight="1">
      <c r="Q956" s="342"/>
      <c r="AB956" s="342"/>
      <c r="AK956" s="317"/>
      <c r="AL956" s="317"/>
      <c r="AQ956" s="363"/>
      <c r="AR956" s="364"/>
      <c r="AV956" s="344"/>
      <c r="CJ956" s="344"/>
      <c r="CU956" s="344"/>
      <c r="DI956" s="342"/>
      <c r="DK956" s="344"/>
      <c r="DS956" s="317"/>
      <c r="DT956" s="317"/>
    </row>
    <row r="957" spans="17:124" s="277" customFormat="1" ht="12.75" customHeight="1">
      <c r="Q957" s="342"/>
      <c r="AB957" s="342"/>
      <c r="AK957" s="317"/>
      <c r="AL957" s="317"/>
      <c r="AQ957" s="363"/>
      <c r="AR957" s="364"/>
      <c r="AV957" s="344"/>
      <c r="CJ957" s="344"/>
      <c r="CU957" s="344"/>
      <c r="DI957" s="342"/>
      <c r="DK957" s="344"/>
      <c r="DS957" s="317"/>
      <c r="DT957" s="317"/>
    </row>
    <row r="958" spans="17:124" s="277" customFormat="1" ht="12.75" customHeight="1">
      <c r="Q958" s="342"/>
      <c r="AB958" s="342"/>
      <c r="AK958" s="317"/>
      <c r="AL958" s="317"/>
      <c r="AQ958" s="363"/>
      <c r="AR958" s="364"/>
      <c r="AV958" s="344"/>
      <c r="CJ958" s="344"/>
      <c r="CU958" s="344"/>
      <c r="DI958" s="342"/>
      <c r="DK958" s="344"/>
      <c r="DS958" s="317"/>
      <c r="DT958" s="317"/>
    </row>
    <row r="959" spans="17:124" s="277" customFormat="1" ht="12.75" customHeight="1">
      <c r="Q959" s="342"/>
      <c r="AB959" s="342"/>
      <c r="AK959" s="317"/>
      <c r="AL959" s="317"/>
      <c r="AQ959" s="363"/>
      <c r="AR959" s="364"/>
      <c r="AV959" s="344"/>
      <c r="CJ959" s="344"/>
      <c r="CU959" s="344"/>
      <c r="DI959" s="342"/>
      <c r="DK959" s="344"/>
      <c r="DS959" s="317"/>
      <c r="DT959" s="317"/>
    </row>
    <row r="960" spans="17:124" s="277" customFormat="1" ht="12.75" customHeight="1">
      <c r="Q960" s="342"/>
      <c r="AB960" s="342"/>
      <c r="AK960" s="317"/>
      <c r="AL960" s="317"/>
      <c r="AQ960" s="363"/>
      <c r="AR960" s="364"/>
      <c r="AV960" s="344"/>
      <c r="CJ960" s="344"/>
      <c r="CU960" s="344"/>
      <c r="DI960" s="342"/>
      <c r="DK960" s="344"/>
      <c r="DS960" s="317"/>
      <c r="DT960" s="317"/>
    </row>
    <row r="961" spans="17:124" s="277" customFormat="1" ht="12.75" customHeight="1">
      <c r="Q961" s="342"/>
      <c r="AB961" s="342"/>
      <c r="AK961" s="317"/>
      <c r="AL961" s="317"/>
      <c r="AQ961" s="363"/>
      <c r="AR961" s="364"/>
      <c r="AV961" s="344"/>
      <c r="CJ961" s="344"/>
      <c r="CU961" s="344"/>
      <c r="DI961" s="342"/>
      <c r="DK961" s="344"/>
      <c r="DS961" s="317"/>
      <c r="DT961" s="317"/>
    </row>
    <row r="962" spans="17:124" s="277" customFormat="1" ht="12.75" customHeight="1">
      <c r="Q962" s="342"/>
      <c r="AB962" s="342"/>
      <c r="AK962" s="317"/>
      <c r="AL962" s="317"/>
      <c r="AQ962" s="363"/>
      <c r="AR962" s="364"/>
      <c r="AV962" s="344"/>
      <c r="CJ962" s="344"/>
      <c r="CU962" s="344"/>
      <c r="DI962" s="342"/>
      <c r="DK962" s="344"/>
      <c r="DS962" s="317"/>
      <c r="DT962" s="317"/>
    </row>
    <row r="963" spans="17:124" s="277" customFormat="1" ht="12.75" customHeight="1">
      <c r="Q963" s="342"/>
      <c r="AB963" s="342"/>
      <c r="AK963" s="317"/>
      <c r="AL963" s="317"/>
      <c r="AQ963" s="363"/>
      <c r="AR963" s="364"/>
      <c r="AV963" s="344"/>
      <c r="CJ963" s="344"/>
      <c r="CU963" s="344"/>
      <c r="DI963" s="342"/>
      <c r="DK963" s="344"/>
      <c r="DS963" s="317"/>
      <c r="DT963" s="317"/>
    </row>
    <row r="964" spans="17:124" s="277" customFormat="1" ht="12.75" customHeight="1">
      <c r="Q964" s="342"/>
      <c r="AB964" s="342"/>
      <c r="AK964" s="317"/>
      <c r="AL964" s="317"/>
      <c r="AQ964" s="363"/>
      <c r="AR964" s="364"/>
      <c r="AV964" s="344"/>
      <c r="CJ964" s="344"/>
      <c r="CU964" s="344"/>
      <c r="DI964" s="342"/>
      <c r="DK964" s="344"/>
      <c r="DS964" s="317"/>
      <c r="DT964" s="317"/>
    </row>
    <row r="965" spans="17:124" s="277" customFormat="1" ht="12.75" customHeight="1">
      <c r="Q965" s="342"/>
      <c r="AB965" s="342"/>
      <c r="AK965" s="317"/>
      <c r="AL965" s="317"/>
      <c r="AQ965" s="363"/>
      <c r="AR965" s="364"/>
      <c r="AV965" s="344"/>
      <c r="CJ965" s="344"/>
      <c r="CU965" s="344"/>
      <c r="DI965" s="342"/>
      <c r="DK965" s="344"/>
      <c r="DS965" s="317"/>
      <c r="DT965" s="317"/>
    </row>
    <row r="966" spans="17:124" s="277" customFormat="1" ht="12.75" customHeight="1">
      <c r="Q966" s="342"/>
      <c r="AB966" s="342"/>
      <c r="AK966" s="317"/>
      <c r="AL966" s="317"/>
      <c r="AQ966" s="363"/>
      <c r="AR966" s="364"/>
      <c r="AV966" s="344"/>
      <c r="CJ966" s="344"/>
      <c r="CU966" s="344"/>
      <c r="DI966" s="342"/>
      <c r="DK966" s="344"/>
      <c r="DS966" s="317"/>
      <c r="DT966" s="317"/>
    </row>
    <row r="967" spans="17:124" s="277" customFormat="1" ht="12.75" customHeight="1">
      <c r="Q967" s="342"/>
      <c r="AB967" s="342"/>
      <c r="AK967" s="317"/>
      <c r="AL967" s="317"/>
      <c r="AQ967" s="363"/>
      <c r="AR967" s="364"/>
      <c r="AV967" s="344"/>
      <c r="CJ967" s="344"/>
      <c r="CU967" s="344"/>
      <c r="DI967" s="342"/>
      <c r="DK967" s="344"/>
      <c r="DS967" s="317"/>
      <c r="DT967" s="317"/>
    </row>
    <row r="968" spans="17:124" s="277" customFormat="1" ht="12.75" customHeight="1">
      <c r="Q968" s="342"/>
      <c r="AB968" s="342"/>
      <c r="AK968" s="317"/>
      <c r="AL968" s="317"/>
      <c r="AQ968" s="363"/>
      <c r="AR968" s="364"/>
      <c r="AV968" s="344"/>
      <c r="CJ968" s="344"/>
      <c r="CU968" s="344"/>
      <c r="DI968" s="342"/>
      <c r="DK968" s="344"/>
      <c r="DS968" s="317"/>
      <c r="DT968" s="317"/>
    </row>
    <row r="969" spans="17:124" s="277" customFormat="1" ht="12.75" customHeight="1">
      <c r="Q969" s="342"/>
      <c r="AB969" s="342"/>
      <c r="AK969" s="317"/>
      <c r="AL969" s="317"/>
      <c r="AQ969" s="363"/>
      <c r="AR969" s="364"/>
      <c r="AV969" s="344"/>
      <c r="CJ969" s="344"/>
      <c r="CU969" s="344"/>
      <c r="DI969" s="342"/>
      <c r="DK969" s="344"/>
      <c r="DS969" s="317"/>
      <c r="DT969" s="317"/>
    </row>
    <row r="970" spans="17:124" s="277" customFormat="1" ht="12.75" customHeight="1">
      <c r="Q970" s="342"/>
      <c r="AB970" s="342"/>
      <c r="AK970" s="317"/>
      <c r="AL970" s="317"/>
      <c r="AQ970" s="363"/>
      <c r="AR970" s="364"/>
      <c r="AV970" s="344"/>
      <c r="CJ970" s="344"/>
      <c r="CU970" s="344"/>
      <c r="DI970" s="342"/>
      <c r="DK970" s="344"/>
      <c r="DS970" s="317"/>
      <c r="DT970" s="317"/>
    </row>
    <row r="971" spans="17:124" s="277" customFormat="1" ht="12.75" customHeight="1">
      <c r="Q971" s="342"/>
      <c r="AB971" s="342"/>
      <c r="AK971" s="317"/>
      <c r="AL971" s="317"/>
      <c r="AQ971" s="363"/>
      <c r="AR971" s="364"/>
      <c r="AV971" s="344"/>
      <c r="CJ971" s="344"/>
      <c r="CU971" s="344"/>
      <c r="DI971" s="342"/>
      <c r="DK971" s="344"/>
      <c r="DS971" s="317"/>
      <c r="DT971" s="317"/>
    </row>
    <row r="972" spans="17:124" s="277" customFormat="1" ht="12.75" customHeight="1">
      <c r="Q972" s="342"/>
      <c r="AB972" s="342"/>
      <c r="AK972" s="317"/>
      <c r="AL972" s="317"/>
      <c r="AQ972" s="363"/>
      <c r="AR972" s="364"/>
      <c r="AV972" s="344"/>
      <c r="CJ972" s="344"/>
      <c r="CU972" s="344"/>
      <c r="DI972" s="342"/>
      <c r="DK972" s="344"/>
      <c r="DS972" s="317"/>
      <c r="DT972" s="317"/>
    </row>
    <row r="973" spans="17:124" s="277" customFormat="1" ht="12.75" customHeight="1">
      <c r="Q973" s="342"/>
      <c r="AB973" s="342"/>
      <c r="AK973" s="317"/>
      <c r="AL973" s="317"/>
      <c r="AQ973" s="363"/>
      <c r="AR973" s="364"/>
      <c r="AV973" s="344"/>
      <c r="CJ973" s="344"/>
      <c r="CU973" s="344"/>
      <c r="DI973" s="342"/>
      <c r="DK973" s="344"/>
      <c r="DS973" s="317"/>
      <c r="DT973" s="317"/>
    </row>
    <row r="974" spans="17:124" s="277" customFormat="1" ht="12.75" customHeight="1">
      <c r="Q974" s="342"/>
      <c r="AB974" s="342"/>
      <c r="AK974" s="317"/>
      <c r="AL974" s="317"/>
      <c r="AQ974" s="363"/>
      <c r="AR974" s="364"/>
      <c r="AV974" s="344"/>
      <c r="CJ974" s="344"/>
      <c r="CU974" s="344"/>
      <c r="DI974" s="342"/>
      <c r="DK974" s="344"/>
      <c r="DS974" s="317"/>
      <c r="DT974" s="317"/>
    </row>
    <row r="975" spans="17:124" s="277" customFormat="1" ht="12.75" customHeight="1">
      <c r="Q975" s="342"/>
      <c r="AB975" s="342"/>
      <c r="AK975" s="317"/>
      <c r="AL975" s="317"/>
      <c r="AQ975" s="363"/>
      <c r="AR975" s="364"/>
      <c r="AV975" s="344"/>
      <c r="CJ975" s="344"/>
      <c r="CU975" s="344"/>
      <c r="DI975" s="342"/>
      <c r="DK975" s="344"/>
      <c r="DS975" s="317"/>
      <c r="DT975" s="317"/>
    </row>
    <row r="976" spans="17:124" s="277" customFormat="1" ht="12.75" customHeight="1">
      <c r="Q976" s="342"/>
      <c r="AB976" s="342"/>
      <c r="AK976" s="317"/>
      <c r="AL976" s="317"/>
      <c r="AQ976" s="363"/>
      <c r="AR976" s="364"/>
      <c r="AV976" s="344"/>
      <c r="CJ976" s="344"/>
      <c r="CU976" s="344"/>
      <c r="DI976" s="342"/>
      <c r="DK976" s="344"/>
      <c r="DS976" s="317"/>
      <c r="DT976" s="317"/>
    </row>
    <row r="977" spans="17:124" s="277" customFormat="1" ht="12.75" customHeight="1">
      <c r="Q977" s="342"/>
      <c r="AB977" s="342"/>
      <c r="AK977" s="317"/>
      <c r="AL977" s="317"/>
      <c r="AQ977" s="363"/>
      <c r="AR977" s="364"/>
      <c r="AV977" s="344"/>
      <c r="CJ977" s="344"/>
      <c r="CU977" s="344"/>
      <c r="DI977" s="342"/>
      <c r="DK977" s="344"/>
      <c r="DS977" s="317"/>
      <c r="DT977" s="317"/>
    </row>
    <row r="978" spans="17:124" s="277" customFormat="1" ht="12.75" customHeight="1">
      <c r="Q978" s="342"/>
      <c r="AB978" s="342"/>
      <c r="AK978" s="317"/>
      <c r="AL978" s="317"/>
      <c r="AQ978" s="363"/>
      <c r="AR978" s="364"/>
      <c r="AV978" s="344"/>
      <c r="CJ978" s="344"/>
      <c r="CU978" s="344"/>
      <c r="DI978" s="342"/>
      <c r="DK978" s="344"/>
      <c r="DS978" s="317"/>
      <c r="DT978" s="317"/>
    </row>
    <row r="979" spans="17:124" s="277" customFormat="1" ht="12.75" customHeight="1">
      <c r="Q979" s="342"/>
      <c r="AB979" s="342"/>
      <c r="AK979" s="317"/>
      <c r="AL979" s="317"/>
      <c r="AQ979" s="363"/>
      <c r="AR979" s="364"/>
      <c r="AV979" s="344"/>
      <c r="CJ979" s="344"/>
      <c r="CU979" s="344"/>
      <c r="DI979" s="342"/>
      <c r="DK979" s="344"/>
      <c r="DS979" s="317"/>
      <c r="DT979" s="317"/>
    </row>
    <row r="980" spans="17:124" s="277" customFormat="1" ht="12.75" customHeight="1">
      <c r="Q980" s="342"/>
      <c r="AB980" s="342"/>
      <c r="AK980" s="317"/>
      <c r="AL980" s="317"/>
      <c r="AQ980" s="363"/>
      <c r="AR980" s="364"/>
      <c r="AV980" s="344"/>
      <c r="CJ980" s="344"/>
      <c r="CU980" s="344"/>
      <c r="DI980" s="342"/>
      <c r="DK980" s="344"/>
      <c r="DS980" s="317"/>
      <c r="DT980" s="317"/>
    </row>
    <row r="981" spans="17:124" s="277" customFormat="1" ht="12.75" customHeight="1">
      <c r="Q981" s="342"/>
      <c r="AB981" s="342"/>
      <c r="AK981" s="317"/>
      <c r="AL981" s="317"/>
      <c r="AQ981" s="363"/>
      <c r="AR981" s="364"/>
      <c r="AV981" s="344"/>
      <c r="CJ981" s="344"/>
      <c r="CU981" s="344"/>
      <c r="DI981" s="342"/>
      <c r="DK981" s="344"/>
      <c r="DS981" s="317"/>
      <c r="DT981" s="317"/>
    </row>
    <row r="982" spans="17:124" s="277" customFormat="1" ht="12.75" customHeight="1">
      <c r="Q982" s="342"/>
      <c r="AB982" s="342"/>
      <c r="AK982" s="317"/>
      <c r="AL982" s="317"/>
      <c r="AQ982" s="363"/>
      <c r="AR982" s="364"/>
      <c r="AV982" s="344"/>
      <c r="CJ982" s="344"/>
      <c r="CU982" s="344"/>
      <c r="DI982" s="342"/>
      <c r="DK982" s="344"/>
      <c r="DS982" s="317"/>
      <c r="DT982" s="317"/>
    </row>
    <row r="983" spans="17:124" s="277" customFormat="1" ht="12.75" customHeight="1">
      <c r="Q983" s="342"/>
      <c r="AB983" s="342"/>
      <c r="AK983" s="317"/>
      <c r="AL983" s="317"/>
      <c r="AQ983" s="363"/>
      <c r="AR983" s="364"/>
      <c r="AV983" s="344"/>
      <c r="CJ983" s="344"/>
      <c r="CU983" s="344"/>
      <c r="DI983" s="342"/>
      <c r="DK983" s="344"/>
      <c r="DS983" s="317"/>
      <c r="DT983" s="317"/>
    </row>
    <row r="984" spans="17:124" s="277" customFormat="1" ht="12.75" customHeight="1">
      <c r="Q984" s="342"/>
      <c r="AB984" s="342"/>
      <c r="AK984" s="317"/>
      <c r="AL984" s="317"/>
      <c r="AQ984" s="363"/>
      <c r="AR984" s="364"/>
      <c r="AV984" s="344"/>
      <c r="CJ984" s="344"/>
      <c r="CU984" s="344"/>
      <c r="DI984" s="342"/>
      <c r="DK984" s="344"/>
      <c r="DS984" s="317"/>
      <c r="DT984" s="317"/>
    </row>
    <row r="985" spans="17:124" s="277" customFormat="1" ht="12.75" customHeight="1">
      <c r="Q985" s="342"/>
      <c r="AB985" s="342"/>
      <c r="AK985" s="317"/>
      <c r="AL985" s="317"/>
      <c r="AQ985" s="363"/>
      <c r="AR985" s="364"/>
      <c r="AV985" s="344"/>
      <c r="CJ985" s="344"/>
      <c r="CU985" s="344"/>
      <c r="DI985" s="342"/>
      <c r="DK985" s="344"/>
      <c r="DS985" s="317"/>
      <c r="DT985" s="317"/>
    </row>
    <row r="986" spans="17:124" s="277" customFormat="1" ht="12.75" customHeight="1">
      <c r="Q986" s="342"/>
      <c r="AB986" s="342"/>
      <c r="AK986" s="317"/>
      <c r="AL986" s="317"/>
      <c r="AQ986" s="363"/>
      <c r="AR986" s="364"/>
      <c r="AV986" s="344"/>
      <c r="CJ986" s="344"/>
      <c r="CU986" s="344"/>
      <c r="DI986" s="342"/>
      <c r="DK986" s="344"/>
      <c r="DS986" s="317"/>
      <c r="DT986" s="317"/>
    </row>
    <row r="987" spans="17:124" s="277" customFormat="1" ht="12.75" customHeight="1">
      <c r="Q987" s="342"/>
      <c r="AB987" s="342"/>
      <c r="AK987" s="317"/>
      <c r="AL987" s="317"/>
      <c r="AQ987" s="363"/>
      <c r="AR987" s="364"/>
      <c r="AV987" s="344"/>
      <c r="CJ987" s="344"/>
      <c r="CU987" s="344"/>
      <c r="DI987" s="342"/>
      <c r="DK987" s="344"/>
      <c r="DS987" s="317"/>
      <c r="DT987" s="317"/>
    </row>
    <row r="988" spans="17:124" s="277" customFormat="1" ht="12.75" customHeight="1">
      <c r="Q988" s="342"/>
      <c r="AB988" s="342"/>
      <c r="AK988" s="317"/>
      <c r="AL988" s="317"/>
      <c r="AQ988" s="363"/>
      <c r="AR988" s="364"/>
      <c r="AV988" s="344"/>
      <c r="CJ988" s="344"/>
      <c r="CU988" s="344"/>
      <c r="DI988" s="342"/>
      <c r="DK988" s="344"/>
      <c r="DS988" s="317"/>
      <c r="DT988" s="317"/>
    </row>
    <row r="989" spans="17:124" s="277" customFormat="1" ht="12.75" customHeight="1">
      <c r="Q989" s="342"/>
      <c r="AB989" s="342"/>
      <c r="AK989" s="317"/>
      <c r="AL989" s="317"/>
      <c r="AQ989" s="363"/>
      <c r="AR989" s="364"/>
      <c r="AV989" s="344"/>
      <c r="CJ989" s="344"/>
      <c r="CU989" s="344"/>
      <c r="DI989" s="342"/>
      <c r="DK989" s="344"/>
      <c r="DS989" s="317"/>
      <c r="DT989" s="317"/>
    </row>
    <row r="990" spans="17:124" s="277" customFormat="1" ht="12.75" customHeight="1">
      <c r="Q990" s="342"/>
      <c r="AB990" s="342"/>
      <c r="AK990" s="317"/>
      <c r="AL990" s="317"/>
      <c r="AQ990" s="363"/>
      <c r="AR990" s="364"/>
      <c r="AV990" s="344"/>
      <c r="CJ990" s="344"/>
      <c r="CU990" s="344"/>
      <c r="DI990" s="342"/>
      <c r="DK990" s="344"/>
      <c r="DS990" s="317"/>
      <c r="DT990" s="317"/>
    </row>
    <row r="991" spans="17:124" s="277" customFormat="1" ht="12.75" customHeight="1">
      <c r="Q991" s="342"/>
      <c r="AB991" s="342"/>
      <c r="AK991" s="317"/>
      <c r="AL991" s="317"/>
      <c r="AQ991" s="363"/>
      <c r="AR991" s="364"/>
      <c r="AV991" s="344"/>
      <c r="CJ991" s="344"/>
      <c r="CU991" s="344"/>
      <c r="DI991" s="342"/>
      <c r="DK991" s="344"/>
      <c r="DS991" s="317"/>
      <c r="DT991" s="317"/>
    </row>
    <row r="992" spans="17:124" s="277" customFormat="1" ht="12.75" customHeight="1">
      <c r="Q992" s="342"/>
      <c r="AB992" s="342"/>
      <c r="AK992" s="317"/>
      <c r="AL992" s="317"/>
      <c r="AQ992" s="363"/>
      <c r="AR992" s="364"/>
      <c r="AV992" s="344"/>
      <c r="CJ992" s="344"/>
      <c r="CU992" s="344"/>
      <c r="DI992" s="342"/>
      <c r="DK992" s="344"/>
      <c r="DS992" s="317"/>
      <c r="DT992" s="317"/>
    </row>
    <row r="993" spans="17:124" s="277" customFormat="1" ht="12.75" customHeight="1">
      <c r="Q993" s="342"/>
      <c r="AB993" s="342"/>
      <c r="AK993" s="317"/>
      <c r="AL993" s="317"/>
      <c r="AQ993" s="363"/>
      <c r="AR993" s="364"/>
      <c r="AV993" s="344"/>
      <c r="CJ993" s="344"/>
      <c r="CU993" s="344"/>
      <c r="DI993" s="342"/>
      <c r="DK993" s="344"/>
      <c r="DS993" s="317"/>
      <c r="DT993" s="317"/>
    </row>
    <row r="994" spans="17:124" s="277" customFormat="1" ht="12.75" customHeight="1">
      <c r="Q994" s="342"/>
      <c r="AB994" s="342"/>
      <c r="AK994" s="317"/>
      <c r="AL994" s="317"/>
      <c r="AQ994" s="363"/>
      <c r="AR994" s="364"/>
      <c r="AV994" s="344"/>
      <c r="CJ994" s="344"/>
      <c r="CU994" s="344"/>
      <c r="DI994" s="342"/>
      <c r="DK994" s="344"/>
      <c r="DS994" s="317"/>
      <c r="DT994" s="317"/>
    </row>
    <row r="995" spans="17:124" s="277" customFormat="1" ht="12.75" customHeight="1">
      <c r="Q995" s="342"/>
      <c r="AB995" s="342"/>
      <c r="AK995" s="317"/>
      <c r="AL995" s="317"/>
      <c r="AQ995" s="363"/>
      <c r="AR995" s="364"/>
      <c r="AV995" s="344"/>
      <c r="CJ995" s="344"/>
      <c r="CU995" s="344"/>
      <c r="DI995" s="342"/>
      <c r="DK995" s="344"/>
      <c r="DS995" s="317"/>
      <c r="DT995" s="317"/>
    </row>
    <row r="996" spans="17:124" s="277" customFormat="1" ht="12.75" customHeight="1">
      <c r="Q996" s="342"/>
      <c r="AB996" s="342"/>
      <c r="AK996" s="317"/>
      <c r="AL996" s="317"/>
      <c r="AQ996" s="363"/>
      <c r="AR996" s="364"/>
      <c r="AV996" s="344"/>
      <c r="CJ996" s="344"/>
      <c r="CU996" s="344"/>
      <c r="DI996" s="342"/>
      <c r="DK996" s="344"/>
      <c r="DS996" s="317"/>
      <c r="DT996" s="317"/>
    </row>
    <row r="997" spans="17:124" s="277" customFormat="1" ht="12.75" customHeight="1">
      <c r="Q997" s="342"/>
      <c r="AB997" s="342"/>
      <c r="AK997" s="317"/>
      <c r="AL997" s="317"/>
      <c r="AQ997" s="363"/>
      <c r="AR997" s="364"/>
      <c r="AV997" s="344"/>
      <c r="CJ997" s="344"/>
      <c r="CU997" s="344"/>
      <c r="DI997" s="342"/>
      <c r="DK997" s="344"/>
      <c r="DS997" s="317"/>
      <c r="DT997" s="317"/>
    </row>
    <row r="998" spans="17:124" s="277" customFormat="1" ht="12.75" customHeight="1">
      <c r="Q998" s="342"/>
      <c r="AB998" s="342"/>
      <c r="AK998" s="317"/>
      <c r="AL998" s="317"/>
      <c r="AQ998" s="363"/>
      <c r="AR998" s="364"/>
      <c r="AV998" s="344"/>
      <c r="CJ998" s="344"/>
      <c r="CU998" s="344"/>
      <c r="DI998" s="342"/>
      <c r="DK998" s="344"/>
      <c r="DS998" s="317"/>
      <c r="DT998" s="317"/>
    </row>
    <row r="999" spans="17:124" s="277" customFormat="1" ht="12.75" customHeight="1">
      <c r="Q999" s="342"/>
      <c r="AB999" s="342"/>
      <c r="AK999" s="317"/>
      <c r="AL999" s="317"/>
      <c r="AQ999" s="363"/>
      <c r="AR999" s="364"/>
      <c r="AV999" s="344"/>
      <c r="CJ999" s="344"/>
      <c r="CU999" s="344"/>
      <c r="DI999" s="342"/>
      <c r="DK999" s="344"/>
      <c r="DS999" s="317"/>
      <c r="DT999" s="317"/>
    </row>
    <row r="1000" spans="17:124" s="277" customFormat="1" ht="12.75" customHeight="1">
      <c r="Q1000" s="342"/>
      <c r="AB1000" s="342"/>
      <c r="AK1000" s="317"/>
      <c r="AL1000" s="317"/>
      <c r="AQ1000" s="363"/>
      <c r="AR1000" s="364"/>
      <c r="AV1000" s="344"/>
      <c r="CJ1000" s="344"/>
      <c r="CU1000" s="344"/>
      <c r="DI1000" s="342"/>
      <c r="DK1000" s="344"/>
      <c r="DS1000" s="317"/>
      <c r="DT1000" s="317"/>
    </row>
    <row r="1001" spans="17:124" s="277" customFormat="1" ht="12.75" customHeight="1">
      <c r="Q1001" s="342"/>
      <c r="AB1001" s="342"/>
      <c r="AK1001" s="317"/>
      <c r="AL1001" s="317"/>
      <c r="AQ1001" s="363"/>
      <c r="AR1001" s="364"/>
      <c r="AV1001" s="344"/>
      <c r="CJ1001" s="344"/>
      <c r="CU1001" s="344"/>
      <c r="DI1001" s="342"/>
      <c r="DK1001" s="344"/>
      <c r="DS1001" s="317"/>
      <c r="DT1001" s="317"/>
    </row>
    <row r="1002" spans="17:124" s="277" customFormat="1" ht="12.75" customHeight="1">
      <c r="Q1002" s="342"/>
      <c r="AB1002" s="342"/>
      <c r="AK1002" s="317"/>
      <c r="AL1002" s="317"/>
      <c r="AQ1002" s="363"/>
      <c r="AR1002" s="364"/>
      <c r="AV1002" s="344"/>
      <c r="CJ1002" s="344"/>
      <c r="CU1002" s="344"/>
      <c r="DI1002" s="342"/>
      <c r="DK1002" s="344"/>
      <c r="DS1002" s="317"/>
      <c r="DT1002" s="317"/>
    </row>
    <row r="1003" spans="17:124" s="277" customFormat="1" ht="12.75" customHeight="1">
      <c r="Q1003" s="342"/>
      <c r="AB1003" s="342"/>
      <c r="AK1003" s="317"/>
      <c r="AL1003" s="317"/>
      <c r="AQ1003" s="363"/>
      <c r="AR1003" s="364"/>
      <c r="AV1003" s="344"/>
      <c r="CJ1003" s="344"/>
      <c r="CU1003" s="344"/>
      <c r="DI1003" s="342"/>
      <c r="DK1003" s="344"/>
      <c r="DS1003" s="317"/>
      <c r="DT1003" s="317"/>
    </row>
    <row r="1004" spans="17:124" s="277" customFormat="1" ht="12.75" customHeight="1">
      <c r="Q1004" s="342"/>
      <c r="AB1004" s="342"/>
      <c r="AK1004" s="317"/>
      <c r="AL1004" s="317"/>
      <c r="AQ1004" s="363"/>
      <c r="AR1004" s="364"/>
      <c r="AV1004" s="344"/>
      <c r="CJ1004" s="344"/>
      <c r="CU1004" s="344"/>
      <c r="DI1004" s="342"/>
      <c r="DK1004" s="344"/>
      <c r="DS1004" s="317"/>
      <c r="DT1004" s="317"/>
    </row>
    <row r="1005" spans="17:124" s="277" customFormat="1" ht="12.75" customHeight="1">
      <c r="Q1005" s="342"/>
      <c r="AB1005" s="342"/>
      <c r="AK1005" s="317"/>
      <c r="AL1005" s="317"/>
      <c r="AQ1005" s="363"/>
      <c r="AR1005" s="364"/>
      <c r="AV1005" s="344"/>
      <c r="CJ1005" s="344"/>
      <c r="CU1005" s="344"/>
      <c r="DI1005" s="342"/>
      <c r="DK1005" s="344"/>
      <c r="DS1005" s="317"/>
      <c r="DT1005" s="317"/>
    </row>
    <row r="1006" spans="17:124" s="277" customFormat="1" ht="12.75" customHeight="1">
      <c r="Q1006" s="342"/>
      <c r="AB1006" s="342"/>
      <c r="AK1006" s="317"/>
      <c r="AL1006" s="317"/>
      <c r="AQ1006" s="363"/>
      <c r="AR1006" s="364"/>
      <c r="AV1006" s="344"/>
      <c r="CJ1006" s="344"/>
      <c r="CU1006" s="344"/>
      <c r="DI1006" s="342"/>
      <c r="DK1006" s="344"/>
      <c r="DS1006" s="317"/>
      <c r="DT1006" s="317"/>
    </row>
    <row r="1007" spans="17:124" s="277" customFormat="1" ht="12.75" customHeight="1">
      <c r="Q1007" s="342"/>
      <c r="AB1007" s="342"/>
      <c r="AK1007" s="317"/>
      <c r="AL1007" s="317"/>
      <c r="AQ1007" s="363"/>
      <c r="AR1007" s="364"/>
      <c r="AV1007" s="344"/>
      <c r="CJ1007" s="344"/>
      <c r="CU1007" s="344"/>
      <c r="DI1007" s="342"/>
      <c r="DK1007" s="344"/>
      <c r="DS1007" s="317"/>
      <c r="DT1007" s="317"/>
    </row>
    <row r="1008" spans="17:124" s="277" customFormat="1" ht="12.75" customHeight="1">
      <c r="Q1008" s="342"/>
      <c r="AB1008" s="342"/>
      <c r="AK1008" s="317"/>
      <c r="AL1008" s="317"/>
      <c r="AQ1008" s="363"/>
      <c r="AR1008" s="364"/>
      <c r="AV1008" s="344"/>
      <c r="CJ1008" s="344"/>
      <c r="CU1008" s="344"/>
      <c r="DI1008" s="342"/>
      <c r="DK1008" s="344"/>
      <c r="DS1008" s="317"/>
      <c r="DT1008" s="317"/>
    </row>
    <row r="1009" spans="17:124" s="277" customFormat="1" ht="12.75" customHeight="1">
      <c r="Q1009" s="342"/>
      <c r="AB1009" s="342"/>
      <c r="AK1009" s="317"/>
      <c r="AL1009" s="317"/>
      <c r="AQ1009" s="363"/>
      <c r="AR1009" s="364"/>
      <c r="AV1009" s="344"/>
      <c r="CJ1009" s="344"/>
      <c r="CU1009" s="344"/>
      <c r="DI1009" s="342"/>
      <c r="DK1009" s="344"/>
      <c r="DS1009" s="317"/>
      <c r="DT1009" s="317"/>
    </row>
    <row r="1010" spans="17:124" s="277" customFormat="1" ht="12.75" customHeight="1">
      <c r="Q1010" s="342"/>
      <c r="AB1010" s="342"/>
      <c r="AK1010" s="317"/>
      <c r="AL1010" s="317"/>
      <c r="AQ1010" s="363"/>
      <c r="AR1010" s="364"/>
      <c r="AV1010" s="344"/>
      <c r="CJ1010" s="344"/>
      <c r="CU1010" s="344"/>
      <c r="DI1010" s="342"/>
      <c r="DK1010" s="344"/>
      <c r="DS1010" s="317"/>
      <c r="DT1010" s="317"/>
    </row>
    <row r="1011" spans="17:124" s="277" customFormat="1" ht="12.75" customHeight="1">
      <c r="Q1011" s="342"/>
      <c r="AB1011" s="342"/>
      <c r="AK1011" s="317"/>
      <c r="AL1011" s="317"/>
      <c r="AQ1011" s="363"/>
      <c r="AR1011" s="364"/>
      <c r="AV1011" s="344"/>
      <c r="CJ1011" s="344"/>
      <c r="CU1011" s="344"/>
      <c r="DI1011" s="342"/>
      <c r="DK1011" s="344"/>
      <c r="DS1011" s="317"/>
      <c r="DT1011" s="317"/>
    </row>
    <row r="1012" spans="17:124" s="277" customFormat="1" ht="12.75" customHeight="1">
      <c r="Q1012" s="342"/>
      <c r="AB1012" s="342"/>
      <c r="AK1012" s="317"/>
      <c r="AL1012" s="317"/>
      <c r="AQ1012" s="363"/>
      <c r="AR1012" s="364"/>
      <c r="AV1012" s="344"/>
      <c r="CJ1012" s="344"/>
      <c r="CU1012" s="344"/>
      <c r="DI1012" s="342"/>
      <c r="DK1012" s="344"/>
      <c r="DS1012" s="317"/>
      <c r="DT1012" s="317"/>
    </row>
    <row r="1013" spans="17:124" s="277" customFormat="1" ht="12.75" customHeight="1">
      <c r="Q1013" s="342"/>
      <c r="AB1013" s="342"/>
      <c r="AK1013" s="317"/>
      <c r="AL1013" s="317"/>
      <c r="AQ1013" s="363"/>
      <c r="AR1013" s="364"/>
      <c r="AV1013" s="344"/>
      <c r="CJ1013" s="344"/>
      <c r="CU1013" s="344"/>
      <c r="DI1013" s="342"/>
      <c r="DK1013" s="344"/>
      <c r="DS1013" s="317"/>
      <c r="DT1013" s="317"/>
    </row>
    <row r="1014" spans="17:124" s="277" customFormat="1" ht="12.75" customHeight="1">
      <c r="Q1014" s="342"/>
      <c r="AB1014" s="342"/>
      <c r="AK1014" s="317"/>
      <c r="AL1014" s="317"/>
      <c r="AQ1014" s="363"/>
      <c r="AR1014" s="364"/>
      <c r="AV1014" s="344"/>
      <c r="CJ1014" s="344"/>
      <c r="CU1014" s="344"/>
      <c r="DI1014" s="342"/>
      <c r="DK1014" s="344"/>
      <c r="DS1014" s="317"/>
      <c r="DT1014" s="317"/>
    </row>
    <row r="1015" spans="17:124" s="277" customFormat="1" ht="12.75" customHeight="1">
      <c r="Q1015" s="342"/>
      <c r="AB1015" s="342"/>
      <c r="AK1015" s="317"/>
      <c r="AL1015" s="317"/>
      <c r="AQ1015" s="363"/>
      <c r="AR1015" s="364"/>
      <c r="AV1015" s="344"/>
      <c r="CJ1015" s="344"/>
      <c r="CU1015" s="344"/>
      <c r="DI1015" s="342"/>
      <c r="DK1015" s="344"/>
      <c r="DS1015" s="317"/>
      <c r="DT1015" s="317"/>
    </row>
    <row r="1016" spans="17:124" s="277" customFormat="1" ht="12.75" customHeight="1">
      <c r="Q1016" s="342"/>
      <c r="AB1016" s="342"/>
      <c r="AK1016" s="317"/>
      <c r="AL1016" s="317"/>
      <c r="AQ1016" s="363"/>
      <c r="AR1016" s="364"/>
      <c r="AV1016" s="344"/>
      <c r="CJ1016" s="344"/>
      <c r="CU1016" s="344"/>
      <c r="DI1016" s="342"/>
      <c r="DK1016" s="344"/>
      <c r="DS1016" s="317"/>
      <c r="DT1016" s="317"/>
    </row>
    <row r="1017" spans="17:124" s="277" customFormat="1" ht="12.75" customHeight="1">
      <c r="Q1017" s="342"/>
      <c r="AB1017" s="342"/>
      <c r="AK1017" s="317"/>
      <c r="AL1017" s="317"/>
      <c r="AQ1017" s="363"/>
      <c r="AR1017" s="364"/>
      <c r="AV1017" s="344"/>
      <c r="CJ1017" s="344"/>
      <c r="CU1017" s="344"/>
      <c r="DI1017" s="342"/>
      <c r="DK1017" s="344"/>
      <c r="DS1017" s="317"/>
      <c r="DT1017" s="317"/>
    </row>
    <row r="1018" spans="17:124" s="277" customFormat="1" ht="12.75" customHeight="1">
      <c r="Q1018" s="342"/>
      <c r="AB1018" s="342"/>
      <c r="AK1018" s="317"/>
      <c r="AL1018" s="317"/>
      <c r="AQ1018" s="363"/>
      <c r="AR1018" s="364"/>
      <c r="AV1018" s="344"/>
      <c r="CJ1018" s="344"/>
      <c r="CU1018" s="344"/>
      <c r="DI1018" s="342"/>
      <c r="DK1018" s="344"/>
      <c r="DS1018" s="317"/>
      <c r="DT1018" s="317"/>
    </row>
    <row r="1019" spans="17:124" s="277" customFormat="1" ht="12.75" customHeight="1">
      <c r="Q1019" s="342"/>
      <c r="AB1019" s="342"/>
      <c r="AK1019" s="317"/>
      <c r="AL1019" s="317"/>
      <c r="AQ1019" s="363"/>
      <c r="AR1019" s="364"/>
      <c r="AV1019" s="344"/>
      <c r="CJ1019" s="344"/>
      <c r="CU1019" s="344"/>
      <c r="DI1019" s="342"/>
      <c r="DK1019" s="344"/>
      <c r="DS1019" s="317"/>
      <c r="DT1019" s="317"/>
    </row>
    <row r="1020" spans="17:124" s="277" customFormat="1" ht="12.75" customHeight="1">
      <c r="Q1020" s="342"/>
      <c r="AB1020" s="342"/>
      <c r="AK1020" s="317"/>
      <c r="AL1020" s="317"/>
      <c r="AQ1020" s="363"/>
      <c r="AR1020" s="364"/>
      <c r="AV1020" s="344"/>
      <c r="CJ1020" s="344"/>
      <c r="CU1020" s="344"/>
      <c r="DI1020" s="342"/>
      <c r="DK1020" s="344"/>
      <c r="DS1020" s="317"/>
      <c r="DT1020" s="317"/>
    </row>
    <row r="1021" spans="17:124" s="277" customFormat="1" ht="12.75" customHeight="1">
      <c r="Q1021" s="342"/>
      <c r="AB1021" s="342"/>
      <c r="AK1021" s="317"/>
      <c r="AL1021" s="317"/>
      <c r="AQ1021" s="363"/>
      <c r="AR1021" s="364"/>
      <c r="AV1021" s="344"/>
      <c r="CJ1021" s="344"/>
      <c r="CU1021" s="344"/>
      <c r="DI1021" s="342"/>
      <c r="DK1021" s="344"/>
      <c r="DS1021" s="317"/>
      <c r="DT1021" s="317"/>
    </row>
    <row r="1022" spans="17:124" s="277" customFormat="1" ht="12.75" customHeight="1">
      <c r="Q1022" s="342"/>
      <c r="AB1022" s="342"/>
      <c r="AK1022" s="317"/>
      <c r="AL1022" s="317"/>
      <c r="AQ1022" s="363"/>
      <c r="AR1022" s="364"/>
      <c r="AV1022" s="344"/>
      <c r="CJ1022" s="344"/>
      <c r="CU1022" s="344"/>
      <c r="DI1022" s="342"/>
      <c r="DK1022" s="344"/>
      <c r="DS1022" s="317"/>
      <c r="DT1022" s="317"/>
    </row>
    <row r="1023" spans="17:124" s="277" customFormat="1" ht="12.75" customHeight="1">
      <c r="Q1023" s="342"/>
      <c r="AB1023" s="342"/>
      <c r="AK1023" s="317"/>
      <c r="AL1023" s="317"/>
      <c r="AQ1023" s="363"/>
      <c r="AR1023" s="364"/>
      <c r="AV1023" s="344"/>
      <c r="CJ1023" s="344"/>
      <c r="CU1023" s="344"/>
      <c r="DI1023" s="342"/>
      <c r="DK1023" s="344"/>
      <c r="DS1023" s="317"/>
      <c r="DT1023" s="317"/>
    </row>
    <row r="1024" spans="17:124" s="277" customFormat="1" ht="12.75" customHeight="1">
      <c r="Q1024" s="342"/>
      <c r="AB1024" s="342"/>
      <c r="AK1024" s="317"/>
      <c r="AL1024" s="317"/>
      <c r="AQ1024" s="363"/>
      <c r="AR1024" s="364"/>
      <c r="AV1024" s="344"/>
      <c r="CJ1024" s="344"/>
      <c r="CU1024" s="344"/>
      <c r="DI1024" s="342"/>
      <c r="DK1024" s="344"/>
      <c r="DS1024" s="317"/>
      <c r="DT1024" s="317"/>
    </row>
    <row r="1025" spans="17:124" s="277" customFormat="1" ht="12.75" customHeight="1">
      <c r="Q1025" s="342"/>
      <c r="AB1025" s="342"/>
      <c r="AK1025" s="317"/>
      <c r="AL1025" s="317"/>
      <c r="AQ1025" s="363"/>
      <c r="AR1025" s="364"/>
      <c r="AV1025" s="344"/>
      <c r="CJ1025" s="344"/>
      <c r="CU1025" s="344"/>
      <c r="DI1025" s="342"/>
      <c r="DK1025" s="344"/>
      <c r="DS1025" s="317"/>
      <c r="DT1025" s="317"/>
    </row>
    <row r="1026" spans="17:124" s="277" customFormat="1" ht="12.75" customHeight="1">
      <c r="Q1026" s="342"/>
      <c r="AB1026" s="342"/>
      <c r="AK1026" s="317"/>
      <c r="AL1026" s="317"/>
      <c r="AQ1026" s="363"/>
      <c r="AR1026" s="364"/>
      <c r="AV1026" s="344"/>
      <c r="CJ1026" s="344"/>
      <c r="CU1026" s="344"/>
      <c r="DI1026" s="342"/>
      <c r="DK1026" s="344"/>
      <c r="DS1026" s="317"/>
      <c r="DT1026" s="317"/>
    </row>
    <row r="1027" spans="17:124" s="277" customFormat="1" ht="12.75" customHeight="1">
      <c r="Q1027" s="342"/>
      <c r="AB1027" s="342"/>
      <c r="AK1027" s="317"/>
      <c r="AL1027" s="317"/>
      <c r="AQ1027" s="363"/>
      <c r="AR1027" s="364"/>
      <c r="AV1027" s="344"/>
      <c r="CJ1027" s="344"/>
      <c r="CU1027" s="344"/>
      <c r="DI1027" s="342"/>
      <c r="DK1027" s="344"/>
      <c r="DS1027" s="317"/>
      <c r="DT1027" s="317"/>
    </row>
    <row r="1028" spans="17:124" s="277" customFormat="1" ht="12.75" customHeight="1">
      <c r="Q1028" s="342"/>
      <c r="AB1028" s="342"/>
      <c r="AK1028" s="317"/>
      <c r="AL1028" s="317"/>
      <c r="AQ1028" s="363"/>
      <c r="AR1028" s="364"/>
      <c r="AV1028" s="344"/>
      <c r="CJ1028" s="344"/>
      <c r="CU1028" s="344"/>
      <c r="DI1028" s="342"/>
      <c r="DK1028" s="344"/>
      <c r="DS1028" s="317"/>
      <c r="DT1028" s="317"/>
    </row>
    <row r="1029" spans="17:124" s="277" customFormat="1" ht="12.75" customHeight="1">
      <c r="Q1029" s="342"/>
      <c r="AB1029" s="342"/>
      <c r="AK1029" s="317"/>
      <c r="AL1029" s="317"/>
      <c r="AQ1029" s="363"/>
      <c r="AR1029" s="364"/>
      <c r="AV1029" s="344"/>
      <c r="CJ1029" s="344"/>
      <c r="CU1029" s="344"/>
      <c r="DI1029" s="342"/>
      <c r="DK1029" s="344"/>
      <c r="DS1029" s="317"/>
      <c r="DT1029" s="317"/>
    </row>
    <row r="1030" spans="17:124" s="277" customFormat="1" ht="12.75" customHeight="1">
      <c r="Q1030" s="342"/>
      <c r="AB1030" s="342"/>
      <c r="AK1030" s="317"/>
      <c r="AL1030" s="317"/>
      <c r="AQ1030" s="363"/>
      <c r="AR1030" s="364"/>
      <c r="AV1030" s="344"/>
      <c r="CJ1030" s="344"/>
      <c r="CU1030" s="344"/>
      <c r="DI1030" s="342"/>
      <c r="DK1030" s="344"/>
      <c r="DS1030" s="317"/>
      <c r="DT1030" s="317"/>
    </row>
    <row r="1031" spans="17:124" s="277" customFormat="1" ht="12.75" customHeight="1">
      <c r="Q1031" s="342"/>
      <c r="AB1031" s="342"/>
      <c r="AK1031" s="317"/>
      <c r="AL1031" s="317"/>
      <c r="AQ1031" s="363"/>
      <c r="AR1031" s="364"/>
      <c r="AV1031" s="344"/>
      <c r="CJ1031" s="344"/>
      <c r="CU1031" s="344"/>
      <c r="DI1031" s="342"/>
      <c r="DK1031" s="344"/>
      <c r="DS1031" s="317"/>
      <c r="DT1031" s="317"/>
    </row>
    <row r="1032" spans="17:124" s="277" customFormat="1" ht="12.75" customHeight="1">
      <c r="Q1032" s="342"/>
      <c r="AB1032" s="342"/>
      <c r="AK1032" s="317"/>
      <c r="AL1032" s="317"/>
      <c r="AQ1032" s="363"/>
      <c r="AR1032" s="364"/>
      <c r="AV1032" s="344"/>
      <c r="CJ1032" s="344"/>
      <c r="CU1032" s="344"/>
      <c r="DI1032" s="342"/>
      <c r="DK1032" s="344"/>
      <c r="DS1032" s="317"/>
      <c r="DT1032" s="317"/>
    </row>
    <row r="1033" spans="17:124" s="277" customFormat="1" ht="12.75" customHeight="1">
      <c r="Q1033" s="342"/>
      <c r="AB1033" s="342"/>
      <c r="AK1033" s="317"/>
      <c r="AL1033" s="317"/>
      <c r="AQ1033" s="363"/>
      <c r="AR1033" s="364"/>
      <c r="AV1033" s="344"/>
      <c r="CJ1033" s="344"/>
      <c r="CU1033" s="344"/>
      <c r="DI1033" s="342"/>
      <c r="DK1033" s="344"/>
      <c r="DS1033" s="317"/>
      <c r="DT1033" s="317"/>
    </row>
    <row r="1034" spans="17:124" s="277" customFormat="1" ht="12.75" customHeight="1">
      <c r="Q1034" s="342"/>
      <c r="AB1034" s="342"/>
      <c r="AK1034" s="317"/>
      <c r="AL1034" s="317"/>
      <c r="AQ1034" s="363"/>
      <c r="AR1034" s="364"/>
      <c r="AV1034" s="344"/>
      <c r="CJ1034" s="344"/>
      <c r="CU1034" s="344"/>
      <c r="DI1034" s="342"/>
      <c r="DK1034" s="344"/>
      <c r="DS1034" s="317"/>
      <c r="DT1034" s="317"/>
    </row>
    <row r="1035" spans="17:124" s="277" customFormat="1" ht="12.75" customHeight="1">
      <c r="Q1035" s="342"/>
      <c r="AB1035" s="342"/>
      <c r="AK1035" s="317"/>
      <c r="AL1035" s="317"/>
      <c r="AQ1035" s="363"/>
      <c r="AR1035" s="364"/>
      <c r="AV1035" s="344"/>
      <c r="CJ1035" s="344"/>
      <c r="CU1035" s="344"/>
      <c r="DI1035" s="342"/>
      <c r="DK1035" s="344"/>
      <c r="DS1035" s="317"/>
      <c r="DT1035" s="317"/>
    </row>
    <row r="1036" spans="17:124" s="277" customFormat="1" ht="12.75" customHeight="1">
      <c r="Q1036" s="342"/>
      <c r="AB1036" s="342"/>
      <c r="AK1036" s="317"/>
      <c r="AL1036" s="317"/>
      <c r="AQ1036" s="363"/>
      <c r="AR1036" s="364"/>
      <c r="AV1036" s="344"/>
      <c r="CJ1036" s="344"/>
      <c r="CU1036" s="344"/>
      <c r="DI1036" s="342"/>
      <c r="DK1036" s="344"/>
      <c r="DS1036" s="317"/>
      <c r="DT1036" s="317"/>
    </row>
    <row r="1037" spans="17:124" s="277" customFormat="1" ht="12.75" customHeight="1">
      <c r="Q1037" s="342"/>
      <c r="AB1037" s="342"/>
      <c r="AK1037" s="317"/>
      <c r="AL1037" s="317"/>
      <c r="AQ1037" s="363"/>
      <c r="AR1037" s="364"/>
      <c r="AV1037" s="344"/>
      <c r="CJ1037" s="344"/>
      <c r="CU1037" s="344"/>
      <c r="DI1037" s="342"/>
      <c r="DK1037" s="344"/>
      <c r="DS1037" s="317"/>
      <c r="DT1037" s="317"/>
    </row>
    <row r="1038" spans="17:124" s="277" customFormat="1" ht="12.75" customHeight="1">
      <c r="Q1038" s="342"/>
      <c r="AB1038" s="342"/>
      <c r="AK1038" s="317"/>
      <c r="AL1038" s="317"/>
      <c r="AQ1038" s="363"/>
      <c r="AR1038" s="364"/>
      <c r="AV1038" s="344"/>
      <c r="CJ1038" s="344"/>
      <c r="CU1038" s="344"/>
      <c r="DI1038" s="342"/>
      <c r="DK1038" s="344"/>
      <c r="DS1038" s="317"/>
      <c r="DT1038" s="317"/>
    </row>
    <row r="1039" spans="17:124" s="277" customFormat="1" ht="12.75" customHeight="1">
      <c r="Q1039" s="342"/>
      <c r="AB1039" s="342"/>
      <c r="AK1039" s="317"/>
      <c r="AL1039" s="317"/>
      <c r="AQ1039" s="363"/>
      <c r="AR1039" s="364"/>
      <c r="AV1039" s="344"/>
      <c r="CJ1039" s="344"/>
      <c r="CU1039" s="344"/>
      <c r="DI1039" s="342"/>
      <c r="DK1039" s="344"/>
      <c r="DS1039" s="317"/>
      <c r="DT1039" s="317"/>
    </row>
    <row r="1040" spans="17:124" s="277" customFormat="1" ht="12.75" customHeight="1">
      <c r="Q1040" s="342"/>
      <c r="AB1040" s="342"/>
      <c r="AK1040" s="317"/>
      <c r="AL1040" s="317"/>
      <c r="AQ1040" s="363"/>
      <c r="AR1040" s="364"/>
      <c r="AV1040" s="344"/>
      <c r="CJ1040" s="344"/>
      <c r="CU1040" s="344"/>
      <c r="DI1040" s="342"/>
      <c r="DK1040" s="344"/>
      <c r="DS1040" s="317"/>
      <c r="DT1040" s="317"/>
    </row>
    <row r="1041" spans="17:124" s="277" customFormat="1" ht="12.75" customHeight="1">
      <c r="Q1041" s="342"/>
      <c r="AB1041" s="342"/>
      <c r="AK1041" s="317"/>
      <c r="AL1041" s="317"/>
      <c r="AQ1041" s="363"/>
      <c r="AR1041" s="364"/>
      <c r="AV1041" s="344"/>
      <c r="CJ1041" s="344"/>
      <c r="CU1041" s="344"/>
      <c r="DI1041" s="342"/>
      <c r="DK1041" s="344"/>
      <c r="DS1041" s="317"/>
      <c r="DT1041" s="317"/>
    </row>
    <row r="1042" spans="17:124" s="277" customFormat="1" ht="12.75" customHeight="1">
      <c r="Q1042" s="342"/>
      <c r="AB1042" s="342"/>
      <c r="AK1042" s="317"/>
      <c r="AL1042" s="317"/>
      <c r="AQ1042" s="363"/>
      <c r="AR1042" s="364"/>
      <c r="AV1042" s="344"/>
      <c r="CJ1042" s="344"/>
      <c r="CU1042" s="344"/>
      <c r="DI1042" s="342"/>
      <c r="DK1042" s="344"/>
      <c r="DS1042" s="317"/>
      <c r="DT1042" s="317"/>
    </row>
    <row r="1043" spans="17:124" s="277" customFormat="1" ht="12.75" customHeight="1">
      <c r="Q1043" s="342"/>
      <c r="AB1043" s="342"/>
      <c r="AK1043" s="317"/>
      <c r="AL1043" s="317"/>
      <c r="AQ1043" s="363"/>
      <c r="AR1043" s="364"/>
      <c r="AV1043" s="344"/>
      <c r="CJ1043" s="344"/>
      <c r="CU1043" s="344"/>
      <c r="DI1043" s="342"/>
      <c r="DK1043" s="344"/>
      <c r="DS1043" s="317"/>
      <c r="DT1043" s="317"/>
    </row>
    <row r="1044" spans="17:124" s="277" customFormat="1" ht="12.75" customHeight="1">
      <c r="Q1044" s="342"/>
      <c r="AB1044" s="342"/>
      <c r="AK1044" s="317"/>
      <c r="AL1044" s="317"/>
      <c r="AQ1044" s="363"/>
      <c r="AR1044" s="364"/>
      <c r="AV1044" s="344"/>
      <c r="CJ1044" s="344"/>
      <c r="CU1044" s="344"/>
      <c r="DI1044" s="342"/>
      <c r="DK1044" s="344"/>
      <c r="DS1044" s="317"/>
      <c r="DT1044" s="317"/>
    </row>
    <row r="1045" spans="17:124" s="277" customFormat="1" ht="12.75" customHeight="1">
      <c r="Q1045" s="342"/>
      <c r="AB1045" s="342"/>
      <c r="AK1045" s="317"/>
      <c r="AL1045" s="317"/>
      <c r="AQ1045" s="363"/>
      <c r="AR1045" s="364"/>
      <c r="AV1045" s="344"/>
      <c r="CJ1045" s="344"/>
      <c r="CU1045" s="344"/>
      <c r="DI1045" s="342"/>
      <c r="DK1045" s="344"/>
      <c r="DS1045" s="317"/>
      <c r="DT1045" s="317"/>
    </row>
    <row r="1046" spans="17:124" s="277" customFormat="1" ht="12.75" customHeight="1">
      <c r="Q1046" s="342"/>
      <c r="AB1046" s="342"/>
      <c r="AK1046" s="317"/>
      <c r="AL1046" s="317"/>
      <c r="AQ1046" s="363"/>
      <c r="AR1046" s="364"/>
      <c r="AV1046" s="344"/>
      <c r="CJ1046" s="344"/>
      <c r="CU1046" s="344"/>
      <c r="DI1046" s="342"/>
      <c r="DK1046" s="344"/>
      <c r="DS1046" s="317"/>
      <c r="DT1046" s="317"/>
    </row>
    <row r="1047" spans="17:124" s="277" customFormat="1" ht="12.75" customHeight="1">
      <c r="Q1047" s="342"/>
      <c r="AB1047" s="342"/>
      <c r="AK1047" s="317"/>
      <c r="AL1047" s="317"/>
      <c r="AQ1047" s="363"/>
      <c r="AR1047" s="364"/>
      <c r="AV1047" s="344"/>
      <c r="CJ1047" s="344"/>
      <c r="CU1047" s="344"/>
      <c r="DI1047" s="342"/>
      <c r="DK1047" s="344"/>
      <c r="DS1047" s="317"/>
      <c r="DT1047" s="317"/>
    </row>
    <row r="1048" spans="17:124" s="277" customFormat="1" ht="12.75" customHeight="1">
      <c r="Q1048" s="342"/>
      <c r="AB1048" s="342"/>
      <c r="AK1048" s="317"/>
      <c r="AL1048" s="317"/>
      <c r="AQ1048" s="363"/>
      <c r="AR1048" s="364"/>
      <c r="AV1048" s="344"/>
      <c r="CJ1048" s="344"/>
      <c r="CU1048" s="344"/>
      <c r="DI1048" s="342"/>
      <c r="DK1048" s="344"/>
      <c r="DS1048" s="317"/>
      <c r="DT1048" s="317"/>
    </row>
    <row r="1049" spans="17:124" s="277" customFormat="1" ht="12.75" customHeight="1">
      <c r="Q1049" s="342"/>
      <c r="AB1049" s="342"/>
      <c r="AK1049" s="317"/>
      <c r="AL1049" s="317"/>
      <c r="AQ1049" s="363"/>
      <c r="AR1049" s="364"/>
      <c r="AV1049" s="344"/>
      <c r="CJ1049" s="344"/>
      <c r="CU1049" s="344"/>
      <c r="DI1049" s="342"/>
      <c r="DK1049" s="344"/>
      <c r="DS1049" s="317"/>
      <c r="DT1049" s="317"/>
    </row>
    <row r="1050" spans="17:124" s="277" customFormat="1" ht="12.75" customHeight="1">
      <c r="Q1050" s="342"/>
      <c r="AB1050" s="342"/>
      <c r="AK1050" s="317"/>
      <c r="AL1050" s="317"/>
      <c r="AQ1050" s="363"/>
      <c r="AR1050" s="364"/>
      <c r="AV1050" s="344"/>
      <c r="CJ1050" s="344"/>
      <c r="CU1050" s="344"/>
      <c r="DI1050" s="342"/>
      <c r="DK1050" s="344"/>
      <c r="DS1050" s="317"/>
      <c r="DT1050" s="317"/>
    </row>
    <row r="1051" spans="17:124" s="277" customFormat="1" ht="12.75" customHeight="1">
      <c r="Q1051" s="342"/>
      <c r="AB1051" s="342"/>
      <c r="AK1051" s="317"/>
      <c r="AL1051" s="317"/>
      <c r="AQ1051" s="363"/>
      <c r="AR1051" s="364"/>
      <c r="AV1051" s="344"/>
      <c r="CJ1051" s="344"/>
      <c r="CU1051" s="344"/>
      <c r="DI1051" s="342"/>
      <c r="DK1051" s="344"/>
      <c r="DS1051" s="317"/>
      <c r="DT1051" s="317"/>
    </row>
    <row r="1052" spans="17:124" s="277" customFormat="1" ht="12.75" customHeight="1">
      <c r="Q1052" s="342"/>
      <c r="AB1052" s="342"/>
      <c r="AK1052" s="317"/>
      <c r="AL1052" s="317"/>
      <c r="AQ1052" s="363"/>
      <c r="AR1052" s="364"/>
      <c r="AV1052" s="344"/>
      <c r="CJ1052" s="344"/>
      <c r="CU1052" s="344"/>
      <c r="DI1052" s="342"/>
      <c r="DK1052" s="344"/>
      <c r="DS1052" s="317"/>
      <c r="DT1052" s="317"/>
    </row>
    <row r="1053" spans="17:124" s="277" customFormat="1" ht="12.75" customHeight="1">
      <c r="Q1053" s="342"/>
      <c r="AB1053" s="342"/>
      <c r="AK1053" s="317"/>
      <c r="AL1053" s="317"/>
      <c r="AQ1053" s="363"/>
      <c r="AR1053" s="364"/>
      <c r="AV1053" s="344"/>
      <c r="CJ1053" s="344"/>
      <c r="CU1053" s="344"/>
      <c r="DI1053" s="342"/>
      <c r="DK1053" s="344"/>
      <c r="DS1053" s="317"/>
      <c r="DT1053" s="317"/>
    </row>
    <row r="1054" spans="17:124" s="277" customFormat="1" ht="12.75" customHeight="1">
      <c r="Q1054" s="342"/>
      <c r="AB1054" s="342"/>
      <c r="AK1054" s="317"/>
      <c r="AL1054" s="317"/>
      <c r="AQ1054" s="363"/>
      <c r="AR1054" s="364"/>
      <c r="AV1054" s="344"/>
      <c r="CJ1054" s="344"/>
      <c r="CU1054" s="344"/>
      <c r="DI1054" s="342"/>
      <c r="DK1054" s="344"/>
      <c r="DS1054" s="317"/>
      <c r="DT1054" s="317"/>
    </row>
    <row r="1055" spans="17:124" s="277" customFormat="1" ht="12.75" customHeight="1">
      <c r="Q1055" s="342"/>
      <c r="AB1055" s="342"/>
      <c r="AK1055" s="317"/>
      <c r="AL1055" s="317"/>
      <c r="AQ1055" s="363"/>
      <c r="AR1055" s="364"/>
      <c r="AV1055" s="344"/>
      <c r="CJ1055" s="344"/>
      <c r="CU1055" s="344"/>
      <c r="DI1055" s="342"/>
      <c r="DK1055" s="344"/>
      <c r="DS1055" s="317"/>
      <c r="DT1055" s="317"/>
    </row>
    <row r="1056" spans="17:124" s="277" customFormat="1" ht="12.75" customHeight="1">
      <c r="Q1056" s="342"/>
      <c r="AB1056" s="342"/>
      <c r="AK1056" s="317"/>
      <c r="AL1056" s="317"/>
      <c r="AQ1056" s="363"/>
      <c r="AR1056" s="364"/>
      <c r="AV1056" s="344"/>
      <c r="CJ1056" s="344"/>
      <c r="CU1056" s="344"/>
      <c r="DI1056" s="342"/>
      <c r="DK1056" s="344"/>
      <c r="DS1056" s="317"/>
      <c r="DT1056" s="317"/>
    </row>
    <row r="1057" spans="17:124" s="277" customFormat="1" ht="12.75" customHeight="1">
      <c r="Q1057" s="342"/>
      <c r="AB1057" s="342"/>
      <c r="AK1057" s="317"/>
      <c r="AL1057" s="317"/>
      <c r="AQ1057" s="363"/>
      <c r="AR1057" s="364"/>
      <c r="AV1057" s="344"/>
      <c r="CJ1057" s="344"/>
      <c r="CU1057" s="344"/>
      <c r="DI1057" s="342"/>
      <c r="DK1057" s="344"/>
      <c r="DS1057" s="317"/>
      <c r="DT1057" s="317"/>
    </row>
    <row r="1058" spans="17:124" s="277" customFormat="1" ht="12.75" customHeight="1">
      <c r="Q1058" s="342"/>
      <c r="AB1058" s="342"/>
      <c r="AK1058" s="317"/>
      <c r="AL1058" s="317"/>
      <c r="AQ1058" s="363"/>
      <c r="AR1058" s="364"/>
      <c r="AV1058" s="344"/>
      <c r="CJ1058" s="344"/>
      <c r="CU1058" s="344"/>
      <c r="DI1058" s="342"/>
      <c r="DK1058" s="344"/>
      <c r="DS1058" s="317"/>
      <c r="DT1058" s="317"/>
    </row>
    <row r="1059" spans="17:124" s="277" customFormat="1" ht="12.75" customHeight="1">
      <c r="Q1059" s="342"/>
      <c r="AB1059" s="342"/>
      <c r="AK1059" s="317"/>
      <c r="AL1059" s="317"/>
      <c r="AQ1059" s="363"/>
      <c r="AR1059" s="364"/>
      <c r="AV1059" s="344"/>
      <c r="CJ1059" s="344"/>
      <c r="CU1059" s="344"/>
      <c r="DI1059" s="342"/>
      <c r="DK1059" s="344"/>
      <c r="DS1059" s="317"/>
      <c r="DT1059" s="317"/>
    </row>
    <row r="1060" spans="17:124" s="277" customFormat="1" ht="12.75" customHeight="1">
      <c r="Q1060" s="342"/>
      <c r="AB1060" s="342"/>
      <c r="AK1060" s="317"/>
      <c r="AL1060" s="317"/>
      <c r="AQ1060" s="363"/>
      <c r="AR1060" s="364"/>
      <c r="AV1060" s="344"/>
      <c r="CJ1060" s="344"/>
      <c r="CU1060" s="344"/>
      <c r="DI1060" s="342"/>
      <c r="DK1060" s="344"/>
      <c r="DS1060" s="317"/>
      <c r="DT1060" s="317"/>
    </row>
    <row r="1061" spans="17:124" s="277" customFormat="1" ht="12.75" customHeight="1">
      <c r="Q1061" s="342"/>
      <c r="AB1061" s="342"/>
      <c r="AK1061" s="317"/>
      <c r="AL1061" s="317"/>
      <c r="AQ1061" s="363"/>
      <c r="AR1061" s="364"/>
      <c r="AV1061" s="344"/>
      <c r="CJ1061" s="344"/>
      <c r="CU1061" s="344"/>
      <c r="DI1061" s="342"/>
      <c r="DK1061" s="344"/>
      <c r="DS1061" s="317"/>
      <c r="DT1061" s="317"/>
    </row>
    <row r="1062" spans="17:124" s="277" customFormat="1" ht="12.75" customHeight="1">
      <c r="Q1062" s="342"/>
      <c r="AB1062" s="342"/>
      <c r="AK1062" s="317"/>
      <c r="AL1062" s="317"/>
      <c r="AQ1062" s="363"/>
      <c r="AR1062" s="364"/>
      <c r="AV1062" s="344"/>
      <c r="CJ1062" s="344"/>
      <c r="CU1062" s="344"/>
      <c r="DI1062" s="342"/>
      <c r="DK1062" s="344"/>
      <c r="DS1062" s="317"/>
      <c r="DT1062" s="317"/>
    </row>
    <row r="1063" spans="17:124" s="277" customFormat="1" ht="12.75" customHeight="1">
      <c r="Q1063" s="342"/>
      <c r="AB1063" s="342"/>
      <c r="AK1063" s="317"/>
      <c r="AL1063" s="317"/>
      <c r="AQ1063" s="363"/>
      <c r="AR1063" s="364"/>
      <c r="AV1063" s="344"/>
      <c r="CJ1063" s="344"/>
      <c r="CU1063" s="344"/>
      <c r="DI1063" s="342"/>
      <c r="DK1063" s="344"/>
      <c r="DS1063" s="317"/>
      <c r="DT1063" s="317"/>
    </row>
    <row r="1064" spans="17:124" s="277" customFormat="1" ht="12.75" customHeight="1">
      <c r="Q1064" s="342"/>
      <c r="AB1064" s="342"/>
      <c r="AK1064" s="317"/>
      <c r="AL1064" s="317"/>
      <c r="AQ1064" s="363"/>
      <c r="AR1064" s="364"/>
      <c r="AV1064" s="344"/>
      <c r="CJ1064" s="344"/>
      <c r="CU1064" s="344"/>
      <c r="DI1064" s="342"/>
      <c r="DK1064" s="344"/>
      <c r="DS1064" s="317"/>
      <c r="DT1064" s="317"/>
    </row>
    <row r="1065" spans="17:124" s="277" customFormat="1" ht="12.75" customHeight="1">
      <c r="Q1065" s="342"/>
      <c r="AB1065" s="342"/>
      <c r="AK1065" s="317"/>
      <c r="AL1065" s="317"/>
      <c r="AQ1065" s="363"/>
      <c r="AR1065" s="364"/>
      <c r="AV1065" s="344"/>
      <c r="CJ1065" s="344"/>
      <c r="CU1065" s="344"/>
      <c r="DI1065" s="342"/>
      <c r="DK1065" s="344"/>
      <c r="DS1065" s="317"/>
      <c r="DT1065" s="317"/>
    </row>
    <row r="1066" spans="17:124" s="277" customFormat="1" ht="12.75" customHeight="1">
      <c r="Q1066" s="342"/>
      <c r="AB1066" s="342"/>
      <c r="AK1066" s="317"/>
      <c r="AL1066" s="317"/>
      <c r="AQ1066" s="363"/>
      <c r="AR1066" s="364"/>
      <c r="AV1066" s="344"/>
      <c r="CJ1066" s="344"/>
      <c r="CU1066" s="344"/>
      <c r="DI1066" s="342"/>
      <c r="DK1066" s="344"/>
      <c r="DS1066" s="317"/>
      <c r="DT1066" s="317"/>
    </row>
    <row r="1067" spans="17:124" s="277" customFormat="1" ht="12.75" customHeight="1">
      <c r="Q1067" s="342"/>
      <c r="AB1067" s="342"/>
      <c r="AK1067" s="317"/>
      <c r="AL1067" s="317"/>
      <c r="AQ1067" s="363"/>
      <c r="AR1067" s="364"/>
      <c r="AV1067" s="344"/>
      <c r="CJ1067" s="344"/>
      <c r="CU1067" s="344"/>
      <c r="DI1067" s="342"/>
      <c r="DK1067" s="344"/>
      <c r="DS1067" s="317"/>
      <c r="DT1067" s="317"/>
    </row>
    <row r="1068" spans="17:124" s="277" customFormat="1" ht="12.75" customHeight="1">
      <c r="Q1068" s="342"/>
      <c r="AB1068" s="342"/>
      <c r="AK1068" s="317"/>
      <c r="AL1068" s="317"/>
      <c r="AQ1068" s="363"/>
      <c r="AR1068" s="364"/>
      <c r="AV1068" s="344"/>
      <c r="CJ1068" s="344"/>
      <c r="CU1068" s="344"/>
      <c r="DI1068" s="342"/>
      <c r="DK1068" s="344"/>
      <c r="DS1068" s="317"/>
      <c r="DT1068" s="317"/>
    </row>
    <row r="1069" spans="17:124" s="277" customFormat="1" ht="12.75" customHeight="1">
      <c r="Q1069" s="342"/>
      <c r="AB1069" s="342"/>
      <c r="AK1069" s="317"/>
      <c r="AL1069" s="317"/>
      <c r="AQ1069" s="363"/>
      <c r="AR1069" s="364"/>
      <c r="AV1069" s="344"/>
      <c r="CJ1069" s="344"/>
      <c r="CU1069" s="344"/>
      <c r="DI1069" s="342"/>
      <c r="DK1069" s="344"/>
      <c r="DS1069" s="317"/>
      <c r="DT1069" s="317"/>
    </row>
    <row r="1070" spans="17:124" s="277" customFormat="1" ht="12.75" customHeight="1">
      <c r="Q1070" s="342"/>
      <c r="AB1070" s="342"/>
      <c r="AK1070" s="317"/>
      <c r="AL1070" s="317"/>
      <c r="AQ1070" s="363"/>
      <c r="AR1070" s="364"/>
      <c r="AV1070" s="344"/>
      <c r="CJ1070" s="344"/>
      <c r="CU1070" s="344"/>
      <c r="DI1070" s="342"/>
      <c r="DK1070" s="344"/>
      <c r="DS1070" s="317"/>
      <c r="DT1070" s="317"/>
    </row>
    <row r="1071" spans="17:124" s="277" customFormat="1" ht="12.75" customHeight="1">
      <c r="Q1071" s="342"/>
      <c r="AB1071" s="342"/>
      <c r="AK1071" s="317"/>
      <c r="AL1071" s="317"/>
      <c r="AQ1071" s="363"/>
      <c r="AR1071" s="364"/>
      <c r="AV1071" s="344"/>
      <c r="CJ1071" s="344"/>
      <c r="CU1071" s="344"/>
      <c r="DI1071" s="342"/>
      <c r="DK1071" s="344"/>
      <c r="DS1071" s="317"/>
      <c r="DT1071" s="317"/>
    </row>
    <row r="1072" spans="17:124" s="277" customFormat="1" ht="12.75" customHeight="1">
      <c r="Q1072" s="342"/>
      <c r="AB1072" s="342"/>
      <c r="AK1072" s="317"/>
      <c r="AL1072" s="317"/>
      <c r="AQ1072" s="363"/>
      <c r="AR1072" s="364"/>
      <c r="AV1072" s="344"/>
      <c r="CJ1072" s="344"/>
      <c r="CU1072" s="344"/>
      <c r="DI1072" s="342"/>
      <c r="DK1072" s="344"/>
      <c r="DS1072" s="317"/>
      <c r="DT1072" s="317"/>
    </row>
    <row r="1073" spans="17:124" s="277" customFormat="1" ht="12.75" customHeight="1">
      <c r="Q1073" s="342"/>
      <c r="AB1073" s="342"/>
      <c r="AK1073" s="317"/>
      <c r="AL1073" s="317"/>
      <c r="AQ1073" s="363"/>
      <c r="AR1073" s="364"/>
      <c r="AV1073" s="344"/>
      <c r="CJ1073" s="344"/>
      <c r="CU1073" s="344"/>
      <c r="DI1073" s="342"/>
      <c r="DK1073" s="344"/>
      <c r="DS1073" s="317"/>
      <c r="DT1073" s="317"/>
    </row>
    <row r="1074" spans="17:124" s="277" customFormat="1" ht="12.75" customHeight="1">
      <c r="Q1074" s="342"/>
      <c r="AB1074" s="342"/>
      <c r="AK1074" s="317"/>
      <c r="AL1074" s="317"/>
      <c r="AQ1074" s="363"/>
      <c r="AR1074" s="364"/>
      <c r="AV1074" s="344"/>
      <c r="CJ1074" s="344"/>
      <c r="CU1074" s="344"/>
      <c r="DI1074" s="342"/>
      <c r="DK1074" s="344"/>
      <c r="DS1074" s="317"/>
      <c r="DT1074" s="317"/>
    </row>
    <row r="1075" spans="17:124" s="277" customFormat="1" ht="12.75" customHeight="1">
      <c r="Q1075" s="342"/>
      <c r="AB1075" s="342"/>
      <c r="AK1075" s="317"/>
      <c r="AL1075" s="317"/>
      <c r="AQ1075" s="363"/>
      <c r="AR1075" s="364"/>
      <c r="AV1075" s="344"/>
      <c r="CJ1075" s="344"/>
      <c r="CU1075" s="344"/>
      <c r="DI1075" s="342"/>
      <c r="DK1075" s="344"/>
      <c r="DS1075" s="317"/>
      <c r="DT1075" s="317"/>
    </row>
    <row r="1076" spans="17:124" s="277" customFormat="1" ht="12.75" customHeight="1">
      <c r="Q1076" s="342"/>
      <c r="AB1076" s="342"/>
      <c r="AK1076" s="317"/>
      <c r="AL1076" s="317"/>
      <c r="AQ1076" s="363"/>
      <c r="AR1076" s="364"/>
      <c r="AV1076" s="344"/>
      <c r="CJ1076" s="344"/>
      <c r="CU1076" s="344"/>
      <c r="DI1076" s="342"/>
      <c r="DK1076" s="344"/>
      <c r="DS1076" s="317"/>
      <c r="DT1076" s="317"/>
    </row>
    <row r="1077" spans="17:124" s="277" customFormat="1" ht="12.75" customHeight="1">
      <c r="Q1077" s="342"/>
      <c r="AB1077" s="342"/>
      <c r="AK1077" s="317"/>
      <c r="AL1077" s="317"/>
      <c r="AQ1077" s="363"/>
      <c r="AR1077" s="364"/>
      <c r="AV1077" s="344"/>
      <c r="CJ1077" s="344"/>
      <c r="CU1077" s="344"/>
      <c r="DI1077" s="342"/>
      <c r="DK1077" s="344"/>
      <c r="DS1077" s="317"/>
      <c r="DT1077" s="317"/>
    </row>
    <row r="1078" spans="17:124" s="277" customFormat="1" ht="12.75" customHeight="1">
      <c r="Q1078" s="342"/>
      <c r="AB1078" s="342"/>
      <c r="AK1078" s="317"/>
      <c r="AL1078" s="317"/>
      <c r="AQ1078" s="363"/>
      <c r="AR1078" s="364"/>
      <c r="AV1078" s="344"/>
      <c r="CJ1078" s="344"/>
      <c r="CU1078" s="344"/>
      <c r="DI1078" s="342"/>
      <c r="DK1078" s="344"/>
      <c r="DS1078" s="317"/>
      <c r="DT1078" s="317"/>
    </row>
    <row r="1079" spans="17:124" s="277" customFormat="1" ht="12.75" customHeight="1">
      <c r="Q1079" s="342"/>
      <c r="AB1079" s="342"/>
      <c r="AK1079" s="317"/>
      <c r="AL1079" s="317"/>
      <c r="AQ1079" s="363"/>
      <c r="AR1079" s="364"/>
      <c r="AV1079" s="344"/>
      <c r="CJ1079" s="344"/>
      <c r="CU1079" s="344"/>
      <c r="DI1079" s="342"/>
      <c r="DK1079" s="344"/>
      <c r="DS1079" s="317"/>
      <c r="DT1079" s="317"/>
    </row>
    <row r="1080" spans="17:124" s="277" customFormat="1" ht="12.75" customHeight="1">
      <c r="Q1080" s="342"/>
      <c r="AB1080" s="342"/>
      <c r="AK1080" s="317"/>
      <c r="AL1080" s="317"/>
      <c r="AQ1080" s="363"/>
      <c r="AR1080" s="364"/>
      <c r="AV1080" s="344"/>
      <c r="CJ1080" s="344"/>
      <c r="CU1080" s="344"/>
      <c r="DI1080" s="342"/>
      <c r="DK1080" s="344"/>
      <c r="DS1080" s="317"/>
      <c r="DT1080" s="317"/>
    </row>
    <row r="1081" spans="17:124" s="277" customFormat="1" ht="12.75" customHeight="1">
      <c r="Q1081" s="342"/>
      <c r="AB1081" s="342"/>
      <c r="AK1081" s="317"/>
      <c r="AL1081" s="317"/>
      <c r="AQ1081" s="363"/>
      <c r="AR1081" s="364"/>
      <c r="AV1081" s="344"/>
      <c r="CJ1081" s="344"/>
      <c r="CU1081" s="344"/>
      <c r="DI1081" s="342"/>
      <c r="DK1081" s="344"/>
      <c r="DS1081" s="317"/>
      <c r="DT1081" s="317"/>
    </row>
    <row r="1082" spans="17:124" s="277" customFormat="1" ht="12.75" customHeight="1">
      <c r="Q1082" s="342"/>
      <c r="AB1082" s="342"/>
      <c r="AK1082" s="317"/>
      <c r="AL1082" s="317"/>
      <c r="AQ1082" s="363"/>
      <c r="AR1082" s="364"/>
      <c r="AV1082" s="344"/>
      <c r="CJ1082" s="344"/>
      <c r="CU1082" s="344"/>
      <c r="DI1082" s="342"/>
      <c r="DK1082" s="344"/>
      <c r="DS1082" s="317"/>
      <c r="DT1082" s="317"/>
    </row>
    <row r="1083" spans="17:124" s="277" customFormat="1" ht="12.75" customHeight="1">
      <c r="Q1083" s="342"/>
      <c r="AB1083" s="342"/>
      <c r="AK1083" s="317"/>
      <c r="AL1083" s="317"/>
      <c r="AQ1083" s="363"/>
      <c r="AR1083" s="364"/>
      <c r="AV1083" s="344"/>
      <c r="CJ1083" s="344"/>
      <c r="CU1083" s="344"/>
      <c r="DI1083" s="342"/>
      <c r="DK1083" s="344"/>
      <c r="DS1083" s="317"/>
      <c r="DT1083" s="317"/>
    </row>
    <row r="1084" spans="17:124" s="277" customFormat="1" ht="12.75" customHeight="1">
      <c r="Q1084" s="342"/>
      <c r="AB1084" s="342"/>
      <c r="AK1084" s="317"/>
      <c r="AL1084" s="317"/>
      <c r="AQ1084" s="363"/>
      <c r="AR1084" s="364"/>
      <c r="AV1084" s="344"/>
      <c r="CJ1084" s="344"/>
      <c r="CU1084" s="344"/>
      <c r="DI1084" s="342"/>
      <c r="DK1084" s="344"/>
      <c r="DS1084" s="317"/>
      <c r="DT1084" s="317"/>
    </row>
    <row r="1085" spans="17:124" s="277" customFormat="1" ht="12.75" customHeight="1">
      <c r="Q1085" s="342"/>
      <c r="AB1085" s="342"/>
      <c r="AK1085" s="317"/>
      <c r="AL1085" s="317"/>
      <c r="AQ1085" s="363"/>
      <c r="AR1085" s="364"/>
      <c r="AV1085" s="344"/>
      <c r="CJ1085" s="344"/>
      <c r="CU1085" s="344"/>
      <c r="DI1085" s="342"/>
      <c r="DK1085" s="344"/>
      <c r="DS1085" s="317"/>
      <c r="DT1085" s="317"/>
    </row>
    <row r="1086" spans="17:124" s="277" customFormat="1" ht="12.75" customHeight="1">
      <c r="Q1086" s="342"/>
      <c r="AB1086" s="342"/>
      <c r="AK1086" s="317"/>
      <c r="AL1086" s="317"/>
      <c r="AQ1086" s="363"/>
      <c r="AR1086" s="364"/>
      <c r="AV1086" s="344"/>
      <c r="CJ1086" s="344"/>
      <c r="CU1086" s="344"/>
      <c r="DI1086" s="342"/>
      <c r="DK1086" s="344"/>
      <c r="DS1086" s="317"/>
      <c r="DT1086" s="317"/>
    </row>
    <row r="1087" spans="17:124" s="277" customFormat="1" ht="12.75" customHeight="1">
      <c r="Q1087" s="342"/>
      <c r="AB1087" s="342"/>
      <c r="AK1087" s="317"/>
      <c r="AL1087" s="317"/>
      <c r="AQ1087" s="363"/>
      <c r="AR1087" s="364"/>
      <c r="AV1087" s="344"/>
      <c r="CJ1087" s="344"/>
      <c r="CU1087" s="344"/>
      <c r="DI1087" s="342"/>
      <c r="DK1087" s="344"/>
      <c r="DS1087" s="317"/>
      <c r="DT1087" s="317"/>
    </row>
    <row r="1088" spans="17:124" s="277" customFormat="1" ht="12.75" customHeight="1">
      <c r="Q1088" s="342"/>
      <c r="AB1088" s="342"/>
      <c r="AK1088" s="317"/>
      <c r="AL1088" s="317"/>
      <c r="AQ1088" s="363"/>
      <c r="AR1088" s="364"/>
      <c r="AV1088" s="344"/>
      <c r="CJ1088" s="344"/>
      <c r="CU1088" s="344"/>
      <c r="DI1088" s="342"/>
      <c r="DK1088" s="344"/>
      <c r="DS1088" s="317"/>
      <c r="DT1088" s="317"/>
    </row>
    <row r="1089" spans="17:124" s="277" customFormat="1" ht="12.75" customHeight="1">
      <c r="Q1089" s="342"/>
      <c r="AB1089" s="342"/>
      <c r="AK1089" s="317"/>
      <c r="AL1089" s="317"/>
      <c r="AQ1089" s="363"/>
      <c r="AR1089" s="364"/>
      <c r="AV1089" s="344"/>
      <c r="CJ1089" s="344"/>
      <c r="CU1089" s="344"/>
      <c r="DI1089" s="342"/>
      <c r="DK1089" s="344"/>
      <c r="DS1089" s="317"/>
      <c r="DT1089" s="317"/>
    </row>
    <row r="1090" spans="17:124" s="277" customFormat="1" ht="12.75" customHeight="1">
      <c r="Q1090" s="342"/>
      <c r="AB1090" s="342"/>
      <c r="AK1090" s="317"/>
      <c r="AL1090" s="317"/>
      <c r="AQ1090" s="363"/>
      <c r="AR1090" s="364"/>
      <c r="AV1090" s="344"/>
      <c r="CJ1090" s="344"/>
      <c r="CU1090" s="344"/>
      <c r="DI1090" s="342"/>
      <c r="DK1090" s="344"/>
      <c r="DS1090" s="317"/>
      <c r="DT1090" s="317"/>
    </row>
    <row r="1091" spans="17:124" s="277" customFormat="1" ht="12.75" customHeight="1">
      <c r="Q1091" s="342"/>
      <c r="AB1091" s="342"/>
      <c r="AK1091" s="317"/>
      <c r="AL1091" s="317"/>
      <c r="AQ1091" s="363"/>
      <c r="AR1091" s="364"/>
      <c r="AV1091" s="344"/>
      <c r="CJ1091" s="344"/>
      <c r="CU1091" s="344"/>
      <c r="DI1091" s="342"/>
      <c r="DK1091" s="344"/>
      <c r="DS1091" s="317"/>
      <c r="DT1091" s="317"/>
    </row>
    <row r="1092" spans="17:124" s="277" customFormat="1" ht="12.75" customHeight="1">
      <c r="Q1092" s="342"/>
      <c r="AB1092" s="342"/>
      <c r="AK1092" s="317"/>
      <c r="AL1092" s="317"/>
      <c r="AQ1092" s="363"/>
      <c r="AR1092" s="364"/>
      <c r="AV1092" s="344"/>
      <c r="CJ1092" s="344"/>
      <c r="CU1092" s="344"/>
      <c r="DI1092" s="342"/>
      <c r="DK1092" s="344"/>
      <c r="DS1092" s="317"/>
      <c r="DT1092" s="317"/>
    </row>
    <row r="1093" spans="17:124" s="277" customFormat="1" ht="12.75" customHeight="1">
      <c r="Q1093" s="342"/>
      <c r="AB1093" s="342"/>
      <c r="AK1093" s="317"/>
      <c r="AL1093" s="317"/>
      <c r="AQ1093" s="363"/>
      <c r="AR1093" s="364"/>
      <c r="AV1093" s="344"/>
      <c r="CJ1093" s="344"/>
      <c r="CU1093" s="344"/>
      <c r="DI1093" s="342"/>
      <c r="DK1093" s="344"/>
      <c r="DS1093" s="317"/>
      <c r="DT1093" s="317"/>
    </row>
    <row r="1094" spans="17:124" s="277" customFormat="1" ht="12.75" customHeight="1">
      <c r="Q1094" s="342"/>
      <c r="AB1094" s="342"/>
      <c r="AK1094" s="317"/>
      <c r="AL1094" s="317"/>
      <c r="AQ1094" s="363"/>
      <c r="AR1094" s="364"/>
      <c r="AV1094" s="344"/>
      <c r="CJ1094" s="344"/>
      <c r="CU1094" s="344"/>
      <c r="DI1094" s="342"/>
      <c r="DK1094" s="344"/>
      <c r="DS1094" s="317"/>
      <c r="DT1094" s="317"/>
    </row>
    <row r="1095" spans="17:124" s="277" customFormat="1" ht="12.75" customHeight="1">
      <c r="Q1095" s="342"/>
      <c r="AB1095" s="342"/>
      <c r="AK1095" s="317"/>
      <c r="AL1095" s="317"/>
      <c r="AQ1095" s="363"/>
      <c r="AR1095" s="364"/>
      <c r="AV1095" s="344"/>
      <c r="CJ1095" s="344"/>
      <c r="CU1095" s="344"/>
      <c r="DI1095" s="342"/>
      <c r="DK1095" s="344"/>
      <c r="DS1095" s="317"/>
      <c r="DT1095" s="317"/>
    </row>
    <row r="1096" spans="17:124" s="277" customFormat="1" ht="12.75" customHeight="1">
      <c r="Q1096" s="342"/>
      <c r="AB1096" s="342"/>
      <c r="AK1096" s="317"/>
      <c r="AL1096" s="317"/>
      <c r="AQ1096" s="363"/>
      <c r="AR1096" s="364"/>
      <c r="AV1096" s="344"/>
      <c r="CJ1096" s="344"/>
      <c r="CU1096" s="344"/>
      <c r="DI1096" s="342"/>
      <c r="DK1096" s="344"/>
      <c r="DS1096" s="317"/>
      <c r="DT1096" s="317"/>
    </row>
    <row r="1097" spans="17:124" s="277" customFormat="1" ht="12.75" customHeight="1">
      <c r="Q1097" s="342"/>
      <c r="AB1097" s="342"/>
      <c r="AK1097" s="317"/>
      <c r="AL1097" s="317"/>
      <c r="AQ1097" s="363"/>
      <c r="AR1097" s="364"/>
      <c r="AV1097" s="344"/>
      <c r="CJ1097" s="344"/>
      <c r="CU1097" s="344"/>
      <c r="DI1097" s="342"/>
      <c r="DK1097" s="344"/>
      <c r="DS1097" s="317"/>
      <c r="DT1097" s="317"/>
    </row>
    <row r="1098" spans="17:124" s="277" customFormat="1" ht="12.75" customHeight="1">
      <c r="Q1098" s="342"/>
      <c r="AB1098" s="342"/>
      <c r="AK1098" s="317"/>
      <c r="AL1098" s="317"/>
      <c r="AQ1098" s="363"/>
      <c r="AR1098" s="364"/>
      <c r="AV1098" s="344"/>
      <c r="CJ1098" s="344"/>
      <c r="CU1098" s="344"/>
      <c r="DI1098" s="342"/>
      <c r="DK1098" s="344"/>
      <c r="DS1098" s="317"/>
      <c r="DT1098" s="317"/>
    </row>
    <row r="1099" spans="17:124" s="277" customFormat="1" ht="12.75" customHeight="1">
      <c r="Q1099" s="342"/>
      <c r="AB1099" s="342"/>
      <c r="AK1099" s="317"/>
      <c r="AL1099" s="317"/>
      <c r="AQ1099" s="363"/>
      <c r="AR1099" s="364"/>
      <c r="AV1099" s="344"/>
      <c r="CJ1099" s="344"/>
      <c r="CU1099" s="344"/>
      <c r="DI1099" s="342"/>
      <c r="DK1099" s="344"/>
      <c r="DS1099" s="317"/>
      <c r="DT1099" s="317"/>
    </row>
    <row r="1100" spans="17:124" s="277" customFormat="1" ht="12.75" customHeight="1">
      <c r="Q1100" s="342"/>
      <c r="AB1100" s="342"/>
      <c r="AK1100" s="317"/>
      <c r="AL1100" s="317"/>
      <c r="AQ1100" s="363"/>
      <c r="AR1100" s="364"/>
      <c r="AV1100" s="344"/>
      <c r="CJ1100" s="344"/>
      <c r="CU1100" s="344"/>
      <c r="DI1100" s="342"/>
      <c r="DK1100" s="344"/>
      <c r="DS1100" s="317"/>
      <c r="DT1100" s="317"/>
    </row>
    <row r="1101" spans="17:124" s="277" customFormat="1" ht="12.75" customHeight="1">
      <c r="Q1101" s="342"/>
      <c r="AB1101" s="342"/>
      <c r="AK1101" s="317"/>
      <c r="AL1101" s="317"/>
      <c r="AQ1101" s="363"/>
      <c r="AR1101" s="364"/>
      <c r="AV1101" s="344"/>
      <c r="CJ1101" s="344"/>
      <c r="CU1101" s="344"/>
      <c r="DI1101" s="342"/>
      <c r="DK1101" s="344"/>
      <c r="DS1101" s="317"/>
      <c r="DT1101" s="317"/>
    </row>
    <row r="1102" spans="17:124" s="277" customFormat="1" ht="12.75" customHeight="1">
      <c r="Q1102" s="342"/>
      <c r="AB1102" s="342"/>
      <c r="AK1102" s="317"/>
      <c r="AL1102" s="317"/>
      <c r="AQ1102" s="363"/>
      <c r="AR1102" s="364"/>
      <c r="AV1102" s="344"/>
      <c r="CJ1102" s="344"/>
      <c r="CU1102" s="344"/>
      <c r="DI1102" s="342"/>
      <c r="DK1102" s="344"/>
      <c r="DS1102" s="317"/>
      <c r="DT1102" s="317"/>
    </row>
    <row r="1103" spans="17:124" s="277" customFormat="1" ht="12.75" customHeight="1">
      <c r="Q1103" s="342"/>
      <c r="AB1103" s="342"/>
      <c r="AK1103" s="317"/>
      <c r="AL1103" s="317"/>
      <c r="AQ1103" s="363"/>
      <c r="AR1103" s="364"/>
      <c r="AV1103" s="344"/>
      <c r="CJ1103" s="344"/>
      <c r="CU1103" s="344"/>
      <c r="DI1103" s="342"/>
      <c r="DK1103" s="344"/>
      <c r="DS1103" s="317"/>
      <c r="DT1103" s="317"/>
    </row>
    <row r="1104" spans="17:124" s="277" customFormat="1" ht="12.75" customHeight="1">
      <c r="Q1104" s="342"/>
      <c r="AB1104" s="342"/>
      <c r="AK1104" s="317"/>
      <c r="AL1104" s="317"/>
      <c r="AQ1104" s="363"/>
      <c r="AR1104" s="364"/>
      <c r="AV1104" s="344"/>
      <c r="CJ1104" s="344"/>
      <c r="CU1104" s="344"/>
      <c r="DI1104" s="342"/>
      <c r="DK1104" s="344"/>
      <c r="DS1104" s="317"/>
      <c r="DT1104" s="317"/>
    </row>
    <row r="1105" spans="17:124" s="277" customFormat="1" ht="12.75" customHeight="1">
      <c r="Q1105" s="342"/>
      <c r="AB1105" s="342"/>
      <c r="AK1105" s="317"/>
      <c r="AL1105" s="317"/>
      <c r="AQ1105" s="363"/>
      <c r="AR1105" s="364"/>
      <c r="AV1105" s="344"/>
      <c r="CJ1105" s="344"/>
      <c r="CU1105" s="344"/>
      <c r="DI1105" s="342"/>
      <c r="DK1105" s="344"/>
      <c r="DS1105" s="317"/>
      <c r="DT1105" s="317"/>
    </row>
    <row r="1106" spans="17:124" s="277" customFormat="1" ht="12.75" customHeight="1">
      <c r="Q1106" s="342"/>
      <c r="AB1106" s="342"/>
      <c r="AK1106" s="317"/>
      <c r="AL1106" s="317"/>
      <c r="AQ1106" s="363"/>
      <c r="AR1106" s="364"/>
      <c r="AV1106" s="344"/>
      <c r="CJ1106" s="344"/>
      <c r="CU1106" s="344"/>
      <c r="DI1106" s="342"/>
      <c r="DK1106" s="344"/>
      <c r="DS1106" s="317"/>
      <c r="DT1106" s="317"/>
    </row>
    <row r="1107" spans="17:124" s="277" customFormat="1" ht="12.75" customHeight="1">
      <c r="Q1107" s="342"/>
      <c r="AB1107" s="342"/>
      <c r="AK1107" s="317"/>
      <c r="AL1107" s="317"/>
      <c r="AQ1107" s="363"/>
      <c r="AR1107" s="364"/>
      <c r="AV1107" s="344"/>
      <c r="CJ1107" s="344"/>
      <c r="CU1107" s="344"/>
      <c r="DI1107" s="342"/>
      <c r="DK1107" s="344"/>
      <c r="DS1107" s="317"/>
      <c r="DT1107" s="317"/>
    </row>
    <row r="1108" spans="17:124" s="277" customFormat="1" ht="12.75" customHeight="1">
      <c r="Q1108" s="342"/>
      <c r="AB1108" s="342"/>
      <c r="AK1108" s="317"/>
      <c r="AL1108" s="317"/>
      <c r="AQ1108" s="363"/>
      <c r="AR1108" s="364"/>
      <c r="AV1108" s="344"/>
      <c r="CJ1108" s="344"/>
      <c r="CU1108" s="344"/>
      <c r="DI1108" s="342"/>
      <c r="DK1108" s="344"/>
      <c r="DS1108" s="317"/>
      <c r="DT1108" s="317"/>
    </row>
    <row r="1109" spans="17:124" s="277" customFormat="1" ht="12.75" customHeight="1">
      <c r="Q1109" s="342"/>
      <c r="AB1109" s="342"/>
      <c r="AK1109" s="317"/>
      <c r="AL1109" s="317"/>
      <c r="AQ1109" s="363"/>
      <c r="AR1109" s="364"/>
      <c r="AV1109" s="344"/>
      <c r="CJ1109" s="344"/>
      <c r="CU1109" s="344"/>
      <c r="DI1109" s="342"/>
      <c r="DK1109" s="344"/>
      <c r="DS1109" s="317"/>
      <c r="DT1109" s="317"/>
    </row>
    <row r="1110" spans="17:124" s="277" customFormat="1" ht="12.75" customHeight="1">
      <c r="Q1110" s="342"/>
      <c r="AB1110" s="342"/>
      <c r="AK1110" s="317"/>
      <c r="AL1110" s="317"/>
      <c r="AQ1110" s="363"/>
      <c r="AR1110" s="364"/>
      <c r="AV1110" s="344"/>
      <c r="CJ1110" s="344"/>
      <c r="CU1110" s="344"/>
      <c r="DI1110" s="342"/>
      <c r="DK1110" s="344"/>
      <c r="DS1110" s="317"/>
      <c r="DT1110" s="317"/>
    </row>
    <row r="1111" spans="17:124" s="277" customFormat="1" ht="12.75" customHeight="1">
      <c r="Q1111" s="342"/>
      <c r="AB1111" s="342"/>
      <c r="AK1111" s="317"/>
      <c r="AL1111" s="317"/>
      <c r="AQ1111" s="363"/>
      <c r="AR1111" s="364"/>
      <c r="AV1111" s="344"/>
      <c r="CJ1111" s="344"/>
      <c r="CU1111" s="344"/>
      <c r="DI1111" s="342"/>
      <c r="DK1111" s="344"/>
      <c r="DS1111" s="317"/>
      <c r="DT1111" s="317"/>
    </row>
    <row r="1112" spans="17:124" s="277" customFormat="1" ht="12.75" customHeight="1">
      <c r="Q1112" s="342"/>
      <c r="AB1112" s="342"/>
      <c r="AK1112" s="317"/>
      <c r="AL1112" s="317"/>
      <c r="AQ1112" s="363"/>
      <c r="AR1112" s="364"/>
      <c r="AV1112" s="344"/>
      <c r="CJ1112" s="344"/>
      <c r="CU1112" s="344"/>
      <c r="DI1112" s="342"/>
      <c r="DK1112" s="344"/>
      <c r="DS1112" s="317"/>
      <c r="DT1112" s="317"/>
    </row>
    <row r="1113" spans="17:124" s="277" customFormat="1" ht="12.75" customHeight="1">
      <c r="Q1113" s="342"/>
      <c r="AB1113" s="342"/>
      <c r="AK1113" s="317"/>
      <c r="AL1113" s="317"/>
      <c r="AQ1113" s="363"/>
      <c r="AR1113" s="364"/>
      <c r="AV1113" s="344"/>
      <c r="CJ1113" s="344"/>
      <c r="CU1113" s="344"/>
      <c r="DI1113" s="342"/>
      <c r="DK1113" s="344"/>
      <c r="DS1113" s="317"/>
      <c r="DT1113" s="317"/>
    </row>
    <row r="1114" spans="17:124" s="277" customFormat="1" ht="12.75" customHeight="1">
      <c r="Q1114" s="342"/>
      <c r="AB1114" s="342"/>
      <c r="AK1114" s="317"/>
      <c r="AL1114" s="317"/>
      <c r="AQ1114" s="363"/>
      <c r="AR1114" s="364"/>
      <c r="AV1114" s="344"/>
      <c r="CJ1114" s="344"/>
      <c r="CU1114" s="344"/>
      <c r="DI1114" s="342"/>
      <c r="DK1114" s="344"/>
      <c r="DS1114" s="317"/>
      <c r="DT1114" s="317"/>
    </row>
    <row r="1115" spans="17:124" s="277" customFormat="1" ht="12.75" customHeight="1">
      <c r="Q1115" s="342"/>
      <c r="AB1115" s="342"/>
      <c r="AK1115" s="317"/>
      <c r="AL1115" s="317"/>
      <c r="AQ1115" s="363"/>
      <c r="AR1115" s="364"/>
      <c r="AV1115" s="344"/>
      <c r="CJ1115" s="344"/>
      <c r="CU1115" s="344"/>
      <c r="DI1115" s="342"/>
      <c r="DK1115" s="344"/>
      <c r="DS1115" s="317"/>
      <c r="DT1115" s="317"/>
    </row>
    <row r="1116" spans="17:124" s="277" customFormat="1" ht="12.75" customHeight="1">
      <c r="Q1116" s="342"/>
      <c r="AB1116" s="342"/>
      <c r="AK1116" s="317"/>
      <c r="AL1116" s="317"/>
      <c r="AQ1116" s="363"/>
      <c r="AR1116" s="364"/>
      <c r="AV1116" s="344"/>
      <c r="CJ1116" s="344"/>
      <c r="CU1116" s="344"/>
      <c r="DI1116" s="342"/>
      <c r="DK1116" s="344"/>
      <c r="DS1116" s="317"/>
      <c r="DT1116" s="317"/>
    </row>
    <row r="1117" spans="17:124" s="277" customFormat="1" ht="12.75" customHeight="1">
      <c r="Q1117" s="342"/>
      <c r="AB1117" s="342"/>
      <c r="AK1117" s="317"/>
      <c r="AL1117" s="317"/>
      <c r="AQ1117" s="363"/>
      <c r="AR1117" s="364"/>
      <c r="AV1117" s="344"/>
      <c r="CJ1117" s="344"/>
      <c r="CU1117" s="344"/>
      <c r="DI1117" s="342"/>
      <c r="DK1117" s="344"/>
      <c r="DS1117" s="317"/>
      <c r="DT1117" s="317"/>
    </row>
    <row r="1118" spans="17:124" s="277" customFormat="1" ht="12.75" customHeight="1">
      <c r="Q1118" s="342"/>
      <c r="AB1118" s="342"/>
      <c r="AK1118" s="317"/>
      <c r="AL1118" s="317"/>
      <c r="AQ1118" s="363"/>
      <c r="AR1118" s="364"/>
      <c r="AV1118" s="344"/>
      <c r="CJ1118" s="344"/>
      <c r="CU1118" s="344"/>
      <c r="DI1118" s="342"/>
      <c r="DK1118" s="344"/>
      <c r="DS1118" s="317"/>
      <c r="DT1118" s="317"/>
    </row>
    <row r="1119" spans="17:124" s="277" customFormat="1" ht="12.75" customHeight="1">
      <c r="Q1119" s="342"/>
      <c r="AB1119" s="342"/>
      <c r="AK1119" s="317"/>
      <c r="AL1119" s="317"/>
      <c r="AQ1119" s="363"/>
      <c r="AR1119" s="364"/>
      <c r="AV1119" s="344"/>
      <c r="CJ1119" s="344"/>
      <c r="CU1119" s="344"/>
      <c r="DI1119" s="342"/>
      <c r="DK1119" s="344"/>
      <c r="DS1119" s="317"/>
      <c r="DT1119" s="317"/>
    </row>
    <row r="1120" spans="17:124" s="277" customFormat="1" ht="12.75" customHeight="1">
      <c r="Q1120" s="342"/>
      <c r="AB1120" s="342"/>
      <c r="AK1120" s="317"/>
      <c r="AL1120" s="317"/>
      <c r="AQ1120" s="363"/>
      <c r="AR1120" s="364"/>
      <c r="AV1120" s="344"/>
      <c r="CJ1120" s="344"/>
      <c r="CU1120" s="344"/>
      <c r="DI1120" s="342"/>
      <c r="DK1120" s="344"/>
      <c r="DS1120" s="317"/>
      <c r="DT1120" s="317"/>
    </row>
    <row r="1121" spans="17:124" s="277" customFormat="1" ht="12.75" customHeight="1">
      <c r="Q1121" s="342"/>
      <c r="AB1121" s="342"/>
      <c r="AK1121" s="317"/>
      <c r="AL1121" s="317"/>
      <c r="AQ1121" s="363"/>
      <c r="AR1121" s="364"/>
      <c r="AV1121" s="344"/>
      <c r="CJ1121" s="344"/>
      <c r="CU1121" s="344"/>
      <c r="DI1121" s="342"/>
      <c r="DK1121" s="344"/>
      <c r="DS1121" s="317"/>
      <c r="DT1121" s="317"/>
    </row>
    <row r="1122" spans="17:124" s="277" customFormat="1" ht="12.75" customHeight="1">
      <c r="Q1122" s="342"/>
      <c r="AB1122" s="342"/>
      <c r="AK1122" s="317"/>
      <c r="AL1122" s="317"/>
      <c r="AQ1122" s="363"/>
      <c r="AR1122" s="364"/>
      <c r="AV1122" s="344"/>
      <c r="CJ1122" s="344"/>
      <c r="CU1122" s="344"/>
      <c r="DI1122" s="342"/>
      <c r="DK1122" s="344"/>
      <c r="DS1122" s="317"/>
      <c r="DT1122" s="317"/>
    </row>
    <row r="1123" spans="17:124" s="277" customFormat="1" ht="12.75" customHeight="1">
      <c r="Q1123" s="342"/>
      <c r="AB1123" s="342"/>
      <c r="AK1123" s="317"/>
      <c r="AL1123" s="317"/>
      <c r="AQ1123" s="363"/>
      <c r="AR1123" s="364"/>
      <c r="AV1123" s="344"/>
      <c r="CJ1123" s="344"/>
      <c r="CU1123" s="344"/>
      <c r="DI1123" s="342"/>
      <c r="DK1123" s="344"/>
      <c r="DS1123" s="317"/>
      <c r="DT1123" s="317"/>
    </row>
    <row r="1124" spans="17:124" s="277" customFormat="1" ht="12.75" customHeight="1">
      <c r="Q1124" s="342"/>
      <c r="AB1124" s="342"/>
      <c r="AK1124" s="317"/>
      <c r="AL1124" s="317"/>
      <c r="AQ1124" s="363"/>
      <c r="AR1124" s="364"/>
      <c r="AV1124" s="344"/>
      <c r="CJ1124" s="344"/>
      <c r="CU1124" s="344"/>
      <c r="DI1124" s="342"/>
      <c r="DK1124" s="344"/>
      <c r="DS1124" s="317"/>
      <c r="DT1124" s="317"/>
    </row>
    <row r="1125" spans="17:124" s="277" customFormat="1" ht="12.75" customHeight="1">
      <c r="Q1125" s="342"/>
      <c r="AB1125" s="342"/>
      <c r="AK1125" s="317"/>
      <c r="AL1125" s="317"/>
      <c r="AQ1125" s="363"/>
      <c r="AR1125" s="364"/>
      <c r="AV1125" s="344"/>
      <c r="CJ1125" s="344"/>
      <c r="CU1125" s="344"/>
      <c r="DI1125" s="342"/>
      <c r="DK1125" s="344"/>
      <c r="DS1125" s="317"/>
      <c r="DT1125" s="317"/>
    </row>
    <row r="1126" spans="17:124" s="277" customFormat="1" ht="12.75" customHeight="1">
      <c r="Q1126" s="342"/>
      <c r="AB1126" s="342"/>
      <c r="AK1126" s="317"/>
      <c r="AL1126" s="317"/>
      <c r="AQ1126" s="363"/>
      <c r="AR1126" s="364"/>
      <c r="AV1126" s="344"/>
      <c r="CJ1126" s="344"/>
      <c r="CU1126" s="344"/>
      <c r="DI1126" s="342"/>
      <c r="DK1126" s="344"/>
      <c r="DS1126" s="317"/>
      <c r="DT1126" s="317"/>
    </row>
    <row r="1127" spans="17:124" s="277" customFormat="1" ht="12.75" customHeight="1">
      <c r="Q1127" s="342"/>
      <c r="AB1127" s="342"/>
      <c r="AK1127" s="317"/>
      <c r="AL1127" s="317"/>
      <c r="AQ1127" s="363"/>
      <c r="AR1127" s="364"/>
      <c r="AV1127" s="344"/>
      <c r="CJ1127" s="344"/>
      <c r="CU1127" s="344"/>
      <c r="DI1127" s="342"/>
      <c r="DK1127" s="344"/>
      <c r="DS1127" s="317"/>
      <c r="DT1127" s="317"/>
    </row>
    <row r="1128" spans="17:124" s="277" customFormat="1" ht="12.75" customHeight="1">
      <c r="Q1128" s="342"/>
      <c r="AB1128" s="342"/>
      <c r="AK1128" s="317"/>
      <c r="AL1128" s="317"/>
      <c r="AQ1128" s="363"/>
      <c r="AR1128" s="364"/>
      <c r="AV1128" s="344"/>
      <c r="CJ1128" s="344"/>
      <c r="CU1128" s="344"/>
      <c r="DI1128" s="342"/>
      <c r="DK1128" s="344"/>
      <c r="DS1128" s="317"/>
      <c r="DT1128" s="317"/>
    </row>
    <row r="1129" spans="17:124" s="277" customFormat="1" ht="12.75" customHeight="1">
      <c r="Q1129" s="342"/>
      <c r="AB1129" s="342"/>
      <c r="AK1129" s="317"/>
      <c r="AL1129" s="317"/>
      <c r="AQ1129" s="363"/>
      <c r="AR1129" s="364"/>
      <c r="AV1129" s="344"/>
      <c r="CJ1129" s="344"/>
      <c r="CU1129" s="344"/>
      <c r="DI1129" s="342"/>
      <c r="DK1129" s="344"/>
      <c r="DS1129" s="317"/>
      <c r="DT1129" s="317"/>
    </row>
    <row r="1130" spans="17:124" s="277" customFormat="1" ht="12.75" customHeight="1">
      <c r="Q1130" s="342"/>
      <c r="AB1130" s="342"/>
      <c r="AK1130" s="317"/>
      <c r="AL1130" s="317"/>
      <c r="AQ1130" s="363"/>
      <c r="AR1130" s="364"/>
      <c r="AV1130" s="344"/>
      <c r="CJ1130" s="344"/>
      <c r="CU1130" s="344"/>
      <c r="DI1130" s="342"/>
      <c r="DK1130" s="344"/>
      <c r="DS1130" s="317"/>
      <c r="DT1130" s="317"/>
    </row>
    <row r="1131" spans="17:124" s="277" customFormat="1" ht="12.75" customHeight="1">
      <c r="Q1131" s="342"/>
      <c r="AB1131" s="342"/>
      <c r="AK1131" s="317"/>
      <c r="AL1131" s="317"/>
      <c r="AQ1131" s="363"/>
      <c r="AR1131" s="364"/>
      <c r="AV1131" s="344"/>
      <c r="CJ1131" s="344"/>
      <c r="CU1131" s="344"/>
      <c r="DI1131" s="342"/>
      <c r="DK1131" s="344"/>
      <c r="DS1131" s="317"/>
      <c r="DT1131" s="317"/>
    </row>
    <row r="1132" spans="17:124" s="277" customFormat="1" ht="12.75" customHeight="1">
      <c r="Q1132" s="342"/>
      <c r="AB1132" s="342"/>
      <c r="AK1132" s="317"/>
      <c r="AL1132" s="317"/>
      <c r="AQ1132" s="363"/>
      <c r="AR1132" s="364"/>
      <c r="AV1132" s="344"/>
      <c r="CJ1132" s="344"/>
      <c r="CU1132" s="344"/>
      <c r="DI1132" s="342"/>
      <c r="DK1132" s="344"/>
      <c r="DS1132" s="317"/>
      <c r="DT1132" s="317"/>
    </row>
    <row r="1133" spans="17:124" s="277" customFormat="1" ht="12.75" customHeight="1">
      <c r="Q1133" s="342"/>
      <c r="AB1133" s="342"/>
      <c r="AK1133" s="317"/>
      <c r="AL1133" s="317"/>
      <c r="AQ1133" s="363"/>
      <c r="AR1133" s="364"/>
      <c r="AV1133" s="344"/>
      <c r="CJ1133" s="344"/>
      <c r="CU1133" s="344"/>
      <c r="DI1133" s="342"/>
      <c r="DK1133" s="344"/>
      <c r="DS1133" s="317"/>
      <c r="DT1133" s="317"/>
    </row>
    <row r="1134" spans="17:124" s="277" customFormat="1" ht="12.75" customHeight="1">
      <c r="Q1134" s="342"/>
      <c r="AB1134" s="342"/>
      <c r="AK1134" s="317"/>
      <c r="AL1134" s="317"/>
      <c r="AQ1134" s="363"/>
      <c r="AR1134" s="364"/>
      <c r="AV1134" s="344"/>
      <c r="CJ1134" s="344"/>
      <c r="CU1134" s="344"/>
      <c r="DI1134" s="342"/>
      <c r="DK1134" s="344"/>
      <c r="DS1134" s="317"/>
      <c r="DT1134" s="317"/>
    </row>
    <row r="1135" spans="17:124" s="277" customFormat="1" ht="12.75" customHeight="1">
      <c r="Q1135" s="342"/>
      <c r="AB1135" s="342"/>
      <c r="AK1135" s="317"/>
      <c r="AL1135" s="317"/>
      <c r="AQ1135" s="363"/>
      <c r="AR1135" s="364"/>
      <c r="AV1135" s="344"/>
      <c r="CJ1135" s="344"/>
      <c r="CU1135" s="344"/>
      <c r="DI1135" s="342"/>
      <c r="DK1135" s="344"/>
      <c r="DS1135" s="317"/>
      <c r="DT1135" s="317"/>
    </row>
    <row r="1136" spans="17:124" s="277" customFormat="1" ht="12.75" customHeight="1">
      <c r="Q1136" s="342"/>
      <c r="AB1136" s="342"/>
      <c r="AK1136" s="317"/>
      <c r="AL1136" s="317"/>
      <c r="AQ1136" s="363"/>
      <c r="AR1136" s="364"/>
      <c r="AV1136" s="344"/>
      <c r="CJ1136" s="344"/>
      <c r="CU1136" s="344"/>
      <c r="DI1136" s="342"/>
      <c r="DK1136" s="344"/>
      <c r="DS1136" s="317"/>
      <c r="DT1136" s="317"/>
    </row>
    <row r="1137" spans="17:124" s="277" customFormat="1" ht="12.75" customHeight="1">
      <c r="Q1137" s="342"/>
      <c r="AB1137" s="342"/>
      <c r="AK1137" s="317"/>
      <c r="AL1137" s="317"/>
      <c r="AQ1137" s="363"/>
      <c r="AR1137" s="364"/>
      <c r="AV1137" s="344"/>
      <c r="CJ1137" s="344"/>
      <c r="CU1137" s="344"/>
      <c r="DI1137" s="342"/>
      <c r="DK1137" s="344"/>
      <c r="DS1137" s="317"/>
      <c r="DT1137" s="317"/>
    </row>
    <row r="1138" spans="17:124" s="277" customFormat="1" ht="12.75" customHeight="1">
      <c r="Q1138" s="342"/>
      <c r="AB1138" s="342"/>
      <c r="AK1138" s="317"/>
      <c r="AL1138" s="317"/>
      <c r="AQ1138" s="363"/>
      <c r="AR1138" s="364"/>
      <c r="AV1138" s="344"/>
      <c r="CJ1138" s="344"/>
      <c r="CU1138" s="344"/>
      <c r="DI1138" s="342"/>
      <c r="DK1138" s="344"/>
      <c r="DS1138" s="317"/>
      <c r="DT1138" s="317"/>
    </row>
    <row r="1139" spans="17:124" s="277" customFormat="1" ht="12.75" customHeight="1">
      <c r="Q1139" s="342"/>
      <c r="AB1139" s="342"/>
      <c r="AK1139" s="317"/>
      <c r="AL1139" s="317"/>
      <c r="AQ1139" s="363"/>
      <c r="AR1139" s="364"/>
      <c r="AV1139" s="344"/>
      <c r="CJ1139" s="344"/>
      <c r="CU1139" s="344"/>
      <c r="DI1139" s="342"/>
      <c r="DK1139" s="344"/>
      <c r="DS1139" s="317"/>
      <c r="DT1139" s="317"/>
    </row>
    <row r="1140" spans="17:124" s="277" customFormat="1" ht="12.75" customHeight="1">
      <c r="Q1140" s="342"/>
      <c r="AB1140" s="342"/>
      <c r="AK1140" s="317"/>
      <c r="AL1140" s="317"/>
      <c r="AQ1140" s="363"/>
      <c r="AR1140" s="364"/>
      <c r="AV1140" s="344"/>
      <c r="CJ1140" s="344"/>
      <c r="CU1140" s="344"/>
      <c r="DI1140" s="342"/>
      <c r="DK1140" s="344"/>
      <c r="DS1140" s="317"/>
      <c r="DT1140" s="317"/>
    </row>
    <row r="1141" spans="17:124" s="277" customFormat="1" ht="12.75" customHeight="1">
      <c r="Q1141" s="342"/>
      <c r="AB1141" s="342"/>
      <c r="AK1141" s="317"/>
      <c r="AL1141" s="317"/>
      <c r="AQ1141" s="363"/>
      <c r="AR1141" s="364"/>
      <c r="AV1141" s="344"/>
      <c r="CJ1141" s="344"/>
      <c r="CU1141" s="344"/>
      <c r="DI1141" s="342"/>
      <c r="DK1141" s="344"/>
      <c r="DS1141" s="317"/>
      <c r="DT1141" s="317"/>
    </row>
    <row r="1142" spans="17:124" s="277" customFormat="1" ht="12.75" customHeight="1">
      <c r="Q1142" s="342"/>
      <c r="AB1142" s="342"/>
      <c r="AK1142" s="317"/>
      <c r="AL1142" s="317"/>
      <c r="AQ1142" s="363"/>
      <c r="AR1142" s="364"/>
      <c r="AV1142" s="344"/>
      <c r="CJ1142" s="344"/>
      <c r="CU1142" s="344"/>
      <c r="DI1142" s="342"/>
      <c r="DK1142" s="344"/>
      <c r="DS1142" s="317"/>
      <c r="DT1142" s="317"/>
    </row>
    <row r="1143" spans="17:124" s="277" customFormat="1" ht="12.75" customHeight="1">
      <c r="Q1143" s="342"/>
      <c r="AB1143" s="342"/>
      <c r="AK1143" s="317"/>
      <c r="AL1143" s="317"/>
      <c r="AQ1143" s="363"/>
      <c r="AR1143" s="364"/>
      <c r="AV1143" s="344"/>
      <c r="CJ1143" s="344"/>
      <c r="CU1143" s="344"/>
      <c r="DI1143" s="342"/>
      <c r="DK1143" s="344"/>
      <c r="DS1143" s="317"/>
      <c r="DT1143" s="317"/>
    </row>
    <row r="1144" spans="17:124" s="277" customFormat="1" ht="12.75" customHeight="1">
      <c r="Q1144" s="342"/>
      <c r="AB1144" s="342"/>
      <c r="AK1144" s="317"/>
      <c r="AL1144" s="317"/>
      <c r="AQ1144" s="363"/>
      <c r="AR1144" s="364"/>
      <c r="AV1144" s="344"/>
      <c r="CJ1144" s="344"/>
      <c r="CU1144" s="344"/>
      <c r="DI1144" s="342"/>
      <c r="DK1144" s="344"/>
      <c r="DS1144" s="317"/>
      <c r="DT1144" s="317"/>
    </row>
    <row r="1145" spans="17:124" s="277" customFormat="1" ht="12.75" customHeight="1">
      <c r="Q1145" s="342"/>
      <c r="AB1145" s="342"/>
      <c r="AK1145" s="317"/>
      <c r="AL1145" s="317"/>
      <c r="AQ1145" s="363"/>
      <c r="AR1145" s="364"/>
      <c r="AV1145" s="344"/>
      <c r="CJ1145" s="344"/>
      <c r="CU1145" s="344"/>
      <c r="DI1145" s="342"/>
      <c r="DK1145" s="344"/>
      <c r="DS1145" s="317"/>
      <c r="DT1145" s="317"/>
    </row>
    <row r="1146" spans="17:124" s="277" customFormat="1" ht="12.75" customHeight="1">
      <c r="Q1146" s="342"/>
      <c r="AB1146" s="342"/>
      <c r="AK1146" s="317"/>
      <c r="AL1146" s="317"/>
      <c r="AQ1146" s="363"/>
      <c r="AR1146" s="364"/>
      <c r="AV1146" s="344"/>
      <c r="CJ1146" s="344"/>
      <c r="CU1146" s="344"/>
      <c r="DI1146" s="342"/>
      <c r="DK1146" s="344"/>
      <c r="DS1146" s="317"/>
      <c r="DT1146" s="317"/>
    </row>
    <row r="1147" spans="17:124" s="277" customFormat="1" ht="12.75" customHeight="1">
      <c r="Q1147" s="342"/>
      <c r="AB1147" s="342"/>
      <c r="AK1147" s="317"/>
      <c r="AL1147" s="317"/>
      <c r="AQ1147" s="363"/>
      <c r="AR1147" s="364"/>
      <c r="AV1147" s="344"/>
      <c r="CJ1147" s="344"/>
      <c r="CU1147" s="344"/>
      <c r="DI1147" s="342"/>
      <c r="DK1147" s="344"/>
      <c r="DS1147" s="317"/>
      <c r="DT1147" s="317"/>
    </row>
    <row r="1148" spans="17:124" s="277" customFormat="1" ht="12.75" customHeight="1">
      <c r="Q1148" s="342"/>
      <c r="AB1148" s="342"/>
      <c r="AK1148" s="317"/>
      <c r="AL1148" s="317"/>
      <c r="AQ1148" s="363"/>
      <c r="AR1148" s="364"/>
      <c r="AV1148" s="344"/>
      <c r="CJ1148" s="344"/>
      <c r="CU1148" s="344"/>
      <c r="DI1148" s="342"/>
      <c r="DK1148" s="344"/>
      <c r="DS1148" s="317"/>
      <c r="DT1148" s="317"/>
    </row>
    <row r="1149" spans="17:124" s="277" customFormat="1" ht="12.75" customHeight="1">
      <c r="Q1149" s="342"/>
      <c r="AB1149" s="342"/>
      <c r="AK1149" s="317"/>
      <c r="AL1149" s="317"/>
      <c r="AQ1149" s="363"/>
      <c r="AR1149" s="364"/>
      <c r="AV1149" s="344"/>
      <c r="CJ1149" s="344"/>
      <c r="CU1149" s="344"/>
      <c r="DI1149" s="342"/>
      <c r="DK1149" s="344"/>
      <c r="DS1149" s="317"/>
      <c r="DT1149" s="317"/>
    </row>
    <row r="1150" spans="17:124" s="277" customFormat="1" ht="12.75" customHeight="1">
      <c r="Q1150" s="342"/>
      <c r="AB1150" s="342"/>
      <c r="AK1150" s="317"/>
      <c r="AL1150" s="317"/>
      <c r="AQ1150" s="363"/>
      <c r="AR1150" s="364"/>
      <c r="AV1150" s="344"/>
      <c r="CJ1150" s="344"/>
      <c r="CU1150" s="344"/>
      <c r="DI1150" s="342"/>
      <c r="DK1150" s="344"/>
      <c r="DS1150" s="317"/>
      <c r="DT1150" s="317"/>
    </row>
    <row r="1151" spans="17:124" s="277" customFormat="1" ht="12.75" customHeight="1">
      <c r="Q1151" s="342"/>
      <c r="AB1151" s="342"/>
      <c r="AK1151" s="317"/>
      <c r="AL1151" s="317"/>
      <c r="AQ1151" s="363"/>
      <c r="AR1151" s="364"/>
      <c r="AV1151" s="344"/>
      <c r="CJ1151" s="344"/>
      <c r="CU1151" s="344"/>
      <c r="DI1151" s="342"/>
      <c r="DK1151" s="344"/>
      <c r="DS1151" s="317"/>
      <c r="DT1151" s="317"/>
    </row>
    <row r="1152" spans="17:124" s="277" customFormat="1" ht="12.75" customHeight="1">
      <c r="Q1152" s="342"/>
      <c r="AB1152" s="342"/>
      <c r="AK1152" s="317"/>
      <c r="AL1152" s="317"/>
      <c r="AQ1152" s="363"/>
      <c r="AR1152" s="364"/>
      <c r="AV1152" s="344"/>
      <c r="CJ1152" s="344"/>
      <c r="CU1152" s="344"/>
      <c r="DI1152" s="342"/>
      <c r="DK1152" s="344"/>
      <c r="DS1152" s="317"/>
      <c r="DT1152" s="317"/>
    </row>
    <row r="1153" spans="17:124" s="277" customFormat="1" ht="12.75" customHeight="1">
      <c r="Q1153" s="342"/>
      <c r="AB1153" s="342"/>
      <c r="AK1153" s="317"/>
      <c r="AL1153" s="317"/>
      <c r="AQ1153" s="363"/>
      <c r="AR1153" s="364"/>
      <c r="AV1153" s="344"/>
      <c r="CJ1153" s="344"/>
      <c r="CU1153" s="344"/>
      <c r="DI1153" s="342"/>
      <c r="DK1153" s="344"/>
      <c r="DS1153" s="317"/>
      <c r="DT1153" s="317"/>
    </row>
    <row r="1154" spans="17:124" s="277" customFormat="1" ht="12.75" customHeight="1">
      <c r="Q1154" s="342"/>
      <c r="AB1154" s="342"/>
      <c r="AK1154" s="317"/>
      <c r="AL1154" s="317"/>
      <c r="AQ1154" s="363"/>
      <c r="AR1154" s="364"/>
      <c r="AV1154" s="344"/>
      <c r="CJ1154" s="344"/>
      <c r="CU1154" s="344"/>
      <c r="DI1154" s="342"/>
      <c r="DK1154" s="344"/>
      <c r="DS1154" s="317"/>
      <c r="DT1154" s="317"/>
    </row>
    <row r="1155" spans="17:124" s="277" customFormat="1" ht="12.75" customHeight="1">
      <c r="Q1155" s="342"/>
      <c r="AB1155" s="342"/>
      <c r="AK1155" s="317"/>
      <c r="AL1155" s="317"/>
      <c r="AQ1155" s="363"/>
      <c r="AR1155" s="364"/>
      <c r="AV1155" s="344"/>
      <c r="CJ1155" s="344"/>
      <c r="CU1155" s="344"/>
      <c r="DI1155" s="342"/>
      <c r="DK1155" s="344"/>
      <c r="DS1155" s="317"/>
      <c r="DT1155" s="317"/>
    </row>
    <row r="1156" spans="17:124" s="277" customFormat="1" ht="12.75" customHeight="1">
      <c r="Q1156" s="342"/>
      <c r="AB1156" s="342"/>
      <c r="AK1156" s="317"/>
      <c r="AL1156" s="317"/>
      <c r="AQ1156" s="363"/>
      <c r="AR1156" s="364"/>
      <c r="AV1156" s="344"/>
      <c r="CJ1156" s="344"/>
      <c r="CU1156" s="344"/>
      <c r="DI1156" s="342"/>
      <c r="DK1156" s="344"/>
      <c r="DS1156" s="317"/>
      <c r="DT1156" s="317"/>
    </row>
    <row r="1157" spans="17:124" s="277" customFormat="1" ht="12.75" customHeight="1">
      <c r="Q1157" s="342"/>
      <c r="AB1157" s="342"/>
      <c r="AK1157" s="317"/>
      <c r="AL1157" s="317"/>
      <c r="AQ1157" s="363"/>
      <c r="AR1157" s="364"/>
      <c r="AV1157" s="344"/>
      <c r="CJ1157" s="344"/>
      <c r="CU1157" s="344"/>
      <c r="DI1157" s="342"/>
      <c r="DK1157" s="344"/>
      <c r="DS1157" s="317"/>
      <c r="DT1157" s="317"/>
    </row>
    <row r="1158" spans="17:124" s="277" customFormat="1" ht="12.75" customHeight="1">
      <c r="Q1158" s="342"/>
      <c r="AB1158" s="342"/>
      <c r="AK1158" s="317"/>
      <c r="AL1158" s="317"/>
      <c r="AQ1158" s="363"/>
      <c r="AR1158" s="364"/>
      <c r="AV1158" s="344"/>
      <c r="CJ1158" s="344"/>
      <c r="CU1158" s="344"/>
      <c r="DI1158" s="342"/>
      <c r="DK1158" s="344"/>
      <c r="DS1158" s="317"/>
      <c r="DT1158" s="317"/>
    </row>
    <row r="1159" spans="17:124" s="277" customFormat="1" ht="12.75" customHeight="1">
      <c r="Q1159" s="342"/>
      <c r="AB1159" s="342"/>
      <c r="AK1159" s="317"/>
      <c r="AL1159" s="317"/>
      <c r="AQ1159" s="363"/>
      <c r="AR1159" s="364"/>
      <c r="AV1159" s="344"/>
      <c r="CJ1159" s="344"/>
      <c r="CU1159" s="344"/>
      <c r="DI1159" s="342"/>
      <c r="DK1159" s="344"/>
      <c r="DS1159" s="317"/>
      <c r="DT1159" s="317"/>
    </row>
    <row r="1160" spans="17:124" s="277" customFormat="1" ht="12.75" customHeight="1">
      <c r="Q1160" s="342"/>
      <c r="AB1160" s="342"/>
      <c r="AK1160" s="317"/>
      <c r="AL1160" s="317"/>
      <c r="AQ1160" s="363"/>
      <c r="AR1160" s="364"/>
      <c r="AV1160" s="344"/>
      <c r="CJ1160" s="344"/>
      <c r="CU1160" s="344"/>
      <c r="DI1160" s="342"/>
      <c r="DK1160" s="344"/>
      <c r="DS1160" s="317"/>
      <c r="DT1160" s="317"/>
    </row>
    <row r="1161" spans="17:124" s="277" customFormat="1" ht="12.75" customHeight="1">
      <c r="Q1161" s="342"/>
      <c r="AB1161" s="342"/>
      <c r="AK1161" s="317"/>
      <c r="AL1161" s="317"/>
      <c r="AQ1161" s="363"/>
      <c r="AR1161" s="364"/>
      <c r="AV1161" s="344"/>
      <c r="CJ1161" s="344"/>
      <c r="CU1161" s="344"/>
      <c r="DI1161" s="342"/>
      <c r="DK1161" s="344"/>
      <c r="DS1161" s="317"/>
      <c r="DT1161" s="317"/>
    </row>
    <row r="1162" spans="17:124" s="277" customFormat="1" ht="12.75" customHeight="1">
      <c r="Q1162" s="342"/>
      <c r="AB1162" s="342"/>
      <c r="AK1162" s="317"/>
      <c r="AL1162" s="317"/>
      <c r="AQ1162" s="363"/>
      <c r="AR1162" s="364"/>
      <c r="AV1162" s="344"/>
      <c r="CJ1162" s="344"/>
      <c r="CU1162" s="344"/>
      <c r="DI1162" s="342"/>
      <c r="DK1162" s="344"/>
      <c r="DS1162" s="317"/>
      <c r="DT1162" s="317"/>
    </row>
    <row r="1163" spans="17:124" s="277" customFormat="1" ht="12.75" customHeight="1">
      <c r="Q1163" s="342"/>
      <c r="AB1163" s="342"/>
      <c r="AK1163" s="317"/>
      <c r="AL1163" s="317"/>
      <c r="AQ1163" s="363"/>
      <c r="AR1163" s="364"/>
      <c r="AV1163" s="344"/>
      <c r="CJ1163" s="344"/>
      <c r="CU1163" s="344"/>
      <c r="DI1163" s="342"/>
      <c r="DK1163" s="344"/>
      <c r="DS1163" s="317"/>
      <c r="DT1163" s="317"/>
    </row>
    <row r="1164" spans="17:124" s="277" customFormat="1" ht="12.75" customHeight="1">
      <c r="Q1164" s="342"/>
      <c r="AB1164" s="342"/>
      <c r="AK1164" s="317"/>
      <c r="AL1164" s="317"/>
      <c r="AQ1164" s="363"/>
      <c r="AR1164" s="364"/>
      <c r="AV1164" s="344"/>
      <c r="CJ1164" s="344"/>
      <c r="CU1164" s="344"/>
      <c r="DI1164" s="342"/>
      <c r="DK1164" s="344"/>
      <c r="DS1164" s="317"/>
      <c r="DT1164" s="317"/>
    </row>
    <row r="1165" spans="17:124" s="277" customFormat="1" ht="12.75" customHeight="1">
      <c r="Q1165" s="342"/>
      <c r="AB1165" s="342"/>
      <c r="AK1165" s="317"/>
      <c r="AL1165" s="317"/>
      <c r="AQ1165" s="363"/>
      <c r="AR1165" s="364"/>
      <c r="AV1165" s="344"/>
      <c r="CJ1165" s="344"/>
      <c r="CU1165" s="344"/>
      <c r="DI1165" s="342"/>
      <c r="DK1165" s="344"/>
      <c r="DS1165" s="317"/>
      <c r="DT1165" s="317"/>
    </row>
    <row r="1166" spans="17:124" s="277" customFormat="1" ht="12.75" customHeight="1">
      <c r="Q1166" s="342"/>
      <c r="AB1166" s="342"/>
      <c r="AK1166" s="317"/>
      <c r="AL1166" s="317"/>
      <c r="AQ1166" s="363"/>
      <c r="AR1166" s="364"/>
      <c r="AV1166" s="344"/>
      <c r="CJ1166" s="344"/>
      <c r="CU1166" s="344"/>
      <c r="DI1166" s="342"/>
      <c r="DK1166" s="344"/>
      <c r="DS1166" s="317"/>
      <c r="DT1166" s="317"/>
    </row>
    <row r="1167" spans="17:124" s="277" customFormat="1" ht="12.75" customHeight="1">
      <c r="Q1167" s="342"/>
      <c r="AB1167" s="342"/>
      <c r="AK1167" s="317"/>
      <c r="AL1167" s="317"/>
      <c r="AQ1167" s="363"/>
      <c r="AR1167" s="364"/>
      <c r="AV1167" s="344"/>
      <c r="CJ1167" s="344"/>
      <c r="CU1167" s="344"/>
      <c r="DI1167" s="342"/>
      <c r="DK1167" s="344"/>
      <c r="DS1167" s="317"/>
      <c r="DT1167" s="317"/>
    </row>
    <row r="1168" spans="17:124" s="277" customFormat="1" ht="12.75" customHeight="1">
      <c r="Q1168" s="342"/>
      <c r="AB1168" s="342"/>
      <c r="AK1168" s="317"/>
      <c r="AL1168" s="317"/>
      <c r="AQ1168" s="363"/>
      <c r="AR1168" s="364"/>
      <c r="AV1168" s="344"/>
      <c r="CJ1168" s="344"/>
      <c r="CU1168" s="344"/>
      <c r="DI1168" s="342"/>
      <c r="DK1168" s="344"/>
      <c r="DS1168" s="317"/>
      <c r="DT1168" s="317"/>
    </row>
    <row r="1169" spans="17:124" s="277" customFormat="1" ht="12.75" customHeight="1">
      <c r="Q1169" s="342"/>
      <c r="AB1169" s="342"/>
      <c r="AK1169" s="317"/>
      <c r="AL1169" s="317"/>
      <c r="AQ1169" s="363"/>
      <c r="AR1169" s="364"/>
      <c r="AV1169" s="344"/>
      <c r="CJ1169" s="344"/>
      <c r="CU1169" s="344"/>
      <c r="DI1169" s="342"/>
      <c r="DK1169" s="344"/>
      <c r="DS1169" s="317"/>
      <c r="DT1169" s="317"/>
    </row>
    <row r="1170" spans="17:124" s="277" customFormat="1" ht="12.75" customHeight="1">
      <c r="Q1170" s="342"/>
      <c r="AB1170" s="342"/>
      <c r="AK1170" s="317"/>
      <c r="AL1170" s="317"/>
      <c r="AQ1170" s="363"/>
      <c r="AR1170" s="364"/>
      <c r="AV1170" s="344"/>
      <c r="CJ1170" s="344"/>
      <c r="CU1170" s="344"/>
      <c r="DI1170" s="342"/>
      <c r="DK1170" s="344"/>
      <c r="DS1170" s="317"/>
      <c r="DT1170" s="317"/>
    </row>
    <row r="1171" spans="17:124" s="277" customFormat="1" ht="12.75" customHeight="1">
      <c r="Q1171" s="342"/>
      <c r="AB1171" s="342"/>
      <c r="AK1171" s="317"/>
      <c r="AL1171" s="317"/>
      <c r="AQ1171" s="363"/>
      <c r="AR1171" s="364"/>
      <c r="AV1171" s="344"/>
      <c r="CJ1171" s="344"/>
      <c r="CU1171" s="344"/>
      <c r="DI1171" s="342"/>
      <c r="DK1171" s="344"/>
      <c r="DS1171" s="317"/>
      <c r="DT1171" s="317"/>
    </row>
    <row r="1172" spans="17:124" s="277" customFormat="1" ht="12.75" customHeight="1">
      <c r="Q1172" s="342"/>
      <c r="AB1172" s="342"/>
      <c r="AK1172" s="317"/>
      <c r="AL1172" s="317"/>
      <c r="AQ1172" s="363"/>
      <c r="AR1172" s="364"/>
      <c r="AV1172" s="344"/>
      <c r="CJ1172" s="344"/>
      <c r="CU1172" s="344"/>
      <c r="DI1172" s="342"/>
      <c r="DK1172" s="344"/>
      <c r="DS1172" s="317"/>
      <c r="DT1172" s="317"/>
    </row>
    <row r="1173" spans="17:124" s="277" customFormat="1" ht="12.75" customHeight="1">
      <c r="Q1173" s="342"/>
      <c r="AB1173" s="342"/>
      <c r="AK1173" s="317"/>
      <c r="AL1173" s="317"/>
      <c r="AQ1173" s="363"/>
      <c r="AR1173" s="364"/>
      <c r="AV1173" s="344"/>
      <c r="CJ1173" s="344"/>
      <c r="CU1173" s="344"/>
      <c r="DI1173" s="342"/>
      <c r="DK1173" s="344"/>
      <c r="DS1173" s="317"/>
      <c r="DT1173" s="317"/>
    </row>
    <row r="1174" spans="17:124" s="277" customFormat="1" ht="12.75" customHeight="1">
      <c r="Q1174" s="342"/>
      <c r="AB1174" s="342"/>
      <c r="AK1174" s="317"/>
      <c r="AL1174" s="317"/>
      <c r="AQ1174" s="363"/>
      <c r="AR1174" s="364"/>
      <c r="AV1174" s="344"/>
      <c r="CJ1174" s="344"/>
      <c r="CU1174" s="344"/>
      <c r="DI1174" s="342"/>
      <c r="DK1174" s="344"/>
      <c r="DS1174" s="317"/>
      <c r="DT1174" s="317"/>
    </row>
    <row r="1175" spans="17:124" s="277" customFormat="1" ht="12.75" customHeight="1">
      <c r="Q1175" s="342"/>
      <c r="AB1175" s="342"/>
      <c r="AK1175" s="317"/>
      <c r="AL1175" s="317"/>
      <c r="AQ1175" s="363"/>
      <c r="AR1175" s="364"/>
      <c r="AV1175" s="344"/>
      <c r="CJ1175" s="344"/>
      <c r="CU1175" s="344"/>
      <c r="DI1175" s="342"/>
      <c r="DK1175" s="344"/>
      <c r="DS1175" s="317"/>
      <c r="DT1175" s="317"/>
    </row>
    <row r="1176" spans="17:124" s="277" customFormat="1" ht="12.75" customHeight="1">
      <c r="Q1176" s="342"/>
      <c r="AB1176" s="342"/>
      <c r="AK1176" s="317"/>
      <c r="AL1176" s="317"/>
      <c r="AQ1176" s="363"/>
      <c r="AR1176" s="364"/>
      <c r="AV1176" s="344"/>
      <c r="CJ1176" s="344"/>
      <c r="CU1176" s="344"/>
      <c r="DI1176" s="342"/>
      <c r="DK1176" s="344"/>
      <c r="DS1176" s="317"/>
      <c r="DT1176" s="317"/>
    </row>
    <row r="1177" spans="17:124" s="277" customFormat="1" ht="12.75" customHeight="1">
      <c r="Q1177" s="342"/>
      <c r="AB1177" s="342"/>
      <c r="AK1177" s="317"/>
      <c r="AL1177" s="317"/>
      <c r="AQ1177" s="363"/>
      <c r="AR1177" s="364"/>
      <c r="AV1177" s="344"/>
      <c r="CJ1177" s="344"/>
      <c r="CU1177" s="344"/>
      <c r="DI1177" s="342"/>
      <c r="DK1177" s="344"/>
      <c r="DS1177" s="317"/>
      <c r="DT1177" s="317"/>
    </row>
    <row r="1178" spans="17:124" s="277" customFormat="1" ht="12.75" customHeight="1">
      <c r="Q1178" s="342"/>
      <c r="AB1178" s="342"/>
      <c r="AK1178" s="317"/>
      <c r="AL1178" s="317"/>
      <c r="AQ1178" s="363"/>
      <c r="AR1178" s="364"/>
      <c r="AV1178" s="344"/>
      <c r="CJ1178" s="344"/>
      <c r="CU1178" s="344"/>
      <c r="DI1178" s="342"/>
      <c r="DK1178" s="344"/>
      <c r="DS1178" s="317"/>
      <c r="DT1178" s="317"/>
    </row>
    <row r="1179" spans="17:124" s="277" customFormat="1" ht="12.75" customHeight="1">
      <c r="Q1179" s="342"/>
      <c r="AB1179" s="342"/>
      <c r="AK1179" s="317"/>
      <c r="AL1179" s="317"/>
      <c r="AQ1179" s="363"/>
      <c r="AR1179" s="364"/>
      <c r="AV1179" s="344"/>
      <c r="CJ1179" s="344"/>
      <c r="CU1179" s="344"/>
      <c r="DI1179" s="342"/>
      <c r="DK1179" s="344"/>
      <c r="DS1179" s="317"/>
      <c r="DT1179" s="317"/>
    </row>
    <row r="1180" spans="17:124" s="277" customFormat="1" ht="12.75" customHeight="1">
      <c r="Q1180" s="342"/>
      <c r="AB1180" s="342"/>
      <c r="AK1180" s="317"/>
      <c r="AL1180" s="317"/>
      <c r="AQ1180" s="363"/>
      <c r="AR1180" s="364"/>
      <c r="AV1180" s="344"/>
      <c r="CJ1180" s="344"/>
      <c r="CU1180" s="344"/>
      <c r="DI1180" s="342"/>
      <c r="DK1180" s="344"/>
      <c r="DS1180" s="317"/>
      <c r="DT1180" s="317"/>
    </row>
    <row r="1181" spans="17:124" s="277" customFormat="1" ht="12.75" customHeight="1">
      <c r="Q1181" s="342"/>
      <c r="AB1181" s="342"/>
      <c r="AK1181" s="317"/>
      <c r="AL1181" s="317"/>
      <c r="AQ1181" s="363"/>
      <c r="AR1181" s="364"/>
      <c r="AV1181" s="344"/>
      <c r="CJ1181" s="344"/>
      <c r="CU1181" s="344"/>
      <c r="DI1181" s="342"/>
      <c r="DK1181" s="344"/>
      <c r="DS1181" s="317"/>
      <c r="DT1181" s="317"/>
    </row>
    <row r="1182" spans="17:124" s="277" customFormat="1" ht="12.75" customHeight="1">
      <c r="Q1182" s="342"/>
      <c r="AB1182" s="342"/>
      <c r="AK1182" s="317"/>
      <c r="AL1182" s="317"/>
      <c r="AQ1182" s="363"/>
      <c r="AR1182" s="364"/>
      <c r="AV1182" s="344"/>
      <c r="CJ1182" s="344"/>
      <c r="CU1182" s="344"/>
      <c r="DI1182" s="342"/>
      <c r="DK1182" s="344"/>
      <c r="DS1182" s="317"/>
      <c r="DT1182" s="317"/>
    </row>
    <row r="1183" spans="17:124" s="277" customFormat="1" ht="12.75" customHeight="1">
      <c r="Q1183" s="342"/>
      <c r="AB1183" s="342"/>
      <c r="AK1183" s="317"/>
      <c r="AL1183" s="317"/>
      <c r="AQ1183" s="363"/>
      <c r="AR1183" s="364"/>
      <c r="AV1183" s="344"/>
      <c r="CJ1183" s="344"/>
      <c r="CU1183" s="344"/>
      <c r="DI1183" s="342"/>
      <c r="DK1183" s="344"/>
      <c r="DS1183" s="317"/>
      <c r="DT1183" s="317"/>
    </row>
    <row r="1184" spans="17:124" s="277" customFormat="1" ht="12.75" customHeight="1">
      <c r="Q1184" s="342"/>
      <c r="AB1184" s="342"/>
      <c r="AK1184" s="317"/>
      <c r="AL1184" s="317"/>
      <c r="AQ1184" s="363"/>
      <c r="AR1184" s="364"/>
      <c r="AV1184" s="344"/>
      <c r="CJ1184" s="344"/>
      <c r="CU1184" s="344"/>
      <c r="DI1184" s="342"/>
      <c r="DK1184" s="344"/>
      <c r="DS1184" s="317"/>
      <c r="DT1184" s="317"/>
    </row>
    <row r="1185" spans="17:124" s="277" customFormat="1" ht="12.75" customHeight="1">
      <c r="Q1185" s="342"/>
      <c r="AB1185" s="342"/>
      <c r="AK1185" s="317"/>
      <c r="AL1185" s="317"/>
      <c r="AQ1185" s="363"/>
      <c r="AR1185" s="364"/>
      <c r="AV1185" s="344"/>
      <c r="CJ1185" s="344"/>
      <c r="CU1185" s="344"/>
      <c r="DI1185" s="342"/>
      <c r="DK1185" s="344"/>
      <c r="DS1185" s="317"/>
      <c r="DT1185" s="317"/>
    </row>
    <row r="1186" spans="17:124" s="277" customFormat="1" ht="12.75" customHeight="1">
      <c r="Q1186" s="342"/>
      <c r="AB1186" s="342"/>
      <c r="AK1186" s="317"/>
      <c r="AL1186" s="317"/>
      <c r="AQ1186" s="363"/>
      <c r="AR1186" s="364"/>
      <c r="AV1186" s="344"/>
      <c r="CJ1186" s="344"/>
      <c r="CU1186" s="344"/>
      <c r="DI1186" s="342"/>
      <c r="DK1186" s="344"/>
      <c r="DS1186" s="317"/>
      <c r="DT1186" s="317"/>
    </row>
    <row r="1187" spans="17:124" s="277" customFormat="1" ht="12.75" customHeight="1">
      <c r="Q1187" s="342"/>
      <c r="AB1187" s="342"/>
      <c r="AK1187" s="317"/>
      <c r="AL1187" s="317"/>
      <c r="AQ1187" s="363"/>
      <c r="AR1187" s="364"/>
      <c r="AV1187" s="344"/>
      <c r="CJ1187" s="344"/>
      <c r="CU1187" s="344"/>
      <c r="DI1187" s="342"/>
      <c r="DK1187" s="344"/>
      <c r="DS1187" s="317"/>
      <c r="DT1187" s="317"/>
    </row>
    <row r="1188" spans="17:124" s="277" customFormat="1" ht="12.75" customHeight="1">
      <c r="Q1188" s="342"/>
      <c r="AB1188" s="342"/>
      <c r="AK1188" s="317"/>
      <c r="AL1188" s="317"/>
      <c r="AQ1188" s="363"/>
      <c r="AR1188" s="364"/>
      <c r="AV1188" s="344"/>
      <c r="CJ1188" s="344"/>
      <c r="CU1188" s="344"/>
      <c r="DI1188" s="342"/>
      <c r="DK1188" s="344"/>
      <c r="DS1188" s="317"/>
      <c r="DT1188" s="317"/>
    </row>
    <row r="1189" spans="17:124" s="277" customFormat="1" ht="12.75" customHeight="1">
      <c r="Q1189" s="342"/>
      <c r="AB1189" s="342"/>
      <c r="AK1189" s="317"/>
      <c r="AL1189" s="317"/>
      <c r="AQ1189" s="363"/>
      <c r="AR1189" s="364"/>
      <c r="AV1189" s="344"/>
      <c r="CJ1189" s="344"/>
      <c r="CU1189" s="344"/>
      <c r="DI1189" s="342"/>
      <c r="DK1189" s="344"/>
      <c r="DS1189" s="317"/>
      <c r="DT1189" s="317"/>
    </row>
    <row r="1190" spans="17:124" s="277" customFormat="1" ht="12.75" customHeight="1">
      <c r="Q1190" s="342"/>
      <c r="AB1190" s="342"/>
      <c r="AK1190" s="317"/>
      <c r="AL1190" s="317"/>
      <c r="AQ1190" s="363"/>
      <c r="AR1190" s="364"/>
      <c r="AV1190" s="344"/>
      <c r="CJ1190" s="344"/>
      <c r="CU1190" s="344"/>
      <c r="DI1190" s="342"/>
      <c r="DK1190" s="344"/>
      <c r="DS1190" s="317"/>
      <c r="DT1190" s="317"/>
    </row>
    <row r="1191" spans="17:124" s="277" customFormat="1" ht="12.75" customHeight="1">
      <c r="Q1191" s="342"/>
      <c r="AB1191" s="342"/>
      <c r="AK1191" s="317"/>
      <c r="AL1191" s="317"/>
      <c r="AQ1191" s="363"/>
      <c r="AR1191" s="364"/>
      <c r="AV1191" s="344"/>
      <c r="CJ1191" s="344"/>
      <c r="CU1191" s="344"/>
      <c r="DI1191" s="342"/>
      <c r="DK1191" s="344"/>
      <c r="DS1191" s="317"/>
      <c r="DT1191" s="317"/>
    </row>
    <row r="1192" spans="17:124" s="277" customFormat="1" ht="12.75" customHeight="1">
      <c r="Q1192" s="342"/>
      <c r="AB1192" s="342"/>
      <c r="AK1192" s="317"/>
      <c r="AL1192" s="317"/>
      <c r="AQ1192" s="363"/>
      <c r="AR1192" s="364"/>
      <c r="AV1192" s="344"/>
      <c r="CJ1192" s="344"/>
      <c r="CU1192" s="344"/>
      <c r="DI1192" s="342"/>
      <c r="DK1192" s="344"/>
      <c r="DS1192" s="317"/>
      <c r="DT1192" s="317"/>
    </row>
    <row r="1193" spans="17:124" s="277" customFormat="1" ht="12.75" customHeight="1">
      <c r="Q1193" s="342"/>
      <c r="AB1193" s="342"/>
      <c r="AK1193" s="317"/>
      <c r="AL1193" s="317"/>
      <c r="AQ1193" s="363"/>
      <c r="AR1193" s="364"/>
      <c r="AV1193" s="344"/>
      <c r="CJ1193" s="344"/>
      <c r="CU1193" s="344"/>
      <c r="DI1193" s="342"/>
      <c r="DK1193" s="344"/>
      <c r="DS1193" s="317"/>
      <c r="DT1193" s="317"/>
    </row>
    <row r="1194" spans="17:124" s="277" customFormat="1" ht="12.75" customHeight="1">
      <c r="Q1194" s="342"/>
      <c r="AB1194" s="342"/>
      <c r="AK1194" s="317"/>
      <c r="AL1194" s="317"/>
      <c r="AQ1194" s="363"/>
      <c r="AR1194" s="364"/>
      <c r="AV1194" s="344"/>
      <c r="CJ1194" s="344"/>
      <c r="CU1194" s="344"/>
      <c r="DI1194" s="342"/>
      <c r="DK1194" s="344"/>
      <c r="DS1194" s="317"/>
      <c r="DT1194" s="317"/>
    </row>
    <row r="1195" spans="17:124" s="277" customFormat="1" ht="12.75" customHeight="1">
      <c r="Q1195" s="342"/>
      <c r="AB1195" s="342"/>
      <c r="AK1195" s="317"/>
      <c r="AL1195" s="317"/>
      <c r="AQ1195" s="363"/>
      <c r="AR1195" s="364"/>
      <c r="AV1195" s="344"/>
      <c r="CJ1195" s="344"/>
      <c r="CU1195" s="344"/>
      <c r="DI1195" s="342"/>
      <c r="DK1195" s="344"/>
      <c r="DS1195" s="317"/>
      <c r="DT1195" s="317"/>
    </row>
    <row r="1196" spans="17:124" s="277" customFormat="1" ht="12.75" customHeight="1">
      <c r="Q1196" s="342"/>
      <c r="AB1196" s="342"/>
      <c r="AK1196" s="317"/>
      <c r="AL1196" s="317"/>
      <c r="AQ1196" s="363"/>
      <c r="AR1196" s="364"/>
      <c r="AV1196" s="344"/>
      <c r="CJ1196" s="344"/>
      <c r="CU1196" s="344"/>
      <c r="DI1196" s="342"/>
      <c r="DK1196" s="344"/>
      <c r="DS1196" s="317"/>
      <c r="DT1196" s="317"/>
    </row>
    <row r="1197" spans="17:124" s="277" customFormat="1" ht="12.75" customHeight="1">
      <c r="Q1197" s="342"/>
      <c r="AB1197" s="342"/>
      <c r="AK1197" s="317"/>
      <c r="AL1197" s="317"/>
      <c r="AQ1197" s="363"/>
      <c r="AR1197" s="364"/>
      <c r="AV1197" s="344"/>
      <c r="CJ1197" s="344"/>
      <c r="CU1197" s="344"/>
      <c r="DI1197" s="342"/>
      <c r="DK1197" s="344"/>
      <c r="DS1197" s="317"/>
      <c r="DT1197" s="317"/>
    </row>
    <row r="1198" spans="17:124" s="277" customFormat="1" ht="12.75" customHeight="1">
      <c r="Q1198" s="342"/>
      <c r="AB1198" s="342"/>
      <c r="AK1198" s="317"/>
      <c r="AL1198" s="317"/>
      <c r="AQ1198" s="363"/>
      <c r="AR1198" s="364"/>
      <c r="AV1198" s="344"/>
      <c r="CJ1198" s="344"/>
      <c r="CU1198" s="344"/>
      <c r="DI1198" s="342"/>
      <c r="DK1198" s="344"/>
      <c r="DS1198" s="317"/>
      <c r="DT1198" s="317"/>
    </row>
  </sheetData>
  <mergeCells count="69">
    <mergeCell ref="A507:D507"/>
    <mergeCell ref="A509:D509"/>
    <mergeCell ref="A511:D511"/>
    <mergeCell ref="A513:D513"/>
    <mergeCell ref="A13:EH20"/>
    <mergeCell ref="A503:D503"/>
    <mergeCell ref="A505:D505"/>
    <mergeCell ref="A504:XFD504"/>
    <mergeCell ref="C524:D524"/>
    <mergeCell ref="A515:D515"/>
    <mergeCell ref="A517:D517"/>
    <mergeCell ref="A519:D519"/>
    <mergeCell ref="A521:D521"/>
    <mergeCell ref="EC8:EG8"/>
    <mergeCell ref="DH9:DH10"/>
    <mergeCell ref="DI9:DI10"/>
    <mergeCell ref="DJ9:DJ10"/>
    <mergeCell ref="DK9:DK10"/>
    <mergeCell ref="DL9:DL10"/>
    <mergeCell ref="DM9:DM10"/>
    <mergeCell ref="DN9:DN10"/>
    <mergeCell ref="DO9:DO10"/>
    <mergeCell ref="DI8:DT8"/>
    <mergeCell ref="DP9:DR9"/>
    <mergeCell ref="DS9:DT9"/>
    <mergeCell ref="CT8:CT10"/>
    <mergeCell ref="CQ8:CQ9"/>
    <mergeCell ref="CU8:CU9"/>
    <mergeCell ref="CV8:DE10"/>
    <mergeCell ref="DU8:EB10"/>
    <mergeCell ref="CN8:CP9"/>
    <mergeCell ref="CR8:CR9"/>
    <mergeCell ref="CS8:CS9"/>
    <mergeCell ref="BV8:BX9"/>
    <mergeCell ref="CG8:CI9"/>
    <mergeCell ref="CJ8:CJ9"/>
    <mergeCell ref="BL8:BL9"/>
    <mergeCell ref="BM8:BM9"/>
    <mergeCell ref="BN8:BN9"/>
    <mergeCell ref="BO8:BO10"/>
    <mergeCell ref="CK8:CM9"/>
    <mergeCell ref="BT8:BT9"/>
    <mergeCell ref="BH8:BH9"/>
    <mergeCell ref="AU8:AU9"/>
    <mergeCell ref="BI8:BI9"/>
    <mergeCell ref="BJ8:BJ9"/>
    <mergeCell ref="BK8:BK9"/>
    <mergeCell ref="AN8:AP8"/>
    <mergeCell ref="AQ8:AS8"/>
    <mergeCell ref="AX8:AX9"/>
    <mergeCell ref="BC8:BC9"/>
    <mergeCell ref="BD8:BG8"/>
    <mergeCell ref="AC8:AE8"/>
    <mergeCell ref="AF8:AH8"/>
    <mergeCell ref="AK8:AL8"/>
    <mergeCell ref="C11:D11"/>
    <mergeCell ref="C12:D12"/>
    <mergeCell ref="G8:G9"/>
    <mergeCell ref="H8:I8"/>
    <mergeCell ref="J8:K8"/>
    <mergeCell ref="Q8:Q10"/>
    <mergeCell ref="R8:T8"/>
    <mergeCell ref="U8:W8"/>
    <mergeCell ref="X8:Z8"/>
    <mergeCell ref="A8:A9"/>
    <mergeCell ref="B8:B9"/>
    <mergeCell ref="C8:D8"/>
    <mergeCell ref="E8:E9"/>
    <mergeCell ref="F8:F9"/>
  </mergeCells>
  <conditionalFormatting sqref="BD21:BD133 BD332:BD501">
    <cfRule type="expression" dxfId="136" priority="1">
      <formula>(H21-J21)&lt;1.2</formula>
    </cfRule>
  </conditionalFormatting>
  <pageMargins left="0.7" right="0.7" top="0.75" bottom="0.75" header="0.3" footer="0.3"/>
  <pageSetup paperSize="9" orientation="portrait" horizontalDpi="360" verticalDpi="360"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70C0"/>
  </sheetPr>
  <dimension ref="A1:CN56"/>
  <sheetViews>
    <sheetView workbookViewId="0"/>
  </sheetViews>
  <sheetFormatPr baseColWidth="10" defaultColWidth="11.42578125" defaultRowHeight="15"/>
  <cols>
    <col min="79" max="90" width="0" hidden="1" customWidth="1"/>
  </cols>
  <sheetData>
    <row r="1" spans="1:92" s="1038" customFormat="1" ht="11.25">
      <c r="A1" s="1040">
        <v>1</v>
      </c>
      <c r="B1" s="1040">
        <v>2</v>
      </c>
      <c r="C1" s="1040">
        <v>3</v>
      </c>
      <c r="D1" s="1040">
        <v>4</v>
      </c>
      <c r="E1" s="1040">
        <v>5</v>
      </c>
      <c r="F1" s="1040">
        <v>6</v>
      </c>
      <c r="G1" s="1040">
        <v>7</v>
      </c>
      <c r="H1" s="1040">
        <v>8</v>
      </c>
      <c r="I1" s="1040">
        <v>9</v>
      </c>
      <c r="J1" s="1040">
        <v>10</v>
      </c>
      <c r="K1" s="1040">
        <v>11</v>
      </c>
      <c r="L1" s="1040">
        <v>12</v>
      </c>
      <c r="M1" s="1040">
        <v>13</v>
      </c>
      <c r="N1" s="1040">
        <v>14</v>
      </c>
      <c r="O1" s="1040">
        <v>15</v>
      </c>
      <c r="P1" s="1040">
        <v>16</v>
      </c>
      <c r="Q1" s="1040">
        <v>17</v>
      </c>
      <c r="R1" s="1040">
        <v>18</v>
      </c>
      <c r="S1" s="1040">
        <v>19</v>
      </c>
      <c r="T1" s="1040">
        <v>20</v>
      </c>
      <c r="U1" s="1040">
        <v>21</v>
      </c>
      <c r="V1" s="1040">
        <v>22</v>
      </c>
      <c r="W1" s="1040">
        <v>23</v>
      </c>
      <c r="X1" s="1040">
        <v>24</v>
      </c>
      <c r="Y1" s="1040">
        <v>25</v>
      </c>
      <c r="Z1" s="1040">
        <v>26</v>
      </c>
      <c r="AA1" s="1040">
        <v>27</v>
      </c>
      <c r="AB1" s="1040">
        <v>28</v>
      </c>
      <c r="AC1" s="1040">
        <v>29</v>
      </c>
      <c r="AD1" s="1040">
        <v>30</v>
      </c>
      <c r="AE1" s="1040">
        <v>31</v>
      </c>
      <c r="AF1" s="1040">
        <v>32</v>
      </c>
      <c r="AG1" s="1040">
        <v>33</v>
      </c>
      <c r="AH1" s="1040">
        <v>34</v>
      </c>
      <c r="AI1" s="1040">
        <v>35</v>
      </c>
      <c r="AJ1" s="1040">
        <v>36</v>
      </c>
      <c r="AK1" s="1040">
        <v>37</v>
      </c>
      <c r="AL1" s="1040">
        <v>38</v>
      </c>
      <c r="AM1" s="1040">
        <v>39</v>
      </c>
      <c r="AN1" s="1040">
        <v>40</v>
      </c>
      <c r="AO1" s="1040">
        <v>41</v>
      </c>
      <c r="AP1" s="1040">
        <v>42</v>
      </c>
      <c r="AQ1" s="1040">
        <v>43</v>
      </c>
      <c r="AR1" s="1040">
        <v>44</v>
      </c>
      <c r="AS1" s="1040">
        <v>45</v>
      </c>
      <c r="AT1" s="1040">
        <v>46</v>
      </c>
      <c r="AU1" s="1040"/>
      <c r="AV1" s="1040">
        <v>47</v>
      </c>
      <c r="AW1" s="1040">
        <v>48</v>
      </c>
      <c r="AX1" s="1040">
        <v>49</v>
      </c>
      <c r="AY1" s="1040">
        <v>50</v>
      </c>
      <c r="AZ1" s="1040">
        <v>51</v>
      </c>
      <c r="BA1" s="1040">
        <v>52</v>
      </c>
      <c r="BB1" s="1040">
        <v>53</v>
      </c>
      <c r="BC1" s="1040">
        <v>54</v>
      </c>
      <c r="BD1" s="1040">
        <v>55</v>
      </c>
      <c r="BE1" s="1040">
        <v>56</v>
      </c>
      <c r="BF1" s="1040">
        <v>57</v>
      </c>
      <c r="BG1" s="1040">
        <v>58</v>
      </c>
      <c r="BH1" s="1040">
        <v>59</v>
      </c>
      <c r="BI1" s="1040">
        <v>60</v>
      </c>
      <c r="BJ1" s="1040">
        <v>61</v>
      </c>
      <c r="BK1" s="1040">
        <v>62</v>
      </c>
      <c r="BL1" s="1040">
        <v>63</v>
      </c>
      <c r="BM1" s="1040">
        <v>64</v>
      </c>
      <c r="BN1" s="1040">
        <v>65</v>
      </c>
      <c r="BO1" s="1242">
        <v>66</v>
      </c>
      <c r="BP1" s="1040">
        <v>67</v>
      </c>
      <c r="BQ1" s="1040">
        <v>68</v>
      </c>
      <c r="BR1" s="1040">
        <v>69</v>
      </c>
      <c r="BS1" s="1040">
        <v>70</v>
      </c>
      <c r="BT1" s="1040">
        <v>71</v>
      </c>
      <c r="BU1" s="1040">
        <v>72</v>
      </c>
      <c r="BV1" s="1040">
        <v>73</v>
      </c>
      <c r="BW1" s="1040">
        <v>74</v>
      </c>
      <c r="BX1" s="1040">
        <v>75</v>
      </c>
      <c r="BY1" s="1040">
        <v>76</v>
      </c>
      <c r="BZ1" s="1039"/>
      <c r="CA1" s="1039"/>
    </row>
    <row r="2" spans="1:92" s="1027" customFormat="1" ht="33.75" customHeight="1">
      <c r="A2" s="1666" t="s">
        <v>343</v>
      </c>
      <c r="B2" s="1663" t="s">
        <v>185</v>
      </c>
      <c r="C2" s="1663"/>
      <c r="D2" s="1665" t="s">
        <v>344</v>
      </c>
      <c r="E2" s="1666" t="s">
        <v>345</v>
      </c>
      <c r="F2" s="1663" t="s">
        <v>346</v>
      </c>
      <c r="G2" s="1664" t="s">
        <v>189</v>
      </c>
      <c r="H2" s="1664"/>
      <c r="I2" s="1663" t="s">
        <v>190</v>
      </c>
      <c r="J2" s="1663"/>
      <c r="K2" s="1665" t="s">
        <v>347</v>
      </c>
      <c r="L2" s="1665" t="s">
        <v>348</v>
      </c>
      <c r="M2" s="1665" t="s">
        <v>60</v>
      </c>
      <c r="N2" s="1665" t="s">
        <v>349</v>
      </c>
      <c r="O2" s="1665" t="s">
        <v>196</v>
      </c>
      <c r="P2" s="1665"/>
      <c r="Q2" s="1665"/>
      <c r="R2" s="1665"/>
      <c r="S2" s="1665" t="s">
        <v>197</v>
      </c>
      <c r="T2" s="1665"/>
      <c r="U2" s="1665"/>
      <c r="V2" s="1665"/>
      <c r="W2" s="1663" t="s">
        <v>350</v>
      </c>
      <c r="X2" s="1663"/>
      <c r="Y2" s="1663"/>
      <c r="Z2" s="1665" t="s">
        <v>351</v>
      </c>
      <c r="AA2" s="1028" t="s">
        <v>352</v>
      </c>
      <c r="AB2" s="1667" t="s">
        <v>201</v>
      </c>
      <c r="AC2" s="1667"/>
      <c r="AD2" s="1667"/>
      <c r="AE2" s="1667" t="s">
        <v>202</v>
      </c>
      <c r="AF2" s="1667"/>
      <c r="AG2" s="1667"/>
      <c r="AH2" s="1665" t="s">
        <v>353</v>
      </c>
      <c r="AI2" s="1668" t="s">
        <v>204</v>
      </c>
      <c r="AJ2" s="1668"/>
      <c r="AK2" s="1668"/>
      <c r="AL2" s="1032" t="s">
        <v>205</v>
      </c>
      <c r="AM2" s="1665" t="s">
        <v>354</v>
      </c>
      <c r="AN2" s="1664" t="s">
        <v>206</v>
      </c>
      <c r="AO2" s="1664"/>
      <c r="AP2" s="1664"/>
      <c r="AQ2" s="1664" t="s">
        <v>207</v>
      </c>
      <c r="AR2" s="1664"/>
      <c r="AS2" s="1664"/>
      <c r="AT2" s="1028" t="s">
        <v>355</v>
      </c>
      <c r="AU2" s="1669" t="s">
        <v>209</v>
      </c>
      <c r="AV2" s="1667" t="s">
        <v>356</v>
      </c>
      <c r="AW2" s="1029" t="s">
        <v>211</v>
      </c>
      <c r="AX2" s="1029" t="s">
        <v>211</v>
      </c>
      <c r="AY2" s="1034" t="s">
        <v>213</v>
      </c>
      <c r="AZ2" s="1035" t="s">
        <v>213</v>
      </c>
      <c r="BA2" s="1035" t="s">
        <v>211</v>
      </c>
      <c r="BB2" s="1029" t="s">
        <v>357</v>
      </c>
      <c r="BC2" s="1663" t="s">
        <v>218</v>
      </c>
      <c r="BD2" s="1682" t="s">
        <v>219</v>
      </c>
      <c r="BE2" s="1663" t="s">
        <v>220</v>
      </c>
      <c r="BF2" s="1663" t="s">
        <v>221</v>
      </c>
      <c r="BG2" s="1684" t="s">
        <v>358</v>
      </c>
      <c r="BH2" s="1665" t="s">
        <v>223</v>
      </c>
      <c r="BI2" s="1665"/>
      <c r="BJ2" s="1665"/>
      <c r="BK2" s="1665"/>
      <c r="BL2" s="1665" t="s">
        <v>225</v>
      </c>
      <c r="BM2" s="1665"/>
      <c r="BN2" s="1665"/>
      <c r="BO2" s="1665" t="s">
        <v>359</v>
      </c>
      <c r="BP2" s="1663" t="s">
        <v>275</v>
      </c>
      <c r="BQ2" s="1029"/>
      <c r="BR2" s="1029"/>
      <c r="BS2" s="1029"/>
      <c r="BT2" s="1680" t="s">
        <v>227</v>
      </c>
      <c r="BU2" s="1667" t="s">
        <v>228</v>
      </c>
      <c r="BV2" s="1667"/>
      <c r="BW2" s="1667"/>
      <c r="BX2" s="1667"/>
      <c r="BY2" s="1665" t="s">
        <v>360</v>
      </c>
      <c r="BZ2" s="1665" t="s">
        <v>361</v>
      </c>
      <c r="CA2" s="1671" t="s">
        <v>362</v>
      </c>
      <c r="CB2" s="1672"/>
      <c r="CC2" s="1672"/>
      <c r="CD2" s="1672"/>
      <c r="CE2" s="1672"/>
      <c r="CF2" s="1672"/>
      <c r="CG2" s="1672"/>
      <c r="CH2" s="1672"/>
      <c r="CI2" s="1672"/>
      <c r="CJ2" s="1672"/>
      <c r="CK2" s="1672"/>
      <c r="CL2" s="1673"/>
      <c r="CM2" s="1665" t="s">
        <v>363</v>
      </c>
      <c r="CN2" s="1665" t="s">
        <v>364</v>
      </c>
    </row>
    <row r="3" spans="1:92" s="1027" customFormat="1" ht="16.5">
      <c r="A3" s="1666"/>
      <c r="B3" s="1029" t="s">
        <v>365</v>
      </c>
      <c r="C3" s="1029" t="s">
        <v>366</v>
      </c>
      <c r="D3" s="1665"/>
      <c r="E3" s="1666"/>
      <c r="F3" s="1663"/>
      <c r="G3" s="1029" t="s">
        <v>241</v>
      </c>
      <c r="H3" s="1029" t="s">
        <v>242</v>
      </c>
      <c r="I3" s="1029" t="s">
        <v>241</v>
      </c>
      <c r="J3" s="1029" t="s">
        <v>242</v>
      </c>
      <c r="K3" s="1665"/>
      <c r="L3" s="1665"/>
      <c r="M3" s="1665"/>
      <c r="N3" s="1665"/>
      <c r="O3" s="1037" t="s">
        <v>367</v>
      </c>
      <c r="P3" s="1030" t="s">
        <v>248</v>
      </c>
      <c r="Q3" s="1037" t="s">
        <v>368</v>
      </c>
      <c r="R3" s="1037" t="s">
        <v>369</v>
      </c>
      <c r="S3" s="1030" t="s">
        <v>247</v>
      </c>
      <c r="T3" s="1030" t="s">
        <v>248</v>
      </c>
      <c r="U3" s="1030" t="s">
        <v>249</v>
      </c>
      <c r="V3" s="1037" t="s">
        <v>370</v>
      </c>
      <c r="W3" s="1030" t="s">
        <v>247</v>
      </c>
      <c r="X3" s="1030" t="s">
        <v>248</v>
      </c>
      <c r="Y3" s="1030" t="s">
        <v>249</v>
      </c>
      <c r="Z3" s="1665"/>
      <c r="AA3" s="1665" t="s">
        <v>371</v>
      </c>
      <c r="AB3" s="1029" t="s">
        <v>252</v>
      </c>
      <c r="AC3" s="1029" t="s">
        <v>253</v>
      </c>
      <c r="AD3" s="1029" t="s">
        <v>254</v>
      </c>
      <c r="AE3" s="1029" t="s">
        <v>252</v>
      </c>
      <c r="AF3" s="1029" t="s">
        <v>253</v>
      </c>
      <c r="AG3" s="1029" t="s">
        <v>255</v>
      </c>
      <c r="AH3" s="1665"/>
      <c r="AI3" s="1031"/>
      <c r="AJ3" s="1029" t="s">
        <v>256</v>
      </c>
      <c r="AK3" s="1032" t="s">
        <v>257</v>
      </c>
      <c r="AL3" s="1029" t="s">
        <v>258</v>
      </c>
      <c r="AM3" s="1665"/>
      <c r="AN3" s="1036" t="s">
        <v>372</v>
      </c>
      <c r="AO3" s="1036" t="s">
        <v>373</v>
      </c>
      <c r="AP3" s="1029" t="s">
        <v>374</v>
      </c>
      <c r="AQ3" s="1036" t="s">
        <v>372</v>
      </c>
      <c r="AR3" s="1036" t="s">
        <v>373</v>
      </c>
      <c r="AS3" s="1029" t="s">
        <v>374</v>
      </c>
      <c r="AT3" s="1036" t="s">
        <v>375</v>
      </c>
      <c r="AU3" s="1670"/>
      <c r="AV3" s="1667"/>
      <c r="AW3" s="1029" t="s">
        <v>265</v>
      </c>
      <c r="AX3" s="1029" t="s">
        <v>266</v>
      </c>
      <c r="AY3" s="1035" t="s">
        <v>267</v>
      </c>
      <c r="AZ3" s="1035" t="s">
        <v>268</v>
      </c>
      <c r="BA3" s="1034" t="s">
        <v>269</v>
      </c>
      <c r="BB3" s="1029" t="s">
        <v>376</v>
      </c>
      <c r="BC3" s="1663"/>
      <c r="BD3" s="1683"/>
      <c r="BE3" s="1663"/>
      <c r="BF3" s="1663"/>
      <c r="BG3" s="1684"/>
      <c r="BH3" s="1029"/>
      <c r="BI3" s="1029" t="s">
        <v>306</v>
      </c>
      <c r="BJ3" s="1029" t="s">
        <v>307</v>
      </c>
      <c r="BK3" s="1029" t="s">
        <v>308</v>
      </c>
      <c r="BL3" s="1029" t="s">
        <v>306</v>
      </c>
      <c r="BM3" s="1029" t="s">
        <v>307</v>
      </c>
      <c r="BN3" s="1029" t="s">
        <v>308</v>
      </c>
      <c r="BO3" s="1665"/>
      <c r="BP3" s="1663"/>
      <c r="BQ3" s="1029" t="s">
        <v>276</v>
      </c>
      <c r="BR3" s="1029" t="s">
        <v>220</v>
      </c>
      <c r="BS3" s="1029" t="s">
        <v>277</v>
      </c>
      <c r="BT3" s="1681"/>
      <c r="BU3" s="1029" t="s">
        <v>306</v>
      </c>
      <c r="BV3" s="1029" t="s">
        <v>307</v>
      </c>
      <c r="BW3" s="1029" t="s">
        <v>308</v>
      </c>
      <c r="BX3" s="1665" t="s">
        <v>377</v>
      </c>
      <c r="BY3" s="1665"/>
      <c r="BZ3" s="1665"/>
      <c r="CA3" s="1674"/>
      <c r="CB3" s="1675"/>
      <c r="CC3" s="1675"/>
      <c r="CD3" s="1675"/>
      <c r="CE3" s="1675"/>
      <c r="CF3" s="1675"/>
      <c r="CG3" s="1675"/>
      <c r="CH3" s="1675"/>
      <c r="CI3" s="1675"/>
      <c r="CJ3" s="1675"/>
      <c r="CK3" s="1675"/>
      <c r="CL3" s="1676"/>
      <c r="CM3" s="1665"/>
      <c r="CN3" s="1665"/>
    </row>
    <row r="4" spans="1:92" s="1027" customFormat="1" ht="13.9" customHeight="1">
      <c r="A4" s="1666"/>
      <c r="B4" s="1032"/>
      <c r="C4" s="1032"/>
      <c r="D4" s="1032" t="s">
        <v>294</v>
      </c>
      <c r="E4" s="1033" t="s">
        <v>295</v>
      </c>
      <c r="F4" s="1032" t="s">
        <v>296</v>
      </c>
      <c r="G4" s="1032" t="s">
        <v>297</v>
      </c>
      <c r="H4" s="1032" t="s">
        <v>297</v>
      </c>
      <c r="I4" s="1029" t="s">
        <v>298</v>
      </c>
      <c r="J4" s="1029" t="s">
        <v>298</v>
      </c>
      <c r="K4" s="1029"/>
      <c r="L4" s="1029" t="s">
        <v>299</v>
      </c>
      <c r="M4" s="1105" t="s">
        <v>299</v>
      </c>
      <c r="N4" s="1665"/>
      <c r="O4" s="1029" t="s">
        <v>298</v>
      </c>
      <c r="P4" s="1029" t="s">
        <v>298</v>
      </c>
      <c r="Q4" s="1029" t="s">
        <v>298</v>
      </c>
      <c r="R4" s="1029" t="s">
        <v>378</v>
      </c>
      <c r="S4" s="1029" t="s">
        <v>298</v>
      </c>
      <c r="T4" s="1029" t="s">
        <v>298</v>
      </c>
      <c r="U4" s="1029" t="s">
        <v>298</v>
      </c>
      <c r="V4" s="1029" t="s">
        <v>378</v>
      </c>
      <c r="W4" s="1029" t="s">
        <v>302</v>
      </c>
      <c r="X4" s="1029" t="s">
        <v>379</v>
      </c>
      <c r="Y4" s="1029" t="s">
        <v>380</v>
      </c>
      <c r="Z4" s="1029" t="s">
        <v>298</v>
      </c>
      <c r="AA4" s="1665"/>
      <c r="AB4" s="1029" t="s">
        <v>380</v>
      </c>
      <c r="AC4" s="1029" t="s">
        <v>380</v>
      </c>
      <c r="AD4" s="1029" t="s">
        <v>380</v>
      </c>
      <c r="AE4" s="1029" t="s">
        <v>380</v>
      </c>
      <c r="AF4" s="1029" t="s">
        <v>380</v>
      </c>
      <c r="AG4" s="1029" t="s">
        <v>380</v>
      </c>
      <c r="AH4" s="1029" t="s">
        <v>380</v>
      </c>
      <c r="AI4" s="1031"/>
      <c r="AJ4" s="1029" t="s">
        <v>379</v>
      </c>
      <c r="AK4" s="1029" t="s">
        <v>379</v>
      </c>
      <c r="AL4" s="1029" t="s">
        <v>379</v>
      </c>
      <c r="AM4" s="1665"/>
      <c r="AN4" s="1029" t="s">
        <v>298</v>
      </c>
      <c r="AO4" s="1029" t="s">
        <v>298</v>
      </c>
      <c r="AP4" s="1029" t="s">
        <v>298</v>
      </c>
      <c r="AQ4" s="1029" t="s">
        <v>379</v>
      </c>
      <c r="AR4" s="1029" t="s">
        <v>379</v>
      </c>
      <c r="AS4" s="1029" t="s">
        <v>379</v>
      </c>
      <c r="AT4" s="1029" t="s">
        <v>380</v>
      </c>
      <c r="AU4" s="1029" t="s">
        <v>380</v>
      </c>
      <c r="AV4" s="1667"/>
      <c r="AW4" s="1029" t="s">
        <v>380</v>
      </c>
      <c r="AX4" s="1029" t="s">
        <v>380</v>
      </c>
      <c r="AY4" s="1029" t="s">
        <v>380</v>
      </c>
      <c r="AZ4" s="1029" t="s">
        <v>380</v>
      </c>
      <c r="BA4" s="1029" t="s">
        <v>380</v>
      </c>
      <c r="BB4" s="1029" t="s">
        <v>380</v>
      </c>
      <c r="BC4" s="1029"/>
      <c r="BD4" s="1029" t="s">
        <v>299</v>
      </c>
      <c r="BE4" s="1029"/>
      <c r="BF4" s="1029"/>
      <c r="BG4" s="1029" t="s">
        <v>299</v>
      </c>
      <c r="BH4" s="1029" t="s">
        <v>299</v>
      </c>
      <c r="BI4" s="1029" t="s">
        <v>299</v>
      </c>
      <c r="BJ4" s="1029" t="s">
        <v>299</v>
      </c>
      <c r="BK4" s="1029" t="s">
        <v>299</v>
      </c>
      <c r="BL4" s="1029" t="s">
        <v>380</v>
      </c>
      <c r="BM4" s="1029" t="s">
        <v>380</v>
      </c>
      <c r="BN4" s="1029" t="s">
        <v>380</v>
      </c>
      <c r="BO4" s="1029" t="s">
        <v>13</v>
      </c>
      <c r="BP4" s="1663"/>
      <c r="BQ4" s="1029"/>
      <c r="BR4" s="1029"/>
      <c r="BS4" s="1029"/>
      <c r="BT4" s="1681"/>
      <c r="BU4" s="1029" t="s">
        <v>380</v>
      </c>
      <c r="BV4" s="1029" t="s">
        <v>380</v>
      </c>
      <c r="BW4" s="1029" t="s">
        <v>380</v>
      </c>
      <c r="BX4" s="1665"/>
      <c r="BY4" s="1665"/>
      <c r="BZ4" s="1665"/>
      <c r="CA4" s="1677"/>
      <c r="CB4" s="1678"/>
      <c r="CC4" s="1678"/>
      <c r="CD4" s="1678"/>
      <c r="CE4" s="1678"/>
      <c r="CF4" s="1678"/>
      <c r="CG4" s="1678"/>
      <c r="CH4" s="1678"/>
      <c r="CI4" s="1678"/>
      <c r="CJ4" s="1678"/>
      <c r="CK4" s="1678"/>
      <c r="CL4" s="1679"/>
      <c r="CM4" s="1032" t="s">
        <v>296</v>
      </c>
      <c r="CN4" s="1029" t="s">
        <v>381</v>
      </c>
    </row>
    <row r="5" spans="1:92" s="1019" customFormat="1" ht="12.75" customHeight="1">
      <c r="A5" s="1025"/>
      <c r="B5" s="1006"/>
      <c r="C5" s="1006"/>
      <c r="D5" s="1026"/>
      <c r="E5" s="1025"/>
      <c r="F5" s="1006"/>
      <c r="G5" s="1006"/>
      <c r="H5" s="1006"/>
      <c r="I5" s="1006"/>
      <c r="J5" s="1006"/>
      <c r="K5" s="1000"/>
      <c r="L5" s="989"/>
      <c r="M5" s="989"/>
      <c r="N5" s="1024"/>
      <c r="O5" s="1024"/>
      <c r="P5" s="1024"/>
      <c r="Q5" s="1024"/>
      <c r="R5" s="1024"/>
      <c r="S5" s="989"/>
      <c r="T5" s="989"/>
      <c r="U5" s="989"/>
      <c r="V5" s="989"/>
      <c r="W5" s="989" t="s">
        <v>382</v>
      </c>
      <c r="X5" s="989" t="s">
        <v>382</v>
      </c>
      <c r="Y5" s="989" t="s">
        <v>382</v>
      </c>
      <c r="Z5" s="989"/>
      <c r="AA5" s="994"/>
      <c r="AB5" s="989" t="str">
        <f>IF(BU5="","",(BU5*(AA5/100))*#REF!)</f>
        <v/>
      </c>
      <c r="AC5" s="989" t="str">
        <f>IF(BV5="","",(BV5*AA5/100)*#REF!)</f>
        <v/>
      </c>
      <c r="AD5" s="989" t="str">
        <f>IF(BW5="","",(BW5*AA5/100)*#REF!)</f>
        <v/>
      </c>
      <c r="AE5" s="988" t="str">
        <f>IF(BU5="","",(BU5*#REF!)-AB5)</f>
        <v/>
      </c>
      <c r="AF5" s="988" t="str">
        <f>IF(BV5="","",(BV5*#REF!)-AC5)</f>
        <v/>
      </c>
      <c r="AG5" s="988" t="str">
        <f>IF(BW5="","",(BW5*#REF!)-AD5)</f>
        <v/>
      </c>
      <c r="AH5" s="988"/>
      <c r="AI5" s="988"/>
      <c r="AJ5" s="989"/>
      <c r="AK5" s="989"/>
      <c r="AL5" s="989"/>
      <c r="AM5" s="989"/>
      <c r="AN5" s="989"/>
      <c r="AO5" s="989"/>
      <c r="AP5" s="989"/>
      <c r="AQ5" s="989"/>
      <c r="AR5" s="989"/>
      <c r="AS5" s="995"/>
      <c r="AT5" s="1023"/>
      <c r="AU5" s="1000"/>
      <c r="AV5" s="994"/>
      <c r="AW5" s="989"/>
      <c r="AX5" s="991" t="s">
        <v>383</v>
      </c>
      <c r="AY5" s="991" t="s">
        <v>384</v>
      </c>
      <c r="AZ5" s="991" t="s">
        <v>384</v>
      </c>
      <c r="BA5" s="989"/>
      <c r="BB5" s="991" t="s">
        <v>385</v>
      </c>
      <c r="BC5" s="992"/>
      <c r="BD5" s="1022"/>
      <c r="BE5" s="992"/>
      <c r="BF5" s="992"/>
      <c r="BG5" s="992"/>
      <c r="BH5" s="989"/>
      <c r="BI5" s="988"/>
      <c r="BJ5" s="989"/>
      <c r="BK5" s="989"/>
      <c r="BL5" s="989"/>
      <c r="BM5" s="989"/>
      <c r="BN5" s="989"/>
      <c r="BO5" s="989"/>
      <c r="BP5" s="989"/>
      <c r="BQ5" s="990"/>
      <c r="BR5" s="989"/>
      <c r="BS5" s="989"/>
      <c r="BT5" s="1021"/>
      <c r="BU5" s="988"/>
      <c r="BV5" s="988"/>
      <c r="BW5" s="988"/>
      <c r="BX5" s="1005"/>
      <c r="BY5" s="1005"/>
      <c r="BZ5" s="1005"/>
      <c r="CA5" s="1020" t="s">
        <v>386</v>
      </c>
      <c r="CB5" s="1020" t="s">
        <v>386</v>
      </c>
      <c r="CC5" s="1020" t="s">
        <v>386</v>
      </c>
      <c r="CD5" s="1020" t="s">
        <v>386</v>
      </c>
      <c r="CE5" s="1020" t="s">
        <v>387</v>
      </c>
      <c r="CF5" s="1020" t="s">
        <v>387</v>
      </c>
      <c r="CG5" s="1020" t="s">
        <v>387</v>
      </c>
      <c r="CH5" s="1020" t="s">
        <v>387</v>
      </c>
      <c r="CI5" s="1020" t="s">
        <v>387</v>
      </c>
      <c r="CJ5" s="1020" t="s">
        <v>387</v>
      </c>
      <c r="CK5" s="1020" t="s">
        <v>387</v>
      </c>
      <c r="CL5" s="1020" t="s">
        <v>387</v>
      </c>
      <c r="CM5" s="1022"/>
      <c r="CN5" s="1022"/>
    </row>
    <row r="6" spans="1:92" s="1019" customFormat="1" ht="12.75" customHeight="1">
      <c r="A6" s="998"/>
      <c r="B6" s="1109"/>
      <c r="C6" s="1094"/>
      <c r="D6" s="1094"/>
      <c r="E6" s="998"/>
      <c r="F6" s="1109"/>
      <c r="G6" s="1094"/>
      <c r="H6" s="1094"/>
      <c r="I6" s="1094"/>
      <c r="J6" s="1094"/>
      <c r="K6" s="1093">
        <v>1</v>
      </c>
      <c r="L6" s="988"/>
      <c r="M6" s="1108"/>
      <c r="N6" s="1092"/>
      <c r="O6" s="1092"/>
      <c r="P6" s="1092"/>
      <c r="Q6" s="1092"/>
      <c r="R6" s="1092"/>
      <c r="S6" s="1091">
        <v>1</v>
      </c>
      <c r="T6" s="1091">
        <v>1</v>
      </c>
      <c r="U6" s="1091">
        <v>1</v>
      </c>
      <c r="V6" s="1091">
        <v>1</v>
      </c>
      <c r="W6" s="1091">
        <v>7.4999999999999997E-2</v>
      </c>
      <c r="X6" s="1091">
        <v>0.12</v>
      </c>
      <c r="Y6" s="1091">
        <v>0.2</v>
      </c>
      <c r="Z6" s="989"/>
      <c r="AA6" s="1091">
        <v>0</v>
      </c>
      <c r="AB6" s="989"/>
      <c r="AC6" s="989"/>
      <c r="AD6" s="989"/>
      <c r="AE6" s="989"/>
      <c r="AF6" s="989"/>
      <c r="AG6" s="989"/>
      <c r="AH6" s="989"/>
      <c r="AI6" s="1024"/>
      <c r="AJ6" s="989"/>
      <c r="AK6" s="989"/>
      <c r="AL6" s="989"/>
      <c r="AM6" s="989"/>
      <c r="AN6" s="1089">
        <v>1</v>
      </c>
      <c r="AO6" s="1089">
        <v>1</v>
      </c>
      <c r="AP6" s="1089">
        <v>1</v>
      </c>
      <c r="AQ6" s="989"/>
      <c r="AR6" s="989"/>
      <c r="AS6" s="989"/>
      <c r="AT6" s="1024"/>
      <c r="AU6" s="1089">
        <v>0.4</v>
      </c>
      <c r="AV6" s="1090">
        <v>80</v>
      </c>
      <c r="AW6" s="1089">
        <v>1</v>
      </c>
      <c r="AX6" s="1089">
        <v>0.1</v>
      </c>
      <c r="AY6" s="1089">
        <v>1</v>
      </c>
      <c r="AZ6" s="1089">
        <v>1</v>
      </c>
      <c r="BA6" s="989"/>
      <c r="BB6" s="1089">
        <v>1</v>
      </c>
      <c r="BC6" s="989"/>
      <c r="BD6" s="1089"/>
      <c r="BE6" s="989"/>
      <c r="BF6" s="989"/>
      <c r="BG6" s="989"/>
      <c r="BH6" s="989"/>
      <c r="BI6" s="989"/>
      <c r="BJ6" s="989"/>
      <c r="BK6" s="989"/>
      <c r="BL6" s="989"/>
      <c r="BM6" s="989"/>
      <c r="BN6" s="989"/>
      <c r="BO6" s="989"/>
      <c r="BP6" s="989"/>
      <c r="BQ6" s="989"/>
      <c r="BR6" s="989"/>
      <c r="BS6" s="989"/>
      <c r="BT6" s="989"/>
      <c r="BU6" s="989"/>
      <c r="BV6" s="989"/>
      <c r="BW6" s="989"/>
      <c r="BX6" s="989"/>
      <c r="BY6" s="989"/>
      <c r="BZ6" s="989"/>
      <c r="CA6" s="1020" t="s">
        <v>388</v>
      </c>
      <c r="CB6" s="1020" t="s">
        <v>389</v>
      </c>
      <c r="CC6" s="1020" t="s">
        <v>390</v>
      </c>
      <c r="CD6" s="1020" t="s">
        <v>391</v>
      </c>
      <c r="CE6" s="1020" t="s">
        <v>392</v>
      </c>
      <c r="CF6" s="1020" t="s">
        <v>393</v>
      </c>
      <c r="CG6" s="1020" t="s">
        <v>394</v>
      </c>
      <c r="CH6" s="1020" t="s">
        <v>395</v>
      </c>
      <c r="CI6" s="1020" t="s">
        <v>396</v>
      </c>
      <c r="CJ6" s="1020" t="s">
        <v>397</v>
      </c>
      <c r="CK6" s="1020" t="s">
        <v>398</v>
      </c>
      <c r="CL6" s="1020" t="s">
        <v>399</v>
      </c>
      <c r="CM6" s="1022"/>
      <c r="CN6" s="1022"/>
    </row>
    <row r="7" spans="1:92" s="953" customFormat="1" ht="12.75">
      <c r="A7" s="1003" t="s">
        <v>400</v>
      </c>
      <c r="B7" s="1102" t="s">
        <v>125</v>
      </c>
      <c r="C7" s="1102" t="s">
        <v>126</v>
      </c>
      <c r="D7" s="1002">
        <v>41.43</v>
      </c>
      <c r="E7" s="1001">
        <f t="shared" ref="E7:E43" si="0">+ABS((G7-H7)/D7)</f>
        <v>2.7105961863385163E-2</v>
      </c>
      <c r="F7" s="1006">
        <v>152.22</v>
      </c>
      <c r="G7" s="1006">
        <v>983.35799999999995</v>
      </c>
      <c r="H7" s="1006">
        <v>984.48099999999999</v>
      </c>
      <c r="I7" s="1025">
        <f t="shared" ref="I7:I43" si="1">+G7-(1+(F7/1000))</f>
        <v>982.20577999999989</v>
      </c>
      <c r="J7" s="1025">
        <f t="shared" ref="J7:J43" si="2">+H7-(1+(F7/1000))</f>
        <v>983.32877999999994</v>
      </c>
      <c r="K7" s="1000">
        <f t="shared" ref="K7:K43" si="3">$K$6</f>
        <v>1</v>
      </c>
      <c r="L7" s="989">
        <f t="shared" ref="L7:L43" si="4">+((D7^2)+(G7-H7)^2)^(0.5)</f>
        <v>41.445217202953593</v>
      </c>
      <c r="M7" s="989">
        <v>0.7</v>
      </c>
      <c r="N7" s="999" t="s">
        <v>331</v>
      </c>
      <c r="O7" s="998" t="str">
        <f t="shared" ref="O7:O43" si="5">+IF(N7="FLEXIBLE","S","N")</f>
        <v>N</v>
      </c>
      <c r="P7" s="998" t="str">
        <f t="shared" ref="P7:P43" si="6">+IF(N7="ADOQUIN","S","N")</f>
        <v>N</v>
      </c>
      <c r="Q7" s="998" t="str">
        <f t="shared" ref="Q7:Q43" si="7">+IF(N7="CONCRETO","S","N")</f>
        <v>S</v>
      </c>
      <c r="R7" s="998" t="str">
        <f t="shared" ref="R7:R43" si="8">+IF(N7="AFIRMADO","S","N")</f>
        <v>N</v>
      </c>
      <c r="S7" s="989">
        <f t="shared" ref="S7:S43" si="9">IF(O7="S",L7*$S$6,0)</f>
        <v>0</v>
      </c>
      <c r="T7" s="989">
        <f t="shared" ref="T7:T43" si="10">IF(P7="S",(L7)*$T$6,0)</f>
        <v>0</v>
      </c>
      <c r="U7" s="989">
        <f t="shared" ref="U7:U43" si="11">IF(Q7="S",L7*$U$6,0)</f>
        <v>41.445217202953593</v>
      </c>
      <c r="V7" s="989">
        <f t="shared" ref="V7:V43" si="12">IF(R7="S",L7*$V$6,0)</f>
        <v>0</v>
      </c>
      <c r="W7" s="989">
        <f t="shared" ref="W7:W43" si="13">S7*(M7+0.2)*$W$6</f>
        <v>0</v>
      </c>
      <c r="X7" s="989">
        <f t="shared" ref="X7:X43" si="14">T7*(M7+0.2)*$X$6</f>
        <v>0</v>
      </c>
      <c r="Y7" s="989">
        <f t="shared" ref="Y7:Y43" si="15">U7*(M7+0.2)*$Y$6</f>
        <v>7.4601390965316456</v>
      </c>
      <c r="Z7" s="989">
        <f t="shared" ref="Z7:Z43" si="16">((G7-I7)+(H7-J7))/2+BF7</f>
        <v>1.2522200000000567</v>
      </c>
      <c r="AA7" s="994">
        <f t="shared" ref="AA7:AA43" si="17">+$AA$6</f>
        <v>0</v>
      </c>
      <c r="AB7" s="989">
        <f>IF(BU7="","",(BU7*(AA7/100))*1)</f>
        <v>0</v>
      </c>
      <c r="AC7" s="989" t="str">
        <f t="shared" ref="AC7:AC19" si="18">IF(BV7="","",(BV7*AA7/100)*1)</f>
        <v/>
      </c>
      <c r="AD7" s="989" t="str">
        <f t="shared" ref="AD7:AD19" si="19">IF(BW7="","",(BW7*AA7/100)*1)</f>
        <v/>
      </c>
      <c r="AE7" s="988">
        <f t="shared" ref="AE7:AE43" si="20">IF(BU7="","",(BU7*1)-AB7)</f>
        <v>30.221374106588861</v>
      </c>
      <c r="AF7" s="988" t="str">
        <f>IF(BV7="","",(BV7*#REF!)-AC7)</f>
        <v/>
      </c>
      <c r="AG7" s="988" t="str">
        <f>IF(BW7="","",(BW7*#REF!)-AD7)</f>
        <v/>
      </c>
      <c r="AH7" s="988">
        <f t="shared" ref="AH7:AH43" si="21">(BO7*(K7/100))</f>
        <v>0.28868831823587787</v>
      </c>
      <c r="AI7" s="988" t="str">
        <f t="shared" ref="AI7:AI43" si="22">IF(Z7&lt;=1.5,"N","S")</f>
        <v>N</v>
      </c>
      <c r="AJ7" s="989">
        <f t="shared" ref="AJ7:AJ43" si="23">IF(AI7="S",(D7*Z7*0.2*0.3*2),0)</f>
        <v>0</v>
      </c>
      <c r="AK7" s="989">
        <f t="shared" ref="AK7:AK43" si="24">IF(AI7="S",(D7*Z7*0.2*0.7*2),0)</f>
        <v>0</v>
      </c>
      <c r="AL7" s="989">
        <f t="shared" ref="AL7:AL43" si="25">IF(E7&gt;20,M7*(L7/10)*Z7,0)</f>
        <v>0</v>
      </c>
      <c r="AM7" s="987" t="s">
        <v>401</v>
      </c>
      <c r="AN7" s="989">
        <f t="shared" ref="AN7:AN43" si="26">IF(AM7="PEATONAL",(L7)*$AN$6,0)</f>
        <v>0</v>
      </c>
      <c r="AO7" s="989">
        <f t="shared" ref="AO7:AO43" si="27">IF(AN7="PEATONAL",(M7)*$AO$6,0)</f>
        <v>0</v>
      </c>
      <c r="AP7" s="989">
        <f t="shared" ref="AP7:AP43" si="28">+L7</f>
        <v>41.445217202953593</v>
      </c>
      <c r="AQ7" s="989">
        <v>0</v>
      </c>
      <c r="AR7" s="989">
        <v>0</v>
      </c>
      <c r="AS7" s="995">
        <f t="shared" ref="AS7:AS43" si="29">(M7*(0.3+F7/1000))-((F7/1000)^2*PI()/4)</f>
        <v>0.29835559539042616</v>
      </c>
      <c r="AT7" s="223">
        <f t="shared" ref="AT7:AT43" si="30">(AS7*AP7)</f>
        <v>12.365412454672752</v>
      </c>
      <c r="AU7" s="223">
        <f t="shared" ref="AU7:AU43" si="31">+$AU$6*M7*AP7</f>
        <v>11.604660816827005</v>
      </c>
      <c r="AV7" s="994">
        <f t="shared" ref="AV7:AV43" si="32">$AV$6</f>
        <v>80</v>
      </c>
      <c r="AW7" s="989">
        <f t="shared" ref="AW7:AW43" si="33">(BO7*$AW$6)-AT7-AX7-AU7-BA7</f>
        <v>3.9767551292804608</v>
      </c>
      <c r="AX7" s="989">
        <f t="shared" ref="AX7:AX43" si="34">IF(R7="S",L7*M7*$AX$6,0)</f>
        <v>0</v>
      </c>
      <c r="AY7" s="989">
        <f t="shared" ref="AY7:AY43" si="35">((BO7*$AY$6)-BA7-AT7-AU7)*(AV7/100)</f>
        <v>3.1814041034243701</v>
      </c>
      <c r="AZ7" s="989">
        <f t="shared" ref="AZ7:AZ43" si="36">(IF(AW7&gt;AY7,AW7-AY7,0))</f>
        <v>0.79535102585609074</v>
      </c>
      <c r="BA7" s="995">
        <f t="shared" ref="BA7:BA43" si="37">(((CM7/2000)^2)*L7)*PI()</f>
        <v>0.92200342280756697</v>
      </c>
      <c r="BB7" s="989">
        <f t="shared" ref="BB7:BB43" si="38">BO7*$BB$6-AY7</f>
        <v>25.687427720163416</v>
      </c>
      <c r="BC7" s="992">
        <f t="shared" ref="BC7:BC43" si="39" xml:space="preserve"> BG7+BF7+0.3</f>
        <v>0.47499999999999998</v>
      </c>
      <c r="BD7" s="992">
        <v>0.6</v>
      </c>
      <c r="BE7" s="992">
        <v>0.4</v>
      </c>
      <c r="BF7" s="992">
        <v>0.1</v>
      </c>
      <c r="BG7" s="992">
        <v>7.4999999999999997E-2</v>
      </c>
      <c r="BH7" s="989">
        <f t="shared" ref="BH7:BH43" si="40">+IF(R7="S",L7,0)</f>
        <v>0</v>
      </c>
      <c r="BI7" s="988">
        <f t="shared" ref="BI7:BI43" si="41">+IF((2-Z7)&gt;=0,Z7,2)</f>
        <v>1.2522200000000567</v>
      </c>
      <c r="BJ7" s="989">
        <f t="shared" ref="BJ7:BJ43" si="42">+IF(BI7=2,IF((4-Z7)&gt;=0,(Z7-2),2),0)</f>
        <v>0</v>
      </c>
      <c r="BK7" s="989">
        <f t="shared" ref="BK7:BK43" si="43">+IF(BJ7=2,Z7-4,0)</f>
        <v>0</v>
      </c>
      <c r="BL7" s="989">
        <f>IF(BI7=0,"",(BI7)*(L7)*M7-(S7*0.2+T7*0.15+U7*0.2)*M7)</f>
        <v>30.526640511705921</v>
      </c>
      <c r="BM7" s="989" t="str">
        <f t="shared" ref="BM7:BM19" si="44">IF(BJ7=0,"",(L7)*BJ7*M7)</f>
        <v/>
      </c>
      <c r="BN7" s="989" t="str">
        <f t="shared" ref="BN7:BN19" si="45">IF(BK7=0,"",(L7)*BK7*M7)</f>
        <v/>
      </c>
      <c r="BO7" s="991">
        <f t="shared" ref="BO7:BO43" si="46">Z7*M7*L7-(W7+X7+Y7)</f>
        <v>28.868831823587787</v>
      </c>
      <c r="BP7" s="989">
        <f t="shared" ref="BP7:BP43" si="47">(M7*(0.3+BG7/2)-0.392699*BG7*BG7)*AN7</f>
        <v>0</v>
      </c>
      <c r="BQ7" s="990">
        <f t="shared" ref="BQ7:BQ43" si="48">(BG7/2+0.1)*M7</f>
        <v>9.6250000000000002E-2</v>
      </c>
      <c r="BR7" s="989">
        <f t="shared" ref="BR7:BR43" si="49">(BG7/2+BG7/4)*M7</f>
        <v>3.9374999999999993E-2</v>
      </c>
      <c r="BS7" s="989">
        <f t="shared" ref="BS7:BS43" si="50">0.392699*BG7*BG7</f>
        <v>2.2089318749999999E-3</v>
      </c>
      <c r="BT7" s="989" t="str">
        <f t="shared" ref="BT7:BT43" si="51">+IF(AN7&gt;0,"C1","C2")</f>
        <v>C2</v>
      </c>
      <c r="BU7" s="988">
        <f>IF(BL7="","",BL7-(BL7*K7/100))</f>
        <v>30.221374106588861</v>
      </c>
      <c r="BV7" s="988" t="str">
        <f t="shared" ref="BV7:BV19" si="52">IF(BM7="","",BM7-(BM7*K7/100))</f>
        <v/>
      </c>
      <c r="BW7" s="988" t="str">
        <f t="shared" ref="BW7:BW19" si="53">IF(BN7="","",BN7-(BN7*K7/100))</f>
        <v/>
      </c>
      <c r="BX7" s="988"/>
      <c r="BY7" s="987" t="s">
        <v>387</v>
      </c>
      <c r="BZ7" s="987">
        <f t="shared" ref="BZ7:BZ43" si="54">+IF(N7="Concreto",((M7*2)+(U7*2)),0)</f>
        <v>84.290434405907192</v>
      </c>
      <c r="CA7" s="1004">
        <f t="shared" ref="CA7:CA19" si="55">+IF($BY7="PEAD",IF($F7=170.6,$L7,0),0)</f>
        <v>0</v>
      </c>
      <c r="CB7" s="1004">
        <f t="shared" ref="CB7:CB19" si="56">+IF($BY7="PEAD",IF($F7=191.8,$L7,0),0)</f>
        <v>0</v>
      </c>
      <c r="CC7" s="1004">
        <f t="shared" ref="CC7:CC19" si="57">+IF($BY7="PEAD",IF($F7=213.2,$L7,0),0)</f>
        <v>0</v>
      </c>
      <c r="CD7" s="1004">
        <f t="shared" ref="CD7:CD19" si="58">+IF($BY7="PEAD",IF($F7=238.8,$L7,0),0)</f>
        <v>0</v>
      </c>
      <c r="CE7" s="1004">
        <f t="shared" ref="CE7:CE19" si="59">+IF($BY7="PVC",IF($F7=50,$L7,0),0)</f>
        <v>0</v>
      </c>
      <c r="CF7" s="1004">
        <f t="shared" ref="CF7:CF19" si="60">+IF($BY7="PVC",IF($F7=63.8,$L7,0),0)</f>
        <v>0</v>
      </c>
      <c r="CG7" s="1004">
        <f t="shared" ref="CG7:CG19" si="61">+IF($BY7="PVC",IF($F7=75,$L7,0),0)</f>
        <v>0</v>
      </c>
      <c r="CH7" s="1004">
        <f t="shared" ref="CH7:CH19" si="62">+IF($BY7="PVC",IF($F7=100,$L7,0),0)</f>
        <v>0</v>
      </c>
      <c r="CI7" s="1004">
        <f t="shared" ref="CI7:CI19" si="63">+IF($BY7="PVC",IF($F7=150,$L7,0),0)</f>
        <v>0</v>
      </c>
      <c r="CJ7" s="1004">
        <f t="shared" ref="CJ7:CJ19" si="64">+IF($BY7="PVC",IF($F7=200,$L7,0),0)</f>
        <v>0</v>
      </c>
      <c r="CK7" s="1004">
        <f t="shared" ref="CK7:CK19" si="65">+IF($BY7="PVC",IF($F7=250,$L7,0),0)</f>
        <v>0</v>
      </c>
      <c r="CL7" s="1004">
        <f t="shared" ref="CL7:CL19" si="66">+IF($BY7="PVC",IF($F7=300,$L7,0),0)</f>
        <v>0</v>
      </c>
      <c r="CM7" s="992">
        <v>168.3</v>
      </c>
      <c r="CN7" s="1685">
        <v>30</v>
      </c>
    </row>
    <row r="8" spans="1:92" s="953" customFormat="1" ht="12.75">
      <c r="A8" s="1003" t="s">
        <v>402</v>
      </c>
      <c r="B8" s="1102" t="s">
        <v>127</v>
      </c>
      <c r="C8" s="1102" t="s">
        <v>128</v>
      </c>
      <c r="D8" s="1002">
        <v>6.31</v>
      </c>
      <c r="E8" s="1001">
        <f t="shared" si="0"/>
        <v>1.5847860538812847E-2</v>
      </c>
      <c r="F8" s="1006">
        <v>152.22</v>
      </c>
      <c r="G8" s="1006">
        <v>983.25800000000004</v>
      </c>
      <c r="H8" s="1006">
        <v>983.35799999999995</v>
      </c>
      <c r="I8" s="1025">
        <f t="shared" si="1"/>
        <v>982.10577999999998</v>
      </c>
      <c r="J8" s="1025">
        <f t="shared" si="2"/>
        <v>982.20577999999989</v>
      </c>
      <c r="K8" s="1000">
        <f t="shared" si="3"/>
        <v>1</v>
      </c>
      <c r="L8" s="989">
        <f t="shared" si="4"/>
        <v>6.3107923432798811</v>
      </c>
      <c r="M8" s="989">
        <v>0.7</v>
      </c>
      <c r="N8" s="999" t="s">
        <v>331</v>
      </c>
      <c r="O8" s="998" t="str">
        <f t="shared" si="5"/>
        <v>N</v>
      </c>
      <c r="P8" s="998" t="str">
        <f t="shared" si="6"/>
        <v>N</v>
      </c>
      <c r="Q8" s="998" t="str">
        <f t="shared" si="7"/>
        <v>S</v>
      </c>
      <c r="R8" s="998" t="str">
        <f t="shared" si="8"/>
        <v>N</v>
      </c>
      <c r="S8" s="989">
        <f t="shared" si="9"/>
        <v>0</v>
      </c>
      <c r="T8" s="989">
        <f t="shared" si="10"/>
        <v>0</v>
      </c>
      <c r="U8" s="989">
        <f t="shared" si="11"/>
        <v>6.3107923432798811</v>
      </c>
      <c r="V8" s="989">
        <f t="shared" si="12"/>
        <v>0</v>
      </c>
      <c r="W8" s="989">
        <f t="shared" si="13"/>
        <v>0</v>
      </c>
      <c r="X8" s="989">
        <f t="shared" si="14"/>
        <v>0</v>
      </c>
      <c r="Y8" s="989">
        <f t="shared" si="15"/>
        <v>1.1359426217903785</v>
      </c>
      <c r="Z8" s="989">
        <f t="shared" si="16"/>
        <v>1.2522200000000567</v>
      </c>
      <c r="AA8" s="994">
        <f t="shared" si="17"/>
        <v>0</v>
      </c>
      <c r="AB8" s="989">
        <f t="shared" ref="AB8:AB43" si="67">IF(BU8="","",(BU8*(AA8/100))*1)</f>
        <v>0</v>
      </c>
      <c r="AC8" s="989" t="str">
        <f t="shared" si="18"/>
        <v/>
      </c>
      <c r="AD8" s="989" t="str">
        <f t="shared" si="19"/>
        <v/>
      </c>
      <c r="AE8" s="988">
        <f t="shared" si="20"/>
        <v>4.6017569501762958</v>
      </c>
      <c r="AF8" s="988" t="str">
        <f>IF(BV8="","",(BV8*#REF!)-AC8)</f>
        <v/>
      </c>
      <c r="AG8" s="988" t="str">
        <f>IF(BW8="","",(BW8*#REF!)-AD8)</f>
        <v/>
      </c>
      <c r="AH8" s="988">
        <f t="shared" si="21"/>
        <v>4.3958076498812247E-2</v>
      </c>
      <c r="AI8" s="988" t="str">
        <f t="shared" si="22"/>
        <v>N</v>
      </c>
      <c r="AJ8" s="989">
        <f t="shared" si="23"/>
        <v>0</v>
      </c>
      <c r="AK8" s="989">
        <f t="shared" si="24"/>
        <v>0</v>
      </c>
      <c r="AL8" s="989">
        <f t="shared" si="25"/>
        <v>0</v>
      </c>
      <c r="AM8" s="987" t="s">
        <v>401</v>
      </c>
      <c r="AN8" s="989">
        <f t="shared" si="26"/>
        <v>0</v>
      </c>
      <c r="AO8" s="989">
        <f t="shared" si="27"/>
        <v>0</v>
      </c>
      <c r="AP8" s="989">
        <f t="shared" si="28"/>
        <v>6.3107923432798811</v>
      </c>
      <c r="AQ8" s="989">
        <v>0</v>
      </c>
      <c r="AR8" s="989">
        <v>0</v>
      </c>
      <c r="AS8" s="995">
        <f t="shared" si="29"/>
        <v>0.29835559539042616</v>
      </c>
      <c r="AT8" s="223">
        <f t="shared" si="30"/>
        <v>1.8828602069646116</v>
      </c>
      <c r="AU8" s="223">
        <f t="shared" si="31"/>
        <v>1.7670218561183666</v>
      </c>
      <c r="AV8" s="994">
        <f t="shared" si="32"/>
        <v>80</v>
      </c>
      <c r="AW8" s="989">
        <f t="shared" si="33"/>
        <v>0.60553370243101556</v>
      </c>
      <c r="AX8" s="989">
        <f t="shared" si="34"/>
        <v>0</v>
      </c>
      <c r="AY8" s="989">
        <f t="shared" si="35"/>
        <v>0.48442696194481238</v>
      </c>
      <c r="AZ8" s="989">
        <f t="shared" si="36"/>
        <v>0.12110674048620318</v>
      </c>
      <c r="BA8" s="995">
        <f t="shared" si="37"/>
        <v>0.14039188436723107</v>
      </c>
      <c r="BB8" s="989">
        <f t="shared" si="38"/>
        <v>3.9113806879364126</v>
      </c>
      <c r="BC8" s="992">
        <f t="shared" si="39"/>
        <v>0.47499999999999998</v>
      </c>
      <c r="BD8" s="992">
        <v>0.6</v>
      </c>
      <c r="BE8" s="992">
        <v>0.4</v>
      </c>
      <c r="BF8" s="992">
        <v>0.1</v>
      </c>
      <c r="BG8" s="992">
        <v>7.4999999999999997E-2</v>
      </c>
      <c r="BH8" s="989">
        <f t="shared" si="40"/>
        <v>0</v>
      </c>
      <c r="BI8" s="988">
        <f t="shared" si="41"/>
        <v>1.2522200000000567</v>
      </c>
      <c r="BJ8" s="989">
        <f t="shared" si="42"/>
        <v>0</v>
      </c>
      <c r="BK8" s="989">
        <f t="shared" si="43"/>
        <v>0</v>
      </c>
      <c r="BL8" s="989">
        <f t="shared" ref="BL8:BL43" si="68">IF(BI8=0,"",(BI8)*(L8)*M8-(S8*0.2+T8*0.15+U8*0.2)*M8)</f>
        <v>4.6482393436124196</v>
      </c>
      <c r="BM8" s="989" t="str">
        <f t="shared" si="44"/>
        <v/>
      </c>
      <c r="BN8" s="989" t="str">
        <f t="shared" si="45"/>
        <v/>
      </c>
      <c r="BO8" s="991">
        <f t="shared" si="46"/>
        <v>4.3958076498812249</v>
      </c>
      <c r="BP8" s="989">
        <f t="shared" si="47"/>
        <v>0</v>
      </c>
      <c r="BQ8" s="990">
        <f t="shared" si="48"/>
        <v>9.6250000000000002E-2</v>
      </c>
      <c r="BR8" s="989">
        <f t="shared" si="49"/>
        <v>3.9374999999999993E-2</v>
      </c>
      <c r="BS8" s="989">
        <f t="shared" si="50"/>
        <v>2.2089318749999999E-3</v>
      </c>
      <c r="BT8" s="989" t="str">
        <f t="shared" si="51"/>
        <v>C2</v>
      </c>
      <c r="BU8" s="988">
        <f t="shared" ref="BU8:BU43" si="69">IF(BL8="","",BL8-(BL8*K8/100))</f>
        <v>4.6017569501762958</v>
      </c>
      <c r="BV8" s="988" t="str">
        <f t="shared" si="52"/>
        <v/>
      </c>
      <c r="BW8" s="988" t="str">
        <f t="shared" si="53"/>
        <v/>
      </c>
      <c r="BX8" s="988"/>
      <c r="BY8" s="987" t="s">
        <v>387</v>
      </c>
      <c r="BZ8" s="987">
        <f t="shared" si="54"/>
        <v>14.021584686559763</v>
      </c>
      <c r="CA8" s="1004">
        <f t="shared" si="55"/>
        <v>0</v>
      </c>
      <c r="CB8" s="1004">
        <f t="shared" si="56"/>
        <v>0</v>
      </c>
      <c r="CC8" s="1004">
        <f t="shared" si="57"/>
        <v>0</v>
      </c>
      <c r="CD8" s="1004">
        <f t="shared" si="58"/>
        <v>0</v>
      </c>
      <c r="CE8" s="1004">
        <f t="shared" si="59"/>
        <v>0</v>
      </c>
      <c r="CF8" s="1004">
        <f t="shared" si="60"/>
        <v>0</v>
      </c>
      <c r="CG8" s="1004">
        <f t="shared" si="61"/>
        <v>0</v>
      </c>
      <c r="CH8" s="1004">
        <f t="shared" si="62"/>
        <v>0</v>
      </c>
      <c r="CI8" s="1004">
        <f t="shared" si="63"/>
        <v>0</v>
      </c>
      <c r="CJ8" s="1004">
        <f t="shared" si="64"/>
        <v>0</v>
      </c>
      <c r="CK8" s="1004">
        <f t="shared" si="65"/>
        <v>0</v>
      </c>
      <c r="CL8" s="1004">
        <f t="shared" si="66"/>
        <v>0</v>
      </c>
      <c r="CM8" s="992">
        <v>168.3</v>
      </c>
      <c r="CN8" s="1685"/>
    </row>
    <row r="9" spans="1:92" s="953" customFormat="1" ht="12.75">
      <c r="A9" s="1003" t="s">
        <v>403</v>
      </c>
      <c r="B9" s="1102" t="s">
        <v>129</v>
      </c>
      <c r="C9" s="1102" t="s">
        <v>127</v>
      </c>
      <c r="D9" s="1002">
        <v>112.61</v>
      </c>
      <c r="E9" s="1001">
        <f t="shared" si="0"/>
        <v>3.7758636000354791E-2</v>
      </c>
      <c r="F9" s="1006">
        <v>198.21</v>
      </c>
      <c r="G9" s="1006">
        <v>987.51</v>
      </c>
      <c r="H9" s="1006">
        <v>983.25800000000004</v>
      </c>
      <c r="I9" s="1025">
        <f t="shared" si="1"/>
        <v>986.31178999999997</v>
      </c>
      <c r="J9" s="1025">
        <f t="shared" si="2"/>
        <v>982.05979000000002</v>
      </c>
      <c r="K9" s="1000">
        <f t="shared" si="3"/>
        <v>1</v>
      </c>
      <c r="L9" s="989">
        <f t="shared" si="4"/>
        <v>112.69024626825518</v>
      </c>
      <c r="M9" s="989">
        <v>0.7</v>
      </c>
      <c r="N9" s="999" t="s">
        <v>331</v>
      </c>
      <c r="O9" s="998" t="str">
        <f t="shared" si="5"/>
        <v>N</v>
      </c>
      <c r="P9" s="998" t="str">
        <f t="shared" si="6"/>
        <v>N</v>
      </c>
      <c r="Q9" s="998" t="str">
        <f t="shared" si="7"/>
        <v>S</v>
      </c>
      <c r="R9" s="998" t="str">
        <f t="shared" si="8"/>
        <v>N</v>
      </c>
      <c r="S9" s="989">
        <f t="shared" si="9"/>
        <v>0</v>
      </c>
      <c r="T9" s="989">
        <f t="shared" si="10"/>
        <v>0</v>
      </c>
      <c r="U9" s="989">
        <f t="shared" si="11"/>
        <v>112.69024626825518</v>
      </c>
      <c r="V9" s="989">
        <f t="shared" si="12"/>
        <v>0</v>
      </c>
      <c r="W9" s="989">
        <f t="shared" si="13"/>
        <v>0</v>
      </c>
      <c r="X9" s="989">
        <f t="shared" si="14"/>
        <v>0</v>
      </c>
      <c r="Y9" s="989">
        <f t="shared" si="15"/>
        <v>20.284244328285933</v>
      </c>
      <c r="Z9" s="989">
        <f t="shared" si="16"/>
        <v>1.2982100000000174</v>
      </c>
      <c r="AA9" s="994">
        <f t="shared" si="17"/>
        <v>0</v>
      </c>
      <c r="AB9" s="989">
        <f t="shared" si="67"/>
        <v>0</v>
      </c>
      <c r="AC9" s="989" t="str">
        <f t="shared" si="18"/>
        <v/>
      </c>
      <c r="AD9" s="989" t="str">
        <f t="shared" si="19"/>
        <v/>
      </c>
      <c r="AE9" s="988">
        <f t="shared" si="20"/>
        <v>85.763985860503908</v>
      </c>
      <c r="AF9" s="988" t="str">
        <f>IF(BV9="","",(BV9*#REF!)-AC9)</f>
        <v/>
      </c>
      <c r="AG9" s="988" t="str">
        <f>IF(BW9="","",(BW9*#REF!)-AD9)</f>
        <v/>
      </c>
      <c r="AH9" s="988">
        <f t="shared" si="21"/>
        <v>0.82122678897253509</v>
      </c>
      <c r="AI9" s="988" t="str">
        <f t="shared" si="22"/>
        <v>N</v>
      </c>
      <c r="AJ9" s="989">
        <f t="shared" si="23"/>
        <v>0</v>
      </c>
      <c r="AK9" s="989">
        <f t="shared" si="24"/>
        <v>0</v>
      </c>
      <c r="AL9" s="989">
        <f t="shared" si="25"/>
        <v>0</v>
      </c>
      <c r="AM9" s="987" t="s">
        <v>401</v>
      </c>
      <c r="AN9" s="989">
        <f t="shared" si="26"/>
        <v>0</v>
      </c>
      <c r="AO9" s="989">
        <f t="shared" si="27"/>
        <v>0</v>
      </c>
      <c r="AP9" s="989">
        <f t="shared" si="28"/>
        <v>112.69024626825518</v>
      </c>
      <c r="AQ9" s="989">
        <v>0</v>
      </c>
      <c r="AR9" s="989">
        <v>0</v>
      </c>
      <c r="AS9" s="995">
        <f t="shared" si="29"/>
        <v>0.31789090205483927</v>
      </c>
      <c r="AT9" s="223">
        <f t="shared" si="30"/>
        <v>35.823204038997623</v>
      </c>
      <c r="AU9" s="223">
        <f t="shared" si="31"/>
        <v>31.553268955111449</v>
      </c>
      <c r="AV9" s="994">
        <f t="shared" si="32"/>
        <v>80</v>
      </c>
      <c r="AW9" s="989">
        <f t="shared" si="33"/>
        <v>10.498233625591883</v>
      </c>
      <c r="AX9" s="989">
        <f t="shared" si="34"/>
        <v>0</v>
      </c>
      <c r="AY9" s="989">
        <f t="shared" si="35"/>
        <v>8.398586900473509</v>
      </c>
      <c r="AZ9" s="989">
        <f t="shared" si="36"/>
        <v>2.0996467251183741</v>
      </c>
      <c r="BA9" s="995">
        <f t="shared" si="37"/>
        <v>4.2479722775525524</v>
      </c>
      <c r="BB9" s="989">
        <f t="shared" si="38"/>
        <v>73.724091996780004</v>
      </c>
      <c r="BC9" s="992">
        <f t="shared" si="39"/>
        <v>0.47499999999999998</v>
      </c>
      <c r="BD9" s="992">
        <v>0.6</v>
      </c>
      <c r="BE9" s="992">
        <v>0.4</v>
      </c>
      <c r="BF9" s="992">
        <v>0.1</v>
      </c>
      <c r="BG9" s="992">
        <v>7.4999999999999997E-2</v>
      </c>
      <c r="BH9" s="989">
        <f t="shared" si="40"/>
        <v>0</v>
      </c>
      <c r="BI9" s="988">
        <f t="shared" si="41"/>
        <v>1.2982100000000174</v>
      </c>
      <c r="BJ9" s="989">
        <f t="shared" si="42"/>
        <v>0</v>
      </c>
      <c r="BK9" s="989">
        <f t="shared" si="43"/>
        <v>0</v>
      </c>
      <c r="BL9" s="989">
        <f t="shared" si="68"/>
        <v>86.630288747983741</v>
      </c>
      <c r="BM9" s="989" t="str">
        <f t="shared" si="44"/>
        <v/>
      </c>
      <c r="BN9" s="989" t="str">
        <f t="shared" si="45"/>
        <v/>
      </c>
      <c r="BO9" s="991">
        <f t="shared" si="46"/>
        <v>82.122678897253508</v>
      </c>
      <c r="BP9" s="989">
        <f t="shared" si="47"/>
        <v>0</v>
      </c>
      <c r="BQ9" s="990">
        <f t="shared" si="48"/>
        <v>9.6250000000000002E-2</v>
      </c>
      <c r="BR9" s="989">
        <f t="shared" si="49"/>
        <v>3.9374999999999993E-2</v>
      </c>
      <c r="BS9" s="989">
        <f t="shared" si="50"/>
        <v>2.2089318749999999E-3</v>
      </c>
      <c r="BT9" s="989" t="str">
        <f t="shared" si="51"/>
        <v>C2</v>
      </c>
      <c r="BU9" s="988">
        <f t="shared" si="69"/>
        <v>85.763985860503908</v>
      </c>
      <c r="BV9" s="988" t="str">
        <f t="shared" si="52"/>
        <v/>
      </c>
      <c r="BW9" s="988" t="str">
        <f t="shared" si="53"/>
        <v/>
      </c>
      <c r="BX9" s="988"/>
      <c r="BY9" s="987" t="s">
        <v>387</v>
      </c>
      <c r="BZ9" s="987">
        <f t="shared" si="54"/>
        <v>226.78049253651037</v>
      </c>
      <c r="CA9" s="1004">
        <f t="shared" si="55"/>
        <v>0</v>
      </c>
      <c r="CB9" s="1004">
        <f t="shared" si="56"/>
        <v>0</v>
      </c>
      <c r="CC9" s="1004">
        <f t="shared" si="57"/>
        <v>0</v>
      </c>
      <c r="CD9" s="1004">
        <f t="shared" si="58"/>
        <v>0</v>
      </c>
      <c r="CE9" s="1004">
        <f t="shared" si="59"/>
        <v>0</v>
      </c>
      <c r="CF9" s="1004">
        <f t="shared" si="60"/>
        <v>0</v>
      </c>
      <c r="CG9" s="1004">
        <f t="shared" si="61"/>
        <v>0</v>
      </c>
      <c r="CH9" s="1004">
        <f t="shared" si="62"/>
        <v>0</v>
      </c>
      <c r="CI9" s="1004">
        <f t="shared" si="63"/>
        <v>0</v>
      </c>
      <c r="CJ9" s="1004">
        <f t="shared" si="64"/>
        <v>0</v>
      </c>
      <c r="CK9" s="1004">
        <f t="shared" si="65"/>
        <v>0</v>
      </c>
      <c r="CL9" s="1004">
        <f t="shared" si="66"/>
        <v>0</v>
      </c>
      <c r="CM9" s="992">
        <v>219.08</v>
      </c>
      <c r="CN9" s="1685">
        <v>30</v>
      </c>
    </row>
    <row r="10" spans="1:92" s="953" customFormat="1" ht="12.75">
      <c r="A10" s="1003" t="s">
        <v>404</v>
      </c>
      <c r="B10" s="1102" t="s">
        <v>130</v>
      </c>
      <c r="C10" s="1102" t="s">
        <v>131</v>
      </c>
      <c r="D10" s="1002">
        <v>3.22</v>
      </c>
      <c r="E10" s="1001">
        <f t="shared" si="0"/>
        <v>6.2111801242250145E-2</v>
      </c>
      <c r="F10" s="1006">
        <v>198.21</v>
      </c>
      <c r="G10" s="1006">
        <v>987.71</v>
      </c>
      <c r="H10" s="1006">
        <v>987.51</v>
      </c>
      <c r="I10" s="1025">
        <f t="shared" si="1"/>
        <v>986.51179000000002</v>
      </c>
      <c r="J10" s="1025">
        <f t="shared" si="2"/>
        <v>986.31178999999997</v>
      </c>
      <c r="K10" s="1000">
        <f t="shared" si="3"/>
        <v>1</v>
      </c>
      <c r="L10" s="989">
        <f t="shared" si="4"/>
        <v>3.2262052011612683</v>
      </c>
      <c r="M10" s="989">
        <v>0.7</v>
      </c>
      <c r="N10" s="999" t="s">
        <v>331</v>
      </c>
      <c r="O10" s="998" t="str">
        <f t="shared" si="5"/>
        <v>N</v>
      </c>
      <c r="P10" s="998" t="str">
        <f t="shared" si="6"/>
        <v>N</v>
      </c>
      <c r="Q10" s="998" t="str">
        <f t="shared" si="7"/>
        <v>S</v>
      </c>
      <c r="R10" s="998" t="str">
        <f t="shared" si="8"/>
        <v>N</v>
      </c>
      <c r="S10" s="989">
        <f t="shared" si="9"/>
        <v>0</v>
      </c>
      <c r="T10" s="989">
        <f t="shared" si="10"/>
        <v>0</v>
      </c>
      <c r="U10" s="989">
        <f t="shared" si="11"/>
        <v>3.2262052011612683</v>
      </c>
      <c r="V10" s="989">
        <f t="shared" si="12"/>
        <v>0</v>
      </c>
      <c r="W10" s="989">
        <f t="shared" si="13"/>
        <v>0</v>
      </c>
      <c r="X10" s="989">
        <f t="shared" si="14"/>
        <v>0</v>
      </c>
      <c r="Y10" s="989">
        <f t="shared" si="15"/>
        <v>0.5807169362090282</v>
      </c>
      <c r="Z10" s="989">
        <f t="shared" si="16"/>
        <v>1.2982100000000174</v>
      </c>
      <c r="AA10" s="994">
        <f t="shared" si="17"/>
        <v>0</v>
      </c>
      <c r="AB10" s="989">
        <f t="shared" si="67"/>
        <v>0</v>
      </c>
      <c r="AC10" s="989" t="str">
        <f t="shared" si="18"/>
        <v/>
      </c>
      <c r="AD10" s="989" t="str">
        <f t="shared" si="19"/>
        <v/>
      </c>
      <c r="AE10" s="988">
        <f t="shared" si="20"/>
        <v>2.455334214079389</v>
      </c>
      <c r="AF10" s="988" t="str">
        <f>IF(BV10="","",(BV10*#REF!)-AC10)</f>
        <v/>
      </c>
      <c r="AG10" s="988" t="str">
        <f>IF(BW10="","",(BW10*#REF!)-AD10)</f>
        <v/>
      </c>
      <c r="AH10" s="988">
        <f t="shared" si="21"/>
        <v>2.3510873617307096E-2</v>
      </c>
      <c r="AI10" s="988" t="str">
        <f t="shared" si="22"/>
        <v>N</v>
      </c>
      <c r="AJ10" s="989">
        <f t="shared" si="23"/>
        <v>0</v>
      </c>
      <c r="AK10" s="989">
        <f t="shared" si="24"/>
        <v>0</v>
      </c>
      <c r="AL10" s="989">
        <f t="shared" si="25"/>
        <v>0</v>
      </c>
      <c r="AM10" s="987" t="s">
        <v>401</v>
      </c>
      <c r="AN10" s="989">
        <f t="shared" si="26"/>
        <v>0</v>
      </c>
      <c r="AO10" s="989">
        <f t="shared" si="27"/>
        <v>0</v>
      </c>
      <c r="AP10" s="989">
        <f t="shared" si="28"/>
        <v>3.2262052011612683</v>
      </c>
      <c r="AQ10" s="989">
        <v>0</v>
      </c>
      <c r="AR10" s="989">
        <v>0</v>
      </c>
      <c r="AS10" s="995">
        <f t="shared" si="29"/>
        <v>0.31789090205483927</v>
      </c>
      <c r="AT10" s="223">
        <f t="shared" si="30"/>
        <v>1.0255812816111698</v>
      </c>
      <c r="AU10" s="223">
        <f t="shared" si="31"/>
        <v>0.90333745632515505</v>
      </c>
      <c r="AV10" s="994">
        <f t="shared" si="32"/>
        <v>80</v>
      </c>
      <c r="AW10" s="989">
        <f t="shared" si="33"/>
        <v>0.30055357093874485</v>
      </c>
      <c r="AX10" s="989">
        <f t="shared" si="34"/>
        <v>0</v>
      </c>
      <c r="AY10" s="989">
        <f t="shared" si="35"/>
        <v>0.24044285675099603</v>
      </c>
      <c r="AZ10" s="989">
        <f t="shared" si="36"/>
        <v>6.0110714187748826E-2</v>
      </c>
      <c r="BA10" s="995">
        <f t="shared" si="37"/>
        <v>0.12161505285563982</v>
      </c>
      <c r="BB10" s="989">
        <f t="shared" si="38"/>
        <v>2.1106445049797133</v>
      </c>
      <c r="BC10" s="992">
        <f t="shared" si="39"/>
        <v>0.47499999999999998</v>
      </c>
      <c r="BD10" s="992">
        <v>0.6</v>
      </c>
      <c r="BE10" s="992">
        <v>0.4</v>
      </c>
      <c r="BF10" s="992">
        <v>0.1</v>
      </c>
      <c r="BG10" s="992">
        <v>7.4999999999999997E-2</v>
      </c>
      <c r="BH10" s="989">
        <f t="shared" si="40"/>
        <v>0</v>
      </c>
      <c r="BI10" s="988">
        <f t="shared" si="41"/>
        <v>1.2982100000000174</v>
      </c>
      <c r="BJ10" s="989">
        <f t="shared" si="42"/>
        <v>0</v>
      </c>
      <c r="BK10" s="989">
        <f t="shared" si="43"/>
        <v>0</v>
      </c>
      <c r="BL10" s="989">
        <f t="shared" si="68"/>
        <v>2.4801355697771608</v>
      </c>
      <c r="BM10" s="989" t="str">
        <f t="shared" si="44"/>
        <v/>
      </c>
      <c r="BN10" s="989" t="str">
        <f t="shared" si="45"/>
        <v/>
      </c>
      <c r="BO10" s="991">
        <f t="shared" si="46"/>
        <v>2.3510873617307095</v>
      </c>
      <c r="BP10" s="989">
        <f t="shared" si="47"/>
        <v>0</v>
      </c>
      <c r="BQ10" s="990">
        <f t="shared" si="48"/>
        <v>9.6250000000000002E-2</v>
      </c>
      <c r="BR10" s="989">
        <f t="shared" si="49"/>
        <v>3.9374999999999993E-2</v>
      </c>
      <c r="BS10" s="989">
        <f t="shared" si="50"/>
        <v>2.2089318749999999E-3</v>
      </c>
      <c r="BT10" s="989" t="str">
        <f t="shared" si="51"/>
        <v>C2</v>
      </c>
      <c r="BU10" s="988">
        <f t="shared" si="69"/>
        <v>2.455334214079389</v>
      </c>
      <c r="BV10" s="988" t="str">
        <f t="shared" si="52"/>
        <v/>
      </c>
      <c r="BW10" s="988" t="str">
        <f t="shared" si="53"/>
        <v/>
      </c>
      <c r="BX10" s="988"/>
      <c r="BY10" s="987" t="s">
        <v>387</v>
      </c>
      <c r="BZ10" s="987">
        <f t="shared" si="54"/>
        <v>7.852410402322537</v>
      </c>
      <c r="CA10" s="1004">
        <f t="shared" si="55"/>
        <v>0</v>
      </c>
      <c r="CB10" s="1004">
        <f t="shared" si="56"/>
        <v>0</v>
      </c>
      <c r="CC10" s="1004">
        <f t="shared" si="57"/>
        <v>0</v>
      </c>
      <c r="CD10" s="1004">
        <f t="shared" si="58"/>
        <v>0</v>
      </c>
      <c r="CE10" s="1004">
        <f t="shared" si="59"/>
        <v>0</v>
      </c>
      <c r="CF10" s="1004">
        <f t="shared" si="60"/>
        <v>0</v>
      </c>
      <c r="CG10" s="1004">
        <f t="shared" si="61"/>
        <v>0</v>
      </c>
      <c r="CH10" s="1004">
        <f t="shared" si="62"/>
        <v>0</v>
      </c>
      <c r="CI10" s="1004">
        <f t="shared" si="63"/>
        <v>0</v>
      </c>
      <c r="CJ10" s="1004">
        <f t="shared" si="64"/>
        <v>0</v>
      </c>
      <c r="CK10" s="1004">
        <f t="shared" si="65"/>
        <v>0</v>
      </c>
      <c r="CL10" s="1004">
        <f t="shared" si="66"/>
        <v>0</v>
      </c>
      <c r="CM10" s="992">
        <v>219.08</v>
      </c>
      <c r="CN10" s="1685"/>
    </row>
    <row r="11" spans="1:92" s="953" customFormat="1" ht="12.75">
      <c r="A11" s="1003" t="s">
        <v>405</v>
      </c>
      <c r="B11" s="1102" t="s">
        <v>130</v>
      </c>
      <c r="C11" s="1102" t="s">
        <v>132</v>
      </c>
      <c r="D11" s="1002">
        <v>6.31</v>
      </c>
      <c r="E11" s="1001">
        <f t="shared" si="0"/>
        <v>3.1378763866874659E-2</v>
      </c>
      <c r="F11" s="1006">
        <v>198.21</v>
      </c>
      <c r="G11" s="1006">
        <v>987.71</v>
      </c>
      <c r="H11" s="1006">
        <v>987.90800000000002</v>
      </c>
      <c r="I11" s="1025">
        <f t="shared" si="1"/>
        <v>986.51179000000002</v>
      </c>
      <c r="J11" s="1025">
        <f t="shared" si="2"/>
        <v>986.70979</v>
      </c>
      <c r="K11" s="1000">
        <f t="shared" si="3"/>
        <v>1</v>
      </c>
      <c r="L11" s="989">
        <f t="shared" si="4"/>
        <v>6.3131057333138321</v>
      </c>
      <c r="M11" s="989">
        <v>0.7</v>
      </c>
      <c r="N11" s="999" t="s">
        <v>331</v>
      </c>
      <c r="O11" s="998" t="str">
        <f t="shared" si="5"/>
        <v>N</v>
      </c>
      <c r="P11" s="998" t="str">
        <f t="shared" si="6"/>
        <v>N</v>
      </c>
      <c r="Q11" s="998" t="str">
        <f t="shared" si="7"/>
        <v>S</v>
      </c>
      <c r="R11" s="998" t="str">
        <f t="shared" si="8"/>
        <v>N</v>
      </c>
      <c r="S11" s="989">
        <f t="shared" si="9"/>
        <v>0</v>
      </c>
      <c r="T11" s="989">
        <f t="shared" si="10"/>
        <v>0</v>
      </c>
      <c r="U11" s="989">
        <f t="shared" si="11"/>
        <v>6.3131057333138321</v>
      </c>
      <c r="V11" s="989">
        <f t="shared" si="12"/>
        <v>0</v>
      </c>
      <c r="W11" s="989">
        <f t="shared" si="13"/>
        <v>0</v>
      </c>
      <c r="X11" s="989">
        <f t="shared" si="14"/>
        <v>0</v>
      </c>
      <c r="Y11" s="989">
        <f t="shared" si="15"/>
        <v>1.1363590319964896</v>
      </c>
      <c r="Z11" s="989">
        <f t="shared" si="16"/>
        <v>1.2982100000000174</v>
      </c>
      <c r="AA11" s="994">
        <f t="shared" si="17"/>
        <v>0</v>
      </c>
      <c r="AB11" s="989">
        <f t="shared" si="67"/>
        <v>0</v>
      </c>
      <c r="AC11" s="989" t="str">
        <f t="shared" si="18"/>
        <v/>
      </c>
      <c r="AD11" s="989" t="str">
        <f t="shared" si="19"/>
        <v/>
      </c>
      <c r="AE11" s="988">
        <f t="shared" si="20"/>
        <v>4.8046492822362064</v>
      </c>
      <c r="AF11" s="988" t="str">
        <f>IF(BV11="","",(BV11*#REF!)-AC11)</f>
        <v/>
      </c>
      <c r="AG11" s="988" t="str">
        <f>IF(BW11="","",(BW11*#REF!)-AD11)</f>
        <v/>
      </c>
      <c r="AH11" s="988">
        <f t="shared" si="21"/>
        <v>4.6006568638353319E-2</v>
      </c>
      <c r="AI11" s="988" t="str">
        <f t="shared" si="22"/>
        <v>N</v>
      </c>
      <c r="AJ11" s="989">
        <f t="shared" si="23"/>
        <v>0</v>
      </c>
      <c r="AK11" s="989">
        <f t="shared" si="24"/>
        <v>0</v>
      </c>
      <c r="AL11" s="989">
        <f t="shared" si="25"/>
        <v>0</v>
      </c>
      <c r="AM11" s="987" t="s">
        <v>401</v>
      </c>
      <c r="AN11" s="989">
        <f t="shared" si="26"/>
        <v>0</v>
      </c>
      <c r="AO11" s="989">
        <f t="shared" si="27"/>
        <v>0</v>
      </c>
      <c r="AP11" s="989">
        <f t="shared" si="28"/>
        <v>6.3131057333138321</v>
      </c>
      <c r="AQ11" s="989">
        <v>0</v>
      </c>
      <c r="AR11" s="989">
        <v>0</v>
      </c>
      <c r="AS11" s="995">
        <f t="shared" si="29"/>
        <v>0.31789090205483927</v>
      </c>
      <c r="AT11" s="223">
        <f t="shared" si="30"/>
        <v>2.0068788763307115</v>
      </c>
      <c r="AU11" s="223">
        <f t="shared" si="31"/>
        <v>1.7676696053278729</v>
      </c>
      <c r="AV11" s="994">
        <f t="shared" si="32"/>
        <v>80</v>
      </c>
      <c r="AW11" s="989">
        <f t="shared" si="33"/>
        <v>0.58812950620077209</v>
      </c>
      <c r="AX11" s="989">
        <f t="shared" si="34"/>
        <v>0</v>
      </c>
      <c r="AY11" s="989">
        <f t="shared" si="35"/>
        <v>0.47050360496061788</v>
      </c>
      <c r="AZ11" s="989">
        <f t="shared" si="36"/>
        <v>0.11762590124015421</v>
      </c>
      <c r="BA11" s="995">
        <f t="shared" si="37"/>
        <v>0.2379788759759755</v>
      </c>
      <c r="BB11" s="989">
        <f t="shared" si="38"/>
        <v>4.1301532588747145</v>
      </c>
      <c r="BC11" s="992">
        <f t="shared" si="39"/>
        <v>0.47499999999999998</v>
      </c>
      <c r="BD11" s="992">
        <v>0.6</v>
      </c>
      <c r="BE11" s="992">
        <v>0.4</v>
      </c>
      <c r="BF11" s="992">
        <v>0.1</v>
      </c>
      <c r="BG11" s="992">
        <v>7.4999999999999997E-2</v>
      </c>
      <c r="BH11" s="989">
        <f t="shared" si="40"/>
        <v>0</v>
      </c>
      <c r="BI11" s="988">
        <f t="shared" si="41"/>
        <v>1.2982100000000174</v>
      </c>
      <c r="BJ11" s="989">
        <f t="shared" si="42"/>
        <v>0</v>
      </c>
      <c r="BK11" s="989">
        <f t="shared" si="43"/>
        <v>0</v>
      </c>
      <c r="BL11" s="989">
        <f t="shared" si="68"/>
        <v>4.8531810931678852</v>
      </c>
      <c r="BM11" s="989" t="str">
        <f t="shared" si="44"/>
        <v/>
      </c>
      <c r="BN11" s="989" t="str">
        <f t="shared" si="45"/>
        <v/>
      </c>
      <c r="BO11" s="991">
        <f t="shared" si="46"/>
        <v>4.600656863835332</v>
      </c>
      <c r="BP11" s="989">
        <f t="shared" si="47"/>
        <v>0</v>
      </c>
      <c r="BQ11" s="990">
        <f t="shared" si="48"/>
        <v>9.6250000000000002E-2</v>
      </c>
      <c r="BR11" s="989">
        <f t="shared" si="49"/>
        <v>3.9374999999999993E-2</v>
      </c>
      <c r="BS11" s="989">
        <f t="shared" si="50"/>
        <v>2.2089318749999999E-3</v>
      </c>
      <c r="BT11" s="989" t="str">
        <f t="shared" si="51"/>
        <v>C2</v>
      </c>
      <c r="BU11" s="988">
        <f t="shared" si="69"/>
        <v>4.8046492822362064</v>
      </c>
      <c r="BV11" s="988" t="str">
        <f t="shared" si="52"/>
        <v/>
      </c>
      <c r="BW11" s="988" t="str">
        <f t="shared" si="53"/>
        <v/>
      </c>
      <c r="BX11" s="988"/>
      <c r="BY11" s="987" t="s">
        <v>387</v>
      </c>
      <c r="BZ11" s="987">
        <f t="shared" si="54"/>
        <v>14.026211466627664</v>
      </c>
      <c r="CA11" s="1004">
        <f t="shared" si="55"/>
        <v>0</v>
      </c>
      <c r="CB11" s="1004">
        <f t="shared" si="56"/>
        <v>0</v>
      </c>
      <c r="CC11" s="1004">
        <f t="shared" si="57"/>
        <v>0</v>
      </c>
      <c r="CD11" s="1004">
        <f t="shared" si="58"/>
        <v>0</v>
      </c>
      <c r="CE11" s="1004">
        <f t="shared" si="59"/>
        <v>0</v>
      </c>
      <c r="CF11" s="1004">
        <f t="shared" si="60"/>
        <v>0</v>
      </c>
      <c r="CG11" s="1004">
        <f t="shared" si="61"/>
        <v>0</v>
      </c>
      <c r="CH11" s="1004">
        <f t="shared" si="62"/>
        <v>0</v>
      </c>
      <c r="CI11" s="1004">
        <f t="shared" si="63"/>
        <v>0</v>
      </c>
      <c r="CJ11" s="1004">
        <f t="shared" si="64"/>
        <v>0</v>
      </c>
      <c r="CK11" s="1004">
        <f t="shared" si="65"/>
        <v>0</v>
      </c>
      <c r="CL11" s="1004">
        <f t="shared" si="66"/>
        <v>0</v>
      </c>
      <c r="CM11" s="992">
        <v>219.08</v>
      </c>
      <c r="CN11" s="1685">
        <v>30</v>
      </c>
    </row>
    <row r="12" spans="1:92" s="953" customFormat="1" ht="12.75">
      <c r="A12" s="1003" t="s">
        <v>406</v>
      </c>
      <c r="B12" s="1102" t="s">
        <v>133</v>
      </c>
      <c r="C12" s="1102" t="s">
        <v>134</v>
      </c>
      <c r="D12" s="1002">
        <v>84.02</v>
      </c>
      <c r="E12" s="1001">
        <f t="shared" si="0"/>
        <v>3.4717924303737567E-2</v>
      </c>
      <c r="F12" s="1006">
        <v>198.21</v>
      </c>
      <c r="G12" s="1006">
        <v>987.90800000000002</v>
      </c>
      <c r="H12" s="1006">
        <v>990.82500000000005</v>
      </c>
      <c r="I12" s="1025">
        <f t="shared" si="1"/>
        <v>986.70979</v>
      </c>
      <c r="J12" s="1025">
        <f t="shared" si="2"/>
        <v>989.62679000000003</v>
      </c>
      <c r="K12" s="1000">
        <f t="shared" si="3"/>
        <v>1</v>
      </c>
      <c r="L12" s="989">
        <f t="shared" si="4"/>
        <v>84.070620843431385</v>
      </c>
      <c r="M12" s="989">
        <v>0.7</v>
      </c>
      <c r="N12" s="999" t="s">
        <v>331</v>
      </c>
      <c r="O12" s="998" t="str">
        <f t="shared" si="5"/>
        <v>N</v>
      </c>
      <c r="P12" s="998" t="str">
        <f t="shared" si="6"/>
        <v>N</v>
      </c>
      <c r="Q12" s="998" t="str">
        <f t="shared" si="7"/>
        <v>S</v>
      </c>
      <c r="R12" s="998" t="str">
        <f t="shared" si="8"/>
        <v>N</v>
      </c>
      <c r="S12" s="989">
        <f t="shared" si="9"/>
        <v>0</v>
      </c>
      <c r="T12" s="989">
        <f t="shared" si="10"/>
        <v>0</v>
      </c>
      <c r="U12" s="989">
        <f t="shared" si="11"/>
        <v>84.070620843431385</v>
      </c>
      <c r="V12" s="989">
        <f t="shared" si="12"/>
        <v>0</v>
      </c>
      <c r="W12" s="989">
        <f t="shared" si="13"/>
        <v>0</v>
      </c>
      <c r="X12" s="989">
        <f t="shared" si="14"/>
        <v>0</v>
      </c>
      <c r="Y12" s="989">
        <f t="shared" si="15"/>
        <v>15.132711751817647</v>
      </c>
      <c r="Z12" s="989">
        <f t="shared" si="16"/>
        <v>1.2982100000000174</v>
      </c>
      <c r="AA12" s="994">
        <f t="shared" si="17"/>
        <v>0</v>
      </c>
      <c r="AB12" s="989">
        <f t="shared" si="67"/>
        <v>0</v>
      </c>
      <c r="AC12" s="989" t="str">
        <f t="shared" si="18"/>
        <v/>
      </c>
      <c r="AD12" s="989" t="str">
        <f t="shared" si="19"/>
        <v/>
      </c>
      <c r="AE12" s="988">
        <f t="shared" si="20"/>
        <v>63.982747185911109</v>
      </c>
      <c r="AF12" s="988" t="str">
        <f>IF(BV12="","",(BV12*#REF!)-AC12)</f>
        <v/>
      </c>
      <c r="AG12" s="988" t="str">
        <f>IF(BW12="","",(BW12*#REF!)-AD12)</f>
        <v/>
      </c>
      <c r="AH12" s="988">
        <f t="shared" si="21"/>
        <v>0.61266212727789116</v>
      </c>
      <c r="AI12" s="988" t="str">
        <f t="shared" si="22"/>
        <v>N</v>
      </c>
      <c r="AJ12" s="989">
        <f t="shared" si="23"/>
        <v>0</v>
      </c>
      <c r="AK12" s="989">
        <f t="shared" si="24"/>
        <v>0</v>
      </c>
      <c r="AL12" s="989">
        <f t="shared" si="25"/>
        <v>0</v>
      </c>
      <c r="AM12" s="987" t="s">
        <v>401</v>
      </c>
      <c r="AN12" s="989">
        <f t="shared" si="26"/>
        <v>0</v>
      </c>
      <c r="AO12" s="989">
        <f t="shared" si="27"/>
        <v>0</v>
      </c>
      <c r="AP12" s="989">
        <f t="shared" si="28"/>
        <v>84.070620843431385</v>
      </c>
      <c r="AQ12" s="989">
        <v>0</v>
      </c>
      <c r="AR12" s="989">
        <v>0</v>
      </c>
      <c r="AS12" s="995">
        <f t="shared" si="29"/>
        <v>0.31789090205483927</v>
      </c>
      <c r="AT12" s="223">
        <f t="shared" si="30"/>
        <v>26.725285496228775</v>
      </c>
      <c r="AU12" s="223">
        <f t="shared" si="31"/>
        <v>23.539773836160787</v>
      </c>
      <c r="AV12" s="994">
        <f t="shared" si="32"/>
        <v>80</v>
      </c>
      <c r="AW12" s="989">
        <f t="shared" si="33"/>
        <v>7.8320267094094191</v>
      </c>
      <c r="AX12" s="989">
        <f t="shared" si="34"/>
        <v>0</v>
      </c>
      <c r="AY12" s="989">
        <f t="shared" si="35"/>
        <v>6.2656213675275296</v>
      </c>
      <c r="AZ12" s="989">
        <f t="shared" si="36"/>
        <v>1.5664053418818895</v>
      </c>
      <c r="BA12" s="995">
        <f t="shared" si="37"/>
        <v>3.1691266859901401</v>
      </c>
      <c r="BB12" s="989">
        <f t="shared" si="38"/>
        <v>55.000591360261588</v>
      </c>
      <c r="BC12" s="992">
        <f t="shared" si="39"/>
        <v>0.47499999999999998</v>
      </c>
      <c r="BD12" s="992">
        <v>0.6</v>
      </c>
      <c r="BE12" s="992">
        <v>0.4</v>
      </c>
      <c r="BF12" s="992">
        <v>0.1</v>
      </c>
      <c r="BG12" s="992">
        <v>7.4999999999999997E-2</v>
      </c>
      <c r="BH12" s="989">
        <f t="shared" si="40"/>
        <v>0</v>
      </c>
      <c r="BI12" s="988">
        <f t="shared" si="41"/>
        <v>1.2982100000000174</v>
      </c>
      <c r="BJ12" s="989">
        <f t="shared" si="42"/>
        <v>0</v>
      </c>
      <c r="BK12" s="989">
        <f t="shared" si="43"/>
        <v>0</v>
      </c>
      <c r="BL12" s="989">
        <f t="shared" si="68"/>
        <v>64.629037561526374</v>
      </c>
      <c r="BM12" s="989" t="str">
        <f t="shared" si="44"/>
        <v/>
      </c>
      <c r="BN12" s="989" t="str">
        <f t="shared" si="45"/>
        <v/>
      </c>
      <c r="BO12" s="991">
        <f t="shared" si="46"/>
        <v>61.266212727789117</v>
      </c>
      <c r="BP12" s="989">
        <f t="shared" si="47"/>
        <v>0</v>
      </c>
      <c r="BQ12" s="990">
        <f t="shared" si="48"/>
        <v>9.6250000000000002E-2</v>
      </c>
      <c r="BR12" s="989">
        <f t="shared" si="49"/>
        <v>3.9374999999999993E-2</v>
      </c>
      <c r="BS12" s="989">
        <f t="shared" si="50"/>
        <v>2.2089318749999999E-3</v>
      </c>
      <c r="BT12" s="989" t="str">
        <f t="shared" si="51"/>
        <v>C2</v>
      </c>
      <c r="BU12" s="988">
        <f t="shared" si="69"/>
        <v>63.982747185911109</v>
      </c>
      <c r="BV12" s="988" t="str">
        <f t="shared" si="52"/>
        <v/>
      </c>
      <c r="BW12" s="988" t="str">
        <f t="shared" si="53"/>
        <v/>
      </c>
      <c r="BX12" s="988"/>
      <c r="BY12" s="987" t="s">
        <v>387</v>
      </c>
      <c r="BZ12" s="987">
        <f t="shared" si="54"/>
        <v>169.54124168686278</v>
      </c>
      <c r="CA12" s="1004">
        <f t="shared" si="55"/>
        <v>0</v>
      </c>
      <c r="CB12" s="1004">
        <f t="shared" si="56"/>
        <v>0</v>
      </c>
      <c r="CC12" s="1004">
        <f t="shared" si="57"/>
        <v>0</v>
      </c>
      <c r="CD12" s="1004">
        <f t="shared" si="58"/>
        <v>0</v>
      </c>
      <c r="CE12" s="1004">
        <f t="shared" si="59"/>
        <v>0</v>
      </c>
      <c r="CF12" s="1004">
        <f t="shared" si="60"/>
        <v>0</v>
      </c>
      <c r="CG12" s="1004">
        <f t="shared" si="61"/>
        <v>0</v>
      </c>
      <c r="CH12" s="1004">
        <f t="shared" si="62"/>
        <v>0</v>
      </c>
      <c r="CI12" s="1004">
        <f t="shared" si="63"/>
        <v>0</v>
      </c>
      <c r="CJ12" s="1004">
        <f t="shared" si="64"/>
        <v>0</v>
      </c>
      <c r="CK12" s="1004">
        <f t="shared" si="65"/>
        <v>0</v>
      </c>
      <c r="CL12" s="1004">
        <f t="shared" si="66"/>
        <v>0</v>
      </c>
      <c r="CM12" s="992">
        <v>219.08</v>
      </c>
      <c r="CN12" s="1685"/>
    </row>
    <row r="13" spans="1:92" s="953" customFormat="1" ht="12.75">
      <c r="A13" s="1003" t="s">
        <v>407</v>
      </c>
      <c r="B13" s="1102" t="s">
        <v>134</v>
      </c>
      <c r="C13" s="1102" t="s">
        <v>135</v>
      </c>
      <c r="D13" s="1002">
        <v>44.69</v>
      </c>
      <c r="E13" s="1001">
        <f t="shared" si="0"/>
        <v>3.853211009174267E-2</v>
      </c>
      <c r="F13" s="1006">
        <v>198.21</v>
      </c>
      <c r="G13" s="1006">
        <v>990.82500000000005</v>
      </c>
      <c r="H13" s="1006">
        <v>992.54700000000003</v>
      </c>
      <c r="I13" s="1025">
        <f t="shared" si="1"/>
        <v>989.62679000000003</v>
      </c>
      <c r="J13" s="1025">
        <f t="shared" si="2"/>
        <v>991.34879000000001</v>
      </c>
      <c r="K13" s="1000">
        <f t="shared" si="3"/>
        <v>1</v>
      </c>
      <c r="L13" s="989">
        <f t="shared" si="4"/>
        <v>44.723163841570958</v>
      </c>
      <c r="M13" s="989">
        <v>0.7</v>
      </c>
      <c r="N13" s="999" t="s">
        <v>331</v>
      </c>
      <c r="O13" s="998" t="str">
        <f t="shared" si="5"/>
        <v>N</v>
      </c>
      <c r="P13" s="998" t="str">
        <f t="shared" si="6"/>
        <v>N</v>
      </c>
      <c r="Q13" s="998" t="str">
        <f t="shared" si="7"/>
        <v>S</v>
      </c>
      <c r="R13" s="998" t="str">
        <f t="shared" si="8"/>
        <v>N</v>
      </c>
      <c r="S13" s="989">
        <f t="shared" si="9"/>
        <v>0</v>
      </c>
      <c r="T13" s="989">
        <f t="shared" si="10"/>
        <v>0</v>
      </c>
      <c r="U13" s="989">
        <f t="shared" si="11"/>
        <v>44.723163841570958</v>
      </c>
      <c r="V13" s="989">
        <f t="shared" si="12"/>
        <v>0</v>
      </c>
      <c r="W13" s="989">
        <f t="shared" si="13"/>
        <v>0</v>
      </c>
      <c r="X13" s="989">
        <f t="shared" si="14"/>
        <v>0</v>
      </c>
      <c r="Y13" s="989">
        <f t="shared" si="15"/>
        <v>8.0501694914827731</v>
      </c>
      <c r="Z13" s="989">
        <f t="shared" si="16"/>
        <v>1.2982100000000174</v>
      </c>
      <c r="AA13" s="994">
        <f t="shared" si="17"/>
        <v>0</v>
      </c>
      <c r="AB13" s="989">
        <f t="shared" si="67"/>
        <v>0</v>
      </c>
      <c r="AC13" s="989" t="str">
        <f t="shared" si="18"/>
        <v/>
      </c>
      <c r="AD13" s="989" t="str">
        <f t="shared" si="19"/>
        <v/>
      </c>
      <c r="AE13" s="988">
        <f t="shared" si="20"/>
        <v>34.036990053379519</v>
      </c>
      <c r="AF13" s="988" t="str">
        <f>IF(BV13="","",(BV13*#REF!)-AC13)</f>
        <v/>
      </c>
      <c r="AG13" s="988" t="str">
        <f>IF(BW13="","",(BW13*#REF!)-AD13)</f>
        <v/>
      </c>
      <c r="AH13" s="988">
        <f t="shared" si="21"/>
        <v>0.32591871480053852</v>
      </c>
      <c r="AI13" s="988" t="str">
        <f t="shared" si="22"/>
        <v>N</v>
      </c>
      <c r="AJ13" s="989">
        <f t="shared" si="23"/>
        <v>0</v>
      </c>
      <c r="AK13" s="989">
        <f t="shared" si="24"/>
        <v>0</v>
      </c>
      <c r="AL13" s="989">
        <f t="shared" si="25"/>
        <v>0</v>
      </c>
      <c r="AM13" s="987" t="s">
        <v>401</v>
      </c>
      <c r="AN13" s="989">
        <f t="shared" si="26"/>
        <v>0</v>
      </c>
      <c r="AO13" s="989">
        <f t="shared" si="27"/>
        <v>0</v>
      </c>
      <c r="AP13" s="989">
        <f t="shared" si="28"/>
        <v>44.723163841570958</v>
      </c>
      <c r="AQ13" s="989">
        <v>0</v>
      </c>
      <c r="AR13" s="989">
        <v>0</v>
      </c>
      <c r="AS13" s="995">
        <f t="shared" si="29"/>
        <v>0.31789090205483927</v>
      </c>
      <c r="AT13" s="223">
        <f t="shared" si="30"/>
        <v>14.217086896343362</v>
      </c>
      <c r="AU13" s="223">
        <f t="shared" si="31"/>
        <v>12.522485875639868</v>
      </c>
      <c r="AV13" s="994">
        <f t="shared" si="32"/>
        <v>80</v>
      </c>
      <c r="AW13" s="989">
        <f t="shared" si="33"/>
        <v>4.1664140245711607</v>
      </c>
      <c r="AX13" s="989">
        <f t="shared" si="34"/>
        <v>0</v>
      </c>
      <c r="AY13" s="989">
        <f t="shared" si="35"/>
        <v>3.3331312196569272</v>
      </c>
      <c r="AZ13" s="989">
        <f t="shared" si="36"/>
        <v>0.83328280491423357</v>
      </c>
      <c r="BA13" s="995">
        <f t="shared" si="37"/>
        <v>1.6858846834994647</v>
      </c>
      <c r="BB13" s="989">
        <f t="shared" si="38"/>
        <v>29.258740260396927</v>
      </c>
      <c r="BC13" s="992">
        <f t="shared" si="39"/>
        <v>0.47499999999999998</v>
      </c>
      <c r="BD13" s="992">
        <v>0.6</v>
      </c>
      <c r="BE13" s="992">
        <v>0.4</v>
      </c>
      <c r="BF13" s="992">
        <v>0.1</v>
      </c>
      <c r="BG13" s="992">
        <v>7.4999999999999997E-2</v>
      </c>
      <c r="BH13" s="989">
        <f t="shared" si="40"/>
        <v>0</v>
      </c>
      <c r="BI13" s="988">
        <f t="shared" si="41"/>
        <v>1.2982100000000174</v>
      </c>
      <c r="BJ13" s="989">
        <f t="shared" si="42"/>
        <v>0</v>
      </c>
      <c r="BK13" s="989">
        <f t="shared" si="43"/>
        <v>0</v>
      </c>
      <c r="BL13" s="989">
        <f t="shared" si="68"/>
        <v>34.380798033716687</v>
      </c>
      <c r="BM13" s="989" t="str">
        <f t="shared" si="44"/>
        <v/>
      </c>
      <c r="BN13" s="989" t="str">
        <f t="shared" si="45"/>
        <v/>
      </c>
      <c r="BO13" s="991">
        <f t="shared" si="46"/>
        <v>32.591871480053854</v>
      </c>
      <c r="BP13" s="989">
        <f t="shared" si="47"/>
        <v>0</v>
      </c>
      <c r="BQ13" s="990">
        <f t="shared" si="48"/>
        <v>9.6250000000000002E-2</v>
      </c>
      <c r="BR13" s="989">
        <f t="shared" si="49"/>
        <v>3.9374999999999993E-2</v>
      </c>
      <c r="BS13" s="989">
        <f t="shared" si="50"/>
        <v>2.2089318749999999E-3</v>
      </c>
      <c r="BT13" s="989" t="str">
        <f t="shared" si="51"/>
        <v>C2</v>
      </c>
      <c r="BU13" s="988">
        <f t="shared" si="69"/>
        <v>34.036990053379519</v>
      </c>
      <c r="BV13" s="988" t="str">
        <f t="shared" si="52"/>
        <v/>
      </c>
      <c r="BW13" s="988" t="str">
        <f t="shared" si="53"/>
        <v/>
      </c>
      <c r="BX13" s="988"/>
      <c r="BY13" s="987" t="s">
        <v>387</v>
      </c>
      <c r="BZ13" s="987">
        <f t="shared" si="54"/>
        <v>90.846327683141922</v>
      </c>
      <c r="CA13" s="1004">
        <f t="shared" si="55"/>
        <v>0</v>
      </c>
      <c r="CB13" s="1004">
        <f t="shared" si="56"/>
        <v>0</v>
      </c>
      <c r="CC13" s="1004">
        <f t="shared" si="57"/>
        <v>0</v>
      </c>
      <c r="CD13" s="1004">
        <f t="shared" si="58"/>
        <v>0</v>
      </c>
      <c r="CE13" s="1004">
        <f t="shared" si="59"/>
        <v>0</v>
      </c>
      <c r="CF13" s="1004">
        <f t="shared" si="60"/>
        <v>0</v>
      </c>
      <c r="CG13" s="1004">
        <f t="shared" si="61"/>
        <v>0</v>
      </c>
      <c r="CH13" s="1004">
        <f t="shared" si="62"/>
        <v>0</v>
      </c>
      <c r="CI13" s="1004">
        <f t="shared" si="63"/>
        <v>0</v>
      </c>
      <c r="CJ13" s="1004">
        <f t="shared" si="64"/>
        <v>0</v>
      </c>
      <c r="CK13" s="1004">
        <f t="shared" si="65"/>
        <v>0</v>
      </c>
      <c r="CL13" s="1004">
        <f t="shared" si="66"/>
        <v>0</v>
      </c>
      <c r="CM13" s="992">
        <v>219.08</v>
      </c>
      <c r="CN13" s="1685">
        <v>15</v>
      </c>
    </row>
    <row r="14" spans="1:92" s="953" customFormat="1" ht="12.75">
      <c r="A14" s="1003" t="s">
        <v>408</v>
      </c>
      <c r="B14" s="1102" t="s">
        <v>136</v>
      </c>
      <c r="C14" s="1102" t="s">
        <v>137</v>
      </c>
      <c r="D14" s="1002">
        <v>2.37</v>
      </c>
      <c r="E14" s="1001">
        <f t="shared" si="0"/>
        <v>4.2194092827013814E-2</v>
      </c>
      <c r="F14" s="1006">
        <v>198.21</v>
      </c>
      <c r="G14" s="1006">
        <v>992.54700000000003</v>
      </c>
      <c r="H14" s="1006">
        <v>992.64700000000005</v>
      </c>
      <c r="I14" s="1025">
        <f t="shared" si="1"/>
        <v>991.34879000000001</v>
      </c>
      <c r="J14" s="1025">
        <f t="shared" si="2"/>
        <v>991.44879000000003</v>
      </c>
      <c r="K14" s="1000">
        <f t="shared" si="3"/>
        <v>1</v>
      </c>
      <c r="L14" s="989">
        <f t="shared" si="4"/>
        <v>2.3721087664776261</v>
      </c>
      <c r="M14" s="989">
        <v>0.7</v>
      </c>
      <c r="N14" s="999" t="s">
        <v>331</v>
      </c>
      <c r="O14" s="998" t="str">
        <f t="shared" si="5"/>
        <v>N</v>
      </c>
      <c r="P14" s="998" t="str">
        <f t="shared" si="6"/>
        <v>N</v>
      </c>
      <c r="Q14" s="998" t="str">
        <f t="shared" si="7"/>
        <v>S</v>
      </c>
      <c r="R14" s="998" t="str">
        <f t="shared" si="8"/>
        <v>N</v>
      </c>
      <c r="S14" s="989">
        <f t="shared" si="9"/>
        <v>0</v>
      </c>
      <c r="T14" s="989">
        <f t="shared" si="10"/>
        <v>0</v>
      </c>
      <c r="U14" s="989">
        <f t="shared" si="11"/>
        <v>2.3721087664776261</v>
      </c>
      <c r="V14" s="989">
        <f t="shared" si="12"/>
        <v>0</v>
      </c>
      <c r="W14" s="989">
        <f t="shared" si="13"/>
        <v>0</v>
      </c>
      <c r="X14" s="989">
        <f t="shared" si="14"/>
        <v>0</v>
      </c>
      <c r="Y14" s="989">
        <f t="shared" si="15"/>
        <v>0.42697957796597263</v>
      </c>
      <c r="Z14" s="989">
        <f t="shared" si="16"/>
        <v>1.2982100000000174</v>
      </c>
      <c r="AA14" s="994">
        <f t="shared" si="17"/>
        <v>0</v>
      </c>
      <c r="AB14" s="989">
        <f t="shared" si="67"/>
        <v>0</v>
      </c>
      <c r="AC14" s="989" t="str">
        <f t="shared" si="18"/>
        <v/>
      </c>
      <c r="AD14" s="989" t="str">
        <f t="shared" si="19"/>
        <v/>
      </c>
      <c r="AE14" s="988">
        <f t="shared" si="20"/>
        <v>1.8053159829243703</v>
      </c>
      <c r="AF14" s="988" t="str">
        <f>IF(BV14="","",(BV14*#REF!)-AC14)</f>
        <v/>
      </c>
      <c r="AG14" s="988" t="str">
        <f>IF(BW14="","",(BW14*#REF!)-AD14)</f>
        <v/>
      </c>
      <c r="AH14" s="988">
        <f t="shared" si="21"/>
        <v>1.7286671472442991E-2</v>
      </c>
      <c r="AI14" s="988" t="str">
        <f t="shared" si="22"/>
        <v>N</v>
      </c>
      <c r="AJ14" s="989">
        <f t="shared" si="23"/>
        <v>0</v>
      </c>
      <c r="AK14" s="989">
        <f t="shared" si="24"/>
        <v>0</v>
      </c>
      <c r="AL14" s="989">
        <f t="shared" si="25"/>
        <v>0</v>
      </c>
      <c r="AM14" s="987" t="s">
        <v>401</v>
      </c>
      <c r="AN14" s="989">
        <f t="shared" si="26"/>
        <v>0</v>
      </c>
      <c r="AO14" s="989">
        <f t="shared" si="27"/>
        <v>0</v>
      </c>
      <c r="AP14" s="989">
        <f t="shared" si="28"/>
        <v>2.3721087664776261</v>
      </c>
      <c r="AQ14" s="989">
        <v>0</v>
      </c>
      <c r="AR14" s="989">
        <v>0</v>
      </c>
      <c r="AS14" s="995">
        <f t="shared" si="29"/>
        <v>0.31789090205483927</v>
      </c>
      <c r="AT14" s="223">
        <f t="shared" si="30"/>
        <v>0.75407179554776471</v>
      </c>
      <c r="AU14" s="223">
        <f t="shared" si="31"/>
        <v>0.66419045461373527</v>
      </c>
      <c r="AV14" s="994">
        <f t="shared" si="32"/>
        <v>80</v>
      </c>
      <c r="AW14" s="989">
        <f t="shared" si="33"/>
        <v>0.22098586914537485</v>
      </c>
      <c r="AX14" s="989">
        <f t="shared" si="34"/>
        <v>0</v>
      </c>
      <c r="AY14" s="989">
        <f t="shared" si="35"/>
        <v>0.17678869531629993</v>
      </c>
      <c r="AZ14" s="989">
        <f t="shared" si="36"/>
        <v>4.4197173829074926E-2</v>
      </c>
      <c r="BA14" s="995">
        <f t="shared" si="37"/>
        <v>8.9419027937424317E-2</v>
      </c>
      <c r="BB14" s="989">
        <f t="shared" si="38"/>
        <v>1.5518784519279993</v>
      </c>
      <c r="BC14" s="992">
        <f t="shared" si="39"/>
        <v>0.47499999999999998</v>
      </c>
      <c r="BD14" s="992">
        <v>0.6</v>
      </c>
      <c r="BE14" s="992">
        <v>0.4</v>
      </c>
      <c r="BF14" s="992">
        <v>0.1</v>
      </c>
      <c r="BG14" s="992">
        <v>7.4999999999999997E-2</v>
      </c>
      <c r="BH14" s="989">
        <f t="shared" si="40"/>
        <v>0</v>
      </c>
      <c r="BI14" s="988">
        <f t="shared" si="41"/>
        <v>1.2982100000000174</v>
      </c>
      <c r="BJ14" s="989">
        <f t="shared" si="42"/>
        <v>0</v>
      </c>
      <c r="BK14" s="989">
        <f t="shared" si="43"/>
        <v>0</v>
      </c>
      <c r="BL14" s="989">
        <f t="shared" si="68"/>
        <v>1.8235514979034044</v>
      </c>
      <c r="BM14" s="989" t="str">
        <f t="shared" si="44"/>
        <v/>
      </c>
      <c r="BN14" s="989" t="str">
        <f t="shared" si="45"/>
        <v/>
      </c>
      <c r="BO14" s="991">
        <f t="shared" si="46"/>
        <v>1.7286671472442992</v>
      </c>
      <c r="BP14" s="989">
        <f t="shared" si="47"/>
        <v>0</v>
      </c>
      <c r="BQ14" s="990">
        <f t="shared" si="48"/>
        <v>9.6250000000000002E-2</v>
      </c>
      <c r="BR14" s="989">
        <f t="shared" si="49"/>
        <v>3.9374999999999993E-2</v>
      </c>
      <c r="BS14" s="989">
        <f t="shared" si="50"/>
        <v>2.2089318749999999E-3</v>
      </c>
      <c r="BT14" s="989" t="str">
        <f t="shared" si="51"/>
        <v>C2</v>
      </c>
      <c r="BU14" s="988">
        <f t="shared" si="69"/>
        <v>1.8053159829243703</v>
      </c>
      <c r="BV14" s="988" t="str">
        <f t="shared" si="52"/>
        <v/>
      </c>
      <c r="BW14" s="988" t="str">
        <f t="shared" si="53"/>
        <v/>
      </c>
      <c r="BX14" s="988"/>
      <c r="BY14" s="987" t="s">
        <v>387</v>
      </c>
      <c r="BZ14" s="987">
        <f t="shared" si="54"/>
        <v>6.1442175329552526</v>
      </c>
      <c r="CA14" s="1004">
        <f t="shared" si="55"/>
        <v>0</v>
      </c>
      <c r="CB14" s="1004">
        <f t="shared" si="56"/>
        <v>0</v>
      </c>
      <c r="CC14" s="1004">
        <f t="shared" si="57"/>
        <v>0</v>
      </c>
      <c r="CD14" s="1004">
        <f t="shared" si="58"/>
        <v>0</v>
      </c>
      <c r="CE14" s="1004">
        <f t="shared" si="59"/>
        <v>0</v>
      </c>
      <c r="CF14" s="1004">
        <f t="shared" si="60"/>
        <v>0</v>
      </c>
      <c r="CG14" s="1004">
        <f t="shared" si="61"/>
        <v>0</v>
      </c>
      <c r="CH14" s="1004">
        <f t="shared" si="62"/>
        <v>0</v>
      </c>
      <c r="CI14" s="1004">
        <f t="shared" si="63"/>
        <v>0</v>
      </c>
      <c r="CJ14" s="1004">
        <f t="shared" si="64"/>
        <v>0</v>
      </c>
      <c r="CK14" s="1004">
        <f t="shared" si="65"/>
        <v>0</v>
      </c>
      <c r="CL14" s="1004">
        <f t="shared" si="66"/>
        <v>0</v>
      </c>
      <c r="CM14" s="992">
        <v>219.08</v>
      </c>
      <c r="CN14" s="1685"/>
    </row>
    <row r="15" spans="1:92" s="953" customFormat="1" ht="12.75">
      <c r="A15" s="1003" t="s">
        <v>409</v>
      </c>
      <c r="B15" s="1102" t="s">
        <v>137</v>
      </c>
      <c r="C15" s="1102" t="s">
        <v>138</v>
      </c>
      <c r="D15" s="1002">
        <v>50.5</v>
      </c>
      <c r="E15" s="1001">
        <f t="shared" si="0"/>
        <v>1.8732673267325004E-2</v>
      </c>
      <c r="F15" s="1006">
        <v>198.21</v>
      </c>
      <c r="G15" s="1006">
        <v>992.64700000000005</v>
      </c>
      <c r="H15" s="1006">
        <v>993.59299999999996</v>
      </c>
      <c r="I15" s="1025">
        <f t="shared" si="1"/>
        <v>991.44879000000003</v>
      </c>
      <c r="J15" s="1025">
        <f t="shared" si="2"/>
        <v>992.39478999999994</v>
      </c>
      <c r="K15" s="1000">
        <f t="shared" si="3"/>
        <v>1</v>
      </c>
      <c r="L15" s="989">
        <f t="shared" si="4"/>
        <v>50.508859777270757</v>
      </c>
      <c r="M15" s="989">
        <v>0.7</v>
      </c>
      <c r="N15" s="999" t="s">
        <v>331</v>
      </c>
      <c r="O15" s="998" t="str">
        <f t="shared" si="5"/>
        <v>N</v>
      </c>
      <c r="P15" s="998" t="str">
        <f t="shared" si="6"/>
        <v>N</v>
      </c>
      <c r="Q15" s="998" t="str">
        <f t="shared" si="7"/>
        <v>S</v>
      </c>
      <c r="R15" s="998" t="str">
        <f t="shared" si="8"/>
        <v>N</v>
      </c>
      <c r="S15" s="989">
        <f t="shared" si="9"/>
        <v>0</v>
      </c>
      <c r="T15" s="989">
        <f t="shared" si="10"/>
        <v>0</v>
      </c>
      <c r="U15" s="989">
        <f t="shared" si="11"/>
        <v>50.508859777270757</v>
      </c>
      <c r="V15" s="989">
        <f t="shared" si="12"/>
        <v>0</v>
      </c>
      <c r="W15" s="989">
        <f t="shared" si="13"/>
        <v>0</v>
      </c>
      <c r="X15" s="989">
        <f t="shared" si="14"/>
        <v>0</v>
      </c>
      <c r="Y15" s="989">
        <f t="shared" si="15"/>
        <v>9.0915947599087357</v>
      </c>
      <c r="Z15" s="989">
        <f t="shared" si="16"/>
        <v>1.2982100000000174</v>
      </c>
      <c r="AA15" s="994">
        <f t="shared" si="17"/>
        <v>0</v>
      </c>
      <c r="AB15" s="989">
        <f t="shared" si="67"/>
        <v>0</v>
      </c>
      <c r="AC15" s="989" t="str">
        <f t="shared" si="18"/>
        <v/>
      </c>
      <c r="AD15" s="989" t="str">
        <f t="shared" si="19"/>
        <v/>
      </c>
      <c r="AE15" s="988">
        <f t="shared" si="20"/>
        <v>38.440249082926194</v>
      </c>
      <c r="AF15" s="988" t="str">
        <f>IF(BV15="","",(BV15*#REF!)-AC15)</f>
        <v/>
      </c>
      <c r="AG15" s="988" t="str">
        <f>IF(BW15="","",(BW15*#REF!)-AD15)</f>
        <v/>
      </c>
      <c r="AH15" s="988">
        <f t="shared" si="21"/>
        <v>0.36808180036107341</v>
      </c>
      <c r="AI15" s="988" t="str">
        <f t="shared" si="22"/>
        <v>N</v>
      </c>
      <c r="AJ15" s="989">
        <f t="shared" si="23"/>
        <v>0</v>
      </c>
      <c r="AK15" s="989">
        <f t="shared" si="24"/>
        <v>0</v>
      </c>
      <c r="AL15" s="989">
        <f t="shared" si="25"/>
        <v>0</v>
      </c>
      <c r="AM15" s="987" t="s">
        <v>401</v>
      </c>
      <c r="AN15" s="989">
        <f t="shared" si="26"/>
        <v>0</v>
      </c>
      <c r="AO15" s="989">
        <f t="shared" si="27"/>
        <v>0</v>
      </c>
      <c r="AP15" s="989">
        <f t="shared" si="28"/>
        <v>50.508859777270757</v>
      </c>
      <c r="AQ15" s="989">
        <v>0</v>
      </c>
      <c r="AR15" s="989">
        <v>0</v>
      </c>
      <c r="AS15" s="995">
        <f t="shared" si="29"/>
        <v>0.31789090205483927</v>
      </c>
      <c r="AT15" s="223">
        <f t="shared" si="30"/>
        <v>16.056306996357989</v>
      </c>
      <c r="AU15" s="223">
        <f t="shared" si="31"/>
        <v>14.142480737635811</v>
      </c>
      <c r="AV15" s="994">
        <f t="shared" si="32"/>
        <v>80</v>
      </c>
      <c r="AW15" s="989">
        <f t="shared" si="33"/>
        <v>4.7054099858988563</v>
      </c>
      <c r="AX15" s="989">
        <f t="shared" si="34"/>
        <v>0</v>
      </c>
      <c r="AY15" s="989">
        <f t="shared" si="35"/>
        <v>3.7643279887190859</v>
      </c>
      <c r="AZ15" s="989">
        <f t="shared" si="36"/>
        <v>0.94108199717977037</v>
      </c>
      <c r="BA15" s="995">
        <f t="shared" si="37"/>
        <v>1.9039823162146814</v>
      </c>
      <c r="BB15" s="989">
        <f t="shared" si="38"/>
        <v>33.043852047388249</v>
      </c>
      <c r="BC15" s="992">
        <f t="shared" si="39"/>
        <v>0.47499999999999998</v>
      </c>
      <c r="BD15" s="992">
        <v>0.6</v>
      </c>
      <c r="BE15" s="992">
        <v>0.4</v>
      </c>
      <c r="BF15" s="992">
        <v>0.1</v>
      </c>
      <c r="BG15" s="992">
        <v>7.4999999999999997E-2</v>
      </c>
      <c r="BH15" s="989">
        <f t="shared" si="40"/>
        <v>0</v>
      </c>
      <c r="BI15" s="988">
        <f t="shared" si="41"/>
        <v>1.2982100000000174</v>
      </c>
      <c r="BJ15" s="989">
        <f t="shared" si="42"/>
        <v>0</v>
      </c>
      <c r="BK15" s="989">
        <f t="shared" si="43"/>
        <v>0</v>
      </c>
      <c r="BL15" s="989">
        <f t="shared" si="68"/>
        <v>38.828534427198178</v>
      </c>
      <c r="BM15" s="989" t="str">
        <f t="shared" si="44"/>
        <v/>
      </c>
      <c r="BN15" s="989" t="str">
        <f t="shared" si="45"/>
        <v/>
      </c>
      <c r="BO15" s="991">
        <f t="shared" si="46"/>
        <v>36.808180036107338</v>
      </c>
      <c r="BP15" s="989">
        <f t="shared" si="47"/>
        <v>0</v>
      </c>
      <c r="BQ15" s="990">
        <f t="shared" si="48"/>
        <v>9.6250000000000002E-2</v>
      </c>
      <c r="BR15" s="989">
        <f t="shared" si="49"/>
        <v>3.9374999999999993E-2</v>
      </c>
      <c r="BS15" s="989">
        <f t="shared" si="50"/>
        <v>2.2089318749999999E-3</v>
      </c>
      <c r="BT15" s="989" t="str">
        <f t="shared" si="51"/>
        <v>C2</v>
      </c>
      <c r="BU15" s="988">
        <f t="shared" si="69"/>
        <v>38.440249082926194</v>
      </c>
      <c r="BV15" s="988" t="str">
        <f t="shared" si="52"/>
        <v/>
      </c>
      <c r="BW15" s="988" t="str">
        <f t="shared" si="53"/>
        <v/>
      </c>
      <c r="BX15" s="988"/>
      <c r="BY15" s="987" t="s">
        <v>387</v>
      </c>
      <c r="BZ15" s="987">
        <f t="shared" si="54"/>
        <v>102.41771955454152</v>
      </c>
      <c r="CA15" s="1004">
        <f t="shared" si="55"/>
        <v>0</v>
      </c>
      <c r="CB15" s="1004">
        <f t="shared" si="56"/>
        <v>0</v>
      </c>
      <c r="CC15" s="1004">
        <f t="shared" si="57"/>
        <v>0</v>
      </c>
      <c r="CD15" s="1004">
        <f t="shared" si="58"/>
        <v>0</v>
      </c>
      <c r="CE15" s="1004">
        <f t="shared" si="59"/>
        <v>0</v>
      </c>
      <c r="CF15" s="1004">
        <f t="shared" si="60"/>
        <v>0</v>
      </c>
      <c r="CG15" s="1004">
        <f t="shared" si="61"/>
        <v>0</v>
      </c>
      <c r="CH15" s="1004">
        <f t="shared" si="62"/>
        <v>0</v>
      </c>
      <c r="CI15" s="1004">
        <f t="shared" si="63"/>
        <v>0</v>
      </c>
      <c r="CJ15" s="1004">
        <f t="shared" si="64"/>
        <v>0</v>
      </c>
      <c r="CK15" s="1004">
        <f t="shared" si="65"/>
        <v>0</v>
      </c>
      <c r="CL15" s="1004">
        <f t="shared" si="66"/>
        <v>0</v>
      </c>
      <c r="CM15" s="992">
        <v>219.08</v>
      </c>
      <c r="CN15" s="1086">
        <v>10</v>
      </c>
    </row>
    <row r="16" spans="1:92" s="953" customFormat="1" ht="12.75">
      <c r="A16" s="1003" t="s">
        <v>410</v>
      </c>
      <c r="B16" s="1102" t="s">
        <v>138</v>
      </c>
      <c r="C16" s="1102" t="s">
        <v>139</v>
      </c>
      <c r="D16" s="1002">
        <v>105.58</v>
      </c>
      <c r="E16" s="1001">
        <f t="shared" si="0"/>
        <v>2.1102481530593537E-2</v>
      </c>
      <c r="F16" s="1006">
        <v>198.21</v>
      </c>
      <c r="G16" s="1006">
        <v>993.59299999999996</v>
      </c>
      <c r="H16" s="1006">
        <v>995.82100000000003</v>
      </c>
      <c r="I16" s="1025">
        <f t="shared" si="1"/>
        <v>992.39478999999994</v>
      </c>
      <c r="J16" s="1025">
        <f t="shared" si="2"/>
        <v>994.62279000000001</v>
      </c>
      <c r="K16" s="1000">
        <f t="shared" si="3"/>
        <v>1</v>
      </c>
      <c r="L16" s="989">
        <f t="shared" si="4"/>
        <v>105.60350554787469</v>
      </c>
      <c r="M16" s="989">
        <v>0.7</v>
      </c>
      <c r="N16" s="999" t="s">
        <v>331</v>
      </c>
      <c r="O16" s="998" t="str">
        <f t="shared" si="5"/>
        <v>N</v>
      </c>
      <c r="P16" s="998" t="str">
        <f t="shared" si="6"/>
        <v>N</v>
      </c>
      <c r="Q16" s="998" t="str">
        <f t="shared" si="7"/>
        <v>S</v>
      </c>
      <c r="R16" s="998" t="str">
        <f t="shared" si="8"/>
        <v>N</v>
      </c>
      <c r="S16" s="989">
        <f t="shared" si="9"/>
        <v>0</v>
      </c>
      <c r="T16" s="989">
        <f t="shared" si="10"/>
        <v>0</v>
      </c>
      <c r="U16" s="989">
        <f t="shared" si="11"/>
        <v>105.60350554787469</v>
      </c>
      <c r="V16" s="989">
        <f t="shared" si="12"/>
        <v>0</v>
      </c>
      <c r="W16" s="989">
        <f t="shared" si="13"/>
        <v>0</v>
      </c>
      <c r="X16" s="989">
        <f t="shared" si="14"/>
        <v>0</v>
      </c>
      <c r="Y16" s="989">
        <f t="shared" si="15"/>
        <v>19.008630998617445</v>
      </c>
      <c r="Z16" s="989">
        <f t="shared" si="16"/>
        <v>1.2982100000000174</v>
      </c>
      <c r="AA16" s="994">
        <f t="shared" si="17"/>
        <v>0</v>
      </c>
      <c r="AB16" s="989">
        <f t="shared" si="67"/>
        <v>0</v>
      </c>
      <c r="AC16" s="989" t="str">
        <f t="shared" si="18"/>
        <v/>
      </c>
      <c r="AD16" s="989" t="str">
        <f t="shared" si="19"/>
        <v/>
      </c>
      <c r="AE16" s="988">
        <f t="shared" si="20"/>
        <v>80.370554298619183</v>
      </c>
      <c r="AF16" s="988" t="str">
        <f>IF(BV16="","",(BV16*#REF!)-AC16)</f>
        <v/>
      </c>
      <c r="AG16" s="988" t="str">
        <f>IF(BW16="","",(BW16*#REF!)-AD16)</f>
        <v/>
      </c>
      <c r="AH16" s="988">
        <f t="shared" si="21"/>
        <v>0.76958237857498302</v>
      </c>
      <c r="AI16" s="988" t="str">
        <f t="shared" si="22"/>
        <v>N</v>
      </c>
      <c r="AJ16" s="989">
        <f t="shared" si="23"/>
        <v>0</v>
      </c>
      <c r="AK16" s="989">
        <f t="shared" si="24"/>
        <v>0</v>
      </c>
      <c r="AL16" s="989">
        <f t="shared" si="25"/>
        <v>0</v>
      </c>
      <c r="AM16" s="987" t="s">
        <v>401</v>
      </c>
      <c r="AN16" s="989">
        <f t="shared" si="26"/>
        <v>0</v>
      </c>
      <c r="AO16" s="989">
        <f t="shared" si="27"/>
        <v>0</v>
      </c>
      <c r="AP16" s="989">
        <f t="shared" si="28"/>
        <v>105.60350554787469</v>
      </c>
      <c r="AQ16" s="989">
        <v>0</v>
      </c>
      <c r="AR16" s="989">
        <v>0</v>
      </c>
      <c r="AS16" s="995">
        <f t="shared" si="29"/>
        <v>0.31789090205483927</v>
      </c>
      <c r="AT16" s="223">
        <f t="shared" si="30"/>
        <v>33.570393638767108</v>
      </c>
      <c r="AU16" s="223">
        <f t="shared" si="31"/>
        <v>29.56898155340491</v>
      </c>
      <c r="AV16" s="994">
        <f t="shared" si="32"/>
        <v>80</v>
      </c>
      <c r="AW16" s="989">
        <f t="shared" si="33"/>
        <v>9.8380322134000338</v>
      </c>
      <c r="AX16" s="989">
        <f t="shared" si="34"/>
        <v>0</v>
      </c>
      <c r="AY16" s="989">
        <f t="shared" si="35"/>
        <v>7.8704257707200274</v>
      </c>
      <c r="AZ16" s="989">
        <f t="shared" si="36"/>
        <v>1.9676064426800064</v>
      </c>
      <c r="BA16" s="995">
        <f t="shared" si="37"/>
        <v>3.9808304519262512</v>
      </c>
      <c r="BB16" s="989">
        <f t="shared" si="38"/>
        <v>69.087812086778271</v>
      </c>
      <c r="BC16" s="992">
        <f t="shared" si="39"/>
        <v>0.47499999999999998</v>
      </c>
      <c r="BD16" s="992">
        <v>0.6</v>
      </c>
      <c r="BE16" s="992">
        <v>0.4</v>
      </c>
      <c r="BF16" s="992">
        <v>0.1</v>
      </c>
      <c r="BG16" s="992">
        <v>7.4999999999999997E-2</v>
      </c>
      <c r="BH16" s="989">
        <f t="shared" si="40"/>
        <v>0</v>
      </c>
      <c r="BI16" s="988">
        <f t="shared" si="41"/>
        <v>1.2982100000000174</v>
      </c>
      <c r="BJ16" s="989">
        <f t="shared" si="42"/>
        <v>0</v>
      </c>
      <c r="BK16" s="989">
        <f t="shared" si="43"/>
        <v>0</v>
      </c>
      <c r="BL16" s="989">
        <f t="shared" si="68"/>
        <v>81.182378079413311</v>
      </c>
      <c r="BM16" s="989" t="str">
        <f t="shared" si="44"/>
        <v/>
      </c>
      <c r="BN16" s="989" t="str">
        <f t="shared" si="45"/>
        <v/>
      </c>
      <c r="BO16" s="991">
        <f t="shared" si="46"/>
        <v>76.958237857498304</v>
      </c>
      <c r="BP16" s="989">
        <f t="shared" si="47"/>
        <v>0</v>
      </c>
      <c r="BQ16" s="990">
        <f t="shared" si="48"/>
        <v>9.6250000000000002E-2</v>
      </c>
      <c r="BR16" s="989">
        <f t="shared" si="49"/>
        <v>3.9374999999999993E-2</v>
      </c>
      <c r="BS16" s="989">
        <f t="shared" si="50"/>
        <v>2.2089318749999999E-3</v>
      </c>
      <c r="BT16" s="989" t="str">
        <f t="shared" si="51"/>
        <v>C2</v>
      </c>
      <c r="BU16" s="988">
        <f t="shared" si="69"/>
        <v>80.370554298619183</v>
      </c>
      <c r="BV16" s="988" t="str">
        <f t="shared" si="52"/>
        <v/>
      </c>
      <c r="BW16" s="988" t="str">
        <f t="shared" si="53"/>
        <v/>
      </c>
      <c r="BX16" s="988"/>
      <c r="BY16" s="987" t="s">
        <v>387</v>
      </c>
      <c r="BZ16" s="987">
        <f t="shared" si="54"/>
        <v>212.60701109574939</v>
      </c>
      <c r="CA16" s="1004">
        <f t="shared" si="55"/>
        <v>0</v>
      </c>
      <c r="CB16" s="1004">
        <f t="shared" si="56"/>
        <v>0</v>
      </c>
      <c r="CC16" s="1004">
        <f t="shared" si="57"/>
        <v>0</v>
      </c>
      <c r="CD16" s="1004">
        <f t="shared" si="58"/>
        <v>0</v>
      </c>
      <c r="CE16" s="1004">
        <f t="shared" si="59"/>
        <v>0</v>
      </c>
      <c r="CF16" s="1004">
        <f t="shared" si="60"/>
        <v>0</v>
      </c>
      <c r="CG16" s="1004">
        <f t="shared" si="61"/>
        <v>0</v>
      </c>
      <c r="CH16" s="1004">
        <f t="shared" si="62"/>
        <v>0</v>
      </c>
      <c r="CI16" s="1004">
        <f t="shared" si="63"/>
        <v>0</v>
      </c>
      <c r="CJ16" s="1004">
        <f t="shared" si="64"/>
        <v>0</v>
      </c>
      <c r="CK16" s="1004">
        <f t="shared" si="65"/>
        <v>0</v>
      </c>
      <c r="CL16" s="1004">
        <f t="shared" si="66"/>
        <v>0</v>
      </c>
      <c r="CM16" s="992">
        <v>219.08</v>
      </c>
      <c r="CN16" s="1685">
        <v>31</v>
      </c>
    </row>
    <row r="17" spans="1:92" s="953" customFormat="1" ht="12.75">
      <c r="A17" s="1003" t="s">
        <v>411</v>
      </c>
      <c r="B17" s="1102" t="s">
        <v>140</v>
      </c>
      <c r="C17" s="1102" t="s">
        <v>141</v>
      </c>
      <c r="D17" s="1002">
        <v>1.46</v>
      </c>
      <c r="E17" s="1001">
        <f t="shared" si="0"/>
        <v>6.8493150684947088E-2</v>
      </c>
      <c r="F17" s="1006">
        <v>198.21</v>
      </c>
      <c r="G17" s="1006">
        <v>995.82100000000003</v>
      </c>
      <c r="H17" s="1006">
        <v>995.721</v>
      </c>
      <c r="I17" s="1025">
        <f t="shared" si="1"/>
        <v>994.62279000000001</v>
      </c>
      <c r="J17" s="1025">
        <f t="shared" si="2"/>
        <v>994.52278999999999</v>
      </c>
      <c r="K17" s="1000">
        <f t="shared" si="3"/>
        <v>1</v>
      </c>
      <c r="L17" s="989">
        <f t="shared" si="4"/>
        <v>1.4634206503941389</v>
      </c>
      <c r="M17" s="989">
        <v>0.7</v>
      </c>
      <c r="N17" s="999" t="s">
        <v>331</v>
      </c>
      <c r="O17" s="998" t="str">
        <f t="shared" si="5"/>
        <v>N</v>
      </c>
      <c r="P17" s="998" t="str">
        <f t="shared" si="6"/>
        <v>N</v>
      </c>
      <c r="Q17" s="998" t="str">
        <f t="shared" si="7"/>
        <v>S</v>
      </c>
      <c r="R17" s="998" t="str">
        <f t="shared" si="8"/>
        <v>N</v>
      </c>
      <c r="S17" s="989">
        <f t="shared" si="9"/>
        <v>0</v>
      </c>
      <c r="T17" s="989">
        <f t="shared" si="10"/>
        <v>0</v>
      </c>
      <c r="U17" s="989">
        <f t="shared" si="11"/>
        <v>1.4634206503941389</v>
      </c>
      <c r="V17" s="989">
        <f t="shared" si="12"/>
        <v>0</v>
      </c>
      <c r="W17" s="989">
        <f t="shared" si="13"/>
        <v>0</v>
      </c>
      <c r="X17" s="989">
        <f t="shared" si="14"/>
        <v>0</v>
      </c>
      <c r="Y17" s="989">
        <f t="shared" si="15"/>
        <v>0.26341571707094497</v>
      </c>
      <c r="Z17" s="989">
        <f t="shared" si="16"/>
        <v>1.2982100000000174</v>
      </c>
      <c r="AA17" s="994">
        <f t="shared" si="17"/>
        <v>0</v>
      </c>
      <c r="AB17" s="989">
        <f t="shared" si="67"/>
        <v>0</v>
      </c>
      <c r="AC17" s="989" t="str">
        <f t="shared" si="18"/>
        <v/>
      </c>
      <c r="AD17" s="989" t="str">
        <f t="shared" si="19"/>
        <v/>
      </c>
      <c r="AE17" s="988">
        <f t="shared" si="20"/>
        <v>1.1137502323812751</v>
      </c>
      <c r="AF17" s="988" t="str">
        <f>IF(BV17="","",(BV17*#REF!)-AC17)</f>
        <v/>
      </c>
      <c r="AG17" s="988" t="str">
        <f>IF(BW17="","",(BW17*#REF!)-AD17)</f>
        <v/>
      </c>
      <c r="AH17" s="988">
        <f t="shared" si="21"/>
        <v>1.0664634087127953E-2</v>
      </c>
      <c r="AI17" s="988" t="str">
        <f t="shared" si="22"/>
        <v>N</v>
      </c>
      <c r="AJ17" s="989">
        <f t="shared" si="23"/>
        <v>0</v>
      </c>
      <c r="AK17" s="989">
        <f t="shared" si="24"/>
        <v>0</v>
      </c>
      <c r="AL17" s="989">
        <f t="shared" si="25"/>
        <v>0</v>
      </c>
      <c r="AM17" s="987" t="s">
        <v>401</v>
      </c>
      <c r="AN17" s="989">
        <f t="shared" si="26"/>
        <v>0</v>
      </c>
      <c r="AO17" s="989">
        <f t="shared" si="27"/>
        <v>0</v>
      </c>
      <c r="AP17" s="989">
        <f t="shared" si="28"/>
        <v>1.4634206503941389</v>
      </c>
      <c r="AQ17" s="989">
        <v>0</v>
      </c>
      <c r="AR17" s="989">
        <v>0</v>
      </c>
      <c r="AS17" s="995">
        <f t="shared" si="29"/>
        <v>0.31789090205483927</v>
      </c>
      <c r="AT17" s="223">
        <f t="shared" si="30"/>
        <v>0.46520811063947243</v>
      </c>
      <c r="AU17" s="223">
        <f t="shared" si="31"/>
        <v>0.40975778211035885</v>
      </c>
      <c r="AV17" s="994">
        <f t="shared" si="32"/>
        <v>80</v>
      </c>
      <c r="AW17" s="989">
        <f t="shared" si="33"/>
        <v>0.13633240133118041</v>
      </c>
      <c r="AX17" s="989">
        <f t="shared" si="34"/>
        <v>0</v>
      </c>
      <c r="AY17" s="989">
        <f t="shared" si="35"/>
        <v>0.10906592106494424</v>
      </c>
      <c r="AZ17" s="989">
        <f t="shared" si="36"/>
        <v>2.7266480266236168E-2</v>
      </c>
      <c r="BA17" s="995">
        <f t="shared" si="37"/>
        <v>5.5165114631783654E-2</v>
      </c>
      <c r="BB17" s="989">
        <f t="shared" si="38"/>
        <v>0.95739748764785104</v>
      </c>
      <c r="BC17" s="992">
        <f t="shared" si="39"/>
        <v>0.47499999999999998</v>
      </c>
      <c r="BD17" s="992">
        <v>0.6</v>
      </c>
      <c r="BE17" s="992">
        <v>0.4</v>
      </c>
      <c r="BF17" s="992">
        <v>0.1</v>
      </c>
      <c r="BG17" s="992">
        <v>7.4999999999999997E-2</v>
      </c>
      <c r="BH17" s="989">
        <f t="shared" si="40"/>
        <v>0</v>
      </c>
      <c r="BI17" s="988">
        <f t="shared" si="41"/>
        <v>1.2982100000000174</v>
      </c>
      <c r="BJ17" s="989">
        <f t="shared" si="42"/>
        <v>0</v>
      </c>
      <c r="BK17" s="989">
        <f t="shared" si="43"/>
        <v>0</v>
      </c>
      <c r="BL17" s="989">
        <f t="shared" si="68"/>
        <v>1.1250002347285608</v>
      </c>
      <c r="BM17" s="989" t="str">
        <f t="shared" si="44"/>
        <v/>
      </c>
      <c r="BN17" s="989" t="str">
        <f t="shared" si="45"/>
        <v/>
      </c>
      <c r="BO17" s="991">
        <f t="shared" si="46"/>
        <v>1.0664634087127953</v>
      </c>
      <c r="BP17" s="989">
        <f t="shared" si="47"/>
        <v>0</v>
      </c>
      <c r="BQ17" s="990">
        <f t="shared" si="48"/>
        <v>9.6250000000000002E-2</v>
      </c>
      <c r="BR17" s="989">
        <f t="shared" si="49"/>
        <v>3.9374999999999993E-2</v>
      </c>
      <c r="BS17" s="989">
        <f t="shared" si="50"/>
        <v>2.2089318749999999E-3</v>
      </c>
      <c r="BT17" s="989" t="str">
        <f t="shared" si="51"/>
        <v>C2</v>
      </c>
      <c r="BU17" s="988">
        <f t="shared" si="69"/>
        <v>1.1137502323812751</v>
      </c>
      <c r="BV17" s="988" t="str">
        <f t="shared" si="52"/>
        <v/>
      </c>
      <c r="BW17" s="988" t="str">
        <f t="shared" si="53"/>
        <v/>
      </c>
      <c r="BX17" s="988"/>
      <c r="BY17" s="987" t="s">
        <v>387</v>
      </c>
      <c r="BZ17" s="987">
        <f t="shared" si="54"/>
        <v>4.3268413007882778</v>
      </c>
      <c r="CA17" s="1004">
        <f t="shared" si="55"/>
        <v>0</v>
      </c>
      <c r="CB17" s="1004">
        <f t="shared" si="56"/>
        <v>0</v>
      </c>
      <c r="CC17" s="1004">
        <f t="shared" si="57"/>
        <v>0</v>
      </c>
      <c r="CD17" s="1004">
        <f t="shared" si="58"/>
        <v>0</v>
      </c>
      <c r="CE17" s="1004">
        <f t="shared" si="59"/>
        <v>0</v>
      </c>
      <c r="CF17" s="1004">
        <f t="shared" si="60"/>
        <v>0</v>
      </c>
      <c r="CG17" s="1004">
        <f t="shared" si="61"/>
        <v>0</v>
      </c>
      <c r="CH17" s="1004">
        <f t="shared" si="62"/>
        <v>0</v>
      </c>
      <c r="CI17" s="1004">
        <f t="shared" si="63"/>
        <v>0</v>
      </c>
      <c r="CJ17" s="1004">
        <f t="shared" si="64"/>
        <v>0</v>
      </c>
      <c r="CK17" s="1004">
        <f t="shared" si="65"/>
        <v>0</v>
      </c>
      <c r="CL17" s="1004">
        <f t="shared" si="66"/>
        <v>0</v>
      </c>
      <c r="CM17" s="992">
        <v>219.08</v>
      </c>
      <c r="CN17" s="1685"/>
    </row>
    <row r="18" spans="1:92" s="953" customFormat="1" ht="12.75">
      <c r="A18" s="1003" t="s">
        <v>412</v>
      </c>
      <c r="B18" s="1102" t="s">
        <v>141</v>
      </c>
      <c r="C18" s="1102" t="s">
        <v>142</v>
      </c>
      <c r="D18" s="1002">
        <v>0.49</v>
      </c>
      <c r="E18" s="1001">
        <f t="shared" si="0"/>
        <v>0.35102040816331731</v>
      </c>
      <c r="F18" s="1006">
        <v>198.21</v>
      </c>
      <c r="G18" s="1006">
        <v>995.721</v>
      </c>
      <c r="H18" s="1006">
        <v>995.89300000000003</v>
      </c>
      <c r="I18" s="1025">
        <f t="shared" si="1"/>
        <v>994.52278999999999</v>
      </c>
      <c r="J18" s="1025">
        <f t="shared" si="2"/>
        <v>994.69479000000001</v>
      </c>
      <c r="K18" s="1000">
        <f t="shared" si="3"/>
        <v>1</v>
      </c>
      <c r="L18" s="989">
        <f t="shared" si="4"/>
        <v>0.51931108210783328</v>
      </c>
      <c r="M18" s="989">
        <v>0.7</v>
      </c>
      <c r="N18" s="999" t="s">
        <v>331</v>
      </c>
      <c r="O18" s="998" t="str">
        <f t="shared" si="5"/>
        <v>N</v>
      </c>
      <c r="P18" s="998" t="str">
        <f t="shared" si="6"/>
        <v>N</v>
      </c>
      <c r="Q18" s="998" t="str">
        <f t="shared" si="7"/>
        <v>S</v>
      </c>
      <c r="R18" s="998" t="str">
        <f t="shared" si="8"/>
        <v>N</v>
      </c>
      <c r="S18" s="989">
        <f t="shared" si="9"/>
        <v>0</v>
      </c>
      <c r="T18" s="989">
        <f t="shared" si="10"/>
        <v>0</v>
      </c>
      <c r="U18" s="989">
        <f t="shared" si="11"/>
        <v>0.51931108210783328</v>
      </c>
      <c r="V18" s="989">
        <f t="shared" si="12"/>
        <v>0</v>
      </c>
      <c r="W18" s="989">
        <f t="shared" si="13"/>
        <v>0</v>
      </c>
      <c r="X18" s="989">
        <f t="shared" si="14"/>
        <v>0</v>
      </c>
      <c r="Y18" s="989">
        <f t="shared" si="15"/>
        <v>9.3475994779409988E-2</v>
      </c>
      <c r="Z18" s="989">
        <f t="shared" si="16"/>
        <v>1.2982100000000174</v>
      </c>
      <c r="AA18" s="994">
        <f t="shared" si="17"/>
        <v>0</v>
      </c>
      <c r="AB18" s="989">
        <f t="shared" si="67"/>
        <v>0</v>
      </c>
      <c r="AC18" s="989" t="str">
        <f t="shared" si="18"/>
        <v/>
      </c>
      <c r="AD18" s="989" t="str">
        <f t="shared" si="19"/>
        <v/>
      </c>
      <c r="AE18" s="988">
        <f t="shared" si="20"/>
        <v>0.39522664807278524</v>
      </c>
      <c r="AF18" s="988" t="str">
        <f>IF(BV18="","",(BV18*#REF!)-AC18)</f>
        <v/>
      </c>
      <c r="AG18" s="988" t="str">
        <f>IF(BW18="","",(BW18*#REF!)-AD18)</f>
        <v/>
      </c>
      <c r="AH18" s="988">
        <f t="shared" si="21"/>
        <v>3.7844639315284347E-3</v>
      </c>
      <c r="AI18" s="988" t="str">
        <f t="shared" si="22"/>
        <v>N</v>
      </c>
      <c r="AJ18" s="989">
        <f t="shared" si="23"/>
        <v>0</v>
      </c>
      <c r="AK18" s="989">
        <f t="shared" si="24"/>
        <v>0</v>
      </c>
      <c r="AL18" s="989">
        <f t="shared" si="25"/>
        <v>0</v>
      </c>
      <c r="AM18" s="987" t="s">
        <v>401</v>
      </c>
      <c r="AN18" s="989">
        <f t="shared" si="26"/>
        <v>0</v>
      </c>
      <c r="AO18" s="989">
        <f t="shared" si="27"/>
        <v>0</v>
      </c>
      <c r="AP18" s="989">
        <f t="shared" si="28"/>
        <v>0.51931108210783328</v>
      </c>
      <c r="AQ18" s="989">
        <v>0</v>
      </c>
      <c r="AR18" s="989">
        <v>0</v>
      </c>
      <c r="AS18" s="995">
        <f t="shared" si="29"/>
        <v>0.31789090205483927</v>
      </c>
      <c r="AT18" s="223">
        <f t="shared" si="30"/>
        <v>0.16508426833833381</v>
      </c>
      <c r="AU18" s="223">
        <f t="shared" si="31"/>
        <v>0.1454071029901933</v>
      </c>
      <c r="AV18" s="994">
        <f t="shared" si="32"/>
        <v>80</v>
      </c>
      <c r="AW18" s="989">
        <f t="shared" si="33"/>
        <v>4.837906779748298E-2</v>
      </c>
      <c r="AX18" s="989">
        <f t="shared" si="34"/>
        <v>0</v>
      </c>
      <c r="AY18" s="989">
        <f t="shared" si="35"/>
        <v>3.8703254237986373E-2</v>
      </c>
      <c r="AZ18" s="989">
        <f t="shared" si="36"/>
        <v>9.6758135594966072E-3</v>
      </c>
      <c r="BA18" s="995">
        <f t="shared" si="37"/>
        <v>1.9575954026833358E-2</v>
      </c>
      <c r="BB18" s="989">
        <f t="shared" si="38"/>
        <v>0.33974313891485708</v>
      </c>
      <c r="BC18" s="992">
        <f t="shared" si="39"/>
        <v>0.47499999999999998</v>
      </c>
      <c r="BD18" s="992">
        <v>0.6</v>
      </c>
      <c r="BE18" s="992">
        <v>0.4</v>
      </c>
      <c r="BF18" s="992">
        <v>0.1</v>
      </c>
      <c r="BG18" s="992">
        <v>7.4999999999999997E-2</v>
      </c>
      <c r="BH18" s="989">
        <f t="shared" si="40"/>
        <v>0</v>
      </c>
      <c r="BI18" s="988">
        <f t="shared" si="41"/>
        <v>1.2982100000000174</v>
      </c>
      <c r="BJ18" s="989">
        <f t="shared" si="42"/>
        <v>0</v>
      </c>
      <c r="BK18" s="989">
        <f t="shared" si="43"/>
        <v>0</v>
      </c>
      <c r="BL18" s="989">
        <f t="shared" si="68"/>
        <v>0.39921883643715678</v>
      </c>
      <c r="BM18" s="989" t="str">
        <f t="shared" si="44"/>
        <v/>
      </c>
      <c r="BN18" s="989" t="str">
        <f t="shared" si="45"/>
        <v/>
      </c>
      <c r="BO18" s="991">
        <f t="shared" si="46"/>
        <v>0.37844639315284345</v>
      </c>
      <c r="BP18" s="989">
        <f t="shared" si="47"/>
        <v>0</v>
      </c>
      <c r="BQ18" s="990">
        <f t="shared" si="48"/>
        <v>9.6250000000000002E-2</v>
      </c>
      <c r="BR18" s="989">
        <f t="shared" si="49"/>
        <v>3.9374999999999993E-2</v>
      </c>
      <c r="BS18" s="989">
        <f t="shared" si="50"/>
        <v>2.2089318749999999E-3</v>
      </c>
      <c r="BT18" s="989" t="str">
        <f t="shared" si="51"/>
        <v>C2</v>
      </c>
      <c r="BU18" s="988">
        <f t="shared" si="69"/>
        <v>0.39522664807278524</v>
      </c>
      <c r="BV18" s="988" t="str">
        <f t="shared" si="52"/>
        <v/>
      </c>
      <c r="BW18" s="988" t="str">
        <f t="shared" si="53"/>
        <v/>
      </c>
      <c r="BX18" s="988"/>
      <c r="BY18" s="987" t="s">
        <v>387</v>
      </c>
      <c r="BZ18" s="987">
        <f t="shared" si="54"/>
        <v>2.4386221642156665</v>
      </c>
      <c r="CA18" s="1004">
        <f t="shared" si="55"/>
        <v>0</v>
      </c>
      <c r="CB18" s="1004">
        <f t="shared" si="56"/>
        <v>0</v>
      </c>
      <c r="CC18" s="1004">
        <f t="shared" si="57"/>
        <v>0</v>
      </c>
      <c r="CD18" s="1004">
        <f t="shared" si="58"/>
        <v>0</v>
      </c>
      <c r="CE18" s="1004">
        <f t="shared" si="59"/>
        <v>0</v>
      </c>
      <c r="CF18" s="1004">
        <f t="shared" si="60"/>
        <v>0</v>
      </c>
      <c r="CG18" s="1004">
        <f t="shared" si="61"/>
        <v>0</v>
      </c>
      <c r="CH18" s="1004">
        <f t="shared" si="62"/>
        <v>0</v>
      </c>
      <c r="CI18" s="1004">
        <f t="shared" si="63"/>
        <v>0</v>
      </c>
      <c r="CJ18" s="1004">
        <f t="shared" si="64"/>
        <v>0</v>
      </c>
      <c r="CK18" s="1004">
        <f t="shared" si="65"/>
        <v>0</v>
      </c>
      <c r="CL18" s="1004">
        <f t="shared" si="66"/>
        <v>0</v>
      </c>
      <c r="CM18" s="992">
        <v>219.08</v>
      </c>
      <c r="CN18" s="1685">
        <v>32</v>
      </c>
    </row>
    <row r="19" spans="1:92" s="953" customFormat="1" ht="12.75">
      <c r="A19" s="1003" t="s">
        <v>413</v>
      </c>
      <c r="B19" s="1102" t="s">
        <v>142</v>
      </c>
      <c r="C19" s="1102" t="s">
        <v>143</v>
      </c>
      <c r="D19" s="1002">
        <v>82.71</v>
      </c>
      <c r="E19" s="1001">
        <f t="shared" si="0"/>
        <v>1.1147382420505688E-2</v>
      </c>
      <c r="F19" s="1006">
        <v>198.21</v>
      </c>
      <c r="G19" s="1006">
        <v>995.89300000000003</v>
      </c>
      <c r="H19" s="1006">
        <v>996.81500000000005</v>
      </c>
      <c r="I19" s="1025">
        <f t="shared" si="1"/>
        <v>994.69479000000001</v>
      </c>
      <c r="J19" s="1025">
        <f t="shared" si="2"/>
        <v>995.61679000000004</v>
      </c>
      <c r="K19" s="1000">
        <f t="shared" si="3"/>
        <v>1</v>
      </c>
      <c r="L19" s="989">
        <f t="shared" si="4"/>
        <v>82.715138783659171</v>
      </c>
      <c r="M19" s="989">
        <v>0.7</v>
      </c>
      <c r="N19" s="999" t="s">
        <v>331</v>
      </c>
      <c r="O19" s="998" t="str">
        <f t="shared" si="5"/>
        <v>N</v>
      </c>
      <c r="P19" s="998" t="str">
        <f t="shared" si="6"/>
        <v>N</v>
      </c>
      <c r="Q19" s="998" t="str">
        <f t="shared" si="7"/>
        <v>S</v>
      </c>
      <c r="R19" s="998" t="str">
        <f t="shared" si="8"/>
        <v>N</v>
      </c>
      <c r="S19" s="989">
        <f t="shared" si="9"/>
        <v>0</v>
      </c>
      <c r="T19" s="989">
        <f t="shared" si="10"/>
        <v>0</v>
      </c>
      <c r="U19" s="989">
        <f t="shared" si="11"/>
        <v>82.715138783659171</v>
      </c>
      <c r="V19" s="989">
        <f t="shared" si="12"/>
        <v>0</v>
      </c>
      <c r="W19" s="989">
        <f t="shared" si="13"/>
        <v>0</v>
      </c>
      <c r="X19" s="989">
        <f t="shared" si="14"/>
        <v>0</v>
      </c>
      <c r="Y19" s="989">
        <f t="shared" si="15"/>
        <v>14.888724981058651</v>
      </c>
      <c r="Z19" s="989">
        <f t="shared" si="16"/>
        <v>1.2982100000000174</v>
      </c>
      <c r="AA19" s="994">
        <f t="shared" si="17"/>
        <v>0</v>
      </c>
      <c r="AB19" s="989">
        <f t="shared" si="67"/>
        <v>0</v>
      </c>
      <c r="AC19" s="989" t="str">
        <f t="shared" si="18"/>
        <v/>
      </c>
      <c r="AD19" s="989" t="str">
        <f t="shared" si="19"/>
        <v/>
      </c>
      <c r="AE19" s="988">
        <f t="shared" si="20"/>
        <v>62.951144646577418</v>
      </c>
      <c r="AF19" s="988" t="str">
        <f>IF(BV19="","",(BV19*#REF!)-AC19)</f>
        <v/>
      </c>
      <c r="AG19" s="988" t="str">
        <f>IF(BW19="","",(BW19*#REF!)-AD19)</f>
        <v/>
      </c>
      <c r="AH19" s="988">
        <f t="shared" si="21"/>
        <v>0.60278409243176267</v>
      </c>
      <c r="AI19" s="988" t="str">
        <f t="shared" si="22"/>
        <v>N</v>
      </c>
      <c r="AJ19" s="989">
        <f t="shared" si="23"/>
        <v>0</v>
      </c>
      <c r="AK19" s="989">
        <f t="shared" si="24"/>
        <v>0</v>
      </c>
      <c r="AL19" s="989">
        <f t="shared" si="25"/>
        <v>0</v>
      </c>
      <c r="AM19" s="987" t="s">
        <v>401</v>
      </c>
      <c r="AN19" s="989">
        <f t="shared" si="26"/>
        <v>0</v>
      </c>
      <c r="AO19" s="989">
        <f t="shared" si="27"/>
        <v>0</v>
      </c>
      <c r="AP19" s="989">
        <f t="shared" si="28"/>
        <v>82.715138783659171</v>
      </c>
      <c r="AQ19" s="989">
        <v>0</v>
      </c>
      <c r="AR19" s="989">
        <v>0</v>
      </c>
      <c r="AS19" s="995">
        <f t="shared" si="29"/>
        <v>0.31789090205483927</v>
      </c>
      <c r="AT19" s="223">
        <f t="shared" si="30"/>
        <v>26.294390081528636</v>
      </c>
      <c r="AU19" s="223">
        <f t="shared" si="31"/>
        <v>23.160238859424567</v>
      </c>
      <c r="AV19" s="994">
        <f t="shared" si="32"/>
        <v>80</v>
      </c>
      <c r="AW19" s="989">
        <f t="shared" si="33"/>
        <v>7.7057498770301942</v>
      </c>
      <c r="AX19" s="989">
        <f t="shared" si="34"/>
        <v>0</v>
      </c>
      <c r="AY19" s="989">
        <f t="shared" si="35"/>
        <v>6.1645999016241575</v>
      </c>
      <c r="AZ19" s="989">
        <f t="shared" si="36"/>
        <v>1.5411499754060367</v>
      </c>
      <c r="BA19" s="995">
        <f t="shared" si="37"/>
        <v>3.1180304251928623</v>
      </c>
      <c r="BB19" s="989">
        <f t="shared" si="38"/>
        <v>54.113809341552106</v>
      </c>
      <c r="BC19" s="992">
        <f t="shared" si="39"/>
        <v>0.47499999999999998</v>
      </c>
      <c r="BD19" s="992">
        <v>0.6</v>
      </c>
      <c r="BE19" s="992">
        <v>0.4</v>
      </c>
      <c r="BF19" s="992">
        <v>0.1</v>
      </c>
      <c r="BG19" s="992">
        <v>7.4999999999999997E-2</v>
      </c>
      <c r="BH19" s="989">
        <f t="shared" si="40"/>
        <v>0</v>
      </c>
      <c r="BI19" s="988">
        <f t="shared" si="41"/>
        <v>1.2982100000000174</v>
      </c>
      <c r="BJ19" s="989">
        <f t="shared" si="42"/>
        <v>0</v>
      </c>
      <c r="BK19" s="989">
        <f t="shared" si="43"/>
        <v>0</v>
      </c>
      <c r="BL19" s="989">
        <f t="shared" si="68"/>
        <v>63.587014794522645</v>
      </c>
      <c r="BM19" s="989" t="str">
        <f t="shared" si="44"/>
        <v/>
      </c>
      <c r="BN19" s="989" t="str">
        <f t="shared" si="45"/>
        <v/>
      </c>
      <c r="BO19" s="991">
        <f t="shared" si="46"/>
        <v>60.278409243176263</v>
      </c>
      <c r="BP19" s="989">
        <f t="shared" si="47"/>
        <v>0</v>
      </c>
      <c r="BQ19" s="990">
        <f t="shared" si="48"/>
        <v>9.6250000000000002E-2</v>
      </c>
      <c r="BR19" s="989">
        <f t="shared" si="49"/>
        <v>3.9374999999999993E-2</v>
      </c>
      <c r="BS19" s="989">
        <f t="shared" si="50"/>
        <v>2.2089318749999999E-3</v>
      </c>
      <c r="BT19" s="989" t="str">
        <f t="shared" si="51"/>
        <v>C2</v>
      </c>
      <c r="BU19" s="988">
        <f t="shared" si="69"/>
        <v>62.951144646577418</v>
      </c>
      <c r="BV19" s="988" t="str">
        <f t="shared" si="52"/>
        <v/>
      </c>
      <c r="BW19" s="988" t="str">
        <f t="shared" si="53"/>
        <v/>
      </c>
      <c r="BX19" s="988"/>
      <c r="BY19" s="987" t="s">
        <v>387</v>
      </c>
      <c r="BZ19" s="987">
        <f t="shared" si="54"/>
        <v>166.83027756731835</v>
      </c>
      <c r="CA19" s="1004">
        <f t="shared" si="55"/>
        <v>0</v>
      </c>
      <c r="CB19" s="1004">
        <f t="shared" si="56"/>
        <v>0</v>
      </c>
      <c r="CC19" s="1004">
        <f t="shared" si="57"/>
        <v>0</v>
      </c>
      <c r="CD19" s="1004">
        <f t="shared" si="58"/>
        <v>0</v>
      </c>
      <c r="CE19" s="1004">
        <f t="shared" si="59"/>
        <v>0</v>
      </c>
      <c r="CF19" s="1004">
        <f t="shared" si="60"/>
        <v>0</v>
      </c>
      <c r="CG19" s="1004">
        <f t="shared" si="61"/>
        <v>0</v>
      </c>
      <c r="CH19" s="1004">
        <f t="shared" si="62"/>
        <v>0</v>
      </c>
      <c r="CI19" s="1004">
        <f t="shared" si="63"/>
        <v>0</v>
      </c>
      <c r="CJ19" s="1004">
        <f t="shared" si="64"/>
        <v>0</v>
      </c>
      <c r="CK19" s="1004">
        <f t="shared" si="65"/>
        <v>0</v>
      </c>
      <c r="CL19" s="1004">
        <f t="shared" si="66"/>
        <v>0</v>
      </c>
      <c r="CM19" s="992">
        <v>219.08</v>
      </c>
      <c r="CN19" s="1685"/>
    </row>
    <row r="20" spans="1:92" s="970" customFormat="1" ht="12.75" customHeight="1">
      <c r="A20" s="1003" t="s">
        <v>414</v>
      </c>
      <c r="B20" s="1102" t="s">
        <v>144</v>
      </c>
      <c r="C20" s="1102" t="s">
        <v>145</v>
      </c>
      <c r="D20" s="1002">
        <v>3.05</v>
      </c>
      <c r="E20" s="1001">
        <f t="shared" si="0"/>
        <v>3.2786885245909093E-2</v>
      </c>
      <c r="F20" s="1006">
        <v>198.21</v>
      </c>
      <c r="G20" s="1006">
        <v>996.81500000000005</v>
      </c>
      <c r="H20" s="1006">
        <v>996.71500000000003</v>
      </c>
      <c r="I20" s="1088">
        <f t="shared" si="1"/>
        <v>995.61679000000004</v>
      </c>
      <c r="J20" s="1025">
        <f t="shared" si="2"/>
        <v>995.51679000000001</v>
      </c>
      <c r="K20" s="1000">
        <f t="shared" si="3"/>
        <v>1</v>
      </c>
      <c r="L20" s="989">
        <f t="shared" si="4"/>
        <v>3.0516389039334264</v>
      </c>
      <c r="M20" s="989">
        <v>0.7</v>
      </c>
      <c r="N20" s="999" t="s">
        <v>331</v>
      </c>
      <c r="O20" s="998" t="str">
        <f t="shared" si="5"/>
        <v>N</v>
      </c>
      <c r="P20" s="998" t="str">
        <f t="shared" si="6"/>
        <v>N</v>
      </c>
      <c r="Q20" s="998" t="str">
        <f t="shared" si="7"/>
        <v>S</v>
      </c>
      <c r="R20" s="998" t="str">
        <f t="shared" si="8"/>
        <v>N</v>
      </c>
      <c r="S20" s="989">
        <f t="shared" si="9"/>
        <v>0</v>
      </c>
      <c r="T20" s="989">
        <f t="shared" si="10"/>
        <v>0</v>
      </c>
      <c r="U20" s="989">
        <f t="shared" si="11"/>
        <v>3.0516389039334264</v>
      </c>
      <c r="V20" s="989">
        <f t="shared" si="12"/>
        <v>0</v>
      </c>
      <c r="W20" s="989">
        <f t="shared" si="13"/>
        <v>0</v>
      </c>
      <c r="X20" s="989">
        <f t="shared" si="14"/>
        <v>0</v>
      </c>
      <c r="Y20" s="989">
        <f t="shared" si="15"/>
        <v>0.54929500270801668</v>
      </c>
      <c r="Z20" s="989">
        <f t="shared" si="16"/>
        <v>1.2982100000000174</v>
      </c>
      <c r="AA20" s="994">
        <f t="shared" si="17"/>
        <v>0</v>
      </c>
      <c r="AB20" s="989">
        <f t="shared" si="67"/>
        <v>0</v>
      </c>
      <c r="AC20" s="989"/>
      <c r="AD20" s="989"/>
      <c r="AE20" s="988">
        <f t="shared" si="20"/>
        <v>2.3224788699573251</v>
      </c>
      <c r="AF20" s="988"/>
      <c r="AG20" s="988"/>
      <c r="AH20" s="988">
        <f t="shared" si="21"/>
        <v>2.2238726963248096E-2</v>
      </c>
      <c r="AI20" s="988" t="str">
        <f t="shared" si="22"/>
        <v>N</v>
      </c>
      <c r="AJ20" s="989">
        <f t="shared" si="23"/>
        <v>0</v>
      </c>
      <c r="AK20" s="989">
        <f t="shared" si="24"/>
        <v>0</v>
      </c>
      <c r="AL20" s="989">
        <f t="shared" si="25"/>
        <v>0</v>
      </c>
      <c r="AM20" s="987" t="s">
        <v>401</v>
      </c>
      <c r="AN20" s="989">
        <f t="shared" si="26"/>
        <v>0</v>
      </c>
      <c r="AO20" s="989">
        <f t="shared" si="27"/>
        <v>0</v>
      </c>
      <c r="AP20" s="989">
        <f t="shared" si="28"/>
        <v>3.0516389039334264</v>
      </c>
      <c r="AQ20" s="989">
        <v>0</v>
      </c>
      <c r="AR20" s="989">
        <v>0</v>
      </c>
      <c r="AS20" s="995">
        <f t="shared" si="29"/>
        <v>0.31789090205483927</v>
      </c>
      <c r="AT20" s="223">
        <f t="shared" si="30"/>
        <v>0.97008824391703796</v>
      </c>
      <c r="AU20" s="223">
        <f t="shared" si="31"/>
        <v>0.85445889310135925</v>
      </c>
      <c r="AV20" s="994">
        <f t="shared" si="32"/>
        <v>80</v>
      </c>
      <c r="AW20" s="989">
        <f t="shared" si="33"/>
        <v>0.28429095875942767</v>
      </c>
      <c r="AX20" s="989">
        <f t="shared" si="34"/>
        <v>0</v>
      </c>
      <c r="AY20" s="989">
        <f t="shared" si="35"/>
        <v>0.22743276700754206</v>
      </c>
      <c r="AZ20" s="989">
        <f t="shared" si="36"/>
        <v>5.6858191751885612E-2</v>
      </c>
      <c r="BA20" s="995">
        <f t="shared" si="37"/>
        <v>0.11503460054698457</v>
      </c>
      <c r="BB20" s="989">
        <f t="shared" si="38"/>
        <v>1.9964399293172674</v>
      </c>
      <c r="BC20" s="992">
        <f t="shared" si="39"/>
        <v>0.47499999999999998</v>
      </c>
      <c r="BD20" s="992">
        <v>0.6</v>
      </c>
      <c r="BE20" s="992">
        <v>0.4</v>
      </c>
      <c r="BF20" s="992">
        <v>0.1</v>
      </c>
      <c r="BG20" s="992">
        <v>7.4999999999999997E-2</v>
      </c>
      <c r="BH20" s="989">
        <f t="shared" si="40"/>
        <v>0</v>
      </c>
      <c r="BI20" s="988">
        <f t="shared" si="41"/>
        <v>1.2982100000000174</v>
      </c>
      <c r="BJ20" s="989">
        <f t="shared" si="42"/>
        <v>0</v>
      </c>
      <c r="BK20" s="989">
        <f t="shared" si="43"/>
        <v>0</v>
      </c>
      <c r="BL20" s="989">
        <f t="shared" si="68"/>
        <v>2.3459382524821466</v>
      </c>
      <c r="BM20" s="989"/>
      <c r="BN20" s="989"/>
      <c r="BO20" s="991">
        <f t="shared" si="46"/>
        <v>2.2238726963248094</v>
      </c>
      <c r="BP20" s="989">
        <f t="shared" si="47"/>
        <v>0</v>
      </c>
      <c r="BQ20" s="990">
        <f t="shared" si="48"/>
        <v>9.6250000000000002E-2</v>
      </c>
      <c r="BR20" s="989">
        <f t="shared" si="49"/>
        <v>3.9374999999999993E-2</v>
      </c>
      <c r="BS20" s="989">
        <f t="shared" si="50"/>
        <v>2.2089318749999999E-3</v>
      </c>
      <c r="BT20" s="989" t="str">
        <f t="shared" si="51"/>
        <v>C2</v>
      </c>
      <c r="BU20" s="988">
        <f t="shared" si="69"/>
        <v>2.3224788699573251</v>
      </c>
      <c r="BV20" s="988"/>
      <c r="BW20" s="988"/>
      <c r="BX20" s="1005"/>
      <c r="BY20" s="987" t="s">
        <v>387</v>
      </c>
      <c r="BZ20" s="987">
        <f t="shared" si="54"/>
        <v>7.5032778078668532</v>
      </c>
      <c r="CA20" s="1004"/>
      <c r="CB20" s="1004"/>
      <c r="CC20" s="1004"/>
      <c r="CD20" s="1004"/>
      <c r="CE20" s="1004"/>
      <c r="CF20" s="1004"/>
      <c r="CG20" s="1004"/>
      <c r="CH20" s="1004"/>
      <c r="CI20" s="1004"/>
      <c r="CJ20" s="1004"/>
      <c r="CK20" s="1004"/>
      <c r="CL20" s="1004"/>
      <c r="CM20" s="992">
        <v>219.08</v>
      </c>
      <c r="CN20" s="1685"/>
    </row>
    <row r="21" spans="1:92" s="970" customFormat="1" ht="12.75" customHeight="1">
      <c r="A21" s="1003" t="s">
        <v>415</v>
      </c>
      <c r="B21" s="1102" t="s">
        <v>127</v>
      </c>
      <c r="C21" s="1102" t="s">
        <v>146</v>
      </c>
      <c r="D21" s="1002">
        <v>89.44</v>
      </c>
      <c r="E21" s="1001">
        <f t="shared" si="0"/>
        <v>8.1618962432917965E-3</v>
      </c>
      <c r="F21" s="1006">
        <v>152.22</v>
      </c>
      <c r="G21" s="1006">
        <v>983.25800000000004</v>
      </c>
      <c r="H21" s="1006">
        <v>982.52800000000002</v>
      </c>
      <c r="I21" s="1088">
        <f t="shared" si="1"/>
        <v>982.10577999999998</v>
      </c>
      <c r="J21" s="1025">
        <f t="shared" si="2"/>
        <v>981.37577999999996</v>
      </c>
      <c r="K21" s="1000">
        <f t="shared" si="3"/>
        <v>1</v>
      </c>
      <c r="L21" s="989">
        <f t="shared" si="4"/>
        <v>89.442979042516242</v>
      </c>
      <c r="M21" s="989">
        <v>0.7</v>
      </c>
      <c r="N21" s="999" t="s">
        <v>331</v>
      </c>
      <c r="O21" s="998" t="str">
        <f t="shared" si="5"/>
        <v>N</v>
      </c>
      <c r="P21" s="998" t="str">
        <f t="shared" si="6"/>
        <v>N</v>
      </c>
      <c r="Q21" s="998" t="str">
        <f t="shared" si="7"/>
        <v>S</v>
      </c>
      <c r="R21" s="998" t="str">
        <f t="shared" si="8"/>
        <v>N</v>
      </c>
      <c r="S21" s="989">
        <f t="shared" si="9"/>
        <v>0</v>
      </c>
      <c r="T21" s="989">
        <f t="shared" si="10"/>
        <v>0</v>
      </c>
      <c r="U21" s="989">
        <f t="shared" si="11"/>
        <v>89.442979042516242</v>
      </c>
      <c r="V21" s="989">
        <f t="shared" si="12"/>
        <v>0</v>
      </c>
      <c r="W21" s="989">
        <f t="shared" si="13"/>
        <v>0</v>
      </c>
      <c r="X21" s="989">
        <f t="shared" si="14"/>
        <v>0</v>
      </c>
      <c r="Y21" s="989">
        <f t="shared" si="15"/>
        <v>16.099736227652922</v>
      </c>
      <c r="Z21" s="989">
        <f t="shared" si="16"/>
        <v>1.2522200000000567</v>
      </c>
      <c r="AA21" s="994">
        <f t="shared" si="17"/>
        <v>0</v>
      </c>
      <c r="AB21" s="989">
        <f t="shared" si="67"/>
        <v>0</v>
      </c>
      <c r="AC21" s="954"/>
      <c r="AD21" s="954"/>
      <c r="AE21" s="988">
        <f t="shared" si="20"/>
        <v>65.220788145828209</v>
      </c>
      <c r="AF21" s="974"/>
      <c r="AG21" s="974"/>
      <c r="AH21" s="988">
        <f t="shared" si="21"/>
        <v>0.62301864823984399</v>
      </c>
      <c r="AI21" s="988" t="str">
        <f t="shared" si="22"/>
        <v>N</v>
      </c>
      <c r="AJ21" s="989">
        <f t="shared" si="23"/>
        <v>0</v>
      </c>
      <c r="AK21" s="989">
        <f t="shared" si="24"/>
        <v>0</v>
      </c>
      <c r="AL21" s="989">
        <f t="shared" si="25"/>
        <v>0</v>
      </c>
      <c r="AM21" s="987" t="s">
        <v>401</v>
      </c>
      <c r="AN21" s="989">
        <f t="shared" si="26"/>
        <v>0</v>
      </c>
      <c r="AO21" s="989">
        <f t="shared" si="27"/>
        <v>0</v>
      </c>
      <c r="AP21" s="989">
        <f t="shared" si="28"/>
        <v>89.442979042516242</v>
      </c>
      <c r="AQ21" s="989">
        <v>0</v>
      </c>
      <c r="AR21" s="989">
        <v>0</v>
      </c>
      <c r="AS21" s="995">
        <f t="shared" si="29"/>
        <v>0.29835559539042616</v>
      </c>
      <c r="AT21" s="223">
        <f t="shared" si="30"/>
        <v>26.685813265723343</v>
      </c>
      <c r="AU21" s="223">
        <f t="shared" si="31"/>
        <v>25.044034131904546</v>
      </c>
      <c r="AV21" s="994">
        <f t="shared" si="32"/>
        <v>80</v>
      </c>
      <c r="AW21" s="989">
        <f t="shared" si="33"/>
        <v>8.5822405983217376</v>
      </c>
      <c r="AX21" s="989">
        <f t="shared" si="34"/>
        <v>0</v>
      </c>
      <c r="AY21" s="989">
        <f t="shared" si="35"/>
        <v>6.8657924786573918</v>
      </c>
      <c r="AZ21" s="989">
        <f t="shared" si="36"/>
        <v>1.7164481196643457</v>
      </c>
      <c r="BA21" s="995">
        <f t="shared" si="37"/>
        <v>1.9897768280347787</v>
      </c>
      <c r="BB21" s="989">
        <f t="shared" si="38"/>
        <v>55.436072345327013</v>
      </c>
      <c r="BC21" s="992">
        <f t="shared" si="39"/>
        <v>0.47499999999999998</v>
      </c>
      <c r="BD21" s="992">
        <v>0.6</v>
      </c>
      <c r="BE21" s="992">
        <v>0.4</v>
      </c>
      <c r="BF21" s="992">
        <v>0.1</v>
      </c>
      <c r="BG21" s="992">
        <v>7.4999999999999997E-2</v>
      </c>
      <c r="BH21" s="989">
        <f t="shared" si="40"/>
        <v>0</v>
      </c>
      <c r="BI21" s="988">
        <f t="shared" si="41"/>
        <v>1.2522200000000567</v>
      </c>
      <c r="BJ21" s="989">
        <f t="shared" si="42"/>
        <v>0</v>
      </c>
      <c r="BK21" s="989">
        <f t="shared" si="43"/>
        <v>0</v>
      </c>
      <c r="BL21" s="989">
        <f t="shared" si="68"/>
        <v>65.879583985685059</v>
      </c>
      <c r="BM21" s="954"/>
      <c r="BN21" s="954"/>
      <c r="BO21" s="991">
        <f t="shared" si="46"/>
        <v>62.301864823984403</v>
      </c>
      <c r="BP21" s="989">
        <f t="shared" si="47"/>
        <v>0</v>
      </c>
      <c r="BQ21" s="990">
        <f t="shared" si="48"/>
        <v>9.6250000000000002E-2</v>
      </c>
      <c r="BR21" s="989">
        <f t="shared" si="49"/>
        <v>3.9374999999999993E-2</v>
      </c>
      <c r="BS21" s="989">
        <f t="shared" si="50"/>
        <v>2.2089318749999999E-3</v>
      </c>
      <c r="BT21" s="989" t="str">
        <f t="shared" si="51"/>
        <v>C2</v>
      </c>
      <c r="BU21" s="988">
        <f t="shared" si="69"/>
        <v>65.220788145828209</v>
      </c>
      <c r="BV21" s="974"/>
      <c r="BW21" s="974"/>
      <c r="BX21" s="973"/>
      <c r="BY21" s="987" t="s">
        <v>387</v>
      </c>
      <c r="BZ21" s="987">
        <f t="shared" si="54"/>
        <v>180.28595808503249</v>
      </c>
      <c r="CA21" s="1052"/>
      <c r="CB21" s="1052"/>
      <c r="CC21" s="1052"/>
      <c r="CD21" s="1052"/>
      <c r="CE21" s="1052"/>
      <c r="CF21" s="1052"/>
      <c r="CG21" s="1052"/>
      <c r="CH21" s="1052"/>
      <c r="CI21" s="1052"/>
      <c r="CJ21" s="1052"/>
      <c r="CK21" s="1052"/>
      <c r="CL21" s="1052"/>
      <c r="CM21" s="992">
        <v>168.3</v>
      </c>
      <c r="CN21" s="1685">
        <v>33</v>
      </c>
    </row>
    <row r="22" spans="1:92" s="970" customFormat="1" ht="12.75" customHeight="1">
      <c r="A22" s="1003" t="s">
        <v>416</v>
      </c>
      <c r="B22" s="1102" t="s">
        <v>146</v>
      </c>
      <c r="C22" s="1102" t="s">
        <v>147</v>
      </c>
      <c r="D22" s="1002">
        <v>5.04</v>
      </c>
      <c r="E22" s="1001">
        <f t="shared" si="0"/>
        <v>2.4999999999995307E-2</v>
      </c>
      <c r="F22" s="1006">
        <v>152.22</v>
      </c>
      <c r="G22" s="1006">
        <v>982.52800000000002</v>
      </c>
      <c r="H22" s="1006">
        <v>982.40200000000004</v>
      </c>
      <c r="I22" s="1088">
        <f t="shared" si="1"/>
        <v>981.37577999999996</v>
      </c>
      <c r="J22" s="1025">
        <f t="shared" si="2"/>
        <v>981.24977999999999</v>
      </c>
      <c r="K22" s="1000">
        <f t="shared" si="3"/>
        <v>1</v>
      </c>
      <c r="L22" s="989">
        <f t="shared" si="4"/>
        <v>5.0415747539831237</v>
      </c>
      <c r="M22" s="989">
        <v>0.7</v>
      </c>
      <c r="N22" s="999" t="s">
        <v>331</v>
      </c>
      <c r="O22" s="998" t="str">
        <f t="shared" si="5"/>
        <v>N</v>
      </c>
      <c r="P22" s="998" t="str">
        <f t="shared" si="6"/>
        <v>N</v>
      </c>
      <c r="Q22" s="998" t="str">
        <f t="shared" si="7"/>
        <v>S</v>
      </c>
      <c r="R22" s="998" t="str">
        <f t="shared" si="8"/>
        <v>N</v>
      </c>
      <c r="S22" s="989">
        <f t="shared" si="9"/>
        <v>0</v>
      </c>
      <c r="T22" s="989">
        <f t="shared" si="10"/>
        <v>0</v>
      </c>
      <c r="U22" s="989">
        <f t="shared" si="11"/>
        <v>5.0415747539831237</v>
      </c>
      <c r="V22" s="989">
        <f t="shared" si="12"/>
        <v>0</v>
      </c>
      <c r="W22" s="989">
        <f t="shared" si="13"/>
        <v>0</v>
      </c>
      <c r="X22" s="989">
        <f t="shared" si="14"/>
        <v>0</v>
      </c>
      <c r="Y22" s="989">
        <f t="shared" si="15"/>
        <v>0.90748345571696221</v>
      </c>
      <c r="Z22" s="989">
        <f t="shared" si="16"/>
        <v>1.2522200000000567</v>
      </c>
      <c r="AA22" s="994">
        <f t="shared" si="17"/>
        <v>0</v>
      </c>
      <c r="AB22" s="989">
        <f t="shared" si="67"/>
        <v>0</v>
      </c>
      <c r="AC22" s="954"/>
      <c r="AD22" s="954"/>
      <c r="AE22" s="988">
        <f t="shared" si="20"/>
        <v>3.6762581308320312</v>
      </c>
      <c r="AF22" s="974"/>
      <c r="AG22" s="974"/>
      <c r="AH22" s="988">
        <f t="shared" si="21"/>
        <v>3.5117290611861612E-2</v>
      </c>
      <c r="AI22" s="988" t="str">
        <f t="shared" si="22"/>
        <v>N</v>
      </c>
      <c r="AJ22" s="989">
        <f t="shared" si="23"/>
        <v>0</v>
      </c>
      <c r="AK22" s="989">
        <f t="shared" si="24"/>
        <v>0</v>
      </c>
      <c r="AL22" s="989">
        <f t="shared" si="25"/>
        <v>0</v>
      </c>
      <c r="AM22" s="987" t="s">
        <v>401</v>
      </c>
      <c r="AN22" s="989">
        <f t="shared" si="26"/>
        <v>0</v>
      </c>
      <c r="AO22" s="989">
        <f t="shared" si="27"/>
        <v>0</v>
      </c>
      <c r="AP22" s="989">
        <f t="shared" si="28"/>
        <v>5.0415747539831237</v>
      </c>
      <c r="AQ22" s="989">
        <v>0</v>
      </c>
      <c r="AR22" s="989">
        <v>0</v>
      </c>
      <c r="AS22" s="995">
        <f t="shared" si="29"/>
        <v>0.29835559539042616</v>
      </c>
      <c r="AT22" s="223">
        <f t="shared" si="30"/>
        <v>1.5041820374299761</v>
      </c>
      <c r="AU22" s="223">
        <f t="shared" si="31"/>
        <v>1.4116409311152744</v>
      </c>
      <c r="AV22" s="994">
        <f t="shared" si="32"/>
        <v>80</v>
      </c>
      <c r="AW22" s="989">
        <f t="shared" si="33"/>
        <v>0.48374962457970799</v>
      </c>
      <c r="AX22" s="989">
        <f t="shared" si="34"/>
        <v>0</v>
      </c>
      <c r="AY22" s="989">
        <f t="shared" si="35"/>
        <v>0.38699969966376635</v>
      </c>
      <c r="AZ22" s="989">
        <f t="shared" si="36"/>
        <v>9.6749924915941643E-2</v>
      </c>
      <c r="BA22" s="995">
        <f t="shared" si="37"/>
        <v>0.11215646806120232</v>
      </c>
      <c r="BB22" s="989">
        <f t="shared" si="38"/>
        <v>3.1247293615223946</v>
      </c>
      <c r="BC22" s="992">
        <f t="shared" si="39"/>
        <v>0.47499999999999998</v>
      </c>
      <c r="BD22" s="992">
        <v>0.6</v>
      </c>
      <c r="BE22" s="992">
        <v>0.4</v>
      </c>
      <c r="BF22" s="992">
        <v>0.1</v>
      </c>
      <c r="BG22" s="992">
        <v>7.4999999999999997E-2</v>
      </c>
      <c r="BH22" s="989">
        <f t="shared" si="40"/>
        <v>0</v>
      </c>
      <c r="BI22" s="988">
        <f t="shared" si="41"/>
        <v>1.2522200000000567</v>
      </c>
      <c r="BJ22" s="989">
        <f t="shared" si="42"/>
        <v>0</v>
      </c>
      <c r="BK22" s="989">
        <f t="shared" si="43"/>
        <v>0</v>
      </c>
      <c r="BL22" s="989">
        <f t="shared" si="68"/>
        <v>3.7133920513454859</v>
      </c>
      <c r="BM22" s="954"/>
      <c r="BN22" s="954"/>
      <c r="BO22" s="991">
        <f t="shared" si="46"/>
        <v>3.5117290611861609</v>
      </c>
      <c r="BP22" s="989">
        <f t="shared" si="47"/>
        <v>0</v>
      </c>
      <c r="BQ22" s="990">
        <f t="shared" si="48"/>
        <v>9.6250000000000002E-2</v>
      </c>
      <c r="BR22" s="989">
        <f t="shared" si="49"/>
        <v>3.9374999999999993E-2</v>
      </c>
      <c r="BS22" s="989">
        <f t="shared" si="50"/>
        <v>2.2089318749999999E-3</v>
      </c>
      <c r="BT22" s="989" t="str">
        <f t="shared" si="51"/>
        <v>C2</v>
      </c>
      <c r="BU22" s="988">
        <f t="shared" si="69"/>
        <v>3.6762581308320312</v>
      </c>
      <c r="BV22" s="974"/>
      <c r="BW22" s="974"/>
      <c r="BX22" s="973"/>
      <c r="BY22" s="987" t="s">
        <v>387</v>
      </c>
      <c r="BZ22" s="987">
        <f t="shared" si="54"/>
        <v>11.483149507966248</v>
      </c>
      <c r="CA22" s="1052"/>
      <c r="CB22" s="1052"/>
      <c r="CC22" s="1052"/>
      <c r="CD22" s="1052"/>
      <c r="CE22" s="1052"/>
      <c r="CF22" s="1052"/>
      <c r="CG22" s="1052"/>
      <c r="CH22" s="1052"/>
      <c r="CI22" s="1052"/>
      <c r="CJ22" s="1052"/>
      <c r="CK22" s="1052"/>
      <c r="CL22" s="1052"/>
      <c r="CM22" s="992">
        <v>168.3</v>
      </c>
      <c r="CN22" s="1685"/>
    </row>
    <row r="23" spans="1:92" s="970" customFormat="1" ht="12.75" customHeight="1">
      <c r="A23" s="1003" t="s">
        <v>417</v>
      </c>
      <c r="B23" s="1102" t="s">
        <v>148</v>
      </c>
      <c r="C23" s="1102" t="s">
        <v>149</v>
      </c>
      <c r="D23" s="1002">
        <v>4.55</v>
      </c>
      <c r="E23" s="1001">
        <f t="shared" si="0"/>
        <v>1.0989010989025981E-2</v>
      </c>
      <c r="F23" s="1006">
        <v>152.22</v>
      </c>
      <c r="G23" s="1006">
        <v>982.40200000000004</v>
      </c>
      <c r="H23" s="1006">
        <v>982.35199999999998</v>
      </c>
      <c r="I23" s="1088">
        <f t="shared" si="1"/>
        <v>981.24977999999999</v>
      </c>
      <c r="J23" s="1025">
        <f t="shared" si="2"/>
        <v>981.19977999999992</v>
      </c>
      <c r="K23" s="1000">
        <f t="shared" si="3"/>
        <v>1</v>
      </c>
      <c r="L23" s="989">
        <f t="shared" si="4"/>
        <v>4.5502747169813826</v>
      </c>
      <c r="M23" s="989">
        <v>0.7</v>
      </c>
      <c r="N23" s="999" t="s">
        <v>331</v>
      </c>
      <c r="O23" s="998" t="str">
        <f t="shared" si="5"/>
        <v>N</v>
      </c>
      <c r="P23" s="998" t="str">
        <f t="shared" si="6"/>
        <v>N</v>
      </c>
      <c r="Q23" s="998" t="str">
        <f t="shared" si="7"/>
        <v>S</v>
      </c>
      <c r="R23" s="998" t="str">
        <f t="shared" si="8"/>
        <v>N</v>
      </c>
      <c r="S23" s="989">
        <f t="shared" si="9"/>
        <v>0</v>
      </c>
      <c r="T23" s="989">
        <f t="shared" si="10"/>
        <v>0</v>
      </c>
      <c r="U23" s="989">
        <f t="shared" si="11"/>
        <v>4.5502747169813826</v>
      </c>
      <c r="V23" s="989">
        <f t="shared" si="12"/>
        <v>0</v>
      </c>
      <c r="W23" s="989">
        <f t="shared" si="13"/>
        <v>0</v>
      </c>
      <c r="X23" s="989">
        <f t="shared" si="14"/>
        <v>0</v>
      </c>
      <c r="Y23" s="989">
        <f t="shared" si="15"/>
        <v>0.81904944905664889</v>
      </c>
      <c r="Z23" s="989">
        <f t="shared" si="16"/>
        <v>1.2522200000000567</v>
      </c>
      <c r="AA23" s="994">
        <f t="shared" si="17"/>
        <v>0</v>
      </c>
      <c r="AB23" s="989">
        <f t="shared" si="67"/>
        <v>0</v>
      </c>
      <c r="AC23" s="954"/>
      <c r="AD23" s="954"/>
      <c r="AE23" s="988">
        <f t="shared" si="20"/>
        <v>3.3180078134527689</v>
      </c>
      <c r="AF23" s="974"/>
      <c r="AG23" s="974"/>
      <c r="AH23" s="988">
        <f t="shared" si="21"/>
        <v>3.1695120552124305E-2</v>
      </c>
      <c r="AI23" s="988" t="str">
        <f t="shared" si="22"/>
        <v>N</v>
      </c>
      <c r="AJ23" s="989">
        <f t="shared" si="23"/>
        <v>0</v>
      </c>
      <c r="AK23" s="989">
        <f t="shared" si="24"/>
        <v>0</v>
      </c>
      <c r="AL23" s="989">
        <f t="shared" si="25"/>
        <v>0</v>
      </c>
      <c r="AM23" s="987" t="s">
        <v>401</v>
      </c>
      <c r="AN23" s="989">
        <f t="shared" si="26"/>
        <v>0</v>
      </c>
      <c r="AO23" s="989">
        <f t="shared" si="27"/>
        <v>0</v>
      </c>
      <c r="AP23" s="989">
        <f t="shared" si="28"/>
        <v>4.5502747169813826</v>
      </c>
      <c r="AQ23" s="989">
        <v>0</v>
      </c>
      <c r="AR23" s="989">
        <v>0</v>
      </c>
      <c r="AS23" s="995">
        <f t="shared" si="29"/>
        <v>0.29835559539042616</v>
      </c>
      <c r="AT23" s="223">
        <f t="shared" si="30"/>
        <v>1.3575999223749833</v>
      </c>
      <c r="AU23" s="223">
        <f t="shared" si="31"/>
        <v>1.2740769207547871</v>
      </c>
      <c r="AV23" s="994">
        <f t="shared" si="32"/>
        <v>80</v>
      </c>
      <c r="AW23" s="989">
        <f t="shared" si="33"/>
        <v>0.43660836018254334</v>
      </c>
      <c r="AX23" s="989">
        <f t="shared" si="34"/>
        <v>0</v>
      </c>
      <c r="AY23" s="989">
        <f t="shared" si="35"/>
        <v>0.34928668814603459</v>
      </c>
      <c r="AZ23" s="989">
        <f t="shared" si="36"/>
        <v>8.7321672036508757E-2</v>
      </c>
      <c r="BA23" s="995">
        <f t="shared" si="37"/>
        <v>0.10122685190011706</v>
      </c>
      <c r="BB23" s="989">
        <f t="shared" si="38"/>
        <v>2.8202253670663961</v>
      </c>
      <c r="BC23" s="992">
        <f t="shared" si="39"/>
        <v>0.47499999999999998</v>
      </c>
      <c r="BD23" s="992">
        <v>0.6</v>
      </c>
      <c r="BE23" s="992">
        <v>0.4</v>
      </c>
      <c r="BF23" s="992">
        <v>0.1</v>
      </c>
      <c r="BG23" s="992">
        <v>7.4999999999999997E-2</v>
      </c>
      <c r="BH23" s="989">
        <f t="shared" si="40"/>
        <v>0</v>
      </c>
      <c r="BI23" s="988">
        <f t="shared" si="41"/>
        <v>1.2522200000000567</v>
      </c>
      <c r="BJ23" s="989">
        <f t="shared" si="42"/>
        <v>0</v>
      </c>
      <c r="BK23" s="989">
        <f t="shared" si="43"/>
        <v>0</v>
      </c>
      <c r="BL23" s="989">
        <f t="shared" si="68"/>
        <v>3.3515230438916856</v>
      </c>
      <c r="BM23" s="954"/>
      <c r="BN23" s="954"/>
      <c r="BO23" s="991">
        <f t="shared" si="46"/>
        <v>3.1695120552124307</v>
      </c>
      <c r="BP23" s="989">
        <f t="shared" si="47"/>
        <v>0</v>
      </c>
      <c r="BQ23" s="990">
        <f t="shared" si="48"/>
        <v>9.6250000000000002E-2</v>
      </c>
      <c r="BR23" s="989">
        <f t="shared" si="49"/>
        <v>3.9374999999999993E-2</v>
      </c>
      <c r="BS23" s="989">
        <f t="shared" si="50"/>
        <v>2.2089318749999999E-3</v>
      </c>
      <c r="BT23" s="989" t="str">
        <f t="shared" si="51"/>
        <v>C2</v>
      </c>
      <c r="BU23" s="988">
        <f t="shared" si="69"/>
        <v>3.3180078134527689</v>
      </c>
      <c r="BV23" s="974"/>
      <c r="BW23" s="974"/>
      <c r="BX23" s="973"/>
      <c r="BY23" s="987" t="s">
        <v>387</v>
      </c>
      <c r="BZ23" s="987">
        <f t="shared" si="54"/>
        <v>10.500549433962766</v>
      </c>
      <c r="CA23" s="1052"/>
      <c r="CB23" s="1052"/>
      <c r="CC23" s="1052"/>
      <c r="CD23" s="1052"/>
      <c r="CE23" s="1052"/>
      <c r="CF23" s="1052"/>
      <c r="CG23" s="1052"/>
      <c r="CH23" s="1052"/>
      <c r="CI23" s="1052"/>
      <c r="CJ23" s="1052"/>
      <c r="CK23" s="1052"/>
      <c r="CL23" s="1052"/>
      <c r="CM23" s="992">
        <v>168.3</v>
      </c>
      <c r="CN23" s="1685"/>
    </row>
    <row r="24" spans="1:92" s="970" customFormat="1" ht="12.75" customHeight="1">
      <c r="A24" s="1003" t="s">
        <v>418</v>
      </c>
      <c r="B24" s="1102" t="s">
        <v>149</v>
      </c>
      <c r="C24" s="1102" t="s">
        <v>150</v>
      </c>
      <c r="D24" s="1002">
        <v>99.83</v>
      </c>
      <c r="E24" s="1001">
        <f t="shared" si="0"/>
        <v>6.1304217169187665E-2</v>
      </c>
      <c r="F24" s="1006">
        <v>152.22</v>
      </c>
      <c r="G24" s="1006">
        <v>982.35199999999998</v>
      </c>
      <c r="H24" s="1006">
        <v>988.47199999999998</v>
      </c>
      <c r="I24" s="1088">
        <f t="shared" si="1"/>
        <v>981.19977999999992</v>
      </c>
      <c r="J24" s="1025">
        <f t="shared" si="2"/>
        <v>987.31977999999992</v>
      </c>
      <c r="K24" s="1000">
        <f t="shared" si="3"/>
        <v>1</v>
      </c>
      <c r="L24" s="989">
        <f t="shared" si="4"/>
        <v>100.01741498359173</v>
      </c>
      <c r="M24" s="989">
        <v>0.7</v>
      </c>
      <c r="N24" s="999" t="s">
        <v>331</v>
      </c>
      <c r="O24" s="998" t="str">
        <f t="shared" si="5"/>
        <v>N</v>
      </c>
      <c r="P24" s="998" t="str">
        <f t="shared" si="6"/>
        <v>N</v>
      </c>
      <c r="Q24" s="998" t="str">
        <f t="shared" si="7"/>
        <v>S</v>
      </c>
      <c r="R24" s="998" t="str">
        <f t="shared" si="8"/>
        <v>N</v>
      </c>
      <c r="S24" s="989">
        <f t="shared" si="9"/>
        <v>0</v>
      </c>
      <c r="T24" s="989">
        <f t="shared" si="10"/>
        <v>0</v>
      </c>
      <c r="U24" s="989">
        <f t="shared" si="11"/>
        <v>100.01741498359173</v>
      </c>
      <c r="V24" s="989">
        <f t="shared" si="12"/>
        <v>0</v>
      </c>
      <c r="W24" s="989">
        <f t="shared" si="13"/>
        <v>0</v>
      </c>
      <c r="X24" s="989">
        <f t="shared" si="14"/>
        <v>0</v>
      </c>
      <c r="Y24" s="989">
        <f t="shared" si="15"/>
        <v>18.003134697046512</v>
      </c>
      <c r="Z24" s="989">
        <f t="shared" si="16"/>
        <v>1.2522200000000567</v>
      </c>
      <c r="AA24" s="994">
        <f t="shared" si="17"/>
        <v>0</v>
      </c>
      <c r="AB24" s="989">
        <f t="shared" si="67"/>
        <v>0</v>
      </c>
      <c r="AC24" s="954"/>
      <c r="AD24" s="954"/>
      <c r="AE24" s="988">
        <f t="shared" si="20"/>
        <v>72.931544805070104</v>
      </c>
      <c r="AF24" s="974"/>
      <c r="AG24" s="974"/>
      <c r="AH24" s="988">
        <f t="shared" si="21"/>
        <v>0.69667530476484729</v>
      </c>
      <c r="AI24" s="988" t="str">
        <f t="shared" si="22"/>
        <v>N</v>
      </c>
      <c r="AJ24" s="989">
        <f t="shared" si="23"/>
        <v>0</v>
      </c>
      <c r="AK24" s="989">
        <f t="shared" si="24"/>
        <v>0</v>
      </c>
      <c r="AL24" s="989">
        <f t="shared" si="25"/>
        <v>0</v>
      </c>
      <c r="AM24" s="987" t="s">
        <v>401</v>
      </c>
      <c r="AN24" s="989">
        <f t="shared" si="26"/>
        <v>0</v>
      </c>
      <c r="AO24" s="989">
        <f t="shared" si="27"/>
        <v>0</v>
      </c>
      <c r="AP24" s="989">
        <f t="shared" si="28"/>
        <v>100.01741498359173</v>
      </c>
      <c r="AQ24" s="989">
        <v>0</v>
      </c>
      <c r="AR24" s="989">
        <v>0</v>
      </c>
      <c r="AS24" s="995">
        <f t="shared" si="29"/>
        <v>0.29835559539042616</v>
      </c>
      <c r="AT24" s="223">
        <f t="shared" si="30"/>
        <v>29.840755396840844</v>
      </c>
      <c r="AU24" s="223">
        <f t="shared" si="31"/>
        <v>28.004876195405682</v>
      </c>
      <c r="AV24" s="994">
        <f t="shared" si="32"/>
        <v>80</v>
      </c>
      <c r="AW24" s="989">
        <f t="shared" si="33"/>
        <v>9.5968798065564282</v>
      </c>
      <c r="AX24" s="989">
        <f t="shared" si="34"/>
        <v>0</v>
      </c>
      <c r="AY24" s="989">
        <f t="shared" si="35"/>
        <v>7.6775038452451474</v>
      </c>
      <c r="AZ24" s="989">
        <f t="shared" si="36"/>
        <v>1.9193759613112809</v>
      </c>
      <c r="BA24" s="995">
        <f t="shared" si="37"/>
        <v>2.2250190776817695</v>
      </c>
      <c r="BB24" s="989">
        <f t="shared" si="38"/>
        <v>61.99002663123958</v>
      </c>
      <c r="BC24" s="992">
        <f t="shared" si="39"/>
        <v>0.47499999999999998</v>
      </c>
      <c r="BD24" s="992">
        <v>0.6</v>
      </c>
      <c r="BE24" s="992">
        <v>0.4</v>
      </c>
      <c r="BF24" s="992">
        <v>0.1</v>
      </c>
      <c r="BG24" s="992">
        <v>7.4999999999999997E-2</v>
      </c>
      <c r="BH24" s="989">
        <f t="shared" si="40"/>
        <v>0</v>
      </c>
      <c r="BI24" s="988">
        <f t="shared" si="41"/>
        <v>1.2522200000000567</v>
      </c>
      <c r="BJ24" s="989">
        <f t="shared" si="42"/>
        <v>0</v>
      </c>
      <c r="BK24" s="989">
        <f t="shared" si="43"/>
        <v>0</v>
      </c>
      <c r="BL24" s="989">
        <f t="shared" si="68"/>
        <v>73.668227075828383</v>
      </c>
      <c r="BM24" s="954"/>
      <c r="BN24" s="954"/>
      <c r="BO24" s="991">
        <f t="shared" si="46"/>
        <v>69.667530476484728</v>
      </c>
      <c r="BP24" s="989">
        <f t="shared" si="47"/>
        <v>0</v>
      </c>
      <c r="BQ24" s="990">
        <f t="shared" si="48"/>
        <v>9.6250000000000002E-2</v>
      </c>
      <c r="BR24" s="989">
        <f t="shared" si="49"/>
        <v>3.9374999999999993E-2</v>
      </c>
      <c r="BS24" s="989">
        <f t="shared" si="50"/>
        <v>2.2089318749999999E-3</v>
      </c>
      <c r="BT24" s="989" t="str">
        <f t="shared" si="51"/>
        <v>C2</v>
      </c>
      <c r="BU24" s="988">
        <f t="shared" si="69"/>
        <v>72.931544805070104</v>
      </c>
      <c r="BV24" s="974"/>
      <c r="BW24" s="974"/>
      <c r="BX24" s="973"/>
      <c r="BY24" s="987" t="s">
        <v>387</v>
      </c>
      <c r="BZ24" s="987">
        <f t="shared" si="54"/>
        <v>201.43482996718348</v>
      </c>
      <c r="CA24" s="1052"/>
      <c r="CB24" s="1052"/>
      <c r="CC24" s="1052"/>
      <c r="CD24" s="1052"/>
      <c r="CE24" s="1052"/>
      <c r="CF24" s="1052"/>
      <c r="CG24" s="1052"/>
      <c r="CH24" s="1052"/>
      <c r="CI24" s="1052"/>
      <c r="CJ24" s="1052"/>
      <c r="CK24" s="1052"/>
      <c r="CL24" s="1052"/>
      <c r="CM24" s="992">
        <v>168.3</v>
      </c>
      <c r="CN24" s="1685">
        <v>23</v>
      </c>
    </row>
    <row r="25" spans="1:92" s="970" customFormat="1" ht="12.75" customHeight="1">
      <c r="A25" s="1003" t="s">
        <v>419</v>
      </c>
      <c r="B25" s="1102" t="s">
        <v>151</v>
      </c>
      <c r="C25" s="1102" t="s">
        <v>152</v>
      </c>
      <c r="D25" s="1002">
        <v>4</v>
      </c>
      <c r="E25" s="1001">
        <f t="shared" si="0"/>
        <v>5.0000000000011369E-2</v>
      </c>
      <c r="F25" s="1006">
        <v>152.22</v>
      </c>
      <c r="G25" s="1006">
        <v>988.47199999999998</v>
      </c>
      <c r="H25" s="1006">
        <v>988.67200000000003</v>
      </c>
      <c r="I25" s="1088">
        <f t="shared" si="1"/>
        <v>987.31977999999992</v>
      </c>
      <c r="J25" s="1025">
        <f t="shared" si="2"/>
        <v>987.51977999999997</v>
      </c>
      <c r="K25" s="1000">
        <f t="shared" si="3"/>
        <v>1</v>
      </c>
      <c r="L25" s="989">
        <f t="shared" si="4"/>
        <v>4.0049968789001591</v>
      </c>
      <c r="M25" s="989">
        <v>0.7</v>
      </c>
      <c r="N25" s="999" t="s">
        <v>331</v>
      </c>
      <c r="O25" s="998" t="str">
        <f t="shared" si="5"/>
        <v>N</v>
      </c>
      <c r="P25" s="998" t="str">
        <f t="shared" si="6"/>
        <v>N</v>
      </c>
      <c r="Q25" s="998" t="str">
        <f t="shared" si="7"/>
        <v>S</v>
      </c>
      <c r="R25" s="998" t="str">
        <f t="shared" si="8"/>
        <v>N</v>
      </c>
      <c r="S25" s="989">
        <f t="shared" si="9"/>
        <v>0</v>
      </c>
      <c r="T25" s="989">
        <f t="shared" si="10"/>
        <v>0</v>
      </c>
      <c r="U25" s="989">
        <f t="shared" si="11"/>
        <v>4.0049968789001591</v>
      </c>
      <c r="V25" s="989">
        <f t="shared" si="12"/>
        <v>0</v>
      </c>
      <c r="W25" s="989">
        <f t="shared" si="13"/>
        <v>0</v>
      </c>
      <c r="X25" s="989">
        <f t="shared" si="14"/>
        <v>0</v>
      </c>
      <c r="Y25" s="989">
        <f t="shared" si="15"/>
        <v>0.72089943820202862</v>
      </c>
      <c r="Z25" s="989">
        <f t="shared" si="16"/>
        <v>1.2522200000000567</v>
      </c>
      <c r="AA25" s="994">
        <f t="shared" si="17"/>
        <v>0</v>
      </c>
      <c r="AB25" s="989">
        <f t="shared" si="67"/>
        <v>0</v>
      </c>
      <c r="AC25" s="954"/>
      <c r="AD25" s="954"/>
      <c r="AE25" s="988">
        <f t="shared" si="20"/>
        <v>2.9203975064301706</v>
      </c>
      <c r="AF25" s="974"/>
      <c r="AG25" s="974"/>
      <c r="AH25" s="988">
        <f t="shared" si="21"/>
        <v>2.7896965959855805E-2</v>
      </c>
      <c r="AI25" s="988" t="str">
        <f t="shared" si="22"/>
        <v>N</v>
      </c>
      <c r="AJ25" s="989">
        <f t="shared" si="23"/>
        <v>0</v>
      </c>
      <c r="AK25" s="989">
        <f t="shared" si="24"/>
        <v>0</v>
      </c>
      <c r="AL25" s="989">
        <f t="shared" si="25"/>
        <v>0</v>
      </c>
      <c r="AM25" s="987" t="s">
        <v>401</v>
      </c>
      <c r="AN25" s="989">
        <f t="shared" si="26"/>
        <v>0</v>
      </c>
      <c r="AO25" s="989">
        <f t="shared" si="27"/>
        <v>0</v>
      </c>
      <c r="AP25" s="989">
        <f t="shared" si="28"/>
        <v>4.0049968789001591</v>
      </c>
      <c r="AQ25" s="989">
        <v>0</v>
      </c>
      <c r="AR25" s="989">
        <v>0</v>
      </c>
      <c r="AS25" s="995">
        <f t="shared" si="29"/>
        <v>0.29835559539042616</v>
      </c>
      <c r="AT25" s="223">
        <f t="shared" si="30"/>
        <v>1.1949132283410555</v>
      </c>
      <c r="AU25" s="223">
        <f t="shared" si="31"/>
        <v>1.1213991260920444</v>
      </c>
      <c r="AV25" s="994">
        <f t="shared" si="32"/>
        <v>80</v>
      </c>
      <c r="AW25" s="989">
        <f t="shared" si="33"/>
        <v>0.3842878130647947</v>
      </c>
      <c r="AX25" s="989">
        <f t="shared" si="34"/>
        <v>0</v>
      </c>
      <c r="AY25" s="989">
        <f t="shared" si="35"/>
        <v>0.30743025045183592</v>
      </c>
      <c r="AZ25" s="989">
        <f t="shared" si="36"/>
        <v>7.6857562612958785E-2</v>
      </c>
      <c r="BA25" s="995">
        <f t="shared" si="37"/>
        <v>8.9096428487686022E-2</v>
      </c>
      <c r="BB25" s="989">
        <f t="shared" si="38"/>
        <v>2.4822663455337448</v>
      </c>
      <c r="BC25" s="992">
        <f t="shared" si="39"/>
        <v>0.47499999999999998</v>
      </c>
      <c r="BD25" s="992">
        <v>0.6</v>
      </c>
      <c r="BE25" s="992">
        <v>0.4</v>
      </c>
      <c r="BF25" s="992">
        <v>0.1</v>
      </c>
      <c r="BG25" s="992">
        <v>7.4999999999999997E-2</v>
      </c>
      <c r="BH25" s="989">
        <f t="shared" si="40"/>
        <v>0</v>
      </c>
      <c r="BI25" s="988">
        <f t="shared" si="41"/>
        <v>1.2522200000000567</v>
      </c>
      <c r="BJ25" s="989">
        <f t="shared" si="42"/>
        <v>0</v>
      </c>
      <c r="BK25" s="989">
        <f t="shared" si="43"/>
        <v>0</v>
      </c>
      <c r="BL25" s="989">
        <f t="shared" si="68"/>
        <v>2.9498964711415865</v>
      </c>
      <c r="BM25" s="954"/>
      <c r="BN25" s="954"/>
      <c r="BO25" s="991">
        <f t="shared" si="46"/>
        <v>2.7896965959855806</v>
      </c>
      <c r="BP25" s="989">
        <f t="shared" si="47"/>
        <v>0</v>
      </c>
      <c r="BQ25" s="990">
        <f t="shared" si="48"/>
        <v>9.6250000000000002E-2</v>
      </c>
      <c r="BR25" s="989">
        <f t="shared" si="49"/>
        <v>3.9374999999999993E-2</v>
      </c>
      <c r="BS25" s="989">
        <f t="shared" si="50"/>
        <v>2.2089318749999999E-3</v>
      </c>
      <c r="BT25" s="989" t="str">
        <f t="shared" si="51"/>
        <v>C2</v>
      </c>
      <c r="BU25" s="988">
        <f t="shared" si="69"/>
        <v>2.9203975064301706</v>
      </c>
      <c r="BV25" s="974"/>
      <c r="BW25" s="974"/>
      <c r="BX25" s="973"/>
      <c r="BY25" s="987" t="s">
        <v>387</v>
      </c>
      <c r="BZ25" s="987">
        <f t="shared" si="54"/>
        <v>9.4099937578003185</v>
      </c>
      <c r="CA25" s="1052"/>
      <c r="CB25" s="1052"/>
      <c r="CC25" s="1052"/>
      <c r="CD25" s="1052"/>
      <c r="CE25" s="1052"/>
      <c r="CF25" s="1052"/>
      <c r="CG25" s="1052"/>
      <c r="CH25" s="1052"/>
      <c r="CI25" s="1052"/>
      <c r="CJ25" s="1052"/>
      <c r="CK25" s="1052"/>
      <c r="CL25" s="1052"/>
      <c r="CM25" s="992">
        <v>168.3</v>
      </c>
      <c r="CN25" s="1685"/>
    </row>
    <row r="26" spans="1:92" s="970" customFormat="1" ht="12.75" customHeight="1">
      <c r="A26" s="1003" t="s">
        <v>420</v>
      </c>
      <c r="B26" s="1102" t="s">
        <v>130</v>
      </c>
      <c r="C26" s="1102" t="s">
        <v>153</v>
      </c>
      <c r="D26" s="1002">
        <v>95.025000000000006</v>
      </c>
      <c r="E26" s="1001">
        <f t="shared" si="0"/>
        <v>1.6916600894502212E-2</v>
      </c>
      <c r="F26" s="1006">
        <v>152.22</v>
      </c>
      <c r="G26" s="1006">
        <v>987.71</v>
      </c>
      <c r="H26" s="1006">
        <v>986.10249999999996</v>
      </c>
      <c r="I26" s="1088">
        <f t="shared" si="1"/>
        <v>986.55777999999998</v>
      </c>
      <c r="J26" s="1025">
        <f t="shared" si="2"/>
        <v>984.95027999999991</v>
      </c>
      <c r="K26" s="1000">
        <f t="shared" si="3"/>
        <v>1</v>
      </c>
      <c r="L26" s="989">
        <f t="shared" si="4"/>
        <v>95.038595745360212</v>
      </c>
      <c r="M26" s="989">
        <v>0.7</v>
      </c>
      <c r="N26" s="999" t="s">
        <v>331</v>
      </c>
      <c r="O26" s="998" t="str">
        <f t="shared" si="5"/>
        <v>N</v>
      </c>
      <c r="P26" s="998" t="str">
        <f t="shared" si="6"/>
        <v>N</v>
      </c>
      <c r="Q26" s="998" t="str">
        <f t="shared" si="7"/>
        <v>S</v>
      </c>
      <c r="R26" s="998" t="str">
        <f t="shared" si="8"/>
        <v>N</v>
      </c>
      <c r="S26" s="989">
        <f t="shared" si="9"/>
        <v>0</v>
      </c>
      <c r="T26" s="989">
        <f t="shared" si="10"/>
        <v>0</v>
      </c>
      <c r="U26" s="989">
        <f t="shared" si="11"/>
        <v>95.038595745360212</v>
      </c>
      <c r="V26" s="989">
        <f t="shared" si="12"/>
        <v>0</v>
      </c>
      <c r="W26" s="989">
        <f t="shared" si="13"/>
        <v>0</v>
      </c>
      <c r="X26" s="989">
        <f t="shared" si="14"/>
        <v>0</v>
      </c>
      <c r="Y26" s="989">
        <f t="shared" si="15"/>
        <v>17.106947234164839</v>
      </c>
      <c r="Z26" s="989">
        <f t="shared" si="16"/>
        <v>1.2522200000000567</v>
      </c>
      <c r="AA26" s="994">
        <f t="shared" si="17"/>
        <v>0</v>
      </c>
      <c r="AB26" s="989">
        <f t="shared" si="67"/>
        <v>0</v>
      </c>
      <c r="AC26" s="954"/>
      <c r="AD26" s="954"/>
      <c r="AE26" s="988">
        <f t="shared" si="20"/>
        <v>69.301047272125501</v>
      </c>
      <c r="AF26" s="974"/>
      <c r="AG26" s="974"/>
      <c r="AH26" s="988">
        <f t="shared" si="21"/>
        <v>0.66199514020817418</v>
      </c>
      <c r="AI26" s="988" t="str">
        <f t="shared" si="22"/>
        <v>N</v>
      </c>
      <c r="AJ26" s="989">
        <f t="shared" si="23"/>
        <v>0</v>
      </c>
      <c r="AK26" s="989">
        <f t="shared" si="24"/>
        <v>0</v>
      </c>
      <c r="AL26" s="989">
        <f t="shared" si="25"/>
        <v>0</v>
      </c>
      <c r="AM26" s="987" t="s">
        <v>401</v>
      </c>
      <c r="AN26" s="989">
        <f t="shared" si="26"/>
        <v>0</v>
      </c>
      <c r="AO26" s="989">
        <f t="shared" si="27"/>
        <v>0</v>
      </c>
      <c r="AP26" s="989">
        <f t="shared" si="28"/>
        <v>95.038595745360212</v>
      </c>
      <c r="AQ26" s="989">
        <v>0</v>
      </c>
      <c r="AR26" s="989">
        <v>0</v>
      </c>
      <c r="AS26" s="995">
        <f t="shared" si="29"/>
        <v>0.29835559539042616</v>
      </c>
      <c r="AT26" s="223">
        <f t="shared" si="30"/>
        <v>28.355296818676969</v>
      </c>
      <c r="AU26" s="223">
        <f t="shared" si="31"/>
        <v>26.610806808700858</v>
      </c>
      <c r="AV26" s="994">
        <f t="shared" si="32"/>
        <v>80</v>
      </c>
      <c r="AW26" s="989">
        <f t="shared" si="33"/>
        <v>9.1191517047481945</v>
      </c>
      <c r="AX26" s="989">
        <f t="shared" si="34"/>
        <v>0</v>
      </c>
      <c r="AY26" s="989">
        <f t="shared" si="35"/>
        <v>7.2953213637985588</v>
      </c>
      <c r="AZ26" s="989">
        <f t="shared" si="36"/>
        <v>1.8238303409496357</v>
      </c>
      <c r="BA26" s="995">
        <f t="shared" si="37"/>
        <v>2.1142586886913968</v>
      </c>
      <c r="BB26" s="989">
        <f t="shared" si="38"/>
        <v>58.904192657018861</v>
      </c>
      <c r="BC26" s="992">
        <f t="shared" si="39"/>
        <v>0.47499999999999998</v>
      </c>
      <c r="BD26" s="992">
        <v>0.6</v>
      </c>
      <c r="BE26" s="992">
        <v>0.4</v>
      </c>
      <c r="BF26" s="992">
        <v>0.1</v>
      </c>
      <c r="BG26" s="992">
        <v>7.4999999999999997E-2</v>
      </c>
      <c r="BH26" s="989">
        <f t="shared" si="40"/>
        <v>0</v>
      </c>
      <c r="BI26" s="988">
        <f t="shared" si="41"/>
        <v>1.2522200000000567</v>
      </c>
      <c r="BJ26" s="989">
        <f t="shared" si="42"/>
        <v>0</v>
      </c>
      <c r="BK26" s="989">
        <f t="shared" si="43"/>
        <v>0</v>
      </c>
      <c r="BL26" s="989">
        <f t="shared" si="68"/>
        <v>70.001057850631824</v>
      </c>
      <c r="BM26" s="954"/>
      <c r="BN26" s="954"/>
      <c r="BO26" s="991">
        <f t="shared" si="46"/>
        <v>66.199514020817418</v>
      </c>
      <c r="BP26" s="989">
        <f t="shared" si="47"/>
        <v>0</v>
      </c>
      <c r="BQ26" s="990">
        <f t="shared" si="48"/>
        <v>9.6250000000000002E-2</v>
      </c>
      <c r="BR26" s="989">
        <f t="shared" si="49"/>
        <v>3.9374999999999993E-2</v>
      </c>
      <c r="BS26" s="989">
        <f t="shared" si="50"/>
        <v>2.2089318749999999E-3</v>
      </c>
      <c r="BT26" s="989" t="str">
        <f t="shared" si="51"/>
        <v>C2</v>
      </c>
      <c r="BU26" s="988">
        <f t="shared" si="69"/>
        <v>69.301047272125501</v>
      </c>
      <c r="BV26" s="974"/>
      <c r="BW26" s="974"/>
      <c r="BX26" s="973"/>
      <c r="BY26" s="987" t="s">
        <v>387</v>
      </c>
      <c r="BZ26" s="987">
        <f t="shared" si="54"/>
        <v>191.47719149072043</v>
      </c>
      <c r="CA26" s="1052"/>
      <c r="CB26" s="1052"/>
      <c r="CC26" s="1052"/>
      <c r="CD26" s="1052"/>
      <c r="CE26" s="1052"/>
      <c r="CF26" s="1052"/>
      <c r="CG26" s="1052"/>
      <c r="CH26" s="1052"/>
      <c r="CI26" s="1052"/>
      <c r="CJ26" s="1052"/>
      <c r="CK26" s="1052"/>
      <c r="CL26" s="1052"/>
      <c r="CM26" s="992">
        <v>168.3</v>
      </c>
      <c r="CN26" s="1685">
        <v>32</v>
      </c>
    </row>
    <row r="27" spans="1:92" s="970" customFormat="1" ht="12.75" customHeight="1">
      <c r="A27" s="1003" t="s">
        <v>421</v>
      </c>
      <c r="B27" s="1102" t="s">
        <v>154</v>
      </c>
      <c r="C27" s="1102" t="s">
        <v>155</v>
      </c>
      <c r="D27" s="1002">
        <v>5.27</v>
      </c>
      <c r="E27" s="1001">
        <f t="shared" si="0"/>
        <v>2.0208728652748146E-2</v>
      </c>
      <c r="F27" s="1006">
        <v>152.22</v>
      </c>
      <c r="G27" s="1006">
        <v>986.10249999999996</v>
      </c>
      <c r="H27" s="1006">
        <v>985.99599999999998</v>
      </c>
      <c r="I27" s="1088">
        <f t="shared" si="1"/>
        <v>984.95027999999991</v>
      </c>
      <c r="J27" s="1025">
        <f t="shared" si="2"/>
        <v>984.84377999999992</v>
      </c>
      <c r="K27" s="1000">
        <f t="shared" si="3"/>
        <v>1</v>
      </c>
      <c r="L27" s="989">
        <f t="shared" si="4"/>
        <v>5.2710760049538266</v>
      </c>
      <c r="M27" s="989">
        <v>0.7</v>
      </c>
      <c r="N27" s="999" t="s">
        <v>331</v>
      </c>
      <c r="O27" s="998" t="str">
        <f t="shared" si="5"/>
        <v>N</v>
      </c>
      <c r="P27" s="998" t="str">
        <f t="shared" si="6"/>
        <v>N</v>
      </c>
      <c r="Q27" s="998" t="str">
        <f t="shared" si="7"/>
        <v>S</v>
      </c>
      <c r="R27" s="998" t="str">
        <f t="shared" si="8"/>
        <v>N</v>
      </c>
      <c r="S27" s="989">
        <f t="shared" si="9"/>
        <v>0</v>
      </c>
      <c r="T27" s="989">
        <f t="shared" si="10"/>
        <v>0</v>
      </c>
      <c r="U27" s="989">
        <f t="shared" si="11"/>
        <v>5.2710760049538266</v>
      </c>
      <c r="V27" s="989">
        <f t="shared" si="12"/>
        <v>0</v>
      </c>
      <c r="W27" s="989">
        <f t="shared" si="13"/>
        <v>0</v>
      </c>
      <c r="X27" s="989">
        <f t="shared" si="14"/>
        <v>0</v>
      </c>
      <c r="Y27" s="989">
        <f t="shared" si="15"/>
        <v>0.9487936808916887</v>
      </c>
      <c r="Z27" s="989">
        <f t="shared" si="16"/>
        <v>1.2522200000000567</v>
      </c>
      <c r="AA27" s="994">
        <f t="shared" si="17"/>
        <v>0</v>
      </c>
      <c r="AB27" s="989">
        <f t="shared" si="67"/>
        <v>0</v>
      </c>
      <c r="AC27" s="954"/>
      <c r="AD27" s="954"/>
      <c r="AE27" s="988">
        <f t="shared" si="20"/>
        <v>3.8436077945954401</v>
      </c>
      <c r="AF27" s="974"/>
      <c r="AG27" s="974"/>
      <c r="AH27" s="988">
        <f t="shared" si="21"/>
        <v>3.6715890755548174E-2</v>
      </c>
      <c r="AI27" s="988" t="str">
        <f t="shared" si="22"/>
        <v>N</v>
      </c>
      <c r="AJ27" s="989">
        <f t="shared" si="23"/>
        <v>0</v>
      </c>
      <c r="AK27" s="989">
        <f t="shared" si="24"/>
        <v>0</v>
      </c>
      <c r="AL27" s="989">
        <f t="shared" si="25"/>
        <v>0</v>
      </c>
      <c r="AM27" s="987" t="s">
        <v>401</v>
      </c>
      <c r="AN27" s="989">
        <f t="shared" si="26"/>
        <v>0</v>
      </c>
      <c r="AO27" s="989">
        <f t="shared" si="27"/>
        <v>0</v>
      </c>
      <c r="AP27" s="989">
        <f t="shared" si="28"/>
        <v>5.2710760049538266</v>
      </c>
      <c r="AQ27" s="989">
        <v>0</v>
      </c>
      <c r="AR27" s="989">
        <v>0</v>
      </c>
      <c r="AS27" s="995">
        <f t="shared" si="29"/>
        <v>0.29835559539042616</v>
      </c>
      <c r="AT27" s="223">
        <f t="shared" si="30"/>
        <v>1.5726550198061879</v>
      </c>
      <c r="AU27" s="223">
        <f t="shared" si="31"/>
        <v>1.4759012813870713</v>
      </c>
      <c r="AV27" s="994">
        <f t="shared" si="32"/>
        <v>80</v>
      </c>
      <c r="AW27" s="989">
        <f t="shared" si="33"/>
        <v>0.50577074881473738</v>
      </c>
      <c r="AX27" s="989">
        <f t="shared" si="34"/>
        <v>0</v>
      </c>
      <c r="AY27" s="989">
        <f t="shared" si="35"/>
        <v>0.40461659905178993</v>
      </c>
      <c r="AZ27" s="989">
        <f t="shared" si="36"/>
        <v>0.10115414976294745</v>
      </c>
      <c r="BA27" s="995">
        <f t="shared" si="37"/>
        <v>0.11726202554682039</v>
      </c>
      <c r="BB27" s="989">
        <f t="shared" si="38"/>
        <v>3.2669724765030272</v>
      </c>
      <c r="BC27" s="992">
        <f t="shared" si="39"/>
        <v>0.47499999999999998</v>
      </c>
      <c r="BD27" s="992">
        <v>0.6</v>
      </c>
      <c r="BE27" s="992">
        <v>0.4</v>
      </c>
      <c r="BF27" s="992">
        <v>0.1</v>
      </c>
      <c r="BG27" s="992">
        <v>7.4999999999999997E-2</v>
      </c>
      <c r="BH27" s="989">
        <f t="shared" si="40"/>
        <v>0</v>
      </c>
      <c r="BI27" s="988">
        <f t="shared" si="41"/>
        <v>1.2522200000000567</v>
      </c>
      <c r="BJ27" s="989">
        <f t="shared" si="42"/>
        <v>0</v>
      </c>
      <c r="BK27" s="989">
        <f t="shared" si="43"/>
        <v>0</v>
      </c>
      <c r="BL27" s="989">
        <f t="shared" si="68"/>
        <v>3.88243211575297</v>
      </c>
      <c r="BM27" s="954"/>
      <c r="BN27" s="954"/>
      <c r="BO27" s="991">
        <f t="shared" si="46"/>
        <v>3.6715890755548171</v>
      </c>
      <c r="BP27" s="989">
        <f t="shared" si="47"/>
        <v>0</v>
      </c>
      <c r="BQ27" s="990">
        <f t="shared" si="48"/>
        <v>9.6250000000000002E-2</v>
      </c>
      <c r="BR27" s="989">
        <f t="shared" si="49"/>
        <v>3.9374999999999993E-2</v>
      </c>
      <c r="BS27" s="989">
        <f t="shared" si="50"/>
        <v>2.2089318749999999E-3</v>
      </c>
      <c r="BT27" s="989" t="str">
        <f t="shared" si="51"/>
        <v>C2</v>
      </c>
      <c r="BU27" s="988">
        <f t="shared" si="69"/>
        <v>3.8436077945954401</v>
      </c>
      <c r="BV27" s="974"/>
      <c r="BW27" s="974"/>
      <c r="BX27" s="973"/>
      <c r="BY27" s="987" t="s">
        <v>387</v>
      </c>
      <c r="BZ27" s="987">
        <f t="shared" si="54"/>
        <v>11.942152009907653</v>
      </c>
      <c r="CA27" s="1052"/>
      <c r="CB27" s="1052"/>
      <c r="CC27" s="1052"/>
      <c r="CD27" s="1052"/>
      <c r="CE27" s="1052"/>
      <c r="CF27" s="1052"/>
      <c r="CG27" s="1052"/>
      <c r="CH27" s="1052"/>
      <c r="CI27" s="1052"/>
      <c r="CJ27" s="1052"/>
      <c r="CK27" s="1052"/>
      <c r="CL27" s="1052"/>
      <c r="CM27" s="992">
        <v>168.3</v>
      </c>
      <c r="CN27" s="1685"/>
    </row>
    <row r="28" spans="1:92" s="970" customFormat="1" ht="12.75" customHeight="1">
      <c r="A28" s="1003" t="s">
        <v>422</v>
      </c>
      <c r="B28" s="1102" t="s">
        <v>155</v>
      </c>
      <c r="C28" s="1102" t="s">
        <v>156</v>
      </c>
      <c r="D28" s="1002">
        <v>101.24</v>
      </c>
      <c r="E28" s="1001">
        <f t="shared" si="0"/>
        <v>2.5661793757408832E-2</v>
      </c>
      <c r="F28" s="1006">
        <v>103.42</v>
      </c>
      <c r="G28" s="1006">
        <v>985.99599999999998</v>
      </c>
      <c r="H28" s="1006">
        <v>988.59400000000005</v>
      </c>
      <c r="I28" s="1088">
        <f t="shared" si="1"/>
        <v>984.89257999999995</v>
      </c>
      <c r="J28" s="1025">
        <f t="shared" si="2"/>
        <v>987.49058000000002</v>
      </c>
      <c r="K28" s="1000">
        <f t="shared" si="3"/>
        <v>1</v>
      </c>
      <c r="L28" s="989">
        <f t="shared" si="4"/>
        <v>101.27332918394656</v>
      </c>
      <c r="M28" s="989">
        <v>0.7</v>
      </c>
      <c r="N28" s="999" t="s">
        <v>331</v>
      </c>
      <c r="O28" s="998" t="str">
        <f t="shared" si="5"/>
        <v>N</v>
      </c>
      <c r="P28" s="998" t="str">
        <f t="shared" si="6"/>
        <v>N</v>
      </c>
      <c r="Q28" s="998" t="str">
        <f t="shared" si="7"/>
        <v>S</v>
      </c>
      <c r="R28" s="998" t="str">
        <f t="shared" si="8"/>
        <v>N</v>
      </c>
      <c r="S28" s="989">
        <f t="shared" si="9"/>
        <v>0</v>
      </c>
      <c r="T28" s="989">
        <f t="shared" si="10"/>
        <v>0</v>
      </c>
      <c r="U28" s="989">
        <f t="shared" si="11"/>
        <v>101.27332918394656</v>
      </c>
      <c r="V28" s="989">
        <f t="shared" si="12"/>
        <v>0</v>
      </c>
      <c r="W28" s="989">
        <f t="shared" si="13"/>
        <v>0</v>
      </c>
      <c r="X28" s="989">
        <f t="shared" si="14"/>
        <v>0</v>
      </c>
      <c r="Y28" s="989">
        <f t="shared" si="15"/>
        <v>18.229199253110377</v>
      </c>
      <c r="Z28" s="989">
        <f t="shared" si="16"/>
        <v>1.2034200000000284</v>
      </c>
      <c r="AA28" s="994">
        <f t="shared" si="17"/>
        <v>0</v>
      </c>
      <c r="AB28" s="989">
        <f t="shared" si="67"/>
        <v>0</v>
      </c>
      <c r="AC28" s="954"/>
      <c r="AD28" s="954"/>
      <c r="AE28" s="988">
        <f t="shared" si="20"/>
        <v>70.422440991042649</v>
      </c>
      <c r="AF28" s="974"/>
      <c r="AG28" s="974"/>
      <c r="AH28" s="988">
        <f t="shared" si="21"/>
        <v>0.67082845611473108</v>
      </c>
      <c r="AI28" s="988" t="str">
        <f t="shared" si="22"/>
        <v>N</v>
      </c>
      <c r="AJ28" s="989">
        <f t="shared" si="23"/>
        <v>0</v>
      </c>
      <c r="AK28" s="989">
        <f t="shared" si="24"/>
        <v>0</v>
      </c>
      <c r="AL28" s="989">
        <f t="shared" si="25"/>
        <v>0</v>
      </c>
      <c r="AM28" s="987" t="s">
        <v>401</v>
      </c>
      <c r="AN28" s="989">
        <f t="shared" si="26"/>
        <v>0</v>
      </c>
      <c r="AO28" s="989">
        <f t="shared" si="27"/>
        <v>0</v>
      </c>
      <c r="AP28" s="989">
        <f t="shared" si="28"/>
        <v>101.27332918394656</v>
      </c>
      <c r="AQ28" s="989">
        <v>0</v>
      </c>
      <c r="AR28" s="989">
        <v>0</v>
      </c>
      <c r="AS28" s="995">
        <f t="shared" si="29"/>
        <v>0.2739936196911833</v>
      </c>
      <c r="AT28" s="223">
        <f t="shared" si="30"/>
        <v>27.748246041286269</v>
      </c>
      <c r="AU28" s="223">
        <f t="shared" si="31"/>
        <v>28.356532171505034</v>
      </c>
      <c r="AV28" s="994">
        <f t="shared" si="32"/>
        <v>80</v>
      </c>
      <c r="AW28" s="989">
        <f t="shared" si="33"/>
        <v>9.9389193437369805</v>
      </c>
      <c r="AX28" s="989">
        <f t="shared" si="34"/>
        <v>0</v>
      </c>
      <c r="AY28" s="989">
        <f t="shared" si="35"/>
        <v>7.9511354749895906</v>
      </c>
      <c r="AZ28" s="989">
        <f t="shared" si="36"/>
        <v>1.9877838687473899</v>
      </c>
      <c r="BA28" s="995">
        <f t="shared" si="37"/>
        <v>1.0391480549448244</v>
      </c>
      <c r="BB28" s="989">
        <f t="shared" si="38"/>
        <v>59.131710136483512</v>
      </c>
      <c r="BC28" s="992">
        <f t="shared" si="39"/>
        <v>0.47499999999999998</v>
      </c>
      <c r="BD28" s="992">
        <v>0.6</v>
      </c>
      <c r="BE28" s="992">
        <v>0.4</v>
      </c>
      <c r="BF28" s="992">
        <v>0.1</v>
      </c>
      <c r="BG28" s="992">
        <v>7.4999999999999997E-2</v>
      </c>
      <c r="BH28" s="989">
        <f t="shared" si="40"/>
        <v>0</v>
      </c>
      <c r="BI28" s="988">
        <f t="shared" si="41"/>
        <v>1.2034200000000284</v>
      </c>
      <c r="BJ28" s="989">
        <f t="shared" si="42"/>
        <v>0</v>
      </c>
      <c r="BK28" s="989">
        <f t="shared" si="43"/>
        <v>0</v>
      </c>
      <c r="BL28" s="989">
        <f t="shared" si="68"/>
        <v>71.133778778830958</v>
      </c>
      <c r="BM28" s="954"/>
      <c r="BN28" s="954"/>
      <c r="BO28" s="991">
        <f t="shared" si="46"/>
        <v>67.082845611473104</v>
      </c>
      <c r="BP28" s="989">
        <f t="shared" si="47"/>
        <v>0</v>
      </c>
      <c r="BQ28" s="990">
        <f t="shared" si="48"/>
        <v>9.6250000000000002E-2</v>
      </c>
      <c r="BR28" s="989">
        <f t="shared" si="49"/>
        <v>3.9374999999999993E-2</v>
      </c>
      <c r="BS28" s="989">
        <f t="shared" si="50"/>
        <v>2.2089318749999999E-3</v>
      </c>
      <c r="BT28" s="989" t="str">
        <f t="shared" si="51"/>
        <v>C2</v>
      </c>
      <c r="BU28" s="988">
        <f t="shared" si="69"/>
        <v>70.422440991042649</v>
      </c>
      <c r="BV28" s="974"/>
      <c r="BW28" s="974"/>
      <c r="BX28" s="973"/>
      <c r="BY28" s="987" t="s">
        <v>387</v>
      </c>
      <c r="BZ28" s="987">
        <f t="shared" si="54"/>
        <v>203.94665836789312</v>
      </c>
      <c r="CA28" s="1052"/>
      <c r="CB28" s="1052"/>
      <c r="CC28" s="1052"/>
      <c r="CD28" s="1052"/>
      <c r="CE28" s="1052"/>
      <c r="CF28" s="1052"/>
      <c r="CG28" s="1052"/>
      <c r="CH28" s="1052"/>
      <c r="CI28" s="1052"/>
      <c r="CJ28" s="1052"/>
      <c r="CK28" s="1052"/>
      <c r="CL28" s="1052"/>
      <c r="CM28" s="992">
        <v>114.3</v>
      </c>
      <c r="CN28" s="1685">
        <v>20</v>
      </c>
    </row>
    <row r="29" spans="1:92" s="970" customFormat="1" ht="12.75" customHeight="1">
      <c r="A29" s="1003" t="s">
        <v>423</v>
      </c>
      <c r="B29" s="1102" t="s">
        <v>157</v>
      </c>
      <c r="C29" s="1102" t="s">
        <v>158</v>
      </c>
      <c r="D29" s="1002">
        <v>1.23</v>
      </c>
      <c r="E29" s="1001">
        <f t="shared" si="0"/>
        <v>8.1300813008056139E-2</v>
      </c>
      <c r="F29" s="1006">
        <v>103.42</v>
      </c>
      <c r="G29" s="1006">
        <v>988.59400000000005</v>
      </c>
      <c r="H29" s="1006">
        <v>988.69399999999996</v>
      </c>
      <c r="I29" s="1088">
        <f t="shared" si="1"/>
        <v>987.49058000000002</v>
      </c>
      <c r="J29" s="1025">
        <f t="shared" si="2"/>
        <v>987.59057999999993</v>
      </c>
      <c r="K29" s="1000">
        <f t="shared" si="3"/>
        <v>1</v>
      </c>
      <c r="L29" s="989">
        <f t="shared" si="4"/>
        <v>1.2340583454602063</v>
      </c>
      <c r="M29" s="989">
        <v>0.7</v>
      </c>
      <c r="N29" s="999" t="s">
        <v>331</v>
      </c>
      <c r="O29" s="998" t="str">
        <f t="shared" si="5"/>
        <v>N</v>
      </c>
      <c r="P29" s="998" t="str">
        <f t="shared" si="6"/>
        <v>N</v>
      </c>
      <c r="Q29" s="998" t="str">
        <f t="shared" si="7"/>
        <v>S</v>
      </c>
      <c r="R29" s="998" t="str">
        <f t="shared" si="8"/>
        <v>N</v>
      </c>
      <c r="S29" s="989">
        <f t="shared" si="9"/>
        <v>0</v>
      </c>
      <c r="T29" s="989">
        <f t="shared" si="10"/>
        <v>0</v>
      </c>
      <c r="U29" s="989">
        <f t="shared" si="11"/>
        <v>1.2340583454602063</v>
      </c>
      <c r="V29" s="989">
        <f t="shared" si="12"/>
        <v>0</v>
      </c>
      <c r="W29" s="989">
        <f t="shared" si="13"/>
        <v>0</v>
      </c>
      <c r="X29" s="989">
        <f t="shared" si="14"/>
        <v>0</v>
      </c>
      <c r="Y29" s="989">
        <f t="shared" si="15"/>
        <v>0.22213050218283714</v>
      </c>
      <c r="Z29" s="989">
        <f t="shared" si="16"/>
        <v>1.2034200000000284</v>
      </c>
      <c r="AA29" s="994">
        <f t="shared" si="17"/>
        <v>0</v>
      </c>
      <c r="AB29" s="989">
        <f t="shared" si="67"/>
        <v>0</v>
      </c>
      <c r="AC29" s="954"/>
      <c r="AD29" s="954"/>
      <c r="AE29" s="988">
        <f t="shared" si="20"/>
        <v>0.8581272257261886</v>
      </c>
      <c r="AF29" s="974"/>
      <c r="AG29" s="974"/>
      <c r="AH29" s="988">
        <f t="shared" si="21"/>
        <v>8.1743284368279243E-3</v>
      </c>
      <c r="AI29" s="988" t="str">
        <f t="shared" si="22"/>
        <v>N</v>
      </c>
      <c r="AJ29" s="989">
        <f t="shared" si="23"/>
        <v>0</v>
      </c>
      <c r="AK29" s="989">
        <f t="shared" si="24"/>
        <v>0</v>
      </c>
      <c r="AL29" s="989">
        <f t="shared" si="25"/>
        <v>0</v>
      </c>
      <c r="AM29" s="987" t="s">
        <v>401</v>
      </c>
      <c r="AN29" s="989">
        <f t="shared" si="26"/>
        <v>0</v>
      </c>
      <c r="AO29" s="989">
        <f t="shared" si="27"/>
        <v>0</v>
      </c>
      <c r="AP29" s="989">
        <f t="shared" si="28"/>
        <v>1.2340583454602063</v>
      </c>
      <c r="AQ29" s="989">
        <v>0</v>
      </c>
      <c r="AR29" s="989">
        <v>0</v>
      </c>
      <c r="AS29" s="995">
        <f t="shared" si="29"/>
        <v>0.2739936196911833</v>
      </c>
      <c r="AT29" s="223">
        <f t="shared" si="30"/>
        <v>0.33812411298275469</v>
      </c>
      <c r="AU29" s="223">
        <f t="shared" si="31"/>
        <v>0.34553633672885775</v>
      </c>
      <c r="AV29" s="994">
        <f t="shared" si="32"/>
        <v>80</v>
      </c>
      <c r="AW29" s="989">
        <f t="shared" si="33"/>
        <v>0.12110993545711066</v>
      </c>
      <c r="AX29" s="989">
        <f t="shared" si="34"/>
        <v>0</v>
      </c>
      <c r="AY29" s="989">
        <f t="shared" si="35"/>
        <v>9.688794836568855E-2</v>
      </c>
      <c r="AZ29" s="989">
        <f t="shared" si="36"/>
        <v>2.4221987091422106E-2</v>
      </c>
      <c r="BA29" s="995">
        <f t="shared" si="37"/>
        <v>1.2662458514069243E-2</v>
      </c>
      <c r="BB29" s="989">
        <f t="shared" si="38"/>
        <v>0.72054489531710375</v>
      </c>
      <c r="BC29" s="992">
        <f t="shared" si="39"/>
        <v>0.47499999999999998</v>
      </c>
      <c r="BD29" s="992">
        <v>0.6</v>
      </c>
      <c r="BE29" s="992">
        <v>0.4</v>
      </c>
      <c r="BF29" s="992">
        <v>0.1</v>
      </c>
      <c r="BG29" s="992">
        <v>7.4999999999999997E-2</v>
      </c>
      <c r="BH29" s="989">
        <f t="shared" si="40"/>
        <v>0</v>
      </c>
      <c r="BI29" s="988">
        <f t="shared" si="41"/>
        <v>1.2034200000000284</v>
      </c>
      <c r="BJ29" s="989">
        <f t="shared" si="42"/>
        <v>0</v>
      </c>
      <c r="BK29" s="989">
        <f t="shared" si="43"/>
        <v>0</v>
      </c>
      <c r="BL29" s="989">
        <f t="shared" si="68"/>
        <v>0.86679517750120061</v>
      </c>
      <c r="BM29" s="954"/>
      <c r="BN29" s="954"/>
      <c r="BO29" s="991">
        <f t="shared" si="46"/>
        <v>0.81743284368279234</v>
      </c>
      <c r="BP29" s="989">
        <f t="shared" si="47"/>
        <v>0</v>
      </c>
      <c r="BQ29" s="990">
        <f t="shared" si="48"/>
        <v>9.6250000000000002E-2</v>
      </c>
      <c r="BR29" s="989">
        <f t="shared" si="49"/>
        <v>3.9374999999999993E-2</v>
      </c>
      <c r="BS29" s="989">
        <f t="shared" si="50"/>
        <v>2.2089318749999999E-3</v>
      </c>
      <c r="BT29" s="989" t="str">
        <f t="shared" si="51"/>
        <v>C2</v>
      </c>
      <c r="BU29" s="988">
        <f t="shared" si="69"/>
        <v>0.8581272257261886</v>
      </c>
      <c r="BV29" s="974"/>
      <c r="BW29" s="974"/>
      <c r="BX29" s="973"/>
      <c r="BY29" s="987" t="s">
        <v>387</v>
      </c>
      <c r="BZ29" s="987">
        <f t="shared" si="54"/>
        <v>3.8681166909204125</v>
      </c>
      <c r="CA29" s="1052"/>
      <c r="CB29" s="1052"/>
      <c r="CC29" s="1052"/>
      <c r="CD29" s="1052"/>
      <c r="CE29" s="1052"/>
      <c r="CF29" s="1052"/>
      <c r="CG29" s="1052"/>
      <c r="CH29" s="1052"/>
      <c r="CI29" s="1052"/>
      <c r="CJ29" s="1052"/>
      <c r="CK29" s="1052"/>
      <c r="CL29" s="1052"/>
      <c r="CM29" s="992">
        <v>114.3</v>
      </c>
      <c r="CN29" s="1685"/>
    </row>
    <row r="30" spans="1:92" s="970" customFormat="1" ht="12.75" customHeight="1">
      <c r="A30" s="1003" t="s">
        <v>424</v>
      </c>
      <c r="B30" s="1102" t="s">
        <v>159</v>
      </c>
      <c r="C30" s="1102" t="s">
        <v>160</v>
      </c>
      <c r="D30" s="1002">
        <v>4.6500000000000004</v>
      </c>
      <c r="E30" s="1001">
        <f t="shared" si="0"/>
        <v>5.2258064516140179E-2</v>
      </c>
      <c r="F30" s="1006">
        <v>80.42</v>
      </c>
      <c r="G30" s="1006">
        <v>987.21799999999996</v>
      </c>
      <c r="H30" s="1006">
        <v>987.46100000000001</v>
      </c>
      <c r="I30" s="1088">
        <f t="shared" si="1"/>
        <v>986.13757999999996</v>
      </c>
      <c r="J30" s="1025">
        <f t="shared" si="2"/>
        <v>986.38058000000001</v>
      </c>
      <c r="K30" s="1000">
        <f t="shared" si="3"/>
        <v>1</v>
      </c>
      <c r="L30" s="989">
        <f t="shared" si="4"/>
        <v>4.6563450258759849</v>
      </c>
      <c r="M30" s="989">
        <v>0.7</v>
      </c>
      <c r="N30" s="999" t="s">
        <v>331</v>
      </c>
      <c r="O30" s="998" t="str">
        <f t="shared" si="5"/>
        <v>N</v>
      </c>
      <c r="P30" s="998" t="str">
        <f t="shared" si="6"/>
        <v>N</v>
      </c>
      <c r="Q30" s="998" t="str">
        <f t="shared" si="7"/>
        <v>S</v>
      </c>
      <c r="R30" s="998" t="str">
        <f t="shared" si="8"/>
        <v>N</v>
      </c>
      <c r="S30" s="989">
        <f t="shared" si="9"/>
        <v>0</v>
      </c>
      <c r="T30" s="989">
        <f t="shared" si="10"/>
        <v>0</v>
      </c>
      <c r="U30" s="989">
        <f t="shared" si="11"/>
        <v>4.6563450258759849</v>
      </c>
      <c r="V30" s="989">
        <f t="shared" si="12"/>
        <v>0</v>
      </c>
      <c r="W30" s="989">
        <f t="shared" si="13"/>
        <v>0</v>
      </c>
      <c r="X30" s="989">
        <f t="shared" si="14"/>
        <v>0</v>
      </c>
      <c r="Y30" s="989">
        <f t="shared" si="15"/>
        <v>0.83814210465767724</v>
      </c>
      <c r="Z30" s="989">
        <f t="shared" si="16"/>
        <v>1.1804200000000038</v>
      </c>
      <c r="AA30" s="994">
        <f t="shared" si="17"/>
        <v>0</v>
      </c>
      <c r="AB30" s="989">
        <f t="shared" si="67"/>
        <v>0</v>
      </c>
      <c r="AC30" s="954"/>
      <c r="AD30" s="954"/>
      <c r="AE30" s="988">
        <f t="shared" si="20"/>
        <v>3.1636654366566597</v>
      </c>
      <c r="AF30" s="974"/>
      <c r="AG30" s="974"/>
      <c r="AH30" s="988">
        <f t="shared" si="21"/>
        <v>3.009367852153506E-2</v>
      </c>
      <c r="AI30" s="988" t="str">
        <f t="shared" si="22"/>
        <v>N</v>
      </c>
      <c r="AJ30" s="989">
        <f t="shared" si="23"/>
        <v>0</v>
      </c>
      <c r="AK30" s="989">
        <f t="shared" si="24"/>
        <v>0</v>
      </c>
      <c r="AL30" s="989">
        <f t="shared" si="25"/>
        <v>0</v>
      </c>
      <c r="AM30" s="987" t="s">
        <v>401</v>
      </c>
      <c r="AN30" s="989">
        <f t="shared" si="26"/>
        <v>0</v>
      </c>
      <c r="AO30" s="989">
        <f t="shared" si="27"/>
        <v>0</v>
      </c>
      <c r="AP30" s="989">
        <f t="shared" si="28"/>
        <v>4.6563450258759849</v>
      </c>
      <c r="AQ30" s="989">
        <v>0</v>
      </c>
      <c r="AR30" s="989">
        <v>0</v>
      </c>
      <c r="AS30" s="995">
        <f t="shared" si="29"/>
        <v>0.26121453445343995</v>
      </c>
      <c r="AT30" s="223">
        <f t="shared" si="30"/>
        <v>1.2163049981887861</v>
      </c>
      <c r="AU30" s="223">
        <f t="shared" si="31"/>
        <v>1.3037766072452757</v>
      </c>
      <c r="AV30" s="994">
        <f t="shared" si="32"/>
        <v>80</v>
      </c>
      <c r="AW30" s="989">
        <f t="shared" si="33"/>
        <v>0.46038353730853937</v>
      </c>
      <c r="AX30" s="989">
        <f t="shared" si="34"/>
        <v>0</v>
      </c>
      <c r="AY30" s="989">
        <f t="shared" si="35"/>
        <v>0.36830682984683139</v>
      </c>
      <c r="AZ30" s="989">
        <f t="shared" si="36"/>
        <v>9.2076707461707985E-2</v>
      </c>
      <c r="BA30" s="995">
        <f t="shared" si="37"/>
        <v>2.8902709410904972E-2</v>
      </c>
      <c r="BB30" s="989">
        <f t="shared" si="38"/>
        <v>2.6410610223066748</v>
      </c>
      <c r="BC30" s="992">
        <f t="shared" si="39"/>
        <v>0.47499999999999998</v>
      </c>
      <c r="BD30" s="992">
        <v>0.6</v>
      </c>
      <c r="BE30" s="992">
        <v>0.4</v>
      </c>
      <c r="BF30" s="992">
        <v>0.1</v>
      </c>
      <c r="BG30" s="992">
        <v>7.4999999999999997E-2</v>
      </c>
      <c r="BH30" s="989">
        <f t="shared" si="40"/>
        <v>0</v>
      </c>
      <c r="BI30" s="988">
        <f t="shared" si="41"/>
        <v>1.1804200000000038</v>
      </c>
      <c r="BJ30" s="989">
        <f t="shared" si="42"/>
        <v>0</v>
      </c>
      <c r="BK30" s="989">
        <f t="shared" si="43"/>
        <v>0</v>
      </c>
      <c r="BL30" s="989">
        <f t="shared" si="68"/>
        <v>3.1956216531885451</v>
      </c>
      <c r="BM30" s="954"/>
      <c r="BN30" s="954"/>
      <c r="BO30" s="991">
        <f t="shared" si="46"/>
        <v>3.0093678521535061</v>
      </c>
      <c r="BP30" s="989">
        <f t="shared" si="47"/>
        <v>0</v>
      </c>
      <c r="BQ30" s="990">
        <f t="shared" si="48"/>
        <v>9.6250000000000002E-2</v>
      </c>
      <c r="BR30" s="989">
        <f t="shared" si="49"/>
        <v>3.9374999999999993E-2</v>
      </c>
      <c r="BS30" s="989">
        <f t="shared" si="50"/>
        <v>2.2089318749999999E-3</v>
      </c>
      <c r="BT30" s="989" t="str">
        <f t="shared" si="51"/>
        <v>C2</v>
      </c>
      <c r="BU30" s="988">
        <f t="shared" si="69"/>
        <v>3.1636654366566597</v>
      </c>
      <c r="BV30" s="974"/>
      <c r="BW30" s="974"/>
      <c r="BX30" s="973"/>
      <c r="BY30" s="987" t="s">
        <v>387</v>
      </c>
      <c r="BZ30" s="987">
        <f t="shared" si="54"/>
        <v>10.71269005175197</v>
      </c>
      <c r="CA30" s="1052"/>
      <c r="CB30" s="1052"/>
      <c r="CC30" s="1052"/>
      <c r="CD30" s="1052"/>
      <c r="CE30" s="1052"/>
      <c r="CF30" s="1052"/>
      <c r="CG30" s="1052"/>
      <c r="CH30" s="1052"/>
      <c r="CI30" s="1052"/>
      <c r="CJ30" s="1052"/>
      <c r="CK30" s="1052"/>
      <c r="CL30" s="1052"/>
      <c r="CM30" s="1087">
        <v>88.9</v>
      </c>
      <c r="CN30" s="1685">
        <v>15</v>
      </c>
    </row>
    <row r="31" spans="1:92" s="970" customFormat="1" ht="12.75" customHeight="1">
      <c r="A31" s="1003" t="s">
        <v>425</v>
      </c>
      <c r="B31" s="1102" t="s">
        <v>161</v>
      </c>
      <c r="C31" s="1102" t="s">
        <v>162</v>
      </c>
      <c r="D31" s="1002">
        <v>1.1100000000000001</v>
      </c>
      <c r="E31" s="1001">
        <f t="shared" si="0"/>
        <v>0</v>
      </c>
      <c r="F31" s="1006">
        <v>80.42</v>
      </c>
      <c r="G31" s="1006">
        <v>987.21799999999996</v>
      </c>
      <c r="H31" s="1006">
        <v>987.21799999999996</v>
      </c>
      <c r="I31" s="1088">
        <f t="shared" si="1"/>
        <v>986.13757999999996</v>
      </c>
      <c r="J31" s="1025">
        <f t="shared" si="2"/>
        <v>986.13757999999996</v>
      </c>
      <c r="K31" s="1000">
        <f t="shared" si="3"/>
        <v>1</v>
      </c>
      <c r="L31" s="989">
        <f t="shared" si="4"/>
        <v>1.1100000000000001</v>
      </c>
      <c r="M31" s="989">
        <v>0.7</v>
      </c>
      <c r="N31" s="999" t="s">
        <v>331</v>
      </c>
      <c r="O31" s="998" t="str">
        <f t="shared" si="5"/>
        <v>N</v>
      </c>
      <c r="P31" s="998" t="str">
        <f t="shared" si="6"/>
        <v>N</v>
      </c>
      <c r="Q31" s="998" t="str">
        <f t="shared" si="7"/>
        <v>S</v>
      </c>
      <c r="R31" s="998" t="str">
        <f t="shared" si="8"/>
        <v>N</v>
      </c>
      <c r="S31" s="989">
        <f t="shared" si="9"/>
        <v>0</v>
      </c>
      <c r="T31" s="989">
        <f t="shared" si="10"/>
        <v>0</v>
      </c>
      <c r="U31" s="989">
        <f t="shared" si="11"/>
        <v>1.1100000000000001</v>
      </c>
      <c r="V31" s="989">
        <f t="shared" si="12"/>
        <v>0</v>
      </c>
      <c r="W31" s="989">
        <f t="shared" si="13"/>
        <v>0</v>
      </c>
      <c r="X31" s="989">
        <f t="shared" si="14"/>
        <v>0</v>
      </c>
      <c r="Y31" s="989">
        <f t="shared" si="15"/>
        <v>0.19980000000000001</v>
      </c>
      <c r="Z31" s="989">
        <f t="shared" si="16"/>
        <v>1.1804200000000038</v>
      </c>
      <c r="AA31" s="994">
        <f t="shared" si="17"/>
        <v>0</v>
      </c>
      <c r="AB31" s="989">
        <f t="shared" si="67"/>
        <v>0</v>
      </c>
      <c r="AC31" s="954"/>
      <c r="AD31" s="954"/>
      <c r="AE31" s="988">
        <f t="shared" si="20"/>
        <v>0.75416847660000286</v>
      </c>
      <c r="AF31" s="974"/>
      <c r="AG31" s="974"/>
      <c r="AH31" s="988">
        <f t="shared" si="21"/>
        <v>7.1738634000000304E-3</v>
      </c>
      <c r="AI31" s="988" t="str">
        <f t="shared" si="22"/>
        <v>N</v>
      </c>
      <c r="AJ31" s="989">
        <f t="shared" si="23"/>
        <v>0</v>
      </c>
      <c r="AK31" s="989">
        <f t="shared" si="24"/>
        <v>0</v>
      </c>
      <c r="AL31" s="989">
        <f t="shared" si="25"/>
        <v>0</v>
      </c>
      <c r="AM31" s="987" t="s">
        <v>401</v>
      </c>
      <c r="AN31" s="989">
        <f t="shared" si="26"/>
        <v>0</v>
      </c>
      <c r="AO31" s="989">
        <f t="shared" si="27"/>
        <v>0</v>
      </c>
      <c r="AP31" s="989">
        <f t="shared" si="28"/>
        <v>1.1100000000000001</v>
      </c>
      <c r="AQ31" s="989">
        <v>0</v>
      </c>
      <c r="AR31" s="989">
        <v>0</v>
      </c>
      <c r="AS31" s="995">
        <f t="shared" si="29"/>
        <v>0.26121453445343995</v>
      </c>
      <c r="AT31" s="223">
        <f t="shared" si="30"/>
        <v>0.28994813324331836</v>
      </c>
      <c r="AU31" s="223">
        <f t="shared" si="31"/>
        <v>0.31080000000000002</v>
      </c>
      <c r="AV31" s="994">
        <f t="shared" si="32"/>
        <v>80</v>
      </c>
      <c r="AW31" s="989">
        <f t="shared" si="33"/>
        <v>0.1097482518096564</v>
      </c>
      <c r="AX31" s="989">
        <f t="shared" si="34"/>
        <v>0</v>
      </c>
      <c r="AY31" s="989">
        <f t="shared" si="35"/>
        <v>8.7798601447725097E-2</v>
      </c>
      <c r="AZ31" s="989">
        <f t="shared" si="36"/>
        <v>2.1949650361931305E-2</v>
      </c>
      <c r="BA31" s="995">
        <f t="shared" si="37"/>
        <v>6.8899549470282269E-3</v>
      </c>
      <c r="BB31" s="989">
        <f t="shared" si="38"/>
        <v>0.6295877385522779</v>
      </c>
      <c r="BC31" s="992">
        <f t="shared" si="39"/>
        <v>0.47499999999999998</v>
      </c>
      <c r="BD31" s="992">
        <v>0.6</v>
      </c>
      <c r="BE31" s="992">
        <v>0.4</v>
      </c>
      <c r="BF31" s="992">
        <v>0.1</v>
      </c>
      <c r="BG31" s="992">
        <v>7.4999999999999997E-2</v>
      </c>
      <c r="BH31" s="989">
        <f t="shared" si="40"/>
        <v>0</v>
      </c>
      <c r="BI31" s="988">
        <f t="shared" si="41"/>
        <v>1.1804200000000038</v>
      </c>
      <c r="BJ31" s="989">
        <f t="shared" si="42"/>
        <v>0</v>
      </c>
      <c r="BK31" s="989">
        <f t="shared" si="43"/>
        <v>0</v>
      </c>
      <c r="BL31" s="989">
        <f t="shared" si="68"/>
        <v>0.76178634000000289</v>
      </c>
      <c r="BM31" s="954"/>
      <c r="BN31" s="954"/>
      <c r="BO31" s="991">
        <f t="shared" si="46"/>
        <v>0.71738634000000301</v>
      </c>
      <c r="BP31" s="989">
        <f t="shared" si="47"/>
        <v>0</v>
      </c>
      <c r="BQ31" s="990">
        <f t="shared" si="48"/>
        <v>9.6250000000000002E-2</v>
      </c>
      <c r="BR31" s="989">
        <f t="shared" si="49"/>
        <v>3.9374999999999993E-2</v>
      </c>
      <c r="BS31" s="989">
        <f t="shared" si="50"/>
        <v>2.2089318749999999E-3</v>
      </c>
      <c r="BT31" s="989" t="str">
        <f t="shared" si="51"/>
        <v>C2</v>
      </c>
      <c r="BU31" s="988">
        <f t="shared" si="69"/>
        <v>0.75416847660000286</v>
      </c>
      <c r="BV31" s="974"/>
      <c r="BW31" s="974"/>
      <c r="BX31" s="973"/>
      <c r="BY31" s="987" t="s">
        <v>387</v>
      </c>
      <c r="BZ31" s="987">
        <f t="shared" si="54"/>
        <v>3.62</v>
      </c>
      <c r="CA31" s="1052"/>
      <c r="CB31" s="1052"/>
      <c r="CC31" s="1052"/>
      <c r="CD31" s="1052"/>
      <c r="CE31" s="1052"/>
      <c r="CF31" s="1052"/>
      <c r="CG31" s="1052"/>
      <c r="CH31" s="1052"/>
      <c r="CI31" s="1052"/>
      <c r="CJ31" s="1052"/>
      <c r="CK31" s="1052"/>
      <c r="CL31" s="1052"/>
      <c r="CM31" s="1087">
        <v>88.9</v>
      </c>
      <c r="CN31" s="1685"/>
    </row>
    <row r="32" spans="1:92" s="970" customFormat="1" ht="12.75" customHeight="1">
      <c r="A32" s="1003" t="s">
        <v>426</v>
      </c>
      <c r="B32" s="1102" t="s">
        <v>163</v>
      </c>
      <c r="C32" s="1102" t="s">
        <v>161</v>
      </c>
      <c r="D32" s="1002">
        <v>50.4</v>
      </c>
      <c r="E32" s="1001">
        <f t="shared" si="0"/>
        <v>2.9265873015871212E-2</v>
      </c>
      <c r="F32" s="1006">
        <v>80.42</v>
      </c>
      <c r="G32" s="1006">
        <v>985.74300000000005</v>
      </c>
      <c r="H32" s="1006">
        <v>987.21799999999996</v>
      </c>
      <c r="I32" s="1088">
        <f t="shared" si="1"/>
        <v>984.66258000000005</v>
      </c>
      <c r="J32" s="1025">
        <f t="shared" si="2"/>
        <v>986.13757999999996</v>
      </c>
      <c r="K32" s="1000">
        <f t="shared" si="3"/>
        <v>1</v>
      </c>
      <c r="L32" s="989">
        <f t="shared" si="4"/>
        <v>50.421578961789763</v>
      </c>
      <c r="M32" s="989">
        <v>0.7</v>
      </c>
      <c r="N32" s="999" t="s">
        <v>331</v>
      </c>
      <c r="O32" s="998" t="str">
        <f t="shared" si="5"/>
        <v>N</v>
      </c>
      <c r="P32" s="998" t="str">
        <f t="shared" si="6"/>
        <v>N</v>
      </c>
      <c r="Q32" s="998" t="str">
        <f t="shared" si="7"/>
        <v>S</v>
      </c>
      <c r="R32" s="998" t="str">
        <f t="shared" si="8"/>
        <v>N</v>
      </c>
      <c r="S32" s="989">
        <f t="shared" si="9"/>
        <v>0</v>
      </c>
      <c r="T32" s="989">
        <f t="shared" si="10"/>
        <v>0</v>
      </c>
      <c r="U32" s="989">
        <f t="shared" si="11"/>
        <v>50.421578961789763</v>
      </c>
      <c r="V32" s="989">
        <f t="shared" si="12"/>
        <v>0</v>
      </c>
      <c r="W32" s="989">
        <f t="shared" si="13"/>
        <v>0</v>
      </c>
      <c r="X32" s="989">
        <f t="shared" si="14"/>
        <v>0</v>
      </c>
      <c r="Y32" s="989">
        <f t="shared" si="15"/>
        <v>9.0758842131221567</v>
      </c>
      <c r="Z32" s="989">
        <f t="shared" si="16"/>
        <v>1.1804200000000038</v>
      </c>
      <c r="AA32" s="994">
        <f t="shared" si="17"/>
        <v>0</v>
      </c>
      <c r="AB32" s="989">
        <f t="shared" si="67"/>
        <v>0</v>
      </c>
      <c r="AC32" s="954"/>
      <c r="AD32" s="954"/>
      <c r="AE32" s="988">
        <f t="shared" si="20"/>
        <v>34.257986840882658</v>
      </c>
      <c r="AF32" s="974"/>
      <c r="AG32" s="974"/>
      <c r="AH32" s="988">
        <f t="shared" si="21"/>
        <v>0.32587163953531084</v>
      </c>
      <c r="AI32" s="988" t="str">
        <f t="shared" si="22"/>
        <v>N</v>
      </c>
      <c r="AJ32" s="989">
        <f t="shared" si="23"/>
        <v>0</v>
      </c>
      <c r="AK32" s="989">
        <f t="shared" si="24"/>
        <v>0</v>
      </c>
      <c r="AL32" s="989">
        <f t="shared" si="25"/>
        <v>0</v>
      </c>
      <c r="AM32" s="987" t="s">
        <v>401</v>
      </c>
      <c r="AN32" s="989">
        <f t="shared" si="26"/>
        <v>0</v>
      </c>
      <c r="AO32" s="989">
        <f t="shared" si="27"/>
        <v>0</v>
      </c>
      <c r="AP32" s="989">
        <f t="shared" si="28"/>
        <v>50.421578961789763</v>
      </c>
      <c r="AQ32" s="989">
        <v>0</v>
      </c>
      <c r="AR32" s="989">
        <v>0</v>
      </c>
      <c r="AS32" s="995">
        <f t="shared" si="29"/>
        <v>0.26121453445343995</v>
      </c>
      <c r="AT32" s="223">
        <f t="shared" si="30"/>
        <v>13.170849274911275</v>
      </c>
      <c r="AU32" s="223">
        <f t="shared" si="31"/>
        <v>14.118042109301133</v>
      </c>
      <c r="AV32" s="994">
        <f t="shared" si="32"/>
        <v>80</v>
      </c>
      <c r="AW32" s="989">
        <f t="shared" si="33"/>
        <v>4.9852974275125845</v>
      </c>
      <c r="AX32" s="989">
        <f t="shared" si="34"/>
        <v>0</v>
      </c>
      <c r="AY32" s="989">
        <f t="shared" si="35"/>
        <v>3.9882379420100706</v>
      </c>
      <c r="AZ32" s="989">
        <f t="shared" si="36"/>
        <v>0.99705948550251389</v>
      </c>
      <c r="BA32" s="995">
        <f t="shared" si="37"/>
        <v>0.31297514180608804</v>
      </c>
      <c r="BB32" s="989">
        <f t="shared" si="38"/>
        <v>28.598926011521012</v>
      </c>
      <c r="BC32" s="992">
        <f t="shared" si="39"/>
        <v>0.47499999999999998</v>
      </c>
      <c r="BD32" s="992">
        <v>0.6</v>
      </c>
      <c r="BE32" s="992">
        <v>0.4</v>
      </c>
      <c r="BF32" s="992">
        <v>0.1</v>
      </c>
      <c r="BG32" s="992">
        <v>7.4999999999999997E-2</v>
      </c>
      <c r="BH32" s="989">
        <f t="shared" si="40"/>
        <v>0</v>
      </c>
      <c r="BI32" s="988">
        <f t="shared" si="41"/>
        <v>1.1804200000000038</v>
      </c>
      <c r="BJ32" s="989">
        <f t="shared" si="42"/>
        <v>0</v>
      </c>
      <c r="BK32" s="989">
        <f t="shared" si="43"/>
        <v>0</v>
      </c>
      <c r="BL32" s="989">
        <f t="shared" si="68"/>
        <v>34.604027112002683</v>
      </c>
      <c r="BM32" s="954"/>
      <c r="BN32" s="954"/>
      <c r="BO32" s="991">
        <f t="shared" si="46"/>
        <v>32.587163953531082</v>
      </c>
      <c r="BP32" s="989">
        <f t="shared" si="47"/>
        <v>0</v>
      </c>
      <c r="BQ32" s="990">
        <f t="shared" si="48"/>
        <v>9.6250000000000002E-2</v>
      </c>
      <c r="BR32" s="989">
        <f t="shared" si="49"/>
        <v>3.9374999999999993E-2</v>
      </c>
      <c r="BS32" s="989">
        <f t="shared" si="50"/>
        <v>2.2089318749999999E-3</v>
      </c>
      <c r="BT32" s="989" t="str">
        <f t="shared" si="51"/>
        <v>C2</v>
      </c>
      <c r="BU32" s="988">
        <f t="shared" si="69"/>
        <v>34.257986840882658</v>
      </c>
      <c r="BV32" s="974"/>
      <c r="BW32" s="974"/>
      <c r="BX32" s="973"/>
      <c r="BY32" s="987" t="s">
        <v>387</v>
      </c>
      <c r="BZ32" s="987">
        <f t="shared" si="54"/>
        <v>102.24315792357953</v>
      </c>
      <c r="CA32" s="1052"/>
      <c r="CB32" s="1052"/>
      <c r="CC32" s="1052"/>
      <c r="CD32" s="1052"/>
      <c r="CE32" s="1052"/>
      <c r="CF32" s="1052"/>
      <c r="CG32" s="1052"/>
      <c r="CH32" s="1052"/>
      <c r="CI32" s="1052"/>
      <c r="CJ32" s="1052"/>
      <c r="CK32" s="1052"/>
      <c r="CL32" s="1052"/>
      <c r="CM32" s="1087">
        <v>88.9</v>
      </c>
      <c r="CN32" s="1685"/>
    </row>
    <row r="33" spans="1:92" s="970" customFormat="1" ht="12.75" customHeight="1">
      <c r="A33" s="1003" t="s">
        <v>427</v>
      </c>
      <c r="B33" s="1102" t="s">
        <v>164</v>
      </c>
      <c r="C33" s="1102" t="s">
        <v>163</v>
      </c>
      <c r="D33" s="1002">
        <v>44</v>
      </c>
      <c r="E33" s="1001">
        <f t="shared" si="0"/>
        <v>6.3409090909090082E-3</v>
      </c>
      <c r="F33" s="1006">
        <v>80.42</v>
      </c>
      <c r="G33" s="1006">
        <v>986.02200000000005</v>
      </c>
      <c r="H33" s="1006">
        <v>985.74300000000005</v>
      </c>
      <c r="I33" s="1088">
        <f t="shared" si="1"/>
        <v>984.94158000000004</v>
      </c>
      <c r="J33" s="1025">
        <f t="shared" si="2"/>
        <v>984.66258000000005</v>
      </c>
      <c r="K33" s="1000">
        <f t="shared" si="3"/>
        <v>1</v>
      </c>
      <c r="L33" s="989">
        <f t="shared" si="4"/>
        <v>44.000884547926987</v>
      </c>
      <c r="M33" s="989">
        <v>0.7</v>
      </c>
      <c r="N33" s="999" t="s">
        <v>331</v>
      </c>
      <c r="O33" s="998" t="str">
        <f t="shared" si="5"/>
        <v>N</v>
      </c>
      <c r="P33" s="998" t="str">
        <f t="shared" si="6"/>
        <v>N</v>
      </c>
      <c r="Q33" s="998" t="str">
        <f t="shared" si="7"/>
        <v>S</v>
      </c>
      <c r="R33" s="998" t="str">
        <f t="shared" si="8"/>
        <v>N</v>
      </c>
      <c r="S33" s="989">
        <f t="shared" si="9"/>
        <v>0</v>
      </c>
      <c r="T33" s="989">
        <f t="shared" si="10"/>
        <v>0</v>
      </c>
      <c r="U33" s="989">
        <f t="shared" si="11"/>
        <v>44.000884547926987</v>
      </c>
      <c r="V33" s="989">
        <f t="shared" si="12"/>
        <v>0</v>
      </c>
      <c r="W33" s="989">
        <f t="shared" si="13"/>
        <v>0</v>
      </c>
      <c r="X33" s="989">
        <f t="shared" si="14"/>
        <v>0</v>
      </c>
      <c r="Y33" s="989">
        <f t="shared" si="15"/>
        <v>7.920159218626857</v>
      </c>
      <c r="Z33" s="989">
        <f t="shared" si="16"/>
        <v>1.1804200000000038</v>
      </c>
      <c r="AA33" s="994">
        <f t="shared" si="17"/>
        <v>0</v>
      </c>
      <c r="AB33" s="989">
        <f t="shared" si="67"/>
        <v>0</v>
      </c>
      <c r="AC33" s="954"/>
      <c r="AD33" s="954"/>
      <c r="AE33" s="988">
        <f t="shared" si="20"/>
        <v>29.895567629335769</v>
      </c>
      <c r="AF33" s="974"/>
      <c r="AG33" s="974"/>
      <c r="AH33" s="988">
        <f t="shared" si="21"/>
        <v>0.28437507678018042</v>
      </c>
      <c r="AI33" s="988" t="str">
        <f t="shared" si="22"/>
        <v>N</v>
      </c>
      <c r="AJ33" s="989">
        <f t="shared" si="23"/>
        <v>0</v>
      </c>
      <c r="AK33" s="989">
        <f t="shared" si="24"/>
        <v>0</v>
      </c>
      <c r="AL33" s="989">
        <f t="shared" si="25"/>
        <v>0</v>
      </c>
      <c r="AM33" s="987" t="s">
        <v>401</v>
      </c>
      <c r="AN33" s="989">
        <f t="shared" si="26"/>
        <v>0</v>
      </c>
      <c r="AO33" s="989">
        <f t="shared" si="27"/>
        <v>0</v>
      </c>
      <c r="AP33" s="989">
        <f t="shared" si="28"/>
        <v>44.000884547926987</v>
      </c>
      <c r="AQ33" s="989">
        <v>0</v>
      </c>
      <c r="AR33" s="989">
        <v>0</v>
      </c>
      <c r="AS33" s="995">
        <f t="shared" si="29"/>
        <v>0.26121453445343995</v>
      </c>
      <c r="AT33" s="223">
        <f t="shared" si="30"/>
        <v>11.493670572726307</v>
      </c>
      <c r="AU33" s="223">
        <f t="shared" si="31"/>
        <v>12.320247673419555</v>
      </c>
      <c r="AV33" s="994">
        <f t="shared" si="32"/>
        <v>80</v>
      </c>
      <c r="AW33" s="989">
        <f t="shared" si="33"/>
        <v>4.3504686101022632</v>
      </c>
      <c r="AX33" s="989">
        <f t="shared" si="34"/>
        <v>0</v>
      </c>
      <c r="AY33" s="989">
        <f t="shared" si="35"/>
        <v>3.4803748880818119</v>
      </c>
      <c r="AZ33" s="989">
        <f t="shared" si="36"/>
        <v>0.87009372202045121</v>
      </c>
      <c r="BA33" s="995">
        <f t="shared" si="37"/>
        <v>0.27312082176991653</v>
      </c>
      <c r="BB33" s="989">
        <f t="shared" si="38"/>
        <v>24.957132789936232</v>
      </c>
      <c r="BC33" s="992">
        <f t="shared" si="39"/>
        <v>0.47499999999999998</v>
      </c>
      <c r="BD33" s="992">
        <v>0.6</v>
      </c>
      <c r="BE33" s="992">
        <v>0.4</v>
      </c>
      <c r="BF33" s="992">
        <v>0.1</v>
      </c>
      <c r="BG33" s="992">
        <v>7.4999999999999997E-2</v>
      </c>
      <c r="BH33" s="989">
        <f t="shared" si="40"/>
        <v>0</v>
      </c>
      <c r="BI33" s="988">
        <f t="shared" si="41"/>
        <v>1.1804200000000038</v>
      </c>
      <c r="BJ33" s="989">
        <f t="shared" si="42"/>
        <v>0</v>
      </c>
      <c r="BK33" s="989">
        <f t="shared" si="43"/>
        <v>0</v>
      </c>
      <c r="BL33" s="989">
        <f t="shared" si="68"/>
        <v>30.197543059935121</v>
      </c>
      <c r="BM33" s="954"/>
      <c r="BN33" s="954"/>
      <c r="BO33" s="991">
        <f t="shared" si="46"/>
        <v>28.437507678018044</v>
      </c>
      <c r="BP33" s="989">
        <f t="shared" si="47"/>
        <v>0</v>
      </c>
      <c r="BQ33" s="990">
        <f t="shared" si="48"/>
        <v>9.6250000000000002E-2</v>
      </c>
      <c r="BR33" s="989">
        <f t="shared" si="49"/>
        <v>3.9374999999999993E-2</v>
      </c>
      <c r="BS33" s="989">
        <f t="shared" si="50"/>
        <v>2.2089318749999999E-3</v>
      </c>
      <c r="BT33" s="989" t="str">
        <f t="shared" si="51"/>
        <v>C2</v>
      </c>
      <c r="BU33" s="988">
        <f t="shared" si="69"/>
        <v>29.895567629335769</v>
      </c>
      <c r="BV33" s="974"/>
      <c r="BW33" s="974"/>
      <c r="BX33" s="973"/>
      <c r="BY33" s="987" t="s">
        <v>387</v>
      </c>
      <c r="BZ33" s="987">
        <f t="shared" si="54"/>
        <v>89.401769095853979</v>
      </c>
      <c r="CA33" s="1052"/>
      <c r="CB33" s="1052"/>
      <c r="CC33" s="1052"/>
      <c r="CD33" s="1052"/>
      <c r="CE33" s="1052"/>
      <c r="CF33" s="1052"/>
      <c r="CG33" s="1052"/>
      <c r="CH33" s="1052"/>
      <c r="CI33" s="1052"/>
      <c r="CJ33" s="1052"/>
      <c r="CK33" s="1052"/>
      <c r="CL33" s="1052"/>
      <c r="CM33" s="1087">
        <v>88.9</v>
      </c>
      <c r="CN33" s="1086">
        <v>10</v>
      </c>
    </row>
    <row r="34" spans="1:92" s="970" customFormat="1" ht="12.75" customHeight="1">
      <c r="A34" s="1003" t="s">
        <v>428</v>
      </c>
      <c r="B34" s="1102" t="s">
        <v>165</v>
      </c>
      <c r="C34" s="1102" t="s">
        <v>166</v>
      </c>
      <c r="D34" s="1002">
        <v>99.84</v>
      </c>
      <c r="E34" s="1001">
        <f t="shared" si="0"/>
        <v>3.7990785256409178E-2</v>
      </c>
      <c r="F34" s="1006">
        <v>80.42</v>
      </c>
      <c r="G34" s="1006">
        <v>984.76700000000005</v>
      </c>
      <c r="H34" s="1006">
        <v>988.56</v>
      </c>
      <c r="I34" s="1088">
        <f t="shared" si="1"/>
        <v>983.68658000000005</v>
      </c>
      <c r="J34" s="1025">
        <f t="shared" si="2"/>
        <v>987.47957999999994</v>
      </c>
      <c r="K34" s="1000">
        <f t="shared" si="3"/>
        <v>1</v>
      </c>
      <c r="L34" s="989">
        <f t="shared" si="4"/>
        <v>99.91202354571746</v>
      </c>
      <c r="M34" s="989">
        <v>0.7</v>
      </c>
      <c r="N34" s="999" t="s">
        <v>331</v>
      </c>
      <c r="O34" s="998" t="str">
        <f t="shared" si="5"/>
        <v>N</v>
      </c>
      <c r="P34" s="998" t="str">
        <f t="shared" si="6"/>
        <v>N</v>
      </c>
      <c r="Q34" s="998" t="str">
        <f t="shared" si="7"/>
        <v>S</v>
      </c>
      <c r="R34" s="998" t="str">
        <f t="shared" si="8"/>
        <v>N</v>
      </c>
      <c r="S34" s="989">
        <f t="shared" si="9"/>
        <v>0</v>
      </c>
      <c r="T34" s="989">
        <f t="shared" si="10"/>
        <v>0</v>
      </c>
      <c r="U34" s="989">
        <f t="shared" si="11"/>
        <v>99.91202354571746</v>
      </c>
      <c r="V34" s="989">
        <f t="shared" si="12"/>
        <v>0</v>
      </c>
      <c r="W34" s="989">
        <f t="shared" si="13"/>
        <v>0</v>
      </c>
      <c r="X34" s="989">
        <f t="shared" si="14"/>
        <v>0</v>
      </c>
      <c r="Y34" s="989">
        <f t="shared" si="15"/>
        <v>17.984164238229141</v>
      </c>
      <c r="Z34" s="989">
        <f t="shared" si="16"/>
        <v>1.1804200000000038</v>
      </c>
      <c r="AA34" s="994">
        <f t="shared" si="17"/>
        <v>0</v>
      </c>
      <c r="AB34" s="989">
        <f t="shared" si="67"/>
        <v>0</v>
      </c>
      <c r="AC34" s="954"/>
      <c r="AD34" s="954"/>
      <c r="AE34" s="988">
        <f t="shared" si="20"/>
        <v>67.883332064412031</v>
      </c>
      <c r="AF34" s="974"/>
      <c r="AG34" s="974"/>
      <c r="AH34" s="988">
        <f t="shared" si="21"/>
        <v>0.64572541345456191</v>
      </c>
      <c r="AI34" s="988" t="str">
        <f t="shared" si="22"/>
        <v>N</v>
      </c>
      <c r="AJ34" s="989">
        <f t="shared" si="23"/>
        <v>0</v>
      </c>
      <c r="AK34" s="989">
        <f t="shared" si="24"/>
        <v>0</v>
      </c>
      <c r="AL34" s="989">
        <f t="shared" si="25"/>
        <v>0</v>
      </c>
      <c r="AM34" s="987" t="s">
        <v>401</v>
      </c>
      <c r="AN34" s="989">
        <f t="shared" si="26"/>
        <v>0</v>
      </c>
      <c r="AO34" s="989">
        <f t="shared" si="27"/>
        <v>0</v>
      </c>
      <c r="AP34" s="989">
        <f t="shared" si="28"/>
        <v>99.91202354571746</v>
      </c>
      <c r="AQ34" s="989">
        <v>0</v>
      </c>
      <c r="AR34" s="989">
        <v>0</v>
      </c>
      <c r="AS34" s="995">
        <f t="shared" si="29"/>
        <v>0.26121453445343995</v>
      </c>
      <c r="AT34" s="223">
        <f t="shared" si="30"/>
        <v>26.098472716795715</v>
      </c>
      <c r="AU34" s="223">
        <f t="shared" si="31"/>
        <v>27.975366592800885</v>
      </c>
      <c r="AV34" s="994">
        <f t="shared" si="32"/>
        <v>80</v>
      </c>
      <c r="AW34" s="989">
        <f t="shared" si="33"/>
        <v>9.8785314584754307</v>
      </c>
      <c r="AX34" s="989">
        <f t="shared" si="34"/>
        <v>0</v>
      </c>
      <c r="AY34" s="989">
        <f t="shared" si="35"/>
        <v>7.902825166780346</v>
      </c>
      <c r="AZ34" s="989">
        <f t="shared" si="36"/>
        <v>1.9757062916950847</v>
      </c>
      <c r="BA34" s="995">
        <f t="shared" si="37"/>
        <v>0.62017057738415915</v>
      </c>
      <c r="BB34" s="989">
        <f t="shared" si="38"/>
        <v>56.669716178675841</v>
      </c>
      <c r="BC34" s="992">
        <f t="shared" si="39"/>
        <v>0.47499999999999998</v>
      </c>
      <c r="BD34" s="992">
        <v>0.6</v>
      </c>
      <c r="BE34" s="992">
        <v>0.4</v>
      </c>
      <c r="BF34" s="992">
        <v>0.1</v>
      </c>
      <c r="BG34" s="992">
        <v>7.4999999999999997E-2</v>
      </c>
      <c r="BH34" s="989">
        <f t="shared" si="40"/>
        <v>0</v>
      </c>
      <c r="BI34" s="988">
        <f t="shared" si="41"/>
        <v>1.1804200000000038</v>
      </c>
      <c r="BJ34" s="989">
        <f t="shared" si="42"/>
        <v>0</v>
      </c>
      <c r="BK34" s="989">
        <f t="shared" si="43"/>
        <v>0</v>
      </c>
      <c r="BL34" s="989">
        <f t="shared" si="68"/>
        <v>68.569022287284881</v>
      </c>
      <c r="BM34" s="954"/>
      <c r="BN34" s="954"/>
      <c r="BO34" s="991">
        <f t="shared" si="46"/>
        <v>64.572541345456187</v>
      </c>
      <c r="BP34" s="989">
        <f t="shared" si="47"/>
        <v>0</v>
      </c>
      <c r="BQ34" s="990">
        <f t="shared" si="48"/>
        <v>9.6250000000000002E-2</v>
      </c>
      <c r="BR34" s="989">
        <f t="shared" si="49"/>
        <v>3.9374999999999993E-2</v>
      </c>
      <c r="BS34" s="989">
        <f t="shared" si="50"/>
        <v>2.2089318749999999E-3</v>
      </c>
      <c r="BT34" s="989" t="str">
        <f t="shared" si="51"/>
        <v>C2</v>
      </c>
      <c r="BU34" s="988">
        <f t="shared" si="69"/>
        <v>67.883332064412031</v>
      </c>
      <c r="BV34" s="974"/>
      <c r="BW34" s="974"/>
      <c r="BX34" s="973"/>
      <c r="BY34" s="987" t="s">
        <v>387</v>
      </c>
      <c r="BZ34" s="987">
        <f t="shared" si="54"/>
        <v>201.22404709143493</v>
      </c>
      <c r="CA34" s="1052"/>
      <c r="CB34" s="1052"/>
      <c r="CC34" s="1052"/>
      <c r="CD34" s="1052"/>
      <c r="CE34" s="1052"/>
      <c r="CF34" s="1052"/>
      <c r="CG34" s="1052"/>
      <c r="CH34" s="1052"/>
      <c r="CI34" s="1052"/>
      <c r="CJ34" s="1052"/>
      <c r="CK34" s="1052"/>
      <c r="CL34" s="1052"/>
      <c r="CM34" s="1087">
        <v>88.9</v>
      </c>
      <c r="CN34" s="1685">
        <v>45</v>
      </c>
    </row>
    <row r="35" spans="1:92" s="970" customFormat="1" ht="12.75" customHeight="1">
      <c r="A35" s="1003" t="s">
        <v>429</v>
      </c>
      <c r="B35" s="1102" t="s">
        <v>167</v>
      </c>
      <c r="C35" s="1102" t="s">
        <v>165</v>
      </c>
      <c r="D35" s="1002">
        <v>2.66</v>
      </c>
      <c r="E35" s="1001">
        <f t="shared" si="0"/>
        <v>7.8947368420895347E-3</v>
      </c>
      <c r="F35" s="1006">
        <v>80.42</v>
      </c>
      <c r="G35" s="1006">
        <v>984.78800000000001</v>
      </c>
      <c r="H35" s="1006">
        <v>984.76700000000005</v>
      </c>
      <c r="I35" s="1088">
        <f t="shared" si="1"/>
        <v>983.70758000000001</v>
      </c>
      <c r="J35" s="1025">
        <f t="shared" si="2"/>
        <v>983.68658000000005</v>
      </c>
      <c r="K35" s="1000">
        <f t="shared" si="3"/>
        <v>1</v>
      </c>
      <c r="L35" s="989">
        <f t="shared" si="4"/>
        <v>2.6600828934452396</v>
      </c>
      <c r="M35" s="989">
        <v>0.7</v>
      </c>
      <c r="N35" s="999" t="s">
        <v>331</v>
      </c>
      <c r="O35" s="998" t="str">
        <f t="shared" si="5"/>
        <v>N</v>
      </c>
      <c r="P35" s="998" t="str">
        <f t="shared" si="6"/>
        <v>N</v>
      </c>
      <c r="Q35" s="998" t="str">
        <f t="shared" si="7"/>
        <v>S</v>
      </c>
      <c r="R35" s="998" t="str">
        <f t="shared" si="8"/>
        <v>N</v>
      </c>
      <c r="S35" s="989">
        <f t="shared" si="9"/>
        <v>0</v>
      </c>
      <c r="T35" s="989">
        <f t="shared" si="10"/>
        <v>0</v>
      </c>
      <c r="U35" s="989">
        <f t="shared" si="11"/>
        <v>2.6600828934452396</v>
      </c>
      <c r="V35" s="989">
        <f t="shared" si="12"/>
        <v>0</v>
      </c>
      <c r="W35" s="989">
        <f t="shared" si="13"/>
        <v>0</v>
      </c>
      <c r="X35" s="989">
        <f t="shared" si="14"/>
        <v>0</v>
      </c>
      <c r="Y35" s="989">
        <f t="shared" si="15"/>
        <v>0.4788149208201431</v>
      </c>
      <c r="Z35" s="989">
        <f t="shared" si="16"/>
        <v>1.1804200000000038</v>
      </c>
      <c r="AA35" s="994">
        <f t="shared" si="17"/>
        <v>0</v>
      </c>
      <c r="AB35" s="989">
        <f t="shared" si="67"/>
        <v>0</v>
      </c>
      <c r="AC35" s="954"/>
      <c r="AD35" s="954"/>
      <c r="AE35" s="988">
        <f t="shared" si="20"/>
        <v>1.8073429399813732</v>
      </c>
      <c r="AF35" s="974"/>
      <c r="AG35" s="974"/>
      <c r="AH35" s="988">
        <f t="shared" si="21"/>
        <v>1.7191956135363048E-2</v>
      </c>
      <c r="AI35" s="988" t="str">
        <f t="shared" si="22"/>
        <v>N</v>
      </c>
      <c r="AJ35" s="989">
        <f t="shared" si="23"/>
        <v>0</v>
      </c>
      <c r="AK35" s="989">
        <f t="shared" si="24"/>
        <v>0</v>
      </c>
      <c r="AL35" s="989">
        <f t="shared" si="25"/>
        <v>0</v>
      </c>
      <c r="AM35" s="987" t="s">
        <v>401</v>
      </c>
      <c r="AN35" s="989">
        <f t="shared" si="26"/>
        <v>0</v>
      </c>
      <c r="AO35" s="989">
        <f t="shared" si="27"/>
        <v>0</v>
      </c>
      <c r="AP35" s="989">
        <f t="shared" si="28"/>
        <v>2.6600828934452396</v>
      </c>
      <c r="AQ35" s="989">
        <v>0</v>
      </c>
      <c r="AR35" s="989">
        <v>0</v>
      </c>
      <c r="AS35" s="995">
        <f t="shared" si="29"/>
        <v>0.26121453445343995</v>
      </c>
      <c r="AT35" s="223">
        <f t="shared" si="30"/>
        <v>0.69485231461885777</v>
      </c>
      <c r="AU35" s="223">
        <f t="shared" si="31"/>
        <v>0.74482321016466702</v>
      </c>
      <c r="AV35" s="994">
        <f t="shared" si="32"/>
        <v>80</v>
      </c>
      <c r="AW35" s="989">
        <f t="shared" si="33"/>
        <v>0.26300851101296202</v>
      </c>
      <c r="AX35" s="989">
        <f t="shared" si="34"/>
        <v>0</v>
      </c>
      <c r="AY35" s="989">
        <f t="shared" si="35"/>
        <v>0.21040680881036966</v>
      </c>
      <c r="AZ35" s="989">
        <f t="shared" si="36"/>
        <v>5.260170220259236E-2</v>
      </c>
      <c r="BA35" s="995">
        <f t="shared" si="37"/>
        <v>1.6511577739818185E-2</v>
      </c>
      <c r="BB35" s="989">
        <f t="shared" si="38"/>
        <v>1.5087888047259352</v>
      </c>
      <c r="BC35" s="992">
        <f t="shared" si="39"/>
        <v>0.47499999999999998</v>
      </c>
      <c r="BD35" s="992">
        <v>0.6</v>
      </c>
      <c r="BE35" s="992">
        <v>0.4</v>
      </c>
      <c r="BF35" s="992">
        <v>0.1</v>
      </c>
      <c r="BG35" s="992">
        <v>7.4999999999999997E-2</v>
      </c>
      <c r="BH35" s="989">
        <f t="shared" si="40"/>
        <v>0</v>
      </c>
      <c r="BI35" s="988">
        <f t="shared" si="41"/>
        <v>1.1804200000000038</v>
      </c>
      <c r="BJ35" s="989">
        <f t="shared" si="42"/>
        <v>0</v>
      </c>
      <c r="BK35" s="989">
        <f t="shared" si="43"/>
        <v>0</v>
      </c>
      <c r="BL35" s="989">
        <f t="shared" si="68"/>
        <v>1.8255989292741144</v>
      </c>
      <c r="BM35" s="954"/>
      <c r="BN35" s="954"/>
      <c r="BO35" s="991">
        <f t="shared" si="46"/>
        <v>1.7191956135363049</v>
      </c>
      <c r="BP35" s="989">
        <f t="shared" si="47"/>
        <v>0</v>
      </c>
      <c r="BQ35" s="990">
        <f t="shared" si="48"/>
        <v>9.6250000000000002E-2</v>
      </c>
      <c r="BR35" s="989">
        <f t="shared" si="49"/>
        <v>3.9374999999999993E-2</v>
      </c>
      <c r="BS35" s="989">
        <f t="shared" si="50"/>
        <v>2.2089318749999999E-3</v>
      </c>
      <c r="BT35" s="989" t="str">
        <f t="shared" si="51"/>
        <v>C2</v>
      </c>
      <c r="BU35" s="988">
        <f t="shared" si="69"/>
        <v>1.8073429399813732</v>
      </c>
      <c r="BV35" s="974"/>
      <c r="BW35" s="974"/>
      <c r="BX35" s="973"/>
      <c r="BY35" s="987" t="s">
        <v>387</v>
      </c>
      <c r="BZ35" s="987">
        <f t="shared" si="54"/>
        <v>6.7201657868904796</v>
      </c>
      <c r="CA35" s="1052"/>
      <c r="CB35" s="1052"/>
      <c r="CC35" s="1052"/>
      <c r="CD35" s="1052"/>
      <c r="CE35" s="1052"/>
      <c r="CF35" s="1052"/>
      <c r="CG35" s="1052"/>
      <c r="CH35" s="1052"/>
      <c r="CI35" s="1052"/>
      <c r="CJ35" s="1052"/>
      <c r="CK35" s="1052"/>
      <c r="CL35" s="1052"/>
      <c r="CM35" s="1087">
        <v>88.9</v>
      </c>
      <c r="CN35" s="1685"/>
    </row>
    <row r="36" spans="1:92" s="970" customFormat="1" ht="12.75" customHeight="1">
      <c r="A36" s="1003" t="s">
        <v>430</v>
      </c>
      <c r="B36" s="1102" t="s">
        <v>167</v>
      </c>
      <c r="C36" s="1102" t="s">
        <v>168</v>
      </c>
      <c r="D36" s="1002">
        <v>7.6</v>
      </c>
      <c r="E36" s="1001">
        <f t="shared" si="0"/>
        <v>1.3157894736845097E-2</v>
      </c>
      <c r="F36" s="1006">
        <v>80.42</v>
      </c>
      <c r="G36" s="1006">
        <v>984.78800000000001</v>
      </c>
      <c r="H36" s="1006">
        <v>984.88800000000003</v>
      </c>
      <c r="I36" s="1088">
        <f t="shared" si="1"/>
        <v>983.70758000000001</v>
      </c>
      <c r="J36" s="1025">
        <f t="shared" si="2"/>
        <v>983.80758000000003</v>
      </c>
      <c r="K36" s="1000">
        <f t="shared" si="3"/>
        <v>1</v>
      </c>
      <c r="L36" s="989">
        <f t="shared" si="4"/>
        <v>7.6006578662639459</v>
      </c>
      <c r="M36" s="989">
        <v>0.7</v>
      </c>
      <c r="N36" s="999" t="s">
        <v>331</v>
      </c>
      <c r="O36" s="998" t="str">
        <f t="shared" si="5"/>
        <v>N</v>
      </c>
      <c r="P36" s="998" t="str">
        <f t="shared" si="6"/>
        <v>N</v>
      </c>
      <c r="Q36" s="998" t="str">
        <f t="shared" si="7"/>
        <v>S</v>
      </c>
      <c r="R36" s="998" t="str">
        <f t="shared" si="8"/>
        <v>N</v>
      </c>
      <c r="S36" s="989">
        <f t="shared" si="9"/>
        <v>0</v>
      </c>
      <c r="T36" s="989">
        <f t="shared" si="10"/>
        <v>0</v>
      </c>
      <c r="U36" s="989">
        <f t="shared" si="11"/>
        <v>7.6006578662639459</v>
      </c>
      <c r="V36" s="989">
        <f t="shared" si="12"/>
        <v>0</v>
      </c>
      <c r="W36" s="989">
        <f t="shared" si="13"/>
        <v>0</v>
      </c>
      <c r="X36" s="989">
        <f t="shared" si="14"/>
        <v>0</v>
      </c>
      <c r="Y36" s="989">
        <f t="shared" si="15"/>
        <v>1.3681184159275102</v>
      </c>
      <c r="Z36" s="989">
        <f t="shared" si="16"/>
        <v>1.1804200000000038</v>
      </c>
      <c r="AA36" s="994">
        <f t="shared" si="17"/>
        <v>0</v>
      </c>
      <c r="AB36" s="989">
        <f t="shared" si="67"/>
        <v>0</v>
      </c>
      <c r="AC36" s="954"/>
      <c r="AD36" s="954"/>
      <c r="AE36" s="988">
        <f t="shared" si="20"/>
        <v>5.1641230307730703</v>
      </c>
      <c r="AF36" s="974"/>
      <c r="AG36" s="974"/>
      <c r="AH36" s="988">
        <f t="shared" si="21"/>
        <v>4.9122595750192108E-2</v>
      </c>
      <c r="AI36" s="988" t="str">
        <f t="shared" si="22"/>
        <v>N</v>
      </c>
      <c r="AJ36" s="989">
        <f t="shared" si="23"/>
        <v>0</v>
      </c>
      <c r="AK36" s="989">
        <f t="shared" si="24"/>
        <v>0</v>
      </c>
      <c r="AL36" s="989">
        <f t="shared" si="25"/>
        <v>0</v>
      </c>
      <c r="AM36" s="987" t="s">
        <v>401</v>
      </c>
      <c r="AN36" s="989">
        <f t="shared" si="26"/>
        <v>0</v>
      </c>
      <c r="AO36" s="989">
        <f t="shared" si="27"/>
        <v>0</v>
      </c>
      <c r="AP36" s="989">
        <f t="shared" si="28"/>
        <v>7.6006578662639459</v>
      </c>
      <c r="AQ36" s="989">
        <v>0</v>
      </c>
      <c r="AR36" s="989">
        <v>0</v>
      </c>
      <c r="AS36" s="995">
        <f t="shared" si="29"/>
        <v>0.26121453445343995</v>
      </c>
      <c r="AT36" s="223">
        <f t="shared" si="30"/>
        <v>1.9854023060760129</v>
      </c>
      <c r="AU36" s="223">
        <f t="shared" si="31"/>
        <v>2.1281842025539048</v>
      </c>
      <c r="AV36" s="994">
        <f t="shared" si="32"/>
        <v>80</v>
      </c>
      <c r="AW36" s="989">
        <f t="shared" si="33"/>
        <v>0.75149451659980238</v>
      </c>
      <c r="AX36" s="989">
        <f t="shared" si="34"/>
        <v>0</v>
      </c>
      <c r="AY36" s="989">
        <f t="shared" si="35"/>
        <v>0.60119561327984217</v>
      </c>
      <c r="AZ36" s="989">
        <f t="shared" si="36"/>
        <v>0.15029890331996021</v>
      </c>
      <c r="BA36" s="995">
        <f t="shared" si="37"/>
        <v>4.7178549789490334E-2</v>
      </c>
      <c r="BB36" s="989">
        <f t="shared" si="38"/>
        <v>4.311063961739368</v>
      </c>
      <c r="BC36" s="992">
        <f t="shared" si="39"/>
        <v>0.47499999999999998</v>
      </c>
      <c r="BD36" s="992">
        <v>0.6</v>
      </c>
      <c r="BE36" s="992">
        <v>0.4</v>
      </c>
      <c r="BF36" s="992">
        <v>0.1</v>
      </c>
      <c r="BG36" s="992">
        <v>7.4999999999999997E-2</v>
      </c>
      <c r="BH36" s="989">
        <f t="shared" si="40"/>
        <v>0</v>
      </c>
      <c r="BI36" s="988">
        <f t="shared" si="41"/>
        <v>1.1804200000000038</v>
      </c>
      <c r="BJ36" s="989">
        <f t="shared" si="42"/>
        <v>0</v>
      </c>
      <c r="BK36" s="989">
        <f t="shared" si="43"/>
        <v>0</v>
      </c>
      <c r="BL36" s="989">
        <f t="shared" si="68"/>
        <v>5.2162858896697681</v>
      </c>
      <c r="BM36" s="954"/>
      <c r="BN36" s="954"/>
      <c r="BO36" s="991">
        <f t="shared" si="46"/>
        <v>4.9122595750192106</v>
      </c>
      <c r="BP36" s="989">
        <f t="shared" si="47"/>
        <v>0</v>
      </c>
      <c r="BQ36" s="990">
        <f t="shared" si="48"/>
        <v>9.6250000000000002E-2</v>
      </c>
      <c r="BR36" s="989">
        <f t="shared" si="49"/>
        <v>3.9374999999999993E-2</v>
      </c>
      <c r="BS36" s="989">
        <f t="shared" si="50"/>
        <v>2.2089318749999999E-3</v>
      </c>
      <c r="BT36" s="989" t="str">
        <f t="shared" si="51"/>
        <v>C2</v>
      </c>
      <c r="BU36" s="988">
        <f t="shared" si="69"/>
        <v>5.1641230307730703</v>
      </c>
      <c r="BV36" s="974"/>
      <c r="BW36" s="974"/>
      <c r="BX36" s="973"/>
      <c r="BY36" s="987" t="s">
        <v>387</v>
      </c>
      <c r="BZ36" s="987">
        <f t="shared" si="54"/>
        <v>16.60131573252789</v>
      </c>
      <c r="CA36" s="1052"/>
      <c r="CB36" s="1052"/>
      <c r="CC36" s="1052"/>
      <c r="CD36" s="1052"/>
      <c r="CE36" s="1052"/>
      <c r="CF36" s="1052"/>
      <c r="CG36" s="1052"/>
      <c r="CH36" s="1052"/>
      <c r="CI36" s="1052"/>
      <c r="CJ36" s="1052"/>
      <c r="CK36" s="1052"/>
      <c r="CL36" s="1052"/>
      <c r="CM36" s="1087">
        <v>88.9</v>
      </c>
      <c r="CN36" s="1685">
        <v>35</v>
      </c>
    </row>
    <row r="37" spans="1:92" s="970" customFormat="1" ht="12.75" customHeight="1">
      <c r="A37" s="1003" t="s">
        <v>431</v>
      </c>
      <c r="B37" s="1102" t="s">
        <v>169</v>
      </c>
      <c r="C37" s="1102" t="s">
        <v>170</v>
      </c>
      <c r="D37" s="1002">
        <v>97.38</v>
      </c>
      <c r="E37" s="1001">
        <f t="shared" si="0"/>
        <v>4.7473813924829883E-2</v>
      </c>
      <c r="F37" s="1006">
        <v>80.42</v>
      </c>
      <c r="G37" s="1006">
        <v>984.88800000000003</v>
      </c>
      <c r="H37" s="1006">
        <v>989.51099999999997</v>
      </c>
      <c r="I37" s="1088">
        <f t="shared" si="1"/>
        <v>983.80758000000003</v>
      </c>
      <c r="J37" s="1025">
        <f t="shared" si="2"/>
        <v>988.43057999999996</v>
      </c>
      <c r="K37" s="1000">
        <f t="shared" si="3"/>
        <v>1</v>
      </c>
      <c r="L37" s="989">
        <f t="shared" si="4"/>
        <v>97.489673960886734</v>
      </c>
      <c r="M37" s="989">
        <v>0.7</v>
      </c>
      <c r="N37" s="999" t="s">
        <v>331</v>
      </c>
      <c r="O37" s="998" t="str">
        <f t="shared" si="5"/>
        <v>N</v>
      </c>
      <c r="P37" s="998" t="str">
        <f t="shared" si="6"/>
        <v>N</v>
      </c>
      <c r="Q37" s="998" t="str">
        <f t="shared" si="7"/>
        <v>S</v>
      </c>
      <c r="R37" s="998" t="str">
        <f t="shared" si="8"/>
        <v>N</v>
      </c>
      <c r="S37" s="989">
        <f t="shared" si="9"/>
        <v>0</v>
      </c>
      <c r="T37" s="989">
        <f t="shared" si="10"/>
        <v>0</v>
      </c>
      <c r="U37" s="989">
        <f t="shared" si="11"/>
        <v>97.489673960886734</v>
      </c>
      <c r="V37" s="989">
        <f t="shared" si="12"/>
        <v>0</v>
      </c>
      <c r="W37" s="989">
        <f t="shared" si="13"/>
        <v>0</v>
      </c>
      <c r="X37" s="989">
        <f t="shared" si="14"/>
        <v>0</v>
      </c>
      <c r="Y37" s="989">
        <f t="shared" si="15"/>
        <v>17.548141312959611</v>
      </c>
      <c r="Z37" s="989">
        <f t="shared" si="16"/>
        <v>1.1804200000000038</v>
      </c>
      <c r="AA37" s="994">
        <f t="shared" si="17"/>
        <v>0</v>
      </c>
      <c r="AB37" s="989">
        <f t="shared" si="67"/>
        <v>0</v>
      </c>
      <c r="AC37" s="954"/>
      <c r="AD37" s="954"/>
      <c r="AE37" s="988">
        <f t="shared" si="20"/>
        <v>66.237512518299937</v>
      </c>
      <c r="AF37" s="974"/>
      <c r="AG37" s="974"/>
      <c r="AH37" s="988">
        <f t="shared" si="21"/>
        <v>0.63006991342877583</v>
      </c>
      <c r="AI37" s="988" t="str">
        <f t="shared" si="22"/>
        <v>N</v>
      </c>
      <c r="AJ37" s="989">
        <f t="shared" si="23"/>
        <v>0</v>
      </c>
      <c r="AK37" s="989">
        <f t="shared" si="24"/>
        <v>0</v>
      </c>
      <c r="AL37" s="989">
        <f t="shared" si="25"/>
        <v>0</v>
      </c>
      <c r="AM37" s="987" t="s">
        <v>401</v>
      </c>
      <c r="AN37" s="989">
        <f t="shared" si="26"/>
        <v>0</v>
      </c>
      <c r="AO37" s="989">
        <f t="shared" si="27"/>
        <v>0</v>
      </c>
      <c r="AP37" s="989">
        <f t="shared" si="28"/>
        <v>97.489673960886734</v>
      </c>
      <c r="AQ37" s="989">
        <v>0</v>
      </c>
      <c r="AR37" s="989">
        <v>0</v>
      </c>
      <c r="AS37" s="995">
        <f t="shared" si="29"/>
        <v>0.26121453445343995</v>
      </c>
      <c r="AT37" s="223">
        <f t="shared" si="30"/>
        <v>25.465719797710676</v>
      </c>
      <c r="AU37" s="223">
        <f t="shared" si="31"/>
        <v>27.297108709048281</v>
      </c>
      <c r="AV37" s="994">
        <f t="shared" si="32"/>
        <v>80</v>
      </c>
      <c r="AW37" s="989">
        <f t="shared" si="33"/>
        <v>9.6390281862168425</v>
      </c>
      <c r="AX37" s="989">
        <f t="shared" si="34"/>
        <v>0</v>
      </c>
      <c r="AY37" s="989">
        <f t="shared" si="35"/>
        <v>7.7112225489734731</v>
      </c>
      <c r="AZ37" s="989">
        <f t="shared" si="36"/>
        <v>1.9278056372433694</v>
      </c>
      <c r="BA37" s="995">
        <f t="shared" si="37"/>
        <v>0.60513464990178412</v>
      </c>
      <c r="BB37" s="989">
        <f t="shared" si="38"/>
        <v>55.295768793904109</v>
      </c>
      <c r="BC37" s="992">
        <f t="shared" si="39"/>
        <v>0.47499999999999998</v>
      </c>
      <c r="BD37" s="992">
        <v>0.6</v>
      </c>
      <c r="BE37" s="992">
        <v>0.4</v>
      </c>
      <c r="BF37" s="992">
        <v>0.1</v>
      </c>
      <c r="BG37" s="992">
        <v>7.4999999999999997E-2</v>
      </c>
      <c r="BH37" s="989">
        <f t="shared" si="40"/>
        <v>0</v>
      </c>
      <c r="BI37" s="988">
        <f t="shared" si="41"/>
        <v>1.1804200000000038</v>
      </c>
      <c r="BJ37" s="989">
        <f t="shared" si="42"/>
        <v>0</v>
      </c>
      <c r="BK37" s="989">
        <f t="shared" si="43"/>
        <v>0</v>
      </c>
      <c r="BL37" s="989">
        <f t="shared" si="68"/>
        <v>66.906578301313061</v>
      </c>
      <c r="BM37" s="954"/>
      <c r="BN37" s="954"/>
      <c r="BO37" s="991">
        <f t="shared" si="46"/>
        <v>63.006991342877583</v>
      </c>
      <c r="BP37" s="989">
        <f t="shared" si="47"/>
        <v>0</v>
      </c>
      <c r="BQ37" s="990">
        <f t="shared" si="48"/>
        <v>9.6250000000000002E-2</v>
      </c>
      <c r="BR37" s="989">
        <f t="shared" si="49"/>
        <v>3.9374999999999993E-2</v>
      </c>
      <c r="BS37" s="989">
        <f t="shared" si="50"/>
        <v>2.2089318749999999E-3</v>
      </c>
      <c r="BT37" s="989" t="str">
        <f t="shared" si="51"/>
        <v>C2</v>
      </c>
      <c r="BU37" s="988">
        <f t="shared" si="69"/>
        <v>66.237512518299937</v>
      </c>
      <c r="BV37" s="974"/>
      <c r="BW37" s="974"/>
      <c r="BX37" s="973"/>
      <c r="BY37" s="987" t="s">
        <v>387</v>
      </c>
      <c r="BZ37" s="987">
        <f t="shared" si="54"/>
        <v>196.37934792177347</v>
      </c>
      <c r="CA37" s="1052"/>
      <c r="CB37" s="1052"/>
      <c r="CC37" s="1052"/>
      <c r="CD37" s="1052"/>
      <c r="CE37" s="1052"/>
      <c r="CF37" s="1052"/>
      <c r="CG37" s="1052"/>
      <c r="CH37" s="1052"/>
      <c r="CI37" s="1052"/>
      <c r="CJ37" s="1052"/>
      <c r="CK37" s="1052"/>
      <c r="CL37" s="1052"/>
      <c r="CM37" s="1087">
        <v>88.9</v>
      </c>
      <c r="CN37" s="1685"/>
    </row>
    <row r="38" spans="1:92" s="970" customFormat="1" ht="12.75" customHeight="1">
      <c r="A38" s="1003" t="s">
        <v>432</v>
      </c>
      <c r="B38" s="1102" t="s">
        <v>171</v>
      </c>
      <c r="C38" s="1102" t="s">
        <v>172</v>
      </c>
      <c r="D38" s="1002">
        <v>1.86</v>
      </c>
      <c r="E38" s="1001">
        <f t="shared" si="0"/>
        <v>0</v>
      </c>
      <c r="F38" s="1006">
        <v>80.42</v>
      </c>
      <c r="G38" s="1006">
        <v>989.51099999999997</v>
      </c>
      <c r="H38" s="1006">
        <v>989.51099999999997</v>
      </c>
      <c r="I38" s="1088">
        <f t="shared" si="1"/>
        <v>988.43057999999996</v>
      </c>
      <c r="J38" s="1025">
        <f t="shared" si="2"/>
        <v>988.43057999999996</v>
      </c>
      <c r="K38" s="1000">
        <f t="shared" si="3"/>
        <v>1</v>
      </c>
      <c r="L38" s="989">
        <f t="shared" si="4"/>
        <v>1.86</v>
      </c>
      <c r="M38" s="989">
        <v>0.7</v>
      </c>
      <c r="N38" s="999" t="s">
        <v>331</v>
      </c>
      <c r="O38" s="998" t="str">
        <f t="shared" si="5"/>
        <v>N</v>
      </c>
      <c r="P38" s="998" t="str">
        <f t="shared" si="6"/>
        <v>N</v>
      </c>
      <c r="Q38" s="998" t="str">
        <f t="shared" si="7"/>
        <v>S</v>
      </c>
      <c r="R38" s="998" t="str">
        <f t="shared" si="8"/>
        <v>N</v>
      </c>
      <c r="S38" s="989">
        <f t="shared" si="9"/>
        <v>0</v>
      </c>
      <c r="T38" s="989">
        <f t="shared" si="10"/>
        <v>0</v>
      </c>
      <c r="U38" s="989">
        <f t="shared" si="11"/>
        <v>1.86</v>
      </c>
      <c r="V38" s="989">
        <f t="shared" si="12"/>
        <v>0</v>
      </c>
      <c r="W38" s="989">
        <f t="shared" si="13"/>
        <v>0</v>
      </c>
      <c r="X38" s="989">
        <f t="shared" si="14"/>
        <v>0</v>
      </c>
      <c r="Y38" s="989">
        <f t="shared" si="15"/>
        <v>0.33479999999999999</v>
      </c>
      <c r="Z38" s="989">
        <f t="shared" si="16"/>
        <v>1.1804200000000038</v>
      </c>
      <c r="AA38" s="994">
        <f t="shared" si="17"/>
        <v>0</v>
      </c>
      <c r="AB38" s="989">
        <f t="shared" si="67"/>
        <v>0</v>
      </c>
      <c r="AC38" s="954"/>
      <c r="AD38" s="954"/>
      <c r="AE38" s="988">
        <f t="shared" si="20"/>
        <v>1.2637417716000048</v>
      </c>
      <c r="AF38" s="974"/>
      <c r="AG38" s="974"/>
      <c r="AH38" s="988">
        <f t="shared" si="21"/>
        <v>1.202106840000005E-2</v>
      </c>
      <c r="AI38" s="988" t="str">
        <f t="shared" si="22"/>
        <v>N</v>
      </c>
      <c r="AJ38" s="989">
        <f t="shared" si="23"/>
        <v>0</v>
      </c>
      <c r="AK38" s="989">
        <f t="shared" si="24"/>
        <v>0</v>
      </c>
      <c r="AL38" s="989">
        <f t="shared" si="25"/>
        <v>0</v>
      </c>
      <c r="AM38" s="987" t="s">
        <v>401</v>
      </c>
      <c r="AN38" s="989">
        <f t="shared" si="26"/>
        <v>0</v>
      </c>
      <c r="AO38" s="989">
        <f t="shared" si="27"/>
        <v>0</v>
      </c>
      <c r="AP38" s="989">
        <f t="shared" si="28"/>
        <v>1.86</v>
      </c>
      <c r="AQ38" s="989">
        <v>0</v>
      </c>
      <c r="AR38" s="989">
        <v>0</v>
      </c>
      <c r="AS38" s="995">
        <f t="shared" si="29"/>
        <v>0.26121453445343995</v>
      </c>
      <c r="AT38" s="223">
        <f t="shared" si="30"/>
        <v>0.48585903408339831</v>
      </c>
      <c r="AU38" s="223">
        <f t="shared" si="31"/>
        <v>0.52079999999999993</v>
      </c>
      <c r="AV38" s="994">
        <f t="shared" si="32"/>
        <v>80</v>
      </c>
      <c r="AW38" s="989">
        <f t="shared" si="33"/>
        <v>0.18390247600537021</v>
      </c>
      <c r="AX38" s="989">
        <f t="shared" si="34"/>
        <v>0</v>
      </c>
      <c r="AY38" s="989">
        <f t="shared" si="35"/>
        <v>0.1471219808042962</v>
      </c>
      <c r="AZ38" s="989">
        <f t="shared" si="36"/>
        <v>3.6780495201074015E-2</v>
      </c>
      <c r="BA38" s="995">
        <f t="shared" si="37"/>
        <v>1.1545329911236487E-2</v>
      </c>
      <c r="BB38" s="989">
        <f t="shared" si="38"/>
        <v>1.0549848591957087</v>
      </c>
      <c r="BC38" s="992">
        <f t="shared" si="39"/>
        <v>0.47499999999999998</v>
      </c>
      <c r="BD38" s="992">
        <v>0.6</v>
      </c>
      <c r="BE38" s="992">
        <v>0.4</v>
      </c>
      <c r="BF38" s="992">
        <v>0.1</v>
      </c>
      <c r="BG38" s="992">
        <v>7.4999999999999997E-2</v>
      </c>
      <c r="BH38" s="989">
        <f t="shared" si="40"/>
        <v>0</v>
      </c>
      <c r="BI38" s="988">
        <f t="shared" si="41"/>
        <v>1.1804200000000038</v>
      </c>
      <c r="BJ38" s="989">
        <f t="shared" si="42"/>
        <v>0</v>
      </c>
      <c r="BK38" s="989">
        <f t="shared" si="43"/>
        <v>0</v>
      </c>
      <c r="BL38" s="989">
        <f t="shared" si="68"/>
        <v>1.2765068400000048</v>
      </c>
      <c r="BM38" s="954"/>
      <c r="BN38" s="954"/>
      <c r="BO38" s="991">
        <f t="shared" si="46"/>
        <v>1.202106840000005</v>
      </c>
      <c r="BP38" s="989">
        <f t="shared" si="47"/>
        <v>0</v>
      </c>
      <c r="BQ38" s="990">
        <f t="shared" si="48"/>
        <v>9.6250000000000002E-2</v>
      </c>
      <c r="BR38" s="989">
        <f t="shared" si="49"/>
        <v>3.9374999999999993E-2</v>
      </c>
      <c r="BS38" s="989">
        <f t="shared" si="50"/>
        <v>2.2089318749999999E-3</v>
      </c>
      <c r="BT38" s="989" t="str">
        <f t="shared" si="51"/>
        <v>C2</v>
      </c>
      <c r="BU38" s="988">
        <f t="shared" si="69"/>
        <v>1.2637417716000048</v>
      </c>
      <c r="BV38" s="974"/>
      <c r="BW38" s="974"/>
      <c r="BX38" s="973"/>
      <c r="BY38" s="987" t="s">
        <v>387</v>
      </c>
      <c r="BZ38" s="987">
        <f t="shared" si="54"/>
        <v>5.12</v>
      </c>
      <c r="CA38" s="1052"/>
      <c r="CB38" s="1052"/>
      <c r="CC38" s="1052"/>
      <c r="CD38" s="1052"/>
      <c r="CE38" s="1052"/>
      <c r="CF38" s="1052"/>
      <c r="CG38" s="1052"/>
      <c r="CH38" s="1052"/>
      <c r="CI38" s="1052"/>
      <c r="CJ38" s="1052"/>
      <c r="CK38" s="1052"/>
      <c r="CL38" s="1052"/>
      <c r="CM38" s="1087">
        <v>88.9</v>
      </c>
      <c r="CN38" s="1685"/>
    </row>
    <row r="39" spans="1:92" s="970" customFormat="1" ht="12.75" customHeight="1">
      <c r="A39" s="1300" t="s">
        <v>433</v>
      </c>
      <c r="B39" s="1299" t="s">
        <v>173</v>
      </c>
      <c r="C39" s="1299" t="s">
        <v>130</v>
      </c>
      <c r="D39" s="1298">
        <v>0.92</v>
      </c>
      <c r="E39" s="1297">
        <f t="shared" si="0"/>
        <v>4.3478260869525671E-2</v>
      </c>
      <c r="F39" s="1296">
        <v>198.21</v>
      </c>
      <c r="G39" s="1296">
        <v>987.75</v>
      </c>
      <c r="H39" s="1296">
        <v>987.71</v>
      </c>
      <c r="I39" s="1304">
        <f t="shared" si="1"/>
        <v>986.55178999999998</v>
      </c>
      <c r="J39" s="1304">
        <f t="shared" si="2"/>
        <v>986.51179000000002</v>
      </c>
      <c r="K39" s="1294">
        <f t="shared" si="3"/>
        <v>1</v>
      </c>
      <c r="L39" s="1284">
        <f t="shared" si="4"/>
        <v>0.92086915465770547</v>
      </c>
      <c r="M39" s="1284">
        <v>0.7</v>
      </c>
      <c r="N39" s="1293" t="s">
        <v>331</v>
      </c>
      <c r="O39" s="1292" t="str">
        <f t="shared" si="5"/>
        <v>N</v>
      </c>
      <c r="P39" s="1292" t="str">
        <f t="shared" si="6"/>
        <v>N</v>
      </c>
      <c r="Q39" s="1292" t="str">
        <f t="shared" si="7"/>
        <v>S</v>
      </c>
      <c r="R39" s="1292" t="str">
        <f t="shared" si="8"/>
        <v>N</v>
      </c>
      <c r="S39" s="1284">
        <f t="shared" si="9"/>
        <v>0</v>
      </c>
      <c r="T39" s="1284">
        <f t="shared" si="10"/>
        <v>0</v>
      </c>
      <c r="U39" s="1284">
        <f t="shared" si="11"/>
        <v>0.92086915465770547</v>
      </c>
      <c r="V39" s="1284">
        <f t="shared" si="12"/>
        <v>0</v>
      </c>
      <c r="W39" s="1284">
        <f t="shared" si="13"/>
        <v>0</v>
      </c>
      <c r="X39" s="1284">
        <f t="shared" si="14"/>
        <v>0</v>
      </c>
      <c r="Y39" s="1284">
        <f t="shared" si="15"/>
        <v>0.16575644783838697</v>
      </c>
      <c r="Z39" s="1284">
        <f t="shared" si="16"/>
        <v>1.2982100000000174</v>
      </c>
      <c r="AA39" s="1290">
        <f t="shared" si="17"/>
        <v>0</v>
      </c>
      <c r="AB39" s="1305">
        <f t="shared" si="67"/>
        <v>0</v>
      </c>
      <c r="AC39" s="1287"/>
      <c r="AD39" s="1287"/>
      <c r="AE39" s="1306">
        <f t="shared" si="20"/>
        <v>0.7008362460353017</v>
      </c>
      <c r="AF39" s="1282"/>
      <c r="AG39" s="1282"/>
      <c r="AH39" s="1306">
        <f t="shared" si="21"/>
        <v>6.7108063384935003E-3</v>
      </c>
      <c r="AI39" s="1283" t="str">
        <f t="shared" si="22"/>
        <v>N</v>
      </c>
      <c r="AJ39" s="1284">
        <f t="shared" si="23"/>
        <v>0</v>
      </c>
      <c r="AK39" s="1284">
        <f t="shared" si="24"/>
        <v>0</v>
      </c>
      <c r="AL39" s="1284">
        <f t="shared" si="25"/>
        <v>0</v>
      </c>
      <c r="AM39" s="1281" t="s">
        <v>401</v>
      </c>
      <c r="AN39" s="1284">
        <f t="shared" si="26"/>
        <v>0</v>
      </c>
      <c r="AO39" s="1284">
        <f t="shared" si="27"/>
        <v>0</v>
      </c>
      <c r="AP39" s="1284">
        <f t="shared" si="28"/>
        <v>0.92086915465770547</v>
      </c>
      <c r="AQ39" s="1284">
        <v>0</v>
      </c>
      <c r="AR39" s="1284">
        <v>0</v>
      </c>
      <c r="AS39" s="1291">
        <f t="shared" si="29"/>
        <v>0.31789090205483927</v>
      </c>
      <c r="AT39" s="1303">
        <f t="shared" si="30"/>
        <v>0.29273592624861527</v>
      </c>
      <c r="AU39" s="1303">
        <f t="shared" si="31"/>
        <v>0.25784336330415752</v>
      </c>
      <c r="AV39" s="1290">
        <f t="shared" si="32"/>
        <v>80</v>
      </c>
      <c r="AW39" s="1284">
        <f t="shared" si="33"/>
        <v>8.5788254479316373E-2</v>
      </c>
      <c r="AX39" s="1284">
        <f t="shared" si="34"/>
        <v>0</v>
      </c>
      <c r="AY39" s="1305">
        <f t="shared" si="35"/>
        <v>6.8630603583453104E-2</v>
      </c>
      <c r="AZ39" s="1305">
        <f t="shared" si="36"/>
        <v>1.7157650895863269E-2</v>
      </c>
      <c r="BA39" s="1291">
        <f t="shared" si="37"/>
        <v>3.4713089817260852E-2</v>
      </c>
      <c r="BB39" s="1305">
        <f t="shared" si="38"/>
        <v>0.60245003026589694</v>
      </c>
      <c r="BC39" s="1288">
        <f t="shared" si="39"/>
        <v>0.47499999999999998</v>
      </c>
      <c r="BD39" s="1288">
        <v>0.6</v>
      </c>
      <c r="BE39" s="1288">
        <v>0.4</v>
      </c>
      <c r="BF39" s="1288">
        <v>0.1</v>
      </c>
      <c r="BG39" s="1288">
        <v>7.4999999999999997E-2</v>
      </c>
      <c r="BH39" s="1284">
        <f t="shared" si="40"/>
        <v>0</v>
      </c>
      <c r="BI39" s="1283">
        <f t="shared" si="41"/>
        <v>1.2982100000000174</v>
      </c>
      <c r="BJ39" s="1284">
        <f t="shared" si="42"/>
        <v>0</v>
      </c>
      <c r="BK39" s="1284">
        <f t="shared" si="43"/>
        <v>0</v>
      </c>
      <c r="BL39" s="1284">
        <f t="shared" si="68"/>
        <v>0.70791540003565834</v>
      </c>
      <c r="BM39" s="1287"/>
      <c r="BN39" s="1287"/>
      <c r="BO39" s="1286">
        <f t="shared" si="46"/>
        <v>0.67108063384935002</v>
      </c>
      <c r="BP39" s="1284">
        <f t="shared" si="47"/>
        <v>0</v>
      </c>
      <c r="BQ39" s="1285">
        <f t="shared" si="48"/>
        <v>9.6250000000000002E-2</v>
      </c>
      <c r="BR39" s="1284">
        <f t="shared" si="49"/>
        <v>3.9374999999999993E-2</v>
      </c>
      <c r="BS39" s="1284">
        <f t="shared" si="50"/>
        <v>2.2089318749999999E-3</v>
      </c>
      <c r="BT39" s="1284" t="str">
        <f t="shared" si="51"/>
        <v>C2</v>
      </c>
      <c r="BU39" s="1283">
        <f t="shared" si="69"/>
        <v>0.7008362460353017</v>
      </c>
      <c r="BV39" s="1282"/>
      <c r="BW39" s="1282"/>
      <c r="BX39" s="1282"/>
      <c r="BY39" s="1281" t="s">
        <v>387</v>
      </c>
      <c r="BZ39" s="1281">
        <f t="shared" si="54"/>
        <v>3.2417383093154108</v>
      </c>
      <c r="CA39" s="1302"/>
      <c r="CB39" s="1302"/>
      <c r="CC39" s="1302"/>
      <c r="CD39" s="1302"/>
      <c r="CE39" s="1302"/>
      <c r="CF39" s="1302"/>
      <c r="CG39" s="1302"/>
      <c r="CH39" s="1302"/>
      <c r="CI39" s="1302"/>
      <c r="CJ39" s="1302"/>
      <c r="CK39" s="1302"/>
      <c r="CL39" s="1302"/>
      <c r="CM39" s="1288">
        <v>219.08</v>
      </c>
      <c r="CN39" s="1301"/>
    </row>
    <row r="40" spans="1:92" s="1063" customFormat="1" ht="12.75" customHeight="1">
      <c r="A40" s="1085" t="s">
        <v>434</v>
      </c>
      <c r="B40" s="1107" t="s">
        <v>146</v>
      </c>
      <c r="C40" s="1107" t="s">
        <v>174</v>
      </c>
      <c r="D40" s="1084">
        <v>4</v>
      </c>
      <c r="E40" s="1083">
        <f t="shared" si="0"/>
        <v>2.5000000000005684E-2</v>
      </c>
      <c r="F40" s="1082">
        <v>80.42</v>
      </c>
      <c r="G40" s="1082">
        <v>982.52800000000002</v>
      </c>
      <c r="H40" s="1082">
        <v>982.62800000000004</v>
      </c>
      <c r="I40" s="1081">
        <f t="shared" si="1"/>
        <v>981.44758000000002</v>
      </c>
      <c r="J40" s="1080">
        <f t="shared" si="2"/>
        <v>981.54758000000004</v>
      </c>
      <c r="K40" s="1079">
        <f t="shared" si="3"/>
        <v>1</v>
      </c>
      <c r="L40" s="997">
        <f t="shared" si="4"/>
        <v>4.0012498047485119</v>
      </c>
      <c r="M40" s="997">
        <v>0.7</v>
      </c>
      <c r="N40" s="1078" t="s">
        <v>331</v>
      </c>
      <c r="O40" s="1077" t="str">
        <f t="shared" si="5"/>
        <v>N</v>
      </c>
      <c r="P40" s="1077" t="str">
        <f t="shared" si="6"/>
        <v>N</v>
      </c>
      <c r="Q40" s="1077" t="str">
        <f t="shared" si="7"/>
        <v>S</v>
      </c>
      <c r="R40" s="1077" t="str">
        <f t="shared" si="8"/>
        <v>N</v>
      </c>
      <c r="S40" s="997">
        <f t="shared" si="9"/>
        <v>0</v>
      </c>
      <c r="T40" s="997">
        <f t="shared" si="10"/>
        <v>0</v>
      </c>
      <c r="U40" s="997">
        <f t="shared" si="11"/>
        <v>4.0012498047485119</v>
      </c>
      <c r="V40" s="997">
        <f t="shared" si="12"/>
        <v>0</v>
      </c>
      <c r="W40" s="997">
        <f t="shared" si="13"/>
        <v>0</v>
      </c>
      <c r="X40" s="997">
        <f t="shared" si="14"/>
        <v>0</v>
      </c>
      <c r="Y40" s="997">
        <f t="shared" si="15"/>
        <v>0.72022496485473209</v>
      </c>
      <c r="Z40" s="997">
        <f t="shared" si="16"/>
        <v>1.1804200000000038</v>
      </c>
      <c r="AA40" s="1075">
        <f t="shared" si="17"/>
        <v>0</v>
      </c>
      <c r="AB40" s="997">
        <f t="shared" si="67"/>
        <v>0</v>
      </c>
      <c r="AC40" s="1072"/>
      <c r="AD40" s="1072"/>
      <c r="AE40" s="1069">
        <f t="shared" si="20"/>
        <v>2.7185733961650849</v>
      </c>
      <c r="AF40" s="1068"/>
      <c r="AG40" s="1068"/>
      <c r="AH40" s="1069">
        <f t="shared" si="21"/>
        <v>2.5859837413101456E-2</v>
      </c>
      <c r="AI40" s="1069" t="str">
        <f t="shared" si="22"/>
        <v>N</v>
      </c>
      <c r="AJ40" s="997">
        <f t="shared" si="23"/>
        <v>0</v>
      </c>
      <c r="AK40" s="997">
        <f t="shared" si="24"/>
        <v>0</v>
      </c>
      <c r="AL40" s="997">
        <f t="shared" si="25"/>
        <v>0</v>
      </c>
      <c r="AM40" s="1067" t="s">
        <v>401</v>
      </c>
      <c r="AN40" s="997">
        <f t="shared" si="26"/>
        <v>0</v>
      </c>
      <c r="AO40" s="997">
        <f t="shared" si="27"/>
        <v>0</v>
      </c>
      <c r="AP40" s="997">
        <f t="shared" si="28"/>
        <v>4.0012498047485119</v>
      </c>
      <c r="AQ40" s="997">
        <v>0</v>
      </c>
      <c r="AR40" s="997">
        <v>0</v>
      </c>
      <c r="AS40" s="1074">
        <f t="shared" si="29"/>
        <v>0.26121453445343995</v>
      </c>
      <c r="AT40" s="1076">
        <f t="shared" si="30"/>
        <v>1.0451846049793001</v>
      </c>
      <c r="AU40" s="1076">
        <f t="shared" si="31"/>
        <v>1.1203499453295833</v>
      </c>
      <c r="AV40" s="1075">
        <f t="shared" si="32"/>
        <v>80</v>
      </c>
      <c r="AW40" s="997">
        <f t="shared" si="33"/>
        <v>0.39561276677916946</v>
      </c>
      <c r="AX40" s="997">
        <f t="shared" si="34"/>
        <v>0</v>
      </c>
      <c r="AY40" s="997">
        <f t="shared" si="35"/>
        <v>0.3164902134233355</v>
      </c>
      <c r="AZ40" s="997">
        <f t="shared" si="36"/>
        <v>7.9122553355833958E-2</v>
      </c>
      <c r="BA40" s="1074">
        <f t="shared" si="37"/>
        <v>2.4836424222092552E-2</v>
      </c>
      <c r="BB40" s="997">
        <f t="shared" si="38"/>
        <v>2.26949352788681</v>
      </c>
      <c r="BC40" s="1073">
        <f t="shared" si="39"/>
        <v>0.47499999999999998</v>
      </c>
      <c r="BD40" s="1073">
        <v>0.6</v>
      </c>
      <c r="BE40" s="1073">
        <v>0.4</v>
      </c>
      <c r="BF40" s="1073">
        <v>0.1</v>
      </c>
      <c r="BG40" s="1073">
        <v>7.4999999999999997E-2</v>
      </c>
      <c r="BH40" s="997">
        <f t="shared" si="40"/>
        <v>0</v>
      </c>
      <c r="BI40" s="1069">
        <f t="shared" si="41"/>
        <v>1.1804200000000038</v>
      </c>
      <c r="BJ40" s="997">
        <f t="shared" si="42"/>
        <v>0</v>
      </c>
      <c r="BK40" s="997">
        <f t="shared" si="43"/>
        <v>0</v>
      </c>
      <c r="BL40" s="997">
        <f t="shared" si="68"/>
        <v>2.7460337335000857</v>
      </c>
      <c r="BM40" s="1072"/>
      <c r="BN40" s="1072"/>
      <c r="BO40" s="1071">
        <f t="shared" si="46"/>
        <v>2.5859837413101454</v>
      </c>
      <c r="BP40" s="997">
        <f t="shared" si="47"/>
        <v>0</v>
      </c>
      <c r="BQ40" s="1070">
        <f t="shared" si="48"/>
        <v>9.6250000000000002E-2</v>
      </c>
      <c r="BR40" s="997">
        <f t="shared" si="49"/>
        <v>3.9374999999999993E-2</v>
      </c>
      <c r="BS40" s="997">
        <f t="shared" si="50"/>
        <v>2.2089318749999999E-3</v>
      </c>
      <c r="BT40" s="997" t="str">
        <f t="shared" si="51"/>
        <v>C2</v>
      </c>
      <c r="BU40" s="1069">
        <f t="shared" si="69"/>
        <v>2.7185733961650849</v>
      </c>
      <c r="BV40" s="1068"/>
      <c r="BW40" s="1068"/>
      <c r="BX40" s="1068"/>
      <c r="BY40" s="1067" t="s">
        <v>387</v>
      </c>
      <c r="BZ40" s="1067">
        <f t="shared" si="54"/>
        <v>9.4024996094970241</v>
      </c>
      <c r="CA40" s="1066"/>
      <c r="CB40" s="1066"/>
      <c r="CC40" s="1066"/>
      <c r="CD40" s="1066"/>
      <c r="CE40" s="1066"/>
      <c r="CF40" s="1066"/>
      <c r="CG40" s="1066"/>
      <c r="CH40" s="1066"/>
      <c r="CI40" s="1066"/>
      <c r="CJ40" s="1066"/>
      <c r="CK40" s="1066"/>
      <c r="CL40" s="1066"/>
      <c r="CM40" s="1065">
        <v>88.9</v>
      </c>
      <c r="CN40" s="1064"/>
    </row>
    <row r="41" spans="1:92" s="1063" customFormat="1" ht="12.75" customHeight="1">
      <c r="A41" s="1085" t="s">
        <v>435</v>
      </c>
      <c r="B41" s="1107" t="s">
        <v>142</v>
      </c>
      <c r="C41" s="1107" t="s">
        <v>175</v>
      </c>
      <c r="D41" s="1084">
        <v>4</v>
      </c>
      <c r="E41" s="1083">
        <f t="shared" si="0"/>
        <v>2.5000000000005684E-2</v>
      </c>
      <c r="F41" s="1082">
        <v>80.42</v>
      </c>
      <c r="G41" s="1082">
        <v>995.89300000000003</v>
      </c>
      <c r="H41" s="1082">
        <v>995.79300000000001</v>
      </c>
      <c r="I41" s="1081">
        <f t="shared" si="1"/>
        <v>994.81258000000003</v>
      </c>
      <c r="J41" s="1080">
        <f t="shared" si="2"/>
        <v>994.71258</v>
      </c>
      <c r="K41" s="1079">
        <f t="shared" si="3"/>
        <v>1</v>
      </c>
      <c r="L41" s="997">
        <f t="shared" si="4"/>
        <v>4.0012498047485119</v>
      </c>
      <c r="M41" s="997">
        <v>0.7</v>
      </c>
      <c r="N41" s="1078" t="s">
        <v>331</v>
      </c>
      <c r="O41" s="1077" t="str">
        <f t="shared" si="5"/>
        <v>N</v>
      </c>
      <c r="P41" s="1077" t="str">
        <f t="shared" si="6"/>
        <v>N</v>
      </c>
      <c r="Q41" s="1077" t="str">
        <f t="shared" si="7"/>
        <v>S</v>
      </c>
      <c r="R41" s="1077" t="str">
        <f t="shared" si="8"/>
        <v>N</v>
      </c>
      <c r="S41" s="997">
        <f t="shared" si="9"/>
        <v>0</v>
      </c>
      <c r="T41" s="997">
        <f t="shared" si="10"/>
        <v>0</v>
      </c>
      <c r="U41" s="997">
        <f t="shared" si="11"/>
        <v>4.0012498047485119</v>
      </c>
      <c r="V41" s="997">
        <f t="shared" si="12"/>
        <v>0</v>
      </c>
      <c r="W41" s="997">
        <f t="shared" si="13"/>
        <v>0</v>
      </c>
      <c r="X41" s="997">
        <f t="shared" si="14"/>
        <v>0</v>
      </c>
      <c r="Y41" s="997">
        <f t="shared" si="15"/>
        <v>0.72022496485473209</v>
      </c>
      <c r="Z41" s="997">
        <f t="shared" si="16"/>
        <v>1.1804200000000038</v>
      </c>
      <c r="AA41" s="1075">
        <f t="shared" si="17"/>
        <v>0</v>
      </c>
      <c r="AB41" s="997">
        <f t="shared" si="67"/>
        <v>0</v>
      </c>
      <c r="AC41" s="1072"/>
      <c r="AD41" s="1072"/>
      <c r="AE41" s="1069">
        <f t="shared" si="20"/>
        <v>2.7185733961650849</v>
      </c>
      <c r="AF41" s="1068"/>
      <c r="AG41" s="1068"/>
      <c r="AH41" s="1069">
        <f t="shared" si="21"/>
        <v>2.5859837413101456E-2</v>
      </c>
      <c r="AI41" s="1069" t="str">
        <f t="shared" si="22"/>
        <v>N</v>
      </c>
      <c r="AJ41" s="997">
        <f t="shared" si="23"/>
        <v>0</v>
      </c>
      <c r="AK41" s="997">
        <f t="shared" si="24"/>
        <v>0</v>
      </c>
      <c r="AL41" s="997">
        <f t="shared" si="25"/>
        <v>0</v>
      </c>
      <c r="AM41" s="1067" t="s">
        <v>401</v>
      </c>
      <c r="AN41" s="997">
        <f t="shared" si="26"/>
        <v>0</v>
      </c>
      <c r="AO41" s="997">
        <f t="shared" si="27"/>
        <v>0</v>
      </c>
      <c r="AP41" s="997">
        <f t="shared" si="28"/>
        <v>4.0012498047485119</v>
      </c>
      <c r="AQ41" s="997">
        <v>0</v>
      </c>
      <c r="AR41" s="997">
        <v>0</v>
      </c>
      <c r="AS41" s="1074">
        <f t="shared" si="29"/>
        <v>0.26121453445343995</v>
      </c>
      <c r="AT41" s="1076">
        <f t="shared" si="30"/>
        <v>1.0451846049793001</v>
      </c>
      <c r="AU41" s="1076">
        <f t="shared" si="31"/>
        <v>1.1203499453295833</v>
      </c>
      <c r="AV41" s="1075">
        <f t="shared" si="32"/>
        <v>80</v>
      </c>
      <c r="AW41" s="997">
        <f t="shared" si="33"/>
        <v>0.39561276677916946</v>
      </c>
      <c r="AX41" s="997">
        <f t="shared" si="34"/>
        <v>0</v>
      </c>
      <c r="AY41" s="997">
        <f t="shared" si="35"/>
        <v>0.3164902134233355</v>
      </c>
      <c r="AZ41" s="997">
        <f t="shared" si="36"/>
        <v>7.9122553355833958E-2</v>
      </c>
      <c r="BA41" s="1074">
        <f t="shared" si="37"/>
        <v>2.4836424222092552E-2</v>
      </c>
      <c r="BB41" s="997">
        <f t="shared" si="38"/>
        <v>2.26949352788681</v>
      </c>
      <c r="BC41" s="1073">
        <f t="shared" si="39"/>
        <v>0.47499999999999998</v>
      </c>
      <c r="BD41" s="1073">
        <v>0.6</v>
      </c>
      <c r="BE41" s="1073">
        <v>0.4</v>
      </c>
      <c r="BF41" s="1073">
        <v>0.1</v>
      </c>
      <c r="BG41" s="1073">
        <v>7.4999999999999997E-2</v>
      </c>
      <c r="BH41" s="997">
        <f t="shared" si="40"/>
        <v>0</v>
      </c>
      <c r="BI41" s="1069">
        <f t="shared" si="41"/>
        <v>1.1804200000000038</v>
      </c>
      <c r="BJ41" s="997">
        <f t="shared" si="42"/>
        <v>0</v>
      </c>
      <c r="BK41" s="997">
        <f t="shared" si="43"/>
        <v>0</v>
      </c>
      <c r="BL41" s="997">
        <f t="shared" si="68"/>
        <v>2.7460337335000857</v>
      </c>
      <c r="BM41" s="1072"/>
      <c r="BN41" s="1072"/>
      <c r="BO41" s="1071">
        <f t="shared" si="46"/>
        <v>2.5859837413101454</v>
      </c>
      <c r="BP41" s="997">
        <f t="shared" si="47"/>
        <v>0</v>
      </c>
      <c r="BQ41" s="1070">
        <f t="shared" si="48"/>
        <v>9.6250000000000002E-2</v>
      </c>
      <c r="BR41" s="997">
        <f t="shared" si="49"/>
        <v>3.9374999999999993E-2</v>
      </c>
      <c r="BS41" s="997">
        <f t="shared" si="50"/>
        <v>2.2089318749999999E-3</v>
      </c>
      <c r="BT41" s="997" t="str">
        <f t="shared" si="51"/>
        <v>C2</v>
      </c>
      <c r="BU41" s="1069">
        <f t="shared" si="69"/>
        <v>2.7185733961650849</v>
      </c>
      <c r="BV41" s="1068"/>
      <c r="BW41" s="1068"/>
      <c r="BX41" s="1068"/>
      <c r="BY41" s="1067" t="s">
        <v>387</v>
      </c>
      <c r="BZ41" s="1067">
        <f t="shared" si="54"/>
        <v>9.4024996094970241</v>
      </c>
      <c r="CA41" s="1066"/>
      <c r="CB41" s="1066"/>
      <c r="CC41" s="1066"/>
      <c r="CD41" s="1066"/>
      <c r="CE41" s="1066"/>
      <c r="CF41" s="1066"/>
      <c r="CG41" s="1066"/>
      <c r="CH41" s="1066"/>
      <c r="CI41" s="1066"/>
      <c r="CJ41" s="1066"/>
      <c r="CK41" s="1066"/>
      <c r="CL41" s="1066"/>
      <c r="CM41" s="1065">
        <v>88.9</v>
      </c>
      <c r="CN41" s="1064"/>
    </row>
    <row r="42" spans="1:92" s="1063" customFormat="1" ht="12.75" customHeight="1">
      <c r="A42" s="1085" t="s">
        <v>436</v>
      </c>
      <c r="B42" s="1107" t="s">
        <v>161</v>
      </c>
      <c r="C42" s="1107" t="s">
        <v>176</v>
      </c>
      <c r="D42" s="1084">
        <v>2</v>
      </c>
      <c r="E42" s="1083">
        <f t="shared" si="0"/>
        <v>5.0000000000011369E-2</v>
      </c>
      <c r="F42" s="1082">
        <v>80.42</v>
      </c>
      <c r="G42" s="1082">
        <v>987.21799999999996</v>
      </c>
      <c r="H42" s="1082">
        <v>987.31799999999998</v>
      </c>
      <c r="I42" s="1081">
        <f t="shared" si="1"/>
        <v>986.13757999999996</v>
      </c>
      <c r="J42" s="1080">
        <f t="shared" si="2"/>
        <v>986.23757999999998</v>
      </c>
      <c r="K42" s="1079">
        <f t="shared" si="3"/>
        <v>1</v>
      </c>
      <c r="L42" s="997">
        <f t="shared" si="4"/>
        <v>2.0024984394500795</v>
      </c>
      <c r="M42" s="997">
        <v>0.7</v>
      </c>
      <c r="N42" s="1078" t="s">
        <v>331</v>
      </c>
      <c r="O42" s="1077" t="str">
        <f t="shared" si="5"/>
        <v>N</v>
      </c>
      <c r="P42" s="1077" t="str">
        <f t="shared" si="6"/>
        <v>N</v>
      </c>
      <c r="Q42" s="1077" t="str">
        <f t="shared" si="7"/>
        <v>S</v>
      </c>
      <c r="R42" s="1077" t="str">
        <f t="shared" si="8"/>
        <v>N</v>
      </c>
      <c r="S42" s="997">
        <f t="shared" si="9"/>
        <v>0</v>
      </c>
      <c r="T42" s="997">
        <f t="shared" si="10"/>
        <v>0</v>
      </c>
      <c r="U42" s="997">
        <f t="shared" si="11"/>
        <v>2.0024984394500795</v>
      </c>
      <c r="V42" s="997">
        <f t="shared" si="12"/>
        <v>0</v>
      </c>
      <c r="W42" s="997">
        <f t="shared" si="13"/>
        <v>0</v>
      </c>
      <c r="X42" s="997">
        <f t="shared" si="14"/>
        <v>0</v>
      </c>
      <c r="Y42" s="997">
        <f t="shared" si="15"/>
        <v>0.36044971910101431</v>
      </c>
      <c r="Z42" s="997">
        <f t="shared" si="16"/>
        <v>1.1804200000000038</v>
      </c>
      <c r="AA42" s="1075">
        <f t="shared" si="17"/>
        <v>0</v>
      </c>
      <c r="AB42" s="997">
        <f t="shared" si="67"/>
        <v>0</v>
      </c>
      <c r="AC42" s="1072"/>
      <c r="AD42" s="1072"/>
      <c r="AE42" s="1069">
        <f t="shared" si="20"/>
        <v>1.3605596373639186</v>
      </c>
      <c r="AF42" s="1068"/>
      <c r="AG42" s="1068"/>
      <c r="AH42" s="1069">
        <f t="shared" si="21"/>
        <v>1.294202726425955E-2</v>
      </c>
      <c r="AI42" s="1069" t="str">
        <f t="shared" si="22"/>
        <v>N</v>
      </c>
      <c r="AJ42" s="997">
        <f t="shared" si="23"/>
        <v>0</v>
      </c>
      <c r="AK42" s="997">
        <f t="shared" si="24"/>
        <v>0</v>
      </c>
      <c r="AL42" s="997">
        <f t="shared" si="25"/>
        <v>0</v>
      </c>
      <c r="AM42" s="1067" t="s">
        <v>401</v>
      </c>
      <c r="AN42" s="997">
        <f t="shared" si="26"/>
        <v>0</v>
      </c>
      <c r="AO42" s="997">
        <f t="shared" si="27"/>
        <v>0</v>
      </c>
      <c r="AP42" s="997">
        <f t="shared" si="28"/>
        <v>2.0024984394500795</v>
      </c>
      <c r="AQ42" s="997">
        <v>0</v>
      </c>
      <c r="AR42" s="997">
        <v>0</v>
      </c>
      <c r="AS42" s="1074">
        <f t="shared" si="29"/>
        <v>0.26121453445343995</v>
      </c>
      <c r="AT42" s="1076">
        <f t="shared" si="30"/>
        <v>0.52308169760469259</v>
      </c>
      <c r="AU42" s="1076">
        <f t="shared" si="31"/>
        <v>0.5606995630460222</v>
      </c>
      <c r="AV42" s="1075">
        <f t="shared" si="32"/>
        <v>80</v>
      </c>
      <c r="AW42" s="997">
        <f t="shared" si="33"/>
        <v>0.19799162430739756</v>
      </c>
      <c r="AX42" s="997">
        <f t="shared" si="34"/>
        <v>0</v>
      </c>
      <c r="AY42" s="997">
        <f t="shared" si="35"/>
        <v>0.15839329944591798</v>
      </c>
      <c r="AZ42" s="997">
        <f t="shared" si="36"/>
        <v>3.9598324861479572E-2</v>
      </c>
      <c r="BA42" s="1074">
        <f t="shared" si="37"/>
        <v>1.2429841467842683E-2</v>
      </c>
      <c r="BB42" s="997">
        <f t="shared" si="38"/>
        <v>1.135809426980037</v>
      </c>
      <c r="BC42" s="1073">
        <f t="shared" si="39"/>
        <v>0.47499999999999998</v>
      </c>
      <c r="BD42" s="1073">
        <v>0.6</v>
      </c>
      <c r="BE42" s="1073">
        <v>0.4</v>
      </c>
      <c r="BF42" s="1073">
        <v>0.1</v>
      </c>
      <c r="BG42" s="1073">
        <v>7.4999999999999997E-2</v>
      </c>
      <c r="BH42" s="997">
        <f t="shared" si="40"/>
        <v>0</v>
      </c>
      <c r="BI42" s="1069">
        <f t="shared" si="41"/>
        <v>1.1804200000000038</v>
      </c>
      <c r="BJ42" s="997">
        <f t="shared" si="42"/>
        <v>0</v>
      </c>
      <c r="BK42" s="997">
        <f t="shared" si="43"/>
        <v>0</v>
      </c>
      <c r="BL42" s="997">
        <f t="shared" si="68"/>
        <v>1.3743026640039582</v>
      </c>
      <c r="BM42" s="1072"/>
      <c r="BN42" s="1072"/>
      <c r="BO42" s="1071">
        <f t="shared" si="46"/>
        <v>1.294202726425955</v>
      </c>
      <c r="BP42" s="997">
        <f t="shared" si="47"/>
        <v>0</v>
      </c>
      <c r="BQ42" s="1070">
        <f t="shared" si="48"/>
        <v>9.6250000000000002E-2</v>
      </c>
      <c r="BR42" s="997">
        <f t="shared" si="49"/>
        <v>3.9374999999999993E-2</v>
      </c>
      <c r="BS42" s="997">
        <f t="shared" si="50"/>
        <v>2.2089318749999999E-3</v>
      </c>
      <c r="BT42" s="997" t="str">
        <f t="shared" si="51"/>
        <v>C2</v>
      </c>
      <c r="BU42" s="1069">
        <f t="shared" si="69"/>
        <v>1.3605596373639186</v>
      </c>
      <c r="BV42" s="1068"/>
      <c r="BW42" s="1068"/>
      <c r="BX42" s="1068"/>
      <c r="BY42" s="1067" t="s">
        <v>387</v>
      </c>
      <c r="BZ42" s="1067">
        <f t="shared" si="54"/>
        <v>5.4049968789001586</v>
      </c>
      <c r="CA42" s="1066"/>
      <c r="CB42" s="1066"/>
      <c r="CC42" s="1066"/>
      <c r="CD42" s="1066"/>
      <c r="CE42" s="1066"/>
      <c r="CF42" s="1066"/>
      <c r="CG42" s="1066"/>
      <c r="CH42" s="1066"/>
      <c r="CI42" s="1066"/>
      <c r="CJ42" s="1066"/>
      <c r="CK42" s="1066"/>
      <c r="CL42" s="1066"/>
      <c r="CM42" s="1065">
        <v>88.9</v>
      </c>
      <c r="CN42" s="1064"/>
    </row>
    <row r="43" spans="1:92" s="1063" customFormat="1" ht="12.75" customHeight="1">
      <c r="A43" s="1085" t="s">
        <v>437</v>
      </c>
      <c r="B43" s="1107" t="s">
        <v>165</v>
      </c>
      <c r="C43" s="1107" t="s">
        <v>177</v>
      </c>
      <c r="D43" s="1084">
        <v>5</v>
      </c>
      <c r="E43" s="1083">
        <f t="shared" si="0"/>
        <v>1.999999999998181E-2</v>
      </c>
      <c r="F43" s="1082">
        <v>80.42</v>
      </c>
      <c r="G43" s="1082">
        <v>984.76700000000005</v>
      </c>
      <c r="H43" s="1082">
        <v>984.86699999999996</v>
      </c>
      <c r="I43" s="1081">
        <f t="shared" si="1"/>
        <v>983.68658000000005</v>
      </c>
      <c r="J43" s="1080">
        <f t="shared" si="2"/>
        <v>983.78657999999996</v>
      </c>
      <c r="K43" s="1079">
        <f t="shared" si="3"/>
        <v>1</v>
      </c>
      <c r="L43" s="997">
        <f t="shared" si="4"/>
        <v>5.0009999000199929</v>
      </c>
      <c r="M43" s="997">
        <v>0.7</v>
      </c>
      <c r="N43" s="1078" t="s">
        <v>331</v>
      </c>
      <c r="O43" s="1077" t="str">
        <f t="shared" si="5"/>
        <v>N</v>
      </c>
      <c r="P43" s="1077" t="str">
        <f t="shared" si="6"/>
        <v>N</v>
      </c>
      <c r="Q43" s="1077" t="str">
        <f t="shared" si="7"/>
        <v>S</v>
      </c>
      <c r="R43" s="1077" t="str">
        <f t="shared" si="8"/>
        <v>N</v>
      </c>
      <c r="S43" s="997">
        <f t="shared" si="9"/>
        <v>0</v>
      </c>
      <c r="T43" s="997">
        <f t="shared" si="10"/>
        <v>0</v>
      </c>
      <c r="U43" s="997">
        <f t="shared" si="11"/>
        <v>5.0009999000199929</v>
      </c>
      <c r="V43" s="997">
        <f t="shared" si="12"/>
        <v>0</v>
      </c>
      <c r="W43" s="997">
        <f t="shared" si="13"/>
        <v>0</v>
      </c>
      <c r="X43" s="997">
        <f t="shared" si="14"/>
        <v>0</v>
      </c>
      <c r="Y43" s="997">
        <f t="shared" si="15"/>
        <v>0.90017998200359861</v>
      </c>
      <c r="Z43" s="997">
        <f t="shared" si="16"/>
        <v>1.1804200000000038</v>
      </c>
      <c r="AA43" s="1075">
        <f t="shared" si="17"/>
        <v>0</v>
      </c>
      <c r="AB43" s="997">
        <f t="shared" si="67"/>
        <v>0</v>
      </c>
      <c r="AC43" s="1072"/>
      <c r="AD43" s="1072"/>
      <c r="AE43" s="1069">
        <f t="shared" si="20"/>
        <v>3.3978346631304905</v>
      </c>
      <c r="AF43" s="1068"/>
      <c r="AG43" s="1068"/>
      <c r="AH43" s="1069">
        <f t="shared" si="21"/>
        <v>3.2321162293835345E-2</v>
      </c>
      <c r="AI43" s="1069" t="str">
        <f t="shared" si="22"/>
        <v>N</v>
      </c>
      <c r="AJ43" s="997">
        <f t="shared" si="23"/>
        <v>0</v>
      </c>
      <c r="AK43" s="997">
        <f t="shared" si="24"/>
        <v>0</v>
      </c>
      <c r="AL43" s="997">
        <f t="shared" si="25"/>
        <v>0</v>
      </c>
      <c r="AM43" s="1067" t="s">
        <v>401</v>
      </c>
      <c r="AN43" s="997">
        <f t="shared" si="26"/>
        <v>0</v>
      </c>
      <c r="AO43" s="997">
        <f t="shared" si="27"/>
        <v>0</v>
      </c>
      <c r="AP43" s="997">
        <f t="shared" si="28"/>
        <v>5.0009999000199929</v>
      </c>
      <c r="AQ43" s="997">
        <v>0</v>
      </c>
      <c r="AR43" s="997">
        <v>0</v>
      </c>
      <c r="AS43" s="1074">
        <f t="shared" si="29"/>
        <v>0.26121453445343995</v>
      </c>
      <c r="AT43" s="1076">
        <f t="shared" si="30"/>
        <v>1.3063338606854222</v>
      </c>
      <c r="AU43" s="1076">
        <f t="shared" si="31"/>
        <v>1.4002799720055978</v>
      </c>
      <c r="AV43" s="1075">
        <f t="shared" si="32"/>
        <v>80</v>
      </c>
      <c r="AW43" s="997">
        <f t="shared" si="33"/>
        <v>0.49446035705176616</v>
      </c>
      <c r="AX43" s="997">
        <f t="shared" si="34"/>
        <v>0</v>
      </c>
      <c r="AY43" s="997">
        <f t="shared" si="35"/>
        <v>0.39556828564141289</v>
      </c>
      <c r="AZ43" s="997">
        <f t="shared" si="36"/>
        <v>9.8892071410353277E-2</v>
      </c>
      <c r="BA43" s="1074">
        <f t="shared" si="37"/>
        <v>3.1042039640748122E-2</v>
      </c>
      <c r="BB43" s="997">
        <f t="shared" si="38"/>
        <v>2.8365479437421213</v>
      </c>
      <c r="BC43" s="1073">
        <f t="shared" si="39"/>
        <v>0.47499999999999998</v>
      </c>
      <c r="BD43" s="1073">
        <v>0.6</v>
      </c>
      <c r="BE43" s="1073">
        <v>0.4</v>
      </c>
      <c r="BF43" s="1073">
        <v>0.1</v>
      </c>
      <c r="BG43" s="1073">
        <v>7.4999999999999997E-2</v>
      </c>
      <c r="BH43" s="997">
        <f t="shared" si="40"/>
        <v>0</v>
      </c>
      <c r="BI43" s="1069">
        <f t="shared" si="41"/>
        <v>1.1804200000000038</v>
      </c>
      <c r="BJ43" s="997">
        <f t="shared" si="42"/>
        <v>0</v>
      </c>
      <c r="BK43" s="997">
        <f t="shared" si="43"/>
        <v>0</v>
      </c>
      <c r="BL43" s="997">
        <f t="shared" si="68"/>
        <v>3.4321562253843338</v>
      </c>
      <c r="BM43" s="1072"/>
      <c r="BN43" s="1072"/>
      <c r="BO43" s="1071">
        <f t="shared" si="46"/>
        <v>3.2321162293835344</v>
      </c>
      <c r="BP43" s="997">
        <f t="shared" si="47"/>
        <v>0</v>
      </c>
      <c r="BQ43" s="1070">
        <f t="shared" si="48"/>
        <v>9.6250000000000002E-2</v>
      </c>
      <c r="BR43" s="997">
        <f t="shared" si="49"/>
        <v>3.9374999999999993E-2</v>
      </c>
      <c r="BS43" s="997">
        <f t="shared" si="50"/>
        <v>2.2089318749999999E-3</v>
      </c>
      <c r="BT43" s="997" t="str">
        <f t="shared" si="51"/>
        <v>C2</v>
      </c>
      <c r="BU43" s="1069">
        <f t="shared" si="69"/>
        <v>3.3978346631304905</v>
      </c>
      <c r="BV43" s="1068"/>
      <c r="BW43" s="1068"/>
      <c r="BX43" s="1068"/>
      <c r="BY43" s="1067" t="s">
        <v>387</v>
      </c>
      <c r="BZ43" s="1067">
        <f t="shared" si="54"/>
        <v>11.401999800039986</v>
      </c>
      <c r="CA43" s="1066"/>
      <c r="CB43" s="1066"/>
      <c r="CC43" s="1066"/>
      <c r="CD43" s="1066"/>
      <c r="CE43" s="1066"/>
      <c r="CF43" s="1066"/>
      <c r="CG43" s="1066"/>
      <c r="CH43" s="1066"/>
      <c r="CI43" s="1066"/>
      <c r="CJ43" s="1066"/>
      <c r="CK43" s="1066"/>
      <c r="CL43" s="1066"/>
      <c r="CM43" s="1065">
        <v>88.9</v>
      </c>
      <c r="CN43" s="1064"/>
    </row>
    <row r="44" spans="1:92" s="970" customFormat="1" ht="12.75" customHeight="1">
      <c r="A44" s="1042"/>
      <c r="B44" s="984"/>
      <c r="C44" s="984"/>
      <c r="D44" s="985"/>
      <c r="E44" s="1062"/>
      <c r="F44" s="982"/>
      <c r="G44" s="982"/>
      <c r="H44" s="982"/>
      <c r="I44" s="1060"/>
      <c r="J44" s="1060"/>
      <c r="K44" s="981"/>
      <c r="L44" s="954"/>
      <c r="M44" s="954"/>
      <c r="N44" s="980"/>
      <c r="O44" s="979"/>
      <c r="P44" s="979"/>
      <c r="Q44" s="979"/>
      <c r="R44" s="979"/>
      <c r="S44" s="1054"/>
      <c r="T44" s="1054"/>
      <c r="U44" s="1054"/>
      <c r="V44" s="1054"/>
      <c r="W44" s="1054"/>
      <c r="X44" s="1054"/>
      <c r="Y44" s="1059"/>
      <c r="Z44" s="954"/>
      <c r="AA44" s="977"/>
      <c r="AB44" s="1059"/>
      <c r="AC44" s="954"/>
      <c r="AD44" s="954"/>
      <c r="AE44" s="1058"/>
      <c r="AF44" s="974"/>
      <c r="AG44" s="974"/>
      <c r="AH44" s="1057"/>
      <c r="AI44" s="974"/>
      <c r="AJ44" s="954"/>
      <c r="AK44" s="954"/>
      <c r="AL44" s="954"/>
      <c r="AM44" s="972"/>
      <c r="AN44" s="1054"/>
      <c r="AO44" s="1054"/>
      <c r="AP44" s="1054"/>
      <c r="AQ44" s="954"/>
      <c r="AR44" s="954"/>
      <c r="AS44" s="978"/>
      <c r="AT44" s="1061"/>
      <c r="AU44" s="1061"/>
      <c r="AV44" s="1055"/>
      <c r="AW44" s="1054"/>
      <c r="AX44" s="1054"/>
      <c r="AY44" s="1054"/>
      <c r="AZ44" s="1054"/>
      <c r="BA44" s="1054"/>
      <c r="BB44" s="1054"/>
      <c r="BC44" s="953"/>
      <c r="BD44" s="953"/>
      <c r="BE44" s="953"/>
      <c r="BF44" s="953"/>
      <c r="BG44" s="953"/>
      <c r="BH44" s="954"/>
      <c r="BI44" s="974"/>
      <c r="BJ44" s="954"/>
      <c r="BK44" s="954"/>
      <c r="BL44" s="954"/>
      <c r="BM44" s="954"/>
      <c r="BN44" s="954"/>
      <c r="BO44" s="965"/>
      <c r="BP44" s="954"/>
      <c r="BQ44" s="976"/>
      <c r="BR44" s="954"/>
      <c r="BS44" s="954"/>
      <c r="BT44" s="975"/>
      <c r="BU44" s="1053"/>
      <c r="BV44" s="974"/>
      <c r="BW44" s="974"/>
      <c r="BX44" s="973"/>
      <c r="BY44" s="972"/>
      <c r="BZ44" s="972"/>
      <c r="CA44" s="1052"/>
      <c r="CB44" s="1052"/>
      <c r="CC44" s="1052"/>
      <c r="CD44" s="1052"/>
      <c r="CE44" s="1052"/>
      <c r="CF44" s="1052"/>
      <c r="CG44" s="1052"/>
      <c r="CH44" s="1052"/>
      <c r="CI44" s="1052"/>
      <c r="CJ44" s="1052"/>
      <c r="CK44" s="1052"/>
      <c r="CL44" s="1052"/>
    </row>
    <row r="45" spans="1:92" s="970" customFormat="1" ht="12.75" customHeight="1">
      <c r="A45" s="957"/>
      <c r="B45" s="957"/>
      <c r="C45" s="957"/>
      <c r="D45" s="957"/>
      <c r="E45" s="983"/>
      <c r="F45" s="982"/>
      <c r="G45" s="982"/>
      <c r="H45" s="982"/>
      <c r="I45" s="1060"/>
      <c r="J45" s="1060"/>
      <c r="K45" s="981"/>
      <c r="L45" s="954"/>
      <c r="M45" s="954"/>
      <c r="N45" s="980"/>
      <c r="O45" s="979"/>
      <c r="P45" s="979"/>
      <c r="Q45" s="979"/>
      <c r="R45" s="979"/>
      <c r="S45" s="1054"/>
      <c r="T45" s="1054"/>
      <c r="U45" s="1054"/>
      <c r="V45" s="1054"/>
      <c r="W45" s="1054"/>
      <c r="X45" s="1054"/>
      <c r="Y45" s="1059"/>
      <c r="Z45" s="954"/>
      <c r="AA45" s="977"/>
      <c r="AB45" s="1059"/>
      <c r="AC45" s="954"/>
      <c r="AD45" s="954"/>
      <c r="AE45" s="1058"/>
      <c r="AF45" s="974"/>
      <c r="AG45" s="974"/>
      <c r="AH45" s="1057"/>
      <c r="AI45" s="974"/>
      <c r="AJ45" s="954"/>
      <c r="AK45" s="954"/>
      <c r="AL45" s="954"/>
      <c r="AM45" s="972"/>
      <c r="AN45" s="1054"/>
      <c r="AO45" s="1054"/>
      <c r="AP45" s="1054"/>
      <c r="AQ45" s="954"/>
      <c r="AR45" s="954"/>
      <c r="AS45" s="978"/>
      <c r="AT45" s="1056"/>
      <c r="AU45" s="1056"/>
      <c r="AV45" s="1055"/>
      <c r="AW45" s="1054"/>
      <c r="AX45" s="1054"/>
      <c r="AY45" s="1054"/>
      <c r="AZ45" s="1054"/>
      <c r="BA45" s="1054"/>
      <c r="BB45" s="1054"/>
      <c r="BC45" s="953"/>
      <c r="BD45" s="953"/>
      <c r="BE45" s="953"/>
      <c r="BF45" s="953"/>
      <c r="BG45" s="953"/>
      <c r="BH45" s="954"/>
      <c r="BI45" s="974"/>
      <c r="BJ45" s="954"/>
      <c r="BK45" s="954"/>
      <c r="BL45" s="954"/>
      <c r="BM45" s="954"/>
      <c r="BN45" s="954"/>
      <c r="BO45" s="965"/>
      <c r="BP45" s="954"/>
      <c r="BQ45" s="976"/>
      <c r="BR45" s="954"/>
      <c r="BS45" s="954"/>
      <c r="BT45" s="975"/>
      <c r="BU45" s="1053"/>
      <c r="BV45" s="974"/>
      <c r="BW45" s="974"/>
      <c r="BX45" s="973"/>
      <c r="BY45" s="972"/>
      <c r="BZ45" s="972"/>
      <c r="CA45" s="1052"/>
      <c r="CB45" s="1052"/>
      <c r="CC45" s="1052"/>
      <c r="CD45" s="1052"/>
      <c r="CE45" s="1052"/>
      <c r="CF45" s="1052"/>
      <c r="CG45" s="1052"/>
      <c r="CH45" s="1052"/>
      <c r="CI45" s="1052"/>
      <c r="CJ45" s="1052"/>
      <c r="CK45" s="1052"/>
      <c r="CL45" s="1052"/>
    </row>
    <row r="46" spans="1:92" s="953" customFormat="1" ht="11.25">
      <c r="A46" s="957"/>
      <c r="B46" s="957"/>
      <c r="C46" s="957"/>
      <c r="D46" s="957"/>
      <c r="E46" s="958"/>
      <c r="F46" s="957"/>
      <c r="L46" s="956"/>
      <c r="M46" s="956"/>
      <c r="N46" s="956"/>
      <c r="O46" s="956"/>
      <c r="P46" s="956"/>
      <c r="Q46" s="956"/>
      <c r="R46" s="956"/>
      <c r="S46" s="964">
        <f t="shared" ref="S46:Y46" si="70">SUM(S7:S43)</f>
        <v>0</v>
      </c>
      <c r="T46" s="964">
        <f t="shared" si="70"/>
        <v>0</v>
      </c>
      <c r="U46" s="964">
        <f t="shared" si="70"/>
        <v>1276.525748506908</v>
      </c>
      <c r="V46" s="964">
        <f t="shared" si="70"/>
        <v>0</v>
      </c>
      <c r="W46" s="964">
        <f t="shared" si="70"/>
        <v>0</v>
      </c>
      <c r="X46" s="964">
        <f t="shared" si="70"/>
        <v>0</v>
      </c>
      <c r="Y46" s="964">
        <f t="shared" si="70"/>
        <v>229.77463473124348</v>
      </c>
      <c r="Z46" s="954"/>
      <c r="AA46" s="970"/>
      <c r="AB46" s="1251">
        <f>SUM(AB6:AB43)</f>
        <v>0</v>
      </c>
      <c r="AC46" s="964">
        <f>SUM(AC6:AC43)</f>
        <v>0</v>
      </c>
      <c r="AD46" s="964">
        <f>SUM(AD6:AD43)</f>
        <v>0</v>
      </c>
      <c r="AE46" s="1251">
        <f>SUM(AE7:AE43)</f>
        <v>927.08159514683848</v>
      </c>
      <c r="AF46" s="964">
        <f>SUM(AF6:AF43)</f>
        <v>0</v>
      </c>
      <c r="AG46" s="964">
        <f>SUM(AG6:AG43)</f>
        <v>0</v>
      </c>
      <c r="AH46" s="1251">
        <f>SUM(AH6:AH43)</f>
        <v>8.8538502576360045</v>
      </c>
      <c r="AI46" s="955"/>
      <c r="AN46" s="964">
        <f>SUM(AN7:AN43)</f>
        <v>0</v>
      </c>
      <c r="AO46" s="964">
        <f>SUM(AO7:AO43)</f>
        <v>0</v>
      </c>
      <c r="AP46" s="964">
        <f>SUM(AP7:AP43)</f>
        <v>1276.525748506908</v>
      </c>
      <c r="AT46" s="964">
        <f>SUM(AT6:AT43)</f>
        <v>376.03303807255941</v>
      </c>
      <c r="AU46" s="964">
        <f>SUM(AU7:AU43)</f>
        <v>357.42720958193416</v>
      </c>
      <c r="AV46" s="1051"/>
      <c r="AW46" s="964">
        <f t="shared" ref="AW46:BB46" si="71">SUM(AW7:AW43)</f>
        <v>122.26687332168852</v>
      </c>
      <c r="AX46" s="964">
        <f t="shared" si="71"/>
        <v>0</v>
      </c>
      <c r="AY46" s="1251">
        <f t="shared" si="71"/>
        <v>97.813498657350848</v>
      </c>
      <c r="AZ46" s="1251">
        <f t="shared" si="71"/>
        <v>24.453374664337687</v>
      </c>
      <c r="BA46" s="964">
        <f t="shared" si="71"/>
        <v>29.657904787418509</v>
      </c>
      <c r="BB46" s="1251">
        <f t="shared" si="71"/>
        <v>787.57152710624962</v>
      </c>
      <c r="BO46" s="1050">
        <f>SUM(BO7:BO43)</f>
        <v>885.38502576360088</v>
      </c>
      <c r="BT46" s="954"/>
      <c r="BU46" s="964">
        <f>SUM(BU6:BU43)</f>
        <v>927.08159514683848</v>
      </c>
      <c r="BZ46" s="964">
        <f>SUM(BZ6:CL43)</f>
        <v>2604.8514970138158</v>
      </c>
      <c r="CA46" s="964">
        <f>SUM(CA7:CA19)</f>
        <v>0</v>
      </c>
      <c r="CB46" s="964">
        <f t="shared" ref="CB46:CL46" si="72">SUM(CB6:CB19)</f>
        <v>0</v>
      </c>
      <c r="CC46" s="964">
        <f t="shared" si="72"/>
        <v>0</v>
      </c>
      <c r="CD46" s="964">
        <f t="shared" si="72"/>
        <v>0</v>
      </c>
      <c r="CE46" s="964">
        <f t="shared" si="72"/>
        <v>0</v>
      </c>
      <c r="CF46" s="964">
        <f t="shared" si="72"/>
        <v>0</v>
      </c>
      <c r="CG46" s="964">
        <f t="shared" si="72"/>
        <v>0</v>
      </c>
      <c r="CH46" s="964">
        <f t="shared" si="72"/>
        <v>0</v>
      </c>
      <c r="CI46" s="964">
        <f t="shared" si="72"/>
        <v>0</v>
      </c>
      <c r="CJ46" s="964">
        <f t="shared" si="72"/>
        <v>0</v>
      </c>
      <c r="CK46" s="964">
        <f t="shared" si="72"/>
        <v>0</v>
      </c>
      <c r="CL46" s="964">
        <f t="shared" si="72"/>
        <v>0</v>
      </c>
      <c r="CN46" s="1049">
        <f>SUM(CN7:CN38)</f>
        <v>391</v>
      </c>
    </row>
    <row r="47" spans="1:92" s="953" customFormat="1" ht="12.75">
      <c r="B47" s="959"/>
      <c r="C47" s="959"/>
      <c r="D47" s="1048">
        <f>SUM(D7:D43)</f>
        <v>1275.7949999999998</v>
      </c>
      <c r="E47" s="958"/>
      <c r="F47" s="957"/>
      <c r="L47" s="1048">
        <f>SUM(L7:L43)</f>
        <v>1276.525748506908</v>
      </c>
      <c r="M47" s="956"/>
      <c r="N47" s="956"/>
      <c r="O47" s="956"/>
      <c r="P47" s="956"/>
      <c r="Q47" s="956"/>
      <c r="R47" s="956"/>
      <c r="AI47" s="955"/>
      <c r="BT47" s="954"/>
    </row>
    <row r="48" spans="1:92" s="953" customFormat="1" ht="12.75">
      <c r="B48" s="959"/>
      <c r="C48" s="959"/>
      <c r="E48" s="958"/>
      <c r="F48" s="957"/>
      <c r="L48" s="956"/>
      <c r="M48" s="956"/>
      <c r="N48" s="956"/>
      <c r="O48" s="956"/>
      <c r="P48" s="956"/>
      <c r="Q48" s="956"/>
      <c r="R48" s="956"/>
      <c r="S48" s="953">
        <v>0</v>
      </c>
      <c r="T48" s="953">
        <v>0</v>
      </c>
      <c r="U48" s="953">
        <v>1276.525748506908</v>
      </c>
      <c r="V48" s="953">
        <v>0</v>
      </c>
      <c r="W48" s="953">
        <v>0</v>
      </c>
      <c r="X48" s="953">
        <v>0</v>
      </c>
      <c r="Y48" s="953">
        <v>204.24411976110531</v>
      </c>
      <c r="AB48" s="953">
        <v>433.44074578293737</v>
      </c>
      <c r="AC48" s="953">
        <v>0</v>
      </c>
      <c r="AD48" s="953">
        <v>0</v>
      </c>
      <c r="AE48" s="953">
        <v>288.96049718862497</v>
      </c>
      <c r="AF48" s="953">
        <v>0</v>
      </c>
      <c r="AG48" s="953">
        <v>0</v>
      </c>
      <c r="AH48" s="953">
        <v>75.160701780590387</v>
      </c>
      <c r="AI48" s="955"/>
      <c r="AT48" s="953">
        <v>318.84657502528034</v>
      </c>
      <c r="AU48" s="953">
        <v>306.36617964165805</v>
      </c>
      <c r="AW48" s="953">
        <v>96.736358351547068</v>
      </c>
      <c r="AX48" s="953">
        <v>0</v>
      </c>
      <c r="AY48" s="953">
        <v>77.389086681237629</v>
      </c>
      <c r="AZ48" s="953">
        <v>19.347271670309407</v>
      </c>
      <c r="BA48" s="953">
        <v>29.657904787418509</v>
      </c>
      <c r="BB48" s="953">
        <v>674.21793112466617</v>
      </c>
      <c r="BO48" s="953">
        <v>744.04764563224046</v>
      </c>
      <c r="BT48" s="954"/>
      <c r="BU48" s="953">
        <v>715.59780801526529</v>
      </c>
      <c r="CA48" s="962"/>
      <c r="CB48" s="962"/>
      <c r="CC48" s="962"/>
      <c r="CD48" s="962"/>
      <c r="CE48" s="962"/>
      <c r="CF48" s="962"/>
      <c r="CG48" s="962"/>
      <c r="CH48" s="962"/>
      <c r="CI48" s="962"/>
      <c r="CJ48" s="962"/>
      <c r="CK48" s="962"/>
      <c r="CL48" s="962"/>
    </row>
    <row r="49" spans="2:90" s="953" customFormat="1" ht="12.75">
      <c r="B49" s="959"/>
      <c r="C49" s="959"/>
      <c r="D49" s="963" t="s">
        <v>333</v>
      </c>
      <c r="E49" s="958"/>
      <c r="F49" s="957"/>
      <c r="L49" s="956"/>
      <c r="M49" s="956"/>
      <c r="N49" s="956"/>
      <c r="O49" s="956"/>
      <c r="P49" s="956"/>
      <c r="Q49" s="956"/>
      <c r="R49" s="956"/>
      <c r="AI49" s="955"/>
      <c r="AN49" s="953">
        <v>0</v>
      </c>
      <c r="AO49" s="953">
        <v>0</v>
      </c>
      <c r="AP49" s="953">
        <v>1276.525748506908</v>
      </c>
      <c r="BT49" s="954"/>
      <c r="CA49" s="962"/>
      <c r="CB49" s="962"/>
      <c r="CC49" s="962"/>
      <c r="CD49" s="962"/>
      <c r="CE49" s="962"/>
      <c r="CF49" s="962"/>
      <c r="CG49" s="962"/>
      <c r="CH49" s="962"/>
      <c r="CI49" s="962"/>
      <c r="CJ49" s="962"/>
      <c r="CK49" s="962"/>
      <c r="CL49" s="962"/>
    </row>
    <row r="50" spans="2:90" s="953" customFormat="1" ht="12.75">
      <c r="B50" s="959"/>
      <c r="C50" s="959"/>
      <c r="D50" s="961" t="s">
        <v>336</v>
      </c>
      <c r="E50" s="958"/>
      <c r="F50" s="957"/>
      <c r="H50" s="954">
        <v>1</v>
      </c>
      <c r="L50" s="1106">
        <f>L47-14</f>
        <v>1262.525748506908</v>
      </c>
      <c r="M50" s="956"/>
      <c r="N50" s="956"/>
      <c r="O50" s="956"/>
      <c r="P50" s="956"/>
      <c r="Q50" s="956"/>
      <c r="R50" s="956"/>
      <c r="AD50" s="1241">
        <f>AB46+AE46</f>
        <v>927.08159514683848</v>
      </c>
      <c r="AI50" s="955"/>
      <c r="BT50" s="954"/>
    </row>
    <row r="51" spans="2:90" s="953" customFormat="1" ht="12.75">
      <c r="B51" s="959"/>
      <c r="C51" s="959"/>
      <c r="E51" s="958"/>
      <c r="F51" s="957"/>
      <c r="L51" s="956"/>
      <c r="M51" s="956"/>
      <c r="N51" s="956"/>
      <c r="O51" s="956"/>
      <c r="P51" s="956"/>
      <c r="Q51" s="956"/>
      <c r="R51" s="956"/>
      <c r="AI51" s="955"/>
      <c r="AX51" s="1278">
        <f>AT46+AY46+AZ46+AU46</f>
        <v>855.72712097618205</v>
      </c>
      <c r="BT51" s="954"/>
    </row>
    <row r="52" spans="2:90" s="953" customFormat="1" ht="12.75">
      <c r="B52" s="959"/>
      <c r="C52" s="959"/>
      <c r="E52" s="958"/>
      <c r="F52" s="957"/>
      <c r="L52" s="956"/>
      <c r="M52" s="956"/>
      <c r="N52" s="956"/>
      <c r="O52" s="956"/>
      <c r="P52" s="956"/>
      <c r="Q52" s="956"/>
      <c r="R52" s="956"/>
      <c r="AI52" s="955"/>
      <c r="AN52" s="960" t="s">
        <v>438</v>
      </c>
      <c r="BT52" s="954"/>
    </row>
    <row r="53" spans="2:90">
      <c r="AW53" s="29"/>
    </row>
    <row r="56" spans="2:90">
      <c r="AV56" s="29"/>
      <c r="AX56" s="29"/>
    </row>
  </sheetData>
  <mergeCells count="55">
    <mergeCell ref="CN34:CN35"/>
    <mergeCell ref="CN36:CN38"/>
    <mergeCell ref="CN24:CN25"/>
    <mergeCell ref="CN7:CN8"/>
    <mergeCell ref="CN9:CN10"/>
    <mergeCell ref="CN21:CN23"/>
    <mergeCell ref="CN16:CN17"/>
    <mergeCell ref="CN30:CN32"/>
    <mergeCell ref="CN28:CN29"/>
    <mergeCell ref="CN18:CN20"/>
    <mergeCell ref="CN13:CN14"/>
    <mergeCell ref="CN11:CN12"/>
    <mergeCell ref="CN26:CN27"/>
    <mergeCell ref="BZ2:BZ4"/>
    <mergeCell ref="CA2:CL4"/>
    <mergeCell ref="AA3:AA4"/>
    <mergeCell ref="BX3:BX4"/>
    <mergeCell ref="CM2:CM3"/>
    <mergeCell ref="BL2:BN2"/>
    <mergeCell ref="BO2:BO3"/>
    <mergeCell ref="BP2:BP4"/>
    <mergeCell ref="BT2:BT4"/>
    <mergeCell ref="BU2:BX2"/>
    <mergeCell ref="BY2:BY4"/>
    <mergeCell ref="BC2:BC3"/>
    <mergeCell ref="BD2:BD3"/>
    <mergeCell ref="BE2:BE3"/>
    <mergeCell ref="BF2:BF3"/>
    <mergeCell ref="BG2:BG3"/>
    <mergeCell ref="Z2:Z3"/>
    <mergeCell ref="AB2:AD2"/>
    <mergeCell ref="AE2:AG2"/>
    <mergeCell ref="BH2:BK2"/>
    <mergeCell ref="AI2:AK2"/>
    <mergeCell ref="AM2:AM4"/>
    <mergeCell ref="AN2:AP2"/>
    <mergeCell ref="AQ2:AS2"/>
    <mergeCell ref="AU2:AU3"/>
    <mergeCell ref="AV2:AV4"/>
    <mergeCell ref="W2:Y2"/>
    <mergeCell ref="G2:H2"/>
    <mergeCell ref="CN2:CN3"/>
    <mergeCell ref="A2:A4"/>
    <mergeCell ref="B2:C2"/>
    <mergeCell ref="D2:D3"/>
    <mergeCell ref="E2:E3"/>
    <mergeCell ref="F2:F3"/>
    <mergeCell ref="AH2:AH3"/>
    <mergeCell ref="I2:J2"/>
    <mergeCell ref="K2:K3"/>
    <mergeCell ref="L2:L3"/>
    <mergeCell ref="M2:M3"/>
    <mergeCell ref="N2:N4"/>
    <mergeCell ref="O2:R2"/>
    <mergeCell ref="S2:V2"/>
  </mergeCells>
  <pageMargins left="0.7" right="0.7" top="0.75" bottom="0.75" header="0.3" footer="0.3"/>
  <pageSetup paperSize="9" orientation="portrait" horizontalDpi="360" verticalDpi="36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70C0"/>
  </sheetPr>
  <dimension ref="A1:CM53"/>
  <sheetViews>
    <sheetView workbookViewId="0"/>
  </sheetViews>
  <sheetFormatPr baseColWidth="10" defaultColWidth="11.42578125" defaultRowHeight="15"/>
  <cols>
    <col min="7" max="10" width="0" hidden="1" customWidth="1"/>
    <col min="78" max="78" width="11.42578125" customWidth="1"/>
    <col min="79" max="90" width="0" hidden="1" customWidth="1"/>
  </cols>
  <sheetData>
    <row r="1" spans="1:91" s="1041" customFormat="1" ht="7.5" customHeight="1">
      <c r="D1" s="1047"/>
      <c r="E1" s="1046"/>
      <c r="F1" s="1045"/>
      <c r="G1" s="1045"/>
      <c r="H1" s="1045"/>
      <c r="I1" s="1045"/>
      <c r="J1" s="1045"/>
      <c r="K1" s="1044"/>
      <c r="L1" s="1044"/>
      <c r="M1" s="1044"/>
      <c r="N1" s="1044"/>
      <c r="O1" s="1044"/>
      <c r="P1" s="1044"/>
      <c r="Q1" s="1044"/>
      <c r="R1" s="1044"/>
      <c r="S1" s="1044"/>
      <c r="T1" s="1044"/>
      <c r="U1" s="1044"/>
      <c r="V1" s="1044"/>
      <c r="W1" s="1044"/>
      <c r="X1" s="1044"/>
      <c r="Y1" s="1044"/>
      <c r="Z1" s="1044"/>
      <c r="AA1" s="1044"/>
      <c r="AB1" s="1044"/>
      <c r="AC1" s="1044"/>
      <c r="AD1" s="1044"/>
      <c r="AE1" s="1044"/>
      <c r="AF1" s="1044"/>
      <c r="AG1" s="1044"/>
      <c r="AH1" s="1044"/>
      <c r="AI1" s="1044"/>
      <c r="AJ1" s="1044"/>
      <c r="AK1" s="1044"/>
      <c r="AL1" s="1044"/>
      <c r="AM1" s="1044"/>
      <c r="AN1" s="1044"/>
      <c r="AO1" s="1044"/>
      <c r="AP1" s="1044"/>
      <c r="AQ1" s="1044"/>
      <c r="AR1" s="1044"/>
      <c r="AS1" s="1044"/>
      <c r="AT1" s="1044"/>
      <c r="AU1" s="1044"/>
      <c r="AY1" s="1043"/>
      <c r="BT1" s="1042"/>
    </row>
    <row r="2" spans="1:91" s="1041" customFormat="1" ht="7.5" customHeight="1">
      <c r="D2" s="1047"/>
      <c r="E2" s="1046"/>
      <c r="F2" s="1045"/>
      <c r="G2" s="1045"/>
      <c r="H2" s="1045"/>
      <c r="I2" s="1045"/>
      <c r="J2" s="1045"/>
      <c r="K2" s="1044"/>
      <c r="L2" s="1044"/>
      <c r="M2" s="1044"/>
      <c r="N2" s="1044"/>
      <c r="O2" s="1044"/>
      <c r="P2" s="1044"/>
      <c r="Q2" s="1044"/>
      <c r="R2" s="1044"/>
      <c r="S2" s="1044"/>
      <c r="T2" s="1044"/>
      <c r="U2" s="1044"/>
      <c r="V2" s="1044"/>
      <c r="W2" s="1044"/>
      <c r="X2" s="1044"/>
      <c r="Y2" s="1044"/>
      <c r="Z2" s="1044"/>
      <c r="AA2" s="1044"/>
      <c r="AB2" s="1044"/>
      <c r="AC2" s="1044"/>
      <c r="AD2" s="1044"/>
      <c r="AE2" s="1044"/>
      <c r="AF2" s="1044"/>
      <c r="AG2" s="1044"/>
      <c r="AH2" s="1044"/>
      <c r="AI2" s="1044"/>
      <c r="AJ2" s="1044"/>
      <c r="AK2" s="1044"/>
      <c r="AL2" s="1044"/>
      <c r="AM2" s="1044"/>
      <c r="AN2" s="1044"/>
      <c r="AO2" s="1044"/>
      <c r="AP2" s="1044"/>
      <c r="AQ2" s="1044"/>
      <c r="AR2" s="1044"/>
      <c r="AS2" s="1044"/>
      <c r="AT2" s="1044"/>
      <c r="AU2" s="1044"/>
      <c r="AY2" s="1043"/>
      <c r="BT2" s="1042"/>
    </row>
    <row r="3" spans="1:91" s="1038" customFormat="1" ht="11.25">
      <c r="A3" s="1040">
        <v>1</v>
      </c>
      <c r="B3" s="1040">
        <v>2</v>
      </c>
      <c r="C3" s="1040">
        <v>3</v>
      </c>
      <c r="D3" s="1040">
        <v>4</v>
      </c>
      <c r="E3" s="1040">
        <v>5</v>
      </c>
      <c r="F3" s="1040">
        <v>6</v>
      </c>
      <c r="G3" s="1040"/>
      <c r="H3" s="1040"/>
      <c r="I3" s="1040"/>
      <c r="J3" s="1040"/>
      <c r="K3" s="1040">
        <v>11</v>
      </c>
      <c r="L3" s="1040">
        <v>12</v>
      </c>
      <c r="M3" s="1040">
        <v>13</v>
      </c>
      <c r="N3" s="1040">
        <v>14</v>
      </c>
      <c r="O3" s="1040">
        <v>15</v>
      </c>
      <c r="P3" s="1040">
        <v>16</v>
      </c>
      <c r="Q3" s="1040">
        <v>17</v>
      </c>
      <c r="R3" s="1040">
        <v>18</v>
      </c>
      <c r="S3" s="1040">
        <v>19</v>
      </c>
      <c r="T3" s="1040">
        <v>20</v>
      </c>
      <c r="U3" s="1040">
        <v>21</v>
      </c>
      <c r="V3" s="1040">
        <v>22</v>
      </c>
      <c r="W3" s="1040">
        <v>23</v>
      </c>
      <c r="X3" s="1040">
        <v>24</v>
      </c>
      <c r="Y3" s="1040">
        <v>25</v>
      </c>
      <c r="Z3" s="1040">
        <v>26</v>
      </c>
      <c r="AA3" s="1040">
        <v>27</v>
      </c>
      <c r="AB3" s="1040">
        <v>28</v>
      </c>
      <c r="AC3" s="1040">
        <v>29</v>
      </c>
      <c r="AD3" s="1040">
        <v>30</v>
      </c>
      <c r="AE3" s="1040">
        <v>31</v>
      </c>
      <c r="AF3" s="1040">
        <v>32</v>
      </c>
      <c r="AG3" s="1040">
        <v>33</v>
      </c>
      <c r="AH3" s="1040">
        <v>34</v>
      </c>
      <c r="AI3" s="1040">
        <v>35</v>
      </c>
      <c r="AJ3" s="1040">
        <v>36</v>
      </c>
      <c r="AK3" s="1040">
        <v>37</v>
      </c>
      <c r="AL3" s="1040">
        <v>38</v>
      </c>
      <c r="AM3" s="1040">
        <v>39</v>
      </c>
      <c r="AN3" s="1040">
        <v>40</v>
      </c>
      <c r="AO3" s="1040">
        <v>41</v>
      </c>
      <c r="AP3" s="1040">
        <v>42</v>
      </c>
      <c r="AQ3" s="1040">
        <v>43</v>
      </c>
      <c r="AR3" s="1040">
        <v>44</v>
      </c>
      <c r="AS3" s="1040">
        <v>45</v>
      </c>
      <c r="AT3" s="1040">
        <v>46</v>
      </c>
      <c r="AU3" s="1040"/>
      <c r="AV3" s="1040">
        <v>47</v>
      </c>
      <c r="AW3" s="1040">
        <v>48</v>
      </c>
      <c r="AX3" s="1040">
        <v>49</v>
      </c>
      <c r="AY3" s="1040">
        <v>50</v>
      </c>
      <c r="AZ3" s="1040">
        <v>51</v>
      </c>
      <c r="BA3" s="1040">
        <v>52</v>
      </c>
      <c r="BB3" s="1040">
        <v>53</v>
      </c>
      <c r="BC3" s="1040">
        <v>54</v>
      </c>
      <c r="BD3" s="1040">
        <v>55</v>
      </c>
      <c r="BE3" s="1040">
        <v>56</v>
      </c>
      <c r="BF3" s="1040">
        <v>57</v>
      </c>
      <c r="BG3" s="1040">
        <v>58</v>
      </c>
      <c r="BH3" s="1040">
        <v>59</v>
      </c>
      <c r="BI3" s="1040">
        <v>60</v>
      </c>
      <c r="BJ3" s="1040">
        <v>61</v>
      </c>
      <c r="BK3" s="1040">
        <v>62</v>
      </c>
      <c r="BL3" s="1040">
        <v>63</v>
      </c>
      <c r="BM3" s="1040">
        <v>64</v>
      </c>
      <c r="BN3" s="1040">
        <v>65</v>
      </c>
      <c r="BO3" s="1040">
        <v>66</v>
      </c>
      <c r="BP3" s="1040">
        <v>67</v>
      </c>
      <c r="BQ3" s="1040">
        <v>68</v>
      </c>
      <c r="BR3" s="1040">
        <v>69</v>
      </c>
      <c r="BS3" s="1040">
        <v>70</v>
      </c>
      <c r="BT3" s="1040">
        <v>71</v>
      </c>
      <c r="BU3" s="1040">
        <v>72</v>
      </c>
      <c r="BV3" s="1040">
        <v>73</v>
      </c>
      <c r="BW3" s="1040">
        <v>74</v>
      </c>
      <c r="BX3" s="1040">
        <v>75</v>
      </c>
      <c r="BY3" s="1040">
        <v>76</v>
      </c>
      <c r="BZ3" s="1039"/>
      <c r="CA3" s="1039"/>
    </row>
    <row r="4" spans="1:91" s="1027" customFormat="1" ht="33.75" customHeight="1">
      <c r="A4" s="1666" t="s">
        <v>343</v>
      </c>
      <c r="B4" s="1663" t="s">
        <v>185</v>
      </c>
      <c r="C4" s="1663"/>
      <c r="D4" s="1665" t="s">
        <v>344</v>
      </c>
      <c r="E4" s="1666" t="s">
        <v>345</v>
      </c>
      <c r="F4" s="1665" t="s">
        <v>439</v>
      </c>
      <c r="G4" s="1029"/>
      <c r="H4" s="1029"/>
      <c r="I4" s="1029"/>
      <c r="J4" s="1029"/>
      <c r="K4" s="1665" t="s">
        <v>347</v>
      </c>
      <c r="L4" s="1665" t="s">
        <v>348</v>
      </c>
      <c r="M4" s="1665" t="s">
        <v>60</v>
      </c>
      <c r="N4" s="1665" t="s">
        <v>349</v>
      </c>
      <c r="O4" s="1665" t="s">
        <v>196</v>
      </c>
      <c r="P4" s="1665"/>
      <c r="Q4" s="1665"/>
      <c r="R4" s="1665"/>
      <c r="S4" s="1665" t="s">
        <v>197</v>
      </c>
      <c r="T4" s="1665"/>
      <c r="U4" s="1665"/>
      <c r="V4" s="1665"/>
      <c r="W4" s="1663" t="s">
        <v>350</v>
      </c>
      <c r="X4" s="1663"/>
      <c r="Y4" s="1663"/>
      <c r="Z4" s="1665" t="s">
        <v>351</v>
      </c>
      <c r="AA4" s="1028" t="s">
        <v>352</v>
      </c>
      <c r="AB4" s="1667" t="s">
        <v>201</v>
      </c>
      <c r="AC4" s="1667"/>
      <c r="AD4" s="1667"/>
      <c r="AE4" s="1667" t="s">
        <v>202</v>
      </c>
      <c r="AF4" s="1667"/>
      <c r="AG4" s="1667"/>
      <c r="AH4" s="1665" t="s">
        <v>353</v>
      </c>
      <c r="AI4" s="1668" t="s">
        <v>204</v>
      </c>
      <c r="AJ4" s="1668"/>
      <c r="AK4" s="1668"/>
      <c r="AL4" s="1032" t="s">
        <v>205</v>
      </c>
      <c r="AM4" s="1665" t="s">
        <v>354</v>
      </c>
      <c r="AN4" s="1664" t="s">
        <v>206</v>
      </c>
      <c r="AO4" s="1664"/>
      <c r="AP4" s="1664"/>
      <c r="AQ4" s="1664" t="s">
        <v>207</v>
      </c>
      <c r="AR4" s="1664"/>
      <c r="AS4" s="1664"/>
      <c r="AT4" s="1028" t="s">
        <v>355</v>
      </c>
      <c r="AU4" s="1669" t="s">
        <v>209</v>
      </c>
      <c r="AV4" s="1667" t="s">
        <v>356</v>
      </c>
      <c r="AW4" s="1029" t="s">
        <v>211</v>
      </c>
      <c r="AX4" s="1029" t="s">
        <v>211</v>
      </c>
      <c r="AY4" s="1034" t="s">
        <v>213</v>
      </c>
      <c r="AZ4" s="1035" t="s">
        <v>213</v>
      </c>
      <c r="BA4" s="1035" t="s">
        <v>211</v>
      </c>
      <c r="BB4" s="1029" t="s">
        <v>357</v>
      </c>
      <c r="BC4" s="1663" t="s">
        <v>218</v>
      </c>
      <c r="BD4" s="1682" t="s">
        <v>219</v>
      </c>
      <c r="BE4" s="1663" t="s">
        <v>220</v>
      </c>
      <c r="BF4" s="1663" t="s">
        <v>221</v>
      </c>
      <c r="BG4" s="1684" t="s">
        <v>358</v>
      </c>
      <c r="BH4" s="1665" t="s">
        <v>223</v>
      </c>
      <c r="BI4" s="1665"/>
      <c r="BJ4" s="1665"/>
      <c r="BK4" s="1665"/>
      <c r="BL4" s="1665" t="s">
        <v>225</v>
      </c>
      <c r="BM4" s="1665"/>
      <c r="BN4" s="1665"/>
      <c r="BO4" s="1665" t="s">
        <v>359</v>
      </c>
      <c r="BP4" s="1663" t="s">
        <v>275</v>
      </c>
      <c r="BQ4" s="1029"/>
      <c r="BR4" s="1029"/>
      <c r="BS4" s="1029"/>
      <c r="BT4" s="1680" t="s">
        <v>227</v>
      </c>
      <c r="BU4" s="1667" t="s">
        <v>228</v>
      </c>
      <c r="BV4" s="1667"/>
      <c r="BW4" s="1667"/>
      <c r="BX4" s="1667"/>
      <c r="BY4" s="1665" t="s">
        <v>360</v>
      </c>
      <c r="BZ4" s="1665" t="s">
        <v>361</v>
      </c>
      <c r="CA4" s="1671" t="s">
        <v>362</v>
      </c>
      <c r="CB4" s="1672"/>
      <c r="CC4" s="1672"/>
      <c r="CD4" s="1672"/>
      <c r="CE4" s="1672"/>
      <c r="CF4" s="1672"/>
      <c r="CG4" s="1672"/>
      <c r="CH4" s="1672"/>
      <c r="CI4" s="1672"/>
      <c r="CJ4" s="1672"/>
      <c r="CK4" s="1672"/>
      <c r="CL4" s="1673"/>
      <c r="CM4" s="1674" t="s">
        <v>440</v>
      </c>
    </row>
    <row r="5" spans="1:91" s="1027" customFormat="1" ht="18" customHeight="1">
      <c r="A5" s="1666"/>
      <c r="B5" s="1029" t="s">
        <v>365</v>
      </c>
      <c r="C5" s="1029" t="s">
        <v>366</v>
      </c>
      <c r="D5" s="1665"/>
      <c r="E5" s="1666"/>
      <c r="F5" s="1665"/>
      <c r="G5" s="1029"/>
      <c r="H5" s="1029"/>
      <c r="I5" s="1029"/>
      <c r="J5" s="1029"/>
      <c r="K5" s="1665"/>
      <c r="L5" s="1665"/>
      <c r="M5" s="1665"/>
      <c r="N5" s="1665"/>
      <c r="O5" s="1037" t="s">
        <v>367</v>
      </c>
      <c r="P5" s="1030" t="s">
        <v>248</v>
      </c>
      <c r="Q5" s="1037" t="s">
        <v>368</v>
      </c>
      <c r="R5" s="1037" t="s">
        <v>369</v>
      </c>
      <c r="S5" s="1030" t="s">
        <v>247</v>
      </c>
      <c r="T5" s="1030" t="s">
        <v>248</v>
      </c>
      <c r="U5" s="1030" t="s">
        <v>249</v>
      </c>
      <c r="V5" s="1037" t="s">
        <v>370</v>
      </c>
      <c r="W5" s="1030" t="s">
        <v>247</v>
      </c>
      <c r="X5" s="1030" t="s">
        <v>248</v>
      </c>
      <c r="Y5" s="1030" t="s">
        <v>249</v>
      </c>
      <c r="Z5" s="1665"/>
      <c r="AA5" s="1665" t="s">
        <v>371</v>
      </c>
      <c r="AB5" s="1029" t="s">
        <v>252</v>
      </c>
      <c r="AC5" s="1029" t="s">
        <v>253</v>
      </c>
      <c r="AD5" s="1029" t="s">
        <v>254</v>
      </c>
      <c r="AE5" s="1029" t="s">
        <v>252</v>
      </c>
      <c r="AF5" s="1029" t="s">
        <v>253</v>
      </c>
      <c r="AG5" s="1029" t="s">
        <v>255</v>
      </c>
      <c r="AH5" s="1665"/>
      <c r="AI5" s="1031"/>
      <c r="AJ5" s="1029" t="s">
        <v>256</v>
      </c>
      <c r="AK5" s="1032" t="s">
        <v>257</v>
      </c>
      <c r="AL5" s="1029" t="s">
        <v>258</v>
      </c>
      <c r="AM5" s="1665"/>
      <c r="AN5" s="1036" t="s">
        <v>372</v>
      </c>
      <c r="AO5" s="1036" t="s">
        <v>373</v>
      </c>
      <c r="AP5" s="1029"/>
      <c r="AQ5" s="1036" t="s">
        <v>372</v>
      </c>
      <c r="AR5" s="1036" t="s">
        <v>373</v>
      </c>
      <c r="AS5" s="1029" t="s">
        <v>374</v>
      </c>
      <c r="AT5" s="1036" t="s">
        <v>441</v>
      </c>
      <c r="AU5" s="1670"/>
      <c r="AV5" s="1667"/>
      <c r="AW5" s="1029" t="s">
        <v>265</v>
      </c>
      <c r="AX5" s="1029" t="s">
        <v>266</v>
      </c>
      <c r="AY5" s="1035" t="s">
        <v>267</v>
      </c>
      <c r="AZ5" s="1035" t="s">
        <v>268</v>
      </c>
      <c r="BA5" s="1034" t="s">
        <v>269</v>
      </c>
      <c r="BB5" s="1029" t="s">
        <v>376</v>
      </c>
      <c r="BC5" s="1663"/>
      <c r="BD5" s="1683"/>
      <c r="BE5" s="1663"/>
      <c r="BF5" s="1663"/>
      <c r="BG5" s="1684"/>
      <c r="BH5" s="1029"/>
      <c r="BI5" s="1029" t="s">
        <v>306</v>
      </c>
      <c r="BJ5" s="1029" t="s">
        <v>307</v>
      </c>
      <c r="BK5" s="1029" t="s">
        <v>308</v>
      </c>
      <c r="BL5" s="1029" t="s">
        <v>306</v>
      </c>
      <c r="BM5" s="1029" t="s">
        <v>307</v>
      </c>
      <c r="BN5" s="1029" t="s">
        <v>308</v>
      </c>
      <c r="BO5" s="1665"/>
      <c r="BP5" s="1663"/>
      <c r="BQ5" s="1029" t="s">
        <v>276</v>
      </c>
      <c r="BR5" s="1029" t="s">
        <v>220</v>
      </c>
      <c r="BS5" s="1029" t="s">
        <v>277</v>
      </c>
      <c r="BT5" s="1681"/>
      <c r="BU5" s="1029" t="s">
        <v>306</v>
      </c>
      <c r="BV5" s="1029" t="s">
        <v>307</v>
      </c>
      <c r="BW5" s="1029" t="s">
        <v>308</v>
      </c>
      <c r="BX5" s="1665" t="s">
        <v>377</v>
      </c>
      <c r="BY5" s="1665"/>
      <c r="BZ5" s="1665"/>
      <c r="CA5" s="1674"/>
      <c r="CB5" s="1675"/>
      <c r="CC5" s="1675"/>
      <c r="CD5" s="1675"/>
      <c r="CE5" s="1675"/>
      <c r="CF5" s="1675"/>
      <c r="CG5" s="1675"/>
      <c r="CH5" s="1675"/>
      <c r="CI5" s="1675"/>
      <c r="CJ5" s="1675"/>
      <c r="CK5" s="1675"/>
      <c r="CL5" s="1676"/>
      <c r="CM5" s="1674"/>
    </row>
    <row r="6" spans="1:91" s="1027" customFormat="1" ht="13.9" customHeight="1">
      <c r="A6" s="1666"/>
      <c r="B6" s="1032"/>
      <c r="C6" s="1032"/>
      <c r="D6" s="1032" t="s">
        <v>294</v>
      </c>
      <c r="E6" s="1033" t="s">
        <v>295</v>
      </c>
      <c r="F6" s="1032" t="s">
        <v>296</v>
      </c>
      <c r="G6" s="1032"/>
      <c r="H6" s="1032"/>
      <c r="I6" s="1032"/>
      <c r="J6" s="1032"/>
      <c r="K6" s="1029"/>
      <c r="L6" s="1029" t="s">
        <v>299</v>
      </c>
      <c r="M6" s="1105" t="s">
        <v>299</v>
      </c>
      <c r="N6" s="1665"/>
      <c r="O6" s="1029" t="s">
        <v>298</v>
      </c>
      <c r="P6" s="1029" t="s">
        <v>298</v>
      </c>
      <c r="Q6" s="1029" t="s">
        <v>298</v>
      </c>
      <c r="R6" s="1029" t="s">
        <v>378</v>
      </c>
      <c r="S6" s="1029" t="s">
        <v>298</v>
      </c>
      <c r="T6" s="1029" t="s">
        <v>298</v>
      </c>
      <c r="U6" s="1029" t="s">
        <v>298</v>
      </c>
      <c r="V6" s="1029" t="s">
        <v>378</v>
      </c>
      <c r="W6" s="1029" t="s">
        <v>302</v>
      </c>
      <c r="X6" s="1029" t="s">
        <v>379</v>
      </c>
      <c r="Y6" s="1029" t="s">
        <v>380</v>
      </c>
      <c r="Z6" s="1029" t="s">
        <v>298</v>
      </c>
      <c r="AA6" s="1665"/>
      <c r="AB6" s="1029" t="s">
        <v>380</v>
      </c>
      <c r="AC6" s="1029" t="s">
        <v>380</v>
      </c>
      <c r="AD6" s="1029" t="s">
        <v>380</v>
      </c>
      <c r="AE6" s="1029" t="s">
        <v>380</v>
      </c>
      <c r="AF6" s="1029" t="s">
        <v>380</v>
      </c>
      <c r="AG6" s="1029" t="s">
        <v>380</v>
      </c>
      <c r="AH6" s="1029" t="s">
        <v>380</v>
      </c>
      <c r="AI6" s="1031"/>
      <c r="AJ6" s="1029" t="s">
        <v>379</v>
      </c>
      <c r="AK6" s="1029" t="s">
        <v>379</v>
      </c>
      <c r="AL6" s="1029" t="s">
        <v>379</v>
      </c>
      <c r="AM6" s="1665"/>
      <c r="AN6" s="1029" t="s">
        <v>298</v>
      </c>
      <c r="AO6" s="1029" t="s">
        <v>298</v>
      </c>
      <c r="AP6" s="1029" t="s">
        <v>298</v>
      </c>
      <c r="AQ6" s="1029" t="s">
        <v>379</v>
      </c>
      <c r="AR6" s="1029" t="s">
        <v>379</v>
      </c>
      <c r="AS6" s="1029" t="s">
        <v>379</v>
      </c>
      <c r="AT6" s="1029" t="s">
        <v>380</v>
      </c>
      <c r="AU6" s="1029" t="s">
        <v>380</v>
      </c>
      <c r="AV6" s="1667"/>
      <c r="AW6" s="1029" t="s">
        <v>380</v>
      </c>
      <c r="AX6" s="1029" t="s">
        <v>380</v>
      </c>
      <c r="AY6" s="1029" t="s">
        <v>380</v>
      </c>
      <c r="AZ6" s="1029" t="s">
        <v>380</v>
      </c>
      <c r="BA6" s="1029" t="s">
        <v>380</v>
      </c>
      <c r="BB6" s="1029" t="s">
        <v>380</v>
      </c>
      <c r="BC6" s="1029"/>
      <c r="BD6" s="1029" t="s">
        <v>299</v>
      </c>
      <c r="BE6" s="1029"/>
      <c r="BF6" s="1029"/>
      <c r="BG6" s="1029" t="s">
        <v>299</v>
      </c>
      <c r="BH6" s="1029" t="s">
        <v>299</v>
      </c>
      <c r="BI6" s="1029" t="s">
        <v>299</v>
      </c>
      <c r="BJ6" s="1029" t="s">
        <v>299</v>
      </c>
      <c r="BK6" s="1029" t="s">
        <v>299</v>
      </c>
      <c r="BL6" s="1029" t="s">
        <v>380</v>
      </c>
      <c r="BM6" s="1029" t="s">
        <v>380</v>
      </c>
      <c r="BN6" s="1029" t="s">
        <v>380</v>
      </c>
      <c r="BO6" s="1029" t="s">
        <v>13</v>
      </c>
      <c r="BP6" s="1663"/>
      <c r="BQ6" s="1029"/>
      <c r="BR6" s="1029"/>
      <c r="BS6" s="1029"/>
      <c r="BT6" s="1681"/>
      <c r="BU6" s="1029" t="s">
        <v>380</v>
      </c>
      <c r="BV6" s="1029" t="s">
        <v>380</v>
      </c>
      <c r="BW6" s="1029" t="s">
        <v>380</v>
      </c>
      <c r="BX6" s="1665"/>
      <c r="BY6" s="1665"/>
      <c r="BZ6" s="1665"/>
      <c r="CA6" s="1677"/>
      <c r="CB6" s="1678"/>
      <c r="CC6" s="1678"/>
      <c r="CD6" s="1678"/>
      <c r="CE6" s="1678"/>
      <c r="CF6" s="1678"/>
      <c r="CG6" s="1678"/>
      <c r="CH6" s="1678"/>
      <c r="CI6" s="1678"/>
      <c r="CJ6" s="1678"/>
      <c r="CK6" s="1678"/>
      <c r="CL6" s="1679"/>
      <c r="CM6" s="1027" t="s">
        <v>442</v>
      </c>
    </row>
    <row r="7" spans="1:91" s="1019" customFormat="1" ht="12.75" customHeight="1">
      <c r="A7" s="1025"/>
      <c r="B7" s="1006"/>
      <c r="C7" s="1006"/>
      <c r="D7" s="1026"/>
      <c r="E7" s="1025"/>
      <c r="F7" s="1006"/>
      <c r="G7" s="1006"/>
      <c r="H7" s="1006"/>
      <c r="I7" s="1006"/>
      <c r="J7" s="1006"/>
      <c r="K7" s="1000"/>
      <c r="L7" s="989"/>
      <c r="M7" s="989"/>
      <c r="N7" s="1024"/>
      <c r="O7" s="1024"/>
      <c r="P7" s="1024"/>
      <c r="Q7" s="1024"/>
      <c r="R7" s="1024"/>
      <c r="S7" s="989"/>
      <c r="T7" s="989"/>
      <c r="U7" s="989"/>
      <c r="V7" s="989"/>
      <c r="W7" s="989" t="s">
        <v>382</v>
      </c>
      <c r="X7" s="989" t="s">
        <v>382</v>
      </c>
      <c r="Y7" s="989" t="s">
        <v>382</v>
      </c>
      <c r="Z7" s="989"/>
      <c r="AA7" s="994"/>
      <c r="AB7" s="989" t="str">
        <f>IF(BU7="","",(BU7*(AA7/100))*#REF!)</f>
        <v/>
      </c>
      <c r="AC7" s="989" t="str">
        <f>IF(BV7="","",(BV7*AA7/100)*#REF!)</f>
        <v/>
      </c>
      <c r="AD7" s="989" t="str">
        <f>IF(BW7="","",(BW7*AA7/100)*#REF!)</f>
        <v/>
      </c>
      <c r="AE7" s="988" t="str">
        <f>IF(BU7="","",(BU7*#REF!)-AB7)</f>
        <v/>
      </c>
      <c r="AF7" s="988" t="str">
        <f>IF(BV7="","",(BV7*#REF!)-AC7)</f>
        <v/>
      </c>
      <c r="AG7" s="988" t="str">
        <f>IF(BW7="","",(BW7*#REF!)-AD7)</f>
        <v/>
      </c>
      <c r="AH7" s="988"/>
      <c r="AI7" s="988"/>
      <c r="AJ7" s="989"/>
      <c r="AK7" s="989"/>
      <c r="AL7" s="989"/>
      <c r="AM7" s="989"/>
      <c r="AN7" s="989"/>
      <c r="AO7" s="989"/>
      <c r="AP7" s="989"/>
      <c r="AQ7" s="989"/>
      <c r="AR7" s="989"/>
      <c r="AS7" s="995"/>
      <c r="AT7" s="1023"/>
      <c r="AU7" s="1023"/>
      <c r="AV7" s="994"/>
      <c r="AW7" s="989"/>
      <c r="AX7" s="991" t="s">
        <v>383</v>
      </c>
      <c r="AY7" s="991" t="s">
        <v>384</v>
      </c>
      <c r="AZ7" s="991" t="s">
        <v>384</v>
      </c>
      <c r="BA7" s="989"/>
      <c r="BB7" s="991" t="s">
        <v>385</v>
      </c>
      <c r="BC7" s="992"/>
      <c r="BD7" s="1022"/>
      <c r="BE7" s="992"/>
      <c r="BF7" s="992"/>
      <c r="BG7" s="992"/>
      <c r="BH7" s="989"/>
      <c r="BI7" s="988"/>
      <c r="BJ7" s="989"/>
      <c r="BK7" s="989"/>
      <c r="BL7" s="989"/>
      <c r="BM7" s="989"/>
      <c r="BN7" s="989"/>
      <c r="BO7" s="989"/>
      <c r="BP7" s="989"/>
      <c r="BQ7" s="990"/>
      <c r="BR7" s="989"/>
      <c r="BS7" s="989"/>
      <c r="BT7" s="1021"/>
      <c r="BU7" s="988"/>
      <c r="BV7" s="988"/>
      <c r="BW7" s="988"/>
      <c r="BX7" s="1005"/>
      <c r="BY7" s="1005"/>
      <c r="BZ7" s="1005"/>
      <c r="CA7" s="1020" t="s">
        <v>386</v>
      </c>
      <c r="CB7" s="1020" t="s">
        <v>386</v>
      </c>
      <c r="CC7" s="1020" t="s">
        <v>386</v>
      </c>
      <c r="CD7" s="1020" t="s">
        <v>386</v>
      </c>
      <c r="CE7" s="1020" t="s">
        <v>387</v>
      </c>
      <c r="CF7" s="1020" t="s">
        <v>387</v>
      </c>
      <c r="CG7" s="1020" t="s">
        <v>387</v>
      </c>
      <c r="CH7" s="1020" t="s">
        <v>387</v>
      </c>
      <c r="CI7" s="1020" t="s">
        <v>387</v>
      </c>
      <c r="CJ7" s="1020" t="s">
        <v>387</v>
      </c>
      <c r="CK7" s="1020" t="s">
        <v>387</v>
      </c>
      <c r="CL7" s="1020" t="s">
        <v>387</v>
      </c>
    </row>
    <row r="8" spans="1:91" s="1008" customFormat="1" ht="12.75" customHeight="1">
      <c r="A8" s="1017"/>
      <c r="B8" s="1016"/>
      <c r="C8" s="1018"/>
      <c r="D8" s="1018"/>
      <c r="E8" s="1017"/>
      <c r="F8" s="1016"/>
      <c r="G8" s="1016"/>
      <c r="H8" s="1016"/>
      <c r="I8" s="1016"/>
      <c r="J8" s="1016"/>
      <c r="K8" s="1015">
        <v>1</v>
      </c>
      <c r="L8" s="1104"/>
      <c r="M8" s="1103"/>
      <c r="N8" s="1014"/>
      <c r="O8" s="1014"/>
      <c r="P8" s="1014"/>
      <c r="Q8" s="1014"/>
      <c r="R8" s="1014"/>
      <c r="S8" s="1013">
        <v>1</v>
      </c>
      <c r="T8" s="1013">
        <v>1</v>
      </c>
      <c r="U8" s="1013">
        <v>1</v>
      </c>
      <c r="V8" s="1013">
        <v>1</v>
      </c>
      <c r="W8" s="1013">
        <v>7.4999999999999997E-2</v>
      </c>
      <c r="X8" s="1013">
        <v>0.12</v>
      </c>
      <c r="Y8" s="1013">
        <v>0.2</v>
      </c>
      <c r="Z8" s="1004"/>
      <c r="AA8" s="1013">
        <v>60</v>
      </c>
      <c r="AB8" s="1004"/>
      <c r="AC8" s="1004"/>
      <c r="AD8" s="1004"/>
      <c r="AE8" s="1004"/>
      <c r="AF8" s="1004"/>
      <c r="AG8" s="1004"/>
      <c r="AH8" s="1004"/>
      <c r="AI8" s="1012"/>
      <c r="AJ8" s="1004"/>
      <c r="AK8" s="1004"/>
      <c r="AL8" s="1004"/>
      <c r="AM8" s="1004"/>
      <c r="AN8" s="1010">
        <v>1</v>
      </c>
      <c r="AO8" s="1010">
        <v>1</v>
      </c>
      <c r="AP8" s="1010">
        <v>1</v>
      </c>
      <c r="AQ8" s="1004"/>
      <c r="AR8" s="1004"/>
      <c r="AS8" s="1004"/>
      <c r="AT8" s="1012"/>
      <c r="AU8" s="1010">
        <v>0.4</v>
      </c>
      <c r="AV8" s="1011">
        <v>80</v>
      </c>
      <c r="AW8" s="1010">
        <v>1</v>
      </c>
      <c r="AX8" s="1010">
        <v>1</v>
      </c>
      <c r="AY8" s="1010">
        <v>1</v>
      </c>
      <c r="AZ8" s="1010">
        <v>1</v>
      </c>
      <c r="BA8" s="1004"/>
      <c r="BB8" s="1010">
        <v>1</v>
      </c>
      <c r="BC8" s="1004"/>
      <c r="BD8" s="1010"/>
      <c r="BE8" s="1004"/>
      <c r="BF8" s="1004"/>
      <c r="BG8" s="1004"/>
      <c r="BH8" s="1004"/>
      <c r="BI8" s="1004"/>
      <c r="BJ8" s="1004"/>
      <c r="BK8" s="1004"/>
      <c r="BL8" s="1004"/>
      <c r="BM8" s="1004"/>
      <c r="BN8" s="1004"/>
      <c r="BO8" s="1004"/>
      <c r="BP8" s="1004"/>
      <c r="BQ8" s="1004"/>
      <c r="BR8" s="1004"/>
      <c r="BS8" s="1004"/>
      <c r="BT8" s="1004"/>
      <c r="BU8" s="1004"/>
      <c r="BV8" s="1004"/>
      <c r="BW8" s="1004"/>
      <c r="BX8" s="1004"/>
      <c r="BY8" s="1004"/>
      <c r="BZ8" s="1004"/>
      <c r="CA8" s="1009" t="s">
        <v>388</v>
      </c>
      <c r="CB8" s="1009" t="s">
        <v>389</v>
      </c>
      <c r="CC8" s="1009" t="s">
        <v>390</v>
      </c>
      <c r="CD8" s="1009" t="s">
        <v>391</v>
      </c>
      <c r="CE8" s="1009" t="s">
        <v>392</v>
      </c>
      <c r="CF8" s="1009" t="s">
        <v>393</v>
      </c>
      <c r="CG8" s="1009" t="s">
        <v>394</v>
      </c>
      <c r="CH8" s="1009" t="s">
        <v>395</v>
      </c>
      <c r="CI8" s="1009" t="s">
        <v>396</v>
      </c>
      <c r="CJ8" s="1009" t="s">
        <v>397</v>
      </c>
      <c r="CK8" s="1009" t="s">
        <v>398</v>
      </c>
      <c r="CL8" s="1009" t="s">
        <v>399</v>
      </c>
    </row>
    <row r="9" spans="1:91" s="953" customFormat="1" ht="12.75">
      <c r="A9" s="1003" t="s">
        <v>400</v>
      </c>
      <c r="B9" s="1102" t="s">
        <v>125</v>
      </c>
      <c r="C9" s="1102" t="s">
        <v>126</v>
      </c>
      <c r="D9" s="1007">
        <f>3*28</f>
        <v>84</v>
      </c>
      <c r="E9" s="1001">
        <v>0.01</v>
      </c>
      <c r="F9" s="1006">
        <v>18.18</v>
      </c>
      <c r="G9" s="1006"/>
      <c r="H9" s="1006"/>
      <c r="I9" s="1006"/>
      <c r="J9" s="1006"/>
      <c r="K9" s="1000">
        <f t="shared" ref="K9:K41" si="0">$K$8</f>
        <v>1</v>
      </c>
      <c r="L9" s="989">
        <f t="shared" ref="L9:L41" si="1">+D9</f>
        <v>84</v>
      </c>
      <c r="M9" s="989">
        <f t="shared" ref="M9:M41" si="2">IF(AI9="S",BD9+0.1,BD9)</f>
        <v>0.6</v>
      </c>
      <c r="N9" s="999" t="s">
        <v>443</v>
      </c>
      <c r="O9" s="998" t="str">
        <f t="shared" ref="O9:O41" si="3">+IF(N9="FLEXIBLE","S","N")</f>
        <v>N</v>
      </c>
      <c r="P9" s="998" t="str">
        <f t="shared" ref="P9:P41" si="4">+IF(N9="ADOQUIN","S","N")</f>
        <v>N</v>
      </c>
      <c r="Q9" s="998" t="str">
        <f t="shared" ref="Q9:Q41" si="5">+IF(N9="CONCRETO","S","N")</f>
        <v>S</v>
      </c>
      <c r="R9" s="998" t="str">
        <f t="shared" ref="R9:R41" si="6">+IF(N9="AFIRMADO","S","N")</f>
        <v>N</v>
      </c>
      <c r="S9" s="989">
        <f t="shared" ref="S9:S41" si="7">IF(O9="S",L9*$S$8,0)</f>
        <v>0</v>
      </c>
      <c r="T9" s="989">
        <f t="shared" ref="T9:T41" si="8">IF(P9="S",(L9)*$T$8,0)</f>
        <v>0</v>
      </c>
      <c r="U9" s="989">
        <f t="shared" ref="U9:U41" si="9">IF(Q9="S",L9*$U$8,0)</f>
        <v>84</v>
      </c>
      <c r="V9" s="989">
        <f t="shared" ref="V9:V41" si="10">IF(R9="S",L9*$V$8,0)</f>
        <v>0</v>
      </c>
      <c r="W9" s="989">
        <f t="shared" ref="W9:W41" si="11">S9*(M9+0.2)*$W$8</f>
        <v>0</v>
      </c>
      <c r="X9" s="989">
        <f t="shared" ref="X9:X41" si="12">T9*(M9+0.2)*$X$8</f>
        <v>0</v>
      </c>
      <c r="Y9" s="989">
        <f t="shared" ref="Y9:Y41" si="13">U9*(M9+0.2)*$Y$8</f>
        <v>13.440000000000001</v>
      </c>
      <c r="Z9" s="989">
        <f t="shared" ref="Z9:Z41" si="14">1+BF9</f>
        <v>1.1000000000000001</v>
      </c>
      <c r="AA9" s="994">
        <f t="shared" ref="AA9:AA41" si="15">+$AA$8</f>
        <v>60</v>
      </c>
      <c r="AB9" s="989">
        <f t="shared" ref="AB9:AB41" si="16">IF(BU9="","",(BU9*(AA9/100))*$L$51)</f>
        <v>26.943840000000002</v>
      </c>
      <c r="AC9" s="989" t="str">
        <f>IF(BV9="","",(BV9*AA9/100)*#REF!)</f>
        <v/>
      </c>
      <c r="AD9" s="989" t="str">
        <f>IF(BW9="","",(BW9*AA9/100)*#REF!)</f>
        <v/>
      </c>
      <c r="AE9" s="988">
        <f t="shared" ref="AE9:AE41" si="17">IF(BU9="","",(BU9*$L$51)-AB9)</f>
        <v>17.962560000000003</v>
      </c>
      <c r="AF9" s="988" t="str">
        <f>IF(BV9="","",(BV9*#REF!)-AC9)</f>
        <v/>
      </c>
      <c r="AG9" s="988" t="str">
        <f>IF(BW9="","",(BW9*#REF!)-AD9)</f>
        <v/>
      </c>
      <c r="AH9" s="988">
        <f t="shared" ref="AH9:AH41" si="18">(BO9*(K9/100))</f>
        <v>0.45360000000000006</v>
      </c>
      <c r="AI9" s="988" t="str">
        <f t="shared" ref="AI9:AI41" si="19">IF(Z9&lt;=1.5,"N","S")</f>
        <v>N</v>
      </c>
      <c r="AJ9" s="989">
        <f t="shared" ref="AJ9:AJ41" si="20">IF(AI9="S",(D9*Z9*0.2*0.3*2),0)</f>
        <v>0</v>
      </c>
      <c r="AK9" s="989">
        <f t="shared" ref="AK9:AK41" si="21">IF(AI9="S",(D9*Z9*0.2*0.7*2),0)</f>
        <v>0</v>
      </c>
      <c r="AL9" s="989">
        <f t="shared" ref="AL9:AL41" si="22">IF(E9&gt;20,M9*(L9/10)*Z9,0)</f>
        <v>0</v>
      </c>
      <c r="AM9" s="987" t="s">
        <v>444</v>
      </c>
      <c r="AN9" s="989">
        <f t="shared" ref="AN9:AN41" si="23">IF(AM9="PEATONAL",(L9)*$AN$8,0)</f>
        <v>0</v>
      </c>
      <c r="AO9" s="997">
        <v>0</v>
      </c>
      <c r="AP9" s="989">
        <f t="shared" ref="AP9:AP41" si="24">+L9</f>
        <v>84</v>
      </c>
      <c r="AQ9" s="989">
        <v>0</v>
      </c>
      <c r="AR9" s="989">
        <v>0</v>
      </c>
      <c r="AS9" s="995">
        <f t="shared" ref="AS9:AS41" si="25">(M9*(0.3+F9/2000))-((F9/1000)^2*PI()/4)</f>
        <v>0.1851944161680599</v>
      </c>
      <c r="AT9" s="989">
        <f t="shared" ref="AT9:AT41" si="26">(AS9*AP9)</f>
        <v>15.556330958117032</v>
      </c>
      <c r="AU9" s="989">
        <f t="shared" ref="AU9:AU41" si="27">+$AU$8*M9*AP9</f>
        <v>20.16</v>
      </c>
      <c r="AV9" s="994">
        <f t="shared" ref="AV9:AV41" si="28">$AV$8</f>
        <v>80</v>
      </c>
      <c r="AW9" s="989">
        <f t="shared" ref="AW9:AW41" si="29">(BO9*$AW$8)-AT9-AX9-AU9-BA9</f>
        <v>9.6218640000000093</v>
      </c>
      <c r="AX9" s="989">
        <f t="shared" ref="AX9:AX41" si="30">IF(R9="S",L9*M9*$AX$8,0)</f>
        <v>0</v>
      </c>
      <c r="AY9" s="989">
        <f t="shared" ref="AY9:AY41" si="31">((BO9*$AY$8)-BA9-AT9-AU9)*(AV9/100)</f>
        <v>7.6974912000000053</v>
      </c>
      <c r="AZ9" s="989">
        <f t="shared" ref="AZ9:AZ41" si="32">(IF(AW9&gt;AY9,AW9-AY9,0))</f>
        <v>1.924372800000004</v>
      </c>
      <c r="BA9" s="993">
        <f t="shared" ref="BA9:BA41" si="33">(((CM9/2000)^2)*L9)*PI()</f>
        <v>2.180504188296695E-2</v>
      </c>
      <c r="BB9" s="989">
        <f t="shared" ref="BB9:BB41" si="34">BO9*$BB$8-AY9</f>
        <v>37.662508799999998</v>
      </c>
      <c r="BC9" s="992">
        <f t="shared" ref="BC9:BC41" si="35" xml:space="preserve"> BG9+BF9+0.3</f>
        <v>0.41249999999999998</v>
      </c>
      <c r="BD9" s="992">
        <v>0.6</v>
      </c>
      <c r="BE9" s="992">
        <v>0.4</v>
      </c>
      <c r="BF9" s="992">
        <v>0.1</v>
      </c>
      <c r="BG9" s="992">
        <v>1.2500000000000001E-2</v>
      </c>
      <c r="BH9" s="989">
        <f t="shared" ref="BH9:BH41" si="36">+IF(R9="S",L9,0)</f>
        <v>0</v>
      </c>
      <c r="BI9" s="988">
        <f t="shared" ref="BI9:BI41" si="37">+IF((2-Z9)&gt;=0,Z9,2)</f>
        <v>1.1000000000000001</v>
      </c>
      <c r="BJ9" s="989">
        <f t="shared" ref="BJ9:BJ41" si="38">+IF(BI9=2,IF((4-Z9)&gt;=0,(Z9-2),2),0)</f>
        <v>0</v>
      </c>
      <c r="BK9" s="989">
        <f t="shared" ref="BK9:BK41" si="39">+IF(BJ9=2,Z9-4,0)</f>
        <v>0</v>
      </c>
      <c r="BL9" s="989">
        <f t="shared" ref="BL9:BL41" si="40">IF(BI9=0,"",(BI9)*(L9)*M9-(S9*0.2+T9*0.15+U9*0.2)*M9)</f>
        <v>45.360000000000007</v>
      </c>
      <c r="BM9" s="989" t="str">
        <f t="shared" ref="BM9:BM21" si="41">IF(BJ9=0,"",(L9)*BJ9*M9)</f>
        <v/>
      </c>
      <c r="BN9" s="989" t="str">
        <f t="shared" ref="BN9:BN21" si="42">IF(BK9=0,"",(L9)*BK9*M9)</f>
        <v/>
      </c>
      <c r="BO9" s="991">
        <f t="shared" ref="BO9:BO41" si="43">Z9*M9*(L9)-((S9*0.2+T9*0.15+U9*0.2)*M9)</f>
        <v>45.360000000000007</v>
      </c>
      <c r="BP9" s="989">
        <f t="shared" ref="BP9:BP41" si="44">(M9*(0.3+BG9/2)-0.392699*BG9*BG9)*AN9</f>
        <v>0</v>
      </c>
      <c r="BQ9" s="990">
        <f t="shared" ref="BQ9:BQ41" si="45">(BG9/2+0.1)*M9</f>
        <v>6.3750000000000001E-2</v>
      </c>
      <c r="BR9" s="989">
        <f t="shared" ref="BR9:BR41" si="46">(BG9/2+BG9/4)*M9</f>
        <v>5.6250000000000007E-3</v>
      </c>
      <c r="BS9" s="989">
        <f t="shared" ref="BS9:BS41" si="47">0.392699*BG9*BG9</f>
        <v>6.1359218750000013E-5</v>
      </c>
      <c r="BT9" s="989" t="str">
        <f t="shared" ref="BT9:BT41" si="48">+IF(AN9&gt;0,"C1","C2")</f>
        <v>C2</v>
      </c>
      <c r="BU9" s="988">
        <f t="shared" ref="BU9:BU41" si="49">IF(BL9="","",BL9-(BL9*K9/100))</f>
        <v>44.906400000000005</v>
      </c>
      <c r="BV9" s="988" t="str">
        <f t="shared" ref="BV9:BV21" si="50">IF(BM9="","",BM9-(BM9*K9/100))</f>
        <v/>
      </c>
      <c r="BW9" s="988" t="str">
        <f t="shared" ref="BW9:BW21" si="51">IF(BN9="","",BN9-(BN9*K9/100))</f>
        <v/>
      </c>
      <c r="BX9" s="988"/>
      <c r="BY9" s="987" t="s">
        <v>387</v>
      </c>
      <c r="BZ9" s="987">
        <f t="shared" ref="BZ9:BZ41" si="52">+IF(N9="Concreto",((M9*2)+(U9*2)),0)</f>
        <v>169.2</v>
      </c>
      <c r="CA9" s="1004">
        <f t="shared" ref="CA9:CA21" si="53">+IF($BY9="PEAD",IF($F9=170.6,$L9,0),0)</f>
        <v>0</v>
      </c>
      <c r="CB9" s="1004">
        <f t="shared" ref="CB9:CB21" si="54">+IF($BY9="PEAD",IF($F9=191.8,$L9,0),0)</f>
        <v>0</v>
      </c>
      <c r="CC9" s="1004">
        <f t="shared" ref="CC9:CC21" si="55">+IF($BY9="PEAD",IF($F9=213.2,$L9,0),0)</f>
        <v>0</v>
      </c>
      <c r="CD9" s="1004">
        <f t="shared" ref="CD9:CD21" si="56">+IF($BY9="PEAD",IF($F9=238.8,$L9,0),0)</f>
        <v>0</v>
      </c>
      <c r="CE9" s="1004">
        <f t="shared" ref="CE9:CE21" si="57">+IF($BY9="PVC",IF($F9=50,$L9,0),0)</f>
        <v>0</v>
      </c>
      <c r="CF9" s="1004">
        <f t="shared" ref="CF9:CF21" si="58">+IF($BY9="PVC",IF($F9=63.8,$L9,0),0)</f>
        <v>0</v>
      </c>
      <c r="CG9" s="1004">
        <f t="shared" ref="CG9:CG21" si="59">+IF($BY9="PVC",IF($F9=75,$L9,0),0)</f>
        <v>0</v>
      </c>
      <c r="CH9" s="1004">
        <f t="shared" ref="CH9:CH21" si="60">+IF($BY9="PVC",IF($F9=100,$L9,0),0)</f>
        <v>0</v>
      </c>
      <c r="CI9" s="1004">
        <f t="shared" ref="CI9:CI21" si="61">+IF($BY9="PVC",IF($F9=150,$L9,0),0)</f>
        <v>0</v>
      </c>
      <c r="CJ9" s="1004">
        <f t="shared" ref="CJ9:CJ21" si="62">+IF($BY9="PVC",IF($F9=200,$L9,0),0)</f>
        <v>0</v>
      </c>
      <c r="CK9" s="1004">
        <f t="shared" ref="CK9:CK21" si="63">+IF($BY9="PVC",IF($F9=250,$L9,0),0)</f>
        <v>0</v>
      </c>
      <c r="CL9" s="1004">
        <f t="shared" ref="CL9:CL21" si="64">+IF($BY9="PVC",IF($F9=300,$L9,0),0)</f>
        <v>0</v>
      </c>
      <c r="CM9" s="986">
        <v>18.18</v>
      </c>
    </row>
    <row r="10" spans="1:91" s="953" customFormat="1" ht="12.75">
      <c r="A10" s="1003" t="s">
        <v>402</v>
      </c>
      <c r="B10" s="1102" t="s">
        <v>127</v>
      </c>
      <c r="C10" s="1102" t="s">
        <v>128</v>
      </c>
      <c r="D10" s="1007">
        <f>3*2</f>
        <v>6</v>
      </c>
      <c r="E10" s="1001">
        <v>0.01</v>
      </c>
      <c r="F10" s="1006">
        <v>18.18</v>
      </c>
      <c r="G10" s="1006"/>
      <c r="H10" s="1006"/>
      <c r="I10" s="1006"/>
      <c r="J10" s="1006"/>
      <c r="K10" s="1000">
        <f t="shared" si="0"/>
        <v>1</v>
      </c>
      <c r="L10" s="989">
        <f t="shared" si="1"/>
        <v>6</v>
      </c>
      <c r="M10" s="989">
        <f t="shared" si="2"/>
        <v>0.6</v>
      </c>
      <c r="N10" s="999" t="s">
        <v>443</v>
      </c>
      <c r="O10" s="998" t="str">
        <f t="shared" si="3"/>
        <v>N</v>
      </c>
      <c r="P10" s="998" t="str">
        <f t="shared" si="4"/>
        <v>N</v>
      </c>
      <c r="Q10" s="998" t="str">
        <f t="shared" si="5"/>
        <v>S</v>
      </c>
      <c r="R10" s="998" t="str">
        <f t="shared" si="6"/>
        <v>N</v>
      </c>
      <c r="S10" s="989">
        <f t="shared" si="7"/>
        <v>0</v>
      </c>
      <c r="T10" s="989">
        <f t="shared" si="8"/>
        <v>0</v>
      </c>
      <c r="U10" s="989">
        <f t="shared" si="9"/>
        <v>6</v>
      </c>
      <c r="V10" s="989">
        <f t="shared" si="10"/>
        <v>0</v>
      </c>
      <c r="W10" s="989">
        <f t="shared" si="11"/>
        <v>0</v>
      </c>
      <c r="X10" s="989">
        <f t="shared" si="12"/>
        <v>0</v>
      </c>
      <c r="Y10" s="989">
        <f t="shared" si="13"/>
        <v>0.96000000000000019</v>
      </c>
      <c r="Z10" s="989">
        <f t="shared" si="14"/>
        <v>1.1000000000000001</v>
      </c>
      <c r="AA10" s="994">
        <f t="shared" si="15"/>
        <v>60</v>
      </c>
      <c r="AB10" s="989">
        <f t="shared" si="16"/>
        <v>1.9245599999999998</v>
      </c>
      <c r="AC10" s="989" t="str">
        <f>IF(BV10="","",(BV10*AA10/100)*#REF!)</f>
        <v/>
      </c>
      <c r="AD10" s="989" t="str">
        <f>IF(BW10="","",(BW10*AA10/100)*#REF!)</f>
        <v/>
      </c>
      <c r="AE10" s="988">
        <f t="shared" si="17"/>
        <v>1.28304</v>
      </c>
      <c r="AF10" s="988" t="str">
        <f>IF(BV10="","",(BV10*#REF!)-AC10)</f>
        <v/>
      </c>
      <c r="AG10" s="988" t="str">
        <f>IF(BW10="","",(BW10*#REF!)-AD10)</f>
        <v/>
      </c>
      <c r="AH10" s="988">
        <f t="shared" si="18"/>
        <v>3.2399999999999998E-2</v>
      </c>
      <c r="AI10" s="988" t="str">
        <f t="shared" si="19"/>
        <v>N</v>
      </c>
      <c r="AJ10" s="989">
        <f t="shared" si="20"/>
        <v>0</v>
      </c>
      <c r="AK10" s="989">
        <f t="shared" si="21"/>
        <v>0</v>
      </c>
      <c r="AL10" s="989">
        <f t="shared" si="22"/>
        <v>0</v>
      </c>
      <c r="AM10" s="987" t="s">
        <v>444</v>
      </c>
      <c r="AN10" s="989">
        <f t="shared" si="23"/>
        <v>0</v>
      </c>
      <c r="AO10" s="997">
        <v>1</v>
      </c>
      <c r="AP10" s="989">
        <f t="shared" si="24"/>
        <v>6</v>
      </c>
      <c r="AQ10" s="989">
        <v>0</v>
      </c>
      <c r="AR10" s="989">
        <v>0.10252</v>
      </c>
      <c r="AS10" s="995">
        <f t="shared" si="25"/>
        <v>0.1851944161680599</v>
      </c>
      <c r="AT10" s="989">
        <f t="shared" si="26"/>
        <v>1.1111664970083595</v>
      </c>
      <c r="AU10" s="989">
        <f t="shared" si="27"/>
        <v>1.44</v>
      </c>
      <c r="AV10" s="994">
        <f t="shared" si="28"/>
        <v>80</v>
      </c>
      <c r="AW10" s="989">
        <f t="shared" si="29"/>
        <v>0.68727600000000011</v>
      </c>
      <c r="AX10" s="989">
        <f t="shared" si="30"/>
        <v>0</v>
      </c>
      <c r="AY10" s="989">
        <f t="shared" si="31"/>
        <v>0.54982080000000022</v>
      </c>
      <c r="AZ10" s="989">
        <f t="shared" si="32"/>
        <v>0.13745519999999989</v>
      </c>
      <c r="BA10" s="993">
        <f t="shared" si="33"/>
        <v>1.5575029916404966E-3</v>
      </c>
      <c r="BB10" s="989">
        <f t="shared" si="34"/>
        <v>2.6901791999999993</v>
      </c>
      <c r="BC10" s="992">
        <f t="shared" si="35"/>
        <v>0.41249999999999998</v>
      </c>
      <c r="BD10" s="992">
        <v>0.6</v>
      </c>
      <c r="BE10" s="992">
        <v>0.4</v>
      </c>
      <c r="BF10" s="992">
        <v>0.1</v>
      </c>
      <c r="BG10" s="992">
        <v>1.2500000000000001E-2</v>
      </c>
      <c r="BH10" s="989">
        <f t="shared" si="36"/>
        <v>0</v>
      </c>
      <c r="BI10" s="988">
        <f t="shared" si="37"/>
        <v>1.1000000000000001</v>
      </c>
      <c r="BJ10" s="989">
        <f t="shared" si="38"/>
        <v>0</v>
      </c>
      <c r="BK10" s="989">
        <f t="shared" si="39"/>
        <v>0</v>
      </c>
      <c r="BL10" s="989">
        <f t="shared" si="40"/>
        <v>3.2399999999999998</v>
      </c>
      <c r="BM10" s="989" t="str">
        <f t="shared" si="41"/>
        <v/>
      </c>
      <c r="BN10" s="989" t="str">
        <f t="shared" si="42"/>
        <v/>
      </c>
      <c r="BO10" s="991">
        <f t="shared" si="43"/>
        <v>3.2399999999999998</v>
      </c>
      <c r="BP10" s="989">
        <f t="shared" si="44"/>
        <v>0</v>
      </c>
      <c r="BQ10" s="990">
        <f t="shared" si="45"/>
        <v>6.3750000000000001E-2</v>
      </c>
      <c r="BR10" s="989">
        <f t="shared" si="46"/>
        <v>5.6250000000000007E-3</v>
      </c>
      <c r="BS10" s="989">
        <f t="shared" si="47"/>
        <v>6.1359218750000013E-5</v>
      </c>
      <c r="BT10" s="989" t="str">
        <f t="shared" si="48"/>
        <v>C2</v>
      </c>
      <c r="BU10" s="988">
        <f t="shared" si="49"/>
        <v>3.2075999999999998</v>
      </c>
      <c r="BV10" s="988" t="str">
        <f t="shared" si="50"/>
        <v/>
      </c>
      <c r="BW10" s="988" t="str">
        <f t="shared" si="51"/>
        <v/>
      </c>
      <c r="BX10" s="988"/>
      <c r="BY10" s="987" t="s">
        <v>387</v>
      </c>
      <c r="BZ10" s="987">
        <f t="shared" si="52"/>
        <v>13.2</v>
      </c>
      <c r="CA10" s="1004">
        <f t="shared" si="53"/>
        <v>0</v>
      </c>
      <c r="CB10" s="1004">
        <f t="shared" si="54"/>
        <v>0</v>
      </c>
      <c r="CC10" s="1004">
        <f t="shared" si="55"/>
        <v>0</v>
      </c>
      <c r="CD10" s="1004">
        <f t="shared" si="56"/>
        <v>0</v>
      </c>
      <c r="CE10" s="1004">
        <f t="shared" si="57"/>
        <v>0</v>
      </c>
      <c r="CF10" s="1004">
        <f t="shared" si="58"/>
        <v>0</v>
      </c>
      <c r="CG10" s="1004">
        <f t="shared" si="59"/>
        <v>0</v>
      </c>
      <c r="CH10" s="1004">
        <f t="shared" si="60"/>
        <v>0</v>
      </c>
      <c r="CI10" s="1004">
        <f t="shared" si="61"/>
        <v>0</v>
      </c>
      <c r="CJ10" s="1004">
        <f t="shared" si="62"/>
        <v>0</v>
      </c>
      <c r="CK10" s="1004">
        <f t="shared" si="63"/>
        <v>0</v>
      </c>
      <c r="CL10" s="1004">
        <f t="shared" si="64"/>
        <v>0</v>
      </c>
      <c r="CM10" s="986">
        <v>18.18</v>
      </c>
    </row>
    <row r="11" spans="1:91" s="953" customFormat="1" ht="12.75">
      <c r="A11" s="1003" t="s">
        <v>403</v>
      </c>
      <c r="B11" s="1102" t="s">
        <v>129</v>
      </c>
      <c r="C11" s="1102" t="s">
        <v>127</v>
      </c>
      <c r="D11" s="1007">
        <f>3*27</f>
        <v>81</v>
      </c>
      <c r="E11" s="1001">
        <v>0.01</v>
      </c>
      <c r="F11" s="1006">
        <v>18.18</v>
      </c>
      <c r="G11" s="1006"/>
      <c r="H11" s="1006"/>
      <c r="I11" s="1006"/>
      <c r="J11" s="1006"/>
      <c r="K11" s="1000">
        <f t="shared" si="0"/>
        <v>1</v>
      </c>
      <c r="L11" s="989">
        <f t="shared" si="1"/>
        <v>81</v>
      </c>
      <c r="M11" s="989">
        <f t="shared" si="2"/>
        <v>0.6</v>
      </c>
      <c r="N11" s="999" t="s">
        <v>443</v>
      </c>
      <c r="O11" s="998" t="str">
        <f t="shared" si="3"/>
        <v>N</v>
      </c>
      <c r="P11" s="998" t="str">
        <f t="shared" si="4"/>
        <v>N</v>
      </c>
      <c r="Q11" s="998" t="str">
        <f t="shared" si="5"/>
        <v>S</v>
      </c>
      <c r="R11" s="998" t="str">
        <f t="shared" si="6"/>
        <v>N</v>
      </c>
      <c r="S11" s="989">
        <f t="shared" si="7"/>
        <v>0</v>
      </c>
      <c r="T11" s="989">
        <f t="shared" si="8"/>
        <v>0</v>
      </c>
      <c r="U11" s="989">
        <f t="shared" si="9"/>
        <v>81</v>
      </c>
      <c r="V11" s="989">
        <f t="shared" si="10"/>
        <v>0</v>
      </c>
      <c r="W11" s="989">
        <f t="shared" si="11"/>
        <v>0</v>
      </c>
      <c r="X11" s="989">
        <f t="shared" si="12"/>
        <v>0</v>
      </c>
      <c r="Y11" s="989">
        <f t="shared" si="13"/>
        <v>12.96</v>
      </c>
      <c r="Z11" s="989">
        <f t="shared" si="14"/>
        <v>1.1000000000000001</v>
      </c>
      <c r="AA11" s="994">
        <f t="shared" si="15"/>
        <v>60</v>
      </c>
      <c r="AB11" s="989">
        <f t="shared" si="16"/>
        <v>25.981560000000002</v>
      </c>
      <c r="AC11" s="989" t="str">
        <f>IF(BV11="","",(BV11*AA11/100)*#REF!)</f>
        <v/>
      </c>
      <c r="AD11" s="989" t="str">
        <f>IF(BW11="","",(BW11*AA11/100)*#REF!)</f>
        <v/>
      </c>
      <c r="AE11" s="988">
        <f t="shared" si="17"/>
        <v>17.321040000000004</v>
      </c>
      <c r="AF11" s="988" t="str">
        <f>IF(BV11="","",(BV11*#REF!)-AC11)</f>
        <v/>
      </c>
      <c r="AG11" s="988" t="str">
        <f>IF(BW11="","",(BW11*#REF!)-AD11)</f>
        <v/>
      </c>
      <c r="AH11" s="988">
        <f t="shared" si="18"/>
        <v>0.43740000000000001</v>
      </c>
      <c r="AI11" s="988" t="str">
        <f t="shared" si="19"/>
        <v>N</v>
      </c>
      <c r="AJ11" s="989">
        <f t="shared" si="20"/>
        <v>0</v>
      </c>
      <c r="AK11" s="989">
        <f t="shared" si="21"/>
        <v>0</v>
      </c>
      <c r="AL11" s="989">
        <f t="shared" si="22"/>
        <v>0</v>
      </c>
      <c r="AM11" s="987" t="s">
        <v>444</v>
      </c>
      <c r="AN11" s="989">
        <f t="shared" si="23"/>
        <v>0</v>
      </c>
      <c r="AO11" s="997">
        <v>2</v>
      </c>
      <c r="AP11" s="989">
        <f t="shared" si="24"/>
        <v>81</v>
      </c>
      <c r="AQ11" s="989">
        <v>0</v>
      </c>
      <c r="AR11" s="989">
        <v>0.20504</v>
      </c>
      <c r="AS11" s="995">
        <f t="shared" si="25"/>
        <v>0.1851944161680599</v>
      </c>
      <c r="AT11" s="989">
        <f t="shared" si="26"/>
        <v>15.000747709612853</v>
      </c>
      <c r="AU11" s="989">
        <f t="shared" si="27"/>
        <v>19.439999999999998</v>
      </c>
      <c r="AV11" s="994">
        <f t="shared" si="28"/>
        <v>80</v>
      </c>
      <c r="AW11" s="989">
        <f t="shared" si="29"/>
        <v>9.2782260000000054</v>
      </c>
      <c r="AX11" s="989">
        <f t="shared" si="30"/>
        <v>0</v>
      </c>
      <c r="AY11" s="989">
        <f t="shared" si="31"/>
        <v>7.4225808000000031</v>
      </c>
      <c r="AZ11" s="989">
        <f t="shared" si="32"/>
        <v>1.8556452000000023</v>
      </c>
      <c r="BA11" s="993">
        <f t="shared" si="33"/>
        <v>2.1026290387146703E-2</v>
      </c>
      <c r="BB11" s="989">
        <f t="shared" si="34"/>
        <v>36.317419199999996</v>
      </c>
      <c r="BC11" s="992">
        <f t="shared" si="35"/>
        <v>0.41249999999999998</v>
      </c>
      <c r="BD11" s="992">
        <v>0.6</v>
      </c>
      <c r="BE11" s="992">
        <v>0.4</v>
      </c>
      <c r="BF11" s="992">
        <v>0.1</v>
      </c>
      <c r="BG11" s="992">
        <v>1.2500000000000001E-2</v>
      </c>
      <c r="BH11" s="989">
        <f t="shared" si="36"/>
        <v>0</v>
      </c>
      <c r="BI11" s="988">
        <f t="shared" si="37"/>
        <v>1.1000000000000001</v>
      </c>
      <c r="BJ11" s="989">
        <f t="shared" si="38"/>
        <v>0</v>
      </c>
      <c r="BK11" s="989">
        <f t="shared" si="39"/>
        <v>0</v>
      </c>
      <c r="BL11" s="989">
        <f t="shared" si="40"/>
        <v>43.74</v>
      </c>
      <c r="BM11" s="989" t="str">
        <f t="shared" si="41"/>
        <v/>
      </c>
      <c r="BN11" s="989" t="str">
        <f t="shared" si="42"/>
        <v/>
      </c>
      <c r="BO11" s="991">
        <f t="shared" si="43"/>
        <v>43.74</v>
      </c>
      <c r="BP11" s="989">
        <f t="shared" si="44"/>
        <v>0</v>
      </c>
      <c r="BQ11" s="990">
        <f t="shared" si="45"/>
        <v>6.3750000000000001E-2</v>
      </c>
      <c r="BR11" s="989">
        <f t="shared" si="46"/>
        <v>5.6250000000000007E-3</v>
      </c>
      <c r="BS11" s="989">
        <f t="shared" si="47"/>
        <v>6.1359218750000013E-5</v>
      </c>
      <c r="BT11" s="989" t="str">
        <f t="shared" si="48"/>
        <v>C2</v>
      </c>
      <c r="BU11" s="988">
        <f t="shared" si="49"/>
        <v>43.302600000000005</v>
      </c>
      <c r="BV11" s="988" t="str">
        <f t="shared" si="50"/>
        <v/>
      </c>
      <c r="BW11" s="988" t="str">
        <f t="shared" si="51"/>
        <v/>
      </c>
      <c r="BX11" s="988"/>
      <c r="BY11" s="987" t="s">
        <v>387</v>
      </c>
      <c r="BZ11" s="987">
        <f t="shared" si="52"/>
        <v>163.19999999999999</v>
      </c>
      <c r="CA11" s="1004">
        <f t="shared" si="53"/>
        <v>0</v>
      </c>
      <c r="CB11" s="1004">
        <f t="shared" si="54"/>
        <v>0</v>
      </c>
      <c r="CC11" s="1004">
        <f t="shared" si="55"/>
        <v>0</v>
      </c>
      <c r="CD11" s="1004">
        <f t="shared" si="56"/>
        <v>0</v>
      </c>
      <c r="CE11" s="1004">
        <f t="shared" si="57"/>
        <v>0</v>
      </c>
      <c r="CF11" s="1004">
        <f t="shared" si="58"/>
        <v>0</v>
      </c>
      <c r="CG11" s="1004">
        <f t="shared" si="59"/>
        <v>0</v>
      </c>
      <c r="CH11" s="1004">
        <f t="shared" si="60"/>
        <v>0</v>
      </c>
      <c r="CI11" s="1004">
        <f t="shared" si="61"/>
        <v>0</v>
      </c>
      <c r="CJ11" s="1004">
        <f t="shared" si="62"/>
        <v>0</v>
      </c>
      <c r="CK11" s="1004">
        <f t="shared" si="63"/>
        <v>0</v>
      </c>
      <c r="CL11" s="1004">
        <f t="shared" si="64"/>
        <v>0</v>
      </c>
      <c r="CM11" s="986">
        <v>18.18</v>
      </c>
    </row>
    <row r="12" spans="1:91" s="953" customFormat="1" ht="12.75">
      <c r="A12" s="1003" t="s">
        <v>404</v>
      </c>
      <c r="B12" s="1102" t="s">
        <v>130</v>
      </c>
      <c r="C12" s="1102" t="s">
        <v>131</v>
      </c>
      <c r="D12" s="1007">
        <f>3*3</f>
        <v>9</v>
      </c>
      <c r="E12" s="1001">
        <v>0.01</v>
      </c>
      <c r="F12" s="1006">
        <v>18.18</v>
      </c>
      <c r="G12" s="1006"/>
      <c r="H12" s="1006"/>
      <c r="I12" s="1006"/>
      <c r="J12" s="1006"/>
      <c r="K12" s="1000">
        <f t="shared" si="0"/>
        <v>1</v>
      </c>
      <c r="L12" s="989">
        <f t="shared" si="1"/>
        <v>9</v>
      </c>
      <c r="M12" s="989">
        <f t="shared" si="2"/>
        <v>0.6</v>
      </c>
      <c r="N12" s="999" t="s">
        <v>443</v>
      </c>
      <c r="O12" s="998" t="str">
        <f t="shared" si="3"/>
        <v>N</v>
      </c>
      <c r="P12" s="998" t="str">
        <f t="shared" si="4"/>
        <v>N</v>
      </c>
      <c r="Q12" s="998" t="str">
        <f t="shared" si="5"/>
        <v>S</v>
      </c>
      <c r="R12" s="998" t="str">
        <f t="shared" si="6"/>
        <v>N</v>
      </c>
      <c r="S12" s="989">
        <f t="shared" si="7"/>
        <v>0</v>
      </c>
      <c r="T12" s="989">
        <f t="shared" si="8"/>
        <v>0</v>
      </c>
      <c r="U12" s="989">
        <f t="shared" si="9"/>
        <v>9</v>
      </c>
      <c r="V12" s="989">
        <f t="shared" si="10"/>
        <v>0</v>
      </c>
      <c r="W12" s="989">
        <f t="shared" si="11"/>
        <v>0</v>
      </c>
      <c r="X12" s="989">
        <f t="shared" si="12"/>
        <v>0</v>
      </c>
      <c r="Y12" s="989">
        <f t="shared" si="13"/>
        <v>1.4400000000000002</v>
      </c>
      <c r="Z12" s="989">
        <f t="shared" si="14"/>
        <v>1.1000000000000001</v>
      </c>
      <c r="AA12" s="994">
        <f t="shared" si="15"/>
        <v>60</v>
      </c>
      <c r="AB12" s="989">
        <f t="shared" si="16"/>
        <v>2.8868399999999999</v>
      </c>
      <c r="AC12" s="989" t="str">
        <f>IF(BV12="","",(BV12*AA12/100)*#REF!)</f>
        <v/>
      </c>
      <c r="AD12" s="989" t="str">
        <f>IF(BW12="","",(BW12*AA12/100)*#REF!)</f>
        <v/>
      </c>
      <c r="AE12" s="988">
        <f t="shared" si="17"/>
        <v>1.92456</v>
      </c>
      <c r="AF12" s="988" t="str">
        <f>IF(BV12="","",(BV12*#REF!)-AC12)</f>
        <v/>
      </c>
      <c r="AG12" s="988" t="str">
        <f>IF(BW12="","",(BW12*#REF!)-AD12)</f>
        <v/>
      </c>
      <c r="AH12" s="988">
        <f t="shared" si="18"/>
        <v>4.8600000000000004E-2</v>
      </c>
      <c r="AI12" s="988" t="str">
        <f t="shared" si="19"/>
        <v>N</v>
      </c>
      <c r="AJ12" s="989">
        <f t="shared" si="20"/>
        <v>0</v>
      </c>
      <c r="AK12" s="989">
        <f t="shared" si="21"/>
        <v>0</v>
      </c>
      <c r="AL12" s="989">
        <f t="shared" si="22"/>
        <v>0</v>
      </c>
      <c r="AM12" s="987" t="s">
        <v>444</v>
      </c>
      <c r="AN12" s="989">
        <f t="shared" si="23"/>
        <v>0</v>
      </c>
      <c r="AO12" s="997">
        <v>3</v>
      </c>
      <c r="AP12" s="989">
        <f t="shared" si="24"/>
        <v>9</v>
      </c>
      <c r="AQ12" s="989">
        <v>0</v>
      </c>
      <c r="AR12" s="989">
        <v>0.30756</v>
      </c>
      <c r="AS12" s="995">
        <f t="shared" si="25"/>
        <v>0.1851944161680599</v>
      </c>
      <c r="AT12" s="989">
        <f t="shared" si="26"/>
        <v>1.6667497455125391</v>
      </c>
      <c r="AU12" s="989">
        <f t="shared" si="27"/>
        <v>2.16</v>
      </c>
      <c r="AV12" s="994">
        <f t="shared" si="28"/>
        <v>80</v>
      </c>
      <c r="AW12" s="989">
        <f t="shared" si="29"/>
        <v>1.0309140000000003</v>
      </c>
      <c r="AX12" s="989">
        <f t="shared" si="30"/>
        <v>0</v>
      </c>
      <c r="AY12" s="989">
        <f t="shared" si="31"/>
        <v>0.82473120000000011</v>
      </c>
      <c r="AZ12" s="989">
        <f t="shared" si="32"/>
        <v>0.20618280000000022</v>
      </c>
      <c r="BA12" s="993">
        <f t="shared" si="33"/>
        <v>2.3362544874607448E-3</v>
      </c>
      <c r="BB12" s="989">
        <f t="shared" si="34"/>
        <v>4.0352687999999999</v>
      </c>
      <c r="BC12" s="992">
        <f t="shared" si="35"/>
        <v>0.41249999999999998</v>
      </c>
      <c r="BD12" s="992">
        <v>0.6</v>
      </c>
      <c r="BE12" s="992">
        <v>0.4</v>
      </c>
      <c r="BF12" s="992">
        <v>0.1</v>
      </c>
      <c r="BG12" s="992">
        <v>1.2500000000000001E-2</v>
      </c>
      <c r="BH12" s="989">
        <f t="shared" si="36"/>
        <v>0</v>
      </c>
      <c r="BI12" s="988">
        <f t="shared" si="37"/>
        <v>1.1000000000000001</v>
      </c>
      <c r="BJ12" s="989">
        <f t="shared" si="38"/>
        <v>0</v>
      </c>
      <c r="BK12" s="989">
        <f t="shared" si="39"/>
        <v>0</v>
      </c>
      <c r="BL12" s="989">
        <f t="shared" si="40"/>
        <v>4.8600000000000003</v>
      </c>
      <c r="BM12" s="989" t="str">
        <f t="shared" si="41"/>
        <v/>
      </c>
      <c r="BN12" s="989" t="str">
        <f t="shared" si="42"/>
        <v/>
      </c>
      <c r="BO12" s="991">
        <f t="shared" si="43"/>
        <v>4.8600000000000003</v>
      </c>
      <c r="BP12" s="989">
        <f t="shared" si="44"/>
        <v>0</v>
      </c>
      <c r="BQ12" s="990">
        <f t="shared" si="45"/>
        <v>6.3750000000000001E-2</v>
      </c>
      <c r="BR12" s="989">
        <f t="shared" si="46"/>
        <v>5.6250000000000007E-3</v>
      </c>
      <c r="BS12" s="989">
        <f t="shared" si="47"/>
        <v>6.1359218750000013E-5</v>
      </c>
      <c r="BT12" s="989" t="str">
        <f t="shared" si="48"/>
        <v>C2</v>
      </c>
      <c r="BU12" s="988">
        <f t="shared" si="49"/>
        <v>4.8113999999999999</v>
      </c>
      <c r="BV12" s="988" t="str">
        <f t="shared" si="50"/>
        <v/>
      </c>
      <c r="BW12" s="988" t="str">
        <f t="shared" si="51"/>
        <v/>
      </c>
      <c r="BX12" s="988"/>
      <c r="BY12" s="987" t="s">
        <v>387</v>
      </c>
      <c r="BZ12" s="987">
        <f t="shared" si="52"/>
        <v>19.2</v>
      </c>
      <c r="CA12" s="1004">
        <f t="shared" si="53"/>
        <v>0</v>
      </c>
      <c r="CB12" s="1004">
        <f t="shared" si="54"/>
        <v>0</v>
      </c>
      <c r="CC12" s="1004">
        <f t="shared" si="55"/>
        <v>0</v>
      </c>
      <c r="CD12" s="1004">
        <f t="shared" si="56"/>
        <v>0</v>
      </c>
      <c r="CE12" s="1004">
        <f t="shared" si="57"/>
        <v>0</v>
      </c>
      <c r="CF12" s="1004">
        <f t="shared" si="58"/>
        <v>0</v>
      </c>
      <c r="CG12" s="1004">
        <f t="shared" si="59"/>
        <v>0</v>
      </c>
      <c r="CH12" s="1004">
        <f t="shared" si="60"/>
        <v>0</v>
      </c>
      <c r="CI12" s="1004">
        <f t="shared" si="61"/>
        <v>0</v>
      </c>
      <c r="CJ12" s="1004">
        <f t="shared" si="62"/>
        <v>0</v>
      </c>
      <c r="CK12" s="1004">
        <f t="shared" si="63"/>
        <v>0</v>
      </c>
      <c r="CL12" s="1004">
        <f t="shared" si="64"/>
        <v>0</v>
      </c>
      <c r="CM12" s="986">
        <v>18.18</v>
      </c>
    </row>
    <row r="13" spans="1:91" s="953" customFormat="1" ht="12.75">
      <c r="A13" s="1003" t="s">
        <v>405</v>
      </c>
      <c r="B13" s="1102" t="s">
        <v>130</v>
      </c>
      <c r="C13" s="1102" t="s">
        <v>132</v>
      </c>
      <c r="D13" s="1007">
        <f>3*5</f>
        <v>15</v>
      </c>
      <c r="E13" s="1001">
        <v>0.01</v>
      </c>
      <c r="F13" s="1006">
        <v>18.18</v>
      </c>
      <c r="G13" s="1006"/>
      <c r="H13" s="1006"/>
      <c r="I13" s="1006"/>
      <c r="J13" s="1006"/>
      <c r="K13" s="1000">
        <f t="shared" si="0"/>
        <v>1</v>
      </c>
      <c r="L13" s="989">
        <f t="shared" si="1"/>
        <v>15</v>
      </c>
      <c r="M13" s="989">
        <f t="shared" si="2"/>
        <v>0.6</v>
      </c>
      <c r="N13" s="999" t="s">
        <v>443</v>
      </c>
      <c r="O13" s="998" t="str">
        <f t="shared" si="3"/>
        <v>N</v>
      </c>
      <c r="P13" s="998" t="str">
        <f t="shared" si="4"/>
        <v>N</v>
      </c>
      <c r="Q13" s="998" t="str">
        <f t="shared" si="5"/>
        <v>S</v>
      </c>
      <c r="R13" s="998" t="str">
        <f t="shared" si="6"/>
        <v>N</v>
      </c>
      <c r="S13" s="989">
        <f t="shared" si="7"/>
        <v>0</v>
      </c>
      <c r="T13" s="989">
        <f t="shared" si="8"/>
        <v>0</v>
      </c>
      <c r="U13" s="989">
        <f t="shared" si="9"/>
        <v>15</v>
      </c>
      <c r="V13" s="989">
        <f t="shared" si="10"/>
        <v>0</v>
      </c>
      <c r="W13" s="989">
        <f t="shared" si="11"/>
        <v>0</v>
      </c>
      <c r="X13" s="989">
        <f t="shared" si="12"/>
        <v>0</v>
      </c>
      <c r="Y13" s="989">
        <f t="shared" si="13"/>
        <v>2.4000000000000004</v>
      </c>
      <c r="Z13" s="989">
        <f t="shared" si="14"/>
        <v>1.1000000000000001</v>
      </c>
      <c r="AA13" s="994">
        <f t="shared" si="15"/>
        <v>60</v>
      </c>
      <c r="AB13" s="989">
        <f t="shared" si="16"/>
        <v>4.8114000000000008</v>
      </c>
      <c r="AC13" s="989" t="str">
        <f>IF(BV13="","",(BV13*AA13/100)*#REF!)</f>
        <v/>
      </c>
      <c r="AD13" s="989" t="str">
        <f>IF(BW13="","",(BW13*AA13/100)*#REF!)</f>
        <v/>
      </c>
      <c r="AE13" s="988">
        <f t="shared" si="17"/>
        <v>3.2076000000000011</v>
      </c>
      <c r="AF13" s="988" t="str">
        <f>IF(BV13="","",(BV13*#REF!)-AC13)</f>
        <v/>
      </c>
      <c r="AG13" s="988" t="str">
        <f>IF(BW13="","",(BW13*#REF!)-AD13)</f>
        <v/>
      </c>
      <c r="AH13" s="988">
        <f t="shared" si="18"/>
        <v>8.1000000000000016E-2</v>
      </c>
      <c r="AI13" s="988" t="str">
        <f t="shared" si="19"/>
        <v>N</v>
      </c>
      <c r="AJ13" s="989">
        <f t="shared" si="20"/>
        <v>0</v>
      </c>
      <c r="AK13" s="989">
        <f t="shared" si="21"/>
        <v>0</v>
      </c>
      <c r="AL13" s="989">
        <f t="shared" si="22"/>
        <v>0</v>
      </c>
      <c r="AM13" s="987" t="s">
        <v>444</v>
      </c>
      <c r="AN13" s="989">
        <f t="shared" si="23"/>
        <v>0</v>
      </c>
      <c r="AO13" s="997">
        <v>4</v>
      </c>
      <c r="AP13" s="989">
        <f t="shared" si="24"/>
        <v>15</v>
      </c>
      <c r="AQ13" s="989">
        <v>0</v>
      </c>
      <c r="AR13" s="989">
        <v>0.41008</v>
      </c>
      <c r="AS13" s="995">
        <f t="shared" si="25"/>
        <v>0.1851944161680599</v>
      </c>
      <c r="AT13" s="989">
        <f t="shared" si="26"/>
        <v>2.7779162425208983</v>
      </c>
      <c r="AU13" s="989">
        <f t="shared" si="27"/>
        <v>3.5999999999999996</v>
      </c>
      <c r="AV13" s="994">
        <f t="shared" si="28"/>
        <v>80</v>
      </c>
      <c r="AW13" s="989">
        <f t="shared" si="29"/>
        <v>1.7181900000000019</v>
      </c>
      <c r="AX13" s="989">
        <f t="shared" si="30"/>
        <v>0</v>
      </c>
      <c r="AY13" s="989">
        <f t="shared" si="31"/>
        <v>1.3745520000000013</v>
      </c>
      <c r="AZ13" s="989">
        <f t="shared" si="32"/>
        <v>0.34363800000000055</v>
      </c>
      <c r="BA13" s="993">
        <f t="shared" si="33"/>
        <v>3.8937574791012412E-3</v>
      </c>
      <c r="BB13" s="989">
        <f t="shared" si="34"/>
        <v>6.7254480000000001</v>
      </c>
      <c r="BC13" s="992">
        <f t="shared" si="35"/>
        <v>0.41249999999999998</v>
      </c>
      <c r="BD13" s="992">
        <v>0.6</v>
      </c>
      <c r="BE13" s="992">
        <v>0.4</v>
      </c>
      <c r="BF13" s="992">
        <v>0.1</v>
      </c>
      <c r="BG13" s="992">
        <v>1.2500000000000001E-2</v>
      </c>
      <c r="BH13" s="989">
        <f t="shared" si="36"/>
        <v>0</v>
      </c>
      <c r="BI13" s="988">
        <f t="shared" si="37"/>
        <v>1.1000000000000001</v>
      </c>
      <c r="BJ13" s="989">
        <f t="shared" si="38"/>
        <v>0</v>
      </c>
      <c r="BK13" s="989">
        <f t="shared" si="39"/>
        <v>0</v>
      </c>
      <c r="BL13" s="989">
        <f t="shared" si="40"/>
        <v>8.1000000000000014</v>
      </c>
      <c r="BM13" s="989" t="str">
        <f t="shared" si="41"/>
        <v/>
      </c>
      <c r="BN13" s="989" t="str">
        <f t="shared" si="42"/>
        <v/>
      </c>
      <c r="BO13" s="991">
        <f t="shared" si="43"/>
        <v>8.1000000000000014</v>
      </c>
      <c r="BP13" s="989">
        <f t="shared" si="44"/>
        <v>0</v>
      </c>
      <c r="BQ13" s="990">
        <f t="shared" si="45"/>
        <v>6.3750000000000001E-2</v>
      </c>
      <c r="BR13" s="989">
        <f t="shared" si="46"/>
        <v>5.6250000000000007E-3</v>
      </c>
      <c r="BS13" s="989">
        <f t="shared" si="47"/>
        <v>6.1359218750000013E-5</v>
      </c>
      <c r="BT13" s="989" t="str">
        <f t="shared" si="48"/>
        <v>C2</v>
      </c>
      <c r="BU13" s="988">
        <f t="shared" si="49"/>
        <v>8.0190000000000019</v>
      </c>
      <c r="BV13" s="988" t="str">
        <f t="shared" si="50"/>
        <v/>
      </c>
      <c r="BW13" s="988" t="str">
        <f t="shared" si="51"/>
        <v/>
      </c>
      <c r="BX13" s="988"/>
      <c r="BY13" s="987" t="s">
        <v>387</v>
      </c>
      <c r="BZ13" s="987">
        <f t="shared" si="52"/>
        <v>31.2</v>
      </c>
      <c r="CA13" s="1004">
        <f t="shared" si="53"/>
        <v>0</v>
      </c>
      <c r="CB13" s="1004">
        <f t="shared" si="54"/>
        <v>0</v>
      </c>
      <c r="CC13" s="1004">
        <f t="shared" si="55"/>
        <v>0</v>
      </c>
      <c r="CD13" s="1004">
        <f t="shared" si="56"/>
        <v>0</v>
      </c>
      <c r="CE13" s="1004">
        <f t="shared" si="57"/>
        <v>0</v>
      </c>
      <c r="CF13" s="1004">
        <f t="shared" si="58"/>
        <v>0</v>
      </c>
      <c r="CG13" s="1004">
        <f t="shared" si="59"/>
        <v>0</v>
      </c>
      <c r="CH13" s="1004">
        <f t="shared" si="60"/>
        <v>0</v>
      </c>
      <c r="CI13" s="1004">
        <f t="shared" si="61"/>
        <v>0</v>
      </c>
      <c r="CJ13" s="1004">
        <f t="shared" si="62"/>
        <v>0</v>
      </c>
      <c r="CK13" s="1004">
        <f t="shared" si="63"/>
        <v>0</v>
      </c>
      <c r="CL13" s="1004">
        <f t="shared" si="64"/>
        <v>0</v>
      </c>
      <c r="CM13" s="986">
        <v>18.18</v>
      </c>
    </row>
    <row r="14" spans="1:91" s="953" customFormat="1" ht="12.75">
      <c r="A14" s="1003" t="s">
        <v>406</v>
      </c>
      <c r="B14" s="1102" t="s">
        <v>133</v>
      </c>
      <c r="C14" s="1102" t="s">
        <v>134</v>
      </c>
      <c r="D14" s="1007">
        <f>3*25</f>
        <v>75</v>
      </c>
      <c r="E14" s="1001">
        <v>0.01</v>
      </c>
      <c r="F14" s="1006">
        <v>18.18</v>
      </c>
      <c r="G14" s="1006"/>
      <c r="H14" s="1006"/>
      <c r="I14" s="1006"/>
      <c r="J14" s="1006"/>
      <c r="K14" s="1000">
        <f t="shared" si="0"/>
        <v>1</v>
      </c>
      <c r="L14" s="989">
        <f t="shared" si="1"/>
        <v>75</v>
      </c>
      <c r="M14" s="989">
        <f t="shared" si="2"/>
        <v>0.6</v>
      </c>
      <c r="N14" s="999" t="s">
        <v>443</v>
      </c>
      <c r="O14" s="998" t="str">
        <f t="shared" si="3"/>
        <v>N</v>
      </c>
      <c r="P14" s="998" t="str">
        <f t="shared" si="4"/>
        <v>N</v>
      </c>
      <c r="Q14" s="998" t="str">
        <f t="shared" si="5"/>
        <v>S</v>
      </c>
      <c r="R14" s="998" t="str">
        <f t="shared" si="6"/>
        <v>N</v>
      </c>
      <c r="S14" s="989">
        <f t="shared" si="7"/>
        <v>0</v>
      </c>
      <c r="T14" s="989">
        <f t="shared" si="8"/>
        <v>0</v>
      </c>
      <c r="U14" s="989">
        <f t="shared" si="9"/>
        <v>75</v>
      </c>
      <c r="V14" s="989">
        <f t="shared" si="10"/>
        <v>0</v>
      </c>
      <c r="W14" s="989">
        <f t="shared" si="11"/>
        <v>0</v>
      </c>
      <c r="X14" s="989">
        <f t="shared" si="12"/>
        <v>0</v>
      </c>
      <c r="Y14" s="989">
        <f t="shared" si="13"/>
        <v>12</v>
      </c>
      <c r="Z14" s="989">
        <f t="shared" si="14"/>
        <v>1.1000000000000001</v>
      </c>
      <c r="AA14" s="994">
        <f t="shared" si="15"/>
        <v>60</v>
      </c>
      <c r="AB14" s="989">
        <f t="shared" si="16"/>
        <v>24.056999999999999</v>
      </c>
      <c r="AC14" s="989" t="str">
        <f>IF(BV14="","",(BV14*AA14/100)*#REF!)</f>
        <v/>
      </c>
      <c r="AD14" s="989" t="str">
        <f>IF(BW14="","",(BW14*AA14/100)*#REF!)</f>
        <v/>
      </c>
      <c r="AE14" s="988">
        <f t="shared" si="17"/>
        <v>16.038</v>
      </c>
      <c r="AF14" s="988" t="str">
        <f>IF(BV14="","",(BV14*#REF!)-AC14)</f>
        <v/>
      </c>
      <c r="AG14" s="988" t="str">
        <f>IF(BW14="","",(BW14*#REF!)-AD14)</f>
        <v/>
      </c>
      <c r="AH14" s="988">
        <f t="shared" si="18"/>
        <v>0.40500000000000003</v>
      </c>
      <c r="AI14" s="988" t="str">
        <f t="shared" si="19"/>
        <v>N</v>
      </c>
      <c r="AJ14" s="989">
        <f t="shared" si="20"/>
        <v>0</v>
      </c>
      <c r="AK14" s="989">
        <f t="shared" si="21"/>
        <v>0</v>
      </c>
      <c r="AL14" s="989">
        <f t="shared" si="22"/>
        <v>0</v>
      </c>
      <c r="AM14" s="987" t="s">
        <v>444</v>
      </c>
      <c r="AN14" s="989">
        <f t="shared" si="23"/>
        <v>0</v>
      </c>
      <c r="AO14" s="997">
        <v>6</v>
      </c>
      <c r="AP14" s="989">
        <f t="shared" si="24"/>
        <v>75</v>
      </c>
      <c r="AQ14" s="989">
        <v>0</v>
      </c>
      <c r="AR14" s="989">
        <v>0.61512</v>
      </c>
      <c r="AS14" s="995">
        <f t="shared" si="25"/>
        <v>0.1851944161680599</v>
      </c>
      <c r="AT14" s="989">
        <f t="shared" si="26"/>
        <v>13.889581212604492</v>
      </c>
      <c r="AU14" s="989">
        <f t="shared" si="27"/>
        <v>18</v>
      </c>
      <c r="AV14" s="994">
        <f t="shared" si="28"/>
        <v>80</v>
      </c>
      <c r="AW14" s="989">
        <f t="shared" si="29"/>
        <v>8.590950000000003</v>
      </c>
      <c r="AX14" s="989">
        <f t="shared" si="30"/>
        <v>0</v>
      </c>
      <c r="AY14" s="989">
        <f t="shared" si="31"/>
        <v>6.8727600000000058</v>
      </c>
      <c r="AZ14" s="989">
        <f t="shared" si="32"/>
        <v>1.7181899999999972</v>
      </c>
      <c r="BA14" s="993">
        <f t="shared" si="33"/>
        <v>1.9468787395506205E-2</v>
      </c>
      <c r="BB14" s="989">
        <f t="shared" si="34"/>
        <v>33.627239999999993</v>
      </c>
      <c r="BC14" s="992">
        <f t="shared" si="35"/>
        <v>0.41249999999999998</v>
      </c>
      <c r="BD14" s="992">
        <v>0.6</v>
      </c>
      <c r="BE14" s="992">
        <v>0.4</v>
      </c>
      <c r="BF14" s="992">
        <v>0.1</v>
      </c>
      <c r="BG14" s="992">
        <v>1.2500000000000001E-2</v>
      </c>
      <c r="BH14" s="989">
        <f t="shared" si="36"/>
        <v>0</v>
      </c>
      <c r="BI14" s="988">
        <f t="shared" si="37"/>
        <v>1.1000000000000001</v>
      </c>
      <c r="BJ14" s="989">
        <f t="shared" si="38"/>
        <v>0</v>
      </c>
      <c r="BK14" s="989">
        <f t="shared" si="39"/>
        <v>0</v>
      </c>
      <c r="BL14" s="989">
        <f t="shared" si="40"/>
        <v>40.5</v>
      </c>
      <c r="BM14" s="989" t="str">
        <f t="shared" si="41"/>
        <v/>
      </c>
      <c r="BN14" s="989" t="str">
        <f t="shared" si="42"/>
        <v/>
      </c>
      <c r="BO14" s="991">
        <f t="shared" si="43"/>
        <v>40.5</v>
      </c>
      <c r="BP14" s="989">
        <f t="shared" si="44"/>
        <v>0</v>
      </c>
      <c r="BQ14" s="990">
        <f t="shared" si="45"/>
        <v>6.3750000000000001E-2</v>
      </c>
      <c r="BR14" s="989">
        <f t="shared" si="46"/>
        <v>5.6250000000000007E-3</v>
      </c>
      <c r="BS14" s="989">
        <f t="shared" si="47"/>
        <v>6.1359218750000013E-5</v>
      </c>
      <c r="BT14" s="989" t="str">
        <f t="shared" si="48"/>
        <v>C2</v>
      </c>
      <c r="BU14" s="988">
        <f t="shared" si="49"/>
        <v>40.094999999999999</v>
      </c>
      <c r="BV14" s="988" t="str">
        <f t="shared" si="50"/>
        <v/>
      </c>
      <c r="BW14" s="988" t="str">
        <f t="shared" si="51"/>
        <v/>
      </c>
      <c r="BX14" s="988"/>
      <c r="BY14" s="987" t="s">
        <v>387</v>
      </c>
      <c r="BZ14" s="987">
        <f t="shared" si="52"/>
        <v>151.19999999999999</v>
      </c>
      <c r="CA14" s="1004">
        <f t="shared" si="53"/>
        <v>0</v>
      </c>
      <c r="CB14" s="1004">
        <f t="shared" si="54"/>
        <v>0</v>
      </c>
      <c r="CC14" s="1004">
        <f t="shared" si="55"/>
        <v>0</v>
      </c>
      <c r="CD14" s="1004">
        <f t="shared" si="56"/>
        <v>0</v>
      </c>
      <c r="CE14" s="1004">
        <f t="shared" si="57"/>
        <v>0</v>
      </c>
      <c r="CF14" s="1004">
        <f t="shared" si="58"/>
        <v>0</v>
      </c>
      <c r="CG14" s="1004">
        <f t="shared" si="59"/>
        <v>0</v>
      </c>
      <c r="CH14" s="1004">
        <f t="shared" si="60"/>
        <v>0</v>
      </c>
      <c r="CI14" s="1004">
        <f t="shared" si="61"/>
        <v>0</v>
      </c>
      <c r="CJ14" s="1004">
        <f t="shared" si="62"/>
        <v>0</v>
      </c>
      <c r="CK14" s="1004">
        <f t="shared" si="63"/>
        <v>0</v>
      </c>
      <c r="CL14" s="1004">
        <f t="shared" si="64"/>
        <v>0</v>
      </c>
      <c r="CM14" s="986">
        <v>18.18</v>
      </c>
    </row>
    <row r="15" spans="1:91" s="953" customFormat="1" ht="12.75">
      <c r="A15" s="1003" t="s">
        <v>407</v>
      </c>
      <c r="B15" s="1102" t="s">
        <v>134</v>
      </c>
      <c r="C15" s="1102" t="s">
        <v>135</v>
      </c>
      <c r="D15" s="1007">
        <f>3*12</f>
        <v>36</v>
      </c>
      <c r="E15" s="1001">
        <v>0.01</v>
      </c>
      <c r="F15" s="1006">
        <v>18.18</v>
      </c>
      <c r="G15" s="1006"/>
      <c r="H15" s="1006"/>
      <c r="I15" s="1006"/>
      <c r="J15" s="1006"/>
      <c r="K15" s="1000">
        <f t="shared" si="0"/>
        <v>1</v>
      </c>
      <c r="L15" s="989">
        <f t="shared" si="1"/>
        <v>36</v>
      </c>
      <c r="M15" s="989">
        <f t="shared" si="2"/>
        <v>0.6</v>
      </c>
      <c r="N15" s="999" t="s">
        <v>443</v>
      </c>
      <c r="O15" s="998" t="str">
        <f t="shared" si="3"/>
        <v>N</v>
      </c>
      <c r="P15" s="998" t="str">
        <f t="shared" si="4"/>
        <v>N</v>
      </c>
      <c r="Q15" s="998" t="str">
        <f t="shared" si="5"/>
        <v>S</v>
      </c>
      <c r="R15" s="998" t="str">
        <f t="shared" si="6"/>
        <v>N</v>
      </c>
      <c r="S15" s="989">
        <f t="shared" si="7"/>
        <v>0</v>
      </c>
      <c r="T15" s="989">
        <f t="shared" si="8"/>
        <v>0</v>
      </c>
      <c r="U15" s="989">
        <f t="shared" si="9"/>
        <v>36</v>
      </c>
      <c r="V15" s="989">
        <f t="shared" si="10"/>
        <v>0</v>
      </c>
      <c r="W15" s="989">
        <f t="shared" si="11"/>
        <v>0</v>
      </c>
      <c r="X15" s="989">
        <f t="shared" si="12"/>
        <v>0</v>
      </c>
      <c r="Y15" s="989">
        <f t="shared" si="13"/>
        <v>5.7600000000000007</v>
      </c>
      <c r="Z15" s="989">
        <f t="shared" si="14"/>
        <v>1.1000000000000001</v>
      </c>
      <c r="AA15" s="994">
        <f t="shared" si="15"/>
        <v>60</v>
      </c>
      <c r="AB15" s="989">
        <f t="shared" si="16"/>
        <v>11.547359999999999</v>
      </c>
      <c r="AC15" s="989" t="str">
        <f>IF(BV15="","",(BV15*AA15/100)*#REF!)</f>
        <v/>
      </c>
      <c r="AD15" s="989" t="str">
        <f>IF(BW15="","",(BW15*AA15/100)*#REF!)</f>
        <v/>
      </c>
      <c r="AE15" s="988">
        <f t="shared" si="17"/>
        <v>7.6982400000000002</v>
      </c>
      <c r="AF15" s="988" t="str">
        <f>IF(BV15="","",(BV15*#REF!)-AC15)</f>
        <v/>
      </c>
      <c r="AG15" s="988" t="str">
        <f>IF(BW15="","",(BW15*#REF!)-AD15)</f>
        <v/>
      </c>
      <c r="AH15" s="988">
        <f t="shared" si="18"/>
        <v>0.19440000000000002</v>
      </c>
      <c r="AI15" s="988" t="str">
        <f t="shared" si="19"/>
        <v>N</v>
      </c>
      <c r="AJ15" s="989">
        <f t="shared" si="20"/>
        <v>0</v>
      </c>
      <c r="AK15" s="989">
        <f t="shared" si="21"/>
        <v>0</v>
      </c>
      <c r="AL15" s="989">
        <f t="shared" si="22"/>
        <v>0</v>
      </c>
      <c r="AM15" s="987" t="s">
        <v>444</v>
      </c>
      <c r="AN15" s="989">
        <f t="shared" si="23"/>
        <v>0</v>
      </c>
      <c r="AO15" s="997">
        <v>6</v>
      </c>
      <c r="AP15" s="989">
        <f t="shared" si="24"/>
        <v>36</v>
      </c>
      <c r="AQ15" s="989">
        <v>0</v>
      </c>
      <c r="AR15" s="989">
        <v>0.61512</v>
      </c>
      <c r="AS15" s="995">
        <f t="shared" si="25"/>
        <v>0.1851944161680599</v>
      </c>
      <c r="AT15" s="989">
        <f t="shared" si="26"/>
        <v>6.6669989820501563</v>
      </c>
      <c r="AU15" s="989">
        <f t="shared" si="27"/>
        <v>8.64</v>
      </c>
      <c r="AV15" s="994">
        <f t="shared" si="28"/>
        <v>80</v>
      </c>
      <c r="AW15" s="989">
        <f t="shared" si="29"/>
        <v>4.1236560000000013</v>
      </c>
      <c r="AX15" s="989">
        <f t="shared" si="30"/>
        <v>0</v>
      </c>
      <c r="AY15" s="989">
        <f t="shared" si="31"/>
        <v>3.2989248000000004</v>
      </c>
      <c r="AZ15" s="989">
        <f t="shared" si="32"/>
        <v>0.82473120000000089</v>
      </c>
      <c r="BA15" s="993">
        <f t="shared" si="33"/>
        <v>9.3450179498429792E-3</v>
      </c>
      <c r="BB15" s="989">
        <f t="shared" si="34"/>
        <v>16.1410752</v>
      </c>
      <c r="BC15" s="992">
        <f t="shared" si="35"/>
        <v>0.41249999999999998</v>
      </c>
      <c r="BD15" s="992">
        <v>0.6</v>
      </c>
      <c r="BE15" s="992">
        <v>0.4</v>
      </c>
      <c r="BF15" s="992">
        <v>0.1</v>
      </c>
      <c r="BG15" s="992">
        <v>1.2500000000000001E-2</v>
      </c>
      <c r="BH15" s="989">
        <f t="shared" si="36"/>
        <v>0</v>
      </c>
      <c r="BI15" s="988">
        <f t="shared" si="37"/>
        <v>1.1000000000000001</v>
      </c>
      <c r="BJ15" s="989">
        <f t="shared" si="38"/>
        <v>0</v>
      </c>
      <c r="BK15" s="989">
        <f t="shared" si="39"/>
        <v>0</v>
      </c>
      <c r="BL15" s="989">
        <f t="shared" si="40"/>
        <v>19.440000000000001</v>
      </c>
      <c r="BM15" s="989" t="str">
        <f t="shared" si="41"/>
        <v/>
      </c>
      <c r="BN15" s="989" t="str">
        <f t="shared" si="42"/>
        <v/>
      </c>
      <c r="BO15" s="991">
        <f t="shared" si="43"/>
        <v>19.440000000000001</v>
      </c>
      <c r="BP15" s="989">
        <f t="shared" si="44"/>
        <v>0</v>
      </c>
      <c r="BQ15" s="990">
        <f t="shared" si="45"/>
        <v>6.3750000000000001E-2</v>
      </c>
      <c r="BR15" s="989">
        <f t="shared" si="46"/>
        <v>5.6250000000000007E-3</v>
      </c>
      <c r="BS15" s="989">
        <f t="shared" si="47"/>
        <v>6.1359218750000013E-5</v>
      </c>
      <c r="BT15" s="989" t="str">
        <f t="shared" si="48"/>
        <v>C2</v>
      </c>
      <c r="BU15" s="988">
        <f t="shared" si="49"/>
        <v>19.2456</v>
      </c>
      <c r="BV15" s="988" t="str">
        <f t="shared" si="50"/>
        <v/>
      </c>
      <c r="BW15" s="988" t="str">
        <f t="shared" si="51"/>
        <v/>
      </c>
      <c r="BX15" s="988"/>
      <c r="BY15" s="987" t="s">
        <v>387</v>
      </c>
      <c r="BZ15" s="987">
        <f t="shared" si="52"/>
        <v>73.2</v>
      </c>
      <c r="CA15" s="1004">
        <f t="shared" si="53"/>
        <v>0</v>
      </c>
      <c r="CB15" s="1004">
        <f t="shared" si="54"/>
        <v>0</v>
      </c>
      <c r="CC15" s="1004">
        <f t="shared" si="55"/>
        <v>0</v>
      </c>
      <c r="CD15" s="1004">
        <f t="shared" si="56"/>
        <v>0</v>
      </c>
      <c r="CE15" s="1004">
        <f t="shared" si="57"/>
        <v>0</v>
      </c>
      <c r="CF15" s="1004">
        <f t="shared" si="58"/>
        <v>0</v>
      </c>
      <c r="CG15" s="1004">
        <f t="shared" si="59"/>
        <v>0</v>
      </c>
      <c r="CH15" s="1004">
        <f t="shared" si="60"/>
        <v>0</v>
      </c>
      <c r="CI15" s="1004">
        <f t="shared" si="61"/>
        <v>0</v>
      </c>
      <c r="CJ15" s="1004">
        <f t="shared" si="62"/>
        <v>0</v>
      </c>
      <c r="CK15" s="1004">
        <f t="shared" si="63"/>
        <v>0</v>
      </c>
      <c r="CL15" s="1004">
        <f t="shared" si="64"/>
        <v>0</v>
      </c>
      <c r="CM15" s="986">
        <v>18.18</v>
      </c>
    </row>
    <row r="16" spans="1:91" s="953" customFormat="1" ht="12.75">
      <c r="A16" s="1003" t="s">
        <v>408</v>
      </c>
      <c r="B16" s="1102" t="s">
        <v>136</v>
      </c>
      <c r="C16" s="1102" t="s">
        <v>137</v>
      </c>
      <c r="D16" s="1007">
        <f>3*3</f>
        <v>9</v>
      </c>
      <c r="E16" s="1001">
        <v>0.01</v>
      </c>
      <c r="F16" s="1006">
        <v>18.18</v>
      </c>
      <c r="G16" s="1006"/>
      <c r="H16" s="1006"/>
      <c r="I16" s="1006"/>
      <c r="J16" s="1006"/>
      <c r="K16" s="1000">
        <f t="shared" si="0"/>
        <v>1</v>
      </c>
      <c r="L16" s="989">
        <f t="shared" si="1"/>
        <v>9</v>
      </c>
      <c r="M16" s="989">
        <f t="shared" si="2"/>
        <v>0.6</v>
      </c>
      <c r="N16" s="999" t="s">
        <v>443</v>
      </c>
      <c r="O16" s="998" t="str">
        <f t="shared" si="3"/>
        <v>N</v>
      </c>
      <c r="P16" s="998" t="str">
        <f t="shared" si="4"/>
        <v>N</v>
      </c>
      <c r="Q16" s="998" t="str">
        <f t="shared" si="5"/>
        <v>S</v>
      </c>
      <c r="R16" s="998" t="str">
        <f t="shared" si="6"/>
        <v>N</v>
      </c>
      <c r="S16" s="989">
        <f t="shared" si="7"/>
        <v>0</v>
      </c>
      <c r="T16" s="989">
        <f t="shared" si="8"/>
        <v>0</v>
      </c>
      <c r="U16" s="989">
        <f t="shared" si="9"/>
        <v>9</v>
      </c>
      <c r="V16" s="989">
        <f t="shared" si="10"/>
        <v>0</v>
      </c>
      <c r="W16" s="989">
        <f t="shared" si="11"/>
        <v>0</v>
      </c>
      <c r="X16" s="989">
        <f t="shared" si="12"/>
        <v>0</v>
      </c>
      <c r="Y16" s="989">
        <f t="shared" si="13"/>
        <v>1.4400000000000002</v>
      </c>
      <c r="Z16" s="989">
        <f t="shared" si="14"/>
        <v>1.1000000000000001</v>
      </c>
      <c r="AA16" s="994">
        <f t="shared" si="15"/>
        <v>60</v>
      </c>
      <c r="AB16" s="989">
        <f t="shared" si="16"/>
        <v>2.8868399999999999</v>
      </c>
      <c r="AC16" s="989" t="str">
        <f>IF(BV16="","",(BV16*AA16/100)*#REF!)</f>
        <v/>
      </c>
      <c r="AD16" s="989" t="str">
        <f>IF(BW16="","",(BW16*AA16/100)*#REF!)</f>
        <v/>
      </c>
      <c r="AE16" s="988">
        <f t="shared" si="17"/>
        <v>1.92456</v>
      </c>
      <c r="AF16" s="988" t="str">
        <f>IF(BV16="","",(BV16*#REF!)-AC16)</f>
        <v/>
      </c>
      <c r="AG16" s="988" t="str">
        <f>IF(BW16="","",(BW16*#REF!)-AD16)</f>
        <v/>
      </c>
      <c r="AH16" s="988">
        <f t="shared" si="18"/>
        <v>4.8600000000000004E-2</v>
      </c>
      <c r="AI16" s="988" t="str">
        <f t="shared" si="19"/>
        <v>N</v>
      </c>
      <c r="AJ16" s="989">
        <f t="shared" si="20"/>
        <v>0</v>
      </c>
      <c r="AK16" s="989">
        <f t="shared" si="21"/>
        <v>0</v>
      </c>
      <c r="AL16" s="989">
        <f t="shared" si="22"/>
        <v>0</v>
      </c>
      <c r="AM16" s="987" t="s">
        <v>444</v>
      </c>
      <c r="AN16" s="989">
        <f t="shared" si="23"/>
        <v>0</v>
      </c>
      <c r="AO16" s="997">
        <v>10</v>
      </c>
      <c r="AP16" s="989">
        <f t="shared" si="24"/>
        <v>9</v>
      </c>
      <c r="AQ16" s="989">
        <v>0</v>
      </c>
      <c r="AR16" s="989">
        <v>1.0251999999999999</v>
      </c>
      <c r="AS16" s="995">
        <f t="shared" si="25"/>
        <v>0.1851944161680599</v>
      </c>
      <c r="AT16" s="989">
        <f t="shared" si="26"/>
        <v>1.6667497455125391</v>
      </c>
      <c r="AU16" s="989">
        <f t="shared" si="27"/>
        <v>2.16</v>
      </c>
      <c r="AV16" s="994">
        <f t="shared" si="28"/>
        <v>80</v>
      </c>
      <c r="AW16" s="989">
        <f t="shared" si="29"/>
        <v>1.0309140000000003</v>
      </c>
      <c r="AX16" s="989">
        <f t="shared" si="30"/>
        <v>0</v>
      </c>
      <c r="AY16" s="989">
        <f t="shared" si="31"/>
        <v>0.82473120000000011</v>
      </c>
      <c r="AZ16" s="989">
        <f t="shared" si="32"/>
        <v>0.20618280000000022</v>
      </c>
      <c r="BA16" s="993">
        <f t="shared" si="33"/>
        <v>2.3362544874607448E-3</v>
      </c>
      <c r="BB16" s="989">
        <f t="shared" si="34"/>
        <v>4.0352687999999999</v>
      </c>
      <c r="BC16" s="992">
        <f t="shared" si="35"/>
        <v>0.41249999999999998</v>
      </c>
      <c r="BD16" s="992">
        <v>0.6</v>
      </c>
      <c r="BE16" s="992">
        <v>0.4</v>
      </c>
      <c r="BF16" s="992">
        <v>0.1</v>
      </c>
      <c r="BG16" s="992">
        <v>1.2500000000000001E-2</v>
      </c>
      <c r="BH16" s="989">
        <f t="shared" si="36"/>
        <v>0</v>
      </c>
      <c r="BI16" s="988">
        <f t="shared" si="37"/>
        <v>1.1000000000000001</v>
      </c>
      <c r="BJ16" s="989">
        <f t="shared" si="38"/>
        <v>0</v>
      </c>
      <c r="BK16" s="989">
        <f t="shared" si="39"/>
        <v>0</v>
      </c>
      <c r="BL16" s="989">
        <f t="shared" si="40"/>
        <v>4.8600000000000003</v>
      </c>
      <c r="BM16" s="989" t="str">
        <f t="shared" si="41"/>
        <v/>
      </c>
      <c r="BN16" s="989" t="str">
        <f t="shared" si="42"/>
        <v/>
      </c>
      <c r="BO16" s="991">
        <f t="shared" si="43"/>
        <v>4.8600000000000003</v>
      </c>
      <c r="BP16" s="989">
        <f t="shared" si="44"/>
        <v>0</v>
      </c>
      <c r="BQ16" s="990">
        <f t="shared" si="45"/>
        <v>6.3750000000000001E-2</v>
      </c>
      <c r="BR16" s="989">
        <f t="shared" si="46"/>
        <v>5.6250000000000007E-3</v>
      </c>
      <c r="BS16" s="989">
        <f t="shared" si="47"/>
        <v>6.1359218750000013E-5</v>
      </c>
      <c r="BT16" s="989" t="str">
        <f t="shared" si="48"/>
        <v>C2</v>
      </c>
      <c r="BU16" s="988">
        <f t="shared" si="49"/>
        <v>4.8113999999999999</v>
      </c>
      <c r="BV16" s="988" t="str">
        <f t="shared" si="50"/>
        <v/>
      </c>
      <c r="BW16" s="988" t="str">
        <f t="shared" si="51"/>
        <v/>
      </c>
      <c r="BX16" s="988"/>
      <c r="BY16" s="987" t="s">
        <v>387</v>
      </c>
      <c r="BZ16" s="987">
        <f t="shared" si="52"/>
        <v>19.2</v>
      </c>
      <c r="CA16" s="1004">
        <f t="shared" si="53"/>
        <v>0</v>
      </c>
      <c r="CB16" s="1004">
        <f t="shared" si="54"/>
        <v>0</v>
      </c>
      <c r="CC16" s="1004">
        <f t="shared" si="55"/>
        <v>0</v>
      </c>
      <c r="CD16" s="1004">
        <f t="shared" si="56"/>
        <v>0</v>
      </c>
      <c r="CE16" s="1004">
        <f t="shared" si="57"/>
        <v>0</v>
      </c>
      <c r="CF16" s="1004">
        <f t="shared" si="58"/>
        <v>0</v>
      </c>
      <c r="CG16" s="1004">
        <f t="shared" si="59"/>
        <v>0</v>
      </c>
      <c r="CH16" s="1004">
        <f t="shared" si="60"/>
        <v>0</v>
      </c>
      <c r="CI16" s="1004">
        <f t="shared" si="61"/>
        <v>0</v>
      </c>
      <c r="CJ16" s="1004">
        <f t="shared" si="62"/>
        <v>0</v>
      </c>
      <c r="CK16" s="1004">
        <f t="shared" si="63"/>
        <v>0</v>
      </c>
      <c r="CL16" s="1004">
        <f t="shared" si="64"/>
        <v>0</v>
      </c>
      <c r="CM16" s="986">
        <v>18.18</v>
      </c>
    </row>
    <row r="17" spans="1:91" s="953" customFormat="1" ht="12.75">
      <c r="A17" s="1003" t="s">
        <v>409</v>
      </c>
      <c r="B17" s="1102" t="s">
        <v>137</v>
      </c>
      <c r="C17" s="1102" t="s">
        <v>138</v>
      </c>
      <c r="D17" s="1007">
        <f>3*10</f>
        <v>30</v>
      </c>
      <c r="E17" s="1001">
        <v>0.01</v>
      </c>
      <c r="F17" s="1006">
        <v>18.18</v>
      </c>
      <c r="G17" s="1006"/>
      <c r="H17" s="1006"/>
      <c r="I17" s="1006"/>
      <c r="J17" s="1006"/>
      <c r="K17" s="1000">
        <f t="shared" si="0"/>
        <v>1</v>
      </c>
      <c r="L17" s="989">
        <f t="shared" si="1"/>
        <v>30</v>
      </c>
      <c r="M17" s="989">
        <f t="shared" si="2"/>
        <v>0.6</v>
      </c>
      <c r="N17" s="999" t="s">
        <v>443</v>
      </c>
      <c r="O17" s="998" t="str">
        <f t="shared" si="3"/>
        <v>N</v>
      </c>
      <c r="P17" s="998" t="str">
        <f t="shared" si="4"/>
        <v>N</v>
      </c>
      <c r="Q17" s="998" t="str">
        <f t="shared" si="5"/>
        <v>S</v>
      </c>
      <c r="R17" s="998" t="str">
        <f t="shared" si="6"/>
        <v>N</v>
      </c>
      <c r="S17" s="989">
        <f t="shared" si="7"/>
        <v>0</v>
      </c>
      <c r="T17" s="989">
        <f t="shared" si="8"/>
        <v>0</v>
      </c>
      <c r="U17" s="989">
        <f t="shared" si="9"/>
        <v>30</v>
      </c>
      <c r="V17" s="989">
        <f t="shared" si="10"/>
        <v>0</v>
      </c>
      <c r="W17" s="989">
        <f t="shared" si="11"/>
        <v>0</v>
      </c>
      <c r="X17" s="989">
        <f t="shared" si="12"/>
        <v>0</v>
      </c>
      <c r="Y17" s="989">
        <f t="shared" si="13"/>
        <v>4.8000000000000007</v>
      </c>
      <c r="Z17" s="989">
        <f t="shared" si="14"/>
        <v>1.1000000000000001</v>
      </c>
      <c r="AA17" s="994">
        <f t="shared" si="15"/>
        <v>60</v>
      </c>
      <c r="AB17" s="989">
        <f t="shared" si="16"/>
        <v>9.6228000000000016</v>
      </c>
      <c r="AC17" s="989" t="str">
        <f>IF(BV17="","",(BV17*AA17/100)*#REF!)</f>
        <v/>
      </c>
      <c r="AD17" s="989" t="str">
        <f>IF(BW17="","",(BW17*AA17/100)*#REF!)</f>
        <v/>
      </c>
      <c r="AE17" s="988">
        <f t="shared" si="17"/>
        <v>6.4152000000000022</v>
      </c>
      <c r="AF17" s="988" t="str">
        <f>IF(BV17="","",(BV17*#REF!)-AC17)</f>
        <v/>
      </c>
      <c r="AG17" s="988" t="str">
        <f>IF(BW17="","",(BW17*#REF!)-AD17)</f>
        <v/>
      </c>
      <c r="AH17" s="988">
        <f t="shared" si="18"/>
        <v>0.16200000000000003</v>
      </c>
      <c r="AI17" s="988" t="str">
        <f t="shared" si="19"/>
        <v>N</v>
      </c>
      <c r="AJ17" s="989">
        <f t="shared" si="20"/>
        <v>0</v>
      </c>
      <c r="AK17" s="989">
        <f t="shared" si="21"/>
        <v>0</v>
      </c>
      <c r="AL17" s="989">
        <f t="shared" si="22"/>
        <v>0</v>
      </c>
      <c r="AM17" s="987" t="s">
        <v>444</v>
      </c>
      <c r="AN17" s="989">
        <f t="shared" si="23"/>
        <v>0</v>
      </c>
      <c r="AO17" s="997">
        <v>12</v>
      </c>
      <c r="AP17" s="989">
        <f t="shared" si="24"/>
        <v>30</v>
      </c>
      <c r="AQ17" s="989">
        <v>0</v>
      </c>
      <c r="AR17" s="989">
        <v>1.23024</v>
      </c>
      <c r="AS17" s="995">
        <f t="shared" si="25"/>
        <v>0.1851944161680599</v>
      </c>
      <c r="AT17" s="989">
        <f t="shared" si="26"/>
        <v>5.5558324850417966</v>
      </c>
      <c r="AU17" s="989">
        <f t="shared" si="27"/>
        <v>7.1999999999999993</v>
      </c>
      <c r="AV17" s="994">
        <f t="shared" si="28"/>
        <v>80</v>
      </c>
      <c r="AW17" s="989">
        <f t="shared" si="29"/>
        <v>3.4363800000000038</v>
      </c>
      <c r="AX17" s="989">
        <f t="shared" si="30"/>
        <v>0</v>
      </c>
      <c r="AY17" s="989">
        <f t="shared" si="31"/>
        <v>2.7491040000000027</v>
      </c>
      <c r="AZ17" s="989">
        <f t="shared" si="32"/>
        <v>0.68727600000000111</v>
      </c>
      <c r="BA17" s="993">
        <f t="shared" si="33"/>
        <v>7.7875149582024824E-3</v>
      </c>
      <c r="BB17" s="989">
        <f t="shared" si="34"/>
        <v>13.450896</v>
      </c>
      <c r="BC17" s="992">
        <f t="shared" si="35"/>
        <v>0.41249999999999998</v>
      </c>
      <c r="BD17" s="992">
        <v>0.6</v>
      </c>
      <c r="BE17" s="992">
        <v>0.4</v>
      </c>
      <c r="BF17" s="992">
        <v>0.1</v>
      </c>
      <c r="BG17" s="992">
        <v>1.2500000000000001E-2</v>
      </c>
      <c r="BH17" s="989">
        <f t="shared" si="36"/>
        <v>0</v>
      </c>
      <c r="BI17" s="988">
        <f t="shared" si="37"/>
        <v>1.1000000000000001</v>
      </c>
      <c r="BJ17" s="989">
        <f t="shared" si="38"/>
        <v>0</v>
      </c>
      <c r="BK17" s="989">
        <f t="shared" si="39"/>
        <v>0</v>
      </c>
      <c r="BL17" s="989">
        <f t="shared" si="40"/>
        <v>16.200000000000003</v>
      </c>
      <c r="BM17" s="989" t="str">
        <f t="shared" si="41"/>
        <v/>
      </c>
      <c r="BN17" s="989" t="str">
        <f t="shared" si="42"/>
        <v/>
      </c>
      <c r="BO17" s="991">
        <f t="shared" si="43"/>
        <v>16.200000000000003</v>
      </c>
      <c r="BP17" s="989">
        <f t="shared" si="44"/>
        <v>0</v>
      </c>
      <c r="BQ17" s="990">
        <f t="shared" si="45"/>
        <v>6.3750000000000001E-2</v>
      </c>
      <c r="BR17" s="989">
        <f t="shared" si="46"/>
        <v>5.6250000000000007E-3</v>
      </c>
      <c r="BS17" s="989">
        <f t="shared" si="47"/>
        <v>6.1359218750000013E-5</v>
      </c>
      <c r="BT17" s="989" t="str">
        <f t="shared" si="48"/>
        <v>C2</v>
      </c>
      <c r="BU17" s="988">
        <f t="shared" si="49"/>
        <v>16.038000000000004</v>
      </c>
      <c r="BV17" s="988" t="str">
        <f t="shared" si="50"/>
        <v/>
      </c>
      <c r="BW17" s="988" t="str">
        <f t="shared" si="51"/>
        <v/>
      </c>
      <c r="BX17" s="988"/>
      <c r="BY17" s="987" t="s">
        <v>387</v>
      </c>
      <c r="BZ17" s="987">
        <f t="shared" si="52"/>
        <v>61.2</v>
      </c>
      <c r="CA17" s="1004">
        <f t="shared" si="53"/>
        <v>0</v>
      </c>
      <c r="CB17" s="1004">
        <f t="shared" si="54"/>
        <v>0</v>
      </c>
      <c r="CC17" s="1004">
        <f t="shared" si="55"/>
        <v>0</v>
      </c>
      <c r="CD17" s="1004">
        <f t="shared" si="56"/>
        <v>0</v>
      </c>
      <c r="CE17" s="1004">
        <f t="shared" si="57"/>
        <v>0</v>
      </c>
      <c r="CF17" s="1004">
        <f t="shared" si="58"/>
        <v>0</v>
      </c>
      <c r="CG17" s="1004">
        <f t="shared" si="59"/>
        <v>0</v>
      </c>
      <c r="CH17" s="1004">
        <f t="shared" si="60"/>
        <v>0</v>
      </c>
      <c r="CI17" s="1004">
        <f t="shared" si="61"/>
        <v>0</v>
      </c>
      <c r="CJ17" s="1004">
        <f t="shared" si="62"/>
        <v>0</v>
      </c>
      <c r="CK17" s="1004">
        <f t="shared" si="63"/>
        <v>0</v>
      </c>
      <c r="CL17" s="1004">
        <f t="shared" si="64"/>
        <v>0</v>
      </c>
      <c r="CM17" s="986">
        <v>18.18</v>
      </c>
    </row>
    <row r="18" spans="1:91" s="953" customFormat="1" ht="12.75">
      <c r="A18" s="1003" t="s">
        <v>410</v>
      </c>
      <c r="B18" s="1102" t="s">
        <v>138</v>
      </c>
      <c r="C18" s="1102" t="s">
        <v>139</v>
      </c>
      <c r="D18" s="1007">
        <f>3*28</f>
        <v>84</v>
      </c>
      <c r="E18" s="1001">
        <v>0.01</v>
      </c>
      <c r="F18" s="1006">
        <v>18.18</v>
      </c>
      <c r="G18" s="1006"/>
      <c r="H18" s="1006"/>
      <c r="I18" s="1006"/>
      <c r="J18" s="1006"/>
      <c r="K18" s="1000">
        <f t="shared" si="0"/>
        <v>1</v>
      </c>
      <c r="L18" s="989">
        <f t="shared" si="1"/>
        <v>84</v>
      </c>
      <c r="M18" s="989">
        <f t="shared" si="2"/>
        <v>0.6</v>
      </c>
      <c r="N18" s="999" t="s">
        <v>443</v>
      </c>
      <c r="O18" s="998" t="str">
        <f t="shared" si="3"/>
        <v>N</v>
      </c>
      <c r="P18" s="998" t="str">
        <f t="shared" si="4"/>
        <v>N</v>
      </c>
      <c r="Q18" s="998" t="str">
        <f t="shared" si="5"/>
        <v>S</v>
      </c>
      <c r="R18" s="998" t="str">
        <f t="shared" si="6"/>
        <v>N</v>
      </c>
      <c r="S18" s="989">
        <f t="shared" si="7"/>
        <v>0</v>
      </c>
      <c r="T18" s="989">
        <f t="shared" si="8"/>
        <v>0</v>
      </c>
      <c r="U18" s="989">
        <f t="shared" si="9"/>
        <v>84</v>
      </c>
      <c r="V18" s="989">
        <f t="shared" si="10"/>
        <v>0</v>
      </c>
      <c r="W18" s="989">
        <f t="shared" si="11"/>
        <v>0</v>
      </c>
      <c r="X18" s="989">
        <f t="shared" si="12"/>
        <v>0</v>
      </c>
      <c r="Y18" s="989">
        <f t="shared" si="13"/>
        <v>13.440000000000001</v>
      </c>
      <c r="Z18" s="989">
        <f t="shared" si="14"/>
        <v>1.1000000000000001</v>
      </c>
      <c r="AA18" s="994">
        <f t="shared" si="15"/>
        <v>60</v>
      </c>
      <c r="AB18" s="989">
        <f t="shared" si="16"/>
        <v>26.943840000000002</v>
      </c>
      <c r="AC18" s="989" t="str">
        <f>IF(BV18="","",(BV18*AA18/100)*#REF!)</f>
        <v/>
      </c>
      <c r="AD18" s="989" t="str">
        <f>IF(BW18="","",(BW18*AA18/100)*#REF!)</f>
        <v/>
      </c>
      <c r="AE18" s="988">
        <f t="shared" si="17"/>
        <v>17.962560000000003</v>
      </c>
      <c r="AF18" s="988" t="str">
        <f>IF(BV18="","",(BV18*#REF!)-AC18)</f>
        <v/>
      </c>
      <c r="AG18" s="988" t="str">
        <f>IF(BW18="","",(BW18*#REF!)-AD18)</f>
        <v/>
      </c>
      <c r="AH18" s="988">
        <f t="shared" si="18"/>
        <v>0.45360000000000006</v>
      </c>
      <c r="AI18" s="988" t="str">
        <f t="shared" si="19"/>
        <v>N</v>
      </c>
      <c r="AJ18" s="989">
        <f t="shared" si="20"/>
        <v>0</v>
      </c>
      <c r="AK18" s="989">
        <f t="shared" si="21"/>
        <v>0</v>
      </c>
      <c r="AL18" s="989">
        <f t="shared" si="22"/>
        <v>0</v>
      </c>
      <c r="AM18" s="987" t="s">
        <v>444</v>
      </c>
      <c r="AN18" s="989">
        <f t="shared" si="23"/>
        <v>0</v>
      </c>
      <c r="AO18" s="997">
        <v>13</v>
      </c>
      <c r="AP18" s="989">
        <f t="shared" si="24"/>
        <v>84</v>
      </c>
      <c r="AQ18" s="989">
        <v>0</v>
      </c>
      <c r="AR18" s="989">
        <v>1.3327599999999999</v>
      </c>
      <c r="AS18" s="995">
        <f t="shared" si="25"/>
        <v>0.1851944161680599</v>
      </c>
      <c r="AT18" s="989">
        <f t="shared" si="26"/>
        <v>15.556330958117032</v>
      </c>
      <c r="AU18" s="989">
        <f t="shared" si="27"/>
        <v>20.16</v>
      </c>
      <c r="AV18" s="994">
        <f t="shared" si="28"/>
        <v>80</v>
      </c>
      <c r="AW18" s="989">
        <f t="shared" si="29"/>
        <v>9.6218640000000093</v>
      </c>
      <c r="AX18" s="989">
        <f t="shared" si="30"/>
        <v>0</v>
      </c>
      <c r="AY18" s="989">
        <f t="shared" si="31"/>
        <v>7.6974912000000053</v>
      </c>
      <c r="AZ18" s="989">
        <f t="shared" si="32"/>
        <v>1.924372800000004</v>
      </c>
      <c r="BA18" s="993">
        <f t="shared" si="33"/>
        <v>2.180504188296695E-2</v>
      </c>
      <c r="BB18" s="989">
        <f t="shared" si="34"/>
        <v>37.662508799999998</v>
      </c>
      <c r="BC18" s="992">
        <f t="shared" si="35"/>
        <v>0.41249999999999998</v>
      </c>
      <c r="BD18" s="992">
        <v>0.6</v>
      </c>
      <c r="BE18" s="992">
        <v>0.4</v>
      </c>
      <c r="BF18" s="992">
        <v>0.1</v>
      </c>
      <c r="BG18" s="992">
        <v>1.2500000000000001E-2</v>
      </c>
      <c r="BH18" s="989">
        <f t="shared" si="36"/>
        <v>0</v>
      </c>
      <c r="BI18" s="988">
        <f t="shared" si="37"/>
        <v>1.1000000000000001</v>
      </c>
      <c r="BJ18" s="989">
        <f t="shared" si="38"/>
        <v>0</v>
      </c>
      <c r="BK18" s="989">
        <f t="shared" si="39"/>
        <v>0</v>
      </c>
      <c r="BL18" s="989">
        <f t="shared" si="40"/>
        <v>45.360000000000007</v>
      </c>
      <c r="BM18" s="989" t="str">
        <f t="shared" si="41"/>
        <v/>
      </c>
      <c r="BN18" s="989" t="str">
        <f t="shared" si="42"/>
        <v/>
      </c>
      <c r="BO18" s="991">
        <f t="shared" si="43"/>
        <v>45.360000000000007</v>
      </c>
      <c r="BP18" s="989">
        <f t="shared" si="44"/>
        <v>0</v>
      </c>
      <c r="BQ18" s="990">
        <f t="shared" si="45"/>
        <v>6.3750000000000001E-2</v>
      </c>
      <c r="BR18" s="989">
        <f t="shared" si="46"/>
        <v>5.6250000000000007E-3</v>
      </c>
      <c r="BS18" s="989">
        <f t="shared" si="47"/>
        <v>6.1359218750000013E-5</v>
      </c>
      <c r="BT18" s="989" t="str">
        <f t="shared" si="48"/>
        <v>C2</v>
      </c>
      <c r="BU18" s="988">
        <f t="shared" si="49"/>
        <v>44.906400000000005</v>
      </c>
      <c r="BV18" s="988" t="str">
        <f t="shared" si="50"/>
        <v/>
      </c>
      <c r="BW18" s="988" t="str">
        <f t="shared" si="51"/>
        <v/>
      </c>
      <c r="BX18" s="988"/>
      <c r="BY18" s="987" t="s">
        <v>387</v>
      </c>
      <c r="BZ18" s="987">
        <f t="shared" si="52"/>
        <v>169.2</v>
      </c>
      <c r="CA18" s="1004">
        <f t="shared" si="53"/>
        <v>0</v>
      </c>
      <c r="CB18" s="1004">
        <f t="shared" si="54"/>
        <v>0</v>
      </c>
      <c r="CC18" s="1004">
        <f t="shared" si="55"/>
        <v>0</v>
      </c>
      <c r="CD18" s="1004">
        <f t="shared" si="56"/>
        <v>0</v>
      </c>
      <c r="CE18" s="1004">
        <f t="shared" si="57"/>
        <v>0</v>
      </c>
      <c r="CF18" s="1004">
        <f t="shared" si="58"/>
        <v>0</v>
      </c>
      <c r="CG18" s="1004">
        <f t="shared" si="59"/>
        <v>0</v>
      </c>
      <c r="CH18" s="1004">
        <f t="shared" si="60"/>
        <v>0</v>
      </c>
      <c r="CI18" s="1004">
        <f t="shared" si="61"/>
        <v>0</v>
      </c>
      <c r="CJ18" s="1004">
        <f t="shared" si="62"/>
        <v>0</v>
      </c>
      <c r="CK18" s="1004">
        <f t="shared" si="63"/>
        <v>0</v>
      </c>
      <c r="CL18" s="1004">
        <f t="shared" si="64"/>
        <v>0</v>
      </c>
      <c r="CM18" s="986">
        <v>18.18</v>
      </c>
    </row>
    <row r="19" spans="1:91" s="953" customFormat="1" ht="12.75">
      <c r="A19" s="1003" t="s">
        <v>411</v>
      </c>
      <c r="B19" s="1102" t="s">
        <v>140</v>
      </c>
      <c r="C19" s="1102" t="s">
        <v>141</v>
      </c>
      <c r="D19" s="1007">
        <f>3*3</f>
        <v>9</v>
      </c>
      <c r="E19" s="1001">
        <v>0.01</v>
      </c>
      <c r="F19" s="1006">
        <v>18.18</v>
      </c>
      <c r="G19" s="1006"/>
      <c r="H19" s="1006"/>
      <c r="I19" s="1006"/>
      <c r="J19" s="1006"/>
      <c r="K19" s="1000">
        <f t="shared" si="0"/>
        <v>1</v>
      </c>
      <c r="L19" s="989">
        <f t="shared" si="1"/>
        <v>9</v>
      </c>
      <c r="M19" s="989">
        <f t="shared" si="2"/>
        <v>0.6</v>
      </c>
      <c r="N19" s="999" t="s">
        <v>443</v>
      </c>
      <c r="O19" s="998" t="str">
        <f t="shared" si="3"/>
        <v>N</v>
      </c>
      <c r="P19" s="998" t="str">
        <f t="shared" si="4"/>
        <v>N</v>
      </c>
      <c r="Q19" s="998" t="str">
        <f t="shared" si="5"/>
        <v>S</v>
      </c>
      <c r="R19" s="998" t="str">
        <f t="shared" si="6"/>
        <v>N</v>
      </c>
      <c r="S19" s="989">
        <f t="shared" si="7"/>
        <v>0</v>
      </c>
      <c r="T19" s="989">
        <f t="shared" si="8"/>
        <v>0</v>
      </c>
      <c r="U19" s="989">
        <f t="shared" si="9"/>
        <v>9</v>
      </c>
      <c r="V19" s="989">
        <f t="shared" si="10"/>
        <v>0</v>
      </c>
      <c r="W19" s="989">
        <f t="shared" si="11"/>
        <v>0</v>
      </c>
      <c r="X19" s="989">
        <f t="shared" si="12"/>
        <v>0</v>
      </c>
      <c r="Y19" s="989">
        <f t="shared" si="13"/>
        <v>1.4400000000000002</v>
      </c>
      <c r="Z19" s="989">
        <f t="shared" si="14"/>
        <v>1.1000000000000001</v>
      </c>
      <c r="AA19" s="994">
        <f t="shared" si="15"/>
        <v>60</v>
      </c>
      <c r="AB19" s="989">
        <f t="shared" si="16"/>
        <v>2.8868399999999999</v>
      </c>
      <c r="AC19" s="989" t="str">
        <f>IF(BV19="","",(BV19*AA19/100)*#REF!)</f>
        <v/>
      </c>
      <c r="AD19" s="989" t="str">
        <f>IF(BW19="","",(BW19*AA19/100)*#REF!)</f>
        <v/>
      </c>
      <c r="AE19" s="988">
        <f t="shared" si="17"/>
        <v>1.92456</v>
      </c>
      <c r="AF19" s="988" t="str">
        <f>IF(BV19="","",(BV19*#REF!)-AC19)</f>
        <v/>
      </c>
      <c r="AG19" s="988" t="str">
        <f>IF(BW19="","",(BW19*#REF!)-AD19)</f>
        <v/>
      </c>
      <c r="AH19" s="988">
        <f t="shared" si="18"/>
        <v>4.8600000000000004E-2</v>
      </c>
      <c r="AI19" s="988" t="str">
        <f t="shared" si="19"/>
        <v>N</v>
      </c>
      <c r="AJ19" s="989">
        <f t="shared" si="20"/>
        <v>0</v>
      </c>
      <c r="AK19" s="989">
        <f t="shared" si="21"/>
        <v>0</v>
      </c>
      <c r="AL19" s="989">
        <f t="shared" si="22"/>
        <v>0</v>
      </c>
      <c r="AM19" s="987" t="s">
        <v>444</v>
      </c>
      <c r="AN19" s="989">
        <f t="shared" si="23"/>
        <v>0</v>
      </c>
      <c r="AO19" s="997">
        <v>14</v>
      </c>
      <c r="AP19" s="989">
        <f t="shared" si="24"/>
        <v>9</v>
      </c>
      <c r="AQ19" s="989">
        <v>0</v>
      </c>
      <c r="AR19" s="989">
        <v>1.4352800000000001</v>
      </c>
      <c r="AS19" s="995">
        <f t="shared" si="25"/>
        <v>0.1851944161680599</v>
      </c>
      <c r="AT19" s="989">
        <f t="shared" si="26"/>
        <v>1.6667497455125391</v>
      </c>
      <c r="AU19" s="989">
        <f t="shared" si="27"/>
        <v>2.16</v>
      </c>
      <c r="AV19" s="994">
        <f t="shared" si="28"/>
        <v>80</v>
      </c>
      <c r="AW19" s="989">
        <f t="shared" si="29"/>
        <v>1.0309140000000003</v>
      </c>
      <c r="AX19" s="989">
        <f t="shared" si="30"/>
        <v>0</v>
      </c>
      <c r="AY19" s="989">
        <f t="shared" si="31"/>
        <v>0.82473120000000011</v>
      </c>
      <c r="AZ19" s="989">
        <f t="shared" si="32"/>
        <v>0.20618280000000022</v>
      </c>
      <c r="BA19" s="993">
        <f t="shared" si="33"/>
        <v>2.3362544874607448E-3</v>
      </c>
      <c r="BB19" s="989">
        <f t="shared" si="34"/>
        <v>4.0352687999999999</v>
      </c>
      <c r="BC19" s="992">
        <f t="shared" si="35"/>
        <v>0.41249999999999998</v>
      </c>
      <c r="BD19" s="992">
        <v>0.6</v>
      </c>
      <c r="BE19" s="992">
        <v>0.4</v>
      </c>
      <c r="BF19" s="992">
        <v>0.1</v>
      </c>
      <c r="BG19" s="992">
        <v>1.2500000000000001E-2</v>
      </c>
      <c r="BH19" s="989">
        <f t="shared" si="36"/>
        <v>0</v>
      </c>
      <c r="BI19" s="988">
        <f t="shared" si="37"/>
        <v>1.1000000000000001</v>
      </c>
      <c r="BJ19" s="989">
        <f t="shared" si="38"/>
        <v>0</v>
      </c>
      <c r="BK19" s="989">
        <f t="shared" si="39"/>
        <v>0</v>
      </c>
      <c r="BL19" s="989">
        <f t="shared" si="40"/>
        <v>4.8600000000000003</v>
      </c>
      <c r="BM19" s="989" t="str">
        <f t="shared" si="41"/>
        <v/>
      </c>
      <c r="BN19" s="989" t="str">
        <f t="shared" si="42"/>
        <v/>
      </c>
      <c r="BO19" s="991">
        <f t="shared" si="43"/>
        <v>4.8600000000000003</v>
      </c>
      <c r="BP19" s="989">
        <f t="shared" si="44"/>
        <v>0</v>
      </c>
      <c r="BQ19" s="990">
        <f t="shared" si="45"/>
        <v>6.3750000000000001E-2</v>
      </c>
      <c r="BR19" s="989">
        <f t="shared" si="46"/>
        <v>5.6250000000000007E-3</v>
      </c>
      <c r="BS19" s="989">
        <f t="shared" si="47"/>
        <v>6.1359218750000013E-5</v>
      </c>
      <c r="BT19" s="989" t="str">
        <f t="shared" si="48"/>
        <v>C2</v>
      </c>
      <c r="BU19" s="988">
        <f t="shared" si="49"/>
        <v>4.8113999999999999</v>
      </c>
      <c r="BV19" s="988" t="str">
        <f t="shared" si="50"/>
        <v/>
      </c>
      <c r="BW19" s="988" t="str">
        <f t="shared" si="51"/>
        <v/>
      </c>
      <c r="BX19" s="988"/>
      <c r="BY19" s="987" t="s">
        <v>387</v>
      </c>
      <c r="BZ19" s="987">
        <f t="shared" si="52"/>
        <v>19.2</v>
      </c>
      <c r="CA19" s="1004">
        <f t="shared" si="53"/>
        <v>0</v>
      </c>
      <c r="CB19" s="1004">
        <f t="shared" si="54"/>
        <v>0</v>
      </c>
      <c r="CC19" s="1004">
        <f t="shared" si="55"/>
        <v>0</v>
      </c>
      <c r="CD19" s="1004">
        <f t="shared" si="56"/>
        <v>0</v>
      </c>
      <c r="CE19" s="1004">
        <f t="shared" si="57"/>
        <v>0</v>
      </c>
      <c r="CF19" s="1004">
        <f t="shared" si="58"/>
        <v>0</v>
      </c>
      <c r="CG19" s="1004">
        <f t="shared" si="59"/>
        <v>0</v>
      </c>
      <c r="CH19" s="1004">
        <f t="shared" si="60"/>
        <v>0</v>
      </c>
      <c r="CI19" s="1004">
        <f t="shared" si="61"/>
        <v>0</v>
      </c>
      <c r="CJ19" s="1004">
        <f t="shared" si="62"/>
        <v>0</v>
      </c>
      <c r="CK19" s="1004">
        <f t="shared" si="63"/>
        <v>0</v>
      </c>
      <c r="CL19" s="1004">
        <f t="shared" si="64"/>
        <v>0</v>
      </c>
      <c r="CM19" s="986">
        <v>18.18</v>
      </c>
    </row>
    <row r="20" spans="1:91" s="953" customFormat="1" ht="12.75">
      <c r="A20" s="1003" t="s">
        <v>412</v>
      </c>
      <c r="B20" s="1102" t="s">
        <v>141</v>
      </c>
      <c r="C20" s="1102" t="s">
        <v>142</v>
      </c>
      <c r="D20" s="1007">
        <f>3*2</f>
        <v>6</v>
      </c>
      <c r="E20" s="1001">
        <v>0.01</v>
      </c>
      <c r="F20" s="1006">
        <v>18.18</v>
      </c>
      <c r="G20" s="1006"/>
      <c r="H20" s="1006"/>
      <c r="I20" s="1006"/>
      <c r="J20" s="1006"/>
      <c r="K20" s="1000">
        <f t="shared" si="0"/>
        <v>1</v>
      </c>
      <c r="L20" s="989">
        <f t="shared" si="1"/>
        <v>6</v>
      </c>
      <c r="M20" s="989">
        <f t="shared" si="2"/>
        <v>0.6</v>
      </c>
      <c r="N20" s="999" t="s">
        <v>443</v>
      </c>
      <c r="O20" s="998" t="str">
        <f t="shared" si="3"/>
        <v>N</v>
      </c>
      <c r="P20" s="998" t="str">
        <f t="shared" si="4"/>
        <v>N</v>
      </c>
      <c r="Q20" s="998" t="str">
        <f t="shared" si="5"/>
        <v>S</v>
      </c>
      <c r="R20" s="998" t="str">
        <f t="shared" si="6"/>
        <v>N</v>
      </c>
      <c r="S20" s="989">
        <f t="shared" si="7"/>
        <v>0</v>
      </c>
      <c r="T20" s="989">
        <f t="shared" si="8"/>
        <v>0</v>
      </c>
      <c r="U20" s="989">
        <f t="shared" si="9"/>
        <v>6</v>
      </c>
      <c r="V20" s="989">
        <f t="shared" si="10"/>
        <v>0</v>
      </c>
      <c r="W20" s="989">
        <f t="shared" si="11"/>
        <v>0</v>
      </c>
      <c r="X20" s="989">
        <f t="shared" si="12"/>
        <v>0</v>
      </c>
      <c r="Y20" s="989">
        <f t="shared" si="13"/>
        <v>0.96000000000000019</v>
      </c>
      <c r="Z20" s="989">
        <f t="shared" si="14"/>
        <v>1.1000000000000001</v>
      </c>
      <c r="AA20" s="994">
        <f t="shared" si="15"/>
        <v>60</v>
      </c>
      <c r="AB20" s="989">
        <f t="shared" si="16"/>
        <v>1.9245599999999998</v>
      </c>
      <c r="AC20" s="989" t="str">
        <f>IF(BV20="","",(BV20*AA20/100)*#REF!)</f>
        <v/>
      </c>
      <c r="AD20" s="989" t="str">
        <f>IF(BW20="","",(BW20*AA20/100)*#REF!)</f>
        <v/>
      </c>
      <c r="AE20" s="988">
        <f t="shared" si="17"/>
        <v>1.28304</v>
      </c>
      <c r="AF20" s="988" t="str">
        <f>IF(BV20="","",(BV20*#REF!)-AC20)</f>
        <v/>
      </c>
      <c r="AG20" s="988" t="str">
        <f>IF(BW20="","",(BW20*#REF!)-AD20)</f>
        <v/>
      </c>
      <c r="AH20" s="988">
        <f t="shared" si="18"/>
        <v>3.2399999999999998E-2</v>
      </c>
      <c r="AI20" s="988" t="str">
        <f t="shared" si="19"/>
        <v>N</v>
      </c>
      <c r="AJ20" s="989">
        <f t="shared" si="20"/>
        <v>0</v>
      </c>
      <c r="AK20" s="989">
        <f t="shared" si="21"/>
        <v>0</v>
      </c>
      <c r="AL20" s="989">
        <f t="shared" si="22"/>
        <v>0</v>
      </c>
      <c r="AM20" s="987" t="s">
        <v>444</v>
      </c>
      <c r="AN20" s="989">
        <f t="shared" si="23"/>
        <v>0</v>
      </c>
      <c r="AO20" s="997">
        <v>15</v>
      </c>
      <c r="AP20" s="989">
        <f t="shared" si="24"/>
        <v>6</v>
      </c>
      <c r="AQ20" s="989">
        <v>0</v>
      </c>
      <c r="AR20" s="989">
        <v>1.5378000000000001</v>
      </c>
      <c r="AS20" s="995">
        <f t="shared" si="25"/>
        <v>0.1851944161680599</v>
      </c>
      <c r="AT20" s="989">
        <f t="shared" si="26"/>
        <v>1.1111664970083595</v>
      </c>
      <c r="AU20" s="989">
        <f t="shared" si="27"/>
        <v>1.44</v>
      </c>
      <c r="AV20" s="994">
        <f t="shared" si="28"/>
        <v>80</v>
      </c>
      <c r="AW20" s="989">
        <f t="shared" si="29"/>
        <v>0.68727600000000011</v>
      </c>
      <c r="AX20" s="989">
        <f t="shared" si="30"/>
        <v>0</v>
      </c>
      <c r="AY20" s="989">
        <f t="shared" si="31"/>
        <v>0.54982080000000022</v>
      </c>
      <c r="AZ20" s="989">
        <f t="shared" si="32"/>
        <v>0.13745519999999989</v>
      </c>
      <c r="BA20" s="993">
        <f t="shared" si="33"/>
        <v>1.5575029916404966E-3</v>
      </c>
      <c r="BB20" s="989">
        <f t="shared" si="34"/>
        <v>2.6901791999999993</v>
      </c>
      <c r="BC20" s="992">
        <f t="shared" si="35"/>
        <v>0.41249999999999998</v>
      </c>
      <c r="BD20" s="992">
        <v>0.6</v>
      </c>
      <c r="BE20" s="992">
        <v>0.4</v>
      </c>
      <c r="BF20" s="992">
        <v>0.1</v>
      </c>
      <c r="BG20" s="992">
        <v>1.2500000000000001E-2</v>
      </c>
      <c r="BH20" s="989">
        <f t="shared" si="36"/>
        <v>0</v>
      </c>
      <c r="BI20" s="988">
        <f t="shared" si="37"/>
        <v>1.1000000000000001</v>
      </c>
      <c r="BJ20" s="989">
        <f t="shared" si="38"/>
        <v>0</v>
      </c>
      <c r="BK20" s="989">
        <f t="shared" si="39"/>
        <v>0</v>
      </c>
      <c r="BL20" s="989">
        <f t="shared" si="40"/>
        <v>3.2399999999999998</v>
      </c>
      <c r="BM20" s="989" t="str">
        <f t="shared" si="41"/>
        <v/>
      </c>
      <c r="BN20" s="989" t="str">
        <f t="shared" si="42"/>
        <v/>
      </c>
      <c r="BO20" s="991">
        <f t="shared" si="43"/>
        <v>3.2399999999999998</v>
      </c>
      <c r="BP20" s="989">
        <f t="shared" si="44"/>
        <v>0</v>
      </c>
      <c r="BQ20" s="990">
        <f t="shared" si="45"/>
        <v>6.3750000000000001E-2</v>
      </c>
      <c r="BR20" s="989">
        <f t="shared" si="46"/>
        <v>5.6250000000000007E-3</v>
      </c>
      <c r="BS20" s="989">
        <f t="shared" si="47"/>
        <v>6.1359218750000013E-5</v>
      </c>
      <c r="BT20" s="989" t="str">
        <f t="shared" si="48"/>
        <v>C2</v>
      </c>
      <c r="BU20" s="988">
        <f t="shared" si="49"/>
        <v>3.2075999999999998</v>
      </c>
      <c r="BV20" s="988" t="str">
        <f t="shared" si="50"/>
        <v/>
      </c>
      <c r="BW20" s="988" t="str">
        <f t="shared" si="51"/>
        <v/>
      </c>
      <c r="BX20" s="988"/>
      <c r="BY20" s="987" t="s">
        <v>387</v>
      </c>
      <c r="BZ20" s="987">
        <f t="shared" si="52"/>
        <v>13.2</v>
      </c>
      <c r="CA20" s="1004">
        <f t="shared" si="53"/>
        <v>0</v>
      </c>
      <c r="CB20" s="1004">
        <f t="shared" si="54"/>
        <v>0</v>
      </c>
      <c r="CC20" s="1004">
        <f t="shared" si="55"/>
        <v>0</v>
      </c>
      <c r="CD20" s="1004">
        <f t="shared" si="56"/>
        <v>0</v>
      </c>
      <c r="CE20" s="1004">
        <f t="shared" si="57"/>
        <v>0</v>
      </c>
      <c r="CF20" s="1004">
        <f t="shared" si="58"/>
        <v>0</v>
      </c>
      <c r="CG20" s="1004">
        <f t="shared" si="59"/>
        <v>0</v>
      </c>
      <c r="CH20" s="1004">
        <f t="shared" si="60"/>
        <v>0</v>
      </c>
      <c r="CI20" s="1004">
        <f t="shared" si="61"/>
        <v>0</v>
      </c>
      <c r="CJ20" s="1004">
        <f t="shared" si="62"/>
        <v>0</v>
      </c>
      <c r="CK20" s="1004">
        <f t="shared" si="63"/>
        <v>0</v>
      </c>
      <c r="CL20" s="1004">
        <f t="shared" si="64"/>
        <v>0</v>
      </c>
      <c r="CM20" s="986">
        <v>18.18</v>
      </c>
    </row>
    <row r="21" spans="1:91" s="953" customFormat="1" ht="12.75">
      <c r="A21" s="1003" t="s">
        <v>413</v>
      </c>
      <c r="B21" s="1102" t="s">
        <v>142</v>
      </c>
      <c r="C21" s="1102" t="s">
        <v>143</v>
      </c>
      <c r="D21" s="1007">
        <f>3*26</f>
        <v>78</v>
      </c>
      <c r="E21" s="1001">
        <v>0.01</v>
      </c>
      <c r="F21" s="1006">
        <v>18.18</v>
      </c>
      <c r="G21" s="1006"/>
      <c r="H21" s="1006"/>
      <c r="I21" s="1006"/>
      <c r="J21" s="1006"/>
      <c r="K21" s="1000">
        <f t="shared" si="0"/>
        <v>1</v>
      </c>
      <c r="L21" s="989">
        <f t="shared" si="1"/>
        <v>78</v>
      </c>
      <c r="M21" s="989">
        <f t="shared" si="2"/>
        <v>0.6</v>
      </c>
      <c r="N21" s="999" t="s">
        <v>443</v>
      </c>
      <c r="O21" s="998" t="str">
        <f t="shared" si="3"/>
        <v>N</v>
      </c>
      <c r="P21" s="998" t="str">
        <f t="shared" si="4"/>
        <v>N</v>
      </c>
      <c r="Q21" s="998" t="str">
        <f t="shared" si="5"/>
        <v>S</v>
      </c>
      <c r="R21" s="998" t="str">
        <f t="shared" si="6"/>
        <v>N</v>
      </c>
      <c r="S21" s="989">
        <f t="shared" si="7"/>
        <v>0</v>
      </c>
      <c r="T21" s="989">
        <f t="shared" si="8"/>
        <v>0</v>
      </c>
      <c r="U21" s="989">
        <f t="shared" si="9"/>
        <v>78</v>
      </c>
      <c r="V21" s="989">
        <f t="shared" si="10"/>
        <v>0</v>
      </c>
      <c r="W21" s="989">
        <f t="shared" si="11"/>
        <v>0</v>
      </c>
      <c r="X21" s="989">
        <f t="shared" si="12"/>
        <v>0</v>
      </c>
      <c r="Y21" s="989">
        <f t="shared" si="13"/>
        <v>12.480000000000002</v>
      </c>
      <c r="Z21" s="989">
        <f t="shared" si="14"/>
        <v>1.1000000000000001</v>
      </c>
      <c r="AA21" s="994">
        <f t="shared" si="15"/>
        <v>60</v>
      </c>
      <c r="AB21" s="989">
        <f t="shared" si="16"/>
        <v>25.019280000000002</v>
      </c>
      <c r="AC21" s="989" t="str">
        <f>IF(BV21="","",(BV21*AA21/100)*#REF!)</f>
        <v/>
      </c>
      <c r="AD21" s="989" t="str">
        <f>IF(BW21="","",(BW21*AA21/100)*#REF!)</f>
        <v/>
      </c>
      <c r="AE21" s="988">
        <f t="shared" si="17"/>
        <v>16.679520000000004</v>
      </c>
      <c r="AF21" s="988" t="str">
        <f>IF(BV21="","",(BV21*#REF!)-AC21)</f>
        <v/>
      </c>
      <c r="AG21" s="988" t="str">
        <f>IF(BW21="","",(BW21*#REF!)-AD21)</f>
        <v/>
      </c>
      <c r="AH21" s="988">
        <f t="shared" si="18"/>
        <v>0.42120000000000007</v>
      </c>
      <c r="AI21" s="988" t="str">
        <f t="shared" si="19"/>
        <v>N</v>
      </c>
      <c r="AJ21" s="989">
        <f t="shared" si="20"/>
        <v>0</v>
      </c>
      <c r="AK21" s="989">
        <f t="shared" si="21"/>
        <v>0</v>
      </c>
      <c r="AL21" s="989">
        <f t="shared" si="22"/>
        <v>0</v>
      </c>
      <c r="AM21" s="987" t="s">
        <v>444</v>
      </c>
      <c r="AN21" s="989">
        <f t="shared" si="23"/>
        <v>0</v>
      </c>
      <c r="AO21" s="997">
        <v>16</v>
      </c>
      <c r="AP21" s="989">
        <f t="shared" si="24"/>
        <v>78</v>
      </c>
      <c r="AQ21" s="989">
        <v>0</v>
      </c>
      <c r="AR21" s="989">
        <v>1.64032</v>
      </c>
      <c r="AS21" s="995">
        <f t="shared" si="25"/>
        <v>0.1851944161680599</v>
      </c>
      <c r="AT21" s="989">
        <f t="shared" si="26"/>
        <v>14.445164461108671</v>
      </c>
      <c r="AU21" s="989">
        <f t="shared" si="27"/>
        <v>18.72</v>
      </c>
      <c r="AV21" s="994">
        <f t="shared" si="28"/>
        <v>80</v>
      </c>
      <c r="AW21" s="989">
        <f t="shared" si="29"/>
        <v>8.9345880000000086</v>
      </c>
      <c r="AX21" s="989">
        <f t="shared" si="30"/>
        <v>0</v>
      </c>
      <c r="AY21" s="989">
        <f t="shared" si="31"/>
        <v>7.1476704000000071</v>
      </c>
      <c r="AZ21" s="989">
        <f t="shared" si="32"/>
        <v>1.7869176000000015</v>
      </c>
      <c r="BA21" s="993">
        <f t="shared" si="33"/>
        <v>2.0247538891326456E-2</v>
      </c>
      <c r="BB21" s="989">
        <f t="shared" si="34"/>
        <v>34.972329599999995</v>
      </c>
      <c r="BC21" s="992">
        <f t="shared" si="35"/>
        <v>0.41249999999999998</v>
      </c>
      <c r="BD21" s="992">
        <v>0.6</v>
      </c>
      <c r="BE21" s="992">
        <v>0.4</v>
      </c>
      <c r="BF21" s="992">
        <v>0.1</v>
      </c>
      <c r="BG21" s="992">
        <v>1.2500000000000001E-2</v>
      </c>
      <c r="BH21" s="989">
        <f t="shared" si="36"/>
        <v>0</v>
      </c>
      <c r="BI21" s="988">
        <f t="shared" si="37"/>
        <v>1.1000000000000001</v>
      </c>
      <c r="BJ21" s="989">
        <f t="shared" si="38"/>
        <v>0</v>
      </c>
      <c r="BK21" s="989">
        <f t="shared" si="39"/>
        <v>0</v>
      </c>
      <c r="BL21" s="989">
        <f t="shared" si="40"/>
        <v>42.120000000000005</v>
      </c>
      <c r="BM21" s="989" t="str">
        <f t="shared" si="41"/>
        <v/>
      </c>
      <c r="BN21" s="989" t="str">
        <f t="shared" si="42"/>
        <v/>
      </c>
      <c r="BO21" s="991">
        <f t="shared" si="43"/>
        <v>42.120000000000005</v>
      </c>
      <c r="BP21" s="989">
        <f t="shared" si="44"/>
        <v>0</v>
      </c>
      <c r="BQ21" s="990">
        <f t="shared" si="45"/>
        <v>6.3750000000000001E-2</v>
      </c>
      <c r="BR21" s="989">
        <f t="shared" si="46"/>
        <v>5.6250000000000007E-3</v>
      </c>
      <c r="BS21" s="989">
        <f t="shared" si="47"/>
        <v>6.1359218750000013E-5</v>
      </c>
      <c r="BT21" s="989" t="str">
        <f t="shared" si="48"/>
        <v>C2</v>
      </c>
      <c r="BU21" s="988">
        <f t="shared" si="49"/>
        <v>41.698800000000006</v>
      </c>
      <c r="BV21" s="988" t="str">
        <f t="shared" si="50"/>
        <v/>
      </c>
      <c r="BW21" s="988" t="str">
        <f t="shared" si="51"/>
        <v/>
      </c>
      <c r="BX21" s="988"/>
      <c r="BY21" s="987" t="s">
        <v>387</v>
      </c>
      <c r="BZ21" s="987">
        <f t="shared" si="52"/>
        <v>157.19999999999999</v>
      </c>
      <c r="CA21" s="1004">
        <f t="shared" si="53"/>
        <v>0</v>
      </c>
      <c r="CB21" s="1004">
        <f t="shared" si="54"/>
        <v>0</v>
      </c>
      <c r="CC21" s="1004">
        <f t="shared" si="55"/>
        <v>0</v>
      </c>
      <c r="CD21" s="1004">
        <f t="shared" si="56"/>
        <v>0</v>
      </c>
      <c r="CE21" s="1004">
        <f t="shared" si="57"/>
        <v>0</v>
      </c>
      <c r="CF21" s="1004">
        <f t="shared" si="58"/>
        <v>0</v>
      </c>
      <c r="CG21" s="1004">
        <f t="shared" si="59"/>
        <v>0</v>
      </c>
      <c r="CH21" s="1004">
        <f t="shared" si="60"/>
        <v>0</v>
      </c>
      <c r="CI21" s="1004">
        <f t="shared" si="61"/>
        <v>0</v>
      </c>
      <c r="CJ21" s="1004">
        <f t="shared" si="62"/>
        <v>0</v>
      </c>
      <c r="CK21" s="1004">
        <f t="shared" si="63"/>
        <v>0</v>
      </c>
      <c r="CL21" s="1004">
        <f t="shared" si="64"/>
        <v>0</v>
      </c>
      <c r="CM21" s="986">
        <v>18.18</v>
      </c>
    </row>
    <row r="22" spans="1:91" s="970" customFormat="1" ht="12.75" customHeight="1">
      <c r="A22" s="1003" t="s">
        <v>414</v>
      </c>
      <c r="B22" s="1102" t="s">
        <v>144</v>
      </c>
      <c r="C22" s="1102" t="s">
        <v>145</v>
      </c>
      <c r="D22" s="1007">
        <f>3*4</f>
        <v>12</v>
      </c>
      <c r="E22" s="1001">
        <v>0.01</v>
      </c>
      <c r="F22" s="1006">
        <v>18.18</v>
      </c>
      <c r="G22" s="1006"/>
      <c r="H22" s="1006"/>
      <c r="I22" s="1006"/>
      <c r="J22" s="1006"/>
      <c r="K22" s="1000">
        <f t="shared" si="0"/>
        <v>1</v>
      </c>
      <c r="L22" s="989">
        <f t="shared" si="1"/>
        <v>12</v>
      </c>
      <c r="M22" s="989">
        <f t="shared" si="2"/>
        <v>0.6</v>
      </c>
      <c r="N22" s="999" t="s">
        <v>443</v>
      </c>
      <c r="O22" s="998" t="str">
        <f t="shared" si="3"/>
        <v>N</v>
      </c>
      <c r="P22" s="998" t="str">
        <f t="shared" si="4"/>
        <v>N</v>
      </c>
      <c r="Q22" s="998" t="str">
        <f t="shared" si="5"/>
        <v>S</v>
      </c>
      <c r="R22" s="998" t="str">
        <f t="shared" si="6"/>
        <v>N</v>
      </c>
      <c r="S22" s="989">
        <f t="shared" si="7"/>
        <v>0</v>
      </c>
      <c r="T22" s="989">
        <f t="shared" si="8"/>
        <v>0</v>
      </c>
      <c r="U22" s="989">
        <f t="shared" si="9"/>
        <v>12</v>
      </c>
      <c r="V22" s="989">
        <f t="shared" si="10"/>
        <v>0</v>
      </c>
      <c r="W22" s="989">
        <f t="shared" si="11"/>
        <v>0</v>
      </c>
      <c r="X22" s="989">
        <f t="shared" si="12"/>
        <v>0</v>
      </c>
      <c r="Y22" s="989">
        <f t="shared" si="13"/>
        <v>1.9200000000000004</v>
      </c>
      <c r="Z22" s="989">
        <f t="shared" si="14"/>
        <v>1.1000000000000001</v>
      </c>
      <c r="AA22" s="994">
        <f t="shared" si="15"/>
        <v>60</v>
      </c>
      <c r="AB22" s="989">
        <f t="shared" si="16"/>
        <v>3.8491199999999997</v>
      </c>
      <c r="AC22" s="989"/>
      <c r="AD22" s="989"/>
      <c r="AE22" s="988">
        <f t="shared" si="17"/>
        <v>2.5660799999999999</v>
      </c>
      <c r="AF22" s="988"/>
      <c r="AG22" s="988"/>
      <c r="AH22" s="988">
        <f t="shared" si="18"/>
        <v>6.4799999999999996E-2</v>
      </c>
      <c r="AI22" s="988" t="str">
        <f t="shared" si="19"/>
        <v>N</v>
      </c>
      <c r="AJ22" s="989">
        <f t="shared" si="20"/>
        <v>0</v>
      </c>
      <c r="AK22" s="989">
        <f t="shared" si="21"/>
        <v>0</v>
      </c>
      <c r="AL22" s="989">
        <f t="shared" si="22"/>
        <v>0</v>
      </c>
      <c r="AM22" s="987" t="s">
        <v>444</v>
      </c>
      <c r="AN22" s="989">
        <f t="shared" si="23"/>
        <v>0</v>
      </c>
      <c r="AO22" s="997">
        <v>17</v>
      </c>
      <c r="AP22" s="989">
        <f t="shared" si="24"/>
        <v>12</v>
      </c>
      <c r="AQ22" s="989">
        <v>0</v>
      </c>
      <c r="AR22" s="996">
        <v>1.7428399999999999</v>
      </c>
      <c r="AS22" s="995">
        <f t="shared" si="25"/>
        <v>0.1851944161680599</v>
      </c>
      <c r="AT22" s="989">
        <f t="shared" si="26"/>
        <v>2.2223329940167189</v>
      </c>
      <c r="AU22" s="989">
        <f t="shared" si="27"/>
        <v>2.88</v>
      </c>
      <c r="AV22" s="994">
        <f t="shared" si="28"/>
        <v>80</v>
      </c>
      <c r="AW22" s="989">
        <f t="shared" si="29"/>
        <v>1.3745520000000002</v>
      </c>
      <c r="AX22" s="989">
        <f t="shared" si="30"/>
        <v>0</v>
      </c>
      <c r="AY22" s="989">
        <f t="shared" si="31"/>
        <v>1.0996416000000004</v>
      </c>
      <c r="AZ22" s="989">
        <f t="shared" si="32"/>
        <v>0.27491039999999978</v>
      </c>
      <c r="BA22" s="993">
        <f t="shared" si="33"/>
        <v>3.1150059832809932E-3</v>
      </c>
      <c r="BB22" s="989">
        <f t="shared" si="34"/>
        <v>5.3803583999999987</v>
      </c>
      <c r="BC22" s="992">
        <f t="shared" si="35"/>
        <v>0.41249999999999998</v>
      </c>
      <c r="BD22" s="992">
        <v>0.6</v>
      </c>
      <c r="BE22" s="992">
        <v>0.4</v>
      </c>
      <c r="BF22" s="992">
        <v>0.1</v>
      </c>
      <c r="BG22" s="992">
        <v>1.2500000000000001E-2</v>
      </c>
      <c r="BH22" s="989">
        <f t="shared" si="36"/>
        <v>0</v>
      </c>
      <c r="BI22" s="988">
        <f t="shared" si="37"/>
        <v>1.1000000000000001</v>
      </c>
      <c r="BJ22" s="989">
        <f t="shared" si="38"/>
        <v>0</v>
      </c>
      <c r="BK22" s="989">
        <f t="shared" si="39"/>
        <v>0</v>
      </c>
      <c r="BL22" s="989">
        <f t="shared" si="40"/>
        <v>6.4799999999999995</v>
      </c>
      <c r="BM22" s="989"/>
      <c r="BN22" s="989"/>
      <c r="BO22" s="991">
        <f t="shared" si="43"/>
        <v>6.4799999999999995</v>
      </c>
      <c r="BP22" s="989">
        <f t="shared" si="44"/>
        <v>0</v>
      </c>
      <c r="BQ22" s="990">
        <f t="shared" si="45"/>
        <v>6.3750000000000001E-2</v>
      </c>
      <c r="BR22" s="989">
        <f t="shared" si="46"/>
        <v>5.6250000000000007E-3</v>
      </c>
      <c r="BS22" s="989">
        <f t="shared" si="47"/>
        <v>6.1359218750000013E-5</v>
      </c>
      <c r="BT22" s="989" t="str">
        <f t="shared" si="48"/>
        <v>C2</v>
      </c>
      <c r="BU22" s="988">
        <f t="shared" si="49"/>
        <v>6.4151999999999996</v>
      </c>
      <c r="BV22" s="988"/>
      <c r="BW22" s="988"/>
      <c r="BX22" s="1005"/>
      <c r="BY22" s="987" t="s">
        <v>387</v>
      </c>
      <c r="BZ22" s="987">
        <f t="shared" si="52"/>
        <v>25.2</v>
      </c>
      <c r="CA22" s="1004"/>
      <c r="CB22" s="1004"/>
      <c r="CC22" s="1004"/>
      <c r="CD22" s="1004"/>
      <c r="CE22" s="1004"/>
      <c r="CF22" s="1004"/>
      <c r="CG22" s="1004"/>
      <c r="CH22" s="1004"/>
      <c r="CI22" s="1004"/>
      <c r="CJ22" s="1004"/>
      <c r="CK22" s="1004"/>
      <c r="CL22" s="1004"/>
      <c r="CM22" s="986">
        <v>18.18</v>
      </c>
    </row>
    <row r="23" spans="1:91" s="970" customFormat="1" ht="12.75" customHeight="1">
      <c r="A23" s="1003" t="s">
        <v>415</v>
      </c>
      <c r="B23" s="1102" t="s">
        <v>127</v>
      </c>
      <c r="C23" s="1102" t="s">
        <v>146</v>
      </c>
      <c r="D23" s="1002">
        <f>3*24</f>
        <v>72</v>
      </c>
      <c r="E23" s="1001">
        <v>0.01</v>
      </c>
      <c r="F23" s="1006">
        <v>18.18</v>
      </c>
      <c r="G23" s="982"/>
      <c r="H23" s="982"/>
      <c r="I23" s="982"/>
      <c r="J23" s="982"/>
      <c r="K23" s="1000">
        <f t="shared" si="0"/>
        <v>1</v>
      </c>
      <c r="L23" s="989">
        <f t="shared" si="1"/>
        <v>72</v>
      </c>
      <c r="M23" s="989">
        <f t="shared" si="2"/>
        <v>0.6</v>
      </c>
      <c r="N23" s="999" t="s">
        <v>443</v>
      </c>
      <c r="O23" s="998" t="str">
        <f t="shared" si="3"/>
        <v>N</v>
      </c>
      <c r="P23" s="998" t="str">
        <f t="shared" si="4"/>
        <v>N</v>
      </c>
      <c r="Q23" s="998" t="str">
        <f t="shared" si="5"/>
        <v>S</v>
      </c>
      <c r="R23" s="998" t="str">
        <f t="shared" si="6"/>
        <v>N</v>
      </c>
      <c r="S23" s="989">
        <f t="shared" si="7"/>
        <v>0</v>
      </c>
      <c r="T23" s="989">
        <f t="shared" si="8"/>
        <v>0</v>
      </c>
      <c r="U23" s="989">
        <f t="shared" si="9"/>
        <v>72</v>
      </c>
      <c r="V23" s="989">
        <f t="shared" si="10"/>
        <v>0</v>
      </c>
      <c r="W23" s="989">
        <f t="shared" si="11"/>
        <v>0</v>
      </c>
      <c r="X23" s="989">
        <f t="shared" si="12"/>
        <v>0</v>
      </c>
      <c r="Y23" s="989">
        <f t="shared" si="13"/>
        <v>11.520000000000001</v>
      </c>
      <c r="Z23" s="989">
        <f t="shared" si="14"/>
        <v>1.1000000000000001</v>
      </c>
      <c r="AA23" s="994">
        <f t="shared" si="15"/>
        <v>60</v>
      </c>
      <c r="AB23" s="989">
        <f t="shared" si="16"/>
        <v>23.094719999999999</v>
      </c>
      <c r="AC23" s="954"/>
      <c r="AD23" s="954"/>
      <c r="AE23" s="988">
        <f t="shared" si="17"/>
        <v>15.39648</v>
      </c>
      <c r="AF23" s="974"/>
      <c r="AG23" s="974"/>
      <c r="AH23" s="988">
        <f t="shared" si="18"/>
        <v>0.38880000000000003</v>
      </c>
      <c r="AI23" s="988" t="str">
        <f t="shared" si="19"/>
        <v>N</v>
      </c>
      <c r="AJ23" s="989">
        <f t="shared" si="20"/>
        <v>0</v>
      </c>
      <c r="AK23" s="989">
        <f t="shared" si="21"/>
        <v>0</v>
      </c>
      <c r="AL23" s="989">
        <f t="shared" si="22"/>
        <v>0</v>
      </c>
      <c r="AM23" s="987" t="s">
        <v>444</v>
      </c>
      <c r="AN23" s="989">
        <f t="shared" si="23"/>
        <v>0</v>
      </c>
      <c r="AO23" s="997">
        <v>18</v>
      </c>
      <c r="AP23" s="989">
        <f t="shared" si="24"/>
        <v>72</v>
      </c>
      <c r="AQ23" s="989">
        <v>0</v>
      </c>
      <c r="AR23" s="996">
        <v>1.8453599999999999</v>
      </c>
      <c r="AS23" s="995">
        <f t="shared" si="25"/>
        <v>0.1851944161680599</v>
      </c>
      <c r="AT23" s="989">
        <f t="shared" si="26"/>
        <v>13.333997964100313</v>
      </c>
      <c r="AU23" s="989">
        <f t="shared" si="27"/>
        <v>17.28</v>
      </c>
      <c r="AV23" s="994">
        <f t="shared" si="28"/>
        <v>80</v>
      </c>
      <c r="AW23" s="989">
        <f t="shared" si="29"/>
        <v>8.2473120000000026</v>
      </c>
      <c r="AX23" s="989">
        <f t="shared" si="30"/>
        <v>0</v>
      </c>
      <c r="AY23" s="989">
        <f t="shared" si="31"/>
        <v>6.5978496000000009</v>
      </c>
      <c r="AZ23" s="989">
        <f t="shared" si="32"/>
        <v>1.6494624000000018</v>
      </c>
      <c r="BA23" s="993">
        <f t="shared" si="33"/>
        <v>1.8690035899685958E-2</v>
      </c>
      <c r="BB23" s="989">
        <f t="shared" si="34"/>
        <v>32.282150399999999</v>
      </c>
      <c r="BC23" s="992">
        <f t="shared" si="35"/>
        <v>0.41249999999999998</v>
      </c>
      <c r="BD23" s="992">
        <v>0.6</v>
      </c>
      <c r="BE23" s="992">
        <v>0.4</v>
      </c>
      <c r="BF23" s="992">
        <v>0.1</v>
      </c>
      <c r="BG23" s="992">
        <v>1.2500000000000001E-2</v>
      </c>
      <c r="BH23" s="989">
        <f t="shared" si="36"/>
        <v>0</v>
      </c>
      <c r="BI23" s="988">
        <f t="shared" si="37"/>
        <v>1.1000000000000001</v>
      </c>
      <c r="BJ23" s="989">
        <f t="shared" si="38"/>
        <v>0</v>
      </c>
      <c r="BK23" s="989">
        <f t="shared" si="39"/>
        <v>0</v>
      </c>
      <c r="BL23" s="989">
        <f t="shared" si="40"/>
        <v>38.880000000000003</v>
      </c>
      <c r="BM23" s="954"/>
      <c r="BN23" s="954"/>
      <c r="BO23" s="991">
        <f t="shared" si="43"/>
        <v>38.880000000000003</v>
      </c>
      <c r="BP23" s="989">
        <f t="shared" si="44"/>
        <v>0</v>
      </c>
      <c r="BQ23" s="990">
        <f t="shared" si="45"/>
        <v>6.3750000000000001E-2</v>
      </c>
      <c r="BR23" s="989">
        <f t="shared" si="46"/>
        <v>5.6250000000000007E-3</v>
      </c>
      <c r="BS23" s="989">
        <f t="shared" si="47"/>
        <v>6.1359218750000013E-5</v>
      </c>
      <c r="BT23" s="989" t="str">
        <f t="shared" si="48"/>
        <v>C2</v>
      </c>
      <c r="BU23" s="988">
        <f t="shared" si="49"/>
        <v>38.491199999999999</v>
      </c>
      <c r="BV23" s="974"/>
      <c r="BW23" s="974"/>
      <c r="BX23" s="973"/>
      <c r="BY23" s="987" t="s">
        <v>387</v>
      </c>
      <c r="BZ23" s="987">
        <f t="shared" si="52"/>
        <v>145.19999999999999</v>
      </c>
      <c r="CA23" s="971"/>
      <c r="CB23" s="971"/>
      <c r="CC23" s="971"/>
      <c r="CD23" s="971"/>
      <c r="CE23" s="971"/>
      <c r="CF23" s="971"/>
      <c r="CG23" s="971"/>
      <c r="CH23" s="971"/>
      <c r="CI23" s="971"/>
      <c r="CJ23" s="971"/>
      <c r="CK23" s="971"/>
      <c r="CL23" s="971"/>
      <c r="CM23" s="986">
        <v>18.18</v>
      </c>
    </row>
    <row r="24" spans="1:91" s="970" customFormat="1" ht="12.75" customHeight="1">
      <c r="A24" s="1003" t="s">
        <v>416</v>
      </c>
      <c r="B24" s="1102" t="s">
        <v>146</v>
      </c>
      <c r="C24" s="1102" t="s">
        <v>147</v>
      </c>
      <c r="D24" s="1002">
        <f>3*5</f>
        <v>15</v>
      </c>
      <c r="E24" s="1001">
        <v>0.01</v>
      </c>
      <c r="F24" s="1006">
        <v>18.18</v>
      </c>
      <c r="G24" s="982"/>
      <c r="H24" s="982"/>
      <c r="I24" s="982"/>
      <c r="J24" s="982"/>
      <c r="K24" s="1000">
        <f t="shared" si="0"/>
        <v>1</v>
      </c>
      <c r="L24" s="989">
        <f t="shared" si="1"/>
        <v>15</v>
      </c>
      <c r="M24" s="989">
        <f t="shared" si="2"/>
        <v>0.6</v>
      </c>
      <c r="N24" s="999" t="s">
        <v>443</v>
      </c>
      <c r="O24" s="998" t="str">
        <f t="shared" si="3"/>
        <v>N</v>
      </c>
      <c r="P24" s="998" t="str">
        <f t="shared" si="4"/>
        <v>N</v>
      </c>
      <c r="Q24" s="998" t="str">
        <f t="shared" si="5"/>
        <v>S</v>
      </c>
      <c r="R24" s="998" t="str">
        <f t="shared" si="6"/>
        <v>N</v>
      </c>
      <c r="S24" s="989">
        <f t="shared" si="7"/>
        <v>0</v>
      </c>
      <c r="T24" s="989">
        <f t="shared" si="8"/>
        <v>0</v>
      </c>
      <c r="U24" s="989">
        <f t="shared" si="9"/>
        <v>15</v>
      </c>
      <c r="V24" s="989">
        <f t="shared" si="10"/>
        <v>0</v>
      </c>
      <c r="W24" s="989">
        <f t="shared" si="11"/>
        <v>0</v>
      </c>
      <c r="X24" s="989">
        <f t="shared" si="12"/>
        <v>0</v>
      </c>
      <c r="Y24" s="989">
        <f t="shared" si="13"/>
        <v>2.4000000000000004</v>
      </c>
      <c r="Z24" s="989">
        <f t="shared" si="14"/>
        <v>1.1000000000000001</v>
      </c>
      <c r="AA24" s="994">
        <f t="shared" si="15"/>
        <v>60</v>
      </c>
      <c r="AB24" s="989">
        <f t="shared" si="16"/>
        <v>4.8114000000000008</v>
      </c>
      <c r="AC24" s="954"/>
      <c r="AD24" s="954"/>
      <c r="AE24" s="988">
        <f t="shared" si="17"/>
        <v>3.2076000000000011</v>
      </c>
      <c r="AF24" s="974"/>
      <c r="AG24" s="974"/>
      <c r="AH24" s="988">
        <f t="shared" si="18"/>
        <v>8.1000000000000016E-2</v>
      </c>
      <c r="AI24" s="988" t="str">
        <f t="shared" si="19"/>
        <v>N</v>
      </c>
      <c r="AJ24" s="989">
        <f t="shared" si="20"/>
        <v>0</v>
      </c>
      <c r="AK24" s="989">
        <f t="shared" si="21"/>
        <v>0</v>
      </c>
      <c r="AL24" s="989">
        <f t="shared" si="22"/>
        <v>0</v>
      </c>
      <c r="AM24" s="987" t="s">
        <v>444</v>
      </c>
      <c r="AN24" s="989">
        <f t="shared" si="23"/>
        <v>0</v>
      </c>
      <c r="AO24" s="997">
        <v>19</v>
      </c>
      <c r="AP24" s="989">
        <f t="shared" si="24"/>
        <v>15</v>
      </c>
      <c r="AQ24" s="989">
        <v>0</v>
      </c>
      <c r="AR24" s="996">
        <v>1.9478800000000001</v>
      </c>
      <c r="AS24" s="995">
        <f t="shared" si="25"/>
        <v>0.1851944161680599</v>
      </c>
      <c r="AT24" s="989">
        <f t="shared" si="26"/>
        <v>2.7779162425208983</v>
      </c>
      <c r="AU24" s="989">
        <f t="shared" si="27"/>
        <v>3.5999999999999996</v>
      </c>
      <c r="AV24" s="994">
        <f t="shared" si="28"/>
        <v>80</v>
      </c>
      <c r="AW24" s="989">
        <f t="shared" si="29"/>
        <v>1.7181900000000019</v>
      </c>
      <c r="AX24" s="989">
        <f t="shared" si="30"/>
        <v>0</v>
      </c>
      <c r="AY24" s="989">
        <f t="shared" si="31"/>
        <v>1.3745520000000013</v>
      </c>
      <c r="AZ24" s="989">
        <f t="shared" si="32"/>
        <v>0.34363800000000055</v>
      </c>
      <c r="BA24" s="993">
        <f t="shared" si="33"/>
        <v>3.8937574791012412E-3</v>
      </c>
      <c r="BB24" s="989">
        <f t="shared" si="34"/>
        <v>6.7254480000000001</v>
      </c>
      <c r="BC24" s="992">
        <f t="shared" si="35"/>
        <v>0.41249999999999998</v>
      </c>
      <c r="BD24" s="992">
        <v>0.6</v>
      </c>
      <c r="BE24" s="992">
        <v>0.4</v>
      </c>
      <c r="BF24" s="992">
        <v>0.1</v>
      </c>
      <c r="BG24" s="992">
        <v>1.2500000000000001E-2</v>
      </c>
      <c r="BH24" s="989">
        <f t="shared" si="36"/>
        <v>0</v>
      </c>
      <c r="BI24" s="988">
        <f t="shared" si="37"/>
        <v>1.1000000000000001</v>
      </c>
      <c r="BJ24" s="989">
        <f t="shared" si="38"/>
        <v>0</v>
      </c>
      <c r="BK24" s="989">
        <f t="shared" si="39"/>
        <v>0</v>
      </c>
      <c r="BL24" s="989">
        <f t="shared" si="40"/>
        <v>8.1000000000000014</v>
      </c>
      <c r="BM24" s="954"/>
      <c r="BN24" s="954"/>
      <c r="BO24" s="991">
        <f t="shared" si="43"/>
        <v>8.1000000000000014</v>
      </c>
      <c r="BP24" s="989">
        <f t="shared" si="44"/>
        <v>0</v>
      </c>
      <c r="BQ24" s="990">
        <f t="shared" si="45"/>
        <v>6.3750000000000001E-2</v>
      </c>
      <c r="BR24" s="989">
        <f t="shared" si="46"/>
        <v>5.6250000000000007E-3</v>
      </c>
      <c r="BS24" s="989">
        <f t="shared" si="47"/>
        <v>6.1359218750000013E-5</v>
      </c>
      <c r="BT24" s="989" t="str">
        <f t="shared" si="48"/>
        <v>C2</v>
      </c>
      <c r="BU24" s="988">
        <f t="shared" si="49"/>
        <v>8.0190000000000019</v>
      </c>
      <c r="BV24" s="974"/>
      <c r="BW24" s="974"/>
      <c r="BX24" s="973"/>
      <c r="BY24" s="987" t="s">
        <v>387</v>
      </c>
      <c r="BZ24" s="987">
        <f t="shared" si="52"/>
        <v>31.2</v>
      </c>
      <c r="CA24" s="971"/>
      <c r="CB24" s="971"/>
      <c r="CC24" s="971"/>
      <c r="CD24" s="971"/>
      <c r="CE24" s="971"/>
      <c r="CF24" s="971"/>
      <c r="CG24" s="971"/>
      <c r="CH24" s="971"/>
      <c r="CI24" s="971"/>
      <c r="CJ24" s="971"/>
      <c r="CK24" s="971"/>
      <c r="CL24" s="971"/>
      <c r="CM24" s="986">
        <v>18.18</v>
      </c>
    </row>
    <row r="25" spans="1:91" s="970" customFormat="1" ht="12.75" customHeight="1">
      <c r="A25" s="1003" t="s">
        <v>417</v>
      </c>
      <c r="B25" s="1102" t="s">
        <v>148</v>
      </c>
      <c r="C25" s="1102" t="s">
        <v>149</v>
      </c>
      <c r="D25" s="1002">
        <f>3*5</f>
        <v>15</v>
      </c>
      <c r="E25" s="1001">
        <v>0.01</v>
      </c>
      <c r="F25" s="1006">
        <v>18.18</v>
      </c>
      <c r="G25" s="982"/>
      <c r="H25" s="982"/>
      <c r="I25" s="982"/>
      <c r="J25" s="982"/>
      <c r="K25" s="1000">
        <f t="shared" si="0"/>
        <v>1</v>
      </c>
      <c r="L25" s="989">
        <f t="shared" si="1"/>
        <v>15</v>
      </c>
      <c r="M25" s="989">
        <f t="shared" si="2"/>
        <v>0.6</v>
      </c>
      <c r="N25" s="999" t="s">
        <v>443</v>
      </c>
      <c r="O25" s="998" t="str">
        <f t="shared" si="3"/>
        <v>N</v>
      </c>
      <c r="P25" s="998" t="str">
        <f t="shared" si="4"/>
        <v>N</v>
      </c>
      <c r="Q25" s="998" t="str">
        <f t="shared" si="5"/>
        <v>S</v>
      </c>
      <c r="R25" s="998" t="str">
        <f t="shared" si="6"/>
        <v>N</v>
      </c>
      <c r="S25" s="989">
        <f t="shared" si="7"/>
        <v>0</v>
      </c>
      <c r="T25" s="989">
        <f t="shared" si="8"/>
        <v>0</v>
      </c>
      <c r="U25" s="989">
        <f t="shared" si="9"/>
        <v>15</v>
      </c>
      <c r="V25" s="989">
        <f t="shared" si="10"/>
        <v>0</v>
      </c>
      <c r="W25" s="989">
        <f t="shared" si="11"/>
        <v>0</v>
      </c>
      <c r="X25" s="989">
        <f t="shared" si="12"/>
        <v>0</v>
      </c>
      <c r="Y25" s="989">
        <f t="shared" si="13"/>
        <v>2.4000000000000004</v>
      </c>
      <c r="Z25" s="989">
        <f t="shared" si="14"/>
        <v>1.1000000000000001</v>
      </c>
      <c r="AA25" s="994">
        <f t="shared" si="15"/>
        <v>60</v>
      </c>
      <c r="AB25" s="989">
        <f t="shared" si="16"/>
        <v>4.8114000000000008</v>
      </c>
      <c r="AC25" s="954"/>
      <c r="AD25" s="954"/>
      <c r="AE25" s="988">
        <f t="shared" si="17"/>
        <v>3.2076000000000011</v>
      </c>
      <c r="AF25" s="974"/>
      <c r="AG25" s="974"/>
      <c r="AH25" s="988">
        <f t="shared" si="18"/>
        <v>8.1000000000000016E-2</v>
      </c>
      <c r="AI25" s="988" t="str">
        <f t="shared" si="19"/>
        <v>N</v>
      </c>
      <c r="AJ25" s="989">
        <f t="shared" si="20"/>
        <v>0</v>
      </c>
      <c r="AK25" s="989">
        <f t="shared" si="21"/>
        <v>0</v>
      </c>
      <c r="AL25" s="989">
        <f t="shared" si="22"/>
        <v>0</v>
      </c>
      <c r="AM25" s="987" t="s">
        <v>444</v>
      </c>
      <c r="AN25" s="989">
        <f t="shared" si="23"/>
        <v>0</v>
      </c>
      <c r="AO25" s="997">
        <v>20</v>
      </c>
      <c r="AP25" s="989">
        <f t="shared" si="24"/>
        <v>15</v>
      </c>
      <c r="AQ25" s="989">
        <v>0</v>
      </c>
      <c r="AR25" s="996">
        <v>2.0503999999999998</v>
      </c>
      <c r="AS25" s="995">
        <f t="shared" si="25"/>
        <v>0.1851944161680599</v>
      </c>
      <c r="AT25" s="989">
        <f t="shared" si="26"/>
        <v>2.7779162425208983</v>
      </c>
      <c r="AU25" s="989">
        <f t="shared" si="27"/>
        <v>3.5999999999999996</v>
      </c>
      <c r="AV25" s="994">
        <f t="shared" si="28"/>
        <v>80</v>
      </c>
      <c r="AW25" s="989">
        <f t="shared" si="29"/>
        <v>1.7181900000000019</v>
      </c>
      <c r="AX25" s="989">
        <f t="shared" si="30"/>
        <v>0</v>
      </c>
      <c r="AY25" s="989">
        <f t="shared" si="31"/>
        <v>1.3745520000000013</v>
      </c>
      <c r="AZ25" s="989">
        <f t="shared" si="32"/>
        <v>0.34363800000000055</v>
      </c>
      <c r="BA25" s="993">
        <f t="shared" si="33"/>
        <v>3.8937574791012412E-3</v>
      </c>
      <c r="BB25" s="989">
        <f t="shared" si="34"/>
        <v>6.7254480000000001</v>
      </c>
      <c r="BC25" s="992">
        <f t="shared" si="35"/>
        <v>0.41249999999999998</v>
      </c>
      <c r="BD25" s="992">
        <v>0.6</v>
      </c>
      <c r="BE25" s="992">
        <v>0.4</v>
      </c>
      <c r="BF25" s="992">
        <v>0.1</v>
      </c>
      <c r="BG25" s="992">
        <v>1.2500000000000001E-2</v>
      </c>
      <c r="BH25" s="989">
        <f t="shared" si="36"/>
        <v>0</v>
      </c>
      <c r="BI25" s="988">
        <f t="shared" si="37"/>
        <v>1.1000000000000001</v>
      </c>
      <c r="BJ25" s="989">
        <f t="shared" si="38"/>
        <v>0</v>
      </c>
      <c r="BK25" s="989">
        <f t="shared" si="39"/>
        <v>0</v>
      </c>
      <c r="BL25" s="989">
        <f t="shared" si="40"/>
        <v>8.1000000000000014</v>
      </c>
      <c r="BM25" s="954"/>
      <c r="BN25" s="954"/>
      <c r="BO25" s="991">
        <f t="shared" si="43"/>
        <v>8.1000000000000014</v>
      </c>
      <c r="BP25" s="989">
        <f t="shared" si="44"/>
        <v>0</v>
      </c>
      <c r="BQ25" s="990">
        <f t="shared" si="45"/>
        <v>6.3750000000000001E-2</v>
      </c>
      <c r="BR25" s="989">
        <f t="shared" si="46"/>
        <v>5.6250000000000007E-3</v>
      </c>
      <c r="BS25" s="989">
        <f t="shared" si="47"/>
        <v>6.1359218750000013E-5</v>
      </c>
      <c r="BT25" s="989" t="str">
        <f t="shared" si="48"/>
        <v>C2</v>
      </c>
      <c r="BU25" s="988">
        <f t="shared" si="49"/>
        <v>8.0190000000000019</v>
      </c>
      <c r="BV25" s="974"/>
      <c r="BW25" s="974"/>
      <c r="BX25" s="973"/>
      <c r="BY25" s="987" t="s">
        <v>387</v>
      </c>
      <c r="BZ25" s="987">
        <f t="shared" si="52"/>
        <v>31.2</v>
      </c>
      <c r="CA25" s="971"/>
      <c r="CB25" s="971"/>
      <c r="CC25" s="971"/>
      <c r="CD25" s="971"/>
      <c r="CE25" s="971"/>
      <c r="CF25" s="971"/>
      <c r="CG25" s="971"/>
      <c r="CH25" s="971"/>
      <c r="CI25" s="971"/>
      <c r="CJ25" s="971"/>
      <c r="CK25" s="971"/>
      <c r="CL25" s="971"/>
      <c r="CM25" s="986">
        <v>18.18</v>
      </c>
    </row>
    <row r="26" spans="1:91" s="970" customFormat="1" ht="12.75" customHeight="1">
      <c r="A26" s="1003" t="s">
        <v>418</v>
      </c>
      <c r="B26" s="1102" t="s">
        <v>149</v>
      </c>
      <c r="C26" s="1102" t="s">
        <v>150</v>
      </c>
      <c r="D26" s="1002">
        <f>3*20</f>
        <v>60</v>
      </c>
      <c r="E26" s="1001">
        <v>0.01</v>
      </c>
      <c r="F26" s="1006">
        <v>18.18</v>
      </c>
      <c r="G26" s="982"/>
      <c r="H26" s="982"/>
      <c r="I26" s="982"/>
      <c r="J26" s="982"/>
      <c r="K26" s="1000">
        <f t="shared" si="0"/>
        <v>1</v>
      </c>
      <c r="L26" s="989">
        <f t="shared" si="1"/>
        <v>60</v>
      </c>
      <c r="M26" s="989">
        <f t="shared" si="2"/>
        <v>0.6</v>
      </c>
      <c r="N26" s="999" t="s">
        <v>443</v>
      </c>
      <c r="O26" s="998" t="str">
        <f t="shared" si="3"/>
        <v>N</v>
      </c>
      <c r="P26" s="998" t="str">
        <f t="shared" si="4"/>
        <v>N</v>
      </c>
      <c r="Q26" s="998" t="str">
        <f t="shared" si="5"/>
        <v>S</v>
      </c>
      <c r="R26" s="998" t="str">
        <f t="shared" si="6"/>
        <v>N</v>
      </c>
      <c r="S26" s="989">
        <f t="shared" si="7"/>
        <v>0</v>
      </c>
      <c r="T26" s="989">
        <f t="shared" si="8"/>
        <v>0</v>
      </c>
      <c r="U26" s="989">
        <f t="shared" si="9"/>
        <v>60</v>
      </c>
      <c r="V26" s="989">
        <f t="shared" si="10"/>
        <v>0</v>
      </c>
      <c r="W26" s="989">
        <f t="shared" si="11"/>
        <v>0</v>
      </c>
      <c r="X26" s="989">
        <f t="shared" si="12"/>
        <v>0</v>
      </c>
      <c r="Y26" s="989">
        <f t="shared" si="13"/>
        <v>9.6000000000000014</v>
      </c>
      <c r="Z26" s="989">
        <f t="shared" si="14"/>
        <v>1.1000000000000001</v>
      </c>
      <c r="AA26" s="994">
        <f t="shared" si="15"/>
        <v>60</v>
      </c>
      <c r="AB26" s="989">
        <f t="shared" si="16"/>
        <v>19.245600000000003</v>
      </c>
      <c r="AC26" s="954"/>
      <c r="AD26" s="954"/>
      <c r="AE26" s="988">
        <f t="shared" si="17"/>
        <v>12.830400000000004</v>
      </c>
      <c r="AF26" s="974"/>
      <c r="AG26" s="974"/>
      <c r="AH26" s="988">
        <f t="shared" si="18"/>
        <v>0.32400000000000007</v>
      </c>
      <c r="AI26" s="988" t="str">
        <f t="shared" si="19"/>
        <v>N</v>
      </c>
      <c r="AJ26" s="989">
        <f t="shared" si="20"/>
        <v>0</v>
      </c>
      <c r="AK26" s="989">
        <f t="shared" si="21"/>
        <v>0</v>
      </c>
      <c r="AL26" s="989">
        <f t="shared" si="22"/>
        <v>0</v>
      </c>
      <c r="AM26" s="987" t="s">
        <v>444</v>
      </c>
      <c r="AN26" s="989">
        <f t="shared" si="23"/>
        <v>0</v>
      </c>
      <c r="AO26" s="997">
        <v>21</v>
      </c>
      <c r="AP26" s="989">
        <f t="shared" si="24"/>
        <v>60</v>
      </c>
      <c r="AQ26" s="989">
        <v>0</v>
      </c>
      <c r="AR26" s="996">
        <v>2.1529199999999999</v>
      </c>
      <c r="AS26" s="995">
        <f t="shared" si="25"/>
        <v>0.1851944161680599</v>
      </c>
      <c r="AT26" s="989">
        <f t="shared" si="26"/>
        <v>11.111664970083593</v>
      </c>
      <c r="AU26" s="989">
        <f t="shared" si="27"/>
        <v>14.399999999999999</v>
      </c>
      <c r="AV26" s="994">
        <f t="shared" si="28"/>
        <v>80</v>
      </c>
      <c r="AW26" s="989">
        <f t="shared" si="29"/>
        <v>6.8727600000000075</v>
      </c>
      <c r="AX26" s="989">
        <f t="shared" si="30"/>
        <v>0</v>
      </c>
      <c r="AY26" s="989">
        <f t="shared" si="31"/>
        <v>5.4982080000000053</v>
      </c>
      <c r="AZ26" s="989">
        <f t="shared" si="32"/>
        <v>1.3745520000000022</v>
      </c>
      <c r="BA26" s="993">
        <f t="shared" si="33"/>
        <v>1.5575029916404965E-2</v>
      </c>
      <c r="BB26" s="989">
        <f t="shared" si="34"/>
        <v>26.901792</v>
      </c>
      <c r="BC26" s="992">
        <f t="shared" si="35"/>
        <v>0.41249999999999998</v>
      </c>
      <c r="BD26" s="992">
        <v>0.6</v>
      </c>
      <c r="BE26" s="992">
        <v>0.4</v>
      </c>
      <c r="BF26" s="992">
        <v>0.1</v>
      </c>
      <c r="BG26" s="992">
        <v>1.2500000000000001E-2</v>
      </c>
      <c r="BH26" s="989">
        <f t="shared" si="36"/>
        <v>0</v>
      </c>
      <c r="BI26" s="988">
        <f t="shared" si="37"/>
        <v>1.1000000000000001</v>
      </c>
      <c r="BJ26" s="989">
        <f t="shared" si="38"/>
        <v>0</v>
      </c>
      <c r="BK26" s="989">
        <f t="shared" si="39"/>
        <v>0</v>
      </c>
      <c r="BL26" s="989">
        <f t="shared" si="40"/>
        <v>32.400000000000006</v>
      </c>
      <c r="BM26" s="954"/>
      <c r="BN26" s="954"/>
      <c r="BO26" s="991">
        <f t="shared" si="43"/>
        <v>32.400000000000006</v>
      </c>
      <c r="BP26" s="989">
        <f t="shared" si="44"/>
        <v>0</v>
      </c>
      <c r="BQ26" s="990">
        <f t="shared" si="45"/>
        <v>6.3750000000000001E-2</v>
      </c>
      <c r="BR26" s="989">
        <f t="shared" si="46"/>
        <v>5.6250000000000007E-3</v>
      </c>
      <c r="BS26" s="989">
        <f t="shared" si="47"/>
        <v>6.1359218750000013E-5</v>
      </c>
      <c r="BT26" s="989" t="str">
        <f t="shared" si="48"/>
        <v>C2</v>
      </c>
      <c r="BU26" s="988">
        <f t="shared" si="49"/>
        <v>32.076000000000008</v>
      </c>
      <c r="BV26" s="974"/>
      <c r="BW26" s="974"/>
      <c r="BX26" s="973"/>
      <c r="BY26" s="987" t="s">
        <v>387</v>
      </c>
      <c r="BZ26" s="987">
        <f t="shared" si="52"/>
        <v>121.2</v>
      </c>
      <c r="CA26" s="971"/>
      <c r="CB26" s="971"/>
      <c r="CC26" s="971"/>
      <c r="CD26" s="971"/>
      <c r="CE26" s="971"/>
      <c r="CF26" s="971"/>
      <c r="CG26" s="971"/>
      <c r="CH26" s="971"/>
      <c r="CI26" s="971"/>
      <c r="CJ26" s="971"/>
      <c r="CK26" s="971"/>
      <c r="CL26" s="971"/>
      <c r="CM26" s="986">
        <v>18.18</v>
      </c>
    </row>
    <row r="27" spans="1:91" s="970" customFormat="1" ht="12.75" customHeight="1">
      <c r="A27" s="1003" t="s">
        <v>419</v>
      </c>
      <c r="B27" s="1102" t="s">
        <v>151</v>
      </c>
      <c r="C27" s="1102" t="s">
        <v>152</v>
      </c>
      <c r="D27" s="1002">
        <f>3*4</f>
        <v>12</v>
      </c>
      <c r="E27" s="1001">
        <v>0.01</v>
      </c>
      <c r="F27" s="1006">
        <v>18.18</v>
      </c>
      <c r="G27" s="982"/>
      <c r="H27" s="982"/>
      <c r="I27" s="982"/>
      <c r="J27" s="982"/>
      <c r="K27" s="1000">
        <f t="shared" si="0"/>
        <v>1</v>
      </c>
      <c r="L27" s="989">
        <f t="shared" si="1"/>
        <v>12</v>
      </c>
      <c r="M27" s="989">
        <f t="shared" si="2"/>
        <v>0.6</v>
      </c>
      <c r="N27" s="999" t="s">
        <v>443</v>
      </c>
      <c r="O27" s="998" t="str">
        <f t="shared" si="3"/>
        <v>N</v>
      </c>
      <c r="P27" s="998" t="str">
        <f t="shared" si="4"/>
        <v>N</v>
      </c>
      <c r="Q27" s="998" t="str">
        <f t="shared" si="5"/>
        <v>S</v>
      </c>
      <c r="R27" s="998" t="str">
        <f t="shared" si="6"/>
        <v>N</v>
      </c>
      <c r="S27" s="989">
        <f t="shared" si="7"/>
        <v>0</v>
      </c>
      <c r="T27" s="989">
        <f t="shared" si="8"/>
        <v>0</v>
      </c>
      <c r="U27" s="989">
        <f t="shared" si="9"/>
        <v>12</v>
      </c>
      <c r="V27" s="989">
        <f t="shared" si="10"/>
        <v>0</v>
      </c>
      <c r="W27" s="989">
        <f t="shared" si="11"/>
        <v>0</v>
      </c>
      <c r="X27" s="989">
        <f t="shared" si="12"/>
        <v>0</v>
      </c>
      <c r="Y27" s="989">
        <f t="shared" si="13"/>
        <v>1.9200000000000004</v>
      </c>
      <c r="Z27" s="989">
        <f t="shared" si="14"/>
        <v>1.1000000000000001</v>
      </c>
      <c r="AA27" s="994">
        <f t="shared" si="15"/>
        <v>60</v>
      </c>
      <c r="AB27" s="989">
        <f t="shared" si="16"/>
        <v>3.8491199999999997</v>
      </c>
      <c r="AC27" s="954"/>
      <c r="AD27" s="954"/>
      <c r="AE27" s="988">
        <f t="shared" si="17"/>
        <v>2.5660799999999999</v>
      </c>
      <c r="AF27" s="974"/>
      <c r="AG27" s="974"/>
      <c r="AH27" s="988">
        <f t="shared" si="18"/>
        <v>6.4799999999999996E-2</v>
      </c>
      <c r="AI27" s="988" t="str">
        <f t="shared" si="19"/>
        <v>N</v>
      </c>
      <c r="AJ27" s="989">
        <f t="shared" si="20"/>
        <v>0</v>
      </c>
      <c r="AK27" s="989">
        <f t="shared" si="21"/>
        <v>0</v>
      </c>
      <c r="AL27" s="989">
        <f t="shared" si="22"/>
        <v>0</v>
      </c>
      <c r="AM27" s="987" t="s">
        <v>444</v>
      </c>
      <c r="AN27" s="989">
        <f t="shared" si="23"/>
        <v>0</v>
      </c>
      <c r="AO27" s="997">
        <v>22</v>
      </c>
      <c r="AP27" s="989">
        <f t="shared" si="24"/>
        <v>12</v>
      </c>
      <c r="AQ27" s="989">
        <v>0</v>
      </c>
      <c r="AR27" s="996">
        <v>2.2554400000000001</v>
      </c>
      <c r="AS27" s="995">
        <f t="shared" si="25"/>
        <v>0.1851944161680599</v>
      </c>
      <c r="AT27" s="989">
        <f t="shared" si="26"/>
        <v>2.2223329940167189</v>
      </c>
      <c r="AU27" s="989">
        <f t="shared" si="27"/>
        <v>2.88</v>
      </c>
      <c r="AV27" s="994">
        <f t="shared" si="28"/>
        <v>80</v>
      </c>
      <c r="AW27" s="989">
        <f t="shared" si="29"/>
        <v>1.3745520000000002</v>
      </c>
      <c r="AX27" s="989">
        <f t="shared" si="30"/>
        <v>0</v>
      </c>
      <c r="AY27" s="989">
        <f t="shared" si="31"/>
        <v>1.0996416000000004</v>
      </c>
      <c r="AZ27" s="989">
        <f t="shared" si="32"/>
        <v>0.27491039999999978</v>
      </c>
      <c r="BA27" s="993">
        <f t="shared" si="33"/>
        <v>3.1150059832809932E-3</v>
      </c>
      <c r="BB27" s="989">
        <f t="shared" si="34"/>
        <v>5.3803583999999987</v>
      </c>
      <c r="BC27" s="992">
        <f t="shared" si="35"/>
        <v>0.41249999999999998</v>
      </c>
      <c r="BD27" s="992">
        <v>0.6</v>
      </c>
      <c r="BE27" s="992">
        <v>0.4</v>
      </c>
      <c r="BF27" s="992">
        <v>0.1</v>
      </c>
      <c r="BG27" s="992">
        <v>1.2500000000000001E-2</v>
      </c>
      <c r="BH27" s="989">
        <f t="shared" si="36"/>
        <v>0</v>
      </c>
      <c r="BI27" s="988">
        <f t="shared" si="37"/>
        <v>1.1000000000000001</v>
      </c>
      <c r="BJ27" s="989">
        <f t="shared" si="38"/>
        <v>0</v>
      </c>
      <c r="BK27" s="989">
        <f t="shared" si="39"/>
        <v>0</v>
      </c>
      <c r="BL27" s="989">
        <f t="shared" si="40"/>
        <v>6.4799999999999995</v>
      </c>
      <c r="BM27" s="954"/>
      <c r="BN27" s="954"/>
      <c r="BO27" s="991">
        <f t="shared" si="43"/>
        <v>6.4799999999999995</v>
      </c>
      <c r="BP27" s="989">
        <f t="shared" si="44"/>
        <v>0</v>
      </c>
      <c r="BQ27" s="990">
        <f t="shared" si="45"/>
        <v>6.3750000000000001E-2</v>
      </c>
      <c r="BR27" s="989">
        <f t="shared" si="46"/>
        <v>5.6250000000000007E-3</v>
      </c>
      <c r="BS27" s="989">
        <f t="shared" si="47"/>
        <v>6.1359218750000013E-5</v>
      </c>
      <c r="BT27" s="989" t="str">
        <f t="shared" si="48"/>
        <v>C2</v>
      </c>
      <c r="BU27" s="988">
        <f t="shared" si="49"/>
        <v>6.4151999999999996</v>
      </c>
      <c r="BV27" s="974"/>
      <c r="BW27" s="974"/>
      <c r="BX27" s="973"/>
      <c r="BY27" s="987" t="s">
        <v>387</v>
      </c>
      <c r="BZ27" s="987">
        <f t="shared" si="52"/>
        <v>25.2</v>
      </c>
      <c r="CA27" s="971"/>
      <c r="CB27" s="971"/>
      <c r="CC27" s="971"/>
      <c r="CD27" s="971"/>
      <c r="CE27" s="971"/>
      <c r="CF27" s="971"/>
      <c r="CG27" s="971"/>
      <c r="CH27" s="971"/>
      <c r="CI27" s="971"/>
      <c r="CJ27" s="971"/>
      <c r="CK27" s="971"/>
      <c r="CL27" s="971"/>
      <c r="CM27" s="986">
        <v>18.18</v>
      </c>
    </row>
    <row r="28" spans="1:91" s="970" customFormat="1" ht="12.75" customHeight="1">
      <c r="A28" s="1003" t="s">
        <v>420</v>
      </c>
      <c r="B28" s="1102" t="s">
        <v>130</v>
      </c>
      <c r="C28" s="1102" t="s">
        <v>153</v>
      </c>
      <c r="D28" s="1002">
        <f>3*25</f>
        <v>75</v>
      </c>
      <c r="E28" s="1001">
        <v>0.01</v>
      </c>
      <c r="F28" s="1006">
        <v>18.18</v>
      </c>
      <c r="G28" s="982"/>
      <c r="H28" s="982"/>
      <c r="I28" s="982"/>
      <c r="J28" s="982"/>
      <c r="K28" s="1000">
        <f t="shared" si="0"/>
        <v>1</v>
      </c>
      <c r="L28" s="989">
        <f t="shared" si="1"/>
        <v>75</v>
      </c>
      <c r="M28" s="989">
        <f t="shared" si="2"/>
        <v>0.6</v>
      </c>
      <c r="N28" s="999" t="s">
        <v>443</v>
      </c>
      <c r="O28" s="998" t="str">
        <f t="shared" si="3"/>
        <v>N</v>
      </c>
      <c r="P28" s="998" t="str">
        <f t="shared" si="4"/>
        <v>N</v>
      </c>
      <c r="Q28" s="998" t="str">
        <f t="shared" si="5"/>
        <v>S</v>
      </c>
      <c r="R28" s="998" t="str">
        <f t="shared" si="6"/>
        <v>N</v>
      </c>
      <c r="S28" s="989">
        <f t="shared" si="7"/>
        <v>0</v>
      </c>
      <c r="T28" s="989">
        <f t="shared" si="8"/>
        <v>0</v>
      </c>
      <c r="U28" s="989">
        <f t="shared" si="9"/>
        <v>75</v>
      </c>
      <c r="V28" s="989">
        <f t="shared" si="10"/>
        <v>0</v>
      </c>
      <c r="W28" s="989">
        <f t="shared" si="11"/>
        <v>0</v>
      </c>
      <c r="X28" s="989">
        <f t="shared" si="12"/>
        <v>0</v>
      </c>
      <c r="Y28" s="989">
        <f t="shared" si="13"/>
        <v>12</v>
      </c>
      <c r="Z28" s="989">
        <f t="shared" si="14"/>
        <v>1.1000000000000001</v>
      </c>
      <c r="AA28" s="994">
        <f t="shared" si="15"/>
        <v>60</v>
      </c>
      <c r="AB28" s="989">
        <f t="shared" si="16"/>
        <v>24.056999999999999</v>
      </c>
      <c r="AC28" s="954"/>
      <c r="AD28" s="954"/>
      <c r="AE28" s="988">
        <f t="shared" si="17"/>
        <v>16.038</v>
      </c>
      <c r="AF28" s="974"/>
      <c r="AG28" s="974"/>
      <c r="AH28" s="988">
        <f t="shared" si="18"/>
        <v>0.40500000000000003</v>
      </c>
      <c r="AI28" s="988" t="str">
        <f t="shared" si="19"/>
        <v>N</v>
      </c>
      <c r="AJ28" s="989">
        <f t="shared" si="20"/>
        <v>0</v>
      </c>
      <c r="AK28" s="989">
        <f t="shared" si="21"/>
        <v>0</v>
      </c>
      <c r="AL28" s="989">
        <f t="shared" si="22"/>
        <v>0</v>
      </c>
      <c r="AM28" s="987" t="s">
        <v>444</v>
      </c>
      <c r="AN28" s="989">
        <f t="shared" si="23"/>
        <v>0</v>
      </c>
      <c r="AO28" s="997">
        <v>23</v>
      </c>
      <c r="AP28" s="989">
        <f t="shared" si="24"/>
        <v>75</v>
      </c>
      <c r="AQ28" s="989">
        <v>0</v>
      </c>
      <c r="AR28" s="996">
        <v>2.3579599999999998</v>
      </c>
      <c r="AS28" s="995">
        <f t="shared" si="25"/>
        <v>0.1851944161680599</v>
      </c>
      <c r="AT28" s="989">
        <f t="shared" si="26"/>
        <v>13.889581212604492</v>
      </c>
      <c r="AU28" s="989">
        <f t="shared" si="27"/>
        <v>18</v>
      </c>
      <c r="AV28" s="994">
        <f t="shared" si="28"/>
        <v>80</v>
      </c>
      <c r="AW28" s="989">
        <f t="shared" si="29"/>
        <v>8.590950000000003</v>
      </c>
      <c r="AX28" s="989">
        <f t="shared" si="30"/>
        <v>0</v>
      </c>
      <c r="AY28" s="989">
        <f t="shared" si="31"/>
        <v>6.8727600000000058</v>
      </c>
      <c r="AZ28" s="989">
        <f t="shared" si="32"/>
        <v>1.7181899999999972</v>
      </c>
      <c r="BA28" s="993">
        <f t="shared" si="33"/>
        <v>1.9468787395506205E-2</v>
      </c>
      <c r="BB28" s="989">
        <f t="shared" si="34"/>
        <v>33.627239999999993</v>
      </c>
      <c r="BC28" s="992">
        <f t="shared" si="35"/>
        <v>0.41249999999999998</v>
      </c>
      <c r="BD28" s="992">
        <v>0.6</v>
      </c>
      <c r="BE28" s="992">
        <v>0.4</v>
      </c>
      <c r="BF28" s="992">
        <v>0.1</v>
      </c>
      <c r="BG28" s="992">
        <v>1.2500000000000001E-2</v>
      </c>
      <c r="BH28" s="989">
        <f t="shared" si="36"/>
        <v>0</v>
      </c>
      <c r="BI28" s="988">
        <f t="shared" si="37"/>
        <v>1.1000000000000001</v>
      </c>
      <c r="BJ28" s="989">
        <f t="shared" si="38"/>
        <v>0</v>
      </c>
      <c r="BK28" s="989">
        <f t="shared" si="39"/>
        <v>0</v>
      </c>
      <c r="BL28" s="989">
        <f t="shared" si="40"/>
        <v>40.5</v>
      </c>
      <c r="BM28" s="954"/>
      <c r="BN28" s="954"/>
      <c r="BO28" s="991">
        <f t="shared" si="43"/>
        <v>40.5</v>
      </c>
      <c r="BP28" s="989">
        <f t="shared" si="44"/>
        <v>0</v>
      </c>
      <c r="BQ28" s="990">
        <f t="shared" si="45"/>
        <v>6.3750000000000001E-2</v>
      </c>
      <c r="BR28" s="989">
        <f t="shared" si="46"/>
        <v>5.6250000000000007E-3</v>
      </c>
      <c r="BS28" s="989">
        <f t="shared" si="47"/>
        <v>6.1359218750000013E-5</v>
      </c>
      <c r="BT28" s="989" t="str">
        <f t="shared" si="48"/>
        <v>C2</v>
      </c>
      <c r="BU28" s="988">
        <f t="shared" si="49"/>
        <v>40.094999999999999</v>
      </c>
      <c r="BV28" s="974"/>
      <c r="BW28" s="974"/>
      <c r="BX28" s="973"/>
      <c r="BY28" s="987" t="s">
        <v>387</v>
      </c>
      <c r="BZ28" s="987">
        <f t="shared" si="52"/>
        <v>151.19999999999999</v>
      </c>
      <c r="CA28" s="971"/>
      <c r="CB28" s="971"/>
      <c r="CC28" s="971"/>
      <c r="CD28" s="971"/>
      <c r="CE28" s="971"/>
      <c r="CF28" s="971"/>
      <c r="CG28" s="971"/>
      <c r="CH28" s="971"/>
      <c r="CI28" s="971"/>
      <c r="CJ28" s="971"/>
      <c r="CK28" s="971"/>
      <c r="CL28" s="971"/>
      <c r="CM28" s="986">
        <v>18.18</v>
      </c>
    </row>
    <row r="29" spans="1:91" s="970" customFormat="1" ht="12.75" customHeight="1">
      <c r="A29" s="1003" t="s">
        <v>421</v>
      </c>
      <c r="B29" s="1102" t="s">
        <v>154</v>
      </c>
      <c r="C29" s="1102" t="s">
        <v>155</v>
      </c>
      <c r="D29" s="1002">
        <f>3*7</f>
        <v>21</v>
      </c>
      <c r="E29" s="1001">
        <v>0.01</v>
      </c>
      <c r="F29" s="1006">
        <v>18.18</v>
      </c>
      <c r="G29" s="982"/>
      <c r="H29" s="982"/>
      <c r="I29" s="982"/>
      <c r="J29" s="982"/>
      <c r="K29" s="1000">
        <f t="shared" si="0"/>
        <v>1</v>
      </c>
      <c r="L29" s="989">
        <f t="shared" si="1"/>
        <v>21</v>
      </c>
      <c r="M29" s="989">
        <f t="shared" si="2"/>
        <v>0.6</v>
      </c>
      <c r="N29" s="999" t="s">
        <v>443</v>
      </c>
      <c r="O29" s="998" t="str">
        <f t="shared" si="3"/>
        <v>N</v>
      </c>
      <c r="P29" s="998" t="str">
        <f t="shared" si="4"/>
        <v>N</v>
      </c>
      <c r="Q29" s="998" t="str">
        <f t="shared" si="5"/>
        <v>S</v>
      </c>
      <c r="R29" s="998" t="str">
        <f t="shared" si="6"/>
        <v>N</v>
      </c>
      <c r="S29" s="989">
        <f t="shared" si="7"/>
        <v>0</v>
      </c>
      <c r="T29" s="989">
        <f t="shared" si="8"/>
        <v>0</v>
      </c>
      <c r="U29" s="989">
        <f t="shared" si="9"/>
        <v>21</v>
      </c>
      <c r="V29" s="989">
        <f t="shared" si="10"/>
        <v>0</v>
      </c>
      <c r="W29" s="989">
        <f t="shared" si="11"/>
        <v>0</v>
      </c>
      <c r="X29" s="989">
        <f t="shared" si="12"/>
        <v>0</v>
      </c>
      <c r="Y29" s="989">
        <f t="shared" si="13"/>
        <v>3.3600000000000003</v>
      </c>
      <c r="Z29" s="989">
        <f t="shared" si="14"/>
        <v>1.1000000000000001</v>
      </c>
      <c r="AA29" s="994">
        <f t="shared" si="15"/>
        <v>60</v>
      </c>
      <c r="AB29" s="989">
        <f t="shared" si="16"/>
        <v>6.7359600000000004</v>
      </c>
      <c r="AC29" s="954"/>
      <c r="AD29" s="954"/>
      <c r="AE29" s="988">
        <f t="shared" si="17"/>
        <v>4.4906400000000009</v>
      </c>
      <c r="AF29" s="974"/>
      <c r="AG29" s="974"/>
      <c r="AH29" s="988">
        <f t="shared" si="18"/>
        <v>0.11340000000000001</v>
      </c>
      <c r="AI29" s="988" t="str">
        <f t="shared" si="19"/>
        <v>N</v>
      </c>
      <c r="AJ29" s="989">
        <f t="shared" si="20"/>
        <v>0</v>
      </c>
      <c r="AK29" s="989">
        <f t="shared" si="21"/>
        <v>0</v>
      </c>
      <c r="AL29" s="989">
        <f t="shared" si="22"/>
        <v>0</v>
      </c>
      <c r="AM29" s="987" t="s">
        <v>444</v>
      </c>
      <c r="AN29" s="989">
        <f t="shared" si="23"/>
        <v>0</v>
      </c>
      <c r="AO29" s="997">
        <v>24</v>
      </c>
      <c r="AP29" s="989">
        <f t="shared" si="24"/>
        <v>21</v>
      </c>
      <c r="AQ29" s="989">
        <v>0</v>
      </c>
      <c r="AR29" s="996">
        <v>2.46048</v>
      </c>
      <c r="AS29" s="995">
        <f t="shared" si="25"/>
        <v>0.1851944161680599</v>
      </c>
      <c r="AT29" s="989">
        <f t="shared" si="26"/>
        <v>3.889082739529258</v>
      </c>
      <c r="AU29" s="989">
        <f t="shared" si="27"/>
        <v>5.04</v>
      </c>
      <c r="AV29" s="994">
        <f t="shared" si="28"/>
        <v>80</v>
      </c>
      <c r="AW29" s="989">
        <f t="shared" si="29"/>
        <v>2.4054660000000023</v>
      </c>
      <c r="AX29" s="989">
        <f t="shared" si="30"/>
        <v>0</v>
      </c>
      <c r="AY29" s="989">
        <f t="shared" si="31"/>
        <v>1.9243728000000013</v>
      </c>
      <c r="AZ29" s="989">
        <f t="shared" si="32"/>
        <v>0.481093200000001</v>
      </c>
      <c r="BA29" s="993">
        <f t="shared" si="33"/>
        <v>5.4512604707417376E-3</v>
      </c>
      <c r="BB29" s="989">
        <f t="shared" si="34"/>
        <v>9.4156271999999994</v>
      </c>
      <c r="BC29" s="992">
        <f t="shared" si="35"/>
        <v>0.41249999999999998</v>
      </c>
      <c r="BD29" s="992">
        <v>0.6</v>
      </c>
      <c r="BE29" s="992">
        <v>0.4</v>
      </c>
      <c r="BF29" s="992">
        <v>0.1</v>
      </c>
      <c r="BG29" s="992">
        <v>1.2500000000000001E-2</v>
      </c>
      <c r="BH29" s="989">
        <f t="shared" si="36"/>
        <v>0</v>
      </c>
      <c r="BI29" s="988">
        <f t="shared" si="37"/>
        <v>1.1000000000000001</v>
      </c>
      <c r="BJ29" s="989">
        <f t="shared" si="38"/>
        <v>0</v>
      </c>
      <c r="BK29" s="989">
        <f t="shared" si="39"/>
        <v>0</v>
      </c>
      <c r="BL29" s="989">
        <f t="shared" si="40"/>
        <v>11.340000000000002</v>
      </c>
      <c r="BM29" s="954"/>
      <c r="BN29" s="954"/>
      <c r="BO29" s="991">
        <f t="shared" si="43"/>
        <v>11.340000000000002</v>
      </c>
      <c r="BP29" s="989">
        <f t="shared" si="44"/>
        <v>0</v>
      </c>
      <c r="BQ29" s="990">
        <f t="shared" si="45"/>
        <v>6.3750000000000001E-2</v>
      </c>
      <c r="BR29" s="989">
        <f t="shared" si="46"/>
        <v>5.6250000000000007E-3</v>
      </c>
      <c r="BS29" s="989">
        <f t="shared" si="47"/>
        <v>6.1359218750000013E-5</v>
      </c>
      <c r="BT29" s="989" t="str">
        <f t="shared" si="48"/>
        <v>C2</v>
      </c>
      <c r="BU29" s="988">
        <f t="shared" si="49"/>
        <v>11.226600000000001</v>
      </c>
      <c r="BV29" s="974"/>
      <c r="BW29" s="974"/>
      <c r="BX29" s="973"/>
      <c r="BY29" s="987" t="s">
        <v>387</v>
      </c>
      <c r="BZ29" s="987">
        <f t="shared" si="52"/>
        <v>43.2</v>
      </c>
      <c r="CA29" s="971"/>
      <c r="CB29" s="971"/>
      <c r="CC29" s="971"/>
      <c r="CD29" s="971"/>
      <c r="CE29" s="971"/>
      <c r="CF29" s="971"/>
      <c r="CG29" s="971"/>
      <c r="CH29" s="971"/>
      <c r="CI29" s="971"/>
      <c r="CJ29" s="971"/>
      <c r="CK29" s="971"/>
      <c r="CL29" s="971"/>
      <c r="CM29" s="986">
        <v>18.18</v>
      </c>
    </row>
    <row r="30" spans="1:91" s="970" customFormat="1" ht="12.75" customHeight="1">
      <c r="A30" s="1003" t="s">
        <v>422</v>
      </c>
      <c r="B30" s="1102" t="s">
        <v>155</v>
      </c>
      <c r="C30" s="1102" t="s">
        <v>156</v>
      </c>
      <c r="D30" s="1002">
        <f>3*17</f>
        <v>51</v>
      </c>
      <c r="E30" s="1001">
        <v>0.01</v>
      </c>
      <c r="F30" s="1006">
        <v>18.18</v>
      </c>
      <c r="G30" s="982"/>
      <c r="H30" s="982"/>
      <c r="I30" s="982"/>
      <c r="J30" s="982"/>
      <c r="K30" s="1000">
        <f t="shared" si="0"/>
        <v>1</v>
      </c>
      <c r="L30" s="989">
        <f t="shared" si="1"/>
        <v>51</v>
      </c>
      <c r="M30" s="989">
        <f t="shared" si="2"/>
        <v>0.6</v>
      </c>
      <c r="N30" s="999" t="s">
        <v>443</v>
      </c>
      <c r="O30" s="998" t="str">
        <f t="shared" si="3"/>
        <v>N</v>
      </c>
      <c r="P30" s="998" t="str">
        <f t="shared" si="4"/>
        <v>N</v>
      </c>
      <c r="Q30" s="998" t="str">
        <f t="shared" si="5"/>
        <v>S</v>
      </c>
      <c r="R30" s="998" t="str">
        <f t="shared" si="6"/>
        <v>N</v>
      </c>
      <c r="S30" s="989">
        <f t="shared" si="7"/>
        <v>0</v>
      </c>
      <c r="T30" s="989">
        <f t="shared" si="8"/>
        <v>0</v>
      </c>
      <c r="U30" s="989">
        <f t="shared" si="9"/>
        <v>51</v>
      </c>
      <c r="V30" s="989">
        <f t="shared" si="10"/>
        <v>0</v>
      </c>
      <c r="W30" s="989">
        <f t="shared" si="11"/>
        <v>0</v>
      </c>
      <c r="X30" s="989">
        <f t="shared" si="12"/>
        <v>0</v>
      </c>
      <c r="Y30" s="989">
        <f t="shared" si="13"/>
        <v>8.1600000000000019</v>
      </c>
      <c r="Z30" s="989">
        <f t="shared" si="14"/>
        <v>1.1000000000000001</v>
      </c>
      <c r="AA30" s="994">
        <f t="shared" si="15"/>
        <v>60</v>
      </c>
      <c r="AB30" s="989">
        <f t="shared" si="16"/>
        <v>16.358759999999997</v>
      </c>
      <c r="AC30" s="954"/>
      <c r="AD30" s="954"/>
      <c r="AE30" s="988">
        <f t="shared" si="17"/>
        <v>10.905839999999998</v>
      </c>
      <c r="AF30" s="974"/>
      <c r="AG30" s="974"/>
      <c r="AH30" s="988">
        <f t="shared" si="18"/>
        <v>0.27540000000000003</v>
      </c>
      <c r="AI30" s="988" t="str">
        <f t="shared" si="19"/>
        <v>N</v>
      </c>
      <c r="AJ30" s="989">
        <f t="shared" si="20"/>
        <v>0</v>
      </c>
      <c r="AK30" s="989">
        <f t="shared" si="21"/>
        <v>0</v>
      </c>
      <c r="AL30" s="989">
        <f t="shared" si="22"/>
        <v>0</v>
      </c>
      <c r="AM30" s="987" t="s">
        <v>444</v>
      </c>
      <c r="AN30" s="989">
        <f t="shared" si="23"/>
        <v>0</v>
      </c>
      <c r="AO30" s="997">
        <v>25</v>
      </c>
      <c r="AP30" s="989">
        <f t="shared" si="24"/>
        <v>51</v>
      </c>
      <c r="AQ30" s="989">
        <v>0</v>
      </c>
      <c r="AR30" s="996">
        <v>2.5630000000000002</v>
      </c>
      <c r="AS30" s="995">
        <f t="shared" si="25"/>
        <v>0.1851944161680599</v>
      </c>
      <c r="AT30" s="989">
        <f t="shared" si="26"/>
        <v>9.444915224571055</v>
      </c>
      <c r="AU30" s="989">
        <f t="shared" si="27"/>
        <v>12.24</v>
      </c>
      <c r="AV30" s="994">
        <f t="shared" si="28"/>
        <v>80</v>
      </c>
      <c r="AW30" s="989">
        <f t="shared" si="29"/>
        <v>5.841846000000003</v>
      </c>
      <c r="AX30" s="989">
        <f t="shared" si="30"/>
        <v>0</v>
      </c>
      <c r="AY30" s="989">
        <f t="shared" si="31"/>
        <v>4.6734768000000022</v>
      </c>
      <c r="AZ30" s="989">
        <f t="shared" si="32"/>
        <v>1.1683692000000008</v>
      </c>
      <c r="BA30" s="993">
        <f t="shared" si="33"/>
        <v>1.323877542894422E-2</v>
      </c>
      <c r="BB30" s="989">
        <f t="shared" si="34"/>
        <v>22.8665232</v>
      </c>
      <c r="BC30" s="992">
        <f t="shared" si="35"/>
        <v>0.41249999999999998</v>
      </c>
      <c r="BD30" s="992">
        <v>0.6</v>
      </c>
      <c r="BE30" s="992">
        <v>0.4</v>
      </c>
      <c r="BF30" s="992">
        <v>0.1</v>
      </c>
      <c r="BG30" s="992">
        <v>1.2500000000000001E-2</v>
      </c>
      <c r="BH30" s="989">
        <f t="shared" si="36"/>
        <v>0</v>
      </c>
      <c r="BI30" s="988">
        <f t="shared" si="37"/>
        <v>1.1000000000000001</v>
      </c>
      <c r="BJ30" s="989">
        <f t="shared" si="38"/>
        <v>0</v>
      </c>
      <c r="BK30" s="989">
        <f t="shared" si="39"/>
        <v>0</v>
      </c>
      <c r="BL30" s="989">
        <f t="shared" si="40"/>
        <v>27.539999999999996</v>
      </c>
      <c r="BM30" s="954"/>
      <c r="BN30" s="954"/>
      <c r="BO30" s="991">
        <f t="shared" si="43"/>
        <v>27.540000000000003</v>
      </c>
      <c r="BP30" s="989">
        <f t="shared" si="44"/>
        <v>0</v>
      </c>
      <c r="BQ30" s="990">
        <f t="shared" si="45"/>
        <v>6.3750000000000001E-2</v>
      </c>
      <c r="BR30" s="989">
        <f t="shared" si="46"/>
        <v>5.6250000000000007E-3</v>
      </c>
      <c r="BS30" s="989">
        <f t="shared" si="47"/>
        <v>6.1359218750000013E-5</v>
      </c>
      <c r="BT30" s="989" t="str">
        <f t="shared" si="48"/>
        <v>C2</v>
      </c>
      <c r="BU30" s="988">
        <f t="shared" si="49"/>
        <v>27.264599999999994</v>
      </c>
      <c r="BV30" s="974"/>
      <c r="BW30" s="974"/>
      <c r="BX30" s="973"/>
      <c r="BY30" s="987" t="s">
        <v>387</v>
      </c>
      <c r="BZ30" s="987">
        <f t="shared" si="52"/>
        <v>103.2</v>
      </c>
      <c r="CA30" s="971"/>
      <c r="CB30" s="971"/>
      <c r="CC30" s="971"/>
      <c r="CD30" s="971"/>
      <c r="CE30" s="971"/>
      <c r="CF30" s="971"/>
      <c r="CG30" s="971"/>
      <c r="CH30" s="971"/>
      <c r="CI30" s="971"/>
      <c r="CJ30" s="971"/>
      <c r="CK30" s="971"/>
      <c r="CL30" s="971"/>
      <c r="CM30" s="986">
        <v>18.18</v>
      </c>
    </row>
    <row r="31" spans="1:91" s="970" customFormat="1" ht="12.75" customHeight="1">
      <c r="A31" s="1003" t="s">
        <v>423</v>
      </c>
      <c r="B31" s="1102" t="s">
        <v>157</v>
      </c>
      <c r="C31" s="1102" t="s">
        <v>158</v>
      </c>
      <c r="D31" s="1002">
        <f>3*3</f>
        <v>9</v>
      </c>
      <c r="E31" s="1001">
        <v>0.01</v>
      </c>
      <c r="F31" s="1006">
        <v>18.18</v>
      </c>
      <c r="G31" s="982"/>
      <c r="H31" s="982"/>
      <c r="I31" s="982"/>
      <c r="J31" s="982"/>
      <c r="K31" s="1000">
        <f t="shared" si="0"/>
        <v>1</v>
      </c>
      <c r="L31" s="989">
        <f t="shared" si="1"/>
        <v>9</v>
      </c>
      <c r="M31" s="989">
        <f t="shared" si="2"/>
        <v>0.6</v>
      </c>
      <c r="N31" s="999" t="s">
        <v>443</v>
      </c>
      <c r="O31" s="998" t="str">
        <f t="shared" si="3"/>
        <v>N</v>
      </c>
      <c r="P31" s="998" t="str">
        <f t="shared" si="4"/>
        <v>N</v>
      </c>
      <c r="Q31" s="998" t="str">
        <f t="shared" si="5"/>
        <v>S</v>
      </c>
      <c r="R31" s="998" t="str">
        <f t="shared" si="6"/>
        <v>N</v>
      </c>
      <c r="S31" s="989">
        <f t="shared" si="7"/>
        <v>0</v>
      </c>
      <c r="T31" s="989">
        <f t="shared" si="8"/>
        <v>0</v>
      </c>
      <c r="U31" s="989">
        <f t="shared" si="9"/>
        <v>9</v>
      </c>
      <c r="V31" s="989">
        <f t="shared" si="10"/>
        <v>0</v>
      </c>
      <c r="W31" s="989">
        <f t="shared" si="11"/>
        <v>0</v>
      </c>
      <c r="X31" s="989">
        <f t="shared" si="12"/>
        <v>0</v>
      </c>
      <c r="Y31" s="989">
        <f t="shared" si="13"/>
        <v>1.4400000000000002</v>
      </c>
      <c r="Z31" s="989">
        <f t="shared" si="14"/>
        <v>1.1000000000000001</v>
      </c>
      <c r="AA31" s="994">
        <f t="shared" si="15"/>
        <v>60</v>
      </c>
      <c r="AB31" s="989">
        <f t="shared" si="16"/>
        <v>2.8868399999999999</v>
      </c>
      <c r="AC31" s="954"/>
      <c r="AD31" s="954"/>
      <c r="AE31" s="988">
        <f t="shared" si="17"/>
        <v>1.92456</v>
      </c>
      <c r="AF31" s="974"/>
      <c r="AG31" s="974"/>
      <c r="AH31" s="988">
        <f t="shared" si="18"/>
        <v>4.8600000000000004E-2</v>
      </c>
      <c r="AI31" s="988" t="str">
        <f t="shared" si="19"/>
        <v>N</v>
      </c>
      <c r="AJ31" s="989">
        <f t="shared" si="20"/>
        <v>0</v>
      </c>
      <c r="AK31" s="989">
        <f t="shared" si="21"/>
        <v>0</v>
      </c>
      <c r="AL31" s="989">
        <f t="shared" si="22"/>
        <v>0</v>
      </c>
      <c r="AM31" s="987" t="s">
        <v>444</v>
      </c>
      <c r="AN31" s="989">
        <f t="shared" si="23"/>
        <v>0</v>
      </c>
      <c r="AO31" s="997">
        <v>26</v>
      </c>
      <c r="AP31" s="989">
        <f t="shared" si="24"/>
        <v>9</v>
      </c>
      <c r="AQ31" s="989">
        <v>0</v>
      </c>
      <c r="AR31" s="996">
        <v>2.6655199999999999</v>
      </c>
      <c r="AS31" s="995">
        <f t="shared" si="25"/>
        <v>0.1851944161680599</v>
      </c>
      <c r="AT31" s="989">
        <f t="shared" si="26"/>
        <v>1.6667497455125391</v>
      </c>
      <c r="AU31" s="989">
        <f t="shared" si="27"/>
        <v>2.16</v>
      </c>
      <c r="AV31" s="994">
        <f t="shared" si="28"/>
        <v>80</v>
      </c>
      <c r="AW31" s="989">
        <f t="shared" si="29"/>
        <v>1.0309140000000003</v>
      </c>
      <c r="AX31" s="989">
        <f t="shared" si="30"/>
        <v>0</v>
      </c>
      <c r="AY31" s="989">
        <f t="shared" si="31"/>
        <v>0.82473120000000011</v>
      </c>
      <c r="AZ31" s="989">
        <f t="shared" si="32"/>
        <v>0.20618280000000022</v>
      </c>
      <c r="BA31" s="993">
        <f t="shared" si="33"/>
        <v>2.3362544874607448E-3</v>
      </c>
      <c r="BB31" s="989">
        <f t="shared" si="34"/>
        <v>4.0352687999999999</v>
      </c>
      <c r="BC31" s="992">
        <f t="shared" si="35"/>
        <v>0.41249999999999998</v>
      </c>
      <c r="BD31" s="992">
        <v>0.6</v>
      </c>
      <c r="BE31" s="992">
        <v>0.4</v>
      </c>
      <c r="BF31" s="992">
        <v>0.1</v>
      </c>
      <c r="BG31" s="992">
        <v>1.2500000000000001E-2</v>
      </c>
      <c r="BH31" s="989">
        <f t="shared" si="36"/>
        <v>0</v>
      </c>
      <c r="BI31" s="988">
        <f t="shared" si="37"/>
        <v>1.1000000000000001</v>
      </c>
      <c r="BJ31" s="989">
        <f t="shared" si="38"/>
        <v>0</v>
      </c>
      <c r="BK31" s="989">
        <f t="shared" si="39"/>
        <v>0</v>
      </c>
      <c r="BL31" s="989">
        <f t="shared" si="40"/>
        <v>4.8600000000000003</v>
      </c>
      <c r="BM31" s="954"/>
      <c r="BN31" s="954"/>
      <c r="BO31" s="991">
        <f t="shared" si="43"/>
        <v>4.8600000000000003</v>
      </c>
      <c r="BP31" s="989">
        <f t="shared" si="44"/>
        <v>0</v>
      </c>
      <c r="BQ31" s="990">
        <f t="shared" si="45"/>
        <v>6.3750000000000001E-2</v>
      </c>
      <c r="BR31" s="989">
        <f t="shared" si="46"/>
        <v>5.6250000000000007E-3</v>
      </c>
      <c r="BS31" s="989">
        <f t="shared" si="47"/>
        <v>6.1359218750000013E-5</v>
      </c>
      <c r="BT31" s="989" t="str">
        <f t="shared" si="48"/>
        <v>C2</v>
      </c>
      <c r="BU31" s="988">
        <f t="shared" si="49"/>
        <v>4.8113999999999999</v>
      </c>
      <c r="BV31" s="974"/>
      <c r="BW31" s="974"/>
      <c r="BX31" s="973"/>
      <c r="BY31" s="987" t="s">
        <v>387</v>
      </c>
      <c r="BZ31" s="987">
        <f t="shared" si="52"/>
        <v>19.2</v>
      </c>
      <c r="CA31" s="971"/>
      <c r="CB31" s="971"/>
      <c r="CC31" s="971"/>
      <c r="CD31" s="971"/>
      <c r="CE31" s="971"/>
      <c r="CF31" s="971"/>
      <c r="CG31" s="971"/>
      <c r="CH31" s="971"/>
      <c r="CI31" s="971"/>
      <c r="CJ31" s="971"/>
      <c r="CK31" s="971"/>
      <c r="CL31" s="971"/>
      <c r="CM31" s="986">
        <v>18.18</v>
      </c>
    </row>
    <row r="32" spans="1:91" s="970" customFormat="1" ht="12.75" customHeight="1">
      <c r="A32" s="1003" t="s">
        <v>424</v>
      </c>
      <c r="B32" s="1102" t="s">
        <v>159</v>
      </c>
      <c r="C32" s="1102" t="s">
        <v>160</v>
      </c>
      <c r="D32" s="1002">
        <f>3*6</f>
        <v>18</v>
      </c>
      <c r="E32" s="1001">
        <v>0.01</v>
      </c>
      <c r="F32" s="1006">
        <v>18.18</v>
      </c>
      <c r="G32" s="982"/>
      <c r="H32" s="982"/>
      <c r="I32" s="982"/>
      <c r="J32" s="982"/>
      <c r="K32" s="1000">
        <f t="shared" si="0"/>
        <v>1</v>
      </c>
      <c r="L32" s="989">
        <f t="shared" si="1"/>
        <v>18</v>
      </c>
      <c r="M32" s="989">
        <f t="shared" si="2"/>
        <v>0.6</v>
      </c>
      <c r="N32" s="999" t="s">
        <v>443</v>
      </c>
      <c r="O32" s="998" t="str">
        <f t="shared" si="3"/>
        <v>N</v>
      </c>
      <c r="P32" s="998" t="str">
        <f t="shared" si="4"/>
        <v>N</v>
      </c>
      <c r="Q32" s="998" t="str">
        <f t="shared" si="5"/>
        <v>S</v>
      </c>
      <c r="R32" s="998" t="str">
        <f t="shared" si="6"/>
        <v>N</v>
      </c>
      <c r="S32" s="989">
        <f t="shared" si="7"/>
        <v>0</v>
      </c>
      <c r="T32" s="989">
        <f t="shared" si="8"/>
        <v>0</v>
      </c>
      <c r="U32" s="989">
        <f t="shared" si="9"/>
        <v>18</v>
      </c>
      <c r="V32" s="989">
        <f t="shared" si="10"/>
        <v>0</v>
      </c>
      <c r="W32" s="989">
        <f t="shared" si="11"/>
        <v>0</v>
      </c>
      <c r="X32" s="989">
        <f t="shared" si="12"/>
        <v>0</v>
      </c>
      <c r="Y32" s="989">
        <f t="shared" si="13"/>
        <v>2.8800000000000003</v>
      </c>
      <c r="Z32" s="989">
        <f t="shared" si="14"/>
        <v>1.1000000000000001</v>
      </c>
      <c r="AA32" s="994">
        <f t="shared" si="15"/>
        <v>60</v>
      </c>
      <c r="AB32" s="989">
        <f t="shared" si="16"/>
        <v>5.7736799999999997</v>
      </c>
      <c r="AC32" s="954"/>
      <c r="AD32" s="954"/>
      <c r="AE32" s="988">
        <f t="shared" si="17"/>
        <v>3.8491200000000001</v>
      </c>
      <c r="AF32" s="974"/>
      <c r="AG32" s="974"/>
      <c r="AH32" s="988">
        <f t="shared" si="18"/>
        <v>9.7200000000000009E-2</v>
      </c>
      <c r="AI32" s="988" t="str">
        <f t="shared" si="19"/>
        <v>N</v>
      </c>
      <c r="AJ32" s="989">
        <f t="shared" si="20"/>
        <v>0</v>
      </c>
      <c r="AK32" s="989">
        <f t="shared" si="21"/>
        <v>0</v>
      </c>
      <c r="AL32" s="989">
        <f t="shared" si="22"/>
        <v>0</v>
      </c>
      <c r="AM32" s="987" t="s">
        <v>444</v>
      </c>
      <c r="AN32" s="989">
        <f t="shared" si="23"/>
        <v>0</v>
      </c>
      <c r="AO32" s="997">
        <v>27</v>
      </c>
      <c r="AP32" s="989">
        <f t="shared" si="24"/>
        <v>18</v>
      </c>
      <c r="AQ32" s="989">
        <v>0</v>
      </c>
      <c r="AR32" s="996">
        <v>2.7680400000000001</v>
      </c>
      <c r="AS32" s="995">
        <f t="shared" si="25"/>
        <v>0.1851944161680599</v>
      </c>
      <c r="AT32" s="989">
        <f t="shared" si="26"/>
        <v>3.3334994910250781</v>
      </c>
      <c r="AU32" s="989">
        <f t="shared" si="27"/>
        <v>4.32</v>
      </c>
      <c r="AV32" s="994">
        <f t="shared" si="28"/>
        <v>80</v>
      </c>
      <c r="AW32" s="989">
        <f t="shared" si="29"/>
        <v>2.0618280000000007</v>
      </c>
      <c r="AX32" s="989">
        <f t="shared" si="30"/>
        <v>0</v>
      </c>
      <c r="AY32" s="989">
        <f t="shared" si="31"/>
        <v>1.6494624000000002</v>
      </c>
      <c r="AZ32" s="989">
        <f t="shared" si="32"/>
        <v>0.41236560000000044</v>
      </c>
      <c r="BA32" s="993">
        <f t="shared" si="33"/>
        <v>4.6725089749214896E-3</v>
      </c>
      <c r="BB32" s="989">
        <f t="shared" si="34"/>
        <v>8.0705375999999998</v>
      </c>
      <c r="BC32" s="992">
        <f t="shared" si="35"/>
        <v>0.41249999999999998</v>
      </c>
      <c r="BD32" s="992">
        <v>0.6</v>
      </c>
      <c r="BE32" s="992">
        <v>0.4</v>
      </c>
      <c r="BF32" s="992">
        <v>0.1</v>
      </c>
      <c r="BG32" s="992">
        <v>1.2500000000000001E-2</v>
      </c>
      <c r="BH32" s="989">
        <f t="shared" si="36"/>
        <v>0</v>
      </c>
      <c r="BI32" s="988">
        <f t="shared" si="37"/>
        <v>1.1000000000000001</v>
      </c>
      <c r="BJ32" s="989">
        <f t="shared" si="38"/>
        <v>0</v>
      </c>
      <c r="BK32" s="989">
        <f t="shared" si="39"/>
        <v>0</v>
      </c>
      <c r="BL32" s="989">
        <f t="shared" si="40"/>
        <v>9.7200000000000006</v>
      </c>
      <c r="BM32" s="954"/>
      <c r="BN32" s="954"/>
      <c r="BO32" s="991">
        <f t="shared" si="43"/>
        <v>9.7200000000000006</v>
      </c>
      <c r="BP32" s="989">
        <f t="shared" si="44"/>
        <v>0</v>
      </c>
      <c r="BQ32" s="990">
        <f t="shared" si="45"/>
        <v>6.3750000000000001E-2</v>
      </c>
      <c r="BR32" s="989">
        <f t="shared" si="46"/>
        <v>5.6250000000000007E-3</v>
      </c>
      <c r="BS32" s="989">
        <f t="shared" si="47"/>
        <v>6.1359218750000013E-5</v>
      </c>
      <c r="BT32" s="989" t="str">
        <f t="shared" si="48"/>
        <v>C2</v>
      </c>
      <c r="BU32" s="988">
        <f t="shared" si="49"/>
        <v>9.6227999999999998</v>
      </c>
      <c r="BV32" s="974"/>
      <c r="BW32" s="974"/>
      <c r="BX32" s="973"/>
      <c r="BY32" s="987" t="s">
        <v>387</v>
      </c>
      <c r="BZ32" s="987">
        <f t="shared" si="52"/>
        <v>37.200000000000003</v>
      </c>
      <c r="CA32" s="971"/>
      <c r="CB32" s="971"/>
      <c r="CC32" s="971"/>
      <c r="CD32" s="971"/>
      <c r="CE32" s="971"/>
      <c r="CF32" s="971"/>
      <c r="CG32" s="971"/>
      <c r="CH32" s="971"/>
      <c r="CI32" s="971"/>
      <c r="CJ32" s="971"/>
      <c r="CK32" s="971"/>
      <c r="CL32" s="971"/>
      <c r="CM32" s="986">
        <v>18.18</v>
      </c>
    </row>
    <row r="33" spans="1:91" s="970" customFormat="1" ht="12.75" customHeight="1">
      <c r="A33" s="1003" t="s">
        <v>425</v>
      </c>
      <c r="B33" s="1102" t="s">
        <v>161</v>
      </c>
      <c r="C33" s="1102" t="s">
        <v>162</v>
      </c>
      <c r="D33" s="1002">
        <f>3*2</f>
        <v>6</v>
      </c>
      <c r="E33" s="1001">
        <v>0.01</v>
      </c>
      <c r="F33" s="1006">
        <v>18.18</v>
      </c>
      <c r="G33" s="982"/>
      <c r="H33" s="982"/>
      <c r="I33" s="982"/>
      <c r="J33" s="982"/>
      <c r="K33" s="1000">
        <f t="shared" si="0"/>
        <v>1</v>
      </c>
      <c r="L33" s="989">
        <f t="shared" si="1"/>
        <v>6</v>
      </c>
      <c r="M33" s="989">
        <f t="shared" si="2"/>
        <v>0.6</v>
      </c>
      <c r="N33" s="999" t="s">
        <v>443</v>
      </c>
      <c r="O33" s="998" t="str">
        <f t="shared" si="3"/>
        <v>N</v>
      </c>
      <c r="P33" s="998" t="str">
        <f t="shared" si="4"/>
        <v>N</v>
      </c>
      <c r="Q33" s="998" t="str">
        <f t="shared" si="5"/>
        <v>S</v>
      </c>
      <c r="R33" s="998" t="str">
        <f t="shared" si="6"/>
        <v>N</v>
      </c>
      <c r="S33" s="989">
        <f t="shared" si="7"/>
        <v>0</v>
      </c>
      <c r="T33" s="989">
        <f t="shared" si="8"/>
        <v>0</v>
      </c>
      <c r="U33" s="989">
        <f t="shared" si="9"/>
        <v>6</v>
      </c>
      <c r="V33" s="989">
        <f t="shared" si="10"/>
        <v>0</v>
      </c>
      <c r="W33" s="989">
        <f t="shared" si="11"/>
        <v>0</v>
      </c>
      <c r="X33" s="989">
        <f t="shared" si="12"/>
        <v>0</v>
      </c>
      <c r="Y33" s="989">
        <f t="shared" si="13"/>
        <v>0.96000000000000019</v>
      </c>
      <c r="Z33" s="989">
        <f t="shared" si="14"/>
        <v>1.1000000000000001</v>
      </c>
      <c r="AA33" s="994">
        <f t="shared" si="15"/>
        <v>60</v>
      </c>
      <c r="AB33" s="989">
        <f t="shared" si="16"/>
        <v>1.9245599999999998</v>
      </c>
      <c r="AC33" s="954"/>
      <c r="AD33" s="954"/>
      <c r="AE33" s="988">
        <f t="shared" si="17"/>
        <v>1.28304</v>
      </c>
      <c r="AF33" s="974"/>
      <c r="AG33" s="974"/>
      <c r="AH33" s="988">
        <f t="shared" si="18"/>
        <v>3.2399999999999998E-2</v>
      </c>
      <c r="AI33" s="988" t="str">
        <f t="shared" si="19"/>
        <v>N</v>
      </c>
      <c r="AJ33" s="989">
        <f t="shared" si="20"/>
        <v>0</v>
      </c>
      <c r="AK33" s="989">
        <f t="shared" si="21"/>
        <v>0</v>
      </c>
      <c r="AL33" s="989">
        <f t="shared" si="22"/>
        <v>0</v>
      </c>
      <c r="AM33" s="987" t="s">
        <v>444</v>
      </c>
      <c r="AN33" s="989">
        <f t="shared" si="23"/>
        <v>0</v>
      </c>
      <c r="AO33" s="997">
        <v>28</v>
      </c>
      <c r="AP33" s="989">
        <f t="shared" si="24"/>
        <v>6</v>
      </c>
      <c r="AQ33" s="989">
        <v>0</v>
      </c>
      <c r="AR33" s="996">
        <v>2.8705600000000002</v>
      </c>
      <c r="AS33" s="995">
        <f t="shared" si="25"/>
        <v>0.1851944161680599</v>
      </c>
      <c r="AT33" s="989">
        <f t="shared" si="26"/>
        <v>1.1111664970083595</v>
      </c>
      <c r="AU33" s="989">
        <f t="shared" si="27"/>
        <v>1.44</v>
      </c>
      <c r="AV33" s="994">
        <f t="shared" si="28"/>
        <v>80</v>
      </c>
      <c r="AW33" s="989">
        <f t="shared" si="29"/>
        <v>0.68727600000000011</v>
      </c>
      <c r="AX33" s="989">
        <f t="shared" si="30"/>
        <v>0</v>
      </c>
      <c r="AY33" s="989">
        <f t="shared" si="31"/>
        <v>0.54982080000000022</v>
      </c>
      <c r="AZ33" s="989">
        <f t="shared" si="32"/>
        <v>0.13745519999999989</v>
      </c>
      <c r="BA33" s="993">
        <f t="shared" si="33"/>
        <v>1.5575029916404966E-3</v>
      </c>
      <c r="BB33" s="989">
        <f t="shared" si="34"/>
        <v>2.6901791999999993</v>
      </c>
      <c r="BC33" s="992">
        <f t="shared" si="35"/>
        <v>0.41249999999999998</v>
      </c>
      <c r="BD33" s="992">
        <v>0.6</v>
      </c>
      <c r="BE33" s="992">
        <v>0.4</v>
      </c>
      <c r="BF33" s="992">
        <v>0.1</v>
      </c>
      <c r="BG33" s="992">
        <v>1.2500000000000001E-2</v>
      </c>
      <c r="BH33" s="989">
        <f t="shared" si="36"/>
        <v>0</v>
      </c>
      <c r="BI33" s="988">
        <f t="shared" si="37"/>
        <v>1.1000000000000001</v>
      </c>
      <c r="BJ33" s="989">
        <f t="shared" si="38"/>
        <v>0</v>
      </c>
      <c r="BK33" s="989">
        <f t="shared" si="39"/>
        <v>0</v>
      </c>
      <c r="BL33" s="989">
        <f t="shared" si="40"/>
        <v>3.2399999999999998</v>
      </c>
      <c r="BM33" s="954"/>
      <c r="BN33" s="954"/>
      <c r="BO33" s="991">
        <f t="shared" si="43"/>
        <v>3.2399999999999998</v>
      </c>
      <c r="BP33" s="989">
        <f t="shared" si="44"/>
        <v>0</v>
      </c>
      <c r="BQ33" s="990">
        <f t="shared" si="45"/>
        <v>6.3750000000000001E-2</v>
      </c>
      <c r="BR33" s="989">
        <f t="shared" si="46"/>
        <v>5.6250000000000007E-3</v>
      </c>
      <c r="BS33" s="989">
        <f t="shared" si="47"/>
        <v>6.1359218750000013E-5</v>
      </c>
      <c r="BT33" s="989" t="str">
        <f t="shared" si="48"/>
        <v>C2</v>
      </c>
      <c r="BU33" s="988">
        <f t="shared" si="49"/>
        <v>3.2075999999999998</v>
      </c>
      <c r="BV33" s="974"/>
      <c r="BW33" s="974"/>
      <c r="BX33" s="973"/>
      <c r="BY33" s="987" t="s">
        <v>387</v>
      </c>
      <c r="BZ33" s="987">
        <f t="shared" si="52"/>
        <v>13.2</v>
      </c>
      <c r="CA33" s="971"/>
      <c r="CB33" s="971"/>
      <c r="CC33" s="971"/>
      <c r="CD33" s="971"/>
      <c r="CE33" s="971"/>
      <c r="CF33" s="971"/>
      <c r="CG33" s="971"/>
      <c r="CH33" s="971"/>
      <c r="CI33" s="971"/>
      <c r="CJ33" s="971"/>
      <c r="CK33" s="971"/>
      <c r="CL33" s="971"/>
      <c r="CM33" s="986">
        <v>18.18</v>
      </c>
    </row>
    <row r="34" spans="1:91" s="970" customFormat="1" ht="12.75" customHeight="1">
      <c r="A34" s="1003" t="s">
        <v>426</v>
      </c>
      <c r="B34" s="1102" t="s">
        <v>163</v>
      </c>
      <c r="C34" s="1102" t="s">
        <v>161</v>
      </c>
      <c r="D34" s="1002">
        <f>3*7</f>
        <v>21</v>
      </c>
      <c r="E34" s="1001">
        <v>0.01</v>
      </c>
      <c r="F34" s="1006">
        <v>18.18</v>
      </c>
      <c r="G34" s="982"/>
      <c r="H34" s="982"/>
      <c r="I34" s="982"/>
      <c r="J34" s="982"/>
      <c r="K34" s="1000">
        <f t="shared" si="0"/>
        <v>1</v>
      </c>
      <c r="L34" s="989">
        <f t="shared" si="1"/>
        <v>21</v>
      </c>
      <c r="M34" s="989">
        <f t="shared" si="2"/>
        <v>0.6</v>
      </c>
      <c r="N34" s="999" t="s">
        <v>443</v>
      </c>
      <c r="O34" s="998" t="str">
        <f t="shared" si="3"/>
        <v>N</v>
      </c>
      <c r="P34" s="998" t="str">
        <f t="shared" si="4"/>
        <v>N</v>
      </c>
      <c r="Q34" s="998" t="str">
        <f t="shared" si="5"/>
        <v>S</v>
      </c>
      <c r="R34" s="998" t="str">
        <f t="shared" si="6"/>
        <v>N</v>
      </c>
      <c r="S34" s="989">
        <f t="shared" si="7"/>
        <v>0</v>
      </c>
      <c r="T34" s="989">
        <f t="shared" si="8"/>
        <v>0</v>
      </c>
      <c r="U34" s="989">
        <f t="shared" si="9"/>
        <v>21</v>
      </c>
      <c r="V34" s="989">
        <f t="shared" si="10"/>
        <v>0</v>
      </c>
      <c r="W34" s="989">
        <f t="shared" si="11"/>
        <v>0</v>
      </c>
      <c r="X34" s="989">
        <f t="shared" si="12"/>
        <v>0</v>
      </c>
      <c r="Y34" s="989">
        <f t="shared" si="13"/>
        <v>3.3600000000000003</v>
      </c>
      <c r="Z34" s="989">
        <f t="shared" si="14"/>
        <v>1.1000000000000001</v>
      </c>
      <c r="AA34" s="994">
        <f t="shared" si="15"/>
        <v>60</v>
      </c>
      <c r="AB34" s="989">
        <f t="shared" si="16"/>
        <v>6.7359600000000004</v>
      </c>
      <c r="AC34" s="954"/>
      <c r="AD34" s="954"/>
      <c r="AE34" s="988">
        <f t="shared" si="17"/>
        <v>4.4906400000000009</v>
      </c>
      <c r="AF34" s="974"/>
      <c r="AG34" s="974"/>
      <c r="AH34" s="988">
        <f t="shared" si="18"/>
        <v>0.11340000000000001</v>
      </c>
      <c r="AI34" s="988" t="str">
        <f t="shared" si="19"/>
        <v>N</v>
      </c>
      <c r="AJ34" s="989">
        <f t="shared" si="20"/>
        <v>0</v>
      </c>
      <c r="AK34" s="989">
        <f t="shared" si="21"/>
        <v>0</v>
      </c>
      <c r="AL34" s="989">
        <f t="shared" si="22"/>
        <v>0</v>
      </c>
      <c r="AM34" s="987" t="s">
        <v>444</v>
      </c>
      <c r="AN34" s="989">
        <f t="shared" si="23"/>
        <v>0</v>
      </c>
      <c r="AO34" s="997">
        <v>29</v>
      </c>
      <c r="AP34" s="989">
        <f t="shared" si="24"/>
        <v>21</v>
      </c>
      <c r="AQ34" s="989">
        <v>0</v>
      </c>
      <c r="AR34" s="996">
        <v>2.9730799999999999</v>
      </c>
      <c r="AS34" s="995">
        <f t="shared" si="25"/>
        <v>0.1851944161680599</v>
      </c>
      <c r="AT34" s="989">
        <f t="shared" si="26"/>
        <v>3.889082739529258</v>
      </c>
      <c r="AU34" s="989">
        <f t="shared" si="27"/>
        <v>5.04</v>
      </c>
      <c r="AV34" s="994">
        <f t="shared" si="28"/>
        <v>80</v>
      </c>
      <c r="AW34" s="989">
        <f t="shared" si="29"/>
        <v>2.4054660000000023</v>
      </c>
      <c r="AX34" s="989">
        <f t="shared" si="30"/>
        <v>0</v>
      </c>
      <c r="AY34" s="989">
        <f t="shared" si="31"/>
        <v>1.9243728000000013</v>
      </c>
      <c r="AZ34" s="989">
        <f t="shared" si="32"/>
        <v>0.481093200000001</v>
      </c>
      <c r="BA34" s="993">
        <f t="shared" si="33"/>
        <v>5.4512604707417376E-3</v>
      </c>
      <c r="BB34" s="989">
        <f t="shared" si="34"/>
        <v>9.4156271999999994</v>
      </c>
      <c r="BC34" s="992">
        <f t="shared" si="35"/>
        <v>0.41249999999999998</v>
      </c>
      <c r="BD34" s="992">
        <v>0.6</v>
      </c>
      <c r="BE34" s="992">
        <v>0.4</v>
      </c>
      <c r="BF34" s="992">
        <v>0.1</v>
      </c>
      <c r="BG34" s="992">
        <v>1.2500000000000001E-2</v>
      </c>
      <c r="BH34" s="989">
        <f t="shared" si="36"/>
        <v>0</v>
      </c>
      <c r="BI34" s="988">
        <f t="shared" si="37"/>
        <v>1.1000000000000001</v>
      </c>
      <c r="BJ34" s="989">
        <f t="shared" si="38"/>
        <v>0</v>
      </c>
      <c r="BK34" s="989">
        <f t="shared" si="39"/>
        <v>0</v>
      </c>
      <c r="BL34" s="989">
        <f t="shared" si="40"/>
        <v>11.340000000000002</v>
      </c>
      <c r="BM34" s="954"/>
      <c r="BN34" s="954"/>
      <c r="BO34" s="991">
        <f t="shared" si="43"/>
        <v>11.340000000000002</v>
      </c>
      <c r="BP34" s="989">
        <f t="shared" si="44"/>
        <v>0</v>
      </c>
      <c r="BQ34" s="990">
        <f t="shared" si="45"/>
        <v>6.3750000000000001E-2</v>
      </c>
      <c r="BR34" s="989">
        <f t="shared" si="46"/>
        <v>5.6250000000000007E-3</v>
      </c>
      <c r="BS34" s="989">
        <f t="shared" si="47"/>
        <v>6.1359218750000013E-5</v>
      </c>
      <c r="BT34" s="989" t="str">
        <f t="shared" si="48"/>
        <v>C2</v>
      </c>
      <c r="BU34" s="988">
        <f t="shared" si="49"/>
        <v>11.226600000000001</v>
      </c>
      <c r="BV34" s="974"/>
      <c r="BW34" s="974"/>
      <c r="BX34" s="973"/>
      <c r="BY34" s="987" t="s">
        <v>387</v>
      </c>
      <c r="BZ34" s="987">
        <f t="shared" si="52"/>
        <v>43.2</v>
      </c>
      <c r="CA34" s="971"/>
      <c r="CB34" s="971"/>
      <c r="CC34" s="971"/>
      <c r="CD34" s="971"/>
      <c r="CE34" s="971"/>
      <c r="CF34" s="971"/>
      <c r="CG34" s="971"/>
      <c r="CH34" s="971"/>
      <c r="CI34" s="971"/>
      <c r="CJ34" s="971"/>
      <c r="CK34" s="971"/>
      <c r="CL34" s="971"/>
      <c r="CM34" s="986">
        <v>18.18</v>
      </c>
    </row>
    <row r="35" spans="1:91" s="970" customFormat="1" ht="12.75" customHeight="1">
      <c r="A35" s="1003" t="s">
        <v>427</v>
      </c>
      <c r="B35" s="1102" t="s">
        <v>164</v>
      </c>
      <c r="C35" s="1102" t="s">
        <v>163</v>
      </c>
      <c r="D35" s="1002">
        <f>3*10</f>
        <v>30</v>
      </c>
      <c r="E35" s="1001">
        <v>0.01</v>
      </c>
      <c r="F35" s="1006">
        <v>18.18</v>
      </c>
      <c r="G35" s="982"/>
      <c r="H35" s="982"/>
      <c r="I35" s="982"/>
      <c r="J35" s="982"/>
      <c r="K35" s="1000">
        <f t="shared" si="0"/>
        <v>1</v>
      </c>
      <c r="L35" s="989">
        <f t="shared" si="1"/>
        <v>30</v>
      </c>
      <c r="M35" s="989">
        <f t="shared" si="2"/>
        <v>0.6</v>
      </c>
      <c r="N35" s="999" t="s">
        <v>443</v>
      </c>
      <c r="O35" s="998" t="str">
        <f t="shared" si="3"/>
        <v>N</v>
      </c>
      <c r="P35" s="998" t="str">
        <f t="shared" si="4"/>
        <v>N</v>
      </c>
      <c r="Q35" s="998" t="str">
        <f t="shared" si="5"/>
        <v>S</v>
      </c>
      <c r="R35" s="998" t="str">
        <f t="shared" si="6"/>
        <v>N</v>
      </c>
      <c r="S35" s="989">
        <f t="shared" si="7"/>
        <v>0</v>
      </c>
      <c r="T35" s="989">
        <f t="shared" si="8"/>
        <v>0</v>
      </c>
      <c r="U35" s="989">
        <f t="shared" si="9"/>
        <v>30</v>
      </c>
      <c r="V35" s="989">
        <f t="shared" si="10"/>
        <v>0</v>
      </c>
      <c r="W35" s="989">
        <f t="shared" si="11"/>
        <v>0</v>
      </c>
      <c r="X35" s="989">
        <f t="shared" si="12"/>
        <v>0</v>
      </c>
      <c r="Y35" s="989">
        <f t="shared" si="13"/>
        <v>4.8000000000000007</v>
      </c>
      <c r="Z35" s="989">
        <f t="shared" si="14"/>
        <v>1.1000000000000001</v>
      </c>
      <c r="AA35" s="994">
        <f t="shared" si="15"/>
        <v>60</v>
      </c>
      <c r="AB35" s="989">
        <f t="shared" si="16"/>
        <v>9.6228000000000016</v>
      </c>
      <c r="AC35" s="954"/>
      <c r="AD35" s="954"/>
      <c r="AE35" s="988">
        <f t="shared" si="17"/>
        <v>6.4152000000000022</v>
      </c>
      <c r="AF35" s="974"/>
      <c r="AG35" s="974"/>
      <c r="AH35" s="988">
        <f t="shared" si="18"/>
        <v>0.16200000000000003</v>
      </c>
      <c r="AI35" s="988" t="str">
        <f t="shared" si="19"/>
        <v>N</v>
      </c>
      <c r="AJ35" s="989">
        <f t="shared" si="20"/>
        <v>0</v>
      </c>
      <c r="AK35" s="989">
        <f t="shared" si="21"/>
        <v>0</v>
      </c>
      <c r="AL35" s="989">
        <f t="shared" si="22"/>
        <v>0</v>
      </c>
      <c r="AM35" s="987" t="s">
        <v>444</v>
      </c>
      <c r="AN35" s="989">
        <f t="shared" si="23"/>
        <v>0</v>
      </c>
      <c r="AO35" s="997">
        <v>30</v>
      </c>
      <c r="AP35" s="989">
        <f t="shared" si="24"/>
        <v>30</v>
      </c>
      <c r="AQ35" s="989">
        <v>0</v>
      </c>
      <c r="AR35" s="996">
        <v>3.0756000000000001</v>
      </c>
      <c r="AS35" s="995">
        <f t="shared" si="25"/>
        <v>0.1851944161680599</v>
      </c>
      <c r="AT35" s="989">
        <f t="shared" si="26"/>
        <v>5.5558324850417966</v>
      </c>
      <c r="AU35" s="989">
        <f t="shared" si="27"/>
        <v>7.1999999999999993</v>
      </c>
      <c r="AV35" s="994">
        <f t="shared" si="28"/>
        <v>80</v>
      </c>
      <c r="AW35" s="989">
        <f t="shared" si="29"/>
        <v>3.4363800000000038</v>
      </c>
      <c r="AX35" s="989">
        <f t="shared" si="30"/>
        <v>0</v>
      </c>
      <c r="AY35" s="989">
        <f t="shared" si="31"/>
        <v>2.7491040000000027</v>
      </c>
      <c r="AZ35" s="989">
        <f t="shared" si="32"/>
        <v>0.68727600000000111</v>
      </c>
      <c r="BA35" s="993">
        <f t="shared" si="33"/>
        <v>7.7875149582024824E-3</v>
      </c>
      <c r="BB35" s="989">
        <f t="shared" si="34"/>
        <v>13.450896</v>
      </c>
      <c r="BC35" s="992">
        <f t="shared" si="35"/>
        <v>0.41249999999999998</v>
      </c>
      <c r="BD35" s="992">
        <v>0.6</v>
      </c>
      <c r="BE35" s="992">
        <v>0.4</v>
      </c>
      <c r="BF35" s="992">
        <v>0.1</v>
      </c>
      <c r="BG35" s="992">
        <v>1.2500000000000001E-2</v>
      </c>
      <c r="BH35" s="989">
        <f t="shared" si="36"/>
        <v>0</v>
      </c>
      <c r="BI35" s="988">
        <f t="shared" si="37"/>
        <v>1.1000000000000001</v>
      </c>
      <c r="BJ35" s="989">
        <f t="shared" si="38"/>
        <v>0</v>
      </c>
      <c r="BK35" s="989">
        <f t="shared" si="39"/>
        <v>0</v>
      </c>
      <c r="BL35" s="989">
        <f t="shared" si="40"/>
        <v>16.200000000000003</v>
      </c>
      <c r="BM35" s="954"/>
      <c r="BN35" s="954"/>
      <c r="BO35" s="991">
        <f t="shared" si="43"/>
        <v>16.200000000000003</v>
      </c>
      <c r="BP35" s="989">
        <f t="shared" si="44"/>
        <v>0</v>
      </c>
      <c r="BQ35" s="990">
        <f t="shared" si="45"/>
        <v>6.3750000000000001E-2</v>
      </c>
      <c r="BR35" s="989">
        <f t="shared" si="46"/>
        <v>5.6250000000000007E-3</v>
      </c>
      <c r="BS35" s="989">
        <f t="shared" si="47"/>
        <v>6.1359218750000013E-5</v>
      </c>
      <c r="BT35" s="989" t="str">
        <f t="shared" si="48"/>
        <v>C2</v>
      </c>
      <c r="BU35" s="988">
        <f t="shared" si="49"/>
        <v>16.038000000000004</v>
      </c>
      <c r="BV35" s="974"/>
      <c r="BW35" s="974"/>
      <c r="BX35" s="973"/>
      <c r="BY35" s="987" t="s">
        <v>387</v>
      </c>
      <c r="BZ35" s="987">
        <f t="shared" si="52"/>
        <v>61.2</v>
      </c>
      <c r="CA35" s="971"/>
      <c r="CB35" s="971"/>
      <c r="CC35" s="971"/>
      <c r="CD35" s="971"/>
      <c r="CE35" s="971"/>
      <c r="CF35" s="971"/>
      <c r="CG35" s="971"/>
      <c r="CH35" s="971"/>
      <c r="CI35" s="971"/>
      <c r="CJ35" s="971"/>
      <c r="CK35" s="971"/>
      <c r="CL35" s="971"/>
      <c r="CM35" s="986">
        <v>18.18</v>
      </c>
    </row>
    <row r="36" spans="1:91" s="970" customFormat="1" ht="12.75" customHeight="1">
      <c r="A36" s="1003" t="s">
        <v>428</v>
      </c>
      <c r="B36" s="1102" t="s">
        <v>165</v>
      </c>
      <c r="C36" s="1102" t="s">
        <v>166</v>
      </c>
      <c r="D36" s="1002">
        <f>3*41</f>
        <v>123</v>
      </c>
      <c r="E36" s="1001">
        <v>0.01</v>
      </c>
      <c r="F36" s="1006">
        <v>18.18</v>
      </c>
      <c r="G36" s="982"/>
      <c r="H36" s="982"/>
      <c r="I36" s="982"/>
      <c r="J36" s="982"/>
      <c r="K36" s="1000">
        <f t="shared" si="0"/>
        <v>1</v>
      </c>
      <c r="L36" s="989">
        <f t="shared" si="1"/>
        <v>123</v>
      </c>
      <c r="M36" s="989">
        <f t="shared" si="2"/>
        <v>0.6</v>
      </c>
      <c r="N36" s="999" t="s">
        <v>443</v>
      </c>
      <c r="O36" s="998" t="str">
        <f t="shared" si="3"/>
        <v>N</v>
      </c>
      <c r="P36" s="998" t="str">
        <f t="shared" si="4"/>
        <v>N</v>
      </c>
      <c r="Q36" s="998" t="str">
        <f t="shared" si="5"/>
        <v>S</v>
      </c>
      <c r="R36" s="998" t="str">
        <f t="shared" si="6"/>
        <v>N</v>
      </c>
      <c r="S36" s="989">
        <f t="shared" si="7"/>
        <v>0</v>
      </c>
      <c r="T36" s="989">
        <f t="shared" si="8"/>
        <v>0</v>
      </c>
      <c r="U36" s="989">
        <f t="shared" si="9"/>
        <v>123</v>
      </c>
      <c r="V36" s="989">
        <f t="shared" si="10"/>
        <v>0</v>
      </c>
      <c r="W36" s="989">
        <f t="shared" si="11"/>
        <v>0</v>
      </c>
      <c r="X36" s="989">
        <f t="shared" si="12"/>
        <v>0</v>
      </c>
      <c r="Y36" s="989">
        <f t="shared" si="13"/>
        <v>19.680000000000003</v>
      </c>
      <c r="Z36" s="989">
        <f t="shared" si="14"/>
        <v>1.1000000000000001</v>
      </c>
      <c r="AA36" s="994">
        <f t="shared" si="15"/>
        <v>60</v>
      </c>
      <c r="AB36" s="989">
        <f t="shared" si="16"/>
        <v>39.453480000000006</v>
      </c>
      <c r="AC36" s="954"/>
      <c r="AD36" s="954"/>
      <c r="AE36" s="988">
        <f t="shared" si="17"/>
        <v>26.302320000000002</v>
      </c>
      <c r="AF36" s="974"/>
      <c r="AG36" s="974"/>
      <c r="AH36" s="988">
        <f t="shared" si="18"/>
        <v>0.66420000000000001</v>
      </c>
      <c r="AI36" s="988" t="str">
        <f t="shared" si="19"/>
        <v>N</v>
      </c>
      <c r="AJ36" s="989">
        <f t="shared" si="20"/>
        <v>0</v>
      </c>
      <c r="AK36" s="989">
        <f t="shared" si="21"/>
        <v>0</v>
      </c>
      <c r="AL36" s="989">
        <f t="shared" si="22"/>
        <v>0</v>
      </c>
      <c r="AM36" s="987" t="s">
        <v>444</v>
      </c>
      <c r="AN36" s="989">
        <f t="shared" si="23"/>
        <v>0</v>
      </c>
      <c r="AO36" s="997">
        <v>31</v>
      </c>
      <c r="AP36" s="989">
        <f t="shared" si="24"/>
        <v>123</v>
      </c>
      <c r="AQ36" s="989">
        <v>0</v>
      </c>
      <c r="AR36" s="996">
        <v>3.1781199999999998</v>
      </c>
      <c r="AS36" s="995">
        <f t="shared" si="25"/>
        <v>0.1851944161680599</v>
      </c>
      <c r="AT36" s="989">
        <f t="shared" si="26"/>
        <v>22.778913188671368</v>
      </c>
      <c r="AU36" s="989">
        <f t="shared" si="27"/>
        <v>29.52</v>
      </c>
      <c r="AV36" s="994">
        <f t="shared" si="28"/>
        <v>80</v>
      </c>
      <c r="AW36" s="989">
        <f t="shared" si="29"/>
        <v>14.089158000000005</v>
      </c>
      <c r="AX36" s="989">
        <f t="shared" si="30"/>
        <v>0</v>
      </c>
      <c r="AY36" s="989">
        <f t="shared" si="31"/>
        <v>11.271326400000007</v>
      </c>
      <c r="AZ36" s="989">
        <f t="shared" si="32"/>
        <v>2.8178315999999981</v>
      </c>
      <c r="BA36" s="993">
        <f t="shared" si="33"/>
        <v>3.192881132863018E-2</v>
      </c>
      <c r="BB36" s="989">
        <f t="shared" si="34"/>
        <v>55.148673599999995</v>
      </c>
      <c r="BC36" s="992">
        <f t="shared" si="35"/>
        <v>0.41249999999999998</v>
      </c>
      <c r="BD36" s="992">
        <v>0.6</v>
      </c>
      <c r="BE36" s="992">
        <v>0.4</v>
      </c>
      <c r="BF36" s="992">
        <v>0.1</v>
      </c>
      <c r="BG36" s="992">
        <v>1.2500000000000001E-2</v>
      </c>
      <c r="BH36" s="989">
        <f t="shared" si="36"/>
        <v>0</v>
      </c>
      <c r="BI36" s="988">
        <f t="shared" si="37"/>
        <v>1.1000000000000001</v>
      </c>
      <c r="BJ36" s="989">
        <f t="shared" si="38"/>
        <v>0</v>
      </c>
      <c r="BK36" s="989">
        <f t="shared" si="39"/>
        <v>0</v>
      </c>
      <c r="BL36" s="989">
        <f t="shared" si="40"/>
        <v>66.42</v>
      </c>
      <c r="BM36" s="954"/>
      <c r="BN36" s="954"/>
      <c r="BO36" s="991">
        <f t="shared" si="43"/>
        <v>66.42</v>
      </c>
      <c r="BP36" s="989">
        <f t="shared" si="44"/>
        <v>0</v>
      </c>
      <c r="BQ36" s="990">
        <f t="shared" si="45"/>
        <v>6.3750000000000001E-2</v>
      </c>
      <c r="BR36" s="989">
        <f t="shared" si="46"/>
        <v>5.6250000000000007E-3</v>
      </c>
      <c r="BS36" s="989">
        <f t="shared" si="47"/>
        <v>6.1359218750000013E-5</v>
      </c>
      <c r="BT36" s="989" t="str">
        <f t="shared" si="48"/>
        <v>C2</v>
      </c>
      <c r="BU36" s="988">
        <f t="shared" si="49"/>
        <v>65.755800000000008</v>
      </c>
      <c r="BV36" s="974"/>
      <c r="BW36" s="974"/>
      <c r="BX36" s="973"/>
      <c r="BY36" s="987" t="s">
        <v>387</v>
      </c>
      <c r="BZ36" s="987">
        <f t="shared" si="52"/>
        <v>247.2</v>
      </c>
      <c r="CA36" s="971"/>
      <c r="CB36" s="971"/>
      <c r="CC36" s="971"/>
      <c r="CD36" s="971"/>
      <c r="CE36" s="971"/>
      <c r="CF36" s="971"/>
      <c r="CG36" s="971"/>
      <c r="CH36" s="971"/>
      <c r="CI36" s="971"/>
      <c r="CJ36" s="971"/>
      <c r="CK36" s="971"/>
      <c r="CL36" s="971"/>
      <c r="CM36" s="986">
        <v>18.18</v>
      </c>
    </row>
    <row r="37" spans="1:91" s="970" customFormat="1" ht="12.75" customHeight="1">
      <c r="A37" s="1003" t="s">
        <v>429</v>
      </c>
      <c r="B37" s="1102" t="s">
        <v>167</v>
      </c>
      <c r="C37" s="1102" t="s">
        <v>165</v>
      </c>
      <c r="D37" s="1002">
        <f>3*5</f>
        <v>15</v>
      </c>
      <c r="E37" s="1001">
        <v>0.01</v>
      </c>
      <c r="F37" s="1006">
        <v>18.18</v>
      </c>
      <c r="G37" s="982"/>
      <c r="H37" s="982"/>
      <c r="I37" s="982"/>
      <c r="J37" s="982"/>
      <c r="K37" s="1000">
        <f t="shared" si="0"/>
        <v>1</v>
      </c>
      <c r="L37" s="989">
        <f t="shared" si="1"/>
        <v>15</v>
      </c>
      <c r="M37" s="989">
        <f t="shared" si="2"/>
        <v>0.6</v>
      </c>
      <c r="N37" s="999" t="s">
        <v>443</v>
      </c>
      <c r="O37" s="998" t="str">
        <f t="shared" si="3"/>
        <v>N</v>
      </c>
      <c r="P37" s="998" t="str">
        <f t="shared" si="4"/>
        <v>N</v>
      </c>
      <c r="Q37" s="998" t="str">
        <f t="shared" si="5"/>
        <v>S</v>
      </c>
      <c r="R37" s="998" t="str">
        <f t="shared" si="6"/>
        <v>N</v>
      </c>
      <c r="S37" s="989">
        <f t="shared" si="7"/>
        <v>0</v>
      </c>
      <c r="T37" s="989">
        <f t="shared" si="8"/>
        <v>0</v>
      </c>
      <c r="U37" s="989">
        <f t="shared" si="9"/>
        <v>15</v>
      </c>
      <c r="V37" s="989">
        <f t="shared" si="10"/>
        <v>0</v>
      </c>
      <c r="W37" s="989">
        <f t="shared" si="11"/>
        <v>0</v>
      </c>
      <c r="X37" s="989">
        <f t="shared" si="12"/>
        <v>0</v>
      </c>
      <c r="Y37" s="989">
        <f t="shared" si="13"/>
        <v>2.4000000000000004</v>
      </c>
      <c r="Z37" s="989">
        <f t="shared" si="14"/>
        <v>1.1000000000000001</v>
      </c>
      <c r="AA37" s="994">
        <f t="shared" si="15"/>
        <v>60</v>
      </c>
      <c r="AB37" s="989">
        <f t="shared" si="16"/>
        <v>4.8114000000000008</v>
      </c>
      <c r="AC37" s="954"/>
      <c r="AD37" s="954"/>
      <c r="AE37" s="988">
        <f t="shared" si="17"/>
        <v>3.2076000000000011</v>
      </c>
      <c r="AF37" s="974"/>
      <c r="AG37" s="974"/>
      <c r="AH37" s="988">
        <f t="shared" si="18"/>
        <v>8.1000000000000016E-2</v>
      </c>
      <c r="AI37" s="988" t="str">
        <f t="shared" si="19"/>
        <v>N</v>
      </c>
      <c r="AJ37" s="989">
        <f t="shared" si="20"/>
        <v>0</v>
      </c>
      <c r="AK37" s="989">
        <f t="shared" si="21"/>
        <v>0</v>
      </c>
      <c r="AL37" s="989">
        <f t="shared" si="22"/>
        <v>0</v>
      </c>
      <c r="AM37" s="987" t="s">
        <v>444</v>
      </c>
      <c r="AN37" s="989">
        <f t="shared" si="23"/>
        <v>0</v>
      </c>
      <c r="AO37" s="997">
        <v>32</v>
      </c>
      <c r="AP37" s="989">
        <f t="shared" si="24"/>
        <v>15</v>
      </c>
      <c r="AQ37" s="989">
        <v>0</v>
      </c>
      <c r="AR37" s="996">
        <v>3.28064</v>
      </c>
      <c r="AS37" s="995">
        <f t="shared" si="25"/>
        <v>0.1851944161680599</v>
      </c>
      <c r="AT37" s="989">
        <f t="shared" si="26"/>
        <v>2.7779162425208983</v>
      </c>
      <c r="AU37" s="989">
        <f t="shared" si="27"/>
        <v>3.5999999999999996</v>
      </c>
      <c r="AV37" s="994">
        <f t="shared" si="28"/>
        <v>80</v>
      </c>
      <c r="AW37" s="989">
        <f t="shared" si="29"/>
        <v>1.7181900000000019</v>
      </c>
      <c r="AX37" s="989">
        <f t="shared" si="30"/>
        <v>0</v>
      </c>
      <c r="AY37" s="989">
        <f t="shared" si="31"/>
        <v>1.3745520000000013</v>
      </c>
      <c r="AZ37" s="989">
        <f t="shared" si="32"/>
        <v>0.34363800000000055</v>
      </c>
      <c r="BA37" s="993">
        <f t="shared" si="33"/>
        <v>3.8937574791012412E-3</v>
      </c>
      <c r="BB37" s="989">
        <f t="shared" si="34"/>
        <v>6.7254480000000001</v>
      </c>
      <c r="BC37" s="992">
        <f t="shared" si="35"/>
        <v>0.41249999999999998</v>
      </c>
      <c r="BD37" s="992">
        <v>0.6</v>
      </c>
      <c r="BE37" s="992">
        <v>0.4</v>
      </c>
      <c r="BF37" s="992">
        <v>0.1</v>
      </c>
      <c r="BG37" s="992">
        <v>1.2500000000000001E-2</v>
      </c>
      <c r="BH37" s="989">
        <f t="shared" si="36"/>
        <v>0</v>
      </c>
      <c r="BI37" s="988">
        <f t="shared" si="37"/>
        <v>1.1000000000000001</v>
      </c>
      <c r="BJ37" s="989">
        <f t="shared" si="38"/>
        <v>0</v>
      </c>
      <c r="BK37" s="989">
        <f t="shared" si="39"/>
        <v>0</v>
      </c>
      <c r="BL37" s="989">
        <f t="shared" si="40"/>
        <v>8.1000000000000014</v>
      </c>
      <c r="BM37" s="954"/>
      <c r="BN37" s="954"/>
      <c r="BO37" s="991">
        <f t="shared" si="43"/>
        <v>8.1000000000000014</v>
      </c>
      <c r="BP37" s="989">
        <f t="shared" si="44"/>
        <v>0</v>
      </c>
      <c r="BQ37" s="990">
        <f t="shared" si="45"/>
        <v>6.3750000000000001E-2</v>
      </c>
      <c r="BR37" s="989">
        <f t="shared" si="46"/>
        <v>5.6250000000000007E-3</v>
      </c>
      <c r="BS37" s="989">
        <f t="shared" si="47"/>
        <v>6.1359218750000013E-5</v>
      </c>
      <c r="BT37" s="989" t="str">
        <f t="shared" si="48"/>
        <v>C2</v>
      </c>
      <c r="BU37" s="988">
        <f t="shared" si="49"/>
        <v>8.0190000000000019</v>
      </c>
      <c r="BV37" s="974"/>
      <c r="BW37" s="974"/>
      <c r="BX37" s="973"/>
      <c r="BY37" s="987" t="s">
        <v>387</v>
      </c>
      <c r="BZ37" s="987">
        <f t="shared" si="52"/>
        <v>31.2</v>
      </c>
      <c r="CA37" s="971"/>
      <c r="CB37" s="971"/>
      <c r="CC37" s="971"/>
      <c r="CD37" s="971"/>
      <c r="CE37" s="971"/>
      <c r="CF37" s="971"/>
      <c r="CG37" s="971"/>
      <c r="CH37" s="971"/>
      <c r="CI37" s="971"/>
      <c r="CJ37" s="971"/>
      <c r="CK37" s="971"/>
      <c r="CL37" s="971"/>
      <c r="CM37" s="986">
        <v>18.18</v>
      </c>
    </row>
    <row r="38" spans="1:91" s="970" customFormat="1" ht="12.75" customHeight="1">
      <c r="A38" s="1003" t="s">
        <v>430</v>
      </c>
      <c r="B38" s="1102" t="s">
        <v>167</v>
      </c>
      <c r="C38" s="1102" t="s">
        <v>168</v>
      </c>
      <c r="D38" s="1002">
        <f>3*7</f>
        <v>21</v>
      </c>
      <c r="E38" s="1001">
        <v>0.01</v>
      </c>
      <c r="F38" s="1006">
        <v>18.18</v>
      </c>
      <c r="G38" s="982"/>
      <c r="H38" s="982"/>
      <c r="I38" s="982"/>
      <c r="J38" s="982"/>
      <c r="K38" s="1000">
        <f t="shared" si="0"/>
        <v>1</v>
      </c>
      <c r="L38" s="989">
        <f t="shared" si="1"/>
        <v>21</v>
      </c>
      <c r="M38" s="989">
        <f t="shared" si="2"/>
        <v>0.6</v>
      </c>
      <c r="N38" s="999" t="s">
        <v>443</v>
      </c>
      <c r="O38" s="998" t="str">
        <f t="shared" si="3"/>
        <v>N</v>
      </c>
      <c r="P38" s="998" t="str">
        <f t="shared" si="4"/>
        <v>N</v>
      </c>
      <c r="Q38" s="998" t="str">
        <f t="shared" si="5"/>
        <v>S</v>
      </c>
      <c r="R38" s="998" t="str">
        <f t="shared" si="6"/>
        <v>N</v>
      </c>
      <c r="S38" s="989">
        <f t="shared" si="7"/>
        <v>0</v>
      </c>
      <c r="T38" s="989">
        <f t="shared" si="8"/>
        <v>0</v>
      </c>
      <c r="U38" s="989">
        <f t="shared" si="9"/>
        <v>21</v>
      </c>
      <c r="V38" s="989">
        <f t="shared" si="10"/>
        <v>0</v>
      </c>
      <c r="W38" s="989">
        <f t="shared" si="11"/>
        <v>0</v>
      </c>
      <c r="X38" s="989">
        <f t="shared" si="12"/>
        <v>0</v>
      </c>
      <c r="Y38" s="989">
        <f t="shared" si="13"/>
        <v>3.3600000000000003</v>
      </c>
      <c r="Z38" s="989">
        <f t="shared" si="14"/>
        <v>1.1000000000000001</v>
      </c>
      <c r="AA38" s="994">
        <f t="shared" si="15"/>
        <v>60</v>
      </c>
      <c r="AB38" s="989">
        <f t="shared" si="16"/>
        <v>6.7359600000000004</v>
      </c>
      <c r="AC38" s="954"/>
      <c r="AD38" s="954"/>
      <c r="AE38" s="988">
        <f t="shared" si="17"/>
        <v>4.4906400000000009</v>
      </c>
      <c r="AF38" s="974"/>
      <c r="AG38" s="974"/>
      <c r="AH38" s="988">
        <f t="shared" si="18"/>
        <v>0.11340000000000001</v>
      </c>
      <c r="AI38" s="988" t="str">
        <f t="shared" si="19"/>
        <v>N</v>
      </c>
      <c r="AJ38" s="989">
        <f t="shared" si="20"/>
        <v>0</v>
      </c>
      <c r="AK38" s="989">
        <f t="shared" si="21"/>
        <v>0</v>
      </c>
      <c r="AL38" s="989">
        <f t="shared" si="22"/>
        <v>0</v>
      </c>
      <c r="AM38" s="987" t="s">
        <v>444</v>
      </c>
      <c r="AN38" s="989">
        <f t="shared" si="23"/>
        <v>0</v>
      </c>
      <c r="AO38" s="997">
        <v>33</v>
      </c>
      <c r="AP38" s="989">
        <f t="shared" si="24"/>
        <v>21</v>
      </c>
      <c r="AQ38" s="989">
        <v>0</v>
      </c>
      <c r="AR38" s="996">
        <v>3.3831600000000002</v>
      </c>
      <c r="AS38" s="995">
        <f t="shared" si="25"/>
        <v>0.1851944161680599</v>
      </c>
      <c r="AT38" s="989">
        <f t="shared" si="26"/>
        <v>3.889082739529258</v>
      </c>
      <c r="AU38" s="989">
        <f t="shared" si="27"/>
        <v>5.04</v>
      </c>
      <c r="AV38" s="994">
        <f t="shared" si="28"/>
        <v>80</v>
      </c>
      <c r="AW38" s="989">
        <f t="shared" si="29"/>
        <v>2.4054660000000023</v>
      </c>
      <c r="AX38" s="989">
        <f t="shared" si="30"/>
        <v>0</v>
      </c>
      <c r="AY38" s="989">
        <f t="shared" si="31"/>
        <v>1.9243728000000013</v>
      </c>
      <c r="AZ38" s="989">
        <f t="shared" si="32"/>
        <v>0.481093200000001</v>
      </c>
      <c r="BA38" s="993">
        <f t="shared" si="33"/>
        <v>5.4512604707417376E-3</v>
      </c>
      <c r="BB38" s="989">
        <f t="shared" si="34"/>
        <v>9.4156271999999994</v>
      </c>
      <c r="BC38" s="992">
        <f t="shared" si="35"/>
        <v>0.41249999999999998</v>
      </c>
      <c r="BD38" s="992">
        <v>0.6</v>
      </c>
      <c r="BE38" s="992">
        <v>0.4</v>
      </c>
      <c r="BF38" s="992">
        <v>0.1</v>
      </c>
      <c r="BG38" s="992">
        <v>1.2500000000000001E-2</v>
      </c>
      <c r="BH38" s="989">
        <f t="shared" si="36"/>
        <v>0</v>
      </c>
      <c r="BI38" s="988">
        <f t="shared" si="37"/>
        <v>1.1000000000000001</v>
      </c>
      <c r="BJ38" s="989">
        <f t="shared" si="38"/>
        <v>0</v>
      </c>
      <c r="BK38" s="989">
        <f t="shared" si="39"/>
        <v>0</v>
      </c>
      <c r="BL38" s="989">
        <f t="shared" si="40"/>
        <v>11.340000000000002</v>
      </c>
      <c r="BM38" s="954"/>
      <c r="BN38" s="954"/>
      <c r="BO38" s="991">
        <f t="shared" si="43"/>
        <v>11.340000000000002</v>
      </c>
      <c r="BP38" s="989">
        <f t="shared" si="44"/>
        <v>0</v>
      </c>
      <c r="BQ38" s="990">
        <f t="shared" si="45"/>
        <v>6.3750000000000001E-2</v>
      </c>
      <c r="BR38" s="989">
        <f t="shared" si="46"/>
        <v>5.6250000000000007E-3</v>
      </c>
      <c r="BS38" s="989">
        <f t="shared" si="47"/>
        <v>6.1359218750000013E-5</v>
      </c>
      <c r="BT38" s="989" t="str">
        <f t="shared" si="48"/>
        <v>C2</v>
      </c>
      <c r="BU38" s="988">
        <f t="shared" si="49"/>
        <v>11.226600000000001</v>
      </c>
      <c r="BV38" s="974"/>
      <c r="BW38" s="974"/>
      <c r="BX38" s="973"/>
      <c r="BY38" s="987" t="s">
        <v>387</v>
      </c>
      <c r="BZ38" s="987">
        <f t="shared" si="52"/>
        <v>43.2</v>
      </c>
      <c r="CA38" s="971"/>
      <c r="CB38" s="971"/>
      <c r="CC38" s="971"/>
      <c r="CD38" s="971"/>
      <c r="CE38" s="971"/>
      <c r="CF38" s="971"/>
      <c r="CG38" s="971"/>
      <c r="CH38" s="971"/>
      <c r="CI38" s="971"/>
      <c r="CJ38" s="971"/>
      <c r="CK38" s="971"/>
      <c r="CL38" s="971"/>
      <c r="CM38" s="986">
        <v>18.18</v>
      </c>
    </row>
    <row r="39" spans="1:91" s="970" customFormat="1" ht="12.75" customHeight="1">
      <c r="A39" s="1003" t="s">
        <v>431</v>
      </c>
      <c r="B39" s="1102" t="s">
        <v>169</v>
      </c>
      <c r="C39" s="1102" t="s">
        <v>170</v>
      </c>
      <c r="D39" s="1002">
        <f>3*24</f>
        <v>72</v>
      </c>
      <c r="E39" s="1001">
        <v>0.01</v>
      </c>
      <c r="F39" s="1006">
        <v>18.18</v>
      </c>
      <c r="G39" s="982"/>
      <c r="H39" s="982"/>
      <c r="I39" s="982"/>
      <c r="J39" s="982"/>
      <c r="K39" s="1000">
        <f t="shared" si="0"/>
        <v>1</v>
      </c>
      <c r="L39" s="989">
        <f t="shared" si="1"/>
        <v>72</v>
      </c>
      <c r="M39" s="989">
        <f t="shared" si="2"/>
        <v>0.6</v>
      </c>
      <c r="N39" s="999" t="s">
        <v>443</v>
      </c>
      <c r="O39" s="998" t="str">
        <f t="shared" si="3"/>
        <v>N</v>
      </c>
      <c r="P39" s="998" t="str">
        <f t="shared" si="4"/>
        <v>N</v>
      </c>
      <c r="Q39" s="998" t="str">
        <f t="shared" si="5"/>
        <v>S</v>
      </c>
      <c r="R39" s="998" t="str">
        <f t="shared" si="6"/>
        <v>N</v>
      </c>
      <c r="S39" s="989">
        <f t="shared" si="7"/>
        <v>0</v>
      </c>
      <c r="T39" s="989">
        <f t="shared" si="8"/>
        <v>0</v>
      </c>
      <c r="U39" s="989">
        <f t="shared" si="9"/>
        <v>72</v>
      </c>
      <c r="V39" s="989">
        <f t="shared" si="10"/>
        <v>0</v>
      </c>
      <c r="W39" s="989">
        <f t="shared" si="11"/>
        <v>0</v>
      </c>
      <c r="X39" s="989">
        <f t="shared" si="12"/>
        <v>0</v>
      </c>
      <c r="Y39" s="989">
        <f t="shared" si="13"/>
        <v>11.520000000000001</v>
      </c>
      <c r="Z39" s="989">
        <f t="shared" si="14"/>
        <v>1.1000000000000001</v>
      </c>
      <c r="AA39" s="994">
        <f t="shared" si="15"/>
        <v>60</v>
      </c>
      <c r="AB39" s="989">
        <f t="shared" si="16"/>
        <v>23.094719999999999</v>
      </c>
      <c r="AC39" s="954"/>
      <c r="AD39" s="954"/>
      <c r="AE39" s="988">
        <f t="shared" si="17"/>
        <v>15.39648</v>
      </c>
      <c r="AF39" s="974"/>
      <c r="AG39" s="974"/>
      <c r="AH39" s="988">
        <f t="shared" si="18"/>
        <v>0.38880000000000003</v>
      </c>
      <c r="AI39" s="988" t="str">
        <f t="shared" si="19"/>
        <v>N</v>
      </c>
      <c r="AJ39" s="989">
        <f t="shared" si="20"/>
        <v>0</v>
      </c>
      <c r="AK39" s="989">
        <f t="shared" si="21"/>
        <v>0</v>
      </c>
      <c r="AL39" s="989">
        <f t="shared" si="22"/>
        <v>0</v>
      </c>
      <c r="AM39" s="987" t="s">
        <v>444</v>
      </c>
      <c r="AN39" s="989">
        <f t="shared" si="23"/>
        <v>0</v>
      </c>
      <c r="AO39" s="997">
        <v>34</v>
      </c>
      <c r="AP39" s="989">
        <f t="shared" si="24"/>
        <v>72</v>
      </c>
      <c r="AQ39" s="989">
        <v>0</v>
      </c>
      <c r="AR39" s="996">
        <v>3.4856799999999999</v>
      </c>
      <c r="AS39" s="995">
        <f t="shared" si="25"/>
        <v>0.1851944161680599</v>
      </c>
      <c r="AT39" s="989">
        <f t="shared" si="26"/>
        <v>13.333997964100313</v>
      </c>
      <c r="AU39" s="989">
        <f t="shared" si="27"/>
        <v>17.28</v>
      </c>
      <c r="AV39" s="994">
        <f t="shared" si="28"/>
        <v>80</v>
      </c>
      <c r="AW39" s="989">
        <f t="shared" si="29"/>
        <v>8.2473120000000026</v>
      </c>
      <c r="AX39" s="989">
        <f t="shared" si="30"/>
        <v>0</v>
      </c>
      <c r="AY39" s="989">
        <f t="shared" si="31"/>
        <v>6.5978496000000009</v>
      </c>
      <c r="AZ39" s="989">
        <f t="shared" si="32"/>
        <v>1.6494624000000018</v>
      </c>
      <c r="BA39" s="993">
        <f t="shared" si="33"/>
        <v>1.8690035899685958E-2</v>
      </c>
      <c r="BB39" s="989">
        <f t="shared" si="34"/>
        <v>32.282150399999999</v>
      </c>
      <c r="BC39" s="992">
        <f t="shared" si="35"/>
        <v>0.41249999999999998</v>
      </c>
      <c r="BD39" s="992">
        <v>0.6</v>
      </c>
      <c r="BE39" s="992">
        <v>0.4</v>
      </c>
      <c r="BF39" s="992">
        <v>0.1</v>
      </c>
      <c r="BG39" s="992">
        <v>1.2500000000000001E-2</v>
      </c>
      <c r="BH39" s="989">
        <f t="shared" si="36"/>
        <v>0</v>
      </c>
      <c r="BI39" s="988">
        <f t="shared" si="37"/>
        <v>1.1000000000000001</v>
      </c>
      <c r="BJ39" s="989">
        <f t="shared" si="38"/>
        <v>0</v>
      </c>
      <c r="BK39" s="989">
        <f t="shared" si="39"/>
        <v>0</v>
      </c>
      <c r="BL39" s="989">
        <f t="shared" si="40"/>
        <v>38.880000000000003</v>
      </c>
      <c r="BM39" s="954"/>
      <c r="BN39" s="954"/>
      <c r="BO39" s="991">
        <f t="shared" si="43"/>
        <v>38.880000000000003</v>
      </c>
      <c r="BP39" s="989">
        <f t="shared" si="44"/>
        <v>0</v>
      </c>
      <c r="BQ39" s="990">
        <f t="shared" si="45"/>
        <v>6.3750000000000001E-2</v>
      </c>
      <c r="BR39" s="989">
        <f t="shared" si="46"/>
        <v>5.6250000000000007E-3</v>
      </c>
      <c r="BS39" s="989">
        <f t="shared" si="47"/>
        <v>6.1359218750000013E-5</v>
      </c>
      <c r="BT39" s="989" t="str">
        <f t="shared" si="48"/>
        <v>C2</v>
      </c>
      <c r="BU39" s="988">
        <f t="shared" si="49"/>
        <v>38.491199999999999</v>
      </c>
      <c r="BV39" s="974"/>
      <c r="BW39" s="974"/>
      <c r="BX39" s="973"/>
      <c r="BY39" s="987" t="s">
        <v>387</v>
      </c>
      <c r="BZ39" s="987">
        <f t="shared" si="52"/>
        <v>145.19999999999999</v>
      </c>
      <c r="CA39" s="971"/>
      <c r="CB39" s="971"/>
      <c r="CC39" s="971"/>
      <c r="CD39" s="971"/>
      <c r="CE39" s="971"/>
      <c r="CF39" s="971"/>
      <c r="CG39" s="971"/>
      <c r="CH39" s="971"/>
      <c r="CI39" s="971"/>
      <c r="CJ39" s="971"/>
      <c r="CK39" s="971"/>
      <c r="CL39" s="971"/>
      <c r="CM39" s="986">
        <v>18.18</v>
      </c>
    </row>
    <row r="40" spans="1:91" s="970" customFormat="1" ht="12.75" customHeight="1">
      <c r="A40" s="1003" t="s">
        <v>432</v>
      </c>
      <c r="B40" s="1102" t="s">
        <v>171</v>
      </c>
      <c r="C40" s="1102" t="s">
        <v>172</v>
      </c>
      <c r="D40" s="1002">
        <f>3*4</f>
        <v>12</v>
      </c>
      <c r="E40" s="1001">
        <v>0.01</v>
      </c>
      <c r="F40" s="1006">
        <v>18.18</v>
      </c>
      <c r="G40" s="982"/>
      <c r="H40" s="982"/>
      <c r="I40" s="982"/>
      <c r="J40" s="982"/>
      <c r="K40" s="1000">
        <f t="shared" si="0"/>
        <v>1</v>
      </c>
      <c r="L40" s="989">
        <f t="shared" si="1"/>
        <v>12</v>
      </c>
      <c r="M40" s="989">
        <f t="shared" si="2"/>
        <v>0.6</v>
      </c>
      <c r="N40" s="999" t="s">
        <v>443</v>
      </c>
      <c r="O40" s="998" t="str">
        <f t="shared" si="3"/>
        <v>N</v>
      </c>
      <c r="P40" s="998" t="str">
        <f t="shared" si="4"/>
        <v>N</v>
      </c>
      <c r="Q40" s="998" t="str">
        <f t="shared" si="5"/>
        <v>S</v>
      </c>
      <c r="R40" s="998" t="str">
        <f t="shared" si="6"/>
        <v>N</v>
      </c>
      <c r="S40" s="989">
        <f t="shared" si="7"/>
        <v>0</v>
      </c>
      <c r="T40" s="989">
        <f t="shared" si="8"/>
        <v>0</v>
      </c>
      <c r="U40" s="989">
        <f t="shared" si="9"/>
        <v>12</v>
      </c>
      <c r="V40" s="989">
        <f t="shared" si="10"/>
        <v>0</v>
      </c>
      <c r="W40" s="989">
        <f t="shared" si="11"/>
        <v>0</v>
      </c>
      <c r="X40" s="989">
        <f t="shared" si="12"/>
        <v>0</v>
      </c>
      <c r="Y40" s="989">
        <f t="shared" si="13"/>
        <v>1.9200000000000004</v>
      </c>
      <c r="Z40" s="989">
        <f t="shared" si="14"/>
        <v>1.1000000000000001</v>
      </c>
      <c r="AA40" s="994">
        <f t="shared" si="15"/>
        <v>60</v>
      </c>
      <c r="AB40" s="989">
        <f t="shared" si="16"/>
        <v>3.8491199999999997</v>
      </c>
      <c r="AC40" s="954"/>
      <c r="AD40" s="954"/>
      <c r="AE40" s="988">
        <f t="shared" si="17"/>
        <v>2.5660799999999999</v>
      </c>
      <c r="AF40" s="974"/>
      <c r="AG40" s="974"/>
      <c r="AH40" s="988">
        <f t="shared" si="18"/>
        <v>6.4799999999999996E-2</v>
      </c>
      <c r="AI40" s="988" t="str">
        <f t="shared" si="19"/>
        <v>N</v>
      </c>
      <c r="AJ40" s="989">
        <f t="shared" si="20"/>
        <v>0</v>
      </c>
      <c r="AK40" s="989">
        <f t="shared" si="21"/>
        <v>0</v>
      </c>
      <c r="AL40" s="989">
        <f t="shared" si="22"/>
        <v>0</v>
      </c>
      <c r="AM40" s="987" t="s">
        <v>444</v>
      </c>
      <c r="AN40" s="989">
        <f t="shared" si="23"/>
        <v>0</v>
      </c>
      <c r="AO40" s="997">
        <v>35</v>
      </c>
      <c r="AP40" s="989">
        <f t="shared" si="24"/>
        <v>12</v>
      </c>
      <c r="AQ40" s="989">
        <v>0</v>
      </c>
      <c r="AR40" s="996">
        <v>3.5882000000000001</v>
      </c>
      <c r="AS40" s="995">
        <f t="shared" si="25"/>
        <v>0.1851944161680599</v>
      </c>
      <c r="AT40" s="989">
        <f t="shared" si="26"/>
        <v>2.2223329940167189</v>
      </c>
      <c r="AU40" s="989">
        <f t="shared" si="27"/>
        <v>2.88</v>
      </c>
      <c r="AV40" s="994">
        <f t="shared" si="28"/>
        <v>80</v>
      </c>
      <c r="AW40" s="989">
        <f t="shared" si="29"/>
        <v>1.3745520000000002</v>
      </c>
      <c r="AX40" s="989">
        <f t="shared" si="30"/>
        <v>0</v>
      </c>
      <c r="AY40" s="989">
        <f t="shared" si="31"/>
        <v>1.0996416000000004</v>
      </c>
      <c r="AZ40" s="989">
        <f t="shared" si="32"/>
        <v>0.27491039999999978</v>
      </c>
      <c r="BA40" s="993">
        <f t="shared" si="33"/>
        <v>3.1150059832809932E-3</v>
      </c>
      <c r="BB40" s="989">
        <f t="shared" si="34"/>
        <v>5.3803583999999987</v>
      </c>
      <c r="BC40" s="992">
        <f t="shared" si="35"/>
        <v>0.41249999999999998</v>
      </c>
      <c r="BD40" s="992">
        <v>0.6</v>
      </c>
      <c r="BE40" s="992">
        <v>0.4</v>
      </c>
      <c r="BF40" s="992">
        <v>0.1</v>
      </c>
      <c r="BG40" s="992">
        <v>1.2500000000000001E-2</v>
      </c>
      <c r="BH40" s="989">
        <f t="shared" si="36"/>
        <v>0</v>
      </c>
      <c r="BI40" s="988">
        <f t="shared" si="37"/>
        <v>1.1000000000000001</v>
      </c>
      <c r="BJ40" s="989">
        <f t="shared" si="38"/>
        <v>0</v>
      </c>
      <c r="BK40" s="989">
        <f t="shared" si="39"/>
        <v>0</v>
      </c>
      <c r="BL40" s="989">
        <f t="shared" si="40"/>
        <v>6.4799999999999995</v>
      </c>
      <c r="BM40" s="954"/>
      <c r="BN40" s="954"/>
      <c r="BO40" s="991">
        <f t="shared" si="43"/>
        <v>6.4799999999999995</v>
      </c>
      <c r="BP40" s="989">
        <f t="shared" si="44"/>
        <v>0</v>
      </c>
      <c r="BQ40" s="990">
        <f t="shared" si="45"/>
        <v>6.3750000000000001E-2</v>
      </c>
      <c r="BR40" s="989">
        <f t="shared" si="46"/>
        <v>5.6250000000000007E-3</v>
      </c>
      <c r="BS40" s="989">
        <f t="shared" si="47"/>
        <v>6.1359218750000013E-5</v>
      </c>
      <c r="BT40" s="989" t="str">
        <f t="shared" si="48"/>
        <v>C2</v>
      </c>
      <c r="BU40" s="988">
        <f t="shared" si="49"/>
        <v>6.4151999999999996</v>
      </c>
      <c r="BV40" s="974"/>
      <c r="BW40" s="974"/>
      <c r="BX40" s="973"/>
      <c r="BY40" s="987" t="s">
        <v>387</v>
      </c>
      <c r="BZ40" s="987">
        <f t="shared" si="52"/>
        <v>25.2</v>
      </c>
      <c r="CA40" s="971"/>
      <c r="CB40" s="971"/>
      <c r="CC40" s="971"/>
      <c r="CD40" s="971"/>
      <c r="CE40" s="971"/>
      <c r="CF40" s="971"/>
      <c r="CG40" s="971"/>
      <c r="CH40" s="971"/>
      <c r="CI40" s="971"/>
      <c r="CJ40" s="971"/>
      <c r="CK40" s="971"/>
      <c r="CL40" s="971"/>
      <c r="CM40" s="986">
        <v>18.18</v>
      </c>
    </row>
    <row r="41" spans="1:91" s="970" customFormat="1" ht="12.75" customHeight="1">
      <c r="A41" s="1300" t="s">
        <v>433</v>
      </c>
      <c r="B41" s="1299" t="s">
        <v>173</v>
      </c>
      <c r="C41" s="1299" t="s">
        <v>130</v>
      </c>
      <c r="D41" s="1298">
        <v>0</v>
      </c>
      <c r="E41" s="1297">
        <v>0.01</v>
      </c>
      <c r="F41" s="1296">
        <v>18.18</v>
      </c>
      <c r="G41" s="1295"/>
      <c r="H41" s="1295"/>
      <c r="I41" s="1295"/>
      <c r="J41" s="1295"/>
      <c r="K41" s="1294">
        <f t="shared" si="0"/>
        <v>1</v>
      </c>
      <c r="L41" s="1284">
        <f t="shared" si="1"/>
        <v>0</v>
      </c>
      <c r="M41" s="1284">
        <f t="shared" si="2"/>
        <v>0.6</v>
      </c>
      <c r="N41" s="1293" t="s">
        <v>443</v>
      </c>
      <c r="O41" s="1292" t="str">
        <f t="shared" si="3"/>
        <v>N</v>
      </c>
      <c r="P41" s="1292" t="str">
        <f t="shared" si="4"/>
        <v>N</v>
      </c>
      <c r="Q41" s="1292" t="str">
        <f t="shared" si="5"/>
        <v>S</v>
      </c>
      <c r="R41" s="1292" t="str">
        <f t="shared" si="6"/>
        <v>N</v>
      </c>
      <c r="S41" s="1284">
        <f t="shared" si="7"/>
        <v>0</v>
      </c>
      <c r="T41" s="1284">
        <f t="shared" si="8"/>
        <v>0</v>
      </c>
      <c r="U41" s="1284">
        <f t="shared" si="9"/>
        <v>0</v>
      </c>
      <c r="V41" s="1284">
        <f t="shared" si="10"/>
        <v>0</v>
      </c>
      <c r="W41" s="1284">
        <f t="shared" si="11"/>
        <v>0</v>
      </c>
      <c r="X41" s="1284">
        <f t="shared" si="12"/>
        <v>0</v>
      </c>
      <c r="Y41" s="1284">
        <f t="shared" si="13"/>
        <v>0</v>
      </c>
      <c r="Z41" s="1284">
        <f t="shared" si="14"/>
        <v>1.1000000000000001</v>
      </c>
      <c r="AA41" s="1290">
        <f t="shared" si="15"/>
        <v>60</v>
      </c>
      <c r="AB41" s="1284">
        <f t="shared" si="16"/>
        <v>0</v>
      </c>
      <c r="AC41" s="1287"/>
      <c r="AD41" s="1287"/>
      <c r="AE41" s="1283">
        <f t="shared" si="17"/>
        <v>0</v>
      </c>
      <c r="AF41" s="1282"/>
      <c r="AG41" s="1282"/>
      <c r="AH41" s="1283">
        <f t="shared" si="18"/>
        <v>0</v>
      </c>
      <c r="AI41" s="1283" t="str">
        <f t="shared" si="19"/>
        <v>N</v>
      </c>
      <c r="AJ41" s="1284">
        <f t="shared" si="20"/>
        <v>0</v>
      </c>
      <c r="AK41" s="1284">
        <f t="shared" si="21"/>
        <v>0</v>
      </c>
      <c r="AL41" s="1284">
        <f t="shared" si="22"/>
        <v>0</v>
      </c>
      <c r="AM41" s="1281" t="s">
        <v>444</v>
      </c>
      <c r="AN41" s="1284">
        <f t="shared" si="23"/>
        <v>0</v>
      </c>
      <c r="AO41" s="1284">
        <v>36</v>
      </c>
      <c r="AP41" s="1284">
        <f t="shared" si="24"/>
        <v>0</v>
      </c>
      <c r="AQ41" s="1284">
        <v>0</v>
      </c>
      <c r="AR41" s="1284">
        <v>3.6907199999999998</v>
      </c>
      <c r="AS41" s="1291">
        <f t="shared" si="25"/>
        <v>0.1851944161680599</v>
      </c>
      <c r="AT41" s="1284">
        <f t="shared" si="26"/>
        <v>0</v>
      </c>
      <c r="AU41" s="1284">
        <f t="shared" si="27"/>
        <v>0</v>
      </c>
      <c r="AV41" s="1290">
        <f t="shared" si="28"/>
        <v>80</v>
      </c>
      <c r="AW41" s="1284">
        <f t="shared" si="29"/>
        <v>0</v>
      </c>
      <c r="AX41" s="1284">
        <f t="shared" si="30"/>
        <v>0</v>
      </c>
      <c r="AY41" s="1284">
        <f t="shared" si="31"/>
        <v>0</v>
      </c>
      <c r="AZ41" s="1284">
        <f t="shared" si="32"/>
        <v>0</v>
      </c>
      <c r="BA41" s="1289">
        <f t="shared" si="33"/>
        <v>0</v>
      </c>
      <c r="BB41" s="1284">
        <f t="shared" si="34"/>
        <v>0</v>
      </c>
      <c r="BC41" s="1288">
        <f t="shared" si="35"/>
        <v>0.41249999999999998</v>
      </c>
      <c r="BD41" s="1288">
        <v>0.6</v>
      </c>
      <c r="BE41" s="1288">
        <v>0.4</v>
      </c>
      <c r="BF41" s="1288">
        <v>0.1</v>
      </c>
      <c r="BG41" s="1288">
        <v>1.2500000000000001E-2</v>
      </c>
      <c r="BH41" s="1284">
        <f t="shared" si="36"/>
        <v>0</v>
      </c>
      <c r="BI41" s="1283">
        <f t="shared" si="37"/>
        <v>1.1000000000000001</v>
      </c>
      <c r="BJ41" s="1284">
        <f t="shared" si="38"/>
        <v>0</v>
      </c>
      <c r="BK41" s="1284">
        <f t="shared" si="39"/>
        <v>0</v>
      </c>
      <c r="BL41" s="1284">
        <f t="shared" si="40"/>
        <v>0</v>
      </c>
      <c r="BM41" s="1287"/>
      <c r="BN41" s="1287"/>
      <c r="BO41" s="1286">
        <f t="shared" si="43"/>
        <v>0</v>
      </c>
      <c r="BP41" s="1284">
        <f t="shared" si="44"/>
        <v>0</v>
      </c>
      <c r="BQ41" s="1285">
        <f t="shared" si="45"/>
        <v>6.3750000000000001E-2</v>
      </c>
      <c r="BR41" s="1284">
        <f t="shared" si="46"/>
        <v>5.6250000000000007E-3</v>
      </c>
      <c r="BS41" s="1284">
        <f t="shared" si="47"/>
        <v>6.1359218750000013E-5</v>
      </c>
      <c r="BT41" s="1284" t="str">
        <f t="shared" si="48"/>
        <v>C2</v>
      </c>
      <c r="BU41" s="1283">
        <f t="shared" si="49"/>
        <v>0</v>
      </c>
      <c r="BV41" s="1282"/>
      <c r="BW41" s="1282"/>
      <c r="BX41" s="1282"/>
      <c r="BY41" s="1281" t="s">
        <v>387</v>
      </c>
      <c r="BZ41" s="1281">
        <f t="shared" si="52"/>
        <v>1.2</v>
      </c>
      <c r="CA41" s="1280"/>
      <c r="CB41" s="1280"/>
      <c r="CC41" s="1280"/>
      <c r="CD41" s="1280"/>
      <c r="CE41" s="1280"/>
      <c r="CF41" s="1280"/>
      <c r="CG41" s="1280"/>
      <c r="CH41" s="1280"/>
      <c r="CI41" s="1280"/>
      <c r="CJ41" s="1280"/>
      <c r="CK41" s="1280"/>
      <c r="CL41" s="1280"/>
      <c r="CM41" s="1279">
        <v>18.18</v>
      </c>
    </row>
    <row r="42" spans="1:91" s="970" customFormat="1" ht="12.75" customHeight="1">
      <c r="A42" s="984"/>
      <c r="B42" s="984"/>
      <c r="C42" s="984"/>
      <c r="D42" s="985">
        <f>SUM(D9:D41)</f>
        <v>1182</v>
      </c>
      <c r="E42" s="983"/>
      <c r="F42" s="982"/>
      <c r="G42" s="982"/>
      <c r="H42" s="982"/>
      <c r="I42" s="982"/>
      <c r="J42" s="982"/>
      <c r="K42" s="981"/>
      <c r="L42" s="954"/>
      <c r="M42" s="954"/>
      <c r="N42" s="980"/>
      <c r="O42" s="979"/>
      <c r="P42" s="979"/>
      <c r="Q42" s="979"/>
      <c r="R42" s="979"/>
      <c r="S42" s="954"/>
      <c r="T42" s="954"/>
      <c r="U42" s="954"/>
      <c r="V42" s="954"/>
      <c r="W42" s="954"/>
      <c r="X42" s="954"/>
      <c r="Y42" s="954"/>
      <c r="Z42" s="954"/>
      <c r="AA42" s="977"/>
      <c r="AB42" s="954"/>
      <c r="AC42" s="954"/>
      <c r="AD42" s="954"/>
      <c r="AE42" s="974"/>
      <c r="AF42" s="974"/>
      <c r="AG42" s="974"/>
      <c r="AH42" s="974"/>
      <c r="AI42" s="974"/>
      <c r="AJ42" s="954"/>
      <c r="AK42" s="954"/>
      <c r="AL42" s="954"/>
      <c r="AM42" s="972"/>
      <c r="AN42" s="954"/>
      <c r="AO42" s="954"/>
      <c r="AP42" s="954"/>
      <c r="AQ42" s="954"/>
      <c r="AR42" s="954"/>
      <c r="AS42" s="978"/>
      <c r="AT42" s="975"/>
      <c r="AU42" s="975"/>
      <c r="AV42" s="977"/>
      <c r="AW42" s="954"/>
      <c r="AX42" s="954"/>
      <c r="AY42" s="954"/>
      <c r="AZ42" s="954"/>
      <c r="BA42" s="954"/>
      <c r="BB42" s="954"/>
      <c r="BC42" s="953"/>
      <c r="BD42" s="953"/>
      <c r="BE42" s="953"/>
      <c r="BF42" s="953"/>
      <c r="BG42" s="953"/>
      <c r="BH42" s="954"/>
      <c r="BI42" s="974"/>
      <c r="BJ42" s="954"/>
      <c r="BK42" s="954"/>
      <c r="BL42" s="954"/>
      <c r="BM42" s="954"/>
      <c r="BN42" s="954"/>
      <c r="BO42" s="965"/>
      <c r="BP42" s="954"/>
      <c r="BQ42" s="976"/>
      <c r="BR42" s="954"/>
      <c r="BS42" s="954"/>
      <c r="BT42" s="975"/>
      <c r="BU42" s="974"/>
      <c r="BV42" s="974"/>
      <c r="BW42" s="974"/>
      <c r="BX42" s="973"/>
      <c r="BY42" s="972"/>
      <c r="BZ42" s="972"/>
      <c r="CA42" s="971"/>
      <c r="CB42" s="971"/>
      <c r="CC42" s="971"/>
      <c r="CD42" s="971"/>
      <c r="CE42" s="971"/>
      <c r="CF42" s="971"/>
      <c r="CG42" s="971"/>
      <c r="CH42" s="971"/>
      <c r="CI42" s="971"/>
      <c r="CJ42" s="971"/>
      <c r="CK42" s="971"/>
      <c r="CL42" s="971"/>
    </row>
    <row r="43" spans="1:91" s="970" customFormat="1" ht="12.75" customHeight="1">
      <c r="A43" s="984"/>
      <c r="B43" s="984"/>
      <c r="C43" s="984">
        <v>3</v>
      </c>
      <c r="D43" s="970">
        <v>106</v>
      </c>
      <c r="E43" s="983"/>
      <c r="F43" s="982">
        <f>D42/3</f>
        <v>394</v>
      </c>
      <c r="G43" s="982"/>
      <c r="H43" s="982"/>
      <c r="I43" s="982"/>
      <c r="J43" s="982"/>
      <c r="K43" s="981"/>
      <c r="L43" s="954"/>
      <c r="M43" s="954"/>
      <c r="N43" s="980"/>
      <c r="O43" s="979"/>
      <c r="P43" s="979"/>
      <c r="Q43" s="979"/>
      <c r="R43" s="979"/>
      <c r="S43" s="954"/>
      <c r="T43" s="954"/>
      <c r="U43" s="954"/>
      <c r="V43" s="954"/>
      <c r="W43" s="954"/>
      <c r="X43" s="954"/>
      <c r="Y43" s="954"/>
      <c r="Z43" s="954"/>
      <c r="AA43" s="977"/>
      <c r="AB43" s="954"/>
      <c r="AC43" s="954"/>
      <c r="AD43" s="954"/>
      <c r="AE43" s="974"/>
      <c r="AF43" s="974"/>
      <c r="AG43" s="974"/>
      <c r="AH43" s="974"/>
      <c r="AI43" s="974"/>
      <c r="AJ43" s="954"/>
      <c r="AK43" s="954"/>
      <c r="AL43" s="954"/>
      <c r="AM43" s="972"/>
      <c r="AN43" s="954"/>
      <c r="AO43" s="954"/>
      <c r="AP43" s="954"/>
      <c r="AQ43" s="954"/>
      <c r="AR43" s="954"/>
      <c r="AS43" s="978"/>
      <c r="AT43" s="975"/>
      <c r="AU43" s="975"/>
      <c r="AV43" s="977"/>
      <c r="AW43" s="954"/>
      <c r="AX43" s="954"/>
      <c r="AY43" s="954"/>
      <c r="AZ43" s="954"/>
      <c r="BA43" s="954"/>
      <c r="BB43" s="954"/>
      <c r="BC43" s="953"/>
      <c r="BD43" s="953"/>
      <c r="BE43" s="953"/>
      <c r="BF43" s="953"/>
      <c r="BG43" s="953"/>
      <c r="BH43" s="954"/>
      <c r="BI43" s="974"/>
      <c r="BJ43" s="954"/>
      <c r="BK43" s="954"/>
      <c r="BL43" s="954"/>
      <c r="BM43" s="954"/>
      <c r="BN43" s="954"/>
      <c r="BO43" s="965"/>
      <c r="BP43" s="954"/>
      <c r="BQ43" s="976"/>
      <c r="BR43" s="954"/>
      <c r="BS43" s="954"/>
      <c r="BT43" s="975"/>
      <c r="BU43" s="974"/>
      <c r="BV43" s="974"/>
      <c r="BW43" s="974"/>
      <c r="BX43" s="973"/>
      <c r="BY43" s="972"/>
      <c r="BZ43" s="972"/>
      <c r="CA43" s="971"/>
      <c r="CB43" s="971"/>
      <c r="CC43" s="971"/>
      <c r="CD43" s="971"/>
      <c r="CE43" s="971"/>
      <c r="CF43" s="971"/>
      <c r="CG43" s="971"/>
      <c r="CH43" s="971"/>
      <c r="CI43" s="971"/>
      <c r="CJ43" s="971"/>
      <c r="CK43" s="971"/>
      <c r="CL43" s="971"/>
    </row>
    <row r="44" spans="1:91" s="970" customFormat="1" ht="12.75" customHeight="1">
      <c r="A44" s="984"/>
      <c r="B44" s="984"/>
      <c r="C44" s="984">
        <v>4</v>
      </c>
      <c r="D44" s="970">
        <v>20</v>
      </c>
      <c r="E44" s="983"/>
      <c r="F44" s="982">
        <f>SUM(D43:D46)</f>
        <v>394</v>
      </c>
      <c r="G44" s="982"/>
      <c r="H44" s="982"/>
      <c r="I44" s="982"/>
      <c r="J44" s="982"/>
      <c r="K44" s="981">
        <f>D43+D44+D45+D46</f>
        <v>394</v>
      </c>
      <c r="L44" s="954"/>
      <c r="M44" s="954"/>
      <c r="N44" s="980"/>
      <c r="O44" s="979"/>
      <c r="P44" s="979"/>
      <c r="Q44" s="979"/>
      <c r="R44" s="979"/>
      <c r="S44" s="954"/>
      <c r="T44" s="954"/>
      <c r="U44" s="954"/>
      <c r="V44" s="954"/>
      <c r="W44" s="954"/>
      <c r="X44" s="954"/>
      <c r="Y44" s="954"/>
      <c r="Z44" s="954"/>
      <c r="AA44" s="977"/>
      <c r="AB44" s="954"/>
      <c r="AC44" s="954"/>
      <c r="AD44" s="954"/>
      <c r="AE44" s="974"/>
      <c r="AF44" s="974"/>
      <c r="AG44" s="974"/>
      <c r="AH44" s="974"/>
      <c r="AI44" s="974"/>
      <c r="AJ44" s="954"/>
      <c r="AK44" s="954"/>
      <c r="AL44" s="954"/>
      <c r="AM44" s="972"/>
      <c r="AN44" s="954"/>
      <c r="AO44" s="954"/>
      <c r="AP44" s="954"/>
      <c r="AQ44" s="954"/>
      <c r="AR44" s="954"/>
      <c r="AS44" s="978"/>
      <c r="AT44" s="975"/>
      <c r="AU44" s="975"/>
      <c r="AV44" s="977"/>
      <c r="AW44" s="954"/>
      <c r="AX44" s="954"/>
      <c r="AY44" s="954"/>
      <c r="AZ44" s="954"/>
      <c r="BA44" s="954"/>
      <c r="BB44" s="954"/>
      <c r="BC44" s="953"/>
      <c r="BD44" s="953"/>
      <c r="BE44" s="953"/>
      <c r="BF44" s="953"/>
      <c r="BG44" s="953"/>
      <c r="BH44" s="954"/>
      <c r="BI44" s="974"/>
      <c r="BJ44" s="954"/>
      <c r="BK44" s="954"/>
      <c r="BL44" s="954"/>
      <c r="BM44" s="954"/>
      <c r="BN44" s="954"/>
      <c r="BO44" s="965"/>
      <c r="BP44" s="954"/>
      <c r="BQ44" s="976"/>
      <c r="BR44" s="954"/>
      <c r="BS44" s="954"/>
      <c r="BT44" s="975"/>
      <c r="BU44" s="974"/>
      <c r="BV44" s="974"/>
      <c r="BW44" s="974"/>
      <c r="BX44" s="973"/>
      <c r="BY44" s="972"/>
      <c r="BZ44" s="972"/>
      <c r="CA44" s="971"/>
      <c r="CB44" s="971"/>
      <c r="CC44" s="971"/>
      <c r="CD44" s="971"/>
      <c r="CE44" s="971"/>
      <c r="CF44" s="971"/>
      <c r="CG44" s="971"/>
      <c r="CH44" s="971"/>
      <c r="CI44" s="971"/>
      <c r="CJ44" s="971"/>
      <c r="CK44" s="971"/>
      <c r="CL44" s="971"/>
    </row>
    <row r="45" spans="1:91" s="970" customFormat="1" ht="12.75" customHeight="1">
      <c r="A45" s="984"/>
      <c r="B45" s="984"/>
      <c r="C45" s="984">
        <v>6</v>
      </c>
      <c r="D45" s="957">
        <v>120</v>
      </c>
      <c r="E45" s="983"/>
      <c r="F45" s="982"/>
      <c r="G45" s="982"/>
      <c r="H45" s="982"/>
      <c r="I45" s="982"/>
      <c r="J45" s="982"/>
      <c r="K45" s="981"/>
      <c r="L45" s="954"/>
      <c r="M45" s="954"/>
      <c r="N45" s="980"/>
      <c r="O45" s="979"/>
      <c r="P45" s="979"/>
      <c r="Q45" s="979"/>
      <c r="R45" s="979"/>
      <c r="S45" s="954"/>
      <c r="T45" s="954"/>
      <c r="U45" s="954"/>
      <c r="V45" s="954"/>
      <c r="W45" s="954"/>
      <c r="X45" s="954"/>
      <c r="Y45" s="954"/>
      <c r="Z45" s="954"/>
      <c r="AA45" s="977"/>
      <c r="AB45" s="954"/>
      <c r="AC45" s="954"/>
      <c r="AD45" s="954"/>
      <c r="AE45" s="974"/>
      <c r="AF45" s="974"/>
      <c r="AG45" s="974"/>
      <c r="AH45" s="974"/>
      <c r="AI45" s="974"/>
      <c r="AJ45" s="954"/>
      <c r="AK45" s="954"/>
      <c r="AL45" s="954"/>
      <c r="AM45" s="972"/>
      <c r="AN45" s="954"/>
      <c r="AO45" s="954"/>
      <c r="AP45" s="954"/>
      <c r="AQ45" s="954"/>
      <c r="AR45" s="954"/>
      <c r="AS45" s="978"/>
      <c r="AT45" s="975"/>
      <c r="AU45" s="975"/>
      <c r="AV45" s="977"/>
      <c r="AW45" s="954"/>
      <c r="AX45" s="954"/>
      <c r="AY45" s="954"/>
      <c r="AZ45" s="954"/>
      <c r="BA45" s="954"/>
      <c r="BB45" s="954"/>
      <c r="BC45" s="953"/>
      <c r="BD45" s="953"/>
      <c r="BE45" s="953"/>
      <c r="BF45" s="953"/>
      <c r="BG45" s="953"/>
      <c r="BH45" s="954"/>
      <c r="BI45" s="974"/>
      <c r="BJ45" s="954"/>
      <c r="BK45" s="954"/>
      <c r="BL45" s="954"/>
      <c r="BM45" s="954"/>
      <c r="BN45" s="954"/>
      <c r="BO45" s="965"/>
      <c r="BP45" s="954"/>
      <c r="BQ45" s="976"/>
      <c r="BR45" s="954"/>
      <c r="BS45" s="954"/>
      <c r="BT45" s="975"/>
      <c r="BU45" s="974"/>
      <c r="BV45" s="974"/>
      <c r="BW45" s="974"/>
      <c r="BX45" s="973"/>
      <c r="BY45" s="972"/>
      <c r="BZ45" s="972"/>
      <c r="CA45" s="971"/>
      <c r="CB45" s="971"/>
      <c r="CC45" s="971"/>
      <c r="CD45" s="971"/>
      <c r="CE45" s="971"/>
      <c r="CF45" s="971"/>
      <c r="CG45" s="971"/>
      <c r="CH45" s="971"/>
      <c r="CI45" s="971"/>
      <c r="CJ45" s="971"/>
      <c r="CK45" s="971"/>
      <c r="CL45" s="971"/>
    </row>
    <row r="46" spans="1:91" s="970" customFormat="1" ht="12.75" customHeight="1">
      <c r="A46" s="984"/>
      <c r="B46" s="984"/>
      <c r="C46" s="984">
        <v>8</v>
      </c>
      <c r="D46" s="957">
        <v>148</v>
      </c>
      <c r="E46" s="983"/>
      <c r="F46" s="982">
        <v>394</v>
      </c>
      <c r="G46" s="982"/>
      <c r="H46" s="982"/>
      <c r="I46" s="982"/>
      <c r="J46" s="982"/>
      <c r="K46" s="981"/>
      <c r="L46" s="954"/>
      <c r="M46" s="954"/>
      <c r="N46" s="980"/>
      <c r="O46" s="979"/>
      <c r="P46" s="979"/>
      <c r="Q46" s="979"/>
      <c r="R46" s="979"/>
      <c r="S46" s="954"/>
      <c r="T46" s="954"/>
      <c r="U46" s="954"/>
      <c r="V46" s="954"/>
      <c r="W46" s="954"/>
      <c r="X46" s="954"/>
      <c r="Y46" s="954"/>
      <c r="Z46" s="954"/>
      <c r="AA46" s="977"/>
      <c r="AB46" s="954"/>
      <c r="AC46" s="954"/>
      <c r="AD46" s="954"/>
      <c r="AE46" s="974"/>
      <c r="AF46" s="974"/>
      <c r="AG46" s="974"/>
      <c r="AH46" s="974"/>
      <c r="AI46" s="974"/>
      <c r="AJ46" s="954"/>
      <c r="AK46" s="954"/>
      <c r="AL46" s="954"/>
      <c r="AM46" s="972"/>
      <c r="AN46" s="954"/>
      <c r="AO46" s="954"/>
      <c r="AP46" s="954"/>
      <c r="AQ46" s="954"/>
      <c r="AR46" s="954"/>
      <c r="AS46" s="978"/>
      <c r="AT46" s="975"/>
      <c r="AU46" s="975"/>
      <c r="AV46" s="977"/>
      <c r="AW46" s="954"/>
      <c r="AX46" s="954"/>
      <c r="AY46" s="954"/>
      <c r="AZ46" s="954"/>
      <c r="BA46" s="954"/>
      <c r="BB46" s="954"/>
      <c r="BC46" s="953"/>
      <c r="BD46" s="953"/>
      <c r="BE46" s="953"/>
      <c r="BF46" s="953"/>
      <c r="BG46" s="953"/>
      <c r="BH46" s="954"/>
      <c r="BI46" s="974"/>
      <c r="BJ46" s="954"/>
      <c r="BK46" s="954"/>
      <c r="BL46" s="954"/>
      <c r="BM46" s="954"/>
      <c r="BN46" s="954"/>
      <c r="BO46" s="965"/>
      <c r="BP46" s="954"/>
      <c r="BQ46" s="976"/>
      <c r="BR46" s="954"/>
      <c r="BS46" s="954"/>
      <c r="BT46" s="975"/>
      <c r="BU46" s="974"/>
      <c r="BV46" s="974"/>
      <c r="BW46" s="974"/>
      <c r="BX46" s="973"/>
      <c r="BY46" s="972"/>
      <c r="BZ46" s="972"/>
      <c r="CA46" s="971"/>
      <c r="CB46" s="971"/>
      <c r="CC46" s="971"/>
      <c r="CD46" s="971"/>
      <c r="CE46" s="971"/>
      <c r="CF46" s="971"/>
      <c r="CG46" s="971"/>
      <c r="CH46" s="971"/>
      <c r="CI46" s="971"/>
      <c r="CJ46" s="971"/>
      <c r="CK46" s="971"/>
      <c r="CL46" s="971"/>
    </row>
    <row r="47" spans="1:91" s="953" customFormat="1" ht="11.25">
      <c r="A47" s="957"/>
      <c r="B47" s="957"/>
      <c r="C47" s="957"/>
      <c r="D47" s="957"/>
      <c r="E47" s="958"/>
      <c r="F47" s="957"/>
      <c r="G47" s="957"/>
      <c r="H47" s="957"/>
      <c r="I47" s="957"/>
      <c r="J47" s="957"/>
      <c r="L47" s="956"/>
      <c r="M47" s="956"/>
      <c r="N47" s="956"/>
      <c r="O47" s="956"/>
      <c r="P47" s="956"/>
      <c r="Q47" s="956"/>
      <c r="R47" s="956"/>
      <c r="S47" s="967">
        <f t="shared" ref="S47:Y47" si="65">SUM(S9:S41)</f>
        <v>0</v>
      </c>
      <c r="T47" s="967">
        <f t="shared" si="65"/>
        <v>0</v>
      </c>
      <c r="U47" s="967">
        <f t="shared" si="65"/>
        <v>1182</v>
      </c>
      <c r="V47" s="967">
        <f t="shared" si="65"/>
        <v>0</v>
      </c>
      <c r="W47" s="967">
        <f t="shared" si="65"/>
        <v>0</v>
      </c>
      <c r="X47" s="967">
        <f t="shared" si="65"/>
        <v>0</v>
      </c>
      <c r="Y47" s="967">
        <f t="shared" si="65"/>
        <v>189.12000000000006</v>
      </c>
      <c r="Z47" s="954"/>
      <c r="AA47" s="970"/>
      <c r="AB47" s="1250">
        <f t="shared" ref="AB47:AH47" si="66">SUM(AB9:AB41)</f>
        <v>379.13831999999996</v>
      </c>
      <c r="AC47" s="967">
        <f t="shared" si="66"/>
        <v>0</v>
      </c>
      <c r="AD47" s="967">
        <f t="shared" si="66"/>
        <v>0</v>
      </c>
      <c r="AE47" s="1250">
        <f t="shared" si="66"/>
        <v>252.75888000000009</v>
      </c>
      <c r="AF47" s="967">
        <f t="shared" si="66"/>
        <v>0</v>
      </c>
      <c r="AG47" s="967">
        <f t="shared" si="66"/>
        <v>0</v>
      </c>
      <c r="AH47" s="1250">
        <f t="shared" si="66"/>
        <v>6.3828000000000022</v>
      </c>
      <c r="AI47" s="955"/>
      <c r="AN47" s="967">
        <f>SUM(AN9:AN41)</f>
        <v>0</v>
      </c>
      <c r="AO47" s="967">
        <f>SUM(AO9:AO41)</f>
        <v>632</v>
      </c>
      <c r="AP47" s="967">
        <f>SUM(AP9:AP41)</f>
        <v>1182</v>
      </c>
      <c r="AT47" s="967">
        <f>SUM(AT9:AT41)</f>
        <v>218.89979991064681</v>
      </c>
      <c r="AU47" s="967">
        <f>SUM(AU9:AU41)</f>
        <v>283.67999999999995</v>
      </c>
      <c r="AV47" s="969"/>
      <c r="AW47" s="967">
        <f t="shared" ref="AW47:BB47" si="67">SUM(AW9:AW41)</f>
        <v>135.39337200000008</v>
      </c>
      <c r="AX47" s="967">
        <f t="shared" si="67"/>
        <v>0</v>
      </c>
      <c r="AY47" s="1250">
        <f t="shared" si="67"/>
        <v>108.31469760000009</v>
      </c>
      <c r="AZ47" s="1250">
        <f t="shared" si="67"/>
        <v>27.078674400000015</v>
      </c>
      <c r="BA47" s="968">
        <f t="shared" si="67"/>
        <v>0.3068280893531779</v>
      </c>
      <c r="BB47" s="1250">
        <f t="shared" si="67"/>
        <v>529.96530240000004</v>
      </c>
      <c r="BO47" s="1240">
        <f>SUM(BO9:BO41)</f>
        <v>638.2800000000002</v>
      </c>
      <c r="BT47" s="954"/>
      <c r="BU47" s="967">
        <f>SUM(BU9:BU41)</f>
        <v>631.89720000000023</v>
      </c>
      <c r="BZ47" s="967">
        <f>SUM(BZ9:BZ41)</f>
        <v>2403.6</v>
      </c>
      <c r="CA47" s="967">
        <f t="shared" ref="CA47:CL47" si="68">SUM(CA9:CA22)</f>
        <v>0</v>
      </c>
      <c r="CB47" s="967">
        <f t="shared" si="68"/>
        <v>0</v>
      </c>
      <c r="CC47" s="967">
        <f t="shared" si="68"/>
        <v>0</v>
      </c>
      <c r="CD47" s="967">
        <f t="shared" si="68"/>
        <v>0</v>
      </c>
      <c r="CE47" s="967">
        <f t="shared" si="68"/>
        <v>0</v>
      </c>
      <c r="CF47" s="967">
        <f t="shared" si="68"/>
        <v>0</v>
      </c>
      <c r="CG47" s="967">
        <f t="shared" si="68"/>
        <v>0</v>
      </c>
      <c r="CH47" s="967">
        <f t="shared" si="68"/>
        <v>0</v>
      </c>
      <c r="CI47" s="967">
        <f t="shared" si="68"/>
        <v>0</v>
      </c>
      <c r="CJ47" s="967">
        <f t="shared" si="68"/>
        <v>0</v>
      </c>
      <c r="CK47" s="967">
        <f t="shared" si="68"/>
        <v>0</v>
      </c>
      <c r="CL47" s="967">
        <f t="shared" si="68"/>
        <v>0</v>
      </c>
      <c r="CM47" s="953">
        <f>SUM(CA47:CL47)</f>
        <v>0</v>
      </c>
    </row>
    <row r="48" spans="1:91" s="953" customFormat="1" ht="12.75">
      <c r="A48" s="966">
        <f>+COUNT(A9:A41)</f>
        <v>0</v>
      </c>
      <c r="B48" s="959"/>
      <c r="C48" s="959"/>
      <c r="D48" s="965">
        <f>SUM(D9:D41)</f>
        <v>1182</v>
      </c>
      <c r="E48" s="958"/>
      <c r="F48" s="957"/>
      <c r="G48" s="957"/>
      <c r="H48" s="957"/>
      <c r="I48" s="957"/>
      <c r="J48" s="957"/>
      <c r="L48" s="1048">
        <f>SUM(L9:L41)</f>
        <v>1182</v>
      </c>
      <c r="M48" s="956"/>
      <c r="N48" s="956">
        <f>+L48*0.6*1.1</f>
        <v>780.12</v>
      </c>
      <c r="O48" s="956"/>
      <c r="P48" s="956"/>
      <c r="Q48" s="956"/>
      <c r="R48" s="956"/>
      <c r="AI48" s="955"/>
      <c r="AJ48" s="953">
        <f>(AB47+AE47)*3</f>
        <v>1895.6916000000003</v>
      </c>
      <c r="BT48" s="954"/>
      <c r="CM48" s="953">
        <f>+L48</f>
        <v>1182</v>
      </c>
    </row>
    <row r="49" spans="2:90" s="953" customFormat="1" ht="12.75">
      <c r="B49" s="959"/>
      <c r="C49" s="959"/>
      <c r="E49" s="958"/>
      <c r="F49" s="957"/>
      <c r="G49" s="957"/>
      <c r="H49" s="957"/>
      <c r="I49" s="957"/>
      <c r="J49" s="957"/>
      <c r="L49" s="956"/>
      <c r="M49" s="956"/>
      <c r="N49" s="956"/>
      <c r="O49" s="956"/>
      <c r="P49" s="956"/>
      <c r="Q49" s="956"/>
      <c r="R49" s="956"/>
      <c r="Y49" s="953">
        <f>+L48*0.2*0.2</f>
        <v>47.28</v>
      </c>
      <c r="AI49" s="955"/>
      <c r="BT49" s="954"/>
      <c r="CA49" s="962"/>
      <c r="CB49" s="962"/>
      <c r="CC49" s="962"/>
      <c r="CD49" s="962"/>
      <c r="CE49" s="962"/>
      <c r="CF49" s="962"/>
      <c r="CG49" s="962"/>
      <c r="CH49" s="962"/>
      <c r="CI49" s="962"/>
      <c r="CJ49" s="962"/>
      <c r="CK49" s="962"/>
      <c r="CL49" s="962"/>
    </row>
    <row r="50" spans="2:90" s="953" customFormat="1" ht="12.75">
      <c r="B50" s="959"/>
      <c r="C50" s="959"/>
      <c r="D50" s="963" t="s">
        <v>333</v>
      </c>
      <c r="E50" s="958"/>
      <c r="F50" s="957"/>
      <c r="G50" s="957"/>
      <c r="H50" s="957"/>
      <c r="I50" s="957"/>
      <c r="J50" s="957"/>
      <c r="L50" s="956"/>
      <c r="M50" s="956"/>
      <c r="N50" s="956"/>
      <c r="O50" s="956"/>
      <c r="P50" s="956"/>
      <c r="Q50" s="956"/>
      <c r="R50" s="956"/>
      <c r="AA50" s="953">
        <f>+AB47+AE47+AH47+Y47-Y49</f>
        <v>780.12000000000012</v>
      </c>
      <c r="AI50" s="955"/>
      <c r="BT50" s="954"/>
      <c r="CA50" s="962"/>
      <c r="CB50" s="962"/>
      <c r="CC50" s="962"/>
      <c r="CD50" s="962"/>
      <c r="CE50" s="962"/>
      <c r="CF50" s="962"/>
      <c r="CG50" s="962"/>
      <c r="CH50" s="962"/>
      <c r="CI50" s="962"/>
      <c r="CJ50" s="962"/>
      <c r="CK50" s="962"/>
      <c r="CL50" s="962"/>
    </row>
    <row r="51" spans="2:90" s="953" customFormat="1" ht="12.75">
      <c r="B51" s="959"/>
      <c r="C51" s="959"/>
      <c r="D51" s="961" t="s">
        <v>336</v>
      </c>
      <c r="E51" s="958"/>
      <c r="F51" s="957"/>
      <c r="G51" s="957"/>
      <c r="H51" s="957"/>
      <c r="I51" s="957"/>
      <c r="J51" s="957"/>
      <c r="L51" s="1101">
        <v>1</v>
      </c>
      <c r="M51" s="956"/>
      <c r="N51" s="956"/>
      <c r="O51" s="956"/>
      <c r="P51" s="956"/>
      <c r="Q51" s="956"/>
      <c r="R51" s="956"/>
      <c r="AI51" s="955"/>
      <c r="AX51" s="1278">
        <f>AT47+AY47+AZ47+AU47</f>
        <v>637.9731719106469</v>
      </c>
      <c r="BT51" s="954"/>
    </row>
    <row r="52" spans="2:90" s="953" customFormat="1" ht="12.75">
      <c r="B52" s="959"/>
      <c r="C52" s="959"/>
      <c r="E52" s="958"/>
      <c r="F52" s="957"/>
      <c r="G52" s="957"/>
      <c r="H52" s="957"/>
      <c r="I52" s="957"/>
      <c r="J52" s="957"/>
      <c r="L52" s="956"/>
      <c r="M52" s="956"/>
      <c r="N52" s="956"/>
      <c r="O52" s="956"/>
      <c r="P52" s="956"/>
      <c r="Q52" s="956"/>
      <c r="R52" s="956"/>
      <c r="AE52" s="960" t="s">
        <v>438</v>
      </c>
      <c r="AI52" s="955"/>
      <c r="BT52" s="954"/>
    </row>
    <row r="53" spans="2:90" s="953" customFormat="1" ht="12.75">
      <c r="B53" s="959"/>
      <c r="C53" s="959"/>
      <c r="E53" s="958"/>
      <c r="F53" s="957"/>
      <c r="G53" s="957"/>
      <c r="H53" s="957"/>
      <c r="I53" s="957"/>
      <c r="J53" s="957"/>
      <c r="L53" s="956"/>
      <c r="M53" s="956"/>
      <c r="N53" s="956"/>
      <c r="O53" s="956"/>
      <c r="P53" s="956"/>
      <c r="Q53" s="956"/>
      <c r="R53" s="956"/>
      <c r="AE53" s="1239">
        <f>+AB47+AE47+AH47</f>
        <v>638.28000000000009</v>
      </c>
      <c r="AI53" s="955">
        <f>+AE55-AE53</f>
        <v>-638.28000000000009</v>
      </c>
      <c r="BT53" s="954"/>
    </row>
  </sheetData>
  <mergeCells count="39">
    <mergeCell ref="CM4:CM5"/>
    <mergeCell ref="BP4:BP6"/>
    <mergeCell ref="BT4:BT6"/>
    <mergeCell ref="BU4:BX4"/>
    <mergeCell ref="BY4:BY6"/>
    <mergeCell ref="BZ4:BZ6"/>
    <mergeCell ref="CA4:CL6"/>
    <mergeCell ref="BX5:BX6"/>
    <mergeCell ref="AE4:AG4"/>
    <mergeCell ref="AH4:AH5"/>
    <mergeCell ref="AI4:AK4"/>
    <mergeCell ref="BO4:BO5"/>
    <mergeCell ref="AN4:AP4"/>
    <mergeCell ref="AQ4:AS4"/>
    <mergeCell ref="AU4:AU5"/>
    <mergeCell ref="AV4:AV6"/>
    <mergeCell ref="BC4:BC5"/>
    <mergeCell ref="BD4:BD5"/>
    <mergeCell ref="AM4:AM6"/>
    <mergeCell ref="BE4:BE5"/>
    <mergeCell ref="BF4:BF5"/>
    <mergeCell ref="BG4:BG5"/>
    <mergeCell ref="BH4:BK4"/>
    <mergeCell ref="BL4:BN4"/>
    <mergeCell ref="AB4:AD4"/>
    <mergeCell ref="K4:K5"/>
    <mergeCell ref="A4:A6"/>
    <mergeCell ref="B4:C4"/>
    <mergeCell ref="D4:D5"/>
    <mergeCell ref="E4:E5"/>
    <mergeCell ref="F4:F5"/>
    <mergeCell ref="AA5:AA6"/>
    <mergeCell ref="L4:L5"/>
    <mergeCell ref="M4:M5"/>
    <mergeCell ref="N4:N6"/>
    <mergeCell ref="O4:R4"/>
    <mergeCell ref="S4:V4"/>
    <mergeCell ref="W4:Y4"/>
    <mergeCell ref="Z4:Z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70C0"/>
  </sheetPr>
  <dimension ref="B1:H62"/>
  <sheetViews>
    <sheetView workbookViewId="0"/>
  </sheetViews>
  <sheetFormatPr baseColWidth="10" defaultColWidth="11.42578125" defaultRowHeight="15"/>
  <cols>
    <col min="2" max="2" width="52" customWidth="1"/>
    <col min="3" max="3" width="11.42578125" customWidth="1"/>
    <col min="5" max="5" width="11.42578125" customWidth="1"/>
    <col min="8" max="8" width="19.28515625" customWidth="1"/>
  </cols>
  <sheetData>
    <row r="1" spans="2:8">
      <c r="B1" s="939" t="s">
        <v>445</v>
      </c>
      <c r="C1" s="939" t="s">
        <v>446</v>
      </c>
      <c r="D1" s="939" t="s">
        <v>447</v>
      </c>
      <c r="F1" s="83" t="s">
        <v>448</v>
      </c>
      <c r="G1" s="83" t="s">
        <v>449</v>
      </c>
      <c r="H1" s="83" t="s">
        <v>450</v>
      </c>
    </row>
    <row r="2" spans="2:8">
      <c r="B2" s="1320" t="s">
        <v>451</v>
      </c>
      <c r="C2" s="1324">
        <v>324.5</v>
      </c>
      <c r="D2" s="1325">
        <f>C2/6</f>
        <v>54.083333333333336</v>
      </c>
      <c r="F2" s="1437" t="s">
        <v>109</v>
      </c>
      <c r="G2" s="1437">
        <v>4</v>
      </c>
      <c r="H2" s="1437" t="s">
        <v>452</v>
      </c>
    </row>
    <row r="3" spans="2:8">
      <c r="B3" s="1320" t="s">
        <v>453</v>
      </c>
      <c r="C3" s="1324">
        <v>102.47</v>
      </c>
      <c r="D3" s="1325">
        <f>C3/6</f>
        <v>17.078333333333333</v>
      </c>
      <c r="F3" s="1437" t="s">
        <v>98</v>
      </c>
      <c r="G3" s="1437">
        <v>4</v>
      </c>
      <c r="H3" s="1437" t="s">
        <v>452</v>
      </c>
    </row>
    <row r="4" spans="2:8">
      <c r="B4" s="1320" t="s">
        <v>454</v>
      </c>
      <c r="C4" s="1324">
        <v>350.89499999999998</v>
      </c>
      <c r="D4" s="1325">
        <f>C4/6</f>
        <v>58.482499999999995</v>
      </c>
      <c r="F4" s="1437" t="s">
        <v>99</v>
      </c>
      <c r="G4" s="1437">
        <v>3</v>
      </c>
      <c r="H4" s="1437" t="s">
        <v>452</v>
      </c>
    </row>
    <row r="5" spans="2:8">
      <c r="B5" s="1320" t="s">
        <v>455</v>
      </c>
      <c r="C5" s="1324">
        <f>497.93-0.92</f>
        <v>497.01</v>
      </c>
      <c r="D5" s="1325">
        <f>C5/6</f>
        <v>82.834999999999994</v>
      </c>
      <c r="F5" s="1437" t="s">
        <v>113</v>
      </c>
      <c r="G5" s="1437">
        <v>2</v>
      </c>
      <c r="H5" s="1437" t="s">
        <v>452</v>
      </c>
    </row>
    <row r="6" spans="2:8">
      <c r="B6" s="1320" t="s">
        <v>456</v>
      </c>
      <c r="C6" s="1324">
        <v>1182</v>
      </c>
      <c r="D6" s="1325">
        <f>C6/6</f>
        <v>197</v>
      </c>
      <c r="F6" s="1437" t="s">
        <v>116</v>
      </c>
      <c r="G6" s="1437">
        <v>3</v>
      </c>
      <c r="H6" s="1437" t="s">
        <v>452</v>
      </c>
    </row>
    <row r="7" spans="2:8">
      <c r="B7" s="1320" t="s">
        <v>457</v>
      </c>
      <c r="C7" s="1326" t="s">
        <v>458</v>
      </c>
      <c r="D7" s="1324">
        <v>1</v>
      </c>
      <c r="F7" s="1437" t="s">
        <v>117</v>
      </c>
      <c r="G7" s="1437">
        <v>3</v>
      </c>
      <c r="H7" s="1437" t="s">
        <v>452</v>
      </c>
    </row>
    <row r="8" spans="2:8">
      <c r="B8" s="1320" t="s">
        <v>459</v>
      </c>
      <c r="C8" s="1326"/>
      <c r="D8" s="1324">
        <v>2</v>
      </c>
      <c r="F8" s="1437" t="s">
        <v>92</v>
      </c>
      <c r="G8" s="1437">
        <v>4</v>
      </c>
      <c r="H8" s="1437" t="s">
        <v>452</v>
      </c>
    </row>
    <row r="9" spans="2:8">
      <c r="B9" s="1320" t="s">
        <v>460</v>
      </c>
      <c r="C9" s="1326"/>
      <c r="D9" s="1324">
        <v>3</v>
      </c>
      <c r="F9" s="1437" t="s">
        <v>93</v>
      </c>
      <c r="G9" s="1437">
        <v>3</v>
      </c>
      <c r="H9" s="1437" t="s">
        <v>452</v>
      </c>
    </row>
    <row r="10" spans="2:8">
      <c r="B10" s="1320" t="s">
        <v>461</v>
      </c>
      <c r="C10" s="1326"/>
      <c r="D10" s="1324">
        <v>5</v>
      </c>
      <c r="F10" s="1437" t="s">
        <v>89</v>
      </c>
      <c r="G10" s="1437">
        <v>3</v>
      </c>
      <c r="H10" s="1437" t="s">
        <v>452</v>
      </c>
    </row>
    <row r="11" spans="2:8">
      <c r="B11" s="1320" t="s">
        <v>462</v>
      </c>
      <c r="C11" s="1326"/>
      <c r="D11" s="1324">
        <v>2</v>
      </c>
      <c r="F11" s="1437" t="s">
        <v>88</v>
      </c>
      <c r="G11" s="1437">
        <v>2</v>
      </c>
      <c r="H11" s="1437" t="s">
        <v>452</v>
      </c>
    </row>
    <row r="12" spans="2:8">
      <c r="B12" s="1320" t="s">
        <v>463</v>
      </c>
      <c r="C12" s="1326" t="s">
        <v>458</v>
      </c>
      <c r="D12" s="1326">
        <v>1</v>
      </c>
      <c r="F12" s="1437" t="s">
        <v>84</v>
      </c>
      <c r="G12" s="1437">
        <v>2</v>
      </c>
      <c r="H12" s="1437" t="s">
        <v>452</v>
      </c>
    </row>
    <row r="13" spans="2:8">
      <c r="B13" s="1320" t="s">
        <v>464</v>
      </c>
      <c r="C13" s="1326"/>
      <c r="D13" s="1326">
        <v>5</v>
      </c>
      <c r="F13" s="1437" t="s">
        <v>105</v>
      </c>
      <c r="G13" s="1437">
        <v>2</v>
      </c>
      <c r="H13" s="1437" t="s">
        <v>452</v>
      </c>
    </row>
    <row r="14" spans="2:8">
      <c r="B14" s="1320" t="s">
        <v>465</v>
      </c>
      <c r="C14" s="1326"/>
      <c r="D14" s="1326">
        <v>2</v>
      </c>
      <c r="F14" s="1437" t="s">
        <v>76</v>
      </c>
      <c r="G14" s="1437">
        <v>1</v>
      </c>
      <c r="H14" s="1437" t="s">
        <v>452</v>
      </c>
    </row>
    <row r="15" spans="2:8">
      <c r="B15" s="1320" t="s">
        <v>466</v>
      </c>
      <c r="C15" s="1326" t="s">
        <v>458</v>
      </c>
      <c r="D15" s="1326">
        <v>3</v>
      </c>
      <c r="F15" s="1437" t="s">
        <v>79</v>
      </c>
      <c r="G15" s="1437">
        <v>3</v>
      </c>
      <c r="H15" s="1437" t="s">
        <v>452</v>
      </c>
    </row>
    <row r="16" spans="2:8">
      <c r="B16" s="1320" t="s">
        <v>467</v>
      </c>
      <c r="C16" s="1326"/>
      <c r="D16" s="1326">
        <v>5</v>
      </c>
      <c r="F16" s="1437" t="s">
        <v>102</v>
      </c>
      <c r="G16" s="1437">
        <v>2</v>
      </c>
      <c r="H16" s="1437" t="s">
        <v>452</v>
      </c>
    </row>
    <row r="17" spans="2:8">
      <c r="B17" s="1320" t="s">
        <v>468</v>
      </c>
      <c r="C17" s="1326"/>
      <c r="D17" s="1326">
        <v>4</v>
      </c>
      <c r="F17" s="1437" t="s">
        <v>103</v>
      </c>
      <c r="G17" s="1437">
        <v>4</v>
      </c>
      <c r="H17" s="1437" t="s">
        <v>452</v>
      </c>
    </row>
    <row r="18" spans="2:8">
      <c r="B18" s="1320" t="s">
        <v>469</v>
      </c>
      <c r="C18" s="1326"/>
      <c r="D18" s="1326">
        <v>1</v>
      </c>
      <c r="F18" s="1438" t="s">
        <v>87</v>
      </c>
      <c r="G18" s="1438">
        <v>2</v>
      </c>
      <c r="H18" s="1438" t="s">
        <v>470</v>
      </c>
    </row>
    <row r="19" spans="2:8">
      <c r="B19" s="1320" t="s">
        <v>471</v>
      </c>
      <c r="C19" s="1326"/>
      <c r="D19" s="1326">
        <v>4</v>
      </c>
      <c r="F19" s="1438" t="s">
        <v>83</v>
      </c>
      <c r="G19" s="1438">
        <v>1</v>
      </c>
      <c r="H19" s="1438" t="s">
        <v>470</v>
      </c>
    </row>
    <row r="20" spans="2:8">
      <c r="B20" s="1320" t="s">
        <v>472</v>
      </c>
      <c r="C20" s="1326"/>
      <c r="D20" s="1324">
        <v>1</v>
      </c>
      <c r="F20" s="1438" t="s">
        <v>104</v>
      </c>
      <c r="G20" s="1438">
        <v>1</v>
      </c>
      <c r="H20" s="1438" t="s">
        <v>470</v>
      </c>
    </row>
    <row r="21" spans="2:8">
      <c r="B21" s="1320" t="s">
        <v>473</v>
      </c>
      <c r="C21" s="1326"/>
      <c r="D21" s="1324">
        <v>1</v>
      </c>
      <c r="F21" s="1438" t="s">
        <v>108</v>
      </c>
      <c r="G21" s="1438">
        <v>2</v>
      </c>
      <c r="H21" s="1438" t="s">
        <v>470</v>
      </c>
    </row>
    <row r="22" spans="2:8" ht="15.75" customHeight="1">
      <c r="B22" s="1320" t="s">
        <v>474</v>
      </c>
      <c r="C22" s="1326"/>
      <c r="D22" s="1324">
        <v>1</v>
      </c>
      <c r="F22" s="1438" t="s">
        <v>73</v>
      </c>
      <c r="G22" s="1438">
        <v>2</v>
      </c>
      <c r="H22" s="1438" t="s">
        <v>470</v>
      </c>
    </row>
    <row r="23" spans="2:8">
      <c r="B23" s="1320" t="s">
        <v>475</v>
      </c>
      <c r="C23" s="1326"/>
      <c r="D23" s="1324">
        <v>1</v>
      </c>
      <c r="F23" s="1439" t="s">
        <v>72</v>
      </c>
      <c r="G23" s="1439">
        <v>1</v>
      </c>
      <c r="H23" s="1439" t="s">
        <v>476</v>
      </c>
    </row>
    <row r="24" spans="2:8">
      <c r="B24" s="1320" t="s">
        <v>477</v>
      </c>
      <c r="C24" s="1326" t="s">
        <v>458</v>
      </c>
      <c r="D24" s="1324">
        <v>25</v>
      </c>
      <c r="F24" s="1438" t="s">
        <v>80</v>
      </c>
      <c r="G24" s="1438">
        <v>1</v>
      </c>
      <c r="H24" s="1438" t="s">
        <v>470</v>
      </c>
    </row>
    <row r="25" spans="2:8">
      <c r="B25" s="1320" t="s">
        <v>478</v>
      </c>
      <c r="C25" s="1326" t="s">
        <v>458</v>
      </c>
      <c r="D25" s="1324">
        <v>19</v>
      </c>
      <c r="F25" s="1440" t="s">
        <v>479</v>
      </c>
      <c r="G25" s="1440">
        <v>36</v>
      </c>
      <c r="H25" s="1440" t="s">
        <v>480</v>
      </c>
    </row>
    <row r="26" spans="2:8">
      <c r="B26" s="1320" t="s">
        <v>481</v>
      </c>
      <c r="C26" s="1326" t="s">
        <v>458</v>
      </c>
      <c r="D26" s="1324">
        <v>14</v>
      </c>
      <c r="F26" s="83" t="s">
        <v>13</v>
      </c>
      <c r="G26" s="83">
        <f>SUM(G2:G25)</f>
        <v>91</v>
      </c>
    </row>
    <row r="27" spans="2:8">
      <c r="B27" s="1320" t="s">
        <v>482</v>
      </c>
      <c r="C27" s="1326" t="s">
        <v>458</v>
      </c>
      <c r="D27" s="1324">
        <v>30</v>
      </c>
    </row>
    <row r="28" spans="2:8">
      <c r="B28" s="1321" t="s">
        <v>483</v>
      </c>
      <c r="C28" s="1326" t="s">
        <v>458</v>
      </c>
      <c r="D28" s="1324">
        <v>1</v>
      </c>
    </row>
    <row r="29" spans="2:8">
      <c r="B29" s="1320" t="s">
        <v>484</v>
      </c>
      <c r="C29" s="1326" t="s">
        <v>458</v>
      </c>
      <c r="D29" s="1474">
        <v>111</v>
      </c>
    </row>
    <row r="30" spans="2:8">
      <c r="B30" s="1320" t="s">
        <v>485</v>
      </c>
      <c r="C30" s="1326" t="s">
        <v>458</v>
      </c>
      <c r="D30" s="1474">
        <v>35</v>
      </c>
    </row>
    <row r="31" spans="2:8">
      <c r="B31" s="1320" t="s">
        <v>486</v>
      </c>
      <c r="C31" s="1326" t="s">
        <v>458</v>
      </c>
      <c r="D31" s="1474">
        <v>141</v>
      </c>
    </row>
    <row r="32" spans="2:8">
      <c r="B32" s="1320" t="s">
        <v>487</v>
      </c>
      <c r="C32" s="1326" t="s">
        <v>458</v>
      </c>
      <c r="D32" s="1474">
        <v>130</v>
      </c>
    </row>
    <row r="33" spans="2:4">
      <c r="B33" s="209"/>
      <c r="C33" s="209"/>
      <c r="D33" s="209">
        <f>SUM(D7:D28)</f>
        <v>131</v>
      </c>
    </row>
    <row r="35" spans="2:4" ht="15" customHeight="1">
      <c r="B35" s="935"/>
      <c r="C35" s="937"/>
      <c r="D35" s="936"/>
    </row>
    <row r="36" spans="2:4" ht="15" customHeight="1">
      <c r="B36" s="76"/>
      <c r="C36" s="936"/>
      <c r="D36" s="76"/>
    </row>
    <row r="37" spans="2:4">
      <c r="B37" s="76"/>
      <c r="C37" s="936"/>
      <c r="D37" s="76"/>
    </row>
    <row r="38" spans="2:4">
      <c r="B38" s="76"/>
      <c r="C38" s="936"/>
      <c r="D38" s="76"/>
    </row>
    <row r="39" spans="2:4">
      <c r="B39" s="76"/>
      <c r="C39" s="936"/>
      <c r="D39" s="76"/>
    </row>
    <row r="40" spans="2:4">
      <c r="B40" s="76"/>
      <c r="C40" s="936"/>
    </row>
    <row r="41" spans="2:4">
      <c r="B41" s="935"/>
      <c r="C41" s="935"/>
    </row>
    <row r="42" spans="2:4">
      <c r="B42" s="76"/>
      <c r="C42" s="76"/>
    </row>
    <row r="43" spans="2:4">
      <c r="B43" s="76"/>
      <c r="C43" s="936"/>
    </row>
    <row r="44" spans="2:4" ht="15" customHeight="1">
      <c r="B44" s="76"/>
      <c r="C44" s="76"/>
    </row>
    <row r="45" spans="2:4">
      <c r="B45" s="30"/>
      <c r="C45" s="30"/>
    </row>
    <row r="46" spans="2:4">
      <c r="B46" s="76"/>
      <c r="C46" s="76"/>
    </row>
    <row r="47" spans="2:4">
      <c r="B47" s="76"/>
      <c r="C47" s="76"/>
    </row>
    <row r="48" spans="2:4">
      <c r="B48" s="76"/>
      <c r="C48" s="76"/>
    </row>
    <row r="49" spans="2:3">
      <c r="B49" s="76"/>
      <c r="C49" s="76"/>
    </row>
    <row r="50" spans="2:3">
      <c r="B50" s="76"/>
      <c r="C50" s="76"/>
    </row>
    <row r="51" spans="2:3" ht="15" customHeight="1">
      <c r="B51" s="76"/>
      <c r="C51" s="76"/>
    </row>
    <row r="52" spans="2:3">
      <c r="B52" s="76"/>
      <c r="C52" s="936"/>
    </row>
    <row r="53" spans="2:3">
      <c r="B53" s="30"/>
      <c r="C53" s="76"/>
    </row>
    <row r="54" spans="2:3">
      <c r="B54" s="935"/>
      <c r="C54" s="934"/>
    </row>
    <row r="56" spans="2:3" ht="15.75" customHeight="1"/>
    <row r="58" spans="2:3" ht="15" customHeight="1"/>
    <row r="60" spans="2:3" ht="15" customHeight="1"/>
    <row r="62" spans="2:3" ht="15" customHeight="1"/>
  </sheetData>
  <phoneticPr fontId="7" type="noConversion"/>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B1:K1066"/>
  <sheetViews>
    <sheetView topLeftCell="A1024" zoomScale="80" zoomScaleNormal="80" workbookViewId="0">
      <selection activeCell="C1053" sqref="C1053"/>
    </sheetView>
  </sheetViews>
  <sheetFormatPr baseColWidth="10" defaultColWidth="11.42578125" defaultRowHeight="15"/>
  <cols>
    <col min="1" max="1" width="3.5703125" style="72" customWidth="1"/>
    <col min="2" max="2" width="57.140625" style="72" customWidth="1"/>
    <col min="3" max="9" width="12.85546875" style="72" customWidth="1"/>
    <col min="10" max="10" width="16.42578125" style="72" customWidth="1"/>
    <col min="11" max="16384" width="11.42578125" style="72"/>
  </cols>
  <sheetData>
    <row r="1" spans="2:9" ht="15.75" thickBot="1"/>
    <row r="2" spans="2:9" ht="30" customHeight="1" thickBot="1">
      <c r="B2" s="1698" t="s">
        <v>488</v>
      </c>
      <c r="C2" s="1699"/>
      <c r="D2" s="1699"/>
      <c r="E2" s="1699"/>
      <c r="F2" s="1699"/>
      <c r="G2" s="1699"/>
      <c r="H2" s="1699"/>
      <c r="I2" s="1700"/>
    </row>
    <row r="4" spans="2:9">
      <c r="B4" s="1716" t="s">
        <v>489</v>
      </c>
      <c r="C4" s="1716"/>
      <c r="D4" s="1716"/>
      <c r="E4" s="1716"/>
      <c r="F4" s="1716"/>
      <c r="G4" s="1716"/>
      <c r="H4" s="1716"/>
      <c r="I4" s="84" t="s">
        <v>490</v>
      </c>
    </row>
    <row r="5" spans="2:9">
      <c r="C5" s="85" t="s">
        <v>491</v>
      </c>
      <c r="D5" s="86" t="s">
        <v>492</v>
      </c>
      <c r="E5" s="87" t="s">
        <v>493</v>
      </c>
      <c r="F5" s="87" t="s">
        <v>494</v>
      </c>
      <c r="G5" s="87" t="s">
        <v>360</v>
      </c>
      <c r="H5" s="87" t="s">
        <v>495</v>
      </c>
      <c r="I5" s="87" t="s">
        <v>496</v>
      </c>
    </row>
    <row r="6" spans="2:9">
      <c r="B6" s="88" t="s">
        <v>497</v>
      </c>
      <c r="C6" s="89">
        <v>1</v>
      </c>
      <c r="D6" s="90" t="s">
        <v>498</v>
      </c>
      <c r="E6" s="91">
        <f>0.05*H13</f>
        <v>30365.4</v>
      </c>
      <c r="F6" s="92"/>
      <c r="G6" s="92"/>
      <c r="H6" s="92"/>
      <c r="I6" s="92">
        <f>+E6*C6</f>
        <v>30365.4</v>
      </c>
    </row>
    <row r="7" spans="2:9">
      <c r="B7" s="88" t="s">
        <v>499</v>
      </c>
      <c r="C7" s="89">
        <f>1/50</f>
        <v>0.02</v>
      </c>
      <c r="D7" s="90" t="str">
        <f>VLOOKUP(B7,BD!$B$4:$D$290,2,FALSE)</f>
        <v>lb</v>
      </c>
      <c r="E7" s="91">
        <f>VLOOKUP(B7,BD!$B$4:$D$290,3,FALSE)</f>
        <v>7500</v>
      </c>
      <c r="F7" s="92"/>
      <c r="G7" s="92">
        <f>+E7*C7</f>
        <v>150</v>
      </c>
      <c r="H7" s="92"/>
      <c r="I7" s="92"/>
    </row>
    <row r="8" spans="2:9" ht="25.5">
      <c r="B8" s="88" t="s">
        <v>500</v>
      </c>
      <c r="C8" s="89">
        <v>1</v>
      </c>
      <c r="D8" s="90" t="str">
        <f>VLOOKUP(B8,BD!$B$4:$D$290,2,FALSE)</f>
        <v>día</v>
      </c>
      <c r="E8" s="91">
        <f>VLOOKUP(B8,BD!$B$4:$D$290,3,FALSE)</f>
        <v>520000</v>
      </c>
      <c r="F8" s="92"/>
      <c r="G8" s="92"/>
      <c r="H8" s="92">
        <f>+E8*C8</f>
        <v>520000</v>
      </c>
      <c r="I8" s="92"/>
    </row>
    <row r="9" spans="2:9">
      <c r="B9" s="88" t="s">
        <v>501</v>
      </c>
      <c r="C9" s="89">
        <v>1</v>
      </c>
      <c r="D9" s="90" t="str">
        <f>VLOOKUP(B9,BD!$B$4:$D$290,2,FALSE)</f>
        <v>día</v>
      </c>
      <c r="E9" s="91">
        <f>VLOOKUP(B9,BD!$B$4:$D$290,3,FALSE)</f>
        <v>87308.000000000015</v>
      </c>
      <c r="F9" s="92"/>
      <c r="G9" s="92"/>
      <c r="H9" s="92">
        <f>+E9*C9</f>
        <v>87308.000000000015</v>
      </c>
      <c r="I9" s="92"/>
    </row>
    <row r="10" spans="2:9" ht="33" customHeight="1">
      <c r="B10" s="88" t="s">
        <v>502</v>
      </c>
      <c r="C10" s="89">
        <v>1</v>
      </c>
      <c r="D10" s="90" t="str">
        <f>VLOOKUP(B10,BD!$B$4:$D$290,2,FALSE)</f>
        <v>día</v>
      </c>
      <c r="E10" s="91">
        <f>VLOOKUP(B10,BD!$B$4:$D$290,3,FALSE)</f>
        <v>230000</v>
      </c>
      <c r="F10" s="92">
        <f>C10*E10</f>
        <v>230000</v>
      </c>
      <c r="G10" s="92"/>
      <c r="H10" s="92"/>
      <c r="I10" s="92"/>
    </row>
    <row r="11" spans="2:9" ht="25.5">
      <c r="B11" s="88" t="s">
        <v>503</v>
      </c>
      <c r="C11" s="89">
        <v>1</v>
      </c>
      <c r="D11" s="90" t="str">
        <f>VLOOKUP(B11,BD!$B$4:$D$290,2,FALSE)</f>
        <v>día</v>
      </c>
      <c r="E11" s="91">
        <f>VLOOKUP(B11,BD!$B$4:$D$290,3,FALSE)</f>
        <v>119325.88112444816</v>
      </c>
      <c r="F11" s="92">
        <f>C11*E11</f>
        <v>119325.88112444816</v>
      </c>
      <c r="G11" s="92"/>
      <c r="H11" s="92"/>
      <c r="I11" s="92"/>
    </row>
    <row r="12" spans="2:9">
      <c r="B12" s="88"/>
      <c r="C12" s="89"/>
      <c r="D12" s="90"/>
      <c r="E12" s="91"/>
      <c r="F12" s="92"/>
      <c r="G12" s="92"/>
      <c r="H12" s="92"/>
      <c r="I12" s="92"/>
    </row>
    <row r="13" spans="2:9">
      <c r="B13" s="93" t="s">
        <v>7</v>
      </c>
      <c r="C13" s="93" t="s">
        <v>504</v>
      </c>
      <c r="D13" s="94"/>
      <c r="E13" s="95"/>
      <c r="F13" s="96">
        <f>SUM(F6:F11)</f>
        <v>349325.88112444815</v>
      </c>
      <c r="G13" s="96">
        <f>SUM(G6:G11)</f>
        <v>150</v>
      </c>
      <c r="H13" s="96">
        <f>SUM(H6:H11)</f>
        <v>607308</v>
      </c>
      <c r="I13" s="96">
        <f>SUM(I6:I11)</f>
        <v>30365.4</v>
      </c>
    </row>
    <row r="14" spans="2:9">
      <c r="B14" s="97">
        <f>ROUNDUP(SUM(F13:I13),0)</f>
        <v>987150</v>
      </c>
      <c r="C14" s="98" t="s">
        <v>505</v>
      </c>
      <c r="D14" s="99"/>
      <c r="E14" s="100"/>
      <c r="F14" s="101"/>
      <c r="G14" s="101"/>
      <c r="H14" s="101"/>
      <c r="I14" s="101"/>
    </row>
    <row r="16" spans="2:9" ht="30" customHeight="1">
      <c r="B16" s="1717" t="s">
        <v>506</v>
      </c>
      <c r="C16" s="1717"/>
      <c r="D16" s="1717"/>
      <c r="E16" s="1717"/>
      <c r="F16" s="1717"/>
      <c r="G16" s="1717"/>
      <c r="H16" s="1717"/>
      <c r="I16" s="102" t="s">
        <v>507</v>
      </c>
    </row>
    <row r="17" spans="2:9">
      <c r="C17" s="85" t="s">
        <v>491</v>
      </c>
      <c r="D17" s="86" t="s">
        <v>492</v>
      </c>
      <c r="E17" s="87" t="s">
        <v>493</v>
      </c>
      <c r="F17" s="87" t="s">
        <v>494</v>
      </c>
      <c r="G17" s="87" t="s">
        <v>360</v>
      </c>
      <c r="H17" s="87" t="s">
        <v>495</v>
      </c>
      <c r="I17" s="87" t="s">
        <v>496</v>
      </c>
    </row>
    <row r="18" spans="2:9">
      <c r="B18" s="88" t="s">
        <v>508</v>
      </c>
      <c r="C18" s="89">
        <v>1.1000000000000001</v>
      </c>
      <c r="D18" s="90" t="str">
        <f>VLOOKUP(B18,BD!$B$4:$D$290,2,FALSE)</f>
        <v>m</v>
      </c>
      <c r="E18" s="91">
        <f>VLOOKUP(B18,BD!$B$4:$D$290,3,FALSE)</f>
        <v>3494.4</v>
      </c>
      <c r="F18" s="92"/>
      <c r="G18" s="92">
        <f>C18*E18</f>
        <v>3843.8400000000006</v>
      </c>
      <c r="H18" s="92"/>
      <c r="I18" s="92"/>
    </row>
    <row r="19" spans="2:9">
      <c r="B19" s="88" t="s">
        <v>509</v>
      </c>
      <c r="C19" s="89">
        <v>0.5</v>
      </c>
      <c r="D19" s="90" t="str">
        <f>VLOOKUP(B19,BD!$B$4:$D$290,2,FALSE)</f>
        <v>m</v>
      </c>
      <c r="E19" s="91">
        <f>VLOOKUP(B19,BD!$B$4:$D$290,3,FALSE)</f>
        <v>13000</v>
      </c>
      <c r="F19" s="92"/>
      <c r="G19" s="92">
        <f t="shared" ref="G19:G21" si="0">C19*E19</f>
        <v>6500</v>
      </c>
      <c r="H19" s="92"/>
      <c r="I19" s="92"/>
    </row>
    <row r="20" spans="2:9">
      <c r="B20" s="88" t="s">
        <v>499</v>
      </c>
      <c r="C20" s="89">
        <v>0.02</v>
      </c>
      <c r="D20" s="90" t="str">
        <f>VLOOKUP(B20,BD!$B$4:$D$290,2,FALSE)</f>
        <v>lb</v>
      </c>
      <c r="E20" s="91">
        <f>VLOOKUP(B20,BD!$B$4:$D$290,3,FALSE)</f>
        <v>7500</v>
      </c>
      <c r="F20" s="92"/>
      <c r="G20" s="92">
        <f t="shared" si="0"/>
        <v>150</v>
      </c>
      <c r="H20" s="92"/>
      <c r="I20" s="92"/>
    </row>
    <row r="21" spans="2:9">
      <c r="B21" s="88" t="s">
        <v>510</v>
      </c>
      <c r="C21" s="89">
        <v>1.6410000000000001E-2</v>
      </c>
      <c r="D21" s="90" t="str">
        <f>VLOOKUP(B21,BD!$B$4:$D$290,2,FALSE)</f>
        <v>m³</v>
      </c>
      <c r="E21" s="91">
        <f>VLOOKUP(B21,BD!$B$4:$D$290,3,FALSE)</f>
        <v>675755.99000000011</v>
      </c>
      <c r="F21" s="92"/>
      <c r="G21" s="92">
        <f t="shared" si="0"/>
        <v>11089.155795900002</v>
      </c>
      <c r="H21" s="92"/>
      <c r="I21" s="92"/>
    </row>
    <row r="22" spans="2:9">
      <c r="B22" s="88" t="s">
        <v>497</v>
      </c>
      <c r="C22" s="89">
        <v>1</v>
      </c>
      <c r="D22" s="90" t="s">
        <v>498</v>
      </c>
      <c r="E22" s="91">
        <f>0.05*H25</f>
        <v>436.54000000000019</v>
      </c>
      <c r="F22" s="92"/>
      <c r="G22" s="92"/>
      <c r="H22" s="92"/>
      <c r="I22" s="92">
        <f>C22*E22</f>
        <v>436.54000000000019</v>
      </c>
    </row>
    <row r="23" spans="2:9">
      <c r="B23" s="88" t="s">
        <v>511</v>
      </c>
      <c r="C23" s="89">
        <v>2.5000000000000001E-2</v>
      </c>
      <c r="D23" s="90" t="str">
        <f>VLOOKUP(B23,BD!$B$4:$D$290,2,FALSE)</f>
        <v>día</v>
      </c>
      <c r="E23" s="91">
        <f>VLOOKUP(B23,BD!$B$4:$D$290,3,FALSE)</f>
        <v>218270.00000000003</v>
      </c>
      <c r="F23" s="92"/>
      <c r="G23" s="92"/>
      <c r="H23" s="92">
        <f>C23*E23</f>
        <v>5456.7500000000009</v>
      </c>
      <c r="I23" s="92"/>
    </row>
    <row r="24" spans="2:9">
      <c r="B24" s="88" t="s">
        <v>512</v>
      </c>
      <c r="C24" s="89">
        <f>C23</f>
        <v>2.5000000000000001E-2</v>
      </c>
      <c r="D24" s="90" t="str">
        <f>VLOOKUP(B24,BD!$B$4:$D$290,2,FALSE)</f>
        <v>día</v>
      </c>
      <c r="E24" s="91">
        <f>VLOOKUP(B24,BD!$B$4:$D$290,3,FALSE)</f>
        <v>130962.00000000003</v>
      </c>
      <c r="F24" s="92"/>
      <c r="G24" s="92"/>
      <c r="H24" s="92">
        <f>C24*E24</f>
        <v>3274.0500000000011</v>
      </c>
      <c r="I24" s="92"/>
    </row>
    <row r="25" spans="2:9">
      <c r="B25" s="93" t="s">
        <v>7</v>
      </c>
      <c r="C25" s="93" t="s">
        <v>504</v>
      </c>
      <c r="D25" s="94"/>
      <c r="E25" s="95"/>
      <c r="F25" s="96">
        <f>SUM(F18:F24)</f>
        <v>0</v>
      </c>
      <c r="G25" s="96">
        <f t="shared" ref="G25:I25" si="1">SUM(G18:G24)</f>
        <v>21582.995795900002</v>
      </c>
      <c r="H25" s="96">
        <f t="shared" si="1"/>
        <v>8730.8000000000029</v>
      </c>
      <c r="I25" s="96">
        <f t="shared" si="1"/>
        <v>436.54000000000019</v>
      </c>
    </row>
    <row r="26" spans="2:9">
      <c r="B26" s="97">
        <f>ROUNDUP(SUM(F25:I25),0)</f>
        <v>30751</v>
      </c>
      <c r="C26" s="98" t="s">
        <v>299</v>
      </c>
      <c r="D26" s="99"/>
      <c r="E26" s="100"/>
      <c r="F26" s="101"/>
      <c r="G26" s="101"/>
      <c r="H26" s="101"/>
      <c r="I26" s="101"/>
    </row>
    <row r="27" spans="2:9" ht="15.75" thickBot="1"/>
    <row r="28" spans="2:9" ht="27" thickBot="1">
      <c r="B28" s="1701" t="s">
        <v>513</v>
      </c>
      <c r="C28" s="1702"/>
      <c r="D28" s="1702"/>
      <c r="E28" s="1702"/>
      <c r="F28" s="1702"/>
      <c r="G28" s="1702"/>
      <c r="H28" s="1702"/>
      <c r="I28" s="1703"/>
    </row>
    <row r="30" spans="2:9">
      <c r="B30" s="1704" t="s">
        <v>514</v>
      </c>
      <c r="C30" s="1704"/>
      <c r="D30" s="1704"/>
      <c r="E30" s="1704"/>
      <c r="F30" s="1704"/>
      <c r="G30" s="1704"/>
      <c r="H30" s="1704"/>
      <c r="I30" s="103" t="s">
        <v>515</v>
      </c>
    </row>
    <row r="31" spans="2:9">
      <c r="C31" s="104" t="s">
        <v>491</v>
      </c>
      <c r="D31" s="104" t="s">
        <v>492</v>
      </c>
      <c r="E31" s="104" t="s">
        <v>493</v>
      </c>
      <c r="F31" s="105" t="s">
        <v>494</v>
      </c>
      <c r="G31" s="105" t="s">
        <v>360</v>
      </c>
      <c r="H31" s="87" t="s">
        <v>495</v>
      </c>
      <c r="I31" s="105" t="s">
        <v>496</v>
      </c>
    </row>
    <row r="32" spans="2:9">
      <c r="B32" s="88" t="s">
        <v>516</v>
      </c>
      <c r="C32" s="89">
        <v>0.35</v>
      </c>
      <c r="D32" s="90" t="str">
        <f>VLOOKUP(B32,BD!$B$4:$D$290,2,FALSE)</f>
        <v>día</v>
      </c>
      <c r="E32" s="91">
        <f>VLOOKUP(B32,BD!$B$4:$D$290,3,FALSE)</f>
        <v>80000</v>
      </c>
      <c r="F32" s="92">
        <f>+C32*E32</f>
        <v>28000</v>
      </c>
      <c r="G32" s="92"/>
      <c r="H32" s="92"/>
      <c r="I32" s="92"/>
    </row>
    <row r="33" spans="2:10">
      <c r="B33" s="88" t="s">
        <v>517</v>
      </c>
      <c r="C33" s="89">
        <v>0.25</v>
      </c>
      <c r="D33" s="90" t="str">
        <f>VLOOKUP(B33,BD!$B$4:$D$290,2,FALSE)</f>
        <v>hora</v>
      </c>
      <c r="E33" s="91">
        <f>VLOOKUP(B33,BD!$B$4:$D$290,3,FALSE)</f>
        <v>210000</v>
      </c>
      <c r="F33" s="92">
        <f>+E33*C33</f>
        <v>52500</v>
      </c>
      <c r="G33" s="92"/>
      <c r="H33" s="92"/>
      <c r="I33" s="92"/>
    </row>
    <row r="34" spans="2:10">
      <c r="B34" s="88" t="s">
        <v>518</v>
      </c>
      <c r="C34" s="89">
        <v>0.02</v>
      </c>
      <c r="D34" s="90" t="str">
        <f>VLOOKUP(B34,BD!$B$4:$D$290,2,FALSE)</f>
        <v>día</v>
      </c>
      <c r="E34" s="91">
        <f>VLOOKUP(B34,BD!$B$4:$D$290,3,FALSE)</f>
        <v>800000</v>
      </c>
      <c r="F34" s="92">
        <f>+E34*C34</f>
        <v>16000</v>
      </c>
      <c r="G34" s="92"/>
      <c r="H34" s="92"/>
      <c r="I34" s="92"/>
    </row>
    <row r="35" spans="2:10">
      <c r="B35" s="88" t="s">
        <v>497</v>
      </c>
      <c r="C35" s="89">
        <v>1</v>
      </c>
      <c r="D35" s="90" t="s">
        <v>498</v>
      </c>
      <c r="E35" s="91">
        <f>0.05*H37</f>
        <v>873.08000000000015</v>
      </c>
      <c r="F35" s="92"/>
      <c r="G35" s="92"/>
      <c r="H35" s="92"/>
      <c r="I35" s="92">
        <f>+E35*C35</f>
        <v>873.08000000000015</v>
      </c>
      <c r="J35" s="72">
        <f>1/(1.5*0.4)</f>
        <v>1.6666666666666665</v>
      </c>
    </row>
    <row r="36" spans="2:10">
      <c r="B36" s="88" t="s">
        <v>519</v>
      </c>
      <c r="C36" s="89">
        <f>0.2</f>
        <v>0.2</v>
      </c>
      <c r="D36" s="90" t="str">
        <f>VLOOKUP(B36,BD!$B$4:$D$290,2,FALSE)</f>
        <v>día</v>
      </c>
      <c r="E36" s="91">
        <f>VLOOKUP(B36,BD!$B$4:$D$290,3,FALSE)</f>
        <v>87308.000000000015</v>
      </c>
      <c r="F36" s="92"/>
      <c r="G36" s="92"/>
      <c r="H36" s="92">
        <f>+E36*C36</f>
        <v>17461.600000000002</v>
      </c>
      <c r="I36" s="92"/>
    </row>
    <row r="37" spans="2:10">
      <c r="B37" s="93" t="s">
        <v>7</v>
      </c>
      <c r="C37" s="93" t="s">
        <v>504</v>
      </c>
      <c r="D37" s="94"/>
      <c r="E37" s="95"/>
      <c r="F37" s="96">
        <f>SUM(F32:F36)</f>
        <v>96500</v>
      </c>
      <c r="G37" s="96">
        <f t="shared" ref="G37:I37" si="2">SUM(G32:G36)</f>
        <v>0</v>
      </c>
      <c r="H37" s="96">
        <f t="shared" si="2"/>
        <v>17461.600000000002</v>
      </c>
      <c r="I37" s="96">
        <f t="shared" si="2"/>
        <v>873.08000000000015</v>
      </c>
    </row>
    <row r="38" spans="2:10">
      <c r="B38" s="97">
        <f>ROUNDUP(SUM(F37:I37),0)</f>
        <v>114835</v>
      </c>
      <c r="C38" s="98" t="s">
        <v>520</v>
      </c>
      <c r="D38" s="99"/>
      <c r="E38" s="100"/>
      <c r="F38" s="106"/>
      <c r="G38" s="106"/>
      <c r="H38" s="106">
        <v>123419</v>
      </c>
      <c r="I38" s="106"/>
    </row>
    <row r="40" spans="2:10">
      <c r="B40" s="1705" t="s">
        <v>521</v>
      </c>
      <c r="C40" s="1705"/>
      <c r="D40" s="1705"/>
      <c r="E40" s="1705"/>
      <c r="F40" s="1705"/>
      <c r="G40" s="1705"/>
      <c r="H40" s="1705"/>
      <c r="I40" s="107" t="s">
        <v>522</v>
      </c>
    </row>
    <row r="41" spans="2:10">
      <c r="C41" s="108" t="s">
        <v>491</v>
      </c>
      <c r="D41" s="109" t="s">
        <v>492</v>
      </c>
      <c r="E41" s="110" t="s">
        <v>493</v>
      </c>
      <c r="F41" s="110" t="s">
        <v>494</v>
      </c>
      <c r="G41" s="110" t="s">
        <v>360</v>
      </c>
      <c r="H41" s="110" t="s">
        <v>495</v>
      </c>
      <c r="I41" s="110" t="s">
        <v>496</v>
      </c>
    </row>
    <row r="42" spans="2:10">
      <c r="B42" s="88" t="s">
        <v>523</v>
      </c>
      <c r="C42" s="89">
        <v>0.84456249999999999</v>
      </c>
      <c r="D42" s="90" t="str">
        <f>VLOOKUP(B42,BD!$B$4:$D$357,2,FALSE)</f>
        <v>día</v>
      </c>
      <c r="E42" s="91">
        <f>VLOOKUP(B42,BD!$B$4:$D$357,3,FALSE)</f>
        <v>140000</v>
      </c>
      <c r="F42" s="92">
        <f>+C42*E42</f>
        <v>118238.75</v>
      </c>
      <c r="G42" s="92"/>
      <c r="H42" s="92"/>
      <c r="I42" s="92"/>
    </row>
    <row r="43" spans="2:10">
      <c r="B43" s="88" t="s">
        <v>497</v>
      </c>
      <c r="C43" s="89">
        <v>1</v>
      </c>
      <c r="D43" s="90" t="s">
        <v>498</v>
      </c>
      <c r="E43" s="91">
        <f>0.05*H47</f>
        <v>5456.7500000000018</v>
      </c>
      <c r="F43" s="92"/>
      <c r="G43" s="92"/>
      <c r="H43" s="92"/>
      <c r="I43" s="92">
        <f>+E43*C43</f>
        <v>5456.7500000000018</v>
      </c>
    </row>
    <row r="44" spans="2:10">
      <c r="B44" s="88" t="s">
        <v>512</v>
      </c>
      <c r="C44" s="89">
        <v>0.5</v>
      </c>
      <c r="D44" s="90" t="str">
        <f>VLOOKUP(B44,BD!$B$4:$D$357,2,FALSE)</f>
        <v>día</v>
      </c>
      <c r="E44" s="91">
        <f>VLOOKUP(B44,BD!$B$4:$D$357,3,FALSE)</f>
        <v>130962.00000000003</v>
      </c>
      <c r="F44" s="92"/>
      <c r="G44" s="92"/>
      <c r="H44" s="92">
        <f>+E44*C44</f>
        <v>65481.000000000015</v>
      </c>
      <c r="I44" s="92"/>
    </row>
    <row r="45" spans="2:10">
      <c r="B45" s="88" t="s">
        <v>519</v>
      </c>
      <c r="C45" s="89">
        <f>2/4</f>
        <v>0.5</v>
      </c>
      <c r="D45" s="90" t="str">
        <f>VLOOKUP(B45,BD!$B$4:$D$357,2,FALSE)</f>
        <v>día</v>
      </c>
      <c r="E45" s="91">
        <f>VLOOKUP(B45,BD!$B$4:$D$357,3,FALSE)</f>
        <v>87308.000000000015</v>
      </c>
      <c r="F45" s="92"/>
      <c r="G45" s="92"/>
      <c r="H45" s="92">
        <f>+E45*C45</f>
        <v>43654.000000000007</v>
      </c>
      <c r="I45" s="92"/>
    </row>
    <row r="46" spans="2:10">
      <c r="B46" s="88" t="s">
        <v>524</v>
      </c>
      <c r="C46" s="89">
        <f>1.3*20</f>
        <v>26</v>
      </c>
      <c r="D46" s="90" t="str">
        <f>VLOOKUP(B46,BD!$B$4:$D$357,2,FALSE)</f>
        <v>$/m³.km</v>
      </c>
      <c r="E46" s="91">
        <f>VLOOKUP(B46,BD!$B$4:$D$357,3,FALSE)</f>
        <v>1400</v>
      </c>
      <c r="F46" s="92"/>
      <c r="G46" s="92"/>
      <c r="H46" s="92"/>
      <c r="I46" s="92">
        <f>+E46*C46</f>
        <v>36400</v>
      </c>
    </row>
    <row r="47" spans="2:10">
      <c r="B47" s="93" t="s">
        <v>7</v>
      </c>
      <c r="C47" s="93" t="s">
        <v>504</v>
      </c>
      <c r="D47" s="94"/>
      <c r="E47" s="95"/>
      <c r="F47" s="111">
        <f>SUM(F42:F46)</f>
        <v>118238.75</v>
      </c>
      <c r="G47" s="111">
        <f t="shared" ref="G47:I47" si="3">SUM(G42:G46)</f>
        <v>0</v>
      </c>
      <c r="H47" s="111">
        <f t="shared" si="3"/>
        <v>109135.00000000003</v>
      </c>
      <c r="I47" s="111">
        <f t="shared" si="3"/>
        <v>41856.75</v>
      </c>
    </row>
    <row r="48" spans="2:10">
      <c r="B48" s="97">
        <f>ROUNDUP(SUM(F47:I47),0)</f>
        <v>269231</v>
      </c>
      <c r="C48" s="98" t="s">
        <v>520</v>
      </c>
      <c r="D48" s="99"/>
      <c r="E48" s="100"/>
      <c r="F48" s="112"/>
      <c r="G48" s="112"/>
      <c r="H48" s="112"/>
      <c r="I48" s="112"/>
    </row>
    <row r="50" spans="2:9">
      <c r="B50" s="1704" t="s">
        <v>525</v>
      </c>
      <c r="C50" s="1704"/>
      <c r="D50" s="1704"/>
      <c r="E50" s="1704"/>
      <c r="F50" s="1704"/>
      <c r="G50" s="1704"/>
      <c r="H50" s="1704"/>
      <c r="I50" s="103" t="s">
        <v>526</v>
      </c>
    </row>
    <row r="51" spans="2:9">
      <c r="C51" s="113" t="s">
        <v>491</v>
      </c>
      <c r="D51" s="104" t="s">
        <v>492</v>
      </c>
      <c r="E51" s="114" t="s">
        <v>493</v>
      </c>
      <c r="F51" s="114" t="s">
        <v>494</v>
      </c>
      <c r="G51" s="114" t="s">
        <v>360</v>
      </c>
      <c r="H51" s="114" t="s">
        <v>495</v>
      </c>
      <c r="I51" s="114" t="s">
        <v>496</v>
      </c>
    </row>
    <row r="52" spans="2:9">
      <c r="B52" s="88" t="s">
        <v>523</v>
      </c>
      <c r="C52" s="89">
        <v>1</v>
      </c>
      <c r="D52" s="90" t="str">
        <f>VLOOKUP(B52,BD!$B$4:$D$290,2,FALSE)</f>
        <v>día</v>
      </c>
      <c r="E52" s="91">
        <f>VLOOKUP(B52,BD!$B$4:$D$290,3,FALSE)</f>
        <v>140000</v>
      </c>
      <c r="F52" s="92">
        <f>+C52*E52</f>
        <v>140000</v>
      </c>
      <c r="G52" s="92"/>
      <c r="H52" s="92"/>
      <c r="I52" s="92"/>
    </row>
    <row r="53" spans="2:9">
      <c r="B53" s="88" t="s">
        <v>524</v>
      </c>
      <c r="C53" s="89">
        <f>20*4</f>
        <v>80</v>
      </c>
      <c r="D53" s="90" t="str">
        <f>VLOOKUP(B53,BD!$B$4:$D$290,2,FALSE)</f>
        <v>$/m³.km</v>
      </c>
      <c r="E53" s="91">
        <f>VLOOKUP(B53,BD!$B$4:$D$290,3,FALSE)</f>
        <v>1400</v>
      </c>
      <c r="F53" s="92"/>
      <c r="G53" s="92"/>
      <c r="H53" s="92"/>
      <c r="I53" s="92">
        <f>+E53*C53</f>
        <v>112000</v>
      </c>
    </row>
    <row r="54" spans="2:9">
      <c r="B54" s="88" t="s">
        <v>497</v>
      </c>
      <c r="C54" s="89">
        <v>1</v>
      </c>
      <c r="D54" s="90" t="s">
        <v>498</v>
      </c>
      <c r="E54" s="91">
        <f>0.05*H57</f>
        <v>8730.8000000000029</v>
      </c>
      <c r="F54" s="92"/>
      <c r="G54" s="92"/>
      <c r="H54" s="92"/>
      <c r="I54" s="92">
        <f>+E54*C54</f>
        <v>8730.8000000000029</v>
      </c>
    </row>
    <row r="55" spans="2:9">
      <c r="B55" s="88" t="s">
        <v>512</v>
      </c>
      <c r="C55" s="89">
        <f>1/2.5*2</f>
        <v>0.8</v>
      </c>
      <c r="D55" s="90" t="str">
        <f>VLOOKUP(B55,BD!$B$4:$D$290,2,FALSE)</f>
        <v>día</v>
      </c>
      <c r="E55" s="91">
        <f>VLOOKUP(B55,BD!$B$4:$D$290,3,FALSE)</f>
        <v>130962.00000000003</v>
      </c>
      <c r="F55" s="92"/>
      <c r="G55" s="92"/>
      <c r="H55" s="92">
        <f>+E55*C55</f>
        <v>104769.60000000003</v>
      </c>
      <c r="I55" s="92"/>
    </row>
    <row r="56" spans="2:9">
      <c r="B56" s="88" t="s">
        <v>519</v>
      </c>
      <c r="C56" s="89">
        <f>1/2.5*2</f>
        <v>0.8</v>
      </c>
      <c r="D56" s="90" t="str">
        <f>VLOOKUP(B56,BD!$B$4:$D$290,2,FALSE)</f>
        <v>día</v>
      </c>
      <c r="E56" s="91">
        <f>VLOOKUP(B56,BD!$B$4:$D$290,3,FALSE)</f>
        <v>87308.000000000015</v>
      </c>
      <c r="F56" s="92"/>
      <c r="G56" s="92"/>
      <c r="H56" s="92">
        <f>+E56*C56</f>
        <v>69846.400000000009</v>
      </c>
      <c r="I56" s="92"/>
    </row>
    <row r="57" spans="2:9">
      <c r="B57" s="93" t="s">
        <v>7</v>
      </c>
      <c r="C57" s="93" t="s">
        <v>504</v>
      </c>
      <c r="D57" s="94"/>
      <c r="E57" s="95"/>
      <c r="F57" s="114">
        <f>SUM(F52:F56)</f>
        <v>140000</v>
      </c>
      <c r="G57" s="114">
        <f t="shared" ref="G57:I57" si="4">SUM(G52:G56)</f>
        <v>0</v>
      </c>
      <c r="H57" s="114">
        <f t="shared" si="4"/>
        <v>174616.00000000006</v>
      </c>
      <c r="I57" s="114">
        <f t="shared" si="4"/>
        <v>120730.8</v>
      </c>
    </row>
    <row r="58" spans="2:9">
      <c r="B58" s="97">
        <f>ROUNDUP(SUM(F57:I57),0)</f>
        <v>435347</v>
      </c>
      <c r="C58" s="98" t="s">
        <v>527</v>
      </c>
      <c r="D58" s="99"/>
      <c r="E58" s="100"/>
      <c r="F58" s="115"/>
      <c r="G58" s="115"/>
      <c r="H58" s="115"/>
      <c r="I58" s="115"/>
    </row>
    <row r="59" spans="2:9" ht="15.75" thickBot="1"/>
    <row r="60" spans="2:9" ht="27" thickBot="1">
      <c r="B60" s="1710" t="s">
        <v>528</v>
      </c>
      <c r="C60" s="1711"/>
      <c r="D60" s="1711"/>
      <c r="E60" s="1711"/>
      <c r="F60" s="1711"/>
      <c r="G60" s="1711"/>
      <c r="H60" s="1711"/>
      <c r="I60" s="1712"/>
    </row>
    <row r="62" spans="2:9">
      <c r="B62" s="1706" t="s">
        <v>529</v>
      </c>
      <c r="C62" s="1706"/>
      <c r="D62" s="1706"/>
      <c r="E62" s="1706"/>
      <c r="F62" s="1706"/>
      <c r="G62" s="1706"/>
      <c r="H62" s="1706"/>
      <c r="I62" s="116" t="s">
        <v>530</v>
      </c>
    </row>
    <row r="63" spans="2:9">
      <c r="C63" s="117" t="s">
        <v>491</v>
      </c>
      <c r="D63" s="117" t="s">
        <v>492</v>
      </c>
      <c r="E63" s="118" t="s">
        <v>493</v>
      </c>
      <c r="F63" s="118" t="s">
        <v>494</v>
      </c>
      <c r="G63" s="118" t="s">
        <v>360</v>
      </c>
      <c r="H63" s="118" t="s">
        <v>495</v>
      </c>
      <c r="I63" s="118" t="s">
        <v>496</v>
      </c>
    </row>
    <row r="64" spans="2:9">
      <c r="B64" s="88" t="s">
        <v>497</v>
      </c>
      <c r="C64" s="89">
        <v>1</v>
      </c>
      <c r="D64" s="90" t="s">
        <v>498</v>
      </c>
      <c r="E64" s="91">
        <f>0.05*H66</f>
        <v>2400.9700000000007</v>
      </c>
      <c r="F64" s="92"/>
      <c r="G64" s="92"/>
      <c r="H64" s="92"/>
      <c r="I64" s="92">
        <f>+E64*C64</f>
        <v>2400.9700000000007</v>
      </c>
    </row>
    <row r="65" spans="2:9">
      <c r="B65" s="88" t="s">
        <v>519</v>
      </c>
      <c r="C65" s="89">
        <v>0.55000000000000004</v>
      </c>
      <c r="D65" s="90" t="str">
        <f>VLOOKUP(B65,BD!$B$4:$D$290,2,FALSE)</f>
        <v>día</v>
      </c>
      <c r="E65" s="91">
        <f>VLOOKUP(B65,BD!$B$4:$D$290,3,FALSE)</f>
        <v>87308.000000000015</v>
      </c>
      <c r="F65" s="92"/>
      <c r="G65" s="92"/>
      <c r="H65" s="92">
        <f>+E65*C65</f>
        <v>48019.400000000009</v>
      </c>
      <c r="I65" s="92"/>
    </row>
    <row r="66" spans="2:9">
      <c r="B66" s="93" t="s">
        <v>7</v>
      </c>
      <c r="C66" s="93" t="s">
        <v>504</v>
      </c>
      <c r="D66" s="94"/>
      <c r="E66" s="95"/>
      <c r="F66" s="118">
        <f>+SUM(F64:F65)</f>
        <v>0</v>
      </c>
      <c r="G66" s="118">
        <f t="shared" ref="G66:I66" si="5">+SUM(G64:G65)</f>
        <v>0</v>
      </c>
      <c r="H66" s="118">
        <f t="shared" si="5"/>
        <v>48019.400000000009</v>
      </c>
      <c r="I66" s="118">
        <f t="shared" si="5"/>
        <v>2400.9700000000007</v>
      </c>
    </row>
    <row r="67" spans="2:9">
      <c r="B67" s="97">
        <f>ROUNDUP(SUM(F66:I66),0)</f>
        <v>50421</v>
      </c>
      <c r="C67" s="98" t="s">
        <v>520</v>
      </c>
      <c r="D67" s="99"/>
      <c r="E67" s="100"/>
      <c r="F67" s="119"/>
      <c r="G67" s="120"/>
      <c r="H67" s="120"/>
      <c r="I67" s="120"/>
    </row>
    <row r="69" spans="2:9">
      <c r="B69" s="1706" t="s">
        <v>531</v>
      </c>
      <c r="C69" s="1706"/>
      <c r="D69" s="1706"/>
      <c r="E69" s="1706"/>
      <c r="F69" s="1706"/>
      <c r="G69" s="1706"/>
      <c r="H69" s="1706"/>
      <c r="I69" s="116" t="s">
        <v>532</v>
      </c>
    </row>
    <row r="70" spans="2:9">
      <c r="C70" s="117" t="s">
        <v>491</v>
      </c>
      <c r="D70" s="117" t="s">
        <v>492</v>
      </c>
      <c r="E70" s="118" t="s">
        <v>493</v>
      </c>
      <c r="F70" s="118" t="s">
        <v>494</v>
      </c>
      <c r="G70" s="118" t="s">
        <v>360</v>
      </c>
      <c r="H70" s="118" t="s">
        <v>495</v>
      </c>
      <c r="I70" s="118" t="s">
        <v>496</v>
      </c>
    </row>
    <row r="71" spans="2:9">
      <c r="B71" s="88" t="s">
        <v>517</v>
      </c>
      <c r="C71" s="89">
        <v>0.1728547619047619</v>
      </c>
      <c r="D71" s="90" t="str">
        <f>VLOOKUP(B71,BD!$B$4:$D$290,2,FALSE)</f>
        <v>hora</v>
      </c>
      <c r="E71" s="91">
        <f>VLOOKUP(B71,BD!$B$4:$D$290,3,FALSE)</f>
        <v>210000</v>
      </c>
      <c r="F71" s="92">
        <f>+E71*C71</f>
        <v>36299.5</v>
      </c>
      <c r="G71" s="92"/>
      <c r="H71" s="92"/>
      <c r="I71" s="92"/>
    </row>
    <row r="72" spans="2:9">
      <c r="B72" s="88" t="s">
        <v>497</v>
      </c>
      <c r="C72" s="89">
        <v>1</v>
      </c>
      <c r="D72" s="90" t="s">
        <v>498</v>
      </c>
      <c r="E72" s="91">
        <f>0.05*H74</f>
        <v>109.13500000000002</v>
      </c>
      <c r="F72" s="92"/>
      <c r="G72" s="92"/>
      <c r="H72" s="92"/>
      <c r="I72" s="92">
        <f>+E72*C72</f>
        <v>109.13500000000002</v>
      </c>
    </row>
    <row r="73" spans="2:9">
      <c r="B73" s="88" t="s">
        <v>519</v>
      </c>
      <c r="C73" s="89">
        <f>1/40</f>
        <v>2.5000000000000001E-2</v>
      </c>
      <c r="D73" s="90" t="str">
        <f>VLOOKUP(B73,BD!$B$4:$D$290,2,FALSE)</f>
        <v>día</v>
      </c>
      <c r="E73" s="91">
        <f>VLOOKUP(B73,BD!$B$4:$D$290,3,FALSE)</f>
        <v>87308.000000000015</v>
      </c>
      <c r="F73" s="92"/>
      <c r="G73" s="92"/>
      <c r="H73" s="92">
        <f>+E73*C73</f>
        <v>2182.7000000000003</v>
      </c>
      <c r="I73" s="92"/>
    </row>
    <row r="74" spans="2:9">
      <c r="B74" s="93" t="s">
        <v>7</v>
      </c>
      <c r="C74" s="93" t="s">
        <v>504</v>
      </c>
      <c r="D74" s="94"/>
      <c r="E74" s="95"/>
      <c r="F74" s="118">
        <f>+SUM(F71:F73)</f>
        <v>36299.5</v>
      </c>
      <c r="G74" s="118">
        <f t="shared" ref="G74:I74" si="6">+SUM(G71:G73)</f>
        <v>0</v>
      </c>
      <c r="H74" s="118">
        <f t="shared" si="6"/>
        <v>2182.7000000000003</v>
      </c>
      <c r="I74" s="118">
        <f t="shared" si="6"/>
        <v>109.13500000000002</v>
      </c>
    </row>
    <row r="75" spans="2:9">
      <c r="B75" s="97">
        <f>ROUNDUP(SUM(F74:I74),0)</f>
        <v>38592</v>
      </c>
      <c r="C75" s="98" t="s">
        <v>520</v>
      </c>
      <c r="D75" s="99"/>
      <c r="E75" s="100"/>
      <c r="F75" s="119"/>
      <c r="G75" s="120"/>
      <c r="H75" s="120"/>
      <c r="I75" s="120"/>
    </row>
    <row r="77" spans="2:9">
      <c r="B77" s="1706" t="s">
        <v>533</v>
      </c>
      <c r="C77" s="1706"/>
      <c r="D77" s="1706"/>
      <c r="E77" s="1706"/>
      <c r="F77" s="1706"/>
      <c r="G77" s="1706"/>
      <c r="H77" s="1706"/>
      <c r="I77" s="116" t="s">
        <v>534</v>
      </c>
    </row>
    <row r="78" spans="2:9">
      <c r="C78" s="117" t="s">
        <v>491</v>
      </c>
      <c r="D78" s="117" t="s">
        <v>492</v>
      </c>
      <c r="E78" s="118" t="s">
        <v>493</v>
      </c>
      <c r="F78" s="118" t="s">
        <v>494</v>
      </c>
      <c r="G78" s="118" t="s">
        <v>360</v>
      </c>
      <c r="H78" s="118" t="s">
        <v>495</v>
      </c>
      <c r="I78" s="118" t="s">
        <v>496</v>
      </c>
    </row>
    <row r="79" spans="2:9">
      <c r="B79" s="88" t="s">
        <v>517</v>
      </c>
      <c r="C79" s="89">
        <v>0.27</v>
      </c>
      <c r="D79" s="90" t="str">
        <f>VLOOKUP(B79,BD!$B$4:$D$290,2,FALSE)</f>
        <v>hora</v>
      </c>
      <c r="E79" s="91">
        <f>VLOOKUP(B79,BD!$B$4:$D$290,3,FALSE)</f>
        <v>210000</v>
      </c>
      <c r="F79" s="92">
        <f>+E79*C79</f>
        <v>56700.000000000007</v>
      </c>
      <c r="G79" s="92"/>
      <c r="H79" s="92"/>
      <c r="I79" s="92"/>
    </row>
    <row r="80" spans="2:9">
      <c r="B80" s="88" t="s">
        <v>497</v>
      </c>
      <c r="C80" s="89">
        <v>1</v>
      </c>
      <c r="D80" s="90" t="s">
        <v>498</v>
      </c>
      <c r="E80" s="91">
        <f>0.05*H82</f>
        <v>109.13500000000002</v>
      </c>
      <c r="F80" s="92"/>
      <c r="G80" s="92"/>
      <c r="H80" s="92"/>
      <c r="I80" s="92">
        <f>+E80*C80</f>
        <v>109.13500000000002</v>
      </c>
    </row>
    <row r="81" spans="2:9">
      <c r="B81" s="88" t="s">
        <v>519</v>
      </c>
      <c r="C81" s="89">
        <f>1/40</f>
        <v>2.5000000000000001E-2</v>
      </c>
      <c r="D81" s="90" t="str">
        <f>VLOOKUP(B81,BD!$B$4:$D$290,2,FALSE)</f>
        <v>día</v>
      </c>
      <c r="E81" s="91">
        <f>VLOOKUP(B81,BD!$B$4:$D$290,3,FALSE)</f>
        <v>87308.000000000015</v>
      </c>
      <c r="F81" s="92"/>
      <c r="G81" s="92"/>
      <c r="H81" s="92">
        <f>+E81*C81</f>
        <v>2182.7000000000003</v>
      </c>
      <c r="I81" s="92"/>
    </row>
    <row r="82" spans="2:9">
      <c r="B82" s="93" t="s">
        <v>7</v>
      </c>
      <c r="C82" s="93" t="s">
        <v>504</v>
      </c>
      <c r="D82" s="94"/>
      <c r="E82" s="95"/>
      <c r="F82" s="118">
        <f>+SUM(F79:F81)</f>
        <v>56700.000000000007</v>
      </c>
      <c r="G82" s="118">
        <f t="shared" ref="G82:I82" si="7">+SUM(G79:G81)</f>
        <v>0</v>
      </c>
      <c r="H82" s="118">
        <f t="shared" si="7"/>
        <v>2182.7000000000003</v>
      </c>
      <c r="I82" s="118">
        <f t="shared" si="7"/>
        <v>109.13500000000002</v>
      </c>
    </row>
    <row r="83" spans="2:9">
      <c r="B83" s="97">
        <f>ROUNDUP(SUM(F82:I82),0)</f>
        <v>58992</v>
      </c>
      <c r="C83" s="98" t="s">
        <v>520</v>
      </c>
      <c r="D83" s="99"/>
      <c r="E83" s="100"/>
      <c r="F83" s="119"/>
      <c r="G83" s="120"/>
      <c r="H83" s="120"/>
      <c r="I83" s="120"/>
    </row>
    <row r="85" spans="2:9">
      <c r="B85" s="1706" t="s">
        <v>535</v>
      </c>
      <c r="C85" s="1706"/>
      <c r="D85" s="1706"/>
      <c r="E85" s="1706"/>
      <c r="F85" s="1706"/>
      <c r="G85" s="1706"/>
      <c r="H85" s="1706"/>
      <c r="I85" s="116" t="s">
        <v>536</v>
      </c>
    </row>
    <row r="86" spans="2:9">
      <c r="C86" s="104" t="s">
        <v>491</v>
      </c>
      <c r="D86" s="104" t="s">
        <v>492</v>
      </c>
      <c r="E86" s="104" t="s">
        <v>493</v>
      </c>
      <c r="F86" s="104" t="s">
        <v>494</v>
      </c>
      <c r="G86" s="104" t="s">
        <v>360</v>
      </c>
      <c r="H86" s="118" t="s">
        <v>495</v>
      </c>
      <c r="I86" s="104" t="s">
        <v>496</v>
      </c>
    </row>
    <row r="87" spans="2:9">
      <c r="B87" s="88" t="s">
        <v>517</v>
      </c>
      <c r="C87" s="89">
        <v>0.27</v>
      </c>
      <c r="D87" s="90" t="str">
        <f>VLOOKUP(B87,BD!$B$4:$D$290,2,FALSE)</f>
        <v>hora</v>
      </c>
      <c r="E87" s="91">
        <f>VLOOKUP(B87,BD!$B$4:$D$290,3,FALSE)</f>
        <v>210000</v>
      </c>
      <c r="F87" s="92">
        <f>+E87*C87</f>
        <v>56700.000000000007</v>
      </c>
      <c r="G87" s="92"/>
      <c r="H87" s="92"/>
      <c r="I87" s="92"/>
    </row>
    <row r="88" spans="2:9">
      <c r="B88" s="88" t="s">
        <v>497</v>
      </c>
      <c r="C88" s="89">
        <v>1</v>
      </c>
      <c r="D88" s="90" t="s">
        <v>498</v>
      </c>
      <c r="E88" s="91">
        <f>0.05*H90</f>
        <v>145.51333333333338</v>
      </c>
      <c r="F88" s="92"/>
      <c r="G88" s="92"/>
      <c r="H88" s="92"/>
      <c r="I88" s="92">
        <f>+E88*C88</f>
        <v>145.51333333333338</v>
      </c>
    </row>
    <row r="89" spans="2:9">
      <c r="B89" s="88" t="s">
        <v>519</v>
      </c>
      <c r="C89" s="89">
        <f>1/30</f>
        <v>3.3333333333333333E-2</v>
      </c>
      <c r="D89" s="90" t="str">
        <f>VLOOKUP(B89,BD!$B$4:$D$290,2,FALSE)</f>
        <v>día</v>
      </c>
      <c r="E89" s="91">
        <f>VLOOKUP(B89,BD!$B$4:$D$290,3,FALSE)</f>
        <v>87308.000000000015</v>
      </c>
      <c r="F89" s="92"/>
      <c r="G89" s="92"/>
      <c r="H89" s="92">
        <f>+E89*C89</f>
        <v>2910.2666666666673</v>
      </c>
      <c r="I89" s="92"/>
    </row>
    <row r="90" spans="2:9">
      <c r="B90" s="93" t="s">
        <v>7</v>
      </c>
      <c r="C90" s="93" t="s">
        <v>504</v>
      </c>
      <c r="D90" s="94"/>
      <c r="E90" s="95"/>
      <c r="F90" s="105">
        <f>SUM(F87:F89)</f>
        <v>56700.000000000007</v>
      </c>
      <c r="G90" s="105">
        <f t="shared" ref="G90:I90" si="8">SUM(G87:G89)</f>
        <v>0</v>
      </c>
      <c r="H90" s="105">
        <f t="shared" si="8"/>
        <v>2910.2666666666673</v>
      </c>
      <c r="I90" s="105">
        <f t="shared" si="8"/>
        <v>145.51333333333338</v>
      </c>
    </row>
    <row r="91" spans="2:9">
      <c r="B91" s="97">
        <f>ROUNDUP(SUM(F90:I90),0)</f>
        <v>59756</v>
      </c>
      <c r="C91" s="98" t="s">
        <v>520</v>
      </c>
      <c r="D91" s="99"/>
      <c r="E91" s="100"/>
      <c r="F91" s="106"/>
      <c r="G91" s="106"/>
      <c r="H91" s="106"/>
      <c r="I91" s="106"/>
    </row>
    <row r="93" spans="2:9">
      <c r="B93" s="1706" t="s">
        <v>537</v>
      </c>
      <c r="C93" s="1706"/>
      <c r="D93" s="1706"/>
      <c r="E93" s="1706"/>
      <c r="F93" s="1706"/>
      <c r="G93" s="1706"/>
      <c r="H93" s="1706"/>
      <c r="I93" s="116" t="s">
        <v>538</v>
      </c>
    </row>
    <row r="94" spans="2:9">
      <c r="C94" s="121" t="s">
        <v>491</v>
      </c>
      <c r="D94" s="117" t="s">
        <v>492</v>
      </c>
      <c r="E94" s="118" t="s">
        <v>493</v>
      </c>
      <c r="F94" s="118" t="s">
        <v>494</v>
      </c>
      <c r="G94" s="118" t="s">
        <v>360</v>
      </c>
      <c r="H94" s="118" t="s">
        <v>495</v>
      </c>
      <c r="I94" s="118" t="s">
        <v>496</v>
      </c>
    </row>
    <row r="95" spans="2:9">
      <c r="B95" s="88" t="s">
        <v>539</v>
      </c>
      <c r="C95" s="89">
        <v>4</v>
      </c>
      <c r="D95" s="90" t="str">
        <f>VLOOKUP(B95,BD!$B$4:$D$290,2,FALSE)</f>
        <v>kg</v>
      </c>
      <c r="E95" s="91">
        <f>VLOOKUP(B95,BD!$B$4:$D$290,3,FALSE)</f>
        <v>52000</v>
      </c>
      <c r="F95" s="92"/>
      <c r="G95" s="92">
        <f>+C95*E95</f>
        <v>208000</v>
      </c>
      <c r="H95" s="92"/>
      <c r="I95" s="92"/>
    </row>
    <row r="96" spans="2:9">
      <c r="B96" s="88" t="s">
        <v>523</v>
      </c>
      <c r="C96" s="89">
        <v>0.6</v>
      </c>
      <c r="D96" s="90" t="str">
        <f>VLOOKUP(B96,BD!$B$4:$D$290,2,FALSE)</f>
        <v>día</v>
      </c>
      <c r="E96" s="91">
        <f>VLOOKUP(B96,BD!$B$4:$D$290,3,FALSE)</f>
        <v>140000</v>
      </c>
      <c r="F96" s="92">
        <f>+C96*E96</f>
        <v>84000</v>
      </c>
      <c r="G96" s="92"/>
      <c r="H96" s="92"/>
      <c r="I96" s="92"/>
    </row>
    <row r="97" spans="2:9">
      <c r="B97" s="88" t="s">
        <v>519</v>
      </c>
      <c r="C97" s="89">
        <f>1/4</f>
        <v>0.25</v>
      </c>
      <c r="D97" s="90" t="str">
        <f>VLOOKUP(B97,BD!$B$4:$D$290,2,FALSE)</f>
        <v>día</v>
      </c>
      <c r="E97" s="91">
        <f>VLOOKUP(B97,BD!$B$4:$D$290,3,FALSE)</f>
        <v>87308.000000000015</v>
      </c>
      <c r="F97" s="92"/>
      <c r="G97" s="92"/>
      <c r="H97" s="92">
        <f>+E97*C97</f>
        <v>21827.000000000004</v>
      </c>
      <c r="I97" s="92"/>
    </row>
    <row r="98" spans="2:9">
      <c r="B98" s="88" t="s">
        <v>497</v>
      </c>
      <c r="C98" s="89">
        <v>1</v>
      </c>
      <c r="D98" s="90" t="s">
        <v>498</v>
      </c>
      <c r="E98" s="91">
        <f>0.05*H99</f>
        <v>1091.3500000000001</v>
      </c>
      <c r="F98" s="92"/>
      <c r="G98" s="92"/>
      <c r="H98" s="92"/>
      <c r="I98" s="92">
        <f>C98*E98</f>
        <v>1091.3500000000001</v>
      </c>
    </row>
    <row r="99" spans="2:9">
      <c r="B99" s="93" t="s">
        <v>7</v>
      </c>
      <c r="C99" s="93" t="s">
        <v>504</v>
      </c>
      <c r="D99" s="94"/>
      <c r="E99" s="95"/>
      <c r="F99" s="118">
        <f>SUM(F95:F98)</f>
        <v>84000</v>
      </c>
      <c r="G99" s="118">
        <f t="shared" ref="G99:I99" si="9">SUM(G95:G98)</f>
        <v>208000</v>
      </c>
      <c r="H99" s="118">
        <f t="shared" si="9"/>
        <v>21827.000000000004</v>
      </c>
      <c r="I99" s="118">
        <f t="shared" si="9"/>
        <v>1091.3500000000001</v>
      </c>
    </row>
    <row r="100" spans="2:9">
      <c r="B100" s="97">
        <f>ROUNDUP(SUM(F99:I99),0)</f>
        <v>314919</v>
      </c>
      <c r="C100" s="98" t="s">
        <v>520</v>
      </c>
      <c r="D100" s="99"/>
      <c r="E100" s="100"/>
      <c r="F100" s="119"/>
      <c r="G100" s="120"/>
      <c r="H100" s="120"/>
      <c r="I100" s="120"/>
    </row>
    <row r="102" spans="2:9" ht="30" customHeight="1">
      <c r="B102" s="1706" t="s">
        <v>540</v>
      </c>
      <c r="C102" s="1706"/>
      <c r="D102" s="1706"/>
      <c r="E102" s="1706"/>
      <c r="F102" s="1706"/>
      <c r="G102" s="1706"/>
      <c r="H102" s="1706"/>
      <c r="I102" s="116" t="s">
        <v>541</v>
      </c>
    </row>
    <row r="103" spans="2:9">
      <c r="C103" s="121" t="s">
        <v>491</v>
      </c>
      <c r="D103" s="117" t="s">
        <v>492</v>
      </c>
      <c r="E103" s="118" t="s">
        <v>493</v>
      </c>
      <c r="F103" s="118" t="s">
        <v>494</v>
      </c>
      <c r="G103" s="118" t="s">
        <v>360</v>
      </c>
      <c r="H103" s="118" t="s">
        <v>495</v>
      </c>
      <c r="I103" s="118" t="s">
        <v>496</v>
      </c>
    </row>
    <row r="104" spans="2:9">
      <c r="B104" s="88" t="s">
        <v>542</v>
      </c>
      <c r="C104" s="89">
        <v>1.6955687203791467</v>
      </c>
      <c r="D104" s="90" t="str">
        <f>VLOOKUP(B104,BD!$B$4:$D$290,2,FALSE)</f>
        <v>hora</v>
      </c>
      <c r="E104" s="91">
        <f>VLOOKUP(B104,BD!$B$4:$D$290,3,FALSE)</f>
        <v>10625</v>
      </c>
      <c r="F104" s="92">
        <f>+E104*C104</f>
        <v>18015.417654028435</v>
      </c>
      <c r="G104" s="92"/>
      <c r="H104" s="92"/>
      <c r="I104" s="92"/>
    </row>
    <row r="105" spans="2:9">
      <c r="B105" s="88" t="s">
        <v>497</v>
      </c>
      <c r="C105" s="89">
        <v>1</v>
      </c>
      <c r="D105" s="90" t="s">
        <v>498</v>
      </c>
      <c r="E105" s="91">
        <f>0.05*H108</f>
        <v>1309.6200000000003</v>
      </c>
      <c r="F105" s="92"/>
      <c r="G105" s="92"/>
      <c r="H105" s="92"/>
      <c r="I105" s="92">
        <f>+E105*C105</f>
        <v>1309.6200000000003</v>
      </c>
    </row>
    <row r="106" spans="2:9">
      <c r="B106" s="88" t="s">
        <v>519</v>
      </c>
      <c r="C106" s="89">
        <v>0.3</v>
      </c>
      <c r="D106" s="90" t="str">
        <f>VLOOKUP(B106,BD!$B$4:$D$290,2,FALSE)</f>
        <v>día</v>
      </c>
      <c r="E106" s="91">
        <f>VLOOKUP(B106,BD!$B$4:$D$290,3,FALSE)</f>
        <v>87308.000000000015</v>
      </c>
      <c r="F106" s="92"/>
      <c r="G106" s="92"/>
      <c r="H106" s="92">
        <f>+E106*C106</f>
        <v>26192.400000000005</v>
      </c>
      <c r="I106" s="92"/>
    </row>
    <row r="107" spans="2:9" hidden="1">
      <c r="B107" s="88"/>
      <c r="C107" s="89"/>
      <c r="D107" s="90"/>
      <c r="E107" s="91"/>
      <c r="F107" s="92"/>
      <c r="G107" s="92"/>
      <c r="H107" s="92"/>
      <c r="I107" s="92"/>
    </row>
    <row r="108" spans="2:9">
      <c r="B108" s="93" t="s">
        <v>7</v>
      </c>
      <c r="C108" s="93" t="s">
        <v>504</v>
      </c>
      <c r="D108" s="94"/>
      <c r="E108" s="95"/>
      <c r="F108" s="118">
        <f>+SUM(F104:F107)</f>
        <v>18015.417654028435</v>
      </c>
      <c r="G108" s="118">
        <f t="shared" ref="G108:I108" si="10">+SUM(G104:G107)</f>
        <v>0</v>
      </c>
      <c r="H108" s="118">
        <f t="shared" si="10"/>
        <v>26192.400000000005</v>
      </c>
      <c r="I108" s="118">
        <f t="shared" si="10"/>
        <v>1309.6200000000003</v>
      </c>
    </row>
    <row r="109" spans="2:9">
      <c r="B109" s="97">
        <f>ROUNDUP(SUM(F108:I108),0)</f>
        <v>45518</v>
      </c>
      <c r="C109" s="98" t="s">
        <v>520</v>
      </c>
      <c r="D109" s="99"/>
      <c r="E109" s="1504"/>
      <c r="F109" s="119"/>
      <c r="G109" s="119"/>
      <c r="H109" s="120"/>
      <c r="I109" s="120"/>
    </row>
    <row r="111" spans="2:9" ht="15" customHeight="1">
      <c r="B111" s="1706" t="s">
        <v>543</v>
      </c>
      <c r="C111" s="1706"/>
      <c r="D111" s="1706"/>
      <c r="E111" s="1706"/>
      <c r="F111" s="1706"/>
      <c r="G111" s="1706"/>
      <c r="H111" s="1706"/>
      <c r="I111" s="116" t="s">
        <v>544</v>
      </c>
    </row>
    <row r="112" spans="2:9">
      <c r="C112" s="117" t="s">
        <v>491</v>
      </c>
      <c r="D112" s="117" t="s">
        <v>492</v>
      </c>
      <c r="E112" s="122" t="s">
        <v>493</v>
      </c>
      <c r="F112" s="122" t="s">
        <v>494</v>
      </c>
      <c r="G112" s="122" t="s">
        <v>360</v>
      </c>
      <c r="H112" s="122" t="s">
        <v>495</v>
      </c>
      <c r="I112" s="122" t="s">
        <v>496</v>
      </c>
    </row>
    <row r="113" spans="2:9">
      <c r="B113" s="88" t="s">
        <v>542</v>
      </c>
      <c r="C113" s="89">
        <v>0.80859070773668451</v>
      </c>
      <c r="D113" s="90" t="str">
        <f>VLOOKUP(B113,BD!$B$4:$D$290,2,FALSE)</f>
        <v>hora</v>
      </c>
      <c r="E113" s="91">
        <f>VLOOKUP(B113,BD!$B$4:$D$290,3,FALSE)</f>
        <v>10625</v>
      </c>
      <c r="F113" s="92">
        <f>+E113*C113</f>
        <v>8591.2762697022736</v>
      </c>
      <c r="G113" s="92"/>
      <c r="H113" s="92"/>
      <c r="I113" s="92"/>
    </row>
    <row r="114" spans="2:9">
      <c r="B114" s="88" t="s">
        <v>497</v>
      </c>
      <c r="C114" s="89">
        <v>1</v>
      </c>
      <c r="D114" s="90" t="s">
        <v>498</v>
      </c>
      <c r="E114" s="91">
        <f>0.05*H119</f>
        <v>916.73400000000038</v>
      </c>
      <c r="F114" s="92"/>
      <c r="G114" s="92"/>
      <c r="H114" s="92"/>
      <c r="I114" s="92">
        <f>+E114*C114</f>
        <v>916.73400000000038</v>
      </c>
    </row>
    <row r="115" spans="2:9">
      <c r="B115" s="88" t="s">
        <v>545</v>
      </c>
      <c r="C115" s="89">
        <v>1.3</v>
      </c>
      <c r="D115" s="90" t="str">
        <f>VLOOKUP(B115,BD!$B$4:$D$290,2,FALSE)</f>
        <v>m³</v>
      </c>
      <c r="E115" s="91">
        <f>VLOOKUP(B115,BD!$B$4:$D$290,3,FALSE)</f>
        <v>20000</v>
      </c>
      <c r="F115" s="92"/>
      <c r="G115" s="92">
        <f>+E115*C115</f>
        <v>26000</v>
      </c>
      <c r="H115" s="92"/>
      <c r="I115" s="92"/>
    </row>
    <row r="116" spans="2:9">
      <c r="B116" s="88" t="s">
        <v>546</v>
      </c>
      <c r="C116" s="89">
        <f>20*1.3</f>
        <v>26</v>
      </c>
      <c r="D116" s="90" t="str">
        <f>VLOOKUP(B116,BD!$B$4:$D$290,2,FALSE)</f>
        <v>$/m³.km</v>
      </c>
      <c r="E116" s="91">
        <f>VLOOKUP(B116,BD!$B$4:$D$290,3,FALSE)</f>
        <v>1400</v>
      </c>
      <c r="F116" s="92"/>
      <c r="G116" s="92"/>
      <c r="H116" s="92"/>
      <c r="I116" s="92">
        <f>+E116*C116</f>
        <v>36400</v>
      </c>
    </row>
    <row r="117" spans="2:9">
      <c r="B117" s="88" t="s">
        <v>512</v>
      </c>
      <c r="C117" s="89">
        <v>0.14000000000000001</v>
      </c>
      <c r="D117" s="90" t="str">
        <f>VLOOKUP(B117,BD!$B$4:$D$290,2,FALSE)</f>
        <v>día</v>
      </c>
      <c r="E117" s="91">
        <f>VLOOKUP(B117,BD!$B$4:$D$290,3,FALSE)</f>
        <v>130962.00000000003</v>
      </c>
      <c r="F117" s="92"/>
      <c r="G117" s="92"/>
      <c r="H117" s="92">
        <f>+E117*C117</f>
        <v>18334.680000000008</v>
      </c>
      <c r="I117" s="92"/>
    </row>
    <row r="118" spans="2:9" hidden="1">
      <c r="B118" s="88"/>
      <c r="C118" s="89"/>
      <c r="D118" s="90"/>
      <c r="E118" s="91"/>
      <c r="F118" s="92"/>
      <c r="G118" s="92"/>
      <c r="H118" s="92"/>
      <c r="I118" s="92"/>
    </row>
    <row r="119" spans="2:9">
      <c r="B119" s="93" t="s">
        <v>7</v>
      </c>
      <c r="C119" s="93" t="s">
        <v>504</v>
      </c>
      <c r="D119" s="94"/>
      <c r="E119" s="95"/>
      <c r="F119" s="123">
        <f>SUM(F113:F118)</f>
        <v>8591.2762697022736</v>
      </c>
      <c r="G119" s="123">
        <f t="shared" ref="G119:I119" si="11">SUM(G113:G118)</f>
        <v>26000</v>
      </c>
      <c r="H119" s="123">
        <f t="shared" si="11"/>
        <v>18334.680000000008</v>
      </c>
      <c r="I119" s="123">
        <f t="shared" si="11"/>
        <v>37316.733999999997</v>
      </c>
    </row>
    <row r="120" spans="2:9">
      <c r="B120" s="97">
        <f>ROUNDUP(SUM(F119:I119),0)</f>
        <v>90243</v>
      </c>
      <c r="C120" s="98" t="s">
        <v>520</v>
      </c>
      <c r="D120" s="94"/>
      <c r="E120" s="95"/>
      <c r="F120" s="119"/>
      <c r="G120" s="119"/>
      <c r="H120" s="124"/>
      <c r="I120" s="100"/>
    </row>
    <row r="122" spans="2:9">
      <c r="B122" s="1706" t="s">
        <v>547</v>
      </c>
      <c r="C122" s="1706"/>
      <c r="D122" s="1706"/>
      <c r="E122" s="1706"/>
      <c r="F122" s="1706"/>
      <c r="G122" s="1706"/>
      <c r="H122" s="1706"/>
      <c r="I122" s="116" t="s">
        <v>548</v>
      </c>
    </row>
    <row r="123" spans="2:9">
      <c r="C123" s="125" t="s">
        <v>491</v>
      </c>
      <c r="D123" s="117" t="s">
        <v>492</v>
      </c>
      <c r="E123" s="122" t="s">
        <v>493</v>
      </c>
      <c r="F123" s="122" t="s">
        <v>494</v>
      </c>
      <c r="G123" s="122" t="s">
        <v>360</v>
      </c>
      <c r="H123" s="122" t="s">
        <v>495</v>
      </c>
      <c r="I123" s="122" t="s">
        <v>496</v>
      </c>
    </row>
    <row r="124" spans="2:9">
      <c r="B124" s="88" t="s">
        <v>549</v>
      </c>
      <c r="C124" s="89">
        <v>1.1000000000000001</v>
      </c>
      <c r="D124" s="90" t="str">
        <f>VLOOKUP(B124,BD!$B$4:$D$290,2,FALSE)</f>
        <v>m³</v>
      </c>
      <c r="E124" s="91">
        <f>VLOOKUP(B124,BD!$B$4:$D$290,3,FALSE)</f>
        <v>108000</v>
      </c>
      <c r="F124" s="92"/>
      <c r="G124" s="92">
        <f>+E124*C124</f>
        <v>118800.00000000001</v>
      </c>
      <c r="H124" s="92"/>
      <c r="I124" s="92"/>
    </row>
    <row r="125" spans="2:9">
      <c r="B125" s="88" t="s">
        <v>550</v>
      </c>
      <c r="C125" s="89">
        <f>72*1.1</f>
        <v>79.2</v>
      </c>
      <c r="D125" s="90" t="str">
        <f>VLOOKUP(B125,BD!$B$4:$D$290,2,FALSE)</f>
        <v>$/m³.km</v>
      </c>
      <c r="E125" s="91">
        <f>VLOOKUP(B125,BD!$B$4:$D$290,3,FALSE)</f>
        <v>1400</v>
      </c>
      <c r="F125" s="92"/>
      <c r="G125" s="92"/>
      <c r="H125" s="92"/>
      <c r="I125" s="92">
        <f>C125*E125</f>
        <v>110880</v>
      </c>
    </row>
    <row r="126" spans="2:9">
      <c r="B126" s="88" t="s">
        <v>511</v>
      </c>
      <c r="C126" s="89">
        <v>0.1</v>
      </c>
      <c r="D126" s="90" t="str">
        <f>VLOOKUP(B126,BD!$B$4:$D$290,2,FALSE)</f>
        <v>día</v>
      </c>
      <c r="E126" s="91">
        <f>VLOOKUP(B126,BD!$B$4:$D$290,3,FALSE)</f>
        <v>218270.00000000003</v>
      </c>
      <c r="F126" s="92"/>
      <c r="G126" s="92"/>
      <c r="H126" s="92">
        <f>+E126*C126</f>
        <v>21827.000000000004</v>
      </c>
      <c r="I126" s="92"/>
    </row>
    <row r="127" spans="2:9">
      <c r="B127" s="88" t="s">
        <v>512</v>
      </c>
      <c r="C127" s="89">
        <v>0.15</v>
      </c>
      <c r="D127" s="90" t="str">
        <f>VLOOKUP(B127,BD!$B$4:$D$290,2,FALSE)</f>
        <v>día</v>
      </c>
      <c r="E127" s="91">
        <f>VLOOKUP(B127,BD!$B$4:$D$290,3,FALSE)</f>
        <v>130962.00000000003</v>
      </c>
      <c r="F127" s="92"/>
      <c r="G127" s="92"/>
      <c r="H127" s="92">
        <v>0</v>
      </c>
      <c r="I127" s="92"/>
    </row>
    <row r="128" spans="2:9">
      <c r="B128" s="88" t="s">
        <v>519</v>
      </c>
      <c r="C128" s="89">
        <v>0.15</v>
      </c>
      <c r="D128" s="90" t="str">
        <f>VLOOKUP(B128,BD!$B$4:$D$290,2,FALSE)</f>
        <v>día</v>
      </c>
      <c r="E128" s="91">
        <f>VLOOKUP(B128,BD!$B$4:$D$290,3,FALSE)</f>
        <v>87308.000000000015</v>
      </c>
      <c r="F128" s="92"/>
      <c r="G128" s="92"/>
      <c r="H128" s="92">
        <f>+E128*C128</f>
        <v>13096.200000000003</v>
      </c>
      <c r="I128" s="92"/>
    </row>
    <row r="129" spans="2:9">
      <c r="B129" s="88" t="s">
        <v>497</v>
      </c>
      <c r="C129" s="89">
        <v>1</v>
      </c>
      <c r="D129" s="90" t="s">
        <v>498</v>
      </c>
      <c r="E129" s="91">
        <f>0.05*H130</f>
        <v>1746.1600000000003</v>
      </c>
      <c r="F129" s="92"/>
      <c r="G129" s="92"/>
      <c r="H129" s="92"/>
      <c r="I129" s="92">
        <f>+E129*C129</f>
        <v>1746.1600000000003</v>
      </c>
    </row>
    <row r="130" spans="2:9">
      <c r="B130" s="93" t="s">
        <v>7</v>
      </c>
      <c r="C130" s="93" t="s">
        <v>504</v>
      </c>
      <c r="D130" s="94"/>
      <c r="E130" s="95"/>
      <c r="F130" s="122">
        <f>+SUM(F124:F129)</f>
        <v>0</v>
      </c>
      <c r="G130" s="122">
        <f t="shared" ref="G130:I130" si="12">+SUM(G124:G129)</f>
        <v>118800.00000000001</v>
      </c>
      <c r="H130" s="122">
        <f t="shared" si="12"/>
        <v>34923.200000000004</v>
      </c>
      <c r="I130" s="122">
        <f t="shared" si="12"/>
        <v>112626.16</v>
      </c>
    </row>
    <row r="131" spans="2:9">
      <c r="B131" s="97">
        <f>ROUNDUP(SUM(F130:I130),0)</f>
        <v>266350</v>
      </c>
      <c r="C131" s="98" t="s">
        <v>520</v>
      </c>
      <c r="D131" s="99"/>
      <c r="E131" s="1505"/>
      <c r="F131" s="100"/>
      <c r="G131" s="100"/>
      <c r="H131" s="100"/>
      <c r="I131" s="100"/>
    </row>
    <row r="133" spans="2:9">
      <c r="B133" s="1706" t="s">
        <v>551</v>
      </c>
      <c r="C133" s="1706"/>
      <c r="D133" s="1706"/>
      <c r="E133" s="1706"/>
      <c r="F133" s="1706"/>
      <c r="G133" s="1706"/>
      <c r="H133" s="1706"/>
      <c r="I133" s="116" t="s">
        <v>552</v>
      </c>
    </row>
    <row r="134" spans="2:9">
      <c r="C134" s="117" t="s">
        <v>491</v>
      </c>
      <c r="D134" s="117" t="s">
        <v>492</v>
      </c>
      <c r="E134" s="122" t="s">
        <v>493</v>
      </c>
      <c r="F134" s="122" t="s">
        <v>494</v>
      </c>
      <c r="G134" s="122" t="s">
        <v>360</v>
      </c>
      <c r="H134" s="122" t="s">
        <v>495</v>
      </c>
      <c r="I134" s="122" t="s">
        <v>496</v>
      </c>
    </row>
    <row r="135" spans="2:9">
      <c r="B135" s="88" t="s">
        <v>517</v>
      </c>
      <c r="C135" s="89">
        <v>0.05</v>
      </c>
      <c r="D135" s="90" t="str">
        <f>VLOOKUP(B135,BD!$B$4:$D$290,2,FALSE)</f>
        <v>hora</v>
      </c>
      <c r="E135" s="91">
        <f>VLOOKUP(B135,BD!$B$4:$D$290,3,FALSE)</f>
        <v>210000</v>
      </c>
      <c r="F135" s="92">
        <f>+E135*C135</f>
        <v>10500</v>
      </c>
      <c r="G135" s="92"/>
      <c r="H135" s="92"/>
      <c r="I135" s="92"/>
    </row>
    <row r="136" spans="2:9">
      <c r="B136" s="88" t="s">
        <v>553</v>
      </c>
      <c r="C136" s="89">
        <f>1.3*20</f>
        <v>26</v>
      </c>
      <c r="D136" s="90" t="str">
        <f>VLOOKUP(B136,BD!$B$4:$D$290,2,FALSE)</f>
        <v>$/m³.km</v>
      </c>
      <c r="E136" s="91">
        <f>VLOOKUP(B136,BD!$B$4:$D$290,3,FALSE)</f>
        <v>2650</v>
      </c>
      <c r="F136" s="92"/>
      <c r="G136" s="92"/>
      <c r="H136" s="92"/>
      <c r="I136" s="92">
        <f>+E136*C136</f>
        <v>68900</v>
      </c>
    </row>
    <row r="137" spans="2:9">
      <c r="B137" s="93" t="s">
        <v>7</v>
      </c>
      <c r="C137" s="93" t="s">
        <v>504</v>
      </c>
      <c r="D137" s="94"/>
      <c r="E137" s="95"/>
      <c r="F137" s="122">
        <f>SUM(F135:F136)</f>
        <v>10500</v>
      </c>
      <c r="G137" s="122">
        <f t="shared" ref="G137:I137" si="13">SUM(G135:G136)</f>
        <v>0</v>
      </c>
      <c r="H137" s="122">
        <f t="shared" si="13"/>
        <v>0</v>
      </c>
      <c r="I137" s="122">
        <f t="shared" si="13"/>
        <v>68900</v>
      </c>
    </row>
    <row r="138" spans="2:9">
      <c r="B138" s="97">
        <f>ROUNDUP(SUM(F137:I137),0)</f>
        <v>79400</v>
      </c>
      <c r="C138" s="98" t="s">
        <v>520</v>
      </c>
      <c r="F138" s="119"/>
      <c r="G138" s="119"/>
      <c r="H138" s="100"/>
      <c r="I138" s="100"/>
    </row>
    <row r="139" spans="2:9" ht="15.75" thickBot="1">
      <c r="F139" s="1334"/>
      <c r="G139" s="1334"/>
      <c r="H139" s="1334"/>
      <c r="I139" s="1334"/>
    </row>
    <row r="140" spans="2:9" ht="27" customHeight="1" thickBot="1">
      <c r="B140" s="1707" t="s">
        <v>554</v>
      </c>
      <c r="C140" s="1708"/>
      <c r="D140" s="1708"/>
      <c r="E140" s="1708"/>
      <c r="F140" s="1708"/>
      <c r="G140" s="1708"/>
      <c r="H140" s="1708"/>
      <c r="I140" s="1709"/>
    </row>
    <row r="142" spans="2:9">
      <c r="B142" s="1690" t="s">
        <v>555</v>
      </c>
      <c r="C142" s="1690"/>
      <c r="D142" s="1690"/>
      <c r="E142" s="1690"/>
      <c r="F142" s="1690"/>
      <c r="G142" s="1690"/>
      <c r="H142" s="1690"/>
      <c r="I142" s="126" t="s">
        <v>556</v>
      </c>
    </row>
    <row r="143" spans="2:9">
      <c r="B143" s="79"/>
      <c r="C143" s="127" t="s">
        <v>491</v>
      </c>
      <c r="D143" s="104" t="s">
        <v>492</v>
      </c>
      <c r="E143" s="114" t="s">
        <v>493</v>
      </c>
      <c r="F143" s="114" t="s">
        <v>494</v>
      </c>
      <c r="G143" s="114" t="s">
        <v>360</v>
      </c>
      <c r="H143" s="114" t="s">
        <v>495</v>
      </c>
      <c r="I143" s="114" t="s">
        <v>496</v>
      </c>
    </row>
    <row r="144" spans="2:9">
      <c r="B144" s="88" t="s">
        <v>557</v>
      </c>
      <c r="C144" s="89">
        <v>1</v>
      </c>
      <c r="D144" s="90" t="str">
        <f>VLOOKUP(B144,BD!$B$4:$D$290,2,FALSE)</f>
        <v>und</v>
      </c>
      <c r="E144" s="91">
        <f>VLOOKUP(B144,BD!$B$4:$D$290,3,FALSE)</f>
        <v>8000</v>
      </c>
      <c r="F144" s="92"/>
      <c r="G144" s="92">
        <f>+E144*C144</f>
        <v>8000</v>
      </c>
      <c r="H144" s="92"/>
      <c r="I144" s="92"/>
    </row>
    <row r="145" spans="2:9">
      <c r="B145" s="88" t="s">
        <v>558</v>
      </c>
      <c r="C145" s="89">
        <f>(((2*(0.1*0.8*0.5))+(2*(0.1*0.6*0.5))+(0.9*0.9*0.1))*1.05)+(0.7*0.7*0.1)</f>
        <v>0.28105000000000002</v>
      </c>
      <c r="D145" s="90" t="str">
        <f>VLOOKUP(B145,BD!$B$4:$D$290,2,FALSE)</f>
        <v>m³</v>
      </c>
      <c r="E145" s="91">
        <f>VLOOKUP(B145,BD!$B$4:$D$290,3,FALSE)</f>
        <v>763998.69000000006</v>
      </c>
      <c r="F145" s="92"/>
      <c r="G145" s="92">
        <f>+E145*C145</f>
        <v>214721.83182450003</v>
      </c>
      <c r="H145" s="92"/>
      <c r="I145" s="92"/>
    </row>
    <row r="146" spans="2:9">
      <c r="B146" s="88" t="s">
        <v>559</v>
      </c>
      <c r="C146" s="89">
        <f>0.08*0.6*0.6</f>
        <v>2.8799999999999999E-2</v>
      </c>
      <c r="D146" s="90" t="str">
        <f>VLOOKUP(B146,BD!$B$4:$D$290,2,FALSE)</f>
        <v>m³</v>
      </c>
      <c r="E146" s="91">
        <f>VLOOKUP(B146,BD!$B$4:$D$290,3,FALSE)</f>
        <v>679021.44000000006</v>
      </c>
      <c r="F146" s="92"/>
      <c r="G146" s="92">
        <f>C146*E146</f>
        <v>19555.817472000002</v>
      </c>
      <c r="H146" s="92"/>
      <c r="I146" s="92"/>
    </row>
    <row r="147" spans="2:9">
      <c r="B147" s="88" t="s">
        <v>560</v>
      </c>
      <c r="C147" s="89">
        <f>((0.65*0.6*4)*1.15)+((0.8*0.8)*1.15)</f>
        <v>2.5299999999999998</v>
      </c>
      <c r="D147" s="90" t="str">
        <f>VLOOKUP(B147,BD!$B$4:$D$290,2,FALSE)</f>
        <v>m²</v>
      </c>
      <c r="E147" s="91">
        <f>VLOOKUP(B147,BD!$B$4:$D$290,3,FALSE)</f>
        <v>16712.765957446805</v>
      </c>
      <c r="F147" s="92"/>
      <c r="G147" s="92">
        <f>C147*E147</f>
        <v>42283.297872340416</v>
      </c>
      <c r="H147" s="92"/>
      <c r="I147" s="92"/>
    </row>
    <row r="148" spans="2:9">
      <c r="B148" s="88" t="s">
        <v>561</v>
      </c>
      <c r="C148" s="89">
        <f>1/2</f>
        <v>0.5</v>
      </c>
      <c r="D148" s="90" t="str">
        <f>VLOOKUP(B148,BD!$B$4:$D$290,2,FALSE)</f>
        <v>día</v>
      </c>
      <c r="E148" s="91">
        <f>VLOOKUP(B148,BD!$B$4:$D$290,3,FALSE)</f>
        <v>35000</v>
      </c>
      <c r="F148" s="92"/>
      <c r="G148" s="92">
        <f>E148*C148</f>
        <v>17500</v>
      </c>
      <c r="H148" s="92"/>
      <c r="I148" s="92"/>
    </row>
    <row r="149" spans="2:9">
      <c r="B149" s="88" t="s">
        <v>562</v>
      </c>
      <c r="C149" s="89">
        <v>1</v>
      </c>
      <c r="D149" s="90" t="str">
        <f>VLOOKUP(B149,BD!$B$4:$D$290,2,FALSE)</f>
        <v>und</v>
      </c>
      <c r="E149" s="91">
        <f>VLOOKUP(B149,BD!$B$4:$D$290,3,FALSE)</f>
        <v>280000</v>
      </c>
      <c r="F149" s="92"/>
      <c r="G149" s="92">
        <f>+E149*C149</f>
        <v>280000</v>
      </c>
      <c r="H149" s="92"/>
      <c r="I149" s="92"/>
    </row>
    <row r="150" spans="2:9">
      <c r="B150" s="88" t="s">
        <v>563</v>
      </c>
      <c r="C150" s="89">
        <f>1/70</f>
        <v>1.4285714285714285E-2</v>
      </c>
      <c r="D150" s="90" t="str">
        <f>VLOOKUP(B150,BD!$B$4:$D$290,2,FALSE)</f>
        <v>viaje</v>
      </c>
      <c r="E150" s="91">
        <f>VLOOKUP(B150,BD!$B$4:$D$290,3,FALSE)</f>
        <v>1500000</v>
      </c>
      <c r="F150" s="92"/>
      <c r="G150" s="92"/>
      <c r="H150" s="92"/>
      <c r="I150" s="92">
        <f>E150*C150</f>
        <v>21428.571428571428</v>
      </c>
    </row>
    <row r="151" spans="2:9">
      <c r="B151" s="88" t="s">
        <v>497</v>
      </c>
      <c r="C151" s="89">
        <v>1</v>
      </c>
      <c r="D151" s="90" t="s">
        <v>498</v>
      </c>
      <c r="E151" s="91">
        <f>0.05*H154</f>
        <v>7639.4500000000016</v>
      </c>
      <c r="F151" s="92"/>
      <c r="G151" s="92"/>
      <c r="H151" s="92"/>
      <c r="I151" s="92">
        <f>+E151*C151</f>
        <v>7639.4500000000016</v>
      </c>
    </row>
    <row r="152" spans="2:9">
      <c r="B152" s="88" t="s">
        <v>511</v>
      </c>
      <c r="C152" s="89">
        <f>1/2</f>
        <v>0.5</v>
      </c>
      <c r="D152" s="90" t="str">
        <f>VLOOKUP(B152,BD!$B$4:$D$290,2,FALSE)</f>
        <v>día</v>
      </c>
      <c r="E152" s="91">
        <f>VLOOKUP(B152,BD!$B$4:$D$290,3,FALSE)</f>
        <v>218270.00000000003</v>
      </c>
      <c r="F152" s="92"/>
      <c r="G152" s="92"/>
      <c r="H152" s="92">
        <f>+E152*C152</f>
        <v>109135.00000000001</v>
      </c>
      <c r="I152" s="92"/>
    </row>
    <row r="153" spans="2:9">
      <c r="B153" s="88" t="s">
        <v>519</v>
      </c>
      <c r="C153" s="89">
        <f>1/2</f>
        <v>0.5</v>
      </c>
      <c r="D153" s="90" t="str">
        <f>VLOOKUP(B153,BD!$B$4:$D$290,2,FALSE)</f>
        <v>día</v>
      </c>
      <c r="E153" s="91">
        <f>VLOOKUP(B153,BD!$B$4:$D$290,3,FALSE)</f>
        <v>87308.000000000015</v>
      </c>
      <c r="F153" s="92"/>
      <c r="G153" s="92"/>
      <c r="H153" s="92">
        <f>+E153*C153</f>
        <v>43654.000000000007</v>
      </c>
      <c r="I153" s="92"/>
    </row>
    <row r="154" spans="2:9">
      <c r="B154" s="93" t="s">
        <v>7</v>
      </c>
      <c r="C154" s="93" t="s">
        <v>504</v>
      </c>
      <c r="D154" s="94"/>
      <c r="E154" s="95"/>
      <c r="F154" s="114">
        <f>SUM(F144:F153)</f>
        <v>0</v>
      </c>
      <c r="G154" s="114">
        <f>SUM(G144:G153)</f>
        <v>582060.94716884044</v>
      </c>
      <c r="H154" s="114">
        <f>SUM(H144:H153)</f>
        <v>152789.00000000003</v>
      </c>
      <c r="I154" s="114">
        <f>SUM(I144:I153)</f>
        <v>29068.021428571428</v>
      </c>
    </row>
    <row r="155" spans="2:9">
      <c r="B155" s="97">
        <f>ROUNDUP(SUM(F154:I154),0)</f>
        <v>763918</v>
      </c>
      <c r="C155" s="98" t="s">
        <v>564</v>
      </c>
      <c r="D155" s="95"/>
      <c r="E155" s="100"/>
      <c r="F155" s="79"/>
      <c r="G155" s="79"/>
      <c r="H155" s="79"/>
      <c r="I155" s="79"/>
    </row>
    <row r="156" spans="2:9">
      <c r="B156" s="128"/>
      <c r="C156" s="129"/>
      <c r="D156" s="99"/>
      <c r="E156" s="100"/>
      <c r="F156" s="100"/>
      <c r="G156" s="100"/>
      <c r="H156" s="100"/>
      <c r="I156" s="100"/>
    </row>
    <row r="157" spans="2:9">
      <c r="B157" s="1690" t="s">
        <v>565</v>
      </c>
      <c r="C157" s="1690"/>
      <c r="D157" s="1690"/>
      <c r="E157" s="1690"/>
      <c r="F157" s="1690"/>
      <c r="G157" s="1690"/>
      <c r="H157" s="1690"/>
      <c r="I157" s="126" t="s">
        <v>566</v>
      </c>
    </row>
    <row r="158" spans="2:9">
      <c r="C158" s="121" t="s">
        <v>491</v>
      </c>
      <c r="D158" s="117" t="s">
        <v>492</v>
      </c>
      <c r="E158" s="122" t="s">
        <v>493</v>
      </c>
      <c r="F158" s="122" t="s">
        <v>494</v>
      </c>
      <c r="G158" s="122" t="s">
        <v>360</v>
      </c>
      <c r="H158" s="122" t="s">
        <v>495</v>
      </c>
      <c r="I158" s="122" t="s">
        <v>496</v>
      </c>
    </row>
    <row r="159" spans="2:9">
      <c r="B159" s="88" t="s">
        <v>497</v>
      </c>
      <c r="C159" s="89">
        <v>1</v>
      </c>
      <c r="D159" s="90" t="s">
        <v>498</v>
      </c>
      <c r="E159" s="91">
        <f>0.05*H168</f>
        <v>16006.466666666669</v>
      </c>
      <c r="F159" s="92"/>
      <c r="G159" s="92"/>
      <c r="H159" s="92"/>
      <c r="I159" s="92">
        <f>+E159*C159</f>
        <v>16006.466666666669</v>
      </c>
    </row>
    <row r="160" spans="2:9">
      <c r="B160" s="88" t="s">
        <v>511</v>
      </c>
      <c r="C160" s="89">
        <f>1/1.5</f>
        <v>0.66666666666666663</v>
      </c>
      <c r="D160" s="90" t="str">
        <f>VLOOKUP(B160,BD!$B$4:$D$290,2,FALSE)</f>
        <v>día</v>
      </c>
      <c r="E160" s="91">
        <f>VLOOKUP(B160,BD!$B$4:$D$290,3,FALSE)</f>
        <v>218270.00000000003</v>
      </c>
      <c r="F160" s="92"/>
      <c r="G160" s="92"/>
      <c r="H160" s="92">
        <f>+E160*C160</f>
        <v>145513.33333333334</v>
      </c>
      <c r="I160" s="92"/>
    </row>
    <row r="161" spans="2:9">
      <c r="B161" s="88" t="s">
        <v>512</v>
      </c>
      <c r="C161" s="89">
        <f>(1/1.5)*2</f>
        <v>1.3333333333333333</v>
      </c>
      <c r="D161" s="90" t="str">
        <f>VLOOKUP(B161,BD!$B$4:$D$290,2,FALSE)</f>
        <v>día</v>
      </c>
      <c r="E161" s="91">
        <f>VLOOKUP(B161,BD!$B$4:$D$290,3,FALSE)</f>
        <v>130962.00000000003</v>
      </c>
      <c r="F161" s="92"/>
      <c r="G161" s="92"/>
      <c r="H161" s="92">
        <f>+E161*C161</f>
        <v>174616.00000000003</v>
      </c>
      <c r="I161" s="92"/>
    </row>
    <row r="162" spans="2:9">
      <c r="B162" s="88" t="s">
        <v>561</v>
      </c>
      <c r="C162" s="89">
        <f>1/2</f>
        <v>0.5</v>
      </c>
      <c r="D162" s="90" t="str">
        <f>VLOOKUP(B162,BD!$B$4:$D$290,2,FALSE)</f>
        <v>día</v>
      </c>
      <c r="E162" s="91">
        <f>VLOOKUP(B162,BD!$B$4:$D$290,3,FALSE)</f>
        <v>35000</v>
      </c>
      <c r="F162" s="92"/>
      <c r="G162" s="92">
        <f>E162*C162</f>
        <v>17500</v>
      </c>
      <c r="H162" s="92"/>
      <c r="I162" s="92"/>
    </row>
    <row r="163" spans="2:9">
      <c r="B163" s="88" t="s">
        <v>563</v>
      </c>
      <c r="C163" s="89">
        <f>1/35</f>
        <v>2.8571428571428571E-2</v>
      </c>
      <c r="D163" s="90" t="str">
        <f>VLOOKUP(B163,BD!$B$4:$D$290,2,FALSE)</f>
        <v>viaje</v>
      </c>
      <c r="E163" s="91">
        <f>VLOOKUP(B163,BD!$B$4:$D$290,3,FALSE)</f>
        <v>1500000</v>
      </c>
      <c r="F163" s="92"/>
      <c r="G163" s="92"/>
      <c r="H163" s="92"/>
      <c r="I163" s="92">
        <f>E163*C163</f>
        <v>42857.142857142855</v>
      </c>
    </row>
    <row r="164" spans="2:9">
      <c r="B164" s="88" t="s">
        <v>558</v>
      </c>
      <c r="C164" s="89">
        <f>(0.8*1.1*0.1)+(2*(1.1*0.5*0.2))+(2*(0.5*0.5*0.2))</f>
        <v>0.40800000000000003</v>
      </c>
      <c r="D164" s="90" t="str">
        <f>VLOOKUP(B164,BD!$B$4:$D$290,2,FALSE)</f>
        <v>m³</v>
      </c>
      <c r="E164" s="91">
        <f>VLOOKUP(B164,BD!$B$4:$D$290,3,FALSE)</f>
        <v>763998.69000000006</v>
      </c>
      <c r="F164" s="92"/>
      <c r="G164" s="92">
        <f>C164*E164</f>
        <v>311711.46552000003</v>
      </c>
      <c r="H164" s="92"/>
      <c r="I164" s="92"/>
    </row>
    <row r="165" spans="2:9">
      <c r="B165" s="88" t="s">
        <v>567</v>
      </c>
      <c r="C165" s="89">
        <f>C160</f>
        <v>0.66666666666666663</v>
      </c>
      <c r="D165" s="90" t="str">
        <f>VLOOKUP(B165,BD!$B$4:$D$290,2,FALSE)</f>
        <v>día</v>
      </c>
      <c r="E165" s="91">
        <f>VLOOKUP(B165,BD!$B$4:$D$290,3,FALSE)</f>
        <v>50000</v>
      </c>
      <c r="F165" s="92">
        <f>+E165*C165</f>
        <v>33333.333333333328</v>
      </c>
      <c r="G165" s="92"/>
      <c r="H165" s="92"/>
      <c r="I165" s="92"/>
    </row>
    <row r="166" spans="2:9">
      <c r="B166" s="88" t="s">
        <v>568</v>
      </c>
      <c r="C166" s="89">
        <f>C160</f>
        <v>0.66666666666666663</v>
      </c>
      <c r="D166" s="90" t="str">
        <f>VLOOKUP(B166,BD!$B$4:$D$290,2,FALSE)</f>
        <v>día</v>
      </c>
      <c r="E166" s="91">
        <f>VLOOKUP(B166,BD!$B$4:$D$290,3,FALSE)</f>
        <v>7000</v>
      </c>
      <c r="F166" s="92">
        <f>+E166*C166</f>
        <v>4666.6666666666661</v>
      </c>
      <c r="G166" s="92"/>
      <c r="H166" s="92"/>
      <c r="I166" s="92"/>
    </row>
    <row r="167" spans="2:9">
      <c r="B167" s="88" t="s">
        <v>569</v>
      </c>
      <c r="C167" s="89">
        <v>1</v>
      </c>
      <c r="D167" s="90" t="str">
        <f>VLOOKUP(B167,BD!$B$4:$D$290,2,FALSE)</f>
        <v>und</v>
      </c>
      <c r="E167" s="91">
        <f>VLOOKUP(B167,BD!$B$4:$D$290,3,FALSE)</f>
        <v>600000</v>
      </c>
      <c r="F167" s="92"/>
      <c r="G167" s="92">
        <f>C167*E167</f>
        <v>600000</v>
      </c>
      <c r="H167" s="92"/>
      <c r="I167" s="92"/>
    </row>
    <row r="168" spans="2:9">
      <c r="B168" s="93" t="s">
        <v>7</v>
      </c>
      <c r="C168" s="93" t="s">
        <v>504</v>
      </c>
      <c r="D168" s="94"/>
      <c r="E168" s="95"/>
      <c r="F168" s="122">
        <f>SUM(F159:F167)</f>
        <v>37999.999999999993</v>
      </c>
      <c r="G168" s="122">
        <f t="shared" ref="G168:I168" si="14">SUM(G159:G167)</f>
        <v>929211.46552000009</v>
      </c>
      <c r="H168" s="122">
        <f t="shared" si="14"/>
        <v>320129.33333333337</v>
      </c>
      <c r="I168" s="122">
        <f t="shared" si="14"/>
        <v>58863.609523809522</v>
      </c>
    </row>
    <row r="169" spans="2:9">
      <c r="B169" s="97">
        <f>ROUNDUP(SUM(F168:I168),0)</f>
        <v>1346205</v>
      </c>
      <c r="C169" s="98" t="s">
        <v>564</v>
      </c>
      <c r="D169" s="100"/>
      <c r="F169" s="100"/>
      <c r="G169" s="100"/>
      <c r="H169" s="100"/>
      <c r="I169" s="100"/>
    </row>
    <row r="171" spans="2:9" ht="30" customHeight="1">
      <c r="B171" s="1690" t="s">
        <v>570</v>
      </c>
      <c r="C171" s="1690"/>
      <c r="D171" s="1690"/>
      <c r="E171" s="1690"/>
      <c r="F171" s="1690"/>
      <c r="G171" s="1690"/>
      <c r="H171" s="1690"/>
      <c r="I171" s="126" t="s">
        <v>571</v>
      </c>
    </row>
    <row r="172" spans="2:9">
      <c r="C172" s="121" t="s">
        <v>491</v>
      </c>
      <c r="D172" s="117" t="s">
        <v>492</v>
      </c>
      <c r="E172" s="122" t="s">
        <v>493</v>
      </c>
      <c r="F172" s="122" t="s">
        <v>494</v>
      </c>
      <c r="G172" s="122" t="s">
        <v>360</v>
      </c>
      <c r="H172" s="122" t="s">
        <v>495</v>
      </c>
      <c r="I172" s="122" t="s">
        <v>496</v>
      </c>
    </row>
    <row r="173" spans="2:9">
      <c r="B173" s="88" t="s">
        <v>572</v>
      </c>
      <c r="C173" s="89">
        <v>1</v>
      </c>
      <c r="D173" s="90" t="str">
        <f>VLOOKUP(B173,BD!$B$4:$D$366,2,FALSE)</f>
        <v>und</v>
      </c>
      <c r="E173" s="91">
        <f>VLOOKUP(B173,BD!$B$4:$D$366,3,FALSE)</f>
        <v>48900</v>
      </c>
      <c r="F173" s="92"/>
      <c r="G173" s="92">
        <f>+E173*C173</f>
        <v>48900</v>
      </c>
      <c r="H173" s="92"/>
      <c r="I173" s="92"/>
    </row>
    <row r="174" spans="2:9">
      <c r="B174" s="88" t="s">
        <v>573</v>
      </c>
      <c r="C174" s="89">
        <f>0.02*1.2</f>
        <v>2.4E-2</v>
      </c>
      <c r="D174" s="90" t="str">
        <f>VLOOKUP(B174,BD!$B$4:$D$366,2,FALSE)</f>
        <v>m³</v>
      </c>
      <c r="E174" s="91">
        <f>VLOOKUP(B174,BD!$B$4:$D$366,3,FALSE)</f>
        <v>738506.74000000011</v>
      </c>
      <c r="F174" s="92"/>
      <c r="G174" s="92">
        <f>+E174*C174</f>
        <v>17724.161760000003</v>
      </c>
      <c r="H174" s="92"/>
      <c r="I174" s="92"/>
    </row>
    <row r="175" spans="2:9">
      <c r="B175" s="88" t="s">
        <v>563</v>
      </c>
      <c r="C175" s="89">
        <f>1/75</f>
        <v>1.3333333333333334E-2</v>
      </c>
      <c r="D175" s="90" t="str">
        <f>VLOOKUP(B175,BD!$B$4:$D$366,2,FALSE)</f>
        <v>viaje</v>
      </c>
      <c r="E175" s="91">
        <f>VLOOKUP(B175,BD!$B$4:$D$366,3,FALSE)</f>
        <v>1500000</v>
      </c>
      <c r="F175" s="92"/>
      <c r="G175" s="92"/>
      <c r="H175" s="92"/>
      <c r="I175" s="92">
        <f>+E175*C175</f>
        <v>20000</v>
      </c>
    </row>
    <row r="176" spans="2:9">
      <c r="B176" s="88" t="s">
        <v>574</v>
      </c>
      <c r="C176" s="89">
        <v>1</v>
      </c>
      <c r="D176" s="90" t="str">
        <f>VLOOKUP(B176,BD!$B$4:$D$366,2,FALSE)</f>
        <v>und</v>
      </c>
      <c r="E176" s="91">
        <f>VLOOKUP(B176,BD!$B$4:$D$366,3,FALSE)</f>
        <v>60000</v>
      </c>
      <c r="F176" s="92"/>
      <c r="G176" s="92">
        <f>+E176*C176</f>
        <v>60000</v>
      </c>
      <c r="H176" s="92"/>
      <c r="I176" s="92"/>
    </row>
    <row r="177" spans="2:9">
      <c r="B177" s="88" t="s">
        <v>575</v>
      </c>
      <c r="C177" s="89">
        <v>1</v>
      </c>
      <c r="D177" s="90" t="str">
        <f>VLOOKUP(B177,BD!$B$4:$D$366,2,FALSE)</f>
        <v>m</v>
      </c>
      <c r="E177" s="91">
        <f>VLOOKUP(B177,BD!$B$4:$D$366,3,FALSE)</f>
        <v>46934.666666666664</v>
      </c>
      <c r="F177" s="92"/>
      <c r="G177" s="92">
        <f>+E177*C177</f>
        <v>46934.666666666664</v>
      </c>
      <c r="H177" s="92"/>
      <c r="I177" s="92"/>
    </row>
    <row r="178" spans="2:9">
      <c r="B178" s="88" t="s">
        <v>576</v>
      </c>
      <c r="C178" s="89">
        <v>0.02</v>
      </c>
      <c r="D178" s="90" t="str">
        <f>VLOOKUP(B178,BD!$B$4:$D$366,2,FALSE)</f>
        <v>m³</v>
      </c>
      <c r="E178" s="91">
        <f>VLOOKUP(B178,BD!$B$4:$D$366,3,FALSE)</f>
        <v>634146.44000000006</v>
      </c>
      <c r="F178" s="92"/>
      <c r="G178" s="92">
        <f>+E178*C178</f>
        <v>12682.928800000002</v>
      </c>
      <c r="H178" s="92"/>
      <c r="I178" s="92"/>
    </row>
    <row r="179" spans="2:9">
      <c r="B179" s="88" t="s">
        <v>577</v>
      </c>
      <c r="C179" s="89">
        <v>8</v>
      </c>
      <c r="D179" s="90" t="str">
        <f>VLOOKUP(B179,BD!$B$4:$D$366,2,FALSE)</f>
        <v>und</v>
      </c>
      <c r="E179" s="91">
        <f>VLOOKUP(B179,BD!$B$4:$D$366,3,FALSE)</f>
        <v>3500</v>
      </c>
      <c r="F179" s="92"/>
      <c r="G179" s="92">
        <f>+E179*C179</f>
        <v>28000</v>
      </c>
      <c r="H179" s="92"/>
      <c r="I179" s="92"/>
    </row>
    <row r="180" spans="2:9">
      <c r="B180" s="88" t="s">
        <v>511</v>
      </c>
      <c r="C180" s="89">
        <v>0.5</v>
      </c>
      <c r="D180" s="90" t="str">
        <f>VLOOKUP(B180,BD!$B$4:$D$366,2,FALSE)</f>
        <v>día</v>
      </c>
      <c r="E180" s="91">
        <f>VLOOKUP(B180,BD!$B$4:$D$366,3,FALSE)</f>
        <v>218270.00000000003</v>
      </c>
      <c r="F180" s="92"/>
      <c r="G180" s="92"/>
      <c r="H180" s="92">
        <f>+E180*C180</f>
        <v>109135.00000000001</v>
      </c>
      <c r="I180" s="92"/>
    </row>
    <row r="181" spans="2:9">
      <c r="B181" s="88" t="s">
        <v>512</v>
      </c>
      <c r="C181" s="89">
        <v>0.5</v>
      </c>
      <c r="D181" s="90" t="str">
        <f>VLOOKUP(B181,BD!$B$4:$D$366,2,FALSE)</f>
        <v>día</v>
      </c>
      <c r="E181" s="91">
        <f>VLOOKUP(B181,BD!$B$4:$D$366,3,FALSE)</f>
        <v>130962.00000000003</v>
      </c>
      <c r="F181" s="92"/>
      <c r="G181" s="92"/>
      <c r="H181" s="92">
        <f>+E181*C181</f>
        <v>65481.000000000015</v>
      </c>
      <c r="I181" s="92"/>
    </row>
    <row r="182" spans="2:9">
      <c r="B182" s="88" t="s">
        <v>497</v>
      </c>
      <c r="C182" s="89">
        <v>1</v>
      </c>
      <c r="D182" s="90" t="s">
        <v>498</v>
      </c>
      <c r="E182" s="91">
        <f>0.05*H183</f>
        <v>8730.8000000000011</v>
      </c>
      <c r="F182" s="92"/>
      <c r="G182" s="92"/>
      <c r="H182" s="92"/>
      <c r="I182" s="92">
        <f>+E182*C182</f>
        <v>8730.8000000000011</v>
      </c>
    </row>
    <row r="183" spans="2:9">
      <c r="B183" s="93" t="s">
        <v>7</v>
      </c>
      <c r="C183" s="93" t="s">
        <v>504</v>
      </c>
      <c r="D183" s="94"/>
      <c r="E183" s="95"/>
      <c r="F183" s="122">
        <f>SUM(F173:F182)</f>
        <v>0</v>
      </c>
      <c r="G183" s="122">
        <f t="shared" ref="G183:I183" si="15">SUM(G173:G182)</f>
        <v>214241.75722666667</v>
      </c>
      <c r="H183" s="122">
        <f t="shared" si="15"/>
        <v>174616.00000000003</v>
      </c>
      <c r="I183" s="122">
        <f t="shared" si="15"/>
        <v>28730.800000000003</v>
      </c>
    </row>
    <row r="184" spans="2:9">
      <c r="B184" s="97">
        <f>ROUNDUP(SUM(F183:I183),0)</f>
        <v>417589</v>
      </c>
      <c r="C184" s="98" t="s">
        <v>527</v>
      </c>
      <c r="D184" s="99"/>
      <c r="E184" s="100"/>
      <c r="F184" s="100"/>
      <c r="G184" s="100"/>
      <c r="H184" s="100"/>
      <c r="I184" s="100"/>
    </row>
    <row r="186" spans="2:9" ht="30" customHeight="1">
      <c r="B186" s="1690" t="s">
        <v>578</v>
      </c>
      <c r="C186" s="1690"/>
      <c r="D186" s="1690"/>
      <c r="E186" s="1690"/>
      <c r="F186" s="1690"/>
      <c r="G186" s="1690"/>
      <c r="H186" s="1690"/>
      <c r="I186" s="126" t="s">
        <v>579</v>
      </c>
    </row>
    <row r="187" spans="2:9">
      <c r="B187"/>
      <c r="C187" s="130" t="s">
        <v>491</v>
      </c>
      <c r="D187" s="131" t="s">
        <v>492</v>
      </c>
      <c r="E187" s="132" t="s">
        <v>493</v>
      </c>
      <c r="F187" s="132" t="s">
        <v>494</v>
      </c>
      <c r="G187" s="132" t="s">
        <v>360</v>
      </c>
      <c r="H187" s="132" t="s">
        <v>495</v>
      </c>
      <c r="I187" s="132" t="s">
        <v>496</v>
      </c>
    </row>
    <row r="188" spans="2:9">
      <c r="B188" s="133" t="s">
        <v>497</v>
      </c>
      <c r="C188" s="134">
        <v>1</v>
      </c>
      <c r="D188" s="135" t="s">
        <v>498</v>
      </c>
      <c r="E188" s="136">
        <f>0.05*H197</f>
        <v>2182.7000000000003</v>
      </c>
      <c r="F188" s="137"/>
      <c r="G188" s="137"/>
      <c r="H188" s="137"/>
      <c r="I188" s="137">
        <f>+E188*C188</f>
        <v>2182.7000000000003</v>
      </c>
    </row>
    <row r="189" spans="2:9">
      <c r="B189" s="133" t="s">
        <v>567</v>
      </c>
      <c r="C189" s="134">
        <f>1/20</f>
        <v>0.05</v>
      </c>
      <c r="D189" s="135" t="str">
        <f>VLOOKUP(B189,BD!$B$4:$D$214,2,FALSE)</f>
        <v>día</v>
      </c>
      <c r="E189" s="136">
        <f>VLOOKUP(B189,BD!$B$4:$D$214,3,FALSE)</f>
        <v>50000</v>
      </c>
      <c r="F189" s="137">
        <f>+C189*E189</f>
        <v>2500</v>
      </c>
      <c r="G189" s="137"/>
      <c r="H189" s="137"/>
      <c r="I189" s="137"/>
    </row>
    <row r="190" spans="2:9">
      <c r="B190" s="133" t="s">
        <v>580</v>
      </c>
      <c r="C190" s="134">
        <v>1.05</v>
      </c>
      <c r="D190" s="135" t="str">
        <f>VLOOKUP(B190,BD!$B$4:$D$214,2,FALSE)</f>
        <v>m²</v>
      </c>
      <c r="E190" s="136">
        <f>VLOOKUP(B190,BD!$B$4:$D$214,3,FALSE)</f>
        <v>5851.0638297872338</v>
      </c>
      <c r="F190" s="137"/>
      <c r="G190" s="137">
        <f>+C190*E190</f>
        <v>6143.6170212765956</v>
      </c>
      <c r="H190" s="137"/>
      <c r="I190" s="137"/>
    </row>
    <row r="191" spans="2:9">
      <c r="B191" s="133" t="s">
        <v>581</v>
      </c>
      <c r="C191" s="134">
        <v>7.0000000000000007E-2</v>
      </c>
      <c r="D191" s="135" t="str">
        <f>VLOOKUP(B191,BD!$B$4:$D$214,2,FALSE)</f>
        <v>m³</v>
      </c>
      <c r="E191" s="136">
        <f>VLOOKUP(B191,BD!$B$4:$D$214,3,FALSE)</f>
        <v>101150</v>
      </c>
      <c r="F191" s="137"/>
      <c r="G191" s="137">
        <f t="shared" ref="G191" si="16">+C191*E191</f>
        <v>7080.5000000000009</v>
      </c>
      <c r="H191" s="137"/>
      <c r="I191" s="137"/>
    </row>
    <row r="192" spans="2:9">
      <c r="B192" s="133" t="s">
        <v>582</v>
      </c>
      <c r="C192" s="134">
        <f>1/20</f>
        <v>0.05</v>
      </c>
      <c r="D192" s="135" t="str">
        <f>VLOOKUP(B192,BD!$B$4:$D$214,2,FALSE)</f>
        <v>und</v>
      </c>
      <c r="E192" s="136">
        <f>VLOOKUP(B192,BD!$B$4:$D$214,3,FALSE)</f>
        <v>21000</v>
      </c>
      <c r="F192" s="137">
        <f>+C192*E192</f>
        <v>1050</v>
      </c>
      <c r="G192" s="137"/>
      <c r="H192" s="137"/>
      <c r="I192" s="137"/>
    </row>
    <row r="193" spans="2:9">
      <c r="B193" s="133" t="s">
        <v>499</v>
      </c>
      <c r="C193" s="134">
        <v>0.1</v>
      </c>
      <c r="D193" s="135" t="str">
        <f>VLOOKUP(B193,BD!$B$4:$D$214,2,FALSE)</f>
        <v>lb</v>
      </c>
      <c r="E193" s="136">
        <f>VLOOKUP(B193,BD!$B$4:$D$214,3,FALSE)</f>
        <v>7500</v>
      </c>
      <c r="F193" s="137"/>
      <c r="G193" s="137">
        <f t="shared" ref="G193" si="17">+C193*E193</f>
        <v>750</v>
      </c>
      <c r="H193" s="137"/>
      <c r="I193" s="137"/>
    </row>
    <row r="194" spans="2:9">
      <c r="B194" s="133" t="s">
        <v>573</v>
      </c>
      <c r="C194" s="134">
        <f>0.1*1.05</f>
        <v>0.10500000000000001</v>
      </c>
      <c r="D194" s="135" t="str">
        <f>VLOOKUP(B194,BD!$B$4:$D$214,2,FALSE)</f>
        <v>m³</v>
      </c>
      <c r="E194" s="136">
        <f>VLOOKUP(B194,BD!$B$4:$D$214,3,FALSE)</f>
        <v>738506.74000000011</v>
      </c>
      <c r="F194" s="137"/>
      <c r="G194" s="137">
        <f>E194*C194</f>
        <v>77543.207700000014</v>
      </c>
      <c r="H194" s="137"/>
      <c r="I194" s="137"/>
    </row>
    <row r="195" spans="2:9">
      <c r="B195" s="133" t="s">
        <v>511</v>
      </c>
      <c r="C195" s="134">
        <f>1/7</f>
        <v>0.14285714285714285</v>
      </c>
      <c r="D195" s="135" t="str">
        <f>VLOOKUP(B195,BD!$B$4:$D$214,2,FALSE)</f>
        <v>día</v>
      </c>
      <c r="E195" s="136">
        <f>VLOOKUP(B195,BD!$B$4:$D$214,3,FALSE)</f>
        <v>218270.00000000003</v>
      </c>
      <c r="F195" s="137"/>
      <c r="G195" s="137"/>
      <c r="H195" s="137">
        <f>+C195*E195</f>
        <v>31181.428571428572</v>
      </c>
      <c r="I195" s="137"/>
    </row>
    <row r="196" spans="2:9">
      <c r="B196" s="133" t="s">
        <v>519</v>
      </c>
      <c r="C196" s="134">
        <f>1/7</f>
        <v>0.14285714285714285</v>
      </c>
      <c r="D196" s="135" t="str">
        <f>VLOOKUP(B196,BD!$B$4:$D$214,2,FALSE)</f>
        <v>día</v>
      </c>
      <c r="E196" s="136">
        <f>VLOOKUP(B196,BD!$B$4:$D$214,3,FALSE)</f>
        <v>87308.000000000015</v>
      </c>
      <c r="F196" s="137"/>
      <c r="G196" s="137"/>
      <c r="H196" s="137">
        <f>+C196*E196</f>
        <v>12472.571428571429</v>
      </c>
      <c r="I196" s="137"/>
    </row>
    <row r="197" spans="2:9">
      <c r="B197" s="138" t="s">
        <v>7</v>
      </c>
      <c r="C197" s="138" t="s">
        <v>504</v>
      </c>
      <c r="D197" s="139"/>
      <c r="E197" s="140"/>
      <c r="F197" s="132">
        <f>SUM(F188:F196)</f>
        <v>3550</v>
      </c>
      <c r="G197" s="132">
        <f t="shared" ref="G197:I197" si="18">SUM(G188:G196)</f>
        <v>91517.324721276615</v>
      </c>
      <c r="H197" s="132">
        <f t="shared" si="18"/>
        <v>43654</v>
      </c>
      <c r="I197" s="132">
        <f t="shared" si="18"/>
        <v>2182.7000000000003</v>
      </c>
    </row>
    <row r="198" spans="2:9">
      <c r="B198" s="141">
        <f>ROUNDUP(SUM(F197:I197),0)</f>
        <v>140905</v>
      </c>
      <c r="C198" s="142" t="s">
        <v>583</v>
      </c>
      <c r="D198" s="143"/>
      <c r="E198" s="144"/>
      <c r="F198" s="145"/>
      <c r="G198" s="145"/>
      <c r="H198" s="145"/>
      <c r="I198" s="145"/>
    </row>
    <row r="200" spans="2:9" ht="30" customHeight="1">
      <c r="B200" s="1690" t="s">
        <v>584</v>
      </c>
      <c r="C200" s="1690"/>
      <c r="D200" s="1690"/>
      <c r="E200" s="1690"/>
      <c r="F200" s="1690"/>
      <c r="G200" s="1690"/>
      <c r="H200" s="1690"/>
      <c r="I200" s="126" t="s">
        <v>585</v>
      </c>
    </row>
    <row r="201" spans="2:9">
      <c r="C201" s="121" t="s">
        <v>491</v>
      </c>
      <c r="D201" s="117" t="s">
        <v>492</v>
      </c>
      <c r="E201" s="122" t="s">
        <v>493</v>
      </c>
      <c r="F201" s="122" t="s">
        <v>494</v>
      </c>
      <c r="G201" s="122" t="s">
        <v>360</v>
      </c>
      <c r="H201" s="122" t="s">
        <v>495</v>
      </c>
      <c r="I201" s="122" t="s">
        <v>496</v>
      </c>
    </row>
    <row r="202" spans="2:9">
      <c r="B202" s="88" t="s">
        <v>497</v>
      </c>
      <c r="C202" s="89">
        <v>1</v>
      </c>
      <c r="D202" s="90" t="s">
        <v>498</v>
      </c>
      <c r="E202" s="91">
        <f>0.05*H214</f>
        <v>8003.2333333333345</v>
      </c>
      <c r="F202" s="92"/>
      <c r="G202" s="92"/>
      <c r="H202" s="92"/>
      <c r="I202" s="92">
        <f>+E202*C202</f>
        <v>8003.2333333333345</v>
      </c>
    </row>
    <row r="203" spans="2:9">
      <c r="B203" s="88" t="s">
        <v>511</v>
      </c>
      <c r="C203" s="89">
        <f>1/3</f>
        <v>0.33333333333333331</v>
      </c>
      <c r="D203" s="90" t="str">
        <f>VLOOKUP(B203,BD!$B$4:$D$288,2,FALSE)</f>
        <v>día</v>
      </c>
      <c r="E203" s="91">
        <f>VLOOKUP(B203,BD!$B$4:$D$288,3,FALSE)</f>
        <v>218270.00000000003</v>
      </c>
      <c r="F203" s="92"/>
      <c r="G203" s="92"/>
      <c r="H203" s="92">
        <f>+E203*C203</f>
        <v>72756.666666666672</v>
      </c>
      <c r="I203" s="92"/>
    </row>
    <row r="204" spans="2:9">
      <c r="B204" s="88" t="s">
        <v>512</v>
      </c>
      <c r="C204" s="89">
        <f>(C203)*2</f>
        <v>0.66666666666666663</v>
      </c>
      <c r="D204" s="90" t="str">
        <f>VLOOKUP(B204,BD!$B$4:$D$288,2,FALSE)</f>
        <v>día</v>
      </c>
      <c r="E204" s="91">
        <f>VLOOKUP(B204,BD!$B$4:$D$288,3,FALSE)</f>
        <v>130962.00000000003</v>
      </c>
      <c r="F204" s="92"/>
      <c r="G204" s="92"/>
      <c r="H204" s="92">
        <f>+E204*C204</f>
        <v>87308.000000000015</v>
      </c>
      <c r="I204" s="92"/>
    </row>
    <row r="205" spans="2:9">
      <c r="B205" s="88" t="s">
        <v>567</v>
      </c>
      <c r="C205" s="89">
        <v>0.23601999999999998</v>
      </c>
      <c r="D205" s="90" t="str">
        <f>VLOOKUP(B205,BD!$B$4:$D$288,2,FALSE)</f>
        <v>día</v>
      </c>
      <c r="E205" s="91">
        <f>VLOOKUP(B205,BD!$B$4:$D$288,3,FALSE)</f>
        <v>50000</v>
      </c>
      <c r="F205" s="92">
        <f>+E205*C205</f>
        <v>11800.999999999998</v>
      </c>
      <c r="G205" s="92"/>
      <c r="H205" s="92"/>
      <c r="I205" s="92"/>
    </row>
    <row r="206" spans="2:9">
      <c r="B206" s="88" t="s">
        <v>558</v>
      </c>
      <c r="C206" s="89">
        <v>1.05</v>
      </c>
      <c r="D206" s="90" t="str">
        <f>VLOOKUP(B206,BD!$B$4:$D$288,2,FALSE)</f>
        <v>m³</v>
      </c>
      <c r="E206" s="91">
        <f>VLOOKUP(B206,BD!$B$4:$D$288,3,FALSE)</f>
        <v>763998.69000000006</v>
      </c>
      <c r="F206" s="92"/>
      <c r="G206" s="92">
        <f>+E206*C206</f>
        <v>802198.62450000015</v>
      </c>
      <c r="H206" s="92"/>
      <c r="I206" s="92"/>
    </row>
    <row r="207" spans="2:9" hidden="1">
      <c r="B207" s="88"/>
      <c r="C207" s="89"/>
      <c r="D207" s="90"/>
      <c r="E207" s="91"/>
      <c r="F207" s="92"/>
      <c r="G207" s="92"/>
      <c r="H207" s="92"/>
      <c r="I207" s="92"/>
    </row>
    <row r="208" spans="2:9">
      <c r="B208" s="88" t="s">
        <v>586</v>
      </c>
      <c r="C208" s="89">
        <f>1/70</f>
        <v>1.4285714285714285E-2</v>
      </c>
      <c r="D208" s="90" t="str">
        <f>VLOOKUP(B208,BD!$B$4:$D$288,2,FALSE)</f>
        <v>día</v>
      </c>
      <c r="E208" s="91">
        <f>VLOOKUP(B208,BD!$B$4:$D$288,3,FALSE)</f>
        <v>70000</v>
      </c>
      <c r="F208" s="92">
        <f>C208*E208</f>
        <v>1000</v>
      </c>
      <c r="G208" s="92"/>
      <c r="H208" s="92"/>
      <c r="I208" s="92"/>
    </row>
    <row r="209" spans="2:9">
      <c r="B209" s="88" t="s">
        <v>587</v>
      </c>
      <c r="C209" s="89">
        <v>15.5</v>
      </c>
      <c r="D209" s="90" t="str">
        <f>VLOOKUP(B209,BD!$B$4:$D$288,2,FALSE)</f>
        <v>kg</v>
      </c>
      <c r="E209" s="91">
        <f>VLOOKUP(B209,BD!$B$4:$D$288,3,FALSE)</f>
        <v>9615</v>
      </c>
      <c r="F209" s="92"/>
      <c r="G209" s="92">
        <f>C209*E209</f>
        <v>149032.5</v>
      </c>
      <c r="H209" s="92"/>
      <c r="I209" s="92"/>
    </row>
    <row r="210" spans="2:9">
      <c r="B210" s="88" t="s">
        <v>588</v>
      </c>
      <c r="C210" s="89">
        <f>0.1*1.05</f>
        <v>0.10500000000000001</v>
      </c>
      <c r="D210" s="90" t="str">
        <f>VLOOKUP(B210,BD!$B$4:$D$288,2,FALSE)</f>
        <v>kg</v>
      </c>
      <c r="E210" s="91">
        <f>VLOOKUP(B210,BD!$B$4:$D$288,3,FALSE)</f>
        <v>9615</v>
      </c>
      <c r="F210" s="92"/>
      <c r="G210" s="92">
        <f>C210*E210</f>
        <v>1009.575</v>
      </c>
      <c r="H210" s="92"/>
      <c r="I210" s="92"/>
    </row>
    <row r="211" spans="2:9">
      <c r="B211" s="88" t="s">
        <v>589</v>
      </c>
      <c r="C211" s="89">
        <f>C208</f>
        <v>1.4285714285714285E-2</v>
      </c>
      <c r="D211" s="90" t="str">
        <f>VLOOKUP(B211,BD!$B$4:$D$288,2,FALSE)</f>
        <v>día</v>
      </c>
      <c r="E211" s="91">
        <f>VLOOKUP(B211,BD!$B$4:$D$288,3,FALSE)</f>
        <v>80000</v>
      </c>
      <c r="F211" s="92">
        <f>E211*C211</f>
        <v>1142.8571428571429</v>
      </c>
      <c r="G211" s="92"/>
      <c r="H211" s="92"/>
      <c r="I211" s="92"/>
    </row>
    <row r="212" spans="2:9">
      <c r="B212" s="88" t="s">
        <v>590</v>
      </c>
      <c r="C212" s="89">
        <f>0.55*3.84522726962891</f>
        <v>2.1148749982959005</v>
      </c>
      <c r="D212" s="90" t="str">
        <f>VLOOKUP(B212,BD!$B$4:$D$288,2,FALSE)</f>
        <v>ml</v>
      </c>
      <c r="E212" s="91">
        <f>VLOOKUP(B212,BD!$B$4:$D$288,3,FALSE)</f>
        <v>13804</v>
      </c>
      <c r="F212" s="92"/>
      <c r="G212" s="92">
        <f>C212*E212</f>
        <v>29193.734476476609</v>
      </c>
      <c r="H212" s="92"/>
      <c r="I212" s="92"/>
    </row>
    <row r="213" spans="2:9">
      <c r="B213" s="88" t="s">
        <v>591</v>
      </c>
      <c r="C213" s="89">
        <f>1.4*3.84522726962891</f>
        <v>5.383318177480473</v>
      </c>
      <c r="D213" s="90" t="str">
        <f>VLOOKUP(B213,BD!$B$4:$D$288,2,FALSE)</f>
        <v>m</v>
      </c>
      <c r="E213" s="91">
        <f>VLOOKUP(B213,BD!$B$4:$D$288,3,FALSE)</f>
        <v>1925</v>
      </c>
      <c r="F213" s="92"/>
      <c r="G213" s="92">
        <f>C213*E213</f>
        <v>10362.88749164991</v>
      </c>
      <c r="H213" s="92"/>
      <c r="I213" s="92"/>
    </row>
    <row r="214" spans="2:9">
      <c r="B214" s="93" t="s">
        <v>7</v>
      </c>
      <c r="C214" s="93" t="s">
        <v>504</v>
      </c>
      <c r="D214" s="94"/>
      <c r="E214" s="95"/>
      <c r="F214" s="122">
        <f>SUM(F202:F213)</f>
        <v>13943.857142857141</v>
      </c>
      <c r="G214" s="122">
        <f t="shared" ref="G214:I214" si="19">SUM(G202:G213)</f>
        <v>991797.32146812661</v>
      </c>
      <c r="H214" s="122">
        <f t="shared" si="19"/>
        <v>160064.66666666669</v>
      </c>
      <c r="I214" s="122">
        <f t="shared" si="19"/>
        <v>8003.2333333333345</v>
      </c>
    </row>
    <row r="215" spans="2:9">
      <c r="B215" s="97">
        <f>ROUNDUP(SUM(F214:I214),0)</f>
        <v>1173810</v>
      </c>
      <c r="C215" s="98" t="s">
        <v>520</v>
      </c>
      <c r="D215" s="146"/>
      <c r="E215" s="1503"/>
      <c r="F215" s="100"/>
      <c r="G215" s="100"/>
      <c r="H215" s="100"/>
      <c r="I215" s="100"/>
    </row>
    <row r="217" spans="2:9">
      <c r="B217" s="1690" t="s">
        <v>592</v>
      </c>
      <c r="C217" s="1690"/>
      <c r="D217" s="1690"/>
      <c r="E217" s="1690"/>
      <c r="F217" s="1690"/>
      <c r="G217" s="1690"/>
      <c r="H217" s="1690"/>
      <c r="I217" s="126" t="s">
        <v>593</v>
      </c>
    </row>
    <row r="218" spans="2:9">
      <c r="B218"/>
      <c r="C218" s="147" t="s">
        <v>491</v>
      </c>
      <c r="D218" s="148" t="s">
        <v>492</v>
      </c>
      <c r="E218" s="149" t="s">
        <v>493</v>
      </c>
      <c r="F218" s="149" t="s">
        <v>494</v>
      </c>
      <c r="G218" s="149" t="s">
        <v>360</v>
      </c>
      <c r="H218" s="149" t="s">
        <v>495</v>
      </c>
      <c r="I218" s="149" t="s">
        <v>496</v>
      </c>
    </row>
    <row r="219" spans="2:9">
      <c r="B219" s="133" t="s">
        <v>497</v>
      </c>
      <c r="C219" s="134">
        <v>1</v>
      </c>
      <c r="D219" s="135" t="s">
        <v>498</v>
      </c>
      <c r="E219" s="136">
        <f>0.05*H224</f>
        <v>109.13500000000005</v>
      </c>
      <c r="F219" s="137"/>
      <c r="G219" s="137"/>
      <c r="H219" s="137"/>
      <c r="I219" s="137">
        <f>+E219*C219</f>
        <v>109.13500000000005</v>
      </c>
    </row>
    <row r="220" spans="2:9">
      <c r="B220" s="133" t="s">
        <v>511</v>
      </c>
      <c r="C220" s="134">
        <v>6.2500000000000003E-3</v>
      </c>
      <c r="D220" s="135" t="str">
        <f>VLOOKUP(B220,BD!$B$4:$D$342,2,FALSE)</f>
        <v>día</v>
      </c>
      <c r="E220" s="136">
        <f>VLOOKUP(B220,BD!$B$4:$D$342,3,FALSE)</f>
        <v>218270.00000000003</v>
      </c>
      <c r="F220" s="137"/>
      <c r="G220" s="137"/>
      <c r="H220" s="137">
        <f>+E220*C220</f>
        <v>1364.1875000000002</v>
      </c>
      <c r="I220" s="137"/>
    </row>
    <row r="221" spans="2:9">
      <c r="B221" s="133" t="s">
        <v>512</v>
      </c>
      <c r="C221" s="134">
        <v>6.2500000000000003E-3</v>
      </c>
      <c r="D221" s="135" t="str">
        <f>VLOOKUP(B221,BD!$B$4:$D$342,2,FALSE)</f>
        <v>día</v>
      </c>
      <c r="E221" s="136">
        <f>VLOOKUP(B221,BD!$B$4:$D$342,3,FALSE)</f>
        <v>130962.00000000003</v>
      </c>
      <c r="F221" s="137"/>
      <c r="G221" s="137"/>
      <c r="H221" s="137">
        <f>+E221*C221</f>
        <v>818.51250000000027</v>
      </c>
      <c r="I221" s="137"/>
    </row>
    <row r="222" spans="2:9">
      <c r="B222" s="133" t="s">
        <v>594</v>
      </c>
      <c r="C222" s="134">
        <v>0.01</v>
      </c>
      <c r="D222" s="135" t="str">
        <f>VLOOKUP(B222,BD!$B$4:$D$342,2,FALSE)</f>
        <v>día</v>
      </c>
      <c r="E222" s="136">
        <f>VLOOKUP(B222,BD!$B$4:$D$342,3,FALSE)</f>
        <v>120000</v>
      </c>
      <c r="F222" s="137">
        <f>+C222*E222</f>
        <v>1200</v>
      </c>
      <c r="G222" s="137"/>
      <c r="H222" s="137"/>
      <c r="I222" s="137"/>
    </row>
    <row r="223" spans="2:9">
      <c r="B223" s="133" t="s">
        <v>595</v>
      </c>
      <c r="C223" s="134">
        <v>0.01</v>
      </c>
      <c r="D223" s="135" t="str">
        <f>VLOOKUP(B223,BD!$B$4:$D$342,2,FALSE)</f>
        <v>hora</v>
      </c>
      <c r="E223" s="136">
        <f>VLOOKUP(B223,BD!$B$4:$D$342,3,FALSE)</f>
        <v>80000</v>
      </c>
      <c r="F223" s="137">
        <f>+C223*E223</f>
        <v>800</v>
      </c>
      <c r="G223" s="137"/>
      <c r="H223" s="137"/>
      <c r="I223" s="137"/>
    </row>
    <row r="224" spans="2:9">
      <c r="B224" s="138" t="s">
        <v>7</v>
      </c>
      <c r="C224" s="138" t="s">
        <v>504</v>
      </c>
      <c r="D224" s="139"/>
      <c r="E224" s="140"/>
      <c r="F224" s="149">
        <f>SUM(F219:F223)</f>
        <v>2000</v>
      </c>
      <c r="G224" s="149">
        <f>SUM(G219:G223)</f>
        <v>0</v>
      </c>
      <c r="H224" s="149">
        <f>SUM(H219:H223)</f>
        <v>2182.7000000000007</v>
      </c>
      <c r="I224" s="149">
        <f>SUM(I219:I223)</f>
        <v>109.13500000000005</v>
      </c>
    </row>
    <row r="225" spans="2:9">
      <c r="B225" s="141">
        <f>ROUNDUP(SUM(F224:I224),0)</f>
        <v>4292</v>
      </c>
      <c r="C225" s="142" t="s">
        <v>583</v>
      </c>
      <c r="D225" s="143"/>
      <c r="E225" s="144"/>
      <c r="F225" s="144"/>
      <c r="G225" s="144"/>
      <c r="H225" s="144"/>
      <c r="I225" s="144"/>
    </row>
    <row r="226" spans="2:9">
      <c r="B226"/>
      <c r="C226"/>
      <c r="D226" s="143"/>
      <c r="E226" s="144"/>
      <c r="F226" s="144"/>
      <c r="G226" s="144"/>
      <c r="H226" s="144"/>
      <c r="I226" s="144"/>
    </row>
    <row r="227" spans="2:9">
      <c r="B227" s="1690" t="s">
        <v>596</v>
      </c>
      <c r="C227" s="1690"/>
      <c r="D227" s="1690"/>
      <c r="E227" s="1690"/>
      <c r="F227" s="1690"/>
      <c r="G227" s="1690"/>
      <c r="H227" s="1690"/>
      <c r="I227" s="126" t="s">
        <v>597</v>
      </c>
    </row>
    <row r="228" spans="2:9">
      <c r="C228" s="121" t="s">
        <v>491</v>
      </c>
      <c r="D228" s="117" t="s">
        <v>492</v>
      </c>
      <c r="E228" s="118" t="s">
        <v>493</v>
      </c>
      <c r="F228" s="118" t="s">
        <v>494</v>
      </c>
      <c r="G228" s="118" t="s">
        <v>360</v>
      </c>
      <c r="H228" s="118" t="s">
        <v>495</v>
      </c>
      <c r="I228" s="118" t="s">
        <v>496</v>
      </c>
    </row>
    <row r="229" spans="2:9">
      <c r="B229" s="150" t="s">
        <v>497</v>
      </c>
      <c r="C229" s="89">
        <v>1</v>
      </c>
      <c r="D229" s="90" t="s">
        <v>498</v>
      </c>
      <c r="E229" s="91">
        <f>0.05*H237</f>
        <v>436.54000000000019</v>
      </c>
      <c r="F229" s="92"/>
      <c r="G229" s="92"/>
      <c r="H229" s="92"/>
      <c r="I229" s="92">
        <f>+E229*C229</f>
        <v>436.54000000000019</v>
      </c>
    </row>
    <row r="230" spans="2:9">
      <c r="B230" s="151" t="s">
        <v>511</v>
      </c>
      <c r="C230" s="89">
        <f>1/40</f>
        <v>2.5000000000000001E-2</v>
      </c>
      <c r="D230" s="90" t="str">
        <f>VLOOKUP(B230,BD!$B$4:$D$290,2,FALSE)</f>
        <v>día</v>
      </c>
      <c r="E230" s="91">
        <f>VLOOKUP(B230,BD!$B$4:$D$290,3,FALSE)</f>
        <v>218270.00000000003</v>
      </c>
      <c r="F230" s="92"/>
      <c r="G230" s="92"/>
      <c r="H230" s="92">
        <f>+E230*C230</f>
        <v>5456.7500000000009</v>
      </c>
      <c r="I230" s="92"/>
    </row>
    <row r="231" spans="2:9" ht="15.75" customHeight="1">
      <c r="B231" s="151" t="s">
        <v>512</v>
      </c>
      <c r="C231" s="89">
        <f>1/40</f>
        <v>2.5000000000000001E-2</v>
      </c>
      <c r="D231" s="90" t="str">
        <f>VLOOKUP(B231,BD!$B$4:$D$290,2,FALSE)</f>
        <v>día</v>
      </c>
      <c r="E231" s="91">
        <f>VLOOKUP(B231,BD!$B$4:$D$290,3,FALSE)</f>
        <v>130962.00000000003</v>
      </c>
      <c r="F231" s="92"/>
      <c r="G231" s="92"/>
      <c r="H231" s="92">
        <f>+E231*C231</f>
        <v>3274.0500000000011</v>
      </c>
      <c r="I231" s="92"/>
    </row>
    <row r="232" spans="2:9">
      <c r="B232" s="151" t="s">
        <v>581</v>
      </c>
      <c r="C232" s="89">
        <v>1.3</v>
      </c>
      <c r="D232" s="90" t="str">
        <f>VLOOKUP(B232,BD!$B$4:$D$290,2,FALSE)</f>
        <v>m³</v>
      </c>
      <c r="E232" s="91">
        <f>VLOOKUP(B232,BD!$B$4:$D$290,3,FALSE)</f>
        <v>101150</v>
      </c>
      <c r="F232" s="92"/>
      <c r="G232" s="92">
        <f>E232*C232</f>
        <v>131495</v>
      </c>
      <c r="H232" s="92"/>
      <c r="I232" s="92"/>
    </row>
    <row r="233" spans="2:9" hidden="1">
      <c r="B233" s="1487"/>
      <c r="C233" s="1488"/>
      <c r="D233" s="1489"/>
      <c r="E233" s="1468"/>
      <c r="F233" s="1467"/>
      <c r="G233" s="1467"/>
      <c r="H233" s="1467"/>
      <c r="I233" s="1467"/>
    </row>
    <row r="234" spans="2:9">
      <c r="B234" s="151" t="s">
        <v>598</v>
      </c>
      <c r="C234" s="89">
        <v>0.3</v>
      </c>
      <c r="D234" s="90" t="str">
        <f>VLOOKUP(B234,BD!$B$4:$D$290,2,FALSE)</f>
        <v>día</v>
      </c>
      <c r="E234" s="91">
        <f>VLOOKUP(B234,BD!$B$4:$D$290,3,FALSE)</f>
        <v>60000</v>
      </c>
      <c r="F234" s="92">
        <f>E234*C234</f>
        <v>18000</v>
      </c>
      <c r="G234" s="92"/>
      <c r="H234" s="92"/>
      <c r="I234" s="92"/>
    </row>
    <row r="235" spans="2:9">
      <c r="B235" s="151" t="s">
        <v>599</v>
      </c>
      <c r="C235" s="89">
        <v>0.15</v>
      </c>
      <c r="D235" s="90" t="str">
        <f>VLOOKUP(B235,BD!$B$4:$D$290,2,FALSE)</f>
        <v>hora</v>
      </c>
      <c r="E235" s="91">
        <f>VLOOKUP(B235,BD!$B$4:$D$290,3,FALSE)</f>
        <v>150000</v>
      </c>
      <c r="F235" s="92">
        <f>E235*C235</f>
        <v>22500</v>
      </c>
      <c r="G235" s="92"/>
      <c r="H235" s="92"/>
      <c r="I235" s="92"/>
    </row>
    <row r="236" spans="2:9">
      <c r="B236" s="151" t="s">
        <v>550</v>
      </c>
      <c r="C236" s="89">
        <f>72*1.3</f>
        <v>93.600000000000009</v>
      </c>
      <c r="D236" s="90" t="str">
        <f>VLOOKUP(B236,BD!$B$4:$D$290,2,FALSE)</f>
        <v>$/m³.km</v>
      </c>
      <c r="E236" s="91">
        <f>VLOOKUP(B236,BD!$B$4:$D$290,3,FALSE)</f>
        <v>1400</v>
      </c>
      <c r="F236" s="92"/>
      <c r="G236" s="92"/>
      <c r="H236" s="92"/>
      <c r="I236" s="92">
        <f>E236*C236</f>
        <v>131040.00000000001</v>
      </c>
    </row>
    <row r="237" spans="2:9">
      <c r="B237" s="93" t="s">
        <v>7</v>
      </c>
      <c r="C237" s="93" t="s">
        <v>504</v>
      </c>
      <c r="D237" s="94"/>
      <c r="E237" s="95"/>
      <c r="F237" s="118">
        <f>SUM(F229:F236)</f>
        <v>40500</v>
      </c>
      <c r="G237" s="118">
        <f t="shared" ref="G237:I237" si="20">SUM(G229:G236)</f>
        <v>131495</v>
      </c>
      <c r="H237" s="118">
        <f t="shared" si="20"/>
        <v>8730.8000000000029</v>
      </c>
      <c r="I237" s="118">
        <f t="shared" si="20"/>
        <v>131476.54</v>
      </c>
    </row>
    <row r="238" spans="2:9">
      <c r="B238" s="97">
        <f>ROUNDUP(SUM(F237:I237),0)</f>
        <v>312203</v>
      </c>
      <c r="C238" s="98" t="s">
        <v>520</v>
      </c>
      <c r="E238" s="72">
        <v>296793</v>
      </c>
      <c r="F238" s="152"/>
      <c r="G238" s="152"/>
      <c r="H238" s="152"/>
      <c r="I238" s="152"/>
    </row>
    <row r="240" spans="2:9">
      <c r="B240" s="1713" t="s">
        <v>600</v>
      </c>
      <c r="C240" s="1714"/>
      <c r="D240" s="1714"/>
      <c r="E240" s="1714"/>
      <c r="F240" s="1714"/>
      <c r="G240" s="1714"/>
      <c r="H240" s="1715"/>
      <c r="I240" s="126" t="s">
        <v>601</v>
      </c>
    </row>
    <row r="241" spans="2:9">
      <c r="C241" s="117" t="s">
        <v>491</v>
      </c>
      <c r="D241" s="117" t="s">
        <v>492</v>
      </c>
      <c r="E241" s="122" t="s">
        <v>493</v>
      </c>
      <c r="F241" s="122" t="s">
        <v>494</v>
      </c>
      <c r="G241" s="122" t="s">
        <v>360</v>
      </c>
      <c r="H241" s="122" t="s">
        <v>495</v>
      </c>
      <c r="I241" s="122" t="s">
        <v>496</v>
      </c>
    </row>
    <row r="242" spans="2:9">
      <c r="B242" s="88" t="s">
        <v>602</v>
      </c>
      <c r="C242" s="89">
        <v>1</v>
      </c>
      <c r="D242" s="90" t="str">
        <f>VLOOKUP(B242,BD!$B$4:$D$290,2,FALSE)</f>
        <v>pesos</v>
      </c>
      <c r="E242" s="91">
        <f>VLOOKUP(B242,BD!$B$4:$D$290,3,FALSE)</f>
        <v>30000</v>
      </c>
      <c r="F242" s="92"/>
      <c r="G242" s="92">
        <f>C242*E242</f>
        <v>30000</v>
      </c>
      <c r="H242" s="92"/>
      <c r="I242" s="92"/>
    </row>
    <row r="243" spans="2:9">
      <c r="B243" s="88" t="s">
        <v>511</v>
      </c>
      <c r="C243" s="89">
        <f>1/9.5</f>
        <v>0.10526315789473684</v>
      </c>
      <c r="D243" s="90" t="str">
        <f>VLOOKUP(B243,BD!$B$4:$D$290,2,FALSE)</f>
        <v>día</v>
      </c>
      <c r="E243" s="91">
        <f>VLOOKUP(B243,BD!$B$4:$D$290,3,FALSE)</f>
        <v>218270.00000000003</v>
      </c>
      <c r="F243" s="92"/>
      <c r="G243" s="92"/>
      <c r="H243" s="92">
        <f>+E243*C243</f>
        <v>22975.789473684214</v>
      </c>
      <c r="I243" s="92"/>
    </row>
    <row r="244" spans="2:9">
      <c r="B244" s="88" t="s">
        <v>512</v>
      </c>
      <c r="C244" s="89">
        <f>1/9.5</f>
        <v>0.10526315789473684</v>
      </c>
      <c r="D244" s="90" t="str">
        <f>VLOOKUP(B244,BD!$B$4:$D$290,2,FALSE)</f>
        <v>día</v>
      </c>
      <c r="E244" s="91">
        <f>VLOOKUP(B244,BD!$B$4:$D$290,3,FALSE)</f>
        <v>130962.00000000003</v>
      </c>
      <c r="F244" s="92"/>
      <c r="G244" s="92"/>
      <c r="H244" s="92">
        <f>+E244*C244</f>
        <v>13785.473684210529</v>
      </c>
      <c r="I244" s="92"/>
    </row>
    <row r="245" spans="2:9">
      <c r="B245" s="88" t="s">
        <v>497</v>
      </c>
      <c r="C245" s="89">
        <v>1</v>
      </c>
      <c r="D245" s="90" t="s">
        <v>498</v>
      </c>
      <c r="E245" s="91">
        <f>0.05*H246</f>
        <v>1838.0631578947371</v>
      </c>
      <c r="F245" s="92"/>
      <c r="G245" s="92"/>
      <c r="H245" s="92"/>
      <c r="I245" s="92">
        <f>+E245*C245</f>
        <v>1838.0631578947371</v>
      </c>
    </row>
    <row r="246" spans="2:9">
      <c r="B246" s="93" t="s">
        <v>7</v>
      </c>
      <c r="C246" s="93" t="s">
        <v>504</v>
      </c>
      <c r="D246" s="94"/>
      <c r="E246" s="95"/>
      <c r="F246" s="122">
        <f>+SUM(F242:F245)</f>
        <v>0</v>
      </c>
      <c r="G246" s="122">
        <f t="shared" ref="G246:I246" si="21">+SUM(G242:G245)</f>
        <v>30000</v>
      </c>
      <c r="H246" s="122">
        <f t="shared" si="21"/>
        <v>36761.26315789474</v>
      </c>
      <c r="I246" s="122">
        <f t="shared" si="21"/>
        <v>1838.0631578947371</v>
      </c>
    </row>
    <row r="247" spans="2:9">
      <c r="B247" s="97">
        <f>ROUNDUP(SUM(F246:I246),0)</f>
        <v>68600</v>
      </c>
      <c r="C247" s="98" t="s">
        <v>564</v>
      </c>
      <c r="D247" s="100"/>
      <c r="E247" s="100"/>
      <c r="F247" s="100"/>
      <c r="G247" s="100"/>
      <c r="H247" s="100"/>
      <c r="I247" s="100"/>
    </row>
    <row r="249" spans="2:9">
      <c r="B249" s="1690" t="s">
        <v>603</v>
      </c>
      <c r="C249" s="1690"/>
      <c r="D249" s="1690"/>
      <c r="E249" s="1690"/>
      <c r="F249" s="1690"/>
      <c r="G249" s="1690"/>
      <c r="H249" s="1690"/>
      <c r="I249" s="126" t="s">
        <v>604</v>
      </c>
    </row>
    <row r="250" spans="2:9">
      <c r="C250" s="117" t="s">
        <v>491</v>
      </c>
      <c r="D250" s="117" t="s">
        <v>492</v>
      </c>
      <c r="E250" s="117" t="s">
        <v>493</v>
      </c>
      <c r="F250" s="117" t="s">
        <v>494</v>
      </c>
      <c r="G250" s="117" t="s">
        <v>360</v>
      </c>
      <c r="H250" s="118" t="s">
        <v>495</v>
      </c>
      <c r="I250" s="117" t="s">
        <v>496</v>
      </c>
    </row>
    <row r="251" spans="2:9">
      <c r="B251" s="88" t="s">
        <v>605</v>
      </c>
      <c r="C251" s="89">
        <v>1</v>
      </c>
      <c r="D251" s="90" t="str">
        <f>VLOOKUP(B251,BD!$B$4:$D$358,2,FALSE)</f>
        <v>und</v>
      </c>
      <c r="E251" s="91">
        <f>VLOOKUP(B251,BD!$B$4:$D$358,3,FALSE)</f>
        <v>34561</v>
      </c>
      <c r="F251" s="92"/>
      <c r="G251" s="92">
        <f>+E251*C251</f>
        <v>34561</v>
      </c>
      <c r="H251" s="92"/>
      <c r="I251" s="92"/>
    </row>
    <row r="252" spans="2:9">
      <c r="B252" s="88" t="s">
        <v>606</v>
      </c>
      <c r="C252" s="89">
        <v>2</v>
      </c>
      <c r="D252" s="90" t="str">
        <f>VLOOKUP(B252,BD!$B$4:$D$358,2,FALSE)</f>
        <v>und</v>
      </c>
      <c r="E252" s="91">
        <f>VLOOKUP(B252,BD!$B$4:$D$358,3,FALSE)</f>
        <v>12200</v>
      </c>
      <c r="F252" s="92"/>
      <c r="G252" s="92">
        <f>C252*E252</f>
        <v>24400</v>
      </c>
      <c r="H252" s="92"/>
      <c r="I252" s="92"/>
    </row>
    <row r="253" spans="2:9">
      <c r="B253" s="88" t="s">
        <v>607</v>
      </c>
      <c r="C253" s="89">
        <v>5</v>
      </c>
      <c r="D253" s="90" t="str">
        <f>VLOOKUP(B253,BD!$B$4:$D$358,2,FALSE)</f>
        <v>und</v>
      </c>
      <c r="E253" s="91">
        <f>VLOOKUP(B253,BD!$B$4:$D$358,3,FALSE)</f>
        <v>4581.5</v>
      </c>
      <c r="F253" s="92"/>
      <c r="G253" s="92">
        <f t="shared" ref="G253:G258" si="22">C253*E253</f>
        <v>22907.5</v>
      </c>
      <c r="H253" s="92"/>
      <c r="I253" s="92"/>
    </row>
    <row r="254" spans="2:9">
      <c r="B254" s="88" t="s">
        <v>608</v>
      </c>
      <c r="C254" s="89">
        <v>1</v>
      </c>
      <c r="D254" s="90" t="str">
        <f>VLOOKUP(B254,BD!$B$4:$D$358,2,FALSE)</f>
        <v>und</v>
      </c>
      <c r="E254" s="91">
        <f>VLOOKUP(B254,BD!$B$4:$D$358,3,FALSE)</f>
        <v>22900</v>
      </c>
      <c r="F254" s="92"/>
      <c r="G254" s="92">
        <f t="shared" si="22"/>
        <v>22900</v>
      </c>
      <c r="H254" s="92"/>
      <c r="I254" s="92"/>
    </row>
    <row r="255" spans="2:9">
      <c r="B255" s="88" t="s">
        <v>609</v>
      </c>
      <c r="C255" s="89">
        <v>1</v>
      </c>
      <c r="D255" s="90" t="str">
        <f>VLOOKUP(B255,BD!$B$4:$D$358,2,FALSE)</f>
        <v>und</v>
      </c>
      <c r="E255" s="91">
        <f>VLOOKUP(B255,BD!$B$4:$D$358,3,FALSE)</f>
        <v>44280.75</v>
      </c>
      <c r="F255" s="92"/>
      <c r="G255" s="92">
        <f t="shared" si="22"/>
        <v>44280.75</v>
      </c>
      <c r="H255" s="92"/>
      <c r="I255" s="92"/>
    </row>
    <row r="256" spans="2:9">
      <c r="B256" s="88" t="s">
        <v>610</v>
      </c>
      <c r="C256" s="89">
        <v>0.3</v>
      </c>
      <c r="D256" s="90" t="str">
        <f>VLOOKUP(B256,BD!$B$4:$D$358,2,FALSE)</f>
        <v>und</v>
      </c>
      <c r="E256" s="91">
        <f>VLOOKUP(B256,BD!$B$4:$D$358,3,FALSE)</f>
        <v>41871</v>
      </c>
      <c r="F256" s="92"/>
      <c r="G256" s="92">
        <f t="shared" si="22"/>
        <v>12561.3</v>
      </c>
      <c r="H256" s="92"/>
      <c r="I256" s="92"/>
    </row>
    <row r="257" spans="2:9">
      <c r="B257" s="88" t="s">
        <v>611</v>
      </c>
      <c r="C257" s="89">
        <v>0.3</v>
      </c>
      <c r="D257" s="90" t="str">
        <f>VLOOKUP(B257,BD!$B$4:$D$358,2,FALSE)</f>
        <v>und</v>
      </c>
      <c r="E257" s="91">
        <f>VLOOKUP(B257,BD!$B$4:$D$358,3,FALSE)</f>
        <v>7735</v>
      </c>
      <c r="F257" s="92"/>
      <c r="G257" s="92">
        <f t="shared" si="22"/>
        <v>2320.5</v>
      </c>
      <c r="H257" s="92"/>
      <c r="I257" s="92"/>
    </row>
    <row r="258" spans="2:9">
      <c r="B258" s="88" t="s">
        <v>612</v>
      </c>
      <c r="C258" s="89">
        <v>3</v>
      </c>
      <c r="D258" s="90" t="str">
        <f>VLOOKUP(B258,BD!$B$4:$D$358,2,FALSE)</f>
        <v>m</v>
      </c>
      <c r="E258" s="91">
        <f>VLOOKUP(B258,BD!$B$4:$D$358,3,FALSE)</f>
        <v>3423</v>
      </c>
      <c r="F258" s="92"/>
      <c r="G258" s="92">
        <f t="shared" si="22"/>
        <v>10269</v>
      </c>
      <c r="H258" s="92"/>
      <c r="I258" s="92"/>
    </row>
    <row r="259" spans="2:9">
      <c r="B259" s="88" t="s">
        <v>511</v>
      </c>
      <c r="C259" s="89">
        <f>1/3</f>
        <v>0.33333333333333331</v>
      </c>
      <c r="D259" s="90" t="str">
        <f>VLOOKUP(B259,BD!$B$4:$D$358,2,FALSE)</f>
        <v>día</v>
      </c>
      <c r="E259" s="91">
        <f>VLOOKUP(B259,BD!$B$4:$D$358,3,FALSE)</f>
        <v>218270.00000000003</v>
      </c>
      <c r="F259" s="92"/>
      <c r="G259" s="92"/>
      <c r="H259" s="92">
        <f>+E259*C259</f>
        <v>72756.666666666672</v>
      </c>
      <c r="I259" s="92"/>
    </row>
    <row r="260" spans="2:9">
      <c r="B260" s="88" t="s">
        <v>512</v>
      </c>
      <c r="C260" s="89">
        <f>1/3</f>
        <v>0.33333333333333331</v>
      </c>
      <c r="D260" s="90" t="str">
        <f>VLOOKUP(B260,BD!$B$4:$D$358,2,FALSE)</f>
        <v>día</v>
      </c>
      <c r="E260" s="91">
        <f>VLOOKUP(B260,BD!$B$4:$D$358,3,FALSE)</f>
        <v>130962.00000000003</v>
      </c>
      <c r="F260" s="92"/>
      <c r="G260" s="92"/>
      <c r="H260" s="92">
        <f>+E260*C260</f>
        <v>43654.000000000007</v>
      </c>
      <c r="I260" s="92"/>
    </row>
    <row r="261" spans="2:9">
      <c r="B261" s="88" t="s">
        <v>497</v>
      </c>
      <c r="C261" s="89">
        <v>1</v>
      </c>
      <c r="D261" s="90" t="s">
        <v>498</v>
      </c>
      <c r="E261" s="91">
        <f>0.05*H263</f>
        <v>5820.5333333333347</v>
      </c>
      <c r="F261" s="92"/>
      <c r="G261" s="92"/>
      <c r="H261" s="92"/>
      <c r="I261" s="92">
        <f>+E261*C261</f>
        <v>5820.5333333333347</v>
      </c>
    </row>
    <row r="262" spans="2:9">
      <c r="B262" s="88" t="s">
        <v>563</v>
      </c>
      <c r="C262" s="89">
        <v>1.3333333333333334E-2</v>
      </c>
      <c r="D262" s="90" t="str">
        <f>VLOOKUP(B262,BD!$B$4:$D$358,2,FALSE)</f>
        <v>viaje</v>
      </c>
      <c r="E262" s="91">
        <f>VLOOKUP(B262,BD!$B$4:$D$358,3,FALSE)</f>
        <v>1500000</v>
      </c>
      <c r="F262" s="92"/>
      <c r="G262" s="92"/>
      <c r="H262" s="92"/>
      <c r="I262" s="92">
        <f>+E262*C262</f>
        <v>20000</v>
      </c>
    </row>
    <row r="263" spans="2:9">
      <c r="B263" s="93" t="s">
        <v>7</v>
      </c>
      <c r="C263" s="93" t="s">
        <v>504</v>
      </c>
      <c r="D263" s="94"/>
      <c r="E263" s="95"/>
      <c r="F263" s="173">
        <f>SUM(F251:F262)</f>
        <v>0</v>
      </c>
      <c r="G263" s="173">
        <f>SUM(G251:G262)</f>
        <v>174200.05</v>
      </c>
      <c r="H263" s="173">
        <f t="shared" ref="H263:I263" si="23">SUM(H251:H262)</f>
        <v>116410.66666666669</v>
      </c>
      <c r="I263" s="173">
        <f t="shared" si="23"/>
        <v>25820.533333333333</v>
      </c>
    </row>
    <row r="264" spans="2:9">
      <c r="B264" s="97">
        <f>ROUNDUP(SUM(F263:I263),0)</f>
        <v>316432</v>
      </c>
      <c r="C264" s="98" t="s">
        <v>564</v>
      </c>
      <c r="D264" s="99"/>
      <c r="E264" s="100"/>
      <c r="F264" s="94"/>
      <c r="G264" s="94"/>
      <c r="H264" s="94"/>
      <c r="I264" s="94"/>
    </row>
    <row r="266" spans="2:9">
      <c r="B266" s="1690" t="s">
        <v>613</v>
      </c>
      <c r="C266" s="1690"/>
      <c r="D266" s="1690"/>
      <c r="E266" s="1690"/>
      <c r="F266" s="1690"/>
      <c r="G266" s="1690"/>
      <c r="H266" s="1690"/>
      <c r="I266" s="126" t="s">
        <v>614</v>
      </c>
    </row>
    <row r="267" spans="2:9">
      <c r="C267" s="117" t="s">
        <v>491</v>
      </c>
      <c r="D267" s="117" t="s">
        <v>492</v>
      </c>
      <c r="E267" s="117" t="s">
        <v>493</v>
      </c>
      <c r="F267" s="117" t="s">
        <v>494</v>
      </c>
      <c r="G267" s="117" t="s">
        <v>360</v>
      </c>
      <c r="H267" s="118" t="s">
        <v>495</v>
      </c>
      <c r="I267" s="117" t="s">
        <v>496</v>
      </c>
    </row>
    <row r="268" spans="2:9">
      <c r="B268" s="88" t="s">
        <v>523</v>
      </c>
      <c r="C268" s="89">
        <f>1/4</f>
        <v>0.25</v>
      </c>
      <c r="D268" s="90" t="str">
        <f>VLOOKUP(B268,BD!$B$4:$D$358,2,FALSE)</f>
        <v>día</v>
      </c>
      <c r="E268" s="91">
        <f>VLOOKUP(B268,BD!$B$4:$D$358,3,FALSE)</f>
        <v>140000</v>
      </c>
      <c r="F268" s="92">
        <f>C268*E268</f>
        <v>35000</v>
      </c>
      <c r="G268" s="92"/>
      <c r="H268" s="92"/>
      <c r="I268" s="92"/>
    </row>
    <row r="269" spans="2:9">
      <c r="B269" s="88" t="s">
        <v>542</v>
      </c>
      <c r="C269" s="89">
        <f>3/4</f>
        <v>0.75</v>
      </c>
      <c r="D269" s="90" t="str">
        <f>VLOOKUP(B269,BD!$B$4:$D$358,2,FALSE)</f>
        <v>hora</v>
      </c>
      <c r="E269" s="91">
        <f>VLOOKUP(B269,BD!$B$4:$D$358,3,FALSE)</f>
        <v>10625</v>
      </c>
      <c r="F269" s="92">
        <f>C269*E269</f>
        <v>7968.75</v>
      </c>
      <c r="G269" s="92"/>
      <c r="H269" s="92"/>
      <c r="I269" s="92"/>
    </row>
    <row r="270" spans="2:9">
      <c r="B270" s="88" t="s">
        <v>497</v>
      </c>
      <c r="C270" s="89">
        <v>1</v>
      </c>
      <c r="D270" s="90" t="s">
        <v>498</v>
      </c>
      <c r="E270" s="91">
        <f>0.05*H275</f>
        <v>1637.0250000000005</v>
      </c>
      <c r="F270" s="92"/>
      <c r="G270" s="92"/>
      <c r="H270" s="92"/>
      <c r="I270" s="92">
        <f>E270*C270</f>
        <v>1637.0250000000005</v>
      </c>
    </row>
    <row r="271" spans="2:9">
      <c r="B271" s="88" t="s">
        <v>545</v>
      </c>
      <c r="C271" s="89">
        <f>(0.8*1.1*1)*1.3</f>
        <v>1.1440000000000001</v>
      </c>
      <c r="D271" s="90" t="str">
        <f>VLOOKUP(B271,BD!$B$4:$D$358,2,FALSE)</f>
        <v>m³</v>
      </c>
      <c r="E271" s="91">
        <f>VLOOKUP(B271,BD!$B$4:$D$358,3,FALSE)</f>
        <v>20000</v>
      </c>
      <c r="F271" s="92"/>
      <c r="G271" s="92">
        <f>E271*C271</f>
        <v>22880.000000000004</v>
      </c>
      <c r="H271" s="92"/>
      <c r="I271" s="92"/>
    </row>
    <row r="272" spans="2:9">
      <c r="B272" s="88" t="s">
        <v>546</v>
      </c>
      <c r="C272" s="89">
        <f>20*1.3</f>
        <v>26</v>
      </c>
      <c r="D272" s="90" t="str">
        <f>VLOOKUP(B272,BD!$B$4:$D$358,2,FALSE)</f>
        <v>$/m³.km</v>
      </c>
      <c r="E272" s="91">
        <f>VLOOKUP(B272,BD!$B$4:$D$358,3,FALSE)</f>
        <v>1400</v>
      </c>
      <c r="F272" s="92"/>
      <c r="G272" s="92"/>
      <c r="H272" s="92"/>
      <c r="I272" s="92">
        <f>E272*C272</f>
        <v>36400</v>
      </c>
    </row>
    <row r="273" spans="2:9">
      <c r="B273" s="88" t="s">
        <v>524</v>
      </c>
      <c r="C273" s="89">
        <f>20*1.3</f>
        <v>26</v>
      </c>
      <c r="D273" s="90" t="str">
        <f>VLOOKUP(B273,BD!$B$4:$D$358,2,FALSE)</f>
        <v>$/m³.km</v>
      </c>
      <c r="E273" s="91">
        <f>VLOOKUP(B273,BD!$B$4:$D$358,3,FALSE)</f>
        <v>1400</v>
      </c>
      <c r="F273" s="92"/>
      <c r="G273" s="92"/>
      <c r="H273" s="92"/>
      <c r="I273" s="92">
        <f>E273*C273</f>
        <v>36400</v>
      </c>
    </row>
    <row r="274" spans="2:9">
      <c r="B274" s="88" t="s">
        <v>512</v>
      </c>
      <c r="C274" s="89">
        <f>C268</f>
        <v>0.25</v>
      </c>
      <c r="D274" s="90" t="str">
        <f>VLOOKUP(B274,BD!$B$4:$D$358,2,FALSE)</f>
        <v>día</v>
      </c>
      <c r="E274" s="91">
        <f>VLOOKUP(B274,BD!$B$4:$D$358,3,FALSE)</f>
        <v>130962.00000000003</v>
      </c>
      <c r="F274" s="92"/>
      <c r="G274" s="92"/>
      <c r="H274" s="92">
        <f>E274*C274</f>
        <v>32740.500000000007</v>
      </c>
      <c r="I274" s="92"/>
    </row>
    <row r="275" spans="2:9">
      <c r="B275" s="93" t="s">
        <v>7</v>
      </c>
      <c r="C275" s="93" t="s">
        <v>504</v>
      </c>
      <c r="F275" s="173">
        <f>SUM(F268:F274)</f>
        <v>42968.75</v>
      </c>
      <c r="G275" s="173">
        <f>SUM(G268:G274)</f>
        <v>22880.000000000004</v>
      </c>
      <c r="H275" s="173">
        <f>SUM(H268:H274)</f>
        <v>32740.500000000007</v>
      </c>
      <c r="I275" s="173">
        <f>SUM(I268:I274)</f>
        <v>74437.024999999994</v>
      </c>
    </row>
    <row r="276" spans="2:9">
      <c r="B276" s="97">
        <f>ROUNDUP(SUM(F275:I275),0)</f>
        <v>173027</v>
      </c>
      <c r="C276" s="98" t="s">
        <v>564</v>
      </c>
    </row>
    <row r="277" spans="2:9" ht="15.75" thickBot="1"/>
    <row r="278" spans="2:9" ht="27" thickBot="1">
      <c r="B278" s="1722" t="s">
        <v>615</v>
      </c>
      <c r="C278" s="1723"/>
      <c r="D278" s="1723"/>
      <c r="E278" s="1723"/>
      <c r="F278" s="1723"/>
      <c r="G278" s="1723"/>
      <c r="H278" s="1723"/>
      <c r="I278" s="1724"/>
    </row>
    <row r="280" spans="2:9">
      <c r="B280" s="1691" t="s">
        <v>616</v>
      </c>
      <c r="C280" s="1691"/>
      <c r="D280" s="1691"/>
      <c r="E280" s="1691"/>
      <c r="F280" s="1691"/>
      <c r="G280" s="1691"/>
      <c r="H280" s="1691"/>
      <c r="I280" s="153" t="s">
        <v>617</v>
      </c>
    </row>
    <row r="281" spans="2:9">
      <c r="C281" s="154" t="s">
        <v>491</v>
      </c>
      <c r="D281" s="155" t="s">
        <v>492</v>
      </c>
      <c r="E281" s="156" t="s">
        <v>493</v>
      </c>
      <c r="F281" s="156" t="s">
        <v>494</v>
      </c>
      <c r="G281" s="156" t="s">
        <v>360</v>
      </c>
      <c r="H281" s="156" t="s">
        <v>495</v>
      </c>
      <c r="I281" s="156" t="s">
        <v>496</v>
      </c>
    </row>
    <row r="282" spans="2:9">
      <c r="B282" s="88" t="s">
        <v>497</v>
      </c>
      <c r="C282" s="89">
        <v>1</v>
      </c>
      <c r="D282" s="90" t="s">
        <v>498</v>
      </c>
      <c r="E282" s="91">
        <f>0.05*H288</f>
        <v>1746.1600000000008</v>
      </c>
      <c r="F282" s="92"/>
      <c r="G282" s="92"/>
      <c r="H282" s="92"/>
      <c r="I282" s="92">
        <f>+E282*C282</f>
        <v>1746.1600000000008</v>
      </c>
    </row>
    <row r="283" spans="2:9">
      <c r="B283" s="88" t="s">
        <v>618</v>
      </c>
      <c r="C283" s="89">
        <f>1.67/3</f>
        <v>0.55666666666666664</v>
      </c>
      <c r="D283" s="90" t="str">
        <f>VLOOKUP(B283,BD!$B$4:$D$290,2,FALSE)</f>
        <v>und</v>
      </c>
      <c r="E283" s="91">
        <f>VLOOKUP(B283,BD!$B$4:$D$290,3,FALSE)</f>
        <v>27000</v>
      </c>
      <c r="F283" s="92"/>
      <c r="G283" s="92">
        <f>+E283*C283</f>
        <v>15030</v>
      </c>
      <c r="H283" s="92"/>
      <c r="I283" s="92"/>
    </row>
    <row r="284" spans="2:9">
      <c r="B284" s="88" t="s">
        <v>619</v>
      </c>
      <c r="C284" s="89">
        <v>0.2</v>
      </c>
      <c r="D284" s="90" t="str">
        <f>VLOOKUP(B284,BD!$B$4:$D$290,2,FALSE)</f>
        <v>und</v>
      </c>
      <c r="E284" s="91">
        <f>VLOOKUP(B284,BD!$B$4:$D$290,3,FALSE)</f>
        <v>16000</v>
      </c>
      <c r="F284" s="92"/>
      <c r="G284" s="92">
        <f>+E284*C284</f>
        <v>3200</v>
      </c>
      <c r="H284" s="92"/>
      <c r="I284" s="92"/>
    </row>
    <row r="285" spans="2:9">
      <c r="B285" s="88" t="s">
        <v>499</v>
      </c>
      <c r="C285" s="89">
        <f>1/6.6667</f>
        <v>0.14999925000375</v>
      </c>
      <c r="D285" s="90" t="str">
        <f>VLOOKUP(B285,BD!$B$4:$D$290,2,FALSE)</f>
        <v>lb</v>
      </c>
      <c r="E285" s="91">
        <f>VLOOKUP(B285,BD!$B$4:$D$290,3,FALSE)</f>
        <v>7500</v>
      </c>
      <c r="F285" s="92"/>
      <c r="G285" s="92">
        <f>+E285*C285</f>
        <v>1124.994375028125</v>
      </c>
      <c r="H285" s="92"/>
      <c r="I285" s="92"/>
    </row>
    <row r="286" spans="2:9">
      <c r="B286" s="88" t="s">
        <v>511</v>
      </c>
      <c r="C286" s="89">
        <f>0.1</f>
        <v>0.1</v>
      </c>
      <c r="D286" s="90" t="str">
        <f>VLOOKUP(B286,BD!$B$4:$D$290,2,FALSE)</f>
        <v>día</v>
      </c>
      <c r="E286" s="91">
        <f>VLOOKUP(B286,BD!$B$4:$D$290,3,FALSE)</f>
        <v>218270.00000000003</v>
      </c>
      <c r="F286" s="92"/>
      <c r="G286" s="92"/>
      <c r="H286" s="92">
        <f>+E286*C286</f>
        <v>21827.000000000004</v>
      </c>
      <c r="I286" s="92"/>
    </row>
    <row r="287" spans="2:9">
      <c r="B287" s="88" t="s">
        <v>512</v>
      </c>
      <c r="C287" s="89">
        <v>0.1</v>
      </c>
      <c r="D287" s="90" t="str">
        <f>VLOOKUP(B287,BD!$B$4:$D$290,2,FALSE)</f>
        <v>día</v>
      </c>
      <c r="E287" s="91">
        <f>VLOOKUP(B287,BD!$B$4:$D$290,3,FALSE)</f>
        <v>130962.00000000003</v>
      </c>
      <c r="F287" s="92"/>
      <c r="G287" s="92"/>
      <c r="H287" s="92">
        <f>+E287*C287</f>
        <v>13096.200000000004</v>
      </c>
      <c r="I287" s="92"/>
    </row>
    <row r="288" spans="2:9">
      <c r="B288" s="93" t="s">
        <v>7</v>
      </c>
      <c r="C288" s="93" t="s">
        <v>504</v>
      </c>
      <c r="D288" s="94"/>
      <c r="E288" s="95"/>
      <c r="F288" s="156">
        <f>+SUM(F282:F287)</f>
        <v>0</v>
      </c>
      <c r="G288" s="156">
        <f t="shared" ref="G288:I288" si="24">+SUM(G282:G287)</f>
        <v>19354.994375028124</v>
      </c>
      <c r="H288" s="156">
        <f t="shared" si="24"/>
        <v>34923.200000000012</v>
      </c>
      <c r="I288" s="156">
        <f t="shared" si="24"/>
        <v>1746.1600000000008</v>
      </c>
    </row>
    <row r="289" spans="2:9">
      <c r="B289" s="97">
        <f>ROUNDUP(SUM(F288:I288),0)</f>
        <v>56025</v>
      </c>
      <c r="C289" s="98" t="s">
        <v>583</v>
      </c>
      <c r="D289" s="99"/>
      <c r="E289" s="100"/>
      <c r="F289" s="157"/>
      <c r="G289" s="157"/>
      <c r="H289" s="157"/>
      <c r="I289" s="157"/>
    </row>
    <row r="291" spans="2:9">
      <c r="B291" s="1691" t="s">
        <v>620</v>
      </c>
      <c r="C291" s="1691"/>
      <c r="D291" s="1691"/>
      <c r="E291" s="1691"/>
      <c r="F291" s="1691"/>
      <c r="G291" s="1691"/>
      <c r="H291" s="1691"/>
      <c r="I291" s="153" t="s">
        <v>621</v>
      </c>
    </row>
    <row r="292" spans="2:9">
      <c r="C292" s="154" t="s">
        <v>491</v>
      </c>
      <c r="D292" s="155" t="s">
        <v>492</v>
      </c>
      <c r="E292" s="156" t="s">
        <v>493</v>
      </c>
      <c r="F292" s="156" t="s">
        <v>494</v>
      </c>
      <c r="G292" s="156" t="s">
        <v>360</v>
      </c>
      <c r="H292" s="156" t="s">
        <v>495</v>
      </c>
      <c r="I292" s="156" t="s">
        <v>496</v>
      </c>
    </row>
    <row r="293" spans="2:9">
      <c r="B293" s="88" t="s">
        <v>497</v>
      </c>
      <c r="C293" s="89">
        <v>1</v>
      </c>
      <c r="D293" s="90" t="s">
        <v>498</v>
      </c>
      <c r="E293" s="91">
        <f>0.05*H299</f>
        <v>1746.1600000000008</v>
      </c>
      <c r="F293" s="92"/>
      <c r="G293" s="92"/>
      <c r="H293" s="92"/>
      <c r="I293" s="92">
        <f>+E293*C293</f>
        <v>1746.1600000000008</v>
      </c>
    </row>
    <row r="294" spans="2:9">
      <c r="B294" s="88" t="s">
        <v>618</v>
      </c>
      <c r="C294" s="89">
        <v>1.3</v>
      </c>
      <c r="D294" s="90" t="str">
        <f>VLOOKUP(B294,BD!$B$4:$D$290,2,FALSE)</f>
        <v>und</v>
      </c>
      <c r="E294" s="91">
        <f>VLOOKUP(B294,BD!$B$4:$D$290,3,FALSE)</f>
        <v>27000</v>
      </c>
      <c r="F294" s="92"/>
      <c r="G294" s="92">
        <f>+E294*C294</f>
        <v>35100</v>
      </c>
      <c r="H294" s="92"/>
      <c r="I294" s="92"/>
    </row>
    <row r="295" spans="2:9">
      <c r="B295" s="88" t="s">
        <v>619</v>
      </c>
      <c r="C295" s="89">
        <v>0.27</v>
      </c>
      <c r="D295" s="90" t="str">
        <f>VLOOKUP(B295,BD!$B$4:$D$290,2,FALSE)</f>
        <v>und</v>
      </c>
      <c r="E295" s="91">
        <f>VLOOKUP(B295,BD!$B$4:$D$290,3,FALSE)</f>
        <v>16000</v>
      </c>
      <c r="F295" s="92"/>
      <c r="G295" s="92">
        <f>+E295*C295</f>
        <v>4320</v>
      </c>
      <c r="H295" s="92"/>
      <c r="I295" s="92"/>
    </row>
    <row r="296" spans="2:9">
      <c r="B296" s="88" t="s">
        <v>499</v>
      </c>
      <c r="C296" s="89">
        <v>0.3</v>
      </c>
      <c r="D296" s="90" t="str">
        <f>VLOOKUP(B296,BD!$B$4:$D$290,2,FALSE)</f>
        <v>lb</v>
      </c>
      <c r="E296" s="91">
        <f>VLOOKUP(B296,BD!$B$4:$D$290,3,FALSE)</f>
        <v>7500</v>
      </c>
      <c r="F296" s="92"/>
      <c r="G296" s="92">
        <f>+E296*C296</f>
        <v>2250</v>
      </c>
      <c r="H296" s="92"/>
      <c r="I296" s="92"/>
    </row>
    <row r="297" spans="2:9">
      <c r="B297" s="88" t="s">
        <v>511</v>
      </c>
      <c r="C297" s="89">
        <v>0.1</v>
      </c>
      <c r="D297" s="90" t="str">
        <f>VLOOKUP(B297,BD!$B$4:$D$290,2,FALSE)</f>
        <v>día</v>
      </c>
      <c r="E297" s="91">
        <f>VLOOKUP(B297,BD!$B$4:$D$290,3,FALSE)</f>
        <v>218270.00000000003</v>
      </c>
      <c r="F297" s="92"/>
      <c r="G297" s="92"/>
      <c r="H297" s="92">
        <f>+E297*C297</f>
        <v>21827.000000000004</v>
      </c>
      <c r="I297" s="92"/>
    </row>
    <row r="298" spans="2:9">
      <c r="B298" s="88" t="s">
        <v>512</v>
      </c>
      <c r="C298" s="89">
        <v>0.1</v>
      </c>
      <c r="D298" s="90" t="str">
        <f>VLOOKUP(B298,BD!$B$4:$D$290,2,FALSE)</f>
        <v>día</v>
      </c>
      <c r="E298" s="91">
        <f>VLOOKUP(B298,BD!$B$4:$D$290,3,FALSE)</f>
        <v>130962.00000000003</v>
      </c>
      <c r="F298" s="92"/>
      <c r="G298" s="92"/>
      <c r="H298" s="92">
        <f>+E298*C298</f>
        <v>13096.200000000004</v>
      </c>
      <c r="I298" s="92"/>
    </row>
    <row r="299" spans="2:9">
      <c r="B299" s="93" t="s">
        <v>7</v>
      </c>
      <c r="C299" s="93" t="s">
        <v>504</v>
      </c>
      <c r="D299" s="94"/>
      <c r="E299" s="95"/>
      <c r="F299" s="156">
        <f>+SUM(F293:F298)</f>
        <v>0</v>
      </c>
      <c r="G299" s="156">
        <f t="shared" ref="G299:I299" si="25">+SUM(G293:G298)</f>
        <v>41670</v>
      </c>
      <c r="H299" s="156">
        <f t="shared" si="25"/>
        <v>34923.200000000012</v>
      </c>
      <c r="I299" s="156">
        <f t="shared" si="25"/>
        <v>1746.1600000000008</v>
      </c>
    </row>
    <row r="300" spans="2:9">
      <c r="B300" s="97">
        <f>ROUNDUP(SUM(F299:I299),0)</f>
        <v>78340</v>
      </c>
      <c r="C300" s="98" t="s">
        <v>583</v>
      </c>
      <c r="D300" s="99"/>
      <c r="E300" s="100"/>
      <c r="F300" s="157"/>
      <c r="G300" s="157"/>
      <c r="H300" s="157"/>
      <c r="I300" s="157"/>
    </row>
    <row r="302" spans="2:9">
      <c r="B302" s="1691" t="s">
        <v>622</v>
      </c>
      <c r="C302" s="1691"/>
      <c r="D302" s="1691"/>
      <c r="E302" s="1691"/>
      <c r="F302" s="1691"/>
      <c r="G302" s="1691"/>
      <c r="H302" s="1691"/>
      <c r="I302" s="153" t="s">
        <v>623</v>
      </c>
    </row>
    <row r="303" spans="2:9">
      <c r="C303" s="117" t="s">
        <v>491</v>
      </c>
      <c r="D303" s="117" t="s">
        <v>492</v>
      </c>
      <c r="E303" s="122" t="s">
        <v>493</v>
      </c>
      <c r="F303" s="122" t="s">
        <v>494</v>
      </c>
      <c r="G303" s="122" t="s">
        <v>360</v>
      </c>
      <c r="H303" s="122" t="s">
        <v>495</v>
      </c>
      <c r="I303" s="122" t="s">
        <v>496</v>
      </c>
    </row>
    <row r="304" spans="2:9">
      <c r="B304" s="88" t="s">
        <v>523</v>
      </c>
      <c r="C304" s="89">
        <v>1</v>
      </c>
      <c r="D304" s="90" t="str">
        <f>VLOOKUP(B304,BD!$B$4:$D$290,2,FALSE)</f>
        <v>día</v>
      </c>
      <c r="E304" s="91">
        <f>VLOOKUP(B304,BD!$B$4:$D$290,3,FALSE)</f>
        <v>140000</v>
      </c>
      <c r="F304" s="92">
        <f>+C304*E304</f>
        <v>140000</v>
      </c>
      <c r="G304" s="92"/>
      <c r="H304" s="92"/>
      <c r="I304" s="92"/>
    </row>
    <row r="305" spans="2:9">
      <c r="B305" s="88" t="s">
        <v>497</v>
      </c>
      <c r="C305" s="89">
        <v>1</v>
      </c>
      <c r="D305" s="90" t="s">
        <v>498</v>
      </c>
      <c r="E305" s="91">
        <f>0.05*H309</f>
        <v>8730.8000000000011</v>
      </c>
      <c r="F305" s="92"/>
      <c r="G305" s="92"/>
      <c r="H305" s="92"/>
      <c r="I305" s="92">
        <f>+E305*C305</f>
        <v>8730.8000000000011</v>
      </c>
    </row>
    <row r="306" spans="2:9">
      <c r="B306" s="88" t="s">
        <v>624</v>
      </c>
      <c r="C306" s="89">
        <v>0.2</v>
      </c>
      <c r="D306" s="90" t="str">
        <f>VLOOKUP(B306,BD!$B$4:$D$290,2,FALSE)</f>
        <v>pesos</v>
      </c>
      <c r="E306" s="91">
        <f>VLOOKUP(B306,BD!$B$4:$D$290,3,FALSE)</f>
        <v>15000</v>
      </c>
      <c r="F306" s="92"/>
      <c r="G306" s="92"/>
      <c r="H306" s="92"/>
      <c r="I306" s="92">
        <f>+E306*C306</f>
        <v>3000</v>
      </c>
    </row>
    <row r="307" spans="2:9">
      <c r="B307" s="88" t="s">
        <v>511</v>
      </c>
      <c r="C307" s="89">
        <v>0.5</v>
      </c>
      <c r="D307" s="90" t="str">
        <f>VLOOKUP(B307,BD!$B$4:$D$290,2,FALSE)</f>
        <v>día</v>
      </c>
      <c r="E307" s="91">
        <f>VLOOKUP(B307,BD!$B$4:$D$290,3,FALSE)</f>
        <v>218270.00000000003</v>
      </c>
      <c r="F307" s="92"/>
      <c r="G307" s="92"/>
      <c r="H307" s="92">
        <f>+E307*C307</f>
        <v>109135.00000000001</v>
      </c>
      <c r="I307" s="92"/>
    </row>
    <row r="308" spans="2:9">
      <c r="B308" s="88" t="s">
        <v>512</v>
      </c>
      <c r="C308" s="89">
        <v>0.5</v>
      </c>
      <c r="D308" s="90" t="str">
        <f>VLOOKUP(B308,BD!$B$4:$D$290,2,FALSE)</f>
        <v>día</v>
      </c>
      <c r="E308" s="91">
        <f>VLOOKUP(B308,BD!$B$4:$D$290,3,FALSE)</f>
        <v>130962.00000000003</v>
      </c>
      <c r="F308" s="92"/>
      <c r="G308" s="92"/>
      <c r="H308" s="92">
        <f>+E308*C308</f>
        <v>65481.000000000015</v>
      </c>
      <c r="I308" s="92"/>
    </row>
    <row r="309" spans="2:9">
      <c r="B309" s="93" t="s">
        <v>7</v>
      </c>
      <c r="C309" s="93" t="s">
        <v>504</v>
      </c>
      <c r="D309" s="94"/>
      <c r="E309" s="95"/>
      <c r="F309" s="122">
        <f>+SUM(F304:F308)</f>
        <v>140000</v>
      </c>
      <c r="G309" s="122">
        <f t="shared" ref="G309:I309" si="26">+SUM(G304:G308)</f>
        <v>0</v>
      </c>
      <c r="H309" s="122">
        <f t="shared" si="26"/>
        <v>174616.00000000003</v>
      </c>
      <c r="I309" s="122">
        <f t="shared" si="26"/>
        <v>11730.800000000001</v>
      </c>
    </row>
    <row r="310" spans="2:9">
      <c r="B310" s="97">
        <f>ROUNDUP(SUM(F309:I309),0)</f>
        <v>326347</v>
      </c>
      <c r="C310" s="98" t="s">
        <v>564</v>
      </c>
      <c r="D310" s="99"/>
      <c r="E310" s="100"/>
      <c r="F310" s="100"/>
      <c r="G310" s="100"/>
      <c r="H310" s="100"/>
      <c r="I310" s="100"/>
    </row>
    <row r="312" spans="2:9">
      <c r="B312" s="1691" t="s">
        <v>625</v>
      </c>
      <c r="C312" s="1691"/>
      <c r="D312" s="1691"/>
      <c r="E312" s="1691"/>
      <c r="F312" s="1691"/>
      <c r="G312" s="1691"/>
      <c r="H312" s="1691"/>
      <c r="I312" s="153" t="s">
        <v>626</v>
      </c>
    </row>
    <row r="313" spans="2:9">
      <c r="C313" s="158" t="s">
        <v>491</v>
      </c>
      <c r="D313" s="104" t="s">
        <v>492</v>
      </c>
      <c r="E313" s="104" t="s">
        <v>493</v>
      </c>
      <c r="F313" s="104" t="s">
        <v>494</v>
      </c>
      <c r="G313" s="104" t="s">
        <v>360</v>
      </c>
      <c r="H313" s="104" t="s">
        <v>495</v>
      </c>
      <c r="I313" s="104" t="s">
        <v>496</v>
      </c>
    </row>
    <row r="314" spans="2:9">
      <c r="B314" s="88" t="s">
        <v>627</v>
      </c>
      <c r="C314" s="89">
        <v>0.02</v>
      </c>
      <c r="D314" s="90" t="str">
        <f>VLOOKUP(B314,BD!$B$4:$D$290,2,FALSE)</f>
        <v>hora</v>
      </c>
      <c r="E314" s="91">
        <f>VLOOKUP(B314,BD!$B$4:$D$290,3,FALSE)</f>
        <v>420000</v>
      </c>
      <c r="F314" s="92">
        <f>C314*E314</f>
        <v>8400</v>
      </c>
      <c r="G314" s="92"/>
      <c r="H314" s="92"/>
      <c r="I314" s="92"/>
    </row>
    <row r="315" spans="2:9">
      <c r="B315" s="88" t="s">
        <v>628</v>
      </c>
      <c r="C315" s="89">
        <v>1</v>
      </c>
      <c r="D315" s="90" t="str">
        <f>VLOOKUP(B315,BD!$B$4:$D$290,2,FALSE)</f>
        <v>ml</v>
      </c>
      <c r="E315" s="91">
        <f>VLOOKUP(B315,BD!$B$4:$D$290,3,FALSE)</f>
        <v>25000</v>
      </c>
      <c r="F315" s="92">
        <f t="shared" ref="F315" si="27">C315*E315</f>
        <v>25000</v>
      </c>
      <c r="G315" s="92"/>
      <c r="H315" s="92"/>
      <c r="I315" s="92"/>
    </row>
    <row r="316" spans="2:9">
      <c r="B316" s="93" t="s">
        <v>7</v>
      </c>
      <c r="C316" s="93" t="s">
        <v>504</v>
      </c>
      <c r="D316" s="94"/>
      <c r="E316" s="95"/>
      <c r="F316" s="159">
        <f>SUM(F314:F315)</f>
        <v>33400</v>
      </c>
      <c r="G316" s="159">
        <f>SUM(G314:G315)</f>
        <v>0</v>
      </c>
      <c r="H316" s="159">
        <f>SUM(H314:H315)</f>
        <v>0</v>
      </c>
      <c r="I316" s="159">
        <f>SUM(I314:I315)</f>
        <v>0</v>
      </c>
    </row>
    <row r="317" spans="2:9">
      <c r="B317" s="97">
        <f>ROUNDUP(SUM(F316:I316),0)</f>
        <v>33400</v>
      </c>
      <c r="C317" s="98" t="s">
        <v>629</v>
      </c>
      <c r="D317" s="146"/>
      <c r="E317" s="100"/>
      <c r="F317" s="94"/>
      <c r="G317" s="94"/>
      <c r="H317" s="94"/>
      <c r="I317" s="94"/>
    </row>
    <row r="318" spans="2:9" ht="15.75" thickBot="1">
      <c r="F318" s="1334"/>
      <c r="G318" s="1334"/>
      <c r="H318" s="1334"/>
      <c r="I318" s="1334"/>
    </row>
    <row r="319" spans="2:9" ht="27" thickBot="1">
      <c r="B319" s="1695" t="s">
        <v>630</v>
      </c>
      <c r="C319" s="1696"/>
      <c r="D319" s="1696"/>
      <c r="E319" s="1696"/>
      <c r="F319" s="1696"/>
      <c r="G319" s="1696"/>
      <c r="H319" s="1696"/>
      <c r="I319" s="1697"/>
    </row>
    <row r="321" spans="2:9">
      <c r="B321" s="1686" t="s">
        <v>631</v>
      </c>
      <c r="C321" s="1686"/>
      <c r="D321" s="1686"/>
      <c r="E321" s="1686"/>
      <c r="F321" s="1686"/>
      <c r="G321" s="1686"/>
      <c r="H321" s="1686"/>
      <c r="I321" s="160" t="s">
        <v>632</v>
      </c>
    </row>
    <row r="322" spans="2:9">
      <c r="C322" s="158" t="s">
        <v>491</v>
      </c>
      <c r="D322" s="104" t="s">
        <v>492</v>
      </c>
      <c r="E322" s="104" t="s">
        <v>493</v>
      </c>
      <c r="F322" s="104" t="s">
        <v>494</v>
      </c>
      <c r="G322" s="104" t="s">
        <v>360</v>
      </c>
      <c r="H322" s="104" t="s">
        <v>495</v>
      </c>
      <c r="I322" s="104" t="s">
        <v>496</v>
      </c>
    </row>
    <row r="323" spans="2:9">
      <c r="B323" s="88" t="s">
        <v>633</v>
      </c>
      <c r="C323" s="89">
        <v>1.05</v>
      </c>
      <c r="D323" s="90" t="str">
        <f>VLOOKUP(B323,BD!$B$4:$D$290,2,FALSE)</f>
        <v>m</v>
      </c>
      <c r="E323" s="91">
        <f>VLOOKUP(B323,BD!$B$4:$D$290,3,FALSE)</f>
        <v>97992.833333333328</v>
      </c>
      <c r="F323" s="92"/>
      <c r="G323" s="92">
        <f>C323*E323</f>
        <v>102892.47500000001</v>
      </c>
      <c r="H323" s="92"/>
      <c r="I323" s="92"/>
    </row>
    <row r="324" spans="2:9">
      <c r="B324" s="88" t="s">
        <v>563</v>
      </c>
      <c r="C324" s="89">
        <f>1/(50*6)</f>
        <v>3.3333333333333335E-3</v>
      </c>
      <c r="D324" s="90" t="str">
        <f>VLOOKUP(B324,BD!$B$4:$D$290,2,FALSE)</f>
        <v>viaje</v>
      </c>
      <c r="E324" s="91">
        <f>VLOOKUP(B324,BD!$B$4:$D$290,3,FALSE)</f>
        <v>1500000</v>
      </c>
      <c r="F324" s="92"/>
      <c r="G324" s="92"/>
      <c r="H324" s="92"/>
      <c r="I324" s="92">
        <f>C324*E324</f>
        <v>5000</v>
      </c>
    </row>
    <row r="325" spans="2:9">
      <c r="B325" s="93" t="s">
        <v>7</v>
      </c>
      <c r="C325" s="93" t="s">
        <v>504</v>
      </c>
      <c r="D325" s="94"/>
      <c r="E325" s="95"/>
      <c r="F325" s="159">
        <f>SUM(F323:F324)</f>
        <v>0</v>
      </c>
      <c r="G325" s="159">
        <f t="shared" ref="G325:I325" si="28">SUM(G323:G324)</f>
        <v>102892.47500000001</v>
      </c>
      <c r="H325" s="159">
        <f t="shared" si="28"/>
        <v>0</v>
      </c>
      <c r="I325" s="159">
        <f t="shared" si="28"/>
        <v>5000</v>
      </c>
    </row>
    <row r="326" spans="2:9">
      <c r="B326" s="97">
        <f>ROUNDUP(SUM(F325:I325),0)</f>
        <v>107893</v>
      </c>
      <c r="C326" s="98" t="s">
        <v>299</v>
      </c>
      <c r="G326" s="94"/>
      <c r="H326" s="94"/>
      <c r="I326" s="94"/>
    </row>
    <row r="328" spans="2:9">
      <c r="B328" s="1686" t="s">
        <v>634</v>
      </c>
      <c r="C328" s="1686"/>
      <c r="D328" s="1686"/>
      <c r="E328" s="1686"/>
      <c r="F328" s="1686"/>
      <c r="G328" s="1686"/>
      <c r="H328" s="1686"/>
      <c r="I328" s="160" t="s">
        <v>635</v>
      </c>
    </row>
    <row r="329" spans="2:9">
      <c r="C329" s="158" t="s">
        <v>491</v>
      </c>
      <c r="D329" s="104" t="s">
        <v>492</v>
      </c>
      <c r="E329" s="104" t="s">
        <v>493</v>
      </c>
      <c r="F329" s="104" t="s">
        <v>494</v>
      </c>
      <c r="G329" s="104" t="s">
        <v>360</v>
      </c>
      <c r="H329" s="104" t="s">
        <v>495</v>
      </c>
      <c r="I329" s="104" t="s">
        <v>496</v>
      </c>
    </row>
    <row r="330" spans="2:9">
      <c r="B330" s="88" t="s">
        <v>636</v>
      </c>
      <c r="C330" s="89">
        <v>1.05</v>
      </c>
      <c r="D330" s="90" t="str">
        <f>VLOOKUP(B330,BD!$B$4:$D$290,2,FALSE)</f>
        <v>m</v>
      </c>
      <c r="E330" s="91">
        <f>VLOOKUP(B330,BD!$B$4:$D$290,3,FALSE)</f>
        <v>141005.66666666666</v>
      </c>
      <c r="F330" s="92"/>
      <c r="G330" s="92">
        <f>C330*E330</f>
        <v>148055.94999999998</v>
      </c>
      <c r="H330" s="92"/>
      <c r="I330" s="92"/>
    </row>
    <row r="331" spans="2:9">
      <c r="B331" s="88" t="s">
        <v>563</v>
      </c>
      <c r="C331" s="89">
        <f>1/(40*6)</f>
        <v>4.1666666666666666E-3</v>
      </c>
      <c r="D331" s="90" t="str">
        <f>VLOOKUP(B331,BD!$B$4:$D$290,2,FALSE)</f>
        <v>viaje</v>
      </c>
      <c r="E331" s="91">
        <f>VLOOKUP(B331,BD!$B$4:$D$290,3,FALSE)</f>
        <v>1500000</v>
      </c>
      <c r="F331" s="92"/>
      <c r="G331" s="92"/>
      <c r="H331" s="92"/>
      <c r="I331" s="92">
        <f>C331*E331</f>
        <v>6250</v>
      </c>
    </row>
    <row r="332" spans="2:9">
      <c r="B332" s="93" t="s">
        <v>7</v>
      </c>
      <c r="C332" s="93" t="s">
        <v>504</v>
      </c>
      <c r="D332" s="94"/>
      <c r="E332" s="95"/>
      <c r="F332" s="159">
        <f>SUM(F330:F331)</f>
        <v>0</v>
      </c>
      <c r="G332" s="159">
        <f t="shared" ref="G332" si="29">SUM(G330:G331)</f>
        <v>148055.94999999998</v>
      </c>
      <c r="H332" s="159">
        <f t="shared" ref="H332" si="30">SUM(H330:H331)</f>
        <v>0</v>
      </c>
      <c r="I332" s="159">
        <f t="shared" ref="I332" si="31">SUM(I330:I331)</f>
        <v>6250</v>
      </c>
    </row>
    <row r="333" spans="2:9">
      <c r="B333" s="97">
        <f>ROUNDUP(SUM(F332:I332),0)</f>
        <v>154306</v>
      </c>
      <c r="C333" s="98" t="s">
        <v>299</v>
      </c>
      <c r="H333" s="94"/>
      <c r="I333" s="94"/>
    </row>
    <row r="335" spans="2:9">
      <c r="B335" s="1686" t="s">
        <v>637</v>
      </c>
      <c r="C335" s="1686"/>
      <c r="D335" s="1686"/>
      <c r="E335" s="1686"/>
      <c r="F335" s="1686"/>
      <c r="G335" s="1686"/>
      <c r="H335" s="1686"/>
      <c r="I335" s="160" t="s">
        <v>638</v>
      </c>
    </row>
    <row r="336" spans="2:9">
      <c r="C336" s="158" t="s">
        <v>491</v>
      </c>
      <c r="D336" s="104" t="s">
        <v>492</v>
      </c>
      <c r="E336" s="104" t="s">
        <v>493</v>
      </c>
      <c r="F336" s="104" t="s">
        <v>494</v>
      </c>
      <c r="G336" s="104" t="s">
        <v>360</v>
      </c>
      <c r="H336" s="104" t="s">
        <v>495</v>
      </c>
      <c r="I336" s="104" t="s">
        <v>496</v>
      </c>
    </row>
    <row r="337" spans="2:9">
      <c r="B337" s="88" t="s">
        <v>639</v>
      </c>
      <c r="C337" s="89">
        <v>1.05</v>
      </c>
      <c r="D337" s="90" t="str">
        <f>VLOOKUP(B337,BD!$B$4:$D$290,2,FALSE)</f>
        <v>m</v>
      </c>
      <c r="E337" s="91">
        <f>VLOOKUP(B337,BD!$B$4:$D$290,3,FALSE)</f>
        <v>211315.83333333334</v>
      </c>
      <c r="F337" s="92"/>
      <c r="G337" s="92">
        <f>C337*E337</f>
        <v>221881.62500000003</v>
      </c>
      <c r="H337" s="92"/>
      <c r="I337" s="92"/>
    </row>
    <row r="338" spans="2:9">
      <c r="B338" s="88" t="s">
        <v>563</v>
      </c>
      <c r="C338" s="89">
        <f>1/(32*6)</f>
        <v>5.208333333333333E-3</v>
      </c>
      <c r="D338" s="90" t="str">
        <f>VLOOKUP(B338,BD!$B$4:$D$290,2,FALSE)</f>
        <v>viaje</v>
      </c>
      <c r="E338" s="91">
        <f>VLOOKUP(B338,BD!$B$4:$D$290,3,FALSE)</f>
        <v>1500000</v>
      </c>
      <c r="F338" s="92"/>
      <c r="G338" s="92"/>
      <c r="H338" s="92"/>
      <c r="I338" s="92">
        <f>C338*E338</f>
        <v>7812.5</v>
      </c>
    </row>
    <row r="339" spans="2:9">
      <c r="B339" s="93" t="s">
        <v>7</v>
      </c>
      <c r="C339" s="93" t="s">
        <v>504</v>
      </c>
      <c r="D339" s="94"/>
      <c r="E339" s="95"/>
      <c r="F339" s="159">
        <f>SUM(F337:F338)</f>
        <v>0</v>
      </c>
      <c r="G339" s="159">
        <f t="shared" ref="G339" si="32">SUM(G337:G338)</f>
        <v>221881.62500000003</v>
      </c>
      <c r="H339" s="159">
        <f t="shared" ref="H339" si="33">SUM(H337:H338)</f>
        <v>0</v>
      </c>
      <c r="I339" s="159">
        <f t="shared" ref="I339" si="34">SUM(I337:I338)</f>
        <v>7812.5</v>
      </c>
    </row>
    <row r="340" spans="2:9">
      <c r="B340" s="97">
        <f>ROUNDUP(SUM(F339:I339),0)</f>
        <v>229695</v>
      </c>
      <c r="C340" s="98" t="s">
        <v>299</v>
      </c>
      <c r="H340" s="94"/>
      <c r="I340" s="94"/>
    </row>
    <row r="342" spans="2:9">
      <c r="B342" s="1686" t="s">
        <v>640</v>
      </c>
      <c r="C342" s="1686"/>
      <c r="D342" s="1686"/>
      <c r="E342" s="1686"/>
      <c r="F342" s="1686"/>
      <c r="G342" s="1686"/>
      <c r="H342" s="1686"/>
      <c r="I342" s="160" t="s">
        <v>641</v>
      </c>
    </row>
    <row r="343" spans="2:9">
      <c r="C343" s="158" t="s">
        <v>491</v>
      </c>
      <c r="D343" s="104" t="s">
        <v>492</v>
      </c>
      <c r="E343" s="104" t="s">
        <v>493</v>
      </c>
      <c r="F343" s="104" t="s">
        <v>494</v>
      </c>
      <c r="G343" s="104" t="s">
        <v>360</v>
      </c>
      <c r="H343" s="104" t="s">
        <v>495</v>
      </c>
      <c r="I343" s="104" t="s">
        <v>496</v>
      </c>
    </row>
    <row r="344" spans="2:9">
      <c r="B344" s="88" t="s">
        <v>642</v>
      </c>
      <c r="C344" s="89">
        <v>1.05</v>
      </c>
      <c r="D344" s="90" t="str">
        <f>VLOOKUP(B344,BD!$B$4:$D$290,2,FALSE)</f>
        <v>m</v>
      </c>
      <c r="E344" s="91">
        <f>VLOOKUP(B344,BD!$B$4:$D$290,3,FALSE)</f>
        <v>258462</v>
      </c>
      <c r="F344" s="92"/>
      <c r="G344" s="92">
        <f>C344*E344</f>
        <v>271385.10000000003</v>
      </c>
      <c r="H344" s="92"/>
      <c r="I344" s="92"/>
    </row>
    <row r="345" spans="2:9">
      <c r="B345" s="88" t="s">
        <v>563</v>
      </c>
      <c r="C345" s="89">
        <f>1/(20*6)</f>
        <v>8.3333333333333332E-3</v>
      </c>
      <c r="D345" s="90" t="str">
        <f>VLOOKUP(B345,BD!$B$4:$D$290,2,FALSE)</f>
        <v>viaje</v>
      </c>
      <c r="E345" s="91">
        <f>VLOOKUP(B345,BD!$B$4:$D$290,3,FALSE)</f>
        <v>1500000</v>
      </c>
      <c r="F345" s="92"/>
      <c r="G345" s="92"/>
      <c r="H345" s="92"/>
      <c r="I345" s="92">
        <f>C345*E345</f>
        <v>12500</v>
      </c>
    </row>
    <row r="346" spans="2:9">
      <c r="B346" s="93" t="s">
        <v>7</v>
      </c>
      <c r="C346" s="93" t="s">
        <v>504</v>
      </c>
      <c r="D346" s="94"/>
      <c r="F346" s="159">
        <f>SUM(F344:F345)</f>
        <v>0</v>
      </c>
      <c r="G346" s="159">
        <f t="shared" ref="G346" si="35">SUM(G344:G345)</f>
        <v>271385.10000000003</v>
      </c>
      <c r="H346" s="159">
        <f t="shared" ref="H346" si="36">SUM(H344:H345)</f>
        <v>0</v>
      </c>
      <c r="I346" s="159">
        <f t="shared" ref="I346" si="37">SUM(I344:I345)</f>
        <v>12500</v>
      </c>
    </row>
    <row r="347" spans="2:9">
      <c r="B347" s="97">
        <f>ROUNDUP(SUM(F346:I346),0)</f>
        <v>283886</v>
      </c>
      <c r="C347" s="98" t="s">
        <v>299</v>
      </c>
      <c r="H347" s="94"/>
      <c r="I347" s="94"/>
    </row>
    <row r="349" spans="2:9">
      <c r="B349" s="1686" t="s">
        <v>643</v>
      </c>
      <c r="C349" s="1686"/>
      <c r="D349" s="1686"/>
      <c r="E349" s="1686"/>
      <c r="F349" s="1686"/>
      <c r="G349" s="1686"/>
      <c r="H349" s="1686"/>
      <c r="I349" s="160" t="s">
        <v>644</v>
      </c>
    </row>
    <row r="350" spans="2:9">
      <c r="C350" s="158" t="s">
        <v>491</v>
      </c>
      <c r="D350" s="104" t="s">
        <v>492</v>
      </c>
      <c r="E350" s="104" t="s">
        <v>493</v>
      </c>
      <c r="F350" s="104" t="s">
        <v>494</v>
      </c>
      <c r="G350" s="104" t="s">
        <v>360</v>
      </c>
      <c r="H350" s="104" t="s">
        <v>495</v>
      </c>
      <c r="I350" s="104" t="s">
        <v>496</v>
      </c>
    </row>
    <row r="351" spans="2:9">
      <c r="B351" s="88" t="s">
        <v>645</v>
      </c>
      <c r="C351" s="89">
        <v>1.05</v>
      </c>
      <c r="D351" s="90" t="str">
        <f>VLOOKUP(B351,BD!$B$4:$D$290,2,FALSE)</f>
        <v>m</v>
      </c>
      <c r="E351" s="91">
        <f>VLOOKUP(B351,BD!$B$4:$D$290,3,FALSE)</f>
        <v>355045.83333333331</v>
      </c>
      <c r="F351" s="92"/>
      <c r="G351" s="92">
        <f>C351*E351</f>
        <v>372798.125</v>
      </c>
      <c r="H351" s="92"/>
      <c r="I351" s="92"/>
    </row>
    <row r="352" spans="2:9">
      <c r="B352" s="88" t="s">
        <v>563</v>
      </c>
      <c r="C352" s="89">
        <f>1/(18*6)</f>
        <v>9.2592592592592587E-3</v>
      </c>
      <c r="D352" s="90" t="str">
        <f>VLOOKUP(B352,BD!$B$4:$D$290,2,FALSE)</f>
        <v>viaje</v>
      </c>
      <c r="E352" s="91">
        <f>VLOOKUP(B352,BD!$B$4:$D$290,3,FALSE)</f>
        <v>1500000</v>
      </c>
      <c r="F352" s="92"/>
      <c r="G352" s="92"/>
      <c r="H352" s="92"/>
      <c r="I352" s="92">
        <f>C352*E352</f>
        <v>13888.888888888889</v>
      </c>
    </row>
    <row r="353" spans="2:9">
      <c r="B353" s="93" t="s">
        <v>7</v>
      </c>
      <c r="C353" s="93" t="s">
        <v>504</v>
      </c>
      <c r="D353" s="94"/>
      <c r="E353" s="95"/>
      <c r="F353" s="159">
        <f>SUM(F351:F352)</f>
        <v>0</v>
      </c>
      <c r="G353" s="159">
        <f t="shared" ref="G353" si="38">SUM(G351:G352)</f>
        <v>372798.125</v>
      </c>
      <c r="H353" s="159">
        <f t="shared" ref="H353" si="39">SUM(H351:H352)</f>
        <v>0</v>
      </c>
      <c r="I353" s="159">
        <f t="shared" ref="I353" si="40">SUM(I351:I352)</f>
        <v>13888.888888888889</v>
      </c>
    </row>
    <row r="354" spans="2:9">
      <c r="B354" s="97">
        <f>ROUNDUP(SUM(F353:I353),0)</f>
        <v>386688</v>
      </c>
      <c r="C354" s="98" t="s">
        <v>299</v>
      </c>
      <c r="D354" s="146"/>
      <c r="E354" s="100"/>
      <c r="F354" s="94"/>
      <c r="G354" s="94"/>
      <c r="H354" s="94"/>
      <c r="I354" s="94"/>
    </row>
    <row r="356" spans="2:9">
      <c r="B356" s="1686" t="s">
        <v>646</v>
      </c>
      <c r="C356" s="1686"/>
      <c r="D356" s="1686"/>
      <c r="E356" s="1686"/>
      <c r="F356" s="1686"/>
      <c r="G356" s="1686"/>
      <c r="H356" s="1686"/>
      <c r="I356" s="160" t="s">
        <v>647</v>
      </c>
    </row>
    <row r="357" spans="2:9">
      <c r="C357" s="158" t="s">
        <v>491</v>
      </c>
      <c r="D357" s="104" t="s">
        <v>492</v>
      </c>
      <c r="E357" s="104" t="s">
        <v>493</v>
      </c>
      <c r="F357" s="104" t="s">
        <v>494</v>
      </c>
      <c r="G357" s="104" t="s">
        <v>360</v>
      </c>
      <c r="H357" s="104" t="s">
        <v>495</v>
      </c>
      <c r="I357" s="104" t="s">
        <v>496</v>
      </c>
    </row>
    <row r="358" spans="2:9">
      <c r="B358" s="88" t="s">
        <v>648</v>
      </c>
      <c r="C358" s="89">
        <v>1.05</v>
      </c>
      <c r="D358" s="90" t="str">
        <f>VLOOKUP(B358,BD!$B$4:$D$290,2,FALSE)</f>
        <v>m</v>
      </c>
      <c r="E358" s="91">
        <f>VLOOKUP(B358,BD!$B$4:$D$290,3,FALSE)</f>
        <v>435181.33333333331</v>
      </c>
      <c r="F358" s="92"/>
      <c r="G358" s="92">
        <f>C358*E358</f>
        <v>456940.4</v>
      </c>
      <c r="H358" s="92"/>
      <c r="I358" s="92"/>
    </row>
    <row r="359" spans="2:9">
      <c r="B359" s="88" t="s">
        <v>563</v>
      </c>
      <c r="C359" s="89">
        <f>1/(16*6)</f>
        <v>1.0416666666666666E-2</v>
      </c>
      <c r="D359" s="90" t="str">
        <f>VLOOKUP(B359,BD!$B$4:$D$290,2,FALSE)</f>
        <v>viaje</v>
      </c>
      <c r="E359" s="91">
        <f>VLOOKUP(B359,BD!$B$4:$D$290,3,FALSE)</f>
        <v>1500000</v>
      </c>
      <c r="F359" s="92"/>
      <c r="G359" s="92"/>
      <c r="H359" s="92"/>
      <c r="I359" s="92">
        <f>C359*E359</f>
        <v>15625</v>
      </c>
    </row>
    <row r="360" spans="2:9">
      <c r="B360" s="93" t="s">
        <v>7</v>
      </c>
      <c r="C360" s="93" t="s">
        <v>504</v>
      </c>
      <c r="D360" s="94"/>
      <c r="E360" s="95"/>
      <c r="F360" s="159">
        <f>SUM(F358:F359)</f>
        <v>0</v>
      </c>
      <c r="G360" s="159">
        <f t="shared" ref="G360" si="41">SUM(G358:G359)</f>
        <v>456940.4</v>
      </c>
      <c r="H360" s="159">
        <f t="shared" ref="H360" si="42">SUM(H358:H359)</f>
        <v>0</v>
      </c>
      <c r="I360" s="159">
        <f t="shared" ref="I360" si="43">SUM(I358:I359)</f>
        <v>15625</v>
      </c>
    </row>
    <row r="361" spans="2:9">
      <c r="B361" s="97">
        <f>ROUNDUP(SUM(F360:I360),0)</f>
        <v>472566</v>
      </c>
      <c r="C361" s="98" t="s">
        <v>299</v>
      </c>
      <c r="D361" s="146"/>
      <c r="E361" s="100"/>
      <c r="F361" s="94"/>
      <c r="G361" s="94"/>
      <c r="H361" s="94"/>
      <c r="I361" s="94"/>
    </row>
    <row r="363" spans="2:9">
      <c r="B363" s="1686" t="s">
        <v>649</v>
      </c>
      <c r="C363" s="1686"/>
      <c r="D363" s="1686"/>
      <c r="E363" s="1686"/>
      <c r="F363" s="1686"/>
      <c r="G363" s="1686"/>
      <c r="H363" s="1686"/>
      <c r="I363" s="160" t="s">
        <v>650</v>
      </c>
    </row>
    <row r="364" spans="2:9">
      <c r="C364" s="155" t="s">
        <v>491</v>
      </c>
      <c r="D364" s="155" t="s">
        <v>492</v>
      </c>
      <c r="E364" s="161" t="s">
        <v>493</v>
      </c>
      <c r="F364" s="155" t="s">
        <v>494</v>
      </c>
      <c r="G364" s="155" t="s">
        <v>360</v>
      </c>
      <c r="H364" s="155" t="s">
        <v>495</v>
      </c>
      <c r="I364" s="155" t="s">
        <v>496</v>
      </c>
    </row>
    <row r="365" spans="2:9">
      <c r="B365" s="88" t="s">
        <v>575</v>
      </c>
      <c r="C365" s="89">
        <v>1</v>
      </c>
      <c r="D365" s="90" t="str">
        <f>VLOOKUP(B365,BD!$B$4:$D$290,2,FALSE)</f>
        <v>m</v>
      </c>
      <c r="E365" s="91">
        <f>VLOOKUP(B365,BD!$B$4:$D$290,3,FALSE)</f>
        <v>46934.666666666664</v>
      </c>
      <c r="F365" s="92"/>
      <c r="G365" s="92">
        <f>C365*E365</f>
        <v>46934.666666666664</v>
      </c>
      <c r="H365" s="92"/>
      <c r="I365" s="92"/>
    </row>
    <row r="366" spans="2:9">
      <c r="B366" s="88" t="s">
        <v>563</v>
      </c>
      <c r="C366" s="89">
        <f>1/(70*6)</f>
        <v>2.3809523809523812E-3</v>
      </c>
      <c r="D366" s="90" t="str">
        <f>VLOOKUP(B366,BD!$B$4:$D$290,2,FALSE)</f>
        <v>viaje</v>
      </c>
      <c r="E366" s="91">
        <f>VLOOKUP(B366,BD!$B$4:$D$290,3,FALSE)</f>
        <v>1500000</v>
      </c>
      <c r="F366" s="92"/>
      <c r="G366" s="92"/>
      <c r="H366" s="92"/>
      <c r="I366" s="92">
        <f>C366*E366</f>
        <v>3571.4285714285716</v>
      </c>
    </row>
    <row r="367" spans="2:9">
      <c r="B367" s="93" t="s">
        <v>7</v>
      </c>
      <c r="C367" s="93" t="s">
        <v>504</v>
      </c>
      <c r="D367" s="94"/>
      <c r="E367" s="95"/>
      <c r="F367" s="159">
        <f>SUM(F365:F366)</f>
        <v>0</v>
      </c>
      <c r="G367" s="159">
        <f t="shared" ref="G367" si="44">SUM(G365:G366)</f>
        <v>46934.666666666664</v>
      </c>
      <c r="H367" s="159">
        <f t="shared" ref="H367" si="45">SUM(H365:H366)</f>
        <v>0</v>
      </c>
      <c r="I367" s="159">
        <f t="shared" ref="I367" si="46">SUM(I365:I366)</f>
        <v>3571.4285714285716</v>
      </c>
    </row>
    <row r="368" spans="2:9">
      <c r="B368" s="97">
        <f>ROUNDUP(SUM(F367:I367),0)</f>
        <v>50507</v>
      </c>
      <c r="C368" s="98" t="s">
        <v>299</v>
      </c>
      <c r="D368" s="99"/>
      <c r="E368" s="100"/>
      <c r="F368" s="162"/>
      <c r="G368" s="162"/>
      <c r="H368" s="162"/>
      <c r="I368" s="162"/>
    </row>
    <row r="370" spans="2:9">
      <c r="B370" s="1686" t="s">
        <v>651</v>
      </c>
      <c r="C370" s="1686"/>
      <c r="D370" s="1686"/>
      <c r="E370" s="1686"/>
      <c r="F370" s="1686"/>
      <c r="G370" s="1686"/>
      <c r="H370" s="1686"/>
      <c r="I370" s="160" t="s">
        <v>652</v>
      </c>
    </row>
    <row r="371" spans="2:9">
      <c r="C371" s="127" t="s">
        <v>491</v>
      </c>
      <c r="D371" s="104" t="s">
        <v>492</v>
      </c>
      <c r="E371" s="104" t="s">
        <v>493</v>
      </c>
      <c r="F371" s="104" t="s">
        <v>494</v>
      </c>
      <c r="G371" s="104" t="s">
        <v>360</v>
      </c>
      <c r="H371" s="104" t="s">
        <v>495</v>
      </c>
      <c r="I371" s="104" t="s">
        <v>496</v>
      </c>
    </row>
    <row r="372" spans="2:9">
      <c r="B372" s="88" t="s">
        <v>653</v>
      </c>
      <c r="C372" s="89">
        <v>1</v>
      </c>
      <c r="D372" s="90" t="str">
        <f>VLOOKUP(B372,BD!$B$4:$D$290,2,FALSE)</f>
        <v>und</v>
      </c>
      <c r="E372" s="91">
        <f>VLOOKUP(B372,BD!$B$4:$D$290,3,FALSE)</f>
        <v>336719</v>
      </c>
      <c r="F372" s="92"/>
      <c r="G372" s="92">
        <f>C372*E372</f>
        <v>336719</v>
      </c>
      <c r="H372" s="92"/>
      <c r="I372" s="92"/>
    </row>
    <row r="373" spans="2:9">
      <c r="B373" s="88" t="s">
        <v>563</v>
      </c>
      <c r="C373" s="89">
        <f>1/500</f>
        <v>2E-3</v>
      </c>
      <c r="D373" s="90" t="str">
        <f>VLOOKUP(B373,BD!$B$4:$D$290,2,FALSE)</f>
        <v>viaje</v>
      </c>
      <c r="E373" s="91">
        <f>VLOOKUP(B373,BD!$B$4:$D$290,3,FALSE)</f>
        <v>1500000</v>
      </c>
      <c r="F373" s="92"/>
      <c r="G373" s="92"/>
      <c r="H373" s="92"/>
      <c r="I373" s="92">
        <f>C373*E373</f>
        <v>3000</v>
      </c>
    </row>
    <row r="374" spans="2:9">
      <c r="B374" s="93" t="s">
        <v>7</v>
      </c>
      <c r="C374" s="93" t="s">
        <v>504</v>
      </c>
      <c r="D374" s="94"/>
      <c r="E374" s="95"/>
      <c r="F374" s="159">
        <f>SUM(F372:F373)</f>
        <v>0</v>
      </c>
      <c r="G374" s="159">
        <f t="shared" ref="G374" si="47">SUM(G372:G373)</f>
        <v>336719</v>
      </c>
      <c r="H374" s="159">
        <f t="shared" ref="H374" si="48">SUM(H372:H373)</f>
        <v>0</v>
      </c>
      <c r="I374" s="159">
        <f t="shared" ref="I374" si="49">SUM(I372:I373)</f>
        <v>3000</v>
      </c>
    </row>
    <row r="375" spans="2:9">
      <c r="B375" s="97">
        <f>ROUNDUP(SUM(F374:I374),0)</f>
        <v>339719</v>
      </c>
      <c r="C375" s="98" t="s">
        <v>564</v>
      </c>
      <c r="D375" s="99"/>
      <c r="E375" s="100"/>
      <c r="F375" s="106"/>
      <c r="G375" s="106"/>
      <c r="H375" s="106"/>
      <c r="I375" s="106"/>
    </row>
    <row r="377" spans="2:9">
      <c r="B377" s="1686" t="s">
        <v>654</v>
      </c>
      <c r="C377" s="1686"/>
      <c r="D377" s="1686"/>
      <c r="E377" s="1686"/>
      <c r="F377" s="1686"/>
      <c r="G377" s="1686"/>
      <c r="H377" s="1686"/>
      <c r="I377" s="160" t="s">
        <v>655</v>
      </c>
    </row>
    <row r="378" spans="2:9">
      <c r="C378" s="127" t="s">
        <v>491</v>
      </c>
      <c r="D378" s="104" t="s">
        <v>492</v>
      </c>
      <c r="E378" s="104" t="s">
        <v>493</v>
      </c>
      <c r="F378" s="104" t="s">
        <v>494</v>
      </c>
      <c r="G378" s="104" t="s">
        <v>360</v>
      </c>
      <c r="H378" s="104" t="s">
        <v>495</v>
      </c>
      <c r="I378" s="104" t="s">
        <v>496</v>
      </c>
    </row>
    <row r="379" spans="2:9">
      <c r="B379" s="88" t="s">
        <v>656</v>
      </c>
      <c r="C379" s="89">
        <v>1</v>
      </c>
      <c r="D379" s="90" t="str">
        <f>VLOOKUP(B379,BD!$B$4:$D$290,2,FALSE)</f>
        <v>und</v>
      </c>
      <c r="E379" s="91">
        <f>VLOOKUP(B379,BD!$B$4:$D$290,3,FALSE)</f>
        <v>342458</v>
      </c>
      <c r="F379" s="92"/>
      <c r="G379" s="92">
        <f>C379*E379</f>
        <v>342458</v>
      </c>
      <c r="H379" s="92"/>
      <c r="I379" s="92"/>
    </row>
    <row r="380" spans="2:9">
      <c r="B380" s="88" t="s">
        <v>563</v>
      </c>
      <c r="C380" s="89">
        <f>1/400</f>
        <v>2.5000000000000001E-3</v>
      </c>
      <c r="D380" s="90" t="str">
        <f>VLOOKUP(B380,BD!$B$4:$D$290,2,FALSE)</f>
        <v>viaje</v>
      </c>
      <c r="E380" s="91">
        <f>VLOOKUP(B380,BD!$B$4:$D$290,3,FALSE)</f>
        <v>1500000</v>
      </c>
      <c r="F380" s="92"/>
      <c r="G380" s="92"/>
      <c r="H380" s="92"/>
      <c r="I380" s="92">
        <f>C380*E380</f>
        <v>3750</v>
      </c>
    </row>
    <row r="381" spans="2:9">
      <c r="B381" s="88" t="s">
        <v>657</v>
      </c>
      <c r="C381" s="89">
        <v>1</v>
      </c>
      <c r="D381" s="90" t="str">
        <f>VLOOKUP(B381,BD!$B$4:$D$290,2,FALSE)</f>
        <v>und</v>
      </c>
      <c r="E381" s="91">
        <f>VLOOKUP(B381,BD!$B$4:$D$290,3,FALSE)</f>
        <v>30572</v>
      </c>
      <c r="F381" s="92"/>
      <c r="G381" s="92">
        <f t="shared" ref="G381:G382" si="50">C381*E381</f>
        <v>30572</v>
      </c>
      <c r="H381" s="92"/>
      <c r="I381" s="92"/>
    </row>
    <row r="382" spans="2:9">
      <c r="B382" s="88" t="s">
        <v>658</v>
      </c>
      <c r="C382" s="89">
        <v>1</v>
      </c>
      <c r="D382" s="90" t="str">
        <f>VLOOKUP(B382,BD!$B$4:$D$290,2,FALSE)</f>
        <v>und</v>
      </c>
      <c r="E382" s="91">
        <f>VLOOKUP(B382,BD!$B$4:$D$290,3,FALSE)</f>
        <v>67564</v>
      </c>
      <c r="F382" s="92"/>
      <c r="G382" s="92">
        <f t="shared" si="50"/>
        <v>67564</v>
      </c>
      <c r="H382" s="92"/>
      <c r="I382" s="92"/>
    </row>
    <row r="383" spans="2:9">
      <c r="B383" s="93" t="s">
        <v>7</v>
      </c>
      <c r="C383" s="93" t="s">
        <v>504</v>
      </c>
      <c r="D383" s="94"/>
      <c r="E383" s="95"/>
      <c r="F383" s="163">
        <f>SUM(F379:F382)</f>
        <v>0</v>
      </c>
      <c r="G383" s="163">
        <f t="shared" ref="G383:I383" si="51">SUM(G379:G382)</f>
        <v>440594</v>
      </c>
      <c r="H383" s="163">
        <f t="shared" si="51"/>
        <v>0</v>
      </c>
      <c r="I383" s="163">
        <f t="shared" si="51"/>
        <v>3750</v>
      </c>
    </row>
    <row r="384" spans="2:9">
      <c r="B384" s="97">
        <f>ROUNDUP(SUM(F383:I383),0)</f>
        <v>444344</v>
      </c>
      <c r="C384" s="98" t="s">
        <v>564</v>
      </c>
      <c r="D384" s="99"/>
      <c r="E384" s="100"/>
      <c r="F384" s="106"/>
      <c r="G384" s="106"/>
      <c r="H384" s="106"/>
      <c r="I384" s="106"/>
    </row>
    <row r="386" spans="2:9">
      <c r="B386" s="1686" t="s">
        <v>659</v>
      </c>
      <c r="C386" s="1686"/>
      <c r="D386" s="1686"/>
      <c r="E386" s="1686"/>
      <c r="F386" s="1686"/>
      <c r="G386" s="1686"/>
      <c r="H386" s="1686"/>
      <c r="I386" s="160" t="s">
        <v>660</v>
      </c>
    </row>
    <row r="387" spans="2:9">
      <c r="C387" s="127" t="s">
        <v>491</v>
      </c>
      <c r="D387" s="104" t="s">
        <v>492</v>
      </c>
      <c r="E387" s="104" t="s">
        <v>493</v>
      </c>
      <c r="F387" s="104" t="s">
        <v>494</v>
      </c>
      <c r="G387" s="104" t="s">
        <v>360</v>
      </c>
      <c r="H387" s="104" t="s">
        <v>495</v>
      </c>
      <c r="I387" s="104" t="s">
        <v>496</v>
      </c>
    </row>
    <row r="388" spans="2:9">
      <c r="B388" s="88" t="s">
        <v>661</v>
      </c>
      <c r="C388" s="89">
        <v>1</v>
      </c>
      <c r="D388" s="90" t="str">
        <f>VLOOKUP(B388,BD!$B$4:$D$290,2,FALSE)</f>
        <v>und</v>
      </c>
      <c r="E388" s="91">
        <f>VLOOKUP(B388,BD!$B$4:$D$290,3,FALSE)</f>
        <v>375495</v>
      </c>
      <c r="F388" s="92"/>
      <c r="G388" s="92">
        <f>C388*E388</f>
        <v>375495</v>
      </c>
      <c r="H388" s="92"/>
      <c r="I388" s="92"/>
    </row>
    <row r="389" spans="2:9">
      <c r="B389" s="88" t="s">
        <v>563</v>
      </c>
      <c r="C389" s="89">
        <f>1/375</f>
        <v>2.6666666666666666E-3</v>
      </c>
      <c r="D389" s="90" t="str">
        <f>VLOOKUP(B389,BD!$B$4:$D$290,2,FALSE)</f>
        <v>viaje</v>
      </c>
      <c r="E389" s="91">
        <f>VLOOKUP(B389,BD!$B$4:$D$290,3,FALSE)</f>
        <v>1500000</v>
      </c>
      <c r="F389" s="92"/>
      <c r="G389" s="92"/>
      <c r="H389" s="92"/>
      <c r="I389" s="92">
        <f>C389*E389</f>
        <v>4000</v>
      </c>
    </row>
    <row r="390" spans="2:9">
      <c r="B390" s="88" t="s">
        <v>657</v>
      </c>
      <c r="C390" s="89">
        <v>1</v>
      </c>
      <c r="D390" s="90" t="str">
        <f>VLOOKUP(B390,BD!$B$4:$D$290,2,FALSE)</f>
        <v>und</v>
      </c>
      <c r="E390" s="91">
        <f>VLOOKUP(B390,BD!$B$4:$D$290,3,FALSE)</f>
        <v>30572</v>
      </c>
      <c r="F390" s="92"/>
      <c r="G390" s="92">
        <f t="shared" ref="G390:G391" si="52">C390*E390</f>
        <v>30572</v>
      </c>
      <c r="H390" s="92"/>
      <c r="I390" s="92"/>
    </row>
    <row r="391" spans="2:9">
      <c r="B391" s="88" t="s">
        <v>658</v>
      </c>
      <c r="C391" s="89">
        <v>1</v>
      </c>
      <c r="D391" s="90" t="str">
        <f>VLOOKUP(B391,BD!$B$4:$D$290,2,FALSE)</f>
        <v>und</v>
      </c>
      <c r="E391" s="91">
        <f>VLOOKUP(B391,BD!$B$4:$D$290,3,FALSE)</f>
        <v>67564</v>
      </c>
      <c r="F391" s="92"/>
      <c r="G391" s="92">
        <f t="shared" si="52"/>
        <v>67564</v>
      </c>
      <c r="H391" s="92"/>
      <c r="I391" s="92"/>
    </row>
    <row r="392" spans="2:9">
      <c r="B392" s="93" t="s">
        <v>7</v>
      </c>
      <c r="C392" s="93" t="s">
        <v>504</v>
      </c>
      <c r="D392" s="94"/>
      <c r="E392" s="95"/>
      <c r="F392" s="163">
        <f>SUM(F388:F391)</f>
        <v>0</v>
      </c>
      <c r="G392" s="163">
        <f t="shared" ref="G392" si="53">SUM(G388:G391)</f>
        <v>473631</v>
      </c>
      <c r="H392" s="163">
        <f t="shared" ref="H392" si="54">SUM(H388:H391)</f>
        <v>0</v>
      </c>
      <c r="I392" s="163">
        <f t="shared" ref="I392" si="55">SUM(I388:I391)</f>
        <v>4000</v>
      </c>
    </row>
    <row r="393" spans="2:9">
      <c r="B393" s="97">
        <f>ROUNDUP(SUM(F392:I392),0)</f>
        <v>477631</v>
      </c>
      <c r="C393" s="98" t="s">
        <v>564</v>
      </c>
      <c r="D393" s="99"/>
      <c r="E393" s="100"/>
      <c r="F393" s="106"/>
      <c r="G393" s="106"/>
      <c r="H393" s="106"/>
      <c r="I393" s="106"/>
    </row>
    <row r="395" spans="2:9">
      <c r="B395" s="1686" t="s">
        <v>662</v>
      </c>
      <c r="C395" s="1686"/>
      <c r="D395" s="1686"/>
      <c r="E395" s="1686"/>
      <c r="F395" s="1686"/>
      <c r="G395" s="1686"/>
      <c r="H395" s="1686"/>
      <c r="I395" s="160" t="s">
        <v>663</v>
      </c>
    </row>
    <row r="396" spans="2:9">
      <c r="C396" s="127" t="s">
        <v>491</v>
      </c>
      <c r="D396" s="104" t="s">
        <v>492</v>
      </c>
      <c r="E396" s="104" t="s">
        <v>493</v>
      </c>
      <c r="F396" s="104" t="s">
        <v>494</v>
      </c>
      <c r="G396" s="104" t="s">
        <v>360</v>
      </c>
      <c r="H396" s="104" t="s">
        <v>495</v>
      </c>
      <c r="I396" s="104" t="s">
        <v>496</v>
      </c>
    </row>
    <row r="397" spans="2:9">
      <c r="B397" s="88" t="s">
        <v>664</v>
      </c>
      <c r="C397" s="89">
        <v>1</v>
      </c>
      <c r="D397" s="90" t="str">
        <f>VLOOKUP(B397,BD!$B$4:$D$290,2,FALSE)</f>
        <v>und</v>
      </c>
      <c r="E397" s="91">
        <f>VLOOKUP(B397,BD!$B$4:$D$290,3,FALSE)</f>
        <v>401637</v>
      </c>
      <c r="F397" s="92"/>
      <c r="G397" s="92">
        <f>C397*E397</f>
        <v>401637</v>
      </c>
      <c r="H397" s="92"/>
      <c r="I397" s="92"/>
    </row>
    <row r="398" spans="2:9">
      <c r="B398" s="88" t="s">
        <v>563</v>
      </c>
      <c r="C398" s="89">
        <f>1/350</f>
        <v>2.8571428571428571E-3</v>
      </c>
      <c r="D398" s="90" t="str">
        <f>VLOOKUP(B398,BD!$B$4:$D$290,2,FALSE)</f>
        <v>viaje</v>
      </c>
      <c r="E398" s="91">
        <f>VLOOKUP(B398,BD!$B$4:$D$290,3,FALSE)</f>
        <v>1500000</v>
      </c>
      <c r="F398" s="92"/>
      <c r="G398" s="92"/>
      <c r="H398" s="92"/>
      <c r="I398" s="92">
        <f>C398*E398</f>
        <v>4285.7142857142853</v>
      </c>
    </row>
    <row r="399" spans="2:9">
      <c r="B399" s="88" t="s">
        <v>657</v>
      </c>
      <c r="C399" s="89">
        <v>1</v>
      </c>
      <c r="D399" s="90" t="str">
        <f>VLOOKUP(B399,BD!$B$4:$D$290,2,FALSE)</f>
        <v>und</v>
      </c>
      <c r="E399" s="91">
        <f>VLOOKUP(B399,BD!$B$4:$D$290,3,FALSE)</f>
        <v>30572</v>
      </c>
      <c r="F399" s="92"/>
      <c r="G399" s="92">
        <f t="shared" ref="G399:G400" si="56">C399*E399</f>
        <v>30572</v>
      </c>
      <c r="H399" s="92"/>
      <c r="I399" s="92"/>
    </row>
    <row r="400" spans="2:9">
      <c r="B400" s="88" t="s">
        <v>658</v>
      </c>
      <c r="C400" s="89">
        <v>1</v>
      </c>
      <c r="D400" s="90" t="str">
        <f>VLOOKUP(B400,BD!$B$4:$D$290,2,FALSE)</f>
        <v>und</v>
      </c>
      <c r="E400" s="91">
        <f>VLOOKUP(B400,BD!$B$4:$D$290,3,FALSE)</f>
        <v>67564</v>
      </c>
      <c r="F400" s="92"/>
      <c r="G400" s="92">
        <f t="shared" si="56"/>
        <v>67564</v>
      </c>
      <c r="H400" s="92"/>
      <c r="I400" s="92"/>
    </row>
    <row r="401" spans="2:9">
      <c r="B401" s="93" t="s">
        <v>7</v>
      </c>
      <c r="C401" s="93" t="s">
        <v>504</v>
      </c>
      <c r="D401" s="94"/>
      <c r="E401" s="95"/>
      <c r="F401" s="163">
        <f>SUM(F397:F400)</f>
        <v>0</v>
      </c>
      <c r="G401" s="163">
        <f t="shared" ref="G401" si="57">SUM(G397:G400)</f>
        <v>499773</v>
      </c>
      <c r="H401" s="163">
        <f t="shared" ref="H401" si="58">SUM(H397:H400)</f>
        <v>0</v>
      </c>
      <c r="I401" s="163">
        <f t="shared" ref="I401" si="59">SUM(I397:I400)</f>
        <v>4285.7142857142853</v>
      </c>
    </row>
    <row r="402" spans="2:9">
      <c r="B402" s="97">
        <f>ROUNDUP(SUM(F401:I401),0)</f>
        <v>504059</v>
      </c>
      <c r="C402" s="98" t="s">
        <v>564</v>
      </c>
      <c r="D402" s="99"/>
      <c r="E402" s="100"/>
      <c r="F402" s="106"/>
      <c r="G402" s="106"/>
      <c r="H402" s="106"/>
      <c r="I402" s="106"/>
    </row>
    <row r="404" spans="2:9">
      <c r="B404" s="1686" t="s">
        <v>665</v>
      </c>
      <c r="C404" s="1686"/>
      <c r="D404" s="1686"/>
      <c r="E404" s="1686"/>
      <c r="F404" s="1686"/>
      <c r="G404" s="1686"/>
      <c r="H404" s="1686"/>
      <c r="I404" s="160" t="s">
        <v>666</v>
      </c>
    </row>
    <row r="405" spans="2:9">
      <c r="C405" s="127" t="s">
        <v>491</v>
      </c>
      <c r="D405" s="104" t="s">
        <v>492</v>
      </c>
      <c r="E405" s="104" t="s">
        <v>493</v>
      </c>
      <c r="F405" s="104" t="s">
        <v>494</v>
      </c>
      <c r="G405" s="104" t="s">
        <v>360</v>
      </c>
      <c r="H405" s="104" t="s">
        <v>495</v>
      </c>
      <c r="I405" s="104" t="s">
        <v>496</v>
      </c>
    </row>
    <row r="406" spans="2:9">
      <c r="B406" s="88" t="s">
        <v>667</v>
      </c>
      <c r="C406" s="89">
        <v>1</v>
      </c>
      <c r="D406" s="90" t="str">
        <f>VLOOKUP(B406,BD!$B$4:$D$290,2,FALSE)</f>
        <v>und</v>
      </c>
      <c r="E406" s="91">
        <f>VLOOKUP(B406,BD!$B$4:$D$290,3,FALSE)</f>
        <v>612702</v>
      </c>
      <c r="F406" s="92"/>
      <c r="G406" s="92">
        <f>C406*E406</f>
        <v>612702</v>
      </c>
      <c r="H406" s="92"/>
      <c r="I406" s="92"/>
    </row>
    <row r="407" spans="2:9">
      <c r="B407" s="88" t="s">
        <v>563</v>
      </c>
      <c r="C407" s="89">
        <f>1/325</f>
        <v>3.0769230769230769E-3</v>
      </c>
      <c r="D407" s="90" t="str">
        <f>VLOOKUP(B407,BD!$B$4:$D$290,2,FALSE)</f>
        <v>viaje</v>
      </c>
      <c r="E407" s="91">
        <f>VLOOKUP(B407,BD!$B$4:$D$290,3,FALSE)</f>
        <v>1500000</v>
      </c>
      <c r="F407" s="92"/>
      <c r="G407" s="92"/>
      <c r="H407" s="92"/>
      <c r="I407" s="92">
        <f>C407*E407</f>
        <v>4615.3846153846152</v>
      </c>
    </row>
    <row r="408" spans="2:9">
      <c r="B408" s="88" t="s">
        <v>657</v>
      </c>
      <c r="C408" s="89">
        <v>1</v>
      </c>
      <c r="D408" s="90" t="str">
        <f>VLOOKUP(B408,BD!$B$4:$D$290,2,FALSE)</f>
        <v>und</v>
      </c>
      <c r="E408" s="91">
        <f>VLOOKUP(B408,BD!$B$4:$D$290,3,FALSE)</f>
        <v>30572</v>
      </c>
      <c r="F408" s="92"/>
      <c r="G408" s="92">
        <f t="shared" ref="G408:G409" si="60">C408*E408</f>
        <v>30572</v>
      </c>
      <c r="H408" s="92"/>
      <c r="I408" s="92"/>
    </row>
    <row r="409" spans="2:9">
      <c r="B409" s="88" t="s">
        <v>658</v>
      </c>
      <c r="C409" s="89">
        <v>1</v>
      </c>
      <c r="D409" s="90" t="str">
        <f>VLOOKUP(B409,BD!$B$4:$D$290,2,FALSE)</f>
        <v>und</v>
      </c>
      <c r="E409" s="91">
        <f>VLOOKUP(B409,BD!$B$4:$D$290,3,FALSE)</f>
        <v>67564</v>
      </c>
      <c r="F409" s="92"/>
      <c r="G409" s="92">
        <f t="shared" si="60"/>
        <v>67564</v>
      </c>
      <c r="H409" s="92"/>
      <c r="I409" s="92"/>
    </row>
    <row r="410" spans="2:9">
      <c r="B410" s="93" t="s">
        <v>7</v>
      </c>
      <c r="C410" s="93" t="s">
        <v>504</v>
      </c>
      <c r="D410" s="94"/>
      <c r="E410" s="95"/>
      <c r="F410" s="163">
        <f>SUM(F406:F409)</f>
        <v>0</v>
      </c>
      <c r="G410" s="163">
        <f t="shared" ref="G410" si="61">SUM(G406:G409)</f>
        <v>710838</v>
      </c>
      <c r="H410" s="163">
        <f t="shared" ref="H410" si="62">SUM(H406:H409)</f>
        <v>0</v>
      </c>
      <c r="I410" s="163">
        <f t="shared" ref="I410" si="63">SUM(I406:I409)</f>
        <v>4615.3846153846152</v>
      </c>
    </row>
    <row r="411" spans="2:9">
      <c r="B411" s="97">
        <f>ROUNDUP(SUM(F410:I410),0)</f>
        <v>715454</v>
      </c>
      <c r="C411" s="98" t="s">
        <v>564</v>
      </c>
      <c r="D411" s="99"/>
      <c r="E411" s="100"/>
      <c r="F411" s="106"/>
      <c r="G411" s="106"/>
      <c r="H411" s="106"/>
      <c r="I411" s="106"/>
    </row>
    <row r="413" spans="2:9">
      <c r="B413" s="1686" t="s">
        <v>668</v>
      </c>
      <c r="C413" s="1686"/>
      <c r="D413" s="1686"/>
      <c r="E413" s="1686"/>
      <c r="F413" s="1686"/>
      <c r="G413" s="1686"/>
      <c r="H413" s="1686"/>
      <c r="I413" s="160" t="s">
        <v>669</v>
      </c>
    </row>
    <row r="414" spans="2:9">
      <c r="C414" s="117" t="s">
        <v>491</v>
      </c>
      <c r="D414" s="117" t="s">
        <v>492</v>
      </c>
      <c r="E414" s="118" t="s">
        <v>493</v>
      </c>
      <c r="F414" s="118" t="s">
        <v>494</v>
      </c>
      <c r="G414" s="118" t="s">
        <v>360</v>
      </c>
      <c r="H414" s="118" t="s">
        <v>495</v>
      </c>
      <c r="I414" s="118" t="s">
        <v>496</v>
      </c>
    </row>
    <row r="415" spans="2:9">
      <c r="B415" s="88" t="s">
        <v>670</v>
      </c>
      <c r="C415" s="89">
        <v>1</v>
      </c>
      <c r="D415" s="90" t="str">
        <f>VLOOKUP(B415,BD!$B$4:$D$290,2,FALSE)</f>
        <v>m</v>
      </c>
      <c r="E415" s="91">
        <f>VLOOKUP(B415,BD!$B$4:$D$290,3,FALSE)</f>
        <v>46757.166666666664</v>
      </c>
      <c r="F415" s="92"/>
      <c r="G415" s="92">
        <f>C415*E415</f>
        <v>46757.166666666664</v>
      </c>
      <c r="H415" s="92"/>
      <c r="I415" s="92"/>
    </row>
    <row r="416" spans="2:9">
      <c r="B416" s="88" t="s">
        <v>563</v>
      </c>
      <c r="C416" s="89">
        <f>1/(70*6)</f>
        <v>2.3809523809523812E-3</v>
      </c>
      <c r="D416" s="90" t="str">
        <f>VLOOKUP(B416,BD!$B$4:$D$290,2,FALSE)</f>
        <v>viaje</v>
      </c>
      <c r="E416" s="91">
        <f>VLOOKUP(B416,BD!$B$4:$D$290,3,FALSE)</f>
        <v>1500000</v>
      </c>
      <c r="F416" s="92"/>
      <c r="G416" s="92"/>
      <c r="H416" s="92"/>
      <c r="I416" s="92">
        <f>C416*E416</f>
        <v>3571.4285714285716</v>
      </c>
    </row>
    <row r="417" spans="2:9">
      <c r="B417" s="93" t="s">
        <v>7</v>
      </c>
      <c r="C417" s="93" t="s">
        <v>504</v>
      </c>
      <c r="D417" s="94"/>
      <c r="E417" s="95"/>
      <c r="F417" s="118">
        <f>SUM(F415:F416)</f>
        <v>0</v>
      </c>
      <c r="G417" s="118">
        <f t="shared" ref="G417:I417" si="64">SUM(G415:G416)</f>
        <v>46757.166666666664</v>
      </c>
      <c r="H417" s="118">
        <f t="shared" si="64"/>
        <v>0</v>
      </c>
      <c r="I417" s="118">
        <f t="shared" si="64"/>
        <v>3571.4285714285716</v>
      </c>
    </row>
    <row r="418" spans="2:9">
      <c r="B418" s="97">
        <f>ROUNDUP(SUM(F417:I417),0)</f>
        <v>50329</v>
      </c>
      <c r="C418" s="98" t="s">
        <v>299</v>
      </c>
      <c r="D418" s="99"/>
      <c r="E418" s="100"/>
      <c r="F418" s="120"/>
      <c r="G418" s="120"/>
      <c r="H418" s="120"/>
      <c r="I418" s="120"/>
    </row>
    <row r="420" spans="2:9">
      <c r="B420" s="1686" t="s">
        <v>671</v>
      </c>
      <c r="C420" s="1686"/>
      <c r="D420" s="1686"/>
      <c r="E420" s="1686"/>
      <c r="F420" s="1686"/>
      <c r="G420" s="1686"/>
      <c r="H420" s="1686"/>
      <c r="I420" s="160" t="s">
        <v>672</v>
      </c>
    </row>
    <row r="421" spans="2:9">
      <c r="C421" s="117" t="s">
        <v>491</v>
      </c>
      <c r="D421" s="117" t="s">
        <v>492</v>
      </c>
      <c r="E421" s="118" t="s">
        <v>493</v>
      </c>
      <c r="F421" s="118" t="s">
        <v>494</v>
      </c>
      <c r="G421" s="118" t="s">
        <v>360</v>
      </c>
      <c r="H421" s="118" t="s">
        <v>495</v>
      </c>
      <c r="I421" s="118" t="s">
        <v>496</v>
      </c>
    </row>
    <row r="422" spans="2:9">
      <c r="B422" s="88" t="s">
        <v>673</v>
      </c>
      <c r="C422" s="89">
        <v>1</v>
      </c>
      <c r="D422" s="90" t="str">
        <f>VLOOKUP(B422,BD!$B$4:$D$290,2,FALSE)</f>
        <v>m</v>
      </c>
      <c r="E422" s="91">
        <f>VLOOKUP(B422,BD!$B$4:$D$290,3,FALSE)</f>
        <v>59073.666666666664</v>
      </c>
      <c r="F422" s="92"/>
      <c r="G422" s="92">
        <f>C422*E422</f>
        <v>59073.666666666664</v>
      </c>
      <c r="H422" s="92"/>
      <c r="I422" s="92"/>
    </row>
    <row r="423" spans="2:9">
      <c r="B423" s="88" t="s">
        <v>563</v>
      </c>
      <c r="C423" s="89">
        <f>1/(70*6)</f>
        <v>2.3809523809523812E-3</v>
      </c>
      <c r="D423" s="90" t="str">
        <f>VLOOKUP(B423,BD!$B$4:$D$290,2,FALSE)</f>
        <v>viaje</v>
      </c>
      <c r="E423" s="91">
        <f>VLOOKUP(B423,BD!$B$4:$D$290,3,FALSE)</f>
        <v>1500000</v>
      </c>
      <c r="F423" s="92"/>
      <c r="G423" s="92"/>
      <c r="H423" s="92"/>
      <c r="I423" s="92">
        <f>C423*E423</f>
        <v>3571.4285714285716</v>
      </c>
    </row>
    <row r="424" spans="2:9">
      <c r="B424" s="93" t="s">
        <v>7</v>
      </c>
      <c r="C424" s="93" t="s">
        <v>504</v>
      </c>
      <c r="D424" s="94"/>
      <c r="E424" s="95"/>
      <c r="F424" s="118">
        <f>SUM(F422:F423)</f>
        <v>0</v>
      </c>
      <c r="G424" s="118">
        <f t="shared" ref="G424" si="65">SUM(G422:G423)</f>
        <v>59073.666666666664</v>
      </c>
      <c r="H424" s="118">
        <f t="shared" ref="H424" si="66">SUM(H422:H423)</f>
        <v>0</v>
      </c>
      <c r="I424" s="118">
        <f t="shared" ref="I424" si="67">SUM(I422:I423)</f>
        <v>3571.4285714285716</v>
      </c>
    </row>
    <row r="425" spans="2:9">
      <c r="B425" s="97">
        <f>ROUNDUP(SUM(F424:I424),0)</f>
        <v>62646</v>
      </c>
      <c r="C425" s="98" t="s">
        <v>299</v>
      </c>
      <c r="D425" s="99"/>
      <c r="E425" s="100"/>
      <c r="F425" s="120"/>
      <c r="G425" s="120"/>
      <c r="H425" s="120"/>
      <c r="I425" s="120"/>
    </row>
    <row r="427" spans="2:9">
      <c r="B427" s="1686" t="s">
        <v>674</v>
      </c>
      <c r="C427" s="1686"/>
      <c r="D427" s="1686"/>
      <c r="E427" s="1686"/>
      <c r="F427" s="1686"/>
      <c r="G427" s="1686"/>
      <c r="H427" s="1686"/>
      <c r="I427" s="160" t="s">
        <v>675</v>
      </c>
    </row>
    <row r="428" spans="2:9">
      <c r="C428" s="117" t="s">
        <v>491</v>
      </c>
      <c r="D428" s="117" t="s">
        <v>492</v>
      </c>
      <c r="E428" s="118" t="s">
        <v>493</v>
      </c>
      <c r="F428" s="118" t="s">
        <v>494</v>
      </c>
      <c r="G428" s="118" t="s">
        <v>360</v>
      </c>
      <c r="H428" s="118" t="s">
        <v>495</v>
      </c>
      <c r="I428" s="118" t="s">
        <v>496</v>
      </c>
    </row>
    <row r="429" spans="2:9">
      <c r="B429" s="88" t="s">
        <v>676</v>
      </c>
      <c r="C429" s="89">
        <v>1</v>
      </c>
      <c r="D429" s="90" t="str">
        <f>VLOOKUP(B429,BD!$B$4:$D$290,2,FALSE)</f>
        <v>m</v>
      </c>
      <c r="E429" s="91">
        <f>VLOOKUP(B429,BD!$B$4:$D$290,3,FALSE)</f>
        <v>121366.5</v>
      </c>
      <c r="F429" s="92"/>
      <c r="G429" s="92">
        <f>C429*E429</f>
        <v>121366.5</v>
      </c>
      <c r="H429" s="92"/>
      <c r="I429" s="92"/>
    </row>
    <row r="430" spans="2:9">
      <c r="B430" s="88" t="s">
        <v>563</v>
      </c>
      <c r="C430" s="89">
        <f>1/(70*6)</f>
        <v>2.3809523809523812E-3</v>
      </c>
      <c r="D430" s="90" t="str">
        <f>VLOOKUP(B430,BD!$B$4:$D$290,2,FALSE)</f>
        <v>viaje</v>
      </c>
      <c r="E430" s="91">
        <f>VLOOKUP(B430,BD!$B$4:$D$290,3,FALSE)</f>
        <v>1500000</v>
      </c>
      <c r="F430" s="92"/>
      <c r="G430" s="92"/>
      <c r="H430" s="92"/>
      <c r="I430" s="92">
        <f>C430*E430</f>
        <v>3571.4285714285716</v>
      </c>
    </row>
    <row r="431" spans="2:9">
      <c r="B431" s="93" t="s">
        <v>7</v>
      </c>
      <c r="C431" s="93" t="s">
        <v>504</v>
      </c>
      <c r="D431" s="94"/>
      <c r="E431" s="95"/>
      <c r="F431" s="118">
        <f>SUM(F429:F430)</f>
        <v>0</v>
      </c>
      <c r="G431" s="118">
        <f t="shared" ref="G431" si="68">SUM(G429:G430)</f>
        <v>121366.5</v>
      </c>
      <c r="H431" s="118">
        <f t="shared" ref="H431" si="69">SUM(H429:H430)</f>
        <v>0</v>
      </c>
      <c r="I431" s="118">
        <f t="shared" ref="I431" si="70">SUM(I429:I430)</f>
        <v>3571.4285714285716</v>
      </c>
    </row>
    <row r="432" spans="2:9">
      <c r="B432" s="97">
        <f>ROUNDUP(SUM(F431:I431),0)</f>
        <v>124938</v>
      </c>
      <c r="C432" s="98" t="s">
        <v>299</v>
      </c>
      <c r="D432" s="99"/>
      <c r="E432" s="100"/>
      <c r="F432" s="120"/>
      <c r="G432" s="120"/>
      <c r="H432" s="120"/>
      <c r="I432" s="120"/>
    </row>
    <row r="434" spans="2:9">
      <c r="B434" s="1686" t="s">
        <v>677</v>
      </c>
      <c r="C434" s="1686"/>
      <c r="D434" s="1686"/>
      <c r="E434" s="1686"/>
      <c r="F434" s="1686"/>
      <c r="G434" s="1686"/>
      <c r="H434" s="1686"/>
      <c r="I434" s="160" t="s">
        <v>678</v>
      </c>
    </row>
    <row r="435" spans="2:9">
      <c r="C435" s="117" t="s">
        <v>491</v>
      </c>
      <c r="D435" s="117" t="s">
        <v>492</v>
      </c>
      <c r="E435" s="118" t="s">
        <v>493</v>
      </c>
      <c r="F435" s="118" t="s">
        <v>494</v>
      </c>
      <c r="G435" s="118" t="s">
        <v>360</v>
      </c>
      <c r="H435" s="118" t="s">
        <v>495</v>
      </c>
      <c r="I435" s="118" t="s">
        <v>496</v>
      </c>
    </row>
    <row r="436" spans="2:9">
      <c r="B436" s="88" t="s">
        <v>679</v>
      </c>
      <c r="C436" s="89">
        <v>1</v>
      </c>
      <c r="D436" s="90" t="str">
        <f>VLOOKUP(B436,BD!$B$4:$D$290,2,FALSE)</f>
        <v>m</v>
      </c>
      <c r="E436" s="91">
        <f>VLOOKUP(B436,BD!$B$4:$D$290,3,FALSE)</f>
        <v>205580.33333333334</v>
      </c>
      <c r="F436" s="92"/>
      <c r="G436" s="92">
        <f>C436*E436</f>
        <v>205580.33333333334</v>
      </c>
      <c r="H436" s="92"/>
      <c r="I436" s="92"/>
    </row>
    <row r="437" spans="2:9">
      <c r="B437" s="88" t="s">
        <v>563</v>
      </c>
      <c r="C437" s="89">
        <f>1/(60*6)</f>
        <v>2.7777777777777779E-3</v>
      </c>
      <c r="D437" s="90" t="str">
        <f>VLOOKUP(B437,BD!$B$4:$D$290,2,FALSE)</f>
        <v>viaje</v>
      </c>
      <c r="E437" s="91">
        <f>VLOOKUP(B437,BD!$B$4:$D$290,3,FALSE)</f>
        <v>1500000</v>
      </c>
      <c r="F437" s="92"/>
      <c r="G437" s="92"/>
      <c r="H437" s="92"/>
      <c r="I437" s="92">
        <f>C437*E437</f>
        <v>4166.666666666667</v>
      </c>
    </row>
    <row r="438" spans="2:9">
      <c r="B438" s="93" t="s">
        <v>7</v>
      </c>
      <c r="C438" s="93" t="s">
        <v>504</v>
      </c>
      <c r="D438" s="94"/>
      <c r="E438" s="95"/>
      <c r="F438" s="118">
        <f>SUM(F436:F437)</f>
        <v>0</v>
      </c>
      <c r="G438" s="118">
        <f t="shared" ref="G438:I438" si="71">SUM(G436:G437)</f>
        <v>205580.33333333334</v>
      </c>
      <c r="H438" s="118">
        <f t="shared" si="71"/>
        <v>0</v>
      </c>
      <c r="I438" s="118">
        <f t="shared" si="71"/>
        <v>4166.666666666667</v>
      </c>
    </row>
    <row r="439" spans="2:9">
      <c r="B439" s="97">
        <f>ROUNDUP(SUM(F438:I438),0)</f>
        <v>209747</v>
      </c>
      <c r="C439" s="98" t="s">
        <v>299</v>
      </c>
      <c r="D439" s="99"/>
      <c r="E439" s="100"/>
      <c r="F439" s="120"/>
      <c r="G439" s="120"/>
      <c r="H439" s="120"/>
      <c r="I439" s="120"/>
    </row>
    <row r="441" spans="2:9">
      <c r="B441" s="1686" t="s">
        <v>680</v>
      </c>
      <c r="C441" s="1686"/>
      <c r="D441" s="1686"/>
      <c r="E441" s="1686"/>
      <c r="F441" s="1686"/>
      <c r="G441" s="1686"/>
      <c r="H441" s="1686"/>
      <c r="I441" s="160" t="s">
        <v>681</v>
      </c>
    </row>
    <row r="442" spans="2:9">
      <c r="C442" s="117" t="s">
        <v>491</v>
      </c>
      <c r="D442" s="117" t="s">
        <v>492</v>
      </c>
      <c r="E442" s="122" t="s">
        <v>493</v>
      </c>
      <c r="F442" s="122" t="s">
        <v>494</v>
      </c>
      <c r="G442" s="122" t="s">
        <v>360</v>
      </c>
      <c r="H442" s="122" t="s">
        <v>495</v>
      </c>
      <c r="I442" s="122" t="s">
        <v>496</v>
      </c>
    </row>
    <row r="443" spans="2:9">
      <c r="B443" s="88" t="s">
        <v>682</v>
      </c>
      <c r="C443" s="89">
        <v>1</v>
      </c>
      <c r="D443" s="90" t="str">
        <f>VLOOKUP(B443,BD!$B$4:$D$290,2,FALSE)</f>
        <v>und</v>
      </c>
      <c r="E443" s="91">
        <f>VLOOKUP(B443,BD!$B$4:$D$290,3,FALSE)</f>
        <v>1469650</v>
      </c>
      <c r="F443" s="92"/>
      <c r="G443" s="92">
        <f>C443*E443</f>
        <v>1469650</v>
      </c>
      <c r="H443" s="92"/>
      <c r="I443" s="92"/>
    </row>
    <row r="444" spans="2:9">
      <c r="B444" s="88" t="s">
        <v>563</v>
      </c>
      <c r="C444" s="89">
        <f>1/30</f>
        <v>3.3333333333333333E-2</v>
      </c>
      <c r="D444" s="90" t="str">
        <f>VLOOKUP(B444,BD!$B$4:$D$290,2,FALSE)</f>
        <v>viaje</v>
      </c>
      <c r="E444" s="91">
        <f>VLOOKUP(B444,BD!$B$4:$D$290,3,FALSE)</f>
        <v>1500000</v>
      </c>
      <c r="F444" s="92"/>
      <c r="G444" s="92"/>
      <c r="H444" s="92"/>
      <c r="I444" s="92">
        <f>C444*E444</f>
        <v>50000</v>
      </c>
    </row>
    <row r="445" spans="2:9">
      <c r="B445" s="93" t="s">
        <v>7</v>
      </c>
      <c r="C445" s="93" t="s">
        <v>504</v>
      </c>
      <c r="D445" s="94"/>
      <c r="E445" s="95"/>
      <c r="F445" s="118">
        <f>SUM(F443:F444)</f>
        <v>0</v>
      </c>
      <c r="G445" s="118">
        <f t="shared" ref="G445" si="72">SUM(G443:G444)</f>
        <v>1469650</v>
      </c>
      <c r="H445" s="118">
        <f t="shared" ref="H445" si="73">SUM(H443:H444)</f>
        <v>0</v>
      </c>
      <c r="I445" s="118">
        <f t="shared" ref="I445" si="74">SUM(I443:I444)</f>
        <v>50000</v>
      </c>
    </row>
    <row r="446" spans="2:9">
      <c r="B446" s="97">
        <f>ROUNDUP(SUM(F445:I445),0)</f>
        <v>1519650</v>
      </c>
      <c r="C446" s="98" t="s">
        <v>564</v>
      </c>
      <c r="D446" s="99"/>
      <c r="E446" s="100"/>
      <c r="F446" s="120"/>
      <c r="G446" s="120"/>
      <c r="H446" s="120"/>
      <c r="I446" s="120"/>
    </row>
    <row r="448" spans="2:9">
      <c r="B448" s="1686" t="s">
        <v>683</v>
      </c>
      <c r="C448" s="1686"/>
      <c r="D448" s="1686"/>
      <c r="E448" s="1686"/>
      <c r="F448" s="1686"/>
      <c r="G448" s="1686"/>
      <c r="H448" s="1686"/>
      <c r="I448" s="160" t="s">
        <v>684</v>
      </c>
    </row>
    <row r="449" spans="2:9">
      <c r="C449" s="117" t="s">
        <v>491</v>
      </c>
      <c r="D449" s="117" t="s">
        <v>492</v>
      </c>
      <c r="E449" s="122" t="s">
        <v>493</v>
      </c>
      <c r="F449" s="122" t="s">
        <v>494</v>
      </c>
      <c r="G449" s="122" t="s">
        <v>360</v>
      </c>
      <c r="H449" s="122" t="s">
        <v>495</v>
      </c>
      <c r="I449" s="122" t="s">
        <v>496</v>
      </c>
    </row>
    <row r="450" spans="2:9">
      <c r="B450" s="88" t="s">
        <v>685</v>
      </c>
      <c r="C450" s="89">
        <v>1</v>
      </c>
      <c r="D450" s="90" t="str">
        <f>VLOOKUP(B450,BD!$B$4:$D$290,2,FALSE)</f>
        <v>und</v>
      </c>
      <c r="E450" s="91">
        <f>VLOOKUP(B450,BD!$B$4:$D$290,3,FALSE)</f>
        <v>1408960</v>
      </c>
      <c r="F450" s="92"/>
      <c r="G450" s="92">
        <f>C450*E450</f>
        <v>1408960</v>
      </c>
      <c r="H450" s="92"/>
      <c r="I450" s="92"/>
    </row>
    <row r="451" spans="2:9">
      <c r="B451" s="88" t="s">
        <v>563</v>
      </c>
      <c r="C451" s="89">
        <f>1/30</f>
        <v>3.3333333333333333E-2</v>
      </c>
      <c r="D451" s="90" t="str">
        <f>VLOOKUP(B451,BD!$B$4:$D$290,2,FALSE)</f>
        <v>viaje</v>
      </c>
      <c r="E451" s="91">
        <f>VLOOKUP(B451,BD!$B$4:$D$290,3,FALSE)</f>
        <v>1500000</v>
      </c>
      <c r="F451" s="92"/>
      <c r="G451" s="92"/>
      <c r="H451" s="92"/>
      <c r="I451" s="92">
        <f>C451*E451</f>
        <v>50000</v>
      </c>
    </row>
    <row r="452" spans="2:9">
      <c r="B452" s="93" t="s">
        <v>7</v>
      </c>
      <c r="C452" s="93" t="s">
        <v>504</v>
      </c>
      <c r="D452" s="94"/>
      <c r="E452" s="95"/>
      <c r="F452" s="118">
        <f>SUM(F450:F451)</f>
        <v>0</v>
      </c>
      <c r="G452" s="118">
        <f t="shared" ref="G452:I452" si="75">SUM(G450:G451)</f>
        <v>1408960</v>
      </c>
      <c r="H452" s="118">
        <f t="shared" si="75"/>
        <v>0</v>
      </c>
      <c r="I452" s="118">
        <f t="shared" si="75"/>
        <v>50000</v>
      </c>
    </row>
    <row r="453" spans="2:9">
      <c r="B453" s="97">
        <f>ROUNDUP(SUM(F452:I452),0)</f>
        <v>1458960</v>
      </c>
      <c r="C453" s="98" t="s">
        <v>564</v>
      </c>
      <c r="D453" s="99"/>
      <c r="E453" s="100"/>
      <c r="F453" s="120"/>
      <c r="G453" s="120"/>
      <c r="H453" s="120"/>
      <c r="I453" s="120"/>
    </row>
    <row r="455" spans="2:9">
      <c r="B455" s="1686" t="s">
        <v>686</v>
      </c>
      <c r="C455" s="1686"/>
      <c r="D455" s="1686"/>
      <c r="E455" s="1686"/>
      <c r="F455" s="1686"/>
      <c r="G455" s="1686"/>
      <c r="H455" s="1686"/>
      <c r="I455" s="160" t="s">
        <v>687</v>
      </c>
    </row>
    <row r="456" spans="2:9">
      <c r="C456" s="117" t="s">
        <v>491</v>
      </c>
      <c r="D456" s="117" t="s">
        <v>492</v>
      </c>
      <c r="E456" s="122" t="s">
        <v>493</v>
      </c>
      <c r="F456" s="122" t="s">
        <v>494</v>
      </c>
      <c r="G456" s="122" t="s">
        <v>360</v>
      </c>
      <c r="H456" s="122" t="s">
        <v>495</v>
      </c>
      <c r="I456" s="122" t="s">
        <v>496</v>
      </c>
    </row>
    <row r="457" spans="2:9">
      <c r="B457" s="88" t="s">
        <v>688</v>
      </c>
      <c r="C457" s="89">
        <v>1</v>
      </c>
      <c r="D457" s="90" t="str">
        <f>VLOOKUP(B457,BD!$B$4:$D$290,2,FALSE)</f>
        <v>und</v>
      </c>
      <c r="E457" s="91">
        <f>VLOOKUP(B457,BD!$B$4:$D$290,3,FALSE)</f>
        <v>1347080</v>
      </c>
      <c r="F457" s="92"/>
      <c r="G457" s="92">
        <f>C457*E457</f>
        <v>1347080</v>
      </c>
      <c r="H457" s="92"/>
      <c r="I457" s="92"/>
    </row>
    <row r="458" spans="2:9">
      <c r="B458" s="88" t="s">
        <v>563</v>
      </c>
      <c r="C458" s="89">
        <f>1/30</f>
        <v>3.3333333333333333E-2</v>
      </c>
      <c r="D458" s="90" t="str">
        <f>VLOOKUP(B458,BD!$B$4:$D$290,2,FALSE)</f>
        <v>viaje</v>
      </c>
      <c r="E458" s="91">
        <f>VLOOKUP(B458,BD!$B$4:$D$290,3,FALSE)</f>
        <v>1500000</v>
      </c>
      <c r="F458" s="92"/>
      <c r="G458" s="92"/>
      <c r="H458" s="92"/>
      <c r="I458" s="92">
        <f>C458*E458</f>
        <v>50000</v>
      </c>
    </row>
    <row r="459" spans="2:9">
      <c r="B459" s="93" t="s">
        <v>7</v>
      </c>
      <c r="C459" s="93" t="s">
        <v>504</v>
      </c>
      <c r="D459" s="94"/>
      <c r="E459" s="95"/>
      <c r="F459" s="118">
        <f>SUM(F457:F458)</f>
        <v>0</v>
      </c>
      <c r="G459" s="118">
        <f t="shared" ref="G459:I459" si="76">SUM(G457:G458)</f>
        <v>1347080</v>
      </c>
      <c r="H459" s="118">
        <f t="shared" si="76"/>
        <v>0</v>
      </c>
      <c r="I459" s="118">
        <f t="shared" si="76"/>
        <v>50000</v>
      </c>
    </row>
    <row r="460" spans="2:9">
      <c r="B460" s="97">
        <f>ROUNDUP(SUM(F459:I459),0)</f>
        <v>1397080</v>
      </c>
      <c r="C460" s="98" t="s">
        <v>564</v>
      </c>
      <c r="D460" s="99"/>
      <c r="E460" s="100"/>
      <c r="F460" s="120"/>
      <c r="G460" s="120"/>
      <c r="H460" s="120"/>
      <c r="I460" s="120"/>
    </row>
    <row r="462" spans="2:9">
      <c r="B462" s="1686" t="s">
        <v>689</v>
      </c>
      <c r="C462" s="1686"/>
      <c r="D462" s="1686"/>
      <c r="E462" s="1686"/>
      <c r="F462" s="1686"/>
      <c r="G462" s="1686"/>
      <c r="H462" s="1686"/>
      <c r="I462" s="160" t="s">
        <v>690</v>
      </c>
    </row>
    <row r="463" spans="2:9">
      <c r="C463" s="117" t="s">
        <v>491</v>
      </c>
      <c r="D463" s="117" t="s">
        <v>492</v>
      </c>
      <c r="E463" s="122" t="s">
        <v>493</v>
      </c>
      <c r="F463" s="122" t="s">
        <v>494</v>
      </c>
      <c r="G463" s="122" t="s">
        <v>360</v>
      </c>
      <c r="H463" s="122" t="s">
        <v>495</v>
      </c>
      <c r="I463" s="122" t="s">
        <v>496</v>
      </c>
    </row>
    <row r="464" spans="2:9">
      <c r="B464" s="88" t="s">
        <v>691</v>
      </c>
      <c r="C464" s="89">
        <v>1</v>
      </c>
      <c r="D464" s="90" t="str">
        <f>VLOOKUP(B464,BD!$B$4:$D$290,2,FALSE)</f>
        <v>und</v>
      </c>
      <c r="E464" s="91">
        <f>VLOOKUP(B464,BD!$B$4:$D$290,3,FALSE)</f>
        <v>1188810</v>
      </c>
      <c r="F464" s="92"/>
      <c r="G464" s="92">
        <f>C464*E464</f>
        <v>1188810</v>
      </c>
      <c r="H464" s="92"/>
      <c r="I464" s="92"/>
    </row>
    <row r="465" spans="2:9">
      <c r="B465" s="88" t="s">
        <v>563</v>
      </c>
      <c r="C465" s="89">
        <f>1/30</f>
        <v>3.3333333333333333E-2</v>
      </c>
      <c r="D465" s="90" t="str">
        <f>VLOOKUP(B465,BD!$B$4:$D$290,2,FALSE)</f>
        <v>viaje</v>
      </c>
      <c r="E465" s="91">
        <f>VLOOKUP(B465,BD!$B$4:$D$290,3,FALSE)</f>
        <v>1500000</v>
      </c>
      <c r="F465" s="92"/>
      <c r="G465" s="92"/>
      <c r="H465" s="92"/>
      <c r="I465" s="92">
        <f>C465*E465</f>
        <v>50000</v>
      </c>
    </row>
    <row r="466" spans="2:9">
      <c r="B466" s="93" t="s">
        <v>7</v>
      </c>
      <c r="C466" s="93" t="s">
        <v>504</v>
      </c>
      <c r="D466" s="94"/>
      <c r="E466" s="95"/>
      <c r="F466" s="118">
        <f>SUM(F464:F465)</f>
        <v>0</v>
      </c>
      <c r="G466" s="118">
        <f t="shared" ref="G466:I466" si="77">SUM(G464:G465)</f>
        <v>1188810</v>
      </c>
      <c r="H466" s="118">
        <f t="shared" si="77"/>
        <v>0</v>
      </c>
      <c r="I466" s="118">
        <f t="shared" si="77"/>
        <v>50000</v>
      </c>
    </row>
    <row r="467" spans="2:9">
      <c r="B467" s="97">
        <f>ROUNDUP(SUM(F466:I466),0)</f>
        <v>1238810</v>
      </c>
      <c r="C467" s="98" t="s">
        <v>564</v>
      </c>
      <c r="D467" s="99"/>
      <c r="E467" s="100"/>
      <c r="F467" s="120"/>
      <c r="G467" s="120"/>
      <c r="H467" s="120"/>
      <c r="I467" s="120"/>
    </row>
    <row r="469" spans="2:9">
      <c r="B469" s="1686" t="s">
        <v>692</v>
      </c>
      <c r="C469" s="1686"/>
      <c r="D469" s="1686"/>
      <c r="E469" s="1686"/>
      <c r="F469" s="1686"/>
      <c r="G469" s="1686"/>
      <c r="H469" s="1686"/>
      <c r="I469" s="160" t="s">
        <v>693</v>
      </c>
    </row>
    <row r="470" spans="2:9">
      <c r="C470" s="117" t="s">
        <v>491</v>
      </c>
      <c r="D470" s="117" t="s">
        <v>492</v>
      </c>
      <c r="E470" s="122" t="s">
        <v>493</v>
      </c>
      <c r="F470" s="122" t="s">
        <v>494</v>
      </c>
      <c r="G470" s="122" t="s">
        <v>360</v>
      </c>
      <c r="H470" s="122" t="s">
        <v>495</v>
      </c>
      <c r="I470" s="122" t="s">
        <v>496</v>
      </c>
    </row>
    <row r="471" spans="2:9">
      <c r="B471" s="88" t="s">
        <v>694</v>
      </c>
      <c r="C471" s="89">
        <v>1</v>
      </c>
      <c r="D471" s="90" t="str">
        <f>VLOOKUP(B471,BD!$B$4:$D$290,2,FALSE)</f>
        <v>und</v>
      </c>
      <c r="E471" s="91">
        <f>VLOOKUP(B471,BD!$B$4:$D$290,3,FALSE)</f>
        <v>725900</v>
      </c>
      <c r="F471" s="92"/>
      <c r="G471" s="92">
        <f>C471*E471</f>
        <v>725900</v>
      </c>
      <c r="H471" s="92"/>
      <c r="I471" s="92"/>
    </row>
    <row r="472" spans="2:9">
      <c r="B472" s="88" t="s">
        <v>563</v>
      </c>
      <c r="C472" s="89">
        <f>1/30</f>
        <v>3.3333333333333333E-2</v>
      </c>
      <c r="D472" s="90" t="str">
        <f>VLOOKUP(B472,BD!$B$4:$D$290,2,FALSE)</f>
        <v>viaje</v>
      </c>
      <c r="E472" s="91">
        <f>VLOOKUP(B472,BD!$B$4:$D$290,3,FALSE)</f>
        <v>1500000</v>
      </c>
      <c r="F472" s="92"/>
      <c r="G472" s="92"/>
      <c r="H472" s="92"/>
      <c r="I472" s="92">
        <f>C472*E472</f>
        <v>50000</v>
      </c>
    </row>
    <row r="473" spans="2:9">
      <c r="B473" s="93" t="s">
        <v>7</v>
      </c>
      <c r="C473" s="93" t="s">
        <v>504</v>
      </c>
      <c r="D473" s="94"/>
      <c r="E473" s="95"/>
      <c r="F473" s="118">
        <f>SUM(F471:F472)</f>
        <v>0</v>
      </c>
      <c r="G473" s="118">
        <f t="shared" ref="G473:I473" si="78">SUM(G471:G472)</f>
        <v>725900</v>
      </c>
      <c r="H473" s="118">
        <f t="shared" si="78"/>
        <v>0</v>
      </c>
      <c r="I473" s="118">
        <f t="shared" si="78"/>
        <v>50000</v>
      </c>
    </row>
    <row r="474" spans="2:9">
      <c r="B474" s="97">
        <f>ROUNDUP(SUM(F473:I473),0)</f>
        <v>775900</v>
      </c>
      <c r="C474" s="98" t="s">
        <v>564</v>
      </c>
      <c r="D474" s="99"/>
      <c r="E474" s="100"/>
      <c r="F474" s="120"/>
      <c r="G474" s="120"/>
      <c r="H474" s="120"/>
      <c r="I474" s="120"/>
    </row>
    <row r="476" spans="2:9">
      <c r="B476" s="1692" t="s">
        <v>695</v>
      </c>
      <c r="C476" s="1693"/>
      <c r="D476" s="1693"/>
      <c r="E476" s="1693"/>
      <c r="F476" s="1693"/>
      <c r="G476" s="1693"/>
      <c r="H476" s="1694"/>
      <c r="I476" s="160" t="s">
        <v>696</v>
      </c>
    </row>
    <row r="477" spans="2:9">
      <c r="C477" s="117" t="s">
        <v>491</v>
      </c>
      <c r="D477" s="117" t="s">
        <v>492</v>
      </c>
      <c r="E477" s="122" t="s">
        <v>493</v>
      </c>
      <c r="F477" s="122" t="s">
        <v>494</v>
      </c>
      <c r="G477" s="122" t="s">
        <v>360</v>
      </c>
      <c r="H477" s="122" t="s">
        <v>495</v>
      </c>
      <c r="I477" s="122" t="s">
        <v>496</v>
      </c>
    </row>
    <row r="478" spans="2:9">
      <c r="B478" s="88" t="s">
        <v>697</v>
      </c>
      <c r="C478" s="89">
        <v>1</v>
      </c>
      <c r="D478" s="90" t="str">
        <f>VLOOKUP(B478,BD!$B$4:$D$290,2,FALSE)</f>
        <v>und</v>
      </c>
      <c r="E478" s="91">
        <f>VLOOKUP(B478,BD!$B$4:$D$290,3,FALSE)</f>
        <v>495040</v>
      </c>
      <c r="F478" s="92"/>
      <c r="G478" s="92">
        <f>C478*E478</f>
        <v>495040</v>
      </c>
      <c r="H478" s="92"/>
      <c r="I478" s="92"/>
    </row>
    <row r="479" spans="2:9">
      <c r="B479" s="88" t="s">
        <v>563</v>
      </c>
      <c r="C479" s="89">
        <f>1/30</f>
        <v>3.3333333333333333E-2</v>
      </c>
      <c r="D479" s="90" t="str">
        <f>VLOOKUP(B479,BD!$B$4:$D$290,2,FALSE)</f>
        <v>viaje</v>
      </c>
      <c r="E479" s="91">
        <f>VLOOKUP(B479,BD!$B$4:$D$290,3,FALSE)</f>
        <v>1500000</v>
      </c>
      <c r="F479" s="92"/>
      <c r="G479" s="92"/>
      <c r="H479" s="92"/>
      <c r="I479" s="92">
        <f>C479*E479</f>
        <v>50000</v>
      </c>
    </row>
    <row r="480" spans="2:9">
      <c r="B480" s="93" t="s">
        <v>7</v>
      </c>
      <c r="C480" s="93" t="s">
        <v>504</v>
      </c>
      <c r="D480" s="94"/>
      <c r="E480" s="95"/>
      <c r="F480" s="118">
        <f>SUM(F478:F479)</f>
        <v>0</v>
      </c>
      <c r="G480" s="118">
        <f t="shared" ref="G480" si="79">SUM(G478:G479)</f>
        <v>495040</v>
      </c>
      <c r="H480" s="118">
        <f t="shared" ref="H480" si="80">SUM(H478:H479)</f>
        <v>0</v>
      </c>
      <c r="I480" s="118">
        <f t="shared" ref="I480" si="81">SUM(I478:I479)</f>
        <v>50000</v>
      </c>
    </row>
    <row r="481" spans="2:9">
      <c r="B481" s="97">
        <f>ROUNDUP(SUM(F480:I480),0)</f>
        <v>545040</v>
      </c>
      <c r="C481" s="98" t="s">
        <v>564</v>
      </c>
      <c r="D481" s="99"/>
      <c r="E481" s="100"/>
      <c r="F481" s="120"/>
      <c r="G481" s="120"/>
      <c r="H481" s="120"/>
      <c r="I481" s="120"/>
    </row>
    <row r="483" spans="2:9">
      <c r="B483" s="1692" t="s">
        <v>698</v>
      </c>
      <c r="C483" s="1693"/>
      <c r="D483" s="1693"/>
      <c r="E483" s="1693"/>
      <c r="F483" s="1693"/>
      <c r="G483" s="1693"/>
      <c r="H483" s="1694"/>
      <c r="I483" s="160" t="s">
        <v>699</v>
      </c>
    </row>
    <row r="484" spans="2:9">
      <c r="C484" s="117" t="s">
        <v>491</v>
      </c>
      <c r="D484" s="117" t="s">
        <v>492</v>
      </c>
      <c r="E484" s="122" t="s">
        <v>493</v>
      </c>
      <c r="F484" s="122" t="s">
        <v>494</v>
      </c>
      <c r="G484" s="122" t="s">
        <v>360</v>
      </c>
      <c r="H484" s="122" t="s">
        <v>495</v>
      </c>
      <c r="I484" s="122" t="s">
        <v>496</v>
      </c>
    </row>
    <row r="485" spans="2:9">
      <c r="B485" s="88" t="s">
        <v>700</v>
      </c>
      <c r="C485" s="89">
        <v>1</v>
      </c>
      <c r="D485" s="90" t="str">
        <f>VLOOKUP(B485,BD!$B$4:$D$290,2,FALSE)</f>
        <v>und</v>
      </c>
      <c r="E485" s="91">
        <f>VLOOKUP(B485,BD!$B$4:$D$290,3,FALSE)</f>
        <v>383180</v>
      </c>
      <c r="F485" s="92"/>
      <c r="G485" s="92">
        <f>C485*E485</f>
        <v>383180</v>
      </c>
      <c r="H485" s="92"/>
      <c r="I485" s="92"/>
    </row>
    <row r="486" spans="2:9">
      <c r="B486" s="88" t="s">
        <v>563</v>
      </c>
      <c r="C486" s="89">
        <f>1/30</f>
        <v>3.3333333333333333E-2</v>
      </c>
      <c r="D486" s="90" t="str">
        <f>VLOOKUP(B486,BD!$B$4:$D$290,2,FALSE)</f>
        <v>viaje</v>
      </c>
      <c r="E486" s="91">
        <f>VLOOKUP(B486,BD!$B$4:$D$290,3,FALSE)</f>
        <v>1500000</v>
      </c>
      <c r="F486" s="92"/>
      <c r="G486" s="92"/>
      <c r="H486" s="92"/>
      <c r="I486" s="92">
        <f>C486*E486</f>
        <v>50000</v>
      </c>
    </row>
    <row r="487" spans="2:9">
      <c r="B487" s="93" t="s">
        <v>7</v>
      </c>
      <c r="C487" s="93" t="s">
        <v>504</v>
      </c>
      <c r="D487" s="94"/>
      <c r="E487" s="95"/>
      <c r="F487" s="118">
        <f>SUM(F485:F486)</f>
        <v>0</v>
      </c>
      <c r="G487" s="118">
        <f t="shared" ref="G487:I487" si="82">SUM(G485:G486)</f>
        <v>383180</v>
      </c>
      <c r="H487" s="118">
        <f t="shared" si="82"/>
        <v>0</v>
      </c>
      <c r="I487" s="118">
        <f t="shared" si="82"/>
        <v>50000</v>
      </c>
    </row>
    <row r="488" spans="2:9">
      <c r="B488" s="97">
        <f>ROUNDUP(SUM(F487:I487),0)</f>
        <v>433180</v>
      </c>
      <c r="C488" s="98" t="s">
        <v>564</v>
      </c>
      <c r="D488" s="99"/>
      <c r="E488" s="100"/>
      <c r="F488" s="120"/>
      <c r="G488" s="120"/>
      <c r="H488" s="120"/>
      <c r="I488" s="120"/>
    </row>
    <row r="490" spans="2:9">
      <c r="B490" s="1692" t="s">
        <v>701</v>
      </c>
      <c r="C490" s="1693"/>
      <c r="D490" s="1693"/>
      <c r="E490" s="1693"/>
      <c r="F490" s="1693"/>
      <c r="G490" s="1693"/>
      <c r="H490" s="1694"/>
      <c r="I490" s="160" t="s">
        <v>702</v>
      </c>
    </row>
    <row r="491" spans="2:9">
      <c r="C491" s="117" t="s">
        <v>491</v>
      </c>
      <c r="D491" s="117" t="s">
        <v>492</v>
      </c>
      <c r="E491" s="122" t="s">
        <v>493</v>
      </c>
      <c r="F491" s="122" t="s">
        <v>494</v>
      </c>
      <c r="G491" s="122" t="s">
        <v>360</v>
      </c>
      <c r="H491" s="122" t="s">
        <v>495</v>
      </c>
      <c r="I491" s="122" t="s">
        <v>496</v>
      </c>
    </row>
    <row r="492" spans="2:9">
      <c r="B492" s="88" t="s">
        <v>703</v>
      </c>
      <c r="C492" s="89">
        <v>1</v>
      </c>
      <c r="D492" s="90" t="str">
        <f>VLOOKUP(B492,BD!$B$4:$D$290,2,FALSE)</f>
        <v>und</v>
      </c>
      <c r="E492" s="91">
        <f>VLOOKUP(B492,BD!$B$4:$D$290,3,FALSE)</f>
        <v>297500</v>
      </c>
      <c r="F492" s="92"/>
      <c r="G492" s="92">
        <f>C492*E492</f>
        <v>297500</v>
      </c>
      <c r="H492" s="92"/>
      <c r="I492" s="92"/>
    </row>
    <row r="493" spans="2:9">
      <c r="B493" s="88" t="s">
        <v>563</v>
      </c>
      <c r="C493" s="89">
        <f>1/30</f>
        <v>3.3333333333333333E-2</v>
      </c>
      <c r="D493" s="90" t="str">
        <f>VLOOKUP(B493,BD!$B$4:$D$290,2,FALSE)</f>
        <v>viaje</v>
      </c>
      <c r="E493" s="91">
        <f>VLOOKUP(B493,BD!$B$4:$D$290,3,FALSE)</f>
        <v>1500000</v>
      </c>
      <c r="F493" s="92"/>
      <c r="G493" s="92"/>
      <c r="H493" s="92"/>
      <c r="I493" s="92">
        <f>C493*E493</f>
        <v>50000</v>
      </c>
    </row>
    <row r="494" spans="2:9">
      <c r="B494" s="93" t="s">
        <v>7</v>
      </c>
      <c r="C494" s="93" t="s">
        <v>504</v>
      </c>
      <c r="D494" s="94"/>
      <c r="E494" s="95"/>
      <c r="F494" s="118">
        <f>SUM(F492:F493)</f>
        <v>0</v>
      </c>
      <c r="G494" s="118">
        <f t="shared" ref="G494:I494" si="83">SUM(G492:G493)</f>
        <v>297500</v>
      </c>
      <c r="H494" s="118">
        <f t="shared" si="83"/>
        <v>0</v>
      </c>
      <c r="I494" s="118">
        <f t="shared" si="83"/>
        <v>50000</v>
      </c>
    </row>
    <row r="495" spans="2:9">
      <c r="B495" s="97">
        <f>ROUNDUP(SUM(F494:I494),0)</f>
        <v>347500</v>
      </c>
      <c r="C495" s="98" t="s">
        <v>564</v>
      </c>
      <c r="D495" s="99"/>
      <c r="E495" s="100"/>
      <c r="F495" s="120"/>
      <c r="G495" s="120"/>
      <c r="H495" s="120"/>
      <c r="I495" s="120"/>
    </row>
    <row r="497" spans="2:9">
      <c r="B497" s="1686" t="s">
        <v>704</v>
      </c>
      <c r="C497" s="1686"/>
      <c r="D497" s="1686"/>
      <c r="E497" s="1686"/>
      <c r="F497" s="1686"/>
      <c r="G497" s="1686"/>
      <c r="H497" s="1686"/>
      <c r="I497" s="160" t="s">
        <v>705</v>
      </c>
    </row>
    <row r="498" spans="2:9">
      <c r="C498" s="164" t="s">
        <v>491</v>
      </c>
      <c r="D498" s="86" t="s">
        <v>492</v>
      </c>
      <c r="E498" s="87" t="s">
        <v>493</v>
      </c>
      <c r="F498" s="87" t="s">
        <v>494</v>
      </c>
      <c r="G498" s="87" t="s">
        <v>360</v>
      </c>
      <c r="H498" s="87" t="s">
        <v>495</v>
      </c>
      <c r="I498" s="87" t="s">
        <v>496</v>
      </c>
    </row>
    <row r="499" spans="2:9">
      <c r="B499" s="88" t="s">
        <v>706</v>
      </c>
      <c r="C499" s="89">
        <v>1</v>
      </c>
      <c r="D499" s="90" t="str">
        <f>VLOOKUP(B499,BD!$B$4:$D$290,2,FALSE)</f>
        <v>und</v>
      </c>
      <c r="E499" s="91">
        <f>VLOOKUP(B499,BD!$B$4:$D$290,3,FALSE)</f>
        <v>3499790</v>
      </c>
      <c r="F499" s="92"/>
      <c r="G499" s="92">
        <f>C499*E499</f>
        <v>3499790</v>
      </c>
      <c r="H499" s="92"/>
      <c r="I499" s="92"/>
    </row>
    <row r="500" spans="2:9">
      <c r="B500" s="88" t="s">
        <v>707</v>
      </c>
      <c r="C500" s="89">
        <v>1</v>
      </c>
      <c r="D500" s="90" t="str">
        <f>VLOOKUP(B500,BD!$B$4:$D$290,2,FALSE)</f>
        <v>und</v>
      </c>
      <c r="E500" s="91">
        <f>VLOOKUP(B500,BD!$B$4:$D$290,3,FALSE)</f>
        <v>857990</v>
      </c>
      <c r="F500" s="92"/>
      <c r="G500" s="92">
        <f t="shared" ref="G500:G501" si="84">C500*E500</f>
        <v>857990</v>
      </c>
      <c r="H500" s="92"/>
      <c r="I500" s="92"/>
    </row>
    <row r="501" spans="2:9">
      <c r="B501" s="88" t="s">
        <v>708</v>
      </c>
      <c r="C501" s="89">
        <v>1</v>
      </c>
      <c r="D501" s="90" t="str">
        <f>VLOOKUP(B501,BD!$B$4:$D$290,2,FALSE)</f>
        <v>und</v>
      </c>
      <c r="E501" s="91">
        <f>VLOOKUP(B501,BD!$B$4:$D$290,3,FALSE)</f>
        <v>297500</v>
      </c>
      <c r="F501" s="92"/>
      <c r="G501" s="92">
        <f t="shared" si="84"/>
        <v>297500</v>
      </c>
      <c r="H501" s="92"/>
      <c r="I501" s="92"/>
    </row>
    <row r="502" spans="2:9">
      <c r="B502" s="88" t="s">
        <v>563</v>
      </c>
      <c r="C502" s="89">
        <f>1/15</f>
        <v>6.6666666666666666E-2</v>
      </c>
      <c r="D502" s="90" t="str">
        <f>VLOOKUP(B502,BD!$B$4:$D$290,2,FALSE)</f>
        <v>viaje</v>
      </c>
      <c r="E502" s="91">
        <f>VLOOKUP(B502,BD!$B$4:$D$290,3,FALSE)</f>
        <v>1500000</v>
      </c>
      <c r="F502" s="92"/>
      <c r="G502" s="92"/>
      <c r="H502" s="92"/>
      <c r="I502" s="92">
        <f>C502*E502</f>
        <v>100000</v>
      </c>
    </row>
    <row r="503" spans="2:9">
      <c r="B503" s="93" t="s">
        <v>7</v>
      </c>
      <c r="C503" s="93" t="s">
        <v>504</v>
      </c>
      <c r="D503" s="94"/>
      <c r="E503" s="95"/>
      <c r="F503" s="87">
        <f>SUM(F499:F502)</f>
        <v>0</v>
      </c>
      <c r="G503" s="87">
        <f t="shared" ref="G503:I503" si="85">SUM(G499:G502)</f>
        <v>4655280</v>
      </c>
      <c r="H503" s="87">
        <f t="shared" si="85"/>
        <v>0</v>
      </c>
      <c r="I503" s="87">
        <f t="shared" si="85"/>
        <v>100000</v>
      </c>
    </row>
    <row r="504" spans="2:9">
      <c r="B504" s="97">
        <f>ROUNDUP(SUM(F503:I503),0)</f>
        <v>4755280</v>
      </c>
      <c r="C504" s="98" t="s">
        <v>564</v>
      </c>
      <c r="D504" s="99"/>
      <c r="E504" s="100"/>
      <c r="F504" s="165"/>
      <c r="G504" s="165"/>
      <c r="H504" s="165"/>
      <c r="I504" s="165"/>
    </row>
    <row r="506" spans="2:9">
      <c r="B506" s="1686" t="s">
        <v>709</v>
      </c>
      <c r="C506" s="1686"/>
      <c r="D506" s="1686"/>
      <c r="E506" s="1686"/>
      <c r="F506" s="1686"/>
      <c r="G506" s="1686"/>
      <c r="H506" s="1686"/>
      <c r="I506" s="160" t="s">
        <v>710</v>
      </c>
    </row>
    <row r="507" spans="2:9">
      <c r="C507" s="117" t="s">
        <v>491</v>
      </c>
      <c r="D507" s="117" t="s">
        <v>492</v>
      </c>
      <c r="E507" s="122" t="s">
        <v>493</v>
      </c>
      <c r="F507" s="122" t="s">
        <v>494</v>
      </c>
      <c r="G507" s="122" t="s">
        <v>360</v>
      </c>
      <c r="H507" s="122" t="s">
        <v>495</v>
      </c>
      <c r="I507" s="122" t="s">
        <v>496</v>
      </c>
    </row>
    <row r="508" spans="2:9">
      <c r="B508" s="88" t="s">
        <v>711</v>
      </c>
      <c r="C508" s="89">
        <v>1</v>
      </c>
      <c r="D508" s="90" t="str">
        <f>VLOOKUP(B508,BD!$B$4:$D$290,2,FALSE)</f>
        <v>und</v>
      </c>
      <c r="E508" s="91">
        <f>VLOOKUP(B508,BD!$B$4:$D$290,3,FALSE)</f>
        <v>3208240</v>
      </c>
      <c r="F508" s="92"/>
      <c r="G508" s="92">
        <f>C508*E508</f>
        <v>3208240</v>
      </c>
      <c r="H508" s="92"/>
      <c r="I508" s="92"/>
    </row>
    <row r="509" spans="2:9">
      <c r="B509" s="88" t="s">
        <v>563</v>
      </c>
      <c r="C509" s="89">
        <f>1/15</f>
        <v>6.6666666666666666E-2</v>
      </c>
      <c r="D509" s="90" t="str">
        <f>VLOOKUP(B509,BD!$B$4:$D$290,2,FALSE)</f>
        <v>viaje</v>
      </c>
      <c r="E509" s="91">
        <f>VLOOKUP(B509,BD!$B$4:$D$290,3,FALSE)</f>
        <v>1500000</v>
      </c>
      <c r="F509" s="92"/>
      <c r="G509" s="92"/>
      <c r="H509" s="92"/>
      <c r="I509" s="92">
        <f>C509*E509</f>
        <v>100000</v>
      </c>
    </row>
    <row r="510" spans="2:9">
      <c r="B510" s="93" t="s">
        <v>7</v>
      </c>
      <c r="C510" s="93" t="s">
        <v>504</v>
      </c>
      <c r="D510" s="94"/>
      <c r="E510" s="95"/>
      <c r="F510" s="118">
        <f>SUM(F508:F509)</f>
        <v>0</v>
      </c>
      <c r="G510" s="118">
        <f t="shared" ref="G510:I510" si="86">SUM(G508:G509)</f>
        <v>3208240</v>
      </c>
      <c r="H510" s="118">
        <f t="shared" si="86"/>
        <v>0</v>
      </c>
      <c r="I510" s="118">
        <f t="shared" si="86"/>
        <v>100000</v>
      </c>
    </row>
    <row r="511" spans="2:9">
      <c r="B511" s="97">
        <f>ROUNDUP(SUM(F510:I510),0)</f>
        <v>3308240</v>
      </c>
      <c r="C511" s="98" t="s">
        <v>564</v>
      </c>
      <c r="D511" s="99"/>
      <c r="E511" s="100"/>
      <c r="F511" s="120"/>
      <c r="G511" s="120"/>
      <c r="H511" s="120"/>
      <c r="I511" s="120"/>
    </row>
    <row r="513" spans="2:9">
      <c r="B513" s="1686" t="s">
        <v>712</v>
      </c>
      <c r="C513" s="1686"/>
      <c r="D513" s="1686"/>
      <c r="E513" s="1686"/>
      <c r="F513" s="1686"/>
      <c r="G513" s="1686"/>
      <c r="H513" s="1686"/>
      <c r="I513" s="160" t="s">
        <v>713</v>
      </c>
    </row>
    <row r="514" spans="2:9">
      <c r="C514" s="117" t="s">
        <v>491</v>
      </c>
      <c r="D514" s="117" t="s">
        <v>492</v>
      </c>
      <c r="E514" s="122" t="s">
        <v>493</v>
      </c>
      <c r="F514" s="122" t="s">
        <v>494</v>
      </c>
      <c r="G514" s="122" t="s">
        <v>360</v>
      </c>
      <c r="H514" s="122" t="s">
        <v>495</v>
      </c>
      <c r="I514" s="122" t="s">
        <v>496</v>
      </c>
    </row>
    <row r="515" spans="2:9">
      <c r="B515" s="88" t="s">
        <v>714</v>
      </c>
      <c r="C515" s="89">
        <v>1</v>
      </c>
      <c r="D515" s="90" t="str">
        <f>VLOOKUP(B515,BD!$B$4:$D$290,2,FALSE)</f>
        <v>und</v>
      </c>
      <c r="E515" s="91">
        <f>VLOOKUP(B515,BD!$B$4:$D$290,3,FALSE)</f>
        <v>2193170</v>
      </c>
      <c r="F515" s="92"/>
      <c r="G515" s="92">
        <f>C515*E515</f>
        <v>2193170</v>
      </c>
      <c r="H515" s="92"/>
      <c r="I515" s="92"/>
    </row>
    <row r="516" spans="2:9">
      <c r="B516" s="88" t="s">
        <v>563</v>
      </c>
      <c r="C516" s="89">
        <f>1/15</f>
        <v>6.6666666666666666E-2</v>
      </c>
      <c r="D516" s="90" t="str">
        <f>VLOOKUP(B516,BD!$B$4:$D$290,2,FALSE)</f>
        <v>viaje</v>
      </c>
      <c r="E516" s="91">
        <f>VLOOKUP(B516,BD!$B$4:$D$290,3,FALSE)</f>
        <v>1500000</v>
      </c>
      <c r="F516" s="92"/>
      <c r="G516" s="92"/>
      <c r="H516" s="92"/>
      <c r="I516" s="92">
        <f>C516*E516</f>
        <v>100000</v>
      </c>
    </row>
    <row r="517" spans="2:9">
      <c r="B517" s="93" t="s">
        <v>7</v>
      </c>
      <c r="C517" s="93" t="s">
        <v>504</v>
      </c>
      <c r="D517" s="94"/>
      <c r="E517" s="95"/>
      <c r="F517" s="118">
        <f>SUM(F515:F516)</f>
        <v>0</v>
      </c>
      <c r="G517" s="118">
        <f t="shared" ref="G517" si="87">SUM(G515:G516)</f>
        <v>2193170</v>
      </c>
      <c r="H517" s="118">
        <f t="shared" ref="H517" si="88">SUM(H515:H516)</f>
        <v>0</v>
      </c>
      <c r="I517" s="118">
        <f t="shared" ref="I517" si="89">SUM(I515:I516)</f>
        <v>100000</v>
      </c>
    </row>
    <row r="518" spans="2:9">
      <c r="B518" s="97">
        <f>ROUNDUP(SUM(F517:I517),0)</f>
        <v>2293170</v>
      </c>
      <c r="C518" s="98" t="s">
        <v>564</v>
      </c>
      <c r="D518" s="99"/>
      <c r="E518" s="100"/>
      <c r="F518" s="120"/>
      <c r="G518" s="120"/>
      <c r="H518" s="120"/>
      <c r="I518" s="120"/>
    </row>
    <row r="520" spans="2:9">
      <c r="B520" s="1686" t="s">
        <v>715</v>
      </c>
      <c r="C520" s="1686"/>
      <c r="D520" s="1686"/>
      <c r="E520" s="1686"/>
      <c r="F520" s="1686"/>
      <c r="G520" s="1686"/>
      <c r="H520" s="1686"/>
      <c r="I520" s="160" t="s">
        <v>716</v>
      </c>
    </row>
    <row r="521" spans="2:9">
      <c r="C521" s="117" t="s">
        <v>491</v>
      </c>
      <c r="D521" s="117" t="s">
        <v>492</v>
      </c>
      <c r="E521" s="122" t="s">
        <v>493</v>
      </c>
      <c r="F521" s="122" t="s">
        <v>494</v>
      </c>
      <c r="G521" s="122" t="s">
        <v>360</v>
      </c>
      <c r="H521" s="122" t="s">
        <v>495</v>
      </c>
      <c r="I521" s="122" t="s">
        <v>496</v>
      </c>
    </row>
    <row r="522" spans="2:9">
      <c r="B522" s="88" t="s">
        <v>717</v>
      </c>
      <c r="C522" s="89">
        <v>1</v>
      </c>
      <c r="D522" s="90" t="str">
        <f>VLOOKUP(B522,BD!$B$4:$D$290,2,FALSE)</f>
        <v>und</v>
      </c>
      <c r="E522" s="91">
        <f>VLOOKUP(B522,BD!$B$4:$D$290,3,FALSE)</f>
        <v>1136450</v>
      </c>
      <c r="F522" s="92"/>
      <c r="G522" s="92">
        <f>C522*E522</f>
        <v>1136450</v>
      </c>
      <c r="H522" s="92"/>
      <c r="I522" s="92"/>
    </row>
    <row r="523" spans="2:9">
      <c r="B523" s="88" t="s">
        <v>563</v>
      </c>
      <c r="C523" s="89">
        <f>1/15</f>
        <v>6.6666666666666666E-2</v>
      </c>
      <c r="D523" s="90" t="str">
        <f>VLOOKUP(B523,BD!$B$4:$D$290,2,FALSE)</f>
        <v>viaje</v>
      </c>
      <c r="E523" s="91">
        <f>VLOOKUP(B523,BD!$B$4:$D$290,3,FALSE)</f>
        <v>1500000</v>
      </c>
      <c r="F523" s="92"/>
      <c r="G523" s="92"/>
      <c r="H523" s="92"/>
      <c r="I523" s="92">
        <f>C523*E523</f>
        <v>100000</v>
      </c>
    </row>
    <row r="524" spans="2:9">
      <c r="B524" s="93" t="s">
        <v>7</v>
      </c>
      <c r="C524" s="93" t="s">
        <v>504</v>
      </c>
      <c r="D524" s="94"/>
      <c r="E524" s="95"/>
      <c r="F524" s="118">
        <f>SUM(F522:F523)</f>
        <v>0</v>
      </c>
      <c r="G524" s="118">
        <f t="shared" ref="G524" si="90">SUM(G522:G523)</f>
        <v>1136450</v>
      </c>
      <c r="H524" s="118">
        <f t="shared" ref="H524" si="91">SUM(H522:H523)</f>
        <v>0</v>
      </c>
      <c r="I524" s="118">
        <f t="shared" ref="I524" si="92">SUM(I522:I523)</f>
        <v>100000</v>
      </c>
    </row>
    <row r="525" spans="2:9">
      <c r="B525" s="97">
        <f>ROUNDUP(SUM(F524:I524),0)</f>
        <v>1236450</v>
      </c>
      <c r="C525" s="98" t="s">
        <v>564</v>
      </c>
      <c r="D525" s="99"/>
      <c r="E525" s="100"/>
      <c r="F525" s="120"/>
      <c r="G525" s="120"/>
      <c r="H525" s="120"/>
      <c r="I525" s="120"/>
    </row>
    <row r="527" spans="2:9">
      <c r="B527" s="1686" t="s">
        <v>718</v>
      </c>
      <c r="C527" s="1686"/>
      <c r="D527" s="1686"/>
      <c r="E527" s="1686"/>
      <c r="F527" s="1686"/>
      <c r="G527" s="1686"/>
      <c r="H527" s="1686"/>
      <c r="I527" s="160" t="s">
        <v>719</v>
      </c>
    </row>
    <row r="528" spans="2:9">
      <c r="C528" s="117" t="s">
        <v>491</v>
      </c>
      <c r="D528" s="117" t="s">
        <v>492</v>
      </c>
      <c r="E528" s="122" t="s">
        <v>493</v>
      </c>
      <c r="F528" s="122" t="s">
        <v>494</v>
      </c>
      <c r="G528" s="122" t="s">
        <v>360</v>
      </c>
      <c r="H528" s="122" t="s">
        <v>495</v>
      </c>
      <c r="I528" s="122" t="s">
        <v>496</v>
      </c>
    </row>
    <row r="529" spans="2:9">
      <c r="B529" s="88" t="s">
        <v>720</v>
      </c>
      <c r="C529" s="89">
        <v>1</v>
      </c>
      <c r="D529" s="90" t="str">
        <f>VLOOKUP(B529,BD!$B$4:$D$290,2,FALSE)</f>
        <v>und</v>
      </c>
      <c r="E529" s="91">
        <f>VLOOKUP(B529,BD!$B$4:$D$290,3,FALSE)</f>
        <v>857990</v>
      </c>
      <c r="F529" s="92"/>
      <c r="G529" s="92">
        <f>C529*E529</f>
        <v>857990</v>
      </c>
      <c r="H529" s="92"/>
      <c r="I529" s="92"/>
    </row>
    <row r="530" spans="2:9">
      <c r="B530" s="88" t="s">
        <v>563</v>
      </c>
      <c r="C530" s="89">
        <f>1/15</f>
        <v>6.6666666666666666E-2</v>
      </c>
      <c r="D530" s="90" t="str">
        <f>VLOOKUP(B530,BD!$B$4:$D$290,2,FALSE)</f>
        <v>viaje</v>
      </c>
      <c r="E530" s="91">
        <f>VLOOKUP(B530,BD!$B$4:$D$290,3,FALSE)</f>
        <v>1500000</v>
      </c>
      <c r="F530" s="92"/>
      <c r="G530" s="92"/>
      <c r="H530" s="92"/>
      <c r="I530" s="92">
        <f>C530*E530</f>
        <v>100000</v>
      </c>
    </row>
    <row r="531" spans="2:9">
      <c r="B531" s="93" t="s">
        <v>7</v>
      </c>
      <c r="C531" s="93" t="s">
        <v>504</v>
      </c>
      <c r="D531" s="94"/>
      <c r="E531" s="95"/>
      <c r="F531" s="118">
        <f>SUM(F529:F530)</f>
        <v>0</v>
      </c>
      <c r="G531" s="118">
        <f t="shared" ref="G531" si="93">SUM(G529:G530)</f>
        <v>857990</v>
      </c>
      <c r="H531" s="118">
        <f t="shared" ref="H531" si="94">SUM(H529:H530)</f>
        <v>0</v>
      </c>
      <c r="I531" s="118">
        <f t="shared" ref="I531" si="95">SUM(I529:I530)</f>
        <v>100000</v>
      </c>
    </row>
    <row r="532" spans="2:9">
      <c r="B532" s="97">
        <f>ROUNDUP(SUM(F531:I531),0)</f>
        <v>957990</v>
      </c>
      <c r="C532" s="98" t="s">
        <v>564</v>
      </c>
      <c r="D532" s="99"/>
      <c r="E532" s="100"/>
      <c r="F532" s="120"/>
      <c r="G532" s="120"/>
      <c r="H532" s="120"/>
      <c r="I532" s="120"/>
    </row>
    <row r="534" spans="2:9">
      <c r="B534" s="1686" t="s">
        <v>721</v>
      </c>
      <c r="C534" s="1686"/>
      <c r="D534" s="1686"/>
      <c r="E534" s="1686"/>
      <c r="F534" s="1686"/>
      <c r="G534" s="1686"/>
      <c r="H534" s="1686"/>
      <c r="I534" s="160" t="s">
        <v>722</v>
      </c>
    </row>
    <row r="535" spans="2:9">
      <c r="C535" s="117" t="s">
        <v>491</v>
      </c>
      <c r="D535" s="117" t="s">
        <v>492</v>
      </c>
      <c r="E535" s="122" t="s">
        <v>493</v>
      </c>
      <c r="F535" s="122" t="s">
        <v>494</v>
      </c>
      <c r="G535" s="122" t="s">
        <v>360</v>
      </c>
      <c r="H535" s="122" t="s">
        <v>495</v>
      </c>
      <c r="I535" s="122" t="s">
        <v>496</v>
      </c>
    </row>
    <row r="536" spans="2:9">
      <c r="B536" s="88" t="s">
        <v>723</v>
      </c>
      <c r="C536" s="89">
        <v>1</v>
      </c>
      <c r="D536" s="90" t="str">
        <f>VLOOKUP(B536,BD!$B$4:$D$290,2,FALSE)</f>
        <v>und</v>
      </c>
      <c r="E536" s="91">
        <f>VLOOKUP(B536,BD!$B$4:$D$290,3,FALSE)</f>
        <v>652120</v>
      </c>
      <c r="F536" s="92"/>
      <c r="G536" s="92">
        <f>C536*E536</f>
        <v>652120</v>
      </c>
      <c r="H536" s="92"/>
      <c r="I536" s="92"/>
    </row>
    <row r="537" spans="2:9">
      <c r="B537" s="88" t="s">
        <v>563</v>
      </c>
      <c r="C537" s="89">
        <f>1/30</f>
        <v>3.3333333333333333E-2</v>
      </c>
      <c r="D537" s="90" t="str">
        <f>VLOOKUP(B537,BD!$B$4:$D$290,2,FALSE)</f>
        <v>viaje</v>
      </c>
      <c r="E537" s="91">
        <f>VLOOKUP(B537,BD!$B$4:$D$290,3,FALSE)</f>
        <v>1500000</v>
      </c>
      <c r="F537" s="92"/>
      <c r="G537" s="92"/>
      <c r="H537" s="92"/>
      <c r="I537" s="92">
        <f>C537*E537</f>
        <v>50000</v>
      </c>
    </row>
    <row r="538" spans="2:9">
      <c r="B538" s="93" t="s">
        <v>7</v>
      </c>
      <c r="C538" s="93" t="s">
        <v>504</v>
      </c>
      <c r="D538" s="94"/>
      <c r="E538" s="95"/>
      <c r="F538" s="118">
        <f>SUM(F536:F537)</f>
        <v>0</v>
      </c>
      <c r="G538" s="118">
        <f t="shared" ref="G538:I538" si="96">SUM(G536:G537)</f>
        <v>652120</v>
      </c>
      <c r="H538" s="118">
        <f t="shared" si="96"/>
        <v>0</v>
      </c>
      <c r="I538" s="118">
        <f t="shared" si="96"/>
        <v>50000</v>
      </c>
    </row>
    <row r="539" spans="2:9">
      <c r="B539" s="97">
        <f>ROUNDUP(SUM(F538:I538),0)</f>
        <v>702120</v>
      </c>
      <c r="C539" s="98" t="s">
        <v>564</v>
      </c>
      <c r="D539" s="99"/>
      <c r="E539" s="100"/>
      <c r="F539" s="120"/>
      <c r="G539" s="120"/>
      <c r="H539" s="120"/>
      <c r="I539" s="120"/>
    </row>
    <row r="541" spans="2:9">
      <c r="B541" s="1686" t="s">
        <v>724</v>
      </c>
      <c r="C541" s="1686"/>
      <c r="D541" s="1686"/>
      <c r="E541" s="1686"/>
      <c r="F541" s="1686"/>
      <c r="G541" s="1686"/>
      <c r="H541" s="1686"/>
      <c r="I541" s="160" t="s">
        <v>725</v>
      </c>
    </row>
    <row r="542" spans="2:9">
      <c r="C542" s="117" t="s">
        <v>491</v>
      </c>
      <c r="D542" s="117" t="s">
        <v>492</v>
      </c>
      <c r="E542" s="122" t="s">
        <v>493</v>
      </c>
      <c r="F542" s="122" t="s">
        <v>494</v>
      </c>
      <c r="G542" s="122" t="s">
        <v>360</v>
      </c>
      <c r="H542" s="122" t="s">
        <v>495</v>
      </c>
      <c r="I542" s="122" t="s">
        <v>496</v>
      </c>
    </row>
    <row r="543" spans="2:9">
      <c r="B543" s="88" t="s">
        <v>726</v>
      </c>
      <c r="C543" s="89">
        <v>1</v>
      </c>
      <c r="D543" s="90" t="str">
        <f>VLOOKUP(B543,BD!$B$4:$D$290,2,FALSE)</f>
        <v>und</v>
      </c>
      <c r="E543" s="91">
        <f>VLOOKUP(B543,BD!$B$4:$D$290,3,FALSE)</f>
        <v>590240</v>
      </c>
      <c r="F543" s="92"/>
      <c r="G543" s="92">
        <f>C543*E543</f>
        <v>590240</v>
      </c>
      <c r="H543" s="92"/>
      <c r="I543" s="92"/>
    </row>
    <row r="544" spans="2:9">
      <c r="B544" s="88" t="s">
        <v>563</v>
      </c>
      <c r="C544" s="89">
        <f>1/30</f>
        <v>3.3333333333333333E-2</v>
      </c>
      <c r="D544" s="90" t="str">
        <f>VLOOKUP(B544,BD!$B$4:$D$290,2,FALSE)</f>
        <v>viaje</v>
      </c>
      <c r="E544" s="91">
        <f>VLOOKUP(B544,BD!$B$4:$D$290,3,FALSE)</f>
        <v>1500000</v>
      </c>
      <c r="F544" s="92"/>
      <c r="G544" s="92"/>
      <c r="H544" s="92"/>
      <c r="I544" s="92">
        <f>C544*E544</f>
        <v>50000</v>
      </c>
    </row>
    <row r="545" spans="2:9">
      <c r="B545" s="93" t="s">
        <v>7</v>
      </c>
      <c r="C545" s="93" t="s">
        <v>504</v>
      </c>
      <c r="D545" s="94"/>
      <c r="E545" s="95"/>
      <c r="F545" s="118">
        <f>SUM(F543:F544)</f>
        <v>0</v>
      </c>
      <c r="G545" s="118">
        <f t="shared" ref="G545:I545" si="97">SUM(G543:G544)</f>
        <v>590240</v>
      </c>
      <c r="H545" s="118">
        <f t="shared" si="97"/>
        <v>0</v>
      </c>
      <c r="I545" s="118">
        <f t="shared" si="97"/>
        <v>50000</v>
      </c>
    </row>
    <row r="546" spans="2:9">
      <c r="B546" s="97">
        <f>ROUNDUP(SUM(F545:I545),0)</f>
        <v>640240</v>
      </c>
      <c r="C546" s="98" t="s">
        <v>564</v>
      </c>
      <c r="D546" s="99"/>
      <c r="E546" s="100"/>
      <c r="F546" s="120"/>
      <c r="G546" s="120"/>
      <c r="H546" s="120"/>
      <c r="I546" s="120"/>
    </row>
    <row r="548" spans="2:9">
      <c r="B548" s="1686" t="s">
        <v>727</v>
      </c>
      <c r="C548" s="1686"/>
      <c r="D548" s="1686"/>
      <c r="E548" s="1686"/>
      <c r="F548" s="1686"/>
      <c r="G548" s="1686"/>
      <c r="H548" s="1686"/>
      <c r="I548" s="160" t="s">
        <v>728</v>
      </c>
    </row>
    <row r="549" spans="2:9">
      <c r="C549" s="117" t="s">
        <v>491</v>
      </c>
      <c r="D549" s="117" t="s">
        <v>492</v>
      </c>
      <c r="E549" s="122" t="s">
        <v>493</v>
      </c>
      <c r="F549" s="122" t="s">
        <v>494</v>
      </c>
      <c r="G549" s="122" t="s">
        <v>360</v>
      </c>
      <c r="H549" s="122" t="s">
        <v>495</v>
      </c>
      <c r="I549" s="122" t="s">
        <v>496</v>
      </c>
    </row>
    <row r="550" spans="2:9">
      <c r="B550" s="88" t="s">
        <v>729</v>
      </c>
      <c r="C550" s="89">
        <v>1</v>
      </c>
      <c r="D550" s="90" t="str">
        <f>VLOOKUP(B550,BD!$B$4:$D$290,2,FALSE)</f>
        <v>und</v>
      </c>
      <c r="E550" s="91">
        <f>VLOOKUP(B550,BD!$B$4:$D$290,3,FALSE)</f>
        <v>484330</v>
      </c>
      <c r="F550" s="92"/>
      <c r="G550" s="92">
        <f>C550*E550</f>
        <v>484330</v>
      </c>
      <c r="H550" s="92"/>
      <c r="I550" s="92"/>
    </row>
    <row r="551" spans="2:9">
      <c r="B551" s="88" t="s">
        <v>563</v>
      </c>
      <c r="C551" s="89">
        <f>1/30</f>
        <v>3.3333333333333333E-2</v>
      </c>
      <c r="D551" s="90" t="str">
        <f>VLOOKUP(B551,BD!$B$4:$D$290,2,FALSE)</f>
        <v>viaje</v>
      </c>
      <c r="E551" s="91">
        <f>VLOOKUP(B551,BD!$B$4:$D$290,3,FALSE)</f>
        <v>1500000</v>
      </c>
      <c r="F551" s="92"/>
      <c r="G551" s="92"/>
      <c r="H551" s="92"/>
      <c r="I551" s="92">
        <f>C551*E551</f>
        <v>50000</v>
      </c>
    </row>
    <row r="552" spans="2:9">
      <c r="B552" s="93" t="s">
        <v>7</v>
      </c>
      <c r="C552" s="93" t="s">
        <v>504</v>
      </c>
      <c r="D552" s="94"/>
      <c r="E552" s="95"/>
      <c r="F552" s="118">
        <f>SUM(F550:F551)</f>
        <v>0</v>
      </c>
      <c r="G552" s="118">
        <f t="shared" ref="G552" si="98">SUM(G550:G551)</f>
        <v>484330</v>
      </c>
      <c r="H552" s="118">
        <f t="shared" ref="H552" si="99">SUM(H550:H551)</f>
        <v>0</v>
      </c>
      <c r="I552" s="118">
        <f t="shared" ref="I552" si="100">SUM(I550:I551)</f>
        <v>50000</v>
      </c>
    </row>
    <row r="553" spans="2:9">
      <c r="B553" s="97">
        <f>ROUNDUP(SUM(F552:I552),0)</f>
        <v>534330</v>
      </c>
      <c r="C553" s="98" t="s">
        <v>564</v>
      </c>
      <c r="D553" s="99"/>
      <c r="E553" s="100"/>
      <c r="F553" s="120"/>
      <c r="G553" s="120"/>
      <c r="H553" s="120"/>
      <c r="I553" s="120"/>
    </row>
    <row r="555" spans="2:9">
      <c r="B555" s="1686" t="s">
        <v>730</v>
      </c>
      <c r="C555" s="1686"/>
      <c r="D555" s="1686"/>
      <c r="E555" s="1686"/>
      <c r="F555" s="1686"/>
      <c r="G555" s="1686"/>
      <c r="H555" s="1686"/>
      <c r="I555" s="160" t="s">
        <v>731</v>
      </c>
    </row>
    <row r="556" spans="2:9">
      <c r="C556" s="117" t="s">
        <v>491</v>
      </c>
      <c r="D556" s="117" t="s">
        <v>492</v>
      </c>
      <c r="E556" s="122" t="s">
        <v>493</v>
      </c>
      <c r="F556" s="122" t="s">
        <v>494</v>
      </c>
      <c r="G556" s="122" t="s">
        <v>360</v>
      </c>
      <c r="H556" s="122" t="s">
        <v>495</v>
      </c>
      <c r="I556" s="122" t="s">
        <v>496</v>
      </c>
    </row>
    <row r="557" spans="2:9">
      <c r="B557" s="88" t="s">
        <v>732</v>
      </c>
      <c r="C557" s="89">
        <v>1</v>
      </c>
      <c r="D557" s="90" t="str">
        <f>VLOOKUP(B557,BD!$B$4:$D$290,2,FALSE)</f>
        <v>und</v>
      </c>
      <c r="E557" s="91">
        <f>VLOOKUP(B557,BD!$B$4:$D$290,3,FALSE)</f>
        <v>201110</v>
      </c>
      <c r="F557" s="92"/>
      <c r="G557" s="92">
        <f>C557*E557</f>
        <v>201110</v>
      </c>
      <c r="H557" s="92"/>
      <c r="I557" s="92"/>
    </row>
    <row r="558" spans="2:9">
      <c r="B558" s="88" t="s">
        <v>563</v>
      </c>
      <c r="C558" s="89">
        <f>1/30</f>
        <v>3.3333333333333333E-2</v>
      </c>
      <c r="D558" s="90" t="str">
        <f>VLOOKUP(B558,BD!$B$4:$D$290,2,FALSE)</f>
        <v>viaje</v>
      </c>
      <c r="E558" s="91">
        <f>VLOOKUP(B558,BD!$B$4:$D$290,3,FALSE)</f>
        <v>1500000</v>
      </c>
      <c r="F558" s="92"/>
      <c r="G558" s="92"/>
      <c r="H558" s="92"/>
      <c r="I558" s="92">
        <f>C558*E558</f>
        <v>50000</v>
      </c>
    </row>
    <row r="559" spans="2:9">
      <c r="B559" s="93" t="s">
        <v>7</v>
      </c>
      <c r="C559" s="93" t="s">
        <v>504</v>
      </c>
      <c r="D559" s="94"/>
      <c r="E559" s="95"/>
      <c r="F559" s="118">
        <f>SUM(F557:F558)</f>
        <v>0</v>
      </c>
      <c r="G559" s="118">
        <f t="shared" ref="G559" si="101">SUM(G557:G558)</f>
        <v>201110</v>
      </c>
      <c r="H559" s="118">
        <f t="shared" ref="H559" si="102">SUM(H557:H558)</f>
        <v>0</v>
      </c>
      <c r="I559" s="118">
        <f t="shared" ref="I559" si="103">SUM(I557:I558)</f>
        <v>50000</v>
      </c>
    </row>
    <row r="560" spans="2:9">
      <c r="B560" s="97">
        <f>ROUNDUP(SUM(F559:I559),0)</f>
        <v>251110</v>
      </c>
      <c r="C560" s="98" t="s">
        <v>564</v>
      </c>
      <c r="D560" s="99"/>
      <c r="E560" s="100"/>
      <c r="F560" s="120"/>
      <c r="G560" s="120"/>
      <c r="H560" s="120"/>
      <c r="I560" s="120"/>
    </row>
    <row r="562" spans="2:9">
      <c r="B562" s="1686" t="s">
        <v>733</v>
      </c>
      <c r="C562" s="1686"/>
      <c r="D562" s="1686"/>
      <c r="E562" s="1686"/>
      <c r="F562" s="1686"/>
      <c r="G562" s="1686"/>
      <c r="H562" s="1686"/>
      <c r="I562" s="166" t="s">
        <v>734</v>
      </c>
    </row>
    <row r="563" spans="2:9">
      <c r="C563" s="127" t="s">
        <v>491</v>
      </c>
      <c r="D563" s="104" t="s">
        <v>492</v>
      </c>
      <c r="E563" s="104" t="s">
        <v>493</v>
      </c>
      <c r="F563" s="104" t="s">
        <v>494</v>
      </c>
      <c r="G563" s="104" t="s">
        <v>360</v>
      </c>
      <c r="H563" s="104" t="s">
        <v>495</v>
      </c>
      <c r="I563" s="104" t="s">
        <v>496</v>
      </c>
    </row>
    <row r="564" spans="2:9">
      <c r="B564" s="88" t="s">
        <v>735</v>
      </c>
      <c r="C564" s="89">
        <v>1</v>
      </c>
      <c r="D564" s="90" t="str">
        <f>VLOOKUP(B564,BD!$B$4:$D$290,2,FALSE)</f>
        <v>und</v>
      </c>
      <c r="E564" s="91">
        <f>VLOOKUP(B564,BD!$B$4:$D$290,3,FALSE)</f>
        <v>381288</v>
      </c>
      <c r="F564" s="92"/>
      <c r="G564" s="92">
        <f>C564*E564</f>
        <v>381288</v>
      </c>
      <c r="H564" s="92"/>
      <c r="I564" s="92"/>
    </row>
    <row r="565" spans="2:9">
      <c r="B565" s="88" t="s">
        <v>563</v>
      </c>
      <c r="C565" s="89">
        <f>1/700</f>
        <v>1.4285714285714286E-3</v>
      </c>
      <c r="D565" s="90" t="str">
        <f>VLOOKUP(B565,BD!$B$4:$D$290,2,FALSE)</f>
        <v>viaje</v>
      </c>
      <c r="E565" s="91">
        <f>VLOOKUP(B565,BD!$B$4:$D$290,3,FALSE)</f>
        <v>1500000</v>
      </c>
      <c r="F565" s="92"/>
      <c r="G565" s="92"/>
      <c r="H565" s="92"/>
      <c r="I565" s="92">
        <f>C565*E565</f>
        <v>2142.8571428571427</v>
      </c>
    </row>
    <row r="566" spans="2:9">
      <c r="B566" s="93" t="s">
        <v>7</v>
      </c>
      <c r="C566" s="93" t="s">
        <v>504</v>
      </c>
      <c r="D566" s="94"/>
      <c r="E566" s="95"/>
      <c r="F566" s="118">
        <f>SUM(F564:F565)</f>
        <v>0</v>
      </c>
      <c r="G566" s="118">
        <f t="shared" ref="G566:I566" si="104">SUM(G564:G565)</f>
        <v>381288</v>
      </c>
      <c r="H566" s="118">
        <f t="shared" si="104"/>
        <v>0</v>
      </c>
      <c r="I566" s="118">
        <f t="shared" si="104"/>
        <v>2142.8571428571427</v>
      </c>
    </row>
    <row r="567" spans="2:9">
      <c r="B567" s="97">
        <f>ROUNDUP(SUM(F566:I566),0)</f>
        <v>383431</v>
      </c>
      <c r="C567" s="98" t="s">
        <v>564</v>
      </c>
      <c r="D567" s="99"/>
      <c r="E567" s="100"/>
      <c r="F567" s="106"/>
      <c r="G567" s="106"/>
      <c r="H567" s="106"/>
      <c r="I567" s="106"/>
    </row>
    <row r="569" spans="2:9">
      <c r="B569" s="1686" t="s">
        <v>736</v>
      </c>
      <c r="C569" s="1686"/>
      <c r="D569" s="1686"/>
      <c r="E569" s="1686"/>
      <c r="F569" s="1686"/>
      <c r="G569" s="1686"/>
      <c r="H569" s="1686"/>
      <c r="I569" s="166" t="s">
        <v>737</v>
      </c>
    </row>
    <row r="570" spans="2:9">
      <c r="C570" s="127" t="s">
        <v>491</v>
      </c>
      <c r="D570" s="104" t="s">
        <v>492</v>
      </c>
      <c r="E570" s="104" t="s">
        <v>493</v>
      </c>
      <c r="F570" s="104" t="s">
        <v>494</v>
      </c>
      <c r="G570" s="104" t="s">
        <v>360</v>
      </c>
      <c r="H570" s="104" t="s">
        <v>495</v>
      </c>
      <c r="I570" s="104" t="s">
        <v>496</v>
      </c>
    </row>
    <row r="571" spans="2:9">
      <c r="B571" s="88" t="s">
        <v>738</v>
      </c>
      <c r="C571" s="89">
        <v>1</v>
      </c>
      <c r="D571" s="90" t="str">
        <f>VLOOKUP(B571,BD!$B$4:$D$290,2,FALSE)</f>
        <v>und</v>
      </c>
      <c r="E571" s="91">
        <f>VLOOKUP(B571,BD!$B$4:$D$290,3,FALSE)</f>
        <v>207538</v>
      </c>
      <c r="F571" s="92"/>
      <c r="G571" s="92">
        <f>C571*E571</f>
        <v>207538</v>
      </c>
      <c r="H571" s="92"/>
      <c r="I571" s="92"/>
    </row>
    <row r="572" spans="2:9">
      <c r="B572" s="88" t="s">
        <v>563</v>
      </c>
      <c r="C572" s="89">
        <f>1/800</f>
        <v>1.25E-3</v>
      </c>
      <c r="D572" s="90" t="str">
        <f>VLOOKUP(B572,BD!$B$4:$D$290,2,FALSE)</f>
        <v>viaje</v>
      </c>
      <c r="E572" s="91">
        <f>VLOOKUP(B572,BD!$B$4:$D$290,3,FALSE)</f>
        <v>1500000</v>
      </c>
      <c r="F572" s="92"/>
      <c r="G572" s="92"/>
      <c r="H572" s="92"/>
      <c r="I572" s="92">
        <f>C572*E572</f>
        <v>1875</v>
      </c>
    </row>
    <row r="573" spans="2:9">
      <c r="B573" s="93" t="s">
        <v>7</v>
      </c>
      <c r="C573" s="93" t="s">
        <v>504</v>
      </c>
      <c r="D573" s="94"/>
      <c r="E573" s="95"/>
      <c r="F573" s="118">
        <f>SUM(F571:F572)</f>
        <v>0</v>
      </c>
      <c r="G573" s="118">
        <f t="shared" ref="G573" si="105">SUM(G571:G572)</f>
        <v>207538</v>
      </c>
      <c r="H573" s="118">
        <f t="shared" ref="H573" si="106">SUM(H571:H572)</f>
        <v>0</v>
      </c>
      <c r="I573" s="118">
        <f t="shared" ref="I573" si="107">SUM(I571:I572)</f>
        <v>1875</v>
      </c>
    </row>
    <row r="574" spans="2:9">
      <c r="B574" s="97">
        <f>ROUNDUP(SUM(F573:I573),0)</f>
        <v>209413</v>
      </c>
      <c r="C574" s="98" t="s">
        <v>564</v>
      </c>
      <c r="D574" s="99"/>
      <c r="E574" s="100"/>
      <c r="F574" s="106"/>
      <c r="G574" s="106"/>
      <c r="H574" s="106"/>
      <c r="I574" s="106"/>
    </row>
    <row r="576" spans="2:9">
      <c r="B576" s="1686" t="s">
        <v>739</v>
      </c>
      <c r="C576" s="1686"/>
      <c r="D576" s="1686"/>
      <c r="E576" s="1686"/>
      <c r="F576" s="1686"/>
      <c r="G576" s="1686"/>
      <c r="H576" s="1686"/>
      <c r="I576" s="166" t="s">
        <v>740</v>
      </c>
    </row>
    <row r="577" spans="2:9">
      <c r="C577" s="127" t="s">
        <v>491</v>
      </c>
      <c r="D577" s="104" t="s">
        <v>492</v>
      </c>
      <c r="E577" s="104" t="s">
        <v>493</v>
      </c>
      <c r="F577" s="104" t="s">
        <v>494</v>
      </c>
      <c r="G577" s="104" t="s">
        <v>360</v>
      </c>
      <c r="H577" s="104" t="s">
        <v>495</v>
      </c>
      <c r="I577" s="104" t="s">
        <v>496</v>
      </c>
    </row>
    <row r="578" spans="2:9">
      <c r="B578" s="88" t="s">
        <v>741</v>
      </c>
      <c r="C578" s="89">
        <v>1</v>
      </c>
      <c r="D578" s="90" t="str">
        <f>VLOOKUP(B578,BD!$B$4:$D$290,2,FALSE)</f>
        <v>und</v>
      </c>
      <c r="E578" s="91">
        <f>VLOOKUP(B578,BD!$B$4:$D$290,3,FALSE)</f>
        <v>88888</v>
      </c>
      <c r="F578" s="92"/>
      <c r="G578" s="92">
        <f>C578*E578</f>
        <v>88888</v>
      </c>
      <c r="H578" s="92"/>
      <c r="I578" s="92"/>
    </row>
    <row r="579" spans="2:9">
      <c r="B579" s="88" t="s">
        <v>563</v>
      </c>
      <c r="C579" s="89">
        <f>1/900</f>
        <v>1.1111111111111111E-3</v>
      </c>
      <c r="D579" s="90" t="str">
        <f>VLOOKUP(B579,BD!$B$4:$D$290,2,FALSE)</f>
        <v>viaje</v>
      </c>
      <c r="E579" s="91">
        <f>VLOOKUP(B579,BD!$B$4:$D$290,3,FALSE)</f>
        <v>1500000</v>
      </c>
      <c r="F579" s="92"/>
      <c r="G579" s="92"/>
      <c r="H579" s="92"/>
      <c r="I579" s="92">
        <f>C579*E579</f>
        <v>1666.6666666666667</v>
      </c>
    </row>
    <row r="580" spans="2:9">
      <c r="B580" s="93" t="s">
        <v>7</v>
      </c>
      <c r="C580" s="93" t="s">
        <v>504</v>
      </c>
      <c r="D580" s="94"/>
      <c r="E580" s="95"/>
      <c r="F580" s="118">
        <f>SUM(F578:F579)</f>
        <v>0</v>
      </c>
      <c r="G580" s="118">
        <f t="shared" ref="G580" si="108">SUM(G578:G579)</f>
        <v>88888</v>
      </c>
      <c r="H580" s="118">
        <f t="shared" ref="H580" si="109">SUM(H578:H579)</f>
        <v>0</v>
      </c>
      <c r="I580" s="118">
        <f t="shared" ref="I580" si="110">SUM(I578:I579)</f>
        <v>1666.6666666666667</v>
      </c>
    </row>
    <row r="581" spans="2:9">
      <c r="B581" s="97">
        <f>ROUNDUP(SUM(F580:I580),0)</f>
        <v>90555</v>
      </c>
      <c r="C581" s="98" t="s">
        <v>564</v>
      </c>
      <c r="D581" s="99"/>
      <c r="E581" s="100"/>
      <c r="F581" s="106"/>
      <c r="G581" s="106"/>
      <c r="H581" s="106"/>
      <c r="I581" s="106"/>
    </row>
    <row r="583" spans="2:9">
      <c r="B583" s="1686" t="s">
        <v>742</v>
      </c>
      <c r="C583" s="1686"/>
      <c r="D583" s="1686"/>
      <c r="E583" s="1686"/>
      <c r="F583" s="1686"/>
      <c r="G583" s="1686"/>
      <c r="H583" s="1686"/>
      <c r="I583" s="166" t="s">
        <v>743</v>
      </c>
    </row>
    <row r="584" spans="2:9">
      <c r="C584" s="127" t="s">
        <v>491</v>
      </c>
      <c r="D584" s="104" t="s">
        <v>492</v>
      </c>
      <c r="E584" s="104" t="s">
        <v>493</v>
      </c>
      <c r="F584" s="104" t="s">
        <v>494</v>
      </c>
      <c r="G584" s="104" t="s">
        <v>360</v>
      </c>
      <c r="H584" s="104" t="s">
        <v>495</v>
      </c>
      <c r="I584" s="104" t="s">
        <v>496</v>
      </c>
    </row>
    <row r="585" spans="2:9">
      <c r="B585" s="88" t="s">
        <v>744</v>
      </c>
      <c r="C585" s="89">
        <v>1</v>
      </c>
      <c r="D585" s="90" t="str">
        <f>VLOOKUP(B585,BD!$B$4:$D$290,2,FALSE)</f>
        <v>und</v>
      </c>
      <c r="E585" s="91">
        <f>VLOOKUP(B585,BD!$B$4:$D$290,3,FALSE)</f>
        <v>61002</v>
      </c>
      <c r="F585" s="92"/>
      <c r="G585" s="92">
        <f>C585*E585</f>
        <v>61002</v>
      </c>
      <c r="H585" s="92"/>
      <c r="I585" s="92"/>
    </row>
    <row r="586" spans="2:9">
      <c r="B586" s="88" t="s">
        <v>563</v>
      </c>
      <c r="C586" s="89">
        <f>1/1000</f>
        <v>1E-3</v>
      </c>
      <c r="D586" s="90" t="str">
        <f>VLOOKUP(B586,BD!$B$4:$D$290,2,FALSE)</f>
        <v>viaje</v>
      </c>
      <c r="E586" s="91">
        <f>VLOOKUP(B586,BD!$B$4:$D$290,3,FALSE)</f>
        <v>1500000</v>
      </c>
      <c r="F586" s="92"/>
      <c r="G586" s="92"/>
      <c r="H586" s="92"/>
      <c r="I586" s="92">
        <f>C586*E586</f>
        <v>1500</v>
      </c>
    </row>
    <row r="587" spans="2:9">
      <c r="B587" s="93" t="s">
        <v>7</v>
      </c>
      <c r="C587" s="93" t="s">
        <v>504</v>
      </c>
      <c r="D587" s="94"/>
      <c r="E587" s="95"/>
      <c r="F587" s="118">
        <f>SUM(F585:F586)</f>
        <v>0</v>
      </c>
      <c r="G587" s="118">
        <f t="shared" ref="G587" si="111">SUM(G585:G586)</f>
        <v>61002</v>
      </c>
      <c r="H587" s="118">
        <f t="shared" ref="H587" si="112">SUM(H585:H586)</f>
        <v>0</v>
      </c>
      <c r="I587" s="118">
        <f t="shared" ref="I587" si="113">SUM(I585:I586)</f>
        <v>1500</v>
      </c>
    </row>
    <row r="588" spans="2:9">
      <c r="B588" s="97">
        <f>ROUNDUP(SUM(F587:I587),0)</f>
        <v>62502</v>
      </c>
      <c r="C588" s="98" t="s">
        <v>564</v>
      </c>
      <c r="D588" s="99"/>
      <c r="E588" s="100"/>
      <c r="F588" s="106"/>
      <c r="G588" s="106"/>
      <c r="H588" s="106"/>
      <c r="I588" s="106"/>
    </row>
    <row r="590" spans="2:9">
      <c r="B590" s="1686" t="s">
        <v>745</v>
      </c>
      <c r="C590" s="1686"/>
      <c r="D590" s="1686"/>
      <c r="E590" s="1686"/>
      <c r="F590" s="1686"/>
      <c r="G590" s="1686"/>
      <c r="H590" s="1686"/>
      <c r="I590" s="166" t="s">
        <v>746</v>
      </c>
    </row>
    <row r="591" spans="2:9">
      <c r="C591" s="127" t="s">
        <v>491</v>
      </c>
      <c r="D591" s="104" t="s">
        <v>492</v>
      </c>
      <c r="E591" s="104" t="s">
        <v>493</v>
      </c>
      <c r="F591" s="104" t="s">
        <v>494</v>
      </c>
      <c r="G591" s="104" t="s">
        <v>360</v>
      </c>
      <c r="H591" s="104" t="s">
        <v>495</v>
      </c>
      <c r="I591" s="104" t="s">
        <v>496</v>
      </c>
    </row>
    <row r="592" spans="2:9">
      <c r="B592" s="88" t="s">
        <v>747</v>
      </c>
      <c r="C592" s="89">
        <v>1</v>
      </c>
      <c r="D592" s="90" t="str">
        <f>VLOOKUP(B592,BD!$B$4:$D$290,2,FALSE)</f>
        <v>und</v>
      </c>
      <c r="E592" s="91">
        <f>VLOOKUP(B592,BD!$B$4:$D$290,3,FALSE)</f>
        <v>448473</v>
      </c>
      <c r="F592" s="92"/>
      <c r="G592" s="92">
        <f>C592*E592</f>
        <v>448473</v>
      </c>
      <c r="H592" s="92"/>
      <c r="I592" s="92"/>
    </row>
    <row r="593" spans="2:9">
      <c r="B593" s="88" t="s">
        <v>563</v>
      </c>
      <c r="C593" s="89">
        <f>1/30</f>
        <v>3.3333333333333333E-2</v>
      </c>
      <c r="D593" s="90" t="str">
        <f>VLOOKUP(B593,BD!$B$4:$D$290,2,FALSE)</f>
        <v>viaje</v>
      </c>
      <c r="E593" s="91">
        <f>VLOOKUP(B593,BD!$B$4:$D$290,3,FALSE)</f>
        <v>1500000</v>
      </c>
      <c r="F593" s="92"/>
      <c r="G593" s="92"/>
      <c r="H593" s="92"/>
      <c r="I593" s="92">
        <f>C593*E593</f>
        <v>50000</v>
      </c>
    </row>
    <row r="594" spans="2:9">
      <c r="B594" s="93" t="s">
        <v>7</v>
      </c>
      <c r="C594" s="93" t="s">
        <v>504</v>
      </c>
      <c r="D594" s="94"/>
      <c r="E594" s="95"/>
      <c r="F594" s="118">
        <f>SUM(F592:F593)</f>
        <v>0</v>
      </c>
      <c r="G594" s="118">
        <f t="shared" ref="G594" si="114">SUM(G592:G593)</f>
        <v>448473</v>
      </c>
      <c r="H594" s="118">
        <f t="shared" ref="H594" si="115">SUM(H592:H593)</f>
        <v>0</v>
      </c>
      <c r="I594" s="118">
        <f t="shared" ref="I594" si="116">SUM(I592:I593)</f>
        <v>50000</v>
      </c>
    </row>
    <row r="595" spans="2:9">
      <c r="B595" s="97">
        <f>ROUNDUP(SUM(F594:I594),0)</f>
        <v>498473</v>
      </c>
      <c r="C595" s="98" t="s">
        <v>564</v>
      </c>
      <c r="D595" s="99"/>
      <c r="E595" s="100"/>
      <c r="F595" s="106"/>
      <c r="G595" s="106"/>
      <c r="H595" s="106"/>
      <c r="I595" s="106"/>
    </row>
    <row r="597" spans="2:9">
      <c r="B597" s="1686" t="s">
        <v>748</v>
      </c>
      <c r="C597" s="1686"/>
      <c r="D597" s="1686"/>
      <c r="E597" s="1686"/>
      <c r="F597" s="1686"/>
      <c r="G597" s="1686"/>
      <c r="H597" s="1686"/>
      <c r="I597" s="160" t="s">
        <v>749</v>
      </c>
    </row>
    <row r="598" spans="2:9">
      <c r="C598" s="121" t="s">
        <v>491</v>
      </c>
      <c r="D598" s="117" t="s">
        <v>492</v>
      </c>
      <c r="E598" s="122" t="s">
        <v>493</v>
      </c>
      <c r="F598" s="122" t="s">
        <v>494</v>
      </c>
      <c r="G598" s="122" t="s">
        <v>360</v>
      </c>
      <c r="H598" s="122" t="s">
        <v>495</v>
      </c>
      <c r="I598" s="122" t="s">
        <v>496</v>
      </c>
    </row>
    <row r="599" spans="2:9">
      <c r="B599" s="88" t="s">
        <v>750</v>
      </c>
      <c r="C599" s="89">
        <v>1</v>
      </c>
      <c r="D599" s="90" t="str">
        <f>VLOOKUP(B599,BD!$B$4:$D$290,2,FALSE)</f>
        <v>ton</v>
      </c>
      <c r="E599" s="91">
        <f>VLOOKUP(B599,BD!$B$4:$D$290,3,FALSE)</f>
        <v>138692.31841628329</v>
      </c>
      <c r="F599" s="92"/>
      <c r="G599" s="92"/>
      <c r="H599" s="92"/>
      <c r="I599" s="92">
        <f>C599*E599</f>
        <v>138692.31841628329</v>
      </c>
    </row>
    <row r="600" spans="2:9">
      <c r="B600" s="88" t="s">
        <v>751</v>
      </c>
      <c r="C600" s="89">
        <v>1</v>
      </c>
      <c r="D600" s="90" t="str">
        <f>VLOOKUP(B600,BD!$B$4:$D$290,2,FALSE)</f>
        <v xml:space="preserve">un </v>
      </c>
      <c r="E600" s="91">
        <f>VLOOKUP(B600,BD!$B$4:$D$290,3,FALSE)</f>
        <v>937577.20000000007</v>
      </c>
      <c r="F600" s="92"/>
      <c r="G600" s="92">
        <v>800000</v>
      </c>
      <c r="H600" s="92"/>
      <c r="I600" s="92"/>
    </row>
    <row r="601" spans="2:9">
      <c r="B601" s="93" t="s">
        <v>7</v>
      </c>
      <c r="C601" s="93" t="s">
        <v>504</v>
      </c>
      <c r="D601" s="94"/>
      <c r="E601" s="95"/>
      <c r="F601" s="122">
        <f>SUM(F599:F600)</f>
        <v>0</v>
      </c>
      <c r="G601" s="122">
        <f t="shared" ref="G601:I601" si="117">SUM(G599:G600)</f>
        <v>800000</v>
      </c>
      <c r="H601" s="122">
        <f t="shared" si="117"/>
        <v>0</v>
      </c>
      <c r="I601" s="122">
        <f t="shared" si="117"/>
        <v>138692.31841628329</v>
      </c>
    </row>
    <row r="602" spans="2:9">
      <c r="B602" s="97">
        <f>ROUNDUP(SUM(F601:I601),0)</f>
        <v>938693</v>
      </c>
      <c r="C602" s="98" t="s">
        <v>299</v>
      </c>
      <c r="D602" s="99"/>
      <c r="F602" s="100"/>
      <c r="G602" s="100"/>
      <c r="H602" s="100"/>
      <c r="I602" s="100"/>
    </row>
    <row r="604" spans="2:9">
      <c r="B604" s="1686" t="s">
        <v>752</v>
      </c>
      <c r="C604" s="1686"/>
      <c r="D604" s="1686"/>
      <c r="E604" s="1686"/>
      <c r="F604" s="1686"/>
      <c r="G604" s="1686"/>
      <c r="H604" s="1686"/>
      <c r="I604" s="160" t="s">
        <v>753</v>
      </c>
    </row>
    <row r="605" spans="2:9">
      <c r="C605" s="121" t="s">
        <v>491</v>
      </c>
      <c r="D605" s="117" t="s">
        <v>492</v>
      </c>
      <c r="E605" s="122" t="s">
        <v>493</v>
      </c>
      <c r="F605" s="122" t="s">
        <v>494</v>
      </c>
      <c r="G605" s="122" t="s">
        <v>360</v>
      </c>
      <c r="H605" s="122" t="s">
        <v>495</v>
      </c>
      <c r="I605" s="122" t="s">
        <v>496</v>
      </c>
    </row>
    <row r="606" spans="2:9">
      <c r="B606" s="88" t="s">
        <v>750</v>
      </c>
      <c r="C606" s="89">
        <v>1</v>
      </c>
      <c r="D606" s="90" t="str">
        <f>VLOOKUP(B606,BD!$B$4:$D$290,2,FALSE)</f>
        <v>ton</v>
      </c>
      <c r="E606" s="91">
        <f>VLOOKUP(B606,BD!$B$4:$D$290,3,FALSE)</f>
        <v>138692.31841628329</v>
      </c>
      <c r="F606" s="92"/>
      <c r="G606" s="92"/>
      <c r="H606" s="92"/>
      <c r="I606" s="92">
        <f>C606*E606</f>
        <v>138692.31841628329</v>
      </c>
    </row>
    <row r="607" spans="2:9">
      <c r="B607" s="88" t="s">
        <v>754</v>
      </c>
      <c r="C607" s="89">
        <v>1</v>
      </c>
      <c r="D607" s="90" t="str">
        <f>VLOOKUP(B607,BD!$B$4:$D$290,2,FALSE)</f>
        <v xml:space="preserve">un </v>
      </c>
      <c r="E607" s="91">
        <f>VLOOKUP(B607,BD!$B$4:$D$290,3,FALSE)</f>
        <v>1585119.6666666667</v>
      </c>
      <c r="F607" s="92"/>
      <c r="G607" s="92">
        <f>1175900*1.19</f>
        <v>1399321</v>
      </c>
      <c r="H607" s="92"/>
      <c r="I607" s="92"/>
    </row>
    <row r="608" spans="2:9">
      <c r="B608" s="93" t="s">
        <v>7</v>
      </c>
      <c r="C608" s="93" t="s">
        <v>504</v>
      </c>
      <c r="D608" s="94"/>
      <c r="E608" s="95"/>
      <c r="F608" s="122">
        <f>SUM(F606:F607)</f>
        <v>0</v>
      </c>
      <c r="G608" s="122">
        <f t="shared" ref="G608:I608" si="118">SUM(G606:G607)</f>
        <v>1399321</v>
      </c>
      <c r="H608" s="122">
        <f t="shared" si="118"/>
        <v>0</v>
      </c>
      <c r="I608" s="122">
        <f t="shared" si="118"/>
        <v>138692.31841628329</v>
      </c>
    </row>
    <row r="609" spans="2:9">
      <c r="B609" s="97">
        <f>ROUNDUP(SUM(F608:I608),0)</f>
        <v>1538014</v>
      </c>
      <c r="C609" s="98" t="s">
        <v>299</v>
      </c>
      <c r="D609" s="99"/>
      <c r="F609" s="100"/>
      <c r="G609" s="100"/>
      <c r="H609" s="100"/>
      <c r="I609" s="100"/>
    </row>
    <row r="611" spans="2:9">
      <c r="B611" s="1686" t="s">
        <v>755</v>
      </c>
      <c r="C611" s="1686"/>
      <c r="D611" s="1686"/>
      <c r="E611" s="1686"/>
      <c r="F611" s="1686"/>
      <c r="G611" s="1686"/>
      <c r="H611" s="1686"/>
      <c r="I611" s="160" t="s">
        <v>756</v>
      </c>
    </row>
    <row r="612" spans="2:9">
      <c r="C612" s="121" t="s">
        <v>491</v>
      </c>
      <c r="D612" s="117" t="s">
        <v>492</v>
      </c>
      <c r="E612" s="122" t="s">
        <v>493</v>
      </c>
      <c r="F612" s="122" t="s">
        <v>494</v>
      </c>
      <c r="G612" s="122" t="s">
        <v>360</v>
      </c>
      <c r="H612" s="122" t="s">
        <v>495</v>
      </c>
      <c r="I612" s="122" t="s">
        <v>496</v>
      </c>
    </row>
    <row r="613" spans="2:9">
      <c r="B613" s="88" t="s">
        <v>750</v>
      </c>
      <c r="C613" s="89">
        <v>0.88800000000000001</v>
      </c>
      <c r="D613" s="90" t="str">
        <f>VLOOKUP(B613,BD!$B$4:$D$290,2,FALSE)</f>
        <v>ton</v>
      </c>
      <c r="E613" s="91">
        <f>VLOOKUP(B613,BD!$B$4:$D$290,3,FALSE)</f>
        <v>138692.31841628329</v>
      </c>
      <c r="F613" s="92"/>
      <c r="G613" s="92"/>
      <c r="H613" s="92"/>
      <c r="I613" s="92">
        <f>C613*E613</f>
        <v>123158.77875365957</v>
      </c>
    </row>
    <row r="614" spans="2:9">
      <c r="B614" s="88" t="s">
        <v>757</v>
      </c>
      <c r="C614" s="89">
        <v>1</v>
      </c>
      <c r="D614" s="90" t="str">
        <f>VLOOKUP(B614,BD!$B$4:$D$290,2,FALSE)</f>
        <v xml:space="preserve">un </v>
      </c>
      <c r="E614" s="90">
        <f>VLOOKUP(B614,BD!$B$4:$D$290,3,FALSE)</f>
        <v>1041726</v>
      </c>
      <c r="F614" s="92"/>
      <c r="G614" s="92">
        <f>C614*E614</f>
        <v>1041726</v>
      </c>
      <c r="H614" s="92"/>
      <c r="I614" s="92"/>
    </row>
    <row r="615" spans="2:9">
      <c r="B615" s="93" t="s">
        <v>7</v>
      </c>
      <c r="C615" s="93" t="s">
        <v>504</v>
      </c>
      <c r="D615" s="94"/>
      <c r="E615" s="95"/>
      <c r="F615" s="122">
        <f>SUM(F613:F614)</f>
        <v>0</v>
      </c>
      <c r="G615" s="122">
        <f t="shared" ref="G615" si="119">SUM(G613:G614)</f>
        <v>1041726</v>
      </c>
      <c r="H615" s="122">
        <f t="shared" ref="H615" si="120">SUM(H613:H614)</f>
        <v>0</v>
      </c>
      <c r="I615" s="122">
        <f t="shared" ref="I615" si="121">SUM(I613:I614)</f>
        <v>123158.77875365957</v>
      </c>
    </row>
    <row r="616" spans="2:9">
      <c r="B616" s="97">
        <f>ROUNDUP(SUM(F615:I615),0)</f>
        <v>1164885</v>
      </c>
      <c r="C616" s="98" t="s">
        <v>564</v>
      </c>
      <c r="D616" s="99"/>
      <c r="E616" s="100"/>
      <c r="F616" s="100"/>
      <c r="G616" s="100"/>
      <c r="H616" s="100"/>
      <c r="I616" s="100"/>
    </row>
    <row r="618" spans="2:9">
      <c r="B618" s="1686" t="s">
        <v>758</v>
      </c>
      <c r="C618" s="1686"/>
      <c r="D618" s="1686"/>
      <c r="E618" s="1686"/>
      <c r="F618" s="1686"/>
      <c r="G618" s="1686"/>
      <c r="H618" s="1686"/>
      <c r="I618" s="160" t="s">
        <v>759</v>
      </c>
    </row>
    <row r="619" spans="2:9">
      <c r="C619" s="121" t="s">
        <v>491</v>
      </c>
      <c r="D619" s="117" t="s">
        <v>492</v>
      </c>
      <c r="E619" s="122" t="s">
        <v>493</v>
      </c>
      <c r="F619" s="122" t="s">
        <v>494</v>
      </c>
      <c r="G619" s="122" t="s">
        <v>360</v>
      </c>
      <c r="H619" s="122" t="s">
        <v>495</v>
      </c>
      <c r="I619" s="122" t="s">
        <v>496</v>
      </c>
    </row>
    <row r="620" spans="2:9">
      <c r="B620" s="88" t="s">
        <v>750</v>
      </c>
      <c r="C620" s="89">
        <v>0.88800000000000001</v>
      </c>
      <c r="D620" s="90" t="str">
        <f>VLOOKUP(B620,BD!$B$4:$D$290,2,FALSE)</f>
        <v>ton</v>
      </c>
      <c r="E620" s="91">
        <f>VLOOKUP(B620,BD!$B$4:$D$290,3,FALSE)</f>
        <v>138692.31841628329</v>
      </c>
      <c r="F620" s="92"/>
      <c r="G620" s="92"/>
      <c r="H620" s="92"/>
      <c r="I620" s="92">
        <f>C620*E620</f>
        <v>123158.77875365957</v>
      </c>
    </row>
    <row r="621" spans="2:9">
      <c r="B621" s="88" t="s">
        <v>760</v>
      </c>
      <c r="C621" s="89">
        <v>1</v>
      </c>
      <c r="D621" s="90" t="str">
        <f>VLOOKUP(B621,BD!$B$4:$D$290,2,FALSE)</f>
        <v xml:space="preserve">un </v>
      </c>
      <c r="E621" s="91">
        <f>VLOOKUP(B621,BD!$B$4:$D$290,3,FALSE)</f>
        <v>2164669.5</v>
      </c>
      <c r="F621" s="92"/>
      <c r="G621" s="92">
        <f>C621*E621</f>
        <v>2164669.5</v>
      </c>
      <c r="H621" s="92"/>
      <c r="I621" s="92"/>
    </row>
    <row r="622" spans="2:9">
      <c r="B622" s="93" t="s">
        <v>7</v>
      </c>
      <c r="C622" s="93" t="s">
        <v>504</v>
      </c>
      <c r="D622" s="94"/>
      <c r="E622" s="95"/>
      <c r="F622" s="122">
        <f>SUM(F620:F621)</f>
        <v>0</v>
      </c>
      <c r="G622" s="122">
        <f t="shared" ref="G622:I622" si="122">SUM(G620:G621)</f>
        <v>2164669.5</v>
      </c>
      <c r="H622" s="122">
        <f t="shared" si="122"/>
        <v>0</v>
      </c>
      <c r="I622" s="122">
        <f t="shared" si="122"/>
        <v>123158.77875365957</v>
      </c>
    </row>
    <row r="623" spans="2:9">
      <c r="B623" s="97">
        <f>ROUNDUP(SUM(F622:I622),0)</f>
        <v>2287829</v>
      </c>
      <c r="C623" s="98" t="s">
        <v>564</v>
      </c>
      <c r="D623" s="99"/>
      <c r="E623" s="100"/>
      <c r="F623" s="100"/>
      <c r="G623" s="100"/>
      <c r="H623" s="100"/>
      <c r="I623" s="100"/>
    </row>
    <row r="625" spans="2:9">
      <c r="B625" s="1686" t="s">
        <v>761</v>
      </c>
      <c r="C625" s="1686"/>
      <c r="D625" s="1686"/>
      <c r="E625" s="1686"/>
      <c r="F625" s="1686"/>
      <c r="G625" s="1686"/>
      <c r="H625" s="1686"/>
      <c r="I625" s="160" t="s">
        <v>762</v>
      </c>
    </row>
    <row r="626" spans="2:9">
      <c r="C626" s="117" t="s">
        <v>491</v>
      </c>
      <c r="D626" s="117" t="s">
        <v>492</v>
      </c>
      <c r="E626" s="122" t="s">
        <v>493</v>
      </c>
      <c r="F626" s="122" t="s">
        <v>494</v>
      </c>
      <c r="G626" s="122" t="s">
        <v>360</v>
      </c>
      <c r="H626" s="122" t="s">
        <v>495</v>
      </c>
      <c r="I626" s="122" t="s">
        <v>496</v>
      </c>
    </row>
    <row r="627" spans="2:9">
      <c r="B627" s="88" t="s">
        <v>750</v>
      </c>
      <c r="C627" s="89">
        <v>0.7</v>
      </c>
      <c r="D627" s="90" t="str">
        <f>VLOOKUP(B627,BD!$B$4:$D$290,2,FALSE)</f>
        <v>ton</v>
      </c>
      <c r="E627" s="91">
        <f>VLOOKUP(B627,BD!$B$4:$D$290,3,FALSE)</f>
        <v>138692.31841628329</v>
      </c>
      <c r="F627" s="92"/>
      <c r="G627" s="92"/>
      <c r="H627" s="92"/>
      <c r="I627" s="92">
        <f>C627*E627</f>
        <v>97084.622891398292</v>
      </c>
    </row>
    <row r="628" spans="2:9">
      <c r="B628" s="88" t="s">
        <v>763</v>
      </c>
      <c r="C628" s="89">
        <v>1</v>
      </c>
      <c r="D628" s="90" t="str">
        <f>VLOOKUP(B628,BD!$B$4:$D$290,2,FALSE)</f>
        <v xml:space="preserve">un </v>
      </c>
      <c r="E628" s="91">
        <v>500000</v>
      </c>
      <c r="F628" s="92"/>
      <c r="G628" s="92">
        <f>C628*E628</f>
        <v>500000</v>
      </c>
      <c r="H628" s="92"/>
      <c r="I628" s="92"/>
    </row>
    <row r="629" spans="2:9">
      <c r="B629" s="93" t="s">
        <v>7</v>
      </c>
      <c r="C629" s="93" t="s">
        <v>504</v>
      </c>
      <c r="D629" s="94"/>
      <c r="E629" s="95"/>
      <c r="F629" s="122">
        <f>SUM(F627:F628)</f>
        <v>0</v>
      </c>
      <c r="G629" s="122">
        <f t="shared" ref="G629" si="123">SUM(G627:G628)</f>
        <v>500000</v>
      </c>
      <c r="H629" s="122">
        <f t="shared" ref="H629" si="124">SUM(H627:H628)</f>
        <v>0</v>
      </c>
      <c r="I629" s="122">
        <f t="shared" ref="I629" si="125">SUM(I627:I628)</f>
        <v>97084.622891398292</v>
      </c>
    </row>
    <row r="630" spans="2:9">
      <c r="B630" s="97">
        <f>ROUNDUP(SUM(F629:I629),0)</f>
        <v>597085</v>
      </c>
      <c r="C630" s="98" t="s">
        <v>564</v>
      </c>
      <c r="D630" s="99"/>
      <c r="E630" s="100"/>
      <c r="F630" s="100"/>
      <c r="G630" s="100"/>
      <c r="H630" s="100"/>
      <c r="I630" s="100"/>
    </row>
    <row r="632" spans="2:9">
      <c r="B632" s="1686" t="s">
        <v>764</v>
      </c>
      <c r="C632" s="1686"/>
      <c r="D632" s="1686"/>
      <c r="E632" s="1686"/>
      <c r="F632" s="1686"/>
      <c r="G632" s="1686"/>
      <c r="H632" s="1686"/>
      <c r="I632" s="160" t="s">
        <v>765</v>
      </c>
    </row>
    <row r="633" spans="2:9">
      <c r="C633" s="117" t="s">
        <v>491</v>
      </c>
      <c r="D633" s="117" t="s">
        <v>492</v>
      </c>
      <c r="E633" s="122" t="s">
        <v>493</v>
      </c>
      <c r="F633" s="122" t="s">
        <v>494</v>
      </c>
      <c r="G633" s="122" t="s">
        <v>360</v>
      </c>
      <c r="H633" s="122" t="s">
        <v>495</v>
      </c>
      <c r="I633" s="122" t="s">
        <v>496</v>
      </c>
    </row>
    <row r="634" spans="2:9">
      <c r="B634" s="88" t="s">
        <v>750</v>
      </c>
      <c r="C634" s="89">
        <v>0.7</v>
      </c>
      <c r="D634" s="90" t="str">
        <f>VLOOKUP(B634,BD!$B$4:$D$290,2,FALSE)</f>
        <v>ton</v>
      </c>
      <c r="E634" s="91">
        <f>VLOOKUP(B634,BD!$B$4:$D$290,3,FALSE)</f>
        <v>138692.31841628329</v>
      </c>
      <c r="F634" s="92"/>
      <c r="G634" s="92"/>
      <c r="H634" s="92"/>
      <c r="I634" s="92">
        <f>C634*E634</f>
        <v>97084.622891398292</v>
      </c>
    </row>
    <row r="635" spans="2:9">
      <c r="B635" s="88" t="s">
        <v>766</v>
      </c>
      <c r="C635" s="89">
        <v>1</v>
      </c>
      <c r="D635" s="90" t="str">
        <f>VLOOKUP(B635,BD!$B$4:$D$290,2,FALSE)</f>
        <v xml:space="preserve">un </v>
      </c>
      <c r="E635" s="91">
        <f>VLOOKUP(B635,BD!$B$4:$D$290,3,FALSE)</f>
        <v>1130539.6666666667</v>
      </c>
      <c r="F635" s="92"/>
      <c r="G635" s="92">
        <f>C635*E635</f>
        <v>1130539.6666666667</v>
      </c>
      <c r="H635" s="92"/>
      <c r="I635" s="92"/>
    </row>
    <row r="636" spans="2:9">
      <c r="B636" s="93" t="s">
        <v>7</v>
      </c>
      <c r="C636" s="93" t="s">
        <v>504</v>
      </c>
      <c r="D636" s="94"/>
      <c r="E636" s="95"/>
      <c r="F636" s="122">
        <f>SUM(F634:F635)</f>
        <v>0</v>
      </c>
      <c r="G636" s="122">
        <f t="shared" ref="G636:I636" si="126">SUM(G634:G635)</f>
        <v>1130539.6666666667</v>
      </c>
      <c r="H636" s="122">
        <f t="shared" si="126"/>
        <v>0</v>
      </c>
      <c r="I636" s="122">
        <f t="shared" si="126"/>
        <v>97084.622891398292</v>
      </c>
    </row>
    <row r="637" spans="2:9">
      <c r="B637" s="97">
        <f>ROUNDUP(SUM(F636:I636),0)</f>
        <v>1227625</v>
      </c>
      <c r="C637" s="98" t="s">
        <v>564</v>
      </c>
      <c r="D637" s="99"/>
      <c r="E637" s="100"/>
      <c r="F637" s="100"/>
      <c r="G637" s="100"/>
      <c r="H637" s="100"/>
      <c r="I637" s="100"/>
    </row>
    <row r="639" spans="2:9">
      <c r="B639" s="1686" t="s">
        <v>767</v>
      </c>
      <c r="C639" s="1686"/>
      <c r="D639" s="1686"/>
      <c r="E639" s="1686"/>
      <c r="F639" s="1686"/>
      <c r="G639" s="1686"/>
      <c r="H639" s="1686"/>
      <c r="I639" s="160" t="s">
        <v>768</v>
      </c>
    </row>
    <row r="640" spans="2:9">
      <c r="C640" s="117" t="s">
        <v>491</v>
      </c>
      <c r="D640" s="117" t="s">
        <v>492</v>
      </c>
      <c r="E640" s="122" t="s">
        <v>493</v>
      </c>
      <c r="F640" s="122" t="s">
        <v>494</v>
      </c>
      <c r="G640" s="122" t="s">
        <v>360</v>
      </c>
      <c r="H640" s="122" t="s">
        <v>495</v>
      </c>
      <c r="I640" s="122" t="s">
        <v>496</v>
      </c>
    </row>
    <row r="641" spans="2:9">
      <c r="B641" s="88" t="s">
        <v>769</v>
      </c>
      <c r="C641" s="89">
        <v>1</v>
      </c>
      <c r="D641" s="90" t="str">
        <f>VLOOKUP(B641,BD!$B$4:$D$290,2,FALSE)</f>
        <v>un</v>
      </c>
      <c r="E641" s="1469">
        <v>522641</v>
      </c>
      <c r="F641" s="92"/>
      <c r="G641" s="92">
        <f>C641*E641</f>
        <v>522641</v>
      </c>
      <c r="H641" s="92"/>
      <c r="I641" s="92"/>
    </row>
    <row r="642" spans="2:9">
      <c r="B642" s="88" t="s">
        <v>770</v>
      </c>
      <c r="C642" s="89">
        <v>1</v>
      </c>
      <c r="D642" s="90" t="str">
        <f>VLOOKUP(B642,BD!$B$4:$D$290,2,FALSE)</f>
        <v>un</v>
      </c>
      <c r="E642" s="1469">
        <v>638000</v>
      </c>
      <c r="F642" s="92"/>
      <c r="G642" s="92">
        <f>C642*E642</f>
        <v>638000</v>
      </c>
      <c r="H642" s="92"/>
      <c r="I642" s="92"/>
    </row>
    <row r="643" spans="2:9">
      <c r="B643" s="88" t="s">
        <v>771</v>
      </c>
      <c r="C643" s="89">
        <f>1/11</f>
        <v>9.0909090909090912E-2</v>
      </c>
      <c r="D643" s="90" t="str">
        <f>VLOOKUP(B643,BD!$B$4:$D$290,2,FALSE)</f>
        <v>viaje</v>
      </c>
      <c r="E643" s="91">
        <f>VLOOKUP(B643,BD!$B$4:$D$290,3,FALSE)</f>
        <v>975800</v>
      </c>
      <c r="F643" s="92"/>
      <c r="G643" s="92"/>
      <c r="H643" s="92"/>
      <c r="I643" s="92">
        <f>C643*E643</f>
        <v>88709.090909090912</v>
      </c>
    </row>
    <row r="644" spans="2:9">
      <c r="B644" s="93" t="s">
        <v>7</v>
      </c>
      <c r="C644" s="93" t="s">
        <v>504</v>
      </c>
      <c r="D644" s="94"/>
      <c r="E644" s="95"/>
      <c r="F644" s="122">
        <f>SUM(F641:F643)</f>
        <v>0</v>
      </c>
      <c r="G644" s="122">
        <f t="shared" ref="G644:I644" si="127">SUM(G641:G643)</f>
        <v>1160641</v>
      </c>
      <c r="H644" s="122">
        <f t="shared" si="127"/>
        <v>0</v>
      </c>
      <c r="I644" s="122">
        <f t="shared" si="127"/>
        <v>88709.090909090912</v>
      </c>
    </row>
    <row r="645" spans="2:9">
      <c r="B645" s="97">
        <f>ROUNDUP(SUM(F644:I644),0)</f>
        <v>1249351</v>
      </c>
      <c r="C645" s="98" t="s">
        <v>564</v>
      </c>
      <c r="D645" s="99"/>
      <c r="E645" s="100"/>
      <c r="F645" s="100"/>
      <c r="G645" s="100"/>
      <c r="H645" s="100"/>
      <c r="I645" s="100"/>
    </row>
    <row r="646" spans="2:9" ht="15.75" thickBot="1"/>
    <row r="647" spans="2:9" ht="21.75" thickBot="1">
      <c r="B647" s="1687" t="s">
        <v>772</v>
      </c>
      <c r="C647" s="1688"/>
      <c r="D647" s="1688"/>
      <c r="E647" s="1688"/>
      <c r="F647" s="1688"/>
      <c r="G647" s="1688"/>
      <c r="H647" s="1688"/>
      <c r="I647" s="1689"/>
    </row>
    <row r="649" spans="2:9">
      <c r="B649" s="1718" t="s">
        <v>773</v>
      </c>
      <c r="C649" s="1718"/>
      <c r="D649" s="1718"/>
      <c r="E649" s="1718"/>
      <c r="F649" s="1718"/>
      <c r="G649" s="1718"/>
      <c r="H649" s="1718"/>
      <c r="I649" s="167" t="s">
        <v>774</v>
      </c>
    </row>
    <row r="650" spans="2:9">
      <c r="C650" s="158" t="s">
        <v>491</v>
      </c>
      <c r="D650" s="104" t="s">
        <v>492</v>
      </c>
      <c r="E650" s="104" t="s">
        <v>493</v>
      </c>
      <c r="F650" s="104" t="s">
        <v>494</v>
      </c>
      <c r="G650" s="104" t="s">
        <v>360</v>
      </c>
      <c r="H650" s="104" t="s">
        <v>495</v>
      </c>
      <c r="I650" s="104" t="s">
        <v>496</v>
      </c>
    </row>
    <row r="651" spans="2:9">
      <c r="B651" s="88" t="s">
        <v>624</v>
      </c>
      <c r="C651" s="89">
        <v>0.1</v>
      </c>
      <c r="D651" s="90" t="str">
        <f>VLOOKUP(B651,BD!$B$4:$D$290,2,FALSE)</f>
        <v>pesos</v>
      </c>
      <c r="E651" s="91">
        <f>VLOOKUP(B651,BD!$B$4:$D$290,3,FALSE)</f>
        <v>15000</v>
      </c>
      <c r="F651" s="92"/>
      <c r="G651" s="92"/>
      <c r="H651" s="92"/>
      <c r="I651" s="92">
        <f>C651*E651</f>
        <v>1500</v>
      </c>
    </row>
    <row r="652" spans="2:9">
      <c r="B652" s="88" t="s">
        <v>775</v>
      </c>
      <c r="C652" s="89">
        <f>(1/(6*2))/8</f>
        <v>1.0416666666666666E-2</v>
      </c>
      <c r="D652" s="90" t="str">
        <f>VLOOKUP(B652,BD!$B$4:$D$290,2,FALSE)</f>
        <v>tarro</v>
      </c>
      <c r="E652" s="91">
        <f>VLOOKUP(B652,BD!$B$4:$D$290,3,FALSE)</f>
        <v>234068</v>
      </c>
      <c r="F652" s="92"/>
      <c r="G652" s="92">
        <f>C652*E652</f>
        <v>2438.208333333333</v>
      </c>
      <c r="H652" s="92"/>
      <c r="I652" s="92"/>
    </row>
    <row r="653" spans="2:9">
      <c r="B653" s="88" t="s">
        <v>776</v>
      </c>
      <c r="C653" s="89">
        <v>1</v>
      </c>
      <c r="D653" s="90" t="str">
        <f>VLOOKUP(B653,BD!$B$4:$D$290,2,FALSE)</f>
        <v>pesos</v>
      </c>
      <c r="E653" s="91">
        <f>VLOOKUP(B653,BD!$B$4:$D$290,3,FALSE)</f>
        <v>1600</v>
      </c>
      <c r="F653" s="92"/>
      <c r="G653" s="92"/>
      <c r="H653" s="92"/>
      <c r="I653" s="92">
        <f>C653*E653</f>
        <v>1600</v>
      </c>
    </row>
    <row r="654" spans="2:9">
      <c r="B654" s="88" t="s">
        <v>511</v>
      </c>
      <c r="C654" s="89">
        <f>1/(6*2)</f>
        <v>8.3333333333333329E-2</v>
      </c>
      <c r="D654" s="90" t="str">
        <f>VLOOKUP(B654,BD!$B$4:$D$290,2,FALSE)</f>
        <v>día</v>
      </c>
      <c r="E654" s="91">
        <f>VLOOKUP(B654,BD!$B$4:$D$290,3,FALSE)</f>
        <v>218270.00000000003</v>
      </c>
      <c r="F654" s="92"/>
      <c r="G654" s="92"/>
      <c r="H654" s="92">
        <f>C654*E654</f>
        <v>18189.166666666668</v>
      </c>
      <c r="I654" s="92"/>
    </row>
    <row r="655" spans="2:9">
      <c r="B655" s="88" t="s">
        <v>512</v>
      </c>
      <c r="C655" s="89">
        <f>1/(6*2)</f>
        <v>8.3333333333333329E-2</v>
      </c>
      <c r="D655" s="90" t="str">
        <f>VLOOKUP(B655,BD!$B$4:$D$290,2,FALSE)</f>
        <v>día</v>
      </c>
      <c r="E655" s="91">
        <f>VLOOKUP(B655,BD!$B$4:$D$290,3,FALSE)</f>
        <v>130962.00000000003</v>
      </c>
      <c r="F655" s="92"/>
      <c r="G655" s="92"/>
      <c r="H655" s="92">
        <f>C655*E655</f>
        <v>10913.500000000002</v>
      </c>
      <c r="I655" s="92"/>
    </row>
    <row r="656" spans="2:9">
      <c r="B656" s="88" t="s">
        <v>497</v>
      </c>
      <c r="C656" s="89">
        <v>1</v>
      </c>
      <c r="D656" s="90" t="s">
        <v>498</v>
      </c>
      <c r="E656" s="91">
        <f>0.05*H657</f>
        <v>1455.1333333333337</v>
      </c>
      <c r="F656" s="92"/>
      <c r="G656" s="92"/>
      <c r="H656" s="92"/>
      <c r="I656" s="92">
        <f>C656*E656</f>
        <v>1455.1333333333337</v>
      </c>
    </row>
    <row r="657" spans="2:9">
      <c r="B657" s="93" t="s">
        <v>7</v>
      </c>
      <c r="C657" s="93" t="s">
        <v>504</v>
      </c>
      <c r="D657" s="94"/>
      <c r="E657" s="95"/>
      <c r="F657" s="159">
        <f>SUM(F651:F656)</f>
        <v>0</v>
      </c>
      <c r="G657" s="159">
        <f t="shared" ref="G657:I657" si="128">SUM(G651:G656)</f>
        <v>2438.208333333333</v>
      </c>
      <c r="H657" s="159">
        <f t="shared" si="128"/>
        <v>29102.666666666672</v>
      </c>
      <c r="I657" s="159">
        <f t="shared" si="128"/>
        <v>4555.1333333333332</v>
      </c>
    </row>
    <row r="658" spans="2:9">
      <c r="B658" s="97">
        <f>ROUNDUP(SUM(F657:I657),0)</f>
        <v>36097</v>
      </c>
      <c r="C658" s="98" t="s">
        <v>299</v>
      </c>
      <c r="G658" s="94"/>
      <c r="H658" s="94"/>
      <c r="I658" s="94"/>
    </row>
    <row r="660" spans="2:9">
      <c r="B660" s="1718" t="s">
        <v>777</v>
      </c>
      <c r="C660" s="1718"/>
      <c r="D660" s="1718"/>
      <c r="E660" s="1718"/>
      <c r="F660" s="1718"/>
      <c r="G660" s="1718"/>
      <c r="H660" s="1718"/>
      <c r="I660" s="167" t="s">
        <v>778</v>
      </c>
    </row>
    <row r="661" spans="2:9">
      <c r="C661" s="158" t="s">
        <v>491</v>
      </c>
      <c r="D661" s="104" t="s">
        <v>492</v>
      </c>
      <c r="E661" s="104" t="s">
        <v>493</v>
      </c>
      <c r="F661" s="104" t="s">
        <v>494</v>
      </c>
      <c r="G661" s="104" t="s">
        <v>360</v>
      </c>
      <c r="H661" s="104" t="s">
        <v>495</v>
      </c>
      <c r="I661" s="104" t="s">
        <v>496</v>
      </c>
    </row>
    <row r="662" spans="2:9">
      <c r="B662" s="88" t="s">
        <v>624</v>
      </c>
      <c r="C662" s="89">
        <v>0.1</v>
      </c>
      <c r="D662" s="90" t="str">
        <f>VLOOKUP(B662,BD!$B$4:$D$290,2,FALSE)</f>
        <v>pesos</v>
      </c>
      <c r="E662" s="91">
        <f>VLOOKUP(B662,BD!$B$4:$D$290,3,FALSE)</f>
        <v>15000</v>
      </c>
      <c r="F662" s="92"/>
      <c r="G662" s="92"/>
      <c r="H662" s="92"/>
      <c r="I662" s="92">
        <f>C662*E662</f>
        <v>1500</v>
      </c>
    </row>
    <row r="663" spans="2:9">
      <c r="B663" s="88" t="s">
        <v>775</v>
      </c>
      <c r="C663" s="89">
        <f>(1/(6*2))/8</f>
        <v>1.0416666666666666E-2</v>
      </c>
      <c r="D663" s="90" t="str">
        <f>VLOOKUP(B663,BD!$B$4:$D$290,2,FALSE)</f>
        <v>tarro</v>
      </c>
      <c r="E663" s="91">
        <f>VLOOKUP(B663,BD!$B$4:$D$290,3,FALSE)</f>
        <v>234068</v>
      </c>
      <c r="F663" s="92"/>
      <c r="G663" s="92">
        <f>C663*E663</f>
        <v>2438.208333333333</v>
      </c>
      <c r="H663" s="92"/>
      <c r="I663" s="92"/>
    </row>
    <row r="664" spans="2:9">
      <c r="B664" s="88" t="s">
        <v>776</v>
      </c>
      <c r="C664" s="89">
        <v>1</v>
      </c>
      <c r="D664" s="90" t="str">
        <f>VLOOKUP(B664,BD!$B$4:$D$290,2,FALSE)</f>
        <v>pesos</v>
      </c>
      <c r="E664" s="91">
        <f>VLOOKUP(B664,BD!$B$4:$D$290,3,FALSE)</f>
        <v>1600</v>
      </c>
      <c r="F664" s="92"/>
      <c r="G664" s="92"/>
      <c r="H664" s="92"/>
      <c r="I664" s="92">
        <f>C664*E664</f>
        <v>1600</v>
      </c>
    </row>
    <row r="665" spans="2:9">
      <c r="B665" s="88" t="s">
        <v>511</v>
      </c>
      <c r="C665" s="89">
        <f>1/(6*1.8)</f>
        <v>9.2592592592592587E-2</v>
      </c>
      <c r="D665" s="90" t="str">
        <f>VLOOKUP(B665,BD!$B$4:$D$290,2,FALSE)</f>
        <v>día</v>
      </c>
      <c r="E665" s="91">
        <f>VLOOKUP(B665,BD!$B$4:$D$290,3,FALSE)</f>
        <v>218270.00000000003</v>
      </c>
      <c r="F665" s="92"/>
      <c r="G665" s="92"/>
      <c r="H665" s="92">
        <f>C665*E665</f>
        <v>20210.185185185186</v>
      </c>
      <c r="I665" s="92"/>
    </row>
    <row r="666" spans="2:9">
      <c r="B666" s="88" t="s">
        <v>512</v>
      </c>
      <c r="C666" s="89">
        <f>1/(6*1.8)</f>
        <v>9.2592592592592587E-2</v>
      </c>
      <c r="D666" s="90" t="str">
        <f>VLOOKUP(B666,BD!$B$4:$D$290,2,FALSE)</f>
        <v>día</v>
      </c>
      <c r="E666" s="91">
        <f>VLOOKUP(B666,BD!$B$4:$D$290,3,FALSE)</f>
        <v>130962.00000000003</v>
      </c>
      <c r="F666" s="92"/>
      <c r="G666" s="92"/>
      <c r="H666" s="92">
        <f>C666*E666</f>
        <v>12126.111111111113</v>
      </c>
      <c r="I666" s="92"/>
    </row>
    <row r="667" spans="2:9">
      <c r="B667" s="88" t="s">
        <v>497</v>
      </c>
      <c r="C667" s="89">
        <v>1</v>
      </c>
      <c r="D667" s="90" t="s">
        <v>498</v>
      </c>
      <c r="E667" s="91">
        <f>0.05*H668</f>
        <v>1616.814814814815</v>
      </c>
      <c r="F667" s="92"/>
      <c r="G667" s="92"/>
      <c r="H667" s="92"/>
      <c r="I667" s="92">
        <f>C667*E667</f>
        <v>1616.814814814815</v>
      </c>
    </row>
    <row r="668" spans="2:9">
      <c r="B668" s="93" t="s">
        <v>7</v>
      </c>
      <c r="C668" s="93" t="s">
        <v>504</v>
      </c>
      <c r="D668" s="94"/>
      <c r="E668" s="95"/>
      <c r="F668" s="159">
        <f>SUM(F662:F667)</f>
        <v>0</v>
      </c>
      <c r="G668" s="159">
        <f t="shared" ref="G668" si="129">SUM(G662:G667)</f>
        <v>2438.208333333333</v>
      </c>
      <c r="H668" s="159">
        <f t="shared" ref="H668" si="130">SUM(H662:H667)</f>
        <v>32336.296296296299</v>
      </c>
      <c r="I668" s="159">
        <f t="shared" ref="I668" si="131">SUM(I662:I667)</f>
        <v>4716.8148148148148</v>
      </c>
    </row>
    <row r="669" spans="2:9">
      <c r="B669" s="97">
        <f>ROUNDUP(SUM(F668:I668),0)</f>
        <v>39492</v>
      </c>
      <c r="C669" s="98" t="s">
        <v>299</v>
      </c>
      <c r="H669" s="94"/>
      <c r="I669" s="94"/>
    </row>
    <row r="671" spans="2:9">
      <c r="B671" s="1718" t="s">
        <v>779</v>
      </c>
      <c r="C671" s="1718"/>
      <c r="D671" s="1718"/>
      <c r="E671" s="1718"/>
      <c r="F671" s="1718"/>
      <c r="G671" s="1718"/>
      <c r="H671" s="1718"/>
      <c r="I671" s="167" t="s">
        <v>780</v>
      </c>
    </row>
    <row r="672" spans="2:9">
      <c r="C672" s="158" t="s">
        <v>491</v>
      </c>
      <c r="D672" s="104" t="s">
        <v>492</v>
      </c>
      <c r="E672" s="104" t="s">
        <v>493</v>
      </c>
      <c r="F672" s="104" t="s">
        <v>494</v>
      </c>
      <c r="G672" s="104" t="s">
        <v>360</v>
      </c>
      <c r="H672" s="104" t="s">
        <v>495</v>
      </c>
      <c r="I672" s="104" t="s">
        <v>496</v>
      </c>
    </row>
    <row r="673" spans="2:9">
      <c r="B673" s="88" t="s">
        <v>624</v>
      </c>
      <c r="C673" s="89">
        <v>0.1</v>
      </c>
      <c r="D673" s="90" t="str">
        <f>VLOOKUP(B673,BD!$B$4:$D$290,2,FALSE)</f>
        <v>pesos</v>
      </c>
      <c r="E673" s="91">
        <f>VLOOKUP(B673,BD!$B$4:$D$290,3,FALSE)</f>
        <v>15000</v>
      </c>
      <c r="F673" s="92"/>
      <c r="G673" s="92"/>
      <c r="H673" s="92"/>
      <c r="I673" s="92">
        <f>C673*E673</f>
        <v>1500</v>
      </c>
    </row>
    <row r="674" spans="2:9">
      <c r="B674" s="88" t="s">
        <v>775</v>
      </c>
      <c r="C674" s="89">
        <f>(1/(6*1.6))/8</f>
        <v>1.3020833333333332E-2</v>
      </c>
      <c r="D674" s="90" t="str">
        <f>VLOOKUP(B674,BD!$B$4:$D$290,2,FALSE)</f>
        <v>tarro</v>
      </c>
      <c r="E674" s="91">
        <f>VLOOKUP(B674,BD!$B$4:$D$290,3,FALSE)</f>
        <v>234068</v>
      </c>
      <c r="F674" s="92"/>
      <c r="G674" s="92">
        <f>C674*E674</f>
        <v>3047.7604166666665</v>
      </c>
      <c r="H674" s="92"/>
      <c r="I674" s="92"/>
    </row>
    <row r="675" spans="2:9">
      <c r="B675" s="88" t="s">
        <v>776</v>
      </c>
      <c r="C675" s="89">
        <v>1</v>
      </c>
      <c r="D675" s="90" t="str">
        <f>VLOOKUP(B675,BD!$B$4:$D$290,2,FALSE)</f>
        <v>pesos</v>
      </c>
      <c r="E675" s="91">
        <f>VLOOKUP(B675,BD!$B$4:$D$290,3,FALSE)</f>
        <v>1600</v>
      </c>
      <c r="F675" s="92"/>
      <c r="G675" s="92"/>
      <c r="H675" s="92"/>
      <c r="I675" s="92">
        <f>C675*E675</f>
        <v>1600</v>
      </c>
    </row>
    <row r="676" spans="2:9">
      <c r="B676" s="88" t="s">
        <v>511</v>
      </c>
      <c r="C676" s="89">
        <f>1/(6*1.6)</f>
        <v>0.10416666666666666</v>
      </c>
      <c r="D676" s="90" t="str">
        <f>VLOOKUP(B676,BD!$B$4:$D$290,2,FALSE)</f>
        <v>día</v>
      </c>
      <c r="E676" s="91">
        <f>VLOOKUP(B676,BD!$B$4:$D$290,3,FALSE)</f>
        <v>218270.00000000003</v>
      </c>
      <c r="F676" s="92"/>
      <c r="G676" s="92"/>
      <c r="H676" s="92">
        <f>C676*E676</f>
        <v>22736.458333333336</v>
      </c>
      <c r="I676" s="92"/>
    </row>
    <row r="677" spans="2:9">
      <c r="B677" s="88" t="s">
        <v>512</v>
      </c>
      <c r="C677" s="89">
        <f>1/(6*1.6)</f>
        <v>0.10416666666666666</v>
      </c>
      <c r="D677" s="90" t="str">
        <f>VLOOKUP(B677,BD!$B$4:$D$290,2,FALSE)</f>
        <v>día</v>
      </c>
      <c r="E677" s="91">
        <f>VLOOKUP(B677,BD!$B$4:$D$290,3,FALSE)</f>
        <v>130962.00000000003</v>
      </c>
      <c r="F677" s="92"/>
      <c r="G677" s="92"/>
      <c r="H677" s="92">
        <f>C677*E677</f>
        <v>13641.875000000002</v>
      </c>
      <c r="I677" s="92"/>
    </row>
    <row r="678" spans="2:9">
      <c r="B678" s="88" t="s">
        <v>497</v>
      </c>
      <c r="C678" s="89">
        <v>1</v>
      </c>
      <c r="D678" s="90" t="s">
        <v>498</v>
      </c>
      <c r="E678" s="91">
        <f>0.05*H679</f>
        <v>1818.916666666667</v>
      </c>
      <c r="F678" s="92"/>
      <c r="G678" s="92"/>
      <c r="H678" s="92"/>
      <c r="I678" s="92">
        <f>C678*E678</f>
        <v>1818.916666666667</v>
      </c>
    </row>
    <row r="679" spans="2:9">
      <c r="B679" s="93" t="s">
        <v>7</v>
      </c>
      <c r="C679" s="93" t="s">
        <v>504</v>
      </c>
      <c r="D679" s="94"/>
      <c r="E679" s="95"/>
      <c r="F679" s="159">
        <f>SUM(F673:F678)</f>
        <v>0</v>
      </c>
      <c r="G679" s="159">
        <f t="shared" ref="G679" si="132">SUM(G673:G678)</f>
        <v>3047.7604166666665</v>
      </c>
      <c r="H679" s="159">
        <f t="shared" ref="H679" si="133">SUM(H673:H678)</f>
        <v>36378.333333333336</v>
      </c>
      <c r="I679" s="159">
        <f t="shared" ref="I679" si="134">SUM(I673:I678)</f>
        <v>4918.916666666667</v>
      </c>
    </row>
    <row r="680" spans="2:9">
      <c r="B680" s="97">
        <f>ROUNDUP(SUM(F679:I679),0)</f>
        <v>44346</v>
      </c>
      <c r="C680" s="98" t="s">
        <v>299</v>
      </c>
      <c r="H680" s="94"/>
      <c r="I680" s="94"/>
    </row>
    <row r="682" spans="2:9">
      <c r="B682" s="1718" t="s">
        <v>781</v>
      </c>
      <c r="C682" s="1718"/>
      <c r="D682" s="1718"/>
      <c r="E682" s="1718"/>
      <c r="F682" s="1718"/>
      <c r="G682" s="1718"/>
      <c r="H682" s="1718"/>
      <c r="I682" s="167" t="s">
        <v>782</v>
      </c>
    </row>
    <row r="683" spans="2:9">
      <c r="C683" s="158" t="s">
        <v>491</v>
      </c>
      <c r="D683" s="104" t="s">
        <v>492</v>
      </c>
      <c r="E683" s="104" t="s">
        <v>493</v>
      </c>
      <c r="F683" s="104" t="s">
        <v>494</v>
      </c>
      <c r="G683" s="104" t="s">
        <v>360</v>
      </c>
      <c r="H683" s="104" t="s">
        <v>495</v>
      </c>
      <c r="I683" s="104" t="s">
        <v>496</v>
      </c>
    </row>
    <row r="684" spans="2:9">
      <c r="B684" s="88" t="s">
        <v>624</v>
      </c>
      <c r="C684" s="89">
        <v>0.1</v>
      </c>
      <c r="D684" s="90" t="str">
        <f>VLOOKUP(B684,BD!$B$4:$D$290,2,FALSE)</f>
        <v>pesos</v>
      </c>
      <c r="E684" s="91">
        <f>VLOOKUP(B684,BD!$B$4:$D$290,3,FALSE)</f>
        <v>15000</v>
      </c>
      <c r="F684" s="92"/>
      <c r="G684" s="92"/>
      <c r="H684" s="92"/>
      <c r="I684" s="92">
        <f>C684*E684</f>
        <v>1500</v>
      </c>
    </row>
    <row r="685" spans="2:9">
      <c r="B685" s="88" t="s">
        <v>775</v>
      </c>
      <c r="C685" s="89">
        <f>(1/(6*1.4))/8</f>
        <v>1.4880952380952384E-2</v>
      </c>
      <c r="D685" s="90" t="str">
        <f>VLOOKUP(B685,BD!$B$4:$D$290,2,FALSE)</f>
        <v>tarro</v>
      </c>
      <c r="E685" s="91">
        <f>VLOOKUP(B685,BD!$B$4:$D$290,3,FALSE)</f>
        <v>234068</v>
      </c>
      <c r="F685" s="92"/>
      <c r="G685" s="92">
        <f>C685*E685</f>
        <v>3483.1547619047624</v>
      </c>
      <c r="H685" s="92"/>
      <c r="I685" s="92"/>
    </row>
    <row r="686" spans="2:9">
      <c r="B686" s="88" t="s">
        <v>776</v>
      </c>
      <c r="C686" s="89">
        <v>1</v>
      </c>
      <c r="D686" s="90" t="str">
        <f>VLOOKUP(B686,BD!$B$4:$D$290,2,FALSE)</f>
        <v>pesos</v>
      </c>
      <c r="E686" s="91">
        <f>VLOOKUP(B686,BD!$B$4:$D$290,3,FALSE)</f>
        <v>1600</v>
      </c>
      <c r="F686" s="92"/>
      <c r="G686" s="92"/>
      <c r="H686" s="92"/>
      <c r="I686" s="92">
        <f>C686*E686</f>
        <v>1600</v>
      </c>
    </row>
    <row r="687" spans="2:9">
      <c r="B687" s="88" t="s">
        <v>511</v>
      </c>
      <c r="C687" s="89">
        <f>1/(6*1.4)</f>
        <v>0.11904761904761907</v>
      </c>
      <c r="D687" s="90" t="str">
        <f>VLOOKUP(B687,BD!$B$4:$D$290,2,FALSE)</f>
        <v>día</v>
      </c>
      <c r="E687" s="91">
        <f>VLOOKUP(B687,BD!$B$4:$D$290,3,FALSE)</f>
        <v>218270.00000000003</v>
      </c>
      <c r="F687" s="92"/>
      <c r="G687" s="92"/>
      <c r="H687" s="92">
        <f>C687*E687</f>
        <v>25984.523809523816</v>
      </c>
      <c r="I687" s="92"/>
    </row>
    <row r="688" spans="2:9">
      <c r="B688" s="88" t="s">
        <v>512</v>
      </c>
      <c r="C688" s="89">
        <f>1/(6*1.4)</f>
        <v>0.11904761904761907</v>
      </c>
      <c r="D688" s="90" t="str">
        <f>VLOOKUP(B688,BD!$B$4:$D$290,2,FALSE)</f>
        <v>día</v>
      </c>
      <c r="E688" s="91">
        <f>VLOOKUP(B688,BD!$B$4:$D$290,3,FALSE)</f>
        <v>130962.00000000003</v>
      </c>
      <c r="F688" s="92"/>
      <c r="G688" s="92"/>
      <c r="H688" s="92">
        <f>C688*E688</f>
        <v>15590.714285714292</v>
      </c>
      <c r="I688" s="92"/>
    </row>
    <row r="689" spans="2:9">
      <c r="B689" s="88" t="s">
        <v>497</v>
      </c>
      <c r="C689" s="89">
        <v>1</v>
      </c>
      <c r="D689" s="90" t="s">
        <v>498</v>
      </c>
      <c r="E689" s="91">
        <f>0.05*H690</f>
        <v>2078.7619047619055</v>
      </c>
      <c r="F689" s="92"/>
      <c r="G689" s="92"/>
      <c r="H689" s="92"/>
      <c r="I689" s="92">
        <f>C689*E689</f>
        <v>2078.7619047619055</v>
      </c>
    </row>
    <row r="690" spans="2:9">
      <c r="B690" s="93" t="s">
        <v>7</v>
      </c>
      <c r="C690" s="93" t="s">
        <v>504</v>
      </c>
      <c r="D690" s="94"/>
      <c r="F690" s="159">
        <f>SUM(F684:F689)</f>
        <v>0</v>
      </c>
      <c r="G690" s="159">
        <f t="shared" ref="G690" si="135">SUM(G684:G689)</f>
        <v>3483.1547619047624</v>
      </c>
      <c r="H690" s="159">
        <f t="shared" ref="H690" si="136">SUM(H684:H689)</f>
        <v>41575.238095238106</v>
      </c>
      <c r="I690" s="159">
        <f t="shared" ref="I690" si="137">SUM(I684:I689)</f>
        <v>5178.7619047619055</v>
      </c>
    </row>
    <row r="691" spans="2:9">
      <c r="B691" s="97">
        <f>ROUNDUP(SUM(F690:I690),0)</f>
        <v>50238</v>
      </c>
      <c r="C691" s="98" t="s">
        <v>299</v>
      </c>
      <c r="H691" s="94"/>
      <c r="I691" s="94"/>
    </row>
    <row r="693" spans="2:9">
      <c r="B693" s="1718" t="s">
        <v>783</v>
      </c>
      <c r="C693" s="1718"/>
      <c r="D693" s="1718"/>
      <c r="E693" s="1718"/>
      <c r="F693" s="1718"/>
      <c r="G693" s="1718"/>
      <c r="H693" s="1718"/>
      <c r="I693" s="167" t="s">
        <v>784</v>
      </c>
    </row>
    <row r="694" spans="2:9">
      <c r="C694" s="158" t="s">
        <v>491</v>
      </c>
      <c r="D694" s="104" t="s">
        <v>492</v>
      </c>
      <c r="E694" s="104" t="s">
        <v>493</v>
      </c>
      <c r="F694" s="104" t="s">
        <v>494</v>
      </c>
      <c r="G694" s="104" t="s">
        <v>360</v>
      </c>
      <c r="H694" s="104" t="s">
        <v>495</v>
      </c>
      <c r="I694" s="104" t="s">
        <v>496</v>
      </c>
    </row>
    <row r="695" spans="2:9">
      <c r="B695" s="88" t="s">
        <v>624</v>
      </c>
      <c r="C695" s="89">
        <v>0.1</v>
      </c>
      <c r="D695" s="90" t="str">
        <f>VLOOKUP(B695,BD!$B$4:$D$290,2,FALSE)</f>
        <v>pesos</v>
      </c>
      <c r="E695" s="91">
        <f>VLOOKUP(B695,BD!$B$4:$D$290,3,FALSE)</f>
        <v>15000</v>
      </c>
      <c r="F695" s="92"/>
      <c r="G695" s="92"/>
      <c r="H695" s="92"/>
      <c r="I695" s="92">
        <f>C695*E695</f>
        <v>1500</v>
      </c>
    </row>
    <row r="696" spans="2:9">
      <c r="B696" s="88" t="s">
        <v>775</v>
      </c>
      <c r="C696" s="89">
        <f>(1/(6*1.2))/8</f>
        <v>1.7361111111111112E-2</v>
      </c>
      <c r="D696" s="90" t="str">
        <f>VLOOKUP(B696,BD!$B$4:$D$290,2,FALSE)</f>
        <v>tarro</v>
      </c>
      <c r="E696" s="91">
        <f>VLOOKUP(B696,BD!$B$4:$D$290,3,FALSE)</f>
        <v>234068</v>
      </c>
      <c r="F696" s="92"/>
      <c r="G696" s="92">
        <f>C696*E696</f>
        <v>4063.6805555555557</v>
      </c>
      <c r="H696" s="92"/>
      <c r="I696" s="92"/>
    </row>
    <row r="697" spans="2:9">
      <c r="B697" s="88" t="s">
        <v>776</v>
      </c>
      <c r="C697" s="89">
        <v>1</v>
      </c>
      <c r="D697" s="90" t="str">
        <f>VLOOKUP(B697,BD!$B$4:$D$290,2,FALSE)</f>
        <v>pesos</v>
      </c>
      <c r="E697" s="91">
        <f>VLOOKUP(B697,BD!$B$4:$D$290,3,FALSE)</f>
        <v>1600</v>
      </c>
      <c r="F697" s="92"/>
      <c r="G697" s="92"/>
      <c r="H697" s="92"/>
      <c r="I697" s="92">
        <f>C697*E697</f>
        <v>1600</v>
      </c>
    </row>
    <row r="698" spans="2:9">
      <c r="B698" s="88" t="s">
        <v>511</v>
      </c>
      <c r="C698" s="89">
        <f>1/(6*1.2)</f>
        <v>0.1388888888888889</v>
      </c>
      <c r="D698" s="90" t="str">
        <f>VLOOKUP(B698,BD!$B$4:$D$290,2,FALSE)</f>
        <v>día</v>
      </c>
      <c r="E698" s="91">
        <f>VLOOKUP(B698,BD!$B$4:$D$290,3,FALSE)</f>
        <v>218270.00000000003</v>
      </c>
      <c r="F698" s="92"/>
      <c r="G698" s="92"/>
      <c r="H698" s="92">
        <f>C698*E698</f>
        <v>30315.277777777785</v>
      </c>
      <c r="I698" s="92"/>
    </row>
    <row r="699" spans="2:9">
      <c r="B699" s="88" t="s">
        <v>512</v>
      </c>
      <c r="C699" s="89">
        <f>1/(6*1.2)</f>
        <v>0.1388888888888889</v>
      </c>
      <c r="D699" s="90" t="str">
        <f>VLOOKUP(B699,BD!$B$4:$D$290,2,FALSE)</f>
        <v>día</v>
      </c>
      <c r="E699" s="91">
        <f>VLOOKUP(B699,BD!$B$4:$D$290,3,FALSE)</f>
        <v>130962.00000000003</v>
      </c>
      <c r="F699" s="92"/>
      <c r="G699" s="92"/>
      <c r="H699" s="92">
        <f>C699*E699</f>
        <v>18189.166666666672</v>
      </c>
      <c r="I699" s="92"/>
    </row>
    <row r="700" spans="2:9">
      <c r="B700" s="88" t="s">
        <v>497</v>
      </c>
      <c r="C700" s="89">
        <v>1</v>
      </c>
      <c r="D700" s="90" t="s">
        <v>498</v>
      </c>
      <c r="E700" s="91">
        <f>0.05*H701</f>
        <v>2425.2222222222226</v>
      </c>
      <c r="F700" s="92"/>
      <c r="G700" s="92"/>
      <c r="H700" s="92"/>
      <c r="I700" s="92">
        <f>C700*E700</f>
        <v>2425.2222222222226</v>
      </c>
    </row>
    <row r="701" spans="2:9">
      <c r="B701" s="93" t="s">
        <v>7</v>
      </c>
      <c r="C701" s="93" t="s">
        <v>504</v>
      </c>
      <c r="D701" s="94"/>
      <c r="E701" s="95"/>
      <c r="F701" s="159">
        <f>SUM(F695:F700)</f>
        <v>0</v>
      </c>
      <c r="G701" s="159">
        <f t="shared" ref="G701" si="138">SUM(G695:G700)</f>
        <v>4063.6805555555557</v>
      </c>
      <c r="H701" s="159">
        <f t="shared" ref="H701" si="139">SUM(H695:H700)</f>
        <v>48504.444444444453</v>
      </c>
      <c r="I701" s="159">
        <f t="shared" ref="I701" si="140">SUM(I695:I700)</f>
        <v>5525.2222222222226</v>
      </c>
    </row>
    <row r="702" spans="2:9">
      <c r="B702" s="97">
        <f>ROUNDUP(SUM(F701:I701),0)</f>
        <v>58094</v>
      </c>
      <c r="C702" s="98" t="s">
        <v>299</v>
      </c>
      <c r="D702" s="146"/>
      <c r="E702" s="100"/>
      <c r="F702" s="94"/>
      <c r="G702" s="94"/>
      <c r="H702" s="94"/>
      <c r="I702" s="94"/>
    </row>
    <row r="704" spans="2:9">
      <c r="B704" s="1718" t="s">
        <v>785</v>
      </c>
      <c r="C704" s="1718"/>
      <c r="D704" s="1718"/>
      <c r="E704" s="1718"/>
      <c r="F704" s="1718"/>
      <c r="G704" s="1718"/>
      <c r="H704" s="1718"/>
      <c r="I704" s="167" t="s">
        <v>786</v>
      </c>
    </row>
    <row r="705" spans="2:9">
      <c r="C705" s="158" t="s">
        <v>491</v>
      </c>
      <c r="D705" s="104" t="s">
        <v>492</v>
      </c>
      <c r="E705" s="104" t="s">
        <v>493</v>
      </c>
      <c r="F705" s="104" t="s">
        <v>494</v>
      </c>
      <c r="G705" s="104" t="s">
        <v>360</v>
      </c>
      <c r="H705" s="104" t="s">
        <v>495</v>
      </c>
      <c r="I705" s="104" t="s">
        <v>496</v>
      </c>
    </row>
    <row r="706" spans="2:9">
      <c r="B706" s="88" t="s">
        <v>624</v>
      </c>
      <c r="C706" s="89">
        <v>0.1</v>
      </c>
      <c r="D706" s="90" t="str">
        <f>VLOOKUP(B706,BD!$B$4:$D$290,2,FALSE)</f>
        <v>pesos</v>
      </c>
      <c r="E706" s="91">
        <f>VLOOKUP(B706,BD!$B$4:$D$290,3,FALSE)</f>
        <v>15000</v>
      </c>
      <c r="F706" s="92"/>
      <c r="G706" s="92"/>
      <c r="H706" s="92"/>
      <c r="I706" s="92">
        <f>C706*E706</f>
        <v>1500</v>
      </c>
    </row>
    <row r="707" spans="2:9">
      <c r="B707" s="88" t="s">
        <v>775</v>
      </c>
      <c r="C707" s="89">
        <f>(1/6)/8</f>
        <v>2.0833333333333332E-2</v>
      </c>
      <c r="D707" s="90" t="str">
        <f>VLOOKUP(B707,BD!$B$4:$D$290,2,FALSE)</f>
        <v>tarro</v>
      </c>
      <c r="E707" s="91">
        <f>VLOOKUP(B707,BD!$B$4:$D$290,3,FALSE)</f>
        <v>234068</v>
      </c>
      <c r="F707" s="92"/>
      <c r="G707" s="92">
        <f>C707*E707</f>
        <v>4876.4166666666661</v>
      </c>
      <c r="H707" s="92"/>
      <c r="I707" s="92"/>
    </row>
    <row r="708" spans="2:9">
      <c r="B708" s="88" t="s">
        <v>776</v>
      </c>
      <c r="C708" s="89">
        <v>1</v>
      </c>
      <c r="D708" s="90" t="str">
        <f>VLOOKUP(B708,BD!$B$4:$D$290,2,FALSE)</f>
        <v>pesos</v>
      </c>
      <c r="E708" s="91">
        <f>VLOOKUP(B708,BD!$B$4:$D$290,3,FALSE)</f>
        <v>1600</v>
      </c>
      <c r="F708" s="92"/>
      <c r="G708" s="92"/>
      <c r="H708" s="92"/>
      <c r="I708" s="92">
        <f>C708*E708</f>
        <v>1600</v>
      </c>
    </row>
    <row r="709" spans="2:9">
      <c r="B709" s="88" t="s">
        <v>511</v>
      </c>
      <c r="C709" s="89">
        <f>1/6</f>
        <v>0.16666666666666666</v>
      </c>
      <c r="D709" s="90" t="str">
        <f>VLOOKUP(B709,BD!$B$4:$D$290,2,FALSE)</f>
        <v>día</v>
      </c>
      <c r="E709" s="91">
        <f>VLOOKUP(B709,BD!$B$4:$D$290,3,FALSE)</f>
        <v>218270.00000000003</v>
      </c>
      <c r="F709" s="92"/>
      <c r="G709" s="92"/>
      <c r="H709" s="92">
        <f>C709*E709</f>
        <v>36378.333333333336</v>
      </c>
      <c r="I709" s="92"/>
    </row>
    <row r="710" spans="2:9">
      <c r="B710" s="88" t="s">
        <v>512</v>
      </c>
      <c r="C710" s="89">
        <f>1/6</f>
        <v>0.16666666666666666</v>
      </c>
      <c r="D710" s="90" t="str">
        <f>VLOOKUP(B710,BD!$B$4:$D$290,2,FALSE)</f>
        <v>día</v>
      </c>
      <c r="E710" s="91">
        <f>VLOOKUP(B710,BD!$B$4:$D$290,3,FALSE)</f>
        <v>130962.00000000003</v>
      </c>
      <c r="F710" s="92"/>
      <c r="G710" s="92"/>
      <c r="H710" s="92">
        <f>C710*E710</f>
        <v>21827.000000000004</v>
      </c>
      <c r="I710" s="92"/>
    </row>
    <row r="711" spans="2:9">
      <c r="B711" s="88" t="s">
        <v>497</v>
      </c>
      <c r="C711" s="89">
        <v>1</v>
      </c>
      <c r="D711" s="90" t="s">
        <v>498</v>
      </c>
      <c r="E711" s="91">
        <f>0.05*H712</f>
        <v>2910.2666666666673</v>
      </c>
      <c r="F711" s="92"/>
      <c r="G711" s="92"/>
      <c r="H711" s="92"/>
      <c r="I711" s="92">
        <f>C711*E711</f>
        <v>2910.2666666666673</v>
      </c>
    </row>
    <row r="712" spans="2:9">
      <c r="B712" s="93" t="s">
        <v>7</v>
      </c>
      <c r="C712" s="93" t="s">
        <v>504</v>
      </c>
      <c r="D712" s="94"/>
      <c r="E712" s="95"/>
      <c r="F712" s="159">
        <f>SUM(F706:F711)</f>
        <v>0</v>
      </c>
      <c r="G712" s="159">
        <f t="shared" ref="G712" si="141">SUM(G706:G711)</f>
        <v>4876.4166666666661</v>
      </c>
      <c r="H712" s="159">
        <f t="shared" ref="H712" si="142">SUM(H706:H711)</f>
        <v>58205.333333333343</v>
      </c>
      <c r="I712" s="159">
        <f t="shared" ref="I712" si="143">SUM(I706:I711)</f>
        <v>6010.2666666666673</v>
      </c>
    </row>
    <row r="713" spans="2:9">
      <c r="B713" s="97">
        <f>ROUNDUP(SUM(F712:I712),0)</f>
        <v>69093</v>
      </c>
      <c r="C713" s="98" t="s">
        <v>299</v>
      </c>
      <c r="D713" s="146"/>
      <c r="E713" s="100"/>
      <c r="F713" s="94"/>
      <c r="G713" s="94"/>
      <c r="H713" s="94"/>
      <c r="I713" s="94"/>
    </row>
    <row r="715" spans="2:9">
      <c r="B715" s="1718" t="s">
        <v>787</v>
      </c>
      <c r="C715" s="1718"/>
      <c r="D715" s="1718"/>
      <c r="E715" s="1718"/>
      <c r="F715" s="1718"/>
      <c r="G715" s="1718"/>
      <c r="H715" s="1718"/>
      <c r="I715" s="167" t="s">
        <v>788</v>
      </c>
    </row>
    <row r="716" spans="2:9">
      <c r="C716" s="155" t="s">
        <v>491</v>
      </c>
      <c r="D716" s="155" t="s">
        <v>492</v>
      </c>
      <c r="E716" s="161" t="s">
        <v>493</v>
      </c>
      <c r="F716" s="155" t="s">
        <v>494</v>
      </c>
      <c r="G716" s="155" t="s">
        <v>360</v>
      </c>
      <c r="H716" s="155" t="s">
        <v>495</v>
      </c>
      <c r="I716" s="155" t="s">
        <v>496</v>
      </c>
    </row>
    <row r="717" spans="2:9">
      <c r="B717" s="88" t="s">
        <v>624</v>
      </c>
      <c r="C717" s="89">
        <v>0.1</v>
      </c>
      <c r="D717" s="90" t="str">
        <f>VLOOKUP(B717,BD!$B$4:$D$290,2,FALSE)</f>
        <v>pesos</v>
      </c>
      <c r="E717" s="91">
        <f>VLOOKUP(B717,BD!$B$4:$D$290,3,FALSE)</f>
        <v>15000</v>
      </c>
      <c r="F717" s="92"/>
      <c r="G717" s="92"/>
      <c r="H717" s="92"/>
      <c r="I717" s="92">
        <f>C717*E717</f>
        <v>1500</v>
      </c>
    </row>
    <row r="718" spans="2:9">
      <c r="B718" s="88" t="s">
        <v>775</v>
      </c>
      <c r="C718" s="89">
        <f>(1/(6*3))/8</f>
        <v>6.9444444444444441E-3</v>
      </c>
      <c r="D718" s="90" t="str">
        <f>VLOOKUP(B718,BD!$B$4:$D$290,2,FALSE)</f>
        <v>tarro</v>
      </c>
      <c r="E718" s="91">
        <f>VLOOKUP(B718,BD!$B$4:$D$290,3,FALSE)</f>
        <v>234068</v>
      </c>
      <c r="F718" s="92"/>
      <c r="G718" s="92">
        <f>C718*E718</f>
        <v>1625.4722222222222</v>
      </c>
      <c r="H718" s="92"/>
      <c r="I718" s="92"/>
    </row>
    <row r="719" spans="2:9">
      <c r="B719" s="88" t="s">
        <v>511</v>
      </c>
      <c r="C719" s="89">
        <f>1/(6*3)</f>
        <v>5.5555555555555552E-2</v>
      </c>
      <c r="D719" s="90" t="str">
        <f>VLOOKUP(B719,BD!$B$4:$D$290,2,FALSE)</f>
        <v>día</v>
      </c>
      <c r="E719" s="91">
        <f>VLOOKUP(B719,BD!$B$4:$D$290,3,FALSE)</f>
        <v>218270.00000000003</v>
      </c>
      <c r="F719" s="92"/>
      <c r="G719" s="92"/>
      <c r="H719" s="92">
        <f>C719*E719</f>
        <v>12126.111111111111</v>
      </c>
      <c r="I719" s="92"/>
    </row>
    <row r="720" spans="2:9">
      <c r="B720" s="88" t="s">
        <v>512</v>
      </c>
      <c r="C720" s="89">
        <f>1/(6*3)</f>
        <v>5.5555555555555552E-2</v>
      </c>
      <c r="D720" s="90" t="str">
        <f>VLOOKUP(B720,BD!$B$4:$D$290,2,FALSE)</f>
        <v>día</v>
      </c>
      <c r="E720" s="91">
        <f>VLOOKUP(B720,BD!$B$4:$D$290,3,FALSE)</f>
        <v>130962.00000000003</v>
      </c>
      <c r="F720" s="92"/>
      <c r="G720" s="92"/>
      <c r="H720" s="92">
        <f>C720*E720</f>
        <v>7275.6666666666679</v>
      </c>
      <c r="I720" s="92"/>
    </row>
    <row r="721" spans="2:9">
      <c r="B721" s="88" t="s">
        <v>497</v>
      </c>
      <c r="C721" s="89">
        <v>1</v>
      </c>
      <c r="D721" s="90" t="s">
        <v>498</v>
      </c>
      <c r="E721" s="91">
        <f>0.05*H722</f>
        <v>970.08888888888907</v>
      </c>
      <c r="F721" s="92"/>
      <c r="G721" s="92"/>
      <c r="H721" s="92"/>
      <c r="I721" s="92">
        <f>C721*E721</f>
        <v>970.08888888888907</v>
      </c>
    </row>
    <row r="722" spans="2:9">
      <c r="B722" s="93" t="s">
        <v>7</v>
      </c>
      <c r="C722" s="93" t="s">
        <v>504</v>
      </c>
      <c r="D722" s="94"/>
      <c r="E722" s="95"/>
      <c r="F722" s="161">
        <f>SUM(F717:F721)</f>
        <v>0</v>
      </c>
      <c r="G722" s="161">
        <f t="shared" ref="G722:I722" si="144">SUM(G717:G721)</f>
        <v>1625.4722222222222</v>
      </c>
      <c r="H722" s="161">
        <f t="shared" si="144"/>
        <v>19401.777777777781</v>
      </c>
      <c r="I722" s="161">
        <f t="shared" si="144"/>
        <v>2470.088888888889</v>
      </c>
    </row>
    <row r="723" spans="2:9">
      <c r="B723" s="97">
        <f>ROUNDUP(SUM(F722:I722),0)</f>
        <v>23498</v>
      </c>
      <c r="C723" s="98" t="s">
        <v>299</v>
      </c>
      <c r="D723" s="99"/>
      <c r="E723" s="100"/>
      <c r="F723" s="162"/>
      <c r="G723" s="162"/>
      <c r="H723" s="162"/>
      <c r="I723" s="162"/>
    </row>
    <row r="725" spans="2:9">
      <c r="B725" s="1718" t="s">
        <v>789</v>
      </c>
      <c r="C725" s="1718"/>
      <c r="D725" s="1718"/>
      <c r="E725" s="1718"/>
      <c r="F725" s="1718"/>
      <c r="G725" s="1718"/>
      <c r="H725" s="1718"/>
      <c r="I725" s="167" t="s">
        <v>790</v>
      </c>
    </row>
    <row r="726" spans="2:9">
      <c r="C726" s="127" t="s">
        <v>491</v>
      </c>
      <c r="D726" s="104" t="s">
        <v>492</v>
      </c>
      <c r="E726" s="104" t="s">
        <v>493</v>
      </c>
      <c r="F726" s="104" t="s">
        <v>494</v>
      </c>
      <c r="G726" s="104" t="s">
        <v>360</v>
      </c>
      <c r="H726" s="104" t="s">
        <v>495</v>
      </c>
      <c r="I726" s="104" t="s">
        <v>496</v>
      </c>
    </row>
    <row r="727" spans="2:9">
      <c r="B727" s="88" t="s">
        <v>624</v>
      </c>
      <c r="C727" s="89">
        <v>0.01</v>
      </c>
      <c r="D727" s="90" t="str">
        <f>VLOOKUP(B727,BD!$B$4:$D$290,2,FALSE)</f>
        <v>pesos</v>
      </c>
      <c r="E727" s="91">
        <f>VLOOKUP(B727,BD!$B$4:$D$290,3,FALSE)</f>
        <v>15000</v>
      </c>
      <c r="F727" s="92"/>
      <c r="G727" s="92"/>
      <c r="H727" s="92"/>
      <c r="I727" s="92">
        <f>C727*E727</f>
        <v>150</v>
      </c>
    </row>
    <row r="728" spans="2:9">
      <c r="B728" s="88" t="s">
        <v>791</v>
      </c>
      <c r="C728" s="89">
        <f>1/10</f>
        <v>0.1</v>
      </c>
      <c r="D728" s="90" t="str">
        <f>VLOOKUP(B728,BD!$B$4:$D$290,2,FALSE)</f>
        <v>und</v>
      </c>
      <c r="E728" s="91">
        <f>VLOOKUP(B728,BD!$B$4:$D$290,3,FALSE)</f>
        <v>144201</v>
      </c>
      <c r="F728" s="92"/>
      <c r="G728" s="92">
        <f>C728*E728</f>
        <v>14420.1</v>
      </c>
      <c r="H728" s="92"/>
      <c r="I728" s="92"/>
    </row>
    <row r="729" spans="2:9">
      <c r="B729" s="88" t="s">
        <v>792</v>
      </c>
      <c r="C729" s="89">
        <f>1/10</f>
        <v>0.1</v>
      </c>
      <c r="D729" s="90" t="str">
        <f>VLOOKUP(B729,BD!$B$4:$D$290,2,FALSE)</f>
        <v>gal/4</v>
      </c>
      <c r="E729" s="91">
        <f>VLOOKUP(B729,BD!$B$4:$D$290,3,FALSE)</f>
        <v>146569</v>
      </c>
      <c r="F729" s="92"/>
      <c r="G729" s="92">
        <f>C729*E729</f>
        <v>14656.900000000001</v>
      </c>
      <c r="H729" s="92"/>
      <c r="I729" s="92"/>
    </row>
    <row r="730" spans="2:9">
      <c r="B730" s="88" t="s">
        <v>511</v>
      </c>
      <c r="C730" s="89">
        <f>1/10</f>
        <v>0.1</v>
      </c>
      <c r="D730" s="90" t="str">
        <f>VLOOKUP(B730,BD!$B$4:$D$290,2,FALSE)</f>
        <v>día</v>
      </c>
      <c r="E730" s="91">
        <f>VLOOKUP(B730,BD!$B$4:$D$290,3,FALSE)</f>
        <v>218270.00000000003</v>
      </c>
      <c r="F730" s="92"/>
      <c r="G730" s="92"/>
      <c r="H730" s="92">
        <f>C730*E730</f>
        <v>21827.000000000004</v>
      </c>
      <c r="I730" s="92"/>
    </row>
    <row r="731" spans="2:9">
      <c r="B731" s="88" t="s">
        <v>512</v>
      </c>
      <c r="C731" s="89">
        <f>1/10</f>
        <v>0.1</v>
      </c>
      <c r="D731" s="90" t="str">
        <f>VLOOKUP(B731,BD!$B$4:$D$290,2,FALSE)</f>
        <v>día</v>
      </c>
      <c r="E731" s="91">
        <f>VLOOKUP(B731,BD!$B$4:$D$290,3,FALSE)</f>
        <v>130962.00000000003</v>
      </c>
      <c r="F731" s="92"/>
      <c r="G731" s="92"/>
      <c r="H731" s="92">
        <f>C731*E731</f>
        <v>13096.200000000004</v>
      </c>
      <c r="I731" s="92"/>
    </row>
    <row r="732" spans="2:9">
      <c r="B732" s="88" t="s">
        <v>497</v>
      </c>
      <c r="C732" s="89">
        <v>1</v>
      </c>
      <c r="D732" s="90" t="s">
        <v>498</v>
      </c>
      <c r="E732" s="91">
        <f>0.05*H733</f>
        <v>1746.1600000000008</v>
      </c>
      <c r="F732" s="92"/>
      <c r="G732" s="92"/>
      <c r="H732" s="92"/>
      <c r="I732" s="92">
        <f>C732*E732</f>
        <v>1746.1600000000008</v>
      </c>
    </row>
    <row r="733" spans="2:9">
      <c r="B733" s="93" t="s">
        <v>7</v>
      </c>
      <c r="C733" s="93" t="s">
        <v>504</v>
      </c>
      <c r="D733" s="94"/>
      <c r="E733" s="95"/>
      <c r="F733" s="163">
        <f>SUM(F727:F732)</f>
        <v>0</v>
      </c>
      <c r="G733" s="163">
        <f t="shared" ref="G733:I733" si="145">SUM(G727:G732)</f>
        <v>29077</v>
      </c>
      <c r="H733" s="163">
        <f t="shared" si="145"/>
        <v>34923.200000000012</v>
      </c>
      <c r="I733" s="163">
        <f t="shared" si="145"/>
        <v>1896.1600000000008</v>
      </c>
    </row>
    <row r="734" spans="2:9">
      <c r="B734" s="97">
        <f>ROUNDUP(SUM(F733:I733),0)</f>
        <v>65897</v>
      </c>
      <c r="C734" s="98" t="s">
        <v>564</v>
      </c>
      <c r="D734" s="99"/>
      <c r="E734" s="100"/>
      <c r="F734" s="106"/>
      <c r="G734" s="106"/>
      <c r="H734" s="106"/>
      <c r="I734" s="106"/>
    </row>
    <row r="736" spans="2:9">
      <c r="B736" s="1718" t="s">
        <v>793</v>
      </c>
      <c r="C736" s="1718"/>
      <c r="D736" s="1718"/>
      <c r="E736" s="1718"/>
      <c r="F736" s="1718"/>
      <c r="G736" s="1718"/>
      <c r="H736" s="1718"/>
      <c r="I736" s="167" t="s">
        <v>794</v>
      </c>
    </row>
    <row r="737" spans="2:9">
      <c r="C737" s="127" t="s">
        <v>491</v>
      </c>
      <c r="D737" s="104" t="s">
        <v>492</v>
      </c>
      <c r="E737" s="104" t="s">
        <v>493</v>
      </c>
      <c r="F737" s="104" t="s">
        <v>494</v>
      </c>
      <c r="G737" s="104" t="s">
        <v>360</v>
      </c>
      <c r="H737" s="104" t="s">
        <v>495</v>
      </c>
      <c r="I737" s="104" t="s">
        <v>496</v>
      </c>
    </row>
    <row r="738" spans="2:9">
      <c r="B738" s="88" t="s">
        <v>624</v>
      </c>
      <c r="C738" s="89">
        <v>0.01</v>
      </c>
      <c r="D738" s="90" t="str">
        <f>VLOOKUP(B738,BD!$B$4:$D$290,2,FALSE)</f>
        <v>pesos</v>
      </c>
      <c r="E738" s="91">
        <f>VLOOKUP(B738,BD!$B$4:$D$290,3,FALSE)</f>
        <v>15000</v>
      </c>
      <c r="F738" s="92"/>
      <c r="G738" s="92"/>
      <c r="H738" s="92"/>
      <c r="I738" s="92">
        <f>C738*E738</f>
        <v>150</v>
      </c>
    </row>
    <row r="739" spans="2:9">
      <c r="B739" s="88" t="s">
        <v>791</v>
      </c>
      <c r="C739" s="89">
        <f>1/10</f>
        <v>0.1</v>
      </c>
      <c r="D739" s="90" t="str">
        <f>VLOOKUP(B739,BD!$B$4:$D$290,2,FALSE)</f>
        <v>und</v>
      </c>
      <c r="E739" s="91">
        <f>VLOOKUP(B739,BD!$B$4:$D$290,3,FALSE)</f>
        <v>144201</v>
      </c>
      <c r="F739" s="92"/>
      <c r="G739" s="92">
        <f>C739*E739</f>
        <v>14420.1</v>
      </c>
      <c r="H739" s="92"/>
      <c r="I739" s="92"/>
    </row>
    <row r="740" spans="2:9">
      <c r="B740" s="88" t="s">
        <v>792</v>
      </c>
      <c r="C740" s="89">
        <f>1/8</f>
        <v>0.125</v>
      </c>
      <c r="D740" s="90" t="str">
        <f>VLOOKUP(B740,BD!$B$4:$D$290,2,FALSE)</f>
        <v>gal/4</v>
      </c>
      <c r="E740" s="91">
        <f>VLOOKUP(B740,BD!$B$4:$D$290,3,FALSE)</f>
        <v>146569</v>
      </c>
      <c r="F740" s="92"/>
      <c r="G740" s="92">
        <f>C740*E740</f>
        <v>18321.125</v>
      </c>
      <c r="H740" s="92"/>
      <c r="I740" s="92"/>
    </row>
    <row r="741" spans="2:9">
      <c r="B741" s="88" t="s">
        <v>511</v>
      </c>
      <c r="C741" s="89">
        <f>1/8</f>
        <v>0.125</v>
      </c>
      <c r="D741" s="90" t="str">
        <f>VLOOKUP(B741,BD!$B$4:$D$290,2,FALSE)</f>
        <v>día</v>
      </c>
      <c r="E741" s="91">
        <f>VLOOKUP(B741,BD!$B$4:$D$290,3,FALSE)</f>
        <v>218270.00000000003</v>
      </c>
      <c r="F741" s="92"/>
      <c r="G741" s="92"/>
      <c r="H741" s="92">
        <f>C741*E741</f>
        <v>27283.750000000004</v>
      </c>
      <c r="I741" s="92"/>
    </row>
    <row r="742" spans="2:9">
      <c r="B742" s="88" t="s">
        <v>512</v>
      </c>
      <c r="C742" s="89">
        <f>1/8</f>
        <v>0.125</v>
      </c>
      <c r="D742" s="90" t="str">
        <f>VLOOKUP(B742,BD!$B$4:$D$290,2,FALSE)</f>
        <v>día</v>
      </c>
      <c r="E742" s="91">
        <f>VLOOKUP(B742,BD!$B$4:$D$290,3,FALSE)</f>
        <v>130962.00000000003</v>
      </c>
      <c r="F742" s="92"/>
      <c r="G742" s="92"/>
      <c r="H742" s="92">
        <f>C742*E742</f>
        <v>16370.250000000004</v>
      </c>
      <c r="I742" s="92"/>
    </row>
    <row r="743" spans="2:9">
      <c r="B743" s="88" t="s">
        <v>497</v>
      </c>
      <c r="C743" s="89">
        <v>1</v>
      </c>
      <c r="D743" s="90" t="s">
        <v>498</v>
      </c>
      <c r="E743" s="91">
        <f>0.05*H744</f>
        <v>2182.7000000000003</v>
      </c>
      <c r="F743" s="92"/>
      <c r="G743" s="92"/>
      <c r="H743" s="92"/>
      <c r="I743" s="92">
        <f>C743*E743</f>
        <v>2182.7000000000003</v>
      </c>
    </row>
    <row r="744" spans="2:9">
      <c r="B744" s="93" t="s">
        <v>7</v>
      </c>
      <c r="C744" s="93" t="s">
        <v>504</v>
      </c>
      <c r="D744" s="94"/>
      <c r="E744" s="95"/>
      <c r="F744" s="163">
        <f>SUM(F738:F743)</f>
        <v>0</v>
      </c>
      <c r="G744" s="163">
        <f t="shared" ref="G744" si="146">SUM(G738:G743)</f>
        <v>32741.224999999999</v>
      </c>
      <c r="H744" s="163">
        <f t="shared" ref="H744" si="147">SUM(H738:H743)</f>
        <v>43654.000000000007</v>
      </c>
      <c r="I744" s="163">
        <f t="shared" ref="I744" si="148">SUM(I738:I743)</f>
        <v>2332.7000000000003</v>
      </c>
    </row>
    <row r="745" spans="2:9">
      <c r="B745" s="97">
        <f>ROUNDUP(SUM(F744:I744),0)</f>
        <v>78728</v>
      </c>
      <c r="C745" s="98" t="s">
        <v>564</v>
      </c>
      <c r="D745" s="99"/>
      <c r="E745" s="100"/>
      <c r="F745" s="106"/>
      <c r="G745" s="106"/>
      <c r="H745" s="106"/>
      <c r="I745" s="106"/>
    </row>
    <row r="747" spans="2:9">
      <c r="B747" s="1718" t="s">
        <v>795</v>
      </c>
      <c r="C747" s="1718"/>
      <c r="D747" s="1718"/>
      <c r="E747" s="1718"/>
      <c r="F747" s="1718"/>
      <c r="G747" s="1718"/>
      <c r="H747" s="1718"/>
      <c r="I747" s="167" t="s">
        <v>796</v>
      </c>
    </row>
    <row r="748" spans="2:9">
      <c r="C748" s="127" t="s">
        <v>491</v>
      </c>
      <c r="D748" s="104" t="s">
        <v>492</v>
      </c>
      <c r="E748" s="104" t="s">
        <v>493</v>
      </c>
      <c r="F748" s="104" t="s">
        <v>494</v>
      </c>
      <c r="G748" s="104" t="s">
        <v>360</v>
      </c>
      <c r="H748" s="104" t="s">
        <v>495</v>
      </c>
      <c r="I748" s="104" t="s">
        <v>496</v>
      </c>
    </row>
    <row r="749" spans="2:9">
      <c r="B749" s="88" t="s">
        <v>624</v>
      </c>
      <c r="C749" s="89">
        <v>0.01</v>
      </c>
      <c r="D749" s="90" t="str">
        <f>VLOOKUP(B749,BD!$B$4:$D$290,2,FALSE)</f>
        <v>pesos</v>
      </c>
      <c r="E749" s="91">
        <f>VLOOKUP(B749,BD!$B$4:$D$290,3,FALSE)</f>
        <v>15000</v>
      </c>
      <c r="F749" s="92"/>
      <c r="G749" s="92"/>
      <c r="H749" s="92"/>
      <c r="I749" s="92">
        <f>C749*E749</f>
        <v>150</v>
      </c>
    </row>
    <row r="750" spans="2:9">
      <c r="B750" s="88" t="s">
        <v>791</v>
      </c>
      <c r="C750" s="89">
        <f>1/9</f>
        <v>0.1111111111111111</v>
      </c>
      <c r="D750" s="90" t="str">
        <f>VLOOKUP(B750,BD!$B$4:$D$290,2,FALSE)</f>
        <v>und</v>
      </c>
      <c r="E750" s="91">
        <f>VLOOKUP(B750,BD!$B$4:$D$290,3,FALSE)</f>
        <v>144201</v>
      </c>
      <c r="F750" s="92"/>
      <c r="G750" s="92">
        <f>C750*E750</f>
        <v>16022.333333333332</v>
      </c>
      <c r="H750" s="92"/>
      <c r="I750" s="92"/>
    </row>
    <row r="751" spans="2:9">
      <c r="B751" s="88" t="s">
        <v>792</v>
      </c>
      <c r="C751" s="89">
        <f>1/7.5</f>
        <v>0.13333333333333333</v>
      </c>
      <c r="D751" s="90" t="str">
        <f>VLOOKUP(B751,BD!$B$4:$D$290,2,FALSE)</f>
        <v>gal/4</v>
      </c>
      <c r="E751" s="91">
        <f>VLOOKUP(B751,BD!$B$4:$D$290,3,FALSE)</f>
        <v>146569</v>
      </c>
      <c r="F751" s="92"/>
      <c r="G751" s="92">
        <f>C751*E751</f>
        <v>19542.533333333333</v>
      </c>
      <c r="H751" s="92"/>
      <c r="I751" s="92"/>
    </row>
    <row r="752" spans="2:9">
      <c r="B752" s="88" t="s">
        <v>511</v>
      </c>
      <c r="C752" s="89">
        <f>1/7.5</f>
        <v>0.13333333333333333</v>
      </c>
      <c r="D752" s="90" t="str">
        <f>VLOOKUP(B752,BD!$B$4:$D$290,2,FALSE)</f>
        <v>día</v>
      </c>
      <c r="E752" s="91">
        <f>VLOOKUP(B752,BD!$B$4:$D$290,3,FALSE)</f>
        <v>218270.00000000003</v>
      </c>
      <c r="F752" s="92"/>
      <c r="G752" s="92"/>
      <c r="H752" s="92">
        <f>C752*E752</f>
        <v>29102.666666666672</v>
      </c>
      <c r="I752" s="92"/>
    </row>
    <row r="753" spans="2:9">
      <c r="B753" s="88" t="s">
        <v>512</v>
      </c>
      <c r="C753" s="89">
        <f>1/7.5</f>
        <v>0.13333333333333333</v>
      </c>
      <c r="D753" s="90" t="str">
        <f>VLOOKUP(B753,BD!$B$4:$D$290,2,FALSE)</f>
        <v>día</v>
      </c>
      <c r="E753" s="91">
        <f>VLOOKUP(B753,BD!$B$4:$D$290,3,FALSE)</f>
        <v>130962.00000000003</v>
      </c>
      <c r="F753" s="92"/>
      <c r="G753" s="92"/>
      <c r="H753" s="92">
        <f>C753*E753</f>
        <v>17461.600000000002</v>
      </c>
      <c r="I753" s="92"/>
    </row>
    <row r="754" spans="2:9">
      <c r="B754" s="88" t="s">
        <v>497</v>
      </c>
      <c r="C754" s="89">
        <v>1</v>
      </c>
      <c r="D754" s="90" t="s">
        <v>498</v>
      </c>
      <c r="E754" s="91">
        <f>0.05*H755</f>
        <v>2328.213333333334</v>
      </c>
      <c r="F754" s="92"/>
      <c r="G754" s="92"/>
      <c r="H754" s="92"/>
      <c r="I754" s="92">
        <f>C754*E754</f>
        <v>2328.213333333334</v>
      </c>
    </row>
    <row r="755" spans="2:9">
      <c r="B755" s="93" t="s">
        <v>7</v>
      </c>
      <c r="C755" s="93" t="s">
        <v>504</v>
      </c>
      <c r="D755" s="94"/>
      <c r="E755" s="95"/>
      <c r="F755" s="163">
        <f>SUM(F749:F754)</f>
        <v>0</v>
      </c>
      <c r="G755" s="163">
        <f t="shared" ref="G755" si="149">SUM(G749:G754)</f>
        <v>35564.866666666669</v>
      </c>
      <c r="H755" s="163">
        <f t="shared" ref="H755" si="150">SUM(H749:H754)</f>
        <v>46564.266666666677</v>
      </c>
      <c r="I755" s="163">
        <f t="shared" ref="I755" si="151">SUM(I749:I754)</f>
        <v>2478.213333333334</v>
      </c>
    </row>
    <row r="756" spans="2:9">
      <c r="B756" s="97">
        <f>ROUNDUP(SUM(F755:I755),0)</f>
        <v>84608</v>
      </c>
      <c r="C756" s="98" t="s">
        <v>564</v>
      </c>
      <c r="D756" s="99"/>
      <c r="E756" s="100"/>
      <c r="F756" s="106"/>
      <c r="G756" s="106"/>
      <c r="H756" s="106"/>
      <c r="I756" s="106"/>
    </row>
    <row r="758" spans="2:9">
      <c r="B758" s="1718" t="s">
        <v>797</v>
      </c>
      <c r="C758" s="1718"/>
      <c r="D758" s="1718"/>
      <c r="E758" s="1718"/>
      <c r="F758" s="1718"/>
      <c r="G758" s="1718"/>
      <c r="H758" s="1718"/>
      <c r="I758" s="167" t="s">
        <v>798</v>
      </c>
    </row>
    <row r="759" spans="2:9">
      <c r="C759" s="127" t="s">
        <v>491</v>
      </c>
      <c r="D759" s="104" t="s">
        <v>492</v>
      </c>
      <c r="E759" s="104" t="s">
        <v>493</v>
      </c>
      <c r="F759" s="104" t="s">
        <v>494</v>
      </c>
      <c r="G759" s="104" t="s">
        <v>360</v>
      </c>
      <c r="H759" s="104" t="s">
        <v>495</v>
      </c>
      <c r="I759" s="104" t="s">
        <v>496</v>
      </c>
    </row>
    <row r="760" spans="2:9">
      <c r="B760" s="88" t="s">
        <v>624</v>
      </c>
      <c r="C760" s="89">
        <v>0.01</v>
      </c>
      <c r="D760" s="90" t="str">
        <f>VLOOKUP(B760,BD!$B$4:$D$290,2,FALSE)</f>
        <v>pesos</v>
      </c>
      <c r="E760" s="91">
        <f>VLOOKUP(B760,BD!$B$4:$D$290,3,FALSE)</f>
        <v>15000</v>
      </c>
      <c r="F760" s="92"/>
      <c r="G760" s="92"/>
      <c r="H760" s="92"/>
      <c r="I760" s="92">
        <f>C760*E760</f>
        <v>150</v>
      </c>
    </row>
    <row r="761" spans="2:9">
      <c r="B761" s="88" t="s">
        <v>791</v>
      </c>
      <c r="C761" s="89">
        <f>1/8</f>
        <v>0.125</v>
      </c>
      <c r="D761" s="90" t="str">
        <f>VLOOKUP(B761,BD!$B$4:$D$290,2,FALSE)</f>
        <v>und</v>
      </c>
      <c r="E761" s="91">
        <f>VLOOKUP(B761,BD!$B$4:$D$290,3,FALSE)</f>
        <v>144201</v>
      </c>
      <c r="F761" s="92"/>
      <c r="G761" s="92">
        <f>C761*E761</f>
        <v>18025.125</v>
      </c>
      <c r="H761" s="92"/>
      <c r="I761" s="92"/>
    </row>
    <row r="762" spans="2:9">
      <c r="B762" s="88" t="s">
        <v>792</v>
      </c>
      <c r="C762" s="89">
        <f>1/7</f>
        <v>0.14285714285714285</v>
      </c>
      <c r="D762" s="90" t="str">
        <f>VLOOKUP(B762,BD!$B$4:$D$290,2,FALSE)</f>
        <v>gal/4</v>
      </c>
      <c r="E762" s="91">
        <f>VLOOKUP(B762,BD!$B$4:$D$290,3,FALSE)</f>
        <v>146569</v>
      </c>
      <c r="F762" s="92"/>
      <c r="G762" s="92">
        <f>C762*E762</f>
        <v>20938.428571428569</v>
      </c>
      <c r="H762" s="92"/>
      <c r="I762" s="92"/>
    </row>
    <row r="763" spans="2:9">
      <c r="B763" s="88" t="s">
        <v>511</v>
      </c>
      <c r="C763" s="89">
        <f>1/7</f>
        <v>0.14285714285714285</v>
      </c>
      <c r="D763" s="90" t="str">
        <f>VLOOKUP(B763,BD!$B$4:$D$290,2,FALSE)</f>
        <v>día</v>
      </c>
      <c r="E763" s="91">
        <f>VLOOKUP(B763,BD!$B$4:$D$290,3,FALSE)</f>
        <v>218270.00000000003</v>
      </c>
      <c r="F763" s="92"/>
      <c r="G763" s="92"/>
      <c r="H763" s="92">
        <f>C763*E763</f>
        <v>31181.428571428572</v>
      </c>
      <c r="I763" s="92"/>
    </row>
    <row r="764" spans="2:9">
      <c r="B764" s="88" t="s">
        <v>512</v>
      </c>
      <c r="C764" s="89">
        <f>1/7</f>
        <v>0.14285714285714285</v>
      </c>
      <c r="D764" s="90" t="str">
        <f>VLOOKUP(B764,BD!$B$4:$D$290,2,FALSE)</f>
        <v>día</v>
      </c>
      <c r="E764" s="91">
        <f>VLOOKUP(B764,BD!$B$4:$D$290,3,FALSE)</f>
        <v>130962.00000000003</v>
      </c>
      <c r="F764" s="92"/>
      <c r="G764" s="92"/>
      <c r="H764" s="92">
        <f>C764*E764</f>
        <v>18708.857142857145</v>
      </c>
      <c r="I764" s="92"/>
    </row>
    <row r="765" spans="2:9">
      <c r="B765" s="88" t="s">
        <v>497</v>
      </c>
      <c r="C765" s="89">
        <v>1</v>
      </c>
      <c r="D765" s="90" t="s">
        <v>498</v>
      </c>
      <c r="E765" s="91">
        <f>0.05*H766</f>
        <v>2494.514285714286</v>
      </c>
      <c r="F765" s="92"/>
      <c r="G765" s="92"/>
      <c r="H765" s="92"/>
      <c r="I765" s="92">
        <f>C765*E765</f>
        <v>2494.514285714286</v>
      </c>
    </row>
    <row r="766" spans="2:9">
      <c r="B766" s="93" t="s">
        <v>7</v>
      </c>
      <c r="C766" s="93" t="s">
        <v>504</v>
      </c>
      <c r="D766" s="94"/>
      <c r="E766" s="95"/>
      <c r="F766" s="163">
        <f>SUM(F760:F765)</f>
        <v>0</v>
      </c>
      <c r="G766" s="163">
        <f t="shared" ref="G766" si="152">SUM(G760:G765)</f>
        <v>38963.553571428565</v>
      </c>
      <c r="H766" s="163">
        <f t="shared" ref="H766" si="153">SUM(H760:H765)</f>
        <v>49890.285714285717</v>
      </c>
      <c r="I766" s="163">
        <f t="shared" ref="I766" si="154">SUM(I760:I765)</f>
        <v>2644.514285714286</v>
      </c>
    </row>
    <row r="767" spans="2:9">
      <c r="B767" s="97">
        <f>ROUNDUP(SUM(F766:I766),0)</f>
        <v>91499</v>
      </c>
      <c r="C767" s="98" t="s">
        <v>564</v>
      </c>
      <c r="D767" s="99"/>
      <c r="E767" s="100"/>
      <c r="F767" s="106"/>
      <c r="G767" s="106"/>
      <c r="H767" s="106"/>
      <c r="I767" s="106"/>
    </row>
    <row r="769" spans="2:9">
      <c r="B769" s="1718" t="s">
        <v>799</v>
      </c>
      <c r="C769" s="1718"/>
      <c r="D769" s="1718"/>
      <c r="E769" s="1718"/>
      <c r="F769" s="1718"/>
      <c r="G769" s="1718"/>
      <c r="H769" s="1718"/>
      <c r="I769" s="167" t="s">
        <v>800</v>
      </c>
    </row>
    <row r="770" spans="2:9">
      <c r="C770" s="127" t="s">
        <v>491</v>
      </c>
      <c r="D770" s="104" t="s">
        <v>492</v>
      </c>
      <c r="E770" s="104" t="s">
        <v>493</v>
      </c>
      <c r="F770" s="104" t="s">
        <v>494</v>
      </c>
      <c r="G770" s="104" t="s">
        <v>360</v>
      </c>
      <c r="H770" s="104" t="s">
        <v>495</v>
      </c>
      <c r="I770" s="104" t="s">
        <v>496</v>
      </c>
    </row>
    <row r="771" spans="2:9">
      <c r="B771" s="88" t="s">
        <v>624</v>
      </c>
      <c r="C771" s="89">
        <v>0.01</v>
      </c>
      <c r="D771" s="90" t="str">
        <f>VLOOKUP(B771,BD!$B$4:$D$290,2,FALSE)</f>
        <v>pesos</v>
      </c>
      <c r="E771" s="91">
        <f>VLOOKUP(B771,BD!$B$4:$D$290,3,FALSE)</f>
        <v>15000</v>
      </c>
      <c r="F771" s="92"/>
      <c r="G771" s="92"/>
      <c r="H771" s="92"/>
      <c r="I771" s="92">
        <f>C771*E771</f>
        <v>150</v>
      </c>
    </row>
    <row r="772" spans="2:9">
      <c r="B772" s="88" t="s">
        <v>791</v>
      </c>
      <c r="C772" s="89">
        <f>1/7</f>
        <v>0.14285714285714285</v>
      </c>
      <c r="D772" s="90" t="str">
        <f>VLOOKUP(B772,BD!$B$4:$D$290,2,FALSE)</f>
        <v>und</v>
      </c>
      <c r="E772" s="91">
        <f>VLOOKUP(B772,BD!$B$4:$D$290,3,FALSE)</f>
        <v>144201</v>
      </c>
      <c r="F772" s="92"/>
      <c r="G772" s="92">
        <f>C772*E772</f>
        <v>20600.142857142855</v>
      </c>
      <c r="H772" s="92"/>
      <c r="I772" s="92"/>
    </row>
    <row r="773" spans="2:9">
      <c r="B773" s="88" t="s">
        <v>792</v>
      </c>
      <c r="C773" s="89">
        <f>1/6.5</f>
        <v>0.15384615384615385</v>
      </c>
      <c r="D773" s="90" t="str">
        <f>VLOOKUP(B773,BD!$B$4:$D$290,2,FALSE)</f>
        <v>gal/4</v>
      </c>
      <c r="E773" s="91">
        <f>VLOOKUP(B773,BD!$B$4:$D$290,3,FALSE)</f>
        <v>146569</v>
      </c>
      <c r="F773" s="92"/>
      <c r="G773" s="92">
        <f>C773*E773</f>
        <v>22549.076923076926</v>
      </c>
      <c r="H773" s="92"/>
      <c r="I773" s="92"/>
    </row>
    <row r="774" spans="2:9">
      <c r="B774" s="88" t="s">
        <v>511</v>
      </c>
      <c r="C774" s="89">
        <f>1/6.5</f>
        <v>0.15384615384615385</v>
      </c>
      <c r="D774" s="90" t="str">
        <f>VLOOKUP(B774,BD!$B$4:$D$290,2,FALSE)</f>
        <v>día</v>
      </c>
      <c r="E774" s="91">
        <f>VLOOKUP(B774,BD!$B$4:$D$290,3,FALSE)</f>
        <v>218270.00000000003</v>
      </c>
      <c r="F774" s="92"/>
      <c r="G774" s="92"/>
      <c r="H774" s="92">
        <f>C774*E774</f>
        <v>33580.000000000007</v>
      </c>
      <c r="I774" s="92"/>
    </row>
    <row r="775" spans="2:9">
      <c r="B775" s="88" t="s">
        <v>512</v>
      </c>
      <c r="C775" s="89">
        <f>1/6.5</f>
        <v>0.15384615384615385</v>
      </c>
      <c r="D775" s="90" t="str">
        <f>VLOOKUP(B775,BD!$B$4:$D$290,2,FALSE)</f>
        <v>día</v>
      </c>
      <c r="E775" s="91">
        <f>VLOOKUP(B775,BD!$B$4:$D$290,3,FALSE)</f>
        <v>130962.00000000003</v>
      </c>
      <c r="F775" s="92"/>
      <c r="G775" s="92"/>
      <c r="H775" s="92">
        <f>C775*E775</f>
        <v>20148.000000000007</v>
      </c>
      <c r="I775" s="92"/>
    </row>
    <row r="776" spans="2:9">
      <c r="B776" s="88" t="s">
        <v>497</v>
      </c>
      <c r="C776" s="89">
        <v>1</v>
      </c>
      <c r="D776" s="90" t="s">
        <v>498</v>
      </c>
      <c r="E776" s="91">
        <f>0.05*H777</f>
        <v>2686.400000000001</v>
      </c>
      <c r="F776" s="92"/>
      <c r="G776" s="92"/>
      <c r="H776" s="92"/>
      <c r="I776" s="92">
        <f>C776*E776</f>
        <v>2686.400000000001</v>
      </c>
    </row>
    <row r="777" spans="2:9">
      <c r="B777" s="93" t="s">
        <v>7</v>
      </c>
      <c r="C777" s="93" t="s">
        <v>504</v>
      </c>
      <c r="D777" s="94"/>
      <c r="E777" s="95"/>
      <c r="F777" s="163">
        <f>SUM(F771:F776)</f>
        <v>0</v>
      </c>
      <c r="G777" s="163">
        <f t="shared" ref="G777" si="155">SUM(G771:G776)</f>
        <v>43149.219780219777</v>
      </c>
      <c r="H777" s="163">
        <f t="shared" ref="H777" si="156">SUM(H771:H776)</f>
        <v>53728.000000000015</v>
      </c>
      <c r="I777" s="163">
        <f t="shared" ref="I777" si="157">SUM(I771:I776)</f>
        <v>2836.400000000001</v>
      </c>
    </row>
    <row r="778" spans="2:9">
      <c r="B778" s="97">
        <f>ROUNDUP(SUM(F777:I777),0)</f>
        <v>99714</v>
      </c>
      <c r="C778" s="98" t="s">
        <v>564</v>
      </c>
      <c r="D778" s="99"/>
      <c r="E778" s="100"/>
      <c r="F778" s="106"/>
      <c r="G778" s="106"/>
      <c r="H778" s="106"/>
      <c r="I778" s="106"/>
    </row>
    <row r="780" spans="2:9">
      <c r="B780" s="1718" t="s">
        <v>801</v>
      </c>
      <c r="C780" s="1718"/>
      <c r="D780" s="1718"/>
      <c r="E780" s="1718"/>
      <c r="F780" s="1718"/>
      <c r="G780" s="1718"/>
      <c r="H780" s="1718"/>
      <c r="I780" s="167" t="s">
        <v>802</v>
      </c>
    </row>
    <row r="781" spans="2:9">
      <c r="C781" s="117" t="s">
        <v>491</v>
      </c>
      <c r="D781" s="117" t="s">
        <v>492</v>
      </c>
      <c r="E781" s="118" t="s">
        <v>493</v>
      </c>
      <c r="F781" s="118" t="s">
        <v>494</v>
      </c>
      <c r="G781" s="118" t="s">
        <v>360</v>
      </c>
      <c r="H781" s="118" t="s">
        <v>495</v>
      </c>
      <c r="I781" s="118" t="s">
        <v>496</v>
      </c>
    </row>
    <row r="782" spans="2:9">
      <c r="B782" s="88" t="s">
        <v>624</v>
      </c>
      <c r="C782" s="89">
        <v>0.1</v>
      </c>
      <c r="D782" s="90" t="str">
        <f>VLOOKUP(B782,BD!$B$4:$D$290,2,FALSE)</f>
        <v>pesos</v>
      </c>
      <c r="E782" s="91">
        <f>VLOOKUP(B782,BD!$B$4:$D$290,3,FALSE)</f>
        <v>15000</v>
      </c>
      <c r="F782" s="92"/>
      <c r="G782" s="92"/>
      <c r="H782" s="92"/>
      <c r="I782" s="92">
        <f>C782*E782</f>
        <v>1500</v>
      </c>
    </row>
    <row r="783" spans="2:9">
      <c r="B783" s="88" t="s">
        <v>775</v>
      </c>
      <c r="C783" s="89">
        <v>5.0000000000000001E-3</v>
      </c>
      <c r="D783" s="90" t="str">
        <f>VLOOKUP(B783,BD!$B$4:$D$290,2,FALSE)</f>
        <v>tarro</v>
      </c>
      <c r="E783" s="91">
        <f>VLOOKUP(B783,BD!$B$4:$D$290,3,FALSE)</f>
        <v>234068</v>
      </c>
      <c r="F783" s="92"/>
      <c r="G783" s="92">
        <f>C783*E783</f>
        <v>1170.3399999999999</v>
      </c>
      <c r="H783" s="92"/>
      <c r="I783" s="92"/>
    </row>
    <row r="784" spans="2:9">
      <c r="B784" s="88" t="s">
        <v>511</v>
      </c>
      <c r="C784" s="89">
        <f>1/(8*3)</f>
        <v>4.1666666666666664E-2</v>
      </c>
      <c r="D784" s="90" t="str">
        <f>VLOOKUP(B784,BD!$B$4:$D$290,2,FALSE)</f>
        <v>día</v>
      </c>
      <c r="E784" s="91">
        <f>VLOOKUP(B784,BD!$B$4:$D$290,3,FALSE)</f>
        <v>218270.00000000003</v>
      </c>
      <c r="F784" s="92"/>
      <c r="G784" s="92"/>
      <c r="H784" s="92">
        <f>C784*E784</f>
        <v>9094.5833333333339</v>
      </c>
      <c r="I784" s="92"/>
    </row>
    <row r="785" spans="2:9">
      <c r="B785" s="88" t="s">
        <v>512</v>
      </c>
      <c r="C785" s="89">
        <f>1/(8*3)</f>
        <v>4.1666666666666664E-2</v>
      </c>
      <c r="D785" s="90" t="str">
        <f>VLOOKUP(B785,BD!$B$4:$D$290,2,FALSE)</f>
        <v>día</v>
      </c>
      <c r="E785" s="91">
        <f>VLOOKUP(B785,BD!$B$4:$D$290,3,FALSE)</f>
        <v>130962.00000000003</v>
      </c>
      <c r="F785" s="92"/>
      <c r="G785" s="92"/>
      <c r="H785" s="92">
        <f>C785*E785</f>
        <v>5456.7500000000009</v>
      </c>
      <c r="I785" s="92"/>
    </row>
    <row r="786" spans="2:9">
      <c r="B786" s="88" t="s">
        <v>497</v>
      </c>
      <c r="C786" s="89">
        <v>1</v>
      </c>
      <c r="D786" s="90" t="s">
        <v>498</v>
      </c>
      <c r="E786" s="91">
        <f>0.05*H787</f>
        <v>727.56666666666683</v>
      </c>
      <c r="F786" s="92"/>
      <c r="G786" s="92"/>
      <c r="H786" s="92"/>
      <c r="I786" s="92">
        <f>C786*E786</f>
        <v>727.56666666666683</v>
      </c>
    </row>
    <row r="787" spans="2:9">
      <c r="B787" s="93" t="s">
        <v>7</v>
      </c>
      <c r="C787" s="93" t="s">
        <v>504</v>
      </c>
      <c r="D787" s="94"/>
      <c r="E787" s="95"/>
      <c r="F787" s="118">
        <f>SUM(F782:F786)</f>
        <v>0</v>
      </c>
      <c r="G787" s="118">
        <f t="shared" ref="G787:I787" si="158">SUM(G782:G786)</f>
        <v>1170.3399999999999</v>
      </c>
      <c r="H787" s="118">
        <f t="shared" si="158"/>
        <v>14551.333333333336</v>
      </c>
      <c r="I787" s="118">
        <f t="shared" si="158"/>
        <v>2227.5666666666666</v>
      </c>
    </row>
    <row r="788" spans="2:9">
      <c r="B788" s="97">
        <f>ROUNDUP(SUM(F787:I787),0)</f>
        <v>17950</v>
      </c>
      <c r="C788" s="98" t="s">
        <v>299</v>
      </c>
      <c r="D788" s="99"/>
      <c r="E788" s="100"/>
      <c r="F788" s="120"/>
      <c r="G788" s="120"/>
      <c r="H788" s="120"/>
      <c r="I788" s="120"/>
    </row>
    <row r="790" spans="2:9">
      <c r="B790" s="1718" t="s">
        <v>803</v>
      </c>
      <c r="C790" s="1718"/>
      <c r="D790" s="1718"/>
      <c r="E790" s="1718"/>
      <c r="F790" s="1718"/>
      <c r="G790" s="1718"/>
      <c r="H790" s="1718"/>
      <c r="I790" s="167" t="s">
        <v>804</v>
      </c>
    </row>
    <row r="791" spans="2:9">
      <c r="C791" s="117" t="s">
        <v>491</v>
      </c>
      <c r="D791" s="117" t="s">
        <v>492</v>
      </c>
      <c r="E791" s="118" t="s">
        <v>493</v>
      </c>
      <c r="F791" s="118" t="s">
        <v>494</v>
      </c>
      <c r="G791" s="118" t="s">
        <v>360</v>
      </c>
      <c r="H791" s="118" t="s">
        <v>495</v>
      </c>
      <c r="I791" s="118" t="s">
        <v>496</v>
      </c>
    </row>
    <row r="792" spans="2:9">
      <c r="B792" s="88" t="s">
        <v>624</v>
      </c>
      <c r="C792" s="89">
        <v>0.1</v>
      </c>
      <c r="D792" s="90" t="str">
        <f>VLOOKUP(B792,BD!$B$4:$D$290,2,FALSE)</f>
        <v>pesos</v>
      </c>
      <c r="E792" s="91">
        <f>VLOOKUP(B792,BD!$B$4:$D$290,3,FALSE)</f>
        <v>15000</v>
      </c>
      <c r="F792" s="92"/>
      <c r="G792" s="92"/>
      <c r="H792" s="92"/>
      <c r="I792" s="92">
        <f>C792*E792</f>
        <v>1500</v>
      </c>
    </row>
    <row r="793" spans="2:9">
      <c r="B793" s="88" t="s">
        <v>775</v>
      </c>
      <c r="C793" s="89">
        <f>(1/(6*3))/8</f>
        <v>6.9444444444444441E-3</v>
      </c>
      <c r="D793" s="90" t="str">
        <f>VLOOKUP(B793,BD!$B$4:$D$290,2,FALSE)</f>
        <v>tarro</v>
      </c>
      <c r="E793" s="91">
        <f>VLOOKUP(B793,BD!$B$4:$D$290,3,FALSE)</f>
        <v>234068</v>
      </c>
      <c r="F793" s="92"/>
      <c r="G793" s="92">
        <f>C793*E793</f>
        <v>1625.4722222222222</v>
      </c>
      <c r="H793" s="92"/>
      <c r="I793" s="92"/>
    </row>
    <row r="794" spans="2:9">
      <c r="B794" s="88" t="s">
        <v>511</v>
      </c>
      <c r="C794" s="89">
        <f>1/(6*3)</f>
        <v>5.5555555555555552E-2</v>
      </c>
      <c r="D794" s="90" t="str">
        <f>VLOOKUP(B794,BD!$B$4:$D$290,2,FALSE)</f>
        <v>día</v>
      </c>
      <c r="E794" s="91">
        <f>VLOOKUP(B794,BD!$B$4:$D$290,3,FALSE)</f>
        <v>218270.00000000003</v>
      </c>
      <c r="F794" s="92"/>
      <c r="G794" s="92"/>
      <c r="H794" s="92">
        <f>C794*E794</f>
        <v>12126.111111111111</v>
      </c>
      <c r="I794" s="92"/>
    </row>
    <row r="795" spans="2:9">
      <c r="B795" s="88" t="s">
        <v>512</v>
      </c>
      <c r="C795" s="89">
        <f>1/(6*3)</f>
        <v>5.5555555555555552E-2</v>
      </c>
      <c r="D795" s="90" t="str">
        <f>VLOOKUP(B795,BD!$B$4:$D$290,2,FALSE)</f>
        <v>día</v>
      </c>
      <c r="E795" s="91">
        <f>VLOOKUP(B795,BD!$B$4:$D$290,3,FALSE)</f>
        <v>130962.00000000003</v>
      </c>
      <c r="F795" s="92"/>
      <c r="G795" s="92"/>
      <c r="H795" s="92">
        <f>C795*E795</f>
        <v>7275.6666666666679</v>
      </c>
      <c r="I795" s="92"/>
    </row>
    <row r="796" spans="2:9">
      <c r="B796" s="88" t="s">
        <v>497</v>
      </c>
      <c r="C796" s="89">
        <v>1</v>
      </c>
      <c r="D796" s="90" t="s">
        <v>498</v>
      </c>
      <c r="E796" s="91">
        <f>0.05*H797</f>
        <v>970.08888888888907</v>
      </c>
      <c r="F796" s="92"/>
      <c r="G796" s="92"/>
      <c r="H796" s="92"/>
      <c r="I796" s="92">
        <f>C796*E796</f>
        <v>970.08888888888907</v>
      </c>
    </row>
    <row r="797" spans="2:9">
      <c r="B797" s="93" t="s">
        <v>7</v>
      </c>
      <c r="C797" s="93" t="s">
        <v>504</v>
      </c>
      <c r="D797" s="94"/>
      <c r="E797" s="95"/>
      <c r="F797" s="118">
        <f>SUM(F792:F796)</f>
        <v>0</v>
      </c>
      <c r="G797" s="118">
        <f t="shared" ref="G797" si="159">SUM(G792:G796)</f>
        <v>1625.4722222222222</v>
      </c>
      <c r="H797" s="118">
        <f t="shared" ref="H797" si="160">SUM(H792:H796)</f>
        <v>19401.777777777781</v>
      </c>
      <c r="I797" s="118">
        <f t="shared" ref="I797" si="161">SUM(I792:I796)</f>
        <v>2470.088888888889</v>
      </c>
    </row>
    <row r="798" spans="2:9">
      <c r="B798" s="97">
        <f>ROUNDUP(SUM(F797:I797),0)</f>
        <v>23498</v>
      </c>
      <c r="C798" s="98" t="s">
        <v>299</v>
      </c>
      <c r="D798" s="99"/>
      <c r="E798" s="100"/>
      <c r="F798" s="120"/>
      <c r="G798" s="120"/>
      <c r="H798" s="120"/>
      <c r="I798" s="120"/>
    </row>
    <row r="800" spans="2:9">
      <c r="B800" s="1718" t="s">
        <v>805</v>
      </c>
      <c r="C800" s="1718"/>
      <c r="D800" s="1718"/>
      <c r="E800" s="1718"/>
      <c r="F800" s="1718"/>
      <c r="G800" s="1718"/>
      <c r="H800" s="1718"/>
      <c r="I800" s="167" t="s">
        <v>806</v>
      </c>
    </row>
    <row r="801" spans="2:9">
      <c r="C801" s="117" t="s">
        <v>491</v>
      </c>
      <c r="D801" s="117" t="s">
        <v>492</v>
      </c>
      <c r="E801" s="118" t="s">
        <v>493</v>
      </c>
      <c r="F801" s="118" t="s">
        <v>494</v>
      </c>
      <c r="G801" s="118" t="s">
        <v>360</v>
      </c>
      <c r="H801" s="118" t="s">
        <v>495</v>
      </c>
      <c r="I801" s="118" t="s">
        <v>496</v>
      </c>
    </row>
    <row r="802" spans="2:9">
      <c r="B802" s="88" t="s">
        <v>624</v>
      </c>
      <c r="C802" s="89">
        <v>0.1</v>
      </c>
      <c r="D802" s="90" t="str">
        <f>VLOOKUP(B802,BD!$B$4:$D$290,2,FALSE)</f>
        <v>pesos</v>
      </c>
      <c r="E802" s="91">
        <f>VLOOKUP(B802,BD!$B$4:$D$290,3,FALSE)</f>
        <v>15000</v>
      </c>
      <c r="F802" s="92"/>
      <c r="G802" s="92"/>
      <c r="H802" s="92"/>
      <c r="I802" s="92">
        <f>C802*E802</f>
        <v>1500</v>
      </c>
    </row>
    <row r="803" spans="2:9">
      <c r="B803" s="88" t="s">
        <v>775</v>
      </c>
      <c r="C803" s="89">
        <f>(1/(6*3))/8</f>
        <v>6.9444444444444441E-3</v>
      </c>
      <c r="D803" s="90" t="str">
        <f>VLOOKUP(B803,BD!$B$4:$D$290,2,FALSE)</f>
        <v>tarro</v>
      </c>
      <c r="E803" s="91">
        <f>VLOOKUP(B803,BD!$B$4:$D$290,3,FALSE)</f>
        <v>234068</v>
      </c>
      <c r="F803" s="92"/>
      <c r="G803" s="92">
        <f>C803*E803</f>
        <v>1625.4722222222222</v>
      </c>
      <c r="H803" s="92"/>
      <c r="I803" s="92"/>
    </row>
    <row r="804" spans="2:9">
      <c r="B804" s="88" t="s">
        <v>511</v>
      </c>
      <c r="C804" s="89">
        <f>1/(6*2.8)</f>
        <v>5.9523809523809534E-2</v>
      </c>
      <c r="D804" s="90" t="str">
        <f>VLOOKUP(B804,BD!$B$4:$D$290,2,FALSE)</f>
        <v>día</v>
      </c>
      <c r="E804" s="91">
        <f>VLOOKUP(B804,BD!$B$4:$D$290,3,FALSE)</f>
        <v>218270.00000000003</v>
      </c>
      <c r="F804" s="92"/>
      <c r="G804" s="92"/>
      <c r="H804" s="92">
        <f>C804*E804</f>
        <v>12992.261904761908</v>
      </c>
      <c r="I804" s="92"/>
    </row>
    <row r="805" spans="2:9">
      <c r="B805" s="88" t="s">
        <v>512</v>
      </c>
      <c r="C805" s="89">
        <f>1/(6*2.8)</f>
        <v>5.9523809523809534E-2</v>
      </c>
      <c r="D805" s="90" t="str">
        <f>VLOOKUP(B805,BD!$B$4:$D$290,2,FALSE)</f>
        <v>día</v>
      </c>
      <c r="E805" s="91">
        <f>VLOOKUP(B805,BD!$B$4:$D$290,3,FALSE)</f>
        <v>130962.00000000003</v>
      </c>
      <c r="F805" s="92"/>
      <c r="G805" s="92"/>
      <c r="H805" s="92">
        <f>C805*E805</f>
        <v>7795.3571428571458</v>
      </c>
      <c r="I805" s="92"/>
    </row>
    <row r="806" spans="2:9">
      <c r="B806" s="88" t="s">
        <v>497</v>
      </c>
      <c r="C806" s="89">
        <v>1</v>
      </c>
      <c r="D806" s="90" t="s">
        <v>498</v>
      </c>
      <c r="E806" s="91">
        <f>0.05*H807</f>
        <v>1039.3809523809527</v>
      </c>
      <c r="F806" s="92"/>
      <c r="G806" s="92"/>
      <c r="H806" s="92"/>
      <c r="I806" s="92">
        <f>C806*E806</f>
        <v>1039.3809523809527</v>
      </c>
    </row>
    <row r="807" spans="2:9">
      <c r="B807" s="93" t="s">
        <v>7</v>
      </c>
      <c r="C807" s="93" t="s">
        <v>504</v>
      </c>
      <c r="D807" s="94"/>
      <c r="E807" s="95"/>
      <c r="F807" s="118">
        <f>SUM(F802:F806)</f>
        <v>0</v>
      </c>
      <c r="G807" s="118">
        <f t="shared" ref="G807" si="162">SUM(G802:G806)</f>
        <v>1625.4722222222222</v>
      </c>
      <c r="H807" s="118">
        <f t="shared" ref="H807" si="163">SUM(H802:H806)</f>
        <v>20787.619047619053</v>
      </c>
      <c r="I807" s="118">
        <f t="shared" ref="I807" si="164">SUM(I802:I806)</f>
        <v>2539.3809523809527</v>
      </c>
    </row>
    <row r="808" spans="2:9">
      <c r="B808" s="97">
        <f>ROUNDUP(SUM(F807:I807),0)</f>
        <v>24953</v>
      </c>
      <c r="C808" s="98" t="s">
        <v>299</v>
      </c>
      <c r="D808" s="99"/>
      <c r="E808" s="100"/>
      <c r="F808" s="120"/>
      <c r="G808" s="120"/>
      <c r="H808" s="120"/>
      <c r="I808" s="120"/>
    </row>
    <row r="810" spans="2:9">
      <c r="B810" s="1718" t="s">
        <v>807</v>
      </c>
      <c r="C810" s="1718"/>
      <c r="D810" s="1718"/>
      <c r="E810" s="1718"/>
      <c r="F810" s="1718"/>
      <c r="G810" s="1718"/>
      <c r="H810" s="1718"/>
      <c r="I810" s="167" t="s">
        <v>808</v>
      </c>
    </row>
    <row r="811" spans="2:9">
      <c r="C811" s="117" t="s">
        <v>491</v>
      </c>
      <c r="D811" s="117" t="s">
        <v>492</v>
      </c>
      <c r="E811" s="118" t="s">
        <v>493</v>
      </c>
      <c r="F811" s="118" t="s">
        <v>494</v>
      </c>
      <c r="G811" s="118" t="s">
        <v>360</v>
      </c>
      <c r="H811" s="118" t="s">
        <v>495</v>
      </c>
      <c r="I811" s="118" t="s">
        <v>496</v>
      </c>
    </row>
    <row r="812" spans="2:9">
      <c r="B812" s="88" t="s">
        <v>624</v>
      </c>
      <c r="C812" s="89">
        <v>0.1</v>
      </c>
      <c r="D812" s="90" t="str">
        <f>VLOOKUP(B812,BD!$B$4:$D$290,2,FALSE)</f>
        <v>pesos</v>
      </c>
      <c r="E812" s="91">
        <f>VLOOKUP(B812,BD!$B$4:$D$290,3,FALSE)</f>
        <v>15000</v>
      </c>
      <c r="F812" s="92"/>
      <c r="G812" s="92"/>
      <c r="H812" s="92"/>
      <c r="I812" s="92">
        <f>C812*E812</f>
        <v>1500</v>
      </c>
    </row>
    <row r="813" spans="2:9">
      <c r="B813" s="88" t="s">
        <v>775</v>
      </c>
      <c r="C813" s="89">
        <f>(1/(6*3))/5</f>
        <v>1.111111111111111E-2</v>
      </c>
      <c r="D813" s="90" t="str">
        <f>VLOOKUP(B813,BD!$B$4:$D$290,2,FALSE)</f>
        <v>tarro</v>
      </c>
      <c r="E813" s="91">
        <f>VLOOKUP(B813,BD!$B$4:$D$290,3,FALSE)</f>
        <v>234068</v>
      </c>
      <c r="F813" s="92"/>
      <c r="G813" s="92">
        <f>C813*E813</f>
        <v>2600.7555555555555</v>
      </c>
      <c r="H813" s="92"/>
      <c r="I813" s="92"/>
    </row>
    <row r="814" spans="2:9">
      <c r="B814" s="88" t="s">
        <v>511</v>
      </c>
      <c r="C814" s="89">
        <f>1/(6*2.6)</f>
        <v>6.4102564102564097E-2</v>
      </c>
      <c r="D814" s="90" t="str">
        <f>VLOOKUP(B814,BD!$B$4:$D$290,2,FALSE)</f>
        <v>día</v>
      </c>
      <c r="E814" s="91">
        <f>VLOOKUP(B814,BD!$B$4:$D$290,3,FALSE)</f>
        <v>218270.00000000003</v>
      </c>
      <c r="F814" s="92"/>
      <c r="G814" s="92"/>
      <c r="H814" s="92">
        <f>C814*E814</f>
        <v>13991.666666666668</v>
      </c>
      <c r="I814" s="92"/>
    </row>
    <row r="815" spans="2:9">
      <c r="B815" s="88" t="s">
        <v>512</v>
      </c>
      <c r="C815" s="89">
        <f>1/(6*2.6)</f>
        <v>6.4102564102564097E-2</v>
      </c>
      <c r="D815" s="90" t="str">
        <f>VLOOKUP(B815,BD!$B$4:$D$290,2,FALSE)</f>
        <v>día</v>
      </c>
      <c r="E815" s="91">
        <f>VLOOKUP(B815,BD!$B$4:$D$290,3,FALSE)</f>
        <v>130962.00000000003</v>
      </c>
      <c r="F815" s="92"/>
      <c r="G815" s="92"/>
      <c r="H815" s="92">
        <f>C815*E815</f>
        <v>8395.0000000000018</v>
      </c>
      <c r="I815" s="92"/>
    </row>
    <row r="816" spans="2:9">
      <c r="B816" s="88" t="s">
        <v>497</v>
      </c>
      <c r="C816" s="89">
        <v>1</v>
      </c>
      <c r="D816" s="90" t="s">
        <v>498</v>
      </c>
      <c r="E816" s="91">
        <f>0.05*H817</f>
        <v>1119.3333333333337</v>
      </c>
      <c r="F816" s="92"/>
      <c r="G816" s="92"/>
      <c r="H816" s="92"/>
      <c r="I816" s="92">
        <f>C816*E816</f>
        <v>1119.3333333333337</v>
      </c>
    </row>
    <row r="817" spans="2:9">
      <c r="B817" s="93" t="s">
        <v>7</v>
      </c>
      <c r="C817" s="93" t="s">
        <v>504</v>
      </c>
      <c r="D817" s="94"/>
      <c r="E817" s="95"/>
      <c r="F817" s="118">
        <f>SUM(F812:F816)</f>
        <v>0</v>
      </c>
      <c r="G817" s="118">
        <f t="shared" ref="G817:I817" si="165">SUM(G812:G816)</f>
        <v>2600.7555555555555</v>
      </c>
      <c r="H817" s="118">
        <f t="shared" si="165"/>
        <v>22386.666666666672</v>
      </c>
      <c r="I817" s="118">
        <f t="shared" si="165"/>
        <v>2619.3333333333339</v>
      </c>
    </row>
    <row r="818" spans="2:9">
      <c r="B818" s="97">
        <f>ROUNDUP(SUM(F817:I817),0)</f>
        <v>27607</v>
      </c>
      <c r="C818" s="98" t="s">
        <v>299</v>
      </c>
      <c r="D818" s="99"/>
      <c r="E818" s="100"/>
      <c r="F818" s="120"/>
      <c r="G818" s="120"/>
      <c r="H818" s="120"/>
      <c r="I818" s="120"/>
    </row>
    <row r="820" spans="2:9">
      <c r="B820" s="1718" t="s">
        <v>809</v>
      </c>
      <c r="C820" s="1718"/>
      <c r="D820" s="1718"/>
      <c r="E820" s="1718"/>
      <c r="F820" s="1718"/>
      <c r="G820" s="1718"/>
      <c r="H820" s="1718"/>
      <c r="I820" s="167" t="s">
        <v>810</v>
      </c>
    </row>
    <row r="821" spans="2:9">
      <c r="C821" s="117" t="s">
        <v>491</v>
      </c>
      <c r="D821" s="117" t="s">
        <v>492</v>
      </c>
      <c r="E821" s="122" t="s">
        <v>493</v>
      </c>
      <c r="F821" s="122" t="s">
        <v>494</v>
      </c>
      <c r="G821" s="122" t="s">
        <v>360</v>
      </c>
      <c r="H821" s="122" t="s">
        <v>495</v>
      </c>
      <c r="I821" s="122" t="s">
        <v>496</v>
      </c>
    </row>
    <row r="822" spans="2:9">
      <c r="B822" s="88" t="s">
        <v>511</v>
      </c>
      <c r="C822" s="89">
        <f>1/3</f>
        <v>0.33333333333333331</v>
      </c>
      <c r="D822" s="90" t="str">
        <f>VLOOKUP(B822,BD!$B$4:$D$290,2,FALSE)</f>
        <v>día</v>
      </c>
      <c r="E822" s="91">
        <f>VLOOKUP(B822,BD!$B$4:$D$290,3,FALSE)</f>
        <v>218270.00000000003</v>
      </c>
      <c r="F822" s="92"/>
      <c r="G822" s="92"/>
      <c r="H822" s="92">
        <f>C822*E822</f>
        <v>72756.666666666672</v>
      </c>
      <c r="I822" s="92"/>
    </row>
    <row r="823" spans="2:9">
      <c r="B823" s="88" t="s">
        <v>512</v>
      </c>
      <c r="C823" s="89">
        <f>1/3</f>
        <v>0.33333333333333331</v>
      </c>
      <c r="D823" s="90" t="str">
        <f>VLOOKUP(B823,BD!$B$4:$D$290,2,FALSE)</f>
        <v>día</v>
      </c>
      <c r="E823" s="91">
        <f>VLOOKUP(B823,BD!$B$4:$D$290,3,FALSE)</f>
        <v>130962.00000000003</v>
      </c>
      <c r="F823" s="92"/>
      <c r="G823" s="92"/>
      <c r="H823" s="92">
        <f>C823*E823</f>
        <v>43654.000000000007</v>
      </c>
      <c r="I823" s="92"/>
    </row>
    <row r="824" spans="2:9">
      <c r="B824" s="88" t="s">
        <v>497</v>
      </c>
      <c r="C824" s="89">
        <v>1</v>
      </c>
      <c r="D824" s="90" t="s">
        <v>498</v>
      </c>
      <c r="E824" s="91">
        <f>0.05*H825</f>
        <v>5820.5333333333347</v>
      </c>
      <c r="F824" s="92"/>
      <c r="G824" s="92"/>
      <c r="H824" s="92"/>
      <c r="I824" s="92">
        <f>C824*E824</f>
        <v>5820.5333333333347</v>
      </c>
    </row>
    <row r="825" spans="2:9">
      <c r="B825" s="93" t="s">
        <v>7</v>
      </c>
      <c r="C825" s="93" t="s">
        <v>504</v>
      </c>
      <c r="D825" s="94"/>
      <c r="E825" s="95"/>
      <c r="F825" s="118">
        <f>SUM(F822:F824)</f>
        <v>0</v>
      </c>
      <c r="G825" s="118">
        <f t="shared" ref="G825" si="166">SUM(G822:G824)</f>
        <v>0</v>
      </c>
      <c r="H825" s="118">
        <f t="shared" ref="H825" si="167">SUM(H822:H824)</f>
        <v>116410.66666666669</v>
      </c>
      <c r="I825" s="118">
        <f t="shared" ref="I825" si="168">SUM(I822:I824)</f>
        <v>5820.5333333333347</v>
      </c>
    </row>
    <row r="826" spans="2:9">
      <c r="B826" s="97">
        <f>ROUNDUP(SUM(F825:I825),0)</f>
        <v>122232</v>
      </c>
      <c r="C826" s="98" t="s">
        <v>564</v>
      </c>
      <c r="D826" s="99"/>
      <c r="E826" s="100"/>
      <c r="F826" s="120"/>
      <c r="G826" s="120"/>
      <c r="H826" s="120"/>
      <c r="I826" s="120"/>
    </row>
    <row r="828" spans="2:9">
      <c r="B828" s="1718" t="s">
        <v>811</v>
      </c>
      <c r="C828" s="1718"/>
      <c r="D828" s="1718"/>
      <c r="E828" s="1718"/>
      <c r="F828" s="1718"/>
      <c r="G828" s="1718"/>
      <c r="H828" s="1718"/>
      <c r="I828" s="167" t="s">
        <v>812</v>
      </c>
    </row>
    <row r="829" spans="2:9">
      <c r="C829" s="117" t="s">
        <v>491</v>
      </c>
      <c r="D829" s="117" t="s">
        <v>492</v>
      </c>
      <c r="E829" s="122" t="s">
        <v>493</v>
      </c>
      <c r="F829" s="122" t="s">
        <v>494</v>
      </c>
      <c r="G829" s="122" t="s">
        <v>360</v>
      </c>
      <c r="H829" s="122" t="s">
        <v>495</v>
      </c>
      <c r="I829" s="122" t="s">
        <v>496</v>
      </c>
    </row>
    <row r="830" spans="2:9">
      <c r="B830" s="88" t="s">
        <v>511</v>
      </c>
      <c r="C830" s="89">
        <f>1/3.1</f>
        <v>0.32258064516129031</v>
      </c>
      <c r="D830" s="90" t="str">
        <f>VLOOKUP(B830,BD!$B$4:$D$290,2,FALSE)</f>
        <v>día</v>
      </c>
      <c r="E830" s="91">
        <f>VLOOKUP(B830,BD!$B$4:$D$290,3,FALSE)</f>
        <v>218270.00000000003</v>
      </c>
      <c r="F830" s="92"/>
      <c r="G830" s="92"/>
      <c r="H830" s="92">
        <f>C830*E830</f>
        <v>70409.677419354848</v>
      </c>
      <c r="I830" s="92"/>
    </row>
    <row r="831" spans="2:9">
      <c r="B831" s="88" t="s">
        <v>512</v>
      </c>
      <c r="C831" s="89">
        <f>1/3.1</f>
        <v>0.32258064516129031</v>
      </c>
      <c r="D831" s="90" t="str">
        <f>VLOOKUP(B831,BD!$B$4:$D$290,2,FALSE)</f>
        <v>día</v>
      </c>
      <c r="E831" s="91">
        <f>VLOOKUP(B831,BD!$B$4:$D$290,3,FALSE)</f>
        <v>130962.00000000003</v>
      </c>
      <c r="F831" s="92"/>
      <c r="G831" s="92"/>
      <c r="H831" s="92">
        <f>C831*E831</f>
        <v>42245.806451612909</v>
      </c>
      <c r="I831" s="92"/>
    </row>
    <row r="832" spans="2:9">
      <c r="B832" s="88" t="s">
        <v>497</v>
      </c>
      <c r="C832" s="89">
        <v>1</v>
      </c>
      <c r="D832" s="90" t="s">
        <v>498</v>
      </c>
      <c r="E832" s="91">
        <f>0.05*H833</f>
        <v>5632.7741935483882</v>
      </c>
      <c r="F832" s="92"/>
      <c r="G832" s="92"/>
      <c r="H832" s="92"/>
      <c r="I832" s="92">
        <f>C832*E832</f>
        <v>5632.7741935483882</v>
      </c>
    </row>
    <row r="833" spans="2:9">
      <c r="B833" s="93" t="s">
        <v>7</v>
      </c>
      <c r="C833" s="93" t="s">
        <v>504</v>
      </c>
      <c r="D833" s="94"/>
      <c r="E833" s="95"/>
      <c r="F833" s="118">
        <f>SUM(F830:F832)</f>
        <v>0</v>
      </c>
      <c r="G833" s="118">
        <f t="shared" ref="G833:I833" si="169">SUM(G830:G832)</f>
        <v>0</v>
      </c>
      <c r="H833" s="118">
        <f t="shared" si="169"/>
        <v>112655.48387096776</v>
      </c>
      <c r="I833" s="118">
        <f t="shared" si="169"/>
        <v>5632.7741935483882</v>
      </c>
    </row>
    <row r="834" spans="2:9">
      <c r="B834" s="97">
        <f>ROUNDUP(SUM(F833:I833),0)</f>
        <v>118289</v>
      </c>
      <c r="C834" s="98" t="s">
        <v>564</v>
      </c>
      <c r="D834" s="99"/>
      <c r="E834" s="100"/>
      <c r="F834" s="120"/>
      <c r="G834" s="120"/>
      <c r="H834" s="120"/>
      <c r="I834" s="120"/>
    </row>
    <row r="836" spans="2:9">
      <c r="B836" s="1718" t="s">
        <v>813</v>
      </c>
      <c r="C836" s="1718"/>
      <c r="D836" s="1718"/>
      <c r="E836" s="1718"/>
      <c r="F836" s="1718"/>
      <c r="G836" s="1718"/>
      <c r="H836" s="1718"/>
      <c r="I836" s="167" t="s">
        <v>814</v>
      </c>
    </row>
    <row r="837" spans="2:9">
      <c r="C837" s="117" t="s">
        <v>491</v>
      </c>
      <c r="D837" s="117" t="s">
        <v>492</v>
      </c>
      <c r="E837" s="122" t="s">
        <v>493</v>
      </c>
      <c r="F837" s="122" t="s">
        <v>494</v>
      </c>
      <c r="G837" s="122" t="s">
        <v>360</v>
      </c>
      <c r="H837" s="122" t="s">
        <v>495</v>
      </c>
      <c r="I837" s="122" t="s">
        <v>496</v>
      </c>
    </row>
    <row r="838" spans="2:9">
      <c r="B838" s="88" t="s">
        <v>511</v>
      </c>
      <c r="C838" s="89">
        <f>1/3.2</f>
        <v>0.3125</v>
      </c>
      <c r="D838" s="90" t="str">
        <f>VLOOKUP(B838,BD!$B$4:$D$290,2,FALSE)</f>
        <v>día</v>
      </c>
      <c r="E838" s="91">
        <f>VLOOKUP(B838,BD!$B$4:$D$290,3,FALSE)</f>
        <v>218270.00000000003</v>
      </c>
      <c r="F838" s="92"/>
      <c r="G838" s="92"/>
      <c r="H838" s="92">
        <f>C838*E838</f>
        <v>68209.375000000015</v>
      </c>
      <c r="I838" s="92"/>
    </row>
    <row r="839" spans="2:9">
      <c r="B839" s="88" t="s">
        <v>512</v>
      </c>
      <c r="C839" s="89">
        <f>1/3.2</f>
        <v>0.3125</v>
      </c>
      <c r="D839" s="90" t="str">
        <f>VLOOKUP(B839,BD!$B$4:$D$290,2,FALSE)</f>
        <v>día</v>
      </c>
      <c r="E839" s="91">
        <f>VLOOKUP(B839,BD!$B$4:$D$290,3,FALSE)</f>
        <v>130962.00000000003</v>
      </c>
      <c r="F839" s="92"/>
      <c r="G839" s="92"/>
      <c r="H839" s="92">
        <f>C839*E839</f>
        <v>40925.625000000007</v>
      </c>
      <c r="I839" s="92"/>
    </row>
    <row r="840" spans="2:9">
      <c r="B840" s="88" t="s">
        <v>497</v>
      </c>
      <c r="C840" s="89">
        <v>1</v>
      </c>
      <c r="D840" s="90" t="s">
        <v>498</v>
      </c>
      <c r="E840" s="91">
        <f>0.05*H841</f>
        <v>5456.7500000000018</v>
      </c>
      <c r="F840" s="92"/>
      <c r="G840" s="92"/>
      <c r="H840" s="92"/>
      <c r="I840" s="92">
        <f>C840*E840</f>
        <v>5456.7500000000018</v>
      </c>
    </row>
    <row r="841" spans="2:9">
      <c r="B841" s="93" t="s">
        <v>7</v>
      </c>
      <c r="C841" s="93" t="s">
        <v>504</v>
      </c>
      <c r="D841" s="94"/>
      <c r="E841" s="95"/>
      <c r="F841" s="118">
        <f>SUM(F838:F840)</f>
        <v>0</v>
      </c>
      <c r="G841" s="118">
        <f t="shared" ref="G841:I841" si="170">SUM(G838:G840)</f>
        <v>0</v>
      </c>
      <c r="H841" s="118">
        <f t="shared" si="170"/>
        <v>109135.00000000003</v>
      </c>
      <c r="I841" s="118">
        <f t="shared" si="170"/>
        <v>5456.7500000000018</v>
      </c>
    </row>
    <row r="842" spans="2:9">
      <c r="B842" s="97">
        <f>ROUNDUP(SUM(F841:I841),0)</f>
        <v>114592</v>
      </c>
      <c r="C842" s="98" t="s">
        <v>564</v>
      </c>
      <c r="D842" s="99"/>
      <c r="E842" s="100"/>
      <c r="F842" s="120"/>
      <c r="G842" s="120"/>
      <c r="H842" s="120"/>
      <c r="I842" s="120"/>
    </row>
    <row r="844" spans="2:9">
      <c r="B844" s="1718" t="s">
        <v>815</v>
      </c>
      <c r="C844" s="1718"/>
      <c r="D844" s="1718"/>
      <c r="E844" s="1718"/>
      <c r="F844" s="1718"/>
      <c r="G844" s="1718"/>
      <c r="H844" s="1718"/>
      <c r="I844" s="167" t="s">
        <v>816</v>
      </c>
    </row>
    <row r="845" spans="2:9">
      <c r="C845" s="117" t="s">
        <v>491</v>
      </c>
      <c r="D845" s="117" t="s">
        <v>492</v>
      </c>
      <c r="E845" s="122" t="s">
        <v>493</v>
      </c>
      <c r="F845" s="122" t="s">
        <v>494</v>
      </c>
      <c r="G845" s="122" t="s">
        <v>360</v>
      </c>
      <c r="H845" s="122" t="s">
        <v>495</v>
      </c>
      <c r="I845" s="122" t="s">
        <v>496</v>
      </c>
    </row>
    <row r="846" spans="2:9">
      <c r="B846" s="88" t="s">
        <v>511</v>
      </c>
      <c r="C846" s="89">
        <f>1/3.3</f>
        <v>0.30303030303030304</v>
      </c>
      <c r="D846" s="90" t="str">
        <f>VLOOKUP(B846,BD!$B$4:$D$290,2,FALSE)</f>
        <v>día</v>
      </c>
      <c r="E846" s="91">
        <f>VLOOKUP(B846,BD!$B$4:$D$290,3,FALSE)</f>
        <v>218270.00000000003</v>
      </c>
      <c r="F846" s="92"/>
      <c r="G846" s="92"/>
      <c r="H846" s="92">
        <f>C846*E846</f>
        <v>66142.424242424255</v>
      </c>
      <c r="I846" s="92"/>
    </row>
    <row r="847" spans="2:9">
      <c r="B847" s="88" t="s">
        <v>512</v>
      </c>
      <c r="C847" s="89">
        <f>1/3.3</f>
        <v>0.30303030303030304</v>
      </c>
      <c r="D847" s="90" t="str">
        <f>VLOOKUP(B847,BD!$B$4:$D$290,2,FALSE)</f>
        <v>día</v>
      </c>
      <c r="E847" s="91">
        <f>VLOOKUP(B847,BD!$B$4:$D$290,3,FALSE)</f>
        <v>130962.00000000003</v>
      </c>
      <c r="F847" s="92"/>
      <c r="G847" s="92"/>
      <c r="H847" s="92">
        <f>C847*E847</f>
        <v>39685.454545454559</v>
      </c>
      <c r="I847" s="92"/>
    </row>
    <row r="848" spans="2:9">
      <c r="B848" s="88" t="s">
        <v>497</v>
      </c>
      <c r="C848" s="89">
        <v>1</v>
      </c>
      <c r="D848" s="90" t="s">
        <v>498</v>
      </c>
      <c r="E848" s="91">
        <f>0.05*H849</f>
        <v>5291.3939393939409</v>
      </c>
      <c r="F848" s="92"/>
      <c r="G848" s="92"/>
      <c r="H848" s="92"/>
      <c r="I848" s="92">
        <f>C848*E848</f>
        <v>5291.3939393939409</v>
      </c>
    </row>
    <row r="849" spans="2:9">
      <c r="B849" s="93" t="s">
        <v>7</v>
      </c>
      <c r="C849" s="93" t="s">
        <v>504</v>
      </c>
      <c r="D849" s="94"/>
      <c r="E849" s="95"/>
      <c r="F849" s="118">
        <f>SUM(F846:F848)</f>
        <v>0</v>
      </c>
      <c r="G849" s="118">
        <f t="shared" ref="G849:I849" si="171">SUM(G846:G848)</f>
        <v>0</v>
      </c>
      <c r="H849" s="118">
        <f t="shared" si="171"/>
        <v>105827.87878787881</v>
      </c>
      <c r="I849" s="118">
        <f t="shared" si="171"/>
        <v>5291.3939393939409</v>
      </c>
    </row>
    <row r="850" spans="2:9">
      <c r="B850" s="97">
        <f>ROUNDUP(SUM(F849:I849),0)</f>
        <v>111120</v>
      </c>
      <c r="C850" s="98" t="s">
        <v>564</v>
      </c>
      <c r="D850" s="99"/>
      <c r="E850" s="100"/>
      <c r="F850" s="120"/>
      <c r="G850" s="120"/>
      <c r="H850" s="120"/>
      <c r="I850" s="120"/>
    </row>
    <row r="852" spans="2:9">
      <c r="B852" s="1718" t="s">
        <v>817</v>
      </c>
      <c r="C852" s="1718"/>
      <c r="D852" s="1718"/>
      <c r="E852" s="1718"/>
      <c r="F852" s="1718"/>
      <c r="G852" s="1718"/>
      <c r="H852" s="1718"/>
      <c r="I852" s="167" t="s">
        <v>818</v>
      </c>
    </row>
    <row r="853" spans="2:9">
      <c r="C853" s="117" t="s">
        <v>491</v>
      </c>
      <c r="D853" s="117" t="s">
        <v>492</v>
      </c>
      <c r="E853" s="122" t="s">
        <v>493</v>
      </c>
      <c r="F853" s="122" t="s">
        <v>494</v>
      </c>
      <c r="G853" s="122" t="s">
        <v>360</v>
      </c>
      <c r="H853" s="122" t="s">
        <v>495</v>
      </c>
      <c r="I853" s="122" t="s">
        <v>496</v>
      </c>
    </row>
    <row r="854" spans="2:9">
      <c r="B854" s="88" t="s">
        <v>511</v>
      </c>
      <c r="C854" s="89">
        <f>1/3.4</f>
        <v>0.29411764705882354</v>
      </c>
      <c r="D854" s="90" t="str">
        <f>VLOOKUP(B854,BD!$B$4:$D$290,2,FALSE)</f>
        <v>día</v>
      </c>
      <c r="E854" s="91">
        <f>VLOOKUP(B854,BD!$B$4:$D$290,3,FALSE)</f>
        <v>218270.00000000003</v>
      </c>
      <c r="F854" s="92"/>
      <c r="G854" s="92"/>
      <c r="H854" s="92">
        <f>C854*E854</f>
        <v>64197.05882352942</v>
      </c>
      <c r="I854" s="92"/>
    </row>
    <row r="855" spans="2:9">
      <c r="B855" s="88" t="s">
        <v>512</v>
      </c>
      <c r="C855" s="89">
        <f>1/3.4</f>
        <v>0.29411764705882354</v>
      </c>
      <c r="D855" s="90" t="str">
        <f>VLOOKUP(B855,BD!$B$4:$D$290,2,FALSE)</f>
        <v>día</v>
      </c>
      <c r="E855" s="91">
        <f>VLOOKUP(B855,BD!$B$4:$D$290,3,FALSE)</f>
        <v>130962.00000000003</v>
      </c>
      <c r="F855" s="92"/>
      <c r="G855" s="92"/>
      <c r="H855" s="92">
        <f>C855*E855</f>
        <v>38518.235294117658</v>
      </c>
      <c r="I855" s="92"/>
    </row>
    <row r="856" spans="2:9">
      <c r="B856" s="88" t="s">
        <v>497</v>
      </c>
      <c r="C856" s="89">
        <v>1</v>
      </c>
      <c r="D856" s="90" t="s">
        <v>498</v>
      </c>
      <c r="E856" s="91">
        <f>0.05*H857</f>
        <v>5135.7647058823541</v>
      </c>
      <c r="F856" s="92"/>
      <c r="G856" s="92"/>
      <c r="H856" s="92"/>
      <c r="I856" s="92">
        <f>C856*E856</f>
        <v>5135.7647058823541</v>
      </c>
    </row>
    <row r="857" spans="2:9">
      <c r="B857" s="93" t="s">
        <v>7</v>
      </c>
      <c r="C857" s="93" t="s">
        <v>504</v>
      </c>
      <c r="D857" s="94"/>
      <c r="E857" s="95"/>
      <c r="F857" s="118">
        <f>SUM(F854:F856)</f>
        <v>0</v>
      </c>
      <c r="G857" s="118">
        <f t="shared" ref="G857:I857" si="172">SUM(G854:G856)</f>
        <v>0</v>
      </c>
      <c r="H857" s="118">
        <f t="shared" si="172"/>
        <v>102715.29411764708</v>
      </c>
      <c r="I857" s="118">
        <f t="shared" si="172"/>
        <v>5135.7647058823541</v>
      </c>
    </row>
    <row r="858" spans="2:9">
      <c r="B858" s="97">
        <f>ROUNDUP(SUM(F857:I857),0)</f>
        <v>107852</v>
      </c>
      <c r="C858" s="98" t="s">
        <v>564</v>
      </c>
      <c r="D858" s="99"/>
      <c r="E858" s="100"/>
      <c r="F858" s="120"/>
      <c r="G858" s="120"/>
      <c r="H858" s="120"/>
      <c r="I858" s="120"/>
    </row>
    <row r="860" spans="2:9">
      <c r="B860" s="1719" t="s">
        <v>819</v>
      </c>
      <c r="C860" s="1720"/>
      <c r="D860" s="1720"/>
      <c r="E860" s="1720"/>
      <c r="F860" s="1720"/>
      <c r="G860" s="1720"/>
      <c r="H860" s="1721"/>
      <c r="I860" s="167" t="s">
        <v>820</v>
      </c>
    </row>
    <row r="861" spans="2:9">
      <c r="C861" s="117" t="s">
        <v>491</v>
      </c>
      <c r="D861" s="117" t="s">
        <v>492</v>
      </c>
      <c r="E861" s="122" t="s">
        <v>493</v>
      </c>
      <c r="F861" s="122" t="s">
        <v>494</v>
      </c>
      <c r="G861" s="122" t="s">
        <v>360</v>
      </c>
      <c r="H861" s="122" t="s">
        <v>495</v>
      </c>
      <c r="I861" s="122" t="s">
        <v>496</v>
      </c>
    </row>
    <row r="862" spans="2:9">
      <c r="B862" s="88" t="s">
        <v>511</v>
      </c>
      <c r="C862" s="89">
        <f>1/3.75</f>
        <v>0.26666666666666666</v>
      </c>
      <c r="D862" s="90" t="str">
        <f>VLOOKUP(B862,BD!$B$4:$D$290,2,FALSE)</f>
        <v>día</v>
      </c>
      <c r="E862" s="91">
        <f>VLOOKUP(B862,BD!$B$4:$D$290,3,FALSE)</f>
        <v>218270.00000000003</v>
      </c>
      <c r="F862" s="92"/>
      <c r="G862" s="92"/>
      <c r="H862" s="92">
        <f>C862*E862</f>
        <v>58205.333333333343</v>
      </c>
      <c r="I862" s="92"/>
    </row>
    <row r="863" spans="2:9">
      <c r="B863" s="88" t="s">
        <v>512</v>
      </c>
      <c r="C863" s="89">
        <f>1/3.75</f>
        <v>0.26666666666666666</v>
      </c>
      <c r="D863" s="90" t="str">
        <f>VLOOKUP(B863,BD!$B$4:$D$290,2,FALSE)</f>
        <v>día</v>
      </c>
      <c r="E863" s="91">
        <f>VLOOKUP(B863,BD!$B$4:$D$290,3,FALSE)</f>
        <v>130962.00000000003</v>
      </c>
      <c r="F863" s="92"/>
      <c r="G863" s="92"/>
      <c r="H863" s="92">
        <f>C863*E863</f>
        <v>34923.200000000004</v>
      </c>
      <c r="I863" s="92"/>
    </row>
    <row r="864" spans="2:9">
      <c r="B864" s="88" t="s">
        <v>497</v>
      </c>
      <c r="C864" s="89">
        <v>1</v>
      </c>
      <c r="D864" s="90" t="s">
        <v>498</v>
      </c>
      <c r="E864" s="91">
        <f>0.05*H865</f>
        <v>4656.4266666666681</v>
      </c>
      <c r="F864" s="92"/>
      <c r="G864" s="92"/>
      <c r="H864" s="92"/>
      <c r="I864" s="92">
        <f>C864*E864</f>
        <v>4656.4266666666681</v>
      </c>
    </row>
    <row r="865" spans="2:9">
      <c r="B865" s="93" t="s">
        <v>7</v>
      </c>
      <c r="C865" s="93" t="s">
        <v>504</v>
      </c>
      <c r="D865" s="94"/>
      <c r="E865" s="95"/>
      <c r="F865" s="118">
        <f>SUM(F862:F864)</f>
        <v>0</v>
      </c>
      <c r="G865" s="118">
        <f t="shared" ref="G865" si="173">SUM(G862:G864)</f>
        <v>0</v>
      </c>
      <c r="H865" s="118">
        <f t="shared" ref="H865" si="174">SUM(H862:H864)</f>
        <v>93128.533333333355</v>
      </c>
      <c r="I865" s="118">
        <f t="shared" ref="I865" si="175">SUM(I862:I864)</f>
        <v>4656.4266666666681</v>
      </c>
    </row>
    <row r="866" spans="2:9">
      <c r="B866" s="97">
        <f>ROUNDUP(SUM(F865:I865),0)</f>
        <v>97785</v>
      </c>
      <c r="C866" s="98" t="s">
        <v>564</v>
      </c>
      <c r="D866" s="99"/>
      <c r="E866" s="100"/>
      <c r="F866" s="120"/>
      <c r="G866" s="120"/>
      <c r="H866" s="120"/>
      <c r="I866" s="120"/>
    </row>
    <row r="868" spans="2:9">
      <c r="B868" s="1719" t="s">
        <v>821</v>
      </c>
      <c r="C868" s="1720"/>
      <c r="D868" s="1720"/>
      <c r="E868" s="1720"/>
      <c r="F868" s="1720"/>
      <c r="G868" s="1720"/>
      <c r="H868" s="1721"/>
      <c r="I868" s="167" t="s">
        <v>822</v>
      </c>
    </row>
    <row r="869" spans="2:9">
      <c r="C869" s="117" t="s">
        <v>491</v>
      </c>
      <c r="D869" s="117" t="s">
        <v>492</v>
      </c>
      <c r="E869" s="122" t="s">
        <v>493</v>
      </c>
      <c r="F869" s="122" t="s">
        <v>494</v>
      </c>
      <c r="G869" s="122" t="s">
        <v>360</v>
      </c>
      <c r="H869" s="122" t="s">
        <v>495</v>
      </c>
      <c r="I869" s="122" t="s">
        <v>496</v>
      </c>
    </row>
    <row r="870" spans="2:9">
      <c r="B870" s="88" t="s">
        <v>511</v>
      </c>
      <c r="C870" s="89">
        <f>1/3.85</f>
        <v>0.25974025974025972</v>
      </c>
      <c r="D870" s="90" t="str">
        <f>VLOOKUP(B870,BD!$B$4:$D$290,2,FALSE)</f>
        <v>día</v>
      </c>
      <c r="E870" s="91">
        <f>VLOOKUP(B870,BD!$B$4:$D$290,3,FALSE)</f>
        <v>218270.00000000003</v>
      </c>
      <c r="F870" s="92"/>
      <c r="G870" s="92"/>
      <c r="H870" s="92">
        <f>C870*E870</f>
        <v>56693.506493506495</v>
      </c>
      <c r="I870" s="92"/>
    </row>
    <row r="871" spans="2:9">
      <c r="B871" s="88" t="s">
        <v>512</v>
      </c>
      <c r="C871" s="89">
        <f>1/3.85</f>
        <v>0.25974025974025972</v>
      </c>
      <c r="D871" s="90" t="str">
        <f>VLOOKUP(B871,BD!$B$4:$D$290,2,FALSE)</f>
        <v>día</v>
      </c>
      <c r="E871" s="91">
        <f>VLOOKUP(B871,BD!$B$4:$D$290,3,FALSE)</f>
        <v>130962.00000000003</v>
      </c>
      <c r="F871" s="92"/>
      <c r="G871" s="92"/>
      <c r="H871" s="92">
        <f>C871*E871</f>
        <v>34016.103896103901</v>
      </c>
      <c r="I871" s="92"/>
    </row>
    <row r="872" spans="2:9">
      <c r="B872" s="88" t="s">
        <v>497</v>
      </c>
      <c r="C872" s="89">
        <v>1</v>
      </c>
      <c r="D872" s="90" t="s">
        <v>498</v>
      </c>
      <c r="E872" s="91">
        <f>0.05*H873</f>
        <v>4535.4805194805203</v>
      </c>
      <c r="F872" s="92"/>
      <c r="G872" s="92"/>
      <c r="H872" s="92"/>
      <c r="I872" s="92">
        <f>C872*E872</f>
        <v>4535.4805194805203</v>
      </c>
    </row>
    <row r="873" spans="2:9">
      <c r="B873" s="93" t="s">
        <v>7</v>
      </c>
      <c r="C873" s="93" t="s">
        <v>504</v>
      </c>
      <c r="D873" s="94"/>
      <c r="E873" s="95"/>
      <c r="F873" s="118">
        <f>SUM(F870:F872)</f>
        <v>0</v>
      </c>
      <c r="G873" s="118">
        <f t="shared" ref="G873:I873" si="176">SUM(G870:G872)</f>
        <v>0</v>
      </c>
      <c r="H873" s="118">
        <f t="shared" si="176"/>
        <v>90709.610389610403</v>
      </c>
      <c r="I873" s="118">
        <f t="shared" si="176"/>
        <v>4535.4805194805203</v>
      </c>
    </row>
    <row r="874" spans="2:9">
      <c r="B874" s="97">
        <f>ROUNDUP(SUM(F873:I873),0)</f>
        <v>95246</v>
      </c>
      <c r="C874" s="98" t="s">
        <v>564</v>
      </c>
      <c r="D874" s="99"/>
      <c r="E874" s="100"/>
      <c r="F874" s="120"/>
      <c r="G874" s="120"/>
      <c r="H874" s="120"/>
      <c r="I874" s="120"/>
    </row>
    <row r="876" spans="2:9">
      <c r="B876" s="1719" t="s">
        <v>823</v>
      </c>
      <c r="C876" s="1720"/>
      <c r="D876" s="1720"/>
      <c r="E876" s="1720"/>
      <c r="F876" s="1720"/>
      <c r="G876" s="1720"/>
      <c r="H876" s="1721"/>
      <c r="I876" s="167" t="s">
        <v>824</v>
      </c>
    </row>
    <row r="877" spans="2:9">
      <c r="C877" s="117" t="s">
        <v>491</v>
      </c>
      <c r="D877" s="117" t="s">
        <v>492</v>
      </c>
      <c r="E877" s="122" t="s">
        <v>493</v>
      </c>
      <c r="F877" s="122" t="s">
        <v>494</v>
      </c>
      <c r="G877" s="122" t="s">
        <v>360</v>
      </c>
      <c r="H877" s="122" t="s">
        <v>495</v>
      </c>
      <c r="I877" s="122" t="s">
        <v>496</v>
      </c>
    </row>
    <row r="878" spans="2:9">
      <c r="B878" s="88" t="s">
        <v>511</v>
      </c>
      <c r="C878" s="89">
        <f>1/4</f>
        <v>0.25</v>
      </c>
      <c r="D878" s="90" t="str">
        <f>VLOOKUP(B878,BD!$B$4:$D$290,2,FALSE)</f>
        <v>día</v>
      </c>
      <c r="E878" s="91">
        <f>VLOOKUP(B878,BD!$B$4:$D$290,3,FALSE)</f>
        <v>218270.00000000003</v>
      </c>
      <c r="F878" s="92"/>
      <c r="G878" s="92"/>
      <c r="H878" s="92">
        <f>C878*E878</f>
        <v>54567.500000000007</v>
      </c>
      <c r="I878" s="92"/>
    </row>
    <row r="879" spans="2:9">
      <c r="B879" s="88" t="s">
        <v>512</v>
      </c>
      <c r="C879" s="89">
        <f>1/4</f>
        <v>0.25</v>
      </c>
      <c r="D879" s="90" t="str">
        <f>VLOOKUP(B879,BD!$B$4:$D$290,2,FALSE)</f>
        <v>día</v>
      </c>
      <c r="E879" s="91">
        <f>VLOOKUP(B879,BD!$B$4:$D$290,3,FALSE)</f>
        <v>130962.00000000003</v>
      </c>
      <c r="F879" s="92"/>
      <c r="G879" s="92"/>
      <c r="H879" s="92">
        <f>C879*E879</f>
        <v>32740.500000000007</v>
      </c>
      <c r="I879" s="92"/>
    </row>
    <row r="880" spans="2:9">
      <c r="B880" s="88" t="s">
        <v>497</v>
      </c>
      <c r="C880" s="89">
        <v>1</v>
      </c>
      <c r="D880" s="90" t="s">
        <v>498</v>
      </c>
      <c r="E880" s="91">
        <f>0.05*H881</f>
        <v>4365.4000000000005</v>
      </c>
      <c r="F880" s="92"/>
      <c r="G880" s="92"/>
      <c r="H880" s="92"/>
      <c r="I880" s="92">
        <f>C880*E880</f>
        <v>4365.4000000000005</v>
      </c>
    </row>
    <row r="881" spans="2:9">
      <c r="B881" s="93" t="s">
        <v>7</v>
      </c>
      <c r="C881" s="93" t="s">
        <v>504</v>
      </c>
      <c r="D881" s="94"/>
      <c r="E881" s="95"/>
      <c r="F881" s="118">
        <f>SUM(F878:F880)</f>
        <v>0</v>
      </c>
      <c r="G881" s="118">
        <f t="shared" ref="G881:I881" si="177">SUM(G878:G880)</f>
        <v>0</v>
      </c>
      <c r="H881" s="118">
        <f t="shared" si="177"/>
        <v>87308.000000000015</v>
      </c>
      <c r="I881" s="118">
        <f t="shared" si="177"/>
        <v>4365.4000000000005</v>
      </c>
    </row>
    <row r="882" spans="2:9">
      <c r="B882" s="97">
        <f>ROUNDUP(SUM(F881:I881),0)</f>
        <v>91674</v>
      </c>
      <c r="C882" s="98" t="s">
        <v>564</v>
      </c>
      <c r="D882" s="99"/>
      <c r="E882" s="100"/>
      <c r="F882" s="120"/>
      <c r="G882" s="120"/>
      <c r="H882" s="120"/>
      <c r="I882" s="120"/>
    </row>
    <row r="884" spans="2:9">
      <c r="B884" s="1718" t="s">
        <v>825</v>
      </c>
      <c r="C884" s="1718"/>
      <c r="D884" s="1718"/>
      <c r="E884" s="1718"/>
      <c r="F884" s="1718"/>
      <c r="G884" s="1718"/>
      <c r="H884" s="1718"/>
      <c r="I884" s="167" t="s">
        <v>826</v>
      </c>
    </row>
    <row r="885" spans="2:9">
      <c r="C885" s="164" t="s">
        <v>491</v>
      </c>
      <c r="D885" s="86" t="s">
        <v>492</v>
      </c>
      <c r="E885" s="87" t="s">
        <v>493</v>
      </c>
      <c r="F885" s="87" t="s">
        <v>494</v>
      </c>
      <c r="G885" s="87" t="s">
        <v>360</v>
      </c>
      <c r="H885" s="87" t="s">
        <v>495</v>
      </c>
      <c r="I885" s="87" t="s">
        <v>496</v>
      </c>
    </row>
    <row r="886" spans="2:9">
      <c r="B886" s="88" t="s">
        <v>624</v>
      </c>
      <c r="C886" s="89">
        <v>1.7</v>
      </c>
      <c r="D886" s="90" t="str">
        <f>VLOOKUP(B886,BD!$B$4:$D$290,2,FALSE)</f>
        <v>pesos</v>
      </c>
      <c r="E886" s="91">
        <f>VLOOKUP(B886,BD!$B$4:$D$290,3,FALSE)</f>
        <v>15000</v>
      </c>
      <c r="F886" s="92"/>
      <c r="G886" s="92"/>
      <c r="H886" s="92"/>
      <c r="I886" s="92">
        <f>C886*E886</f>
        <v>25500</v>
      </c>
    </row>
    <row r="887" spans="2:9">
      <c r="B887" s="88" t="s">
        <v>511</v>
      </c>
      <c r="C887" s="89">
        <v>1</v>
      </c>
      <c r="D887" s="90" t="str">
        <f>VLOOKUP(B887,BD!$B$4:$D$290,2,FALSE)</f>
        <v>día</v>
      </c>
      <c r="E887" s="91">
        <f>VLOOKUP(B887,BD!$B$4:$D$290,3,FALSE)</f>
        <v>218270.00000000003</v>
      </c>
      <c r="F887" s="92"/>
      <c r="G887" s="92"/>
      <c r="H887" s="92">
        <f>C887*E887</f>
        <v>218270.00000000003</v>
      </c>
      <c r="I887" s="92"/>
    </row>
    <row r="888" spans="2:9">
      <c r="B888" s="88" t="s">
        <v>512</v>
      </c>
      <c r="C888" s="89">
        <v>1</v>
      </c>
      <c r="D888" s="90" t="str">
        <f>VLOOKUP(B888,BD!$B$4:$D$290,2,FALSE)</f>
        <v>día</v>
      </c>
      <c r="E888" s="91">
        <f>VLOOKUP(B888,BD!$B$4:$D$290,3,FALSE)</f>
        <v>130962.00000000003</v>
      </c>
      <c r="F888" s="92"/>
      <c r="G888" s="92"/>
      <c r="H888" s="92">
        <f>C888*E888</f>
        <v>130962.00000000003</v>
      </c>
      <c r="I888" s="92"/>
    </row>
    <row r="889" spans="2:9">
      <c r="B889" s="88" t="s">
        <v>497</v>
      </c>
      <c r="C889" s="89">
        <v>1</v>
      </c>
      <c r="D889" s="90" t="s">
        <v>498</v>
      </c>
      <c r="E889" s="91">
        <f>0.05*H890</f>
        <v>17461.600000000002</v>
      </c>
      <c r="F889" s="92"/>
      <c r="G889" s="92"/>
      <c r="H889" s="92"/>
      <c r="I889" s="92">
        <f>C889*E889</f>
        <v>17461.600000000002</v>
      </c>
    </row>
    <row r="890" spans="2:9">
      <c r="B890" s="93" t="s">
        <v>7</v>
      </c>
      <c r="C890" s="93" t="s">
        <v>504</v>
      </c>
      <c r="D890" s="94"/>
      <c r="E890" s="95"/>
      <c r="F890" s="87">
        <f>SUM(F886:F889)</f>
        <v>0</v>
      </c>
      <c r="G890" s="87">
        <f t="shared" ref="G890:I890" si="178">SUM(G886:G889)</f>
        <v>0</v>
      </c>
      <c r="H890" s="87">
        <f t="shared" si="178"/>
        <v>349232.00000000006</v>
      </c>
      <c r="I890" s="87">
        <f t="shared" si="178"/>
        <v>42961.600000000006</v>
      </c>
    </row>
    <row r="891" spans="2:9">
      <c r="B891" s="97">
        <f>ROUNDUP(SUM(F890:I890),0)</f>
        <v>392194</v>
      </c>
      <c r="C891" s="98" t="s">
        <v>564</v>
      </c>
      <c r="D891" s="99"/>
      <c r="E891" s="100"/>
      <c r="F891" s="165"/>
      <c r="G891" s="165"/>
      <c r="H891" s="165"/>
      <c r="I891" s="165"/>
    </row>
    <row r="893" spans="2:9">
      <c r="B893" s="1718" t="s">
        <v>827</v>
      </c>
      <c r="C893" s="1718"/>
      <c r="D893" s="1718"/>
      <c r="E893" s="1718"/>
      <c r="F893" s="1718"/>
      <c r="G893" s="1718"/>
      <c r="H893" s="1718"/>
      <c r="I893" s="167" t="s">
        <v>828</v>
      </c>
    </row>
    <row r="894" spans="2:9">
      <c r="C894" s="117" t="s">
        <v>491</v>
      </c>
      <c r="D894" s="117" t="s">
        <v>492</v>
      </c>
      <c r="E894" s="122" t="s">
        <v>493</v>
      </c>
      <c r="F894" s="122" t="s">
        <v>494</v>
      </c>
      <c r="G894" s="122" t="s">
        <v>360</v>
      </c>
      <c r="H894" s="122" t="s">
        <v>495</v>
      </c>
      <c r="I894" s="122" t="s">
        <v>496</v>
      </c>
    </row>
    <row r="895" spans="2:9">
      <c r="B895" s="88" t="s">
        <v>511</v>
      </c>
      <c r="C895" s="89">
        <f>1/3</f>
        <v>0.33333333333333331</v>
      </c>
      <c r="D895" s="90" t="str">
        <f>VLOOKUP(B895,BD!$B$4:$D$290,2,FALSE)</f>
        <v>día</v>
      </c>
      <c r="E895" s="91">
        <f>VLOOKUP(B895,BD!$B$4:$D$290,3,FALSE)</f>
        <v>218270.00000000003</v>
      </c>
      <c r="F895" s="92"/>
      <c r="G895" s="92"/>
      <c r="H895" s="92">
        <f>C895*E895</f>
        <v>72756.666666666672</v>
      </c>
      <c r="I895" s="92"/>
    </row>
    <row r="896" spans="2:9">
      <c r="B896" s="88" t="s">
        <v>512</v>
      </c>
      <c r="C896" s="89">
        <f>1/3</f>
        <v>0.33333333333333331</v>
      </c>
      <c r="D896" s="90" t="str">
        <f>VLOOKUP(B896,BD!$B$4:$D$290,2,FALSE)</f>
        <v>día</v>
      </c>
      <c r="E896" s="91">
        <f>VLOOKUP(B896,BD!$B$4:$D$290,3,FALSE)</f>
        <v>130962.00000000003</v>
      </c>
      <c r="F896" s="92"/>
      <c r="G896" s="92"/>
      <c r="H896" s="92">
        <f>C896*E896</f>
        <v>43654.000000000007</v>
      </c>
      <c r="I896" s="92"/>
    </row>
    <row r="897" spans="2:9">
      <c r="B897" s="88" t="s">
        <v>497</v>
      </c>
      <c r="C897" s="89">
        <v>1</v>
      </c>
      <c r="D897" s="90" t="s">
        <v>498</v>
      </c>
      <c r="E897" s="91">
        <f>0.05*H898</f>
        <v>5820.5333333333347</v>
      </c>
      <c r="F897" s="92"/>
      <c r="G897" s="92"/>
      <c r="H897" s="92"/>
      <c r="I897" s="92">
        <f>C897*E897</f>
        <v>5820.5333333333347</v>
      </c>
    </row>
    <row r="898" spans="2:9">
      <c r="B898" s="93" t="s">
        <v>7</v>
      </c>
      <c r="C898" s="93" t="s">
        <v>504</v>
      </c>
      <c r="D898" s="94"/>
      <c r="E898" s="95"/>
      <c r="F898" s="118">
        <f>SUM(F895:F897)</f>
        <v>0</v>
      </c>
      <c r="G898" s="118">
        <f t="shared" ref="G898:I898" si="179">SUM(G895:G897)</f>
        <v>0</v>
      </c>
      <c r="H898" s="118">
        <f t="shared" si="179"/>
        <v>116410.66666666669</v>
      </c>
      <c r="I898" s="118">
        <f t="shared" si="179"/>
        <v>5820.5333333333347</v>
      </c>
    </row>
    <row r="899" spans="2:9">
      <c r="B899" s="97">
        <f>ROUNDUP(SUM(F898:I898),0)</f>
        <v>122232</v>
      </c>
      <c r="C899" s="98" t="s">
        <v>564</v>
      </c>
      <c r="D899" s="99"/>
      <c r="E899" s="100"/>
      <c r="F899" s="120"/>
      <c r="G899" s="120"/>
      <c r="H899" s="120"/>
      <c r="I899" s="120"/>
    </row>
    <row r="901" spans="2:9">
      <c r="B901" s="1718" t="s">
        <v>829</v>
      </c>
      <c r="C901" s="1718"/>
      <c r="D901" s="1718"/>
      <c r="E901" s="1718"/>
      <c r="F901" s="1718"/>
      <c r="G901" s="1718"/>
      <c r="H901" s="1718"/>
      <c r="I901" s="167" t="s">
        <v>830</v>
      </c>
    </row>
    <row r="902" spans="2:9">
      <c r="C902" s="117" t="s">
        <v>491</v>
      </c>
      <c r="D902" s="117" t="s">
        <v>492</v>
      </c>
      <c r="E902" s="122" t="s">
        <v>493</v>
      </c>
      <c r="F902" s="122" t="s">
        <v>494</v>
      </c>
      <c r="G902" s="122" t="s">
        <v>360</v>
      </c>
      <c r="H902" s="122" t="s">
        <v>495</v>
      </c>
      <c r="I902" s="122" t="s">
        <v>496</v>
      </c>
    </row>
    <row r="903" spans="2:9">
      <c r="B903" s="88" t="s">
        <v>511</v>
      </c>
      <c r="C903" s="89">
        <f>1/3.5</f>
        <v>0.2857142857142857</v>
      </c>
      <c r="D903" s="90" t="str">
        <f>VLOOKUP(B903,BD!$B$4:$D$290,2,FALSE)</f>
        <v>día</v>
      </c>
      <c r="E903" s="91">
        <f>VLOOKUP(B903,BD!$B$4:$D$290,3,FALSE)</f>
        <v>218270.00000000003</v>
      </c>
      <c r="F903" s="92"/>
      <c r="G903" s="92"/>
      <c r="H903" s="92">
        <f>C903*E903</f>
        <v>62362.857142857145</v>
      </c>
      <c r="I903" s="92"/>
    </row>
    <row r="904" spans="2:9">
      <c r="B904" s="88" t="s">
        <v>512</v>
      </c>
      <c r="C904" s="89">
        <f>1/3.5</f>
        <v>0.2857142857142857</v>
      </c>
      <c r="D904" s="90" t="str">
        <f>VLOOKUP(B904,BD!$B$4:$D$290,2,FALSE)</f>
        <v>día</v>
      </c>
      <c r="E904" s="91">
        <f>VLOOKUP(B904,BD!$B$4:$D$290,3,FALSE)</f>
        <v>130962.00000000003</v>
      </c>
      <c r="F904" s="92"/>
      <c r="G904" s="92"/>
      <c r="H904" s="92">
        <f>C904*E904</f>
        <v>37417.71428571429</v>
      </c>
      <c r="I904" s="92"/>
    </row>
    <row r="905" spans="2:9">
      <c r="B905" s="88" t="s">
        <v>497</v>
      </c>
      <c r="C905" s="89">
        <v>1</v>
      </c>
      <c r="D905" s="90" t="s">
        <v>498</v>
      </c>
      <c r="E905" s="91">
        <f>0.05*H906</f>
        <v>4989.0285714285719</v>
      </c>
      <c r="F905" s="92"/>
      <c r="G905" s="92"/>
      <c r="H905" s="92"/>
      <c r="I905" s="92">
        <f>C905*E905</f>
        <v>4989.0285714285719</v>
      </c>
    </row>
    <row r="906" spans="2:9">
      <c r="B906" s="93" t="s">
        <v>7</v>
      </c>
      <c r="C906" s="93" t="s">
        <v>504</v>
      </c>
      <c r="D906" s="94"/>
      <c r="E906" s="95"/>
      <c r="F906" s="118">
        <f>SUM(F903:F905)</f>
        <v>0</v>
      </c>
      <c r="G906" s="118">
        <f t="shared" ref="G906" si="180">SUM(G903:G905)</f>
        <v>0</v>
      </c>
      <c r="H906" s="118">
        <f t="shared" ref="H906" si="181">SUM(H903:H905)</f>
        <v>99780.571428571435</v>
      </c>
      <c r="I906" s="118">
        <f t="shared" ref="I906" si="182">SUM(I903:I905)</f>
        <v>4989.0285714285719</v>
      </c>
    </row>
    <row r="907" spans="2:9">
      <c r="B907" s="97">
        <f>ROUNDUP(SUM(F906:I906),0)</f>
        <v>104770</v>
      </c>
      <c r="C907" s="98" t="s">
        <v>564</v>
      </c>
      <c r="D907" s="99"/>
      <c r="E907" s="100"/>
      <c r="F907" s="120"/>
      <c r="G907" s="120"/>
      <c r="H907" s="120"/>
      <c r="I907" s="120"/>
    </row>
    <row r="909" spans="2:9">
      <c r="B909" s="1718" t="s">
        <v>831</v>
      </c>
      <c r="C909" s="1718"/>
      <c r="D909" s="1718"/>
      <c r="E909" s="1718"/>
      <c r="F909" s="1718"/>
      <c r="G909" s="1718"/>
      <c r="H909" s="1718"/>
      <c r="I909" s="167" t="s">
        <v>832</v>
      </c>
    </row>
    <row r="910" spans="2:9">
      <c r="C910" s="117" t="s">
        <v>491</v>
      </c>
      <c r="D910" s="117" t="s">
        <v>492</v>
      </c>
      <c r="E910" s="122" t="s">
        <v>493</v>
      </c>
      <c r="F910" s="122" t="s">
        <v>494</v>
      </c>
      <c r="G910" s="122" t="s">
        <v>360</v>
      </c>
      <c r="H910" s="122" t="s">
        <v>495</v>
      </c>
      <c r="I910" s="122" t="s">
        <v>496</v>
      </c>
    </row>
    <row r="911" spans="2:9">
      <c r="B911" s="88" t="s">
        <v>511</v>
      </c>
      <c r="C911" s="89">
        <f>1/3.8</f>
        <v>0.26315789473684209</v>
      </c>
      <c r="D911" s="90" t="str">
        <f>VLOOKUP(B911,BD!$B$4:$D$290,2,FALSE)</f>
        <v>día</v>
      </c>
      <c r="E911" s="91">
        <f>VLOOKUP(B911,BD!$B$4:$D$290,3,FALSE)</f>
        <v>218270.00000000003</v>
      </c>
      <c r="F911" s="92"/>
      <c r="G911" s="92"/>
      <c r="H911" s="92">
        <f>C911*E911</f>
        <v>57439.473684210534</v>
      </c>
      <c r="I911" s="92"/>
    </row>
    <row r="912" spans="2:9">
      <c r="B912" s="88" t="s">
        <v>512</v>
      </c>
      <c r="C912" s="89">
        <f>1/3.8</f>
        <v>0.26315789473684209</v>
      </c>
      <c r="D912" s="90" t="str">
        <f>VLOOKUP(B912,BD!$B$4:$D$290,2,FALSE)</f>
        <v>día</v>
      </c>
      <c r="E912" s="91">
        <f>VLOOKUP(B912,BD!$B$4:$D$290,3,FALSE)</f>
        <v>130962.00000000003</v>
      </c>
      <c r="F912" s="92"/>
      <c r="G912" s="92"/>
      <c r="H912" s="92">
        <f>C912*E912</f>
        <v>34463.68421052632</v>
      </c>
      <c r="I912" s="92"/>
    </row>
    <row r="913" spans="2:9">
      <c r="B913" s="88" t="s">
        <v>497</v>
      </c>
      <c r="C913" s="89">
        <v>1</v>
      </c>
      <c r="D913" s="90" t="s">
        <v>498</v>
      </c>
      <c r="E913" s="91">
        <f>0.05*H914</f>
        <v>4595.1578947368425</v>
      </c>
      <c r="F913" s="92"/>
      <c r="G913" s="92"/>
      <c r="H913" s="92"/>
      <c r="I913" s="92">
        <f>C913*E913</f>
        <v>4595.1578947368425</v>
      </c>
    </row>
    <row r="914" spans="2:9">
      <c r="B914" s="93" t="s">
        <v>7</v>
      </c>
      <c r="C914" s="93" t="s">
        <v>504</v>
      </c>
      <c r="D914" s="94"/>
      <c r="E914" s="95"/>
      <c r="F914" s="118">
        <f>SUM(F911:F913)</f>
        <v>0</v>
      </c>
      <c r="G914" s="118">
        <f t="shared" ref="G914" si="183">SUM(G911:G913)</f>
        <v>0</v>
      </c>
      <c r="H914" s="118">
        <f t="shared" ref="H914" si="184">SUM(H911:H913)</f>
        <v>91903.157894736854</v>
      </c>
      <c r="I914" s="118">
        <f t="shared" ref="I914" si="185">SUM(I911:I913)</f>
        <v>4595.1578947368425</v>
      </c>
    </row>
    <row r="915" spans="2:9">
      <c r="B915" s="97">
        <f>ROUNDUP(SUM(F914:I914),0)</f>
        <v>96499</v>
      </c>
      <c r="C915" s="98" t="s">
        <v>564</v>
      </c>
      <c r="D915" s="99"/>
      <c r="E915" s="100"/>
      <c r="F915" s="120"/>
      <c r="G915" s="120"/>
      <c r="H915" s="120"/>
      <c r="I915" s="120"/>
    </row>
    <row r="917" spans="2:9">
      <c r="B917" s="1718" t="s">
        <v>833</v>
      </c>
      <c r="C917" s="1718"/>
      <c r="D917" s="1718"/>
      <c r="E917" s="1718"/>
      <c r="F917" s="1718"/>
      <c r="G917" s="1718"/>
      <c r="H917" s="1718"/>
      <c r="I917" s="167" t="s">
        <v>834</v>
      </c>
    </row>
    <row r="918" spans="2:9">
      <c r="C918" s="117" t="s">
        <v>491</v>
      </c>
      <c r="D918" s="117" t="s">
        <v>492</v>
      </c>
      <c r="E918" s="122" t="s">
        <v>493</v>
      </c>
      <c r="F918" s="122" t="s">
        <v>494</v>
      </c>
      <c r="G918" s="122" t="s">
        <v>360</v>
      </c>
      <c r="H918" s="122" t="s">
        <v>495</v>
      </c>
      <c r="I918" s="122" t="s">
        <v>496</v>
      </c>
    </row>
    <row r="919" spans="2:9">
      <c r="B919" s="88" t="s">
        <v>511</v>
      </c>
      <c r="C919" s="89">
        <f>1/4</f>
        <v>0.25</v>
      </c>
      <c r="D919" s="90" t="str">
        <f>VLOOKUP(B919,BD!$B$4:$D$290,2,FALSE)</f>
        <v>día</v>
      </c>
      <c r="E919" s="91">
        <f>VLOOKUP(B919,BD!$B$4:$D$290,3,FALSE)</f>
        <v>218270.00000000003</v>
      </c>
      <c r="F919" s="92"/>
      <c r="G919" s="92"/>
      <c r="H919" s="92">
        <f>C919*E919</f>
        <v>54567.500000000007</v>
      </c>
      <c r="I919" s="92"/>
    </row>
    <row r="920" spans="2:9">
      <c r="B920" s="88" t="s">
        <v>512</v>
      </c>
      <c r="C920" s="89">
        <f>1/4</f>
        <v>0.25</v>
      </c>
      <c r="D920" s="90" t="str">
        <f>VLOOKUP(B920,BD!$B$4:$D$290,2,FALSE)</f>
        <v>día</v>
      </c>
      <c r="E920" s="91">
        <f>VLOOKUP(B920,BD!$B$4:$D$290,3,FALSE)</f>
        <v>130962.00000000003</v>
      </c>
      <c r="F920" s="92"/>
      <c r="G920" s="92"/>
      <c r="H920" s="92">
        <f>C920*E920</f>
        <v>32740.500000000007</v>
      </c>
      <c r="I920" s="92"/>
    </row>
    <row r="921" spans="2:9">
      <c r="B921" s="88" t="s">
        <v>497</v>
      </c>
      <c r="C921" s="89">
        <v>1</v>
      </c>
      <c r="D921" s="90" t="s">
        <v>498</v>
      </c>
      <c r="E921" s="91">
        <f>0.05*H922</f>
        <v>4365.4000000000005</v>
      </c>
      <c r="F921" s="92"/>
      <c r="G921" s="92"/>
      <c r="H921" s="92"/>
      <c r="I921" s="92">
        <f>C921*E921</f>
        <v>4365.4000000000005</v>
      </c>
    </row>
    <row r="922" spans="2:9">
      <c r="B922" s="93" t="s">
        <v>7</v>
      </c>
      <c r="C922" s="93" t="s">
        <v>504</v>
      </c>
      <c r="D922" s="94"/>
      <c r="E922" s="95"/>
      <c r="F922" s="118">
        <f>SUM(F919:F921)</f>
        <v>0</v>
      </c>
      <c r="G922" s="118">
        <f t="shared" ref="G922:I922" si="186">SUM(G919:G921)</f>
        <v>0</v>
      </c>
      <c r="H922" s="118">
        <f t="shared" si="186"/>
        <v>87308.000000000015</v>
      </c>
      <c r="I922" s="118">
        <f t="shared" si="186"/>
        <v>4365.4000000000005</v>
      </c>
    </row>
    <row r="923" spans="2:9">
      <c r="B923" s="97">
        <f>ROUNDUP(SUM(F922:I922),0)</f>
        <v>91674</v>
      </c>
      <c r="C923" s="98" t="s">
        <v>564</v>
      </c>
      <c r="D923" s="99"/>
      <c r="E923" s="100"/>
      <c r="F923" s="120"/>
      <c r="G923" s="120"/>
      <c r="H923" s="120"/>
      <c r="I923" s="120"/>
    </row>
    <row r="925" spans="2:9">
      <c r="B925" s="1718" t="s">
        <v>835</v>
      </c>
      <c r="C925" s="1718"/>
      <c r="D925" s="1718"/>
      <c r="E925" s="1718"/>
      <c r="F925" s="1718"/>
      <c r="G925" s="1718"/>
      <c r="H925" s="1718"/>
      <c r="I925" s="167" t="s">
        <v>836</v>
      </c>
    </row>
    <row r="926" spans="2:9">
      <c r="C926" s="117" t="s">
        <v>491</v>
      </c>
      <c r="D926" s="117" t="s">
        <v>492</v>
      </c>
      <c r="E926" s="122" t="s">
        <v>493</v>
      </c>
      <c r="F926" s="122" t="s">
        <v>494</v>
      </c>
      <c r="G926" s="122" t="s">
        <v>360</v>
      </c>
      <c r="H926" s="122" t="s">
        <v>495</v>
      </c>
      <c r="I926" s="122" t="s">
        <v>496</v>
      </c>
    </row>
    <row r="927" spans="2:9">
      <c r="B927" s="88" t="s">
        <v>511</v>
      </c>
      <c r="C927" s="89">
        <f>1/3</f>
        <v>0.33333333333333331</v>
      </c>
      <c r="D927" s="90" t="str">
        <f>VLOOKUP(B927,BD!$B$4:$D$290,2,FALSE)</f>
        <v>día</v>
      </c>
      <c r="E927" s="91">
        <f>VLOOKUP(B927,BD!$B$4:$D$290,3,FALSE)</f>
        <v>218270.00000000003</v>
      </c>
      <c r="F927" s="92"/>
      <c r="G927" s="92"/>
      <c r="H927" s="92">
        <f>C927*E927</f>
        <v>72756.666666666672</v>
      </c>
      <c r="I927" s="92"/>
    </row>
    <row r="928" spans="2:9">
      <c r="B928" s="88" t="s">
        <v>512</v>
      </c>
      <c r="C928" s="89">
        <f>1/3</f>
        <v>0.33333333333333331</v>
      </c>
      <c r="D928" s="90" t="str">
        <f>VLOOKUP(B928,BD!$B$4:$D$290,2,FALSE)</f>
        <v>día</v>
      </c>
      <c r="E928" s="91">
        <f>VLOOKUP(B928,BD!$B$4:$D$290,3,FALSE)</f>
        <v>130962.00000000003</v>
      </c>
      <c r="F928" s="92"/>
      <c r="G928" s="92"/>
      <c r="H928" s="92">
        <f>C928*E928</f>
        <v>43654.000000000007</v>
      </c>
      <c r="I928" s="92"/>
    </row>
    <row r="929" spans="2:9">
      <c r="B929" s="88" t="s">
        <v>497</v>
      </c>
      <c r="C929" s="89">
        <v>1</v>
      </c>
      <c r="D929" s="90" t="s">
        <v>498</v>
      </c>
      <c r="E929" s="91">
        <f>0.05*H930</f>
        <v>5820.5333333333347</v>
      </c>
      <c r="F929" s="92"/>
      <c r="G929" s="92"/>
      <c r="H929" s="92"/>
      <c r="I929" s="92">
        <f>C929*E929</f>
        <v>5820.5333333333347</v>
      </c>
    </row>
    <row r="930" spans="2:9">
      <c r="B930" s="93" t="s">
        <v>7</v>
      </c>
      <c r="C930" s="93" t="s">
        <v>504</v>
      </c>
      <c r="D930" s="94"/>
      <c r="E930" s="95"/>
      <c r="F930" s="118">
        <f>SUM(F927:F929)</f>
        <v>0</v>
      </c>
      <c r="G930" s="118">
        <f t="shared" ref="G930:I930" si="187">SUM(G927:G929)</f>
        <v>0</v>
      </c>
      <c r="H930" s="118">
        <f t="shared" si="187"/>
        <v>116410.66666666669</v>
      </c>
      <c r="I930" s="118">
        <f t="shared" si="187"/>
        <v>5820.5333333333347</v>
      </c>
    </row>
    <row r="931" spans="2:9">
      <c r="B931" s="97">
        <f>ROUNDUP(SUM(F930:I930),0)</f>
        <v>122232</v>
      </c>
      <c r="C931" s="98" t="s">
        <v>564</v>
      </c>
      <c r="D931" s="99"/>
      <c r="E931" s="100"/>
      <c r="F931" s="120"/>
      <c r="G931" s="120"/>
      <c r="H931" s="120"/>
      <c r="I931" s="120"/>
    </row>
    <row r="933" spans="2:9">
      <c r="B933" s="1718" t="s">
        <v>837</v>
      </c>
      <c r="C933" s="1718"/>
      <c r="D933" s="1718"/>
      <c r="E933" s="1718"/>
      <c r="F933" s="1718"/>
      <c r="G933" s="1718"/>
      <c r="H933" s="1718"/>
      <c r="I933" s="167" t="s">
        <v>838</v>
      </c>
    </row>
    <row r="934" spans="2:9">
      <c r="C934" s="117" t="s">
        <v>491</v>
      </c>
      <c r="D934" s="117" t="s">
        <v>492</v>
      </c>
      <c r="E934" s="122" t="s">
        <v>493</v>
      </c>
      <c r="F934" s="122" t="s">
        <v>494</v>
      </c>
      <c r="G934" s="122" t="s">
        <v>360</v>
      </c>
      <c r="H934" s="122" t="s">
        <v>495</v>
      </c>
      <c r="I934" s="122" t="s">
        <v>496</v>
      </c>
    </row>
    <row r="935" spans="2:9">
      <c r="B935" s="88" t="s">
        <v>511</v>
      </c>
      <c r="C935" s="89">
        <f>1/3.1</f>
        <v>0.32258064516129031</v>
      </c>
      <c r="D935" s="90" t="str">
        <f>VLOOKUP(B935,BD!$B$4:$D$290,2,FALSE)</f>
        <v>día</v>
      </c>
      <c r="E935" s="91">
        <f>VLOOKUP(B935,BD!$B$4:$D$290,3,FALSE)</f>
        <v>218270.00000000003</v>
      </c>
      <c r="F935" s="92"/>
      <c r="G935" s="92"/>
      <c r="H935" s="92">
        <f>C935*E935</f>
        <v>70409.677419354848</v>
      </c>
      <c r="I935" s="92"/>
    </row>
    <row r="936" spans="2:9">
      <c r="B936" s="88" t="s">
        <v>512</v>
      </c>
      <c r="C936" s="89">
        <f>1/3.1</f>
        <v>0.32258064516129031</v>
      </c>
      <c r="D936" s="90" t="str">
        <f>VLOOKUP(B936,BD!$B$4:$D$290,2,FALSE)</f>
        <v>día</v>
      </c>
      <c r="E936" s="91">
        <f>VLOOKUP(B936,BD!$B$4:$D$290,3,FALSE)</f>
        <v>130962.00000000003</v>
      </c>
      <c r="F936" s="92"/>
      <c r="G936" s="92"/>
      <c r="H936" s="92">
        <f>C936*E936</f>
        <v>42245.806451612909</v>
      </c>
      <c r="I936" s="92"/>
    </row>
    <row r="937" spans="2:9">
      <c r="B937" s="88" t="s">
        <v>497</v>
      </c>
      <c r="C937" s="89">
        <v>1</v>
      </c>
      <c r="D937" s="90" t="s">
        <v>498</v>
      </c>
      <c r="E937" s="91">
        <f>0.05*H938</f>
        <v>5632.7741935483882</v>
      </c>
      <c r="F937" s="92"/>
      <c r="G937" s="92"/>
      <c r="H937" s="92"/>
      <c r="I937" s="92">
        <f>C937*E937</f>
        <v>5632.7741935483882</v>
      </c>
    </row>
    <row r="938" spans="2:9">
      <c r="B938" s="93" t="s">
        <v>7</v>
      </c>
      <c r="C938" s="93" t="s">
        <v>504</v>
      </c>
      <c r="D938" s="94"/>
      <c r="E938" s="95"/>
      <c r="F938" s="118">
        <f>SUM(F935:F937)</f>
        <v>0</v>
      </c>
      <c r="G938" s="118">
        <f t="shared" ref="G938:I938" si="188">SUM(G935:G937)</f>
        <v>0</v>
      </c>
      <c r="H938" s="118">
        <f t="shared" si="188"/>
        <v>112655.48387096776</v>
      </c>
      <c r="I938" s="118">
        <f t="shared" si="188"/>
        <v>5632.7741935483882</v>
      </c>
    </row>
    <row r="939" spans="2:9">
      <c r="B939" s="97">
        <f>ROUNDUP(SUM(F938:I938),0)</f>
        <v>118289</v>
      </c>
      <c r="C939" s="98" t="s">
        <v>564</v>
      </c>
      <c r="D939" s="99"/>
      <c r="E939" s="100"/>
      <c r="F939" s="120"/>
      <c r="G939" s="120"/>
      <c r="H939" s="120"/>
      <c r="I939" s="120"/>
    </row>
    <row r="941" spans="2:9">
      <c r="B941" s="1718" t="s">
        <v>839</v>
      </c>
      <c r="C941" s="1718"/>
      <c r="D941" s="1718"/>
      <c r="E941" s="1718"/>
      <c r="F941" s="1718"/>
      <c r="G941" s="1718"/>
      <c r="H941" s="1718"/>
      <c r="I941" s="167" t="s">
        <v>840</v>
      </c>
    </row>
    <row r="942" spans="2:9">
      <c r="C942" s="117" t="s">
        <v>491</v>
      </c>
      <c r="D942" s="117" t="s">
        <v>492</v>
      </c>
      <c r="E942" s="122" t="s">
        <v>493</v>
      </c>
      <c r="F942" s="122" t="s">
        <v>494</v>
      </c>
      <c r="G942" s="122" t="s">
        <v>360</v>
      </c>
      <c r="H942" s="122" t="s">
        <v>495</v>
      </c>
      <c r="I942" s="122" t="s">
        <v>496</v>
      </c>
    </row>
    <row r="943" spans="2:9">
      <c r="B943" s="88" t="s">
        <v>511</v>
      </c>
      <c r="C943" s="89">
        <f>1/3.5</f>
        <v>0.2857142857142857</v>
      </c>
      <c r="D943" s="90" t="str">
        <f>VLOOKUP(B943,BD!$B$4:$D$290,2,FALSE)</f>
        <v>día</v>
      </c>
      <c r="E943" s="91">
        <f>VLOOKUP(B943,BD!$B$4:$D$290,3,FALSE)</f>
        <v>218270.00000000003</v>
      </c>
      <c r="F943" s="92"/>
      <c r="G943" s="92"/>
      <c r="H943" s="92">
        <f>C943*E943</f>
        <v>62362.857142857145</v>
      </c>
      <c r="I943" s="92"/>
    </row>
    <row r="944" spans="2:9">
      <c r="B944" s="88" t="s">
        <v>512</v>
      </c>
      <c r="C944" s="89">
        <f>1/3.5</f>
        <v>0.2857142857142857</v>
      </c>
      <c r="D944" s="90" t="str">
        <f>VLOOKUP(B944,BD!$B$4:$D$290,2,FALSE)</f>
        <v>día</v>
      </c>
      <c r="E944" s="91">
        <f>VLOOKUP(B944,BD!$B$4:$D$290,3,FALSE)</f>
        <v>130962.00000000003</v>
      </c>
      <c r="F944" s="92"/>
      <c r="G944" s="92"/>
      <c r="H944" s="92">
        <f>C944*E944</f>
        <v>37417.71428571429</v>
      </c>
      <c r="I944" s="92"/>
    </row>
    <row r="945" spans="2:9">
      <c r="B945" s="88" t="s">
        <v>497</v>
      </c>
      <c r="C945" s="89">
        <v>1</v>
      </c>
      <c r="D945" s="90" t="s">
        <v>498</v>
      </c>
      <c r="E945" s="91">
        <f>0.05*H946</f>
        <v>4989.0285714285719</v>
      </c>
      <c r="F945" s="92"/>
      <c r="G945" s="92"/>
      <c r="H945" s="92"/>
      <c r="I945" s="92">
        <f>C945*E945</f>
        <v>4989.0285714285719</v>
      </c>
    </row>
    <row r="946" spans="2:9">
      <c r="B946" s="93" t="s">
        <v>7</v>
      </c>
      <c r="C946" s="93" t="s">
        <v>504</v>
      </c>
      <c r="D946" s="94"/>
      <c r="E946" s="95"/>
      <c r="F946" s="118">
        <f>SUM(F943:F945)</f>
        <v>0</v>
      </c>
      <c r="G946" s="118">
        <f t="shared" ref="G946" si="189">SUM(G943:G945)</f>
        <v>0</v>
      </c>
      <c r="H946" s="118">
        <f t="shared" ref="H946" si="190">SUM(H943:H945)</f>
        <v>99780.571428571435</v>
      </c>
      <c r="I946" s="118">
        <f t="shared" ref="I946" si="191">SUM(I943:I945)</f>
        <v>4989.0285714285719</v>
      </c>
    </row>
    <row r="947" spans="2:9">
      <c r="B947" s="97">
        <f>ROUNDUP(SUM(F946:I946),0)</f>
        <v>104770</v>
      </c>
      <c r="C947" s="98" t="s">
        <v>564</v>
      </c>
      <c r="D947" s="99"/>
      <c r="E947" s="100"/>
      <c r="F947" s="120"/>
      <c r="G947" s="120"/>
      <c r="H947" s="120"/>
      <c r="I947" s="120"/>
    </row>
    <row r="949" spans="2:9">
      <c r="B949" s="1718" t="s">
        <v>841</v>
      </c>
      <c r="C949" s="1718"/>
      <c r="D949" s="1718"/>
      <c r="E949" s="1718"/>
      <c r="F949" s="1718"/>
      <c r="G949" s="1718"/>
      <c r="H949" s="1718"/>
      <c r="I949" s="167" t="s">
        <v>842</v>
      </c>
    </row>
    <row r="950" spans="2:9">
      <c r="C950" s="117" t="s">
        <v>491</v>
      </c>
      <c r="D950" s="117" t="s">
        <v>492</v>
      </c>
      <c r="E950" s="122" t="s">
        <v>493</v>
      </c>
      <c r="F950" s="122" t="s">
        <v>494</v>
      </c>
      <c r="G950" s="122" t="s">
        <v>360</v>
      </c>
      <c r="H950" s="122" t="s">
        <v>495</v>
      </c>
      <c r="I950" s="122" t="s">
        <v>496</v>
      </c>
    </row>
    <row r="951" spans="2:9">
      <c r="B951" s="88" t="s">
        <v>511</v>
      </c>
      <c r="C951" s="89">
        <f>1/4</f>
        <v>0.25</v>
      </c>
      <c r="D951" s="90" t="str">
        <f>VLOOKUP(B951,BD!$B$4:$D$290,2,FALSE)</f>
        <v>día</v>
      </c>
      <c r="E951" s="91">
        <f>VLOOKUP(B951,BD!$B$4:$D$290,3,FALSE)</f>
        <v>218270.00000000003</v>
      </c>
      <c r="F951" s="92"/>
      <c r="G951" s="92"/>
      <c r="H951" s="92">
        <f>C951*E951</f>
        <v>54567.500000000007</v>
      </c>
      <c r="I951" s="92"/>
    </row>
    <row r="952" spans="2:9">
      <c r="B952" s="88" t="s">
        <v>512</v>
      </c>
      <c r="C952" s="89">
        <f>1/4</f>
        <v>0.25</v>
      </c>
      <c r="D952" s="90" t="str">
        <f>VLOOKUP(B952,BD!$B$4:$D$290,2,FALSE)</f>
        <v>día</v>
      </c>
      <c r="E952" s="91">
        <f>VLOOKUP(B952,BD!$B$4:$D$290,3,FALSE)</f>
        <v>130962.00000000003</v>
      </c>
      <c r="F952" s="92"/>
      <c r="G952" s="92"/>
      <c r="H952" s="92">
        <f>C952*E952</f>
        <v>32740.500000000007</v>
      </c>
      <c r="I952" s="92"/>
    </row>
    <row r="953" spans="2:9">
      <c r="B953" s="88" t="s">
        <v>497</v>
      </c>
      <c r="C953" s="89">
        <v>1</v>
      </c>
      <c r="D953" s="90" t="s">
        <v>498</v>
      </c>
      <c r="E953" s="91">
        <f>0.05*H954</f>
        <v>4365.4000000000005</v>
      </c>
      <c r="F953" s="92"/>
      <c r="G953" s="92"/>
      <c r="H953" s="92"/>
      <c r="I953" s="92">
        <f>C953*E953</f>
        <v>4365.4000000000005</v>
      </c>
    </row>
    <row r="954" spans="2:9">
      <c r="B954" s="93" t="s">
        <v>7</v>
      </c>
      <c r="C954" s="93" t="s">
        <v>504</v>
      </c>
      <c r="D954" s="94"/>
      <c r="E954" s="95"/>
      <c r="F954" s="118">
        <f>SUM(F951:F953)</f>
        <v>0</v>
      </c>
      <c r="G954" s="118">
        <f t="shared" ref="G954" si="192">SUM(G951:G953)</f>
        <v>0</v>
      </c>
      <c r="H954" s="118">
        <f t="shared" ref="H954" si="193">SUM(H951:H953)</f>
        <v>87308.000000000015</v>
      </c>
      <c r="I954" s="118">
        <f t="shared" ref="I954" si="194">SUM(I951:I953)</f>
        <v>4365.4000000000005</v>
      </c>
    </row>
    <row r="955" spans="2:9">
      <c r="B955" s="97">
        <f>ROUNDUP(SUM(F954:I954),0)</f>
        <v>91674</v>
      </c>
      <c r="C955" s="98" t="s">
        <v>564</v>
      </c>
      <c r="D955" s="99"/>
      <c r="E955" s="100"/>
      <c r="F955" s="120"/>
      <c r="G955" s="120"/>
      <c r="H955" s="120"/>
      <c r="I955" s="120"/>
    </row>
    <row r="957" spans="2:9">
      <c r="B957" s="1718" t="s">
        <v>843</v>
      </c>
      <c r="C957" s="1718"/>
      <c r="D957" s="1718"/>
      <c r="E957" s="1718"/>
      <c r="F957" s="1718"/>
      <c r="G957" s="1718"/>
      <c r="H957" s="1718"/>
      <c r="I957" s="168" t="s">
        <v>844</v>
      </c>
    </row>
    <row r="958" spans="2:9">
      <c r="C958" s="127" t="s">
        <v>491</v>
      </c>
      <c r="D958" s="104" t="s">
        <v>492</v>
      </c>
      <c r="E958" s="104" t="s">
        <v>493</v>
      </c>
      <c r="F958" s="104" t="s">
        <v>494</v>
      </c>
      <c r="G958" s="104" t="s">
        <v>360</v>
      </c>
      <c r="H958" s="104" t="s">
        <v>495</v>
      </c>
      <c r="I958" s="104" t="s">
        <v>496</v>
      </c>
    </row>
    <row r="959" spans="2:9">
      <c r="B959" s="88" t="s">
        <v>775</v>
      </c>
      <c r="C959" s="89">
        <f>1/9</f>
        <v>0.1111111111111111</v>
      </c>
      <c r="D959" s="90" t="str">
        <f>VLOOKUP(B959,BD!$B$4:$D$290,2,FALSE)</f>
        <v>tarro</v>
      </c>
      <c r="E959" s="91">
        <f>VLOOKUP(B959,BD!$B$4:$D$290,3,FALSE)</f>
        <v>234068</v>
      </c>
      <c r="F959" s="92"/>
      <c r="G959" s="92">
        <f>C959*E959</f>
        <v>26007.555555555555</v>
      </c>
      <c r="H959" s="92"/>
      <c r="I959" s="92"/>
    </row>
    <row r="960" spans="2:9">
      <c r="B960" s="88" t="s">
        <v>792</v>
      </c>
      <c r="C960" s="89">
        <f>1/9</f>
        <v>0.1111111111111111</v>
      </c>
      <c r="D960" s="90" t="str">
        <f>VLOOKUP(B960,BD!$B$4:$D$290,2,FALSE)</f>
        <v>gal/4</v>
      </c>
      <c r="E960" s="91">
        <f>VLOOKUP(B960,BD!$B$4:$D$290,3,FALSE)</f>
        <v>146569</v>
      </c>
      <c r="F960" s="92"/>
      <c r="G960" s="92">
        <f>C960*E960</f>
        <v>16285.444444444443</v>
      </c>
      <c r="H960" s="92"/>
      <c r="I960" s="92"/>
    </row>
    <row r="961" spans="2:9">
      <c r="B961" s="88" t="s">
        <v>511</v>
      </c>
      <c r="C961" s="89">
        <f>1/3.5</f>
        <v>0.2857142857142857</v>
      </c>
      <c r="D961" s="90" t="str">
        <f>VLOOKUP(B961,BD!$B$4:$D$290,2,FALSE)</f>
        <v>día</v>
      </c>
      <c r="E961" s="91">
        <f>VLOOKUP(B961,BD!$B$4:$D$290,3,FALSE)</f>
        <v>218270.00000000003</v>
      </c>
      <c r="F961" s="92"/>
      <c r="G961" s="92"/>
      <c r="H961" s="92">
        <f>C961*E961</f>
        <v>62362.857142857145</v>
      </c>
      <c r="I961" s="92"/>
    </row>
    <row r="962" spans="2:9">
      <c r="B962" s="88" t="s">
        <v>512</v>
      </c>
      <c r="C962" s="89">
        <f>1/3.5</f>
        <v>0.2857142857142857</v>
      </c>
      <c r="D962" s="90" t="str">
        <f>VLOOKUP(B962,BD!$B$4:$D$290,2,FALSE)</f>
        <v>día</v>
      </c>
      <c r="E962" s="91">
        <f>VLOOKUP(B962,BD!$B$4:$D$290,3,FALSE)</f>
        <v>130962.00000000003</v>
      </c>
      <c r="F962" s="92"/>
      <c r="G962" s="92"/>
      <c r="H962" s="92">
        <f>C962*E962</f>
        <v>37417.71428571429</v>
      </c>
      <c r="I962" s="92"/>
    </row>
    <row r="963" spans="2:9">
      <c r="B963" s="88" t="s">
        <v>497</v>
      </c>
      <c r="C963" s="89">
        <v>1</v>
      </c>
      <c r="D963" s="90" t="s">
        <v>498</v>
      </c>
      <c r="E963" s="91">
        <f>0.05*H964</f>
        <v>4989.0285714285719</v>
      </c>
      <c r="F963" s="92"/>
      <c r="G963" s="92"/>
      <c r="H963" s="92"/>
      <c r="I963" s="92">
        <f>C963*E963</f>
        <v>4989.0285714285719</v>
      </c>
    </row>
    <row r="964" spans="2:9">
      <c r="B964" s="93" t="s">
        <v>7</v>
      </c>
      <c r="C964" s="93" t="s">
        <v>504</v>
      </c>
      <c r="D964" s="94"/>
      <c r="E964" s="95"/>
      <c r="F964" s="163">
        <f>SUM(F959:F963)</f>
        <v>0</v>
      </c>
      <c r="G964" s="163">
        <f t="shared" ref="G964:I964" si="195">SUM(G959:G963)</f>
        <v>42293</v>
      </c>
      <c r="H964" s="163">
        <f t="shared" si="195"/>
        <v>99780.571428571435</v>
      </c>
      <c r="I964" s="163">
        <f t="shared" si="195"/>
        <v>4989.0285714285719</v>
      </c>
    </row>
    <row r="965" spans="2:9">
      <c r="B965" s="97">
        <f>ROUNDUP(SUM(F964:I964),0)</f>
        <v>147063</v>
      </c>
      <c r="C965" s="98" t="s">
        <v>564</v>
      </c>
      <c r="D965" s="99"/>
      <c r="E965" s="100"/>
      <c r="F965" s="106"/>
      <c r="G965" s="106"/>
      <c r="H965" s="106"/>
      <c r="I965" s="106"/>
    </row>
    <row r="967" spans="2:9">
      <c r="B967" s="1718" t="s">
        <v>845</v>
      </c>
      <c r="C967" s="1718"/>
      <c r="D967" s="1718"/>
      <c r="E967" s="1718"/>
      <c r="F967" s="1718"/>
      <c r="G967" s="1718"/>
      <c r="H967" s="1718"/>
      <c r="I967" s="168" t="s">
        <v>846</v>
      </c>
    </row>
    <row r="968" spans="2:9">
      <c r="C968" s="127" t="s">
        <v>491</v>
      </c>
      <c r="D968" s="104" t="s">
        <v>492</v>
      </c>
      <c r="E968" s="104" t="s">
        <v>493</v>
      </c>
      <c r="F968" s="104" t="s">
        <v>494</v>
      </c>
      <c r="G968" s="104" t="s">
        <v>360</v>
      </c>
      <c r="H968" s="104" t="s">
        <v>495</v>
      </c>
      <c r="I968" s="104" t="s">
        <v>496</v>
      </c>
    </row>
    <row r="969" spans="2:9">
      <c r="B969" s="88" t="s">
        <v>775</v>
      </c>
      <c r="C969" s="89">
        <f>1/10</f>
        <v>0.1</v>
      </c>
      <c r="D969" s="90" t="str">
        <f>VLOOKUP(B969,BD!$B$4:$D$290,2,FALSE)</f>
        <v>tarro</v>
      </c>
      <c r="E969" s="91">
        <f>VLOOKUP(B969,BD!$B$4:$D$290,3,FALSE)</f>
        <v>234068</v>
      </c>
      <c r="F969" s="92"/>
      <c r="G969" s="92">
        <f>C969*E969</f>
        <v>23406.800000000003</v>
      </c>
      <c r="H969" s="92"/>
      <c r="I969" s="92"/>
    </row>
    <row r="970" spans="2:9">
      <c r="B970" s="88" t="s">
        <v>792</v>
      </c>
      <c r="C970" s="89">
        <f>1/10</f>
        <v>0.1</v>
      </c>
      <c r="D970" s="90" t="str">
        <f>VLOOKUP(B970,BD!$B$4:$D$290,2,FALSE)</f>
        <v>gal/4</v>
      </c>
      <c r="E970" s="91">
        <f>VLOOKUP(B970,BD!$B$4:$D$290,3,FALSE)</f>
        <v>146569</v>
      </c>
      <c r="F970" s="92"/>
      <c r="G970" s="92">
        <f>C970*E970</f>
        <v>14656.900000000001</v>
      </c>
      <c r="H970" s="92"/>
      <c r="I970" s="92"/>
    </row>
    <row r="971" spans="2:9">
      <c r="B971" s="88" t="s">
        <v>511</v>
      </c>
      <c r="C971" s="89">
        <f>1/4</f>
        <v>0.25</v>
      </c>
      <c r="D971" s="90" t="str">
        <f>VLOOKUP(B971,BD!$B$4:$D$290,2,FALSE)</f>
        <v>día</v>
      </c>
      <c r="E971" s="91">
        <f>VLOOKUP(B971,BD!$B$4:$D$290,3,FALSE)</f>
        <v>218270.00000000003</v>
      </c>
      <c r="F971" s="92"/>
      <c r="G971" s="92"/>
      <c r="H971" s="92">
        <f>C971*E971</f>
        <v>54567.500000000007</v>
      </c>
      <c r="I971" s="92"/>
    </row>
    <row r="972" spans="2:9">
      <c r="B972" s="88" t="s">
        <v>512</v>
      </c>
      <c r="C972" s="89">
        <f>1/4</f>
        <v>0.25</v>
      </c>
      <c r="D972" s="90" t="str">
        <f>VLOOKUP(B972,BD!$B$4:$D$290,2,FALSE)</f>
        <v>día</v>
      </c>
      <c r="E972" s="91">
        <f>VLOOKUP(B972,BD!$B$4:$D$290,3,FALSE)</f>
        <v>130962.00000000003</v>
      </c>
      <c r="F972" s="92"/>
      <c r="G972" s="92"/>
      <c r="H972" s="92">
        <f>C972*E972</f>
        <v>32740.500000000007</v>
      </c>
      <c r="I972" s="92"/>
    </row>
    <row r="973" spans="2:9">
      <c r="B973" s="88" t="s">
        <v>497</v>
      </c>
      <c r="C973" s="89">
        <v>1</v>
      </c>
      <c r="D973" s="90" t="s">
        <v>498</v>
      </c>
      <c r="E973" s="91">
        <f>0.05*H974</f>
        <v>4365.4000000000005</v>
      </c>
      <c r="F973" s="92"/>
      <c r="G973" s="92"/>
      <c r="H973" s="92"/>
      <c r="I973" s="92">
        <f>C973*E973</f>
        <v>4365.4000000000005</v>
      </c>
    </row>
    <row r="974" spans="2:9">
      <c r="B974" s="93" t="s">
        <v>7</v>
      </c>
      <c r="C974" s="93" t="s">
        <v>504</v>
      </c>
      <c r="D974" s="94"/>
      <c r="E974" s="95"/>
      <c r="F974" s="163">
        <f>SUM(F969:F973)</f>
        <v>0</v>
      </c>
      <c r="G974" s="163">
        <f t="shared" ref="G974" si="196">SUM(G969:G973)</f>
        <v>38063.700000000004</v>
      </c>
      <c r="H974" s="163">
        <f t="shared" ref="H974" si="197">SUM(H969:H973)</f>
        <v>87308.000000000015</v>
      </c>
      <c r="I974" s="163">
        <f t="shared" ref="I974" si="198">SUM(I969:I973)</f>
        <v>4365.4000000000005</v>
      </c>
    </row>
    <row r="975" spans="2:9">
      <c r="B975" s="97">
        <f>ROUNDUP(SUM(F974:I974),0)</f>
        <v>129738</v>
      </c>
      <c r="C975" s="98" t="s">
        <v>564</v>
      </c>
      <c r="D975" s="99"/>
      <c r="E975" s="100"/>
      <c r="F975" s="106"/>
      <c r="G975" s="106"/>
      <c r="H975" s="106"/>
      <c r="I975" s="106"/>
    </row>
    <row r="977" spans="2:9">
      <c r="B977" s="1718" t="s">
        <v>847</v>
      </c>
      <c r="C977" s="1718"/>
      <c r="D977" s="1718"/>
      <c r="E977" s="1718"/>
      <c r="F977" s="1718"/>
      <c r="G977" s="1718"/>
      <c r="H977" s="1718"/>
      <c r="I977" s="168" t="s">
        <v>848</v>
      </c>
    </row>
    <row r="978" spans="2:9">
      <c r="C978" s="127" t="s">
        <v>491</v>
      </c>
      <c r="D978" s="104" t="s">
        <v>492</v>
      </c>
      <c r="E978" s="104" t="s">
        <v>493</v>
      </c>
      <c r="F978" s="104" t="s">
        <v>494</v>
      </c>
      <c r="G978" s="104" t="s">
        <v>360</v>
      </c>
      <c r="H978" s="104" t="s">
        <v>495</v>
      </c>
      <c r="I978" s="104" t="s">
        <v>496</v>
      </c>
    </row>
    <row r="979" spans="2:9">
      <c r="B979" s="88" t="s">
        <v>775</v>
      </c>
      <c r="C979" s="89">
        <f>1/12</f>
        <v>8.3333333333333329E-2</v>
      </c>
      <c r="D979" s="90" t="str">
        <f>VLOOKUP(B979,BD!$B$4:$D$290,2,FALSE)</f>
        <v>tarro</v>
      </c>
      <c r="E979" s="91">
        <f>VLOOKUP(B979,BD!$B$4:$D$290,3,FALSE)</f>
        <v>234068</v>
      </c>
      <c r="F979" s="92"/>
      <c r="G979" s="92">
        <f>C979*E979</f>
        <v>19505.666666666664</v>
      </c>
      <c r="H979" s="92"/>
      <c r="I979" s="92"/>
    </row>
    <row r="980" spans="2:9">
      <c r="B980" s="88" t="s">
        <v>792</v>
      </c>
      <c r="C980" s="89">
        <f>1/12</f>
        <v>8.3333333333333329E-2</v>
      </c>
      <c r="D980" s="90" t="str">
        <f>VLOOKUP(B980,BD!$B$4:$D$290,2,FALSE)</f>
        <v>gal/4</v>
      </c>
      <c r="E980" s="91">
        <f>VLOOKUP(B980,BD!$B$4:$D$290,3,FALSE)</f>
        <v>146569</v>
      </c>
      <c r="F980" s="92"/>
      <c r="G980" s="92">
        <f>C980*E980</f>
        <v>12214.083333333332</v>
      </c>
      <c r="H980" s="92"/>
      <c r="I980" s="92"/>
    </row>
    <row r="981" spans="2:9">
      <c r="B981" s="88" t="s">
        <v>511</v>
      </c>
      <c r="C981" s="89">
        <f>1/5</f>
        <v>0.2</v>
      </c>
      <c r="D981" s="90" t="str">
        <f>VLOOKUP(B981,BD!$B$4:$D$290,2,FALSE)</f>
        <v>día</v>
      </c>
      <c r="E981" s="91">
        <f>VLOOKUP(B981,BD!$B$4:$D$290,3,FALSE)</f>
        <v>218270.00000000003</v>
      </c>
      <c r="F981" s="92"/>
      <c r="G981" s="92"/>
      <c r="H981" s="92">
        <f>C981*E981</f>
        <v>43654.000000000007</v>
      </c>
      <c r="I981" s="92"/>
    </row>
    <row r="982" spans="2:9">
      <c r="B982" s="88" t="s">
        <v>512</v>
      </c>
      <c r="C982" s="89">
        <f>1/5</f>
        <v>0.2</v>
      </c>
      <c r="D982" s="90" t="str">
        <f>VLOOKUP(B982,BD!$B$4:$D$290,2,FALSE)</f>
        <v>día</v>
      </c>
      <c r="E982" s="91">
        <f>VLOOKUP(B982,BD!$B$4:$D$290,3,FALSE)</f>
        <v>130962.00000000003</v>
      </c>
      <c r="F982" s="92"/>
      <c r="G982" s="92"/>
      <c r="H982" s="92">
        <f>C982*E982</f>
        <v>26192.400000000009</v>
      </c>
      <c r="I982" s="92"/>
    </row>
    <row r="983" spans="2:9">
      <c r="B983" s="88" t="s">
        <v>497</v>
      </c>
      <c r="C983" s="89">
        <v>1</v>
      </c>
      <c r="D983" s="90" t="s">
        <v>498</v>
      </c>
      <c r="E983" s="91">
        <f>0.05*H984</f>
        <v>3492.3200000000015</v>
      </c>
      <c r="F983" s="92"/>
      <c r="G983" s="92"/>
      <c r="H983" s="92"/>
      <c r="I983" s="92">
        <f>C983*E983</f>
        <v>3492.3200000000015</v>
      </c>
    </row>
    <row r="984" spans="2:9">
      <c r="B984" s="93" t="s">
        <v>7</v>
      </c>
      <c r="C984" s="93" t="s">
        <v>504</v>
      </c>
      <c r="D984" s="94"/>
      <c r="E984" s="95"/>
      <c r="F984" s="163">
        <f>SUM(F979:F983)</f>
        <v>0</v>
      </c>
      <c r="G984" s="163">
        <f t="shared" ref="G984" si="199">SUM(G979:G983)</f>
        <v>31719.749999999996</v>
      </c>
      <c r="H984" s="163">
        <f t="shared" ref="H984" si="200">SUM(H979:H983)</f>
        <v>69846.400000000023</v>
      </c>
      <c r="I984" s="163">
        <f t="shared" ref="I984" si="201">SUM(I979:I983)</f>
        <v>3492.3200000000015</v>
      </c>
    </row>
    <row r="985" spans="2:9">
      <c r="B985" s="97">
        <f>ROUNDUP(SUM(F984:I984),0)</f>
        <v>105059</v>
      </c>
      <c r="C985" s="98" t="s">
        <v>564</v>
      </c>
      <c r="D985" s="99"/>
      <c r="E985" s="100"/>
      <c r="F985" s="106"/>
      <c r="G985" s="106"/>
      <c r="H985" s="106"/>
      <c r="I985" s="106"/>
    </row>
    <row r="987" spans="2:9">
      <c r="B987" s="1718" t="s">
        <v>849</v>
      </c>
      <c r="C987" s="1718"/>
      <c r="D987" s="1718"/>
      <c r="E987" s="1718"/>
      <c r="F987" s="1718"/>
      <c r="G987" s="1718"/>
      <c r="H987" s="1718"/>
      <c r="I987" s="168" t="s">
        <v>850</v>
      </c>
    </row>
    <row r="988" spans="2:9">
      <c r="C988" s="127" t="s">
        <v>491</v>
      </c>
      <c r="D988" s="104" t="s">
        <v>492</v>
      </c>
      <c r="E988" s="104" t="s">
        <v>493</v>
      </c>
      <c r="F988" s="104" t="s">
        <v>494</v>
      </c>
      <c r="G988" s="104" t="s">
        <v>360</v>
      </c>
      <c r="H988" s="104" t="s">
        <v>495</v>
      </c>
      <c r="I988" s="104" t="s">
        <v>496</v>
      </c>
    </row>
    <row r="989" spans="2:9">
      <c r="B989" s="88" t="s">
        <v>775</v>
      </c>
      <c r="C989" s="89">
        <f>1/15</f>
        <v>6.6666666666666666E-2</v>
      </c>
      <c r="D989" s="90" t="str">
        <f>VLOOKUP(B989,BD!$B$4:$D$290,2,FALSE)</f>
        <v>tarro</v>
      </c>
      <c r="E989" s="91">
        <f>VLOOKUP(B989,BD!$B$4:$D$290,3,FALSE)</f>
        <v>234068</v>
      </c>
      <c r="F989" s="92"/>
      <c r="G989" s="92">
        <f>C989*E989</f>
        <v>15604.533333333333</v>
      </c>
      <c r="H989" s="92"/>
      <c r="I989" s="92"/>
    </row>
    <row r="990" spans="2:9">
      <c r="B990" s="88" t="s">
        <v>792</v>
      </c>
      <c r="C990" s="89">
        <f>1/15</f>
        <v>6.6666666666666666E-2</v>
      </c>
      <c r="D990" s="90" t="str">
        <f>VLOOKUP(B990,BD!$B$4:$D$290,2,FALSE)</f>
        <v>gal/4</v>
      </c>
      <c r="E990" s="91">
        <f>VLOOKUP(B990,BD!$B$4:$D$290,3,FALSE)</f>
        <v>146569</v>
      </c>
      <c r="F990" s="92"/>
      <c r="G990" s="92">
        <f>C990*E990</f>
        <v>9771.2666666666664</v>
      </c>
      <c r="H990" s="92"/>
      <c r="I990" s="92"/>
    </row>
    <row r="991" spans="2:9">
      <c r="B991" s="88" t="s">
        <v>511</v>
      </c>
      <c r="C991" s="89">
        <f>1/5</f>
        <v>0.2</v>
      </c>
      <c r="D991" s="90" t="str">
        <f>VLOOKUP(B991,BD!$B$4:$D$290,2,FALSE)</f>
        <v>día</v>
      </c>
      <c r="E991" s="91">
        <f>VLOOKUP(B991,BD!$B$4:$D$290,3,FALSE)</f>
        <v>218270.00000000003</v>
      </c>
      <c r="F991" s="92"/>
      <c r="G991" s="92"/>
      <c r="H991" s="92">
        <f>C991*E991</f>
        <v>43654.000000000007</v>
      </c>
      <c r="I991" s="92"/>
    </row>
    <row r="992" spans="2:9">
      <c r="B992" s="88" t="s">
        <v>512</v>
      </c>
      <c r="C992" s="89">
        <f>1/5</f>
        <v>0.2</v>
      </c>
      <c r="D992" s="90" t="str">
        <f>VLOOKUP(B992,BD!$B$4:$D$290,2,FALSE)</f>
        <v>día</v>
      </c>
      <c r="E992" s="91">
        <f>VLOOKUP(B992,BD!$B$4:$D$290,3,FALSE)</f>
        <v>130962.00000000003</v>
      </c>
      <c r="F992" s="92"/>
      <c r="G992" s="92"/>
      <c r="H992" s="92">
        <f>C992*E992</f>
        <v>26192.400000000009</v>
      </c>
      <c r="I992" s="92"/>
    </row>
    <row r="993" spans="2:9">
      <c r="B993" s="88" t="s">
        <v>497</v>
      </c>
      <c r="C993" s="89">
        <v>1</v>
      </c>
      <c r="D993" s="90" t="s">
        <v>498</v>
      </c>
      <c r="E993" s="91">
        <f>0.05*H994</f>
        <v>3492.3200000000015</v>
      </c>
      <c r="F993" s="92"/>
      <c r="G993" s="92"/>
      <c r="H993" s="92"/>
      <c r="I993" s="92">
        <f>C993*E993</f>
        <v>3492.3200000000015</v>
      </c>
    </row>
    <row r="994" spans="2:9">
      <c r="B994" s="93" t="s">
        <v>7</v>
      </c>
      <c r="C994" s="93" t="s">
        <v>504</v>
      </c>
      <c r="D994" s="94"/>
      <c r="E994" s="95"/>
      <c r="F994" s="163">
        <f>SUM(F989:F993)</f>
        <v>0</v>
      </c>
      <c r="G994" s="163">
        <f t="shared" ref="G994:I994" si="202">SUM(G989:G993)</f>
        <v>25375.8</v>
      </c>
      <c r="H994" s="163">
        <f t="shared" si="202"/>
        <v>69846.400000000023</v>
      </c>
      <c r="I994" s="163">
        <f t="shared" si="202"/>
        <v>3492.3200000000015</v>
      </c>
    </row>
    <row r="995" spans="2:9">
      <c r="B995" s="97">
        <f>ROUNDUP(SUM(F994:I994),0)</f>
        <v>98715</v>
      </c>
      <c r="C995" s="98" t="s">
        <v>564</v>
      </c>
      <c r="D995" s="99"/>
      <c r="E995" s="100"/>
      <c r="F995" s="106"/>
      <c r="G995" s="106"/>
      <c r="H995" s="106"/>
      <c r="I995" s="106"/>
    </row>
    <row r="997" spans="2:9">
      <c r="B997" s="1718" t="s">
        <v>851</v>
      </c>
      <c r="C997" s="1718"/>
      <c r="D997" s="1718"/>
      <c r="E997" s="1718"/>
      <c r="F997" s="1718"/>
      <c r="G997" s="1718"/>
      <c r="H997" s="1718"/>
      <c r="I997" s="168" t="s">
        <v>852</v>
      </c>
    </row>
    <row r="998" spans="2:9">
      <c r="C998" s="127" t="s">
        <v>491</v>
      </c>
      <c r="D998" s="104" t="s">
        <v>492</v>
      </c>
      <c r="E998" s="104" t="s">
        <v>493</v>
      </c>
      <c r="F998" s="104" t="s">
        <v>494</v>
      </c>
      <c r="G998" s="104" t="s">
        <v>360</v>
      </c>
      <c r="H998" s="104" t="s">
        <v>495</v>
      </c>
      <c r="I998" s="104" t="s">
        <v>496</v>
      </c>
    </row>
    <row r="999" spans="2:9">
      <c r="B999" s="88" t="s">
        <v>511</v>
      </c>
      <c r="C999" s="89">
        <f>1/5</f>
        <v>0.2</v>
      </c>
      <c r="D999" s="90" t="str">
        <f>VLOOKUP(B999,BD!$B$4:$D$290,2,FALSE)</f>
        <v>día</v>
      </c>
      <c r="E999" s="91">
        <f>VLOOKUP(B999,BD!$B$4:$D$290,3,FALSE)</f>
        <v>218270.00000000003</v>
      </c>
      <c r="F999" s="92"/>
      <c r="G999" s="92"/>
      <c r="H999" s="92">
        <f>C999*E999</f>
        <v>43654.000000000007</v>
      </c>
      <c r="I999" s="92"/>
    </row>
    <row r="1000" spans="2:9">
      <c r="B1000" s="88" t="s">
        <v>512</v>
      </c>
      <c r="C1000" s="89">
        <f>1/5</f>
        <v>0.2</v>
      </c>
      <c r="D1000" s="90" t="str">
        <f>VLOOKUP(B1000,BD!$B$4:$D$290,2,FALSE)</f>
        <v>día</v>
      </c>
      <c r="E1000" s="91">
        <f>VLOOKUP(B1000,BD!$B$4:$D$290,3,FALSE)</f>
        <v>130962.00000000003</v>
      </c>
      <c r="F1000" s="92"/>
      <c r="G1000" s="92"/>
      <c r="H1000" s="92">
        <f>C1000*E1000</f>
        <v>26192.400000000009</v>
      </c>
      <c r="I1000" s="92"/>
    </row>
    <row r="1001" spans="2:9">
      <c r="B1001" s="88" t="s">
        <v>497</v>
      </c>
      <c r="C1001" s="89">
        <v>1</v>
      </c>
      <c r="D1001" s="90" t="s">
        <v>498</v>
      </c>
      <c r="E1001" s="91">
        <f>0.05*H1002</f>
        <v>3492.3200000000015</v>
      </c>
      <c r="F1001" s="92"/>
      <c r="G1001" s="92"/>
      <c r="H1001" s="92"/>
      <c r="I1001" s="92">
        <f>C1001*E1001</f>
        <v>3492.3200000000015</v>
      </c>
    </row>
    <row r="1002" spans="2:9">
      <c r="B1002" s="93" t="s">
        <v>7</v>
      </c>
      <c r="C1002" s="93" t="s">
        <v>504</v>
      </c>
      <c r="D1002" s="94"/>
      <c r="E1002" s="95"/>
      <c r="F1002" s="163">
        <f>SUM(F999:F1001)</f>
        <v>0</v>
      </c>
      <c r="G1002" s="163">
        <f>SUM(G999:G1001)</f>
        <v>0</v>
      </c>
      <c r="H1002" s="163">
        <f>SUM(H999:H1001)</f>
        <v>69846.400000000023</v>
      </c>
      <c r="I1002" s="163">
        <f>SUM(I999:I1001)</f>
        <v>3492.3200000000015</v>
      </c>
    </row>
    <row r="1003" spans="2:9">
      <c r="B1003" s="97">
        <f>ROUNDUP(SUM(F1002:I1002),0)</f>
        <v>73339</v>
      </c>
      <c r="C1003" s="98" t="s">
        <v>564</v>
      </c>
      <c r="D1003" s="99"/>
      <c r="E1003" s="100"/>
      <c r="F1003" s="106"/>
      <c r="G1003" s="106"/>
      <c r="H1003" s="106"/>
      <c r="I1003" s="106"/>
    </row>
    <row r="1005" spans="2:9">
      <c r="B1005" s="1718" t="s">
        <v>853</v>
      </c>
      <c r="C1005" s="1718"/>
      <c r="D1005" s="1718"/>
      <c r="E1005" s="1718"/>
      <c r="F1005" s="1718"/>
      <c r="G1005" s="1718"/>
      <c r="H1005" s="1718"/>
      <c r="I1005" s="167" t="s">
        <v>854</v>
      </c>
    </row>
    <row r="1006" spans="2:9">
      <c r="C1006" s="121" t="s">
        <v>491</v>
      </c>
      <c r="D1006" s="117" t="s">
        <v>492</v>
      </c>
      <c r="E1006" s="122" t="s">
        <v>493</v>
      </c>
      <c r="F1006" s="122" t="s">
        <v>494</v>
      </c>
      <c r="G1006" s="122" t="s">
        <v>360</v>
      </c>
      <c r="H1006" s="122" t="s">
        <v>495</v>
      </c>
      <c r="I1006" s="122" t="s">
        <v>496</v>
      </c>
    </row>
    <row r="1007" spans="2:9">
      <c r="B1007" s="88" t="s">
        <v>517</v>
      </c>
      <c r="C1007" s="89">
        <v>0.95</v>
      </c>
      <c r="D1007" s="90" t="str">
        <f>VLOOKUP(B1007,BD!$B$4:$D$290,2,FALSE)</f>
        <v>hora</v>
      </c>
      <c r="E1007" s="91">
        <f>VLOOKUP(B1007,BD!$B$4:$D$290,3,FALSE)</f>
        <v>210000</v>
      </c>
      <c r="F1007" s="92">
        <f>C1007*E1007</f>
        <v>199500</v>
      </c>
      <c r="G1007" s="92"/>
      <c r="H1007" s="92"/>
      <c r="I1007" s="92"/>
    </row>
    <row r="1008" spans="2:9">
      <c r="B1008" s="88" t="s">
        <v>511</v>
      </c>
      <c r="C1008" s="89">
        <f>1/4</f>
        <v>0.25</v>
      </c>
      <c r="D1008" s="90" t="str">
        <f>VLOOKUP(B1008,BD!$B$4:$D$290,2,FALSE)</f>
        <v>día</v>
      </c>
      <c r="E1008" s="91">
        <f>VLOOKUP(B1008,BD!$B$4:$D$290,3,FALSE)</f>
        <v>218270.00000000003</v>
      </c>
      <c r="F1008" s="92"/>
      <c r="G1008" s="92"/>
      <c r="H1008" s="92">
        <f>C1008*E1008</f>
        <v>54567.500000000007</v>
      </c>
      <c r="I1008" s="92"/>
    </row>
    <row r="1009" spans="2:9">
      <c r="B1009" s="88" t="s">
        <v>512</v>
      </c>
      <c r="C1009" s="89">
        <f>1/4</f>
        <v>0.25</v>
      </c>
      <c r="D1009" s="90" t="str">
        <f>VLOOKUP(B1009,BD!$B$4:$D$290,2,FALSE)</f>
        <v>día</v>
      </c>
      <c r="E1009" s="91">
        <f>VLOOKUP(B1009,BD!$B$4:$D$290,3,FALSE)</f>
        <v>130962.00000000003</v>
      </c>
      <c r="F1009" s="92"/>
      <c r="G1009" s="92"/>
      <c r="H1009" s="92">
        <f>C1009*E1009</f>
        <v>32740.500000000007</v>
      </c>
      <c r="I1009" s="92"/>
    </row>
    <row r="1010" spans="2:9">
      <c r="B1010" s="88" t="s">
        <v>497</v>
      </c>
      <c r="C1010" s="89">
        <v>1</v>
      </c>
      <c r="D1010" s="90" t="s">
        <v>498</v>
      </c>
      <c r="E1010" s="91">
        <f>0.05*H1011</f>
        <v>4365.4000000000005</v>
      </c>
      <c r="F1010" s="92"/>
      <c r="G1010" s="92"/>
      <c r="H1010" s="92"/>
      <c r="I1010" s="92">
        <f>C1010*E1010</f>
        <v>4365.4000000000005</v>
      </c>
    </row>
    <row r="1011" spans="2:9">
      <c r="B1011" s="93" t="s">
        <v>7</v>
      </c>
      <c r="C1011" s="93" t="s">
        <v>504</v>
      </c>
      <c r="D1011" s="94"/>
      <c r="E1011" s="95"/>
      <c r="F1011" s="122">
        <f>SUM(F1007:F1010)</f>
        <v>199500</v>
      </c>
      <c r="G1011" s="122">
        <f t="shared" ref="G1011:I1011" si="203">SUM(G1007:G1010)</f>
        <v>0</v>
      </c>
      <c r="H1011" s="122">
        <f t="shared" si="203"/>
        <v>87308.000000000015</v>
      </c>
      <c r="I1011" s="122">
        <f t="shared" si="203"/>
        <v>4365.4000000000005</v>
      </c>
    </row>
    <row r="1012" spans="2:9">
      <c r="B1012" s="97">
        <f>ROUNDUP(SUM(F1011:I1011),0)</f>
        <v>291174</v>
      </c>
      <c r="C1012" s="98" t="s">
        <v>299</v>
      </c>
      <c r="D1012" s="99"/>
      <c r="F1012" s="100"/>
      <c r="G1012" s="100"/>
      <c r="H1012" s="100"/>
      <c r="I1012" s="100"/>
    </row>
    <row r="1014" spans="2:9">
      <c r="B1014" s="1718" t="s">
        <v>855</v>
      </c>
      <c r="C1014" s="1718"/>
      <c r="D1014" s="1718"/>
      <c r="E1014" s="1718"/>
      <c r="F1014" s="1718"/>
      <c r="G1014" s="1718"/>
      <c r="H1014" s="1718"/>
      <c r="I1014" s="167" t="s">
        <v>856</v>
      </c>
    </row>
    <row r="1015" spans="2:9">
      <c r="C1015" s="121" t="s">
        <v>491</v>
      </c>
      <c r="D1015" s="117" t="s">
        <v>492</v>
      </c>
      <c r="E1015" s="122" t="s">
        <v>493</v>
      </c>
      <c r="F1015" s="122" t="s">
        <v>494</v>
      </c>
      <c r="G1015" s="122" t="s">
        <v>360</v>
      </c>
      <c r="H1015" s="122" t="s">
        <v>495</v>
      </c>
      <c r="I1015" s="122" t="s">
        <v>496</v>
      </c>
    </row>
    <row r="1016" spans="2:9">
      <c r="B1016" s="88" t="s">
        <v>517</v>
      </c>
      <c r="C1016" s="89">
        <v>1.05</v>
      </c>
      <c r="D1016" s="90" t="str">
        <f>VLOOKUP(B1016,BD!$B$4:$D$290,2,FALSE)</f>
        <v>hora</v>
      </c>
      <c r="E1016" s="91">
        <f>VLOOKUP(B1016,BD!$B$4:$D$290,3,FALSE)</f>
        <v>210000</v>
      </c>
      <c r="F1016" s="92">
        <f>C1016*E1016</f>
        <v>220500</v>
      </c>
      <c r="G1016" s="92"/>
      <c r="H1016" s="92"/>
      <c r="I1016" s="92"/>
    </row>
    <row r="1017" spans="2:9">
      <c r="B1017" s="88" t="s">
        <v>511</v>
      </c>
      <c r="C1017" s="89">
        <f>1/4</f>
        <v>0.25</v>
      </c>
      <c r="D1017" s="90" t="str">
        <f>VLOOKUP(B1017,BD!$B$4:$D$290,2,FALSE)</f>
        <v>día</v>
      </c>
      <c r="E1017" s="91">
        <f>VLOOKUP(B1017,BD!$B$4:$D$290,3,FALSE)</f>
        <v>218270.00000000003</v>
      </c>
      <c r="F1017" s="92"/>
      <c r="G1017" s="92"/>
      <c r="H1017" s="92">
        <f>C1017*E1017</f>
        <v>54567.500000000007</v>
      </c>
      <c r="I1017" s="92"/>
    </row>
    <row r="1018" spans="2:9">
      <c r="B1018" s="88" t="s">
        <v>512</v>
      </c>
      <c r="C1018" s="89">
        <f>1/4</f>
        <v>0.25</v>
      </c>
      <c r="D1018" s="90" t="str">
        <f>VLOOKUP(B1018,BD!$B$4:$D$290,2,FALSE)</f>
        <v>día</v>
      </c>
      <c r="E1018" s="91">
        <f>VLOOKUP(B1018,BD!$B$4:$D$290,3,FALSE)</f>
        <v>130962.00000000003</v>
      </c>
      <c r="F1018" s="92"/>
      <c r="G1018" s="92"/>
      <c r="H1018" s="92">
        <f>C1018*E1018</f>
        <v>32740.500000000007</v>
      </c>
      <c r="I1018" s="92"/>
    </row>
    <row r="1019" spans="2:9">
      <c r="B1019" s="88" t="s">
        <v>497</v>
      </c>
      <c r="C1019" s="89">
        <v>1</v>
      </c>
      <c r="D1019" s="90" t="s">
        <v>498</v>
      </c>
      <c r="E1019" s="91">
        <f>0.05*H1020</f>
        <v>4365.4000000000005</v>
      </c>
      <c r="F1019" s="92"/>
      <c r="G1019" s="92"/>
      <c r="H1019" s="92"/>
      <c r="I1019" s="92">
        <f>C1019*E1019</f>
        <v>4365.4000000000005</v>
      </c>
    </row>
    <row r="1020" spans="2:9">
      <c r="B1020" s="93" t="s">
        <v>7</v>
      </c>
      <c r="C1020" s="93" t="s">
        <v>504</v>
      </c>
      <c r="D1020" s="94"/>
      <c r="E1020" s="95"/>
      <c r="F1020" s="122">
        <f>SUM(F1016:F1019)</f>
        <v>220500</v>
      </c>
      <c r="G1020" s="122">
        <f t="shared" ref="G1020:I1020" si="204">SUM(G1016:G1019)</f>
        <v>0</v>
      </c>
      <c r="H1020" s="122">
        <f t="shared" si="204"/>
        <v>87308.000000000015</v>
      </c>
      <c r="I1020" s="122">
        <f t="shared" si="204"/>
        <v>4365.4000000000005</v>
      </c>
    </row>
    <row r="1021" spans="2:9">
      <c r="B1021" s="97">
        <f>ROUNDUP(SUM(F1020:I1020),0)</f>
        <v>312174</v>
      </c>
      <c r="C1021" s="98" t="s">
        <v>299</v>
      </c>
      <c r="D1021" s="99"/>
      <c r="F1021" s="100"/>
      <c r="G1021" s="100"/>
      <c r="H1021" s="100"/>
      <c r="I1021" s="100"/>
    </row>
    <row r="1023" spans="2:9">
      <c r="B1023" s="1718" t="s">
        <v>857</v>
      </c>
      <c r="C1023" s="1718"/>
      <c r="D1023" s="1718"/>
      <c r="E1023" s="1718"/>
      <c r="F1023" s="1718"/>
      <c r="G1023" s="1718"/>
      <c r="H1023" s="1718"/>
      <c r="I1023" s="167" t="s">
        <v>858</v>
      </c>
    </row>
    <row r="1024" spans="2:9">
      <c r="C1024" s="121" t="s">
        <v>491</v>
      </c>
      <c r="D1024" s="117" t="s">
        <v>492</v>
      </c>
      <c r="E1024" s="122" t="s">
        <v>493</v>
      </c>
      <c r="F1024" s="122" t="s">
        <v>494</v>
      </c>
      <c r="G1024" s="122" t="s">
        <v>360</v>
      </c>
      <c r="H1024" s="122" t="s">
        <v>495</v>
      </c>
      <c r="I1024" s="122" t="s">
        <v>496</v>
      </c>
    </row>
    <row r="1025" spans="2:9">
      <c r="B1025" s="88" t="s">
        <v>599</v>
      </c>
      <c r="C1025" s="89">
        <v>0.88800000000000001</v>
      </c>
      <c r="D1025" s="90" t="str">
        <f>VLOOKUP(B1025,BD!$B$4:$D$290,2,FALSE)</f>
        <v>hora</v>
      </c>
      <c r="E1025" s="91">
        <f>VLOOKUP(B1025,BD!$B$4:$D$290,3,FALSE)</f>
        <v>150000</v>
      </c>
      <c r="F1025" s="92">
        <f>C1025*E1025</f>
        <v>133200</v>
      </c>
      <c r="G1025" s="92"/>
      <c r="H1025" s="92"/>
      <c r="I1025" s="92"/>
    </row>
    <row r="1026" spans="2:9">
      <c r="B1026" s="88" t="s">
        <v>511</v>
      </c>
      <c r="C1026" s="89">
        <f>1/4</f>
        <v>0.25</v>
      </c>
      <c r="D1026" s="90" t="str">
        <f>VLOOKUP(B1026,BD!$B$4:$D$290,2,FALSE)</f>
        <v>día</v>
      </c>
      <c r="E1026" s="91">
        <f>VLOOKUP(B1026,BD!$B$4:$D$290,3,FALSE)</f>
        <v>218270.00000000003</v>
      </c>
      <c r="F1026" s="92"/>
      <c r="G1026" s="92"/>
      <c r="H1026" s="92">
        <f>C1026*E1026</f>
        <v>54567.500000000007</v>
      </c>
      <c r="I1026" s="92"/>
    </row>
    <row r="1027" spans="2:9">
      <c r="B1027" s="88" t="s">
        <v>512</v>
      </c>
      <c r="C1027" s="89">
        <f>1/4</f>
        <v>0.25</v>
      </c>
      <c r="D1027" s="90" t="str">
        <f>VLOOKUP(B1027,BD!$B$4:$D$290,2,FALSE)</f>
        <v>día</v>
      </c>
      <c r="E1027" s="91">
        <f>VLOOKUP(B1027,BD!$B$4:$D$290,3,FALSE)</f>
        <v>130962.00000000003</v>
      </c>
      <c r="F1027" s="92"/>
      <c r="G1027" s="92"/>
      <c r="H1027" s="92">
        <f>C1027*E1027</f>
        <v>32740.500000000007</v>
      </c>
      <c r="I1027" s="92"/>
    </row>
    <row r="1028" spans="2:9">
      <c r="B1028" s="88" t="s">
        <v>497</v>
      </c>
      <c r="C1028" s="89">
        <v>1</v>
      </c>
      <c r="D1028" s="90" t="s">
        <v>498</v>
      </c>
      <c r="E1028" s="91">
        <f>0.05*H1029</f>
        <v>4365.4000000000005</v>
      </c>
      <c r="F1028" s="92"/>
      <c r="G1028" s="92"/>
      <c r="H1028" s="92"/>
      <c r="I1028" s="92">
        <f>C1028*E1028</f>
        <v>4365.4000000000005</v>
      </c>
    </row>
    <row r="1029" spans="2:9">
      <c r="B1029" s="93" t="s">
        <v>7</v>
      </c>
      <c r="C1029" s="93" t="s">
        <v>504</v>
      </c>
      <c r="D1029" s="94"/>
      <c r="E1029" s="95"/>
      <c r="F1029" s="122">
        <f>SUM(F1025:F1028)</f>
        <v>133200</v>
      </c>
      <c r="G1029" s="122">
        <f t="shared" ref="G1029" si="205">SUM(G1025:G1028)</f>
        <v>0</v>
      </c>
      <c r="H1029" s="122">
        <f t="shared" ref="H1029" si="206">SUM(H1025:H1028)</f>
        <v>87308.000000000015</v>
      </c>
      <c r="I1029" s="122">
        <f t="shared" ref="I1029" si="207">SUM(I1025:I1028)</f>
        <v>4365.4000000000005</v>
      </c>
    </row>
    <row r="1030" spans="2:9">
      <c r="B1030" s="97">
        <f>ROUNDUP(SUM(F1029:I1029),0)</f>
        <v>224874</v>
      </c>
      <c r="C1030" s="98" t="s">
        <v>564</v>
      </c>
      <c r="D1030" s="99"/>
      <c r="E1030" s="100"/>
      <c r="F1030" s="100"/>
      <c r="G1030" s="100"/>
      <c r="H1030" s="100"/>
      <c r="I1030" s="100"/>
    </row>
    <row r="1032" spans="2:9">
      <c r="B1032" s="1718" t="s">
        <v>859</v>
      </c>
      <c r="C1032" s="1718"/>
      <c r="D1032" s="1718"/>
      <c r="E1032" s="1718"/>
      <c r="F1032" s="1718"/>
      <c r="G1032" s="1718"/>
      <c r="H1032" s="1718"/>
      <c r="I1032" s="167" t="s">
        <v>860</v>
      </c>
    </row>
    <row r="1033" spans="2:9">
      <c r="C1033" s="121" t="s">
        <v>491</v>
      </c>
      <c r="D1033" s="117" t="s">
        <v>492</v>
      </c>
      <c r="E1033" s="122" t="s">
        <v>493</v>
      </c>
      <c r="F1033" s="122" t="s">
        <v>494</v>
      </c>
      <c r="G1033" s="122" t="s">
        <v>360</v>
      </c>
      <c r="H1033" s="122" t="s">
        <v>495</v>
      </c>
      <c r="I1033" s="122" t="s">
        <v>496</v>
      </c>
    </row>
    <row r="1034" spans="2:9">
      <c r="B1034" s="88" t="s">
        <v>599</v>
      </c>
      <c r="C1034" s="89">
        <v>1</v>
      </c>
      <c r="D1034" s="90" t="str">
        <f>VLOOKUP(B1034,BD!$B$4:$D$290,2,FALSE)</f>
        <v>hora</v>
      </c>
      <c r="E1034" s="91">
        <f>VLOOKUP(B1034,BD!$B$4:$D$290,3,FALSE)</f>
        <v>150000</v>
      </c>
      <c r="F1034" s="92">
        <f>C1034*E1034</f>
        <v>150000</v>
      </c>
      <c r="G1034" s="92"/>
      <c r="H1034" s="92"/>
      <c r="I1034" s="92"/>
    </row>
    <row r="1035" spans="2:9">
      <c r="B1035" s="88" t="s">
        <v>511</v>
      </c>
      <c r="C1035" s="89">
        <f>1/4</f>
        <v>0.25</v>
      </c>
      <c r="D1035" s="90" t="str">
        <f>VLOOKUP(B1035,BD!$B$4:$D$290,2,FALSE)</f>
        <v>día</v>
      </c>
      <c r="E1035" s="91">
        <f>VLOOKUP(B1035,BD!$B$4:$D$290,3,FALSE)</f>
        <v>218270.00000000003</v>
      </c>
      <c r="F1035" s="92"/>
      <c r="G1035" s="92"/>
      <c r="H1035" s="92">
        <f>C1035*E1035</f>
        <v>54567.500000000007</v>
      </c>
      <c r="I1035" s="92"/>
    </row>
    <row r="1036" spans="2:9">
      <c r="B1036" s="88" t="s">
        <v>512</v>
      </c>
      <c r="C1036" s="89">
        <f>1/4</f>
        <v>0.25</v>
      </c>
      <c r="D1036" s="90" t="str">
        <f>VLOOKUP(B1036,BD!$B$4:$D$290,2,FALSE)</f>
        <v>día</v>
      </c>
      <c r="E1036" s="91">
        <f>VLOOKUP(B1036,BD!$B$4:$D$290,3,FALSE)</f>
        <v>130962.00000000003</v>
      </c>
      <c r="F1036" s="92"/>
      <c r="G1036" s="92"/>
      <c r="H1036" s="92">
        <f>C1036*E1036</f>
        <v>32740.500000000007</v>
      </c>
      <c r="I1036" s="92"/>
    </row>
    <row r="1037" spans="2:9">
      <c r="B1037" s="88" t="s">
        <v>497</v>
      </c>
      <c r="C1037" s="89">
        <v>1</v>
      </c>
      <c r="D1037" s="90" t="s">
        <v>498</v>
      </c>
      <c r="E1037" s="91">
        <f>0.05*H1038</f>
        <v>4365.4000000000005</v>
      </c>
      <c r="F1037" s="92"/>
      <c r="G1037" s="92"/>
      <c r="H1037" s="92"/>
      <c r="I1037" s="92">
        <f>C1037*E1037</f>
        <v>4365.4000000000005</v>
      </c>
    </row>
    <row r="1038" spans="2:9">
      <c r="B1038" s="93" t="s">
        <v>7</v>
      </c>
      <c r="C1038" s="93" t="s">
        <v>504</v>
      </c>
      <c r="D1038" s="94"/>
      <c r="E1038" s="95"/>
      <c r="F1038" s="122">
        <f>SUM(F1034:F1037)</f>
        <v>150000</v>
      </c>
      <c r="G1038" s="122">
        <f t="shared" ref="G1038:I1038" si="208">SUM(G1034:G1037)</f>
        <v>0</v>
      </c>
      <c r="H1038" s="122">
        <f t="shared" si="208"/>
        <v>87308.000000000015</v>
      </c>
      <c r="I1038" s="122">
        <f t="shared" si="208"/>
        <v>4365.4000000000005</v>
      </c>
    </row>
    <row r="1039" spans="2:9">
      <c r="B1039" s="97">
        <f>ROUNDUP(SUM(F1038:I1038),0)</f>
        <v>241674</v>
      </c>
      <c r="C1039" s="98" t="s">
        <v>564</v>
      </c>
      <c r="D1039" s="99"/>
      <c r="E1039" s="100"/>
      <c r="F1039" s="100"/>
      <c r="G1039" s="100"/>
      <c r="H1039" s="100"/>
      <c r="I1039" s="100"/>
    </row>
    <row r="1041" spans="2:9">
      <c r="B1041" s="1718" t="s">
        <v>861</v>
      </c>
      <c r="C1041" s="1718"/>
      <c r="D1041" s="1718"/>
      <c r="E1041" s="1718"/>
      <c r="F1041" s="1718"/>
      <c r="G1041" s="1718"/>
      <c r="H1041" s="1718"/>
      <c r="I1041" s="167" t="s">
        <v>862</v>
      </c>
    </row>
    <row r="1042" spans="2:9">
      <c r="C1042" s="117" t="s">
        <v>491</v>
      </c>
      <c r="D1042" s="117" t="s">
        <v>492</v>
      </c>
      <c r="E1042" s="122" t="s">
        <v>493</v>
      </c>
      <c r="F1042" s="122" t="s">
        <v>494</v>
      </c>
      <c r="G1042" s="122" t="s">
        <v>360</v>
      </c>
      <c r="H1042" s="122" t="s">
        <v>495</v>
      </c>
      <c r="I1042" s="122" t="s">
        <v>496</v>
      </c>
    </row>
    <row r="1043" spans="2:9">
      <c r="B1043" s="88" t="s">
        <v>517</v>
      </c>
      <c r="C1043" s="89">
        <v>0.8</v>
      </c>
      <c r="D1043" s="90" t="str">
        <f>VLOOKUP(B1043,BD!$B$4:$D$290,2,FALSE)</f>
        <v>hora</v>
      </c>
      <c r="E1043" s="91">
        <f>VLOOKUP(B1043,BD!$B$4:$D$290,3,FALSE)</f>
        <v>210000</v>
      </c>
      <c r="F1043" s="92">
        <f>C1043*E1043</f>
        <v>168000</v>
      </c>
      <c r="G1043" s="92"/>
      <c r="H1043" s="92"/>
      <c r="I1043" s="92"/>
    </row>
    <row r="1044" spans="2:9">
      <c r="B1044" s="88" t="s">
        <v>511</v>
      </c>
      <c r="C1044" s="89">
        <v>0.5</v>
      </c>
      <c r="D1044" s="90" t="str">
        <f>VLOOKUP(B1044,BD!$B$4:$D$290,2,FALSE)</f>
        <v>día</v>
      </c>
      <c r="E1044" s="91">
        <f>VLOOKUP(B1044,BD!$B$4:$D$290,3,FALSE)</f>
        <v>218270.00000000003</v>
      </c>
      <c r="F1044" s="92"/>
      <c r="G1044" s="92"/>
      <c r="H1044" s="92">
        <f>C1044*E1044</f>
        <v>109135.00000000001</v>
      </c>
      <c r="I1044" s="92"/>
    </row>
    <row r="1045" spans="2:9">
      <c r="B1045" s="88" t="s">
        <v>512</v>
      </c>
      <c r="C1045" s="89">
        <v>0.5</v>
      </c>
      <c r="D1045" s="90" t="str">
        <f>VLOOKUP(B1045,BD!$B$4:$D$290,2,FALSE)</f>
        <v>día</v>
      </c>
      <c r="E1045" s="91">
        <f>VLOOKUP(B1045,BD!$B$4:$D$290,3,FALSE)</f>
        <v>130962.00000000003</v>
      </c>
      <c r="F1045" s="92"/>
      <c r="G1045" s="92"/>
      <c r="H1045" s="92">
        <f>C1045*E1045</f>
        <v>65481.000000000015</v>
      </c>
      <c r="I1045" s="92"/>
    </row>
    <row r="1046" spans="2:9">
      <c r="B1046" s="88" t="s">
        <v>497</v>
      </c>
      <c r="C1046" s="89">
        <v>1</v>
      </c>
      <c r="D1046" s="90" t="s">
        <v>498</v>
      </c>
      <c r="E1046" s="91">
        <f>0.05*H1047</f>
        <v>8730.8000000000011</v>
      </c>
      <c r="F1046" s="92"/>
      <c r="G1046" s="92"/>
      <c r="H1046" s="92"/>
      <c r="I1046" s="92">
        <f>C1046*E1046</f>
        <v>8730.8000000000011</v>
      </c>
    </row>
    <row r="1047" spans="2:9">
      <c r="B1047" s="93" t="s">
        <v>7</v>
      </c>
      <c r="C1047" s="93" t="s">
        <v>504</v>
      </c>
      <c r="D1047" s="94"/>
      <c r="E1047" s="95"/>
      <c r="F1047" s="122">
        <f>SUM(F1043:F1046)</f>
        <v>168000</v>
      </c>
      <c r="G1047" s="122">
        <f t="shared" ref="G1047" si="209">SUM(G1043:G1046)</f>
        <v>0</v>
      </c>
      <c r="H1047" s="122">
        <f t="shared" ref="H1047" si="210">SUM(H1043:H1046)</f>
        <v>174616.00000000003</v>
      </c>
      <c r="I1047" s="122">
        <f t="shared" ref="I1047" si="211">SUM(I1043:I1046)</f>
        <v>8730.8000000000011</v>
      </c>
    </row>
    <row r="1048" spans="2:9">
      <c r="B1048" s="97">
        <f>ROUNDUP(SUM(F1047:I1047),0)</f>
        <v>351347</v>
      </c>
      <c r="C1048" s="98" t="s">
        <v>564</v>
      </c>
      <c r="D1048" s="99"/>
      <c r="E1048" s="100"/>
      <c r="F1048" s="100"/>
      <c r="G1048" s="100"/>
      <c r="H1048" s="100"/>
      <c r="I1048" s="100"/>
    </row>
    <row r="1050" spans="2:9">
      <c r="B1050" s="1718" t="s">
        <v>863</v>
      </c>
      <c r="C1050" s="1718"/>
      <c r="D1050" s="1718"/>
      <c r="E1050" s="1718"/>
      <c r="F1050" s="1718"/>
      <c r="G1050" s="1718"/>
      <c r="H1050" s="1718"/>
      <c r="I1050" s="167" t="s">
        <v>864</v>
      </c>
    </row>
    <row r="1051" spans="2:9">
      <c r="C1051" s="117" t="s">
        <v>491</v>
      </c>
      <c r="D1051" s="117" t="s">
        <v>492</v>
      </c>
      <c r="E1051" s="122" t="s">
        <v>493</v>
      </c>
      <c r="F1051" s="122" t="s">
        <v>494</v>
      </c>
      <c r="G1051" s="122" t="s">
        <v>360</v>
      </c>
      <c r="H1051" s="122" t="s">
        <v>495</v>
      </c>
      <c r="I1051" s="122" t="s">
        <v>496</v>
      </c>
    </row>
    <row r="1052" spans="2:9">
      <c r="B1052" s="88" t="s">
        <v>517</v>
      </c>
      <c r="C1052" s="89">
        <v>0.95</v>
      </c>
      <c r="D1052" s="90" t="str">
        <f>VLOOKUP(B1052,BD!$B$4:$D$290,2,FALSE)</f>
        <v>hora</v>
      </c>
      <c r="E1052" s="91">
        <f>VLOOKUP(B1052,BD!$B$4:$D$290,3,FALSE)</f>
        <v>210000</v>
      </c>
      <c r="F1052" s="92">
        <f>C1052*E1052</f>
        <v>199500</v>
      </c>
      <c r="G1052" s="92"/>
      <c r="H1052" s="92"/>
      <c r="I1052" s="92"/>
    </row>
    <row r="1053" spans="2:9">
      <c r="B1053" s="88" t="s">
        <v>511</v>
      </c>
      <c r="C1053" s="89">
        <v>0.50000500000000003</v>
      </c>
      <c r="D1053" s="90" t="str">
        <f>VLOOKUP(B1053,BD!$B$4:$D$290,2,FALSE)</f>
        <v>día</v>
      </c>
      <c r="E1053" s="91">
        <f>VLOOKUP(B1053,BD!$B$4:$D$290,3,FALSE)</f>
        <v>218270.00000000003</v>
      </c>
      <c r="F1053" s="92"/>
      <c r="G1053" s="92"/>
      <c r="H1053" s="92">
        <f>C1053*E1053</f>
        <v>109136.09135000002</v>
      </c>
      <c r="I1053" s="92"/>
    </row>
    <row r="1054" spans="2:9">
      <c r="B1054" s="88" t="s">
        <v>512</v>
      </c>
      <c r="C1054" s="89">
        <v>0.5</v>
      </c>
      <c r="D1054" s="90" t="str">
        <f>VLOOKUP(B1054,BD!$B$4:$D$290,2,FALSE)</f>
        <v>día</v>
      </c>
      <c r="E1054" s="91">
        <f>VLOOKUP(B1054,BD!$B$4:$D$290,3,FALSE)</f>
        <v>130962.00000000003</v>
      </c>
      <c r="F1054" s="92"/>
      <c r="G1054" s="92"/>
      <c r="H1054" s="92">
        <f>C1054*E1054</f>
        <v>65481.000000000015</v>
      </c>
      <c r="I1054" s="92"/>
    </row>
    <row r="1055" spans="2:9">
      <c r="B1055" s="88" t="s">
        <v>497</v>
      </c>
      <c r="C1055" s="89">
        <v>1</v>
      </c>
      <c r="D1055" s="90" t="s">
        <v>498</v>
      </c>
      <c r="E1055" s="91">
        <f>0.05*H1056</f>
        <v>8730.8545675000023</v>
      </c>
      <c r="F1055" s="92"/>
      <c r="G1055" s="92"/>
      <c r="H1055" s="92"/>
      <c r="I1055" s="92">
        <f>C1055*E1055</f>
        <v>8730.8545675000023</v>
      </c>
    </row>
    <row r="1056" spans="2:9">
      <c r="B1056" s="93" t="s">
        <v>7</v>
      </c>
      <c r="C1056" s="93" t="s">
        <v>504</v>
      </c>
      <c r="D1056" s="94"/>
      <c r="E1056" s="95"/>
      <c r="F1056" s="122">
        <f>SUM(F1052:F1055)</f>
        <v>199500</v>
      </c>
      <c r="G1056" s="122">
        <f t="shared" ref="G1056:I1056" si="212">SUM(G1052:G1055)</f>
        <v>0</v>
      </c>
      <c r="H1056" s="122">
        <f t="shared" si="212"/>
        <v>174617.09135000003</v>
      </c>
      <c r="I1056" s="122">
        <f t="shared" si="212"/>
        <v>8730.8545675000023</v>
      </c>
    </row>
    <row r="1057" spans="2:11">
      <c r="B1057" s="97">
        <f>ROUNDUP(SUM(F1056:I1056),0)</f>
        <v>382848</v>
      </c>
      <c r="C1057" s="98" t="s">
        <v>564</v>
      </c>
      <c r="D1057" s="99"/>
      <c r="E1057" s="100"/>
      <c r="F1057" s="100"/>
      <c r="G1057" s="100"/>
      <c r="H1057" s="100"/>
      <c r="I1057" s="100"/>
      <c r="K1057" s="1544"/>
    </row>
    <row r="1059" spans="2:11">
      <c r="B1059" s="1718" t="s">
        <v>865</v>
      </c>
      <c r="C1059" s="1718"/>
      <c r="D1059" s="1718"/>
      <c r="E1059" s="1718"/>
      <c r="F1059" s="1718"/>
      <c r="G1059" s="1718"/>
      <c r="H1059" s="1718"/>
      <c r="I1059" s="167" t="s">
        <v>866</v>
      </c>
    </row>
    <row r="1060" spans="2:11">
      <c r="C1060" s="117" t="s">
        <v>491</v>
      </c>
      <c r="D1060" s="117" t="s">
        <v>492</v>
      </c>
      <c r="E1060" s="122" t="s">
        <v>493</v>
      </c>
      <c r="F1060" s="122" t="s">
        <v>494</v>
      </c>
      <c r="G1060" s="122" t="s">
        <v>360</v>
      </c>
      <c r="H1060" s="122" t="s">
        <v>495</v>
      </c>
      <c r="I1060" s="122" t="s">
        <v>496</v>
      </c>
    </row>
    <row r="1061" spans="2:11">
      <c r="B1061" s="88" t="s">
        <v>624</v>
      </c>
      <c r="C1061" s="89">
        <v>1</v>
      </c>
      <c r="D1061" s="90" t="str">
        <f>VLOOKUP(B1061,BD!$B$4:$D$290,2,FALSE)</f>
        <v>pesos</v>
      </c>
      <c r="E1061" s="91">
        <f>VLOOKUP(B1061,BD!$B$4:$D$290,3,FALSE)</f>
        <v>15000</v>
      </c>
      <c r="F1061" s="92"/>
      <c r="G1061" s="92"/>
      <c r="H1061" s="92"/>
      <c r="I1061" s="92">
        <f>C1061*E1061</f>
        <v>15000</v>
      </c>
    </row>
    <row r="1062" spans="2:11">
      <c r="B1062" s="88" t="s">
        <v>511</v>
      </c>
      <c r="C1062" s="89">
        <v>0.2</v>
      </c>
      <c r="D1062" s="90" t="str">
        <f>VLOOKUP(B1062,BD!$B$4:$D$290,2,FALSE)</f>
        <v>día</v>
      </c>
      <c r="E1062" s="91">
        <f>VLOOKUP(B1062,BD!$B$4:$D$290,3,FALSE)</f>
        <v>218270.00000000003</v>
      </c>
      <c r="F1062" s="92"/>
      <c r="G1062" s="92"/>
      <c r="H1062" s="92">
        <f>C1062*E1062</f>
        <v>43654.000000000007</v>
      </c>
      <c r="I1062" s="92"/>
    </row>
    <row r="1063" spans="2:11">
      <c r="B1063" s="88" t="s">
        <v>512</v>
      </c>
      <c r="C1063" s="89">
        <v>0.2</v>
      </c>
      <c r="D1063" s="90" t="str">
        <f>VLOOKUP(B1063,BD!$B$4:$D$290,2,FALSE)</f>
        <v>día</v>
      </c>
      <c r="E1063" s="91">
        <f>VLOOKUP(B1063,BD!$B$4:$D$290,3,FALSE)</f>
        <v>130962.00000000003</v>
      </c>
      <c r="F1063" s="92"/>
      <c r="G1063" s="92"/>
      <c r="H1063" s="92">
        <f>C1063*E1063</f>
        <v>26192.400000000009</v>
      </c>
      <c r="I1063" s="92"/>
    </row>
    <row r="1064" spans="2:11">
      <c r="B1064" s="88" t="s">
        <v>497</v>
      </c>
      <c r="C1064" s="89">
        <v>1</v>
      </c>
      <c r="D1064" s="90" t="s">
        <v>498</v>
      </c>
      <c r="E1064" s="91">
        <f>0.05*H1065</f>
        <v>3492.3200000000015</v>
      </c>
      <c r="F1064" s="92"/>
      <c r="G1064" s="92"/>
      <c r="H1064" s="92"/>
      <c r="I1064" s="92">
        <f>C1064*E1064</f>
        <v>3492.3200000000015</v>
      </c>
    </row>
    <row r="1065" spans="2:11">
      <c r="B1065" s="93" t="s">
        <v>7</v>
      </c>
      <c r="C1065" s="93" t="s">
        <v>504</v>
      </c>
      <c r="D1065" s="94"/>
      <c r="E1065" s="95"/>
      <c r="F1065" s="122">
        <f>SUM(F1061:F1064)</f>
        <v>0</v>
      </c>
      <c r="G1065" s="122">
        <f t="shared" ref="G1065:I1065" si="213">SUM(G1061:G1064)</f>
        <v>0</v>
      </c>
      <c r="H1065" s="122">
        <f t="shared" si="213"/>
        <v>69846.400000000023</v>
      </c>
      <c r="I1065" s="122">
        <f t="shared" si="213"/>
        <v>18492.32</v>
      </c>
    </row>
    <row r="1066" spans="2:11">
      <c r="B1066" s="97">
        <f>ROUNDUP(SUM(F1065:I1065),0)</f>
        <v>88339</v>
      </c>
      <c r="C1066" s="98" t="s">
        <v>564</v>
      </c>
      <c r="D1066" s="99"/>
      <c r="E1066" s="100"/>
      <c r="F1066" s="100"/>
      <c r="G1066" s="100"/>
      <c r="H1066" s="100"/>
      <c r="I1066" s="100"/>
    </row>
  </sheetData>
  <mergeCells count="125">
    <mergeCell ref="B977:H977"/>
    <mergeCell ref="B967:H967"/>
    <mergeCell ref="B997:H997"/>
    <mergeCell ref="B1005:H1005"/>
    <mergeCell ref="B820:H820"/>
    <mergeCell ref="B949:H949"/>
    <mergeCell ref="B941:H941"/>
    <mergeCell ref="B987:H987"/>
    <mergeCell ref="B800:H800"/>
    <mergeCell ref="B917:H917"/>
    <mergeCell ref="B909:H909"/>
    <mergeCell ref="B860:H860"/>
    <mergeCell ref="B828:H828"/>
    <mergeCell ref="B836:H836"/>
    <mergeCell ref="B844:H844"/>
    <mergeCell ref="B852:H852"/>
    <mergeCell ref="B868:H868"/>
    <mergeCell ref="B925:H925"/>
    <mergeCell ref="B682:H682"/>
    <mergeCell ref="B736:H736"/>
    <mergeCell ref="B576:H576"/>
    <mergeCell ref="B569:H569"/>
    <mergeCell ref="B562:H562"/>
    <mergeCell ref="B278:I278"/>
    <mergeCell ref="B527:H527"/>
    <mergeCell ref="B462:H462"/>
    <mergeCell ref="B469:H469"/>
    <mergeCell ref="B483:H483"/>
    <mergeCell ref="B541:H541"/>
    <mergeCell ref="B604:H604"/>
    <mergeCell ref="B618:H618"/>
    <mergeCell ref="B434:H434"/>
    <mergeCell ref="B386:H386"/>
    <mergeCell ref="B427:H427"/>
    <mergeCell ref="B520:H520"/>
    <mergeCell ref="B395:H395"/>
    <mergeCell ref="B649:H649"/>
    <mergeCell ref="B715:H715"/>
    <mergeCell ref="B441:H441"/>
    <mergeCell ref="B555:H555"/>
    <mergeCell ref="B548:H548"/>
    <mergeCell ref="B590:H590"/>
    <mergeCell ref="B1041:H1041"/>
    <mergeCell ref="B1059:H1059"/>
    <mergeCell ref="B1023:H1023"/>
    <mergeCell ref="B583:H583"/>
    <mergeCell ref="B810:H810"/>
    <mergeCell ref="B893:H893"/>
    <mergeCell ref="B901:H901"/>
    <mergeCell ref="B747:H747"/>
    <mergeCell ref="B758:H758"/>
    <mergeCell ref="B769:H769"/>
    <mergeCell ref="B884:H884"/>
    <mergeCell ref="B780:H780"/>
    <mergeCell ref="B790:H790"/>
    <mergeCell ref="B957:H957"/>
    <mergeCell ref="B876:H876"/>
    <mergeCell ref="B725:H725"/>
    <mergeCell ref="B660:H660"/>
    <mergeCell ref="B671:H671"/>
    <mergeCell ref="B693:H693"/>
    <mergeCell ref="B704:H704"/>
    <mergeCell ref="B1014:H1014"/>
    <mergeCell ref="B1032:H1032"/>
    <mergeCell ref="B1050:H1050"/>
    <mergeCell ref="B933:H933"/>
    <mergeCell ref="B2:I2"/>
    <mergeCell ref="B28:I28"/>
    <mergeCell ref="B30:H30"/>
    <mergeCell ref="B40:H40"/>
    <mergeCell ref="B249:H249"/>
    <mergeCell ref="B93:H93"/>
    <mergeCell ref="B102:H102"/>
    <mergeCell ref="B111:H111"/>
    <mergeCell ref="B122:H122"/>
    <mergeCell ref="B133:H133"/>
    <mergeCell ref="B140:I140"/>
    <mergeCell ref="B50:H50"/>
    <mergeCell ref="B60:I60"/>
    <mergeCell ref="B62:H62"/>
    <mergeCell ref="B69:H69"/>
    <mergeCell ref="B77:H77"/>
    <mergeCell ref="B85:H85"/>
    <mergeCell ref="B227:H227"/>
    <mergeCell ref="B171:H171"/>
    <mergeCell ref="B240:H240"/>
    <mergeCell ref="B4:H4"/>
    <mergeCell ref="B16:H16"/>
    <mergeCell ref="B142:H142"/>
    <mergeCell ref="B157:H157"/>
    <mergeCell ref="B455:H455"/>
    <mergeCell ref="B342:H342"/>
    <mergeCell ref="B349:H349"/>
    <mergeCell ref="B356:H356"/>
    <mergeCell ref="B363:H363"/>
    <mergeCell ref="B370:H370"/>
    <mergeCell ref="B377:H377"/>
    <mergeCell ref="B319:I319"/>
    <mergeCell ref="B321:H321"/>
    <mergeCell ref="B328:H328"/>
    <mergeCell ref="B335:H335"/>
    <mergeCell ref="B632:H632"/>
    <mergeCell ref="B413:H413"/>
    <mergeCell ref="B420:H420"/>
    <mergeCell ref="B625:H625"/>
    <mergeCell ref="B639:H639"/>
    <mergeCell ref="B647:I647"/>
    <mergeCell ref="B186:H186"/>
    <mergeCell ref="B200:H200"/>
    <mergeCell ref="B217:H217"/>
    <mergeCell ref="B280:H280"/>
    <mergeCell ref="B291:H291"/>
    <mergeCell ref="B302:H302"/>
    <mergeCell ref="B312:H312"/>
    <mergeCell ref="B266:H266"/>
    <mergeCell ref="B597:H597"/>
    <mergeCell ref="B513:H513"/>
    <mergeCell ref="B476:H476"/>
    <mergeCell ref="B506:H506"/>
    <mergeCell ref="B534:H534"/>
    <mergeCell ref="B404:H404"/>
    <mergeCell ref="B497:H497"/>
    <mergeCell ref="B611:H611"/>
    <mergeCell ref="B490:H490"/>
    <mergeCell ref="B448:H448"/>
  </mergeCells>
  <pageMargins left="0.7" right="0.7" top="0.75" bottom="0.75" header="0.3" footer="0.3"/>
  <pageSetup paperSize="9" scale="51"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B1:I167"/>
  <sheetViews>
    <sheetView topLeftCell="A99" zoomScale="180" zoomScaleNormal="180" workbookViewId="0">
      <selection activeCell="E104" sqref="E104"/>
    </sheetView>
  </sheetViews>
  <sheetFormatPr baseColWidth="10" defaultColWidth="11.42578125" defaultRowHeight="15"/>
  <cols>
    <col min="1" max="1" width="4.28515625" customWidth="1"/>
    <col min="2" max="2" width="46.28515625" customWidth="1"/>
    <col min="3" max="4" width="11.42578125" customWidth="1"/>
    <col min="5" max="9" width="15" customWidth="1"/>
    <col min="10" max="10" width="4.28515625" customWidth="1"/>
  </cols>
  <sheetData>
    <row r="1" spans="2:9" ht="15.75" thickBot="1"/>
    <row r="2" spans="2:9" ht="27" thickBot="1">
      <c r="B2" s="1698" t="s">
        <v>867</v>
      </c>
      <c r="C2" s="1699"/>
      <c r="D2" s="1699"/>
      <c r="E2" s="1699"/>
      <c r="F2" s="1699"/>
      <c r="G2" s="1699"/>
      <c r="H2" s="1699"/>
      <c r="I2" s="1700"/>
    </row>
    <row r="4" spans="2:9">
      <c r="B4" s="1725" t="s">
        <v>868</v>
      </c>
      <c r="C4" s="1725"/>
      <c r="D4" s="1725"/>
      <c r="E4" s="1725"/>
      <c r="F4" s="1725"/>
      <c r="G4" s="1725"/>
      <c r="H4" s="1725"/>
      <c r="I4" s="1725"/>
    </row>
    <row r="5" spans="2:9">
      <c r="B5" s="169"/>
      <c r="C5" s="148" t="s">
        <v>491</v>
      </c>
      <c r="D5" s="148" t="s">
        <v>492</v>
      </c>
      <c r="E5" s="149" t="s">
        <v>493</v>
      </c>
      <c r="F5" s="149" t="s">
        <v>494</v>
      </c>
      <c r="G5" s="149" t="s">
        <v>360</v>
      </c>
      <c r="H5" s="149" t="s">
        <v>495</v>
      </c>
      <c r="I5" s="149" t="s">
        <v>496</v>
      </c>
    </row>
    <row r="6" spans="2:9">
      <c r="B6" s="170" t="s">
        <v>869</v>
      </c>
      <c r="C6" s="134">
        <v>0.35</v>
      </c>
      <c r="D6" s="135" t="str">
        <f>VLOOKUP(B6,BD!$B$4:$D$290,2,FALSE)</f>
        <v>día</v>
      </c>
      <c r="E6" s="136">
        <f>VLOOKUP(B6,BD!$B$4:$D$290,3,FALSE)</f>
        <v>80000</v>
      </c>
      <c r="F6" s="137">
        <f>+E6*C6</f>
        <v>28000</v>
      </c>
      <c r="G6" s="137"/>
      <c r="H6" s="137"/>
      <c r="I6" s="137"/>
    </row>
    <row r="7" spans="2:9">
      <c r="B7" s="133" t="s">
        <v>497</v>
      </c>
      <c r="C7" s="134">
        <v>1</v>
      </c>
      <c r="D7" s="135" t="s">
        <v>498</v>
      </c>
      <c r="E7" s="136">
        <f>0.05*H15</f>
        <v>6984.6400000000031</v>
      </c>
      <c r="F7" s="137"/>
      <c r="G7" s="137"/>
      <c r="H7" s="137"/>
      <c r="I7" s="137">
        <f>+E7*C7</f>
        <v>6984.6400000000031</v>
      </c>
    </row>
    <row r="8" spans="2:9">
      <c r="B8" s="133" t="s">
        <v>870</v>
      </c>
      <c r="C8" s="134">
        <v>0.9</v>
      </c>
      <c r="D8" s="135" t="str">
        <f>VLOOKUP(B8,BD!$B$4:$D$290,2,FALSE)</f>
        <v>m³</v>
      </c>
      <c r="E8" s="136">
        <f>VLOOKUP(B8,BD!$B$4:$D$290,3,FALSE)</f>
        <v>99555</v>
      </c>
      <c r="F8" s="137"/>
      <c r="G8" s="137">
        <f>+E8*C8</f>
        <v>89599.5</v>
      </c>
      <c r="H8" s="137"/>
      <c r="I8" s="137"/>
    </row>
    <row r="9" spans="2:9">
      <c r="B9" s="133" t="s">
        <v>871</v>
      </c>
      <c r="C9" s="134">
        <v>0.4</v>
      </c>
      <c r="D9" s="135" t="str">
        <f>VLOOKUP(B9,BD!$B$4:$D$290,2,FALSE)</f>
        <v>m³</v>
      </c>
      <c r="E9" s="136">
        <f>VLOOKUP(B9,BD!$B$4:$D$290,3,FALSE)</f>
        <v>122570</v>
      </c>
      <c r="F9" s="137"/>
      <c r="G9" s="137">
        <f>+E9*C9</f>
        <v>49028</v>
      </c>
      <c r="H9" s="137"/>
      <c r="I9" s="137"/>
    </row>
    <row r="10" spans="2:9">
      <c r="B10" s="133" t="s">
        <v>872</v>
      </c>
      <c r="C10" s="134">
        <f>3.25*1.05</f>
        <v>3.4125000000000001</v>
      </c>
      <c r="D10" s="135" t="str">
        <f>VLOOKUP(B10,BD!$B$4:$D$290,2,FALSE)</f>
        <v>saco</v>
      </c>
      <c r="E10" s="136">
        <f>VLOOKUP(B10,BD!$B$4:$D$290,3,FALSE)</f>
        <v>36000</v>
      </c>
      <c r="F10" s="137"/>
      <c r="G10" s="137">
        <f>+E10*C10</f>
        <v>122850</v>
      </c>
      <c r="H10" s="137"/>
      <c r="I10" s="137"/>
    </row>
    <row r="11" spans="2:9">
      <c r="B11" s="133" t="s">
        <v>550</v>
      </c>
      <c r="C11" s="134">
        <f>72*(C8+C9)</f>
        <v>93.600000000000009</v>
      </c>
      <c r="D11" s="135" t="str">
        <f>VLOOKUP(B11,BD!$B$4:$D$290,2,FALSE)</f>
        <v>$/m³.km</v>
      </c>
      <c r="E11" s="136">
        <f>VLOOKUP(B11,BD!$B$4:$D$290,3,FALSE)</f>
        <v>1400</v>
      </c>
      <c r="F11" s="137"/>
      <c r="G11" s="137"/>
      <c r="H11" s="137"/>
      <c r="I11" s="137">
        <f>+E11*C11</f>
        <v>131040.00000000001</v>
      </c>
    </row>
    <row r="12" spans="2:9">
      <c r="B12" s="133" t="s">
        <v>873</v>
      </c>
      <c r="C12" s="134">
        <v>100</v>
      </c>
      <c r="D12" s="135" t="str">
        <f>VLOOKUP(B12,BD!$B$4:$D$290,2,FALSE)</f>
        <v>lt</v>
      </c>
      <c r="E12" s="136">
        <f>VLOOKUP(B12,BD!$B$4:$D$290,3,FALSE)</f>
        <v>50</v>
      </c>
      <c r="F12" s="137"/>
      <c r="G12" s="137">
        <f>+E12*C12</f>
        <v>5000</v>
      </c>
      <c r="H12" s="137"/>
      <c r="I12" s="137"/>
    </row>
    <row r="13" spans="2:9">
      <c r="B13" s="171" t="s">
        <v>512</v>
      </c>
      <c r="C13" s="172">
        <v>0.4</v>
      </c>
      <c r="D13" s="135" t="str">
        <f>VLOOKUP(B13,BD!$B$4:$D$290,2,FALSE)</f>
        <v>día</v>
      </c>
      <c r="E13" s="136">
        <f>VLOOKUP(B13,BD!$B$4:$D$290,3,FALSE)</f>
        <v>130962.00000000003</v>
      </c>
      <c r="F13" s="137"/>
      <c r="G13" s="137"/>
      <c r="H13" s="137">
        <f>+E13*C13</f>
        <v>52384.800000000017</v>
      </c>
      <c r="I13" s="137"/>
    </row>
    <row r="14" spans="2:9">
      <c r="B14" s="171" t="s">
        <v>519</v>
      </c>
      <c r="C14" s="172">
        <v>1</v>
      </c>
      <c r="D14" s="135" t="str">
        <f>VLOOKUP(B14,BD!$B$4:$D$290,2,FALSE)</f>
        <v>día</v>
      </c>
      <c r="E14" s="136">
        <f>VLOOKUP(B14,BD!$B$4:$D$290,3,FALSE)</f>
        <v>87308.000000000015</v>
      </c>
      <c r="F14" s="137"/>
      <c r="G14" s="137"/>
      <c r="H14" s="137">
        <f>+E14*C14</f>
        <v>87308.000000000015</v>
      </c>
      <c r="I14" s="137"/>
    </row>
    <row r="15" spans="2:9">
      <c r="B15" s="138" t="s">
        <v>7</v>
      </c>
      <c r="C15" s="138" t="s">
        <v>504</v>
      </c>
      <c r="D15" s="139"/>
      <c r="E15" s="140"/>
      <c r="F15" s="149">
        <f>SUM(F6:F14)</f>
        <v>28000</v>
      </c>
      <c r="G15" s="149">
        <f t="shared" ref="G15:I15" si="0">SUM(G6:G14)</f>
        <v>266477.5</v>
      </c>
      <c r="H15" s="149">
        <f t="shared" si="0"/>
        <v>139692.80000000005</v>
      </c>
      <c r="I15" s="149">
        <f t="shared" si="0"/>
        <v>138024.64000000001</v>
      </c>
    </row>
    <row r="16" spans="2:9">
      <c r="B16" s="141">
        <f>SUM(F15:I15)</f>
        <v>572194.94000000006</v>
      </c>
      <c r="C16" s="142" t="s">
        <v>520</v>
      </c>
      <c r="D16" s="143"/>
      <c r="E16" s="144"/>
      <c r="F16" s="144"/>
      <c r="G16" s="144"/>
      <c r="H16" s="144"/>
      <c r="I16" s="144"/>
    </row>
    <row r="18" spans="2:9">
      <c r="B18" s="1725" t="s">
        <v>874</v>
      </c>
      <c r="C18" s="1725"/>
      <c r="D18" s="1725"/>
      <c r="E18" s="1725"/>
      <c r="F18" s="1725"/>
      <c r="G18" s="1725"/>
      <c r="H18" s="1725"/>
      <c r="I18" s="1725"/>
    </row>
    <row r="19" spans="2:9">
      <c r="C19" s="148" t="s">
        <v>491</v>
      </c>
      <c r="D19" s="148" t="s">
        <v>492</v>
      </c>
      <c r="E19" s="149" t="s">
        <v>493</v>
      </c>
      <c r="F19" s="149" t="s">
        <v>494</v>
      </c>
      <c r="G19" s="149" t="s">
        <v>360</v>
      </c>
      <c r="H19" s="149" t="s">
        <v>495</v>
      </c>
      <c r="I19" s="149" t="s">
        <v>496</v>
      </c>
    </row>
    <row r="20" spans="2:9">
      <c r="B20" s="170" t="s">
        <v>869</v>
      </c>
      <c r="C20" s="134">
        <v>0.35</v>
      </c>
      <c r="D20" s="135" t="str">
        <f>VLOOKUP(B20,BD!$B$4:$D$290,2,FALSE)</f>
        <v>día</v>
      </c>
      <c r="E20" s="136">
        <f>VLOOKUP(B20,BD!$B$4:$D$290,3,FALSE)</f>
        <v>80000</v>
      </c>
      <c r="F20" s="137">
        <f>+E20*C20</f>
        <v>28000</v>
      </c>
      <c r="G20" s="137"/>
      <c r="H20" s="137"/>
      <c r="I20" s="137"/>
    </row>
    <row r="21" spans="2:9">
      <c r="B21" s="133" t="s">
        <v>497</v>
      </c>
      <c r="C21" s="134">
        <v>1</v>
      </c>
      <c r="D21" s="135" t="s">
        <v>498</v>
      </c>
      <c r="E21" s="136">
        <f>0.05*H29</f>
        <v>6984.6400000000031</v>
      </c>
      <c r="F21" s="137"/>
      <c r="G21" s="137"/>
      <c r="H21" s="137"/>
      <c r="I21" s="137">
        <f>+E21*C21</f>
        <v>6984.6400000000031</v>
      </c>
    </row>
    <row r="22" spans="2:9">
      <c r="B22" s="133" t="s">
        <v>870</v>
      </c>
      <c r="C22" s="134">
        <v>0.97499999999999998</v>
      </c>
      <c r="D22" s="135" t="str">
        <f>VLOOKUP(B22,BD!$B$4:$D$290,2,FALSE)</f>
        <v>m³</v>
      </c>
      <c r="E22" s="136">
        <f>VLOOKUP(B22,BD!$B$4:$D$290,3,FALSE)</f>
        <v>99555</v>
      </c>
      <c r="F22" s="137"/>
      <c r="G22" s="137">
        <f>+E22*C22</f>
        <v>97066.125</v>
      </c>
      <c r="H22" s="137"/>
      <c r="I22" s="137"/>
    </row>
    <row r="23" spans="2:9">
      <c r="B23" s="133" t="s">
        <v>871</v>
      </c>
      <c r="C23" s="134">
        <v>0.33</v>
      </c>
      <c r="D23" s="135" t="str">
        <f>VLOOKUP(B23,BD!$B$4:$D$290,2,FALSE)</f>
        <v>m³</v>
      </c>
      <c r="E23" s="136">
        <f>VLOOKUP(B23,BD!$B$4:$D$290,3,FALSE)</f>
        <v>122570</v>
      </c>
      <c r="F23" s="137"/>
      <c r="G23" s="137">
        <f>+E23*C23</f>
        <v>40448.1</v>
      </c>
      <c r="H23" s="137"/>
      <c r="I23" s="137"/>
    </row>
    <row r="24" spans="2:9">
      <c r="B24" s="133" t="s">
        <v>872</v>
      </c>
      <c r="C24" s="134">
        <v>3.5</v>
      </c>
      <c r="D24" s="135" t="str">
        <f>VLOOKUP(B24,BD!$B$4:$D$290,2,FALSE)</f>
        <v>saco</v>
      </c>
      <c r="E24" s="136">
        <f>VLOOKUP(B24,BD!$B$4:$D$290,3,FALSE)</f>
        <v>36000</v>
      </c>
      <c r="F24" s="137"/>
      <c r="G24" s="137">
        <f>+E24*C24</f>
        <v>126000</v>
      </c>
      <c r="H24" s="137"/>
      <c r="I24" s="137"/>
    </row>
    <row r="25" spans="2:9">
      <c r="B25" s="133" t="s">
        <v>550</v>
      </c>
      <c r="C25" s="134">
        <f>72*(C22+C23)</f>
        <v>93.96</v>
      </c>
      <c r="D25" s="135" t="str">
        <f>VLOOKUP(B25,BD!$B$4:$D$290,2,FALSE)</f>
        <v>$/m³.km</v>
      </c>
      <c r="E25" s="136">
        <f>VLOOKUP(B25,BD!$B$4:$D$290,3,FALSE)</f>
        <v>1400</v>
      </c>
      <c r="F25" s="137"/>
      <c r="G25" s="137"/>
      <c r="H25" s="137"/>
      <c r="I25" s="137">
        <f>+E25*C25</f>
        <v>131544</v>
      </c>
    </row>
    <row r="26" spans="2:9">
      <c r="B26" s="133" t="s">
        <v>873</v>
      </c>
      <c r="C26" s="134">
        <v>115</v>
      </c>
      <c r="D26" s="135" t="str">
        <f>VLOOKUP(B26,BD!$B$4:$D$290,2,FALSE)</f>
        <v>lt</v>
      </c>
      <c r="E26" s="136">
        <f>VLOOKUP(B26,BD!$B$4:$D$290,3,FALSE)</f>
        <v>50</v>
      </c>
      <c r="F26" s="137"/>
      <c r="G26" s="137">
        <f>+E26*C26</f>
        <v>5750</v>
      </c>
      <c r="H26" s="137"/>
      <c r="I26" s="137"/>
    </row>
    <row r="27" spans="2:9">
      <c r="B27" s="171" t="s">
        <v>512</v>
      </c>
      <c r="C27" s="134">
        <v>0.4</v>
      </c>
      <c r="D27" s="135" t="str">
        <f>VLOOKUP(B27,BD!$B$4:$D$290,2,FALSE)</f>
        <v>día</v>
      </c>
      <c r="E27" s="136">
        <f>VLOOKUP(B27,BD!$B$4:$D$290,3,FALSE)</f>
        <v>130962.00000000003</v>
      </c>
      <c r="F27" s="137"/>
      <c r="G27" s="137"/>
      <c r="H27" s="137">
        <f>+E27*C27</f>
        <v>52384.800000000017</v>
      </c>
      <c r="I27" s="137"/>
    </row>
    <row r="28" spans="2:9">
      <c r="B28" s="171" t="s">
        <v>519</v>
      </c>
      <c r="C28" s="134">
        <v>1</v>
      </c>
      <c r="D28" s="135" t="str">
        <f>VLOOKUP(B28,BD!$B$4:$D$290,2,FALSE)</f>
        <v>día</v>
      </c>
      <c r="E28" s="136">
        <f>VLOOKUP(B28,BD!$B$4:$D$290,3,FALSE)</f>
        <v>87308.000000000015</v>
      </c>
      <c r="F28" s="137"/>
      <c r="G28" s="137"/>
      <c r="H28" s="137">
        <f>+E28*C28</f>
        <v>87308.000000000015</v>
      </c>
      <c r="I28" s="137"/>
    </row>
    <row r="29" spans="2:9">
      <c r="B29" s="138" t="s">
        <v>7</v>
      </c>
      <c r="C29" s="138" t="s">
        <v>504</v>
      </c>
      <c r="D29" s="143"/>
      <c r="E29" s="144"/>
      <c r="F29" s="149">
        <f>SUM(F20:F28)</f>
        <v>28000</v>
      </c>
      <c r="G29" s="149">
        <f t="shared" ref="G29:I29" si="1">SUM(G20:G28)</f>
        <v>269264.22499999998</v>
      </c>
      <c r="H29" s="149">
        <f t="shared" si="1"/>
        <v>139692.80000000005</v>
      </c>
      <c r="I29" s="149">
        <f t="shared" si="1"/>
        <v>138528.64000000001</v>
      </c>
    </row>
    <row r="30" spans="2:9">
      <c r="B30" s="141">
        <f>SUM(F29:I29)</f>
        <v>575485.66500000004</v>
      </c>
      <c r="C30" s="142" t="s">
        <v>520</v>
      </c>
      <c r="D30" s="143"/>
      <c r="E30" s="144"/>
      <c r="F30" s="144"/>
      <c r="G30" s="144"/>
      <c r="H30" s="144"/>
      <c r="I30" s="144"/>
    </row>
    <row r="32" spans="2:9">
      <c r="B32" s="1725" t="s">
        <v>875</v>
      </c>
      <c r="C32" s="1725"/>
      <c r="D32" s="1725"/>
      <c r="E32" s="1725"/>
      <c r="F32" s="1725"/>
      <c r="G32" s="1725"/>
      <c r="H32" s="1725"/>
      <c r="I32" s="1725"/>
    </row>
    <row r="33" spans="2:9">
      <c r="C33" s="148" t="s">
        <v>491</v>
      </c>
      <c r="D33" s="148" t="s">
        <v>492</v>
      </c>
      <c r="E33" s="149" t="s">
        <v>493</v>
      </c>
      <c r="F33" s="149" t="s">
        <v>494</v>
      </c>
      <c r="G33" s="149" t="s">
        <v>360</v>
      </c>
      <c r="H33" s="149" t="s">
        <v>495</v>
      </c>
      <c r="I33" s="149" t="s">
        <v>496</v>
      </c>
    </row>
    <row r="34" spans="2:9">
      <c r="B34" s="170" t="s">
        <v>869</v>
      </c>
      <c r="C34" s="134">
        <v>0.35</v>
      </c>
      <c r="D34" s="135" t="str">
        <f>VLOOKUP(B34,BD!$B$4:$D$290,2,FALSE)</f>
        <v>día</v>
      </c>
      <c r="E34" s="136">
        <f>VLOOKUP(B34,BD!$B$4:$D$290,3,FALSE)</f>
        <v>80000</v>
      </c>
      <c r="F34" s="137">
        <f>+E34*C34</f>
        <v>28000</v>
      </c>
      <c r="G34" s="137"/>
      <c r="H34" s="137"/>
      <c r="I34" s="137"/>
    </row>
    <row r="35" spans="2:9">
      <c r="B35" s="133" t="s">
        <v>497</v>
      </c>
      <c r="C35" s="134">
        <v>1</v>
      </c>
      <c r="D35" s="135" t="s">
        <v>498</v>
      </c>
      <c r="E35" s="136">
        <f>0.05*H43</f>
        <v>6984.6400000000031</v>
      </c>
      <c r="F35" s="137"/>
      <c r="G35" s="137"/>
      <c r="H35" s="137"/>
      <c r="I35" s="137">
        <f>+E35*C35</f>
        <v>6984.6400000000031</v>
      </c>
    </row>
    <row r="36" spans="2:9">
      <c r="B36" s="133" t="s">
        <v>870</v>
      </c>
      <c r="C36" s="134">
        <v>0.92</v>
      </c>
      <c r="D36" s="135" t="str">
        <f>VLOOKUP(B36,BD!$B$4:$D$290,2,FALSE)</f>
        <v>m³</v>
      </c>
      <c r="E36" s="136">
        <f>VLOOKUP(B36,BD!$B$4:$D$290,3,FALSE)</f>
        <v>99555</v>
      </c>
      <c r="F36" s="137"/>
      <c r="G36" s="137">
        <f>+E36*C36</f>
        <v>91590.6</v>
      </c>
      <c r="H36" s="137"/>
      <c r="I36" s="137"/>
    </row>
    <row r="37" spans="2:9">
      <c r="B37" s="133" t="s">
        <v>871</v>
      </c>
      <c r="C37" s="134">
        <v>0.38</v>
      </c>
      <c r="D37" s="135" t="str">
        <f>VLOOKUP(B37,BD!$B$4:$D$290,2,FALSE)</f>
        <v>m³</v>
      </c>
      <c r="E37" s="136">
        <f>VLOOKUP(B37,BD!$B$4:$D$290,3,FALSE)</f>
        <v>122570</v>
      </c>
      <c r="F37" s="137"/>
      <c r="G37" s="137">
        <f>+E37*C37</f>
        <v>46576.6</v>
      </c>
      <c r="H37" s="137"/>
      <c r="I37" s="137"/>
    </row>
    <row r="38" spans="2:9">
      <c r="B38" s="133" t="s">
        <v>872</v>
      </c>
      <c r="C38" s="134">
        <v>4.5999999999999996</v>
      </c>
      <c r="D38" s="135" t="str">
        <f>VLOOKUP(B38,BD!$B$4:$D$290,2,FALSE)</f>
        <v>saco</v>
      </c>
      <c r="E38" s="136">
        <f>VLOOKUP(B38,BD!$B$4:$D$290,3,FALSE)</f>
        <v>36000</v>
      </c>
      <c r="F38" s="137"/>
      <c r="G38" s="137">
        <f>+E38*C38</f>
        <v>165600</v>
      </c>
      <c r="H38" s="137"/>
      <c r="I38" s="137"/>
    </row>
    <row r="39" spans="2:9">
      <c r="B39" s="133" t="s">
        <v>550</v>
      </c>
      <c r="C39" s="134">
        <f>72*(C36+C37)</f>
        <v>93.600000000000009</v>
      </c>
      <c r="D39" s="135" t="str">
        <f>VLOOKUP(B39,BD!$B$4:$D$290,2,FALSE)</f>
        <v>$/m³.km</v>
      </c>
      <c r="E39" s="136">
        <f>VLOOKUP(B39,BD!$B$4:$D$290,3,FALSE)</f>
        <v>1400</v>
      </c>
      <c r="F39" s="137"/>
      <c r="G39" s="137"/>
      <c r="H39" s="137"/>
      <c r="I39" s="137">
        <f>+E39*C39</f>
        <v>131040.00000000001</v>
      </c>
    </row>
    <row r="40" spans="2:9">
      <c r="B40" s="133" t="s">
        <v>873</v>
      </c>
      <c r="C40" s="134">
        <v>133</v>
      </c>
      <c r="D40" s="135" t="str">
        <f>VLOOKUP(B40,BD!$B$4:$D$290,2,FALSE)</f>
        <v>lt</v>
      </c>
      <c r="E40" s="136">
        <f>VLOOKUP(B40,BD!$B$4:$D$290,3,FALSE)</f>
        <v>50</v>
      </c>
      <c r="F40" s="137"/>
      <c r="G40" s="137">
        <f>+E40*C40</f>
        <v>6650</v>
      </c>
      <c r="H40" s="137"/>
      <c r="I40" s="137"/>
    </row>
    <row r="41" spans="2:9">
      <c r="B41" s="171" t="s">
        <v>512</v>
      </c>
      <c r="C41" s="134">
        <v>0.4</v>
      </c>
      <c r="D41" s="135" t="str">
        <f>VLOOKUP(B41,BD!$B$4:$D$290,2,FALSE)</f>
        <v>día</v>
      </c>
      <c r="E41" s="136">
        <f>VLOOKUP(B41,BD!$B$4:$D$290,3,FALSE)</f>
        <v>130962.00000000003</v>
      </c>
      <c r="F41" s="137"/>
      <c r="G41" s="137"/>
      <c r="H41" s="137">
        <f>+E41*C41</f>
        <v>52384.800000000017</v>
      </c>
      <c r="I41" s="137"/>
    </row>
    <row r="42" spans="2:9">
      <c r="B42" s="171" t="s">
        <v>519</v>
      </c>
      <c r="C42" s="134">
        <v>1</v>
      </c>
      <c r="D42" s="135" t="str">
        <f>VLOOKUP(B42,BD!$B$4:$D$290,2,FALSE)</f>
        <v>día</v>
      </c>
      <c r="E42" s="136">
        <f>VLOOKUP(B42,BD!$B$4:$D$290,3,FALSE)</f>
        <v>87308.000000000015</v>
      </c>
      <c r="F42" s="137"/>
      <c r="G42" s="137"/>
      <c r="H42" s="137">
        <f>+E42*C42</f>
        <v>87308.000000000015</v>
      </c>
      <c r="I42" s="137"/>
    </row>
    <row r="43" spans="2:9">
      <c r="B43" s="138" t="s">
        <v>7</v>
      </c>
      <c r="C43" s="138" t="s">
        <v>504</v>
      </c>
      <c r="D43" s="143"/>
      <c r="E43" s="144"/>
      <c r="F43" s="149">
        <f>SUM(F34:F42)</f>
        <v>28000</v>
      </c>
      <c r="G43" s="149">
        <f t="shared" ref="G43:I43" si="2">SUM(G34:G42)</f>
        <v>310417.2</v>
      </c>
      <c r="H43" s="149">
        <f t="shared" si="2"/>
        <v>139692.80000000005</v>
      </c>
      <c r="I43" s="149">
        <f t="shared" si="2"/>
        <v>138024.64000000001</v>
      </c>
    </row>
    <row r="44" spans="2:9">
      <c r="B44" s="141">
        <f>SUM(F43:I43)</f>
        <v>616134.64000000013</v>
      </c>
      <c r="C44" s="142" t="s">
        <v>520</v>
      </c>
      <c r="D44" s="143"/>
      <c r="E44" s="144"/>
      <c r="F44" s="144"/>
      <c r="G44" s="144"/>
      <c r="H44" s="144"/>
      <c r="I44" s="144"/>
    </row>
    <row r="46" spans="2:9">
      <c r="B46" s="1725" t="s">
        <v>876</v>
      </c>
      <c r="C46" s="1725"/>
      <c r="D46" s="1725"/>
      <c r="E46" s="1725"/>
      <c r="F46" s="1725"/>
      <c r="G46" s="1725"/>
      <c r="H46" s="1725"/>
      <c r="I46" s="1725"/>
    </row>
    <row r="47" spans="2:9">
      <c r="C47" s="148" t="s">
        <v>491</v>
      </c>
      <c r="D47" s="148" t="s">
        <v>492</v>
      </c>
      <c r="E47" s="149" t="s">
        <v>493</v>
      </c>
      <c r="F47" s="149" t="s">
        <v>494</v>
      </c>
      <c r="G47" s="149" t="s">
        <v>360</v>
      </c>
      <c r="H47" s="149" t="s">
        <v>495</v>
      </c>
      <c r="I47" s="149" t="s">
        <v>496</v>
      </c>
    </row>
    <row r="48" spans="2:9">
      <c r="B48" s="170" t="s">
        <v>869</v>
      </c>
      <c r="C48" s="134">
        <v>0.35</v>
      </c>
      <c r="D48" s="135" t="str">
        <f>VLOOKUP(B48,BD!$B$4:$D$290,2,FALSE)</f>
        <v>día</v>
      </c>
      <c r="E48" s="136">
        <f>VLOOKUP(B48,BD!$B$4:$D$290,3,FALSE)</f>
        <v>80000</v>
      </c>
      <c r="F48" s="137">
        <f>+E48*C48</f>
        <v>28000</v>
      </c>
      <c r="G48" s="137"/>
      <c r="H48" s="137"/>
      <c r="I48" s="137"/>
    </row>
    <row r="49" spans="2:9">
      <c r="B49" s="133" t="s">
        <v>497</v>
      </c>
      <c r="C49" s="134">
        <v>1</v>
      </c>
      <c r="D49" s="135" t="s">
        <v>498</v>
      </c>
      <c r="E49" s="136">
        <f>0.05*H57</f>
        <v>6984.6400000000031</v>
      </c>
      <c r="F49" s="137"/>
      <c r="G49" s="137"/>
      <c r="H49" s="137"/>
      <c r="I49" s="137">
        <f>+E49*C49</f>
        <v>6984.6400000000031</v>
      </c>
    </row>
    <row r="50" spans="2:9">
      <c r="B50" s="133" t="s">
        <v>870</v>
      </c>
      <c r="C50" s="134">
        <v>0.8</v>
      </c>
      <c r="D50" s="135" t="str">
        <f>VLOOKUP(B50,BD!$B$4:$D$290,2,FALSE)</f>
        <v>m³</v>
      </c>
      <c r="E50" s="136">
        <f>VLOOKUP(B50,BD!$B$4:$D$290,3,FALSE)</f>
        <v>99555</v>
      </c>
      <c r="F50" s="137"/>
      <c r="G50" s="137">
        <f>+E50*C50</f>
        <v>79644</v>
      </c>
      <c r="H50" s="137"/>
      <c r="I50" s="137"/>
    </row>
    <row r="51" spans="2:9">
      <c r="B51" s="133" t="s">
        <v>871</v>
      </c>
      <c r="C51" s="134">
        <v>0.5</v>
      </c>
      <c r="D51" s="135" t="str">
        <f>VLOOKUP(B51,BD!$B$4:$D$290,2,FALSE)</f>
        <v>m³</v>
      </c>
      <c r="E51" s="136">
        <f>VLOOKUP(B51,BD!$B$4:$D$290,3,FALSE)</f>
        <v>122570</v>
      </c>
      <c r="F51" s="137"/>
      <c r="G51" s="137">
        <f>+E51*C51</f>
        <v>61285</v>
      </c>
      <c r="H51" s="137"/>
      <c r="I51" s="137"/>
    </row>
    <row r="52" spans="2:9">
      <c r="B52" s="133" t="s">
        <v>872</v>
      </c>
      <c r="C52" s="134">
        <v>5</v>
      </c>
      <c r="D52" s="135" t="str">
        <f>VLOOKUP(B52,BD!$B$4:$D$290,2,FALSE)</f>
        <v>saco</v>
      </c>
      <c r="E52" s="136">
        <f>VLOOKUP(B52,BD!$B$4:$D$290,3,FALSE)</f>
        <v>36000</v>
      </c>
      <c r="F52" s="137"/>
      <c r="G52" s="137">
        <f>+E52*C52</f>
        <v>180000</v>
      </c>
      <c r="H52" s="137"/>
      <c r="I52" s="137"/>
    </row>
    <row r="53" spans="2:9">
      <c r="B53" s="133" t="s">
        <v>550</v>
      </c>
      <c r="C53" s="134">
        <f>72*(C50+C51)</f>
        <v>93.600000000000009</v>
      </c>
      <c r="D53" s="135" t="str">
        <f>VLOOKUP(B53,BD!$B$4:$D$290,2,FALSE)</f>
        <v>$/m³.km</v>
      </c>
      <c r="E53" s="136">
        <f>VLOOKUP(B53,BD!$B$4:$D$290,3,FALSE)</f>
        <v>1400</v>
      </c>
      <c r="F53" s="137"/>
      <c r="G53" s="137"/>
      <c r="H53" s="137"/>
      <c r="I53" s="137">
        <f>+E53*C53</f>
        <v>131040.00000000001</v>
      </c>
    </row>
    <row r="54" spans="2:9">
      <c r="B54" s="133" t="s">
        <v>873</v>
      </c>
      <c r="C54" s="134">
        <v>150</v>
      </c>
      <c r="D54" s="135" t="str">
        <f>VLOOKUP(B54,BD!$B$4:$D$290,2,FALSE)</f>
        <v>lt</v>
      </c>
      <c r="E54" s="136">
        <f>VLOOKUP(B54,BD!$B$4:$D$290,3,FALSE)</f>
        <v>50</v>
      </c>
      <c r="F54" s="137"/>
      <c r="G54" s="137">
        <f>+E54*C54</f>
        <v>7500</v>
      </c>
      <c r="H54" s="137"/>
      <c r="I54" s="137"/>
    </row>
    <row r="55" spans="2:9">
      <c r="B55" s="171" t="s">
        <v>512</v>
      </c>
      <c r="C55" s="134">
        <v>0.4</v>
      </c>
      <c r="D55" s="135" t="str">
        <f>VLOOKUP(B55,BD!$B$4:$D$290,2,FALSE)</f>
        <v>día</v>
      </c>
      <c r="E55" s="136">
        <f>VLOOKUP(B55,BD!$B$4:$D$290,3,FALSE)</f>
        <v>130962.00000000003</v>
      </c>
      <c r="F55" s="137"/>
      <c r="G55" s="137"/>
      <c r="H55" s="137">
        <f>+E55*C55</f>
        <v>52384.800000000017</v>
      </c>
      <c r="I55" s="137"/>
    </row>
    <row r="56" spans="2:9">
      <c r="B56" s="171" t="s">
        <v>519</v>
      </c>
      <c r="C56" s="134">
        <v>1</v>
      </c>
      <c r="D56" s="135" t="str">
        <f>VLOOKUP(B56,BD!$B$4:$D$290,2,FALSE)</f>
        <v>día</v>
      </c>
      <c r="E56" s="136">
        <f>VLOOKUP(B56,BD!$B$4:$D$290,3,FALSE)</f>
        <v>87308.000000000015</v>
      </c>
      <c r="F56" s="137"/>
      <c r="G56" s="137"/>
      <c r="H56" s="137">
        <f>+E56*C56</f>
        <v>87308.000000000015</v>
      </c>
      <c r="I56" s="137"/>
    </row>
    <row r="57" spans="2:9">
      <c r="B57" s="138" t="s">
        <v>7</v>
      </c>
      <c r="C57" s="138" t="s">
        <v>504</v>
      </c>
      <c r="D57" s="143"/>
      <c r="E57" s="144"/>
      <c r="F57" s="149">
        <f>SUM(F48:F56)</f>
        <v>28000</v>
      </c>
      <c r="G57" s="149">
        <f t="shared" ref="G57:I57" si="3">SUM(G48:G56)</f>
        <v>328429</v>
      </c>
      <c r="H57" s="149">
        <f t="shared" si="3"/>
        <v>139692.80000000005</v>
      </c>
      <c r="I57" s="149">
        <f t="shared" si="3"/>
        <v>138024.64000000001</v>
      </c>
    </row>
    <row r="58" spans="2:9">
      <c r="B58" s="141">
        <f>SUM(F57:I57)</f>
        <v>634146.44000000006</v>
      </c>
      <c r="C58" s="142" t="s">
        <v>520</v>
      </c>
      <c r="D58" s="143"/>
      <c r="E58" s="144"/>
      <c r="F58" s="144"/>
      <c r="G58" s="144"/>
      <c r="H58" s="144"/>
      <c r="I58" s="144"/>
    </row>
    <row r="60" spans="2:9">
      <c r="B60" s="1725" t="s">
        <v>877</v>
      </c>
      <c r="C60" s="1725"/>
      <c r="D60" s="1725"/>
      <c r="E60" s="1725"/>
      <c r="F60" s="1725"/>
      <c r="G60" s="1725"/>
      <c r="H60" s="1725"/>
      <c r="I60" s="1725"/>
    </row>
    <row r="61" spans="2:9">
      <c r="C61" s="148" t="s">
        <v>491</v>
      </c>
      <c r="D61" s="148" t="s">
        <v>492</v>
      </c>
      <c r="E61" s="149" t="s">
        <v>493</v>
      </c>
      <c r="F61" s="149" t="s">
        <v>494</v>
      </c>
      <c r="G61" s="149" t="s">
        <v>360</v>
      </c>
      <c r="H61" s="149" t="s">
        <v>495</v>
      </c>
      <c r="I61" s="149" t="s">
        <v>496</v>
      </c>
    </row>
    <row r="62" spans="2:9">
      <c r="B62" s="170" t="s">
        <v>869</v>
      </c>
      <c r="C62" s="134">
        <v>0.35</v>
      </c>
      <c r="D62" s="135" t="str">
        <f>VLOOKUP(B62,BD!$B$4:$D$290,2,FALSE)</f>
        <v>día</v>
      </c>
      <c r="E62" s="136">
        <f>VLOOKUP(B62,BD!$B$4:$D$290,3,FALSE)</f>
        <v>80000</v>
      </c>
      <c r="F62" s="137">
        <f>+E62*C62</f>
        <v>28000</v>
      </c>
      <c r="G62" s="137"/>
      <c r="H62" s="137"/>
      <c r="I62" s="137"/>
    </row>
    <row r="63" spans="2:9">
      <c r="B63" s="133" t="s">
        <v>497</v>
      </c>
      <c r="C63" s="134">
        <v>1</v>
      </c>
      <c r="D63" s="135" t="s">
        <v>498</v>
      </c>
      <c r="E63" s="136">
        <f>0.05*H71</f>
        <v>6984.6400000000031</v>
      </c>
      <c r="F63" s="137"/>
      <c r="G63" s="137"/>
      <c r="H63" s="137"/>
      <c r="I63" s="137">
        <f>+E63*C63</f>
        <v>6984.6400000000031</v>
      </c>
    </row>
    <row r="64" spans="2:9">
      <c r="B64" s="133" t="s">
        <v>870</v>
      </c>
      <c r="C64" s="134">
        <v>0.65</v>
      </c>
      <c r="D64" s="135" t="str">
        <f>VLOOKUP(B64,BD!$B$4:$D$290,2,FALSE)</f>
        <v>m³</v>
      </c>
      <c r="E64" s="136">
        <f>VLOOKUP(B64,BD!$B$4:$D$290,3,FALSE)</f>
        <v>99555</v>
      </c>
      <c r="F64" s="137"/>
      <c r="G64" s="137">
        <f>+E64*C64</f>
        <v>64710.75</v>
      </c>
      <c r="H64" s="137"/>
      <c r="I64" s="137"/>
    </row>
    <row r="65" spans="2:9">
      <c r="B65" s="133" t="s">
        <v>871</v>
      </c>
      <c r="C65" s="134">
        <v>0.65</v>
      </c>
      <c r="D65" s="135" t="str">
        <f>VLOOKUP(B65,BD!$B$4:$D$290,2,FALSE)</f>
        <v>m³</v>
      </c>
      <c r="E65" s="136">
        <f>VLOOKUP(B65,BD!$B$4:$D$290,3,FALSE)</f>
        <v>122570</v>
      </c>
      <c r="F65" s="137"/>
      <c r="G65" s="137">
        <f>+E65*C65</f>
        <v>79670.5</v>
      </c>
      <c r="H65" s="137"/>
      <c r="I65" s="137"/>
    </row>
    <row r="66" spans="2:9">
      <c r="B66" s="133" t="s">
        <v>872</v>
      </c>
      <c r="C66" s="134">
        <v>6</v>
      </c>
      <c r="D66" s="135" t="str">
        <f>VLOOKUP(B66,BD!$B$4:$D$290,2,FALSE)</f>
        <v>saco</v>
      </c>
      <c r="E66" s="136">
        <f>VLOOKUP(B66,BD!$B$4:$D$290,3,FALSE)</f>
        <v>36000</v>
      </c>
      <c r="F66" s="137"/>
      <c r="G66" s="137">
        <f>+E66*C66</f>
        <v>216000</v>
      </c>
      <c r="H66" s="137"/>
      <c r="I66" s="137"/>
    </row>
    <row r="67" spans="2:9">
      <c r="B67" s="133" t="s">
        <v>550</v>
      </c>
      <c r="C67" s="134">
        <f>72*(C64+C65)</f>
        <v>93.600000000000009</v>
      </c>
      <c r="D67" s="135" t="str">
        <f>VLOOKUP(B67,BD!$B$4:$D$290,2,FALSE)</f>
        <v>$/m³.km</v>
      </c>
      <c r="E67" s="136">
        <f>VLOOKUP(B67,BD!$B$4:$D$290,3,FALSE)</f>
        <v>1400</v>
      </c>
      <c r="F67" s="137"/>
      <c r="G67" s="137"/>
      <c r="H67" s="137"/>
      <c r="I67" s="137">
        <f>+E67*C67</f>
        <v>131040.00000000001</v>
      </c>
    </row>
    <row r="68" spans="2:9">
      <c r="B68" s="133" t="s">
        <v>873</v>
      </c>
      <c r="C68" s="134">
        <v>50</v>
      </c>
      <c r="D68" s="135" t="str">
        <f>VLOOKUP(B68,BD!$B$4:$D$290,2,FALSE)</f>
        <v>lt</v>
      </c>
      <c r="E68" s="136">
        <f>VLOOKUP(B68,BD!$B$4:$D$290,3,FALSE)</f>
        <v>50</v>
      </c>
      <c r="F68" s="137"/>
      <c r="G68" s="137">
        <f>+E68*C68</f>
        <v>2500</v>
      </c>
      <c r="H68" s="137"/>
      <c r="I68" s="137"/>
    </row>
    <row r="69" spans="2:9">
      <c r="B69" s="171" t="s">
        <v>512</v>
      </c>
      <c r="C69" s="134">
        <v>0.4</v>
      </c>
      <c r="D69" s="135" t="str">
        <f>VLOOKUP(B69,BD!$B$4:$D$290,2,FALSE)</f>
        <v>día</v>
      </c>
      <c r="E69" s="136">
        <f>VLOOKUP(B69,BD!$B$4:$D$290,3,FALSE)</f>
        <v>130962.00000000003</v>
      </c>
      <c r="F69" s="137"/>
      <c r="G69" s="137"/>
      <c r="H69" s="137">
        <f>+E69*C69</f>
        <v>52384.800000000017</v>
      </c>
      <c r="I69" s="137"/>
    </row>
    <row r="70" spans="2:9">
      <c r="B70" s="171" t="s">
        <v>519</v>
      </c>
      <c r="C70" s="134">
        <v>1</v>
      </c>
      <c r="D70" s="135" t="str">
        <f>VLOOKUP(B70,BD!$B$4:$D$290,2,FALSE)</f>
        <v>día</v>
      </c>
      <c r="E70" s="136">
        <f>VLOOKUP(B70,BD!$B$4:$D$290,3,FALSE)</f>
        <v>87308.000000000015</v>
      </c>
      <c r="F70" s="137"/>
      <c r="G70" s="137"/>
      <c r="H70" s="137">
        <f>+E70*C70</f>
        <v>87308.000000000015</v>
      </c>
      <c r="I70" s="137"/>
    </row>
    <row r="71" spans="2:9">
      <c r="B71" s="138" t="s">
        <v>7</v>
      </c>
      <c r="C71" s="138" t="s">
        <v>504</v>
      </c>
      <c r="D71" s="143"/>
      <c r="E71" s="144"/>
      <c r="F71" s="149">
        <f>SUM(F62:F70)</f>
        <v>28000</v>
      </c>
      <c r="G71" s="149">
        <f t="shared" ref="G71:I71" si="4">SUM(G62:G70)</f>
        <v>362881.25</v>
      </c>
      <c r="H71" s="149">
        <f t="shared" si="4"/>
        <v>139692.80000000005</v>
      </c>
      <c r="I71" s="149">
        <f t="shared" si="4"/>
        <v>138024.64000000001</v>
      </c>
    </row>
    <row r="72" spans="2:9">
      <c r="B72" s="141">
        <f>SUM(F71:I71)</f>
        <v>668598.69000000006</v>
      </c>
      <c r="C72" s="142" t="s">
        <v>520</v>
      </c>
      <c r="D72" s="143"/>
      <c r="E72" s="144"/>
      <c r="F72" s="144"/>
      <c r="G72" s="144"/>
      <c r="H72" s="144"/>
      <c r="I72" s="144"/>
    </row>
    <row r="74" spans="2:9">
      <c r="B74" s="1725" t="s">
        <v>878</v>
      </c>
      <c r="C74" s="1725"/>
      <c r="D74" s="1725"/>
      <c r="E74" s="1725"/>
      <c r="F74" s="1725"/>
      <c r="G74" s="1725"/>
      <c r="H74" s="1725"/>
      <c r="I74" s="1725"/>
    </row>
    <row r="75" spans="2:9">
      <c r="C75" s="148" t="s">
        <v>491</v>
      </c>
      <c r="D75" s="148" t="s">
        <v>492</v>
      </c>
      <c r="E75" s="149" t="s">
        <v>493</v>
      </c>
      <c r="F75" s="149" t="s">
        <v>494</v>
      </c>
      <c r="G75" s="149" t="s">
        <v>360</v>
      </c>
      <c r="H75" s="149" t="s">
        <v>495</v>
      </c>
      <c r="I75" s="149" t="s">
        <v>496</v>
      </c>
    </row>
    <row r="76" spans="2:9">
      <c r="B76" s="170" t="s">
        <v>869</v>
      </c>
      <c r="C76" s="134">
        <v>0.35</v>
      </c>
      <c r="D76" s="135" t="str">
        <f>VLOOKUP(B76,BD!$B$4:$D$290,2,FALSE)</f>
        <v>día</v>
      </c>
      <c r="E76" s="136">
        <f>VLOOKUP(B76,BD!$B$4:$D$290,3,FALSE)</f>
        <v>80000</v>
      </c>
      <c r="F76" s="137">
        <f>+E76*C76</f>
        <v>28000</v>
      </c>
      <c r="G76" s="137"/>
      <c r="H76" s="137"/>
      <c r="I76" s="137"/>
    </row>
    <row r="77" spans="2:9">
      <c r="B77" s="133" t="s">
        <v>497</v>
      </c>
      <c r="C77" s="134">
        <v>1</v>
      </c>
      <c r="D77" s="135" t="s">
        <v>498</v>
      </c>
      <c r="E77" s="136">
        <f>0.05*H85</f>
        <v>6984.6400000000031</v>
      </c>
      <c r="F77" s="137"/>
      <c r="G77" s="137"/>
      <c r="H77" s="137"/>
      <c r="I77" s="137">
        <f>+E77*C77</f>
        <v>6984.6400000000031</v>
      </c>
    </row>
    <row r="78" spans="2:9">
      <c r="B78" s="133" t="s">
        <v>870</v>
      </c>
      <c r="C78" s="134">
        <v>0.83</v>
      </c>
      <c r="D78" s="135" t="str">
        <f>VLOOKUP(B78,BD!$B$4:$D$290,2,FALSE)</f>
        <v>m³</v>
      </c>
      <c r="E78" s="136">
        <f>VLOOKUP(B78,BD!$B$4:$D$290,3,FALSE)</f>
        <v>99555</v>
      </c>
      <c r="F78" s="137"/>
      <c r="G78" s="137">
        <f>+E78*C78</f>
        <v>82630.649999999994</v>
      </c>
      <c r="H78" s="137"/>
      <c r="I78" s="137"/>
    </row>
    <row r="79" spans="2:9">
      <c r="B79" s="133" t="s">
        <v>871</v>
      </c>
      <c r="C79" s="134">
        <v>0.47</v>
      </c>
      <c r="D79" s="135" t="str">
        <f>VLOOKUP(B79,BD!$B$4:$D$290,2,FALSE)</f>
        <v>m³</v>
      </c>
      <c r="E79" s="136">
        <f>VLOOKUP(B79,BD!$B$4:$D$290,3,FALSE)</f>
        <v>122570</v>
      </c>
      <c r="F79" s="137"/>
      <c r="G79" s="137">
        <f>+E79*C79</f>
        <v>57607.899999999994</v>
      </c>
      <c r="H79" s="137"/>
      <c r="I79" s="137"/>
    </row>
    <row r="80" spans="2:9">
      <c r="B80" s="133" t="s">
        <v>872</v>
      </c>
      <c r="C80" s="134">
        <f>6*1.05</f>
        <v>6.3000000000000007</v>
      </c>
      <c r="D80" s="135" t="str">
        <f>VLOOKUP(B80,BD!$B$4:$D$290,2,FALSE)</f>
        <v>saco</v>
      </c>
      <c r="E80" s="136">
        <f>VLOOKUP(B80,BD!$B$4:$D$290,3,FALSE)</f>
        <v>36000</v>
      </c>
      <c r="F80" s="137"/>
      <c r="G80" s="137">
        <f>+E80*C80</f>
        <v>226800.00000000003</v>
      </c>
      <c r="H80" s="137"/>
      <c r="I80" s="137"/>
    </row>
    <row r="81" spans="2:9">
      <c r="B81" s="133" t="s">
        <v>550</v>
      </c>
      <c r="C81" s="134">
        <f>72*(C78+C79)</f>
        <v>93.6</v>
      </c>
      <c r="D81" s="135" t="str">
        <f>VLOOKUP(B81,BD!$B$4:$D$290,2,FALSE)</f>
        <v>$/m³.km</v>
      </c>
      <c r="E81" s="136">
        <f>VLOOKUP(B81,BD!$B$4:$D$290,3,FALSE)</f>
        <v>1400</v>
      </c>
      <c r="F81" s="137"/>
      <c r="G81" s="137"/>
      <c r="H81" s="137"/>
      <c r="I81" s="137">
        <f>+E81*C81</f>
        <v>131039.99999999999</v>
      </c>
    </row>
    <row r="82" spans="2:9">
      <c r="B82" s="133" t="s">
        <v>873</v>
      </c>
      <c r="C82" s="134">
        <v>60</v>
      </c>
      <c r="D82" s="135" t="str">
        <f>VLOOKUP(B82,BD!$B$4:$D$290,2,FALSE)</f>
        <v>lt</v>
      </c>
      <c r="E82" s="136">
        <f>VLOOKUP(B82,BD!$B$4:$D$290,3,FALSE)</f>
        <v>50</v>
      </c>
      <c r="F82" s="137"/>
      <c r="G82" s="137">
        <f>+E82*C82</f>
        <v>3000</v>
      </c>
      <c r="H82" s="137"/>
      <c r="I82" s="137"/>
    </row>
    <row r="83" spans="2:9">
      <c r="B83" s="171" t="s">
        <v>512</v>
      </c>
      <c r="C83" s="134">
        <v>0.4</v>
      </c>
      <c r="D83" s="135" t="str">
        <f>VLOOKUP(B83,BD!$B$4:$D$290,2,FALSE)</f>
        <v>día</v>
      </c>
      <c r="E83" s="136">
        <f>VLOOKUP(B83,BD!$B$4:$D$290,3,FALSE)</f>
        <v>130962.00000000003</v>
      </c>
      <c r="F83" s="137"/>
      <c r="G83" s="137"/>
      <c r="H83" s="137">
        <f>+E83*C83</f>
        <v>52384.800000000017</v>
      </c>
      <c r="I83" s="137"/>
    </row>
    <row r="84" spans="2:9">
      <c r="B84" s="171" t="s">
        <v>519</v>
      </c>
      <c r="C84" s="134">
        <v>1</v>
      </c>
      <c r="D84" s="135" t="str">
        <f>VLOOKUP(B84,BD!$B$4:$D$290,2,FALSE)</f>
        <v>día</v>
      </c>
      <c r="E84" s="136">
        <f>VLOOKUP(B84,BD!$B$4:$D$290,3,FALSE)</f>
        <v>87308.000000000015</v>
      </c>
      <c r="F84" s="137"/>
      <c r="G84" s="137"/>
      <c r="H84" s="137">
        <f>+E84*C84</f>
        <v>87308.000000000015</v>
      </c>
      <c r="I84" s="137"/>
    </row>
    <row r="85" spans="2:9">
      <c r="B85" s="138" t="s">
        <v>7</v>
      </c>
      <c r="C85" s="138" t="s">
        <v>504</v>
      </c>
      <c r="D85" s="143"/>
      <c r="E85" s="144"/>
      <c r="F85" s="149">
        <f>SUM(F76:F84)</f>
        <v>28000</v>
      </c>
      <c r="G85" s="149">
        <f t="shared" ref="G85:I85" si="5">SUM(G76:G84)</f>
        <v>370038.55000000005</v>
      </c>
      <c r="H85" s="149">
        <f t="shared" si="5"/>
        <v>139692.80000000005</v>
      </c>
      <c r="I85" s="149">
        <f t="shared" si="5"/>
        <v>138024.63999999998</v>
      </c>
    </row>
    <row r="86" spans="2:9">
      <c r="B86" s="141">
        <f>SUM(F85:I85)</f>
        <v>675755.99000000011</v>
      </c>
      <c r="C86" s="142" t="s">
        <v>520</v>
      </c>
      <c r="D86" s="143"/>
      <c r="E86" s="144"/>
      <c r="F86" s="144"/>
      <c r="G86" s="144"/>
      <c r="H86" s="144"/>
      <c r="I86" s="144"/>
    </row>
    <row r="88" spans="2:9">
      <c r="B88" s="1725" t="s">
        <v>879</v>
      </c>
      <c r="C88" s="1725"/>
      <c r="D88" s="1725"/>
      <c r="E88" s="1725"/>
      <c r="F88" s="1725"/>
      <c r="G88" s="1725"/>
      <c r="H88" s="1725"/>
      <c r="I88" s="1725"/>
    </row>
    <row r="89" spans="2:9">
      <c r="C89" s="148" t="s">
        <v>491</v>
      </c>
      <c r="D89" s="148" t="s">
        <v>492</v>
      </c>
      <c r="E89" s="149" t="s">
        <v>493</v>
      </c>
      <c r="F89" s="149" t="s">
        <v>494</v>
      </c>
      <c r="G89" s="149" t="s">
        <v>360</v>
      </c>
      <c r="H89" s="149" t="s">
        <v>495</v>
      </c>
      <c r="I89" s="149" t="s">
        <v>496</v>
      </c>
    </row>
    <row r="90" spans="2:9">
      <c r="B90" s="170" t="s">
        <v>869</v>
      </c>
      <c r="C90" s="134">
        <v>0.35</v>
      </c>
      <c r="D90" s="135" t="str">
        <f>VLOOKUP(B90,BD!$B$4:$D$290,2,FALSE)</f>
        <v>día</v>
      </c>
      <c r="E90" s="136">
        <f>VLOOKUP(B90,BD!$B$4:$D$290,3,FALSE)</f>
        <v>80000</v>
      </c>
      <c r="F90" s="137">
        <f>+E90*C90</f>
        <v>28000</v>
      </c>
      <c r="G90" s="137"/>
      <c r="H90" s="137"/>
      <c r="I90" s="137"/>
    </row>
    <row r="91" spans="2:9">
      <c r="B91" s="133" t="s">
        <v>497</v>
      </c>
      <c r="C91" s="134">
        <v>1</v>
      </c>
      <c r="D91" s="135" t="s">
        <v>498</v>
      </c>
      <c r="E91" s="136">
        <f>0.05*H99</f>
        <v>6984.6400000000031</v>
      </c>
      <c r="F91" s="137"/>
      <c r="G91" s="137"/>
      <c r="H91" s="137"/>
      <c r="I91" s="137">
        <f>+E91*C91</f>
        <v>6984.6400000000031</v>
      </c>
    </row>
    <row r="92" spans="2:9">
      <c r="B92" s="133" t="s">
        <v>870</v>
      </c>
      <c r="C92" s="134">
        <v>0.78</v>
      </c>
      <c r="D92" s="135" t="str">
        <f>VLOOKUP(B92,BD!$B$4:$D$290,2,FALSE)</f>
        <v>m³</v>
      </c>
      <c r="E92" s="136">
        <f>VLOOKUP(B92,BD!$B$4:$D$290,3,FALSE)</f>
        <v>99555</v>
      </c>
      <c r="F92" s="137"/>
      <c r="G92" s="137">
        <f>+E92*C92</f>
        <v>77652.900000000009</v>
      </c>
      <c r="H92" s="137"/>
      <c r="I92" s="137"/>
    </row>
    <row r="93" spans="2:9">
      <c r="B93" s="133" t="s">
        <v>871</v>
      </c>
      <c r="C93" s="134">
        <v>0.52</v>
      </c>
      <c r="D93" s="135" t="str">
        <f>VLOOKUP(B93,BD!$B$4:$D$290,2,FALSE)</f>
        <v>m³</v>
      </c>
      <c r="E93" s="136">
        <f>VLOOKUP(B93,BD!$B$4:$D$290,3,FALSE)</f>
        <v>122570</v>
      </c>
      <c r="F93" s="137"/>
      <c r="G93" s="137">
        <f>+E93*C93</f>
        <v>63736.4</v>
      </c>
      <c r="H93" s="137"/>
      <c r="I93" s="137"/>
    </row>
    <row r="94" spans="2:9">
      <c r="B94" s="133" t="s">
        <v>872</v>
      </c>
      <c r="C94" s="172">
        <f>7.5*1.05</f>
        <v>7.875</v>
      </c>
      <c r="D94" s="135" t="str">
        <f>VLOOKUP(B94,BD!$B$4:$D$290,2,FALSE)</f>
        <v>saco</v>
      </c>
      <c r="E94" s="136">
        <f>VLOOKUP(B94,BD!$B$4:$D$290,3,FALSE)</f>
        <v>36000</v>
      </c>
      <c r="F94" s="137"/>
      <c r="G94" s="137">
        <f>+E94*C94</f>
        <v>283500</v>
      </c>
      <c r="H94" s="137"/>
      <c r="I94" s="137"/>
    </row>
    <row r="95" spans="2:9">
      <c r="B95" s="133" t="s">
        <v>550</v>
      </c>
      <c r="C95" s="134">
        <f>72*(C92+C93)</f>
        <v>93.600000000000009</v>
      </c>
      <c r="D95" s="135" t="str">
        <f>VLOOKUP(B95,BD!$B$4:$D$290,2,FALSE)</f>
        <v>$/m³.km</v>
      </c>
      <c r="E95" s="136">
        <f>VLOOKUP(B95,BD!$B$4:$D$290,3,FALSE)</f>
        <v>1400</v>
      </c>
      <c r="F95" s="137"/>
      <c r="G95" s="137"/>
      <c r="H95" s="137"/>
      <c r="I95" s="137">
        <f>+E95*C95</f>
        <v>131040.00000000001</v>
      </c>
    </row>
    <row r="96" spans="2:9">
      <c r="B96" s="133" t="s">
        <v>873</v>
      </c>
      <c r="C96" s="134">
        <v>158</v>
      </c>
      <c r="D96" s="135" t="str">
        <f>VLOOKUP(B96,BD!$B$4:$D$290,2,FALSE)</f>
        <v>lt</v>
      </c>
      <c r="E96" s="136">
        <f>VLOOKUP(B96,BD!$B$4:$D$290,3,FALSE)</f>
        <v>50</v>
      </c>
      <c r="F96" s="137"/>
      <c r="G96" s="137">
        <f>+E96*C96</f>
        <v>7900</v>
      </c>
      <c r="H96" s="137"/>
      <c r="I96" s="137"/>
    </row>
    <row r="97" spans="2:9">
      <c r="B97" s="171" t="s">
        <v>512</v>
      </c>
      <c r="C97" s="134">
        <v>0.4</v>
      </c>
      <c r="D97" s="135" t="str">
        <f>VLOOKUP(B97,BD!$B$4:$D$290,2,FALSE)</f>
        <v>día</v>
      </c>
      <c r="E97" s="136">
        <f>VLOOKUP(B97,BD!$B$4:$D$290,3,FALSE)</f>
        <v>130962.00000000003</v>
      </c>
      <c r="F97" s="137"/>
      <c r="G97" s="137"/>
      <c r="H97" s="137">
        <f>+E97*C97</f>
        <v>52384.800000000017</v>
      </c>
      <c r="I97" s="137"/>
    </row>
    <row r="98" spans="2:9">
      <c r="B98" s="171" t="s">
        <v>519</v>
      </c>
      <c r="C98" s="134">
        <v>1</v>
      </c>
      <c r="D98" s="135" t="str">
        <f>VLOOKUP(B98,BD!$B$4:$D$290,2,FALSE)</f>
        <v>día</v>
      </c>
      <c r="E98" s="136">
        <f>VLOOKUP(B98,BD!$B$4:$D$290,3,FALSE)</f>
        <v>87308.000000000015</v>
      </c>
      <c r="F98" s="137"/>
      <c r="G98" s="137"/>
      <c r="H98" s="137">
        <f>+E98*C98</f>
        <v>87308.000000000015</v>
      </c>
      <c r="I98" s="137"/>
    </row>
    <row r="99" spans="2:9">
      <c r="B99" s="138" t="s">
        <v>7</v>
      </c>
      <c r="C99" s="138" t="s">
        <v>504</v>
      </c>
      <c r="D99" s="143"/>
      <c r="E99" s="144"/>
      <c r="F99" s="149">
        <f>SUM(F90:F98)</f>
        <v>28000</v>
      </c>
      <c r="G99" s="149">
        <f t="shared" ref="G99:I99" si="6">SUM(G90:G98)</f>
        <v>432789.30000000005</v>
      </c>
      <c r="H99" s="149">
        <f t="shared" si="6"/>
        <v>139692.80000000005</v>
      </c>
      <c r="I99" s="149">
        <f t="shared" si="6"/>
        <v>138024.64000000001</v>
      </c>
    </row>
    <row r="100" spans="2:9">
      <c r="B100" s="141">
        <f>SUM(F99:I99)</f>
        <v>738506.74000000011</v>
      </c>
      <c r="C100" s="142" t="s">
        <v>520</v>
      </c>
      <c r="D100" s="143"/>
      <c r="E100" s="144"/>
      <c r="F100" s="144"/>
      <c r="G100" s="144"/>
      <c r="H100" s="144"/>
      <c r="I100" s="144"/>
    </row>
    <row r="102" spans="2:9">
      <c r="B102" s="1725" t="s">
        <v>880</v>
      </c>
      <c r="C102" s="1725"/>
      <c r="D102" s="1725"/>
      <c r="E102" s="1725"/>
      <c r="F102" s="1725"/>
      <c r="G102" s="1725"/>
      <c r="H102" s="1725"/>
      <c r="I102" s="1725"/>
    </row>
    <row r="103" spans="2:9">
      <c r="C103" s="148" t="s">
        <v>491</v>
      </c>
      <c r="D103" s="148" t="s">
        <v>492</v>
      </c>
      <c r="E103" s="149" t="s">
        <v>493</v>
      </c>
      <c r="F103" s="149" t="s">
        <v>494</v>
      </c>
      <c r="G103" s="149" t="s">
        <v>360</v>
      </c>
      <c r="H103" s="149" t="s">
        <v>495</v>
      </c>
      <c r="I103" s="149" t="s">
        <v>496</v>
      </c>
    </row>
    <row r="104" spans="2:9">
      <c r="B104" s="170" t="s">
        <v>869</v>
      </c>
      <c r="C104" s="134">
        <v>0.35</v>
      </c>
      <c r="D104" s="135" t="str">
        <f>VLOOKUP(B104,BD!$B$4:$D$290,2,FALSE)</f>
        <v>día</v>
      </c>
      <c r="E104" s="136">
        <f>VLOOKUP(B104,BD!$B$4:$D$290,3,FALSE)</f>
        <v>80000</v>
      </c>
      <c r="F104" s="137">
        <f>+E104*C104</f>
        <v>28000</v>
      </c>
      <c r="G104" s="137"/>
      <c r="H104" s="137"/>
      <c r="I104" s="137"/>
    </row>
    <row r="105" spans="2:9">
      <c r="B105" s="133" t="s">
        <v>497</v>
      </c>
      <c r="C105" s="134">
        <v>1</v>
      </c>
      <c r="D105" s="135" t="s">
        <v>498</v>
      </c>
      <c r="E105" s="136">
        <f>0.05*H113</f>
        <v>6984.6400000000031</v>
      </c>
      <c r="F105" s="137"/>
      <c r="G105" s="137"/>
      <c r="H105" s="137"/>
      <c r="I105" s="137">
        <f>+E105*C105</f>
        <v>6984.6400000000031</v>
      </c>
    </row>
    <row r="106" spans="2:9">
      <c r="B106" s="133" t="s">
        <v>870</v>
      </c>
      <c r="C106" s="134">
        <v>0.65</v>
      </c>
      <c r="D106" s="135" t="str">
        <f>VLOOKUP(B106,BD!$B$4:$D$290,2,FALSE)</f>
        <v>m³</v>
      </c>
      <c r="E106" s="136">
        <f>VLOOKUP(B106,BD!$B$4:$D$290,3,FALSE)</f>
        <v>99555</v>
      </c>
      <c r="F106" s="137"/>
      <c r="G106" s="137">
        <f>+E106*C106</f>
        <v>64710.75</v>
      </c>
      <c r="H106" s="137"/>
      <c r="I106" s="137"/>
    </row>
    <row r="107" spans="2:9">
      <c r="B107" s="133" t="s">
        <v>871</v>
      </c>
      <c r="C107" s="134">
        <v>0.65</v>
      </c>
      <c r="D107" s="135" t="str">
        <f>VLOOKUP(B107,BD!$B$4:$D$290,2,FALSE)</f>
        <v>m³</v>
      </c>
      <c r="E107" s="136">
        <f>VLOOKUP(B107,BD!$B$4:$D$290,3,FALSE)</f>
        <v>122570</v>
      </c>
      <c r="F107" s="137"/>
      <c r="G107" s="137">
        <f>+E107*C107</f>
        <v>79670.5</v>
      </c>
      <c r="H107" s="137"/>
      <c r="I107" s="137"/>
    </row>
    <row r="108" spans="2:9">
      <c r="B108" s="133" t="s">
        <v>872</v>
      </c>
      <c r="C108" s="172">
        <f>7.75*1.05</f>
        <v>8.1375000000000011</v>
      </c>
      <c r="D108" s="135" t="str">
        <f>VLOOKUP(B108,BD!$B$4:$D$290,2,FALSE)</f>
        <v>saco</v>
      </c>
      <c r="E108" s="136">
        <f>VLOOKUP(B108,BD!$B$4:$D$290,3,FALSE)</f>
        <v>36000</v>
      </c>
      <c r="F108" s="137"/>
      <c r="G108" s="137">
        <f>+E108*C108</f>
        <v>292950.00000000006</v>
      </c>
      <c r="H108" s="137"/>
      <c r="I108" s="137"/>
    </row>
    <row r="109" spans="2:9">
      <c r="B109" s="133" t="s">
        <v>550</v>
      </c>
      <c r="C109" s="134">
        <f>72*(C106+C107)</f>
        <v>93.600000000000009</v>
      </c>
      <c r="D109" s="135" t="str">
        <f>VLOOKUP(B109,BD!$B$4:$D$290,2,FALSE)</f>
        <v>$/m³.km</v>
      </c>
      <c r="E109" s="136">
        <f>VLOOKUP(B109,BD!$B$4:$D$290,3,FALSE)</f>
        <v>1400</v>
      </c>
      <c r="F109" s="137"/>
      <c r="G109" s="137"/>
      <c r="H109" s="137"/>
      <c r="I109" s="137">
        <f>+E109*C109</f>
        <v>131040.00000000001</v>
      </c>
    </row>
    <row r="110" spans="2:9">
      <c r="B110" s="133" t="s">
        <v>873</v>
      </c>
      <c r="C110" s="134">
        <v>190</v>
      </c>
      <c r="D110" s="135" t="str">
        <f>VLOOKUP(B110,BD!$B$4:$D$290,2,FALSE)</f>
        <v>lt</v>
      </c>
      <c r="E110" s="136">
        <f>VLOOKUP(B110,BD!$B$4:$D$290,3,FALSE)</f>
        <v>50</v>
      </c>
      <c r="F110" s="137"/>
      <c r="G110" s="137">
        <f>+E110*C110</f>
        <v>9500</v>
      </c>
      <c r="H110" s="137"/>
      <c r="I110" s="137"/>
    </row>
    <row r="111" spans="2:9">
      <c r="B111" s="171" t="s">
        <v>512</v>
      </c>
      <c r="C111" s="134">
        <v>0.4</v>
      </c>
      <c r="D111" s="135" t="str">
        <f>VLOOKUP(B111,BD!$B$4:$D$290,2,FALSE)</f>
        <v>día</v>
      </c>
      <c r="E111" s="136">
        <f>VLOOKUP(B111,BD!$B$4:$D$290,3,FALSE)</f>
        <v>130962.00000000003</v>
      </c>
      <c r="F111" s="137"/>
      <c r="G111" s="137"/>
      <c r="H111" s="137">
        <f>+E111*C111</f>
        <v>52384.800000000017</v>
      </c>
      <c r="I111" s="137"/>
    </row>
    <row r="112" spans="2:9">
      <c r="B112" s="171" t="s">
        <v>519</v>
      </c>
      <c r="C112" s="134">
        <v>1</v>
      </c>
      <c r="D112" s="135" t="str">
        <f>VLOOKUP(B112,BD!$B$4:$D$290,2,FALSE)</f>
        <v>día</v>
      </c>
      <c r="E112" s="136">
        <f>VLOOKUP(B112,BD!$B$4:$D$290,3,FALSE)</f>
        <v>87308.000000000015</v>
      </c>
      <c r="F112" s="137"/>
      <c r="G112" s="137"/>
      <c r="H112" s="137">
        <f>+E112*C112</f>
        <v>87308.000000000015</v>
      </c>
      <c r="I112" s="137"/>
    </row>
    <row r="113" spans="2:9">
      <c r="B113" s="138" t="s">
        <v>7</v>
      </c>
      <c r="C113" s="138" t="s">
        <v>504</v>
      </c>
      <c r="D113" s="143"/>
      <c r="E113" s="144"/>
      <c r="F113" s="149">
        <f>SUM(F104:F112)</f>
        <v>28000</v>
      </c>
      <c r="G113" s="149">
        <f t="shared" ref="G113:I113" si="7">SUM(G104:G112)</f>
        <v>446831.25000000006</v>
      </c>
      <c r="H113" s="149">
        <f t="shared" si="7"/>
        <v>139692.80000000005</v>
      </c>
      <c r="I113" s="149">
        <f t="shared" si="7"/>
        <v>138024.64000000001</v>
      </c>
    </row>
    <row r="114" spans="2:9">
      <c r="B114" s="141">
        <f>SUM(F113:I113)</f>
        <v>752548.69000000006</v>
      </c>
      <c r="C114" s="142" t="s">
        <v>520</v>
      </c>
      <c r="D114" s="143"/>
      <c r="E114" s="144"/>
      <c r="F114" s="144"/>
      <c r="G114" s="144"/>
      <c r="H114" s="144"/>
      <c r="I114" s="144"/>
    </row>
    <row r="116" spans="2:9">
      <c r="B116" s="1725" t="s">
        <v>881</v>
      </c>
      <c r="C116" s="1725"/>
      <c r="D116" s="1725"/>
      <c r="E116" s="1725"/>
      <c r="F116" s="1725"/>
      <c r="G116" s="1725"/>
      <c r="H116" s="1725"/>
      <c r="I116" s="1725"/>
    </row>
    <row r="117" spans="2:9">
      <c r="C117" s="148" t="s">
        <v>491</v>
      </c>
      <c r="D117" s="148" t="s">
        <v>492</v>
      </c>
      <c r="E117" s="149" t="s">
        <v>493</v>
      </c>
      <c r="F117" s="149" t="s">
        <v>494</v>
      </c>
      <c r="G117" s="149" t="s">
        <v>360</v>
      </c>
      <c r="H117" s="149" t="s">
        <v>495</v>
      </c>
      <c r="I117" s="149" t="s">
        <v>496</v>
      </c>
    </row>
    <row r="118" spans="2:9">
      <c r="B118" s="133" t="s">
        <v>869</v>
      </c>
      <c r="C118" s="134">
        <v>0.35</v>
      </c>
      <c r="D118" s="135" t="str">
        <f>VLOOKUP(B118,BD!$B$4:$D$290,2,FALSE)</f>
        <v>día</v>
      </c>
      <c r="E118" s="136">
        <f>VLOOKUP(B118,BD!$B$4:$D$290,3,FALSE)</f>
        <v>80000</v>
      </c>
      <c r="F118" s="137">
        <f>+E118*C118</f>
        <v>28000</v>
      </c>
      <c r="G118" s="137"/>
      <c r="H118" s="137"/>
      <c r="I118" s="137"/>
    </row>
    <row r="119" spans="2:9">
      <c r="B119" s="133" t="s">
        <v>497</v>
      </c>
      <c r="C119" s="134">
        <v>1</v>
      </c>
      <c r="D119" s="135" t="s">
        <v>498</v>
      </c>
      <c r="E119" s="136">
        <f>0.05*H127</f>
        <v>6984.6400000000031</v>
      </c>
      <c r="F119" s="137"/>
      <c r="G119" s="137"/>
      <c r="H119" s="137"/>
      <c r="I119" s="137">
        <f>+E119*C119</f>
        <v>6984.6400000000031</v>
      </c>
    </row>
    <row r="120" spans="2:9">
      <c r="B120" s="133" t="s">
        <v>870</v>
      </c>
      <c r="C120" s="134">
        <v>0.65</v>
      </c>
      <c r="D120" s="135" t="str">
        <f>VLOOKUP(B120,BD!$B$4:$D$290,2,FALSE)</f>
        <v>m³</v>
      </c>
      <c r="E120" s="136">
        <f>VLOOKUP(B120,BD!$B$4:$D$290,3,FALSE)</f>
        <v>99555</v>
      </c>
      <c r="F120" s="137"/>
      <c r="G120" s="137">
        <f>+E120*C120</f>
        <v>64710.75</v>
      </c>
      <c r="H120" s="137"/>
      <c r="I120" s="137"/>
    </row>
    <row r="121" spans="2:9">
      <c r="B121" s="133" t="s">
        <v>871</v>
      </c>
      <c r="C121" s="134">
        <v>0.65</v>
      </c>
      <c r="D121" s="135" t="str">
        <f>VLOOKUP(B121,BD!$B$4:$D$290,2,FALSE)</f>
        <v>m³</v>
      </c>
      <c r="E121" s="136">
        <f>VLOOKUP(B121,BD!$B$4:$D$290,3,FALSE)</f>
        <v>122570</v>
      </c>
      <c r="F121" s="137"/>
      <c r="G121" s="137">
        <f>+E121*C121</f>
        <v>79670.5</v>
      </c>
      <c r="H121" s="137"/>
      <c r="I121" s="137"/>
    </row>
    <row r="122" spans="2:9">
      <c r="B122" s="133" t="s">
        <v>872</v>
      </c>
      <c r="C122" s="134">
        <f>8*1.05</f>
        <v>8.4</v>
      </c>
      <c r="D122" s="135" t="str">
        <f>VLOOKUP(B122,BD!$B$4:$D$290,2,FALSE)</f>
        <v>saco</v>
      </c>
      <c r="E122" s="136">
        <f>VLOOKUP(B122,BD!$B$4:$D$290,3,FALSE)</f>
        <v>36000</v>
      </c>
      <c r="F122" s="137"/>
      <c r="G122" s="137">
        <f>+E122*C122</f>
        <v>302400</v>
      </c>
      <c r="H122" s="137"/>
      <c r="I122" s="137"/>
    </row>
    <row r="123" spans="2:9">
      <c r="B123" s="133" t="s">
        <v>550</v>
      </c>
      <c r="C123" s="134">
        <f>72*(C120+C121)</f>
        <v>93.600000000000009</v>
      </c>
      <c r="D123" s="135" t="str">
        <f>VLOOKUP(B123,BD!$B$4:$D$290,2,FALSE)</f>
        <v>$/m³.km</v>
      </c>
      <c r="E123" s="136">
        <f>VLOOKUP(B123,BD!$B$4:$D$290,3,FALSE)</f>
        <v>1400</v>
      </c>
      <c r="F123" s="137"/>
      <c r="G123" s="137"/>
      <c r="H123" s="137"/>
      <c r="I123" s="137">
        <f>+E123*C123</f>
        <v>131040.00000000001</v>
      </c>
    </row>
    <row r="124" spans="2:9">
      <c r="B124" s="133" t="s">
        <v>873</v>
      </c>
      <c r="C124" s="134">
        <v>230</v>
      </c>
      <c r="D124" s="135" t="str">
        <f>VLOOKUP(B124,BD!$B$4:$D$290,2,FALSE)</f>
        <v>lt</v>
      </c>
      <c r="E124" s="136">
        <f>VLOOKUP(B124,BD!$B$4:$D$290,3,FALSE)</f>
        <v>50</v>
      </c>
      <c r="F124" s="137"/>
      <c r="G124" s="137">
        <f>+E124*C124</f>
        <v>11500</v>
      </c>
      <c r="H124" s="137"/>
      <c r="I124" s="137"/>
    </row>
    <row r="125" spans="2:9">
      <c r="B125" s="171" t="s">
        <v>512</v>
      </c>
      <c r="C125" s="134">
        <v>0.4</v>
      </c>
      <c r="D125" s="135" t="str">
        <f>VLOOKUP(B125,BD!$B$4:$D$290,2,FALSE)</f>
        <v>día</v>
      </c>
      <c r="E125" s="136">
        <f>VLOOKUP(B125,BD!$B$4:$D$290,3,FALSE)</f>
        <v>130962.00000000003</v>
      </c>
      <c r="F125" s="137"/>
      <c r="G125" s="137"/>
      <c r="H125" s="137">
        <f>+E125*C125</f>
        <v>52384.800000000017</v>
      </c>
      <c r="I125" s="137"/>
    </row>
    <row r="126" spans="2:9">
      <c r="B126" s="171" t="s">
        <v>519</v>
      </c>
      <c r="C126" s="134">
        <v>1</v>
      </c>
      <c r="D126" s="135" t="str">
        <f>VLOOKUP(B126,BD!$B$4:$D$290,2,FALSE)</f>
        <v>día</v>
      </c>
      <c r="E126" s="136">
        <f>VLOOKUP(B126,BD!$B$4:$D$290,3,FALSE)</f>
        <v>87308.000000000015</v>
      </c>
      <c r="F126" s="137"/>
      <c r="G126" s="137"/>
      <c r="H126" s="137">
        <f>+E126*C126</f>
        <v>87308.000000000015</v>
      </c>
      <c r="I126" s="137"/>
    </row>
    <row r="127" spans="2:9">
      <c r="B127" s="138" t="s">
        <v>7</v>
      </c>
      <c r="C127" s="138" t="s">
        <v>504</v>
      </c>
      <c r="D127" s="143"/>
      <c r="E127" s="144"/>
      <c r="F127" s="149">
        <f>SUM(F118:F126)</f>
        <v>28000</v>
      </c>
      <c r="G127" s="149">
        <f t="shared" ref="G127:I127" si="8">SUM(G118:G126)</f>
        <v>458281.25</v>
      </c>
      <c r="H127" s="149">
        <f t="shared" si="8"/>
        <v>139692.80000000005</v>
      </c>
      <c r="I127" s="149">
        <f t="shared" si="8"/>
        <v>138024.64000000001</v>
      </c>
    </row>
    <row r="128" spans="2:9">
      <c r="B128" s="141">
        <f>SUM(F127:I127)</f>
        <v>763998.69000000006</v>
      </c>
      <c r="C128" s="142" t="s">
        <v>520</v>
      </c>
      <c r="D128" s="143"/>
      <c r="E128" s="144"/>
      <c r="F128" s="144"/>
      <c r="G128" s="144"/>
      <c r="H128" s="144"/>
      <c r="I128" s="144"/>
    </row>
    <row r="130" spans="2:9">
      <c r="B130" s="1725" t="s">
        <v>559</v>
      </c>
      <c r="C130" s="1725"/>
      <c r="D130" s="1725"/>
      <c r="E130" s="1725"/>
      <c r="F130" s="1725"/>
      <c r="G130" s="1725"/>
      <c r="H130" s="1725"/>
      <c r="I130" s="1725"/>
    </row>
    <row r="131" spans="2:9">
      <c r="C131" s="148" t="s">
        <v>491</v>
      </c>
      <c r="D131" s="148" t="s">
        <v>492</v>
      </c>
      <c r="E131" s="149" t="s">
        <v>493</v>
      </c>
      <c r="F131" s="149" t="s">
        <v>494</v>
      </c>
      <c r="G131" s="149" t="s">
        <v>360</v>
      </c>
      <c r="H131" s="149" t="s">
        <v>495</v>
      </c>
      <c r="I131" s="149" t="s">
        <v>496</v>
      </c>
    </row>
    <row r="132" spans="2:9">
      <c r="B132" s="133" t="s">
        <v>882</v>
      </c>
      <c r="C132" s="134">
        <v>0.35</v>
      </c>
      <c r="D132" s="135" t="str">
        <f>VLOOKUP(B132,BD!$B$4:$D$290,2,FALSE)</f>
        <v>día</v>
      </c>
      <c r="E132" s="136">
        <f>VLOOKUP(B132,BD!$B$4:$D$290,3,FALSE)</f>
        <v>60000</v>
      </c>
      <c r="F132" s="137">
        <f>+E132*C132</f>
        <v>21000</v>
      </c>
      <c r="G132" s="137"/>
      <c r="H132" s="137"/>
      <c r="I132" s="137"/>
    </row>
    <row r="133" spans="2:9">
      <c r="B133" s="133" t="s">
        <v>883</v>
      </c>
      <c r="C133" s="134">
        <v>1.18</v>
      </c>
      <c r="D133" s="135" t="str">
        <f>VLOOKUP(B133,BD!$B$4:$D$290,2,FALSE)</f>
        <v>m³</v>
      </c>
      <c r="E133" s="136">
        <f>VLOOKUP(B133,BD!$B$4:$D$290,3,FALSE)</f>
        <v>55000</v>
      </c>
      <c r="F133" s="137"/>
      <c r="G133" s="137">
        <f>+E133*C133</f>
        <v>64900</v>
      </c>
      <c r="H133" s="137"/>
      <c r="I133" s="137"/>
    </row>
    <row r="134" spans="2:9">
      <c r="B134" s="133" t="s">
        <v>497</v>
      </c>
      <c r="C134" s="134">
        <v>1</v>
      </c>
      <c r="D134" s="135" t="s">
        <v>498</v>
      </c>
      <c r="E134" s="136">
        <f>0.05*H140</f>
        <v>6984.6400000000031</v>
      </c>
      <c r="F134" s="137"/>
      <c r="G134" s="137"/>
      <c r="H134" s="137"/>
      <c r="I134" s="137">
        <f>+E134*C134</f>
        <v>6984.6400000000031</v>
      </c>
    </row>
    <row r="135" spans="2:9">
      <c r="B135" s="133" t="s">
        <v>872</v>
      </c>
      <c r="C135" s="134">
        <v>9</v>
      </c>
      <c r="D135" s="135" t="str">
        <f>VLOOKUP(B135,BD!$B$4:$D$290,2,FALSE)</f>
        <v>saco</v>
      </c>
      <c r="E135" s="136">
        <f>VLOOKUP(B135,BD!$B$4:$D$290,3,FALSE)</f>
        <v>36000</v>
      </c>
      <c r="F135" s="137"/>
      <c r="G135" s="137">
        <f>+E135*C135</f>
        <v>324000</v>
      </c>
      <c r="H135" s="137"/>
      <c r="I135" s="137"/>
    </row>
    <row r="136" spans="2:9">
      <c r="B136" s="133" t="s">
        <v>550</v>
      </c>
      <c r="C136" s="134">
        <f>72*C133</f>
        <v>84.96</v>
      </c>
      <c r="D136" s="135" t="str">
        <f>VLOOKUP(B136,BD!$B$4:$D$290,2,FALSE)</f>
        <v>$/m³.km</v>
      </c>
      <c r="E136" s="136">
        <f>VLOOKUP(B136,BD!$B$4:$D$290,3,FALSE)</f>
        <v>1400</v>
      </c>
      <c r="F136" s="137"/>
      <c r="G136" s="137"/>
      <c r="H136" s="137"/>
      <c r="I136" s="137">
        <f>+E136*C136</f>
        <v>118943.99999999999</v>
      </c>
    </row>
    <row r="137" spans="2:9">
      <c r="B137" s="133" t="s">
        <v>873</v>
      </c>
      <c r="C137" s="134">
        <v>70</v>
      </c>
      <c r="D137" s="135" t="str">
        <f>VLOOKUP(B137,BD!$B$4:$D$290,2,FALSE)</f>
        <v>lt</v>
      </c>
      <c r="E137" s="136">
        <f>VLOOKUP(B137,BD!$B$4:$D$290,3,FALSE)</f>
        <v>50</v>
      </c>
      <c r="F137" s="137"/>
      <c r="G137" s="137">
        <f>+E137*C137</f>
        <v>3500</v>
      </c>
      <c r="H137" s="137"/>
      <c r="I137" s="137"/>
    </row>
    <row r="138" spans="2:9">
      <c r="B138" s="171" t="s">
        <v>512</v>
      </c>
      <c r="C138" s="134">
        <v>0.4</v>
      </c>
      <c r="D138" s="135" t="str">
        <f>VLOOKUP(B138,BD!$B$4:$D$290,2,FALSE)</f>
        <v>día</v>
      </c>
      <c r="E138" s="136">
        <f>VLOOKUP(B138,BD!$B$4:$D$290,3,FALSE)</f>
        <v>130962.00000000003</v>
      </c>
      <c r="F138" s="137"/>
      <c r="G138" s="137"/>
      <c r="H138" s="137">
        <f>+E138*C138</f>
        <v>52384.800000000017</v>
      </c>
      <c r="I138" s="137"/>
    </row>
    <row r="139" spans="2:9">
      <c r="B139" s="171" t="s">
        <v>519</v>
      </c>
      <c r="C139" s="134">
        <v>1</v>
      </c>
      <c r="D139" s="135" t="str">
        <f>VLOOKUP(B139,BD!$B$4:$D$290,2,FALSE)</f>
        <v>día</v>
      </c>
      <c r="E139" s="136">
        <f>VLOOKUP(B139,BD!$B$4:$D$290,3,FALSE)</f>
        <v>87308.000000000015</v>
      </c>
      <c r="F139" s="137"/>
      <c r="G139" s="137"/>
      <c r="H139" s="137">
        <f>+E139*C139</f>
        <v>87308.000000000015</v>
      </c>
      <c r="I139" s="137"/>
    </row>
    <row r="140" spans="2:9">
      <c r="B140" s="138" t="s">
        <v>7</v>
      </c>
      <c r="C140" s="138" t="s">
        <v>504</v>
      </c>
      <c r="D140" s="143"/>
      <c r="E140" s="144"/>
      <c r="F140" s="149">
        <f>SUM(F132:F139)</f>
        <v>21000</v>
      </c>
      <c r="G140" s="149">
        <f t="shared" ref="G140:I140" si="9">SUM(G132:G139)</f>
        <v>392400</v>
      </c>
      <c r="H140" s="149">
        <f t="shared" si="9"/>
        <v>139692.80000000005</v>
      </c>
      <c r="I140" s="149">
        <f t="shared" si="9"/>
        <v>125928.63999999998</v>
      </c>
    </row>
    <row r="141" spans="2:9">
      <c r="B141" s="141">
        <f>SUM(F140:I140)</f>
        <v>679021.44000000006</v>
      </c>
      <c r="C141" s="142" t="s">
        <v>520</v>
      </c>
      <c r="D141" s="143"/>
      <c r="E141" s="144"/>
      <c r="F141" s="144"/>
      <c r="G141" s="144"/>
      <c r="H141" s="144"/>
      <c r="I141" s="144"/>
    </row>
    <row r="143" spans="2:9">
      <c r="B143" s="1725" t="s">
        <v>884</v>
      </c>
      <c r="C143" s="1725"/>
      <c r="D143" s="1725"/>
      <c r="E143" s="1725"/>
      <c r="F143" s="1725"/>
      <c r="G143" s="1725"/>
      <c r="H143" s="1725"/>
      <c r="I143" s="1725"/>
    </row>
    <row r="144" spans="2:9">
      <c r="C144" s="148" t="s">
        <v>491</v>
      </c>
      <c r="D144" s="148" t="s">
        <v>492</v>
      </c>
      <c r="E144" s="149" t="s">
        <v>493</v>
      </c>
      <c r="F144" s="149" t="s">
        <v>494</v>
      </c>
      <c r="G144" s="149" t="s">
        <v>360</v>
      </c>
      <c r="H144" s="149" t="s">
        <v>495</v>
      </c>
      <c r="I144" s="149" t="s">
        <v>496</v>
      </c>
    </row>
    <row r="145" spans="2:9">
      <c r="B145" s="133" t="s">
        <v>882</v>
      </c>
      <c r="C145" s="134">
        <v>0.35</v>
      </c>
      <c r="D145" s="135" t="str">
        <f>VLOOKUP(B145,BD!$B$4:$D$290,2,FALSE)</f>
        <v>día</v>
      </c>
      <c r="E145" s="136">
        <f>VLOOKUP(B145,BD!$B$4:$D$290,3,FALSE)</f>
        <v>60000</v>
      </c>
      <c r="F145" s="137">
        <f>+E145*C145</f>
        <v>21000</v>
      </c>
      <c r="G145" s="137"/>
      <c r="H145" s="137"/>
      <c r="I145" s="137"/>
    </row>
    <row r="146" spans="2:9">
      <c r="B146" s="133" t="s">
        <v>883</v>
      </c>
      <c r="C146" s="134">
        <v>1.18</v>
      </c>
      <c r="D146" s="135" t="str">
        <f>VLOOKUP(B146,BD!$B$4:$D$290,2,FALSE)</f>
        <v>m³</v>
      </c>
      <c r="E146" s="136">
        <f>VLOOKUP(B146,BD!$B$4:$D$290,3,FALSE)</f>
        <v>55000</v>
      </c>
      <c r="F146" s="137"/>
      <c r="G146" s="137">
        <f>+E146*C146</f>
        <v>64900</v>
      </c>
      <c r="H146" s="137"/>
      <c r="I146" s="137"/>
    </row>
    <row r="147" spans="2:9">
      <c r="B147" s="133" t="s">
        <v>497</v>
      </c>
      <c r="C147" s="134">
        <v>1</v>
      </c>
      <c r="D147" s="135" t="s">
        <v>498</v>
      </c>
      <c r="E147" s="136">
        <f>0.05*H153</f>
        <v>6984.6400000000031</v>
      </c>
      <c r="F147" s="137"/>
      <c r="G147" s="137"/>
      <c r="H147" s="137"/>
      <c r="I147" s="137">
        <f>+E147*C147</f>
        <v>6984.6400000000031</v>
      </c>
    </row>
    <row r="148" spans="2:9">
      <c r="B148" s="133" t="s">
        <v>872</v>
      </c>
      <c r="C148" s="134">
        <f>7.2*1.05</f>
        <v>7.5600000000000005</v>
      </c>
      <c r="D148" s="135" t="str">
        <f>VLOOKUP(B148,BD!$B$4:$D$290,2,FALSE)</f>
        <v>saco</v>
      </c>
      <c r="E148" s="136">
        <f>VLOOKUP(B148,BD!$B$4:$D$290,3,FALSE)</f>
        <v>36000</v>
      </c>
      <c r="F148" s="137"/>
      <c r="G148" s="137">
        <f>+E148*C148</f>
        <v>272160</v>
      </c>
      <c r="H148" s="137"/>
      <c r="I148" s="137"/>
    </row>
    <row r="149" spans="2:9">
      <c r="B149" s="133" t="s">
        <v>550</v>
      </c>
      <c r="C149" s="134">
        <f>72*C146</f>
        <v>84.96</v>
      </c>
      <c r="D149" s="135" t="str">
        <f>VLOOKUP(B149,BD!$B$4:$D$290,2,FALSE)</f>
        <v>$/m³.km</v>
      </c>
      <c r="E149" s="136">
        <f>VLOOKUP(B149,BD!$B$4:$D$290,3,FALSE)</f>
        <v>1400</v>
      </c>
      <c r="F149" s="137"/>
      <c r="G149" s="137"/>
      <c r="H149" s="137"/>
      <c r="I149" s="137">
        <f>+E149*C149</f>
        <v>118943.99999999999</v>
      </c>
    </row>
    <row r="150" spans="2:9">
      <c r="B150" s="133" t="s">
        <v>873</v>
      </c>
      <c r="C150" s="134">
        <v>70</v>
      </c>
      <c r="D150" s="135" t="str">
        <f>VLOOKUP(B150,BD!$B$4:$D$290,2,FALSE)</f>
        <v>lt</v>
      </c>
      <c r="E150" s="136">
        <f>VLOOKUP(B150,BD!$B$4:$D$290,3,FALSE)</f>
        <v>50</v>
      </c>
      <c r="F150" s="137"/>
      <c r="G150" s="137">
        <f>+E150*C150</f>
        <v>3500</v>
      </c>
      <c r="H150" s="137"/>
      <c r="I150" s="137"/>
    </row>
    <row r="151" spans="2:9">
      <c r="B151" s="171" t="s">
        <v>512</v>
      </c>
      <c r="C151" s="134">
        <v>0.4</v>
      </c>
      <c r="D151" s="135" t="str">
        <f>VLOOKUP(B151,BD!$B$4:$D$290,2,FALSE)</f>
        <v>día</v>
      </c>
      <c r="E151" s="136">
        <f>VLOOKUP(B151,BD!$B$4:$D$290,3,FALSE)</f>
        <v>130962.00000000003</v>
      </c>
      <c r="F151" s="137"/>
      <c r="G151" s="137"/>
      <c r="H151" s="137">
        <f>+E151*C151</f>
        <v>52384.800000000017</v>
      </c>
      <c r="I151" s="137"/>
    </row>
    <row r="152" spans="2:9">
      <c r="B152" s="171" t="s">
        <v>519</v>
      </c>
      <c r="C152" s="134">
        <v>1</v>
      </c>
      <c r="D152" s="135" t="str">
        <f>VLOOKUP(B152,BD!$B$4:$D$290,2,FALSE)</f>
        <v>día</v>
      </c>
      <c r="E152" s="136">
        <f>VLOOKUP(B152,BD!$B$4:$D$290,3,FALSE)</f>
        <v>87308.000000000015</v>
      </c>
      <c r="F152" s="137"/>
      <c r="G152" s="137"/>
      <c r="H152" s="137">
        <f>+E152*C152</f>
        <v>87308.000000000015</v>
      </c>
      <c r="I152" s="137"/>
    </row>
    <row r="153" spans="2:9">
      <c r="B153" s="138" t="s">
        <v>7</v>
      </c>
      <c r="C153" s="138" t="s">
        <v>504</v>
      </c>
      <c r="D153" s="143"/>
      <c r="E153" s="144"/>
      <c r="F153" s="149">
        <f>SUM(F145:F152)</f>
        <v>21000</v>
      </c>
      <c r="G153" s="149">
        <f t="shared" ref="G153:I153" si="10">SUM(G145:G152)</f>
        <v>340560</v>
      </c>
      <c r="H153" s="149">
        <f t="shared" si="10"/>
        <v>139692.80000000005</v>
      </c>
      <c r="I153" s="149">
        <f t="shared" si="10"/>
        <v>125928.63999999998</v>
      </c>
    </row>
    <row r="154" spans="2:9">
      <c r="B154" s="141">
        <f>SUM(F153:I153)</f>
        <v>627181.44000000006</v>
      </c>
      <c r="C154" s="142" t="s">
        <v>520</v>
      </c>
      <c r="D154" s="143"/>
      <c r="E154" s="144"/>
      <c r="F154" s="144"/>
      <c r="G154" s="144"/>
      <c r="H154" s="144"/>
      <c r="I154" s="144"/>
    </row>
    <row r="156" spans="2:9">
      <c r="B156" s="1725" t="s">
        <v>885</v>
      </c>
      <c r="C156" s="1725"/>
      <c r="D156" s="1725"/>
      <c r="E156" s="1725"/>
      <c r="F156" s="1725"/>
      <c r="G156" s="1725"/>
      <c r="H156" s="1725"/>
      <c r="I156" s="1725"/>
    </row>
    <row r="157" spans="2:9">
      <c r="C157" s="148" t="s">
        <v>491</v>
      </c>
      <c r="D157" s="148" t="s">
        <v>492</v>
      </c>
      <c r="E157" s="149" t="s">
        <v>493</v>
      </c>
      <c r="F157" s="149" t="s">
        <v>494</v>
      </c>
      <c r="G157" s="149" t="s">
        <v>360</v>
      </c>
      <c r="H157" s="149" t="s">
        <v>495</v>
      </c>
      <c r="I157" s="149" t="s">
        <v>496</v>
      </c>
    </row>
    <row r="158" spans="2:9">
      <c r="B158" s="133" t="s">
        <v>882</v>
      </c>
      <c r="C158" s="134">
        <v>0.35</v>
      </c>
      <c r="D158" s="135" t="str">
        <f>VLOOKUP(B158,BD!$B$4:$D$290,2,FALSE)</f>
        <v>día</v>
      </c>
      <c r="E158" s="136">
        <f>VLOOKUP(B158,BD!$B$4:$D$290,3,FALSE)</f>
        <v>60000</v>
      </c>
      <c r="F158" s="137">
        <f>+E158*C158</f>
        <v>21000</v>
      </c>
      <c r="G158" s="137"/>
      <c r="H158" s="137"/>
      <c r="I158" s="137"/>
    </row>
    <row r="159" spans="2:9">
      <c r="B159" s="133" t="s">
        <v>883</v>
      </c>
      <c r="C159" s="134">
        <v>1.25</v>
      </c>
      <c r="D159" s="135" t="str">
        <f>VLOOKUP(B159,BD!$B$4:$D$290,2,FALSE)</f>
        <v>m³</v>
      </c>
      <c r="E159" s="136">
        <f>VLOOKUP(B159,BD!$B$4:$D$290,3,FALSE)</f>
        <v>55000</v>
      </c>
      <c r="F159" s="137"/>
      <c r="G159" s="137">
        <f>+E159*C159</f>
        <v>68750</v>
      </c>
      <c r="H159" s="137"/>
      <c r="I159" s="137"/>
    </row>
    <row r="160" spans="2:9">
      <c r="B160" s="133" t="s">
        <v>497</v>
      </c>
      <c r="C160" s="134">
        <v>1</v>
      </c>
      <c r="D160" s="135" t="s">
        <v>498</v>
      </c>
      <c r="E160" s="136">
        <f>0.05*H166</f>
        <v>6984.6400000000031</v>
      </c>
      <c r="F160" s="137"/>
      <c r="G160" s="137"/>
      <c r="H160" s="137"/>
      <c r="I160" s="137">
        <f>+E160*C160</f>
        <v>6984.6400000000031</v>
      </c>
    </row>
    <row r="161" spans="2:9">
      <c r="B161" s="133" t="s">
        <v>872</v>
      </c>
      <c r="C161" s="134">
        <f>4.2*1.05</f>
        <v>4.41</v>
      </c>
      <c r="D161" s="135" t="str">
        <f>VLOOKUP(B161,BD!$B$4:$D$290,2,FALSE)</f>
        <v>saco</v>
      </c>
      <c r="E161" s="136">
        <f>VLOOKUP(B161,BD!$B$4:$D$290,3,FALSE)</f>
        <v>36000</v>
      </c>
      <c r="F161" s="137"/>
      <c r="G161" s="137">
        <f>+E161*C161</f>
        <v>158760</v>
      </c>
      <c r="H161" s="137"/>
      <c r="I161" s="137"/>
    </row>
    <row r="162" spans="2:9">
      <c r="B162" s="133" t="s">
        <v>550</v>
      </c>
      <c r="C162" s="134">
        <f>72*C159</f>
        <v>90</v>
      </c>
      <c r="D162" s="135" t="str">
        <f>VLOOKUP(B162,BD!$B$4:$D$290,2,FALSE)</f>
        <v>$/m³.km</v>
      </c>
      <c r="E162" s="136">
        <f>VLOOKUP(B162,BD!$B$4:$D$290,3,FALSE)</f>
        <v>1400</v>
      </c>
      <c r="F162" s="137"/>
      <c r="G162" s="137"/>
      <c r="H162" s="137"/>
      <c r="I162" s="137">
        <f>+E162*C162</f>
        <v>126000</v>
      </c>
    </row>
    <row r="163" spans="2:9">
      <c r="B163" s="133" t="s">
        <v>873</v>
      </c>
      <c r="C163" s="134">
        <v>70</v>
      </c>
      <c r="D163" s="135" t="str">
        <f>VLOOKUP(B163,BD!$B$4:$D$290,2,FALSE)</f>
        <v>lt</v>
      </c>
      <c r="E163" s="136">
        <f>VLOOKUP(B163,BD!$B$4:$D$290,3,FALSE)</f>
        <v>50</v>
      </c>
      <c r="F163" s="137"/>
      <c r="G163" s="137">
        <f>+E163*C163</f>
        <v>3500</v>
      </c>
      <c r="H163" s="137"/>
      <c r="I163" s="137"/>
    </row>
    <row r="164" spans="2:9">
      <c r="B164" s="171" t="s">
        <v>512</v>
      </c>
      <c r="C164" s="134">
        <v>0.4</v>
      </c>
      <c r="D164" s="135" t="str">
        <f>VLOOKUP(B164,BD!$B$4:$D$290,2,FALSE)</f>
        <v>día</v>
      </c>
      <c r="E164" s="136">
        <f>VLOOKUP(B164,BD!$B$4:$D$290,3,FALSE)</f>
        <v>130962.00000000003</v>
      </c>
      <c r="F164" s="137"/>
      <c r="G164" s="137"/>
      <c r="H164" s="137">
        <f>+E164*C164</f>
        <v>52384.800000000017</v>
      </c>
      <c r="I164" s="137"/>
    </row>
    <row r="165" spans="2:9">
      <c r="B165" s="171" t="s">
        <v>519</v>
      </c>
      <c r="C165" s="134">
        <v>1</v>
      </c>
      <c r="D165" s="135" t="str">
        <f>VLOOKUP(B165,BD!$B$4:$D$290,2,FALSE)</f>
        <v>día</v>
      </c>
      <c r="E165" s="136">
        <f>VLOOKUP(B165,BD!$B$4:$D$290,3,FALSE)</f>
        <v>87308.000000000015</v>
      </c>
      <c r="F165" s="137"/>
      <c r="G165" s="137"/>
      <c r="H165" s="137">
        <f>+E165*C165</f>
        <v>87308.000000000015</v>
      </c>
      <c r="I165" s="137"/>
    </row>
    <row r="166" spans="2:9">
      <c r="B166" s="138" t="s">
        <v>7</v>
      </c>
      <c r="C166" s="138" t="s">
        <v>504</v>
      </c>
      <c r="D166" s="143"/>
      <c r="E166" s="144"/>
      <c r="F166" s="149">
        <f>SUM(F158:F165)</f>
        <v>21000</v>
      </c>
      <c r="G166" s="149">
        <f t="shared" ref="G166:I166" si="11">SUM(G158:G165)</f>
        <v>231010</v>
      </c>
      <c r="H166" s="149">
        <f t="shared" si="11"/>
        <v>139692.80000000005</v>
      </c>
      <c r="I166" s="149">
        <f t="shared" si="11"/>
        <v>132984.64000000001</v>
      </c>
    </row>
    <row r="167" spans="2:9">
      <c r="B167" s="141">
        <f>SUM(F166:I166)</f>
        <v>524687.44000000006</v>
      </c>
      <c r="C167" s="142" t="s">
        <v>520</v>
      </c>
      <c r="D167" s="143"/>
      <c r="E167" s="144"/>
      <c r="F167" s="144"/>
      <c r="G167" s="144"/>
      <c r="H167" s="144"/>
      <c r="I167" s="144"/>
    </row>
  </sheetData>
  <mergeCells count="13">
    <mergeCell ref="B143:I143"/>
    <mergeCell ref="B156:I156"/>
    <mergeCell ref="B60:I60"/>
    <mergeCell ref="B74:I74"/>
    <mergeCell ref="B88:I88"/>
    <mergeCell ref="B102:I102"/>
    <mergeCell ref="B116:I116"/>
    <mergeCell ref="B130:I130"/>
    <mergeCell ref="B2:I2"/>
    <mergeCell ref="B4:I4"/>
    <mergeCell ref="B18:I18"/>
    <mergeCell ref="B32:I32"/>
    <mergeCell ref="B46:I46"/>
  </mergeCells>
  <phoneticPr fontId="7" type="noConversion"/>
  <pageMargins left="0.7" right="0.7" top="0.75" bottom="0.75" header="0.3" footer="0.3"/>
  <pageSetup scale="5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B1:L161"/>
  <sheetViews>
    <sheetView zoomScale="90" zoomScaleNormal="90" workbookViewId="0">
      <selection activeCell="J52" sqref="J52"/>
    </sheetView>
  </sheetViews>
  <sheetFormatPr baseColWidth="10" defaultColWidth="11.42578125" defaultRowHeight="15"/>
  <cols>
    <col min="1" max="1" width="3.5703125" customWidth="1"/>
    <col min="2" max="2" width="71.85546875" customWidth="1"/>
    <col min="3" max="3" width="13.7109375" customWidth="1"/>
    <col min="4" max="4" width="16.85546875" customWidth="1"/>
    <col min="5" max="5" width="4.42578125" customWidth="1"/>
    <col min="6" max="8" width="3.5703125" style="30" hidden="1" customWidth="1"/>
    <col min="9" max="9" width="11.42578125" style="30" hidden="1" customWidth="1"/>
    <col min="11" max="11" width="17.28515625" customWidth="1"/>
    <col min="12" max="12" width="12.140625" customWidth="1"/>
  </cols>
  <sheetData>
    <row r="1" spans="2:9" ht="18" customHeight="1">
      <c r="E1" s="71"/>
    </row>
    <row r="2" spans="2:9" ht="18" customHeight="1">
      <c r="B2" s="1729" t="s">
        <v>886</v>
      </c>
      <c r="C2" s="1729"/>
      <c r="D2" s="1729"/>
      <c r="E2" s="71">
        <v>1</v>
      </c>
    </row>
    <row r="3" spans="2:9" ht="18" customHeight="1">
      <c r="B3" s="12" t="s">
        <v>887</v>
      </c>
      <c r="C3" s="12" t="s">
        <v>492</v>
      </c>
      <c r="D3" s="12" t="s">
        <v>493</v>
      </c>
    </row>
    <row r="4" spans="2:9" ht="18" customHeight="1">
      <c r="B4" s="14" t="s">
        <v>511</v>
      </c>
      <c r="C4" s="10" t="s">
        <v>505</v>
      </c>
      <c r="D4" s="66">
        <f>PREST!D5</f>
        <v>218270.00000000003</v>
      </c>
      <c r="F4" s="30">
        <f>COUNTIF('APU''S'!$B:$I,BD!B4)</f>
        <v>59</v>
      </c>
      <c r="G4" s="30">
        <f>COUNTIF('APU''S CONC'!$B:$I,BD!B4)</f>
        <v>0</v>
      </c>
      <c r="H4" s="30">
        <f>F4+G4</f>
        <v>59</v>
      </c>
      <c r="I4" s="30" t="str">
        <f>IF(H4&gt;=1,"USADO","")</f>
        <v>USADO</v>
      </c>
    </row>
    <row r="5" spans="2:9" ht="18" customHeight="1">
      <c r="B5" s="14" t="s">
        <v>512</v>
      </c>
      <c r="C5" s="10" t="s">
        <v>505</v>
      </c>
      <c r="D5" s="66">
        <f>PREST!D6</f>
        <v>130962.00000000003</v>
      </c>
      <c r="F5" s="30">
        <f>COUNTIF('APU''S'!$B:$I,BD!B5)</f>
        <v>61</v>
      </c>
      <c r="G5" s="30">
        <f>COUNTIF('APU''S CONC'!$B:$I,BD!B5)</f>
        <v>12</v>
      </c>
      <c r="H5" s="30">
        <f t="shared" ref="H5:H68" si="0">F5+G5</f>
        <v>73</v>
      </c>
      <c r="I5" s="30" t="str">
        <f t="shared" ref="I5:I68" si="1">IF(H5&gt;=1,"USADO","")</f>
        <v>USADO</v>
      </c>
    </row>
    <row r="6" spans="2:9" ht="18" customHeight="1">
      <c r="B6" s="14" t="s">
        <v>519</v>
      </c>
      <c r="C6" s="10" t="s">
        <v>505</v>
      </c>
      <c r="D6" s="66">
        <f>PREST!D7</f>
        <v>87308.000000000015</v>
      </c>
      <c r="F6" s="30">
        <f>COUNTIF('APU''S'!$B:$I,BD!B6)</f>
        <v>12</v>
      </c>
      <c r="G6" s="30">
        <f>COUNTIF('APU''S CONC'!$B:$I,BD!B6)</f>
        <v>12</v>
      </c>
      <c r="H6" s="30">
        <f t="shared" si="0"/>
        <v>24</v>
      </c>
      <c r="I6" s="30" t="str">
        <f t="shared" si="1"/>
        <v>USADO</v>
      </c>
    </row>
    <row r="7" spans="2:9" ht="18" customHeight="1">
      <c r="B7" s="14" t="s">
        <v>888</v>
      </c>
      <c r="C7" s="10" t="s">
        <v>505</v>
      </c>
      <c r="D7" s="66">
        <v>940000</v>
      </c>
      <c r="F7" s="30">
        <f>COUNTIF('APU''S'!$B:$I,BD!B7)</f>
        <v>0</v>
      </c>
      <c r="G7" s="30">
        <f>COUNTIF('APU''S CONC'!$B:$I,BD!B7)</f>
        <v>0</v>
      </c>
      <c r="H7" s="30">
        <f t="shared" si="0"/>
        <v>0</v>
      </c>
      <c r="I7" s="30" t="str">
        <f t="shared" si="1"/>
        <v/>
      </c>
    </row>
    <row r="8" spans="2:9" ht="18" customHeight="1">
      <c r="B8" s="14" t="s">
        <v>500</v>
      </c>
      <c r="C8" s="10" t="s">
        <v>505</v>
      </c>
      <c r="D8" s="66">
        <v>520000</v>
      </c>
    </row>
    <row r="9" spans="2:9" ht="17.25">
      <c r="B9" s="14" t="s">
        <v>501</v>
      </c>
      <c r="C9" s="10" t="s">
        <v>505</v>
      </c>
      <c r="D9" s="66">
        <v>87308.000000000015</v>
      </c>
    </row>
    <row r="10" spans="2:9" ht="18" customHeight="1">
      <c r="B10" s="14" t="s">
        <v>502</v>
      </c>
      <c r="C10" s="10" t="s">
        <v>505</v>
      </c>
      <c r="D10" s="66">
        <v>230000</v>
      </c>
    </row>
    <row r="11" spans="2:9" ht="18" customHeight="1">
      <c r="B11" s="14" t="s">
        <v>503</v>
      </c>
      <c r="C11" s="10" t="s">
        <v>505</v>
      </c>
      <c r="D11" s="66">
        <v>119325.88112444816</v>
      </c>
    </row>
    <row r="12" spans="2:9" ht="18" customHeight="1">
      <c r="B12" s="1726" t="s">
        <v>889</v>
      </c>
      <c r="C12" s="1727"/>
      <c r="D12" s="1728"/>
    </row>
    <row r="13" spans="2:9" ht="18" customHeight="1">
      <c r="B13" s="1512" t="s">
        <v>887</v>
      </c>
      <c r="C13" s="1512" t="s">
        <v>492</v>
      </c>
      <c r="D13" s="1512" t="s">
        <v>493</v>
      </c>
    </row>
    <row r="14" spans="2:9" ht="18" customHeight="1">
      <c r="B14" s="17" t="s">
        <v>587</v>
      </c>
      <c r="C14" s="10" t="s">
        <v>890</v>
      </c>
      <c r="D14" s="67">
        <v>9615</v>
      </c>
      <c r="F14" s="30">
        <f>COUNTIF('APU''S'!$B:$I,BD!B14)</f>
        <v>1</v>
      </c>
      <c r="G14" s="30">
        <f>COUNTIF('APU''S CONC'!$B:$I,BD!B14)</f>
        <v>0</v>
      </c>
      <c r="H14" s="30">
        <f t="shared" si="0"/>
        <v>1</v>
      </c>
      <c r="I14" s="30" t="str">
        <f t="shared" si="1"/>
        <v>USADO</v>
      </c>
    </row>
    <row r="15" spans="2:9" ht="18" customHeight="1">
      <c r="B15" s="17" t="s">
        <v>588</v>
      </c>
      <c r="C15" s="10" t="s">
        <v>890</v>
      </c>
      <c r="D15" s="67">
        <v>9615</v>
      </c>
      <c r="F15" s="30">
        <f>COUNTIF('APU''S'!$B:$I,BD!B15)</f>
        <v>1</v>
      </c>
      <c r="G15" s="30">
        <f>COUNTIF('APU''S CONC'!$B:$I,BD!B15)</f>
        <v>0</v>
      </c>
      <c r="H15" s="30">
        <f t="shared" si="0"/>
        <v>1</v>
      </c>
      <c r="I15" s="30" t="str">
        <f t="shared" si="1"/>
        <v>USADO</v>
      </c>
    </row>
    <row r="16" spans="2:9" ht="18" customHeight="1">
      <c r="B16" s="17" t="s">
        <v>580</v>
      </c>
      <c r="C16" s="10" t="s">
        <v>583</v>
      </c>
      <c r="D16" s="67">
        <f>(82500/(6*2.35))</f>
        <v>5851.0638297872338</v>
      </c>
      <c r="F16" s="30">
        <f>COUNTIF('APU''S'!$B:$I,BD!B16)</f>
        <v>1</v>
      </c>
      <c r="G16" s="30">
        <f>COUNTIF('APU''S CONC'!$B:$I,BD!B16)</f>
        <v>0</v>
      </c>
      <c r="H16" s="30">
        <f t="shared" si="0"/>
        <v>1</v>
      </c>
      <c r="I16" s="30" t="str">
        <f t="shared" si="1"/>
        <v>USADO</v>
      </c>
    </row>
    <row r="17" spans="2:9" ht="18" customHeight="1">
      <c r="B17" s="17" t="s">
        <v>560</v>
      </c>
      <c r="C17" s="10" t="s">
        <v>583</v>
      </c>
      <c r="D17" s="67">
        <f>(235650/(6*2.35))</f>
        <v>16712.765957446805</v>
      </c>
      <c r="F17" s="30">
        <f>COUNTIF('APU''S'!$B:$I,BD!B17)</f>
        <v>1</v>
      </c>
      <c r="G17" s="30">
        <f>COUNTIF('APU''S CONC'!$B:$I,BD!B17)</f>
        <v>0</v>
      </c>
      <c r="H17" s="30">
        <f t="shared" si="0"/>
        <v>1</v>
      </c>
      <c r="I17" s="30" t="str">
        <f t="shared" si="1"/>
        <v>USADO</v>
      </c>
    </row>
    <row r="18" spans="2:9" ht="18" customHeight="1">
      <c r="B18" s="1726" t="s">
        <v>891</v>
      </c>
      <c r="C18" s="1727"/>
      <c r="D18" s="1728"/>
    </row>
    <row r="19" spans="2:9" ht="18" customHeight="1">
      <c r="B19" s="1512" t="s">
        <v>887</v>
      </c>
      <c r="C19" s="1512" t="s">
        <v>492</v>
      </c>
      <c r="D19" s="1512" t="s">
        <v>493</v>
      </c>
    </row>
    <row r="20" spans="2:9" ht="18" customHeight="1">
      <c r="B20" s="19" t="s">
        <v>558</v>
      </c>
      <c r="C20" s="10" t="s">
        <v>520</v>
      </c>
      <c r="D20" s="67">
        <f>'APU''S CONC'!B128</f>
        <v>763998.69000000006</v>
      </c>
      <c r="F20" s="30">
        <f>COUNTIF('APU''S'!$B:$I,BD!B20)</f>
        <v>3</v>
      </c>
      <c r="G20" s="30">
        <f>COUNTIF('APU''S CONC'!$B:$I,BD!B20)</f>
        <v>0</v>
      </c>
      <c r="H20" s="30">
        <f t="shared" si="0"/>
        <v>3</v>
      </c>
      <c r="I20" s="30" t="str">
        <f t="shared" si="1"/>
        <v>USADO</v>
      </c>
    </row>
    <row r="21" spans="2:9" ht="18" customHeight="1">
      <c r="B21" s="16" t="s">
        <v>892</v>
      </c>
      <c r="C21" s="10" t="s">
        <v>520</v>
      </c>
      <c r="D21" s="67">
        <f>'APU''S CONC'!B114</f>
        <v>752548.69000000006</v>
      </c>
      <c r="F21" s="30">
        <f>COUNTIF('APU''S'!$B:$I,BD!B21)</f>
        <v>0</v>
      </c>
      <c r="G21" s="30">
        <f>COUNTIF('APU''S CONC'!$B:$I,BD!B21)</f>
        <v>0</v>
      </c>
      <c r="H21" s="30">
        <f t="shared" si="0"/>
        <v>0</v>
      </c>
      <c r="I21" s="30" t="str">
        <f t="shared" si="1"/>
        <v/>
      </c>
    </row>
    <row r="22" spans="2:9" ht="18" customHeight="1">
      <c r="B22" s="18" t="s">
        <v>573</v>
      </c>
      <c r="C22" s="10" t="s">
        <v>520</v>
      </c>
      <c r="D22" s="67">
        <f>'APU''S CONC'!B100</f>
        <v>738506.74000000011</v>
      </c>
      <c r="F22" s="30">
        <f>COUNTIF('APU''S'!$B:$I,BD!B22)</f>
        <v>2</v>
      </c>
      <c r="G22" s="30">
        <f>COUNTIF('APU''S CONC'!$B:$I,BD!B22)</f>
        <v>0</v>
      </c>
      <c r="H22" s="30">
        <f t="shared" si="0"/>
        <v>2</v>
      </c>
      <c r="I22" s="30" t="str">
        <f t="shared" si="1"/>
        <v>USADO</v>
      </c>
    </row>
    <row r="23" spans="2:9" ht="18" customHeight="1">
      <c r="B23" s="18" t="s">
        <v>510</v>
      </c>
      <c r="C23" s="10" t="s">
        <v>520</v>
      </c>
      <c r="D23" s="67">
        <f>'APU''S CONC'!B86</f>
        <v>675755.99000000011</v>
      </c>
      <c r="F23" s="30">
        <f>COUNTIF('APU''S'!$B:$I,BD!B23)</f>
        <v>1</v>
      </c>
      <c r="G23" s="30">
        <f>COUNTIF('APU''S CONC'!$B:$I,BD!B23)</f>
        <v>0</v>
      </c>
      <c r="H23" s="30">
        <f t="shared" si="0"/>
        <v>1</v>
      </c>
      <c r="I23" s="30" t="str">
        <f t="shared" si="1"/>
        <v>USADO</v>
      </c>
    </row>
    <row r="24" spans="2:9" ht="18" customHeight="1">
      <c r="B24" s="18" t="s">
        <v>893</v>
      </c>
      <c r="C24" s="10" t="s">
        <v>520</v>
      </c>
      <c r="D24" s="67">
        <f>'APU''S CONC'!B72</f>
        <v>668598.69000000006</v>
      </c>
      <c r="F24" s="30">
        <f>COUNTIF('APU''S'!$B:$I,BD!B24)</f>
        <v>0</v>
      </c>
      <c r="G24" s="30">
        <f>COUNTIF('APU''S CONC'!$B:$I,BD!B24)</f>
        <v>0</v>
      </c>
      <c r="H24" s="30">
        <f t="shared" si="0"/>
        <v>0</v>
      </c>
      <c r="I24" s="30" t="str">
        <f t="shared" si="1"/>
        <v/>
      </c>
    </row>
    <row r="25" spans="2:9" ht="18" customHeight="1">
      <c r="B25" s="18" t="s">
        <v>576</v>
      </c>
      <c r="C25" s="10" t="s">
        <v>520</v>
      </c>
      <c r="D25" s="67">
        <f>'APU''S CONC'!B58</f>
        <v>634146.44000000006</v>
      </c>
      <c r="F25" s="30">
        <f>COUNTIF('APU''S'!$B:$I,BD!B25)</f>
        <v>1</v>
      </c>
      <c r="G25" s="30">
        <f>COUNTIF('APU''S CONC'!$B:$I,BD!B25)</f>
        <v>0</v>
      </c>
      <c r="H25" s="30">
        <f t="shared" si="0"/>
        <v>1</v>
      </c>
      <c r="I25" s="30" t="str">
        <f t="shared" si="1"/>
        <v>USADO</v>
      </c>
    </row>
    <row r="26" spans="2:9" ht="18" customHeight="1">
      <c r="B26" s="18" t="s">
        <v>894</v>
      </c>
      <c r="C26" s="10" t="s">
        <v>520</v>
      </c>
      <c r="D26" s="67">
        <f>'APU''S CONC'!B44</f>
        <v>616134.64000000013</v>
      </c>
      <c r="F26" s="30">
        <f>COUNTIF('APU''S'!$B:$I,BD!B26)</f>
        <v>0</v>
      </c>
      <c r="G26" s="30">
        <f>COUNTIF('APU''S CONC'!$B:$I,BD!B26)</f>
        <v>0</v>
      </c>
      <c r="H26" s="30">
        <f t="shared" si="0"/>
        <v>0</v>
      </c>
      <c r="I26" s="30" t="str">
        <f t="shared" si="1"/>
        <v/>
      </c>
    </row>
    <row r="27" spans="2:9" ht="18" customHeight="1">
      <c r="B27" s="18" t="s">
        <v>895</v>
      </c>
      <c r="C27" s="10" t="s">
        <v>520</v>
      </c>
      <c r="D27" s="67">
        <f>'APU''S CONC'!B30</f>
        <v>575485.66500000004</v>
      </c>
      <c r="F27" s="30">
        <f>COUNTIF('APU''S'!$B:$I,BD!B27)</f>
        <v>0</v>
      </c>
      <c r="G27" s="30">
        <f>COUNTIF('APU''S CONC'!$B:$I,BD!B27)</f>
        <v>0</v>
      </c>
      <c r="H27" s="30">
        <f t="shared" si="0"/>
        <v>0</v>
      </c>
      <c r="I27" s="30" t="str">
        <f t="shared" si="1"/>
        <v/>
      </c>
    </row>
    <row r="28" spans="2:9" ht="18" customHeight="1">
      <c r="B28" s="18" t="s">
        <v>896</v>
      </c>
      <c r="C28" s="10" t="s">
        <v>520</v>
      </c>
      <c r="D28" s="67">
        <f>'APU''S CONC'!B16</f>
        <v>572194.94000000006</v>
      </c>
      <c r="F28" s="30">
        <f>COUNTIF('APU''S'!$B:$I,BD!B28)</f>
        <v>0</v>
      </c>
      <c r="G28" s="30">
        <f>COUNTIF('APU''S CONC'!$B:$I,BD!B28)</f>
        <v>0</v>
      </c>
      <c r="H28" s="30">
        <f t="shared" si="0"/>
        <v>0</v>
      </c>
      <c r="I28" s="30" t="str">
        <f t="shared" si="1"/>
        <v/>
      </c>
    </row>
    <row r="29" spans="2:9" ht="18" customHeight="1">
      <c r="B29" s="20" t="s">
        <v>897</v>
      </c>
      <c r="C29" s="10" t="s">
        <v>520</v>
      </c>
      <c r="D29" s="67">
        <f>'APU''S CONC'!B141</f>
        <v>679021.44000000006</v>
      </c>
      <c r="F29" s="30">
        <f>COUNTIF('APU''S'!$B:$I,BD!B29)</f>
        <v>1</v>
      </c>
      <c r="G29" s="30">
        <f>COUNTIF('APU''S CONC'!$B:$I,BD!B29)</f>
        <v>1</v>
      </c>
      <c r="H29" s="30">
        <f t="shared" si="0"/>
        <v>2</v>
      </c>
      <c r="I29" s="30" t="str">
        <f t="shared" si="1"/>
        <v>USADO</v>
      </c>
    </row>
    <row r="30" spans="2:9" ht="18" customHeight="1">
      <c r="B30" s="18" t="s">
        <v>898</v>
      </c>
      <c r="C30" s="10" t="s">
        <v>520</v>
      </c>
      <c r="D30" s="67">
        <f>'APU''S CONC'!B154</f>
        <v>627181.44000000006</v>
      </c>
      <c r="F30" s="30">
        <f>COUNTIF('APU''S'!$B:$I,BD!B30)</f>
        <v>0</v>
      </c>
      <c r="G30" s="30">
        <f>COUNTIF('APU''S CONC'!$B:$I,BD!B30)</f>
        <v>1</v>
      </c>
      <c r="H30" s="30">
        <f t="shared" si="0"/>
        <v>1</v>
      </c>
      <c r="I30" s="30" t="str">
        <f t="shared" si="1"/>
        <v>USADO</v>
      </c>
    </row>
    <row r="31" spans="2:9" ht="18" customHeight="1">
      <c r="B31" s="16" t="s">
        <v>899</v>
      </c>
      <c r="C31" s="27" t="s">
        <v>520</v>
      </c>
      <c r="D31" s="67">
        <f>'APU''S CONC'!B167</f>
        <v>524687.44000000006</v>
      </c>
      <c r="F31" s="30">
        <f>COUNTIF('APU''S'!$B:$I,BD!B31)</f>
        <v>0</v>
      </c>
      <c r="G31" s="30">
        <f>COUNTIF('APU''S CONC'!$B:$I,BD!B31)</f>
        <v>1</v>
      </c>
      <c r="H31" s="30">
        <f t="shared" si="0"/>
        <v>1</v>
      </c>
      <c r="I31" s="30" t="str">
        <f t="shared" si="1"/>
        <v>USADO</v>
      </c>
    </row>
    <row r="32" spans="2:9" ht="18" customHeight="1">
      <c r="B32" s="1726" t="s">
        <v>900</v>
      </c>
      <c r="C32" s="1727"/>
      <c r="D32" s="1728"/>
      <c r="F32"/>
      <c r="G32"/>
      <c r="H32"/>
      <c r="I32"/>
    </row>
    <row r="33" spans="2:12" ht="18" customHeight="1">
      <c r="B33" s="1512" t="s">
        <v>887</v>
      </c>
      <c r="C33" s="1512" t="s">
        <v>492</v>
      </c>
      <c r="D33" s="1512" t="s">
        <v>493</v>
      </c>
      <c r="E33" s="73"/>
      <c r="F33"/>
      <c r="G33"/>
      <c r="H33"/>
      <c r="I33"/>
    </row>
    <row r="34" spans="2:12" ht="18" customHeight="1">
      <c r="B34" s="16" t="s">
        <v>751</v>
      </c>
      <c r="C34" s="27" t="s">
        <v>901</v>
      </c>
      <c r="D34" s="67">
        <v>937577.20000000007</v>
      </c>
      <c r="F34" s="30">
        <f>COUNTIF('APU''S'!$B:$I,BD!B34)</f>
        <v>1</v>
      </c>
      <c r="G34" s="30">
        <f>COUNTIF('APU''S CONC'!$B:$I,BD!B34)</f>
        <v>0</v>
      </c>
      <c r="H34" s="30">
        <f t="shared" si="0"/>
        <v>1</v>
      </c>
      <c r="I34" s="30" t="str">
        <f t="shared" si="1"/>
        <v>USADO</v>
      </c>
    </row>
    <row r="35" spans="2:12" ht="18" customHeight="1">
      <c r="B35" s="16" t="s">
        <v>754</v>
      </c>
      <c r="C35" s="27" t="s">
        <v>901</v>
      </c>
      <c r="D35" s="67">
        <v>1585119.6666666667</v>
      </c>
    </row>
    <row r="36" spans="2:12" ht="18" customHeight="1">
      <c r="B36" s="16" t="s">
        <v>757</v>
      </c>
      <c r="C36" s="27" t="s">
        <v>901</v>
      </c>
      <c r="D36" s="67">
        <v>1041726</v>
      </c>
      <c r="F36" s="30">
        <f>COUNTIF('APU''S'!$B:$I,BD!B36)</f>
        <v>1</v>
      </c>
      <c r="G36" s="30">
        <f>COUNTIF('APU''S CONC'!$B:$I,BD!B36)</f>
        <v>0</v>
      </c>
      <c r="H36" s="30">
        <f t="shared" si="0"/>
        <v>1</v>
      </c>
      <c r="I36" s="30" t="str">
        <f t="shared" si="1"/>
        <v>USADO</v>
      </c>
    </row>
    <row r="37" spans="2:12" ht="18" customHeight="1">
      <c r="B37" s="16" t="s">
        <v>760</v>
      </c>
      <c r="C37" s="27" t="s">
        <v>901</v>
      </c>
      <c r="D37" s="67">
        <v>2164669.5</v>
      </c>
    </row>
    <row r="38" spans="2:12" ht="18" customHeight="1">
      <c r="B38" s="16" t="s">
        <v>763</v>
      </c>
      <c r="C38" s="27" t="s">
        <v>901</v>
      </c>
      <c r="D38" s="67">
        <v>670136.6</v>
      </c>
      <c r="F38" s="30">
        <f>COUNTIF('APU''S'!$B:$I,BD!B38)</f>
        <v>1</v>
      </c>
      <c r="G38" s="30">
        <f>COUNTIF('APU''S CONC'!$B:$I,BD!B38)</f>
        <v>0</v>
      </c>
      <c r="H38" s="30">
        <f t="shared" si="0"/>
        <v>1</v>
      </c>
      <c r="I38" s="30" t="str">
        <f t="shared" si="1"/>
        <v>USADO</v>
      </c>
    </row>
    <row r="39" spans="2:12" ht="18" customHeight="1">
      <c r="B39" s="16" t="s">
        <v>766</v>
      </c>
      <c r="C39" s="27" t="s">
        <v>901</v>
      </c>
      <c r="D39" s="67">
        <v>1130539.6666666667</v>
      </c>
    </row>
    <row r="40" spans="2:12" ht="18" customHeight="1">
      <c r="B40" s="16" t="s">
        <v>769</v>
      </c>
      <c r="C40" s="27" t="s">
        <v>527</v>
      </c>
      <c r="D40" s="67">
        <f>589830*1.19</f>
        <v>701897.7</v>
      </c>
      <c r="F40" s="30">
        <f>COUNTIF('APU''S'!$B:$I,BD!B40)</f>
        <v>1</v>
      </c>
      <c r="G40" s="30">
        <f>COUNTIF('APU''S CONC'!$B:$I,BD!B40)</f>
        <v>0</v>
      </c>
      <c r="H40" s="30">
        <f t="shared" si="0"/>
        <v>1</v>
      </c>
      <c r="I40" s="30" t="str">
        <f t="shared" si="1"/>
        <v>USADO</v>
      </c>
    </row>
    <row r="41" spans="2:12" ht="18" customHeight="1">
      <c r="B41" s="16" t="s">
        <v>770</v>
      </c>
      <c r="C41" s="27" t="s">
        <v>527</v>
      </c>
      <c r="D41" s="67">
        <v>481902.00333333324</v>
      </c>
      <c r="F41" s="30">
        <f>COUNTIF('APU''S'!$B:$I,BD!B41)</f>
        <v>1</v>
      </c>
      <c r="G41" s="30">
        <f>COUNTIF('APU''S CONC'!$B:$I,BD!B41)</f>
        <v>0</v>
      </c>
      <c r="H41" s="30">
        <f t="shared" si="0"/>
        <v>1</v>
      </c>
      <c r="I41" s="30" t="str">
        <f t="shared" si="1"/>
        <v>USADO</v>
      </c>
    </row>
    <row r="42" spans="2:12" ht="18" customHeight="1">
      <c r="B42" s="17" t="s">
        <v>602</v>
      </c>
      <c r="C42" s="22" t="s">
        <v>498</v>
      </c>
      <c r="D42" s="62">
        <v>30000</v>
      </c>
      <c r="F42" s="30">
        <f>COUNTIF('APU''S'!$B:$I,BD!B42)</f>
        <v>1</v>
      </c>
      <c r="G42" s="30">
        <f>COUNTIF('APU''S CONC'!$B:$I,BD!B42)</f>
        <v>0</v>
      </c>
      <c r="H42" s="30">
        <f t="shared" si="0"/>
        <v>1</v>
      </c>
      <c r="I42" s="30" t="str">
        <f t="shared" si="1"/>
        <v>USADO</v>
      </c>
    </row>
    <row r="43" spans="2:12" ht="18" customHeight="1">
      <c r="B43" s="1726" t="s">
        <v>902</v>
      </c>
      <c r="C43" s="1727"/>
      <c r="D43" s="1728"/>
      <c r="F43"/>
      <c r="G43"/>
      <c r="H43"/>
      <c r="I43"/>
    </row>
    <row r="44" spans="2:12" ht="18" customHeight="1">
      <c r="B44" s="1512" t="s">
        <v>887</v>
      </c>
      <c r="C44" s="1512" t="s">
        <v>492</v>
      </c>
      <c r="D44" s="1512" t="s">
        <v>493</v>
      </c>
      <c r="F44"/>
      <c r="G44"/>
      <c r="H44"/>
      <c r="I44"/>
    </row>
    <row r="45" spans="2:12" ht="18" customHeight="1">
      <c r="B45" s="1508" t="s">
        <v>581</v>
      </c>
      <c r="C45" s="1507" t="s">
        <v>520</v>
      </c>
      <c r="D45" s="68">
        <v>101150</v>
      </c>
      <c r="F45" s="30">
        <f>COUNTIF('APU''S'!$B:$I,BD!B45)</f>
        <v>2</v>
      </c>
      <c r="G45" s="30">
        <f>COUNTIF('APU''S CONC'!$B:$I,BD!B45)</f>
        <v>0</v>
      </c>
      <c r="H45" s="30">
        <f t="shared" si="0"/>
        <v>2</v>
      </c>
      <c r="I45" s="30" t="str">
        <f t="shared" si="1"/>
        <v>USADO</v>
      </c>
      <c r="K45" t="s">
        <v>903</v>
      </c>
      <c r="L45" t="s">
        <v>904</v>
      </c>
    </row>
    <row r="46" spans="2:12" ht="18" customHeight="1">
      <c r="B46" s="18" t="s">
        <v>545</v>
      </c>
      <c r="C46" s="10" t="s">
        <v>520</v>
      </c>
      <c r="D46" s="68">
        <v>20000</v>
      </c>
      <c r="F46" s="30">
        <f>COUNTIF('APU''S'!$B:$I,BD!B46)</f>
        <v>2</v>
      </c>
      <c r="G46" s="30">
        <f>COUNTIF('APU''S CONC'!$B:$I,BD!B46)</f>
        <v>0</v>
      </c>
      <c r="H46" s="30">
        <f t="shared" si="0"/>
        <v>2</v>
      </c>
      <c r="I46" s="30" t="str">
        <f t="shared" si="1"/>
        <v>USADO</v>
      </c>
    </row>
    <row r="47" spans="2:12" ht="18" customHeight="1">
      <c r="B47" s="20" t="s">
        <v>883</v>
      </c>
      <c r="C47" s="10" t="s">
        <v>520</v>
      </c>
      <c r="D47" s="68">
        <v>55000</v>
      </c>
      <c r="F47" s="30">
        <f>COUNTIF('APU''S'!$B:$I,BD!B47)</f>
        <v>0</v>
      </c>
      <c r="G47" s="30">
        <f>COUNTIF('APU''S CONC'!$B:$I,BD!B47)</f>
        <v>3</v>
      </c>
      <c r="H47" s="30">
        <f t="shared" si="0"/>
        <v>3</v>
      </c>
      <c r="I47" s="30" t="str">
        <f t="shared" si="1"/>
        <v>USADO</v>
      </c>
    </row>
    <row r="48" spans="2:12" ht="18" customHeight="1">
      <c r="B48" s="1506" t="s">
        <v>871</v>
      </c>
      <c r="C48" s="1507" t="s">
        <v>520</v>
      </c>
      <c r="D48" s="68">
        <v>122570</v>
      </c>
      <c r="F48" s="30">
        <f>COUNTIF('APU''S'!$B:$I,BD!B48)</f>
        <v>0</v>
      </c>
      <c r="G48" s="30">
        <f>COUNTIF('APU''S CONC'!$B:$I,BD!B48)</f>
        <v>9</v>
      </c>
      <c r="H48" s="30">
        <f t="shared" si="0"/>
        <v>9</v>
      </c>
      <c r="I48" s="30" t="str">
        <f t="shared" si="1"/>
        <v>USADO</v>
      </c>
      <c r="K48" t="s">
        <v>903</v>
      </c>
    </row>
    <row r="49" spans="2:11" ht="18" customHeight="1">
      <c r="B49" s="1506" t="s">
        <v>870</v>
      </c>
      <c r="C49" s="1507" t="s">
        <v>520</v>
      </c>
      <c r="D49" s="68">
        <v>99555</v>
      </c>
      <c r="F49" s="30">
        <f>COUNTIF('APU''S'!$B:$I,BD!B49)</f>
        <v>0</v>
      </c>
      <c r="G49" s="30">
        <f>COUNTIF('APU''S CONC'!$B:$I,BD!B49)</f>
        <v>9</v>
      </c>
      <c r="H49" s="30">
        <f t="shared" si="0"/>
        <v>9</v>
      </c>
      <c r="I49" s="30" t="str">
        <f t="shared" si="1"/>
        <v>USADO</v>
      </c>
      <c r="K49" t="s">
        <v>903</v>
      </c>
    </row>
    <row r="50" spans="2:11" ht="18" customHeight="1">
      <c r="B50" s="1506" t="s">
        <v>549</v>
      </c>
      <c r="C50" s="1507" t="s">
        <v>520</v>
      </c>
      <c r="D50" s="68">
        <v>108000</v>
      </c>
      <c r="F50" s="30">
        <f>COUNTIF('APU''S'!$B:$I,BD!B50)</f>
        <v>1</v>
      </c>
      <c r="G50" s="30">
        <f>COUNTIF('APU''S CONC'!$B:$I,BD!B50)</f>
        <v>0</v>
      </c>
      <c r="H50" s="30">
        <f t="shared" si="0"/>
        <v>1</v>
      </c>
      <c r="I50" s="30" t="str">
        <f t="shared" si="1"/>
        <v>USADO</v>
      </c>
      <c r="K50" t="s">
        <v>905</v>
      </c>
    </row>
    <row r="51" spans="2:11" ht="18" customHeight="1">
      <c r="B51" s="1506" t="s">
        <v>872</v>
      </c>
      <c r="C51" s="1507" t="s">
        <v>906</v>
      </c>
      <c r="D51" s="68">
        <v>36000</v>
      </c>
      <c r="F51" s="30">
        <f>COUNTIF('APU''S'!$B:$I,BD!B51)</f>
        <v>0</v>
      </c>
      <c r="G51" s="30">
        <f>COUNTIF('APU''S CONC'!$B:$I,BD!B51)</f>
        <v>12</v>
      </c>
      <c r="H51" s="30">
        <f t="shared" si="0"/>
        <v>12</v>
      </c>
      <c r="I51" s="30" t="str">
        <f t="shared" si="1"/>
        <v>USADO</v>
      </c>
    </row>
    <row r="52" spans="2:11" ht="18" customHeight="1">
      <c r="B52" s="1726" t="s">
        <v>8</v>
      </c>
      <c r="C52" s="1727"/>
      <c r="D52" s="1728"/>
      <c r="F52"/>
      <c r="G52"/>
      <c r="H52"/>
      <c r="I52"/>
    </row>
    <row r="53" spans="2:11" ht="18" customHeight="1">
      <c r="B53" s="1512" t="s">
        <v>887</v>
      </c>
      <c r="C53" s="1512" t="s">
        <v>492</v>
      </c>
      <c r="D53" s="1512" t="s">
        <v>493</v>
      </c>
      <c r="F53"/>
      <c r="G53"/>
      <c r="H53"/>
      <c r="I53"/>
    </row>
    <row r="54" spans="2:11" ht="18" customHeight="1">
      <c r="B54" s="15" t="s">
        <v>499</v>
      </c>
      <c r="C54" s="10" t="s">
        <v>907</v>
      </c>
      <c r="D54" s="67">
        <v>7500</v>
      </c>
      <c r="F54" s="30">
        <f>COUNTIF('APU''S'!$B:$I,BD!B54)</f>
        <v>5</v>
      </c>
      <c r="G54" s="30">
        <f>COUNTIF('APU''S CONC'!$B:$I,BD!B54)</f>
        <v>0</v>
      </c>
      <c r="H54" s="30">
        <f t="shared" si="0"/>
        <v>5</v>
      </c>
      <c r="I54" s="30" t="str">
        <f t="shared" si="1"/>
        <v>USADO</v>
      </c>
    </row>
    <row r="55" spans="2:11" ht="18" customHeight="1">
      <c r="B55" s="20" t="s">
        <v>775</v>
      </c>
      <c r="C55" s="10" t="s">
        <v>908</v>
      </c>
      <c r="D55" s="69">
        <f>234068</f>
        <v>234068</v>
      </c>
      <c r="F55" s="30">
        <f>COUNTIF('APU''S'!$B:$I,BD!B55)</f>
        <v>15</v>
      </c>
      <c r="G55" s="30">
        <f>COUNTIF('APU''S CONC'!$B:$I,BD!B55)</f>
        <v>0</v>
      </c>
      <c r="H55" s="30">
        <f t="shared" si="0"/>
        <v>15</v>
      </c>
      <c r="I55" s="30" t="str">
        <f t="shared" si="1"/>
        <v>USADO</v>
      </c>
    </row>
    <row r="56" spans="2:11" ht="18" customHeight="1">
      <c r="B56" s="20" t="s">
        <v>792</v>
      </c>
      <c r="C56" s="10" t="s">
        <v>909</v>
      </c>
      <c r="D56" s="67">
        <f>146569</f>
        <v>146569</v>
      </c>
      <c r="F56" s="30">
        <f>COUNTIF('APU''S'!$B:$I,BD!B56)</f>
        <v>9</v>
      </c>
      <c r="G56" s="30">
        <f>COUNTIF('APU''S CONC'!$B:$I,BD!B56)</f>
        <v>0</v>
      </c>
      <c r="H56" s="30">
        <f t="shared" si="0"/>
        <v>9</v>
      </c>
      <c r="I56" s="30" t="str">
        <f t="shared" si="1"/>
        <v>USADO</v>
      </c>
    </row>
    <row r="57" spans="2:11" ht="18" customHeight="1">
      <c r="B57" s="1726" t="s">
        <v>910</v>
      </c>
      <c r="C57" s="1727"/>
      <c r="D57" s="1728"/>
      <c r="F57"/>
      <c r="G57"/>
      <c r="H57"/>
      <c r="I57"/>
    </row>
    <row r="58" spans="2:11" ht="18" customHeight="1">
      <c r="B58" s="1512" t="s">
        <v>887</v>
      </c>
      <c r="C58" s="1512" t="s">
        <v>492</v>
      </c>
      <c r="D58" s="1512" t="s">
        <v>493</v>
      </c>
      <c r="F58"/>
      <c r="G58"/>
      <c r="H58"/>
      <c r="I58"/>
    </row>
    <row r="59" spans="2:11" ht="18" customHeight="1">
      <c r="B59" s="20" t="s">
        <v>516</v>
      </c>
      <c r="C59" s="10" t="s">
        <v>505</v>
      </c>
      <c r="D59" s="67">
        <v>80000</v>
      </c>
      <c r="F59" s="30">
        <f>COUNTIF('APU''S'!$B:$I,BD!B59)</f>
        <v>1</v>
      </c>
      <c r="G59" s="30">
        <f>COUNTIF('APU''S CONC'!$B:$I,BD!B59)</f>
        <v>0</v>
      </c>
      <c r="H59" s="30">
        <f t="shared" si="0"/>
        <v>1</v>
      </c>
      <c r="I59" s="30" t="str">
        <f t="shared" si="1"/>
        <v>USADO</v>
      </c>
    </row>
    <row r="60" spans="2:11" ht="18" customHeight="1">
      <c r="B60" s="20" t="s">
        <v>523</v>
      </c>
      <c r="C60" s="10" t="s">
        <v>505</v>
      </c>
      <c r="D60" s="67">
        <v>140000</v>
      </c>
      <c r="F60" s="30">
        <f>COUNTIF('APU''S'!$B:$I,BD!B60)</f>
        <v>5</v>
      </c>
      <c r="G60" s="30">
        <f>COUNTIF('APU''S CONC'!$B:$I,BD!B60)</f>
        <v>0</v>
      </c>
      <c r="H60" s="30">
        <f t="shared" si="0"/>
        <v>5</v>
      </c>
      <c r="I60" s="30" t="str">
        <f t="shared" si="1"/>
        <v>USADO</v>
      </c>
    </row>
    <row r="61" spans="2:11" ht="18" customHeight="1">
      <c r="B61" s="20" t="s">
        <v>517</v>
      </c>
      <c r="C61" s="10" t="s">
        <v>911</v>
      </c>
      <c r="D61" s="67">
        <v>210000</v>
      </c>
      <c r="F61" s="30">
        <f>COUNTIF('APU''S'!$B:$I,BD!B61)</f>
        <v>9</v>
      </c>
      <c r="G61" s="30">
        <f>COUNTIF('APU''S CONC'!$B:$I,BD!B61)</f>
        <v>0</v>
      </c>
      <c r="H61" s="30">
        <f t="shared" si="0"/>
        <v>9</v>
      </c>
      <c r="I61" s="30" t="str">
        <f t="shared" si="1"/>
        <v>USADO</v>
      </c>
    </row>
    <row r="62" spans="2:11" ht="18" customHeight="1">
      <c r="B62" s="20" t="s">
        <v>599</v>
      </c>
      <c r="C62" s="10" t="s">
        <v>911</v>
      </c>
      <c r="D62" s="67">
        <v>150000</v>
      </c>
      <c r="F62" s="30">
        <f>COUNTIF('APU''S'!$B:$I,BD!B62)</f>
        <v>3</v>
      </c>
      <c r="G62" s="30">
        <f>COUNTIF('APU''S CONC'!$B:$I,BD!B62)</f>
        <v>0</v>
      </c>
      <c r="H62" s="30">
        <f t="shared" si="0"/>
        <v>3</v>
      </c>
      <c r="I62" s="30" t="str">
        <f t="shared" si="1"/>
        <v>USADO</v>
      </c>
    </row>
    <row r="63" spans="2:11" ht="18" customHeight="1">
      <c r="B63" s="18" t="s">
        <v>542</v>
      </c>
      <c r="C63" s="10" t="s">
        <v>911</v>
      </c>
      <c r="D63" s="67">
        <f>85000/8</f>
        <v>10625</v>
      </c>
      <c r="F63" s="30">
        <f>COUNTIF('APU''S'!$B:$I,BD!B63)</f>
        <v>3</v>
      </c>
      <c r="G63" s="30">
        <f>COUNTIF('APU''S CONC'!$B:$I,BD!B63)</f>
        <v>0</v>
      </c>
      <c r="H63" s="30">
        <f t="shared" si="0"/>
        <v>3</v>
      </c>
      <c r="I63" s="30" t="str">
        <f t="shared" si="1"/>
        <v>USADO</v>
      </c>
    </row>
    <row r="64" spans="2:11" ht="18" customHeight="1">
      <c r="B64" s="20" t="s">
        <v>882</v>
      </c>
      <c r="C64" s="10" t="s">
        <v>505</v>
      </c>
      <c r="D64" s="67">
        <v>60000</v>
      </c>
      <c r="F64" s="30">
        <f>COUNTIF('APU''S'!$B:$I,BD!B64)</f>
        <v>0</v>
      </c>
      <c r="G64" s="30">
        <f>COUNTIF('APU''S CONC'!$B:$I,BD!B64)</f>
        <v>3</v>
      </c>
      <c r="H64" s="30">
        <f t="shared" si="0"/>
        <v>3</v>
      </c>
      <c r="I64" s="30" t="str">
        <f t="shared" si="1"/>
        <v>USADO</v>
      </c>
    </row>
    <row r="65" spans="2:9" ht="18" customHeight="1">
      <c r="B65" s="21" t="s">
        <v>869</v>
      </c>
      <c r="C65" s="10" t="s">
        <v>505</v>
      </c>
      <c r="D65" s="67">
        <v>80000</v>
      </c>
      <c r="F65" s="30">
        <f>COUNTIF('APU''S'!$B:$I,BD!B65)</f>
        <v>0</v>
      </c>
      <c r="G65" s="30">
        <f>COUNTIF('APU''S CONC'!$B:$I,BD!B65)</f>
        <v>9</v>
      </c>
      <c r="H65" s="30">
        <f t="shared" si="0"/>
        <v>9</v>
      </c>
      <c r="I65" s="30" t="str">
        <f t="shared" si="1"/>
        <v>USADO</v>
      </c>
    </row>
    <row r="66" spans="2:9" ht="18" customHeight="1">
      <c r="B66" s="16" t="s">
        <v>567</v>
      </c>
      <c r="C66" s="10" t="s">
        <v>505</v>
      </c>
      <c r="D66" s="67">
        <v>50000</v>
      </c>
      <c r="F66" s="30">
        <f>COUNTIF('APU''S'!$B:$I,BD!B66)</f>
        <v>3</v>
      </c>
      <c r="G66" s="30">
        <f>COUNTIF('APU''S CONC'!$B:$I,BD!B66)</f>
        <v>0</v>
      </c>
      <c r="H66" s="30">
        <f t="shared" si="0"/>
        <v>3</v>
      </c>
      <c r="I66" s="30" t="str">
        <f t="shared" si="1"/>
        <v>USADO</v>
      </c>
    </row>
    <row r="67" spans="2:9" ht="18" customHeight="1">
      <c r="B67" s="16" t="s">
        <v>619</v>
      </c>
      <c r="C67" s="10" t="s">
        <v>564</v>
      </c>
      <c r="D67" s="67">
        <v>16000</v>
      </c>
      <c r="F67" s="30">
        <f>COUNTIF('APU''S'!$B:$I,BD!B67)</f>
        <v>2</v>
      </c>
      <c r="G67" s="30">
        <f>COUNTIF('APU''S CONC'!$B:$I,BD!B67)</f>
        <v>0</v>
      </c>
      <c r="H67" s="30">
        <f t="shared" si="0"/>
        <v>2</v>
      </c>
      <c r="I67" s="30" t="str">
        <f t="shared" si="1"/>
        <v>USADO</v>
      </c>
    </row>
    <row r="68" spans="2:9" ht="18" customHeight="1">
      <c r="B68" s="1506" t="s">
        <v>618</v>
      </c>
      <c r="C68" s="1507" t="s">
        <v>564</v>
      </c>
      <c r="D68" s="67">
        <v>27000</v>
      </c>
      <c r="F68" s="30">
        <f>COUNTIF('APU''S'!$B:$I,BD!B68)</f>
        <v>2</v>
      </c>
      <c r="G68" s="30">
        <f>COUNTIF('APU''S CONC'!$B:$I,BD!B68)</f>
        <v>0</v>
      </c>
      <c r="H68" s="30">
        <f t="shared" si="0"/>
        <v>2</v>
      </c>
      <c r="I68" s="30" t="str">
        <f t="shared" si="1"/>
        <v>USADO</v>
      </c>
    </row>
    <row r="69" spans="2:9" ht="18" customHeight="1">
      <c r="B69" s="20" t="s">
        <v>568</v>
      </c>
      <c r="C69" s="10" t="s">
        <v>505</v>
      </c>
      <c r="D69" s="67">
        <v>7000</v>
      </c>
      <c r="F69" s="30">
        <f>COUNTIF('APU''S'!$B:$I,BD!B69)</f>
        <v>1</v>
      </c>
      <c r="G69" s="30">
        <f>COUNTIF('APU''S CONC'!$B:$I,BD!B69)</f>
        <v>0</v>
      </c>
      <c r="H69" s="30">
        <f t="shared" ref="H69:H130" si="2">F69+G69</f>
        <v>1</v>
      </c>
      <c r="I69" s="30" t="str">
        <f t="shared" ref="I69:I130" si="3">IF(H69&gt;=1,"USADO","")</f>
        <v>USADO</v>
      </c>
    </row>
    <row r="70" spans="2:9" ht="18" customHeight="1">
      <c r="B70" s="17" t="s">
        <v>561</v>
      </c>
      <c r="C70" s="10" t="s">
        <v>505</v>
      </c>
      <c r="D70" s="80">
        <v>35000</v>
      </c>
      <c r="F70" s="30">
        <f>COUNTIF('APU''S'!$B:$I,BD!B70)</f>
        <v>2</v>
      </c>
      <c r="G70" s="30">
        <f>COUNTIF('APU''S CONC'!$B:$I,BD!B70)</f>
        <v>0</v>
      </c>
      <c r="H70" s="30">
        <f t="shared" si="2"/>
        <v>2</v>
      </c>
      <c r="I70" s="30" t="str">
        <f t="shared" si="3"/>
        <v>USADO</v>
      </c>
    </row>
    <row r="71" spans="2:9" ht="18" customHeight="1">
      <c r="B71" s="20" t="s">
        <v>589</v>
      </c>
      <c r="C71" s="10" t="s">
        <v>505</v>
      </c>
      <c r="D71" s="67">
        <v>80000</v>
      </c>
      <c r="F71" s="30">
        <f>COUNTIF('APU''S'!$B:$I,BD!B71)</f>
        <v>1</v>
      </c>
      <c r="G71" s="30">
        <f>COUNTIF('APU''S CONC'!$B:$I,BD!B71)</f>
        <v>0</v>
      </c>
      <c r="H71" s="30">
        <f t="shared" si="2"/>
        <v>1</v>
      </c>
      <c r="I71" s="30" t="str">
        <f t="shared" si="3"/>
        <v>USADO</v>
      </c>
    </row>
    <row r="72" spans="2:9" ht="18" customHeight="1">
      <c r="B72" s="20" t="s">
        <v>586</v>
      </c>
      <c r="C72" s="10" t="s">
        <v>505</v>
      </c>
      <c r="D72" s="67">
        <v>70000</v>
      </c>
      <c r="F72" s="30">
        <f>COUNTIF('APU''S'!$B:$I,BD!B72)</f>
        <v>1</v>
      </c>
      <c r="G72" s="30">
        <f>COUNTIF('APU''S CONC'!$B:$I,BD!B72)</f>
        <v>0</v>
      </c>
      <c r="H72" s="30">
        <f t="shared" si="2"/>
        <v>1</v>
      </c>
      <c r="I72" s="30" t="str">
        <f t="shared" si="3"/>
        <v>USADO</v>
      </c>
    </row>
    <row r="73" spans="2:9" ht="18" customHeight="1">
      <c r="B73" s="20" t="s">
        <v>598</v>
      </c>
      <c r="C73" s="10" t="s">
        <v>505</v>
      </c>
      <c r="D73" s="67">
        <v>60000</v>
      </c>
      <c r="F73" s="30">
        <f>COUNTIF('APU''S'!$B:$I,BD!B73)</f>
        <v>1</v>
      </c>
      <c r="G73" s="30">
        <f>COUNTIF('APU''S CONC'!$B:$I,BD!B73)</f>
        <v>0</v>
      </c>
      <c r="H73" s="30">
        <f t="shared" si="2"/>
        <v>1</v>
      </c>
      <c r="I73" s="30" t="str">
        <f t="shared" si="3"/>
        <v>USADO</v>
      </c>
    </row>
    <row r="74" spans="2:9" ht="18" customHeight="1">
      <c r="B74" s="20" t="s">
        <v>912</v>
      </c>
      <c r="C74" s="10" t="s">
        <v>505</v>
      </c>
      <c r="D74" s="67">
        <v>120000</v>
      </c>
      <c r="F74" s="30">
        <f>COUNTIF('APU''S'!$B:$I,BD!B74)</f>
        <v>1</v>
      </c>
      <c r="G74" s="30">
        <f>COUNTIF('APU''S CONC'!$B:$I,BD!B74)</f>
        <v>0</v>
      </c>
      <c r="H74" s="30">
        <f t="shared" si="2"/>
        <v>1</v>
      </c>
      <c r="I74" s="30" t="str">
        <f t="shared" si="3"/>
        <v>USADO</v>
      </c>
    </row>
    <row r="75" spans="2:9" ht="18" customHeight="1">
      <c r="B75" s="20" t="s">
        <v>595</v>
      </c>
      <c r="C75" s="10" t="s">
        <v>911</v>
      </c>
      <c r="D75" s="67">
        <v>80000</v>
      </c>
      <c r="F75" s="30">
        <f>COUNTIF('APU''S'!$B:$I,BD!B75)</f>
        <v>1</v>
      </c>
      <c r="G75" s="30">
        <f>COUNTIF('APU''S CONC'!$B:$I,BD!B75)</f>
        <v>0</v>
      </c>
      <c r="H75" s="30">
        <f t="shared" si="2"/>
        <v>1</v>
      </c>
      <c r="I75" s="30" t="str">
        <f t="shared" si="3"/>
        <v>USADO</v>
      </c>
    </row>
    <row r="76" spans="2:9" ht="18" customHeight="1">
      <c r="B76" s="17" t="s">
        <v>627</v>
      </c>
      <c r="C76" s="10" t="s">
        <v>911</v>
      </c>
      <c r="D76" s="62">
        <v>420000</v>
      </c>
      <c r="F76" s="30">
        <f>COUNTIF('APU''S'!$B:$I,BD!B76)</f>
        <v>1</v>
      </c>
      <c r="G76" s="30">
        <f>COUNTIF('APU''S CONC'!$B:$I,BD!B76)</f>
        <v>0</v>
      </c>
      <c r="H76" s="30">
        <f t="shared" si="2"/>
        <v>1</v>
      </c>
      <c r="I76" s="30" t="str">
        <f t="shared" si="3"/>
        <v>USADO</v>
      </c>
    </row>
    <row r="77" spans="2:9" ht="18" customHeight="1">
      <c r="B77" s="1726" t="s">
        <v>913</v>
      </c>
      <c r="C77" s="1727"/>
      <c r="D77" s="1728"/>
      <c r="F77"/>
      <c r="G77"/>
      <c r="H77"/>
      <c r="I77"/>
    </row>
    <row r="78" spans="2:9" ht="18" customHeight="1">
      <c r="B78" s="1512" t="s">
        <v>887</v>
      </c>
      <c r="C78" s="1512" t="s">
        <v>492</v>
      </c>
      <c r="D78" s="1512" t="s">
        <v>493</v>
      </c>
      <c r="F78"/>
      <c r="G78"/>
      <c r="H78"/>
      <c r="I78"/>
    </row>
    <row r="79" spans="2:9" ht="18" customHeight="1">
      <c r="B79" s="20" t="s">
        <v>553</v>
      </c>
      <c r="C79" s="10" t="s">
        <v>914</v>
      </c>
      <c r="D79" s="68">
        <v>2650</v>
      </c>
      <c r="F79" s="30">
        <f>COUNTIF('APU''S'!$B:$I,BD!B79)</f>
        <v>1</v>
      </c>
      <c r="G79" s="30">
        <f>COUNTIF('APU''S CONC'!$B:$I,BD!B79)</f>
        <v>0</v>
      </c>
      <c r="H79" s="30">
        <f t="shared" si="2"/>
        <v>1</v>
      </c>
      <c r="I79" s="30" t="str">
        <f t="shared" si="3"/>
        <v>USADO</v>
      </c>
    </row>
    <row r="80" spans="2:9" ht="18" customHeight="1">
      <c r="B80" s="18" t="s">
        <v>546</v>
      </c>
      <c r="C80" s="10" t="s">
        <v>914</v>
      </c>
      <c r="D80" s="68">
        <v>1400</v>
      </c>
      <c r="F80" s="30">
        <f>COUNTIF('APU''S'!$B:$I,BD!B80)</f>
        <v>2</v>
      </c>
      <c r="G80" s="30">
        <f>COUNTIF('APU''S CONC'!$B:$I,BD!B80)</f>
        <v>0</v>
      </c>
      <c r="H80" s="30">
        <f t="shared" si="2"/>
        <v>2</v>
      </c>
      <c r="I80" s="30" t="str">
        <f t="shared" si="3"/>
        <v>USADO</v>
      </c>
    </row>
    <row r="81" spans="2:9" ht="18" customHeight="1">
      <c r="B81" s="20" t="s">
        <v>624</v>
      </c>
      <c r="C81" s="10" t="s">
        <v>498</v>
      </c>
      <c r="D81" s="68">
        <v>15000</v>
      </c>
      <c r="F81" s="30">
        <f>COUNTIF('APU''S'!$B:$I,BD!B81)</f>
        <v>19</v>
      </c>
      <c r="G81" s="30">
        <f>COUNTIF('APU''S CONC'!$B:$I,BD!B81)</f>
        <v>0</v>
      </c>
      <c r="H81" s="30">
        <f t="shared" si="2"/>
        <v>19</v>
      </c>
      <c r="I81" s="30" t="str">
        <f t="shared" si="3"/>
        <v>USADO</v>
      </c>
    </row>
    <row r="82" spans="2:9" ht="18" customHeight="1">
      <c r="B82" s="18" t="s">
        <v>563</v>
      </c>
      <c r="C82" s="10" t="s">
        <v>915</v>
      </c>
      <c r="D82" s="68">
        <v>1500000</v>
      </c>
      <c r="F82" s="30">
        <f>COUNTIF('APU''S'!$B:$I,BD!B82)</f>
        <v>42</v>
      </c>
      <c r="G82" s="30">
        <f>COUNTIF('APU''S CONC'!$B:$I,BD!B82)</f>
        <v>0</v>
      </c>
      <c r="H82" s="30">
        <f t="shared" si="2"/>
        <v>42</v>
      </c>
      <c r="I82" s="30" t="str">
        <f t="shared" si="3"/>
        <v>USADO</v>
      </c>
    </row>
    <row r="83" spans="2:9" ht="18" customHeight="1">
      <c r="B83" s="18" t="s">
        <v>750</v>
      </c>
      <c r="C83" s="10" t="s">
        <v>916</v>
      </c>
      <c r="D83" s="68">
        <f>(1045000*1.19)/(71.73/8)</f>
        <v>138692.31841628329</v>
      </c>
      <c r="F83" s="30">
        <f>COUNTIF('APU''S'!$B:$I,BD!B83)</f>
        <v>6</v>
      </c>
      <c r="G83" s="30">
        <f>COUNTIF('APU''S CONC'!$B:$I,BD!B83)</f>
        <v>0</v>
      </c>
      <c r="H83" s="30">
        <f t="shared" si="2"/>
        <v>6</v>
      </c>
      <c r="I83" s="30" t="str">
        <f t="shared" si="3"/>
        <v>USADO</v>
      </c>
    </row>
    <row r="84" spans="2:9" ht="18" customHeight="1">
      <c r="B84" s="18" t="s">
        <v>771</v>
      </c>
      <c r="C84" s="10" t="s">
        <v>915</v>
      </c>
      <c r="D84" s="68">
        <f>820000*1.19</f>
        <v>975800</v>
      </c>
      <c r="F84" s="30">
        <f>COUNTIF('APU''S'!$B:$I,BD!B84)</f>
        <v>1</v>
      </c>
      <c r="G84" s="30">
        <f>COUNTIF('APU''S CONC'!$B:$I,BD!B84)</f>
        <v>0</v>
      </c>
      <c r="H84" s="30">
        <f t="shared" si="2"/>
        <v>1</v>
      </c>
      <c r="I84" s="30" t="str">
        <f t="shared" si="3"/>
        <v>USADO</v>
      </c>
    </row>
    <row r="85" spans="2:9" ht="18" customHeight="1">
      <c r="B85" s="20" t="s">
        <v>524</v>
      </c>
      <c r="C85" s="10" t="s">
        <v>914</v>
      </c>
      <c r="D85" s="68">
        <v>1400</v>
      </c>
      <c r="F85" s="30">
        <f>COUNTIF('APU''S'!$B:$I,BD!B85)</f>
        <v>3</v>
      </c>
      <c r="G85" s="30">
        <f>COUNTIF('APU''S CONC'!$B:$I,BD!B85)</f>
        <v>0</v>
      </c>
      <c r="H85" s="30">
        <f t="shared" si="2"/>
        <v>3</v>
      </c>
      <c r="I85" s="30" t="str">
        <f t="shared" si="3"/>
        <v>USADO</v>
      </c>
    </row>
    <row r="86" spans="2:9" ht="18" customHeight="1">
      <c r="B86" s="20" t="s">
        <v>550</v>
      </c>
      <c r="C86" s="10" t="s">
        <v>914</v>
      </c>
      <c r="D86" s="68">
        <v>1400</v>
      </c>
      <c r="F86" s="30">
        <f>COUNTIF('APU''S'!$B:$I,BD!B86)</f>
        <v>2</v>
      </c>
      <c r="G86" s="30">
        <f>COUNTIF('APU''S CONC'!$B:$I,BD!B86)</f>
        <v>12</v>
      </c>
      <c r="H86" s="30">
        <f t="shared" si="2"/>
        <v>14</v>
      </c>
      <c r="I86" s="30" t="str">
        <f t="shared" si="3"/>
        <v>USADO</v>
      </c>
    </row>
    <row r="87" spans="2:9" ht="18" customHeight="1">
      <c r="B87" s="1726" t="s">
        <v>917</v>
      </c>
      <c r="C87" s="1727"/>
      <c r="D87" s="1728"/>
      <c r="F87"/>
      <c r="G87"/>
      <c r="H87"/>
      <c r="I87"/>
    </row>
    <row r="88" spans="2:9" ht="18" customHeight="1">
      <c r="B88" s="1512" t="s">
        <v>887</v>
      </c>
      <c r="C88" s="1512" t="s">
        <v>492</v>
      </c>
      <c r="D88" s="1512" t="s">
        <v>493</v>
      </c>
      <c r="F88"/>
      <c r="G88"/>
      <c r="H88"/>
      <c r="I88"/>
    </row>
    <row r="89" spans="2:9" ht="18" customHeight="1">
      <c r="B89" s="20" t="s">
        <v>918</v>
      </c>
      <c r="C89" s="10" t="s">
        <v>527</v>
      </c>
      <c r="D89" s="68">
        <v>22000</v>
      </c>
      <c r="F89" s="30">
        <f>COUNTIF('APU''S'!$B:$I,BD!B89)</f>
        <v>0</v>
      </c>
      <c r="G89" s="30">
        <f>COUNTIF('APU''S CONC'!$B:$I,BD!B89)</f>
        <v>0</v>
      </c>
      <c r="H89" s="30">
        <f t="shared" si="2"/>
        <v>0</v>
      </c>
      <c r="I89" s="30" t="str">
        <f t="shared" si="3"/>
        <v/>
      </c>
    </row>
    <row r="90" spans="2:9" ht="18" customHeight="1">
      <c r="B90" s="1726" t="s">
        <v>919</v>
      </c>
      <c r="C90" s="1727"/>
      <c r="D90" s="1728"/>
      <c r="F90"/>
      <c r="G90"/>
      <c r="H90"/>
      <c r="I90"/>
    </row>
    <row r="91" spans="2:9" ht="18" customHeight="1">
      <c r="B91" s="1512" t="s">
        <v>887</v>
      </c>
      <c r="C91" s="1512" t="s">
        <v>492</v>
      </c>
      <c r="D91" s="1512" t="s">
        <v>493</v>
      </c>
      <c r="F91"/>
      <c r="G91"/>
      <c r="H91"/>
      <c r="I91"/>
    </row>
    <row r="92" spans="2:9" ht="18" customHeight="1">
      <c r="B92" s="17" t="s">
        <v>670</v>
      </c>
      <c r="C92" s="22" t="s">
        <v>299</v>
      </c>
      <c r="D92" s="62">
        <f>280543/6</f>
        <v>46757.166666666664</v>
      </c>
      <c r="F92" s="30">
        <f>COUNTIF('APU''S'!$B:$I,BD!B92)</f>
        <v>1</v>
      </c>
      <c r="G92" s="30">
        <f>COUNTIF('APU''S CONC'!$B:$I,BD!B92)</f>
        <v>0</v>
      </c>
      <c r="H92" s="30">
        <f t="shared" si="2"/>
        <v>1</v>
      </c>
      <c r="I92" s="30" t="str">
        <f t="shared" si="3"/>
        <v>USADO</v>
      </c>
    </row>
    <row r="93" spans="2:9" ht="18" customHeight="1">
      <c r="B93" s="17" t="s">
        <v>673</v>
      </c>
      <c r="C93" s="22" t="s">
        <v>299</v>
      </c>
      <c r="D93" s="62">
        <f>354442/6</f>
        <v>59073.666666666664</v>
      </c>
      <c r="F93" s="30">
        <f>COUNTIF('APU''S'!$B:$I,BD!B93)</f>
        <v>1</v>
      </c>
      <c r="G93" s="30">
        <f>COUNTIF('APU''S CONC'!$B:$I,BD!B93)</f>
        <v>0</v>
      </c>
      <c r="H93" s="30">
        <f t="shared" si="2"/>
        <v>1</v>
      </c>
      <c r="I93" s="30" t="str">
        <f t="shared" si="3"/>
        <v>USADO</v>
      </c>
    </row>
    <row r="94" spans="2:9" ht="18" customHeight="1">
      <c r="B94" s="17" t="s">
        <v>676</v>
      </c>
      <c r="C94" s="22" t="s">
        <v>299</v>
      </c>
      <c r="D94" s="62">
        <f>728199/6</f>
        <v>121366.5</v>
      </c>
      <c r="F94" s="30">
        <f>COUNTIF('APU''S'!$B:$I,BD!B94)</f>
        <v>1</v>
      </c>
      <c r="G94" s="30">
        <f>COUNTIF('APU''S CONC'!$B:$I,BD!B94)</f>
        <v>0</v>
      </c>
      <c r="H94" s="30">
        <f t="shared" si="2"/>
        <v>1</v>
      </c>
      <c r="I94" s="30" t="str">
        <f t="shared" si="3"/>
        <v>USADO</v>
      </c>
    </row>
    <row r="95" spans="2:9" ht="18" customHeight="1">
      <c r="B95" s="17" t="s">
        <v>679</v>
      </c>
      <c r="C95" s="22" t="s">
        <v>299</v>
      </c>
      <c r="D95" s="62">
        <f>1233482/6</f>
        <v>205580.33333333334</v>
      </c>
      <c r="F95" s="30">
        <f>COUNTIF('APU''S'!$B:$I,BD!B95)</f>
        <v>1</v>
      </c>
      <c r="G95" s="30">
        <f>COUNTIF('APU''S CONC'!$B:$I,BD!B95)</f>
        <v>0</v>
      </c>
      <c r="H95" s="30">
        <f t="shared" si="2"/>
        <v>1</v>
      </c>
      <c r="I95" s="30" t="str">
        <f t="shared" si="3"/>
        <v>USADO</v>
      </c>
    </row>
    <row r="96" spans="2:9" ht="18" customHeight="1">
      <c r="B96" s="17" t="s">
        <v>575</v>
      </c>
      <c r="C96" s="22" t="s">
        <v>299</v>
      </c>
      <c r="D96" s="62">
        <f>281608/6</f>
        <v>46934.666666666664</v>
      </c>
      <c r="F96" s="30">
        <f>COUNTIF('APU''S'!$B:$I,BD!B96)</f>
        <v>2</v>
      </c>
      <c r="G96" s="30">
        <f>COUNTIF('APU''S CONC'!$B:$I,BD!B96)</f>
        <v>0</v>
      </c>
      <c r="H96" s="30">
        <f t="shared" si="2"/>
        <v>2</v>
      </c>
      <c r="I96" s="30" t="str">
        <f t="shared" si="3"/>
        <v>USADO</v>
      </c>
    </row>
    <row r="97" spans="2:9" ht="18" customHeight="1">
      <c r="B97" s="17" t="s">
        <v>633</v>
      </c>
      <c r="C97" s="22" t="s">
        <v>299</v>
      </c>
      <c r="D97" s="62">
        <f>587957/6</f>
        <v>97992.833333333328</v>
      </c>
      <c r="F97" s="30">
        <f>COUNTIF('APU''S'!$B:$I,BD!B97)</f>
        <v>1</v>
      </c>
      <c r="G97" s="30">
        <f>COUNTIF('APU''S CONC'!$B:$I,BD!B97)</f>
        <v>0</v>
      </c>
      <c r="H97" s="30">
        <f t="shared" si="2"/>
        <v>1</v>
      </c>
      <c r="I97" s="30" t="str">
        <f t="shared" si="3"/>
        <v>USADO</v>
      </c>
    </row>
    <row r="98" spans="2:9" ht="18" customHeight="1">
      <c r="B98" s="17" t="s">
        <v>636</v>
      </c>
      <c r="C98" s="22" t="s">
        <v>299</v>
      </c>
      <c r="D98" s="62">
        <f>846034/6</f>
        <v>141005.66666666666</v>
      </c>
      <c r="F98" s="30">
        <f>COUNTIF('APU''S'!$B:$I,BD!B98)</f>
        <v>1</v>
      </c>
      <c r="G98" s="30">
        <f>COUNTIF('APU''S CONC'!$B:$I,BD!B98)</f>
        <v>0</v>
      </c>
      <c r="H98" s="30">
        <f t="shared" si="2"/>
        <v>1</v>
      </c>
      <c r="I98" s="30" t="str">
        <f t="shared" si="3"/>
        <v>USADO</v>
      </c>
    </row>
    <row r="99" spans="2:9" ht="18" customHeight="1">
      <c r="B99" s="17" t="s">
        <v>639</v>
      </c>
      <c r="C99" s="22" t="s">
        <v>299</v>
      </c>
      <c r="D99" s="62">
        <f>1267895/6</f>
        <v>211315.83333333334</v>
      </c>
      <c r="F99" s="30">
        <f>COUNTIF('APU''S'!$B:$I,BD!B99)</f>
        <v>1</v>
      </c>
      <c r="G99" s="30">
        <f>COUNTIF('APU''S CONC'!$B:$I,BD!B99)</f>
        <v>0</v>
      </c>
      <c r="H99" s="30">
        <f t="shared" si="2"/>
        <v>1</v>
      </c>
      <c r="I99" s="30" t="str">
        <f t="shared" si="3"/>
        <v>USADO</v>
      </c>
    </row>
    <row r="100" spans="2:9" ht="18" customHeight="1">
      <c r="B100" s="17" t="s">
        <v>642</v>
      </c>
      <c r="C100" s="22" t="s">
        <v>299</v>
      </c>
      <c r="D100" s="62">
        <f>1550772/6</f>
        <v>258462</v>
      </c>
      <c r="F100" s="30">
        <f>COUNTIF('APU''S'!$B:$I,BD!B100)</f>
        <v>1</v>
      </c>
      <c r="G100" s="30">
        <f>COUNTIF('APU''S CONC'!$B:$I,BD!B100)</f>
        <v>0</v>
      </c>
      <c r="H100" s="30">
        <f t="shared" si="2"/>
        <v>1</v>
      </c>
      <c r="I100" s="30" t="str">
        <f t="shared" si="3"/>
        <v>USADO</v>
      </c>
    </row>
    <row r="101" spans="2:9" ht="18" customHeight="1">
      <c r="B101" s="17" t="s">
        <v>645</v>
      </c>
      <c r="C101" s="22" t="s">
        <v>299</v>
      </c>
      <c r="D101" s="62">
        <f>2130275/6</f>
        <v>355045.83333333331</v>
      </c>
      <c r="F101" s="30">
        <f>COUNTIF('APU''S'!$B:$I,BD!B101)</f>
        <v>1</v>
      </c>
      <c r="G101" s="30">
        <f>COUNTIF('APU''S CONC'!$B:$I,BD!B101)</f>
        <v>0</v>
      </c>
      <c r="H101" s="30">
        <f t="shared" si="2"/>
        <v>1</v>
      </c>
      <c r="I101" s="30" t="str">
        <f t="shared" si="3"/>
        <v>USADO</v>
      </c>
    </row>
    <row r="102" spans="2:9" ht="18" customHeight="1">
      <c r="B102" s="17" t="s">
        <v>648</v>
      </c>
      <c r="C102" s="22" t="s">
        <v>299</v>
      </c>
      <c r="D102" s="62">
        <f>2611088/6</f>
        <v>435181.33333333331</v>
      </c>
      <c r="F102" s="30">
        <f>COUNTIF('APU''S'!$B:$I,BD!B102)</f>
        <v>1</v>
      </c>
      <c r="G102" s="30">
        <f>COUNTIF('APU''S CONC'!$B:$I,BD!B102)</f>
        <v>0</v>
      </c>
      <c r="H102" s="30">
        <f t="shared" si="2"/>
        <v>1</v>
      </c>
      <c r="I102" s="30" t="str">
        <f t="shared" si="3"/>
        <v>USADO</v>
      </c>
    </row>
    <row r="103" spans="2:9" ht="18" customHeight="1">
      <c r="B103" s="17" t="s">
        <v>653</v>
      </c>
      <c r="C103" s="22" t="s">
        <v>564</v>
      </c>
      <c r="D103" s="62">
        <f>336719</f>
        <v>336719</v>
      </c>
      <c r="E103" s="32"/>
      <c r="F103" s="30">
        <f>COUNTIF('APU''S'!$B:$I,BD!B103)</f>
        <v>1</v>
      </c>
      <c r="G103" s="30">
        <f>COUNTIF('APU''S CONC'!$B:$I,BD!B103)</f>
        <v>0</v>
      </c>
      <c r="H103" s="30">
        <f t="shared" si="2"/>
        <v>1</v>
      </c>
      <c r="I103" s="30" t="str">
        <f t="shared" si="3"/>
        <v>USADO</v>
      </c>
    </row>
    <row r="104" spans="2:9" ht="18" customHeight="1">
      <c r="B104" s="17" t="s">
        <v>656</v>
      </c>
      <c r="C104" s="22" t="s">
        <v>564</v>
      </c>
      <c r="D104" s="62">
        <f>342458</f>
        <v>342458</v>
      </c>
      <c r="E104" s="32"/>
      <c r="F104" s="30">
        <f>COUNTIF('APU''S'!$B:$I,BD!B104)</f>
        <v>1</v>
      </c>
      <c r="G104" s="30">
        <f>COUNTIF('APU''S CONC'!$B:$I,BD!B104)</f>
        <v>0</v>
      </c>
      <c r="H104" s="30">
        <f t="shared" si="2"/>
        <v>1</v>
      </c>
      <c r="I104" s="30" t="str">
        <f t="shared" si="3"/>
        <v>USADO</v>
      </c>
    </row>
    <row r="105" spans="2:9" ht="18" customHeight="1">
      <c r="B105" s="17" t="s">
        <v>661</v>
      </c>
      <c r="C105" s="22" t="s">
        <v>564</v>
      </c>
      <c r="D105" s="62">
        <f>375495</f>
        <v>375495</v>
      </c>
      <c r="E105" s="32"/>
      <c r="F105" s="30">
        <f>COUNTIF('APU''S'!$B:$I,BD!B105)</f>
        <v>1</v>
      </c>
      <c r="G105" s="30">
        <f>COUNTIF('APU''S CONC'!$B:$I,BD!B105)</f>
        <v>0</v>
      </c>
      <c r="H105" s="30">
        <f t="shared" si="2"/>
        <v>1</v>
      </c>
      <c r="I105" s="30" t="str">
        <f t="shared" si="3"/>
        <v>USADO</v>
      </c>
    </row>
    <row r="106" spans="2:9" ht="18" customHeight="1">
      <c r="B106" s="17" t="s">
        <v>664</v>
      </c>
      <c r="C106" s="22" t="s">
        <v>564</v>
      </c>
      <c r="D106" s="62">
        <f>401637</f>
        <v>401637</v>
      </c>
      <c r="E106" s="32"/>
      <c r="F106" s="30">
        <f>COUNTIF('APU''S'!$B:$I,BD!B106)</f>
        <v>1</v>
      </c>
      <c r="G106" s="30">
        <f>COUNTIF('APU''S CONC'!$B:$I,BD!B106)</f>
        <v>0</v>
      </c>
      <c r="H106" s="30">
        <f t="shared" si="2"/>
        <v>1</v>
      </c>
      <c r="I106" s="30" t="str">
        <f t="shared" si="3"/>
        <v>USADO</v>
      </c>
    </row>
    <row r="107" spans="2:9" ht="18" customHeight="1">
      <c r="B107" s="17" t="s">
        <v>667</v>
      </c>
      <c r="C107" s="22" t="s">
        <v>564</v>
      </c>
      <c r="D107" s="62">
        <f>612702</f>
        <v>612702</v>
      </c>
      <c r="E107" s="32"/>
      <c r="F107" s="30">
        <f>COUNTIF('APU''S'!$B:$I,BD!B107)</f>
        <v>1</v>
      </c>
      <c r="G107" s="30">
        <f>COUNTIF('APU''S CONC'!$B:$I,BD!B107)</f>
        <v>0</v>
      </c>
      <c r="H107" s="30">
        <f t="shared" si="2"/>
        <v>1</v>
      </c>
      <c r="I107" s="30" t="str">
        <f t="shared" si="3"/>
        <v>USADO</v>
      </c>
    </row>
    <row r="108" spans="2:9" ht="18" customHeight="1">
      <c r="B108" s="17" t="s">
        <v>791</v>
      </c>
      <c r="C108" s="22" t="s">
        <v>564</v>
      </c>
      <c r="D108" s="62">
        <v>144201</v>
      </c>
      <c r="F108" s="30">
        <f>COUNTIF('APU''S'!$B:$I,BD!B108)</f>
        <v>5</v>
      </c>
      <c r="G108" s="30">
        <f>COUNTIF('APU''S CONC'!$B:$I,BD!B108)</f>
        <v>0</v>
      </c>
      <c r="H108" s="30">
        <f t="shared" si="2"/>
        <v>5</v>
      </c>
      <c r="I108" s="30" t="str">
        <f t="shared" si="3"/>
        <v>USADO</v>
      </c>
    </row>
    <row r="109" spans="2:9" ht="18" customHeight="1">
      <c r="B109" s="17" t="s">
        <v>657</v>
      </c>
      <c r="C109" s="22" t="s">
        <v>564</v>
      </c>
      <c r="D109" s="62">
        <v>30572</v>
      </c>
      <c r="F109" s="30">
        <f>COUNTIF('APU''S'!$B:$I,BD!B109)</f>
        <v>4</v>
      </c>
      <c r="G109" s="30">
        <f>COUNTIF('APU''S CONC'!$B:$I,BD!B109)</f>
        <v>0</v>
      </c>
      <c r="H109" s="30">
        <f t="shared" si="2"/>
        <v>4</v>
      </c>
      <c r="I109" s="30" t="str">
        <f t="shared" si="3"/>
        <v>USADO</v>
      </c>
    </row>
    <row r="110" spans="2:9" ht="18" customHeight="1">
      <c r="B110" s="17" t="s">
        <v>658</v>
      </c>
      <c r="C110" s="22" t="s">
        <v>564</v>
      </c>
      <c r="D110" s="62">
        <v>67564</v>
      </c>
      <c r="F110" s="30">
        <f>COUNTIF('APU''S'!$B:$I,BD!B110)</f>
        <v>4</v>
      </c>
      <c r="G110" s="30">
        <f>COUNTIF('APU''S CONC'!$B:$I,BD!B110)</f>
        <v>0</v>
      </c>
      <c r="H110" s="30">
        <f t="shared" ref="H110:H128" si="4">F110+G110</f>
        <v>4</v>
      </c>
      <c r="I110" s="30" t="str">
        <f t="shared" ref="I110:I128" si="5">IF(H110&gt;=1,"USADO","")</f>
        <v>USADO</v>
      </c>
    </row>
    <row r="111" spans="2:9" ht="18" customHeight="1">
      <c r="B111" s="17" t="s">
        <v>707</v>
      </c>
      <c r="C111" s="22" t="s">
        <v>564</v>
      </c>
      <c r="D111" s="62">
        <f>721000*1.19</f>
        <v>857990</v>
      </c>
      <c r="F111" s="30">
        <f>COUNTIF('APU''S'!$B:$I,BD!B111)</f>
        <v>1</v>
      </c>
      <c r="G111" s="30">
        <f>COUNTIF('APU''S CONC'!$B:$I,BD!B111)</f>
        <v>0</v>
      </c>
      <c r="H111" s="30">
        <f t="shared" ref="H111" si="6">F111+G111</f>
        <v>1</v>
      </c>
      <c r="I111" s="30" t="str">
        <f t="shared" ref="I111" si="7">IF(H111&gt;=1,"USADO","")</f>
        <v>USADO</v>
      </c>
    </row>
    <row r="112" spans="2:9" ht="18" customHeight="1">
      <c r="B112" s="17" t="s">
        <v>720</v>
      </c>
      <c r="C112" s="22" t="s">
        <v>564</v>
      </c>
      <c r="D112" s="62">
        <f>721000*1.19</f>
        <v>857990</v>
      </c>
      <c r="F112" s="30">
        <f>COUNTIF('APU''S'!$B:$I,BD!B112)</f>
        <v>1</v>
      </c>
      <c r="G112" s="30">
        <f>COUNTIF('APU''S CONC'!$B:$I,BD!B112)</f>
        <v>0</v>
      </c>
      <c r="H112" s="30">
        <f t="shared" si="4"/>
        <v>1</v>
      </c>
      <c r="I112" s="30" t="str">
        <f t="shared" si="5"/>
        <v>USADO</v>
      </c>
    </row>
    <row r="113" spans="2:11" ht="18" customHeight="1">
      <c r="B113" s="17" t="s">
        <v>717</v>
      </c>
      <c r="C113" s="22" t="s">
        <v>564</v>
      </c>
      <c r="D113" s="62">
        <f>955000*1.19</f>
        <v>1136450</v>
      </c>
      <c r="F113" s="30">
        <f>COUNTIF('APU''S'!$B:$I,BD!B113)</f>
        <v>1</v>
      </c>
      <c r="G113" s="30">
        <f>COUNTIF('APU''S CONC'!$B:$I,BD!B113)</f>
        <v>0</v>
      </c>
      <c r="H113" s="30">
        <f t="shared" si="4"/>
        <v>1</v>
      </c>
      <c r="I113" s="30" t="str">
        <f t="shared" si="5"/>
        <v>USADO</v>
      </c>
    </row>
    <row r="114" spans="2:11" ht="18" customHeight="1">
      <c r="B114" s="17" t="s">
        <v>714</v>
      </c>
      <c r="C114" s="22" t="s">
        <v>564</v>
      </c>
      <c r="D114" s="62">
        <f>1843000*1.19</f>
        <v>2193170</v>
      </c>
      <c r="F114" s="30">
        <f>COUNTIF('APU''S'!$B:$I,BD!B114)</f>
        <v>1</v>
      </c>
      <c r="G114" s="30">
        <f>COUNTIF('APU''S CONC'!$B:$I,BD!B114)</f>
        <v>0</v>
      </c>
      <c r="H114" s="30">
        <f t="shared" si="4"/>
        <v>1</v>
      </c>
      <c r="I114" s="30" t="str">
        <f t="shared" si="5"/>
        <v>USADO</v>
      </c>
    </row>
    <row r="115" spans="2:11" ht="18" customHeight="1">
      <c r="B115" s="17" t="s">
        <v>711</v>
      </c>
      <c r="C115" s="22" t="s">
        <v>564</v>
      </c>
      <c r="D115" s="62">
        <f>2696000*1.19</f>
        <v>3208240</v>
      </c>
      <c r="F115" s="30">
        <f>COUNTIF('APU''S'!$B:$I,BD!B115)</f>
        <v>1</v>
      </c>
      <c r="G115" s="30">
        <f>COUNTIF('APU''S CONC'!$B:$I,BD!B115)</f>
        <v>0</v>
      </c>
      <c r="H115" s="30">
        <f t="shared" si="4"/>
        <v>1</v>
      </c>
      <c r="I115" s="30" t="str">
        <f t="shared" si="5"/>
        <v>USADO</v>
      </c>
    </row>
    <row r="116" spans="2:11" ht="18" customHeight="1">
      <c r="B116" s="17" t="s">
        <v>732</v>
      </c>
      <c r="C116" s="22" t="s">
        <v>564</v>
      </c>
      <c r="D116" s="62">
        <f>169000*1.19</f>
        <v>201110</v>
      </c>
      <c r="F116" s="30">
        <f>COUNTIF('APU''S'!$B:$I,BD!B116)</f>
        <v>1</v>
      </c>
      <c r="G116" s="30">
        <f>COUNTIF('APU''S CONC'!$B:$I,BD!B116)</f>
        <v>0</v>
      </c>
      <c r="H116" s="30">
        <f t="shared" si="4"/>
        <v>1</v>
      </c>
      <c r="I116" s="30" t="str">
        <f t="shared" si="5"/>
        <v>USADO</v>
      </c>
      <c r="K116" s="1224"/>
    </row>
    <row r="117" spans="2:11" ht="18" customHeight="1">
      <c r="B117" s="17" t="s">
        <v>729</v>
      </c>
      <c r="C117" s="22" t="s">
        <v>564</v>
      </c>
      <c r="D117" s="62">
        <f>407000*1.19</f>
        <v>484330</v>
      </c>
      <c r="F117" s="30">
        <f>COUNTIF('APU''S'!$B:$I,BD!B117)</f>
        <v>1</v>
      </c>
      <c r="G117" s="30">
        <f>COUNTIF('APU''S CONC'!$B:$I,BD!B117)</f>
        <v>0</v>
      </c>
      <c r="H117" s="30">
        <f t="shared" si="4"/>
        <v>1</v>
      </c>
      <c r="I117" s="30" t="str">
        <f t="shared" si="5"/>
        <v>USADO</v>
      </c>
      <c r="K117" s="1224"/>
    </row>
    <row r="118" spans="2:11" ht="18" customHeight="1">
      <c r="B118" s="17" t="s">
        <v>726</v>
      </c>
      <c r="C118" s="22" t="s">
        <v>564</v>
      </c>
      <c r="D118" s="62">
        <f>496000*1.19</f>
        <v>590240</v>
      </c>
      <c r="F118" s="30">
        <f>COUNTIF('APU''S'!$B:$I,BD!B118)</f>
        <v>1</v>
      </c>
      <c r="G118" s="30">
        <f>COUNTIF('APU''S CONC'!$B:$I,BD!B118)</f>
        <v>0</v>
      </c>
      <c r="H118" s="30">
        <f t="shared" ref="H118" si="8">F118+G118</f>
        <v>1</v>
      </c>
      <c r="I118" s="30" t="str">
        <f t="shared" ref="I118" si="9">IF(H118&gt;=1,"USADO","")</f>
        <v>USADO</v>
      </c>
      <c r="K118" s="1224"/>
    </row>
    <row r="119" spans="2:11" ht="18" customHeight="1">
      <c r="B119" s="17" t="s">
        <v>723</v>
      </c>
      <c r="C119" s="22" t="s">
        <v>564</v>
      </c>
      <c r="D119" s="62">
        <f>548000*1.19</f>
        <v>652120</v>
      </c>
      <c r="F119" s="30">
        <f>COUNTIF('APU''S'!$B:$I,BD!B119)</f>
        <v>1</v>
      </c>
      <c r="G119" s="30">
        <f>COUNTIF('APU''S CONC'!$B:$I,BD!B119)</f>
        <v>0</v>
      </c>
      <c r="H119" s="30">
        <f t="shared" si="4"/>
        <v>1</v>
      </c>
      <c r="I119" s="30" t="str">
        <f t="shared" si="5"/>
        <v>USADO</v>
      </c>
      <c r="K119" s="1224"/>
    </row>
    <row r="120" spans="2:11" ht="18" customHeight="1">
      <c r="B120" s="17" t="s">
        <v>708</v>
      </c>
      <c r="C120" s="22" t="s">
        <v>564</v>
      </c>
      <c r="D120" s="62">
        <f>250000*1.19</f>
        <v>297500</v>
      </c>
      <c r="F120" s="30">
        <f>COUNTIF('APU''S'!$B:$I,BD!B120)</f>
        <v>1</v>
      </c>
      <c r="G120" s="30">
        <f>COUNTIF('APU''S CONC'!$B:$I,BD!B120)</f>
        <v>0</v>
      </c>
      <c r="H120" s="30">
        <f t="shared" ref="H120:H126" si="10">F120+G120</f>
        <v>1</v>
      </c>
      <c r="I120" s="30" t="str">
        <f t="shared" ref="I120:I126" si="11">IF(H120&gt;=1,"USADO","")</f>
        <v>USADO</v>
      </c>
      <c r="K120" s="1224"/>
    </row>
    <row r="121" spans="2:11" ht="18" customHeight="1">
      <c r="B121" s="17" t="s">
        <v>682</v>
      </c>
      <c r="C121" s="22" t="s">
        <v>564</v>
      </c>
      <c r="D121" s="62">
        <f>1235000*1.19</f>
        <v>1469650</v>
      </c>
      <c r="F121" s="30">
        <f>COUNTIF('APU''S'!$B:$I,BD!B121)</f>
        <v>1</v>
      </c>
      <c r="G121" s="30">
        <f>COUNTIF('APU''S CONC'!$B:$I,BD!B121)</f>
        <v>0</v>
      </c>
      <c r="H121" s="30">
        <f t="shared" si="10"/>
        <v>1</v>
      </c>
      <c r="I121" s="30" t="str">
        <f t="shared" si="11"/>
        <v>USADO</v>
      </c>
      <c r="K121" s="1224"/>
    </row>
    <row r="122" spans="2:11" ht="18" customHeight="1">
      <c r="B122" s="17" t="s">
        <v>685</v>
      </c>
      <c r="C122" s="22" t="s">
        <v>564</v>
      </c>
      <c r="D122" s="62">
        <f>1184000*1.19</f>
        <v>1408960</v>
      </c>
      <c r="F122" s="30">
        <f>COUNTIF('APU''S'!$B:$I,BD!B122)</f>
        <v>1</v>
      </c>
      <c r="G122" s="30">
        <f>COUNTIF('APU''S CONC'!$B:$I,BD!B122)</f>
        <v>0</v>
      </c>
      <c r="H122" s="30">
        <f t="shared" ref="H122:H125" si="12">F122+G122</f>
        <v>1</v>
      </c>
      <c r="I122" s="30" t="str">
        <f t="shared" ref="I122:I125" si="13">IF(H122&gt;=1,"USADO","")</f>
        <v>USADO</v>
      </c>
      <c r="K122" s="1224"/>
    </row>
    <row r="123" spans="2:11" ht="18" customHeight="1">
      <c r="B123" s="17" t="s">
        <v>688</v>
      </c>
      <c r="C123" s="22" t="s">
        <v>564</v>
      </c>
      <c r="D123" s="62">
        <f>1132000*1.19</f>
        <v>1347080</v>
      </c>
      <c r="F123" s="30">
        <f>COUNTIF('APU''S'!$B:$I,BD!B123)</f>
        <v>1</v>
      </c>
      <c r="G123" s="30">
        <f>COUNTIF('APU''S CONC'!$B:$I,BD!B123)</f>
        <v>0</v>
      </c>
      <c r="H123" s="30">
        <f t="shared" si="12"/>
        <v>1</v>
      </c>
      <c r="I123" s="30" t="str">
        <f t="shared" si="13"/>
        <v>USADO</v>
      </c>
      <c r="K123" s="1224"/>
    </row>
    <row r="124" spans="2:11" ht="18" customHeight="1">
      <c r="B124" s="17" t="s">
        <v>691</v>
      </c>
      <c r="C124" s="22" t="s">
        <v>564</v>
      </c>
      <c r="D124" s="62">
        <f>999000*1.19</f>
        <v>1188810</v>
      </c>
      <c r="F124" s="30">
        <f>COUNTIF('APU''S'!$B:$I,BD!B124)</f>
        <v>1</v>
      </c>
      <c r="G124" s="30">
        <f>COUNTIF('APU''S CONC'!$B:$I,BD!B124)</f>
        <v>0</v>
      </c>
      <c r="H124" s="30">
        <f t="shared" si="12"/>
        <v>1</v>
      </c>
      <c r="I124" s="30" t="str">
        <f t="shared" si="13"/>
        <v>USADO</v>
      </c>
      <c r="K124" s="1224"/>
    </row>
    <row r="125" spans="2:11" ht="18" customHeight="1">
      <c r="B125" s="17" t="s">
        <v>694</v>
      </c>
      <c r="C125" s="22" t="s">
        <v>564</v>
      </c>
      <c r="D125" s="62">
        <f>610000*1.19</f>
        <v>725900</v>
      </c>
      <c r="F125" s="30">
        <f>COUNTIF('APU''S'!$B:$I,BD!B125)</f>
        <v>1</v>
      </c>
      <c r="G125" s="30">
        <f>COUNTIF('APU''S CONC'!$B:$I,BD!B125)</f>
        <v>0</v>
      </c>
      <c r="H125" s="30">
        <f t="shared" si="12"/>
        <v>1</v>
      </c>
      <c r="I125" s="30" t="str">
        <f t="shared" si="13"/>
        <v>USADO</v>
      </c>
      <c r="K125" s="1224"/>
    </row>
    <row r="126" spans="2:11" ht="18" customHeight="1">
      <c r="B126" s="17" t="s">
        <v>697</v>
      </c>
      <c r="C126" s="22" t="s">
        <v>564</v>
      </c>
      <c r="D126" s="62">
        <f>416000*1.19</f>
        <v>495040</v>
      </c>
      <c r="F126" s="30">
        <f>COUNTIF('APU''S'!$B:$I,BD!B126)</f>
        <v>1</v>
      </c>
      <c r="G126" s="30">
        <f>COUNTIF('APU''S CONC'!$B:$I,BD!B126)</f>
        <v>0</v>
      </c>
      <c r="H126" s="30">
        <f t="shared" si="10"/>
        <v>1</v>
      </c>
      <c r="I126" s="30" t="str">
        <f t="shared" si="11"/>
        <v>USADO</v>
      </c>
      <c r="K126" s="1224"/>
    </row>
    <row r="127" spans="2:11" ht="18" customHeight="1">
      <c r="B127" s="17" t="s">
        <v>700</v>
      </c>
      <c r="C127" s="22" t="s">
        <v>564</v>
      </c>
      <c r="D127" s="62">
        <f>322000*1.19</f>
        <v>383180</v>
      </c>
      <c r="F127" s="30">
        <f>COUNTIF('APU''S'!$B:$I,BD!B127)</f>
        <v>1</v>
      </c>
      <c r="G127" s="30">
        <f>COUNTIF('APU''S CONC'!$B:$I,BD!B127)</f>
        <v>0</v>
      </c>
      <c r="H127" s="30">
        <f t="shared" ref="H127" si="14">F127+G127</f>
        <v>1</v>
      </c>
      <c r="I127" s="30" t="str">
        <f t="shared" ref="I127" si="15">IF(H127&gt;=1,"USADO","")</f>
        <v>USADO</v>
      </c>
      <c r="K127" s="1224"/>
    </row>
    <row r="128" spans="2:11" ht="18" customHeight="1">
      <c r="B128" s="17" t="s">
        <v>703</v>
      </c>
      <c r="C128" s="22" t="s">
        <v>564</v>
      </c>
      <c r="D128" s="62">
        <f>250000*1.19</f>
        <v>297500</v>
      </c>
      <c r="F128" s="30">
        <f>COUNTIF('APU''S'!$B:$I,BD!B128)</f>
        <v>1</v>
      </c>
      <c r="G128" s="30">
        <f>COUNTIF('APU''S CONC'!$B:$I,BD!B128)</f>
        <v>0</v>
      </c>
      <c r="H128" s="30">
        <f t="shared" si="4"/>
        <v>1</v>
      </c>
      <c r="I128" s="30" t="str">
        <f t="shared" si="5"/>
        <v>USADO</v>
      </c>
      <c r="K128" s="1224"/>
    </row>
    <row r="129" spans="2:11" ht="18" customHeight="1">
      <c r="B129" s="75" t="s">
        <v>744</v>
      </c>
      <c r="C129" s="22" t="s">
        <v>564</v>
      </c>
      <c r="D129" s="62">
        <f>61002</f>
        <v>61002</v>
      </c>
      <c r="F129" s="30">
        <f>COUNTIF('APU''S'!$B:$I,BD!B129)</f>
        <v>1</v>
      </c>
      <c r="G129" s="30">
        <f>COUNTIF('APU''S CONC'!$B:$I,BD!B129)</f>
        <v>0</v>
      </c>
      <c r="H129" s="30">
        <f t="shared" si="2"/>
        <v>1</v>
      </c>
      <c r="I129" s="30" t="str">
        <f t="shared" si="3"/>
        <v>USADO</v>
      </c>
    </row>
    <row r="130" spans="2:11" ht="18" customHeight="1">
      <c r="B130" s="75" t="s">
        <v>741</v>
      </c>
      <c r="C130" s="22" t="s">
        <v>564</v>
      </c>
      <c r="D130" s="62">
        <f>88888</f>
        <v>88888</v>
      </c>
      <c r="F130" s="30">
        <f>COUNTIF('APU''S'!$B:$I,BD!B130)</f>
        <v>1</v>
      </c>
      <c r="G130" s="30">
        <f>COUNTIF('APU''S CONC'!$B:$I,BD!B130)</f>
        <v>0</v>
      </c>
      <c r="H130" s="30">
        <f t="shared" si="2"/>
        <v>1</v>
      </c>
      <c r="I130" s="30" t="str">
        <f t="shared" si="3"/>
        <v>USADO</v>
      </c>
    </row>
    <row r="131" spans="2:11" ht="18" customHeight="1">
      <c r="B131" s="75" t="s">
        <v>738</v>
      </c>
      <c r="C131" s="22" t="s">
        <v>564</v>
      </c>
      <c r="D131" s="62">
        <f>207538</f>
        <v>207538</v>
      </c>
      <c r="F131" s="30">
        <f>COUNTIF('APU''S'!$B:$I,BD!B131)</f>
        <v>1</v>
      </c>
      <c r="G131" s="30">
        <f>COUNTIF('APU''S CONC'!$B:$I,BD!B131)</f>
        <v>0</v>
      </c>
      <c r="H131" s="30">
        <f t="shared" ref="H131:H161" si="16">F131+G131</f>
        <v>1</v>
      </c>
      <c r="I131" s="30" t="str">
        <f t="shared" ref="I131:I161" si="17">IF(H131&gt;=1,"USADO","")</f>
        <v>USADO</v>
      </c>
    </row>
    <row r="132" spans="2:11" ht="18" customHeight="1">
      <c r="B132" s="75" t="s">
        <v>735</v>
      </c>
      <c r="C132" s="22" t="s">
        <v>564</v>
      </c>
      <c r="D132" s="62">
        <f>381288</f>
        <v>381288</v>
      </c>
      <c r="F132" s="30">
        <f>COUNTIF('APU''S'!$B:$I,BD!B132)</f>
        <v>1</v>
      </c>
      <c r="G132" s="30">
        <f>COUNTIF('APU''S CONC'!$B:$I,BD!B132)</f>
        <v>0</v>
      </c>
      <c r="H132" s="30">
        <f t="shared" si="16"/>
        <v>1</v>
      </c>
      <c r="I132" s="30" t="str">
        <f t="shared" si="17"/>
        <v>USADO</v>
      </c>
    </row>
    <row r="133" spans="2:11" ht="18" customHeight="1">
      <c r="B133" s="75" t="s">
        <v>747</v>
      </c>
      <c r="C133" s="22" t="s">
        <v>564</v>
      </c>
      <c r="D133" s="62">
        <v>448473</v>
      </c>
      <c r="F133" s="30">
        <f>COUNTIF('APU''S'!$B:$I,BD!B133)</f>
        <v>1</v>
      </c>
      <c r="G133" s="30">
        <f>COUNTIF('APU''S CONC'!$B:$I,BD!B133)</f>
        <v>0</v>
      </c>
      <c r="H133" s="30">
        <f t="shared" ref="H133" si="18">F133+G133</f>
        <v>1</v>
      </c>
      <c r="I133" s="30" t="str">
        <f t="shared" ref="I133" si="19">IF(H133&gt;=1,"USADO","")</f>
        <v>USADO</v>
      </c>
      <c r="J133" s="1319" t="s">
        <v>920</v>
      </c>
    </row>
    <row r="134" spans="2:11" ht="18" customHeight="1">
      <c r="B134" s="17" t="s">
        <v>706</v>
      </c>
      <c r="C134" s="22" t="s">
        <v>564</v>
      </c>
      <c r="D134" s="62">
        <f>2941000*1.19</f>
        <v>3499790</v>
      </c>
      <c r="F134" s="30">
        <f>COUNTIF('APU''S'!$B:$I,BD!B134)</f>
        <v>1</v>
      </c>
      <c r="G134" s="30">
        <f>COUNTIF('APU''S CONC'!$B:$I,BD!B134)</f>
        <v>0</v>
      </c>
      <c r="H134" s="30">
        <f t="shared" si="16"/>
        <v>1</v>
      </c>
      <c r="I134" s="30" t="str">
        <f t="shared" si="17"/>
        <v>USADO</v>
      </c>
      <c r="K134" s="1224"/>
    </row>
    <row r="135" spans="2:11" ht="18" customHeight="1">
      <c r="B135" s="17" t="s">
        <v>574</v>
      </c>
      <c r="C135" s="22" t="s">
        <v>564</v>
      </c>
      <c r="D135" s="62">
        <v>60000</v>
      </c>
      <c r="F135" s="30">
        <f>COUNTIF('APU''S'!$B:$I,BD!B135)</f>
        <v>1</v>
      </c>
      <c r="G135" s="30">
        <f>COUNTIF('APU''S CONC'!$B:$I,BD!B135)</f>
        <v>0</v>
      </c>
      <c r="H135" s="30">
        <f t="shared" si="16"/>
        <v>1</v>
      </c>
      <c r="I135" s="30" t="str">
        <f t="shared" si="17"/>
        <v>USADO</v>
      </c>
    </row>
    <row r="136" spans="2:11" ht="18" customHeight="1">
      <c r="B136" s="1509" t="s">
        <v>605</v>
      </c>
      <c r="C136" s="1510" t="s">
        <v>564</v>
      </c>
      <c r="D136" s="62">
        <v>34561</v>
      </c>
      <c r="F136" s="30">
        <f>COUNTIF('APU''S'!$B:$I,BD!B136)</f>
        <v>1</v>
      </c>
      <c r="G136" s="30">
        <f>COUNTIF('APU''S CONC'!$B:$I,BD!B136)</f>
        <v>0</v>
      </c>
      <c r="H136" s="30">
        <f t="shared" si="16"/>
        <v>1</v>
      </c>
      <c r="I136" s="30" t="str">
        <f t="shared" si="17"/>
        <v>USADO</v>
      </c>
    </row>
    <row r="137" spans="2:11" ht="18" customHeight="1">
      <c r="B137" s="1509" t="s">
        <v>606</v>
      </c>
      <c r="C137" s="1510" t="s">
        <v>564</v>
      </c>
      <c r="D137" s="62">
        <v>12200</v>
      </c>
      <c r="F137" s="30">
        <f>COUNTIF('APU''S'!$B:$I,BD!B137)</f>
        <v>1</v>
      </c>
      <c r="G137" s="30">
        <f>COUNTIF('APU''S CONC'!$B:$I,BD!B137)</f>
        <v>0</v>
      </c>
      <c r="H137" s="30">
        <f t="shared" si="16"/>
        <v>1</v>
      </c>
      <c r="I137" s="30" t="str">
        <f t="shared" si="17"/>
        <v>USADO</v>
      </c>
    </row>
    <row r="138" spans="2:11" ht="18" customHeight="1">
      <c r="B138" s="1509" t="s">
        <v>607</v>
      </c>
      <c r="C138" s="1510" t="s">
        <v>564</v>
      </c>
      <c r="D138" s="62">
        <f>3850*1.19</f>
        <v>4581.5</v>
      </c>
      <c r="F138" s="30">
        <f>COUNTIF('APU''S'!$B:$I,BD!B138)</f>
        <v>1</v>
      </c>
      <c r="G138" s="30">
        <f>COUNTIF('APU''S CONC'!$B:$I,BD!B138)</f>
        <v>0</v>
      </c>
      <c r="H138" s="30">
        <f t="shared" si="16"/>
        <v>1</v>
      </c>
      <c r="I138" s="30" t="str">
        <f t="shared" si="17"/>
        <v>USADO</v>
      </c>
    </row>
    <row r="139" spans="2:11" ht="18" customHeight="1">
      <c r="B139" s="1509" t="s">
        <v>608</v>
      </c>
      <c r="C139" s="1510" t="s">
        <v>564</v>
      </c>
      <c r="D139" s="62">
        <v>22900</v>
      </c>
      <c r="F139" s="30">
        <f>COUNTIF('APU''S'!$B:$I,BD!B139)</f>
        <v>1</v>
      </c>
      <c r="G139" s="30">
        <f>COUNTIF('APU''S CONC'!$B:$I,BD!B139)</f>
        <v>0</v>
      </c>
      <c r="H139" s="30">
        <f t="shared" si="16"/>
        <v>1</v>
      </c>
      <c r="I139" s="30" t="str">
        <f t="shared" si="17"/>
        <v>USADO</v>
      </c>
    </row>
    <row r="140" spans="2:11" ht="18" customHeight="1">
      <c r="B140" s="17" t="s">
        <v>609</v>
      </c>
      <c r="C140" s="22" t="s">
        <v>564</v>
      </c>
      <c r="D140" s="62">
        <f>AVERAGE(29371,29884,37988,79880)</f>
        <v>44280.75</v>
      </c>
      <c r="F140" s="30">
        <f>COUNTIF('APU''S'!$B:$I,BD!B140)</f>
        <v>1</v>
      </c>
      <c r="G140" s="30">
        <f>COUNTIF('APU''S CONC'!$B:$I,BD!B140)</f>
        <v>0</v>
      </c>
      <c r="H140" s="30">
        <f t="shared" si="16"/>
        <v>1</v>
      </c>
      <c r="I140" s="30" t="str">
        <f t="shared" si="17"/>
        <v>USADO</v>
      </c>
    </row>
    <row r="141" spans="2:11" ht="18" customHeight="1">
      <c r="B141" s="17" t="s">
        <v>610</v>
      </c>
      <c r="C141" s="22" t="s">
        <v>564</v>
      </c>
      <c r="D141" s="62">
        <v>41871</v>
      </c>
      <c r="F141" s="30">
        <f>COUNTIF('APU''S'!$B:$I,BD!B141)</f>
        <v>1</v>
      </c>
      <c r="G141" s="30">
        <f>COUNTIF('APU''S CONC'!$B:$I,BD!B141)</f>
        <v>0</v>
      </c>
      <c r="H141" s="30">
        <f t="shared" si="16"/>
        <v>1</v>
      </c>
      <c r="I141" s="30" t="str">
        <f t="shared" si="17"/>
        <v>USADO</v>
      </c>
    </row>
    <row r="142" spans="2:11" ht="18" customHeight="1">
      <c r="B142" s="17" t="s">
        <v>611</v>
      </c>
      <c r="C142" s="22" t="s">
        <v>564</v>
      </c>
      <c r="D142" s="62">
        <v>7735</v>
      </c>
      <c r="F142" s="30">
        <f>COUNTIF('APU''S'!$B:$I,BD!B142)</f>
        <v>1</v>
      </c>
      <c r="G142" s="30">
        <f>COUNTIF('APU''S CONC'!$B:$I,BD!B142)</f>
        <v>0</v>
      </c>
      <c r="H142" s="30">
        <f t="shared" si="16"/>
        <v>1</v>
      </c>
      <c r="I142" s="30" t="str">
        <f t="shared" si="17"/>
        <v>USADO</v>
      </c>
    </row>
    <row r="143" spans="2:11" ht="18" customHeight="1">
      <c r="B143" s="17" t="s">
        <v>612</v>
      </c>
      <c r="C143" s="22" t="s">
        <v>299</v>
      </c>
      <c r="D143" s="62">
        <v>3423</v>
      </c>
      <c r="F143" s="30">
        <f>COUNTIF('APU''S'!$B:$I,BD!B143)</f>
        <v>1</v>
      </c>
      <c r="G143" s="30">
        <f>COUNTIF('APU''S CONC'!$B:$I,BD!B143)</f>
        <v>0</v>
      </c>
      <c r="H143" s="30">
        <f t="shared" si="16"/>
        <v>1</v>
      </c>
      <c r="I143" s="30" t="str">
        <f t="shared" si="17"/>
        <v>USADO</v>
      </c>
    </row>
    <row r="144" spans="2:11" ht="18" customHeight="1">
      <c r="B144" s="1726" t="s">
        <v>921</v>
      </c>
      <c r="C144" s="1727"/>
      <c r="D144" s="1728"/>
      <c r="F144"/>
      <c r="G144"/>
      <c r="H144"/>
      <c r="I144"/>
    </row>
    <row r="145" spans="2:9" ht="18" customHeight="1">
      <c r="B145" s="1512" t="s">
        <v>887</v>
      </c>
      <c r="C145" s="1512" t="s">
        <v>492</v>
      </c>
      <c r="D145" s="1512" t="s">
        <v>493</v>
      </c>
      <c r="F145"/>
      <c r="G145"/>
      <c r="H145"/>
      <c r="I145"/>
    </row>
    <row r="146" spans="2:9" ht="18" customHeight="1">
      <c r="B146" s="17" t="s">
        <v>873</v>
      </c>
      <c r="C146" s="22" t="s">
        <v>922</v>
      </c>
      <c r="D146" s="62">
        <v>50</v>
      </c>
      <c r="F146" s="30">
        <f>COUNTIF('APU''S'!$B:$I,BD!B146)</f>
        <v>0</v>
      </c>
      <c r="G146" s="30">
        <f>COUNTIF('APU''S CONC'!$B:$I,BD!B146)</f>
        <v>12</v>
      </c>
      <c r="H146" s="30">
        <f t="shared" si="16"/>
        <v>12</v>
      </c>
      <c r="I146" s="30" t="str">
        <f t="shared" si="17"/>
        <v>USADO</v>
      </c>
    </row>
    <row r="147" spans="2:9" ht="18" customHeight="1">
      <c r="B147" s="17" t="s">
        <v>508</v>
      </c>
      <c r="C147" s="22" t="s">
        <v>299</v>
      </c>
      <c r="D147" s="62">
        <f>1664*2.1</f>
        <v>3494.4</v>
      </c>
      <c r="F147" s="30">
        <f>COUNTIF('APU''S'!$B:$I,BD!B147)</f>
        <v>1</v>
      </c>
      <c r="G147" s="30">
        <f>COUNTIF('APU''S CONC'!$B:$I,BD!B147)</f>
        <v>0</v>
      </c>
      <c r="H147" s="30">
        <f t="shared" si="16"/>
        <v>1</v>
      </c>
      <c r="I147" s="30" t="str">
        <f t="shared" si="17"/>
        <v>USADO</v>
      </c>
    </row>
    <row r="148" spans="2:9" ht="18" customHeight="1">
      <c r="B148" s="17" t="s">
        <v>509</v>
      </c>
      <c r="C148" s="22" t="s">
        <v>299</v>
      </c>
      <c r="D148" s="62">
        <v>13000</v>
      </c>
      <c r="F148" s="30">
        <f>COUNTIF('APU''S'!$B:$I,BD!B148)</f>
        <v>1</v>
      </c>
      <c r="G148" s="30">
        <f>COUNTIF('APU''S CONC'!$B:$I,BD!B148)</f>
        <v>0</v>
      </c>
      <c r="H148" s="30">
        <f t="shared" si="16"/>
        <v>1</v>
      </c>
      <c r="I148" s="30" t="str">
        <f t="shared" si="17"/>
        <v>USADO</v>
      </c>
    </row>
    <row r="149" spans="2:9" ht="18" customHeight="1">
      <c r="B149" s="17" t="s">
        <v>518</v>
      </c>
      <c r="C149" s="22" t="s">
        <v>505</v>
      </c>
      <c r="D149" s="62">
        <v>800000</v>
      </c>
      <c r="F149" s="30">
        <f>COUNTIF('APU''S'!$B:$I,BD!B149)</f>
        <v>1</v>
      </c>
      <c r="G149" s="30">
        <f>COUNTIF('APU''S CONC'!$B:$I,BD!B149)</f>
        <v>0</v>
      </c>
      <c r="H149" s="30">
        <f t="shared" si="16"/>
        <v>1</v>
      </c>
      <c r="I149" s="30" t="str">
        <f t="shared" si="17"/>
        <v>USADO</v>
      </c>
    </row>
    <row r="150" spans="2:9" ht="18" customHeight="1">
      <c r="B150" s="17" t="s">
        <v>539</v>
      </c>
      <c r="C150" s="22" t="s">
        <v>890</v>
      </c>
      <c r="D150" s="62">
        <v>52000</v>
      </c>
      <c r="F150" s="30">
        <f>COUNTIF('APU''S'!$B:$I,BD!B150)</f>
        <v>1</v>
      </c>
      <c r="G150" s="30">
        <f>COUNTIF('APU''S CONC'!$B:$I,BD!B150)</f>
        <v>0</v>
      </c>
      <c r="H150" s="30">
        <f t="shared" si="16"/>
        <v>1</v>
      </c>
      <c r="I150" s="30" t="str">
        <f t="shared" si="17"/>
        <v>USADO</v>
      </c>
    </row>
    <row r="151" spans="2:9" ht="18" customHeight="1">
      <c r="B151" s="17" t="s">
        <v>776</v>
      </c>
      <c r="C151" s="22" t="s">
        <v>498</v>
      </c>
      <c r="D151" s="62">
        <v>1600</v>
      </c>
      <c r="F151" s="30">
        <f>COUNTIF('APU''S'!$B:$I,BD!B151)</f>
        <v>6</v>
      </c>
      <c r="G151" s="30">
        <f>COUNTIF('APU''S CONC'!$B:$I,BD!B151)</f>
        <v>0</v>
      </c>
      <c r="H151" s="30">
        <f t="shared" si="16"/>
        <v>6</v>
      </c>
      <c r="I151" s="30" t="str">
        <f t="shared" si="17"/>
        <v>USADO</v>
      </c>
    </row>
    <row r="152" spans="2:9" ht="18" customHeight="1">
      <c r="B152" s="17" t="s">
        <v>557</v>
      </c>
      <c r="C152" s="22" t="s">
        <v>564</v>
      </c>
      <c r="D152" s="62">
        <v>8000</v>
      </c>
      <c r="F152" s="30">
        <f>COUNTIF('APU''S'!$B:$I,BD!B152)</f>
        <v>1</v>
      </c>
      <c r="G152" s="30">
        <f>COUNTIF('APU''S CONC'!$B:$I,BD!B152)</f>
        <v>0</v>
      </c>
      <c r="H152" s="30">
        <f t="shared" si="16"/>
        <v>1</v>
      </c>
      <c r="I152" s="30" t="str">
        <f t="shared" si="17"/>
        <v>USADO</v>
      </c>
    </row>
    <row r="153" spans="2:9" ht="18" customHeight="1">
      <c r="B153" s="17" t="s">
        <v>562</v>
      </c>
      <c r="C153" s="22" t="s">
        <v>564</v>
      </c>
      <c r="D153" s="62">
        <v>280000</v>
      </c>
      <c r="F153" s="30">
        <f>COUNTIF('APU''S'!$B:$I,BD!B153)</f>
        <v>1</v>
      </c>
      <c r="G153" s="30">
        <f>COUNTIF('APU''S CONC'!$B:$I,BD!B153)</f>
        <v>0</v>
      </c>
      <c r="H153" s="30">
        <f t="shared" si="16"/>
        <v>1</v>
      </c>
      <c r="I153" s="30" t="str">
        <f t="shared" si="17"/>
        <v>USADO</v>
      </c>
    </row>
    <row r="154" spans="2:9" ht="18" customHeight="1">
      <c r="B154" s="1361" t="s">
        <v>569</v>
      </c>
      <c r="C154" s="22" t="s">
        <v>564</v>
      </c>
      <c r="D154" s="62">
        <v>600000</v>
      </c>
      <c r="F154" s="30">
        <f>COUNTIF('APU''S'!$B:$I,BD!B154)</f>
        <v>1</v>
      </c>
      <c r="G154" s="30">
        <f>COUNTIF('APU''S CONC'!$B:$I,BD!B154)</f>
        <v>0</v>
      </c>
      <c r="H154" s="30">
        <f t="shared" si="16"/>
        <v>1</v>
      </c>
      <c r="I154" s="30" t="str">
        <f t="shared" si="17"/>
        <v>USADO</v>
      </c>
    </row>
    <row r="155" spans="2:9" ht="18" customHeight="1">
      <c r="B155" s="17" t="s">
        <v>590</v>
      </c>
      <c r="C155" s="22" t="s">
        <v>629</v>
      </c>
      <c r="D155" s="62">
        <v>13804</v>
      </c>
      <c r="F155" s="30">
        <f>COUNTIF('APU''S'!$B:$I,BD!B155)</f>
        <v>1</v>
      </c>
      <c r="G155" s="30">
        <f>COUNTIF('APU''S CONC'!$B:$I,BD!B155)</f>
        <v>0</v>
      </c>
      <c r="H155" s="30">
        <f t="shared" si="16"/>
        <v>1</v>
      </c>
      <c r="I155" s="30" t="str">
        <f t="shared" si="17"/>
        <v>USADO</v>
      </c>
    </row>
    <row r="156" spans="2:9" ht="18" customHeight="1">
      <c r="B156" s="17" t="s">
        <v>591</v>
      </c>
      <c r="C156" s="22" t="s">
        <v>299</v>
      </c>
      <c r="D156" s="62">
        <v>1925</v>
      </c>
      <c r="F156" s="30">
        <f>COUNTIF('APU''S'!$B:$I,BD!B156)</f>
        <v>1</v>
      </c>
      <c r="G156" s="30">
        <f>COUNTIF('APU''S CONC'!$B:$I,BD!B156)</f>
        <v>0</v>
      </c>
      <c r="H156" s="30">
        <f t="shared" si="16"/>
        <v>1</v>
      </c>
      <c r="I156" s="30" t="str">
        <f t="shared" si="17"/>
        <v>USADO</v>
      </c>
    </row>
    <row r="157" spans="2:9" ht="18" customHeight="1">
      <c r="B157" s="17" t="s">
        <v>582</v>
      </c>
      <c r="C157" s="22" t="s">
        <v>564</v>
      </c>
      <c r="D157" s="62">
        <v>21000</v>
      </c>
      <c r="F157" s="30">
        <f>COUNTIF('APU''S'!$B:$I,BD!B157)</f>
        <v>1</v>
      </c>
      <c r="G157" s="30">
        <f>COUNTIF('APU''S CONC'!$B:$I,BD!B157)</f>
        <v>0</v>
      </c>
      <c r="H157" s="30">
        <f t="shared" si="16"/>
        <v>1</v>
      </c>
      <c r="I157" s="30" t="str">
        <f t="shared" si="17"/>
        <v>USADO</v>
      </c>
    </row>
    <row r="158" spans="2:9" ht="18" customHeight="1">
      <c r="B158" s="17" t="s">
        <v>923</v>
      </c>
      <c r="C158" s="22" t="s">
        <v>583</v>
      </c>
      <c r="D158" s="62">
        <f>2463</f>
        <v>2463</v>
      </c>
      <c r="F158" s="30">
        <f>COUNTIF('APU''S'!$B:$I,BD!B158)</f>
        <v>0</v>
      </c>
      <c r="G158" s="30">
        <f>COUNTIF('APU''S CONC'!$B:$I,BD!B158)</f>
        <v>0</v>
      </c>
      <c r="H158" s="30">
        <f t="shared" si="16"/>
        <v>0</v>
      </c>
      <c r="I158" s="30" t="str">
        <f t="shared" si="17"/>
        <v/>
      </c>
    </row>
    <row r="159" spans="2:9" ht="18" customHeight="1">
      <c r="B159" s="17" t="s">
        <v>628</v>
      </c>
      <c r="C159" s="22" t="s">
        <v>629</v>
      </c>
      <c r="D159" s="62">
        <v>25000</v>
      </c>
      <c r="F159" s="30">
        <f>COUNTIF('APU''S'!$B:$I,BD!B159)</f>
        <v>1</v>
      </c>
      <c r="G159" s="30">
        <f>COUNTIF('APU''S CONC'!$B:$I,BD!B159)</f>
        <v>0</v>
      </c>
      <c r="H159" s="30">
        <f t="shared" si="16"/>
        <v>1</v>
      </c>
      <c r="I159" s="30" t="str">
        <f t="shared" si="17"/>
        <v>USADO</v>
      </c>
    </row>
    <row r="160" spans="2:9" ht="18" customHeight="1">
      <c r="B160" s="17" t="s">
        <v>577</v>
      </c>
      <c r="C160" s="22" t="s">
        <v>564</v>
      </c>
      <c r="D160" s="62">
        <v>3500</v>
      </c>
      <c r="F160" s="30">
        <f>COUNTIF('APU''S'!$B:$I,BD!B160)</f>
        <v>1</v>
      </c>
      <c r="G160" s="30">
        <f>COUNTIF('APU''S CONC'!$B:$I,BD!B160)</f>
        <v>0</v>
      </c>
      <c r="H160" s="30">
        <f t="shared" si="16"/>
        <v>1</v>
      </c>
      <c r="I160" s="30" t="str">
        <f t="shared" si="17"/>
        <v>USADO</v>
      </c>
    </row>
    <row r="161" spans="2:9" ht="18" customHeight="1">
      <c r="B161" s="17" t="s">
        <v>572</v>
      </c>
      <c r="C161" s="22" t="s">
        <v>564</v>
      </c>
      <c r="D161" s="62">
        <v>48900</v>
      </c>
      <c r="F161" s="30">
        <f>COUNTIF('APU''S'!$B:$I,BD!B161)</f>
        <v>1</v>
      </c>
      <c r="G161" s="30">
        <f>COUNTIF('APU''S CONC'!$B:$I,BD!B161)</f>
        <v>0</v>
      </c>
      <c r="H161" s="30">
        <f t="shared" si="16"/>
        <v>1</v>
      </c>
      <c r="I161" s="30" t="str">
        <f t="shared" si="17"/>
        <v>USADO</v>
      </c>
    </row>
  </sheetData>
  <mergeCells count="11">
    <mergeCell ref="B2:D2"/>
    <mergeCell ref="B12:D12"/>
    <mergeCell ref="B18:D18"/>
    <mergeCell ref="B32:D32"/>
    <mergeCell ref="B43:D43"/>
    <mergeCell ref="B77:D77"/>
    <mergeCell ref="B87:D87"/>
    <mergeCell ref="B90:D90"/>
    <mergeCell ref="B144:D144"/>
    <mergeCell ref="B52:D52"/>
    <mergeCell ref="B57:D57"/>
  </mergeCells>
  <phoneticPr fontId="7" type="noConversion"/>
  <conditionalFormatting sqref="H4:H11 H14:H17 H20:H31 H34:H42 H45:H51 H54:H56 H59:H76 H79:H86 H89 H92:H143 H146:H161">
    <cfRule type="cellIs" dxfId="135" priority="6" operator="equal">
      <formula>0</formula>
    </cfRule>
  </conditionalFormatting>
  <conditionalFormatting sqref="H12:H13 I92:I143">
    <cfRule type="cellIs" dxfId="134" priority="3" operator="equal">
      <formula>"USADO"</formula>
    </cfRule>
  </conditionalFormatting>
  <conditionalFormatting sqref="H18:H19">
    <cfRule type="cellIs" dxfId="133" priority="1" operator="equal">
      <formula>"USADO"</formula>
    </cfRule>
  </conditionalFormatting>
  <conditionalFormatting sqref="I4:I31 I34:I42 I45:I51 I54:I56 I59:I76 I79:I86 I89 I146:I161">
    <cfRule type="cellIs" dxfId="132" priority="5" operator="equal">
      <formula>"USADO"</formula>
    </cfRule>
  </conditionalFormatting>
  <hyperlinks>
    <hyperlink ref="J133" r:id="rId1" xr:uid="{00000000-0004-0000-0900-000000000000}"/>
  </hyperlinks>
  <pageMargins left="0.7" right="0.7" top="0.75" bottom="0.75" header="0.3" footer="0.3"/>
  <pageSetup paperSize="9" scale="7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B1:S67"/>
  <sheetViews>
    <sheetView tabSelected="1" topLeftCell="A5" zoomScale="60" zoomScaleNormal="60" workbookViewId="0">
      <selection activeCell="J45" sqref="J45"/>
    </sheetView>
  </sheetViews>
  <sheetFormatPr baseColWidth="10" defaultColWidth="11.42578125" defaultRowHeight="19.5"/>
  <cols>
    <col min="1" max="1" width="2.85546875" style="35" customWidth="1"/>
    <col min="2" max="2" width="17.140625" style="56" customWidth="1"/>
    <col min="3" max="3" width="57.140625" style="56" customWidth="1"/>
    <col min="4" max="4" width="7.140625" style="57" customWidth="1"/>
    <col min="5" max="5" width="12.85546875" style="59" customWidth="1"/>
    <col min="6" max="6" width="15.140625" style="59" customWidth="1"/>
    <col min="7" max="7" width="15.7109375" style="58" customWidth="1"/>
    <col min="8" max="9" width="26.7109375" style="59" customWidth="1"/>
    <col min="10" max="10" width="21.42578125" style="1343" customWidth="1"/>
    <col min="11" max="11" width="2.85546875" customWidth="1"/>
    <col min="12" max="12" width="2.85546875" style="35" customWidth="1"/>
    <col min="13" max="13" width="106.85546875" style="35" customWidth="1"/>
    <col min="14" max="14" width="38.7109375" style="35" bestFit="1" customWidth="1"/>
    <col min="15" max="15" width="21.5703125" style="35" customWidth="1"/>
    <col min="16" max="16" width="20.42578125" style="35" bestFit="1" customWidth="1"/>
    <col min="17" max="17" width="16.7109375" style="35" bestFit="1" customWidth="1"/>
    <col min="18" max="18" width="8.140625" style="35" bestFit="1" customWidth="1"/>
    <col min="19" max="19" width="17.5703125" style="35" bestFit="1" customWidth="1"/>
    <col min="20" max="260" width="9.140625" style="35"/>
    <col min="261" max="261" width="17.140625" style="35" customWidth="1"/>
    <col min="262" max="262" width="45.5703125" style="35" customWidth="1"/>
    <col min="263" max="263" width="7.140625" style="35" customWidth="1"/>
    <col min="264" max="264" width="13.7109375" style="35" customWidth="1"/>
    <col min="265" max="265" width="11.140625" style="35" bestFit="1" customWidth="1"/>
    <col min="266" max="266" width="9.5703125" style="35" customWidth="1"/>
    <col min="267" max="267" width="13.140625" style="35" bestFit="1" customWidth="1"/>
    <col min="268" max="268" width="20.28515625" style="35" customWidth="1"/>
    <col min="269" max="269" width="11.42578125" style="35" customWidth="1"/>
    <col min="270" max="270" width="47.28515625" style="35" bestFit="1" customWidth="1"/>
    <col min="271" max="271" width="17.42578125" style="35" customWidth="1"/>
    <col min="272" max="272" width="18.7109375" style="35" bestFit="1" customWidth="1"/>
    <col min="273" max="273" width="16.7109375" style="35" bestFit="1" customWidth="1"/>
    <col min="274" max="274" width="8.140625" style="35" bestFit="1" customWidth="1"/>
    <col min="275" max="275" width="16.42578125" style="35" bestFit="1" customWidth="1"/>
    <col min="276" max="516" width="9.140625" style="35"/>
    <col min="517" max="517" width="17.140625" style="35" customWidth="1"/>
    <col min="518" max="518" width="45.5703125" style="35" customWidth="1"/>
    <col min="519" max="519" width="7.140625" style="35" customWidth="1"/>
    <col min="520" max="520" width="13.7109375" style="35" customWidth="1"/>
    <col min="521" max="521" width="11.140625" style="35" bestFit="1" customWidth="1"/>
    <col min="522" max="522" width="9.5703125" style="35" customWidth="1"/>
    <col min="523" max="523" width="13.140625" style="35" bestFit="1" customWidth="1"/>
    <col min="524" max="524" width="20.28515625" style="35" customWidth="1"/>
    <col min="525" max="525" width="11.42578125" style="35" customWidth="1"/>
    <col min="526" max="526" width="47.28515625" style="35" bestFit="1" customWidth="1"/>
    <col min="527" max="527" width="17.42578125" style="35" customWidth="1"/>
    <col min="528" max="528" width="18.7109375" style="35" bestFit="1" customWidth="1"/>
    <col min="529" max="529" width="16.7109375" style="35" bestFit="1" customWidth="1"/>
    <col min="530" max="530" width="8.140625" style="35" bestFit="1" customWidth="1"/>
    <col min="531" max="531" width="16.42578125" style="35" bestFit="1" customWidth="1"/>
    <col min="532" max="772" width="9.140625" style="35"/>
    <col min="773" max="773" width="17.140625" style="35" customWidth="1"/>
    <col min="774" max="774" width="45.5703125" style="35" customWidth="1"/>
    <col min="775" max="775" width="7.140625" style="35" customWidth="1"/>
    <col min="776" max="776" width="13.7109375" style="35" customWidth="1"/>
    <col min="777" max="777" width="11.140625" style="35" bestFit="1" customWidth="1"/>
    <col min="778" max="778" width="9.5703125" style="35" customWidth="1"/>
    <col min="779" max="779" width="13.140625" style="35" bestFit="1" customWidth="1"/>
    <col min="780" max="780" width="20.28515625" style="35" customWidth="1"/>
    <col min="781" max="781" width="11.42578125" style="35" customWidth="1"/>
    <col min="782" max="782" width="47.28515625" style="35" bestFit="1" customWidth="1"/>
    <col min="783" max="783" width="17.42578125" style="35" customWidth="1"/>
    <col min="784" max="784" width="18.7109375" style="35" bestFit="1" customWidth="1"/>
    <col min="785" max="785" width="16.7109375" style="35" bestFit="1" customWidth="1"/>
    <col min="786" max="786" width="8.140625" style="35" bestFit="1" customWidth="1"/>
    <col min="787" max="787" width="16.42578125" style="35" bestFit="1" customWidth="1"/>
    <col min="788" max="1028" width="9.140625" style="35"/>
    <col min="1029" max="1029" width="17.140625" style="35" customWidth="1"/>
    <col min="1030" max="1030" width="45.5703125" style="35" customWidth="1"/>
    <col min="1031" max="1031" width="7.140625" style="35" customWidth="1"/>
    <col min="1032" max="1032" width="13.7109375" style="35" customWidth="1"/>
    <col min="1033" max="1033" width="11.140625" style="35" bestFit="1" customWidth="1"/>
    <col min="1034" max="1034" width="9.5703125" style="35" customWidth="1"/>
    <col min="1035" max="1035" width="13.140625" style="35" bestFit="1" customWidth="1"/>
    <col min="1036" max="1036" width="20.28515625" style="35" customWidth="1"/>
    <col min="1037" max="1037" width="11.42578125" style="35" customWidth="1"/>
    <col min="1038" max="1038" width="47.28515625" style="35" bestFit="1" customWidth="1"/>
    <col min="1039" max="1039" width="17.42578125" style="35" customWidth="1"/>
    <col min="1040" max="1040" width="18.7109375" style="35" bestFit="1" customWidth="1"/>
    <col min="1041" max="1041" width="16.7109375" style="35" bestFit="1" customWidth="1"/>
    <col min="1042" max="1042" width="8.140625" style="35" bestFit="1" customWidth="1"/>
    <col min="1043" max="1043" width="16.42578125" style="35" bestFit="1" customWidth="1"/>
    <col min="1044" max="1284" width="9.140625" style="35"/>
    <col min="1285" max="1285" width="17.140625" style="35" customWidth="1"/>
    <col min="1286" max="1286" width="45.5703125" style="35" customWidth="1"/>
    <col min="1287" max="1287" width="7.140625" style="35" customWidth="1"/>
    <col min="1288" max="1288" width="13.7109375" style="35" customWidth="1"/>
    <col min="1289" max="1289" width="11.140625" style="35" bestFit="1" customWidth="1"/>
    <col min="1290" max="1290" width="9.5703125" style="35" customWidth="1"/>
    <col min="1291" max="1291" width="13.140625" style="35" bestFit="1" customWidth="1"/>
    <col min="1292" max="1292" width="20.28515625" style="35" customWidth="1"/>
    <col min="1293" max="1293" width="11.42578125" style="35" customWidth="1"/>
    <col min="1294" max="1294" width="47.28515625" style="35" bestFit="1" customWidth="1"/>
    <col min="1295" max="1295" width="17.42578125" style="35" customWidth="1"/>
    <col min="1296" max="1296" width="18.7109375" style="35" bestFit="1" customWidth="1"/>
    <col min="1297" max="1297" width="16.7109375" style="35" bestFit="1" customWidth="1"/>
    <col min="1298" max="1298" width="8.140625" style="35" bestFit="1" customWidth="1"/>
    <col min="1299" max="1299" width="16.42578125" style="35" bestFit="1" customWidth="1"/>
    <col min="1300" max="1540" width="9.140625" style="35"/>
    <col min="1541" max="1541" width="17.140625" style="35" customWidth="1"/>
    <col min="1542" max="1542" width="45.5703125" style="35" customWidth="1"/>
    <col min="1543" max="1543" width="7.140625" style="35" customWidth="1"/>
    <col min="1544" max="1544" width="13.7109375" style="35" customWidth="1"/>
    <col min="1545" max="1545" width="11.140625" style="35" bestFit="1" customWidth="1"/>
    <col min="1546" max="1546" width="9.5703125" style="35" customWidth="1"/>
    <col min="1547" max="1547" width="13.140625" style="35" bestFit="1" customWidth="1"/>
    <col min="1548" max="1548" width="20.28515625" style="35" customWidth="1"/>
    <col min="1549" max="1549" width="11.42578125" style="35" customWidth="1"/>
    <col min="1550" max="1550" width="47.28515625" style="35" bestFit="1" customWidth="1"/>
    <col min="1551" max="1551" width="17.42578125" style="35" customWidth="1"/>
    <col min="1552" max="1552" width="18.7109375" style="35" bestFit="1" customWidth="1"/>
    <col min="1553" max="1553" width="16.7109375" style="35" bestFit="1" customWidth="1"/>
    <col min="1554" max="1554" width="8.140625" style="35" bestFit="1" customWidth="1"/>
    <col min="1555" max="1555" width="16.42578125" style="35" bestFit="1" customWidth="1"/>
    <col min="1556" max="1796" width="9.140625" style="35"/>
    <col min="1797" max="1797" width="17.140625" style="35" customWidth="1"/>
    <col min="1798" max="1798" width="45.5703125" style="35" customWidth="1"/>
    <col min="1799" max="1799" width="7.140625" style="35" customWidth="1"/>
    <col min="1800" max="1800" width="13.7109375" style="35" customWidth="1"/>
    <col min="1801" max="1801" width="11.140625" style="35" bestFit="1" customWidth="1"/>
    <col min="1802" max="1802" width="9.5703125" style="35" customWidth="1"/>
    <col min="1803" max="1803" width="13.140625" style="35" bestFit="1" customWidth="1"/>
    <col min="1804" max="1804" width="20.28515625" style="35" customWidth="1"/>
    <col min="1805" max="1805" width="11.42578125" style="35" customWidth="1"/>
    <col min="1806" max="1806" width="47.28515625" style="35" bestFit="1" customWidth="1"/>
    <col min="1807" max="1807" width="17.42578125" style="35" customWidth="1"/>
    <col min="1808" max="1808" width="18.7109375" style="35" bestFit="1" customWidth="1"/>
    <col min="1809" max="1809" width="16.7109375" style="35" bestFit="1" customWidth="1"/>
    <col min="1810" max="1810" width="8.140625" style="35" bestFit="1" customWidth="1"/>
    <col min="1811" max="1811" width="16.42578125" style="35" bestFit="1" customWidth="1"/>
    <col min="1812" max="2052" width="9.140625" style="35"/>
    <col min="2053" max="2053" width="17.140625" style="35" customWidth="1"/>
    <col min="2054" max="2054" width="45.5703125" style="35" customWidth="1"/>
    <col min="2055" max="2055" width="7.140625" style="35" customWidth="1"/>
    <col min="2056" max="2056" width="13.7109375" style="35" customWidth="1"/>
    <col min="2057" max="2057" width="11.140625" style="35" bestFit="1" customWidth="1"/>
    <col min="2058" max="2058" width="9.5703125" style="35" customWidth="1"/>
    <col min="2059" max="2059" width="13.140625" style="35" bestFit="1" customWidth="1"/>
    <col min="2060" max="2060" width="20.28515625" style="35" customWidth="1"/>
    <col min="2061" max="2061" width="11.42578125" style="35" customWidth="1"/>
    <col min="2062" max="2062" width="47.28515625" style="35" bestFit="1" customWidth="1"/>
    <col min="2063" max="2063" width="17.42578125" style="35" customWidth="1"/>
    <col min="2064" max="2064" width="18.7109375" style="35" bestFit="1" customWidth="1"/>
    <col min="2065" max="2065" width="16.7109375" style="35" bestFit="1" customWidth="1"/>
    <col min="2066" max="2066" width="8.140625" style="35" bestFit="1" customWidth="1"/>
    <col min="2067" max="2067" width="16.42578125" style="35" bestFit="1" customWidth="1"/>
    <col min="2068" max="2308" width="9.140625" style="35"/>
    <col min="2309" max="2309" width="17.140625" style="35" customWidth="1"/>
    <col min="2310" max="2310" width="45.5703125" style="35" customWidth="1"/>
    <col min="2311" max="2311" width="7.140625" style="35" customWidth="1"/>
    <col min="2312" max="2312" width="13.7109375" style="35" customWidth="1"/>
    <col min="2313" max="2313" width="11.140625" style="35" bestFit="1" customWidth="1"/>
    <col min="2314" max="2314" width="9.5703125" style="35" customWidth="1"/>
    <col min="2315" max="2315" width="13.140625" style="35" bestFit="1" customWidth="1"/>
    <col min="2316" max="2316" width="20.28515625" style="35" customWidth="1"/>
    <col min="2317" max="2317" width="11.42578125" style="35" customWidth="1"/>
    <col min="2318" max="2318" width="47.28515625" style="35" bestFit="1" customWidth="1"/>
    <col min="2319" max="2319" width="17.42578125" style="35" customWidth="1"/>
    <col min="2320" max="2320" width="18.7109375" style="35" bestFit="1" customWidth="1"/>
    <col min="2321" max="2321" width="16.7109375" style="35" bestFit="1" customWidth="1"/>
    <col min="2322" max="2322" width="8.140625" style="35" bestFit="1" customWidth="1"/>
    <col min="2323" max="2323" width="16.42578125" style="35" bestFit="1" customWidth="1"/>
    <col min="2324" max="2564" width="9.140625" style="35"/>
    <col min="2565" max="2565" width="17.140625" style="35" customWidth="1"/>
    <col min="2566" max="2566" width="45.5703125" style="35" customWidth="1"/>
    <col min="2567" max="2567" width="7.140625" style="35" customWidth="1"/>
    <col min="2568" max="2568" width="13.7109375" style="35" customWidth="1"/>
    <col min="2569" max="2569" width="11.140625" style="35" bestFit="1" customWidth="1"/>
    <col min="2570" max="2570" width="9.5703125" style="35" customWidth="1"/>
    <col min="2571" max="2571" width="13.140625" style="35" bestFit="1" customWidth="1"/>
    <col min="2572" max="2572" width="20.28515625" style="35" customWidth="1"/>
    <col min="2573" max="2573" width="11.42578125" style="35" customWidth="1"/>
    <col min="2574" max="2574" width="47.28515625" style="35" bestFit="1" customWidth="1"/>
    <col min="2575" max="2575" width="17.42578125" style="35" customWidth="1"/>
    <col min="2576" max="2576" width="18.7109375" style="35" bestFit="1" customWidth="1"/>
    <col min="2577" max="2577" width="16.7109375" style="35" bestFit="1" customWidth="1"/>
    <col min="2578" max="2578" width="8.140625" style="35" bestFit="1" customWidth="1"/>
    <col min="2579" max="2579" width="16.42578125" style="35" bestFit="1" customWidth="1"/>
    <col min="2580" max="2820" width="9.140625" style="35"/>
    <col min="2821" max="2821" width="17.140625" style="35" customWidth="1"/>
    <col min="2822" max="2822" width="45.5703125" style="35" customWidth="1"/>
    <col min="2823" max="2823" width="7.140625" style="35" customWidth="1"/>
    <col min="2824" max="2824" width="13.7109375" style="35" customWidth="1"/>
    <col min="2825" max="2825" width="11.140625" style="35" bestFit="1" customWidth="1"/>
    <col min="2826" max="2826" width="9.5703125" style="35" customWidth="1"/>
    <col min="2827" max="2827" width="13.140625" style="35" bestFit="1" customWidth="1"/>
    <col min="2828" max="2828" width="20.28515625" style="35" customWidth="1"/>
    <col min="2829" max="2829" width="11.42578125" style="35" customWidth="1"/>
    <col min="2830" max="2830" width="47.28515625" style="35" bestFit="1" customWidth="1"/>
    <col min="2831" max="2831" width="17.42578125" style="35" customWidth="1"/>
    <col min="2832" max="2832" width="18.7109375" style="35" bestFit="1" customWidth="1"/>
    <col min="2833" max="2833" width="16.7109375" style="35" bestFit="1" customWidth="1"/>
    <col min="2834" max="2834" width="8.140625" style="35" bestFit="1" customWidth="1"/>
    <col min="2835" max="2835" width="16.42578125" style="35" bestFit="1" customWidth="1"/>
    <col min="2836" max="3076" width="9.140625" style="35"/>
    <col min="3077" max="3077" width="17.140625" style="35" customWidth="1"/>
    <col min="3078" max="3078" width="45.5703125" style="35" customWidth="1"/>
    <col min="3079" max="3079" width="7.140625" style="35" customWidth="1"/>
    <col min="3080" max="3080" width="13.7109375" style="35" customWidth="1"/>
    <col min="3081" max="3081" width="11.140625" style="35" bestFit="1" customWidth="1"/>
    <col min="3082" max="3082" width="9.5703125" style="35" customWidth="1"/>
    <col min="3083" max="3083" width="13.140625" style="35" bestFit="1" customWidth="1"/>
    <col min="3084" max="3084" width="20.28515625" style="35" customWidth="1"/>
    <col min="3085" max="3085" width="11.42578125" style="35" customWidth="1"/>
    <col min="3086" max="3086" width="47.28515625" style="35" bestFit="1" customWidth="1"/>
    <col min="3087" max="3087" width="17.42578125" style="35" customWidth="1"/>
    <col min="3088" max="3088" width="18.7109375" style="35" bestFit="1" customWidth="1"/>
    <col min="3089" max="3089" width="16.7109375" style="35" bestFit="1" customWidth="1"/>
    <col min="3090" max="3090" width="8.140625" style="35" bestFit="1" customWidth="1"/>
    <col min="3091" max="3091" width="16.42578125" style="35" bestFit="1" customWidth="1"/>
    <col min="3092" max="3332" width="9.140625" style="35"/>
    <col min="3333" max="3333" width="17.140625" style="35" customWidth="1"/>
    <col min="3334" max="3334" width="45.5703125" style="35" customWidth="1"/>
    <col min="3335" max="3335" width="7.140625" style="35" customWidth="1"/>
    <col min="3336" max="3336" width="13.7109375" style="35" customWidth="1"/>
    <col min="3337" max="3337" width="11.140625" style="35" bestFit="1" customWidth="1"/>
    <col min="3338" max="3338" width="9.5703125" style="35" customWidth="1"/>
    <col min="3339" max="3339" width="13.140625" style="35" bestFit="1" customWidth="1"/>
    <col min="3340" max="3340" width="20.28515625" style="35" customWidth="1"/>
    <col min="3341" max="3341" width="11.42578125" style="35" customWidth="1"/>
    <col min="3342" max="3342" width="47.28515625" style="35" bestFit="1" customWidth="1"/>
    <col min="3343" max="3343" width="17.42578125" style="35" customWidth="1"/>
    <col min="3344" max="3344" width="18.7109375" style="35" bestFit="1" customWidth="1"/>
    <col min="3345" max="3345" width="16.7109375" style="35" bestFit="1" customWidth="1"/>
    <col min="3346" max="3346" width="8.140625" style="35" bestFit="1" customWidth="1"/>
    <col min="3347" max="3347" width="16.42578125" style="35" bestFit="1" customWidth="1"/>
    <col min="3348" max="3588" width="9.140625" style="35"/>
    <col min="3589" max="3589" width="17.140625" style="35" customWidth="1"/>
    <col min="3590" max="3590" width="45.5703125" style="35" customWidth="1"/>
    <col min="3591" max="3591" width="7.140625" style="35" customWidth="1"/>
    <col min="3592" max="3592" width="13.7109375" style="35" customWidth="1"/>
    <col min="3593" max="3593" width="11.140625" style="35" bestFit="1" customWidth="1"/>
    <col min="3594" max="3594" width="9.5703125" style="35" customWidth="1"/>
    <col min="3595" max="3595" width="13.140625" style="35" bestFit="1" customWidth="1"/>
    <col min="3596" max="3596" width="20.28515625" style="35" customWidth="1"/>
    <col min="3597" max="3597" width="11.42578125" style="35" customWidth="1"/>
    <col min="3598" max="3598" width="47.28515625" style="35" bestFit="1" customWidth="1"/>
    <col min="3599" max="3599" width="17.42578125" style="35" customWidth="1"/>
    <col min="3600" max="3600" width="18.7109375" style="35" bestFit="1" customWidth="1"/>
    <col min="3601" max="3601" width="16.7109375" style="35" bestFit="1" customWidth="1"/>
    <col min="3602" max="3602" width="8.140625" style="35" bestFit="1" customWidth="1"/>
    <col min="3603" max="3603" width="16.42578125" style="35" bestFit="1" customWidth="1"/>
    <col min="3604" max="3844" width="9.140625" style="35"/>
    <col min="3845" max="3845" width="17.140625" style="35" customWidth="1"/>
    <col min="3846" max="3846" width="45.5703125" style="35" customWidth="1"/>
    <col min="3847" max="3847" width="7.140625" style="35" customWidth="1"/>
    <col min="3848" max="3848" width="13.7109375" style="35" customWidth="1"/>
    <col min="3849" max="3849" width="11.140625" style="35" bestFit="1" customWidth="1"/>
    <col min="3850" max="3850" width="9.5703125" style="35" customWidth="1"/>
    <col min="3851" max="3851" width="13.140625" style="35" bestFit="1" customWidth="1"/>
    <col min="3852" max="3852" width="20.28515625" style="35" customWidth="1"/>
    <col min="3853" max="3853" width="11.42578125" style="35" customWidth="1"/>
    <col min="3854" max="3854" width="47.28515625" style="35" bestFit="1" customWidth="1"/>
    <col min="3855" max="3855" width="17.42578125" style="35" customWidth="1"/>
    <col min="3856" max="3856" width="18.7109375" style="35" bestFit="1" customWidth="1"/>
    <col min="3857" max="3857" width="16.7109375" style="35" bestFit="1" customWidth="1"/>
    <col min="3858" max="3858" width="8.140625" style="35" bestFit="1" customWidth="1"/>
    <col min="3859" max="3859" width="16.42578125" style="35" bestFit="1" customWidth="1"/>
    <col min="3860" max="4100" width="9.140625" style="35"/>
    <col min="4101" max="4101" width="17.140625" style="35" customWidth="1"/>
    <col min="4102" max="4102" width="45.5703125" style="35" customWidth="1"/>
    <col min="4103" max="4103" width="7.140625" style="35" customWidth="1"/>
    <col min="4104" max="4104" width="13.7109375" style="35" customWidth="1"/>
    <col min="4105" max="4105" width="11.140625" style="35" bestFit="1" customWidth="1"/>
    <col min="4106" max="4106" width="9.5703125" style="35" customWidth="1"/>
    <col min="4107" max="4107" width="13.140625" style="35" bestFit="1" customWidth="1"/>
    <col min="4108" max="4108" width="20.28515625" style="35" customWidth="1"/>
    <col min="4109" max="4109" width="11.42578125" style="35" customWidth="1"/>
    <col min="4110" max="4110" width="47.28515625" style="35" bestFit="1" customWidth="1"/>
    <col min="4111" max="4111" width="17.42578125" style="35" customWidth="1"/>
    <col min="4112" max="4112" width="18.7109375" style="35" bestFit="1" customWidth="1"/>
    <col min="4113" max="4113" width="16.7109375" style="35" bestFit="1" customWidth="1"/>
    <col min="4114" max="4114" width="8.140625" style="35" bestFit="1" customWidth="1"/>
    <col min="4115" max="4115" width="16.42578125" style="35" bestFit="1" customWidth="1"/>
    <col min="4116" max="4356" width="9.140625" style="35"/>
    <col min="4357" max="4357" width="17.140625" style="35" customWidth="1"/>
    <col min="4358" max="4358" width="45.5703125" style="35" customWidth="1"/>
    <col min="4359" max="4359" width="7.140625" style="35" customWidth="1"/>
    <col min="4360" max="4360" width="13.7109375" style="35" customWidth="1"/>
    <col min="4361" max="4361" width="11.140625" style="35" bestFit="1" customWidth="1"/>
    <col min="4362" max="4362" width="9.5703125" style="35" customWidth="1"/>
    <col min="4363" max="4363" width="13.140625" style="35" bestFit="1" customWidth="1"/>
    <col min="4364" max="4364" width="20.28515625" style="35" customWidth="1"/>
    <col min="4365" max="4365" width="11.42578125" style="35" customWidth="1"/>
    <col min="4366" max="4366" width="47.28515625" style="35" bestFit="1" customWidth="1"/>
    <col min="4367" max="4367" width="17.42578125" style="35" customWidth="1"/>
    <col min="4368" max="4368" width="18.7109375" style="35" bestFit="1" customWidth="1"/>
    <col min="4369" max="4369" width="16.7109375" style="35" bestFit="1" customWidth="1"/>
    <col min="4370" max="4370" width="8.140625" style="35" bestFit="1" customWidth="1"/>
    <col min="4371" max="4371" width="16.42578125" style="35" bestFit="1" customWidth="1"/>
    <col min="4372" max="4612" width="9.140625" style="35"/>
    <col min="4613" max="4613" width="17.140625" style="35" customWidth="1"/>
    <col min="4614" max="4614" width="45.5703125" style="35" customWidth="1"/>
    <col min="4615" max="4615" width="7.140625" style="35" customWidth="1"/>
    <col min="4616" max="4616" width="13.7109375" style="35" customWidth="1"/>
    <col min="4617" max="4617" width="11.140625" style="35" bestFit="1" customWidth="1"/>
    <col min="4618" max="4618" width="9.5703125" style="35" customWidth="1"/>
    <col min="4619" max="4619" width="13.140625" style="35" bestFit="1" customWidth="1"/>
    <col min="4620" max="4620" width="20.28515625" style="35" customWidth="1"/>
    <col min="4621" max="4621" width="11.42578125" style="35" customWidth="1"/>
    <col min="4622" max="4622" width="47.28515625" style="35" bestFit="1" customWidth="1"/>
    <col min="4623" max="4623" width="17.42578125" style="35" customWidth="1"/>
    <col min="4624" max="4624" width="18.7109375" style="35" bestFit="1" customWidth="1"/>
    <col min="4625" max="4625" width="16.7109375" style="35" bestFit="1" customWidth="1"/>
    <col min="4626" max="4626" width="8.140625" style="35" bestFit="1" customWidth="1"/>
    <col min="4627" max="4627" width="16.42578125" style="35" bestFit="1" customWidth="1"/>
    <col min="4628" max="4868" width="9.140625" style="35"/>
    <col min="4869" max="4869" width="17.140625" style="35" customWidth="1"/>
    <col min="4870" max="4870" width="45.5703125" style="35" customWidth="1"/>
    <col min="4871" max="4871" width="7.140625" style="35" customWidth="1"/>
    <col min="4872" max="4872" width="13.7109375" style="35" customWidth="1"/>
    <col min="4873" max="4873" width="11.140625" style="35" bestFit="1" customWidth="1"/>
    <col min="4874" max="4874" width="9.5703125" style="35" customWidth="1"/>
    <col min="4875" max="4875" width="13.140625" style="35" bestFit="1" customWidth="1"/>
    <col min="4876" max="4876" width="20.28515625" style="35" customWidth="1"/>
    <col min="4877" max="4877" width="11.42578125" style="35" customWidth="1"/>
    <col min="4878" max="4878" width="47.28515625" style="35" bestFit="1" customWidth="1"/>
    <col min="4879" max="4879" width="17.42578125" style="35" customWidth="1"/>
    <col min="4880" max="4880" width="18.7109375" style="35" bestFit="1" customWidth="1"/>
    <col min="4881" max="4881" width="16.7109375" style="35" bestFit="1" customWidth="1"/>
    <col min="4882" max="4882" width="8.140625" style="35" bestFit="1" customWidth="1"/>
    <col min="4883" max="4883" width="16.42578125" style="35" bestFit="1" customWidth="1"/>
    <col min="4884" max="5124" width="9.140625" style="35"/>
    <col min="5125" max="5125" width="17.140625" style="35" customWidth="1"/>
    <col min="5126" max="5126" width="45.5703125" style="35" customWidth="1"/>
    <col min="5127" max="5127" width="7.140625" style="35" customWidth="1"/>
    <col min="5128" max="5128" width="13.7109375" style="35" customWidth="1"/>
    <col min="5129" max="5129" width="11.140625" style="35" bestFit="1" customWidth="1"/>
    <col min="5130" max="5130" width="9.5703125" style="35" customWidth="1"/>
    <col min="5131" max="5131" width="13.140625" style="35" bestFit="1" customWidth="1"/>
    <col min="5132" max="5132" width="20.28515625" style="35" customWidth="1"/>
    <col min="5133" max="5133" width="11.42578125" style="35" customWidth="1"/>
    <col min="5134" max="5134" width="47.28515625" style="35" bestFit="1" customWidth="1"/>
    <col min="5135" max="5135" width="17.42578125" style="35" customWidth="1"/>
    <col min="5136" max="5136" width="18.7109375" style="35" bestFit="1" customWidth="1"/>
    <col min="5137" max="5137" width="16.7109375" style="35" bestFit="1" customWidth="1"/>
    <col min="5138" max="5138" width="8.140625" style="35" bestFit="1" customWidth="1"/>
    <col min="5139" max="5139" width="16.42578125" style="35" bestFit="1" customWidth="1"/>
    <col min="5140" max="5380" width="9.140625" style="35"/>
    <col min="5381" max="5381" width="17.140625" style="35" customWidth="1"/>
    <col min="5382" max="5382" width="45.5703125" style="35" customWidth="1"/>
    <col min="5383" max="5383" width="7.140625" style="35" customWidth="1"/>
    <col min="5384" max="5384" width="13.7109375" style="35" customWidth="1"/>
    <col min="5385" max="5385" width="11.140625" style="35" bestFit="1" customWidth="1"/>
    <col min="5386" max="5386" width="9.5703125" style="35" customWidth="1"/>
    <col min="5387" max="5387" width="13.140625" style="35" bestFit="1" customWidth="1"/>
    <col min="5388" max="5388" width="20.28515625" style="35" customWidth="1"/>
    <col min="5389" max="5389" width="11.42578125" style="35" customWidth="1"/>
    <col min="5390" max="5390" width="47.28515625" style="35" bestFit="1" customWidth="1"/>
    <col min="5391" max="5391" width="17.42578125" style="35" customWidth="1"/>
    <col min="5392" max="5392" width="18.7109375" style="35" bestFit="1" customWidth="1"/>
    <col min="5393" max="5393" width="16.7109375" style="35" bestFit="1" customWidth="1"/>
    <col min="5394" max="5394" width="8.140625" style="35" bestFit="1" customWidth="1"/>
    <col min="5395" max="5395" width="16.42578125" style="35" bestFit="1" customWidth="1"/>
    <col min="5396" max="5636" width="9.140625" style="35"/>
    <col min="5637" max="5637" width="17.140625" style="35" customWidth="1"/>
    <col min="5638" max="5638" width="45.5703125" style="35" customWidth="1"/>
    <col min="5639" max="5639" width="7.140625" style="35" customWidth="1"/>
    <col min="5640" max="5640" width="13.7109375" style="35" customWidth="1"/>
    <col min="5641" max="5641" width="11.140625" style="35" bestFit="1" customWidth="1"/>
    <col min="5642" max="5642" width="9.5703125" style="35" customWidth="1"/>
    <col min="5643" max="5643" width="13.140625" style="35" bestFit="1" customWidth="1"/>
    <col min="5644" max="5644" width="20.28515625" style="35" customWidth="1"/>
    <col min="5645" max="5645" width="11.42578125" style="35" customWidth="1"/>
    <col min="5646" max="5646" width="47.28515625" style="35" bestFit="1" customWidth="1"/>
    <col min="5647" max="5647" width="17.42578125" style="35" customWidth="1"/>
    <col min="5648" max="5648" width="18.7109375" style="35" bestFit="1" customWidth="1"/>
    <col min="5649" max="5649" width="16.7109375" style="35" bestFit="1" customWidth="1"/>
    <col min="5650" max="5650" width="8.140625" style="35" bestFit="1" customWidth="1"/>
    <col min="5651" max="5651" width="16.42578125" style="35" bestFit="1" customWidth="1"/>
    <col min="5652" max="5892" width="9.140625" style="35"/>
    <col min="5893" max="5893" width="17.140625" style="35" customWidth="1"/>
    <col min="5894" max="5894" width="45.5703125" style="35" customWidth="1"/>
    <col min="5895" max="5895" width="7.140625" style="35" customWidth="1"/>
    <col min="5896" max="5896" width="13.7109375" style="35" customWidth="1"/>
    <col min="5897" max="5897" width="11.140625" style="35" bestFit="1" customWidth="1"/>
    <col min="5898" max="5898" width="9.5703125" style="35" customWidth="1"/>
    <col min="5899" max="5899" width="13.140625" style="35" bestFit="1" customWidth="1"/>
    <col min="5900" max="5900" width="20.28515625" style="35" customWidth="1"/>
    <col min="5901" max="5901" width="11.42578125" style="35" customWidth="1"/>
    <col min="5902" max="5902" width="47.28515625" style="35" bestFit="1" customWidth="1"/>
    <col min="5903" max="5903" width="17.42578125" style="35" customWidth="1"/>
    <col min="5904" max="5904" width="18.7109375" style="35" bestFit="1" customWidth="1"/>
    <col min="5905" max="5905" width="16.7109375" style="35" bestFit="1" customWidth="1"/>
    <col min="5906" max="5906" width="8.140625" style="35" bestFit="1" customWidth="1"/>
    <col min="5907" max="5907" width="16.42578125" style="35" bestFit="1" customWidth="1"/>
    <col min="5908" max="6148" width="9.140625" style="35"/>
    <col min="6149" max="6149" width="17.140625" style="35" customWidth="1"/>
    <col min="6150" max="6150" width="45.5703125" style="35" customWidth="1"/>
    <col min="6151" max="6151" width="7.140625" style="35" customWidth="1"/>
    <col min="6152" max="6152" width="13.7109375" style="35" customWidth="1"/>
    <col min="6153" max="6153" width="11.140625" style="35" bestFit="1" customWidth="1"/>
    <col min="6154" max="6154" width="9.5703125" style="35" customWidth="1"/>
    <col min="6155" max="6155" width="13.140625" style="35" bestFit="1" customWidth="1"/>
    <col min="6156" max="6156" width="20.28515625" style="35" customWidth="1"/>
    <col min="6157" max="6157" width="11.42578125" style="35" customWidth="1"/>
    <col min="6158" max="6158" width="47.28515625" style="35" bestFit="1" customWidth="1"/>
    <col min="6159" max="6159" width="17.42578125" style="35" customWidth="1"/>
    <col min="6160" max="6160" width="18.7109375" style="35" bestFit="1" customWidth="1"/>
    <col min="6161" max="6161" width="16.7109375" style="35" bestFit="1" customWidth="1"/>
    <col min="6162" max="6162" width="8.140625" style="35" bestFit="1" customWidth="1"/>
    <col min="6163" max="6163" width="16.42578125" style="35" bestFit="1" customWidth="1"/>
    <col min="6164" max="6404" width="9.140625" style="35"/>
    <col min="6405" max="6405" width="17.140625" style="35" customWidth="1"/>
    <col min="6406" max="6406" width="45.5703125" style="35" customWidth="1"/>
    <col min="6407" max="6407" width="7.140625" style="35" customWidth="1"/>
    <col min="6408" max="6408" width="13.7109375" style="35" customWidth="1"/>
    <col min="6409" max="6409" width="11.140625" style="35" bestFit="1" customWidth="1"/>
    <col min="6410" max="6410" width="9.5703125" style="35" customWidth="1"/>
    <col min="6411" max="6411" width="13.140625" style="35" bestFit="1" customWidth="1"/>
    <col min="6412" max="6412" width="20.28515625" style="35" customWidth="1"/>
    <col min="6413" max="6413" width="11.42578125" style="35" customWidth="1"/>
    <col min="6414" max="6414" width="47.28515625" style="35" bestFit="1" customWidth="1"/>
    <col min="6415" max="6415" width="17.42578125" style="35" customWidth="1"/>
    <col min="6416" max="6416" width="18.7109375" style="35" bestFit="1" customWidth="1"/>
    <col min="6417" max="6417" width="16.7109375" style="35" bestFit="1" customWidth="1"/>
    <col min="6418" max="6418" width="8.140625" style="35" bestFit="1" customWidth="1"/>
    <col min="6419" max="6419" width="16.42578125" style="35" bestFit="1" customWidth="1"/>
    <col min="6420" max="6660" width="9.140625" style="35"/>
    <col min="6661" max="6661" width="17.140625" style="35" customWidth="1"/>
    <col min="6662" max="6662" width="45.5703125" style="35" customWidth="1"/>
    <col min="6663" max="6663" width="7.140625" style="35" customWidth="1"/>
    <col min="6664" max="6664" width="13.7109375" style="35" customWidth="1"/>
    <col min="6665" max="6665" width="11.140625" style="35" bestFit="1" customWidth="1"/>
    <col min="6666" max="6666" width="9.5703125" style="35" customWidth="1"/>
    <col min="6667" max="6667" width="13.140625" style="35" bestFit="1" customWidth="1"/>
    <col min="6668" max="6668" width="20.28515625" style="35" customWidth="1"/>
    <col min="6669" max="6669" width="11.42578125" style="35" customWidth="1"/>
    <col min="6670" max="6670" width="47.28515625" style="35" bestFit="1" customWidth="1"/>
    <col min="6671" max="6671" width="17.42578125" style="35" customWidth="1"/>
    <col min="6672" max="6672" width="18.7109375" style="35" bestFit="1" customWidth="1"/>
    <col min="6673" max="6673" width="16.7109375" style="35" bestFit="1" customWidth="1"/>
    <col min="6674" max="6674" width="8.140625" style="35" bestFit="1" customWidth="1"/>
    <col min="6675" max="6675" width="16.42578125" style="35" bestFit="1" customWidth="1"/>
    <col min="6676" max="6916" width="9.140625" style="35"/>
    <col min="6917" max="6917" width="17.140625" style="35" customWidth="1"/>
    <col min="6918" max="6918" width="45.5703125" style="35" customWidth="1"/>
    <col min="6919" max="6919" width="7.140625" style="35" customWidth="1"/>
    <col min="6920" max="6920" width="13.7109375" style="35" customWidth="1"/>
    <col min="6921" max="6921" width="11.140625" style="35" bestFit="1" customWidth="1"/>
    <col min="6922" max="6922" width="9.5703125" style="35" customWidth="1"/>
    <col min="6923" max="6923" width="13.140625" style="35" bestFit="1" customWidth="1"/>
    <col min="6924" max="6924" width="20.28515625" style="35" customWidth="1"/>
    <col min="6925" max="6925" width="11.42578125" style="35" customWidth="1"/>
    <col min="6926" max="6926" width="47.28515625" style="35" bestFit="1" customWidth="1"/>
    <col min="6927" max="6927" width="17.42578125" style="35" customWidth="1"/>
    <col min="6928" max="6928" width="18.7109375" style="35" bestFit="1" customWidth="1"/>
    <col min="6929" max="6929" width="16.7109375" style="35" bestFit="1" customWidth="1"/>
    <col min="6930" max="6930" width="8.140625" style="35" bestFit="1" customWidth="1"/>
    <col min="6931" max="6931" width="16.42578125" style="35" bestFit="1" customWidth="1"/>
    <col min="6932" max="7172" width="9.140625" style="35"/>
    <col min="7173" max="7173" width="17.140625" style="35" customWidth="1"/>
    <col min="7174" max="7174" width="45.5703125" style="35" customWidth="1"/>
    <col min="7175" max="7175" width="7.140625" style="35" customWidth="1"/>
    <col min="7176" max="7176" width="13.7109375" style="35" customWidth="1"/>
    <col min="7177" max="7177" width="11.140625" style="35" bestFit="1" customWidth="1"/>
    <col min="7178" max="7178" width="9.5703125" style="35" customWidth="1"/>
    <col min="7179" max="7179" width="13.140625" style="35" bestFit="1" customWidth="1"/>
    <col min="7180" max="7180" width="20.28515625" style="35" customWidth="1"/>
    <col min="7181" max="7181" width="11.42578125" style="35" customWidth="1"/>
    <col min="7182" max="7182" width="47.28515625" style="35" bestFit="1" customWidth="1"/>
    <col min="7183" max="7183" width="17.42578125" style="35" customWidth="1"/>
    <col min="7184" max="7184" width="18.7109375" style="35" bestFit="1" customWidth="1"/>
    <col min="7185" max="7185" width="16.7109375" style="35" bestFit="1" customWidth="1"/>
    <col min="7186" max="7186" width="8.140625" style="35" bestFit="1" customWidth="1"/>
    <col min="7187" max="7187" width="16.42578125" style="35" bestFit="1" customWidth="1"/>
    <col min="7188" max="7428" width="9.140625" style="35"/>
    <col min="7429" max="7429" width="17.140625" style="35" customWidth="1"/>
    <col min="7430" max="7430" width="45.5703125" style="35" customWidth="1"/>
    <col min="7431" max="7431" width="7.140625" style="35" customWidth="1"/>
    <col min="7432" max="7432" width="13.7109375" style="35" customWidth="1"/>
    <col min="7433" max="7433" width="11.140625" style="35" bestFit="1" customWidth="1"/>
    <col min="7434" max="7434" width="9.5703125" style="35" customWidth="1"/>
    <col min="7435" max="7435" width="13.140625" style="35" bestFit="1" customWidth="1"/>
    <col min="7436" max="7436" width="20.28515625" style="35" customWidth="1"/>
    <col min="7437" max="7437" width="11.42578125" style="35" customWidth="1"/>
    <col min="7438" max="7438" width="47.28515625" style="35" bestFit="1" customWidth="1"/>
    <col min="7439" max="7439" width="17.42578125" style="35" customWidth="1"/>
    <col min="7440" max="7440" width="18.7109375" style="35" bestFit="1" customWidth="1"/>
    <col min="7441" max="7441" width="16.7109375" style="35" bestFit="1" customWidth="1"/>
    <col min="7442" max="7442" width="8.140625" style="35" bestFit="1" customWidth="1"/>
    <col min="7443" max="7443" width="16.42578125" style="35" bestFit="1" customWidth="1"/>
    <col min="7444" max="7684" width="9.140625" style="35"/>
    <col min="7685" max="7685" width="17.140625" style="35" customWidth="1"/>
    <col min="7686" max="7686" width="45.5703125" style="35" customWidth="1"/>
    <col min="7687" max="7687" width="7.140625" style="35" customWidth="1"/>
    <col min="7688" max="7688" width="13.7109375" style="35" customWidth="1"/>
    <col min="7689" max="7689" width="11.140625" style="35" bestFit="1" customWidth="1"/>
    <col min="7690" max="7690" width="9.5703125" style="35" customWidth="1"/>
    <col min="7691" max="7691" width="13.140625" style="35" bestFit="1" customWidth="1"/>
    <col min="7692" max="7692" width="20.28515625" style="35" customWidth="1"/>
    <col min="7693" max="7693" width="11.42578125" style="35" customWidth="1"/>
    <col min="7694" max="7694" width="47.28515625" style="35" bestFit="1" customWidth="1"/>
    <col min="7695" max="7695" width="17.42578125" style="35" customWidth="1"/>
    <col min="7696" max="7696" width="18.7109375" style="35" bestFit="1" customWidth="1"/>
    <col min="7697" max="7697" width="16.7109375" style="35" bestFit="1" customWidth="1"/>
    <col min="7698" max="7698" width="8.140625" style="35" bestFit="1" customWidth="1"/>
    <col min="7699" max="7699" width="16.42578125" style="35" bestFit="1" customWidth="1"/>
    <col min="7700" max="7940" width="9.140625" style="35"/>
    <col min="7941" max="7941" width="17.140625" style="35" customWidth="1"/>
    <col min="7942" max="7942" width="45.5703125" style="35" customWidth="1"/>
    <col min="7943" max="7943" width="7.140625" style="35" customWidth="1"/>
    <col min="7944" max="7944" width="13.7109375" style="35" customWidth="1"/>
    <col min="7945" max="7945" width="11.140625" style="35" bestFit="1" customWidth="1"/>
    <col min="7946" max="7946" width="9.5703125" style="35" customWidth="1"/>
    <col min="7947" max="7947" width="13.140625" style="35" bestFit="1" customWidth="1"/>
    <col min="7948" max="7948" width="20.28515625" style="35" customWidth="1"/>
    <col min="7949" max="7949" width="11.42578125" style="35" customWidth="1"/>
    <col min="7950" max="7950" width="47.28515625" style="35" bestFit="1" customWidth="1"/>
    <col min="7951" max="7951" width="17.42578125" style="35" customWidth="1"/>
    <col min="7952" max="7952" width="18.7109375" style="35" bestFit="1" customWidth="1"/>
    <col min="7953" max="7953" width="16.7109375" style="35" bestFit="1" customWidth="1"/>
    <col min="7954" max="7954" width="8.140625" style="35" bestFit="1" customWidth="1"/>
    <col min="7955" max="7955" width="16.42578125" style="35" bestFit="1" customWidth="1"/>
    <col min="7956" max="8196" width="9.140625" style="35"/>
    <col min="8197" max="8197" width="17.140625" style="35" customWidth="1"/>
    <col min="8198" max="8198" width="45.5703125" style="35" customWidth="1"/>
    <col min="8199" max="8199" width="7.140625" style="35" customWidth="1"/>
    <col min="8200" max="8200" width="13.7109375" style="35" customWidth="1"/>
    <col min="8201" max="8201" width="11.140625" style="35" bestFit="1" customWidth="1"/>
    <col min="8202" max="8202" width="9.5703125" style="35" customWidth="1"/>
    <col min="8203" max="8203" width="13.140625" style="35" bestFit="1" customWidth="1"/>
    <col min="8204" max="8204" width="20.28515625" style="35" customWidth="1"/>
    <col min="8205" max="8205" width="11.42578125" style="35" customWidth="1"/>
    <col min="8206" max="8206" width="47.28515625" style="35" bestFit="1" customWidth="1"/>
    <col min="8207" max="8207" width="17.42578125" style="35" customWidth="1"/>
    <col min="8208" max="8208" width="18.7109375" style="35" bestFit="1" customWidth="1"/>
    <col min="8209" max="8209" width="16.7109375" style="35" bestFit="1" customWidth="1"/>
    <col min="8210" max="8210" width="8.140625" style="35" bestFit="1" customWidth="1"/>
    <col min="8211" max="8211" width="16.42578125" style="35" bestFit="1" customWidth="1"/>
    <col min="8212" max="8452" width="9.140625" style="35"/>
    <col min="8453" max="8453" width="17.140625" style="35" customWidth="1"/>
    <col min="8454" max="8454" width="45.5703125" style="35" customWidth="1"/>
    <col min="8455" max="8455" width="7.140625" style="35" customWidth="1"/>
    <col min="8456" max="8456" width="13.7109375" style="35" customWidth="1"/>
    <col min="8457" max="8457" width="11.140625" style="35" bestFit="1" customWidth="1"/>
    <col min="8458" max="8458" width="9.5703125" style="35" customWidth="1"/>
    <col min="8459" max="8459" width="13.140625" style="35" bestFit="1" customWidth="1"/>
    <col min="8460" max="8460" width="20.28515625" style="35" customWidth="1"/>
    <col min="8461" max="8461" width="11.42578125" style="35" customWidth="1"/>
    <col min="8462" max="8462" width="47.28515625" style="35" bestFit="1" customWidth="1"/>
    <col min="8463" max="8463" width="17.42578125" style="35" customWidth="1"/>
    <col min="8464" max="8464" width="18.7109375" style="35" bestFit="1" customWidth="1"/>
    <col min="8465" max="8465" width="16.7109375" style="35" bestFit="1" customWidth="1"/>
    <col min="8466" max="8466" width="8.140625" style="35" bestFit="1" customWidth="1"/>
    <col min="8467" max="8467" width="16.42578125" style="35" bestFit="1" customWidth="1"/>
    <col min="8468" max="8708" width="9.140625" style="35"/>
    <col min="8709" max="8709" width="17.140625" style="35" customWidth="1"/>
    <col min="8710" max="8710" width="45.5703125" style="35" customWidth="1"/>
    <col min="8711" max="8711" width="7.140625" style="35" customWidth="1"/>
    <col min="8712" max="8712" width="13.7109375" style="35" customWidth="1"/>
    <col min="8713" max="8713" width="11.140625" style="35" bestFit="1" customWidth="1"/>
    <col min="8714" max="8714" width="9.5703125" style="35" customWidth="1"/>
    <col min="8715" max="8715" width="13.140625" style="35" bestFit="1" customWidth="1"/>
    <col min="8716" max="8716" width="20.28515625" style="35" customWidth="1"/>
    <col min="8717" max="8717" width="11.42578125" style="35" customWidth="1"/>
    <col min="8718" max="8718" width="47.28515625" style="35" bestFit="1" customWidth="1"/>
    <col min="8719" max="8719" width="17.42578125" style="35" customWidth="1"/>
    <col min="8720" max="8720" width="18.7109375" style="35" bestFit="1" customWidth="1"/>
    <col min="8721" max="8721" width="16.7109375" style="35" bestFit="1" customWidth="1"/>
    <col min="8722" max="8722" width="8.140625" style="35" bestFit="1" customWidth="1"/>
    <col min="8723" max="8723" width="16.42578125" style="35" bestFit="1" customWidth="1"/>
    <col min="8724" max="8964" width="9.140625" style="35"/>
    <col min="8965" max="8965" width="17.140625" style="35" customWidth="1"/>
    <col min="8966" max="8966" width="45.5703125" style="35" customWidth="1"/>
    <col min="8967" max="8967" width="7.140625" style="35" customWidth="1"/>
    <col min="8968" max="8968" width="13.7109375" style="35" customWidth="1"/>
    <col min="8969" max="8969" width="11.140625" style="35" bestFit="1" customWidth="1"/>
    <col min="8970" max="8970" width="9.5703125" style="35" customWidth="1"/>
    <col min="8971" max="8971" width="13.140625" style="35" bestFit="1" customWidth="1"/>
    <col min="8972" max="8972" width="20.28515625" style="35" customWidth="1"/>
    <col min="8973" max="8973" width="11.42578125" style="35" customWidth="1"/>
    <col min="8974" max="8974" width="47.28515625" style="35" bestFit="1" customWidth="1"/>
    <col min="8975" max="8975" width="17.42578125" style="35" customWidth="1"/>
    <col min="8976" max="8976" width="18.7109375" style="35" bestFit="1" customWidth="1"/>
    <col min="8977" max="8977" width="16.7109375" style="35" bestFit="1" customWidth="1"/>
    <col min="8978" max="8978" width="8.140625" style="35" bestFit="1" customWidth="1"/>
    <col min="8979" max="8979" width="16.42578125" style="35" bestFit="1" customWidth="1"/>
    <col min="8980" max="9220" width="9.140625" style="35"/>
    <col min="9221" max="9221" width="17.140625" style="35" customWidth="1"/>
    <col min="9222" max="9222" width="45.5703125" style="35" customWidth="1"/>
    <col min="9223" max="9223" width="7.140625" style="35" customWidth="1"/>
    <col min="9224" max="9224" width="13.7109375" style="35" customWidth="1"/>
    <col min="9225" max="9225" width="11.140625" style="35" bestFit="1" customWidth="1"/>
    <col min="9226" max="9226" width="9.5703125" style="35" customWidth="1"/>
    <col min="9227" max="9227" width="13.140625" style="35" bestFit="1" customWidth="1"/>
    <col min="9228" max="9228" width="20.28515625" style="35" customWidth="1"/>
    <col min="9229" max="9229" width="11.42578125" style="35" customWidth="1"/>
    <col min="9230" max="9230" width="47.28515625" style="35" bestFit="1" customWidth="1"/>
    <col min="9231" max="9231" width="17.42578125" style="35" customWidth="1"/>
    <col min="9232" max="9232" width="18.7109375" style="35" bestFit="1" customWidth="1"/>
    <col min="9233" max="9233" width="16.7109375" style="35" bestFit="1" customWidth="1"/>
    <col min="9234" max="9234" width="8.140625" style="35" bestFit="1" customWidth="1"/>
    <col min="9235" max="9235" width="16.42578125" style="35" bestFit="1" customWidth="1"/>
    <col min="9236" max="9476" width="9.140625" style="35"/>
    <col min="9477" max="9477" width="17.140625" style="35" customWidth="1"/>
    <col min="9478" max="9478" width="45.5703125" style="35" customWidth="1"/>
    <col min="9479" max="9479" width="7.140625" style="35" customWidth="1"/>
    <col min="9480" max="9480" width="13.7109375" style="35" customWidth="1"/>
    <col min="9481" max="9481" width="11.140625" style="35" bestFit="1" customWidth="1"/>
    <col min="9482" max="9482" width="9.5703125" style="35" customWidth="1"/>
    <col min="9483" max="9483" width="13.140625" style="35" bestFit="1" customWidth="1"/>
    <col min="9484" max="9484" width="20.28515625" style="35" customWidth="1"/>
    <col min="9485" max="9485" width="11.42578125" style="35" customWidth="1"/>
    <col min="9486" max="9486" width="47.28515625" style="35" bestFit="1" customWidth="1"/>
    <col min="9487" max="9487" width="17.42578125" style="35" customWidth="1"/>
    <col min="9488" max="9488" width="18.7109375" style="35" bestFit="1" customWidth="1"/>
    <col min="9489" max="9489" width="16.7109375" style="35" bestFit="1" customWidth="1"/>
    <col min="9490" max="9490" width="8.140625" style="35" bestFit="1" customWidth="1"/>
    <col min="9491" max="9491" width="16.42578125" style="35" bestFit="1" customWidth="1"/>
    <col min="9492" max="9732" width="9.140625" style="35"/>
    <col min="9733" max="9733" width="17.140625" style="35" customWidth="1"/>
    <col min="9734" max="9734" width="45.5703125" style="35" customWidth="1"/>
    <col min="9735" max="9735" width="7.140625" style="35" customWidth="1"/>
    <col min="9736" max="9736" width="13.7109375" style="35" customWidth="1"/>
    <col min="9737" max="9737" width="11.140625" style="35" bestFit="1" customWidth="1"/>
    <col min="9738" max="9738" width="9.5703125" style="35" customWidth="1"/>
    <col min="9739" max="9739" width="13.140625" style="35" bestFit="1" customWidth="1"/>
    <col min="9740" max="9740" width="20.28515625" style="35" customWidth="1"/>
    <col min="9741" max="9741" width="11.42578125" style="35" customWidth="1"/>
    <col min="9742" max="9742" width="47.28515625" style="35" bestFit="1" customWidth="1"/>
    <col min="9743" max="9743" width="17.42578125" style="35" customWidth="1"/>
    <col min="9744" max="9744" width="18.7109375" style="35" bestFit="1" customWidth="1"/>
    <col min="9745" max="9745" width="16.7109375" style="35" bestFit="1" customWidth="1"/>
    <col min="9746" max="9746" width="8.140625" style="35" bestFit="1" customWidth="1"/>
    <col min="9747" max="9747" width="16.42578125" style="35" bestFit="1" customWidth="1"/>
    <col min="9748" max="9988" width="9.140625" style="35"/>
    <col min="9989" max="9989" width="17.140625" style="35" customWidth="1"/>
    <col min="9990" max="9990" width="45.5703125" style="35" customWidth="1"/>
    <col min="9991" max="9991" width="7.140625" style="35" customWidth="1"/>
    <col min="9992" max="9992" width="13.7109375" style="35" customWidth="1"/>
    <col min="9993" max="9993" width="11.140625" style="35" bestFit="1" customWidth="1"/>
    <col min="9994" max="9994" width="9.5703125" style="35" customWidth="1"/>
    <col min="9995" max="9995" width="13.140625" style="35" bestFit="1" customWidth="1"/>
    <col min="9996" max="9996" width="20.28515625" style="35" customWidth="1"/>
    <col min="9997" max="9997" width="11.42578125" style="35" customWidth="1"/>
    <col min="9998" max="9998" width="47.28515625" style="35" bestFit="1" customWidth="1"/>
    <col min="9999" max="9999" width="17.42578125" style="35" customWidth="1"/>
    <col min="10000" max="10000" width="18.7109375" style="35" bestFit="1" customWidth="1"/>
    <col min="10001" max="10001" width="16.7109375" style="35" bestFit="1" customWidth="1"/>
    <col min="10002" max="10002" width="8.140625" style="35" bestFit="1" customWidth="1"/>
    <col min="10003" max="10003" width="16.42578125" style="35" bestFit="1" customWidth="1"/>
    <col min="10004" max="10244" width="9.140625" style="35"/>
    <col min="10245" max="10245" width="17.140625" style="35" customWidth="1"/>
    <col min="10246" max="10246" width="45.5703125" style="35" customWidth="1"/>
    <col min="10247" max="10247" width="7.140625" style="35" customWidth="1"/>
    <col min="10248" max="10248" width="13.7109375" style="35" customWidth="1"/>
    <col min="10249" max="10249" width="11.140625" style="35" bestFit="1" customWidth="1"/>
    <col min="10250" max="10250" width="9.5703125" style="35" customWidth="1"/>
    <col min="10251" max="10251" width="13.140625" style="35" bestFit="1" customWidth="1"/>
    <col min="10252" max="10252" width="20.28515625" style="35" customWidth="1"/>
    <col min="10253" max="10253" width="11.42578125" style="35" customWidth="1"/>
    <col min="10254" max="10254" width="47.28515625" style="35" bestFit="1" customWidth="1"/>
    <col min="10255" max="10255" width="17.42578125" style="35" customWidth="1"/>
    <col min="10256" max="10256" width="18.7109375" style="35" bestFit="1" customWidth="1"/>
    <col min="10257" max="10257" width="16.7109375" style="35" bestFit="1" customWidth="1"/>
    <col min="10258" max="10258" width="8.140625" style="35" bestFit="1" customWidth="1"/>
    <col min="10259" max="10259" width="16.42578125" style="35" bestFit="1" customWidth="1"/>
    <col min="10260" max="10500" width="9.140625" style="35"/>
    <col min="10501" max="10501" width="17.140625" style="35" customWidth="1"/>
    <col min="10502" max="10502" width="45.5703125" style="35" customWidth="1"/>
    <col min="10503" max="10503" width="7.140625" style="35" customWidth="1"/>
    <col min="10504" max="10504" width="13.7109375" style="35" customWidth="1"/>
    <col min="10505" max="10505" width="11.140625" style="35" bestFit="1" customWidth="1"/>
    <col min="10506" max="10506" width="9.5703125" style="35" customWidth="1"/>
    <col min="10507" max="10507" width="13.140625" style="35" bestFit="1" customWidth="1"/>
    <col min="10508" max="10508" width="20.28515625" style="35" customWidth="1"/>
    <col min="10509" max="10509" width="11.42578125" style="35" customWidth="1"/>
    <col min="10510" max="10510" width="47.28515625" style="35" bestFit="1" customWidth="1"/>
    <col min="10511" max="10511" width="17.42578125" style="35" customWidth="1"/>
    <col min="10512" max="10512" width="18.7109375" style="35" bestFit="1" customWidth="1"/>
    <col min="10513" max="10513" width="16.7109375" style="35" bestFit="1" customWidth="1"/>
    <col min="10514" max="10514" width="8.140625" style="35" bestFit="1" customWidth="1"/>
    <col min="10515" max="10515" width="16.42578125" style="35" bestFit="1" customWidth="1"/>
    <col min="10516" max="10756" width="9.140625" style="35"/>
    <col min="10757" max="10757" width="17.140625" style="35" customWidth="1"/>
    <col min="10758" max="10758" width="45.5703125" style="35" customWidth="1"/>
    <col min="10759" max="10759" width="7.140625" style="35" customWidth="1"/>
    <col min="10760" max="10760" width="13.7109375" style="35" customWidth="1"/>
    <col min="10761" max="10761" width="11.140625" style="35" bestFit="1" customWidth="1"/>
    <col min="10762" max="10762" width="9.5703125" style="35" customWidth="1"/>
    <col min="10763" max="10763" width="13.140625" style="35" bestFit="1" customWidth="1"/>
    <col min="10764" max="10764" width="20.28515625" style="35" customWidth="1"/>
    <col min="10765" max="10765" width="11.42578125" style="35" customWidth="1"/>
    <col min="10766" max="10766" width="47.28515625" style="35" bestFit="1" customWidth="1"/>
    <col min="10767" max="10767" width="17.42578125" style="35" customWidth="1"/>
    <col min="10768" max="10768" width="18.7109375" style="35" bestFit="1" customWidth="1"/>
    <col min="10769" max="10769" width="16.7109375" style="35" bestFit="1" customWidth="1"/>
    <col min="10770" max="10770" width="8.140625" style="35" bestFit="1" customWidth="1"/>
    <col min="10771" max="10771" width="16.42578125" style="35" bestFit="1" customWidth="1"/>
    <col min="10772" max="11012" width="9.140625" style="35"/>
    <col min="11013" max="11013" width="17.140625" style="35" customWidth="1"/>
    <col min="11014" max="11014" width="45.5703125" style="35" customWidth="1"/>
    <col min="11015" max="11015" width="7.140625" style="35" customWidth="1"/>
    <col min="11016" max="11016" width="13.7109375" style="35" customWidth="1"/>
    <col min="11017" max="11017" width="11.140625" style="35" bestFit="1" customWidth="1"/>
    <col min="11018" max="11018" width="9.5703125" style="35" customWidth="1"/>
    <col min="11019" max="11019" width="13.140625" style="35" bestFit="1" customWidth="1"/>
    <col min="11020" max="11020" width="20.28515625" style="35" customWidth="1"/>
    <col min="11021" max="11021" width="11.42578125" style="35" customWidth="1"/>
    <col min="11022" max="11022" width="47.28515625" style="35" bestFit="1" customWidth="1"/>
    <col min="11023" max="11023" width="17.42578125" style="35" customWidth="1"/>
    <col min="11024" max="11024" width="18.7109375" style="35" bestFit="1" customWidth="1"/>
    <col min="11025" max="11025" width="16.7109375" style="35" bestFit="1" customWidth="1"/>
    <col min="11026" max="11026" width="8.140625" style="35" bestFit="1" customWidth="1"/>
    <col min="11027" max="11027" width="16.42578125" style="35" bestFit="1" customWidth="1"/>
    <col min="11028" max="11268" width="9.140625" style="35"/>
    <col min="11269" max="11269" width="17.140625" style="35" customWidth="1"/>
    <col min="11270" max="11270" width="45.5703125" style="35" customWidth="1"/>
    <col min="11271" max="11271" width="7.140625" style="35" customWidth="1"/>
    <col min="11272" max="11272" width="13.7109375" style="35" customWidth="1"/>
    <col min="11273" max="11273" width="11.140625" style="35" bestFit="1" customWidth="1"/>
    <col min="11274" max="11274" width="9.5703125" style="35" customWidth="1"/>
    <col min="11275" max="11275" width="13.140625" style="35" bestFit="1" customWidth="1"/>
    <col min="11276" max="11276" width="20.28515625" style="35" customWidth="1"/>
    <col min="11277" max="11277" width="11.42578125" style="35" customWidth="1"/>
    <col min="11278" max="11278" width="47.28515625" style="35" bestFit="1" customWidth="1"/>
    <col min="11279" max="11279" width="17.42578125" style="35" customWidth="1"/>
    <col min="11280" max="11280" width="18.7109375" style="35" bestFit="1" customWidth="1"/>
    <col min="11281" max="11281" width="16.7109375" style="35" bestFit="1" customWidth="1"/>
    <col min="11282" max="11282" width="8.140625" style="35" bestFit="1" customWidth="1"/>
    <col min="11283" max="11283" width="16.42578125" style="35" bestFit="1" customWidth="1"/>
    <col min="11284" max="11524" width="9.140625" style="35"/>
    <col min="11525" max="11525" width="17.140625" style="35" customWidth="1"/>
    <col min="11526" max="11526" width="45.5703125" style="35" customWidth="1"/>
    <col min="11527" max="11527" width="7.140625" style="35" customWidth="1"/>
    <col min="11528" max="11528" width="13.7109375" style="35" customWidth="1"/>
    <col min="11529" max="11529" width="11.140625" style="35" bestFit="1" customWidth="1"/>
    <col min="11530" max="11530" width="9.5703125" style="35" customWidth="1"/>
    <col min="11531" max="11531" width="13.140625" style="35" bestFit="1" customWidth="1"/>
    <col min="11532" max="11532" width="20.28515625" style="35" customWidth="1"/>
    <col min="11533" max="11533" width="11.42578125" style="35" customWidth="1"/>
    <col min="11534" max="11534" width="47.28515625" style="35" bestFit="1" customWidth="1"/>
    <col min="11535" max="11535" width="17.42578125" style="35" customWidth="1"/>
    <col min="11536" max="11536" width="18.7109375" style="35" bestFit="1" customWidth="1"/>
    <col min="11537" max="11537" width="16.7109375" style="35" bestFit="1" customWidth="1"/>
    <col min="11538" max="11538" width="8.140625" style="35" bestFit="1" customWidth="1"/>
    <col min="11539" max="11539" width="16.42578125" style="35" bestFit="1" customWidth="1"/>
    <col min="11540" max="11780" width="9.140625" style="35"/>
    <col min="11781" max="11781" width="17.140625" style="35" customWidth="1"/>
    <col min="11782" max="11782" width="45.5703125" style="35" customWidth="1"/>
    <col min="11783" max="11783" width="7.140625" style="35" customWidth="1"/>
    <col min="11784" max="11784" width="13.7109375" style="35" customWidth="1"/>
    <col min="11785" max="11785" width="11.140625" style="35" bestFit="1" customWidth="1"/>
    <col min="11786" max="11786" width="9.5703125" style="35" customWidth="1"/>
    <col min="11787" max="11787" width="13.140625" style="35" bestFit="1" customWidth="1"/>
    <col min="11788" max="11788" width="20.28515625" style="35" customWidth="1"/>
    <col min="11789" max="11789" width="11.42578125" style="35" customWidth="1"/>
    <col min="11790" max="11790" width="47.28515625" style="35" bestFit="1" customWidth="1"/>
    <col min="11791" max="11791" width="17.42578125" style="35" customWidth="1"/>
    <col min="11792" max="11792" width="18.7109375" style="35" bestFit="1" customWidth="1"/>
    <col min="11793" max="11793" width="16.7109375" style="35" bestFit="1" customWidth="1"/>
    <col min="11794" max="11794" width="8.140625" style="35" bestFit="1" customWidth="1"/>
    <col min="11795" max="11795" width="16.42578125" style="35" bestFit="1" customWidth="1"/>
    <col min="11796" max="12036" width="9.140625" style="35"/>
    <col min="12037" max="12037" width="17.140625" style="35" customWidth="1"/>
    <col min="12038" max="12038" width="45.5703125" style="35" customWidth="1"/>
    <col min="12039" max="12039" width="7.140625" style="35" customWidth="1"/>
    <col min="12040" max="12040" width="13.7109375" style="35" customWidth="1"/>
    <col min="12041" max="12041" width="11.140625" style="35" bestFit="1" customWidth="1"/>
    <col min="12042" max="12042" width="9.5703125" style="35" customWidth="1"/>
    <col min="12043" max="12043" width="13.140625" style="35" bestFit="1" customWidth="1"/>
    <col min="12044" max="12044" width="20.28515625" style="35" customWidth="1"/>
    <col min="12045" max="12045" width="11.42578125" style="35" customWidth="1"/>
    <col min="12046" max="12046" width="47.28515625" style="35" bestFit="1" customWidth="1"/>
    <col min="12047" max="12047" width="17.42578125" style="35" customWidth="1"/>
    <col min="12048" max="12048" width="18.7109375" style="35" bestFit="1" customWidth="1"/>
    <col min="12049" max="12049" width="16.7109375" style="35" bestFit="1" customWidth="1"/>
    <col min="12050" max="12050" width="8.140625" style="35" bestFit="1" customWidth="1"/>
    <col min="12051" max="12051" width="16.42578125" style="35" bestFit="1" customWidth="1"/>
    <col min="12052" max="12292" width="9.140625" style="35"/>
    <col min="12293" max="12293" width="17.140625" style="35" customWidth="1"/>
    <col min="12294" max="12294" width="45.5703125" style="35" customWidth="1"/>
    <col min="12295" max="12295" width="7.140625" style="35" customWidth="1"/>
    <col min="12296" max="12296" width="13.7109375" style="35" customWidth="1"/>
    <col min="12297" max="12297" width="11.140625" style="35" bestFit="1" customWidth="1"/>
    <col min="12298" max="12298" width="9.5703125" style="35" customWidth="1"/>
    <col min="12299" max="12299" width="13.140625" style="35" bestFit="1" customWidth="1"/>
    <col min="12300" max="12300" width="20.28515625" style="35" customWidth="1"/>
    <col min="12301" max="12301" width="11.42578125" style="35" customWidth="1"/>
    <col min="12302" max="12302" width="47.28515625" style="35" bestFit="1" customWidth="1"/>
    <col min="12303" max="12303" width="17.42578125" style="35" customWidth="1"/>
    <col min="12304" max="12304" width="18.7109375" style="35" bestFit="1" customWidth="1"/>
    <col min="12305" max="12305" width="16.7109375" style="35" bestFit="1" customWidth="1"/>
    <col min="12306" max="12306" width="8.140625" style="35" bestFit="1" customWidth="1"/>
    <col min="12307" max="12307" width="16.42578125" style="35" bestFit="1" customWidth="1"/>
    <col min="12308" max="12548" width="9.140625" style="35"/>
    <col min="12549" max="12549" width="17.140625" style="35" customWidth="1"/>
    <col min="12550" max="12550" width="45.5703125" style="35" customWidth="1"/>
    <col min="12551" max="12551" width="7.140625" style="35" customWidth="1"/>
    <col min="12552" max="12552" width="13.7109375" style="35" customWidth="1"/>
    <col min="12553" max="12553" width="11.140625" style="35" bestFit="1" customWidth="1"/>
    <col min="12554" max="12554" width="9.5703125" style="35" customWidth="1"/>
    <col min="12555" max="12555" width="13.140625" style="35" bestFit="1" customWidth="1"/>
    <col min="12556" max="12556" width="20.28515625" style="35" customWidth="1"/>
    <col min="12557" max="12557" width="11.42578125" style="35" customWidth="1"/>
    <col min="12558" max="12558" width="47.28515625" style="35" bestFit="1" customWidth="1"/>
    <col min="12559" max="12559" width="17.42578125" style="35" customWidth="1"/>
    <col min="12560" max="12560" width="18.7109375" style="35" bestFit="1" customWidth="1"/>
    <col min="12561" max="12561" width="16.7109375" style="35" bestFit="1" customWidth="1"/>
    <col min="12562" max="12562" width="8.140625" style="35" bestFit="1" customWidth="1"/>
    <col min="12563" max="12563" width="16.42578125" style="35" bestFit="1" customWidth="1"/>
    <col min="12564" max="12804" width="9.140625" style="35"/>
    <col min="12805" max="12805" width="17.140625" style="35" customWidth="1"/>
    <col min="12806" max="12806" width="45.5703125" style="35" customWidth="1"/>
    <col min="12807" max="12807" width="7.140625" style="35" customWidth="1"/>
    <col min="12808" max="12808" width="13.7109375" style="35" customWidth="1"/>
    <col min="12809" max="12809" width="11.140625" style="35" bestFit="1" customWidth="1"/>
    <col min="12810" max="12810" width="9.5703125" style="35" customWidth="1"/>
    <col min="12811" max="12811" width="13.140625" style="35" bestFit="1" customWidth="1"/>
    <col min="12812" max="12812" width="20.28515625" style="35" customWidth="1"/>
    <col min="12813" max="12813" width="11.42578125" style="35" customWidth="1"/>
    <col min="12814" max="12814" width="47.28515625" style="35" bestFit="1" customWidth="1"/>
    <col min="12815" max="12815" width="17.42578125" style="35" customWidth="1"/>
    <col min="12816" max="12816" width="18.7109375" style="35" bestFit="1" customWidth="1"/>
    <col min="12817" max="12817" width="16.7109375" style="35" bestFit="1" customWidth="1"/>
    <col min="12818" max="12818" width="8.140625" style="35" bestFit="1" customWidth="1"/>
    <col min="12819" max="12819" width="16.42578125" style="35" bestFit="1" customWidth="1"/>
    <col min="12820" max="13060" width="9.140625" style="35"/>
    <col min="13061" max="13061" width="17.140625" style="35" customWidth="1"/>
    <col min="13062" max="13062" width="45.5703125" style="35" customWidth="1"/>
    <col min="13063" max="13063" width="7.140625" style="35" customWidth="1"/>
    <col min="13064" max="13064" width="13.7109375" style="35" customWidth="1"/>
    <col min="13065" max="13065" width="11.140625" style="35" bestFit="1" customWidth="1"/>
    <col min="13066" max="13066" width="9.5703125" style="35" customWidth="1"/>
    <col min="13067" max="13067" width="13.140625" style="35" bestFit="1" customWidth="1"/>
    <col min="13068" max="13068" width="20.28515625" style="35" customWidth="1"/>
    <col min="13069" max="13069" width="11.42578125" style="35" customWidth="1"/>
    <col min="13070" max="13070" width="47.28515625" style="35" bestFit="1" customWidth="1"/>
    <col min="13071" max="13071" width="17.42578125" style="35" customWidth="1"/>
    <col min="13072" max="13072" width="18.7109375" style="35" bestFit="1" customWidth="1"/>
    <col min="13073" max="13073" width="16.7109375" style="35" bestFit="1" customWidth="1"/>
    <col min="13074" max="13074" width="8.140625" style="35" bestFit="1" customWidth="1"/>
    <col min="13075" max="13075" width="16.42578125" style="35" bestFit="1" customWidth="1"/>
    <col min="13076" max="13316" width="9.140625" style="35"/>
    <col min="13317" max="13317" width="17.140625" style="35" customWidth="1"/>
    <col min="13318" max="13318" width="45.5703125" style="35" customWidth="1"/>
    <col min="13319" max="13319" width="7.140625" style="35" customWidth="1"/>
    <col min="13320" max="13320" width="13.7109375" style="35" customWidth="1"/>
    <col min="13321" max="13321" width="11.140625" style="35" bestFit="1" customWidth="1"/>
    <col min="13322" max="13322" width="9.5703125" style="35" customWidth="1"/>
    <col min="13323" max="13323" width="13.140625" style="35" bestFit="1" customWidth="1"/>
    <col min="13324" max="13324" width="20.28515625" style="35" customWidth="1"/>
    <col min="13325" max="13325" width="11.42578125" style="35" customWidth="1"/>
    <col min="13326" max="13326" width="47.28515625" style="35" bestFit="1" customWidth="1"/>
    <col min="13327" max="13327" width="17.42578125" style="35" customWidth="1"/>
    <col min="13328" max="13328" width="18.7109375" style="35" bestFit="1" customWidth="1"/>
    <col min="13329" max="13329" width="16.7109375" style="35" bestFit="1" customWidth="1"/>
    <col min="13330" max="13330" width="8.140625" style="35" bestFit="1" customWidth="1"/>
    <col min="13331" max="13331" width="16.42578125" style="35" bestFit="1" customWidth="1"/>
    <col min="13332" max="13572" width="9.140625" style="35"/>
    <col min="13573" max="13573" width="17.140625" style="35" customWidth="1"/>
    <col min="13574" max="13574" width="45.5703125" style="35" customWidth="1"/>
    <col min="13575" max="13575" width="7.140625" style="35" customWidth="1"/>
    <col min="13576" max="13576" width="13.7109375" style="35" customWidth="1"/>
    <col min="13577" max="13577" width="11.140625" style="35" bestFit="1" customWidth="1"/>
    <col min="13578" max="13578" width="9.5703125" style="35" customWidth="1"/>
    <col min="13579" max="13579" width="13.140625" style="35" bestFit="1" customWidth="1"/>
    <col min="13580" max="13580" width="20.28515625" style="35" customWidth="1"/>
    <col min="13581" max="13581" width="11.42578125" style="35" customWidth="1"/>
    <col min="13582" max="13582" width="47.28515625" style="35" bestFit="1" customWidth="1"/>
    <col min="13583" max="13583" width="17.42578125" style="35" customWidth="1"/>
    <col min="13584" max="13584" width="18.7109375" style="35" bestFit="1" customWidth="1"/>
    <col min="13585" max="13585" width="16.7109375" style="35" bestFit="1" customWidth="1"/>
    <col min="13586" max="13586" width="8.140625" style="35" bestFit="1" customWidth="1"/>
    <col min="13587" max="13587" width="16.42578125" style="35" bestFit="1" customWidth="1"/>
    <col min="13588" max="13828" width="9.140625" style="35"/>
    <col min="13829" max="13829" width="17.140625" style="35" customWidth="1"/>
    <col min="13830" max="13830" width="45.5703125" style="35" customWidth="1"/>
    <col min="13831" max="13831" width="7.140625" style="35" customWidth="1"/>
    <col min="13832" max="13832" width="13.7109375" style="35" customWidth="1"/>
    <col min="13833" max="13833" width="11.140625" style="35" bestFit="1" customWidth="1"/>
    <col min="13834" max="13834" width="9.5703125" style="35" customWidth="1"/>
    <col min="13835" max="13835" width="13.140625" style="35" bestFit="1" customWidth="1"/>
    <col min="13836" max="13836" width="20.28515625" style="35" customWidth="1"/>
    <col min="13837" max="13837" width="11.42578125" style="35" customWidth="1"/>
    <col min="13838" max="13838" width="47.28515625" style="35" bestFit="1" customWidth="1"/>
    <col min="13839" max="13839" width="17.42578125" style="35" customWidth="1"/>
    <col min="13840" max="13840" width="18.7109375" style="35" bestFit="1" customWidth="1"/>
    <col min="13841" max="13841" width="16.7109375" style="35" bestFit="1" customWidth="1"/>
    <col min="13842" max="13842" width="8.140625" style="35" bestFit="1" customWidth="1"/>
    <col min="13843" max="13843" width="16.42578125" style="35" bestFit="1" customWidth="1"/>
    <col min="13844" max="14084" width="9.140625" style="35"/>
    <col min="14085" max="14085" width="17.140625" style="35" customWidth="1"/>
    <col min="14086" max="14086" width="45.5703125" style="35" customWidth="1"/>
    <col min="14087" max="14087" width="7.140625" style="35" customWidth="1"/>
    <col min="14088" max="14088" width="13.7109375" style="35" customWidth="1"/>
    <col min="14089" max="14089" width="11.140625" style="35" bestFit="1" customWidth="1"/>
    <col min="14090" max="14090" width="9.5703125" style="35" customWidth="1"/>
    <col min="14091" max="14091" width="13.140625" style="35" bestFit="1" customWidth="1"/>
    <col min="14092" max="14092" width="20.28515625" style="35" customWidth="1"/>
    <col min="14093" max="14093" width="11.42578125" style="35" customWidth="1"/>
    <col min="14094" max="14094" width="47.28515625" style="35" bestFit="1" customWidth="1"/>
    <col min="14095" max="14095" width="17.42578125" style="35" customWidth="1"/>
    <col min="14096" max="14096" width="18.7109375" style="35" bestFit="1" customWidth="1"/>
    <col min="14097" max="14097" width="16.7109375" style="35" bestFit="1" customWidth="1"/>
    <col min="14098" max="14098" width="8.140625" style="35" bestFit="1" customWidth="1"/>
    <col min="14099" max="14099" width="16.42578125" style="35" bestFit="1" customWidth="1"/>
    <col min="14100" max="14340" width="9.140625" style="35"/>
    <col min="14341" max="14341" width="17.140625" style="35" customWidth="1"/>
    <col min="14342" max="14342" width="45.5703125" style="35" customWidth="1"/>
    <col min="14343" max="14343" width="7.140625" style="35" customWidth="1"/>
    <col min="14344" max="14344" width="13.7109375" style="35" customWidth="1"/>
    <col min="14345" max="14345" width="11.140625" style="35" bestFit="1" customWidth="1"/>
    <col min="14346" max="14346" width="9.5703125" style="35" customWidth="1"/>
    <col min="14347" max="14347" width="13.140625" style="35" bestFit="1" customWidth="1"/>
    <col min="14348" max="14348" width="20.28515625" style="35" customWidth="1"/>
    <col min="14349" max="14349" width="11.42578125" style="35" customWidth="1"/>
    <col min="14350" max="14350" width="47.28515625" style="35" bestFit="1" customWidth="1"/>
    <col min="14351" max="14351" width="17.42578125" style="35" customWidth="1"/>
    <col min="14352" max="14352" width="18.7109375" style="35" bestFit="1" customWidth="1"/>
    <col min="14353" max="14353" width="16.7109375" style="35" bestFit="1" customWidth="1"/>
    <col min="14354" max="14354" width="8.140625" style="35" bestFit="1" customWidth="1"/>
    <col min="14355" max="14355" width="16.42578125" style="35" bestFit="1" customWidth="1"/>
    <col min="14356" max="14596" width="9.140625" style="35"/>
    <col min="14597" max="14597" width="17.140625" style="35" customWidth="1"/>
    <col min="14598" max="14598" width="45.5703125" style="35" customWidth="1"/>
    <col min="14599" max="14599" width="7.140625" style="35" customWidth="1"/>
    <col min="14600" max="14600" width="13.7109375" style="35" customWidth="1"/>
    <col min="14601" max="14601" width="11.140625" style="35" bestFit="1" customWidth="1"/>
    <col min="14602" max="14602" width="9.5703125" style="35" customWidth="1"/>
    <col min="14603" max="14603" width="13.140625" style="35" bestFit="1" customWidth="1"/>
    <col min="14604" max="14604" width="20.28515625" style="35" customWidth="1"/>
    <col min="14605" max="14605" width="11.42578125" style="35" customWidth="1"/>
    <col min="14606" max="14606" width="47.28515625" style="35" bestFit="1" customWidth="1"/>
    <col min="14607" max="14607" width="17.42578125" style="35" customWidth="1"/>
    <col min="14608" max="14608" width="18.7109375" style="35" bestFit="1" customWidth="1"/>
    <col min="14609" max="14609" width="16.7109375" style="35" bestFit="1" customWidth="1"/>
    <col min="14610" max="14610" width="8.140625" style="35" bestFit="1" customWidth="1"/>
    <col min="14611" max="14611" width="16.42578125" style="35" bestFit="1" customWidth="1"/>
    <col min="14612" max="14852" width="9.140625" style="35"/>
    <col min="14853" max="14853" width="17.140625" style="35" customWidth="1"/>
    <col min="14854" max="14854" width="45.5703125" style="35" customWidth="1"/>
    <col min="14855" max="14855" width="7.140625" style="35" customWidth="1"/>
    <col min="14856" max="14856" width="13.7109375" style="35" customWidth="1"/>
    <col min="14857" max="14857" width="11.140625" style="35" bestFit="1" customWidth="1"/>
    <col min="14858" max="14858" width="9.5703125" style="35" customWidth="1"/>
    <col min="14859" max="14859" width="13.140625" style="35" bestFit="1" customWidth="1"/>
    <col min="14860" max="14860" width="20.28515625" style="35" customWidth="1"/>
    <col min="14861" max="14861" width="11.42578125" style="35" customWidth="1"/>
    <col min="14862" max="14862" width="47.28515625" style="35" bestFit="1" customWidth="1"/>
    <col min="14863" max="14863" width="17.42578125" style="35" customWidth="1"/>
    <col min="14864" max="14864" width="18.7109375" style="35" bestFit="1" customWidth="1"/>
    <col min="14865" max="14865" width="16.7109375" style="35" bestFit="1" customWidth="1"/>
    <col min="14866" max="14866" width="8.140625" style="35" bestFit="1" customWidth="1"/>
    <col min="14867" max="14867" width="16.42578125" style="35" bestFit="1" customWidth="1"/>
    <col min="14868" max="15108" width="9.140625" style="35"/>
    <col min="15109" max="15109" width="17.140625" style="35" customWidth="1"/>
    <col min="15110" max="15110" width="45.5703125" style="35" customWidth="1"/>
    <col min="15111" max="15111" width="7.140625" style="35" customWidth="1"/>
    <col min="15112" max="15112" width="13.7109375" style="35" customWidth="1"/>
    <col min="15113" max="15113" width="11.140625" style="35" bestFit="1" customWidth="1"/>
    <col min="15114" max="15114" width="9.5703125" style="35" customWidth="1"/>
    <col min="15115" max="15115" width="13.140625" style="35" bestFit="1" customWidth="1"/>
    <col min="15116" max="15116" width="20.28515625" style="35" customWidth="1"/>
    <col min="15117" max="15117" width="11.42578125" style="35" customWidth="1"/>
    <col min="15118" max="15118" width="47.28515625" style="35" bestFit="1" customWidth="1"/>
    <col min="15119" max="15119" width="17.42578125" style="35" customWidth="1"/>
    <col min="15120" max="15120" width="18.7109375" style="35" bestFit="1" customWidth="1"/>
    <col min="15121" max="15121" width="16.7109375" style="35" bestFit="1" customWidth="1"/>
    <col min="15122" max="15122" width="8.140625" style="35" bestFit="1" customWidth="1"/>
    <col min="15123" max="15123" width="16.42578125" style="35" bestFit="1" customWidth="1"/>
    <col min="15124" max="15364" width="9.140625" style="35"/>
    <col min="15365" max="15365" width="17.140625" style="35" customWidth="1"/>
    <col min="15366" max="15366" width="45.5703125" style="35" customWidth="1"/>
    <col min="15367" max="15367" width="7.140625" style="35" customWidth="1"/>
    <col min="15368" max="15368" width="13.7109375" style="35" customWidth="1"/>
    <col min="15369" max="15369" width="11.140625" style="35" bestFit="1" customWidth="1"/>
    <col min="15370" max="15370" width="9.5703125" style="35" customWidth="1"/>
    <col min="15371" max="15371" width="13.140625" style="35" bestFit="1" customWidth="1"/>
    <col min="15372" max="15372" width="20.28515625" style="35" customWidth="1"/>
    <col min="15373" max="15373" width="11.42578125" style="35" customWidth="1"/>
    <col min="15374" max="15374" width="47.28515625" style="35" bestFit="1" customWidth="1"/>
    <col min="15375" max="15375" width="17.42578125" style="35" customWidth="1"/>
    <col min="15376" max="15376" width="18.7109375" style="35" bestFit="1" customWidth="1"/>
    <col min="15377" max="15377" width="16.7109375" style="35" bestFit="1" customWidth="1"/>
    <col min="15378" max="15378" width="8.140625" style="35" bestFit="1" customWidth="1"/>
    <col min="15379" max="15379" width="16.42578125" style="35" bestFit="1" customWidth="1"/>
    <col min="15380" max="15620" width="9.140625" style="35"/>
    <col min="15621" max="15621" width="17.140625" style="35" customWidth="1"/>
    <col min="15622" max="15622" width="45.5703125" style="35" customWidth="1"/>
    <col min="15623" max="15623" width="7.140625" style="35" customWidth="1"/>
    <col min="15624" max="15624" width="13.7109375" style="35" customWidth="1"/>
    <col min="15625" max="15625" width="11.140625" style="35" bestFit="1" customWidth="1"/>
    <col min="15626" max="15626" width="9.5703125" style="35" customWidth="1"/>
    <col min="15627" max="15627" width="13.140625" style="35" bestFit="1" customWidth="1"/>
    <col min="15628" max="15628" width="20.28515625" style="35" customWidth="1"/>
    <col min="15629" max="15629" width="11.42578125" style="35" customWidth="1"/>
    <col min="15630" max="15630" width="47.28515625" style="35" bestFit="1" customWidth="1"/>
    <col min="15631" max="15631" width="17.42578125" style="35" customWidth="1"/>
    <col min="15632" max="15632" width="18.7109375" style="35" bestFit="1" customWidth="1"/>
    <col min="15633" max="15633" width="16.7109375" style="35" bestFit="1" customWidth="1"/>
    <col min="15634" max="15634" width="8.140625" style="35" bestFit="1" customWidth="1"/>
    <col min="15635" max="15635" width="16.42578125" style="35" bestFit="1" customWidth="1"/>
    <col min="15636" max="15876" width="9.140625" style="35"/>
    <col min="15877" max="15877" width="17.140625" style="35" customWidth="1"/>
    <col min="15878" max="15878" width="45.5703125" style="35" customWidth="1"/>
    <col min="15879" max="15879" width="7.140625" style="35" customWidth="1"/>
    <col min="15880" max="15880" width="13.7109375" style="35" customWidth="1"/>
    <col min="15881" max="15881" width="11.140625" style="35" bestFit="1" customWidth="1"/>
    <col min="15882" max="15882" width="9.5703125" style="35" customWidth="1"/>
    <col min="15883" max="15883" width="13.140625" style="35" bestFit="1" customWidth="1"/>
    <col min="15884" max="15884" width="20.28515625" style="35" customWidth="1"/>
    <col min="15885" max="15885" width="11.42578125" style="35" customWidth="1"/>
    <col min="15886" max="15886" width="47.28515625" style="35" bestFit="1" customWidth="1"/>
    <col min="15887" max="15887" width="17.42578125" style="35" customWidth="1"/>
    <col min="15888" max="15888" width="18.7109375" style="35" bestFit="1" customWidth="1"/>
    <col min="15889" max="15889" width="16.7109375" style="35" bestFit="1" customWidth="1"/>
    <col min="15890" max="15890" width="8.140625" style="35" bestFit="1" customWidth="1"/>
    <col min="15891" max="15891" width="16.42578125" style="35" bestFit="1" customWidth="1"/>
    <col min="15892" max="16132" width="9.140625" style="35"/>
    <col min="16133" max="16133" width="17.140625" style="35" customWidth="1"/>
    <col min="16134" max="16134" width="45.5703125" style="35" customWidth="1"/>
    <col min="16135" max="16135" width="7.140625" style="35" customWidth="1"/>
    <col min="16136" max="16136" width="13.7109375" style="35" customWidth="1"/>
    <col min="16137" max="16137" width="11.140625" style="35" bestFit="1" customWidth="1"/>
    <col min="16138" max="16138" width="9.5703125" style="35" customWidth="1"/>
    <col min="16139" max="16139" width="13.140625" style="35" bestFit="1" customWidth="1"/>
    <col min="16140" max="16140" width="20.28515625" style="35" customWidth="1"/>
    <col min="16141" max="16141" width="11.42578125" style="35" customWidth="1"/>
    <col min="16142" max="16142" width="47.28515625" style="35" bestFit="1" customWidth="1"/>
    <col min="16143" max="16143" width="17.42578125" style="35" customWidth="1"/>
    <col min="16144" max="16144" width="18.7109375" style="35" bestFit="1" customWidth="1"/>
    <col min="16145" max="16145" width="16.7109375" style="35" bestFit="1" customWidth="1"/>
    <col min="16146" max="16146" width="8.140625" style="35" bestFit="1" customWidth="1"/>
    <col min="16147" max="16147" width="16.42578125" style="35" bestFit="1" customWidth="1"/>
    <col min="16148" max="16384" width="11.42578125" style="35"/>
  </cols>
  <sheetData>
    <row r="1" spans="2:16" ht="15" customHeight="1" thickBot="1"/>
    <row r="2" spans="2:16" s="33" customFormat="1" ht="57" customHeight="1">
      <c r="B2" s="1739"/>
      <c r="C2" s="1756" t="str">
        <f>PRESUP!B2</f>
        <v>CONSTRUCCIÓN DE LA SEGUNDA ETAPA DEL PLAN MAESTRO DE ACUEDUCTO Y ALCANTARILLADO DE LOS SECTORES LA VIEJITA, LOS SAUCES, EL ALTO 2, MALPASO 2 Y ADOQUINADO DEL MUNICIPIO DE SAN CARLOS, ANTIOQUIA</v>
      </c>
      <c r="D2" s="1757"/>
      <c r="E2" s="1757"/>
      <c r="F2" s="1757"/>
      <c r="G2" s="1757"/>
      <c r="H2" s="1757"/>
      <c r="I2" s="1758"/>
      <c r="J2" s="1741"/>
      <c r="K2"/>
    </row>
    <row r="3" spans="2:16" s="33" customFormat="1" ht="17.25" customHeight="1">
      <c r="B3" s="1740"/>
      <c r="C3" s="1750" t="s">
        <v>924</v>
      </c>
      <c r="D3" s="1751"/>
      <c r="E3" s="1751"/>
      <c r="F3" s="1751"/>
      <c r="G3" s="1751"/>
      <c r="H3" s="1751"/>
      <c r="I3" s="1752"/>
      <c r="J3" s="1742"/>
      <c r="K3"/>
      <c r="P3" s="34"/>
    </row>
    <row r="4" spans="2:16" s="33" customFormat="1" ht="17.25" customHeight="1">
      <c r="B4" s="1740"/>
      <c r="C4" s="1753"/>
      <c r="D4" s="1754"/>
      <c r="E4" s="1754"/>
      <c r="F4" s="1754"/>
      <c r="G4" s="1754"/>
      <c r="H4" s="1754"/>
      <c r="I4" s="1755"/>
      <c r="J4" s="1742"/>
      <c r="K4"/>
    </row>
    <row r="5" spans="2:16">
      <c r="B5" s="1759"/>
      <c r="C5" s="1760"/>
      <c r="D5" s="1760"/>
      <c r="E5" s="1760"/>
      <c r="F5" s="1760"/>
      <c r="G5" s="1760"/>
      <c r="H5" s="1760"/>
      <c r="I5" s="1761"/>
      <c r="J5" s="188"/>
    </row>
    <row r="6" spans="2:16">
      <c r="B6" s="1743" t="s">
        <v>925</v>
      </c>
      <c r="C6" s="1744"/>
      <c r="D6" s="1744"/>
      <c r="E6" s="1744"/>
      <c r="F6" s="1744"/>
      <c r="G6" s="1744"/>
      <c r="H6" s="1744"/>
      <c r="I6" s="1745"/>
      <c r="J6" s="1746"/>
      <c r="N6" s="1342" t="s">
        <v>17</v>
      </c>
      <c r="O6" s="70">
        <f ca="1">PRESUP!G141-PRESUP!G138-PRESUP!G139</f>
        <v>5743533699</v>
      </c>
    </row>
    <row r="7" spans="2:16">
      <c r="B7" s="1747" t="s">
        <v>17</v>
      </c>
      <c r="C7" s="1748"/>
      <c r="D7" s="1748"/>
      <c r="E7" s="1748"/>
      <c r="F7" s="1748"/>
      <c r="G7" s="1748"/>
      <c r="H7" s="1748"/>
      <c r="I7" s="1749"/>
      <c r="J7" s="1344">
        <f ca="1">PRESUP!G141-PRESUP!G138-PRESUP!G139</f>
        <v>5743533699</v>
      </c>
      <c r="N7" s="1342" t="s">
        <v>926</v>
      </c>
      <c r="O7" s="174">
        <v>240</v>
      </c>
    </row>
    <row r="8" spans="2:16" ht="18.75" customHeight="1">
      <c r="B8" s="38"/>
      <c r="C8" s="1732" t="s">
        <v>927</v>
      </c>
      <c r="D8" s="1732"/>
      <c r="E8" s="1732"/>
      <c r="F8" s="1732"/>
      <c r="G8" s="1732"/>
      <c r="H8" s="1732"/>
      <c r="I8" s="1513"/>
      <c r="J8" s="1345"/>
      <c r="N8" s="1730" t="s">
        <v>928</v>
      </c>
      <c r="O8" s="1730"/>
    </row>
    <row r="9" spans="2:16" ht="18.75" customHeight="1">
      <c r="B9" s="39" t="s">
        <v>929</v>
      </c>
      <c r="C9" s="40" t="s">
        <v>930</v>
      </c>
      <c r="D9" s="40" t="s">
        <v>931</v>
      </c>
      <c r="E9" s="41" t="s">
        <v>932</v>
      </c>
      <c r="F9" s="41" t="s">
        <v>933</v>
      </c>
      <c r="G9" s="42" t="s">
        <v>934</v>
      </c>
      <c r="H9" s="61" t="s">
        <v>935</v>
      </c>
      <c r="I9" s="1514"/>
      <c r="J9" s="43" t="s">
        <v>936</v>
      </c>
      <c r="N9" s="36" t="s">
        <v>937</v>
      </c>
      <c r="O9" s="37">
        <v>6500000</v>
      </c>
    </row>
    <row r="10" spans="2:16" ht="18.75" customHeight="1">
      <c r="B10" s="44"/>
      <c r="C10" s="1731" t="s">
        <v>938</v>
      </c>
      <c r="D10" s="1731"/>
      <c r="E10" s="1731"/>
      <c r="F10" s="1731"/>
      <c r="G10" s="1731"/>
      <c r="H10" s="1731"/>
      <c r="I10" s="1515"/>
      <c r="J10" s="1346"/>
      <c r="N10" s="36" t="s">
        <v>939</v>
      </c>
      <c r="O10" s="37">
        <v>4200000</v>
      </c>
    </row>
    <row r="11" spans="2:16" ht="18.75" customHeight="1">
      <c r="B11" s="44" t="s">
        <v>940</v>
      </c>
      <c r="C11" s="1731" t="s">
        <v>941</v>
      </c>
      <c r="D11" s="1731"/>
      <c r="E11" s="1731"/>
      <c r="F11" s="1731"/>
      <c r="G11" s="1731"/>
      <c r="H11" s="1731"/>
      <c r="I11" s="1515"/>
      <c r="J11" s="1346"/>
      <c r="N11" s="36"/>
      <c r="O11" s="37"/>
    </row>
    <row r="12" spans="2:16" ht="18.75" customHeight="1">
      <c r="B12" s="55" t="s">
        <v>490</v>
      </c>
      <c r="C12" s="185" t="s">
        <v>942</v>
      </c>
      <c r="D12" s="82" t="s">
        <v>943</v>
      </c>
      <c r="E12" s="1347"/>
      <c r="F12" s="1347"/>
      <c r="G12" s="186"/>
      <c r="H12" s="187"/>
      <c r="I12" s="1516"/>
      <c r="J12" s="1348"/>
      <c r="N12" s="36" t="s">
        <v>944</v>
      </c>
      <c r="O12" s="37">
        <v>2000000</v>
      </c>
    </row>
    <row r="13" spans="2:16" ht="18.75" customHeight="1">
      <c r="B13" s="46" t="s">
        <v>945</v>
      </c>
      <c r="C13" s="1522" t="s">
        <v>3041</v>
      </c>
      <c r="D13" s="40" t="s">
        <v>943</v>
      </c>
      <c r="E13" s="1525">
        <v>1</v>
      </c>
      <c r="F13" s="48"/>
      <c r="G13" s="1523">
        <v>2E-3</v>
      </c>
      <c r="H13" s="45">
        <f t="shared" ref="H13:H20" ca="1" si="0">+J13/J$45</f>
        <v>2.2419412822751615E-3</v>
      </c>
      <c r="I13" s="1352">
        <v>4860794986</v>
      </c>
      <c r="J13" s="1352">
        <f>ROUND(I13*G13,0)</f>
        <v>9721590</v>
      </c>
      <c r="N13" s="36" t="s">
        <v>946</v>
      </c>
      <c r="O13" s="37">
        <v>1600000</v>
      </c>
    </row>
    <row r="14" spans="2:16" ht="18.75" customHeight="1">
      <c r="B14" s="46" t="s">
        <v>947</v>
      </c>
      <c r="C14" s="47" t="s">
        <v>948</v>
      </c>
      <c r="D14" s="40" t="s">
        <v>943</v>
      </c>
      <c r="E14" s="53">
        <v>1</v>
      </c>
      <c r="F14" s="48"/>
      <c r="G14" s="45">
        <v>0.01</v>
      </c>
      <c r="H14" s="45">
        <f t="shared" ca="1" si="0"/>
        <v>2.649086180301853E-3</v>
      </c>
      <c r="I14" s="1352">
        <v>1148706739.6000001</v>
      </c>
      <c r="J14" s="1352">
        <f t="shared" ref="J14:J20" si="1">ROUND(I14*G14,0)</f>
        <v>11487067</v>
      </c>
      <c r="N14" s="36" t="s">
        <v>949</v>
      </c>
      <c r="O14" s="37">
        <v>2800000</v>
      </c>
    </row>
    <row r="15" spans="2:16" ht="18.75" customHeight="1">
      <c r="B15" s="46" t="s">
        <v>950</v>
      </c>
      <c r="C15" s="47" t="s">
        <v>951</v>
      </c>
      <c r="D15" s="40" t="s">
        <v>943</v>
      </c>
      <c r="E15" s="53">
        <v>1</v>
      </c>
      <c r="F15" s="48"/>
      <c r="G15" s="45">
        <v>0.04</v>
      </c>
      <c r="H15" s="45">
        <f t="shared" ca="1" si="0"/>
        <v>5.2981725450954434E-2</v>
      </c>
      <c r="I15" s="1352">
        <v>5743533698</v>
      </c>
      <c r="J15" s="1352">
        <f t="shared" si="1"/>
        <v>229741348</v>
      </c>
      <c r="N15" s="36" t="s">
        <v>952</v>
      </c>
      <c r="O15" s="37">
        <v>1423500</v>
      </c>
    </row>
    <row r="16" spans="2:16" ht="18.75" customHeight="1">
      <c r="B16" s="46" t="s">
        <v>953</v>
      </c>
      <c r="C16" s="47" t="s">
        <v>954</v>
      </c>
      <c r="D16" s="40" t="s">
        <v>943</v>
      </c>
      <c r="E16" s="53">
        <v>1</v>
      </c>
      <c r="F16" s="48"/>
      <c r="G16" s="45">
        <v>0.01</v>
      </c>
      <c r="H16" s="45">
        <f t="shared" ca="1" si="0"/>
        <v>1.3245431362738608E-2</v>
      </c>
      <c r="I16" s="1352">
        <v>5743533698</v>
      </c>
      <c r="J16" s="1352">
        <f t="shared" si="1"/>
        <v>57435337</v>
      </c>
      <c r="N16" s="36" t="s">
        <v>955</v>
      </c>
      <c r="O16" s="37">
        <v>1423500</v>
      </c>
    </row>
    <row r="17" spans="2:15" ht="18.75" customHeight="1">
      <c r="B17" s="46" t="s">
        <v>956</v>
      </c>
      <c r="C17" s="49" t="s">
        <v>957</v>
      </c>
      <c r="D17" s="40"/>
      <c r="E17" s="53">
        <v>1</v>
      </c>
      <c r="F17" s="48"/>
      <c r="G17" s="45">
        <v>0.01</v>
      </c>
      <c r="H17" s="45">
        <f t="shared" ca="1" si="0"/>
        <v>1.3245431362738608E-2</v>
      </c>
      <c r="I17" s="1352">
        <v>5743533698</v>
      </c>
      <c r="J17" s="1352">
        <f t="shared" si="1"/>
        <v>57435337</v>
      </c>
      <c r="N17" s="36" t="s">
        <v>958</v>
      </c>
      <c r="O17" s="37">
        <v>3000000</v>
      </c>
    </row>
    <row r="18" spans="2:15" ht="18.75" customHeight="1">
      <c r="B18" s="46" t="s">
        <v>959</v>
      </c>
      <c r="C18" s="47" t="s">
        <v>960</v>
      </c>
      <c r="D18" s="40"/>
      <c r="E18" s="53">
        <v>1</v>
      </c>
      <c r="F18" s="48"/>
      <c r="G18" s="45">
        <v>0.05</v>
      </c>
      <c r="H18" s="45">
        <f t="shared" ca="1" si="0"/>
        <v>6.6227156813693039E-2</v>
      </c>
      <c r="I18" s="1352">
        <v>5743533698</v>
      </c>
      <c r="J18" s="1352">
        <f t="shared" si="1"/>
        <v>287176685</v>
      </c>
      <c r="N18" s="36" t="s">
        <v>961</v>
      </c>
      <c r="O18" s="37">
        <v>3000000</v>
      </c>
    </row>
    <row r="19" spans="2:15" ht="18.75" customHeight="1">
      <c r="B19" s="46" t="s">
        <v>962</v>
      </c>
      <c r="C19" s="47" t="s">
        <v>963</v>
      </c>
      <c r="D19" s="40"/>
      <c r="E19" s="53">
        <v>1</v>
      </c>
      <c r="F19" s="48"/>
      <c r="G19" s="45">
        <v>0.02</v>
      </c>
      <c r="H19" s="45">
        <f t="shared" ca="1" si="0"/>
        <v>2.6490862725477217E-2</v>
      </c>
      <c r="I19" s="1352">
        <v>5743533698</v>
      </c>
      <c r="J19" s="1352">
        <f t="shared" si="1"/>
        <v>114870674</v>
      </c>
      <c r="N19" s="36" t="s">
        <v>964</v>
      </c>
      <c r="O19" s="37">
        <v>3000000</v>
      </c>
    </row>
    <row r="20" spans="2:15" ht="18.75" customHeight="1">
      <c r="B20" s="46" t="s">
        <v>3042</v>
      </c>
      <c r="C20" s="1522" t="s">
        <v>3043</v>
      </c>
      <c r="D20" s="40"/>
      <c r="E20" s="1525">
        <v>1</v>
      </c>
      <c r="F20" s="48"/>
      <c r="G20" s="45">
        <v>2.5000000000000001E-2</v>
      </c>
      <c r="H20" s="45">
        <f t="shared" ca="1" si="0"/>
        <v>2.6490862725477217E-2</v>
      </c>
      <c r="I20" s="1352">
        <v>4594826958.4000006</v>
      </c>
      <c r="J20" s="1352">
        <f t="shared" si="1"/>
        <v>114870674</v>
      </c>
      <c r="N20" s="36"/>
      <c r="O20" s="37"/>
    </row>
    <row r="21" spans="2:15" ht="18.75" customHeight="1">
      <c r="B21" s="55" t="s">
        <v>507</v>
      </c>
      <c r="C21" s="185" t="s">
        <v>965</v>
      </c>
      <c r="D21" s="82"/>
      <c r="E21" s="1347"/>
      <c r="F21" s="1347"/>
      <c r="G21" s="186"/>
      <c r="H21" s="187"/>
      <c r="I21" s="1516"/>
      <c r="J21" s="1348"/>
      <c r="N21" s="1335" t="s">
        <v>966</v>
      </c>
      <c r="O21" s="50">
        <v>0.65</v>
      </c>
    </row>
    <row r="22" spans="2:15" ht="18.75" customHeight="1">
      <c r="B22" s="1313" t="s">
        <v>967</v>
      </c>
      <c r="C22" s="1314" t="s">
        <v>968</v>
      </c>
      <c r="D22" s="1315"/>
      <c r="E22" s="1329">
        <v>1</v>
      </c>
      <c r="F22" s="1316"/>
      <c r="G22" s="1317"/>
      <c r="H22" s="1318">
        <f ca="1">+J22/J$45</f>
        <v>8.3324420037852159E-3</v>
      </c>
      <c r="I22" s="1518"/>
      <c r="J22" s="1353">
        <f ca="1">'PÓLIZAS OBRA'!G22</f>
        <v>36131448</v>
      </c>
      <c r="N22"/>
      <c r="O22"/>
    </row>
    <row r="23" spans="2:15" ht="18.75" customHeight="1">
      <c r="B23" s="44" t="s">
        <v>969</v>
      </c>
      <c r="C23" s="1731" t="s">
        <v>970</v>
      </c>
      <c r="D23" s="1731"/>
      <c r="E23" s="1731"/>
      <c r="F23" s="1731"/>
      <c r="G23" s="1731"/>
      <c r="H23" s="1731"/>
      <c r="I23" s="1515"/>
      <c r="J23" s="1346"/>
    </row>
    <row r="24" spans="2:15" ht="33.6" customHeight="1">
      <c r="B24" s="1336" t="s">
        <v>929</v>
      </c>
      <c r="C24" s="1337" t="s">
        <v>930</v>
      </c>
      <c r="D24" s="1337" t="s">
        <v>931</v>
      </c>
      <c r="E24" s="1338" t="s">
        <v>932</v>
      </c>
      <c r="F24" s="1339" t="s">
        <v>971</v>
      </c>
      <c r="G24" s="1340" t="s">
        <v>934</v>
      </c>
      <c r="H24" s="1339" t="s">
        <v>935</v>
      </c>
      <c r="I24" s="1519"/>
      <c r="J24" s="1341" t="s">
        <v>936</v>
      </c>
    </row>
    <row r="25" spans="2:15" ht="18.75" customHeight="1">
      <c r="B25" s="46" t="s">
        <v>515</v>
      </c>
      <c r="C25" s="1417" t="s">
        <v>937</v>
      </c>
      <c r="D25" s="1418" t="s">
        <v>972</v>
      </c>
      <c r="E25" s="1419">
        <v>8</v>
      </c>
      <c r="F25" s="1420">
        <v>0.33</v>
      </c>
      <c r="G25" s="1421">
        <f>O9*(1+$O$21)</f>
        <v>10725000</v>
      </c>
      <c r="H25" s="187">
        <f t="shared" ref="H25:H31" ca="1" si="2">+J25/J$45</f>
        <v>6.5296238029313022E-3</v>
      </c>
      <c r="I25" s="1516"/>
      <c r="J25" s="1422">
        <f>+ROUND(E25*G25*F25,0)</f>
        <v>28314000</v>
      </c>
    </row>
    <row r="26" spans="2:15" ht="18.75" customHeight="1">
      <c r="B26" s="46" t="s">
        <v>522</v>
      </c>
      <c r="C26" s="47" t="s">
        <v>939</v>
      </c>
      <c r="D26" s="52" t="s">
        <v>972</v>
      </c>
      <c r="E26" s="53">
        <v>8</v>
      </c>
      <c r="F26" s="54">
        <v>1</v>
      </c>
      <c r="G26" s="176">
        <f>O10*(1+$O$21)</f>
        <v>6930000</v>
      </c>
      <c r="H26" s="45">
        <f t="shared" ca="1" si="2"/>
        <v>1.2785277376368984E-2</v>
      </c>
      <c r="I26" s="1517"/>
      <c r="J26" s="1352">
        <f t="shared" ref="J26:J27" si="3">+ROUND(E26*G26*F26,0)</f>
        <v>55440000</v>
      </c>
    </row>
    <row r="27" spans="2:15" ht="18.75" customHeight="1">
      <c r="B27" s="46" t="s">
        <v>526</v>
      </c>
      <c r="C27" s="47" t="s">
        <v>944</v>
      </c>
      <c r="D27" s="52" t="s">
        <v>972</v>
      </c>
      <c r="E27" s="53">
        <v>8</v>
      </c>
      <c r="F27" s="54">
        <v>1</v>
      </c>
      <c r="G27" s="176">
        <f t="shared" ref="G27:G28" si="4">O12*(1+$O$21)</f>
        <v>3300000</v>
      </c>
      <c r="H27" s="45">
        <f t="shared" ca="1" si="2"/>
        <v>6.0882273220804689E-3</v>
      </c>
      <c r="I27" s="1517"/>
      <c r="J27" s="1352">
        <f t="shared" si="3"/>
        <v>26400000</v>
      </c>
    </row>
    <row r="28" spans="2:15" ht="18.75" customHeight="1">
      <c r="B28" s="46" t="s">
        <v>973</v>
      </c>
      <c r="C28" s="47" t="s">
        <v>946</v>
      </c>
      <c r="D28" s="52" t="s">
        <v>972</v>
      </c>
      <c r="E28" s="53">
        <v>8</v>
      </c>
      <c r="F28" s="54">
        <v>1</v>
      </c>
      <c r="G28" s="176">
        <f t="shared" si="4"/>
        <v>2640000</v>
      </c>
      <c r="H28" s="45">
        <f t="shared" ca="1" si="2"/>
        <v>4.870581857664375E-3</v>
      </c>
      <c r="I28" s="1517"/>
      <c r="J28" s="1352">
        <f>+ROUND(E28*G28*F28,0)</f>
        <v>21120000</v>
      </c>
    </row>
    <row r="29" spans="2:15" ht="18.75" customHeight="1">
      <c r="B29" s="46" t="s">
        <v>974</v>
      </c>
      <c r="C29" s="1417" t="s">
        <v>958</v>
      </c>
      <c r="D29" s="1418" t="s">
        <v>972</v>
      </c>
      <c r="E29" s="1419">
        <v>8</v>
      </c>
      <c r="F29" s="1420">
        <v>0.5</v>
      </c>
      <c r="G29" s="1421">
        <f>O17*(1+$O$21)</f>
        <v>4950000</v>
      </c>
      <c r="H29" s="187">
        <f t="shared" ca="1" si="2"/>
        <v>4.5661704915603511E-3</v>
      </c>
      <c r="I29" s="1516"/>
      <c r="J29" s="1422">
        <f>+ROUND(E29*G29*F29,0)</f>
        <v>19800000</v>
      </c>
    </row>
    <row r="30" spans="2:15" ht="18.75" customHeight="1">
      <c r="B30" s="46" t="s">
        <v>975</v>
      </c>
      <c r="C30" s="1417" t="s">
        <v>961</v>
      </c>
      <c r="D30" s="1418" t="s">
        <v>972</v>
      </c>
      <c r="E30" s="1419">
        <v>8</v>
      </c>
      <c r="F30" s="1420">
        <v>0.33</v>
      </c>
      <c r="G30" s="1421">
        <f>O18*(1+$O$21)</f>
        <v>4950000</v>
      </c>
      <c r="H30" s="187">
        <f t="shared" ca="1" si="2"/>
        <v>3.0136725244298318E-3</v>
      </c>
      <c r="I30" s="1516"/>
      <c r="J30" s="1422">
        <f>+ROUND(E30*G30*F30,0)</f>
        <v>13068000</v>
      </c>
    </row>
    <row r="31" spans="2:15" ht="18.75" customHeight="1">
      <c r="B31" s="46" t="s">
        <v>976</v>
      </c>
      <c r="C31" s="47" t="s">
        <v>964</v>
      </c>
      <c r="D31" s="52" t="s">
        <v>972</v>
      </c>
      <c r="E31" s="53">
        <v>8</v>
      </c>
      <c r="F31" s="54">
        <v>1</v>
      </c>
      <c r="G31" s="176">
        <f>O19*(1+$O$21)</f>
        <v>4950000</v>
      </c>
      <c r="H31" s="45">
        <f t="shared" ca="1" si="2"/>
        <v>9.1323409831207021E-3</v>
      </c>
      <c r="I31" s="1517"/>
      <c r="J31" s="1352">
        <f>+ROUND(E31*G31*F31,0)</f>
        <v>39600000</v>
      </c>
    </row>
    <row r="32" spans="2:15" ht="18.75" customHeight="1">
      <c r="B32" s="44" t="s">
        <v>977</v>
      </c>
      <c r="C32" s="1731" t="s">
        <v>978</v>
      </c>
      <c r="D32" s="1731"/>
      <c r="E32" s="1731"/>
      <c r="F32" s="1731"/>
      <c r="G32" s="1731"/>
      <c r="H32" s="1731"/>
      <c r="I32" s="1515"/>
      <c r="J32" s="1346"/>
    </row>
    <row r="33" spans="2:19" ht="18.75" customHeight="1">
      <c r="B33" s="1336" t="s">
        <v>929</v>
      </c>
      <c r="C33" s="1337" t="s">
        <v>930</v>
      </c>
      <c r="D33" s="1337" t="s">
        <v>931</v>
      </c>
      <c r="E33" s="1338" t="s">
        <v>979</v>
      </c>
      <c r="F33" s="1340" t="s">
        <v>932</v>
      </c>
      <c r="G33" s="1340" t="s">
        <v>934</v>
      </c>
      <c r="H33" s="1339" t="s">
        <v>935</v>
      </c>
      <c r="I33" s="1519"/>
      <c r="J33" s="1341" t="s">
        <v>936</v>
      </c>
    </row>
    <row r="34" spans="2:19" ht="18.75" customHeight="1">
      <c r="B34" s="46" t="s">
        <v>530</v>
      </c>
      <c r="C34" s="47" t="s">
        <v>980</v>
      </c>
      <c r="D34" s="52" t="s">
        <v>505</v>
      </c>
      <c r="E34" s="53">
        <f>+O7</f>
        <v>240</v>
      </c>
      <c r="F34" s="54">
        <v>1</v>
      </c>
      <c r="G34" s="175">
        <v>50000</v>
      </c>
      <c r="H34" s="45">
        <f t="shared" ref="H34:H43" ca="1" si="5">+J34/J$45</f>
        <v>2.7673760554911219E-3</v>
      </c>
      <c r="I34" s="1517"/>
      <c r="J34" s="1352">
        <f t="shared" ref="J34:J38" si="6">+ROUND(E34*G34*F34,0)</f>
        <v>12000000</v>
      </c>
      <c r="N34" s="1330"/>
    </row>
    <row r="35" spans="2:19" ht="34.9" customHeight="1">
      <c r="B35" s="46" t="s">
        <v>532</v>
      </c>
      <c r="C35" s="49" t="s">
        <v>981</v>
      </c>
      <c r="D35" s="52" t="s">
        <v>982</v>
      </c>
      <c r="E35" s="53">
        <v>1</v>
      </c>
      <c r="F35" s="54">
        <v>1</v>
      </c>
      <c r="G35" s="175">
        <v>4000000</v>
      </c>
      <c r="H35" s="45">
        <f t="shared" ca="1" si="5"/>
        <v>9.2245868516370737E-4</v>
      </c>
      <c r="I35" s="1517"/>
      <c r="J35" s="1352">
        <f t="shared" si="6"/>
        <v>4000000</v>
      </c>
    </row>
    <row r="36" spans="2:19" ht="18.75" customHeight="1">
      <c r="B36" s="46" t="s">
        <v>536</v>
      </c>
      <c r="C36" s="47" t="s">
        <v>983</v>
      </c>
      <c r="D36" s="52" t="s">
        <v>972</v>
      </c>
      <c r="E36" s="53">
        <v>8</v>
      </c>
      <c r="F36" s="54">
        <v>1</v>
      </c>
      <c r="G36" s="175">
        <v>500000</v>
      </c>
      <c r="H36" s="45">
        <f t="shared" ca="1" si="5"/>
        <v>9.2245868516370737E-4</v>
      </c>
      <c r="I36" s="1517"/>
      <c r="J36" s="1352">
        <f t="shared" si="6"/>
        <v>4000000</v>
      </c>
    </row>
    <row r="37" spans="2:19" ht="18.75" customHeight="1">
      <c r="B37" s="46" t="s">
        <v>538</v>
      </c>
      <c r="C37" s="47" t="s">
        <v>984</v>
      </c>
      <c r="D37" s="52" t="s">
        <v>982</v>
      </c>
      <c r="E37" s="53">
        <v>1</v>
      </c>
      <c r="F37" s="54">
        <v>1</v>
      </c>
      <c r="G37" s="175">
        <v>3913671</v>
      </c>
      <c r="H37" s="45">
        <f t="shared" ca="1" si="5"/>
        <v>9.0254995120583295E-4</v>
      </c>
      <c r="I37" s="1517"/>
      <c r="J37" s="1352">
        <f>+ROUND(E37*G37*F37,0)</f>
        <v>3913671</v>
      </c>
      <c r="N37" s="65"/>
    </row>
    <row r="38" spans="2:19" ht="18.75" customHeight="1">
      <c r="B38" s="46" t="s">
        <v>541</v>
      </c>
      <c r="C38" s="47" t="s">
        <v>985</v>
      </c>
      <c r="D38" s="52" t="s">
        <v>505</v>
      </c>
      <c r="E38" s="53">
        <f>+O7</f>
        <v>240</v>
      </c>
      <c r="F38" s="54">
        <v>1</v>
      </c>
      <c r="G38" s="175">
        <v>10000</v>
      </c>
      <c r="H38" s="45">
        <f t="shared" ca="1" si="5"/>
        <v>5.534752110982244E-4</v>
      </c>
      <c r="I38" s="1517"/>
      <c r="J38" s="1352">
        <f t="shared" si="6"/>
        <v>2400000</v>
      </c>
      <c r="N38" s="65"/>
    </row>
    <row r="39" spans="2:19" ht="34.15" customHeight="1">
      <c r="B39" s="46" t="s">
        <v>544</v>
      </c>
      <c r="C39" s="49" t="s">
        <v>986</v>
      </c>
      <c r="D39" s="52" t="s">
        <v>982</v>
      </c>
      <c r="E39" s="53">
        <v>1</v>
      </c>
      <c r="F39" s="54">
        <v>1</v>
      </c>
      <c r="G39" s="175">
        <v>4000000</v>
      </c>
      <c r="H39" s="45">
        <f t="shared" ca="1" si="5"/>
        <v>9.2245868516370737E-4</v>
      </c>
      <c r="I39" s="1517"/>
      <c r="J39" s="1352">
        <f>+ROUND(E39*G39*F39,0)</f>
        <v>4000000</v>
      </c>
    </row>
    <row r="40" spans="2:19" ht="18.75" customHeight="1">
      <c r="B40" s="46" t="s">
        <v>552</v>
      </c>
      <c r="C40" s="47" t="s">
        <v>987</v>
      </c>
      <c r="D40" s="52" t="s">
        <v>982</v>
      </c>
      <c r="E40" s="53">
        <v>1</v>
      </c>
      <c r="F40" s="54">
        <v>1</v>
      </c>
      <c r="G40" s="175">
        <v>7000000</v>
      </c>
      <c r="H40" s="45">
        <f t="shared" ca="1" si="5"/>
        <v>1.614302699036488E-3</v>
      </c>
      <c r="I40" s="1517"/>
      <c r="J40" s="1352">
        <f>+ROUND(E40*G40*F40,0)</f>
        <v>7000000</v>
      </c>
    </row>
    <row r="41" spans="2:19" ht="18.75" customHeight="1">
      <c r="B41" s="1416" t="s">
        <v>988</v>
      </c>
      <c r="C41" s="47" t="s">
        <v>989</v>
      </c>
      <c r="D41" s="1418" t="s">
        <v>982</v>
      </c>
      <c r="E41" s="1419">
        <v>1</v>
      </c>
      <c r="F41" s="1420">
        <v>1</v>
      </c>
      <c r="G41" s="1421">
        <f>AMBIENTAL!G42</f>
        <v>18542645</v>
      </c>
      <c r="H41" s="187">
        <f t="shared" ca="1" si="5"/>
        <v>4.276205981539348E-3</v>
      </c>
      <c r="I41" s="1516"/>
      <c r="J41" s="1422">
        <f>E41*G41*F41</f>
        <v>18542645</v>
      </c>
    </row>
    <row r="42" spans="2:19" ht="18.75" customHeight="1">
      <c r="B42" s="1416" t="s">
        <v>990</v>
      </c>
      <c r="C42" s="47" t="s">
        <v>991</v>
      </c>
      <c r="D42" s="1418" t="s">
        <v>982</v>
      </c>
      <c r="E42" s="1419">
        <v>1</v>
      </c>
      <c r="F42" s="1420">
        <v>1</v>
      </c>
      <c r="G42" s="1421">
        <f>SST!G21</f>
        <v>6447891</v>
      </c>
      <c r="H42" s="187">
        <f t="shared" ca="1" si="5"/>
        <v>1.4869782634847255E-3</v>
      </c>
      <c r="I42" s="1516"/>
      <c r="J42" s="1422">
        <f t="shared" ref="J42" si="7">E42*G42*F42</f>
        <v>6447891</v>
      </c>
    </row>
    <row r="43" spans="2:19" ht="18.75" customHeight="1">
      <c r="B43" s="1416" t="s">
        <v>992</v>
      </c>
      <c r="C43" s="1417" t="s">
        <v>993</v>
      </c>
      <c r="D43" s="1418" t="s">
        <v>982</v>
      </c>
      <c r="E43" s="1419">
        <v>1</v>
      </c>
      <c r="F43" s="1420">
        <v>1</v>
      </c>
      <c r="G43" s="1421">
        <f>PMT!G25</f>
        <v>46485017</v>
      </c>
      <c r="H43" s="187">
        <f t="shared" ca="1" si="5"/>
        <v>1.0720126915408147E-2</v>
      </c>
      <c r="I43" s="1516"/>
      <c r="J43" s="1422">
        <f>E43*G43*F43</f>
        <v>46485017</v>
      </c>
    </row>
    <row r="44" spans="2:19" ht="18.75" customHeight="1">
      <c r="B44" s="1733" t="s">
        <v>994</v>
      </c>
      <c r="C44" s="1734"/>
      <c r="D44" s="1734"/>
      <c r="E44" s="1734"/>
      <c r="F44" s="1734"/>
      <c r="G44" s="1735"/>
      <c r="H44" s="1476">
        <f ca="1">SUM(H13:H43)</f>
        <v>0.2839792253983523</v>
      </c>
      <c r="I44" s="1520"/>
      <c r="J44" s="1423">
        <f ca="1">ROUND(SUM(J13:J43),0)</f>
        <v>1231401384</v>
      </c>
      <c r="L44" s="60"/>
      <c r="M44" s="60"/>
      <c r="N44" s="1307"/>
      <c r="O44"/>
      <c r="P44"/>
      <c r="Q44"/>
      <c r="R44"/>
      <c r="S44"/>
    </row>
    <row r="45" spans="2:19" ht="18.75" customHeight="1" thickBot="1">
      <c r="B45" s="1736" t="s">
        <v>995</v>
      </c>
      <c r="C45" s="1737"/>
      <c r="D45" s="1737"/>
      <c r="E45" s="1737"/>
      <c r="F45" s="1737"/>
      <c r="G45" s="1738"/>
      <c r="H45" s="1266"/>
      <c r="I45" s="1521"/>
      <c r="J45" s="1354">
        <f ca="1">PRESUP!G131+PRESUP!G135</f>
        <v>4336237562</v>
      </c>
      <c r="N45"/>
      <c r="O45"/>
      <c r="P45"/>
      <c r="Q45"/>
      <c r="R45"/>
      <c r="S45"/>
    </row>
    <row r="46" spans="2:19">
      <c r="M46" s="1524">
        <v>5743533698</v>
      </c>
      <c r="N46" s="1369">
        <f ca="1">J7-AU!M46</f>
        <v>1</v>
      </c>
      <c r="O46"/>
      <c r="P46"/>
      <c r="Q46"/>
      <c r="R46"/>
      <c r="S46"/>
    </row>
    <row r="47" spans="2:19">
      <c r="B47"/>
      <c r="C47"/>
      <c r="D47" s="30"/>
      <c r="E47" s="30"/>
      <c r="F47" s="30"/>
      <c r="G47" s="30"/>
      <c r="H47" s="30"/>
      <c r="I47" s="30"/>
      <c r="J47" s="1349"/>
      <c r="M47" s="1524">
        <f ca="1">J7-SUM(J13:J20)</f>
        <v>4860794987</v>
      </c>
      <c r="N47" s="1475"/>
      <c r="O47"/>
      <c r="P47"/>
      <c r="Q47"/>
      <c r="R47"/>
      <c r="S47"/>
    </row>
    <row r="48" spans="2:19">
      <c r="B48"/>
      <c r="C48"/>
      <c r="D48" s="30"/>
      <c r="E48" s="30"/>
      <c r="F48" s="30"/>
      <c r="G48" s="30"/>
      <c r="H48" s="30"/>
      <c r="I48" s="30"/>
      <c r="J48" s="1350"/>
      <c r="M48" s="1524">
        <f ca="1">J7*20%</f>
        <v>1148706739.8</v>
      </c>
      <c r="N48"/>
      <c r="O48"/>
      <c r="P48"/>
      <c r="Q48"/>
      <c r="R48"/>
      <c r="S48"/>
    </row>
    <row r="49" spans="2:19">
      <c r="B49"/>
      <c r="C49"/>
      <c r="D49" s="30"/>
      <c r="E49" s="30"/>
      <c r="F49" s="30"/>
      <c r="G49" s="30"/>
      <c r="H49" s="30"/>
      <c r="I49" s="30"/>
      <c r="M49" s="1524">
        <f ca="1">$J$7</f>
        <v>5743533699</v>
      </c>
      <c r="N49"/>
      <c r="O49"/>
      <c r="P49"/>
      <c r="Q49"/>
      <c r="R49"/>
      <c r="S49"/>
    </row>
    <row r="50" spans="2:19">
      <c r="B50"/>
      <c r="C50"/>
      <c r="D50" s="30"/>
      <c r="E50" s="30"/>
      <c r="F50" s="30"/>
      <c r="G50" s="30"/>
      <c r="H50" s="30"/>
      <c r="I50" s="30"/>
      <c r="J50" s="30"/>
      <c r="M50" s="1524">
        <f t="shared" ref="M50:M53" ca="1" si="8">$J$7</f>
        <v>5743533699</v>
      </c>
      <c r="N50"/>
      <c r="O50"/>
      <c r="P50"/>
      <c r="Q50"/>
      <c r="R50"/>
      <c r="S50"/>
    </row>
    <row r="51" spans="2:19">
      <c r="J51" s="1351"/>
      <c r="M51" s="1524">
        <f t="shared" ca="1" si="8"/>
        <v>5743533699</v>
      </c>
      <c r="N51"/>
      <c r="O51"/>
      <c r="P51"/>
      <c r="Q51"/>
      <c r="R51"/>
      <c r="S51"/>
    </row>
    <row r="52" spans="2:19">
      <c r="M52" s="1524">
        <f t="shared" ca="1" si="8"/>
        <v>5743533699</v>
      </c>
      <c r="N52"/>
      <c r="O52"/>
      <c r="P52"/>
      <c r="Q52"/>
      <c r="R52"/>
      <c r="S52"/>
    </row>
    <row r="53" spans="2:19">
      <c r="M53" s="1524">
        <f t="shared" ca="1" si="8"/>
        <v>5743533699</v>
      </c>
      <c r="N53"/>
      <c r="O53"/>
      <c r="P53"/>
      <c r="Q53"/>
      <c r="R53"/>
      <c r="S53"/>
    </row>
    <row r="54" spans="2:19">
      <c r="M54" s="1524">
        <f ca="1">J7*80%</f>
        <v>4594826959.1999998</v>
      </c>
      <c r="N54"/>
      <c r="O54"/>
      <c r="P54"/>
      <c r="Q54"/>
      <c r="R54"/>
      <c r="S54"/>
    </row>
    <row r="55" spans="2:19">
      <c r="N55"/>
      <c r="O55"/>
      <c r="P55"/>
      <c r="Q55"/>
      <c r="R55"/>
      <c r="S55"/>
    </row>
    <row r="56" spans="2:19">
      <c r="M56" s="1536"/>
      <c r="N56"/>
      <c r="O56"/>
      <c r="P56"/>
      <c r="Q56"/>
      <c r="R56"/>
      <c r="S56"/>
    </row>
    <row r="57" spans="2:19">
      <c r="N57"/>
      <c r="O57"/>
      <c r="P57"/>
      <c r="Q57"/>
      <c r="R57"/>
      <c r="S57"/>
    </row>
    <row r="58" spans="2:19">
      <c r="N58"/>
      <c r="O58"/>
      <c r="P58"/>
      <c r="Q58"/>
      <c r="R58"/>
      <c r="S58"/>
    </row>
    <row r="59" spans="2:19">
      <c r="N59"/>
      <c r="O59"/>
      <c r="P59"/>
      <c r="Q59"/>
      <c r="R59"/>
      <c r="S59"/>
    </row>
    <row r="60" spans="2:19">
      <c r="N60"/>
      <c r="O60"/>
      <c r="P60"/>
      <c r="Q60"/>
      <c r="R60"/>
      <c r="S60"/>
    </row>
    <row r="61" spans="2:19">
      <c r="N61"/>
      <c r="O61"/>
      <c r="P61"/>
      <c r="Q61"/>
      <c r="R61"/>
      <c r="S61"/>
    </row>
    <row r="62" spans="2:19">
      <c r="N62"/>
      <c r="O62"/>
      <c r="P62"/>
      <c r="Q62"/>
      <c r="R62"/>
      <c r="S62"/>
    </row>
    <row r="63" spans="2:19">
      <c r="N63"/>
      <c r="O63"/>
      <c r="P63"/>
      <c r="Q63"/>
      <c r="R63"/>
      <c r="S63"/>
    </row>
    <row r="64" spans="2:19">
      <c r="N64"/>
      <c r="O64"/>
      <c r="P64"/>
      <c r="Q64"/>
      <c r="R64"/>
      <c r="S64"/>
    </row>
    <row r="65" spans="14:19">
      <c r="N65"/>
      <c r="O65"/>
      <c r="P65"/>
      <c r="Q65"/>
      <c r="R65"/>
      <c r="S65"/>
    </row>
    <row r="66" spans="14:19">
      <c r="N66"/>
      <c r="O66"/>
      <c r="P66"/>
      <c r="Q66"/>
      <c r="R66"/>
      <c r="S66"/>
    </row>
    <row r="67" spans="14:19">
      <c r="N67"/>
      <c r="O67"/>
      <c r="P67"/>
      <c r="Q67"/>
      <c r="R67"/>
      <c r="S67"/>
    </row>
  </sheetData>
  <mergeCells count="15">
    <mergeCell ref="B44:G44"/>
    <mergeCell ref="B45:G45"/>
    <mergeCell ref="B2:B4"/>
    <mergeCell ref="J2:J4"/>
    <mergeCell ref="B6:J6"/>
    <mergeCell ref="C11:H11"/>
    <mergeCell ref="B7:I7"/>
    <mergeCell ref="C3:I4"/>
    <mergeCell ref="C2:I2"/>
    <mergeCell ref="B5:I5"/>
    <mergeCell ref="N8:O8"/>
    <mergeCell ref="C23:H23"/>
    <mergeCell ref="C32:H32"/>
    <mergeCell ref="C8:H8"/>
    <mergeCell ref="C10:H10"/>
  </mergeCells>
  <phoneticPr fontId="7" type="noConversion"/>
  <printOptions horizontalCentered="1"/>
  <pageMargins left="0.39370078740157483" right="0.39370078740157483" top="0.31496062992125984" bottom="0.31496062992125984" header="0.31496062992125984" footer="0.31496062992125984"/>
  <pageSetup scale="54" orientation="portrait" r:id="rId1"/>
  <colBreaks count="1" manualBreakCount="1">
    <brk id="13"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F30"/>
  <sheetViews>
    <sheetView zoomScale="70" zoomScaleNormal="70" workbookViewId="0">
      <selection activeCell="E17" sqref="E17"/>
    </sheetView>
  </sheetViews>
  <sheetFormatPr baseColWidth="10" defaultColWidth="0" defaultRowHeight="15" zeroHeight="1"/>
  <cols>
    <col min="1" max="1" width="3.5703125" customWidth="1"/>
    <col min="2" max="2" width="36" customWidth="1"/>
    <col min="3" max="3" width="15" customWidth="1"/>
    <col min="4" max="4" width="17.85546875" customWidth="1"/>
    <col min="5" max="5" width="11.42578125" customWidth="1"/>
    <col min="6" max="6" width="3.5703125" customWidth="1"/>
    <col min="7" max="16384" width="11.42578125" hidden="1"/>
  </cols>
  <sheetData>
    <row r="1" spans="2:6" ht="15.75" thickBot="1"/>
    <row r="2" spans="2:6" ht="18" thickBot="1">
      <c r="B2" s="1762" t="s">
        <v>996</v>
      </c>
      <c r="C2" s="1763"/>
      <c r="D2" s="1763"/>
      <c r="E2" s="1764"/>
    </row>
    <row r="3" spans="2:6"/>
    <row r="4" spans="2:6" ht="17.25">
      <c r="B4" s="13" t="s">
        <v>997</v>
      </c>
      <c r="C4" s="13" t="s">
        <v>492</v>
      </c>
      <c r="D4" s="13" t="s">
        <v>493</v>
      </c>
    </row>
    <row r="5" spans="2:6" ht="17.25">
      <c r="B5" s="13" t="s">
        <v>998</v>
      </c>
      <c r="C5" s="10" t="s">
        <v>505</v>
      </c>
      <c r="D5" s="11">
        <f>2.5*C29/30</f>
        <v>218270.00000000003</v>
      </c>
      <c r="E5" s="74"/>
      <c r="F5" s="74"/>
    </row>
    <row r="6" spans="2:6" ht="17.25" customHeight="1">
      <c r="B6" s="13" t="s">
        <v>999</v>
      </c>
      <c r="C6" s="10" t="s">
        <v>505</v>
      </c>
      <c r="D6" s="11">
        <f>C29*1.5/30</f>
        <v>130962.00000000003</v>
      </c>
      <c r="E6" s="74"/>
    </row>
    <row r="7" spans="2:6" ht="17.25">
      <c r="B7" s="13" t="s">
        <v>1000</v>
      </c>
      <c r="C7" s="10" t="s">
        <v>505</v>
      </c>
      <c r="D7" s="1493">
        <f>C29/30</f>
        <v>87308.000000000015</v>
      </c>
      <c r="E7" s="74"/>
      <c r="F7" s="74"/>
    </row>
    <row r="8" spans="2:6"/>
    <row r="9" spans="2:6" ht="17.25">
      <c r="B9" s="1765" t="s">
        <v>1001</v>
      </c>
      <c r="C9" s="1765"/>
      <c r="D9" s="1">
        <v>1423500</v>
      </c>
    </row>
    <row r="10" spans="2:6" ht="15.75" thickBot="1"/>
    <row r="11" spans="2:6" ht="18" thickBot="1">
      <c r="B11" s="1762" t="s">
        <v>1002</v>
      </c>
      <c r="C11" s="1763"/>
      <c r="D11" s="1763"/>
      <c r="E11" s="1764"/>
    </row>
    <row r="12" spans="2:6"/>
    <row r="13" spans="2:6" ht="17.25">
      <c r="B13" s="2" t="s">
        <v>887</v>
      </c>
      <c r="C13" s="3" t="s">
        <v>1003</v>
      </c>
    </row>
    <row r="14" spans="2:6" ht="17.25">
      <c r="B14" s="9" t="s">
        <v>1004</v>
      </c>
      <c r="C14" s="6">
        <v>8.3299999999999999E-2</v>
      </c>
    </row>
    <row r="15" spans="2:6" ht="17.25">
      <c r="B15" s="9" t="s">
        <v>1005</v>
      </c>
      <c r="C15" s="6">
        <v>8.3299999999999999E-2</v>
      </c>
    </row>
    <row r="16" spans="2:6" ht="17.25">
      <c r="B16" s="9" t="s">
        <v>1006</v>
      </c>
      <c r="C16" s="6">
        <v>0.01</v>
      </c>
    </row>
    <row r="17" spans="2:5" ht="17.25">
      <c r="B17" s="9" t="s">
        <v>1007</v>
      </c>
      <c r="C17" s="6">
        <v>0.05</v>
      </c>
    </row>
    <row r="18" spans="2:5" ht="17.25">
      <c r="B18" s="9" t="s">
        <v>1008</v>
      </c>
      <c r="C18" s="6">
        <v>8.5000000000000006E-2</v>
      </c>
    </row>
    <row r="19" spans="2:5" ht="17.25">
      <c r="B19" s="9" t="s">
        <v>1009</v>
      </c>
      <c r="C19" s="6">
        <v>0.12</v>
      </c>
    </row>
    <row r="20" spans="2:5" ht="17.25">
      <c r="B20" s="9" t="s">
        <v>1010</v>
      </c>
      <c r="C20" s="6">
        <v>6.9599999999999995E-2</v>
      </c>
    </row>
    <row r="21" spans="2:5" ht="17.25">
      <c r="B21" s="9" t="s">
        <v>1011</v>
      </c>
      <c r="C21" s="6">
        <v>0.02</v>
      </c>
    </row>
    <row r="22" spans="2:5" ht="17.25">
      <c r="B22" s="9" t="s">
        <v>1012</v>
      </c>
      <c r="C22" s="6">
        <v>0.03</v>
      </c>
    </row>
    <row r="23" spans="2:5" ht="17.25">
      <c r="B23" s="9" t="s">
        <v>1013</v>
      </c>
      <c r="C23" s="6">
        <v>0.04</v>
      </c>
      <c r="E23" s="1355"/>
    </row>
    <row r="24" spans="2:5" ht="17.25">
      <c r="B24" s="9" t="s">
        <v>1014</v>
      </c>
      <c r="C24" s="6">
        <v>5.8799999999999998E-2</v>
      </c>
      <c r="E24" s="1355"/>
    </row>
    <row r="25" spans="2:5" ht="17.25">
      <c r="B25" s="9" t="s">
        <v>1015</v>
      </c>
      <c r="C25" s="6">
        <v>0.14000000000000001</v>
      </c>
      <c r="E25" s="1355"/>
    </row>
    <row r="26" spans="2:5" ht="17.25">
      <c r="B26" s="9" t="s">
        <v>1016</v>
      </c>
      <c r="C26" s="6">
        <v>0.05</v>
      </c>
      <c r="E26" s="1355"/>
    </row>
    <row r="27" spans="2:5" ht="34.5">
      <c r="B27" s="4" t="s">
        <v>1017</v>
      </c>
      <c r="C27" s="5">
        <f>SUM(C14:C26)</f>
        <v>0.84000000000000019</v>
      </c>
      <c r="E27" s="1463"/>
    </row>
    <row r="28" spans="2:5"/>
    <row r="29" spans="2:5" ht="34.5">
      <c r="B29" s="7" t="s">
        <v>1018</v>
      </c>
      <c r="C29" s="8">
        <f>D9*(1+C27)</f>
        <v>2619240.0000000005</v>
      </c>
    </row>
    <row r="30" spans="2:5"/>
  </sheetData>
  <mergeCells count="3">
    <mergeCell ref="B2:E2"/>
    <mergeCell ref="B11:E11"/>
    <mergeCell ref="B9:C9"/>
  </mergeCells>
  <pageMargins left="0.7" right="0.7" top="0.75" bottom="0.75" header="0.3" footer="0.3"/>
  <pageSetup scale="87"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8" tint="0.59999389629810485"/>
  </sheetPr>
  <dimension ref="B1:G31"/>
  <sheetViews>
    <sheetView topLeftCell="A4" workbookViewId="0">
      <selection activeCell="I18" sqref="I18"/>
    </sheetView>
  </sheetViews>
  <sheetFormatPr baseColWidth="10" defaultColWidth="11.42578125" defaultRowHeight="12.75"/>
  <cols>
    <col min="1" max="1" width="3.5703125" style="189" customWidth="1"/>
    <col min="2" max="2" width="11.42578125" style="189"/>
    <col min="3" max="3" width="60" style="189" customWidth="1"/>
    <col min="4" max="5" width="11.42578125" style="189"/>
    <col min="6" max="6" width="18.5703125" style="189" customWidth="1"/>
    <col min="7" max="7" width="21.42578125" style="189" customWidth="1"/>
    <col min="8" max="8" width="3.5703125" style="189" customWidth="1"/>
    <col min="9" max="16384" width="11.42578125" style="189"/>
  </cols>
  <sheetData>
    <row r="1" spans="2:7" ht="13.5" thickBot="1"/>
    <row r="2" spans="2:7" ht="15">
      <c r="B2" s="1771" t="s">
        <v>1019</v>
      </c>
      <c r="C2" s="1772"/>
      <c r="D2" s="1772"/>
      <c r="E2" s="1772"/>
      <c r="F2" s="1772"/>
      <c r="G2" s="1773"/>
    </row>
    <row r="3" spans="2:7" ht="37.5" customHeight="1">
      <c r="B3" s="1774" t="str">
        <f>PRESUP!B2</f>
        <v>CONSTRUCCIÓN DE LA SEGUNDA ETAPA DEL PLAN MAESTRO DE ACUEDUCTO Y ALCANTARILLADO DE LOS SECTORES LA VIEJITA, LOS SAUCES, EL ALTO 2, MALPASO 2 Y ADOQUINADO DEL MUNICIPIO DE SAN CARLOS, ANTIOQUIA</v>
      </c>
      <c r="C3" s="1775"/>
      <c r="D3" s="1775"/>
      <c r="E3" s="1775"/>
      <c r="F3" s="1775"/>
      <c r="G3" s="1776"/>
    </row>
    <row r="4" spans="2:7" ht="18.75" customHeight="1">
      <c r="B4" s="1777" t="s">
        <v>1020</v>
      </c>
      <c r="C4" s="1778"/>
      <c r="D4" s="1778"/>
      <c r="E4" s="1778"/>
      <c r="F4" s="1778"/>
      <c r="G4" s="1779"/>
    </row>
    <row r="5" spans="2:7" ht="18.75" customHeight="1">
      <c r="B5" s="1780" t="s">
        <v>1021</v>
      </c>
      <c r="C5" s="1781"/>
      <c r="D5" s="1781"/>
      <c r="E5" s="1781"/>
      <c r="F5" s="1781"/>
      <c r="G5" s="1782"/>
    </row>
    <row r="6" spans="2:7" ht="18.75" customHeight="1">
      <c r="B6" s="190" t="s">
        <v>1022</v>
      </c>
      <c r="C6" s="191" t="s">
        <v>1023</v>
      </c>
      <c r="D6" s="191" t="s">
        <v>1024</v>
      </c>
      <c r="E6" s="191" t="s">
        <v>447</v>
      </c>
      <c r="F6" s="191" t="s">
        <v>1025</v>
      </c>
      <c r="G6" s="192" t="s">
        <v>1026</v>
      </c>
    </row>
    <row r="7" spans="2:7" ht="18.75" customHeight="1">
      <c r="B7" s="1766" t="s">
        <v>1027</v>
      </c>
      <c r="C7" s="1767"/>
      <c r="D7" s="1767"/>
      <c r="E7" s="1767"/>
      <c r="F7" s="1767"/>
      <c r="G7" s="1768"/>
    </row>
    <row r="8" spans="2:7" ht="18.75" customHeight="1">
      <c r="B8" s="193" t="s">
        <v>490</v>
      </c>
      <c r="C8" s="194" t="s">
        <v>1028</v>
      </c>
      <c r="D8" s="195" t="s">
        <v>527</v>
      </c>
      <c r="E8" s="196">
        <v>25</v>
      </c>
      <c r="F8" s="197">
        <v>376000</v>
      </c>
      <c r="G8" s="198">
        <f>ROUND(E8*F8,0)</f>
        <v>9400000</v>
      </c>
    </row>
    <row r="9" spans="2:7" ht="18.75" hidden="1" customHeight="1">
      <c r="B9" s="193"/>
      <c r="C9" s="194"/>
      <c r="D9" s="195"/>
      <c r="E9" s="196"/>
      <c r="F9" s="197"/>
      <c r="G9" s="198"/>
    </row>
    <row r="10" spans="2:7" ht="18.75" customHeight="1">
      <c r="B10" s="193" t="s">
        <v>507</v>
      </c>
      <c r="C10" s="194" t="s">
        <v>1029</v>
      </c>
      <c r="D10" s="195" t="s">
        <v>527</v>
      </c>
      <c r="E10" s="196">
        <v>2000</v>
      </c>
      <c r="F10" s="197">
        <v>800</v>
      </c>
      <c r="G10" s="198">
        <f>ROUND(E10*F10,0)</f>
        <v>1600000</v>
      </c>
    </row>
    <row r="11" spans="2:7" ht="18.75" customHeight="1">
      <c r="B11" s="1766" t="s">
        <v>1030</v>
      </c>
      <c r="C11" s="1767"/>
      <c r="D11" s="1767"/>
      <c r="E11" s="1767"/>
      <c r="F11" s="1767"/>
      <c r="G11" s="1768">
        <f t="shared" ref="G11:G21" si="0">ROUND(E11*F11,0)</f>
        <v>0</v>
      </c>
    </row>
    <row r="12" spans="2:7" ht="18.75" customHeight="1">
      <c r="B12" s="193" t="s">
        <v>515</v>
      </c>
      <c r="C12" s="194" t="s">
        <v>1031</v>
      </c>
      <c r="D12" s="195" t="s">
        <v>527</v>
      </c>
      <c r="E12" s="196">
        <v>10</v>
      </c>
      <c r="F12" s="197">
        <v>800000</v>
      </c>
      <c r="G12" s="198">
        <f t="shared" si="0"/>
        <v>8000000</v>
      </c>
    </row>
    <row r="13" spans="2:7" ht="18.75" customHeight="1">
      <c r="B13" s="193" t="s">
        <v>522</v>
      </c>
      <c r="C13" s="194" t="s">
        <v>1032</v>
      </c>
      <c r="D13" s="195" t="s">
        <v>527</v>
      </c>
      <c r="E13" s="196">
        <v>7</v>
      </c>
      <c r="F13" s="197">
        <v>467885.98499999999</v>
      </c>
      <c r="G13" s="198">
        <f t="shared" si="0"/>
        <v>3275202</v>
      </c>
    </row>
    <row r="14" spans="2:7" ht="18.75" customHeight="1">
      <c r="B14" s="193" t="s">
        <v>526</v>
      </c>
      <c r="C14" s="194" t="s">
        <v>1033</v>
      </c>
      <c r="D14" s="195" t="s">
        <v>527</v>
      </c>
      <c r="E14" s="196">
        <v>40</v>
      </c>
      <c r="F14" s="197">
        <v>65000</v>
      </c>
      <c r="G14" s="198">
        <f t="shared" si="0"/>
        <v>2600000</v>
      </c>
    </row>
    <row r="15" spans="2:7" ht="18.75" customHeight="1">
      <c r="B15" s="193" t="s">
        <v>973</v>
      </c>
      <c r="C15" s="1494" t="s">
        <v>1034</v>
      </c>
      <c r="D15" s="1495" t="s">
        <v>527</v>
      </c>
      <c r="E15" s="1496">
        <v>200</v>
      </c>
      <c r="F15" s="1497">
        <v>32000</v>
      </c>
      <c r="G15" s="1498">
        <f t="shared" si="0"/>
        <v>6400000</v>
      </c>
    </row>
    <row r="16" spans="2:7" ht="18.75" customHeight="1">
      <c r="B16" s="193" t="s">
        <v>1035</v>
      </c>
      <c r="C16" s="194" t="s">
        <v>1036</v>
      </c>
      <c r="D16" s="195" t="s">
        <v>1037</v>
      </c>
      <c r="E16" s="196">
        <v>50</v>
      </c>
      <c r="F16" s="197">
        <v>25000</v>
      </c>
      <c r="G16" s="198">
        <f t="shared" si="0"/>
        <v>1250000</v>
      </c>
    </row>
    <row r="17" spans="2:7" ht="18.75" customHeight="1">
      <c r="B17" s="1766" t="s">
        <v>1038</v>
      </c>
      <c r="C17" s="1767"/>
      <c r="D17" s="1767"/>
      <c r="E17" s="1767"/>
      <c r="F17" s="1767"/>
      <c r="G17" s="1768">
        <f t="shared" si="0"/>
        <v>0</v>
      </c>
    </row>
    <row r="18" spans="2:7" ht="18.75" customHeight="1">
      <c r="B18" s="193" t="s">
        <v>530</v>
      </c>
      <c r="C18" s="194" t="s">
        <v>1039</v>
      </c>
      <c r="D18" s="195" t="s">
        <v>972</v>
      </c>
      <c r="E18" s="196">
        <f>6</f>
        <v>6</v>
      </c>
      <c r="F18" s="197">
        <f>1423500*1.6</f>
        <v>2277600</v>
      </c>
      <c r="G18" s="198">
        <f t="shared" si="0"/>
        <v>13665600</v>
      </c>
    </row>
    <row r="19" spans="2:7" ht="18.75" customHeight="1">
      <c r="B19" s="193" t="s">
        <v>532</v>
      </c>
      <c r="C19" s="194" t="s">
        <v>1040</v>
      </c>
      <c r="D19" s="195" t="s">
        <v>527</v>
      </c>
      <c r="E19" s="196">
        <v>1</v>
      </c>
      <c r="F19" s="197">
        <v>48315</v>
      </c>
      <c r="G19" s="198">
        <f t="shared" si="0"/>
        <v>48315</v>
      </c>
    </row>
    <row r="20" spans="2:7" ht="18.75" customHeight="1">
      <c r="B20" s="193" t="s">
        <v>534</v>
      </c>
      <c r="C20" s="194" t="s">
        <v>1041</v>
      </c>
      <c r="D20" s="195" t="s">
        <v>527</v>
      </c>
      <c r="E20" s="196">
        <v>1</v>
      </c>
      <c r="F20" s="197">
        <v>65900</v>
      </c>
      <c r="G20" s="198">
        <f t="shared" si="0"/>
        <v>65900</v>
      </c>
    </row>
    <row r="21" spans="2:7" ht="18.75" customHeight="1">
      <c r="B21" s="193" t="s">
        <v>536</v>
      </c>
      <c r="C21" s="194" t="s">
        <v>1042</v>
      </c>
      <c r="D21" s="195" t="s">
        <v>527</v>
      </c>
      <c r="E21" s="196">
        <v>1</v>
      </c>
      <c r="F21" s="197">
        <v>180000</v>
      </c>
      <c r="G21" s="198">
        <f t="shared" si="0"/>
        <v>180000</v>
      </c>
    </row>
    <row r="22" spans="2:7" ht="18.75" hidden="1" customHeight="1">
      <c r="B22" s="1766"/>
      <c r="C22" s="1767"/>
      <c r="D22" s="1767"/>
      <c r="E22" s="1767"/>
      <c r="F22" s="1767"/>
      <c r="G22" s="1768"/>
    </row>
    <row r="23" spans="2:7" ht="18.75" hidden="1" customHeight="1" thickBot="1">
      <c r="B23" s="1477"/>
      <c r="C23" s="1478"/>
      <c r="D23" s="1479"/>
      <c r="E23" s="1480"/>
      <c r="F23" s="1481"/>
      <c r="G23" s="1482"/>
    </row>
    <row r="24" spans="2:7" ht="13.5" thickBot="1"/>
    <row r="25" spans="2:7" ht="18.75" customHeight="1" thickBot="1">
      <c r="E25" s="1769" t="s">
        <v>21</v>
      </c>
      <c r="F25" s="1770"/>
      <c r="G25" s="199">
        <f>SUM(G8:G10,G12:G16,G18:G21,G23)</f>
        <v>46485017</v>
      </c>
    </row>
    <row r="27" spans="2:7" ht="30" customHeight="1">
      <c r="B27" s="1551" t="s">
        <v>22</v>
      </c>
      <c r="C27" s="1551"/>
    </row>
    <row r="28" spans="2:7" ht="15">
      <c r="B28" s="1545" t="s">
        <v>23</v>
      </c>
      <c r="C28" s="1545"/>
    </row>
    <row r="29" spans="2:7" ht="15">
      <c r="B29" s="1550" t="s">
        <v>24</v>
      </c>
      <c r="C29" s="1545"/>
    </row>
    <row r="30" spans="2:7" ht="15">
      <c r="B30" s="1545" t="s">
        <v>25</v>
      </c>
      <c r="C30" s="1545"/>
    </row>
    <row r="31" spans="2:7" ht="15">
      <c r="B31" s="1545" t="s">
        <v>26</v>
      </c>
      <c r="C31" s="1545"/>
    </row>
  </sheetData>
  <mergeCells count="14">
    <mergeCell ref="B11:G11"/>
    <mergeCell ref="B2:G2"/>
    <mergeCell ref="B3:G3"/>
    <mergeCell ref="B4:G4"/>
    <mergeCell ref="B5:G5"/>
    <mergeCell ref="B7:G7"/>
    <mergeCell ref="B29:C29"/>
    <mergeCell ref="B30:C30"/>
    <mergeCell ref="B31:C31"/>
    <mergeCell ref="B17:G17"/>
    <mergeCell ref="B22:G22"/>
    <mergeCell ref="E25:F25"/>
    <mergeCell ref="B27:C27"/>
    <mergeCell ref="B28:C28"/>
  </mergeCells>
  <pageMargins left="0.7" right="0.7" top="0.75" bottom="0.75" header="0.3" footer="0.3"/>
  <pageSetup scale="6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B2:H827"/>
  <sheetViews>
    <sheetView workbookViewId="0"/>
  </sheetViews>
  <sheetFormatPr baseColWidth="10" defaultColWidth="14.28515625" defaultRowHeight="15"/>
  <cols>
    <col min="1" max="1" width="3.5703125" style="1221" customWidth="1"/>
    <col min="2" max="2" width="55.28515625" style="1221" customWidth="1"/>
    <col min="3" max="3" width="13.7109375" style="1221" customWidth="1"/>
    <col min="4" max="4" width="9.7109375" style="1221" customWidth="1"/>
    <col min="5" max="5" width="13.42578125" style="1221" bestFit="1" customWidth="1"/>
    <col min="6" max="6" width="7.7109375" style="1221" customWidth="1"/>
    <col min="7" max="7" width="22.28515625" style="1221" customWidth="1"/>
    <col min="8" max="8" width="68.28515625" style="1221" customWidth="1"/>
    <col min="9" max="9" width="3.5703125" style="1221" customWidth="1"/>
    <col min="10" max="10" width="12.28515625" style="1221" customWidth="1"/>
    <col min="11" max="11" width="7.7109375" style="1221" customWidth="1"/>
    <col min="12" max="12" width="12.28515625" style="1221" customWidth="1"/>
    <col min="13" max="13" width="7.7109375" style="1221" customWidth="1"/>
    <col min="14" max="14" width="12.28515625" style="1221" customWidth="1"/>
    <col min="15" max="15" width="7.7109375" style="1221" customWidth="1"/>
    <col min="16" max="16" width="12.28515625" style="1221" customWidth="1"/>
    <col min="17" max="17" width="7.7109375" style="1221" customWidth="1"/>
    <col min="18" max="18" width="2.28515625" style="1221" customWidth="1"/>
    <col min="19" max="19" width="12.28515625" style="1221" customWidth="1"/>
    <col min="20" max="20" width="7.7109375" style="1221" customWidth="1"/>
    <col min="21" max="21" width="14.28515625" style="1221"/>
    <col min="22" max="22" width="15" style="1221" bestFit="1" customWidth="1"/>
    <col min="23" max="23" width="93.28515625" style="1221" customWidth="1"/>
    <col min="24" max="16384" width="14.28515625" style="1221"/>
  </cols>
  <sheetData>
    <row r="2" spans="2:8" ht="37.5" customHeight="1">
      <c r="B2" s="1789" t="s">
        <v>1019</v>
      </c>
      <c r="C2" s="1790"/>
      <c r="D2" s="1790"/>
      <c r="E2" s="1790"/>
      <c r="F2" s="1790"/>
      <c r="G2" s="1790"/>
      <c r="H2" s="1791"/>
    </row>
    <row r="3" spans="2:8" ht="54.75" customHeight="1">
      <c r="B3" s="1792" t="s">
        <v>1043</v>
      </c>
      <c r="C3" s="1793"/>
      <c r="D3" s="1793"/>
      <c r="E3" s="1793"/>
      <c r="F3" s="1793"/>
      <c r="G3" s="1793"/>
      <c r="H3" s="1794"/>
    </row>
    <row r="4" spans="2:8" ht="42" customHeight="1">
      <c r="B4" s="1795" t="str">
        <f>PRESUP!B2</f>
        <v>CONSTRUCCIÓN DE LA SEGUNDA ETAPA DEL PLAN MAESTRO DE ACUEDUCTO Y ALCANTARILLADO DE LOS SECTORES LA VIEJITA, LOS SAUCES, EL ALTO 2, MALPASO 2 Y ADOQUINADO DEL MUNICIPIO DE SAN CARLOS, ANTIOQUIA</v>
      </c>
      <c r="C4" s="1796"/>
      <c r="D4" s="1796"/>
      <c r="E4" s="1796"/>
      <c r="F4" s="1796"/>
      <c r="G4" s="1796"/>
      <c r="H4" s="1797"/>
    </row>
    <row r="5" spans="2:8" ht="18.75" customHeight="1">
      <c r="B5" s="1798" t="s">
        <v>1044</v>
      </c>
      <c r="C5" s="1799"/>
      <c r="D5" s="1799"/>
      <c r="E5" s="1799"/>
      <c r="F5" s="1799"/>
      <c r="G5" s="1799"/>
      <c r="H5" s="1799"/>
    </row>
    <row r="6" spans="2:8" ht="31.5" customHeight="1">
      <c r="B6" s="1211" t="s">
        <v>3</v>
      </c>
      <c r="C6" s="1211" t="s">
        <v>504</v>
      </c>
      <c r="D6" s="1211" t="s">
        <v>5</v>
      </c>
      <c r="E6" s="1800" t="s">
        <v>1045</v>
      </c>
      <c r="F6" s="1800"/>
      <c r="G6" s="1211" t="s">
        <v>1046</v>
      </c>
      <c r="H6" s="1211" t="s">
        <v>1047</v>
      </c>
    </row>
    <row r="7" spans="2:8" ht="30" customHeight="1">
      <c r="B7" s="1785" t="s">
        <v>1048</v>
      </c>
      <c r="C7" s="1785"/>
      <c r="D7" s="1785"/>
      <c r="E7" s="1785"/>
      <c r="F7" s="1785"/>
      <c r="G7" s="1785"/>
      <c r="H7" s="1785"/>
    </row>
    <row r="8" spans="2:8" ht="22.5" customHeight="1">
      <c r="B8" s="1786" t="s">
        <v>1049</v>
      </c>
      <c r="C8" s="1787"/>
      <c r="D8" s="1787"/>
      <c r="E8" s="1787"/>
      <c r="F8" s="1787"/>
      <c r="G8" s="1787"/>
      <c r="H8" s="1787"/>
    </row>
    <row r="9" spans="2:8" ht="30" customHeight="1">
      <c r="B9" s="1470" t="s">
        <v>1050</v>
      </c>
      <c r="C9" s="1472" t="s">
        <v>1051</v>
      </c>
      <c r="D9" s="1472">
        <v>0</v>
      </c>
      <c r="E9" s="1788">
        <v>650000</v>
      </c>
      <c r="F9" s="1788"/>
      <c r="G9" s="1471">
        <f>D9*E9</f>
        <v>0</v>
      </c>
      <c r="H9" s="1212" t="s">
        <v>1052</v>
      </c>
    </row>
    <row r="10" spans="2:8" ht="30" customHeight="1">
      <c r="B10" s="1212" t="s">
        <v>1053</v>
      </c>
      <c r="C10" s="203" t="s">
        <v>1051</v>
      </c>
      <c r="D10" s="203">
        <v>0</v>
      </c>
      <c r="E10" s="1783">
        <v>380000</v>
      </c>
      <c r="F10" s="1783"/>
      <c r="G10" s="1222">
        <f>D10*E10</f>
        <v>0</v>
      </c>
      <c r="H10" s="1212"/>
    </row>
    <row r="11" spans="2:8" ht="22.5" customHeight="1">
      <c r="B11" s="1786" t="s">
        <v>1054</v>
      </c>
      <c r="C11" s="1787"/>
      <c r="D11" s="1787"/>
      <c r="E11" s="1787"/>
      <c r="F11" s="1787"/>
      <c r="G11" s="1787"/>
      <c r="H11" s="1787"/>
    </row>
    <row r="12" spans="2:8" ht="30" customHeight="1">
      <c r="B12" s="1216" t="s">
        <v>1055</v>
      </c>
      <c r="C12" s="1214" t="s">
        <v>1051</v>
      </c>
      <c r="D12" s="1214">
        <v>2000</v>
      </c>
      <c r="E12" s="1783">
        <v>600</v>
      </c>
      <c r="F12" s="1783"/>
      <c r="G12" s="1222">
        <f t="shared" ref="G12:G18" si="0">D12*E12</f>
        <v>1200000</v>
      </c>
      <c r="H12" s="1216"/>
    </row>
    <row r="13" spans="2:8" ht="15" customHeight="1">
      <c r="B13" s="1216" t="s">
        <v>1056</v>
      </c>
      <c r="C13" s="1214" t="s">
        <v>1051</v>
      </c>
      <c r="D13" s="1214">
        <v>1</v>
      </c>
      <c r="E13" s="1783">
        <v>280000</v>
      </c>
      <c r="F13" s="1783"/>
      <c r="G13" s="1222">
        <f t="shared" si="0"/>
        <v>280000</v>
      </c>
      <c r="H13" s="1216"/>
    </row>
    <row r="14" spans="2:8" ht="15" customHeight="1">
      <c r="B14" s="1216" t="s">
        <v>1057</v>
      </c>
      <c r="C14" s="1214" t="s">
        <v>1051</v>
      </c>
      <c r="D14" s="1214">
        <v>13</v>
      </c>
      <c r="E14" s="1783">
        <v>320000</v>
      </c>
      <c r="F14" s="1783"/>
      <c r="G14" s="1222">
        <f t="shared" si="0"/>
        <v>4160000</v>
      </c>
      <c r="H14" s="1216"/>
    </row>
    <row r="15" spans="2:8" ht="15" customHeight="1">
      <c r="B15" s="1216" t="s">
        <v>1058</v>
      </c>
      <c r="C15" s="1214" t="s">
        <v>1051</v>
      </c>
      <c r="D15" s="1214">
        <v>2</v>
      </c>
      <c r="E15" s="1783">
        <v>240000</v>
      </c>
      <c r="F15" s="1783"/>
      <c r="G15" s="1222">
        <f t="shared" si="0"/>
        <v>480000</v>
      </c>
      <c r="H15" s="1216"/>
    </row>
    <row r="16" spans="2:8" ht="30" customHeight="1">
      <c r="B16" s="1216" t="s">
        <v>1059</v>
      </c>
      <c r="C16" s="1214" t="s">
        <v>1051</v>
      </c>
      <c r="D16" s="1214">
        <v>2</v>
      </c>
      <c r="E16" s="1783">
        <v>150000</v>
      </c>
      <c r="F16" s="1783"/>
      <c r="G16" s="1222">
        <f t="shared" si="0"/>
        <v>300000</v>
      </c>
      <c r="H16" s="1216"/>
    </row>
    <row r="17" spans="2:8" ht="34.5" customHeight="1">
      <c r="B17" s="1216" t="s">
        <v>1060</v>
      </c>
      <c r="C17" s="1214" t="s">
        <v>1051</v>
      </c>
      <c r="D17" s="1214">
        <v>100</v>
      </c>
      <c r="E17" s="1783">
        <v>25000</v>
      </c>
      <c r="F17" s="1783"/>
      <c r="G17" s="1222">
        <f t="shared" si="0"/>
        <v>2500000</v>
      </c>
      <c r="H17" s="1216"/>
    </row>
    <row r="18" spans="2:8" ht="30" customHeight="1">
      <c r="B18" s="1213" t="s">
        <v>1061</v>
      </c>
      <c r="C18" s="1214" t="s">
        <v>1051</v>
      </c>
      <c r="D18" s="1214">
        <v>3</v>
      </c>
      <c r="E18" s="1783">
        <v>130000</v>
      </c>
      <c r="F18" s="1783"/>
      <c r="G18" s="1222">
        <f t="shared" si="0"/>
        <v>390000</v>
      </c>
      <c r="H18" s="1216"/>
    </row>
    <row r="19" spans="2:8" ht="22.5" customHeight="1">
      <c r="B19" s="1784" t="s">
        <v>1062</v>
      </c>
      <c r="C19" s="1784"/>
      <c r="D19" s="1784"/>
      <c r="E19" s="1784"/>
      <c r="F19" s="1784"/>
      <c r="G19" s="1254">
        <v>0</v>
      </c>
      <c r="H19" s="1252"/>
    </row>
    <row r="20" spans="2:8" ht="43.5" customHeight="1">
      <c r="B20" s="1210"/>
      <c r="C20" s="1210"/>
      <c r="D20" s="1210"/>
      <c r="E20" s="1210"/>
      <c r="F20" s="1210"/>
      <c r="G20" s="1210"/>
      <c r="H20" s="1210"/>
    </row>
    <row r="21" spans="2:8" ht="30" customHeight="1">
      <c r="B21" s="1551" t="s">
        <v>22</v>
      </c>
      <c r="C21" s="1551"/>
    </row>
    <row r="22" spans="2:8" ht="15.75" customHeight="1">
      <c r="B22" s="1545" t="s">
        <v>23</v>
      </c>
      <c r="C22" s="1545"/>
    </row>
    <row r="23" spans="2:8" ht="15.75" customHeight="1">
      <c r="B23" s="1550" t="s">
        <v>24</v>
      </c>
      <c r="C23" s="1545"/>
    </row>
    <row r="24" spans="2:8" ht="15.75" customHeight="1">
      <c r="B24" s="1545" t="s">
        <v>25</v>
      </c>
      <c r="C24" s="1545"/>
    </row>
    <row r="25" spans="2:8" ht="15.75" customHeight="1">
      <c r="B25" s="1545" t="s">
        <v>26</v>
      </c>
      <c r="C25" s="1545"/>
    </row>
    <row r="26" spans="2:8" ht="15.75" customHeight="1"/>
    <row r="27" spans="2:8" ht="15.75" customHeight="1"/>
    <row r="28" spans="2:8" ht="15.75" customHeight="1"/>
    <row r="29" spans="2:8" ht="15.75" customHeight="1"/>
    <row r="30" spans="2:8" ht="15.75" customHeight="1"/>
    <row r="31" spans="2:8" ht="15.75" customHeight="1"/>
    <row r="32" spans="2:8"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sheetData>
  <mergeCells count="23">
    <mergeCell ref="B2:H2"/>
    <mergeCell ref="B3:H3"/>
    <mergeCell ref="B4:H4"/>
    <mergeCell ref="B5:H5"/>
    <mergeCell ref="E6:F6"/>
    <mergeCell ref="B7:H7"/>
    <mergeCell ref="B8:H8"/>
    <mergeCell ref="E9:F9"/>
    <mergeCell ref="E10:F10"/>
    <mergeCell ref="B11:H11"/>
    <mergeCell ref="E12:F12"/>
    <mergeCell ref="E13:F13"/>
    <mergeCell ref="E14:F14"/>
    <mergeCell ref="E15:F15"/>
    <mergeCell ref="E16:F16"/>
    <mergeCell ref="B23:C23"/>
    <mergeCell ref="B24:C24"/>
    <mergeCell ref="B25:C25"/>
    <mergeCell ref="E17:F17"/>
    <mergeCell ref="E18:F18"/>
    <mergeCell ref="B19:F19"/>
    <mergeCell ref="B21:C21"/>
    <mergeCell ref="B22:C22"/>
  </mergeCells>
  <conditionalFormatting sqref="D9:D10">
    <cfRule type="containsBlanks" dxfId="131" priority="11">
      <formula>LEN(TRIM(D9))=0</formula>
    </cfRule>
  </conditionalFormatting>
  <pageMargins left="0.70866141732283472" right="0.70866141732283472" top="0.74803149606299213" bottom="0.74803149606299213" header="0.31496062992125984" footer="0.31496062992125984"/>
  <pageSetup scale="41" orientation="portrait" horizontalDpi="3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tint="0.59999389629810485"/>
  </sheetPr>
  <dimension ref="B2:H850"/>
  <sheetViews>
    <sheetView topLeftCell="A22" workbookViewId="0"/>
  </sheetViews>
  <sheetFormatPr baseColWidth="10" defaultColWidth="14.28515625" defaultRowHeight="15"/>
  <cols>
    <col min="1" max="1" width="3.5703125" style="1221" customWidth="1"/>
    <col min="2" max="2" width="55.28515625" style="1221" customWidth="1"/>
    <col min="3" max="3" width="13.7109375" style="1221" customWidth="1"/>
    <col min="4" max="4" width="9.7109375" style="1221" customWidth="1"/>
    <col min="5" max="5" width="13.42578125" style="1221" bestFit="1" customWidth="1"/>
    <col min="6" max="6" width="7.7109375" style="1221" customWidth="1"/>
    <col min="7" max="7" width="22.28515625" style="1221" customWidth="1"/>
    <col min="8" max="8" width="68.28515625" style="1221" customWidth="1"/>
    <col min="9" max="9" width="3.5703125" style="1221" customWidth="1"/>
    <col min="10" max="10" width="12.28515625" style="1221" customWidth="1"/>
    <col min="11" max="11" width="7.7109375" style="1221" customWidth="1"/>
    <col min="12" max="12" width="12.28515625" style="1221" customWidth="1"/>
    <col min="13" max="13" width="7.7109375" style="1221" customWidth="1"/>
    <col min="14" max="14" width="12.28515625" style="1221" customWidth="1"/>
    <col min="15" max="15" width="7.7109375" style="1221" customWidth="1"/>
    <col min="16" max="16" width="12.28515625" style="1221" customWidth="1"/>
    <col min="17" max="17" width="7.7109375" style="1221" customWidth="1"/>
    <col min="18" max="18" width="2.28515625" style="1221" customWidth="1"/>
    <col min="19" max="19" width="12.28515625" style="1221" customWidth="1"/>
    <col min="20" max="20" width="7.7109375" style="1221" customWidth="1"/>
    <col min="21" max="21" width="14.28515625" style="1221"/>
    <col min="22" max="22" width="15" style="1221" bestFit="1" customWidth="1"/>
    <col min="23" max="23" width="93.28515625" style="1221" customWidth="1"/>
    <col min="24" max="16384" width="14.28515625" style="1221"/>
  </cols>
  <sheetData>
    <row r="2" spans="2:8" ht="37.5" customHeight="1">
      <c r="B2" s="1789" t="s">
        <v>1019</v>
      </c>
      <c r="C2" s="1790"/>
      <c r="D2" s="1790"/>
      <c r="E2" s="1790"/>
      <c r="F2" s="1790"/>
      <c r="G2" s="1790"/>
      <c r="H2" s="1791"/>
    </row>
    <row r="3" spans="2:8" ht="54.75" customHeight="1">
      <c r="B3" s="1792" t="s">
        <v>1043</v>
      </c>
      <c r="C3" s="1793"/>
      <c r="D3" s="1793"/>
      <c r="E3" s="1793"/>
      <c r="F3" s="1793"/>
      <c r="G3" s="1793"/>
      <c r="H3" s="1794"/>
    </row>
    <row r="4" spans="2:8" ht="42" customHeight="1">
      <c r="B4" s="1795" t="str">
        <f>PRESUP!B2</f>
        <v>CONSTRUCCIÓN DE LA SEGUNDA ETAPA DEL PLAN MAESTRO DE ACUEDUCTO Y ALCANTARILLADO DE LOS SECTORES LA VIEJITA, LOS SAUCES, EL ALTO 2, MALPASO 2 Y ADOQUINADO DEL MUNICIPIO DE SAN CARLOS, ANTIOQUIA</v>
      </c>
      <c r="C4" s="1796"/>
      <c r="D4" s="1796"/>
      <c r="E4" s="1796"/>
      <c r="F4" s="1796"/>
      <c r="G4" s="1796"/>
      <c r="H4" s="1797"/>
    </row>
    <row r="5" spans="2:8" ht="18.75" customHeight="1">
      <c r="B5" s="1798" t="s">
        <v>1063</v>
      </c>
      <c r="C5" s="1799"/>
      <c r="D5" s="1799"/>
      <c r="E5" s="1799"/>
      <c r="F5" s="1799"/>
      <c r="G5" s="1799"/>
      <c r="H5" s="1799"/>
    </row>
    <row r="6" spans="2:8" ht="31.5" customHeight="1">
      <c r="B6" s="1211" t="s">
        <v>3</v>
      </c>
      <c r="C6" s="1211" t="s">
        <v>504</v>
      </c>
      <c r="D6" s="1211" t="s">
        <v>5</v>
      </c>
      <c r="E6" s="1800" t="s">
        <v>1045</v>
      </c>
      <c r="F6" s="1800"/>
      <c r="G6" s="1211" t="s">
        <v>1046</v>
      </c>
      <c r="H6" s="1211" t="s">
        <v>1047</v>
      </c>
    </row>
    <row r="7" spans="2:8" ht="30" customHeight="1">
      <c r="B7" s="1785" t="s">
        <v>1064</v>
      </c>
      <c r="C7" s="1785"/>
      <c r="D7" s="1785"/>
      <c r="E7" s="1785"/>
      <c r="F7" s="1785"/>
      <c r="G7" s="1785"/>
      <c r="H7" s="1785"/>
    </row>
    <row r="8" spans="2:8" ht="22.5" customHeight="1">
      <c r="B8" s="1786" t="s">
        <v>1065</v>
      </c>
      <c r="C8" s="1787"/>
      <c r="D8" s="1787"/>
      <c r="E8" s="1787"/>
      <c r="F8" s="1787"/>
      <c r="G8" s="1787"/>
      <c r="H8" s="1787"/>
    </row>
    <row r="9" spans="2:8" ht="15.75" customHeight="1">
      <c r="B9" s="1217" t="s">
        <v>1066</v>
      </c>
      <c r="C9" s="1255" t="s">
        <v>492</v>
      </c>
      <c r="D9" s="1255" t="s">
        <v>932</v>
      </c>
      <c r="E9" s="1255" t="s">
        <v>1067</v>
      </c>
      <c r="F9" s="1255" t="s">
        <v>1068</v>
      </c>
      <c r="G9" s="1255" t="s">
        <v>1069</v>
      </c>
      <c r="H9" s="1255" t="s">
        <v>1070</v>
      </c>
    </row>
    <row r="10" spans="2:8" ht="15.75" customHeight="1">
      <c r="B10" s="1801" t="s">
        <v>1071</v>
      </c>
      <c r="C10" s="1802"/>
      <c r="D10" s="1802"/>
      <c r="E10" s="1802"/>
      <c r="F10" s="1802"/>
      <c r="G10" s="1802"/>
      <c r="H10" s="1802"/>
    </row>
    <row r="11" spans="2:8" ht="30" customHeight="1">
      <c r="B11" s="200" t="s">
        <v>1072</v>
      </c>
      <c r="C11" s="201" t="s">
        <v>1051</v>
      </c>
      <c r="D11" s="201">
        <v>4</v>
      </c>
      <c r="E11" s="1783">
        <v>150000</v>
      </c>
      <c r="F11" s="1783"/>
      <c r="G11" s="1222">
        <f>+E11*D11</f>
        <v>600000</v>
      </c>
      <c r="H11" s="200" t="s">
        <v>1073</v>
      </c>
    </row>
    <row r="12" spans="2:8" ht="22.5" customHeight="1">
      <c r="B12" s="1786" t="s">
        <v>1074</v>
      </c>
      <c r="C12" s="1787"/>
      <c r="D12" s="1787"/>
      <c r="E12" s="1787"/>
      <c r="F12" s="1787"/>
      <c r="G12" s="1787"/>
      <c r="H12" s="1787"/>
    </row>
    <row r="13" spans="2:8" ht="15" customHeight="1">
      <c r="B13" s="1801" t="s">
        <v>1075</v>
      </c>
      <c r="C13" s="1802"/>
      <c r="D13" s="1802"/>
      <c r="E13" s="1802"/>
      <c r="F13" s="1802"/>
      <c r="G13" s="1802"/>
      <c r="H13" s="1802"/>
    </row>
    <row r="14" spans="2:8" ht="15" customHeight="1">
      <c r="B14" s="1220" t="s">
        <v>1076</v>
      </c>
      <c r="C14" s="202" t="s">
        <v>1051</v>
      </c>
      <c r="D14" s="203">
        <v>30</v>
      </c>
      <c r="E14" s="1803">
        <v>30000</v>
      </c>
      <c r="F14" s="1803"/>
      <c r="G14" s="1223">
        <f>+E14*D14</f>
        <v>900000</v>
      </c>
      <c r="H14" s="200" t="s">
        <v>1077</v>
      </c>
    </row>
    <row r="15" spans="2:8" ht="15" customHeight="1">
      <c r="B15" s="1220" t="s">
        <v>1078</v>
      </c>
      <c r="C15" s="202" t="s">
        <v>1051</v>
      </c>
      <c r="D15" s="203">
        <f>+D14</f>
        <v>30</v>
      </c>
      <c r="E15" s="1803">
        <v>16000</v>
      </c>
      <c r="F15" s="1803"/>
      <c r="G15" s="1223">
        <f>+E15*D15</f>
        <v>480000</v>
      </c>
      <c r="H15" s="200" t="s">
        <v>1079</v>
      </c>
    </row>
    <row r="16" spans="2:8" ht="45" customHeight="1">
      <c r="B16" s="1212" t="s">
        <v>1080</v>
      </c>
      <c r="C16" s="201" t="s">
        <v>327</v>
      </c>
      <c r="D16" s="203">
        <v>2</v>
      </c>
      <c r="E16" s="1783">
        <v>250000</v>
      </c>
      <c r="F16" s="1783"/>
      <c r="G16" s="1222">
        <f>+E16*D16</f>
        <v>500000</v>
      </c>
      <c r="H16" s="1212" t="s">
        <v>1081</v>
      </c>
    </row>
    <row r="17" spans="2:8" ht="30" customHeight="1">
      <c r="B17" s="200" t="s">
        <v>1082</v>
      </c>
      <c r="C17" s="201" t="s">
        <v>1083</v>
      </c>
      <c r="D17" s="203">
        <v>10</v>
      </c>
      <c r="E17" s="1783">
        <v>528400</v>
      </c>
      <c r="F17" s="1783"/>
      <c r="G17" s="1222">
        <f>+E17*D17</f>
        <v>5284000</v>
      </c>
      <c r="H17" s="200" t="s">
        <v>1084</v>
      </c>
    </row>
    <row r="18" spans="2:8" ht="15.75" customHeight="1">
      <c r="B18" s="1801" t="s">
        <v>1085</v>
      </c>
      <c r="C18" s="1802"/>
      <c r="D18" s="1802"/>
      <c r="E18" s="1802"/>
      <c r="F18" s="1802"/>
      <c r="G18" s="1802"/>
      <c r="H18" s="1802"/>
    </row>
    <row r="19" spans="2:8" ht="30" customHeight="1">
      <c r="B19" s="200" t="s">
        <v>1086</v>
      </c>
      <c r="C19" s="201" t="s">
        <v>972</v>
      </c>
      <c r="D19" s="201">
        <v>3</v>
      </c>
      <c r="E19" s="1783">
        <v>259200</v>
      </c>
      <c r="F19" s="1783"/>
      <c r="G19" s="1222">
        <f t="shared" ref="G19:G26" si="0">D19*E19</f>
        <v>777600</v>
      </c>
      <c r="H19" s="200"/>
    </row>
    <row r="20" spans="2:8" ht="30.75" customHeight="1">
      <c r="B20" s="200" t="s">
        <v>1087</v>
      </c>
      <c r="C20" s="201" t="s">
        <v>327</v>
      </c>
      <c r="D20" s="203">
        <v>2</v>
      </c>
      <c r="E20" s="1783">
        <v>282787</v>
      </c>
      <c r="F20" s="1783"/>
      <c r="G20" s="1222">
        <f t="shared" si="0"/>
        <v>565574</v>
      </c>
      <c r="H20" s="200" t="s">
        <v>1088</v>
      </c>
    </row>
    <row r="21" spans="2:8" ht="30" customHeight="1">
      <c r="B21" s="200" t="s">
        <v>1089</v>
      </c>
      <c r="C21" s="201" t="s">
        <v>1051</v>
      </c>
      <c r="D21" s="203">
        <v>2</v>
      </c>
      <c r="E21" s="1783">
        <v>351400</v>
      </c>
      <c r="F21" s="1783"/>
      <c r="G21" s="1222">
        <f t="shared" si="0"/>
        <v>702800</v>
      </c>
      <c r="H21" s="200"/>
    </row>
    <row r="22" spans="2:8" ht="30" customHeight="1">
      <c r="B22" s="200" t="s">
        <v>1090</v>
      </c>
      <c r="C22" s="201" t="s">
        <v>1051</v>
      </c>
      <c r="D22" s="201">
        <v>40</v>
      </c>
      <c r="E22" s="1783">
        <v>70479</v>
      </c>
      <c r="F22" s="1783"/>
      <c r="G22" s="1222">
        <f t="shared" si="0"/>
        <v>2819160</v>
      </c>
      <c r="H22" s="200" t="s">
        <v>1091</v>
      </c>
    </row>
    <row r="23" spans="2:8" ht="30" hidden="1" customHeight="1">
      <c r="B23" s="1461"/>
      <c r="C23" s="1485"/>
      <c r="D23" s="1485"/>
      <c r="E23" s="1788"/>
      <c r="F23" s="1788"/>
      <c r="G23" s="1471"/>
      <c r="H23" s="200"/>
    </row>
    <row r="24" spans="2:8" ht="30" customHeight="1">
      <c r="B24" s="200" t="s">
        <v>1092</v>
      </c>
      <c r="C24" s="201" t="s">
        <v>1051</v>
      </c>
      <c r="D24" s="201">
        <v>3</v>
      </c>
      <c r="E24" s="1803">
        <v>360000</v>
      </c>
      <c r="F24" s="1803"/>
      <c r="G24" s="1222">
        <f t="shared" si="0"/>
        <v>1080000</v>
      </c>
      <c r="H24" s="200" t="s">
        <v>1093</v>
      </c>
    </row>
    <row r="25" spans="2:8" ht="30" customHeight="1">
      <c r="B25" s="200" t="s">
        <v>1094</v>
      </c>
      <c r="C25" s="201" t="s">
        <v>1051</v>
      </c>
      <c r="D25" s="201">
        <v>10</v>
      </c>
      <c r="E25" s="1783">
        <v>130920</v>
      </c>
      <c r="F25" s="1783"/>
      <c r="G25" s="1222">
        <f t="shared" si="0"/>
        <v>1309200</v>
      </c>
      <c r="H25" s="200"/>
    </row>
    <row r="26" spans="2:8" ht="15" customHeight="1">
      <c r="B26" s="200" t="s">
        <v>1095</v>
      </c>
      <c r="C26" s="201" t="s">
        <v>1051</v>
      </c>
      <c r="D26" s="203">
        <v>20</v>
      </c>
      <c r="E26" s="1783">
        <v>31900</v>
      </c>
      <c r="F26" s="1783"/>
      <c r="G26" s="1222">
        <f t="shared" si="0"/>
        <v>638000</v>
      </c>
      <c r="H26" s="1256"/>
    </row>
    <row r="27" spans="2:8" ht="22.5" customHeight="1">
      <c r="B27" s="1786" t="s">
        <v>1096</v>
      </c>
      <c r="C27" s="1787"/>
      <c r="D27" s="1787"/>
      <c r="E27" s="1787"/>
      <c r="F27" s="1787"/>
      <c r="G27" s="1787"/>
      <c r="H27" s="1787"/>
    </row>
    <row r="28" spans="2:8" ht="15" customHeight="1">
      <c r="B28" s="1801" t="s">
        <v>1097</v>
      </c>
      <c r="C28" s="1801"/>
      <c r="D28" s="1801"/>
      <c r="E28" s="1801"/>
      <c r="F28" s="1801"/>
      <c r="G28" s="1801"/>
      <c r="H28" s="1801"/>
    </row>
    <row r="29" spans="2:8" ht="15" customHeight="1">
      <c r="B29" s="1215" t="s">
        <v>1098</v>
      </c>
      <c r="C29" s="1218" t="s">
        <v>492</v>
      </c>
      <c r="D29" s="1218" t="s">
        <v>932</v>
      </c>
      <c r="E29" s="1218" t="s">
        <v>1067</v>
      </c>
      <c r="F29" s="1218" t="s">
        <v>1068</v>
      </c>
      <c r="G29" s="1218" t="s">
        <v>1069</v>
      </c>
      <c r="H29" s="1215" t="s">
        <v>1070</v>
      </c>
    </row>
    <row r="30" spans="2:8" ht="99.75" hidden="1" customHeight="1">
      <c r="B30" s="200"/>
      <c r="C30" s="201"/>
      <c r="D30" s="1483"/>
      <c r="E30" s="1484"/>
      <c r="F30" s="1219"/>
      <c r="G30" s="1222"/>
      <c r="H30" s="200"/>
    </row>
    <row r="31" spans="2:8" ht="15" customHeight="1">
      <c r="B31" s="200" t="s">
        <v>1099</v>
      </c>
      <c r="C31" s="201" t="s">
        <v>1051</v>
      </c>
      <c r="D31" s="201">
        <v>2</v>
      </c>
      <c r="E31" s="1783">
        <v>178381</v>
      </c>
      <c r="F31" s="1783"/>
      <c r="G31" s="1222">
        <f>D31*E31</f>
        <v>356762</v>
      </c>
      <c r="H31" s="200" t="s">
        <v>1100</v>
      </c>
    </row>
    <row r="32" spans="2:8" ht="22.5" customHeight="1">
      <c r="B32" s="1786" t="s">
        <v>1101</v>
      </c>
      <c r="C32" s="1787"/>
      <c r="D32" s="1787"/>
      <c r="E32" s="1787"/>
      <c r="F32" s="1787"/>
      <c r="G32" s="1787"/>
      <c r="H32" s="1787"/>
    </row>
    <row r="33" spans="2:8" ht="15" customHeight="1">
      <c r="B33" s="1801" t="s">
        <v>1102</v>
      </c>
      <c r="C33" s="1802"/>
      <c r="D33" s="1802"/>
      <c r="E33" s="1802"/>
      <c r="F33" s="1802"/>
      <c r="G33" s="1802"/>
      <c r="H33" s="1802"/>
    </row>
    <row r="34" spans="2:8" ht="15" customHeight="1">
      <c r="B34" s="200" t="s">
        <v>1103</v>
      </c>
      <c r="C34" s="201" t="s">
        <v>1051</v>
      </c>
      <c r="D34" s="201">
        <v>15</v>
      </c>
      <c r="E34" s="1783">
        <v>14300</v>
      </c>
      <c r="F34" s="1783"/>
      <c r="G34" s="1222">
        <f>D34*E34</f>
        <v>214500</v>
      </c>
      <c r="H34" s="200"/>
    </row>
    <row r="35" spans="2:8" ht="15" customHeight="1">
      <c r="B35" s="200" t="s">
        <v>1104</v>
      </c>
      <c r="C35" s="201" t="s">
        <v>1051</v>
      </c>
      <c r="D35" s="201">
        <v>2</v>
      </c>
      <c r="E35" s="1783">
        <v>239900</v>
      </c>
      <c r="F35" s="1783"/>
      <c r="G35" s="1222">
        <f>D35*E35</f>
        <v>479800</v>
      </c>
      <c r="H35" s="200"/>
    </row>
    <row r="36" spans="2:8" ht="30" customHeight="1">
      <c r="B36" s="200" t="s">
        <v>1082</v>
      </c>
      <c r="C36" s="201" t="s">
        <v>1051</v>
      </c>
      <c r="D36" s="201">
        <v>2</v>
      </c>
      <c r="E36" s="1783">
        <v>528401</v>
      </c>
      <c r="F36" s="1783"/>
      <c r="G36" s="1222">
        <f>E36*D36</f>
        <v>1056802</v>
      </c>
      <c r="H36" s="200" t="s">
        <v>1105</v>
      </c>
    </row>
    <row r="37" spans="2:8" ht="15" customHeight="1">
      <c r="B37" s="200" t="s">
        <v>1095</v>
      </c>
      <c r="C37" s="201" t="s">
        <v>1051</v>
      </c>
      <c r="D37" s="201">
        <v>8</v>
      </c>
      <c r="E37" s="1783">
        <v>31900</v>
      </c>
      <c r="F37" s="1783"/>
      <c r="G37" s="1222">
        <f>E37*D37</f>
        <v>255200</v>
      </c>
      <c r="H37" s="200" t="s">
        <v>1106</v>
      </c>
    </row>
    <row r="38" spans="2:8" ht="15" customHeight="1">
      <c r="B38" s="1212" t="s">
        <v>1107</v>
      </c>
      <c r="C38" s="201" t="s">
        <v>1083</v>
      </c>
      <c r="D38" s="201">
        <v>3</v>
      </c>
      <c r="E38" s="1783">
        <v>34039</v>
      </c>
      <c r="F38" s="1783"/>
      <c r="G38" s="1222">
        <f>E38*D38</f>
        <v>102117</v>
      </c>
      <c r="H38" s="200" t="s">
        <v>1108</v>
      </c>
    </row>
    <row r="39" spans="2:8" ht="15" customHeight="1">
      <c r="B39" s="1212" t="s">
        <v>1109</v>
      </c>
      <c r="C39" s="201" t="s">
        <v>1051</v>
      </c>
      <c r="D39" s="201">
        <v>10</v>
      </c>
      <c r="E39" s="1783">
        <v>42113</v>
      </c>
      <c r="F39" s="1783"/>
      <c r="G39" s="1222">
        <f>+E39*D39</f>
        <v>421130</v>
      </c>
      <c r="H39" s="1256"/>
    </row>
    <row r="40" spans="2:8" ht="15" hidden="1" customHeight="1">
      <c r="B40" s="1801"/>
      <c r="C40" s="1802"/>
      <c r="D40" s="1802"/>
      <c r="E40" s="1802"/>
      <c r="F40" s="1802"/>
      <c r="G40" s="1802"/>
      <c r="H40" s="1802"/>
    </row>
    <row r="41" spans="2:8" ht="42.75" hidden="1" customHeight="1">
      <c r="B41" s="200"/>
      <c r="C41" s="201"/>
      <c r="D41" s="201"/>
      <c r="E41" s="1783"/>
      <c r="F41" s="1783"/>
      <c r="G41" s="1222"/>
      <c r="H41" s="1256"/>
    </row>
    <row r="42" spans="2:8" ht="22.5" customHeight="1">
      <c r="B42" s="1784" t="s">
        <v>1110</v>
      </c>
      <c r="C42" s="1784"/>
      <c r="D42" s="1784"/>
      <c r="E42" s="1784"/>
      <c r="F42" s="1784"/>
      <c r="G42" s="1254">
        <f>SUM(G10:G41)</f>
        <v>18542645</v>
      </c>
      <c r="H42" s="1252"/>
    </row>
    <row r="43" spans="2:8" ht="43.5" customHeight="1">
      <c r="B43" s="1210"/>
      <c r="C43" s="1210"/>
      <c r="D43" s="1210"/>
      <c r="E43" s="1210"/>
      <c r="F43" s="1210"/>
      <c r="G43" s="1210"/>
      <c r="H43" s="1210"/>
    </row>
    <row r="44" spans="2:8" ht="30" customHeight="1">
      <c r="B44" s="1551" t="s">
        <v>22</v>
      </c>
      <c r="C44" s="1551"/>
    </row>
    <row r="45" spans="2:8" ht="15.75" customHeight="1">
      <c r="B45" s="1545" t="s">
        <v>23</v>
      </c>
      <c r="C45" s="1545"/>
    </row>
    <row r="46" spans="2:8" ht="15.75" customHeight="1">
      <c r="B46" s="1550" t="s">
        <v>24</v>
      </c>
      <c r="C46" s="1545"/>
    </row>
    <row r="47" spans="2:8" ht="15.75" customHeight="1">
      <c r="B47" s="1545" t="s">
        <v>25</v>
      </c>
      <c r="C47" s="1545"/>
    </row>
    <row r="48" spans="2:8" ht="15.75" customHeight="1">
      <c r="B48" s="1545" t="s">
        <v>26</v>
      </c>
      <c r="C48" s="1545"/>
    </row>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sheetData>
  <mergeCells count="43">
    <mergeCell ref="B44:C44"/>
    <mergeCell ref="B45:C45"/>
    <mergeCell ref="B46:C46"/>
    <mergeCell ref="B47:C47"/>
    <mergeCell ref="B48:C48"/>
    <mergeCell ref="B40:H40"/>
    <mergeCell ref="E41:F41"/>
    <mergeCell ref="B42:F42"/>
    <mergeCell ref="E34:F34"/>
    <mergeCell ref="E35:F35"/>
    <mergeCell ref="E36:F36"/>
    <mergeCell ref="E37:F37"/>
    <mergeCell ref="E38:F38"/>
    <mergeCell ref="E39:F39"/>
    <mergeCell ref="B33:H33"/>
    <mergeCell ref="E20:F20"/>
    <mergeCell ref="E21:F21"/>
    <mergeCell ref="E22:F22"/>
    <mergeCell ref="E23:F23"/>
    <mergeCell ref="E24:F24"/>
    <mergeCell ref="E25:F25"/>
    <mergeCell ref="E26:F26"/>
    <mergeCell ref="B27:H27"/>
    <mergeCell ref="B28:H28"/>
    <mergeCell ref="E31:F31"/>
    <mergeCell ref="B32:H32"/>
    <mergeCell ref="E19:F19"/>
    <mergeCell ref="B7:H7"/>
    <mergeCell ref="B8:H8"/>
    <mergeCell ref="B10:H10"/>
    <mergeCell ref="E11:F11"/>
    <mergeCell ref="B12:H12"/>
    <mergeCell ref="B13:H13"/>
    <mergeCell ref="E14:F14"/>
    <mergeCell ref="E15:F15"/>
    <mergeCell ref="E16:F16"/>
    <mergeCell ref="E17:F17"/>
    <mergeCell ref="B18:H18"/>
    <mergeCell ref="B2:H2"/>
    <mergeCell ref="B3:H3"/>
    <mergeCell ref="B4:H4"/>
    <mergeCell ref="B5:H5"/>
    <mergeCell ref="E6:F6"/>
  </mergeCells>
  <conditionalFormatting sqref="D11 D19:D26 D34:D39">
    <cfRule type="containsBlanks" dxfId="130" priority="3">
      <formula>LEN(TRIM(D11))=0</formula>
    </cfRule>
  </conditionalFormatting>
  <conditionalFormatting sqref="D14:D17">
    <cfRule type="containsBlanks" dxfId="129" priority="4">
      <formula>LEN(TRIM(D14))=0</formula>
    </cfRule>
  </conditionalFormatting>
  <conditionalFormatting sqref="D30:D31">
    <cfRule type="containsBlanks" dxfId="128" priority="5">
      <formula>LEN(TRIM(D30))=0</formula>
    </cfRule>
  </conditionalFormatting>
  <conditionalFormatting sqref="D41">
    <cfRule type="containsBlanks" dxfId="127" priority="1">
      <formula>LEN(TRIM(D41))=0</formula>
    </cfRule>
  </conditionalFormatting>
  <pageMargins left="0.70866141732283472" right="0.70866141732283472" top="0.74803149606299213" bottom="0.74803149606299213" header="0.31496062992125984" footer="0.31496062992125984"/>
  <pageSetup scale="41" orientation="portrait" horizontalDpi="3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tint="0.59999389629810485"/>
  </sheetPr>
  <dimension ref="B2:H829"/>
  <sheetViews>
    <sheetView topLeftCell="A7" workbookViewId="0">
      <selection activeCell="E20" sqref="E20:F20"/>
    </sheetView>
  </sheetViews>
  <sheetFormatPr baseColWidth="10" defaultColWidth="14.28515625" defaultRowHeight="15"/>
  <cols>
    <col min="1" max="1" width="3.5703125" style="1221" customWidth="1"/>
    <col min="2" max="2" width="55.28515625" style="1221" customWidth="1"/>
    <col min="3" max="3" width="13.7109375" style="1221" customWidth="1"/>
    <col min="4" max="4" width="9.7109375" style="1221" customWidth="1"/>
    <col min="5" max="5" width="13.42578125" style="1221" bestFit="1" customWidth="1"/>
    <col min="6" max="6" width="7.7109375" style="1221" customWidth="1"/>
    <col min="7" max="7" width="22.28515625" style="1221" customWidth="1"/>
    <col min="8" max="8" width="68.28515625" style="1221" customWidth="1"/>
    <col min="9" max="9" width="3.5703125" style="1221" customWidth="1"/>
    <col min="10" max="10" width="12.28515625" style="1221" customWidth="1"/>
    <col min="11" max="11" width="7.7109375" style="1221" customWidth="1"/>
    <col min="12" max="12" width="12.28515625" style="1221" customWidth="1"/>
    <col min="13" max="13" width="7.7109375" style="1221" customWidth="1"/>
    <col min="14" max="14" width="12.28515625" style="1221" customWidth="1"/>
    <col min="15" max="15" width="7.7109375" style="1221" customWidth="1"/>
    <col min="16" max="16" width="12.28515625" style="1221" customWidth="1"/>
    <col min="17" max="17" width="7.7109375" style="1221" customWidth="1"/>
    <col min="18" max="18" width="2.28515625" style="1221" customWidth="1"/>
    <col min="19" max="19" width="12.28515625" style="1221" customWidth="1"/>
    <col min="20" max="20" width="7.7109375" style="1221" customWidth="1"/>
    <col min="21" max="21" width="14.28515625" style="1221"/>
    <col min="22" max="22" width="15" style="1221" bestFit="1" customWidth="1"/>
    <col min="23" max="23" width="93.28515625" style="1221" customWidth="1"/>
    <col min="24" max="16384" width="14.28515625" style="1221"/>
  </cols>
  <sheetData>
    <row r="2" spans="2:8" ht="37.5" customHeight="1">
      <c r="B2" s="1789" t="s">
        <v>1019</v>
      </c>
      <c r="C2" s="1790"/>
      <c r="D2" s="1790"/>
      <c r="E2" s="1790"/>
      <c r="F2" s="1790"/>
      <c r="G2" s="1790"/>
      <c r="H2" s="1791"/>
    </row>
    <row r="3" spans="2:8" ht="54.75" customHeight="1">
      <c r="B3" s="1792" t="s">
        <v>1043</v>
      </c>
      <c r="C3" s="1793"/>
      <c r="D3" s="1793"/>
      <c r="E3" s="1793"/>
      <c r="F3" s="1793"/>
      <c r="G3" s="1793"/>
      <c r="H3" s="1794"/>
    </row>
    <row r="4" spans="2:8" ht="42" customHeight="1">
      <c r="B4" s="1795" t="str">
        <f>PRESUP!B2</f>
        <v>CONSTRUCCIÓN DE LA SEGUNDA ETAPA DEL PLAN MAESTRO DE ACUEDUCTO Y ALCANTARILLADO DE LOS SECTORES LA VIEJITA, LOS SAUCES, EL ALTO 2, MALPASO 2 Y ADOQUINADO DEL MUNICIPIO DE SAN CARLOS, ANTIOQUIA</v>
      </c>
      <c r="C4" s="1796"/>
      <c r="D4" s="1796"/>
      <c r="E4" s="1796"/>
      <c r="F4" s="1796"/>
      <c r="G4" s="1796"/>
      <c r="H4" s="1797"/>
    </row>
    <row r="5" spans="2:8" ht="18.75" customHeight="1">
      <c r="B5" s="1798" t="s">
        <v>1111</v>
      </c>
      <c r="C5" s="1799"/>
      <c r="D5" s="1799"/>
      <c r="E5" s="1799"/>
      <c r="F5" s="1799"/>
      <c r="G5" s="1799"/>
      <c r="H5" s="1799"/>
    </row>
    <row r="6" spans="2:8" ht="31.5" customHeight="1">
      <c r="B6" s="1211" t="s">
        <v>3</v>
      </c>
      <c r="C6" s="1211" t="s">
        <v>504</v>
      </c>
      <c r="D6" s="1211" t="s">
        <v>5</v>
      </c>
      <c r="E6" s="1800" t="s">
        <v>1045</v>
      </c>
      <c r="F6" s="1800"/>
      <c r="G6" s="1211" t="s">
        <v>1046</v>
      </c>
      <c r="H6" s="1211" t="s">
        <v>1047</v>
      </c>
    </row>
    <row r="7" spans="2:8" ht="29.25" customHeight="1">
      <c r="B7" s="1785" t="s">
        <v>1112</v>
      </c>
      <c r="C7" s="1785"/>
      <c r="D7" s="1785"/>
      <c r="E7" s="1785"/>
      <c r="F7" s="1785"/>
      <c r="G7" s="1785"/>
      <c r="H7" s="1785"/>
    </row>
    <row r="8" spans="2:8" ht="22.5" customHeight="1">
      <c r="B8" s="1786" t="s">
        <v>1113</v>
      </c>
      <c r="C8" s="1787"/>
      <c r="D8" s="1787"/>
      <c r="E8" s="1787"/>
      <c r="F8" s="1787"/>
      <c r="G8" s="1787"/>
      <c r="H8" s="1787"/>
    </row>
    <row r="9" spans="2:8" ht="15" hidden="1" customHeight="1">
      <c r="B9" s="1461"/>
      <c r="C9" s="1486"/>
      <c r="D9" s="1472"/>
      <c r="E9" s="1788"/>
      <c r="F9" s="1788"/>
      <c r="G9" s="1471"/>
      <c r="H9" s="1220"/>
    </row>
    <row r="10" spans="2:8" ht="15" customHeight="1">
      <c r="B10" s="1220" t="s">
        <v>1114</v>
      </c>
      <c r="C10" s="1257" t="s">
        <v>1051</v>
      </c>
      <c r="D10" s="203">
        <v>50</v>
      </c>
      <c r="E10" s="1783">
        <v>12000</v>
      </c>
      <c r="F10" s="1783"/>
      <c r="G10" s="1222">
        <f>D10*E10</f>
        <v>600000</v>
      </c>
      <c r="H10" s="1220" t="s">
        <v>1115</v>
      </c>
    </row>
    <row r="11" spans="2:8" ht="15" hidden="1" customHeight="1">
      <c r="B11" s="1461"/>
      <c r="C11" s="1486"/>
      <c r="D11" s="1472"/>
      <c r="E11" s="1788"/>
      <c r="F11" s="1788"/>
      <c r="G11" s="1471"/>
      <c r="H11" s="1220"/>
    </row>
    <row r="12" spans="2:8" ht="22.5" customHeight="1">
      <c r="B12" s="1786" t="s">
        <v>1116</v>
      </c>
      <c r="C12" s="1787"/>
      <c r="D12" s="1787"/>
      <c r="E12" s="1787"/>
      <c r="F12" s="1787"/>
      <c r="G12" s="1787"/>
      <c r="H12" s="1787"/>
    </row>
    <row r="13" spans="2:8" ht="15" customHeight="1">
      <c r="B13" s="1220" t="s">
        <v>1117</v>
      </c>
      <c r="C13" s="1257" t="s">
        <v>1051</v>
      </c>
      <c r="D13" s="203">
        <v>3</v>
      </c>
      <c r="E13" s="1783">
        <v>600000</v>
      </c>
      <c r="F13" s="1783"/>
      <c r="G13" s="1222">
        <f>+E13*D13</f>
        <v>1800000</v>
      </c>
      <c r="H13" s="1220" t="s">
        <v>1118</v>
      </c>
    </row>
    <row r="14" spans="2:8" ht="15" customHeight="1">
      <c r="B14" s="1212" t="s">
        <v>1119</v>
      </c>
      <c r="C14" s="202" t="s">
        <v>1120</v>
      </c>
      <c r="D14" s="203">
        <v>1000</v>
      </c>
      <c r="E14" s="1803">
        <v>700</v>
      </c>
      <c r="F14" s="1803"/>
      <c r="G14" s="1223">
        <f>+E14*D14</f>
        <v>700000</v>
      </c>
      <c r="H14" s="200" t="s">
        <v>1121</v>
      </c>
    </row>
    <row r="15" spans="2:8" ht="22.5" customHeight="1">
      <c r="B15" s="1786" t="s">
        <v>1122</v>
      </c>
      <c r="C15" s="1787"/>
      <c r="D15" s="1787"/>
      <c r="E15" s="1787"/>
      <c r="F15" s="1787"/>
      <c r="G15" s="1787"/>
      <c r="H15" s="1787"/>
    </row>
    <row r="16" spans="2:8" ht="30" customHeight="1">
      <c r="B16" s="1212" t="s">
        <v>1123</v>
      </c>
      <c r="C16" s="203" t="s">
        <v>1083</v>
      </c>
      <c r="D16" s="203">
        <v>20</v>
      </c>
      <c r="E16" s="1783">
        <v>34039</v>
      </c>
      <c r="F16" s="1783"/>
      <c r="G16" s="1222">
        <f>D16*E16</f>
        <v>680780</v>
      </c>
      <c r="H16" s="1212" t="s">
        <v>1124</v>
      </c>
    </row>
    <row r="17" spans="2:8" ht="15" customHeight="1">
      <c r="B17" s="200" t="s">
        <v>1125</v>
      </c>
      <c r="C17" s="201" t="s">
        <v>1051</v>
      </c>
      <c r="D17" s="203">
        <v>3</v>
      </c>
      <c r="E17" s="1783">
        <v>93950</v>
      </c>
      <c r="F17" s="1783"/>
      <c r="G17" s="1222">
        <f>+E17*D17</f>
        <v>281850</v>
      </c>
      <c r="H17" s="200" t="s">
        <v>1126</v>
      </c>
    </row>
    <row r="18" spans="2:8" ht="15" customHeight="1">
      <c r="B18" s="200" t="s">
        <v>1127</v>
      </c>
      <c r="C18" s="201" t="s">
        <v>1051</v>
      </c>
      <c r="D18" s="203">
        <v>3</v>
      </c>
      <c r="E18" s="1783">
        <v>175869</v>
      </c>
      <c r="F18" s="1783"/>
      <c r="G18" s="1222">
        <f>+E18*D18</f>
        <v>527607</v>
      </c>
      <c r="H18" s="200" t="s">
        <v>1126</v>
      </c>
    </row>
    <row r="19" spans="2:8" ht="15" customHeight="1">
      <c r="B19" s="200" t="s">
        <v>1128</v>
      </c>
      <c r="C19" s="201" t="s">
        <v>1051</v>
      </c>
      <c r="D19" s="203">
        <v>3</v>
      </c>
      <c r="E19" s="1783">
        <v>268168</v>
      </c>
      <c r="F19" s="1783"/>
      <c r="G19" s="1222">
        <f>+E19*D19</f>
        <v>804504</v>
      </c>
      <c r="H19" s="200" t="s">
        <v>1126</v>
      </c>
    </row>
    <row r="20" spans="2:8" ht="63.75" customHeight="1">
      <c r="B20" s="200" t="s">
        <v>1129</v>
      </c>
      <c r="C20" s="201" t="s">
        <v>1051</v>
      </c>
      <c r="D20" s="203">
        <v>30</v>
      </c>
      <c r="E20" s="1783">
        <v>35105</v>
      </c>
      <c r="F20" s="1783"/>
      <c r="G20" s="1222">
        <f>+E20*D20</f>
        <v>1053150</v>
      </c>
      <c r="H20" s="200" t="s">
        <v>1130</v>
      </c>
    </row>
    <row r="21" spans="2:8" ht="22.5" customHeight="1">
      <c r="B21" s="1784" t="s">
        <v>1131</v>
      </c>
      <c r="C21" s="1784"/>
      <c r="D21" s="1784"/>
      <c r="E21" s="1784"/>
      <c r="F21" s="1784"/>
      <c r="G21" s="1254">
        <f>SUM(G9:G20)</f>
        <v>6447891</v>
      </c>
      <c r="H21" s="1253"/>
    </row>
    <row r="22" spans="2:8" ht="43.5" customHeight="1">
      <c r="B22" s="1210"/>
      <c r="C22" s="1210"/>
      <c r="D22" s="1210"/>
      <c r="E22" s="1210"/>
      <c r="F22" s="1210"/>
      <c r="G22" s="1210"/>
      <c r="H22" s="1210"/>
    </row>
    <row r="23" spans="2:8" ht="30" customHeight="1">
      <c r="B23" s="1551" t="s">
        <v>22</v>
      </c>
      <c r="C23" s="1551"/>
    </row>
    <row r="24" spans="2:8" ht="15.75" customHeight="1">
      <c r="B24" s="1545" t="s">
        <v>23</v>
      </c>
      <c r="C24" s="1545"/>
    </row>
    <row r="25" spans="2:8" ht="15.75" customHeight="1">
      <c r="B25" s="1550" t="s">
        <v>24</v>
      </c>
      <c r="C25" s="1545"/>
    </row>
    <row r="26" spans="2:8" ht="15.75" customHeight="1">
      <c r="B26" s="1545" t="s">
        <v>25</v>
      </c>
      <c r="C26" s="1545"/>
    </row>
    <row r="27" spans="2:8" ht="15.75" customHeight="1">
      <c r="B27" s="1545" t="s">
        <v>26</v>
      </c>
      <c r="C27" s="1545"/>
    </row>
    <row r="28" spans="2:8" ht="15.75" customHeight="1"/>
    <row r="29" spans="2:8" ht="15.75" customHeight="1"/>
    <row r="30" spans="2:8" ht="15.75" customHeight="1"/>
    <row r="31" spans="2:8" ht="15.75" customHeight="1"/>
    <row r="32" spans="2:8"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sheetData>
  <mergeCells count="25">
    <mergeCell ref="B23:C23"/>
    <mergeCell ref="B24:C24"/>
    <mergeCell ref="B25:C25"/>
    <mergeCell ref="B26:C26"/>
    <mergeCell ref="B27:C27"/>
    <mergeCell ref="B21:F21"/>
    <mergeCell ref="E10:F10"/>
    <mergeCell ref="E11:F11"/>
    <mergeCell ref="B12:H12"/>
    <mergeCell ref="E13:F13"/>
    <mergeCell ref="E14:F14"/>
    <mergeCell ref="B15:H15"/>
    <mergeCell ref="E16:F16"/>
    <mergeCell ref="E17:F17"/>
    <mergeCell ref="E18:F18"/>
    <mergeCell ref="E19:F19"/>
    <mergeCell ref="E20:F20"/>
    <mergeCell ref="B7:H7"/>
    <mergeCell ref="B8:H8"/>
    <mergeCell ref="E9:F9"/>
    <mergeCell ref="B2:H2"/>
    <mergeCell ref="B3:H3"/>
    <mergeCell ref="B4:H4"/>
    <mergeCell ref="B5:H5"/>
    <mergeCell ref="E6:F6"/>
  </mergeCells>
  <conditionalFormatting sqref="D9:D11">
    <cfRule type="containsBlanks" dxfId="126" priority="2">
      <formula>LEN(TRIM(D9))=0</formula>
    </cfRule>
  </conditionalFormatting>
  <conditionalFormatting sqref="D13:D14">
    <cfRule type="containsBlanks" dxfId="125" priority="6">
      <formula>LEN(TRIM(D13))=0</formula>
    </cfRule>
  </conditionalFormatting>
  <conditionalFormatting sqref="D16:D20">
    <cfRule type="containsBlanks" dxfId="124" priority="7">
      <formula>LEN(TRIM(D16))=0</formula>
    </cfRule>
  </conditionalFormatting>
  <pageMargins left="0.70866141732283472" right="0.70866141732283472" top="0.74803149606299213" bottom="0.74803149606299213" header="0.31496062992125984" footer="0.31496062992125984"/>
  <pageSetup scale="41" orientation="portrait" horizontalDpi="3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XCI190"/>
  <sheetViews>
    <sheetView topLeftCell="A47" zoomScale="80" zoomScaleNormal="80" workbookViewId="0">
      <selection activeCell="H58" sqref="H58"/>
    </sheetView>
  </sheetViews>
  <sheetFormatPr baseColWidth="10" defaultColWidth="12.28515625" defaultRowHeight="16.5" zeroHeight="1"/>
  <cols>
    <col min="1" max="1" width="2" style="1181" customWidth="1"/>
    <col min="2" max="2" width="9.42578125" style="1184" customWidth="1"/>
    <col min="3" max="3" width="50" style="1185" customWidth="1"/>
    <col min="4" max="4" width="15.42578125" style="1185" customWidth="1"/>
    <col min="5" max="5" width="16.140625" style="1186" customWidth="1"/>
    <col min="6" max="6" width="13.7109375" style="1180" customWidth="1"/>
    <col min="7" max="7" width="12.7109375" style="1180" customWidth="1"/>
    <col min="8" max="8" width="23.7109375" style="1180" customWidth="1"/>
    <col min="9" max="9" width="2" customWidth="1"/>
    <col min="10" max="10" width="14.42578125" style="1180" bestFit="1" customWidth="1"/>
    <col min="11" max="11" width="14.7109375" style="1180" bestFit="1" customWidth="1"/>
    <col min="12" max="12" width="12.7109375" style="1180" bestFit="1" customWidth="1"/>
    <col min="13" max="183" width="12.28515625" style="1180"/>
    <col min="184" max="16384" width="12.28515625" style="1181"/>
  </cols>
  <sheetData>
    <row r="1" spans="1:183" ht="9" customHeight="1">
      <c r="A1" s="1114"/>
      <c r="B1" s="1115"/>
      <c r="C1" s="1116"/>
      <c r="D1" s="1116"/>
      <c r="E1" s="1117"/>
      <c r="F1" s="1113"/>
      <c r="G1" s="1113"/>
      <c r="H1" s="1113"/>
    </row>
    <row r="2" spans="1:183" ht="12.6" customHeight="1">
      <c r="A2" s="1114"/>
      <c r="B2" s="1831" t="s">
        <v>1132</v>
      </c>
      <c r="C2" s="1831"/>
      <c r="D2" s="1831"/>
      <c r="E2" s="1831"/>
      <c r="F2" s="1159"/>
      <c r="G2" s="1159"/>
      <c r="H2" s="1159"/>
    </row>
    <row r="3" spans="1:183" ht="14.1" customHeight="1">
      <c r="A3" s="1114"/>
      <c r="B3" s="1160" t="s">
        <v>929</v>
      </c>
      <c r="C3" s="1161" t="s">
        <v>1133</v>
      </c>
      <c r="D3" s="1162" t="s">
        <v>1134</v>
      </c>
      <c r="E3" s="1161">
        <v>1</v>
      </c>
      <c r="F3" s="1159"/>
      <c r="G3" s="1159"/>
      <c r="H3" s="1159"/>
    </row>
    <row r="4" spans="1:183" ht="8.4499999999999993" customHeight="1">
      <c r="A4" s="1114"/>
      <c r="B4" s="1190"/>
      <c r="C4" s="1191"/>
      <c r="D4" s="1191"/>
      <c r="E4" s="1192"/>
      <c r="F4" s="1193"/>
      <c r="G4" s="1193"/>
      <c r="H4" s="1193"/>
    </row>
    <row r="5" spans="1:183" ht="15.6" customHeight="1">
      <c r="A5" s="1114"/>
      <c r="B5" s="1832" t="s">
        <v>1135</v>
      </c>
      <c r="C5" s="1833"/>
      <c r="D5" s="1833"/>
      <c r="E5" s="1833"/>
      <c r="F5" s="1833"/>
      <c r="G5" s="1833"/>
      <c r="H5" s="1834"/>
    </row>
    <row r="6" spans="1:183">
      <c r="A6" s="1114"/>
      <c r="B6" s="1835" t="s">
        <v>1019</v>
      </c>
      <c r="C6" s="1836"/>
      <c r="D6" s="1836"/>
      <c r="E6" s="1836"/>
      <c r="F6" s="1836"/>
      <c r="G6" s="1836"/>
      <c r="H6" s="1837"/>
    </row>
    <row r="7" spans="1:183">
      <c r="A7" s="1114"/>
      <c r="B7" s="1835" t="s">
        <v>1136</v>
      </c>
      <c r="C7" s="1836"/>
      <c r="D7" s="1836"/>
      <c r="E7" s="1836"/>
      <c r="F7" s="1836"/>
      <c r="G7" s="1836"/>
      <c r="H7" s="1837"/>
    </row>
    <row r="8" spans="1:183">
      <c r="A8" s="1114"/>
      <c r="B8" s="1838" t="s">
        <v>1043</v>
      </c>
      <c r="C8" s="1839"/>
      <c r="D8" s="1839"/>
      <c r="E8" s="1839"/>
      <c r="F8" s="1839"/>
      <c r="G8" s="1839"/>
      <c r="H8" s="1840"/>
    </row>
    <row r="9" spans="1:183">
      <c r="A9" s="1114"/>
      <c r="B9" s="1829" t="str">
        <f>_xlfn.CONCAT("INTERVENTORÍA - ",PRESUP!B2)</f>
        <v>INTERVENTORÍA - CONSTRUCCIÓN DE LA SEGUNDA ETAPA DEL PLAN MAESTRO DE ACUEDUCTO Y ALCANTARILLADO DE LOS SECTORES LA VIEJITA, LOS SAUCES, EL ALTO 2, MALPASO 2 Y ADOQUINADO DEL MUNICIPIO DE SAN CARLOS, ANTIOQUIA</v>
      </c>
      <c r="C9" s="1829"/>
      <c r="D9" s="1829"/>
      <c r="E9" s="1829"/>
      <c r="F9" s="1829"/>
      <c r="G9" s="1829"/>
      <c r="H9" s="1829"/>
    </row>
    <row r="10" spans="1:183">
      <c r="A10" s="1114"/>
      <c r="B10" s="1830"/>
      <c r="C10" s="1830"/>
      <c r="D10" s="1830"/>
      <c r="E10" s="1830"/>
      <c r="F10" s="1830"/>
      <c r="G10" s="1830"/>
      <c r="H10" s="1830"/>
    </row>
    <row r="11" spans="1:183">
      <c r="A11" s="1114"/>
      <c r="B11" s="1830"/>
      <c r="C11" s="1830"/>
      <c r="D11" s="1830"/>
      <c r="E11" s="1830"/>
      <c r="F11" s="1830"/>
      <c r="G11" s="1830"/>
      <c r="H11" s="1830"/>
    </row>
    <row r="12" spans="1:183" s="1182" customFormat="1" ht="15.6" customHeight="1">
      <c r="A12" s="1118"/>
      <c r="B12" s="1816" t="s">
        <v>1137</v>
      </c>
      <c r="C12" s="1816" t="s">
        <v>1138</v>
      </c>
      <c r="D12" s="1817" t="s">
        <v>1139</v>
      </c>
      <c r="E12" s="1817"/>
      <c r="F12" s="1817" t="s">
        <v>1140</v>
      </c>
      <c r="G12" s="1817" t="s">
        <v>1141</v>
      </c>
      <c r="H12" s="1817" t="s">
        <v>1142</v>
      </c>
      <c r="I12"/>
      <c r="J12" s="1180"/>
      <c r="K12" s="1180"/>
      <c r="L12" s="1180"/>
      <c r="M12" s="1180"/>
      <c r="N12" s="1180"/>
      <c r="O12" s="1180"/>
      <c r="P12" s="1180"/>
      <c r="Q12" s="1180"/>
      <c r="R12" s="1180"/>
      <c r="S12" s="1180"/>
      <c r="T12" s="1180"/>
      <c r="U12" s="1180"/>
      <c r="V12" s="1180"/>
      <c r="W12" s="1180"/>
      <c r="X12" s="1180"/>
      <c r="Y12" s="1180"/>
      <c r="Z12" s="1180"/>
      <c r="AA12" s="1180"/>
      <c r="AB12" s="1180"/>
      <c r="AC12" s="1180"/>
      <c r="AD12" s="1180"/>
      <c r="AE12" s="1180"/>
      <c r="AF12" s="1180"/>
      <c r="AG12" s="1180"/>
      <c r="AH12" s="1180"/>
      <c r="AI12" s="1180"/>
      <c r="AJ12" s="1180"/>
      <c r="AK12" s="1180"/>
      <c r="AL12" s="1180"/>
      <c r="AM12" s="1180"/>
      <c r="AN12" s="1180"/>
      <c r="AO12" s="1180"/>
      <c r="AP12" s="1180"/>
      <c r="AQ12" s="1180"/>
      <c r="AR12" s="1180"/>
      <c r="AS12" s="1180"/>
      <c r="AT12" s="1180"/>
      <c r="AU12" s="1180"/>
      <c r="AV12" s="1180"/>
      <c r="AW12" s="1180"/>
      <c r="AX12" s="1180"/>
      <c r="AY12" s="1180"/>
      <c r="AZ12" s="1180"/>
      <c r="BA12" s="1180"/>
      <c r="BB12" s="1180"/>
      <c r="BC12" s="1180"/>
      <c r="BD12" s="1180"/>
      <c r="BE12" s="1180"/>
      <c r="BF12" s="1180"/>
      <c r="BG12" s="1180"/>
      <c r="BH12" s="1180"/>
      <c r="BI12" s="1180"/>
      <c r="BJ12" s="1180"/>
      <c r="BK12" s="1180"/>
      <c r="BL12" s="1180"/>
      <c r="BM12" s="1180"/>
      <c r="BN12" s="1180"/>
      <c r="BO12" s="1180"/>
      <c r="BP12" s="1180"/>
      <c r="BQ12" s="1180"/>
      <c r="BR12" s="1180"/>
      <c r="BS12" s="1180"/>
      <c r="BT12" s="1180"/>
      <c r="BU12" s="1180"/>
      <c r="BV12" s="1180"/>
      <c r="BW12" s="1180"/>
      <c r="BX12" s="1180"/>
      <c r="BY12" s="1180"/>
      <c r="BZ12" s="1180"/>
      <c r="CA12" s="1180"/>
      <c r="CB12" s="1180"/>
      <c r="CC12" s="1180"/>
      <c r="CD12" s="1180"/>
      <c r="CE12" s="1180"/>
      <c r="CF12" s="1180"/>
      <c r="CG12" s="1180"/>
      <c r="CH12" s="1180"/>
      <c r="CI12" s="1180"/>
      <c r="CJ12" s="1180"/>
      <c r="CK12" s="1180"/>
      <c r="CL12" s="1180"/>
      <c r="CM12" s="1180"/>
      <c r="CN12" s="1180"/>
      <c r="CO12" s="1180"/>
      <c r="CP12" s="1180"/>
      <c r="CQ12" s="1180"/>
      <c r="CR12" s="1180"/>
      <c r="CS12" s="1180"/>
      <c r="CT12" s="1180"/>
      <c r="CU12" s="1180"/>
      <c r="CV12" s="1180"/>
      <c r="CW12" s="1180"/>
      <c r="CX12" s="1180"/>
      <c r="CY12" s="1180"/>
      <c r="CZ12" s="1180"/>
      <c r="DA12" s="1180"/>
      <c r="DB12" s="1180"/>
      <c r="DC12" s="1180"/>
      <c r="DD12" s="1180"/>
      <c r="DE12" s="1180"/>
      <c r="DF12" s="1180"/>
      <c r="DG12" s="1180"/>
      <c r="DH12" s="1180"/>
      <c r="DI12" s="1180"/>
      <c r="DJ12" s="1180"/>
      <c r="DK12" s="1180"/>
      <c r="DL12" s="1180"/>
      <c r="DM12" s="1180"/>
      <c r="DN12" s="1180"/>
      <c r="DO12" s="1180"/>
      <c r="DP12" s="1180"/>
      <c r="DQ12" s="1180"/>
      <c r="DR12" s="1180"/>
      <c r="DS12" s="1180"/>
      <c r="DT12" s="1180"/>
      <c r="DU12" s="1180"/>
      <c r="DV12" s="1180"/>
      <c r="DW12" s="1180"/>
      <c r="DX12" s="1180"/>
      <c r="DY12" s="1180"/>
      <c r="DZ12" s="1180"/>
      <c r="EA12" s="1180"/>
      <c r="EB12" s="1180"/>
      <c r="EC12" s="1180"/>
      <c r="ED12" s="1180"/>
      <c r="EE12" s="1180"/>
      <c r="EF12" s="1180"/>
      <c r="EG12" s="1180"/>
      <c r="EH12" s="1180"/>
      <c r="EI12" s="1180"/>
      <c r="EJ12" s="1180"/>
      <c r="EK12" s="1180"/>
      <c r="EL12" s="1180"/>
      <c r="EM12" s="1180"/>
      <c r="EN12" s="1180"/>
      <c r="EO12" s="1180"/>
      <c r="EP12" s="1180"/>
      <c r="EQ12" s="1180"/>
      <c r="ER12" s="1180"/>
      <c r="ES12" s="1180"/>
      <c r="ET12" s="1180"/>
      <c r="EU12" s="1180"/>
      <c r="EV12" s="1180"/>
      <c r="EW12" s="1180"/>
      <c r="EX12" s="1180"/>
      <c r="EY12" s="1180"/>
      <c r="EZ12" s="1180"/>
      <c r="FA12" s="1180"/>
      <c r="FB12" s="1180"/>
      <c r="FC12" s="1180"/>
      <c r="FD12" s="1180"/>
      <c r="FE12" s="1180"/>
      <c r="FF12" s="1180"/>
      <c r="FG12" s="1180"/>
      <c r="FH12" s="1180"/>
      <c r="FI12" s="1180"/>
      <c r="FJ12" s="1180"/>
      <c r="FK12" s="1180"/>
      <c r="FL12" s="1180"/>
      <c r="FM12" s="1180"/>
      <c r="FN12" s="1180"/>
      <c r="FO12" s="1180"/>
      <c r="FP12" s="1180"/>
      <c r="FQ12" s="1180"/>
      <c r="FR12" s="1180"/>
      <c r="FS12" s="1180"/>
      <c r="FT12" s="1180"/>
      <c r="FU12" s="1180"/>
      <c r="FV12" s="1180"/>
      <c r="FW12" s="1180"/>
      <c r="FX12" s="1180"/>
      <c r="FY12" s="1180"/>
      <c r="FZ12" s="1180"/>
      <c r="GA12" s="1180"/>
    </row>
    <row r="13" spans="1:183" s="1182" customFormat="1">
      <c r="A13" s="1118"/>
      <c r="B13" s="1816"/>
      <c r="C13" s="1816"/>
      <c r="D13" s="1817" t="s">
        <v>1143</v>
      </c>
      <c r="E13" s="1817"/>
      <c r="F13" s="1817" t="s">
        <v>295</v>
      </c>
      <c r="G13" s="1817" t="s">
        <v>1144</v>
      </c>
      <c r="H13" s="1817" t="s">
        <v>1145</v>
      </c>
      <c r="I13"/>
      <c r="J13" s="1180"/>
      <c r="K13" s="1180"/>
      <c r="L13" s="1180"/>
      <c r="M13" s="1180"/>
      <c r="N13" s="1180"/>
      <c r="O13" s="1180"/>
      <c r="P13" s="1180"/>
      <c r="Q13" s="1180"/>
      <c r="R13" s="1180"/>
      <c r="S13" s="1180"/>
      <c r="T13" s="1180"/>
      <c r="U13" s="1180"/>
      <c r="V13" s="1180"/>
      <c r="W13" s="1180"/>
      <c r="X13" s="1180"/>
      <c r="Y13" s="1180"/>
      <c r="Z13" s="1180"/>
      <c r="AA13" s="1180"/>
      <c r="AB13" s="1180"/>
      <c r="AC13" s="1180"/>
      <c r="AD13" s="1180"/>
      <c r="AE13" s="1180"/>
      <c r="AF13" s="1180"/>
      <c r="AG13" s="1180"/>
      <c r="AH13" s="1180"/>
      <c r="AI13" s="1180"/>
      <c r="AJ13" s="1180"/>
      <c r="AK13" s="1180"/>
      <c r="AL13" s="1180"/>
      <c r="AM13" s="1180"/>
      <c r="AN13" s="1180"/>
      <c r="AO13" s="1180"/>
      <c r="AP13" s="1180"/>
      <c r="AQ13" s="1180"/>
      <c r="AR13" s="1180"/>
      <c r="AS13" s="1180"/>
      <c r="AT13" s="1180"/>
      <c r="AU13" s="1180"/>
      <c r="AV13" s="1180"/>
      <c r="AW13" s="1180"/>
      <c r="AX13" s="1180"/>
      <c r="AY13" s="1180"/>
      <c r="AZ13" s="1180"/>
      <c r="BA13" s="1180"/>
      <c r="BB13" s="1180"/>
      <c r="BC13" s="1180"/>
      <c r="BD13" s="1180"/>
      <c r="BE13" s="1180"/>
      <c r="BF13" s="1180"/>
      <c r="BG13" s="1180"/>
      <c r="BH13" s="1180"/>
      <c r="BI13" s="1180"/>
      <c r="BJ13" s="1180"/>
      <c r="BK13" s="1180"/>
      <c r="BL13" s="1180"/>
      <c r="BM13" s="1180"/>
      <c r="BN13" s="1180"/>
      <c r="BO13" s="1180"/>
      <c r="BP13" s="1180"/>
      <c r="BQ13" s="1180"/>
      <c r="BR13" s="1180"/>
      <c r="BS13" s="1180"/>
      <c r="BT13" s="1180"/>
      <c r="BU13" s="1180"/>
      <c r="BV13" s="1180"/>
      <c r="BW13" s="1180"/>
      <c r="BX13" s="1180"/>
      <c r="BY13" s="1180"/>
      <c r="BZ13" s="1180"/>
      <c r="CA13" s="1180"/>
      <c r="CB13" s="1180"/>
      <c r="CC13" s="1180"/>
      <c r="CD13" s="1180"/>
      <c r="CE13" s="1180"/>
      <c r="CF13" s="1180"/>
      <c r="CG13" s="1180"/>
      <c r="CH13" s="1180"/>
      <c r="CI13" s="1180"/>
      <c r="CJ13" s="1180"/>
      <c r="CK13" s="1180"/>
      <c r="CL13" s="1180"/>
      <c r="CM13" s="1180"/>
      <c r="CN13" s="1180"/>
      <c r="CO13" s="1180"/>
      <c r="CP13" s="1180"/>
      <c r="CQ13" s="1180"/>
      <c r="CR13" s="1180"/>
      <c r="CS13" s="1180"/>
      <c r="CT13" s="1180"/>
      <c r="CU13" s="1180"/>
      <c r="CV13" s="1180"/>
      <c r="CW13" s="1180"/>
      <c r="CX13" s="1180"/>
      <c r="CY13" s="1180"/>
      <c r="CZ13" s="1180"/>
      <c r="DA13" s="1180"/>
      <c r="DB13" s="1180"/>
      <c r="DC13" s="1180"/>
      <c r="DD13" s="1180"/>
      <c r="DE13" s="1180"/>
      <c r="DF13" s="1180"/>
      <c r="DG13" s="1180"/>
      <c r="DH13" s="1180"/>
      <c r="DI13" s="1180"/>
      <c r="DJ13" s="1180"/>
      <c r="DK13" s="1180"/>
      <c r="DL13" s="1180"/>
      <c r="DM13" s="1180"/>
      <c r="DN13" s="1180"/>
      <c r="DO13" s="1180"/>
      <c r="DP13" s="1180"/>
      <c r="DQ13" s="1180"/>
      <c r="DR13" s="1180"/>
      <c r="DS13" s="1180"/>
      <c r="DT13" s="1180"/>
      <c r="DU13" s="1180"/>
      <c r="DV13" s="1180"/>
      <c r="DW13" s="1180"/>
      <c r="DX13" s="1180"/>
      <c r="DY13" s="1180"/>
      <c r="DZ13" s="1180"/>
      <c r="EA13" s="1180"/>
      <c r="EB13" s="1180"/>
      <c r="EC13" s="1180"/>
      <c r="ED13" s="1180"/>
      <c r="EE13" s="1180"/>
      <c r="EF13" s="1180"/>
      <c r="EG13" s="1180"/>
      <c r="EH13" s="1180"/>
      <c r="EI13" s="1180"/>
      <c r="EJ13" s="1180"/>
      <c r="EK13" s="1180"/>
      <c r="EL13" s="1180"/>
      <c r="EM13" s="1180"/>
      <c r="EN13" s="1180"/>
      <c r="EO13" s="1180"/>
      <c r="EP13" s="1180"/>
      <c r="EQ13" s="1180"/>
      <c r="ER13" s="1180"/>
      <c r="ES13" s="1180"/>
      <c r="ET13" s="1180"/>
      <c r="EU13" s="1180"/>
      <c r="EV13" s="1180"/>
      <c r="EW13" s="1180"/>
      <c r="EX13" s="1180"/>
      <c r="EY13" s="1180"/>
      <c r="EZ13" s="1180"/>
      <c r="FA13" s="1180"/>
      <c r="FB13" s="1180"/>
      <c r="FC13" s="1180"/>
      <c r="FD13" s="1180"/>
      <c r="FE13" s="1180"/>
      <c r="FF13" s="1180"/>
      <c r="FG13" s="1180"/>
      <c r="FH13" s="1180"/>
      <c r="FI13" s="1180"/>
      <c r="FJ13" s="1180"/>
      <c r="FK13" s="1180"/>
      <c r="FL13" s="1180"/>
      <c r="FM13" s="1180"/>
      <c r="FN13" s="1180"/>
      <c r="FO13" s="1180"/>
      <c r="FP13" s="1180"/>
      <c r="FQ13" s="1180"/>
      <c r="FR13" s="1180"/>
      <c r="FS13" s="1180"/>
      <c r="FT13" s="1180"/>
      <c r="FU13" s="1180"/>
      <c r="FV13" s="1180"/>
      <c r="FW13" s="1180"/>
      <c r="FX13" s="1180"/>
      <c r="FY13" s="1180"/>
      <c r="FZ13" s="1180"/>
      <c r="GA13" s="1180"/>
    </row>
    <row r="14" spans="1:183" s="1182" customFormat="1" ht="30">
      <c r="A14" s="1118"/>
      <c r="B14" s="1163" t="s">
        <v>1146</v>
      </c>
      <c r="C14" s="1816"/>
      <c r="D14" s="1132" t="s">
        <v>1147</v>
      </c>
      <c r="E14" s="1132" t="s">
        <v>1148</v>
      </c>
      <c r="F14" s="1132" t="s">
        <v>1149</v>
      </c>
      <c r="G14" s="1132" t="s">
        <v>1150</v>
      </c>
      <c r="H14" s="1164" t="s">
        <v>1151</v>
      </c>
      <c r="I14"/>
      <c r="J14" s="1180"/>
      <c r="K14" s="1180"/>
      <c r="L14" s="1180"/>
      <c r="M14" s="1180"/>
      <c r="N14" s="1180"/>
      <c r="O14" s="1180"/>
      <c r="P14" s="1180"/>
      <c r="Q14" s="1180"/>
      <c r="R14" s="1180"/>
      <c r="S14" s="1180"/>
      <c r="T14" s="1180"/>
      <c r="U14" s="1180"/>
      <c r="V14" s="1180"/>
      <c r="W14" s="1180"/>
      <c r="X14" s="1180"/>
      <c r="Y14" s="1180"/>
      <c r="Z14" s="1180"/>
      <c r="AA14" s="1180"/>
      <c r="AB14" s="1180"/>
      <c r="AC14" s="1180"/>
      <c r="AD14" s="1180"/>
      <c r="AE14" s="1180"/>
      <c r="AF14" s="1180"/>
      <c r="AG14" s="1180"/>
      <c r="AH14" s="1180"/>
      <c r="AI14" s="1180"/>
      <c r="AJ14" s="1180"/>
      <c r="AK14" s="1180"/>
      <c r="AL14" s="1180"/>
      <c r="AM14" s="1180"/>
      <c r="AN14" s="1180"/>
      <c r="AO14" s="1180"/>
      <c r="AP14" s="1180"/>
      <c r="AQ14" s="1180"/>
      <c r="AR14" s="1180"/>
      <c r="AS14" s="1180"/>
      <c r="AT14" s="1180"/>
      <c r="AU14" s="1180"/>
      <c r="AV14" s="1180"/>
      <c r="AW14" s="1180"/>
      <c r="AX14" s="1180"/>
      <c r="AY14" s="1180"/>
      <c r="AZ14" s="1180"/>
      <c r="BA14" s="1180"/>
      <c r="BB14" s="1180"/>
      <c r="BC14" s="1180"/>
      <c r="BD14" s="1180"/>
      <c r="BE14" s="1180"/>
      <c r="BF14" s="1180"/>
      <c r="BG14" s="1180"/>
      <c r="BH14" s="1180"/>
      <c r="BI14" s="1180"/>
      <c r="BJ14" s="1180"/>
      <c r="BK14" s="1180"/>
      <c r="BL14" s="1180"/>
      <c r="BM14" s="1180"/>
      <c r="BN14" s="1180"/>
      <c r="BO14" s="1180"/>
      <c r="BP14" s="1180"/>
      <c r="BQ14" s="1180"/>
      <c r="BR14" s="1180"/>
      <c r="BS14" s="1180"/>
      <c r="BT14" s="1180"/>
      <c r="BU14" s="1180"/>
      <c r="BV14" s="1180"/>
      <c r="BW14" s="1180"/>
      <c r="BX14" s="1180"/>
      <c r="BY14" s="1180"/>
      <c r="BZ14" s="1180"/>
      <c r="CA14" s="1180"/>
      <c r="CB14" s="1180"/>
      <c r="CC14" s="1180"/>
      <c r="CD14" s="1180"/>
      <c r="CE14" s="1180"/>
      <c r="CF14" s="1180"/>
      <c r="CG14" s="1180"/>
      <c r="CH14" s="1180"/>
      <c r="CI14" s="1180"/>
      <c r="CJ14" s="1180"/>
      <c r="CK14" s="1180"/>
      <c r="CL14" s="1180"/>
      <c r="CM14" s="1180"/>
      <c r="CN14" s="1180"/>
      <c r="CO14" s="1180"/>
      <c r="CP14" s="1180"/>
      <c r="CQ14" s="1180"/>
      <c r="CR14" s="1180"/>
      <c r="CS14" s="1180"/>
      <c r="CT14" s="1180"/>
      <c r="CU14" s="1180"/>
      <c r="CV14" s="1180"/>
      <c r="CW14" s="1180"/>
      <c r="CX14" s="1180"/>
      <c r="CY14" s="1180"/>
      <c r="CZ14" s="1180"/>
      <c r="DA14" s="1180"/>
      <c r="DB14" s="1180"/>
      <c r="DC14" s="1180"/>
      <c r="DD14" s="1180"/>
      <c r="DE14" s="1180"/>
      <c r="DF14" s="1180"/>
      <c r="DG14" s="1180"/>
      <c r="DH14" s="1180"/>
      <c r="DI14" s="1180"/>
      <c r="DJ14" s="1180"/>
      <c r="DK14" s="1180"/>
      <c r="DL14" s="1180"/>
      <c r="DM14" s="1180"/>
      <c r="DN14" s="1180"/>
      <c r="DO14" s="1180"/>
      <c r="DP14" s="1180"/>
      <c r="DQ14" s="1180"/>
      <c r="DR14" s="1180"/>
      <c r="DS14" s="1180"/>
      <c r="DT14" s="1180"/>
      <c r="DU14" s="1180"/>
      <c r="DV14" s="1180"/>
      <c r="DW14" s="1180"/>
      <c r="DX14" s="1180"/>
      <c r="DY14" s="1180"/>
      <c r="DZ14" s="1180"/>
      <c r="EA14" s="1180"/>
      <c r="EB14" s="1180"/>
      <c r="EC14" s="1180"/>
      <c r="ED14" s="1180"/>
      <c r="EE14" s="1180"/>
      <c r="EF14" s="1180"/>
      <c r="EG14" s="1180"/>
      <c r="EH14" s="1180"/>
      <c r="EI14" s="1180"/>
      <c r="EJ14" s="1180"/>
      <c r="EK14" s="1180"/>
      <c r="EL14" s="1180"/>
      <c r="EM14" s="1180"/>
      <c r="EN14" s="1180"/>
      <c r="EO14" s="1180"/>
      <c r="EP14" s="1180"/>
      <c r="EQ14" s="1180"/>
      <c r="ER14" s="1180"/>
      <c r="ES14" s="1180"/>
      <c r="ET14" s="1180"/>
      <c r="EU14" s="1180"/>
      <c r="EV14" s="1180"/>
      <c r="EW14" s="1180"/>
      <c r="EX14" s="1180"/>
      <c r="EY14" s="1180"/>
      <c r="EZ14" s="1180"/>
      <c r="FA14" s="1180"/>
      <c r="FB14" s="1180"/>
      <c r="FC14" s="1180"/>
      <c r="FD14" s="1180"/>
      <c r="FE14" s="1180"/>
      <c r="FF14" s="1180"/>
      <c r="FG14" s="1180"/>
      <c r="FH14" s="1180"/>
      <c r="FI14" s="1180"/>
      <c r="FJ14" s="1180"/>
      <c r="FK14" s="1180"/>
      <c r="FL14" s="1180"/>
      <c r="FM14" s="1180"/>
      <c r="FN14" s="1180"/>
      <c r="FO14" s="1180"/>
      <c r="FP14" s="1180"/>
      <c r="FQ14" s="1180"/>
      <c r="FR14" s="1180"/>
      <c r="FS14" s="1180"/>
      <c r="FT14" s="1180"/>
      <c r="FU14" s="1180"/>
      <c r="FV14" s="1180"/>
      <c r="FW14" s="1180"/>
      <c r="FX14" s="1180"/>
      <c r="FY14" s="1180"/>
      <c r="FZ14" s="1180"/>
      <c r="GA14" s="1180"/>
    </row>
    <row r="15" spans="1:183" s="1182" customFormat="1" ht="20.45" customHeight="1">
      <c r="A15" s="1118"/>
      <c r="B15" s="1824" t="s">
        <v>1152</v>
      </c>
      <c r="C15" s="1824"/>
      <c r="D15" s="1824"/>
      <c r="E15" s="1824"/>
      <c r="F15" s="1824"/>
      <c r="G15" s="1824"/>
      <c r="H15" s="1824"/>
      <c r="I15"/>
      <c r="J15" s="1180"/>
      <c r="K15" s="1180"/>
      <c r="L15" s="1180"/>
      <c r="M15" s="1180"/>
      <c r="N15" s="1180"/>
      <c r="O15" s="1180"/>
      <c r="P15" s="1180"/>
      <c r="Q15" s="1180"/>
      <c r="R15" s="1180"/>
      <c r="S15" s="1180"/>
      <c r="T15" s="1180"/>
      <c r="U15" s="1180"/>
      <c r="V15" s="1180"/>
      <c r="W15" s="1180"/>
      <c r="X15" s="1180"/>
      <c r="Y15" s="1180"/>
      <c r="Z15" s="1180"/>
      <c r="AA15" s="1180"/>
      <c r="AB15" s="1180"/>
      <c r="AC15" s="1180"/>
      <c r="AD15" s="1180"/>
      <c r="AE15" s="1180"/>
      <c r="AF15" s="1180"/>
      <c r="AG15" s="1180"/>
      <c r="AH15" s="1180"/>
      <c r="AI15" s="1180"/>
      <c r="AJ15" s="1180"/>
      <c r="AK15" s="1180"/>
      <c r="AL15" s="1180"/>
      <c r="AM15" s="1180"/>
      <c r="AN15" s="1180"/>
      <c r="AO15" s="1180"/>
      <c r="AP15" s="1180"/>
      <c r="AQ15" s="1180"/>
      <c r="AR15" s="1180"/>
      <c r="AS15" s="1180"/>
      <c r="AT15" s="1180"/>
      <c r="AU15" s="1180"/>
      <c r="AV15" s="1180"/>
      <c r="AW15" s="1180"/>
      <c r="AX15" s="1180"/>
      <c r="AY15" s="1180"/>
      <c r="AZ15" s="1180"/>
      <c r="BA15" s="1180"/>
      <c r="BB15" s="1180"/>
      <c r="BC15" s="1180"/>
      <c r="BD15" s="1180"/>
      <c r="BE15" s="1180"/>
      <c r="BF15" s="1180"/>
      <c r="BG15" s="1180"/>
      <c r="BH15" s="1180"/>
      <c r="BI15" s="1180"/>
      <c r="BJ15" s="1180"/>
      <c r="BK15" s="1180"/>
      <c r="BL15" s="1180"/>
      <c r="BM15" s="1180"/>
      <c r="BN15" s="1180"/>
      <c r="BO15" s="1180"/>
      <c r="BP15" s="1180"/>
      <c r="BQ15" s="1180"/>
      <c r="BR15" s="1180"/>
      <c r="BS15" s="1180"/>
      <c r="BT15" s="1180"/>
      <c r="BU15" s="1180"/>
      <c r="BV15" s="1180"/>
      <c r="BW15" s="1180"/>
      <c r="BX15" s="1180"/>
      <c r="BY15" s="1180"/>
      <c r="BZ15" s="1180"/>
      <c r="CA15" s="1180"/>
      <c r="CB15" s="1180"/>
      <c r="CC15" s="1180"/>
      <c r="CD15" s="1180"/>
      <c r="CE15" s="1180"/>
      <c r="CF15" s="1180"/>
      <c r="CG15" s="1180"/>
      <c r="CH15" s="1180"/>
      <c r="CI15" s="1180"/>
      <c r="CJ15" s="1180"/>
      <c r="CK15" s="1180"/>
      <c r="CL15" s="1180"/>
      <c r="CM15" s="1180"/>
      <c r="CN15" s="1180"/>
      <c r="CO15" s="1180"/>
      <c r="CP15" s="1180"/>
      <c r="CQ15" s="1180"/>
      <c r="CR15" s="1180"/>
      <c r="CS15" s="1180"/>
      <c r="CT15" s="1180"/>
      <c r="CU15" s="1180"/>
      <c r="CV15" s="1180"/>
      <c r="CW15" s="1180"/>
      <c r="CX15" s="1180"/>
      <c r="CY15" s="1180"/>
      <c r="CZ15" s="1180"/>
      <c r="DA15" s="1180"/>
      <c r="DB15" s="1180"/>
      <c r="DC15" s="1180"/>
      <c r="DD15" s="1180"/>
      <c r="DE15" s="1180"/>
      <c r="DF15" s="1180"/>
      <c r="DG15" s="1180"/>
      <c r="DH15" s="1180"/>
      <c r="DI15" s="1180"/>
      <c r="DJ15" s="1180"/>
      <c r="DK15" s="1180"/>
      <c r="DL15" s="1180"/>
      <c r="DM15" s="1180"/>
      <c r="DN15" s="1180"/>
      <c r="DO15" s="1180"/>
      <c r="DP15" s="1180"/>
      <c r="DQ15" s="1180"/>
      <c r="DR15" s="1180"/>
      <c r="DS15" s="1180"/>
      <c r="DT15" s="1180"/>
      <c r="DU15" s="1180"/>
      <c r="DV15" s="1180"/>
      <c r="DW15" s="1180"/>
      <c r="DX15" s="1180"/>
      <c r="DY15" s="1180"/>
      <c r="DZ15" s="1180"/>
      <c r="EA15" s="1180"/>
      <c r="EB15" s="1180"/>
      <c r="EC15" s="1180"/>
      <c r="ED15" s="1180"/>
      <c r="EE15" s="1180"/>
      <c r="EF15" s="1180"/>
      <c r="EG15" s="1180"/>
      <c r="EH15" s="1180"/>
      <c r="EI15" s="1180"/>
      <c r="EJ15" s="1180"/>
      <c r="EK15" s="1180"/>
      <c r="EL15" s="1180"/>
      <c r="EM15" s="1180"/>
      <c r="EN15" s="1180"/>
      <c r="EO15" s="1180"/>
      <c r="EP15" s="1180"/>
      <c r="EQ15" s="1180"/>
      <c r="ER15" s="1180"/>
      <c r="ES15" s="1180"/>
      <c r="ET15" s="1180"/>
      <c r="EU15" s="1180"/>
      <c r="EV15" s="1180"/>
      <c r="EW15" s="1180"/>
      <c r="EX15" s="1180"/>
      <c r="EY15" s="1180"/>
      <c r="EZ15" s="1180"/>
      <c r="FA15" s="1180"/>
      <c r="FB15" s="1180"/>
      <c r="FC15" s="1180"/>
      <c r="FD15" s="1180"/>
      <c r="FE15" s="1180"/>
      <c r="FF15" s="1180"/>
      <c r="FG15" s="1180"/>
      <c r="FH15" s="1180"/>
      <c r="FI15" s="1180"/>
      <c r="FJ15" s="1180"/>
      <c r="FK15" s="1180"/>
      <c r="FL15" s="1180"/>
      <c r="FM15" s="1180"/>
      <c r="FN15" s="1180"/>
      <c r="FO15" s="1180"/>
      <c r="FP15" s="1180"/>
      <c r="FQ15" s="1180"/>
      <c r="FR15" s="1180"/>
      <c r="FS15" s="1180"/>
      <c r="FT15" s="1180"/>
      <c r="FU15" s="1180"/>
      <c r="FV15" s="1180"/>
      <c r="FW15" s="1180"/>
      <c r="FX15" s="1180"/>
      <c r="FY15" s="1180"/>
      <c r="FZ15" s="1180"/>
      <c r="GA15" s="1180"/>
    </row>
    <row r="16" spans="1:183" s="1182" customFormat="1" ht="18.75" customHeight="1">
      <c r="A16" s="1118"/>
      <c r="B16" s="1165" t="s">
        <v>1153</v>
      </c>
      <c r="C16" s="1166"/>
      <c r="D16" s="1166"/>
      <c r="E16" s="1166"/>
      <c r="F16" s="1166"/>
      <c r="G16" s="1166"/>
      <c r="H16" s="1166"/>
      <c r="I16"/>
      <c r="J16" s="1180"/>
      <c r="K16" s="1180"/>
      <c r="L16" s="1180"/>
      <c r="M16" s="1180"/>
      <c r="N16" s="1180"/>
      <c r="O16" s="1180"/>
      <c r="P16" s="1180"/>
      <c r="Q16" s="1180"/>
      <c r="R16" s="1180"/>
      <c r="S16" s="1180"/>
      <c r="T16" s="1180"/>
      <c r="U16" s="1180"/>
      <c r="V16" s="1180"/>
      <c r="W16" s="1180"/>
      <c r="X16" s="1180"/>
      <c r="Y16" s="1180"/>
      <c r="Z16" s="1180"/>
      <c r="AA16" s="1180"/>
      <c r="AB16" s="1180"/>
      <c r="AC16" s="1180"/>
      <c r="AD16" s="1180"/>
      <c r="AE16" s="1180"/>
      <c r="AF16" s="1180"/>
      <c r="AG16" s="1180"/>
      <c r="AH16" s="1180"/>
      <c r="AI16" s="1180"/>
      <c r="AJ16" s="1180"/>
      <c r="AK16" s="1180"/>
      <c r="AL16" s="1180"/>
      <c r="AM16" s="1180"/>
      <c r="AN16" s="1180"/>
      <c r="AO16" s="1180"/>
      <c r="AP16" s="1180"/>
      <c r="AQ16" s="1180"/>
      <c r="AR16" s="1180"/>
      <c r="AS16" s="1180"/>
      <c r="AT16" s="1180"/>
      <c r="AU16" s="1180"/>
      <c r="AV16" s="1180"/>
      <c r="AW16" s="1180"/>
      <c r="AX16" s="1180"/>
      <c r="AY16" s="1180"/>
      <c r="AZ16" s="1180"/>
      <c r="BA16" s="1180"/>
      <c r="BB16" s="1180"/>
      <c r="BC16" s="1180"/>
      <c r="BD16" s="1180"/>
      <c r="BE16" s="1180"/>
      <c r="BF16" s="1180"/>
      <c r="BG16" s="1180"/>
      <c r="BH16" s="1180"/>
      <c r="BI16" s="1180"/>
      <c r="BJ16" s="1180"/>
      <c r="BK16" s="1180"/>
      <c r="BL16" s="1180"/>
      <c r="BM16" s="1180"/>
      <c r="BN16" s="1180"/>
      <c r="BO16" s="1180"/>
      <c r="BP16" s="1180"/>
      <c r="BQ16" s="1180"/>
      <c r="BR16" s="1180"/>
      <c r="BS16" s="1180"/>
      <c r="BT16" s="1180"/>
      <c r="BU16" s="1180"/>
      <c r="BV16" s="1180"/>
      <c r="BW16" s="1180"/>
      <c r="BX16" s="1180"/>
      <c r="BY16" s="1180"/>
      <c r="BZ16" s="1180"/>
      <c r="CA16" s="1180"/>
      <c r="CB16" s="1180"/>
      <c r="CC16" s="1180"/>
      <c r="CD16" s="1180"/>
      <c r="CE16" s="1180"/>
      <c r="CF16" s="1180"/>
      <c r="CG16" s="1180"/>
      <c r="CH16" s="1180"/>
      <c r="CI16" s="1180"/>
      <c r="CJ16" s="1180"/>
      <c r="CK16" s="1180"/>
      <c r="CL16" s="1180"/>
      <c r="CM16" s="1180"/>
      <c r="CN16" s="1180"/>
      <c r="CO16" s="1180"/>
      <c r="CP16" s="1180"/>
      <c r="CQ16" s="1180"/>
      <c r="CR16" s="1180"/>
      <c r="CS16" s="1180"/>
      <c r="CT16" s="1180"/>
      <c r="CU16" s="1180"/>
      <c r="CV16" s="1180"/>
      <c r="CW16" s="1180"/>
      <c r="CX16" s="1180"/>
      <c r="CY16" s="1180"/>
      <c r="CZ16" s="1180"/>
      <c r="DA16" s="1180"/>
      <c r="DB16" s="1180"/>
      <c r="DC16" s="1180"/>
      <c r="DD16" s="1180"/>
      <c r="DE16" s="1180"/>
      <c r="DF16" s="1180"/>
      <c r="DG16" s="1180"/>
      <c r="DH16" s="1180"/>
      <c r="DI16" s="1180"/>
      <c r="DJ16" s="1180"/>
      <c r="DK16" s="1180"/>
      <c r="DL16" s="1180"/>
      <c r="DM16" s="1180"/>
      <c r="DN16" s="1180"/>
      <c r="DO16" s="1180"/>
      <c r="DP16" s="1180"/>
      <c r="DQ16" s="1180"/>
      <c r="DR16" s="1180"/>
      <c r="DS16" s="1180"/>
      <c r="DT16" s="1180"/>
      <c r="DU16" s="1180"/>
      <c r="DV16" s="1180"/>
      <c r="DW16" s="1180"/>
      <c r="DX16" s="1180"/>
      <c r="DY16" s="1180"/>
      <c r="DZ16" s="1180"/>
      <c r="EA16" s="1180"/>
      <c r="EB16" s="1180"/>
      <c r="EC16" s="1180"/>
      <c r="ED16" s="1180"/>
      <c r="EE16" s="1180"/>
      <c r="EF16" s="1180"/>
      <c r="EG16" s="1180"/>
      <c r="EH16" s="1180"/>
      <c r="EI16" s="1180"/>
      <c r="EJ16" s="1180"/>
      <c r="EK16" s="1180"/>
      <c r="EL16" s="1180"/>
      <c r="EM16" s="1180"/>
      <c r="EN16" s="1180"/>
      <c r="EO16" s="1180"/>
      <c r="EP16" s="1180"/>
      <c r="EQ16" s="1180"/>
      <c r="ER16" s="1180"/>
      <c r="ES16" s="1180"/>
      <c r="ET16" s="1180"/>
      <c r="EU16" s="1180"/>
      <c r="EV16" s="1180"/>
      <c r="EW16" s="1180"/>
      <c r="EX16" s="1180"/>
      <c r="EY16" s="1180"/>
      <c r="EZ16" s="1180"/>
      <c r="FA16" s="1180"/>
      <c r="FB16" s="1180"/>
      <c r="FC16" s="1180"/>
      <c r="FD16" s="1180"/>
      <c r="FE16" s="1180"/>
      <c r="FF16" s="1180"/>
      <c r="FG16" s="1180"/>
      <c r="FH16" s="1180"/>
      <c r="FI16" s="1180"/>
      <c r="FJ16" s="1180"/>
      <c r="FK16" s="1180"/>
      <c r="FL16" s="1180"/>
      <c r="FM16" s="1180"/>
      <c r="FN16" s="1180"/>
      <c r="FO16" s="1180"/>
      <c r="FP16" s="1180"/>
      <c r="FQ16" s="1180"/>
      <c r="FR16" s="1180"/>
      <c r="FS16" s="1180"/>
      <c r="FT16" s="1180"/>
      <c r="FU16" s="1180"/>
      <c r="FV16" s="1180"/>
      <c r="FW16" s="1180"/>
      <c r="FX16" s="1180"/>
      <c r="FY16" s="1180"/>
      <c r="FZ16" s="1180"/>
      <c r="GA16" s="1180"/>
    </row>
    <row r="17" spans="1:183" s="1182" customFormat="1" ht="18.75" customHeight="1">
      <c r="A17" s="1118"/>
      <c r="B17" s="1125">
        <v>1</v>
      </c>
      <c r="C17" s="1119" t="s">
        <v>1154</v>
      </c>
      <c r="D17" s="1499">
        <v>8200000.0499999998</v>
      </c>
      <c r="E17" s="1121"/>
      <c r="F17" s="1122">
        <v>0.5</v>
      </c>
      <c r="G17" s="1123">
        <v>8</v>
      </c>
      <c r="H17" s="1167">
        <f>IF(B17="","",ROUND(B17*(D17+E17)*F17*G17,1))</f>
        <v>32800000.199999999</v>
      </c>
      <c r="I17"/>
      <c r="J17" s="1473"/>
      <c r="K17" s="1539"/>
      <c r="L17" s="1180"/>
      <c r="M17" s="1180"/>
      <c r="N17" s="1180"/>
      <c r="O17" s="1180"/>
      <c r="P17" s="1180"/>
      <c r="Q17" s="1180"/>
      <c r="R17" s="1180"/>
      <c r="S17" s="1180"/>
      <c r="T17" s="1180"/>
      <c r="U17" s="1180"/>
      <c r="V17" s="1180"/>
      <c r="W17" s="1180"/>
      <c r="X17" s="1180"/>
      <c r="Y17" s="1180"/>
      <c r="Z17" s="1180"/>
      <c r="AA17" s="1180"/>
      <c r="AB17" s="1180"/>
      <c r="AC17" s="1180"/>
      <c r="AD17" s="1180"/>
      <c r="AE17" s="1180"/>
      <c r="AF17" s="1180"/>
      <c r="AG17" s="1180"/>
      <c r="AH17" s="1180"/>
      <c r="AI17" s="1180"/>
      <c r="AJ17" s="1180"/>
      <c r="AK17" s="1180"/>
      <c r="AL17" s="1180"/>
      <c r="AM17" s="1180"/>
      <c r="AN17" s="1180"/>
      <c r="AO17" s="1180"/>
      <c r="AP17" s="1180"/>
      <c r="AQ17" s="1180"/>
      <c r="AR17" s="1180"/>
      <c r="AS17" s="1180"/>
      <c r="AT17" s="1180"/>
      <c r="AU17" s="1180"/>
      <c r="AV17" s="1180"/>
      <c r="AW17" s="1180"/>
      <c r="AX17" s="1180"/>
      <c r="AY17" s="1180"/>
      <c r="AZ17" s="1180"/>
      <c r="BA17" s="1180"/>
      <c r="BB17" s="1180"/>
      <c r="BC17" s="1180"/>
      <c r="BD17" s="1180"/>
      <c r="BE17" s="1180"/>
      <c r="BF17" s="1180"/>
      <c r="BG17" s="1180"/>
      <c r="BH17" s="1180"/>
      <c r="BI17" s="1180"/>
      <c r="BJ17" s="1180"/>
      <c r="BK17" s="1180"/>
      <c r="BL17" s="1180"/>
      <c r="BM17" s="1180"/>
      <c r="BN17" s="1180"/>
      <c r="BO17" s="1180"/>
      <c r="BP17" s="1180"/>
      <c r="BQ17" s="1180"/>
      <c r="BR17" s="1180"/>
      <c r="BS17" s="1180"/>
      <c r="BT17" s="1180"/>
      <c r="BU17" s="1180"/>
      <c r="BV17" s="1180"/>
      <c r="BW17" s="1180"/>
      <c r="BX17" s="1180"/>
      <c r="BY17" s="1180"/>
      <c r="BZ17" s="1180"/>
      <c r="CA17" s="1180"/>
      <c r="CB17" s="1180"/>
      <c r="CC17" s="1180"/>
      <c r="CD17" s="1180"/>
      <c r="CE17" s="1180"/>
      <c r="CF17" s="1180"/>
      <c r="CG17" s="1180"/>
      <c r="CH17" s="1180"/>
      <c r="CI17" s="1180"/>
      <c r="CJ17" s="1180"/>
      <c r="CK17" s="1180"/>
      <c r="CL17" s="1180"/>
      <c r="CM17" s="1180"/>
      <c r="CN17" s="1180"/>
      <c r="CO17" s="1180"/>
      <c r="CP17" s="1180"/>
      <c r="CQ17" s="1180"/>
      <c r="CR17" s="1180"/>
      <c r="CS17" s="1180"/>
      <c r="CT17" s="1180"/>
      <c r="CU17" s="1180"/>
      <c r="CV17" s="1180"/>
      <c r="CW17" s="1180"/>
      <c r="CX17" s="1180"/>
      <c r="CY17" s="1180"/>
      <c r="CZ17" s="1180"/>
      <c r="DA17" s="1180"/>
      <c r="DB17" s="1180"/>
      <c r="DC17" s="1180"/>
      <c r="DD17" s="1180"/>
      <c r="DE17" s="1180"/>
      <c r="DF17" s="1180"/>
      <c r="DG17" s="1180"/>
      <c r="DH17" s="1180"/>
      <c r="DI17" s="1180"/>
      <c r="DJ17" s="1180"/>
      <c r="DK17" s="1180"/>
      <c r="DL17" s="1180"/>
      <c r="DM17" s="1180"/>
      <c r="DN17" s="1180"/>
      <c r="DO17" s="1180"/>
      <c r="DP17" s="1180"/>
      <c r="DQ17" s="1180"/>
      <c r="DR17" s="1180"/>
      <c r="DS17" s="1180"/>
      <c r="DT17" s="1180"/>
      <c r="DU17" s="1180"/>
      <c r="DV17" s="1180"/>
      <c r="DW17" s="1180"/>
      <c r="DX17" s="1180"/>
      <c r="DY17" s="1180"/>
      <c r="DZ17" s="1180"/>
      <c r="EA17" s="1180"/>
      <c r="EB17" s="1180"/>
      <c r="EC17" s="1180"/>
      <c r="ED17" s="1180"/>
      <c r="EE17" s="1180"/>
      <c r="EF17" s="1180"/>
      <c r="EG17" s="1180"/>
      <c r="EH17" s="1180"/>
      <c r="EI17" s="1180"/>
      <c r="EJ17" s="1180"/>
      <c r="EK17" s="1180"/>
      <c r="EL17" s="1180"/>
      <c r="EM17" s="1180"/>
      <c r="EN17" s="1180"/>
      <c r="EO17" s="1180"/>
      <c r="EP17" s="1180"/>
      <c r="EQ17" s="1180"/>
      <c r="ER17" s="1180"/>
      <c r="ES17" s="1180"/>
      <c r="ET17" s="1180"/>
      <c r="EU17" s="1180"/>
      <c r="EV17" s="1180"/>
      <c r="EW17" s="1180"/>
      <c r="EX17" s="1180"/>
      <c r="EY17" s="1180"/>
      <c r="EZ17" s="1180"/>
      <c r="FA17" s="1180"/>
      <c r="FB17" s="1180"/>
      <c r="FC17" s="1180"/>
      <c r="FD17" s="1180"/>
      <c r="FE17" s="1180"/>
      <c r="FF17" s="1180"/>
      <c r="FG17" s="1180"/>
      <c r="FH17" s="1180"/>
      <c r="FI17" s="1180"/>
      <c r="FJ17" s="1180"/>
      <c r="FK17" s="1180"/>
      <c r="FL17" s="1180"/>
      <c r="FM17" s="1180"/>
      <c r="FN17" s="1180"/>
      <c r="FO17" s="1180"/>
      <c r="FP17" s="1180"/>
      <c r="FQ17" s="1180"/>
      <c r="FR17" s="1180"/>
      <c r="FS17" s="1180"/>
      <c r="FT17" s="1180"/>
      <c r="FU17" s="1180"/>
      <c r="FV17" s="1180"/>
      <c r="FW17" s="1180"/>
      <c r="FX17" s="1180"/>
      <c r="FY17" s="1180"/>
      <c r="FZ17" s="1180"/>
      <c r="GA17" s="1180"/>
    </row>
    <row r="18" spans="1:183" s="1182" customFormat="1" ht="18.75" customHeight="1">
      <c r="A18" s="1118"/>
      <c r="B18" s="1125">
        <v>1</v>
      </c>
      <c r="C18" s="1119" t="s">
        <v>1155</v>
      </c>
      <c r="D18" s="1120">
        <v>6200000</v>
      </c>
      <c r="E18" s="1121"/>
      <c r="F18" s="1122">
        <v>1</v>
      </c>
      <c r="G18" s="1123">
        <v>8</v>
      </c>
      <c r="H18" s="1167">
        <f t="shared" ref="H18:H21" si="0">IF(B18="","",ROUND(B18*(D18+E18)*F18*G18,0))</f>
        <v>49600000</v>
      </c>
      <c r="I18"/>
      <c r="J18" s="1180"/>
      <c r="K18" s="1539"/>
      <c r="L18" s="1180"/>
      <c r="M18" s="1180"/>
      <c r="N18" s="1180"/>
      <c r="O18" s="1180"/>
      <c r="P18" s="1180"/>
      <c r="Q18" s="1180"/>
      <c r="R18" s="1180"/>
      <c r="S18" s="1180"/>
      <c r="T18" s="1180"/>
      <c r="U18" s="1180"/>
      <c r="V18" s="1180"/>
      <c r="W18" s="1180"/>
      <c r="X18" s="1180"/>
      <c r="Y18" s="1180"/>
      <c r="Z18" s="1180"/>
      <c r="AA18" s="1180"/>
      <c r="AB18" s="1180"/>
      <c r="AC18" s="1180"/>
      <c r="AD18" s="1180"/>
      <c r="AE18" s="1180"/>
      <c r="AF18" s="1180"/>
      <c r="AG18" s="1180"/>
      <c r="AH18" s="1180"/>
      <c r="AI18" s="1180"/>
      <c r="AJ18" s="1180"/>
      <c r="AK18" s="1180"/>
      <c r="AL18" s="1180"/>
      <c r="AM18" s="1180"/>
      <c r="AN18" s="1180"/>
      <c r="AO18" s="1180"/>
      <c r="AP18" s="1180"/>
      <c r="AQ18" s="1180"/>
      <c r="AR18" s="1180"/>
      <c r="AS18" s="1180"/>
      <c r="AT18" s="1180"/>
      <c r="AU18" s="1180"/>
      <c r="AV18" s="1180"/>
      <c r="AW18" s="1180"/>
      <c r="AX18" s="1180"/>
      <c r="AY18" s="1180"/>
      <c r="AZ18" s="1180"/>
      <c r="BA18" s="1180"/>
      <c r="BB18" s="1180"/>
      <c r="BC18" s="1180"/>
      <c r="BD18" s="1180"/>
      <c r="BE18" s="1180"/>
      <c r="BF18" s="1180"/>
      <c r="BG18" s="1180"/>
      <c r="BH18" s="1180"/>
      <c r="BI18" s="1180"/>
      <c r="BJ18" s="1180"/>
      <c r="BK18" s="1180"/>
      <c r="BL18" s="1180"/>
      <c r="BM18" s="1180"/>
      <c r="BN18" s="1180"/>
      <c r="BO18" s="1180"/>
      <c r="BP18" s="1180"/>
      <c r="BQ18" s="1180"/>
      <c r="BR18" s="1180"/>
      <c r="BS18" s="1180"/>
      <c r="BT18" s="1180"/>
      <c r="BU18" s="1180"/>
      <c r="BV18" s="1180"/>
      <c r="BW18" s="1180"/>
      <c r="BX18" s="1180"/>
      <c r="BY18" s="1180"/>
      <c r="BZ18" s="1180"/>
      <c r="CA18" s="1180"/>
      <c r="CB18" s="1180"/>
      <c r="CC18" s="1180"/>
      <c r="CD18" s="1180"/>
      <c r="CE18" s="1180"/>
      <c r="CF18" s="1180"/>
      <c r="CG18" s="1180"/>
      <c r="CH18" s="1180"/>
      <c r="CI18" s="1180"/>
      <c r="CJ18" s="1180"/>
      <c r="CK18" s="1180"/>
      <c r="CL18" s="1180"/>
      <c r="CM18" s="1180"/>
      <c r="CN18" s="1180"/>
      <c r="CO18" s="1180"/>
      <c r="CP18" s="1180"/>
      <c r="CQ18" s="1180"/>
      <c r="CR18" s="1180"/>
      <c r="CS18" s="1180"/>
      <c r="CT18" s="1180"/>
      <c r="CU18" s="1180"/>
      <c r="CV18" s="1180"/>
      <c r="CW18" s="1180"/>
      <c r="CX18" s="1180"/>
      <c r="CY18" s="1180"/>
      <c r="CZ18" s="1180"/>
      <c r="DA18" s="1180"/>
      <c r="DB18" s="1180"/>
      <c r="DC18" s="1180"/>
      <c r="DD18" s="1180"/>
      <c r="DE18" s="1180"/>
      <c r="DF18" s="1180"/>
      <c r="DG18" s="1180"/>
      <c r="DH18" s="1180"/>
      <c r="DI18" s="1180"/>
      <c r="DJ18" s="1180"/>
      <c r="DK18" s="1180"/>
      <c r="DL18" s="1180"/>
      <c r="DM18" s="1180"/>
      <c r="DN18" s="1180"/>
      <c r="DO18" s="1180"/>
      <c r="DP18" s="1180"/>
      <c r="DQ18" s="1180"/>
      <c r="DR18" s="1180"/>
      <c r="DS18" s="1180"/>
      <c r="DT18" s="1180"/>
      <c r="DU18" s="1180"/>
      <c r="DV18" s="1180"/>
      <c r="DW18" s="1180"/>
      <c r="DX18" s="1180"/>
      <c r="DY18" s="1180"/>
      <c r="DZ18" s="1180"/>
      <c r="EA18" s="1180"/>
      <c r="EB18" s="1180"/>
      <c r="EC18" s="1180"/>
      <c r="ED18" s="1180"/>
      <c r="EE18" s="1180"/>
      <c r="EF18" s="1180"/>
      <c r="EG18" s="1180"/>
      <c r="EH18" s="1180"/>
      <c r="EI18" s="1180"/>
      <c r="EJ18" s="1180"/>
      <c r="EK18" s="1180"/>
      <c r="EL18" s="1180"/>
      <c r="EM18" s="1180"/>
      <c r="EN18" s="1180"/>
      <c r="EO18" s="1180"/>
      <c r="EP18" s="1180"/>
      <c r="EQ18" s="1180"/>
      <c r="ER18" s="1180"/>
      <c r="ES18" s="1180"/>
      <c r="ET18" s="1180"/>
      <c r="EU18" s="1180"/>
      <c r="EV18" s="1180"/>
      <c r="EW18" s="1180"/>
      <c r="EX18" s="1180"/>
      <c r="EY18" s="1180"/>
      <c r="EZ18" s="1180"/>
      <c r="FA18" s="1180"/>
      <c r="FB18" s="1180"/>
      <c r="FC18" s="1180"/>
      <c r="FD18" s="1180"/>
      <c r="FE18" s="1180"/>
      <c r="FF18" s="1180"/>
      <c r="FG18" s="1180"/>
      <c r="FH18" s="1180"/>
      <c r="FI18" s="1180"/>
      <c r="FJ18" s="1180"/>
      <c r="FK18" s="1180"/>
      <c r="FL18" s="1180"/>
      <c r="FM18" s="1180"/>
      <c r="FN18" s="1180"/>
      <c r="FO18" s="1180"/>
      <c r="FP18" s="1180"/>
      <c r="FQ18" s="1180"/>
      <c r="FR18" s="1180"/>
      <c r="FS18" s="1180"/>
      <c r="FT18" s="1180"/>
      <c r="FU18" s="1180"/>
      <c r="FV18" s="1180"/>
      <c r="FW18" s="1180"/>
      <c r="FX18" s="1180"/>
      <c r="FY18" s="1180"/>
      <c r="FZ18" s="1180"/>
      <c r="GA18" s="1180"/>
    </row>
    <row r="19" spans="1:183" s="1182" customFormat="1" ht="18.75" customHeight="1">
      <c r="A19" s="1118"/>
      <c r="B19" s="1125">
        <v>1</v>
      </c>
      <c r="C19" s="1119" t="s">
        <v>961</v>
      </c>
      <c r="D19" s="1120">
        <v>5100000</v>
      </c>
      <c r="E19" s="1121"/>
      <c r="F19" s="1122">
        <v>0.5</v>
      </c>
      <c r="G19" s="1123">
        <v>8</v>
      </c>
      <c r="H19" s="1167">
        <f t="shared" si="0"/>
        <v>20400000</v>
      </c>
      <c r="I19"/>
      <c r="J19" s="1180"/>
      <c r="K19" s="1539"/>
      <c r="L19" s="1180"/>
      <c r="M19" s="1180"/>
      <c r="N19" s="1180"/>
      <c r="O19" s="1180"/>
      <c r="P19" s="1180"/>
      <c r="Q19" s="1180"/>
      <c r="R19" s="1180"/>
      <c r="S19" s="1180"/>
      <c r="T19" s="1180"/>
      <c r="U19" s="1180"/>
      <c r="V19" s="1180"/>
      <c r="W19" s="1180"/>
      <c r="X19" s="1180"/>
      <c r="Y19" s="1180"/>
      <c r="Z19" s="1180"/>
      <c r="AA19" s="1180"/>
      <c r="AB19" s="1180"/>
      <c r="AC19" s="1180"/>
      <c r="AD19" s="1180"/>
      <c r="AE19" s="1180"/>
      <c r="AF19" s="1180"/>
      <c r="AG19" s="1180"/>
      <c r="AH19" s="1180"/>
      <c r="AI19" s="1180"/>
      <c r="AJ19" s="1180"/>
      <c r="AK19" s="1180"/>
      <c r="AL19" s="1180"/>
      <c r="AM19" s="1180"/>
      <c r="AN19" s="1180"/>
      <c r="AO19" s="1180"/>
      <c r="AP19" s="1180"/>
      <c r="AQ19" s="1180"/>
      <c r="AR19" s="1180"/>
      <c r="AS19" s="1180"/>
      <c r="AT19" s="1180"/>
      <c r="AU19" s="1180"/>
      <c r="AV19" s="1180"/>
      <c r="AW19" s="1180"/>
      <c r="AX19" s="1180"/>
      <c r="AY19" s="1180"/>
      <c r="AZ19" s="1180"/>
      <c r="BA19" s="1180"/>
      <c r="BB19" s="1180"/>
      <c r="BC19" s="1180"/>
      <c r="BD19" s="1180"/>
      <c r="BE19" s="1180"/>
      <c r="BF19" s="1180"/>
      <c r="BG19" s="1180"/>
      <c r="BH19" s="1180"/>
      <c r="BI19" s="1180"/>
      <c r="BJ19" s="1180"/>
      <c r="BK19" s="1180"/>
      <c r="BL19" s="1180"/>
      <c r="BM19" s="1180"/>
      <c r="BN19" s="1180"/>
      <c r="BO19" s="1180"/>
      <c r="BP19" s="1180"/>
      <c r="BQ19" s="1180"/>
      <c r="BR19" s="1180"/>
      <c r="BS19" s="1180"/>
      <c r="BT19" s="1180"/>
      <c r="BU19" s="1180"/>
      <c r="BV19" s="1180"/>
      <c r="BW19" s="1180"/>
      <c r="BX19" s="1180"/>
      <c r="BY19" s="1180"/>
      <c r="BZ19" s="1180"/>
      <c r="CA19" s="1180"/>
      <c r="CB19" s="1180"/>
      <c r="CC19" s="1180"/>
      <c r="CD19" s="1180"/>
      <c r="CE19" s="1180"/>
      <c r="CF19" s="1180"/>
      <c r="CG19" s="1180"/>
      <c r="CH19" s="1180"/>
      <c r="CI19" s="1180"/>
      <c r="CJ19" s="1180"/>
      <c r="CK19" s="1180"/>
      <c r="CL19" s="1180"/>
      <c r="CM19" s="1180"/>
      <c r="CN19" s="1180"/>
      <c r="CO19" s="1180"/>
      <c r="CP19" s="1180"/>
      <c r="CQ19" s="1180"/>
      <c r="CR19" s="1180"/>
      <c r="CS19" s="1180"/>
      <c r="CT19" s="1180"/>
      <c r="CU19" s="1180"/>
      <c r="CV19" s="1180"/>
      <c r="CW19" s="1180"/>
      <c r="CX19" s="1180"/>
      <c r="CY19" s="1180"/>
      <c r="CZ19" s="1180"/>
      <c r="DA19" s="1180"/>
      <c r="DB19" s="1180"/>
      <c r="DC19" s="1180"/>
      <c r="DD19" s="1180"/>
      <c r="DE19" s="1180"/>
      <c r="DF19" s="1180"/>
      <c r="DG19" s="1180"/>
      <c r="DH19" s="1180"/>
      <c r="DI19" s="1180"/>
      <c r="DJ19" s="1180"/>
      <c r="DK19" s="1180"/>
      <c r="DL19" s="1180"/>
      <c r="DM19" s="1180"/>
      <c r="DN19" s="1180"/>
      <c r="DO19" s="1180"/>
      <c r="DP19" s="1180"/>
      <c r="DQ19" s="1180"/>
      <c r="DR19" s="1180"/>
      <c r="DS19" s="1180"/>
      <c r="DT19" s="1180"/>
      <c r="DU19" s="1180"/>
      <c r="DV19" s="1180"/>
      <c r="DW19" s="1180"/>
      <c r="DX19" s="1180"/>
      <c r="DY19" s="1180"/>
      <c r="DZ19" s="1180"/>
      <c r="EA19" s="1180"/>
      <c r="EB19" s="1180"/>
      <c r="EC19" s="1180"/>
      <c r="ED19" s="1180"/>
      <c r="EE19" s="1180"/>
      <c r="EF19" s="1180"/>
      <c r="EG19" s="1180"/>
      <c r="EH19" s="1180"/>
      <c r="EI19" s="1180"/>
      <c r="EJ19" s="1180"/>
      <c r="EK19" s="1180"/>
      <c r="EL19" s="1180"/>
      <c r="EM19" s="1180"/>
      <c r="EN19" s="1180"/>
      <c r="EO19" s="1180"/>
      <c r="EP19" s="1180"/>
      <c r="EQ19" s="1180"/>
      <c r="ER19" s="1180"/>
      <c r="ES19" s="1180"/>
      <c r="ET19" s="1180"/>
      <c r="EU19" s="1180"/>
      <c r="EV19" s="1180"/>
      <c r="EW19" s="1180"/>
      <c r="EX19" s="1180"/>
      <c r="EY19" s="1180"/>
      <c r="EZ19" s="1180"/>
      <c r="FA19" s="1180"/>
      <c r="FB19" s="1180"/>
      <c r="FC19" s="1180"/>
      <c r="FD19" s="1180"/>
      <c r="FE19" s="1180"/>
      <c r="FF19" s="1180"/>
      <c r="FG19" s="1180"/>
      <c r="FH19" s="1180"/>
      <c r="FI19" s="1180"/>
      <c r="FJ19" s="1180"/>
      <c r="FK19" s="1180"/>
      <c r="FL19" s="1180"/>
      <c r="FM19" s="1180"/>
      <c r="FN19" s="1180"/>
      <c r="FO19" s="1180"/>
      <c r="FP19" s="1180"/>
      <c r="FQ19" s="1180"/>
      <c r="FR19" s="1180"/>
      <c r="FS19" s="1180"/>
      <c r="FT19" s="1180"/>
      <c r="FU19" s="1180"/>
      <c r="FV19" s="1180"/>
      <c r="FW19" s="1180"/>
      <c r="FX19" s="1180"/>
      <c r="FY19" s="1180"/>
      <c r="FZ19" s="1180"/>
      <c r="GA19" s="1180"/>
    </row>
    <row r="20" spans="1:183" s="1182" customFormat="1" ht="18.75" customHeight="1">
      <c r="A20" s="1118"/>
      <c r="B20" s="1125">
        <v>1</v>
      </c>
      <c r="C20" s="1119" t="s">
        <v>958</v>
      </c>
      <c r="D20" s="1120">
        <v>5100000</v>
      </c>
      <c r="E20" s="1121"/>
      <c r="F20" s="1122">
        <v>0.5</v>
      </c>
      <c r="G20" s="1123">
        <v>8</v>
      </c>
      <c r="H20" s="1167">
        <f t="shared" si="0"/>
        <v>20400000</v>
      </c>
      <c r="I20"/>
      <c r="J20" s="1180"/>
      <c r="K20" s="1539"/>
      <c r="L20" s="1180"/>
      <c r="M20" s="1180"/>
      <c r="N20" s="1180"/>
      <c r="O20" s="1180"/>
      <c r="P20" s="1180"/>
      <c r="Q20" s="1180"/>
      <c r="R20" s="1180"/>
      <c r="S20" s="1180"/>
      <c r="T20" s="1180"/>
      <c r="U20" s="1180"/>
      <c r="V20" s="1180"/>
      <c r="W20" s="1180"/>
      <c r="X20" s="1180"/>
      <c r="Y20" s="1180"/>
      <c r="Z20" s="1180"/>
      <c r="AA20" s="1180"/>
      <c r="AB20" s="1180"/>
      <c r="AC20" s="1180"/>
      <c r="AD20" s="1180"/>
      <c r="AE20" s="1180"/>
      <c r="AF20" s="1180"/>
      <c r="AG20" s="1180"/>
      <c r="AH20" s="1180"/>
      <c r="AI20" s="1180"/>
      <c r="AJ20" s="1180"/>
      <c r="AK20" s="1180"/>
      <c r="AL20" s="1180"/>
      <c r="AM20" s="1180"/>
      <c r="AN20" s="1180"/>
      <c r="AO20" s="1180"/>
      <c r="AP20" s="1180"/>
      <c r="AQ20" s="1180"/>
      <c r="AR20" s="1180"/>
      <c r="AS20" s="1180"/>
      <c r="AT20" s="1180"/>
      <c r="AU20" s="1180"/>
      <c r="AV20" s="1180"/>
      <c r="AW20" s="1180"/>
      <c r="AX20" s="1180"/>
      <c r="AY20" s="1180"/>
      <c r="AZ20" s="1180"/>
      <c r="BA20" s="1180"/>
      <c r="BB20" s="1180"/>
      <c r="BC20" s="1180"/>
      <c r="BD20" s="1180"/>
      <c r="BE20" s="1180"/>
      <c r="BF20" s="1180"/>
      <c r="BG20" s="1180"/>
      <c r="BH20" s="1180"/>
      <c r="BI20" s="1180"/>
      <c r="BJ20" s="1180"/>
      <c r="BK20" s="1180"/>
      <c r="BL20" s="1180"/>
      <c r="BM20" s="1180"/>
      <c r="BN20" s="1180"/>
      <c r="BO20" s="1180"/>
      <c r="BP20" s="1180"/>
      <c r="BQ20" s="1180"/>
      <c r="BR20" s="1180"/>
      <c r="BS20" s="1180"/>
      <c r="BT20" s="1180"/>
      <c r="BU20" s="1180"/>
      <c r="BV20" s="1180"/>
      <c r="BW20" s="1180"/>
      <c r="BX20" s="1180"/>
      <c r="BY20" s="1180"/>
      <c r="BZ20" s="1180"/>
      <c r="CA20" s="1180"/>
      <c r="CB20" s="1180"/>
      <c r="CC20" s="1180"/>
      <c r="CD20" s="1180"/>
      <c r="CE20" s="1180"/>
      <c r="CF20" s="1180"/>
      <c r="CG20" s="1180"/>
      <c r="CH20" s="1180"/>
      <c r="CI20" s="1180"/>
      <c r="CJ20" s="1180"/>
      <c r="CK20" s="1180"/>
      <c r="CL20" s="1180"/>
      <c r="CM20" s="1180"/>
      <c r="CN20" s="1180"/>
      <c r="CO20" s="1180"/>
      <c r="CP20" s="1180"/>
      <c r="CQ20" s="1180"/>
      <c r="CR20" s="1180"/>
      <c r="CS20" s="1180"/>
      <c r="CT20" s="1180"/>
      <c r="CU20" s="1180"/>
      <c r="CV20" s="1180"/>
      <c r="CW20" s="1180"/>
      <c r="CX20" s="1180"/>
      <c r="CY20" s="1180"/>
      <c r="CZ20" s="1180"/>
      <c r="DA20" s="1180"/>
      <c r="DB20" s="1180"/>
      <c r="DC20" s="1180"/>
      <c r="DD20" s="1180"/>
      <c r="DE20" s="1180"/>
      <c r="DF20" s="1180"/>
      <c r="DG20" s="1180"/>
      <c r="DH20" s="1180"/>
      <c r="DI20" s="1180"/>
      <c r="DJ20" s="1180"/>
      <c r="DK20" s="1180"/>
      <c r="DL20" s="1180"/>
      <c r="DM20" s="1180"/>
      <c r="DN20" s="1180"/>
      <c r="DO20" s="1180"/>
      <c r="DP20" s="1180"/>
      <c r="DQ20" s="1180"/>
      <c r="DR20" s="1180"/>
      <c r="DS20" s="1180"/>
      <c r="DT20" s="1180"/>
      <c r="DU20" s="1180"/>
      <c r="DV20" s="1180"/>
      <c r="DW20" s="1180"/>
      <c r="DX20" s="1180"/>
      <c r="DY20" s="1180"/>
      <c r="DZ20" s="1180"/>
      <c r="EA20" s="1180"/>
      <c r="EB20" s="1180"/>
      <c r="EC20" s="1180"/>
      <c r="ED20" s="1180"/>
      <c r="EE20" s="1180"/>
      <c r="EF20" s="1180"/>
      <c r="EG20" s="1180"/>
      <c r="EH20" s="1180"/>
      <c r="EI20" s="1180"/>
      <c r="EJ20" s="1180"/>
      <c r="EK20" s="1180"/>
      <c r="EL20" s="1180"/>
      <c r="EM20" s="1180"/>
      <c r="EN20" s="1180"/>
      <c r="EO20" s="1180"/>
      <c r="EP20" s="1180"/>
      <c r="EQ20" s="1180"/>
      <c r="ER20" s="1180"/>
      <c r="ES20" s="1180"/>
      <c r="ET20" s="1180"/>
      <c r="EU20" s="1180"/>
      <c r="EV20" s="1180"/>
      <c r="EW20" s="1180"/>
      <c r="EX20" s="1180"/>
      <c r="EY20" s="1180"/>
      <c r="EZ20" s="1180"/>
      <c r="FA20" s="1180"/>
      <c r="FB20" s="1180"/>
      <c r="FC20" s="1180"/>
      <c r="FD20" s="1180"/>
      <c r="FE20" s="1180"/>
      <c r="FF20" s="1180"/>
      <c r="FG20" s="1180"/>
      <c r="FH20" s="1180"/>
      <c r="FI20" s="1180"/>
      <c r="FJ20" s="1180"/>
      <c r="FK20" s="1180"/>
      <c r="FL20" s="1180"/>
      <c r="FM20" s="1180"/>
      <c r="FN20" s="1180"/>
      <c r="FO20" s="1180"/>
      <c r="FP20" s="1180"/>
      <c r="FQ20" s="1180"/>
      <c r="FR20" s="1180"/>
      <c r="FS20" s="1180"/>
      <c r="FT20" s="1180"/>
      <c r="FU20" s="1180"/>
      <c r="FV20" s="1180"/>
      <c r="FW20" s="1180"/>
      <c r="FX20" s="1180"/>
      <c r="FY20" s="1180"/>
      <c r="FZ20" s="1180"/>
      <c r="GA20" s="1180"/>
    </row>
    <row r="21" spans="1:183" s="1182" customFormat="1" ht="18.75" customHeight="1">
      <c r="A21" s="1118"/>
      <c r="B21" s="1125">
        <v>1</v>
      </c>
      <c r="C21" s="1119" t="s">
        <v>964</v>
      </c>
      <c r="D21" s="1120">
        <v>5100000</v>
      </c>
      <c r="E21" s="1121"/>
      <c r="F21" s="1122">
        <v>1</v>
      </c>
      <c r="G21" s="1123">
        <v>8</v>
      </c>
      <c r="H21" s="1167">
        <f t="shared" si="0"/>
        <v>40800000</v>
      </c>
      <c r="I21"/>
      <c r="J21" s="1180"/>
      <c r="K21" s="1539"/>
      <c r="L21" s="1180"/>
      <c r="M21" s="1180"/>
      <c r="N21" s="1180"/>
      <c r="O21" s="1180"/>
      <c r="P21" s="1180"/>
      <c r="Q21" s="1180"/>
      <c r="R21" s="1180"/>
      <c r="S21" s="1180"/>
      <c r="T21" s="1180"/>
      <c r="U21" s="1180"/>
      <c r="V21" s="1180"/>
      <c r="W21" s="1180"/>
      <c r="X21" s="1180"/>
      <c r="Y21" s="1180"/>
      <c r="Z21" s="1180"/>
      <c r="AA21" s="1180"/>
      <c r="AB21" s="1180"/>
      <c r="AC21" s="1180"/>
      <c r="AD21" s="1180"/>
      <c r="AE21" s="1180"/>
      <c r="AF21" s="1180"/>
      <c r="AG21" s="1180"/>
      <c r="AH21" s="1180"/>
      <c r="AI21" s="1180"/>
      <c r="AJ21" s="1180"/>
      <c r="AK21" s="1180"/>
      <c r="AL21" s="1180"/>
      <c r="AM21" s="1180"/>
      <c r="AN21" s="1180"/>
      <c r="AO21" s="1180"/>
      <c r="AP21" s="1180"/>
      <c r="AQ21" s="1180"/>
      <c r="AR21" s="1180"/>
      <c r="AS21" s="1180"/>
      <c r="AT21" s="1180"/>
      <c r="AU21" s="1180"/>
      <c r="AV21" s="1180"/>
      <c r="AW21" s="1180"/>
      <c r="AX21" s="1180"/>
      <c r="AY21" s="1180"/>
      <c r="AZ21" s="1180"/>
      <c r="BA21" s="1180"/>
      <c r="BB21" s="1180"/>
      <c r="BC21" s="1180"/>
      <c r="BD21" s="1180"/>
      <c r="BE21" s="1180"/>
      <c r="BF21" s="1180"/>
      <c r="BG21" s="1180"/>
      <c r="BH21" s="1180"/>
      <c r="BI21" s="1180"/>
      <c r="BJ21" s="1180"/>
      <c r="BK21" s="1180"/>
      <c r="BL21" s="1180"/>
      <c r="BM21" s="1180"/>
      <c r="BN21" s="1180"/>
      <c r="BO21" s="1180"/>
      <c r="BP21" s="1180"/>
      <c r="BQ21" s="1180"/>
      <c r="BR21" s="1180"/>
      <c r="BS21" s="1180"/>
      <c r="BT21" s="1180"/>
      <c r="BU21" s="1180"/>
      <c r="BV21" s="1180"/>
      <c r="BW21" s="1180"/>
      <c r="BX21" s="1180"/>
      <c r="BY21" s="1180"/>
      <c r="BZ21" s="1180"/>
      <c r="CA21" s="1180"/>
      <c r="CB21" s="1180"/>
      <c r="CC21" s="1180"/>
      <c r="CD21" s="1180"/>
      <c r="CE21" s="1180"/>
      <c r="CF21" s="1180"/>
      <c r="CG21" s="1180"/>
      <c r="CH21" s="1180"/>
      <c r="CI21" s="1180"/>
      <c r="CJ21" s="1180"/>
      <c r="CK21" s="1180"/>
      <c r="CL21" s="1180"/>
      <c r="CM21" s="1180"/>
      <c r="CN21" s="1180"/>
      <c r="CO21" s="1180"/>
      <c r="CP21" s="1180"/>
      <c r="CQ21" s="1180"/>
      <c r="CR21" s="1180"/>
      <c r="CS21" s="1180"/>
      <c r="CT21" s="1180"/>
      <c r="CU21" s="1180"/>
      <c r="CV21" s="1180"/>
      <c r="CW21" s="1180"/>
      <c r="CX21" s="1180"/>
      <c r="CY21" s="1180"/>
      <c r="CZ21" s="1180"/>
      <c r="DA21" s="1180"/>
      <c r="DB21" s="1180"/>
      <c r="DC21" s="1180"/>
      <c r="DD21" s="1180"/>
      <c r="DE21" s="1180"/>
      <c r="DF21" s="1180"/>
      <c r="DG21" s="1180"/>
      <c r="DH21" s="1180"/>
      <c r="DI21" s="1180"/>
      <c r="DJ21" s="1180"/>
      <c r="DK21" s="1180"/>
      <c r="DL21" s="1180"/>
      <c r="DM21" s="1180"/>
      <c r="DN21" s="1180"/>
      <c r="DO21" s="1180"/>
      <c r="DP21" s="1180"/>
      <c r="DQ21" s="1180"/>
      <c r="DR21" s="1180"/>
      <c r="DS21" s="1180"/>
      <c r="DT21" s="1180"/>
      <c r="DU21" s="1180"/>
      <c r="DV21" s="1180"/>
      <c r="DW21" s="1180"/>
      <c r="DX21" s="1180"/>
      <c r="DY21" s="1180"/>
      <c r="DZ21" s="1180"/>
      <c r="EA21" s="1180"/>
      <c r="EB21" s="1180"/>
      <c r="EC21" s="1180"/>
      <c r="ED21" s="1180"/>
      <c r="EE21" s="1180"/>
      <c r="EF21" s="1180"/>
      <c r="EG21" s="1180"/>
      <c r="EH21" s="1180"/>
      <c r="EI21" s="1180"/>
      <c r="EJ21" s="1180"/>
      <c r="EK21" s="1180"/>
      <c r="EL21" s="1180"/>
      <c r="EM21" s="1180"/>
      <c r="EN21" s="1180"/>
      <c r="EO21" s="1180"/>
      <c r="EP21" s="1180"/>
      <c r="EQ21" s="1180"/>
      <c r="ER21" s="1180"/>
      <c r="ES21" s="1180"/>
      <c r="ET21" s="1180"/>
      <c r="EU21" s="1180"/>
      <c r="EV21" s="1180"/>
      <c r="EW21" s="1180"/>
      <c r="EX21" s="1180"/>
      <c r="EY21" s="1180"/>
      <c r="EZ21" s="1180"/>
      <c r="FA21" s="1180"/>
      <c r="FB21" s="1180"/>
      <c r="FC21" s="1180"/>
      <c r="FD21" s="1180"/>
      <c r="FE21" s="1180"/>
      <c r="FF21" s="1180"/>
      <c r="FG21" s="1180"/>
      <c r="FH21" s="1180"/>
      <c r="FI21" s="1180"/>
      <c r="FJ21" s="1180"/>
      <c r="FK21" s="1180"/>
      <c r="FL21" s="1180"/>
      <c r="FM21" s="1180"/>
      <c r="FN21" s="1180"/>
      <c r="FO21" s="1180"/>
      <c r="FP21" s="1180"/>
      <c r="FQ21" s="1180"/>
      <c r="FR21" s="1180"/>
      <c r="FS21" s="1180"/>
      <c r="FT21" s="1180"/>
      <c r="FU21" s="1180"/>
      <c r="FV21" s="1180"/>
      <c r="FW21" s="1180"/>
      <c r="FX21" s="1180"/>
      <c r="FY21" s="1180"/>
      <c r="FZ21" s="1180"/>
      <c r="GA21" s="1180"/>
    </row>
    <row r="22" spans="1:183" s="1182" customFormat="1" ht="18.75" hidden="1" customHeight="1">
      <c r="A22" s="1118"/>
      <c r="B22" s="1125"/>
      <c r="C22" s="1119"/>
      <c r="D22" s="1462"/>
      <c r="E22" s="1121"/>
      <c r="F22" s="1122"/>
      <c r="G22" s="1123"/>
      <c r="H22" s="1167"/>
      <c r="I22"/>
      <c r="J22" s="1180"/>
      <c r="K22" s="1539"/>
      <c r="L22" s="1180"/>
      <c r="M22" s="1180"/>
      <c r="N22" s="1180"/>
      <c r="O22" s="1180"/>
      <c r="P22" s="1180"/>
      <c r="Q22" s="1180"/>
      <c r="R22" s="1180"/>
      <c r="S22" s="1180"/>
      <c r="T22" s="1180"/>
      <c r="U22" s="1180"/>
      <c r="V22" s="1180"/>
      <c r="W22" s="1180"/>
      <c r="X22" s="1180"/>
      <c r="Y22" s="1180"/>
      <c r="Z22" s="1180"/>
      <c r="AA22" s="1180"/>
      <c r="AB22" s="1180"/>
      <c r="AC22" s="1180"/>
      <c r="AD22" s="1180"/>
      <c r="AE22" s="1180"/>
      <c r="AF22" s="1180"/>
      <c r="AG22" s="1180"/>
      <c r="AH22" s="1180"/>
      <c r="AI22" s="1180"/>
      <c r="AJ22" s="1180"/>
      <c r="AK22" s="1180"/>
      <c r="AL22" s="1180"/>
      <c r="AM22" s="1180"/>
      <c r="AN22" s="1180"/>
      <c r="AO22" s="1180"/>
      <c r="AP22" s="1180"/>
      <c r="AQ22" s="1180"/>
      <c r="AR22" s="1180"/>
      <c r="AS22" s="1180"/>
      <c r="AT22" s="1180"/>
      <c r="AU22" s="1180"/>
      <c r="AV22" s="1180"/>
      <c r="AW22" s="1180"/>
      <c r="AX22" s="1180"/>
      <c r="AY22" s="1180"/>
      <c r="AZ22" s="1180"/>
      <c r="BA22" s="1180"/>
      <c r="BB22" s="1180"/>
      <c r="BC22" s="1180"/>
      <c r="BD22" s="1180"/>
      <c r="BE22" s="1180"/>
      <c r="BF22" s="1180"/>
      <c r="BG22" s="1180"/>
      <c r="BH22" s="1180"/>
      <c r="BI22" s="1180"/>
      <c r="BJ22" s="1180"/>
      <c r="BK22" s="1180"/>
      <c r="BL22" s="1180"/>
      <c r="BM22" s="1180"/>
      <c r="BN22" s="1180"/>
      <c r="BO22" s="1180"/>
      <c r="BP22" s="1180"/>
      <c r="BQ22" s="1180"/>
      <c r="BR22" s="1180"/>
      <c r="BS22" s="1180"/>
      <c r="BT22" s="1180"/>
      <c r="BU22" s="1180"/>
      <c r="BV22" s="1180"/>
      <c r="BW22" s="1180"/>
      <c r="BX22" s="1180"/>
      <c r="BY22" s="1180"/>
      <c r="BZ22" s="1180"/>
      <c r="CA22" s="1180"/>
      <c r="CB22" s="1180"/>
      <c r="CC22" s="1180"/>
      <c r="CD22" s="1180"/>
      <c r="CE22" s="1180"/>
      <c r="CF22" s="1180"/>
      <c r="CG22" s="1180"/>
      <c r="CH22" s="1180"/>
      <c r="CI22" s="1180"/>
      <c r="CJ22" s="1180"/>
      <c r="CK22" s="1180"/>
      <c r="CL22" s="1180"/>
      <c r="CM22" s="1180"/>
      <c r="CN22" s="1180"/>
      <c r="CO22" s="1180"/>
      <c r="CP22" s="1180"/>
      <c r="CQ22" s="1180"/>
      <c r="CR22" s="1180"/>
      <c r="CS22" s="1180"/>
      <c r="CT22" s="1180"/>
      <c r="CU22" s="1180"/>
      <c r="CV22" s="1180"/>
      <c r="CW22" s="1180"/>
      <c r="CX22" s="1180"/>
      <c r="CY22" s="1180"/>
      <c r="CZ22" s="1180"/>
      <c r="DA22" s="1180"/>
      <c r="DB22" s="1180"/>
      <c r="DC22" s="1180"/>
      <c r="DD22" s="1180"/>
      <c r="DE22" s="1180"/>
      <c r="DF22" s="1180"/>
      <c r="DG22" s="1180"/>
      <c r="DH22" s="1180"/>
      <c r="DI22" s="1180"/>
      <c r="DJ22" s="1180"/>
      <c r="DK22" s="1180"/>
      <c r="DL22" s="1180"/>
      <c r="DM22" s="1180"/>
      <c r="DN22" s="1180"/>
      <c r="DO22" s="1180"/>
      <c r="DP22" s="1180"/>
      <c r="DQ22" s="1180"/>
      <c r="DR22" s="1180"/>
      <c r="DS22" s="1180"/>
      <c r="DT22" s="1180"/>
      <c r="DU22" s="1180"/>
      <c r="DV22" s="1180"/>
      <c r="DW22" s="1180"/>
      <c r="DX22" s="1180"/>
      <c r="DY22" s="1180"/>
      <c r="DZ22" s="1180"/>
      <c r="EA22" s="1180"/>
      <c r="EB22" s="1180"/>
      <c r="EC22" s="1180"/>
      <c r="ED22" s="1180"/>
      <c r="EE22" s="1180"/>
      <c r="EF22" s="1180"/>
      <c r="EG22" s="1180"/>
      <c r="EH22" s="1180"/>
      <c r="EI22" s="1180"/>
      <c r="EJ22" s="1180"/>
      <c r="EK22" s="1180"/>
      <c r="EL22" s="1180"/>
      <c r="EM22" s="1180"/>
      <c r="EN22" s="1180"/>
      <c r="EO22" s="1180"/>
      <c r="EP22" s="1180"/>
      <c r="EQ22" s="1180"/>
      <c r="ER22" s="1180"/>
      <c r="ES22" s="1180"/>
      <c r="ET22" s="1180"/>
      <c r="EU22" s="1180"/>
      <c r="EV22" s="1180"/>
      <c r="EW22" s="1180"/>
      <c r="EX22" s="1180"/>
      <c r="EY22" s="1180"/>
      <c r="EZ22" s="1180"/>
      <c r="FA22" s="1180"/>
      <c r="FB22" s="1180"/>
      <c r="FC22" s="1180"/>
      <c r="FD22" s="1180"/>
      <c r="FE22" s="1180"/>
      <c r="FF22" s="1180"/>
      <c r="FG22" s="1180"/>
      <c r="FH22" s="1180"/>
      <c r="FI22" s="1180"/>
      <c r="FJ22" s="1180"/>
      <c r="FK22" s="1180"/>
      <c r="FL22" s="1180"/>
      <c r="FM22" s="1180"/>
      <c r="FN22" s="1180"/>
      <c r="FO22" s="1180"/>
      <c r="FP22" s="1180"/>
      <c r="FQ22" s="1180"/>
      <c r="FR22" s="1180"/>
      <c r="FS22" s="1180"/>
      <c r="FT22" s="1180"/>
      <c r="FU22" s="1180"/>
      <c r="FV22" s="1180"/>
      <c r="FW22" s="1180"/>
      <c r="FX22" s="1180"/>
      <c r="FY22" s="1180"/>
      <c r="FZ22" s="1180"/>
      <c r="GA22" s="1180"/>
    </row>
    <row r="23" spans="1:183" s="1182" customFormat="1" ht="18.75" customHeight="1">
      <c r="A23" s="1118"/>
      <c r="B23" s="1165" t="s">
        <v>1156</v>
      </c>
      <c r="C23" s="1166"/>
      <c r="D23" s="1166"/>
      <c r="E23" s="1166"/>
      <c r="F23" s="1166"/>
      <c r="G23" s="1166"/>
      <c r="H23" s="1166"/>
      <c r="I23"/>
      <c r="J23" s="1180"/>
      <c r="K23" s="1539"/>
      <c r="L23" s="1180"/>
      <c r="M23" s="1180"/>
      <c r="N23" s="1180"/>
      <c r="O23" s="1180"/>
      <c r="P23" s="1180"/>
      <c r="Q23" s="1180"/>
      <c r="R23" s="1180"/>
      <c r="S23" s="1180"/>
      <c r="T23" s="1180"/>
      <c r="U23" s="1180"/>
      <c r="V23" s="1180"/>
      <c r="W23" s="1180"/>
      <c r="X23" s="1180"/>
      <c r="Y23" s="1180"/>
      <c r="Z23" s="1180"/>
      <c r="AA23" s="1180"/>
      <c r="AB23" s="1180"/>
      <c r="AC23" s="1180"/>
      <c r="AD23" s="1180"/>
      <c r="AE23" s="1180"/>
      <c r="AF23" s="1180"/>
      <c r="AG23" s="1180"/>
      <c r="AH23" s="1180"/>
      <c r="AI23" s="1180"/>
      <c r="AJ23" s="1180"/>
      <c r="AK23" s="1180"/>
      <c r="AL23" s="1180"/>
      <c r="AM23" s="1180"/>
      <c r="AN23" s="1180"/>
      <c r="AO23" s="1180"/>
      <c r="AP23" s="1180"/>
      <c r="AQ23" s="1180"/>
      <c r="AR23" s="1180"/>
      <c r="AS23" s="1180"/>
      <c r="AT23" s="1180"/>
      <c r="AU23" s="1180"/>
      <c r="AV23" s="1180"/>
      <c r="AW23" s="1180"/>
      <c r="AX23" s="1180"/>
      <c r="AY23" s="1180"/>
      <c r="AZ23" s="1180"/>
      <c r="BA23" s="1180"/>
      <c r="BB23" s="1180"/>
      <c r="BC23" s="1180"/>
      <c r="BD23" s="1180"/>
      <c r="BE23" s="1180"/>
      <c r="BF23" s="1180"/>
      <c r="BG23" s="1180"/>
      <c r="BH23" s="1180"/>
      <c r="BI23" s="1180"/>
      <c r="BJ23" s="1180"/>
      <c r="BK23" s="1180"/>
      <c r="BL23" s="1180"/>
      <c r="BM23" s="1180"/>
      <c r="BN23" s="1180"/>
      <c r="BO23" s="1180"/>
      <c r="BP23" s="1180"/>
      <c r="BQ23" s="1180"/>
      <c r="BR23" s="1180"/>
      <c r="BS23" s="1180"/>
      <c r="BT23" s="1180"/>
      <c r="BU23" s="1180"/>
      <c r="BV23" s="1180"/>
      <c r="BW23" s="1180"/>
      <c r="BX23" s="1180"/>
      <c r="BY23" s="1180"/>
      <c r="BZ23" s="1180"/>
      <c r="CA23" s="1180"/>
      <c r="CB23" s="1180"/>
      <c r="CC23" s="1180"/>
      <c r="CD23" s="1180"/>
      <c r="CE23" s="1180"/>
      <c r="CF23" s="1180"/>
      <c r="CG23" s="1180"/>
      <c r="CH23" s="1180"/>
      <c r="CI23" s="1180"/>
      <c r="CJ23" s="1180"/>
      <c r="CK23" s="1180"/>
      <c r="CL23" s="1180"/>
      <c r="CM23" s="1180"/>
      <c r="CN23" s="1180"/>
      <c r="CO23" s="1180"/>
      <c r="CP23" s="1180"/>
      <c r="CQ23" s="1180"/>
      <c r="CR23" s="1180"/>
      <c r="CS23" s="1180"/>
      <c r="CT23" s="1180"/>
      <c r="CU23" s="1180"/>
      <c r="CV23" s="1180"/>
      <c r="CW23" s="1180"/>
      <c r="CX23" s="1180"/>
      <c r="CY23" s="1180"/>
      <c r="CZ23" s="1180"/>
      <c r="DA23" s="1180"/>
      <c r="DB23" s="1180"/>
      <c r="DC23" s="1180"/>
      <c r="DD23" s="1180"/>
      <c r="DE23" s="1180"/>
      <c r="DF23" s="1180"/>
      <c r="DG23" s="1180"/>
      <c r="DH23" s="1180"/>
      <c r="DI23" s="1180"/>
      <c r="DJ23" s="1180"/>
      <c r="DK23" s="1180"/>
      <c r="DL23" s="1180"/>
      <c r="DM23" s="1180"/>
      <c r="DN23" s="1180"/>
      <c r="DO23" s="1180"/>
      <c r="DP23" s="1180"/>
      <c r="DQ23" s="1180"/>
      <c r="DR23" s="1180"/>
      <c r="DS23" s="1180"/>
      <c r="DT23" s="1180"/>
      <c r="DU23" s="1180"/>
      <c r="DV23" s="1180"/>
      <c r="DW23" s="1180"/>
      <c r="DX23" s="1180"/>
      <c r="DY23" s="1180"/>
      <c r="DZ23" s="1180"/>
      <c r="EA23" s="1180"/>
      <c r="EB23" s="1180"/>
      <c r="EC23" s="1180"/>
      <c r="ED23" s="1180"/>
      <c r="EE23" s="1180"/>
      <c r="EF23" s="1180"/>
      <c r="EG23" s="1180"/>
      <c r="EH23" s="1180"/>
      <c r="EI23" s="1180"/>
      <c r="EJ23" s="1180"/>
      <c r="EK23" s="1180"/>
      <c r="EL23" s="1180"/>
      <c r="EM23" s="1180"/>
      <c r="EN23" s="1180"/>
      <c r="EO23" s="1180"/>
      <c r="EP23" s="1180"/>
      <c r="EQ23" s="1180"/>
      <c r="ER23" s="1180"/>
      <c r="ES23" s="1180"/>
      <c r="ET23" s="1180"/>
      <c r="EU23" s="1180"/>
      <c r="EV23" s="1180"/>
      <c r="EW23" s="1180"/>
      <c r="EX23" s="1180"/>
      <c r="EY23" s="1180"/>
      <c r="EZ23" s="1180"/>
      <c r="FA23" s="1180"/>
      <c r="FB23" s="1180"/>
      <c r="FC23" s="1180"/>
      <c r="FD23" s="1180"/>
      <c r="FE23" s="1180"/>
      <c r="FF23" s="1180"/>
      <c r="FG23" s="1180"/>
      <c r="FH23" s="1180"/>
      <c r="FI23" s="1180"/>
      <c r="FJ23" s="1180"/>
      <c r="FK23" s="1180"/>
      <c r="FL23" s="1180"/>
      <c r="FM23" s="1180"/>
      <c r="FN23" s="1180"/>
      <c r="FO23" s="1180"/>
      <c r="FP23" s="1180"/>
      <c r="FQ23" s="1180"/>
      <c r="FR23" s="1180"/>
      <c r="FS23" s="1180"/>
      <c r="FT23" s="1180"/>
      <c r="FU23" s="1180"/>
      <c r="FV23" s="1180"/>
      <c r="FW23" s="1180"/>
      <c r="FX23" s="1180"/>
      <c r="FY23" s="1180"/>
      <c r="FZ23" s="1180"/>
      <c r="GA23" s="1180"/>
    </row>
    <row r="24" spans="1:183" s="1182" customFormat="1" ht="18.75" customHeight="1">
      <c r="A24" s="1118"/>
      <c r="B24" s="1125">
        <v>1</v>
      </c>
      <c r="C24" s="1119" t="s">
        <v>1157</v>
      </c>
      <c r="D24" s="1120">
        <v>3500000</v>
      </c>
      <c r="E24" s="1121"/>
      <c r="F24" s="1122">
        <v>1</v>
      </c>
      <c r="G24" s="1123">
        <v>8</v>
      </c>
      <c r="H24" s="1167">
        <f>IF(B24="","",ROUND(B24*(D24+E24)*F24*G24,0))</f>
        <v>28000000</v>
      </c>
      <c r="I24"/>
      <c r="J24" s="1180"/>
      <c r="K24" s="1180"/>
      <c r="L24" s="1180"/>
      <c r="M24" s="1180"/>
      <c r="N24" s="1180"/>
      <c r="O24" s="1180"/>
      <c r="P24" s="1180"/>
      <c r="Q24" s="1180"/>
      <c r="R24" s="1180"/>
      <c r="S24" s="1180"/>
      <c r="T24" s="1180"/>
      <c r="U24" s="1180"/>
      <c r="V24" s="1180"/>
      <c r="W24" s="1180"/>
      <c r="X24" s="1180"/>
      <c r="Y24" s="1180"/>
      <c r="Z24" s="1180"/>
      <c r="AA24" s="1180"/>
      <c r="AB24" s="1180"/>
      <c r="AC24" s="1180"/>
      <c r="AD24" s="1180"/>
      <c r="AE24" s="1180"/>
      <c r="AF24" s="1180"/>
      <c r="AG24" s="1180"/>
      <c r="AH24" s="1180"/>
      <c r="AI24" s="1180"/>
      <c r="AJ24" s="1180"/>
      <c r="AK24" s="1180"/>
      <c r="AL24" s="1180"/>
      <c r="AM24" s="1180"/>
      <c r="AN24" s="1180"/>
      <c r="AO24" s="1180"/>
      <c r="AP24" s="1180"/>
      <c r="AQ24" s="1180"/>
      <c r="AR24" s="1180"/>
      <c r="AS24" s="1180"/>
      <c r="AT24" s="1180"/>
      <c r="AU24" s="1180"/>
      <c r="AV24" s="1180"/>
      <c r="AW24" s="1180"/>
      <c r="AX24" s="1180"/>
      <c r="AY24" s="1180"/>
      <c r="AZ24" s="1180"/>
      <c r="BA24" s="1180"/>
      <c r="BB24" s="1180"/>
      <c r="BC24" s="1180"/>
      <c r="BD24" s="1180"/>
      <c r="BE24" s="1180"/>
      <c r="BF24" s="1180"/>
      <c r="BG24" s="1180"/>
      <c r="BH24" s="1180"/>
      <c r="BI24" s="1180"/>
      <c r="BJ24" s="1180"/>
      <c r="BK24" s="1180"/>
      <c r="BL24" s="1180"/>
      <c r="BM24" s="1180"/>
      <c r="BN24" s="1180"/>
      <c r="BO24" s="1180"/>
      <c r="BP24" s="1180"/>
      <c r="BQ24" s="1180"/>
      <c r="BR24" s="1180"/>
      <c r="BS24" s="1180"/>
      <c r="BT24" s="1180"/>
      <c r="BU24" s="1180"/>
      <c r="BV24" s="1180"/>
      <c r="BW24" s="1180"/>
      <c r="BX24" s="1180"/>
      <c r="BY24" s="1180"/>
      <c r="BZ24" s="1180"/>
      <c r="CA24" s="1180"/>
      <c r="CB24" s="1180"/>
      <c r="CC24" s="1180"/>
      <c r="CD24" s="1180"/>
      <c r="CE24" s="1180"/>
      <c r="CF24" s="1180"/>
      <c r="CG24" s="1180"/>
      <c r="CH24" s="1180"/>
      <c r="CI24" s="1180"/>
      <c r="CJ24" s="1180"/>
      <c r="CK24" s="1180"/>
      <c r="CL24" s="1180"/>
      <c r="CM24" s="1180"/>
      <c r="CN24" s="1180"/>
      <c r="CO24" s="1180"/>
      <c r="CP24" s="1180"/>
      <c r="CQ24" s="1180"/>
      <c r="CR24" s="1180"/>
      <c r="CS24" s="1180"/>
      <c r="CT24" s="1180"/>
      <c r="CU24" s="1180"/>
      <c r="CV24" s="1180"/>
      <c r="CW24" s="1180"/>
      <c r="CX24" s="1180"/>
      <c r="CY24" s="1180"/>
      <c r="CZ24" s="1180"/>
      <c r="DA24" s="1180"/>
      <c r="DB24" s="1180"/>
      <c r="DC24" s="1180"/>
      <c r="DD24" s="1180"/>
      <c r="DE24" s="1180"/>
      <c r="DF24" s="1180"/>
      <c r="DG24" s="1180"/>
      <c r="DH24" s="1180"/>
      <c r="DI24" s="1180"/>
      <c r="DJ24" s="1180"/>
      <c r="DK24" s="1180"/>
      <c r="DL24" s="1180"/>
      <c r="DM24" s="1180"/>
      <c r="DN24" s="1180"/>
      <c r="DO24" s="1180"/>
      <c r="DP24" s="1180"/>
      <c r="DQ24" s="1180"/>
      <c r="DR24" s="1180"/>
      <c r="DS24" s="1180"/>
      <c r="DT24" s="1180"/>
      <c r="DU24" s="1180"/>
      <c r="DV24" s="1180"/>
      <c r="DW24" s="1180"/>
      <c r="DX24" s="1180"/>
      <c r="DY24" s="1180"/>
      <c r="DZ24" s="1180"/>
      <c r="EA24" s="1180"/>
      <c r="EB24" s="1180"/>
      <c r="EC24" s="1180"/>
      <c r="ED24" s="1180"/>
      <c r="EE24" s="1180"/>
      <c r="EF24" s="1180"/>
      <c r="EG24" s="1180"/>
      <c r="EH24" s="1180"/>
      <c r="EI24" s="1180"/>
      <c r="EJ24" s="1180"/>
      <c r="EK24" s="1180"/>
      <c r="EL24" s="1180"/>
      <c r="EM24" s="1180"/>
      <c r="EN24" s="1180"/>
      <c r="EO24" s="1180"/>
      <c r="EP24" s="1180"/>
      <c r="EQ24" s="1180"/>
      <c r="ER24" s="1180"/>
      <c r="ES24" s="1180"/>
      <c r="ET24" s="1180"/>
      <c r="EU24" s="1180"/>
      <c r="EV24" s="1180"/>
      <c r="EW24" s="1180"/>
      <c r="EX24" s="1180"/>
      <c r="EY24" s="1180"/>
      <c r="EZ24" s="1180"/>
      <c r="FA24" s="1180"/>
      <c r="FB24" s="1180"/>
      <c r="FC24" s="1180"/>
      <c r="FD24" s="1180"/>
      <c r="FE24" s="1180"/>
      <c r="FF24" s="1180"/>
      <c r="FG24" s="1180"/>
      <c r="FH24" s="1180"/>
      <c r="FI24" s="1180"/>
      <c r="FJ24" s="1180"/>
      <c r="FK24" s="1180"/>
      <c r="FL24" s="1180"/>
      <c r="FM24" s="1180"/>
      <c r="FN24" s="1180"/>
      <c r="FO24" s="1180"/>
      <c r="FP24" s="1180"/>
      <c r="FQ24" s="1180"/>
      <c r="FR24" s="1180"/>
      <c r="FS24" s="1180"/>
      <c r="FT24" s="1180"/>
      <c r="FU24" s="1180"/>
      <c r="FV24" s="1180"/>
      <c r="FW24" s="1180"/>
      <c r="FX24" s="1180"/>
      <c r="FY24" s="1180"/>
      <c r="FZ24" s="1180"/>
      <c r="GA24" s="1180"/>
    </row>
    <row r="25" spans="1:183" s="1182" customFormat="1" ht="18.75" hidden="1" customHeight="1">
      <c r="A25" s="1118"/>
      <c r="B25" s="1125">
        <v>1</v>
      </c>
      <c r="C25" s="1119" t="s">
        <v>1158</v>
      </c>
      <c r="D25" s="1462">
        <v>0</v>
      </c>
      <c r="E25" s="1121"/>
      <c r="F25" s="1122">
        <v>1</v>
      </c>
      <c r="G25" s="1123">
        <v>6</v>
      </c>
      <c r="H25" s="1167">
        <f>IF(B25="","",ROUND(B25*(D25+E25)*F25*G25,0))</f>
        <v>0</v>
      </c>
      <c r="I25"/>
      <c r="J25" s="1180"/>
      <c r="K25" s="1180"/>
      <c r="L25" s="1180"/>
      <c r="M25" s="1180"/>
      <c r="N25" s="1180"/>
      <c r="O25" s="1180"/>
      <c r="P25" s="1180"/>
      <c r="Q25" s="1180"/>
      <c r="R25" s="1180"/>
      <c r="S25" s="1180"/>
      <c r="T25" s="1180"/>
      <c r="U25" s="1180"/>
      <c r="V25" s="1180"/>
      <c r="W25" s="1180"/>
      <c r="X25" s="1180"/>
      <c r="Y25" s="1180"/>
      <c r="Z25" s="1180"/>
      <c r="AA25" s="1180"/>
      <c r="AB25" s="1180"/>
      <c r="AC25" s="1180"/>
      <c r="AD25" s="1180"/>
      <c r="AE25" s="1180"/>
      <c r="AF25" s="1180"/>
      <c r="AG25" s="1180"/>
      <c r="AH25" s="1180"/>
      <c r="AI25" s="1180"/>
      <c r="AJ25" s="1180"/>
      <c r="AK25" s="1180"/>
      <c r="AL25" s="1180"/>
      <c r="AM25" s="1180"/>
      <c r="AN25" s="1180"/>
      <c r="AO25" s="1180"/>
      <c r="AP25" s="1180"/>
      <c r="AQ25" s="1180"/>
      <c r="AR25" s="1180"/>
      <c r="AS25" s="1180"/>
      <c r="AT25" s="1180"/>
      <c r="AU25" s="1180"/>
      <c r="AV25" s="1180"/>
      <c r="AW25" s="1180"/>
      <c r="AX25" s="1180"/>
      <c r="AY25" s="1180"/>
      <c r="AZ25" s="1180"/>
      <c r="BA25" s="1180"/>
      <c r="BB25" s="1180"/>
      <c r="BC25" s="1180"/>
      <c r="BD25" s="1180"/>
      <c r="BE25" s="1180"/>
      <c r="BF25" s="1180"/>
      <c r="BG25" s="1180"/>
      <c r="BH25" s="1180"/>
      <c r="BI25" s="1180"/>
      <c r="BJ25" s="1180"/>
      <c r="BK25" s="1180"/>
      <c r="BL25" s="1180"/>
      <c r="BM25" s="1180"/>
      <c r="BN25" s="1180"/>
      <c r="BO25" s="1180"/>
      <c r="BP25" s="1180"/>
      <c r="BQ25" s="1180"/>
      <c r="BR25" s="1180"/>
      <c r="BS25" s="1180"/>
      <c r="BT25" s="1180"/>
      <c r="BU25" s="1180"/>
      <c r="BV25" s="1180"/>
      <c r="BW25" s="1180"/>
      <c r="BX25" s="1180"/>
      <c r="BY25" s="1180"/>
      <c r="BZ25" s="1180"/>
      <c r="CA25" s="1180"/>
      <c r="CB25" s="1180"/>
      <c r="CC25" s="1180"/>
      <c r="CD25" s="1180"/>
      <c r="CE25" s="1180"/>
      <c r="CF25" s="1180"/>
      <c r="CG25" s="1180"/>
      <c r="CH25" s="1180"/>
      <c r="CI25" s="1180"/>
      <c r="CJ25" s="1180"/>
      <c r="CK25" s="1180"/>
      <c r="CL25" s="1180"/>
      <c r="CM25" s="1180"/>
      <c r="CN25" s="1180"/>
      <c r="CO25" s="1180"/>
      <c r="CP25" s="1180"/>
      <c r="CQ25" s="1180"/>
      <c r="CR25" s="1180"/>
      <c r="CS25" s="1180"/>
      <c r="CT25" s="1180"/>
      <c r="CU25" s="1180"/>
      <c r="CV25" s="1180"/>
      <c r="CW25" s="1180"/>
      <c r="CX25" s="1180"/>
      <c r="CY25" s="1180"/>
      <c r="CZ25" s="1180"/>
      <c r="DA25" s="1180"/>
      <c r="DB25" s="1180"/>
      <c r="DC25" s="1180"/>
      <c r="DD25" s="1180"/>
      <c r="DE25" s="1180"/>
      <c r="DF25" s="1180"/>
      <c r="DG25" s="1180"/>
      <c r="DH25" s="1180"/>
      <c r="DI25" s="1180"/>
      <c r="DJ25" s="1180"/>
      <c r="DK25" s="1180"/>
      <c r="DL25" s="1180"/>
      <c r="DM25" s="1180"/>
      <c r="DN25" s="1180"/>
      <c r="DO25" s="1180"/>
      <c r="DP25" s="1180"/>
      <c r="DQ25" s="1180"/>
      <c r="DR25" s="1180"/>
      <c r="DS25" s="1180"/>
      <c r="DT25" s="1180"/>
      <c r="DU25" s="1180"/>
      <c r="DV25" s="1180"/>
      <c r="DW25" s="1180"/>
      <c r="DX25" s="1180"/>
      <c r="DY25" s="1180"/>
      <c r="DZ25" s="1180"/>
      <c r="EA25" s="1180"/>
      <c r="EB25" s="1180"/>
      <c r="EC25" s="1180"/>
      <c r="ED25" s="1180"/>
      <c r="EE25" s="1180"/>
      <c r="EF25" s="1180"/>
      <c r="EG25" s="1180"/>
      <c r="EH25" s="1180"/>
      <c r="EI25" s="1180"/>
      <c r="EJ25" s="1180"/>
      <c r="EK25" s="1180"/>
      <c r="EL25" s="1180"/>
      <c r="EM25" s="1180"/>
      <c r="EN25" s="1180"/>
      <c r="EO25" s="1180"/>
      <c r="EP25" s="1180"/>
      <c r="EQ25" s="1180"/>
      <c r="ER25" s="1180"/>
      <c r="ES25" s="1180"/>
      <c r="ET25" s="1180"/>
      <c r="EU25" s="1180"/>
      <c r="EV25" s="1180"/>
      <c r="EW25" s="1180"/>
      <c r="EX25" s="1180"/>
      <c r="EY25" s="1180"/>
      <c r="EZ25" s="1180"/>
      <c r="FA25" s="1180"/>
      <c r="FB25" s="1180"/>
      <c r="FC25" s="1180"/>
      <c r="FD25" s="1180"/>
      <c r="FE25" s="1180"/>
      <c r="FF25" s="1180"/>
      <c r="FG25" s="1180"/>
      <c r="FH25" s="1180"/>
      <c r="FI25" s="1180"/>
      <c r="FJ25" s="1180"/>
      <c r="FK25" s="1180"/>
      <c r="FL25" s="1180"/>
      <c r="FM25" s="1180"/>
      <c r="FN25" s="1180"/>
      <c r="FO25" s="1180"/>
      <c r="FP25" s="1180"/>
      <c r="FQ25" s="1180"/>
      <c r="FR25" s="1180"/>
      <c r="FS25" s="1180"/>
      <c r="FT25" s="1180"/>
      <c r="FU25" s="1180"/>
      <c r="FV25" s="1180"/>
      <c r="FW25" s="1180"/>
      <c r="FX25" s="1180"/>
      <c r="FY25" s="1180"/>
      <c r="FZ25" s="1180"/>
      <c r="GA25" s="1180"/>
    </row>
    <row r="26" spans="1:183" s="1182" customFormat="1" ht="18.75" customHeight="1">
      <c r="A26" s="1118"/>
      <c r="B26" s="1165" t="s">
        <v>1159</v>
      </c>
      <c r="C26" s="1166"/>
      <c r="D26" s="1166"/>
      <c r="E26" s="1166"/>
      <c r="F26" s="1166"/>
      <c r="G26" s="1166"/>
      <c r="H26" s="1166"/>
      <c r="I26"/>
      <c r="J26" s="1180"/>
      <c r="K26" s="1180"/>
      <c r="L26" s="1180"/>
      <c r="M26" s="1180"/>
      <c r="N26" s="1180"/>
      <c r="O26" s="1180"/>
      <c r="P26" s="1180"/>
      <c r="Q26" s="1180"/>
      <c r="R26" s="1180"/>
      <c r="S26" s="1180"/>
      <c r="T26" s="1180"/>
      <c r="U26" s="1180"/>
      <c r="V26" s="1180"/>
      <c r="W26" s="1180"/>
      <c r="X26" s="1180"/>
      <c r="Y26" s="1180"/>
      <c r="Z26" s="1180"/>
      <c r="AA26" s="1180"/>
      <c r="AB26" s="1180"/>
      <c r="AC26" s="1180"/>
      <c r="AD26" s="1180"/>
      <c r="AE26" s="1180"/>
      <c r="AF26" s="1180"/>
      <c r="AG26" s="1180"/>
      <c r="AH26" s="1180"/>
      <c r="AI26" s="1180"/>
      <c r="AJ26" s="1180"/>
      <c r="AK26" s="1180"/>
      <c r="AL26" s="1180"/>
      <c r="AM26" s="1180"/>
      <c r="AN26" s="1180"/>
      <c r="AO26" s="1180"/>
      <c r="AP26" s="1180"/>
      <c r="AQ26" s="1180"/>
      <c r="AR26" s="1180"/>
      <c r="AS26" s="1180"/>
      <c r="AT26" s="1180"/>
      <c r="AU26" s="1180"/>
      <c r="AV26" s="1180"/>
      <c r="AW26" s="1180"/>
      <c r="AX26" s="1180"/>
      <c r="AY26" s="1180"/>
      <c r="AZ26" s="1180"/>
      <c r="BA26" s="1180"/>
      <c r="BB26" s="1180"/>
      <c r="BC26" s="1180"/>
      <c r="BD26" s="1180"/>
      <c r="BE26" s="1180"/>
      <c r="BF26" s="1180"/>
      <c r="BG26" s="1180"/>
      <c r="BH26" s="1180"/>
      <c r="BI26" s="1180"/>
      <c r="BJ26" s="1180"/>
      <c r="BK26" s="1180"/>
      <c r="BL26" s="1180"/>
      <c r="BM26" s="1180"/>
      <c r="BN26" s="1180"/>
      <c r="BO26" s="1180"/>
      <c r="BP26" s="1180"/>
      <c r="BQ26" s="1180"/>
      <c r="BR26" s="1180"/>
      <c r="BS26" s="1180"/>
      <c r="BT26" s="1180"/>
      <c r="BU26" s="1180"/>
      <c r="BV26" s="1180"/>
      <c r="BW26" s="1180"/>
      <c r="BX26" s="1180"/>
      <c r="BY26" s="1180"/>
      <c r="BZ26" s="1180"/>
      <c r="CA26" s="1180"/>
      <c r="CB26" s="1180"/>
      <c r="CC26" s="1180"/>
      <c r="CD26" s="1180"/>
      <c r="CE26" s="1180"/>
      <c r="CF26" s="1180"/>
      <c r="CG26" s="1180"/>
      <c r="CH26" s="1180"/>
      <c r="CI26" s="1180"/>
      <c r="CJ26" s="1180"/>
      <c r="CK26" s="1180"/>
      <c r="CL26" s="1180"/>
      <c r="CM26" s="1180"/>
      <c r="CN26" s="1180"/>
      <c r="CO26" s="1180"/>
      <c r="CP26" s="1180"/>
      <c r="CQ26" s="1180"/>
      <c r="CR26" s="1180"/>
      <c r="CS26" s="1180"/>
      <c r="CT26" s="1180"/>
      <c r="CU26" s="1180"/>
      <c r="CV26" s="1180"/>
      <c r="CW26" s="1180"/>
      <c r="CX26" s="1180"/>
      <c r="CY26" s="1180"/>
      <c r="CZ26" s="1180"/>
      <c r="DA26" s="1180"/>
      <c r="DB26" s="1180"/>
      <c r="DC26" s="1180"/>
      <c r="DD26" s="1180"/>
      <c r="DE26" s="1180"/>
      <c r="DF26" s="1180"/>
      <c r="DG26" s="1180"/>
      <c r="DH26" s="1180"/>
      <c r="DI26" s="1180"/>
      <c r="DJ26" s="1180"/>
      <c r="DK26" s="1180"/>
      <c r="DL26" s="1180"/>
      <c r="DM26" s="1180"/>
      <c r="DN26" s="1180"/>
      <c r="DO26" s="1180"/>
      <c r="DP26" s="1180"/>
      <c r="DQ26" s="1180"/>
      <c r="DR26" s="1180"/>
      <c r="DS26" s="1180"/>
      <c r="DT26" s="1180"/>
      <c r="DU26" s="1180"/>
      <c r="DV26" s="1180"/>
      <c r="DW26" s="1180"/>
      <c r="DX26" s="1180"/>
      <c r="DY26" s="1180"/>
      <c r="DZ26" s="1180"/>
      <c r="EA26" s="1180"/>
      <c r="EB26" s="1180"/>
      <c r="EC26" s="1180"/>
      <c r="ED26" s="1180"/>
      <c r="EE26" s="1180"/>
      <c r="EF26" s="1180"/>
      <c r="EG26" s="1180"/>
      <c r="EH26" s="1180"/>
      <c r="EI26" s="1180"/>
      <c r="EJ26" s="1180"/>
      <c r="EK26" s="1180"/>
      <c r="EL26" s="1180"/>
      <c r="EM26" s="1180"/>
      <c r="EN26" s="1180"/>
      <c r="EO26" s="1180"/>
      <c r="EP26" s="1180"/>
      <c r="EQ26" s="1180"/>
      <c r="ER26" s="1180"/>
      <c r="ES26" s="1180"/>
      <c r="ET26" s="1180"/>
      <c r="EU26" s="1180"/>
      <c r="EV26" s="1180"/>
      <c r="EW26" s="1180"/>
      <c r="EX26" s="1180"/>
      <c r="EY26" s="1180"/>
      <c r="EZ26" s="1180"/>
      <c r="FA26" s="1180"/>
      <c r="FB26" s="1180"/>
      <c r="FC26" s="1180"/>
      <c r="FD26" s="1180"/>
      <c r="FE26" s="1180"/>
      <c r="FF26" s="1180"/>
      <c r="FG26" s="1180"/>
      <c r="FH26" s="1180"/>
      <c r="FI26" s="1180"/>
      <c r="FJ26" s="1180"/>
      <c r="FK26" s="1180"/>
      <c r="FL26" s="1180"/>
      <c r="FM26" s="1180"/>
      <c r="FN26" s="1180"/>
      <c r="FO26" s="1180"/>
      <c r="FP26" s="1180"/>
      <c r="FQ26" s="1180"/>
      <c r="FR26" s="1180"/>
      <c r="FS26" s="1180"/>
      <c r="FT26" s="1180"/>
      <c r="FU26" s="1180"/>
      <c r="FV26" s="1180"/>
      <c r="FW26" s="1180"/>
      <c r="FX26" s="1180"/>
      <c r="FY26" s="1180"/>
      <c r="FZ26" s="1180"/>
      <c r="GA26" s="1180"/>
    </row>
    <row r="27" spans="1:183" s="1182" customFormat="1" ht="18.75" customHeight="1">
      <c r="A27" s="1118"/>
      <c r="B27" s="1125">
        <v>1</v>
      </c>
      <c r="C27" s="1119" t="s">
        <v>1160</v>
      </c>
      <c r="D27" s="1120">
        <v>1600000</v>
      </c>
      <c r="E27" s="1121"/>
      <c r="F27" s="1122">
        <v>1</v>
      </c>
      <c r="G27" s="1123">
        <v>8</v>
      </c>
      <c r="H27" s="1167">
        <f t="shared" ref="H27" si="1">IF(B27="","",ROUND(B27*(D27+E27)*F27*G27,0))</f>
        <v>12800000</v>
      </c>
      <c r="I27"/>
      <c r="J27" s="1180"/>
      <c r="K27" s="1180"/>
      <c r="L27" s="1180"/>
      <c r="M27" s="1180"/>
      <c r="N27" s="1180"/>
      <c r="O27" s="1180"/>
      <c r="P27" s="1180"/>
      <c r="Q27" s="1180"/>
      <c r="R27" s="1180"/>
      <c r="S27" s="1180"/>
      <c r="T27" s="1180"/>
      <c r="U27" s="1180"/>
      <c r="V27" s="1180"/>
      <c r="W27" s="1180"/>
      <c r="X27" s="1180"/>
      <c r="Y27" s="1180"/>
      <c r="Z27" s="1180"/>
      <c r="AA27" s="1180"/>
      <c r="AB27" s="1180"/>
      <c r="AC27" s="1180"/>
      <c r="AD27" s="1180"/>
      <c r="AE27" s="1180"/>
      <c r="AF27" s="1180"/>
      <c r="AG27" s="1180"/>
      <c r="AH27" s="1180"/>
      <c r="AI27" s="1180"/>
      <c r="AJ27" s="1180"/>
      <c r="AK27" s="1180"/>
      <c r="AL27" s="1180"/>
      <c r="AM27" s="1180"/>
      <c r="AN27" s="1180"/>
      <c r="AO27" s="1180"/>
      <c r="AP27" s="1180"/>
      <c r="AQ27" s="1180"/>
      <c r="AR27" s="1180"/>
      <c r="AS27" s="1180"/>
      <c r="AT27" s="1180"/>
      <c r="AU27" s="1180"/>
      <c r="AV27" s="1180"/>
      <c r="AW27" s="1180"/>
      <c r="AX27" s="1180"/>
      <c r="AY27" s="1180"/>
      <c r="AZ27" s="1180"/>
      <c r="BA27" s="1180"/>
      <c r="BB27" s="1180"/>
      <c r="BC27" s="1180"/>
      <c r="BD27" s="1180"/>
      <c r="BE27" s="1180"/>
      <c r="BF27" s="1180"/>
      <c r="BG27" s="1180"/>
      <c r="BH27" s="1180"/>
      <c r="BI27" s="1180"/>
      <c r="BJ27" s="1180"/>
      <c r="BK27" s="1180"/>
      <c r="BL27" s="1180"/>
      <c r="BM27" s="1180"/>
      <c r="BN27" s="1180"/>
      <c r="BO27" s="1180"/>
      <c r="BP27" s="1180"/>
      <c r="BQ27" s="1180"/>
      <c r="BR27" s="1180"/>
      <c r="BS27" s="1180"/>
      <c r="BT27" s="1180"/>
      <c r="BU27" s="1180"/>
      <c r="BV27" s="1180"/>
      <c r="BW27" s="1180"/>
      <c r="BX27" s="1180"/>
      <c r="BY27" s="1180"/>
      <c r="BZ27" s="1180"/>
      <c r="CA27" s="1180"/>
      <c r="CB27" s="1180"/>
      <c r="CC27" s="1180"/>
      <c r="CD27" s="1180"/>
      <c r="CE27" s="1180"/>
      <c r="CF27" s="1180"/>
      <c r="CG27" s="1180"/>
      <c r="CH27" s="1180"/>
      <c r="CI27" s="1180"/>
      <c r="CJ27" s="1180"/>
      <c r="CK27" s="1180"/>
      <c r="CL27" s="1180"/>
      <c r="CM27" s="1180"/>
      <c r="CN27" s="1180"/>
      <c r="CO27" s="1180"/>
      <c r="CP27" s="1180"/>
      <c r="CQ27" s="1180"/>
      <c r="CR27" s="1180"/>
      <c r="CS27" s="1180"/>
      <c r="CT27" s="1180"/>
      <c r="CU27" s="1180"/>
      <c r="CV27" s="1180"/>
      <c r="CW27" s="1180"/>
      <c r="CX27" s="1180"/>
      <c r="CY27" s="1180"/>
      <c r="CZ27" s="1180"/>
      <c r="DA27" s="1180"/>
      <c r="DB27" s="1180"/>
      <c r="DC27" s="1180"/>
      <c r="DD27" s="1180"/>
      <c r="DE27" s="1180"/>
      <c r="DF27" s="1180"/>
      <c r="DG27" s="1180"/>
      <c r="DH27" s="1180"/>
      <c r="DI27" s="1180"/>
      <c r="DJ27" s="1180"/>
      <c r="DK27" s="1180"/>
      <c r="DL27" s="1180"/>
      <c r="DM27" s="1180"/>
      <c r="DN27" s="1180"/>
      <c r="DO27" s="1180"/>
      <c r="DP27" s="1180"/>
      <c r="DQ27" s="1180"/>
      <c r="DR27" s="1180"/>
      <c r="DS27" s="1180"/>
      <c r="DT27" s="1180"/>
      <c r="DU27" s="1180"/>
      <c r="DV27" s="1180"/>
      <c r="DW27" s="1180"/>
      <c r="DX27" s="1180"/>
      <c r="DY27" s="1180"/>
      <c r="DZ27" s="1180"/>
      <c r="EA27" s="1180"/>
      <c r="EB27" s="1180"/>
      <c r="EC27" s="1180"/>
      <c r="ED27" s="1180"/>
      <c r="EE27" s="1180"/>
      <c r="EF27" s="1180"/>
      <c r="EG27" s="1180"/>
      <c r="EH27" s="1180"/>
      <c r="EI27" s="1180"/>
      <c r="EJ27" s="1180"/>
      <c r="EK27" s="1180"/>
      <c r="EL27" s="1180"/>
      <c r="EM27" s="1180"/>
      <c r="EN27" s="1180"/>
      <c r="EO27" s="1180"/>
      <c r="EP27" s="1180"/>
      <c r="EQ27" s="1180"/>
      <c r="ER27" s="1180"/>
      <c r="ES27" s="1180"/>
      <c r="ET27" s="1180"/>
      <c r="EU27" s="1180"/>
      <c r="EV27" s="1180"/>
      <c r="EW27" s="1180"/>
      <c r="EX27" s="1180"/>
      <c r="EY27" s="1180"/>
      <c r="EZ27" s="1180"/>
      <c r="FA27" s="1180"/>
      <c r="FB27" s="1180"/>
      <c r="FC27" s="1180"/>
      <c r="FD27" s="1180"/>
      <c r="FE27" s="1180"/>
      <c r="FF27" s="1180"/>
      <c r="FG27" s="1180"/>
      <c r="FH27" s="1180"/>
      <c r="FI27" s="1180"/>
      <c r="FJ27" s="1180"/>
      <c r="FK27" s="1180"/>
      <c r="FL27" s="1180"/>
      <c r="FM27" s="1180"/>
      <c r="FN27" s="1180"/>
      <c r="FO27" s="1180"/>
      <c r="FP27" s="1180"/>
      <c r="FQ27" s="1180"/>
      <c r="FR27" s="1180"/>
      <c r="FS27" s="1180"/>
      <c r="FT27" s="1180"/>
      <c r="FU27" s="1180"/>
      <c r="FV27" s="1180"/>
      <c r="FW27" s="1180"/>
      <c r="FX27" s="1180"/>
      <c r="FY27" s="1180"/>
      <c r="FZ27" s="1180"/>
      <c r="GA27" s="1180"/>
    </row>
    <row r="28" spans="1:183" s="1182" customFormat="1">
      <c r="A28" s="1118"/>
      <c r="B28" s="1825" t="s">
        <v>1161</v>
      </c>
      <c r="C28" s="1825"/>
      <c r="D28" s="1825"/>
      <c r="E28" s="1825"/>
      <c r="F28" s="1825"/>
      <c r="G28" s="1825"/>
      <c r="H28" s="1168">
        <f>+SUM(H17:H22)+SUM(H24:H25)+SUM(H27:H27)</f>
        <v>204800000.19999999</v>
      </c>
      <c r="I28"/>
      <c r="J28" s="1180"/>
      <c r="K28" s="1180"/>
      <c r="L28" s="1180"/>
      <c r="M28" s="1180"/>
      <c r="N28" s="1180"/>
      <c r="O28" s="1180"/>
      <c r="P28" s="1180"/>
      <c r="Q28" s="1180"/>
      <c r="R28" s="1180"/>
      <c r="S28" s="1180"/>
      <c r="T28" s="1180"/>
      <c r="U28" s="1180"/>
      <c r="V28" s="1180"/>
      <c r="W28" s="1180"/>
      <c r="X28" s="1180"/>
      <c r="Y28" s="1180"/>
      <c r="Z28" s="1180"/>
      <c r="AA28" s="1180"/>
      <c r="AB28" s="1180"/>
      <c r="AC28" s="1180"/>
      <c r="AD28" s="1180"/>
      <c r="AE28" s="1180"/>
      <c r="AF28" s="1180"/>
      <c r="AG28" s="1180"/>
      <c r="AH28" s="1180"/>
      <c r="AI28" s="1180"/>
      <c r="AJ28" s="1180"/>
      <c r="AK28" s="1180"/>
      <c r="AL28" s="1180"/>
      <c r="AM28" s="1180"/>
      <c r="AN28" s="1180"/>
      <c r="AO28" s="1180"/>
      <c r="AP28" s="1180"/>
      <c r="AQ28" s="1180"/>
      <c r="AR28" s="1180"/>
      <c r="AS28" s="1180"/>
      <c r="AT28" s="1180"/>
      <c r="AU28" s="1180"/>
      <c r="AV28" s="1180"/>
      <c r="AW28" s="1180"/>
      <c r="AX28" s="1180"/>
      <c r="AY28" s="1180"/>
      <c r="AZ28" s="1180"/>
      <c r="BA28" s="1180"/>
      <c r="BB28" s="1180"/>
      <c r="BC28" s="1180"/>
      <c r="BD28" s="1180"/>
      <c r="BE28" s="1180"/>
      <c r="BF28" s="1180"/>
      <c r="BG28" s="1180"/>
      <c r="BH28" s="1180"/>
      <c r="BI28" s="1180"/>
      <c r="BJ28" s="1180"/>
      <c r="BK28" s="1180"/>
      <c r="BL28" s="1180"/>
      <c r="BM28" s="1180"/>
      <c r="BN28" s="1180"/>
      <c r="BO28" s="1180"/>
      <c r="BP28" s="1180"/>
      <c r="BQ28" s="1180"/>
      <c r="BR28" s="1180"/>
      <c r="BS28" s="1180"/>
      <c r="BT28" s="1180"/>
      <c r="BU28" s="1180"/>
      <c r="BV28" s="1180"/>
      <c r="BW28" s="1180"/>
      <c r="BX28" s="1180"/>
      <c r="BY28" s="1180"/>
      <c r="BZ28" s="1180"/>
      <c r="CA28" s="1180"/>
      <c r="CB28" s="1180"/>
      <c r="CC28" s="1180"/>
      <c r="CD28" s="1180"/>
      <c r="CE28" s="1180"/>
      <c r="CF28" s="1180"/>
      <c r="CG28" s="1180"/>
      <c r="CH28" s="1180"/>
      <c r="CI28" s="1180"/>
      <c r="CJ28" s="1180"/>
      <c r="CK28" s="1180"/>
      <c r="CL28" s="1180"/>
      <c r="CM28" s="1180"/>
      <c r="CN28" s="1180"/>
      <c r="CO28" s="1180"/>
      <c r="CP28" s="1180"/>
      <c r="CQ28" s="1180"/>
      <c r="CR28" s="1180"/>
      <c r="CS28" s="1180"/>
      <c r="CT28" s="1180"/>
      <c r="CU28" s="1180"/>
      <c r="CV28" s="1180"/>
      <c r="CW28" s="1180"/>
      <c r="CX28" s="1180"/>
      <c r="CY28" s="1180"/>
      <c r="CZ28" s="1180"/>
      <c r="DA28" s="1180"/>
      <c r="DB28" s="1180"/>
      <c r="DC28" s="1180"/>
      <c r="DD28" s="1180"/>
      <c r="DE28" s="1180"/>
      <c r="DF28" s="1180"/>
      <c r="DG28" s="1180"/>
      <c r="DH28" s="1180"/>
      <c r="DI28" s="1180"/>
      <c r="DJ28" s="1180"/>
      <c r="DK28" s="1180"/>
      <c r="DL28" s="1180"/>
      <c r="DM28" s="1180"/>
      <c r="DN28" s="1180"/>
      <c r="DO28" s="1180"/>
      <c r="DP28" s="1180"/>
      <c r="DQ28" s="1180"/>
      <c r="DR28" s="1180"/>
      <c r="DS28" s="1180"/>
      <c r="DT28" s="1180"/>
      <c r="DU28" s="1180"/>
      <c r="DV28" s="1180"/>
      <c r="DW28" s="1180"/>
      <c r="DX28" s="1180"/>
      <c r="DY28" s="1180"/>
      <c r="DZ28" s="1180"/>
      <c r="EA28" s="1180"/>
      <c r="EB28" s="1180"/>
      <c r="EC28" s="1180"/>
      <c r="ED28" s="1180"/>
      <c r="EE28" s="1180"/>
      <c r="EF28" s="1180"/>
      <c r="EG28" s="1180"/>
      <c r="EH28" s="1180"/>
      <c r="EI28" s="1180"/>
      <c r="EJ28" s="1180"/>
      <c r="EK28" s="1180"/>
      <c r="EL28" s="1180"/>
      <c r="EM28" s="1180"/>
      <c r="EN28" s="1180"/>
      <c r="EO28" s="1180"/>
      <c r="EP28" s="1180"/>
      <c r="EQ28" s="1180"/>
      <c r="ER28" s="1180"/>
      <c r="ES28" s="1180"/>
      <c r="ET28" s="1180"/>
      <c r="EU28" s="1180"/>
      <c r="EV28" s="1180"/>
      <c r="EW28" s="1180"/>
      <c r="EX28" s="1180"/>
      <c r="EY28" s="1180"/>
      <c r="EZ28" s="1180"/>
      <c r="FA28" s="1180"/>
      <c r="FB28" s="1180"/>
      <c r="FC28" s="1180"/>
      <c r="FD28" s="1180"/>
      <c r="FE28" s="1180"/>
      <c r="FF28" s="1180"/>
      <c r="FG28" s="1180"/>
      <c r="FH28" s="1180"/>
      <c r="FI28" s="1180"/>
      <c r="FJ28" s="1180"/>
      <c r="FK28" s="1180"/>
      <c r="FL28" s="1180"/>
      <c r="FM28" s="1180"/>
      <c r="FN28" s="1180"/>
      <c r="FO28" s="1180"/>
      <c r="FP28" s="1180"/>
      <c r="FQ28" s="1180"/>
      <c r="FR28" s="1180"/>
      <c r="FS28" s="1180"/>
      <c r="FT28" s="1180"/>
      <c r="FU28" s="1180"/>
      <c r="FV28" s="1180"/>
      <c r="FW28" s="1180"/>
      <c r="FX28" s="1180"/>
      <c r="FY28" s="1180"/>
      <c r="FZ28" s="1180"/>
      <c r="GA28" s="1180"/>
    </row>
    <row r="29" spans="1:183" s="1182" customFormat="1">
      <c r="A29" s="1118"/>
      <c r="B29" s="1825" t="s">
        <v>1162</v>
      </c>
      <c r="C29" s="1825"/>
      <c r="D29" s="1825"/>
      <c r="E29" s="1825"/>
      <c r="F29" s="1825"/>
      <c r="G29" s="1825"/>
      <c r="H29" s="1511">
        <v>2.0099999999999998</v>
      </c>
      <c r="I29"/>
      <c r="J29" s="1180"/>
      <c r="K29" s="1180"/>
      <c r="L29" s="1180"/>
      <c r="M29" s="1180"/>
      <c r="N29" s="1180"/>
      <c r="O29" s="1180"/>
      <c r="P29" s="1180"/>
      <c r="Q29" s="1180"/>
      <c r="R29" s="1180"/>
      <c r="S29" s="1180"/>
      <c r="T29" s="1180"/>
      <c r="U29" s="1180"/>
      <c r="V29" s="1180"/>
      <c r="W29" s="1180"/>
      <c r="X29" s="1180"/>
      <c r="Y29" s="1180"/>
      <c r="Z29" s="1180"/>
      <c r="AA29" s="1180"/>
      <c r="AB29" s="1180"/>
      <c r="AC29" s="1180"/>
      <c r="AD29" s="1180"/>
      <c r="AE29" s="1180"/>
      <c r="AF29" s="1180"/>
      <c r="AG29" s="1180"/>
      <c r="AH29" s="1180"/>
      <c r="AI29" s="1180"/>
      <c r="AJ29" s="1180"/>
      <c r="AK29" s="1180"/>
      <c r="AL29" s="1180"/>
      <c r="AM29" s="1180"/>
      <c r="AN29" s="1180"/>
      <c r="AO29" s="1180"/>
      <c r="AP29" s="1180"/>
      <c r="AQ29" s="1180"/>
      <c r="AR29" s="1180"/>
      <c r="AS29" s="1180"/>
      <c r="AT29" s="1180"/>
      <c r="AU29" s="1180"/>
      <c r="AV29" s="1180"/>
      <c r="AW29" s="1180"/>
      <c r="AX29" s="1180"/>
      <c r="AY29" s="1180"/>
      <c r="AZ29" s="1180"/>
      <c r="BA29" s="1180"/>
      <c r="BB29" s="1180"/>
      <c r="BC29" s="1180"/>
      <c r="BD29" s="1180"/>
      <c r="BE29" s="1180"/>
      <c r="BF29" s="1180"/>
      <c r="BG29" s="1180"/>
      <c r="BH29" s="1180"/>
      <c r="BI29" s="1180"/>
      <c r="BJ29" s="1180"/>
      <c r="BK29" s="1180"/>
      <c r="BL29" s="1180"/>
      <c r="BM29" s="1180"/>
      <c r="BN29" s="1180"/>
      <c r="BO29" s="1180"/>
      <c r="BP29" s="1180"/>
      <c r="BQ29" s="1180"/>
      <c r="BR29" s="1180"/>
      <c r="BS29" s="1180"/>
      <c r="BT29" s="1180"/>
      <c r="BU29" s="1180"/>
      <c r="BV29" s="1180"/>
      <c r="BW29" s="1180"/>
      <c r="BX29" s="1180"/>
      <c r="BY29" s="1180"/>
      <c r="BZ29" s="1180"/>
      <c r="CA29" s="1180"/>
      <c r="CB29" s="1180"/>
      <c r="CC29" s="1180"/>
      <c r="CD29" s="1180"/>
      <c r="CE29" s="1180"/>
      <c r="CF29" s="1180"/>
      <c r="CG29" s="1180"/>
      <c r="CH29" s="1180"/>
      <c r="CI29" s="1180"/>
      <c r="CJ29" s="1180"/>
      <c r="CK29" s="1180"/>
      <c r="CL29" s="1180"/>
      <c r="CM29" s="1180"/>
      <c r="CN29" s="1180"/>
      <c r="CO29" s="1180"/>
      <c r="CP29" s="1180"/>
      <c r="CQ29" s="1180"/>
      <c r="CR29" s="1180"/>
      <c r="CS29" s="1180"/>
      <c r="CT29" s="1180"/>
      <c r="CU29" s="1180"/>
      <c r="CV29" s="1180"/>
      <c r="CW29" s="1180"/>
      <c r="CX29" s="1180"/>
      <c r="CY29" s="1180"/>
      <c r="CZ29" s="1180"/>
      <c r="DA29" s="1180"/>
      <c r="DB29" s="1180"/>
      <c r="DC29" s="1180"/>
      <c r="DD29" s="1180"/>
      <c r="DE29" s="1180"/>
      <c r="DF29" s="1180"/>
      <c r="DG29" s="1180"/>
      <c r="DH29" s="1180"/>
      <c r="DI29" s="1180"/>
      <c r="DJ29" s="1180"/>
      <c r="DK29" s="1180"/>
      <c r="DL29" s="1180"/>
      <c r="DM29" s="1180"/>
      <c r="DN29" s="1180"/>
      <c r="DO29" s="1180"/>
      <c r="DP29" s="1180"/>
      <c r="DQ29" s="1180"/>
      <c r="DR29" s="1180"/>
      <c r="DS29" s="1180"/>
      <c r="DT29" s="1180"/>
      <c r="DU29" s="1180"/>
      <c r="DV29" s="1180"/>
      <c r="DW29" s="1180"/>
      <c r="DX29" s="1180"/>
      <c r="DY29" s="1180"/>
      <c r="DZ29" s="1180"/>
      <c r="EA29" s="1180"/>
      <c r="EB29" s="1180"/>
      <c r="EC29" s="1180"/>
      <c r="ED29" s="1180"/>
      <c r="EE29" s="1180"/>
      <c r="EF29" s="1180"/>
      <c r="EG29" s="1180"/>
      <c r="EH29" s="1180"/>
      <c r="EI29" s="1180"/>
      <c r="EJ29" s="1180"/>
      <c r="EK29" s="1180"/>
      <c r="EL29" s="1180"/>
      <c r="EM29" s="1180"/>
      <c r="EN29" s="1180"/>
      <c r="EO29" s="1180"/>
      <c r="EP29" s="1180"/>
      <c r="EQ29" s="1180"/>
      <c r="ER29" s="1180"/>
      <c r="ES29" s="1180"/>
      <c r="ET29" s="1180"/>
      <c r="EU29" s="1180"/>
      <c r="EV29" s="1180"/>
      <c r="EW29" s="1180"/>
      <c r="EX29" s="1180"/>
      <c r="EY29" s="1180"/>
      <c r="EZ29" s="1180"/>
      <c r="FA29" s="1180"/>
      <c r="FB29" s="1180"/>
      <c r="FC29" s="1180"/>
      <c r="FD29" s="1180"/>
      <c r="FE29" s="1180"/>
      <c r="FF29" s="1180"/>
      <c r="FG29" s="1180"/>
      <c r="FH29" s="1180"/>
      <c r="FI29" s="1180"/>
      <c r="FJ29" s="1180"/>
      <c r="FK29" s="1180"/>
      <c r="FL29" s="1180"/>
      <c r="FM29" s="1180"/>
      <c r="FN29" s="1180"/>
      <c r="FO29" s="1180"/>
      <c r="FP29" s="1180"/>
      <c r="FQ29" s="1180"/>
      <c r="FR29" s="1180"/>
      <c r="FS29" s="1180"/>
      <c r="FT29" s="1180"/>
      <c r="FU29" s="1180"/>
      <c r="FV29" s="1180"/>
      <c r="FW29" s="1180"/>
      <c r="FX29" s="1180"/>
      <c r="FY29" s="1180"/>
      <c r="FZ29" s="1180"/>
      <c r="GA29" s="1180"/>
    </row>
    <row r="30" spans="1:183" s="1182" customFormat="1">
      <c r="A30" s="1118"/>
      <c r="B30" s="1825" t="s">
        <v>1163</v>
      </c>
      <c r="C30" s="1825"/>
      <c r="D30" s="1825"/>
      <c r="E30" s="1825"/>
      <c r="F30" s="1825"/>
      <c r="G30" s="1825"/>
      <c r="H30" s="1170">
        <f>ROUND(H28*H29,0)</f>
        <v>411648000</v>
      </c>
      <c r="I30"/>
      <c r="J30" s="1180"/>
      <c r="K30" s="1180"/>
      <c r="L30" s="1180"/>
      <c r="M30" s="1180"/>
      <c r="N30" s="1180"/>
      <c r="O30" s="1180"/>
      <c r="P30" s="1180"/>
      <c r="Q30" s="1180"/>
      <c r="R30" s="1180"/>
      <c r="S30" s="1180"/>
      <c r="T30" s="1180"/>
      <c r="U30" s="1180"/>
      <c r="V30" s="1180"/>
      <c r="W30" s="1180"/>
      <c r="X30" s="1180"/>
      <c r="Y30" s="1180"/>
      <c r="Z30" s="1180"/>
      <c r="AA30" s="1180"/>
      <c r="AB30" s="1180"/>
      <c r="AC30" s="1180"/>
      <c r="AD30" s="1180"/>
      <c r="AE30" s="1180"/>
      <c r="AF30" s="1180"/>
      <c r="AG30" s="1180"/>
      <c r="AH30" s="1180"/>
      <c r="AI30" s="1180"/>
      <c r="AJ30" s="1180"/>
      <c r="AK30" s="1180"/>
      <c r="AL30" s="1180"/>
      <c r="AM30" s="1180"/>
      <c r="AN30" s="1180"/>
      <c r="AO30" s="1180"/>
      <c r="AP30" s="1180"/>
      <c r="AQ30" s="1180"/>
      <c r="AR30" s="1180"/>
      <c r="AS30" s="1180"/>
      <c r="AT30" s="1180"/>
      <c r="AU30" s="1180"/>
      <c r="AV30" s="1180"/>
      <c r="AW30" s="1180"/>
      <c r="AX30" s="1180"/>
      <c r="AY30" s="1180"/>
      <c r="AZ30" s="1180"/>
      <c r="BA30" s="1180"/>
      <c r="BB30" s="1180"/>
      <c r="BC30" s="1180"/>
      <c r="BD30" s="1180"/>
      <c r="BE30" s="1180"/>
      <c r="BF30" s="1180"/>
      <c r="BG30" s="1180"/>
      <c r="BH30" s="1180"/>
      <c r="BI30" s="1180"/>
      <c r="BJ30" s="1180"/>
      <c r="BK30" s="1180"/>
      <c r="BL30" s="1180"/>
      <c r="BM30" s="1180"/>
      <c r="BN30" s="1180"/>
      <c r="BO30" s="1180"/>
      <c r="BP30" s="1180"/>
      <c r="BQ30" s="1180"/>
      <c r="BR30" s="1180"/>
      <c r="BS30" s="1180"/>
      <c r="BT30" s="1180"/>
      <c r="BU30" s="1180"/>
      <c r="BV30" s="1180"/>
      <c r="BW30" s="1180"/>
      <c r="BX30" s="1180"/>
      <c r="BY30" s="1180"/>
      <c r="BZ30" s="1180"/>
      <c r="CA30" s="1180"/>
      <c r="CB30" s="1180"/>
      <c r="CC30" s="1180"/>
      <c r="CD30" s="1180"/>
      <c r="CE30" s="1180"/>
      <c r="CF30" s="1180"/>
      <c r="CG30" s="1180"/>
      <c r="CH30" s="1180"/>
      <c r="CI30" s="1180"/>
      <c r="CJ30" s="1180"/>
      <c r="CK30" s="1180"/>
      <c r="CL30" s="1180"/>
      <c r="CM30" s="1180"/>
      <c r="CN30" s="1180"/>
      <c r="CO30" s="1180"/>
      <c r="CP30" s="1180"/>
      <c r="CQ30" s="1180"/>
      <c r="CR30" s="1180"/>
      <c r="CS30" s="1180"/>
      <c r="CT30" s="1180"/>
      <c r="CU30" s="1180"/>
      <c r="CV30" s="1180"/>
      <c r="CW30" s="1180"/>
      <c r="CX30" s="1180"/>
      <c r="CY30" s="1180"/>
      <c r="CZ30" s="1180"/>
      <c r="DA30" s="1180"/>
      <c r="DB30" s="1180"/>
      <c r="DC30" s="1180"/>
      <c r="DD30" s="1180"/>
      <c r="DE30" s="1180"/>
      <c r="DF30" s="1180"/>
      <c r="DG30" s="1180"/>
      <c r="DH30" s="1180"/>
      <c r="DI30" s="1180"/>
      <c r="DJ30" s="1180"/>
      <c r="DK30" s="1180"/>
      <c r="DL30" s="1180"/>
      <c r="DM30" s="1180"/>
      <c r="DN30" s="1180"/>
      <c r="DO30" s="1180"/>
      <c r="DP30" s="1180"/>
      <c r="DQ30" s="1180"/>
      <c r="DR30" s="1180"/>
      <c r="DS30" s="1180"/>
      <c r="DT30" s="1180"/>
      <c r="DU30" s="1180"/>
      <c r="DV30" s="1180"/>
      <c r="DW30" s="1180"/>
      <c r="DX30" s="1180"/>
      <c r="DY30" s="1180"/>
      <c r="DZ30" s="1180"/>
      <c r="EA30" s="1180"/>
      <c r="EB30" s="1180"/>
      <c r="EC30" s="1180"/>
      <c r="ED30" s="1180"/>
      <c r="EE30" s="1180"/>
      <c r="EF30" s="1180"/>
      <c r="EG30" s="1180"/>
      <c r="EH30" s="1180"/>
      <c r="EI30" s="1180"/>
      <c r="EJ30" s="1180"/>
      <c r="EK30" s="1180"/>
      <c r="EL30" s="1180"/>
      <c r="EM30" s="1180"/>
      <c r="EN30" s="1180"/>
      <c r="EO30" s="1180"/>
      <c r="EP30" s="1180"/>
      <c r="EQ30" s="1180"/>
      <c r="ER30" s="1180"/>
      <c r="ES30" s="1180"/>
      <c r="ET30" s="1180"/>
      <c r="EU30" s="1180"/>
      <c r="EV30" s="1180"/>
      <c r="EW30" s="1180"/>
      <c r="EX30" s="1180"/>
      <c r="EY30" s="1180"/>
      <c r="EZ30" s="1180"/>
      <c r="FA30" s="1180"/>
      <c r="FB30" s="1180"/>
      <c r="FC30" s="1180"/>
      <c r="FD30" s="1180"/>
      <c r="FE30" s="1180"/>
      <c r="FF30" s="1180"/>
      <c r="FG30" s="1180"/>
      <c r="FH30" s="1180"/>
      <c r="FI30" s="1180"/>
      <c r="FJ30" s="1180"/>
      <c r="FK30" s="1180"/>
      <c r="FL30" s="1180"/>
      <c r="FM30" s="1180"/>
      <c r="FN30" s="1180"/>
      <c r="FO30" s="1180"/>
      <c r="FP30" s="1180"/>
      <c r="FQ30" s="1180"/>
      <c r="FR30" s="1180"/>
      <c r="FS30" s="1180"/>
      <c r="FT30" s="1180"/>
      <c r="FU30" s="1180"/>
      <c r="FV30" s="1180"/>
      <c r="FW30" s="1180"/>
      <c r="FX30" s="1180"/>
      <c r="FY30" s="1180"/>
      <c r="FZ30" s="1180"/>
      <c r="GA30" s="1180"/>
    </row>
    <row r="31" spans="1:183" s="1182" customFormat="1" ht="26.1" customHeight="1">
      <c r="A31" s="1118"/>
      <c r="B31" s="1816" t="s">
        <v>1137</v>
      </c>
      <c r="C31" s="1816" t="s">
        <v>1164</v>
      </c>
      <c r="D31" s="1816" t="s">
        <v>1024</v>
      </c>
      <c r="E31" s="1817" t="s">
        <v>1165</v>
      </c>
      <c r="F31" s="1817" t="s">
        <v>1140</v>
      </c>
      <c r="G31" s="1817" t="s">
        <v>1166</v>
      </c>
      <c r="H31" s="1817" t="s">
        <v>1167</v>
      </c>
      <c r="I31"/>
      <c r="J31" s="1180"/>
      <c r="K31" s="1180"/>
      <c r="L31" s="1180"/>
      <c r="M31" s="1180"/>
      <c r="N31" s="1180"/>
      <c r="O31" s="1180"/>
      <c r="P31" s="1180"/>
      <c r="Q31" s="1180"/>
      <c r="R31" s="1180"/>
      <c r="S31" s="1180"/>
      <c r="T31" s="1180"/>
      <c r="U31" s="1180"/>
      <c r="V31" s="1180"/>
      <c r="W31" s="1180"/>
      <c r="X31" s="1180"/>
      <c r="Y31" s="1180"/>
      <c r="Z31" s="1180"/>
      <c r="AA31" s="1180"/>
      <c r="AB31" s="1180"/>
      <c r="AC31" s="1180"/>
      <c r="AD31" s="1180"/>
      <c r="AE31" s="1180"/>
      <c r="AF31" s="1180"/>
      <c r="AG31" s="1180"/>
      <c r="AH31" s="1180"/>
      <c r="AI31" s="1180"/>
      <c r="AJ31" s="1180"/>
      <c r="AK31" s="1180"/>
      <c r="AL31" s="1180"/>
      <c r="AM31" s="1180"/>
      <c r="AN31" s="1180"/>
      <c r="AO31" s="1180"/>
      <c r="AP31" s="1180"/>
      <c r="AQ31" s="1180"/>
      <c r="AR31" s="1180"/>
      <c r="AS31" s="1180"/>
      <c r="AT31" s="1180"/>
      <c r="AU31" s="1180"/>
      <c r="AV31" s="1180"/>
      <c r="AW31" s="1180"/>
      <c r="AX31" s="1180"/>
      <c r="AY31" s="1180"/>
      <c r="AZ31" s="1180"/>
      <c r="BA31" s="1180"/>
      <c r="BB31" s="1180"/>
      <c r="BC31" s="1180"/>
      <c r="BD31" s="1180"/>
      <c r="BE31" s="1180"/>
      <c r="BF31" s="1180"/>
      <c r="BG31" s="1180"/>
      <c r="BH31" s="1180"/>
      <c r="BI31" s="1180"/>
      <c r="BJ31" s="1180"/>
      <c r="BK31" s="1180"/>
      <c r="BL31" s="1180"/>
      <c r="BM31" s="1180"/>
      <c r="BN31" s="1180"/>
      <c r="BO31" s="1180"/>
      <c r="BP31" s="1180"/>
      <c r="BQ31" s="1180"/>
      <c r="BR31" s="1180"/>
      <c r="BS31" s="1180"/>
      <c r="BT31" s="1180"/>
      <c r="BU31" s="1180"/>
      <c r="BV31" s="1180"/>
      <c r="BW31" s="1180"/>
      <c r="BX31" s="1180"/>
      <c r="BY31" s="1180"/>
      <c r="BZ31" s="1180"/>
      <c r="CA31" s="1180"/>
      <c r="CB31" s="1180"/>
      <c r="CC31" s="1180"/>
      <c r="CD31" s="1180"/>
      <c r="CE31" s="1180"/>
      <c r="CF31" s="1180"/>
      <c r="CG31" s="1180"/>
      <c r="CH31" s="1180"/>
      <c r="CI31" s="1180"/>
      <c r="CJ31" s="1180"/>
      <c r="CK31" s="1180"/>
      <c r="CL31" s="1180"/>
      <c r="CM31" s="1180"/>
      <c r="CN31" s="1180"/>
      <c r="CO31" s="1180"/>
      <c r="CP31" s="1180"/>
      <c r="CQ31" s="1180"/>
      <c r="CR31" s="1180"/>
      <c r="CS31" s="1180"/>
      <c r="CT31" s="1180"/>
      <c r="CU31" s="1180"/>
      <c r="CV31" s="1180"/>
      <c r="CW31" s="1180"/>
      <c r="CX31" s="1180"/>
      <c r="CY31" s="1180"/>
      <c r="CZ31" s="1180"/>
      <c r="DA31" s="1180"/>
      <c r="DB31" s="1180"/>
      <c r="DC31" s="1180"/>
      <c r="DD31" s="1180"/>
      <c r="DE31" s="1180"/>
      <c r="DF31" s="1180"/>
      <c r="DG31" s="1180"/>
      <c r="DH31" s="1180"/>
      <c r="DI31" s="1180"/>
      <c r="DJ31" s="1180"/>
      <c r="DK31" s="1180"/>
      <c r="DL31" s="1180"/>
      <c r="DM31" s="1180"/>
      <c r="DN31" s="1180"/>
      <c r="DO31" s="1180"/>
      <c r="DP31" s="1180"/>
      <c r="DQ31" s="1180"/>
      <c r="DR31" s="1180"/>
      <c r="DS31" s="1180"/>
      <c r="DT31" s="1180"/>
      <c r="DU31" s="1180"/>
      <c r="DV31" s="1180"/>
      <c r="DW31" s="1180"/>
      <c r="DX31" s="1180"/>
      <c r="DY31" s="1180"/>
      <c r="DZ31" s="1180"/>
      <c r="EA31" s="1180"/>
      <c r="EB31" s="1180"/>
      <c r="EC31" s="1180"/>
      <c r="ED31" s="1180"/>
      <c r="EE31" s="1180"/>
      <c r="EF31" s="1180"/>
      <c r="EG31" s="1180"/>
      <c r="EH31" s="1180"/>
      <c r="EI31" s="1180"/>
      <c r="EJ31" s="1180"/>
      <c r="EK31" s="1180"/>
      <c r="EL31" s="1180"/>
      <c r="EM31" s="1180"/>
      <c r="EN31" s="1180"/>
      <c r="EO31" s="1180"/>
      <c r="EP31" s="1180"/>
      <c r="EQ31" s="1180"/>
      <c r="ER31" s="1180"/>
      <c r="ES31" s="1180"/>
      <c r="ET31" s="1180"/>
      <c r="EU31" s="1180"/>
      <c r="EV31" s="1180"/>
      <c r="EW31" s="1180"/>
      <c r="EX31" s="1180"/>
      <c r="EY31" s="1180"/>
      <c r="EZ31" s="1180"/>
      <c r="FA31" s="1180"/>
      <c r="FB31" s="1180"/>
      <c r="FC31" s="1180"/>
      <c r="FD31" s="1180"/>
      <c r="FE31" s="1180"/>
      <c r="FF31" s="1180"/>
      <c r="FG31" s="1180"/>
      <c r="FH31" s="1180"/>
      <c r="FI31" s="1180"/>
      <c r="FJ31" s="1180"/>
      <c r="FK31" s="1180"/>
      <c r="FL31" s="1180"/>
      <c r="FM31" s="1180"/>
      <c r="FN31" s="1180"/>
      <c r="FO31" s="1180"/>
      <c r="FP31" s="1180"/>
      <c r="FQ31" s="1180"/>
      <c r="FR31" s="1180"/>
      <c r="FS31" s="1180"/>
      <c r="FT31" s="1180"/>
      <c r="FU31" s="1180"/>
      <c r="FV31" s="1180"/>
      <c r="FW31" s="1180"/>
      <c r="FX31" s="1180"/>
      <c r="FY31" s="1180"/>
      <c r="FZ31" s="1180"/>
      <c r="GA31" s="1180"/>
    </row>
    <row r="32" spans="1:183" s="1182" customFormat="1" ht="12.2" customHeight="1">
      <c r="A32" s="1118"/>
      <c r="B32" s="1816"/>
      <c r="C32" s="1816"/>
      <c r="D32" s="1816"/>
      <c r="E32" s="1817" t="s">
        <v>1168</v>
      </c>
      <c r="F32" s="1817" t="s">
        <v>295</v>
      </c>
      <c r="G32" s="1817" t="s">
        <v>1144</v>
      </c>
      <c r="H32" s="1817" t="s">
        <v>1145</v>
      </c>
      <c r="I32"/>
      <c r="J32" s="1180"/>
      <c r="K32" s="1180"/>
      <c r="L32" s="1180"/>
      <c r="M32" s="1180"/>
      <c r="N32" s="1180"/>
      <c r="O32" s="1180"/>
      <c r="P32" s="1180"/>
      <c r="Q32" s="1180"/>
      <c r="R32" s="1180"/>
      <c r="S32" s="1180"/>
      <c r="T32" s="1180"/>
      <c r="U32" s="1180"/>
      <c r="V32" s="1180"/>
      <c r="W32" s="1180"/>
      <c r="X32" s="1180"/>
      <c r="Y32" s="1180"/>
      <c r="Z32" s="1180"/>
      <c r="AA32" s="1180"/>
      <c r="AB32" s="1180"/>
      <c r="AC32" s="1180"/>
      <c r="AD32" s="1180"/>
      <c r="AE32" s="1180"/>
      <c r="AF32" s="1180"/>
      <c r="AG32" s="1180"/>
      <c r="AH32" s="1180"/>
      <c r="AI32" s="1180"/>
      <c r="AJ32" s="1180"/>
      <c r="AK32" s="1180"/>
      <c r="AL32" s="1180"/>
      <c r="AM32" s="1180"/>
      <c r="AN32" s="1180"/>
      <c r="AO32" s="1180"/>
      <c r="AP32" s="1180"/>
      <c r="AQ32" s="1180"/>
      <c r="AR32" s="1180"/>
      <c r="AS32" s="1180"/>
      <c r="AT32" s="1180"/>
      <c r="AU32" s="1180"/>
      <c r="AV32" s="1180"/>
      <c r="AW32" s="1180"/>
      <c r="AX32" s="1180"/>
      <c r="AY32" s="1180"/>
      <c r="AZ32" s="1180"/>
      <c r="BA32" s="1180"/>
      <c r="BB32" s="1180"/>
      <c r="BC32" s="1180"/>
      <c r="BD32" s="1180"/>
      <c r="BE32" s="1180"/>
      <c r="BF32" s="1180"/>
      <c r="BG32" s="1180"/>
      <c r="BH32" s="1180"/>
      <c r="BI32" s="1180"/>
      <c r="BJ32" s="1180"/>
      <c r="BK32" s="1180"/>
      <c r="BL32" s="1180"/>
      <c r="BM32" s="1180"/>
      <c r="BN32" s="1180"/>
      <c r="BO32" s="1180"/>
      <c r="BP32" s="1180"/>
      <c r="BQ32" s="1180"/>
      <c r="BR32" s="1180"/>
      <c r="BS32" s="1180"/>
      <c r="BT32" s="1180"/>
      <c r="BU32" s="1180"/>
      <c r="BV32" s="1180"/>
      <c r="BW32" s="1180"/>
      <c r="BX32" s="1180"/>
      <c r="BY32" s="1180"/>
      <c r="BZ32" s="1180"/>
      <c r="CA32" s="1180"/>
      <c r="CB32" s="1180"/>
      <c r="CC32" s="1180"/>
      <c r="CD32" s="1180"/>
      <c r="CE32" s="1180"/>
      <c r="CF32" s="1180"/>
      <c r="CG32" s="1180"/>
      <c r="CH32" s="1180"/>
      <c r="CI32" s="1180"/>
      <c r="CJ32" s="1180"/>
      <c r="CK32" s="1180"/>
      <c r="CL32" s="1180"/>
      <c r="CM32" s="1180"/>
      <c r="CN32" s="1180"/>
      <c r="CO32" s="1180"/>
      <c r="CP32" s="1180"/>
      <c r="CQ32" s="1180"/>
      <c r="CR32" s="1180"/>
      <c r="CS32" s="1180"/>
      <c r="CT32" s="1180"/>
      <c r="CU32" s="1180"/>
      <c r="CV32" s="1180"/>
      <c r="CW32" s="1180"/>
      <c r="CX32" s="1180"/>
      <c r="CY32" s="1180"/>
      <c r="CZ32" s="1180"/>
      <c r="DA32" s="1180"/>
      <c r="DB32" s="1180"/>
      <c r="DC32" s="1180"/>
      <c r="DD32" s="1180"/>
      <c r="DE32" s="1180"/>
      <c r="DF32" s="1180"/>
      <c r="DG32" s="1180"/>
      <c r="DH32" s="1180"/>
      <c r="DI32" s="1180"/>
      <c r="DJ32" s="1180"/>
      <c r="DK32" s="1180"/>
      <c r="DL32" s="1180"/>
      <c r="DM32" s="1180"/>
      <c r="DN32" s="1180"/>
      <c r="DO32" s="1180"/>
      <c r="DP32" s="1180"/>
      <c r="DQ32" s="1180"/>
      <c r="DR32" s="1180"/>
      <c r="DS32" s="1180"/>
      <c r="DT32" s="1180"/>
      <c r="DU32" s="1180"/>
      <c r="DV32" s="1180"/>
      <c r="DW32" s="1180"/>
      <c r="DX32" s="1180"/>
      <c r="DY32" s="1180"/>
      <c r="DZ32" s="1180"/>
      <c r="EA32" s="1180"/>
      <c r="EB32" s="1180"/>
      <c r="EC32" s="1180"/>
      <c r="ED32" s="1180"/>
      <c r="EE32" s="1180"/>
      <c r="EF32" s="1180"/>
      <c r="EG32" s="1180"/>
      <c r="EH32" s="1180"/>
      <c r="EI32" s="1180"/>
      <c r="EJ32" s="1180"/>
      <c r="EK32" s="1180"/>
      <c r="EL32" s="1180"/>
      <c r="EM32" s="1180"/>
      <c r="EN32" s="1180"/>
      <c r="EO32" s="1180"/>
      <c r="EP32" s="1180"/>
      <c r="EQ32" s="1180"/>
      <c r="ER32" s="1180"/>
      <c r="ES32" s="1180"/>
      <c r="ET32" s="1180"/>
      <c r="EU32" s="1180"/>
      <c r="EV32" s="1180"/>
      <c r="EW32" s="1180"/>
      <c r="EX32" s="1180"/>
      <c r="EY32" s="1180"/>
      <c r="EZ32" s="1180"/>
      <c r="FA32" s="1180"/>
      <c r="FB32" s="1180"/>
      <c r="FC32" s="1180"/>
      <c r="FD32" s="1180"/>
      <c r="FE32" s="1180"/>
      <c r="FF32" s="1180"/>
      <c r="FG32" s="1180"/>
      <c r="FH32" s="1180"/>
      <c r="FI32" s="1180"/>
      <c r="FJ32" s="1180"/>
      <c r="FK32" s="1180"/>
      <c r="FL32" s="1180"/>
      <c r="FM32" s="1180"/>
      <c r="FN32" s="1180"/>
      <c r="FO32" s="1180"/>
      <c r="FP32" s="1180"/>
      <c r="FQ32" s="1180"/>
      <c r="FR32" s="1180"/>
      <c r="FS32" s="1180"/>
      <c r="FT32" s="1180"/>
      <c r="FU32" s="1180"/>
      <c r="FV32" s="1180"/>
      <c r="FW32" s="1180"/>
      <c r="FX32" s="1180"/>
      <c r="FY32" s="1180"/>
      <c r="FZ32" s="1180"/>
      <c r="GA32" s="1180"/>
    </row>
    <row r="33" spans="1:183" s="1182" customFormat="1">
      <c r="A33" s="1118"/>
      <c r="B33" s="1163" t="s">
        <v>1169</v>
      </c>
      <c r="C33" s="1816"/>
      <c r="D33" s="1816"/>
      <c r="E33" s="1132" t="s">
        <v>1170</v>
      </c>
      <c r="F33" s="1132" t="s">
        <v>1171</v>
      </c>
      <c r="G33" s="1132" t="s">
        <v>1172</v>
      </c>
      <c r="H33" s="1164" t="s">
        <v>1173</v>
      </c>
      <c r="I33"/>
      <c r="J33" s="1180"/>
      <c r="K33" s="1180"/>
      <c r="L33" s="1180"/>
      <c r="M33" s="1180"/>
      <c r="N33" s="1180"/>
      <c r="O33" s="1180"/>
      <c r="P33" s="1180"/>
      <c r="Q33" s="1180"/>
      <c r="R33" s="1180"/>
      <c r="S33" s="1180"/>
      <c r="T33" s="1180"/>
      <c r="U33" s="1180"/>
      <c r="V33" s="1180"/>
      <c r="W33" s="1180"/>
      <c r="X33" s="1180"/>
      <c r="Y33" s="1180"/>
      <c r="Z33" s="1180"/>
      <c r="AA33" s="1180"/>
      <c r="AB33" s="1180"/>
      <c r="AC33" s="1180"/>
      <c r="AD33" s="1180"/>
      <c r="AE33" s="1180"/>
      <c r="AF33" s="1180"/>
      <c r="AG33" s="1180"/>
      <c r="AH33" s="1180"/>
      <c r="AI33" s="1180"/>
      <c r="AJ33" s="1180"/>
      <c r="AK33" s="1180"/>
      <c r="AL33" s="1180"/>
      <c r="AM33" s="1180"/>
      <c r="AN33" s="1180"/>
      <c r="AO33" s="1180"/>
      <c r="AP33" s="1180"/>
      <c r="AQ33" s="1180"/>
      <c r="AR33" s="1180"/>
      <c r="AS33" s="1180"/>
      <c r="AT33" s="1180"/>
      <c r="AU33" s="1180"/>
      <c r="AV33" s="1180"/>
      <c r="AW33" s="1180"/>
      <c r="AX33" s="1180"/>
      <c r="AY33" s="1180"/>
      <c r="AZ33" s="1180"/>
      <c r="BA33" s="1180"/>
      <c r="BB33" s="1180"/>
      <c r="BC33" s="1180"/>
      <c r="BD33" s="1180"/>
      <c r="BE33" s="1180"/>
      <c r="BF33" s="1180"/>
      <c r="BG33" s="1180"/>
      <c r="BH33" s="1180"/>
      <c r="BI33" s="1180"/>
      <c r="BJ33" s="1180"/>
      <c r="BK33" s="1180"/>
      <c r="BL33" s="1180"/>
      <c r="BM33" s="1180"/>
      <c r="BN33" s="1180"/>
      <c r="BO33" s="1180"/>
      <c r="BP33" s="1180"/>
      <c r="BQ33" s="1180"/>
      <c r="BR33" s="1180"/>
      <c r="BS33" s="1180"/>
      <c r="BT33" s="1180"/>
      <c r="BU33" s="1180"/>
      <c r="BV33" s="1180"/>
      <c r="BW33" s="1180"/>
      <c r="BX33" s="1180"/>
      <c r="BY33" s="1180"/>
      <c r="BZ33" s="1180"/>
      <c r="CA33" s="1180"/>
      <c r="CB33" s="1180"/>
      <c r="CC33" s="1180"/>
      <c r="CD33" s="1180"/>
      <c r="CE33" s="1180"/>
      <c r="CF33" s="1180"/>
      <c r="CG33" s="1180"/>
      <c r="CH33" s="1180"/>
      <c r="CI33" s="1180"/>
      <c r="CJ33" s="1180"/>
      <c r="CK33" s="1180"/>
      <c r="CL33" s="1180"/>
      <c r="CM33" s="1180"/>
      <c r="CN33" s="1180"/>
      <c r="CO33" s="1180"/>
      <c r="CP33" s="1180"/>
      <c r="CQ33" s="1180"/>
      <c r="CR33" s="1180"/>
      <c r="CS33" s="1180"/>
      <c r="CT33" s="1180"/>
      <c r="CU33" s="1180"/>
      <c r="CV33" s="1180"/>
      <c r="CW33" s="1180"/>
      <c r="CX33" s="1180"/>
      <c r="CY33" s="1180"/>
      <c r="CZ33" s="1180"/>
      <c r="DA33" s="1180"/>
      <c r="DB33" s="1180"/>
      <c r="DC33" s="1180"/>
      <c r="DD33" s="1180"/>
      <c r="DE33" s="1180"/>
      <c r="DF33" s="1180"/>
      <c r="DG33" s="1180"/>
      <c r="DH33" s="1180"/>
      <c r="DI33" s="1180"/>
      <c r="DJ33" s="1180"/>
      <c r="DK33" s="1180"/>
      <c r="DL33" s="1180"/>
      <c r="DM33" s="1180"/>
      <c r="DN33" s="1180"/>
      <c r="DO33" s="1180"/>
      <c r="DP33" s="1180"/>
      <c r="DQ33" s="1180"/>
      <c r="DR33" s="1180"/>
      <c r="DS33" s="1180"/>
      <c r="DT33" s="1180"/>
      <c r="DU33" s="1180"/>
      <c r="DV33" s="1180"/>
      <c r="DW33" s="1180"/>
      <c r="DX33" s="1180"/>
      <c r="DY33" s="1180"/>
      <c r="DZ33" s="1180"/>
      <c r="EA33" s="1180"/>
      <c r="EB33" s="1180"/>
      <c r="EC33" s="1180"/>
      <c r="ED33" s="1180"/>
      <c r="EE33" s="1180"/>
      <c r="EF33" s="1180"/>
      <c r="EG33" s="1180"/>
      <c r="EH33" s="1180"/>
      <c r="EI33" s="1180"/>
      <c r="EJ33" s="1180"/>
      <c r="EK33" s="1180"/>
      <c r="EL33" s="1180"/>
      <c r="EM33" s="1180"/>
      <c r="EN33" s="1180"/>
      <c r="EO33" s="1180"/>
      <c r="EP33" s="1180"/>
      <c r="EQ33" s="1180"/>
      <c r="ER33" s="1180"/>
      <c r="ES33" s="1180"/>
      <c r="ET33" s="1180"/>
      <c r="EU33" s="1180"/>
      <c r="EV33" s="1180"/>
      <c r="EW33" s="1180"/>
      <c r="EX33" s="1180"/>
      <c r="EY33" s="1180"/>
      <c r="EZ33" s="1180"/>
      <c r="FA33" s="1180"/>
      <c r="FB33" s="1180"/>
      <c r="FC33" s="1180"/>
      <c r="FD33" s="1180"/>
      <c r="FE33" s="1180"/>
      <c r="FF33" s="1180"/>
      <c r="FG33" s="1180"/>
      <c r="FH33" s="1180"/>
      <c r="FI33" s="1180"/>
      <c r="FJ33" s="1180"/>
      <c r="FK33" s="1180"/>
      <c r="FL33" s="1180"/>
      <c r="FM33" s="1180"/>
      <c r="FN33" s="1180"/>
      <c r="FO33" s="1180"/>
      <c r="FP33" s="1180"/>
      <c r="FQ33" s="1180"/>
      <c r="FR33" s="1180"/>
      <c r="FS33" s="1180"/>
      <c r="FT33" s="1180"/>
      <c r="FU33" s="1180"/>
      <c r="FV33" s="1180"/>
      <c r="FW33" s="1180"/>
      <c r="FX33" s="1180"/>
      <c r="FY33" s="1180"/>
      <c r="FZ33" s="1180"/>
      <c r="GA33" s="1180"/>
    </row>
    <row r="34" spans="1:183" s="1182" customFormat="1" ht="21.6" customHeight="1">
      <c r="A34" s="1118"/>
      <c r="B34" s="1824" t="s">
        <v>1174</v>
      </c>
      <c r="C34" s="1824"/>
      <c r="D34" s="1824"/>
      <c r="E34" s="1824"/>
      <c r="F34" s="1824"/>
      <c r="G34" s="1824"/>
      <c r="H34" s="1824"/>
      <c r="I34"/>
      <c r="J34" s="1180"/>
      <c r="K34" s="1180"/>
      <c r="L34" s="1180"/>
      <c r="M34" s="1180"/>
      <c r="N34" s="1180"/>
      <c r="O34" s="1180"/>
      <c r="P34" s="1180"/>
      <c r="Q34" s="1180"/>
      <c r="R34" s="1180"/>
      <c r="S34" s="1180"/>
      <c r="T34" s="1180"/>
      <c r="U34" s="1180"/>
      <c r="V34" s="1180"/>
      <c r="W34" s="1180"/>
      <c r="X34" s="1180"/>
      <c r="Y34" s="1180"/>
      <c r="Z34" s="1180"/>
      <c r="AA34" s="1180"/>
      <c r="AB34" s="1180"/>
      <c r="AC34" s="1180"/>
      <c r="AD34" s="1180"/>
      <c r="AE34" s="1180"/>
      <c r="AF34" s="1180"/>
      <c r="AG34" s="1180"/>
      <c r="AH34" s="1180"/>
      <c r="AI34" s="1180"/>
      <c r="AJ34" s="1180"/>
      <c r="AK34" s="1180"/>
      <c r="AL34" s="1180"/>
      <c r="AM34" s="1180"/>
      <c r="AN34" s="1180"/>
      <c r="AO34" s="1180"/>
      <c r="AP34" s="1180"/>
      <c r="AQ34" s="1180"/>
      <c r="AR34" s="1180"/>
      <c r="AS34" s="1180"/>
      <c r="AT34" s="1180"/>
      <c r="AU34" s="1180"/>
      <c r="AV34" s="1180"/>
      <c r="AW34" s="1180"/>
      <c r="AX34" s="1180"/>
      <c r="AY34" s="1180"/>
      <c r="AZ34" s="1180"/>
      <c r="BA34" s="1180"/>
      <c r="BB34" s="1180"/>
      <c r="BC34" s="1180"/>
      <c r="BD34" s="1180"/>
      <c r="BE34" s="1180"/>
      <c r="BF34" s="1180"/>
      <c r="BG34" s="1180"/>
      <c r="BH34" s="1180"/>
      <c r="BI34" s="1180"/>
      <c r="BJ34" s="1180"/>
      <c r="BK34" s="1180"/>
      <c r="BL34" s="1180"/>
      <c r="BM34" s="1180"/>
      <c r="BN34" s="1180"/>
      <c r="BO34" s="1180"/>
      <c r="BP34" s="1180"/>
      <c r="BQ34" s="1180"/>
      <c r="BR34" s="1180"/>
      <c r="BS34" s="1180"/>
      <c r="BT34" s="1180"/>
      <c r="BU34" s="1180"/>
      <c r="BV34" s="1180"/>
      <c r="BW34" s="1180"/>
      <c r="BX34" s="1180"/>
      <c r="BY34" s="1180"/>
      <c r="BZ34" s="1180"/>
      <c r="CA34" s="1180"/>
      <c r="CB34" s="1180"/>
      <c r="CC34" s="1180"/>
      <c r="CD34" s="1180"/>
      <c r="CE34" s="1180"/>
      <c r="CF34" s="1180"/>
      <c r="CG34" s="1180"/>
      <c r="CH34" s="1180"/>
      <c r="CI34" s="1180"/>
      <c r="CJ34" s="1180"/>
      <c r="CK34" s="1180"/>
      <c r="CL34" s="1180"/>
      <c r="CM34" s="1180"/>
      <c r="CN34" s="1180"/>
      <c r="CO34" s="1180"/>
      <c r="CP34" s="1180"/>
      <c r="CQ34" s="1180"/>
      <c r="CR34" s="1180"/>
      <c r="CS34" s="1180"/>
      <c r="CT34" s="1180"/>
      <c r="CU34" s="1180"/>
      <c r="CV34" s="1180"/>
      <c r="CW34" s="1180"/>
      <c r="CX34" s="1180"/>
      <c r="CY34" s="1180"/>
      <c r="CZ34" s="1180"/>
      <c r="DA34" s="1180"/>
      <c r="DB34" s="1180"/>
      <c r="DC34" s="1180"/>
      <c r="DD34" s="1180"/>
      <c r="DE34" s="1180"/>
      <c r="DF34" s="1180"/>
      <c r="DG34" s="1180"/>
      <c r="DH34" s="1180"/>
      <c r="DI34" s="1180"/>
      <c r="DJ34" s="1180"/>
      <c r="DK34" s="1180"/>
      <c r="DL34" s="1180"/>
      <c r="DM34" s="1180"/>
      <c r="DN34" s="1180"/>
      <c r="DO34" s="1180"/>
      <c r="DP34" s="1180"/>
      <c r="DQ34" s="1180"/>
      <c r="DR34" s="1180"/>
      <c r="DS34" s="1180"/>
      <c r="DT34" s="1180"/>
      <c r="DU34" s="1180"/>
      <c r="DV34" s="1180"/>
      <c r="DW34" s="1180"/>
      <c r="DX34" s="1180"/>
      <c r="DY34" s="1180"/>
      <c r="DZ34" s="1180"/>
      <c r="EA34" s="1180"/>
      <c r="EB34" s="1180"/>
      <c r="EC34" s="1180"/>
      <c r="ED34" s="1180"/>
      <c r="EE34" s="1180"/>
      <c r="EF34" s="1180"/>
      <c r="EG34" s="1180"/>
      <c r="EH34" s="1180"/>
      <c r="EI34" s="1180"/>
      <c r="EJ34" s="1180"/>
      <c r="EK34" s="1180"/>
      <c r="EL34" s="1180"/>
      <c r="EM34" s="1180"/>
      <c r="EN34" s="1180"/>
      <c r="EO34" s="1180"/>
      <c r="EP34" s="1180"/>
      <c r="EQ34" s="1180"/>
      <c r="ER34" s="1180"/>
      <c r="ES34" s="1180"/>
      <c r="ET34" s="1180"/>
      <c r="EU34" s="1180"/>
      <c r="EV34" s="1180"/>
      <c r="EW34" s="1180"/>
      <c r="EX34" s="1180"/>
      <c r="EY34" s="1180"/>
      <c r="EZ34" s="1180"/>
      <c r="FA34" s="1180"/>
      <c r="FB34" s="1180"/>
      <c r="FC34" s="1180"/>
      <c r="FD34" s="1180"/>
      <c r="FE34" s="1180"/>
      <c r="FF34" s="1180"/>
      <c r="FG34" s="1180"/>
      <c r="FH34" s="1180"/>
      <c r="FI34" s="1180"/>
      <c r="FJ34" s="1180"/>
      <c r="FK34" s="1180"/>
      <c r="FL34" s="1180"/>
      <c r="FM34" s="1180"/>
      <c r="FN34" s="1180"/>
      <c r="FO34" s="1180"/>
      <c r="FP34" s="1180"/>
      <c r="FQ34" s="1180"/>
      <c r="FR34" s="1180"/>
      <c r="FS34" s="1180"/>
      <c r="FT34" s="1180"/>
      <c r="FU34" s="1180"/>
      <c r="FV34" s="1180"/>
      <c r="FW34" s="1180"/>
      <c r="FX34" s="1180"/>
      <c r="FY34" s="1180"/>
      <c r="FZ34" s="1180"/>
      <c r="GA34" s="1180"/>
    </row>
    <row r="35" spans="1:183" s="1182" customFormat="1">
      <c r="A35" s="1118"/>
      <c r="B35" s="1815" t="s">
        <v>1175</v>
      </c>
      <c r="C35" s="1815"/>
      <c r="D35" s="1815"/>
      <c r="E35" s="1815"/>
      <c r="F35" s="1815"/>
      <c r="G35" s="1815"/>
      <c r="H35" s="1815"/>
      <c r="I35"/>
      <c r="J35" s="1180"/>
      <c r="K35" s="1180"/>
      <c r="L35" s="1180"/>
      <c r="M35" s="1180"/>
      <c r="N35" s="1180"/>
      <c r="O35" s="1180"/>
      <c r="P35" s="1180"/>
      <c r="Q35" s="1180"/>
      <c r="R35" s="1180"/>
      <c r="S35" s="1180"/>
      <c r="T35" s="1180"/>
      <c r="U35" s="1180"/>
      <c r="V35" s="1180"/>
      <c r="W35" s="1180"/>
      <c r="X35" s="1180"/>
      <c r="Y35" s="1180"/>
      <c r="Z35" s="1180"/>
      <c r="AA35" s="1180"/>
      <c r="AB35" s="1180"/>
      <c r="AC35" s="1180"/>
      <c r="AD35" s="1180"/>
      <c r="AE35" s="1180"/>
      <c r="AF35" s="1180"/>
      <c r="AG35" s="1180"/>
      <c r="AH35" s="1180"/>
      <c r="AI35" s="1180"/>
      <c r="AJ35" s="1180"/>
      <c r="AK35" s="1180"/>
      <c r="AL35" s="1180"/>
      <c r="AM35" s="1180"/>
      <c r="AN35" s="1180"/>
      <c r="AO35" s="1180"/>
      <c r="AP35" s="1180"/>
      <c r="AQ35" s="1180"/>
      <c r="AR35" s="1180"/>
      <c r="AS35" s="1180"/>
      <c r="AT35" s="1180"/>
      <c r="AU35" s="1180"/>
      <c r="AV35" s="1180"/>
      <c r="AW35" s="1180"/>
      <c r="AX35" s="1180"/>
      <c r="AY35" s="1180"/>
      <c r="AZ35" s="1180"/>
      <c r="BA35" s="1180"/>
      <c r="BB35" s="1180"/>
      <c r="BC35" s="1180"/>
      <c r="BD35" s="1180"/>
      <c r="BE35" s="1180"/>
      <c r="BF35" s="1180"/>
      <c r="BG35" s="1180"/>
      <c r="BH35" s="1180"/>
      <c r="BI35" s="1180"/>
      <c r="BJ35" s="1180"/>
      <c r="BK35" s="1180"/>
      <c r="BL35" s="1180"/>
      <c r="BM35" s="1180"/>
      <c r="BN35" s="1180"/>
      <c r="BO35" s="1180"/>
      <c r="BP35" s="1180"/>
      <c r="BQ35" s="1180"/>
      <c r="BR35" s="1180"/>
      <c r="BS35" s="1180"/>
      <c r="BT35" s="1180"/>
      <c r="BU35" s="1180"/>
      <c r="BV35" s="1180"/>
      <c r="BW35" s="1180"/>
      <c r="BX35" s="1180"/>
      <c r="BY35" s="1180"/>
      <c r="BZ35" s="1180"/>
      <c r="CA35" s="1180"/>
      <c r="CB35" s="1180"/>
      <c r="CC35" s="1180"/>
      <c r="CD35" s="1180"/>
      <c r="CE35" s="1180"/>
      <c r="CF35" s="1180"/>
      <c r="CG35" s="1180"/>
      <c r="CH35" s="1180"/>
      <c r="CI35" s="1180"/>
      <c r="CJ35" s="1180"/>
      <c r="CK35" s="1180"/>
      <c r="CL35" s="1180"/>
      <c r="CM35" s="1180"/>
      <c r="CN35" s="1180"/>
      <c r="CO35" s="1180"/>
      <c r="CP35" s="1180"/>
      <c r="CQ35" s="1180"/>
      <c r="CR35" s="1180"/>
      <c r="CS35" s="1180"/>
      <c r="CT35" s="1180"/>
      <c r="CU35" s="1180"/>
      <c r="CV35" s="1180"/>
      <c r="CW35" s="1180"/>
      <c r="CX35" s="1180"/>
      <c r="CY35" s="1180"/>
      <c r="CZ35" s="1180"/>
      <c r="DA35" s="1180"/>
      <c r="DB35" s="1180"/>
      <c r="DC35" s="1180"/>
      <c r="DD35" s="1180"/>
      <c r="DE35" s="1180"/>
      <c r="DF35" s="1180"/>
      <c r="DG35" s="1180"/>
      <c r="DH35" s="1180"/>
      <c r="DI35" s="1180"/>
      <c r="DJ35" s="1180"/>
      <c r="DK35" s="1180"/>
      <c r="DL35" s="1180"/>
      <c r="DM35" s="1180"/>
      <c r="DN35" s="1180"/>
      <c r="DO35" s="1180"/>
      <c r="DP35" s="1180"/>
      <c r="DQ35" s="1180"/>
      <c r="DR35" s="1180"/>
      <c r="DS35" s="1180"/>
      <c r="DT35" s="1180"/>
      <c r="DU35" s="1180"/>
      <c r="DV35" s="1180"/>
      <c r="DW35" s="1180"/>
      <c r="DX35" s="1180"/>
      <c r="DY35" s="1180"/>
      <c r="DZ35" s="1180"/>
      <c r="EA35" s="1180"/>
      <c r="EB35" s="1180"/>
      <c r="EC35" s="1180"/>
      <c r="ED35" s="1180"/>
      <c r="EE35" s="1180"/>
      <c r="EF35" s="1180"/>
      <c r="EG35" s="1180"/>
      <c r="EH35" s="1180"/>
      <c r="EI35" s="1180"/>
      <c r="EJ35" s="1180"/>
      <c r="EK35" s="1180"/>
      <c r="EL35" s="1180"/>
      <c r="EM35" s="1180"/>
      <c r="EN35" s="1180"/>
      <c r="EO35" s="1180"/>
      <c r="EP35" s="1180"/>
      <c r="EQ35" s="1180"/>
      <c r="ER35" s="1180"/>
      <c r="ES35" s="1180"/>
      <c r="ET35" s="1180"/>
      <c r="EU35" s="1180"/>
      <c r="EV35" s="1180"/>
      <c r="EW35" s="1180"/>
      <c r="EX35" s="1180"/>
      <c r="EY35" s="1180"/>
      <c r="EZ35" s="1180"/>
      <c r="FA35" s="1180"/>
      <c r="FB35" s="1180"/>
      <c r="FC35" s="1180"/>
      <c r="FD35" s="1180"/>
      <c r="FE35" s="1180"/>
      <c r="FF35" s="1180"/>
      <c r="FG35" s="1180"/>
      <c r="FH35" s="1180"/>
      <c r="FI35" s="1180"/>
      <c r="FJ35" s="1180"/>
      <c r="FK35" s="1180"/>
      <c r="FL35" s="1180"/>
      <c r="FM35" s="1180"/>
      <c r="FN35" s="1180"/>
      <c r="FO35" s="1180"/>
      <c r="FP35" s="1180"/>
      <c r="FQ35" s="1180"/>
      <c r="FR35" s="1180"/>
      <c r="FS35" s="1180"/>
      <c r="FT35" s="1180"/>
      <c r="FU35" s="1180"/>
      <c r="FV35" s="1180"/>
      <c r="FW35" s="1180"/>
      <c r="FX35" s="1180"/>
      <c r="FY35" s="1180"/>
      <c r="FZ35" s="1180"/>
      <c r="GA35" s="1180"/>
    </row>
    <row r="36" spans="1:183" s="1182" customFormat="1" hidden="1">
      <c r="A36" s="1118"/>
      <c r="B36" s="1125"/>
      <c r="C36" s="1464"/>
      <c r="D36" s="1465"/>
      <c r="E36" s="1462"/>
      <c r="F36" s="1124"/>
      <c r="G36" s="1123"/>
      <c r="H36" s="1167"/>
      <c r="I36"/>
      <c r="J36" s="1180"/>
      <c r="K36" s="1180"/>
      <c r="L36" s="1180"/>
      <c r="M36" s="1180"/>
      <c r="N36" s="1180"/>
      <c r="O36" s="1180"/>
      <c r="P36" s="1180"/>
      <c r="Q36" s="1180"/>
      <c r="R36" s="1180"/>
      <c r="S36" s="1180"/>
      <c r="T36" s="1180"/>
      <c r="U36" s="1180"/>
      <c r="V36" s="1180"/>
      <c r="W36" s="1180"/>
      <c r="X36" s="1180"/>
      <c r="Y36" s="1180"/>
      <c r="Z36" s="1180"/>
      <c r="AA36" s="1180"/>
      <c r="AB36" s="1180"/>
      <c r="AC36" s="1180"/>
      <c r="AD36" s="1180"/>
      <c r="AE36" s="1180"/>
      <c r="AF36" s="1180"/>
      <c r="AG36" s="1180"/>
      <c r="AH36" s="1180"/>
      <c r="AI36" s="1180"/>
      <c r="AJ36" s="1180"/>
      <c r="AK36" s="1180"/>
      <c r="AL36" s="1180"/>
      <c r="AM36" s="1180"/>
      <c r="AN36" s="1180"/>
      <c r="AO36" s="1180"/>
      <c r="AP36" s="1180"/>
      <c r="AQ36" s="1180"/>
      <c r="AR36" s="1180"/>
      <c r="AS36" s="1180"/>
      <c r="AT36" s="1180"/>
      <c r="AU36" s="1180"/>
      <c r="AV36" s="1180"/>
      <c r="AW36" s="1180"/>
      <c r="AX36" s="1180"/>
      <c r="AY36" s="1180"/>
      <c r="AZ36" s="1180"/>
      <c r="BA36" s="1180"/>
      <c r="BB36" s="1180"/>
      <c r="BC36" s="1180"/>
      <c r="BD36" s="1180"/>
      <c r="BE36" s="1180"/>
      <c r="BF36" s="1180"/>
      <c r="BG36" s="1180"/>
      <c r="BH36" s="1180"/>
      <c r="BI36" s="1180"/>
      <c r="BJ36" s="1180"/>
      <c r="BK36" s="1180"/>
      <c r="BL36" s="1180"/>
      <c r="BM36" s="1180"/>
      <c r="BN36" s="1180"/>
      <c r="BO36" s="1180"/>
      <c r="BP36" s="1180"/>
      <c r="BQ36" s="1180"/>
      <c r="BR36" s="1180"/>
      <c r="BS36" s="1180"/>
      <c r="BT36" s="1180"/>
      <c r="BU36" s="1180"/>
      <c r="BV36" s="1180"/>
      <c r="BW36" s="1180"/>
      <c r="BX36" s="1180"/>
      <c r="BY36" s="1180"/>
      <c r="BZ36" s="1180"/>
      <c r="CA36" s="1180"/>
      <c r="CB36" s="1180"/>
      <c r="CC36" s="1180"/>
      <c r="CD36" s="1180"/>
      <c r="CE36" s="1180"/>
      <c r="CF36" s="1180"/>
      <c r="CG36" s="1180"/>
      <c r="CH36" s="1180"/>
      <c r="CI36" s="1180"/>
      <c r="CJ36" s="1180"/>
      <c r="CK36" s="1180"/>
      <c r="CL36" s="1180"/>
      <c r="CM36" s="1180"/>
      <c r="CN36" s="1180"/>
      <c r="CO36" s="1180"/>
      <c r="CP36" s="1180"/>
      <c r="CQ36" s="1180"/>
      <c r="CR36" s="1180"/>
      <c r="CS36" s="1180"/>
      <c r="CT36" s="1180"/>
      <c r="CU36" s="1180"/>
      <c r="CV36" s="1180"/>
      <c r="CW36" s="1180"/>
      <c r="CX36" s="1180"/>
      <c r="CY36" s="1180"/>
      <c r="CZ36" s="1180"/>
      <c r="DA36" s="1180"/>
      <c r="DB36" s="1180"/>
      <c r="DC36" s="1180"/>
      <c r="DD36" s="1180"/>
      <c r="DE36" s="1180"/>
      <c r="DF36" s="1180"/>
      <c r="DG36" s="1180"/>
      <c r="DH36" s="1180"/>
      <c r="DI36" s="1180"/>
      <c r="DJ36" s="1180"/>
      <c r="DK36" s="1180"/>
      <c r="DL36" s="1180"/>
      <c r="DM36" s="1180"/>
      <c r="DN36" s="1180"/>
      <c r="DO36" s="1180"/>
      <c r="DP36" s="1180"/>
      <c r="DQ36" s="1180"/>
      <c r="DR36" s="1180"/>
      <c r="DS36" s="1180"/>
      <c r="DT36" s="1180"/>
      <c r="DU36" s="1180"/>
      <c r="DV36" s="1180"/>
      <c r="DW36" s="1180"/>
      <c r="DX36" s="1180"/>
      <c r="DY36" s="1180"/>
      <c r="DZ36" s="1180"/>
      <c r="EA36" s="1180"/>
      <c r="EB36" s="1180"/>
      <c r="EC36" s="1180"/>
      <c r="ED36" s="1180"/>
      <c r="EE36" s="1180"/>
      <c r="EF36" s="1180"/>
      <c r="EG36" s="1180"/>
      <c r="EH36" s="1180"/>
      <c r="EI36" s="1180"/>
      <c r="EJ36" s="1180"/>
      <c r="EK36" s="1180"/>
      <c r="EL36" s="1180"/>
      <c r="EM36" s="1180"/>
      <c r="EN36" s="1180"/>
      <c r="EO36" s="1180"/>
      <c r="EP36" s="1180"/>
      <c r="EQ36" s="1180"/>
      <c r="ER36" s="1180"/>
      <c r="ES36" s="1180"/>
      <c r="ET36" s="1180"/>
      <c r="EU36" s="1180"/>
      <c r="EV36" s="1180"/>
      <c r="EW36" s="1180"/>
      <c r="EX36" s="1180"/>
      <c r="EY36" s="1180"/>
      <c r="EZ36" s="1180"/>
      <c r="FA36" s="1180"/>
      <c r="FB36" s="1180"/>
      <c r="FC36" s="1180"/>
      <c r="FD36" s="1180"/>
      <c r="FE36" s="1180"/>
      <c r="FF36" s="1180"/>
      <c r="FG36" s="1180"/>
      <c r="FH36" s="1180"/>
      <c r="FI36" s="1180"/>
      <c r="FJ36" s="1180"/>
      <c r="FK36" s="1180"/>
      <c r="FL36" s="1180"/>
      <c r="FM36" s="1180"/>
      <c r="FN36" s="1180"/>
      <c r="FO36" s="1180"/>
      <c r="FP36" s="1180"/>
      <c r="FQ36" s="1180"/>
      <c r="FR36" s="1180"/>
      <c r="FS36" s="1180"/>
      <c r="FT36" s="1180"/>
      <c r="FU36" s="1180"/>
      <c r="FV36" s="1180"/>
      <c r="FW36" s="1180"/>
      <c r="FX36" s="1180"/>
      <c r="FY36" s="1180"/>
      <c r="FZ36" s="1180"/>
      <c r="GA36" s="1180"/>
    </row>
    <row r="37" spans="1:183" s="1182" customFormat="1" ht="51">
      <c r="A37" s="1118"/>
      <c r="B37" s="1125">
        <v>1</v>
      </c>
      <c r="C37" s="1126" t="s">
        <v>1176</v>
      </c>
      <c r="D37" s="1121" t="s">
        <v>1177</v>
      </c>
      <c r="E37" s="1127">
        <v>250000</v>
      </c>
      <c r="F37" s="1124">
        <v>1</v>
      </c>
      <c r="G37" s="1123">
        <v>8</v>
      </c>
      <c r="H37" s="1167">
        <f>IF(B37="","",ROUND(B37*E37*F37*G37,0))</f>
        <v>2000000</v>
      </c>
      <c r="I37"/>
      <c r="J37" s="1180"/>
      <c r="K37" s="1180"/>
      <c r="L37" s="1180"/>
      <c r="M37" s="1180"/>
      <c r="N37" s="1180"/>
      <c r="O37" s="1180"/>
      <c r="P37" s="1180"/>
      <c r="Q37" s="1180"/>
      <c r="R37" s="1180"/>
      <c r="S37" s="1180"/>
      <c r="T37" s="1180"/>
      <c r="U37" s="1180"/>
      <c r="V37" s="1180"/>
      <c r="W37" s="1180"/>
      <c r="X37" s="1180"/>
      <c r="Y37" s="1180"/>
      <c r="Z37" s="1180"/>
      <c r="AA37" s="1180"/>
      <c r="AB37" s="1180"/>
      <c r="AC37" s="1180"/>
      <c r="AD37" s="1180"/>
      <c r="AE37" s="1180"/>
      <c r="AF37" s="1180"/>
      <c r="AG37" s="1180"/>
      <c r="AH37" s="1180"/>
      <c r="AI37" s="1180"/>
      <c r="AJ37" s="1180"/>
      <c r="AK37" s="1180"/>
      <c r="AL37" s="1180"/>
      <c r="AM37" s="1180"/>
      <c r="AN37" s="1180"/>
      <c r="AO37" s="1180"/>
      <c r="AP37" s="1180"/>
      <c r="AQ37" s="1180"/>
      <c r="AR37" s="1180"/>
      <c r="AS37" s="1180"/>
      <c r="AT37" s="1180"/>
      <c r="AU37" s="1180"/>
      <c r="AV37" s="1180"/>
      <c r="AW37" s="1180"/>
      <c r="AX37" s="1180"/>
      <c r="AY37" s="1180"/>
      <c r="AZ37" s="1180"/>
      <c r="BA37" s="1180"/>
      <c r="BB37" s="1180"/>
      <c r="BC37" s="1180"/>
      <c r="BD37" s="1180"/>
      <c r="BE37" s="1180"/>
      <c r="BF37" s="1180"/>
      <c r="BG37" s="1180"/>
      <c r="BH37" s="1180"/>
      <c r="BI37" s="1180"/>
      <c r="BJ37" s="1180"/>
      <c r="BK37" s="1180"/>
      <c r="BL37" s="1180"/>
      <c r="BM37" s="1180"/>
      <c r="BN37" s="1180"/>
      <c r="BO37" s="1180"/>
      <c r="BP37" s="1180"/>
      <c r="BQ37" s="1180"/>
      <c r="BR37" s="1180"/>
      <c r="BS37" s="1180"/>
      <c r="BT37" s="1180"/>
      <c r="BU37" s="1180"/>
      <c r="BV37" s="1180"/>
      <c r="BW37" s="1180"/>
      <c r="BX37" s="1180"/>
      <c r="BY37" s="1180"/>
      <c r="BZ37" s="1180"/>
      <c r="CA37" s="1180"/>
      <c r="CB37" s="1180"/>
      <c r="CC37" s="1180"/>
      <c r="CD37" s="1180"/>
      <c r="CE37" s="1180"/>
      <c r="CF37" s="1180"/>
      <c r="CG37" s="1180"/>
      <c r="CH37" s="1180"/>
      <c r="CI37" s="1180"/>
      <c r="CJ37" s="1180"/>
      <c r="CK37" s="1180"/>
      <c r="CL37" s="1180"/>
      <c r="CM37" s="1180"/>
      <c r="CN37" s="1180"/>
      <c r="CO37" s="1180"/>
      <c r="CP37" s="1180"/>
      <c r="CQ37" s="1180"/>
      <c r="CR37" s="1180"/>
      <c r="CS37" s="1180"/>
      <c r="CT37" s="1180"/>
      <c r="CU37" s="1180"/>
      <c r="CV37" s="1180"/>
      <c r="CW37" s="1180"/>
      <c r="CX37" s="1180"/>
      <c r="CY37" s="1180"/>
      <c r="CZ37" s="1180"/>
      <c r="DA37" s="1180"/>
      <c r="DB37" s="1180"/>
      <c r="DC37" s="1180"/>
      <c r="DD37" s="1180"/>
      <c r="DE37" s="1180"/>
      <c r="DF37" s="1180"/>
      <c r="DG37" s="1180"/>
      <c r="DH37" s="1180"/>
      <c r="DI37" s="1180"/>
      <c r="DJ37" s="1180"/>
      <c r="DK37" s="1180"/>
      <c r="DL37" s="1180"/>
      <c r="DM37" s="1180"/>
      <c r="DN37" s="1180"/>
      <c r="DO37" s="1180"/>
      <c r="DP37" s="1180"/>
      <c r="DQ37" s="1180"/>
      <c r="DR37" s="1180"/>
      <c r="DS37" s="1180"/>
      <c r="DT37" s="1180"/>
      <c r="DU37" s="1180"/>
      <c r="DV37" s="1180"/>
      <c r="DW37" s="1180"/>
      <c r="DX37" s="1180"/>
      <c r="DY37" s="1180"/>
      <c r="DZ37" s="1180"/>
      <c r="EA37" s="1180"/>
      <c r="EB37" s="1180"/>
      <c r="EC37" s="1180"/>
      <c r="ED37" s="1180"/>
      <c r="EE37" s="1180"/>
      <c r="EF37" s="1180"/>
      <c r="EG37" s="1180"/>
      <c r="EH37" s="1180"/>
      <c r="EI37" s="1180"/>
      <c r="EJ37" s="1180"/>
      <c r="EK37" s="1180"/>
      <c r="EL37" s="1180"/>
      <c r="EM37" s="1180"/>
      <c r="EN37" s="1180"/>
      <c r="EO37" s="1180"/>
      <c r="EP37" s="1180"/>
      <c r="EQ37" s="1180"/>
      <c r="ER37" s="1180"/>
      <c r="ES37" s="1180"/>
      <c r="ET37" s="1180"/>
      <c r="EU37" s="1180"/>
      <c r="EV37" s="1180"/>
      <c r="EW37" s="1180"/>
      <c r="EX37" s="1180"/>
      <c r="EY37" s="1180"/>
      <c r="EZ37" s="1180"/>
      <c r="FA37" s="1180"/>
      <c r="FB37" s="1180"/>
      <c r="FC37" s="1180"/>
      <c r="FD37" s="1180"/>
      <c r="FE37" s="1180"/>
      <c r="FF37" s="1180"/>
      <c r="FG37" s="1180"/>
      <c r="FH37" s="1180"/>
      <c r="FI37" s="1180"/>
      <c r="FJ37" s="1180"/>
      <c r="FK37" s="1180"/>
      <c r="FL37" s="1180"/>
      <c r="FM37" s="1180"/>
      <c r="FN37" s="1180"/>
      <c r="FO37" s="1180"/>
      <c r="FP37" s="1180"/>
      <c r="FQ37" s="1180"/>
      <c r="FR37" s="1180"/>
      <c r="FS37" s="1180"/>
      <c r="FT37" s="1180"/>
      <c r="FU37" s="1180"/>
      <c r="FV37" s="1180"/>
      <c r="FW37" s="1180"/>
      <c r="FX37" s="1180"/>
      <c r="FY37" s="1180"/>
      <c r="FZ37" s="1180"/>
      <c r="GA37" s="1180"/>
    </row>
    <row r="38" spans="1:183" s="1182" customFormat="1">
      <c r="A38" s="1118"/>
      <c r="B38" s="1815" t="s">
        <v>1178</v>
      </c>
      <c r="C38" s="1815"/>
      <c r="D38" s="1815"/>
      <c r="E38" s="1815"/>
      <c r="F38" s="1815"/>
      <c r="G38" s="1815"/>
      <c r="H38" s="1815"/>
      <c r="I38"/>
      <c r="J38" s="1180"/>
      <c r="K38" s="1180"/>
      <c r="L38" s="1180"/>
      <c r="M38" s="1180"/>
      <c r="N38" s="1180"/>
      <c r="O38" s="1180"/>
      <c r="P38" s="1180"/>
      <c r="Q38" s="1180"/>
      <c r="R38" s="1180"/>
      <c r="S38" s="1180"/>
      <c r="T38" s="1180"/>
      <c r="U38" s="1180"/>
      <c r="V38" s="1180"/>
      <c r="W38" s="1180"/>
      <c r="X38" s="1180"/>
      <c r="Y38" s="1180"/>
      <c r="Z38" s="1180"/>
      <c r="AA38" s="1180"/>
      <c r="AB38" s="1180"/>
      <c r="AC38" s="1180"/>
      <c r="AD38" s="1180"/>
      <c r="AE38" s="1180"/>
      <c r="AF38" s="1180"/>
      <c r="AG38" s="1180"/>
      <c r="AH38" s="1180"/>
      <c r="AI38" s="1180"/>
      <c r="AJ38" s="1180"/>
      <c r="AK38" s="1180"/>
      <c r="AL38" s="1180"/>
      <c r="AM38" s="1180"/>
      <c r="AN38" s="1180"/>
      <c r="AO38" s="1180"/>
      <c r="AP38" s="1180"/>
      <c r="AQ38" s="1180"/>
      <c r="AR38" s="1180"/>
      <c r="AS38" s="1180"/>
      <c r="AT38" s="1180"/>
      <c r="AU38" s="1180"/>
      <c r="AV38" s="1180"/>
      <c r="AW38" s="1180"/>
      <c r="AX38" s="1180"/>
      <c r="AY38" s="1180"/>
      <c r="AZ38" s="1180"/>
      <c r="BA38" s="1180"/>
      <c r="BB38" s="1180"/>
      <c r="BC38" s="1180"/>
      <c r="BD38" s="1180"/>
      <c r="BE38" s="1180"/>
      <c r="BF38" s="1180"/>
      <c r="BG38" s="1180"/>
      <c r="BH38" s="1180"/>
      <c r="BI38" s="1180"/>
      <c r="BJ38" s="1180"/>
      <c r="BK38" s="1180"/>
      <c r="BL38" s="1180"/>
      <c r="BM38" s="1180"/>
      <c r="BN38" s="1180"/>
      <c r="BO38" s="1180"/>
      <c r="BP38" s="1180"/>
      <c r="BQ38" s="1180"/>
      <c r="BR38" s="1180"/>
      <c r="BS38" s="1180"/>
      <c r="BT38" s="1180"/>
      <c r="BU38" s="1180"/>
      <c r="BV38" s="1180"/>
      <c r="BW38" s="1180"/>
      <c r="BX38" s="1180"/>
      <c r="BY38" s="1180"/>
      <c r="BZ38" s="1180"/>
      <c r="CA38" s="1180"/>
      <c r="CB38" s="1180"/>
      <c r="CC38" s="1180"/>
      <c r="CD38" s="1180"/>
      <c r="CE38" s="1180"/>
      <c r="CF38" s="1180"/>
      <c r="CG38" s="1180"/>
      <c r="CH38" s="1180"/>
      <c r="CI38" s="1180"/>
      <c r="CJ38" s="1180"/>
      <c r="CK38" s="1180"/>
      <c r="CL38" s="1180"/>
      <c r="CM38" s="1180"/>
      <c r="CN38" s="1180"/>
      <c r="CO38" s="1180"/>
      <c r="CP38" s="1180"/>
      <c r="CQ38" s="1180"/>
      <c r="CR38" s="1180"/>
      <c r="CS38" s="1180"/>
      <c r="CT38" s="1180"/>
      <c r="CU38" s="1180"/>
      <c r="CV38" s="1180"/>
      <c r="CW38" s="1180"/>
      <c r="CX38" s="1180"/>
      <c r="CY38" s="1180"/>
      <c r="CZ38" s="1180"/>
      <c r="DA38" s="1180"/>
      <c r="DB38" s="1180"/>
      <c r="DC38" s="1180"/>
      <c r="DD38" s="1180"/>
      <c r="DE38" s="1180"/>
      <c r="DF38" s="1180"/>
      <c r="DG38" s="1180"/>
      <c r="DH38" s="1180"/>
      <c r="DI38" s="1180"/>
      <c r="DJ38" s="1180"/>
      <c r="DK38" s="1180"/>
      <c r="DL38" s="1180"/>
      <c r="DM38" s="1180"/>
      <c r="DN38" s="1180"/>
      <c r="DO38" s="1180"/>
      <c r="DP38" s="1180"/>
      <c r="DQ38" s="1180"/>
      <c r="DR38" s="1180"/>
      <c r="DS38" s="1180"/>
      <c r="DT38" s="1180"/>
      <c r="DU38" s="1180"/>
      <c r="DV38" s="1180"/>
      <c r="DW38" s="1180"/>
      <c r="DX38" s="1180"/>
      <c r="DY38" s="1180"/>
      <c r="DZ38" s="1180"/>
      <c r="EA38" s="1180"/>
      <c r="EB38" s="1180"/>
      <c r="EC38" s="1180"/>
      <c r="ED38" s="1180"/>
      <c r="EE38" s="1180"/>
      <c r="EF38" s="1180"/>
      <c r="EG38" s="1180"/>
      <c r="EH38" s="1180"/>
      <c r="EI38" s="1180"/>
      <c r="EJ38" s="1180"/>
      <c r="EK38" s="1180"/>
      <c r="EL38" s="1180"/>
      <c r="EM38" s="1180"/>
      <c r="EN38" s="1180"/>
      <c r="EO38" s="1180"/>
      <c r="EP38" s="1180"/>
      <c r="EQ38" s="1180"/>
      <c r="ER38" s="1180"/>
      <c r="ES38" s="1180"/>
      <c r="ET38" s="1180"/>
      <c r="EU38" s="1180"/>
      <c r="EV38" s="1180"/>
      <c r="EW38" s="1180"/>
      <c r="EX38" s="1180"/>
      <c r="EY38" s="1180"/>
      <c r="EZ38" s="1180"/>
      <c r="FA38" s="1180"/>
      <c r="FB38" s="1180"/>
      <c r="FC38" s="1180"/>
      <c r="FD38" s="1180"/>
      <c r="FE38" s="1180"/>
      <c r="FF38" s="1180"/>
      <c r="FG38" s="1180"/>
      <c r="FH38" s="1180"/>
      <c r="FI38" s="1180"/>
      <c r="FJ38" s="1180"/>
      <c r="FK38" s="1180"/>
      <c r="FL38" s="1180"/>
      <c r="FM38" s="1180"/>
      <c r="FN38" s="1180"/>
      <c r="FO38" s="1180"/>
      <c r="FP38" s="1180"/>
      <c r="FQ38" s="1180"/>
      <c r="FR38" s="1180"/>
      <c r="FS38" s="1180"/>
      <c r="FT38" s="1180"/>
      <c r="FU38" s="1180"/>
      <c r="FV38" s="1180"/>
      <c r="FW38" s="1180"/>
      <c r="FX38" s="1180"/>
      <c r="FY38" s="1180"/>
      <c r="FZ38" s="1180"/>
      <c r="GA38" s="1180"/>
    </row>
    <row r="39" spans="1:183" s="1182" customFormat="1" ht="28.35" customHeight="1">
      <c r="A39" s="1118"/>
      <c r="B39" s="1125">
        <v>1</v>
      </c>
      <c r="C39" s="1126" t="s">
        <v>1179</v>
      </c>
      <c r="D39" s="1121" t="s">
        <v>972</v>
      </c>
      <c r="E39" s="1127">
        <v>75164</v>
      </c>
      <c r="F39" s="1124">
        <v>1</v>
      </c>
      <c r="G39" s="1128">
        <v>8</v>
      </c>
      <c r="H39" s="1167">
        <f t="shared" ref="H39:H40" si="2">IF(B39="","",ROUND(B39*E39*F39*G39,0))</f>
        <v>601312</v>
      </c>
      <c r="I39"/>
      <c r="J39" s="1180"/>
      <c r="K39" s="1180"/>
      <c r="L39" s="1180"/>
      <c r="M39" s="1180"/>
      <c r="N39" s="1180"/>
      <c r="O39" s="1180"/>
      <c r="P39" s="1180"/>
      <c r="Q39" s="1180"/>
      <c r="R39" s="1180"/>
      <c r="S39" s="1180"/>
      <c r="T39" s="1180"/>
      <c r="U39" s="1180"/>
      <c r="V39" s="1180"/>
      <c r="W39" s="1180"/>
      <c r="X39" s="1180"/>
      <c r="Y39" s="1180"/>
      <c r="Z39" s="1180"/>
      <c r="AA39" s="1180"/>
      <c r="AB39" s="1180"/>
      <c r="AC39" s="1180"/>
      <c r="AD39" s="1180"/>
      <c r="AE39" s="1180"/>
      <c r="AF39" s="1180"/>
      <c r="AG39" s="1180"/>
      <c r="AH39" s="1180"/>
      <c r="AI39" s="1180"/>
      <c r="AJ39" s="1180"/>
      <c r="AK39" s="1180"/>
      <c r="AL39" s="1180"/>
      <c r="AM39" s="1180"/>
      <c r="AN39" s="1180"/>
      <c r="AO39" s="1180"/>
      <c r="AP39" s="1180"/>
      <c r="AQ39" s="1180"/>
      <c r="AR39" s="1180"/>
      <c r="AS39" s="1180"/>
      <c r="AT39" s="1180"/>
      <c r="AU39" s="1180"/>
      <c r="AV39" s="1180"/>
      <c r="AW39" s="1180"/>
      <c r="AX39" s="1180"/>
      <c r="AY39" s="1180"/>
      <c r="AZ39" s="1180"/>
      <c r="BA39" s="1180"/>
      <c r="BB39" s="1180"/>
      <c r="BC39" s="1180"/>
      <c r="BD39" s="1180"/>
      <c r="BE39" s="1180"/>
      <c r="BF39" s="1180"/>
      <c r="BG39" s="1180"/>
      <c r="BH39" s="1180"/>
      <c r="BI39" s="1180"/>
      <c r="BJ39" s="1180"/>
      <c r="BK39" s="1180"/>
      <c r="BL39" s="1180"/>
      <c r="BM39" s="1180"/>
      <c r="BN39" s="1180"/>
      <c r="BO39" s="1180"/>
      <c r="BP39" s="1180"/>
      <c r="BQ39" s="1180"/>
      <c r="BR39" s="1180"/>
      <c r="BS39" s="1180"/>
      <c r="BT39" s="1180"/>
      <c r="BU39" s="1180"/>
      <c r="BV39" s="1180"/>
      <c r="BW39" s="1180"/>
      <c r="BX39" s="1180"/>
      <c r="BY39" s="1180"/>
      <c r="BZ39" s="1180"/>
      <c r="CA39" s="1180"/>
      <c r="CB39" s="1180"/>
      <c r="CC39" s="1180"/>
      <c r="CD39" s="1180"/>
      <c r="CE39" s="1180"/>
      <c r="CF39" s="1180"/>
      <c r="CG39" s="1180"/>
      <c r="CH39" s="1180"/>
      <c r="CI39" s="1180"/>
      <c r="CJ39" s="1180"/>
      <c r="CK39" s="1180"/>
      <c r="CL39" s="1180"/>
      <c r="CM39" s="1180"/>
      <c r="CN39" s="1180"/>
      <c r="CO39" s="1180"/>
      <c r="CP39" s="1180"/>
      <c r="CQ39" s="1180"/>
      <c r="CR39" s="1180"/>
      <c r="CS39" s="1180"/>
      <c r="CT39" s="1180"/>
      <c r="CU39" s="1180"/>
      <c r="CV39" s="1180"/>
      <c r="CW39" s="1180"/>
      <c r="CX39" s="1180"/>
      <c r="CY39" s="1180"/>
      <c r="CZ39" s="1180"/>
      <c r="DA39" s="1180"/>
      <c r="DB39" s="1180"/>
      <c r="DC39" s="1180"/>
      <c r="DD39" s="1180"/>
      <c r="DE39" s="1180"/>
      <c r="DF39" s="1180"/>
      <c r="DG39" s="1180"/>
      <c r="DH39" s="1180"/>
      <c r="DI39" s="1180"/>
      <c r="DJ39" s="1180"/>
      <c r="DK39" s="1180"/>
      <c r="DL39" s="1180"/>
      <c r="DM39" s="1180"/>
      <c r="DN39" s="1180"/>
      <c r="DO39" s="1180"/>
      <c r="DP39" s="1180"/>
      <c r="DQ39" s="1180"/>
      <c r="DR39" s="1180"/>
      <c r="DS39" s="1180"/>
      <c r="DT39" s="1180"/>
      <c r="DU39" s="1180"/>
      <c r="DV39" s="1180"/>
      <c r="DW39" s="1180"/>
      <c r="DX39" s="1180"/>
      <c r="DY39" s="1180"/>
      <c r="DZ39" s="1180"/>
      <c r="EA39" s="1180"/>
      <c r="EB39" s="1180"/>
      <c r="EC39" s="1180"/>
      <c r="ED39" s="1180"/>
      <c r="EE39" s="1180"/>
      <c r="EF39" s="1180"/>
      <c r="EG39" s="1180"/>
      <c r="EH39" s="1180"/>
      <c r="EI39" s="1180"/>
      <c r="EJ39" s="1180"/>
      <c r="EK39" s="1180"/>
      <c r="EL39" s="1180"/>
      <c r="EM39" s="1180"/>
      <c r="EN39" s="1180"/>
      <c r="EO39" s="1180"/>
      <c r="EP39" s="1180"/>
      <c r="EQ39" s="1180"/>
      <c r="ER39" s="1180"/>
      <c r="ES39" s="1180"/>
      <c r="ET39" s="1180"/>
      <c r="EU39" s="1180"/>
      <c r="EV39" s="1180"/>
      <c r="EW39" s="1180"/>
      <c r="EX39" s="1180"/>
      <c r="EY39" s="1180"/>
      <c r="EZ39" s="1180"/>
      <c r="FA39" s="1180"/>
      <c r="FB39" s="1180"/>
      <c r="FC39" s="1180"/>
      <c r="FD39" s="1180"/>
      <c r="FE39" s="1180"/>
      <c r="FF39" s="1180"/>
      <c r="FG39" s="1180"/>
      <c r="FH39" s="1180"/>
      <c r="FI39" s="1180"/>
      <c r="FJ39" s="1180"/>
      <c r="FK39" s="1180"/>
      <c r="FL39" s="1180"/>
      <c r="FM39" s="1180"/>
      <c r="FN39" s="1180"/>
      <c r="FO39" s="1180"/>
      <c r="FP39" s="1180"/>
      <c r="FQ39" s="1180"/>
      <c r="FR39" s="1180"/>
      <c r="FS39" s="1180"/>
      <c r="FT39" s="1180"/>
      <c r="FU39" s="1180"/>
      <c r="FV39" s="1180"/>
      <c r="FW39" s="1180"/>
      <c r="FX39" s="1180"/>
      <c r="FY39" s="1180"/>
      <c r="FZ39" s="1180"/>
      <c r="GA39" s="1180"/>
    </row>
    <row r="40" spans="1:183" s="1182" customFormat="1" ht="27.75" customHeight="1">
      <c r="A40" s="1118"/>
      <c r="B40" s="1125">
        <v>1</v>
      </c>
      <c r="C40" s="1126" t="s">
        <v>1180</v>
      </c>
      <c r="D40" s="1121" t="s">
        <v>972</v>
      </c>
      <c r="E40" s="1127">
        <v>220790</v>
      </c>
      <c r="F40" s="1124">
        <v>1</v>
      </c>
      <c r="G40" s="1128">
        <v>8</v>
      </c>
      <c r="H40" s="1167">
        <f t="shared" si="2"/>
        <v>1766320</v>
      </c>
      <c r="I40"/>
      <c r="J40" s="1180"/>
      <c r="K40" s="1180"/>
      <c r="L40" s="1180"/>
      <c r="M40" s="1180"/>
      <c r="N40" s="1180"/>
      <c r="O40" s="1180"/>
      <c r="P40" s="1180"/>
      <c r="Q40" s="1180"/>
      <c r="R40" s="1180"/>
      <c r="S40" s="1180"/>
      <c r="T40" s="1180"/>
      <c r="U40" s="1180"/>
      <c r="V40" s="1180"/>
      <c r="W40" s="1180"/>
      <c r="X40" s="1180"/>
      <c r="Y40" s="1180"/>
      <c r="Z40" s="1180"/>
      <c r="AA40" s="1180"/>
      <c r="AB40" s="1180"/>
      <c r="AC40" s="1180"/>
      <c r="AD40" s="1180"/>
      <c r="AE40" s="1180"/>
      <c r="AF40" s="1180"/>
      <c r="AG40" s="1180"/>
      <c r="AH40" s="1180"/>
      <c r="AI40" s="1180"/>
      <c r="AJ40" s="1180"/>
      <c r="AK40" s="1180"/>
      <c r="AL40" s="1180"/>
      <c r="AM40" s="1180"/>
      <c r="AN40" s="1180"/>
      <c r="AO40" s="1180"/>
      <c r="AP40" s="1180"/>
      <c r="AQ40" s="1180"/>
      <c r="AR40" s="1180"/>
      <c r="AS40" s="1180"/>
      <c r="AT40" s="1180"/>
      <c r="AU40" s="1180"/>
      <c r="AV40" s="1180"/>
      <c r="AW40" s="1180"/>
      <c r="AX40" s="1180"/>
      <c r="AY40" s="1180"/>
      <c r="AZ40" s="1180"/>
      <c r="BA40" s="1180"/>
      <c r="BB40" s="1180"/>
      <c r="BC40" s="1180"/>
      <c r="BD40" s="1180"/>
      <c r="BE40" s="1180"/>
      <c r="BF40" s="1180"/>
      <c r="BG40" s="1180"/>
      <c r="BH40" s="1180"/>
      <c r="BI40" s="1180"/>
      <c r="BJ40" s="1180"/>
      <c r="BK40" s="1180"/>
      <c r="BL40" s="1180"/>
      <c r="BM40" s="1180"/>
      <c r="BN40" s="1180"/>
      <c r="BO40" s="1180"/>
      <c r="BP40" s="1180"/>
      <c r="BQ40" s="1180"/>
      <c r="BR40" s="1180"/>
      <c r="BS40" s="1180"/>
      <c r="BT40" s="1180"/>
      <c r="BU40" s="1180"/>
      <c r="BV40" s="1180"/>
      <c r="BW40" s="1180"/>
      <c r="BX40" s="1180"/>
      <c r="BY40" s="1180"/>
      <c r="BZ40" s="1180"/>
      <c r="CA40" s="1180"/>
      <c r="CB40" s="1180"/>
      <c r="CC40" s="1180"/>
      <c r="CD40" s="1180"/>
      <c r="CE40" s="1180"/>
      <c r="CF40" s="1180"/>
      <c r="CG40" s="1180"/>
      <c r="CH40" s="1180"/>
      <c r="CI40" s="1180"/>
      <c r="CJ40" s="1180"/>
      <c r="CK40" s="1180"/>
      <c r="CL40" s="1180"/>
      <c r="CM40" s="1180"/>
      <c r="CN40" s="1180"/>
      <c r="CO40" s="1180"/>
      <c r="CP40" s="1180"/>
      <c r="CQ40" s="1180"/>
      <c r="CR40" s="1180"/>
      <c r="CS40" s="1180"/>
      <c r="CT40" s="1180"/>
      <c r="CU40" s="1180"/>
      <c r="CV40" s="1180"/>
      <c r="CW40" s="1180"/>
      <c r="CX40" s="1180"/>
      <c r="CY40" s="1180"/>
      <c r="CZ40" s="1180"/>
      <c r="DA40" s="1180"/>
      <c r="DB40" s="1180"/>
      <c r="DC40" s="1180"/>
      <c r="DD40" s="1180"/>
      <c r="DE40" s="1180"/>
      <c r="DF40" s="1180"/>
      <c r="DG40" s="1180"/>
      <c r="DH40" s="1180"/>
      <c r="DI40" s="1180"/>
      <c r="DJ40" s="1180"/>
      <c r="DK40" s="1180"/>
      <c r="DL40" s="1180"/>
      <c r="DM40" s="1180"/>
      <c r="DN40" s="1180"/>
      <c r="DO40" s="1180"/>
      <c r="DP40" s="1180"/>
      <c r="DQ40" s="1180"/>
      <c r="DR40" s="1180"/>
      <c r="DS40" s="1180"/>
      <c r="DT40" s="1180"/>
      <c r="DU40" s="1180"/>
      <c r="DV40" s="1180"/>
      <c r="DW40" s="1180"/>
      <c r="DX40" s="1180"/>
      <c r="DY40" s="1180"/>
      <c r="DZ40" s="1180"/>
      <c r="EA40" s="1180"/>
      <c r="EB40" s="1180"/>
      <c r="EC40" s="1180"/>
      <c r="ED40" s="1180"/>
      <c r="EE40" s="1180"/>
      <c r="EF40" s="1180"/>
      <c r="EG40" s="1180"/>
      <c r="EH40" s="1180"/>
      <c r="EI40" s="1180"/>
      <c r="EJ40" s="1180"/>
      <c r="EK40" s="1180"/>
      <c r="EL40" s="1180"/>
      <c r="EM40" s="1180"/>
      <c r="EN40" s="1180"/>
      <c r="EO40" s="1180"/>
      <c r="EP40" s="1180"/>
      <c r="EQ40" s="1180"/>
      <c r="ER40" s="1180"/>
      <c r="ES40" s="1180"/>
      <c r="ET40" s="1180"/>
      <c r="EU40" s="1180"/>
      <c r="EV40" s="1180"/>
      <c r="EW40" s="1180"/>
      <c r="EX40" s="1180"/>
      <c r="EY40" s="1180"/>
      <c r="EZ40" s="1180"/>
      <c r="FA40" s="1180"/>
      <c r="FB40" s="1180"/>
      <c r="FC40" s="1180"/>
      <c r="FD40" s="1180"/>
      <c r="FE40" s="1180"/>
      <c r="FF40" s="1180"/>
      <c r="FG40" s="1180"/>
      <c r="FH40" s="1180"/>
      <c r="FI40" s="1180"/>
      <c r="FJ40" s="1180"/>
      <c r="FK40" s="1180"/>
      <c r="FL40" s="1180"/>
      <c r="FM40" s="1180"/>
      <c r="FN40" s="1180"/>
      <c r="FO40" s="1180"/>
      <c r="FP40" s="1180"/>
      <c r="FQ40" s="1180"/>
      <c r="FR40" s="1180"/>
      <c r="FS40" s="1180"/>
      <c r="FT40" s="1180"/>
      <c r="FU40" s="1180"/>
      <c r="FV40" s="1180"/>
      <c r="FW40" s="1180"/>
      <c r="FX40" s="1180"/>
      <c r="FY40" s="1180"/>
      <c r="FZ40" s="1180"/>
      <c r="GA40" s="1180"/>
    </row>
    <row r="41" spans="1:183" s="1182" customFormat="1" ht="28.5" hidden="1">
      <c r="A41" s="1118"/>
      <c r="B41" s="1816" t="s">
        <v>1137</v>
      </c>
      <c r="C41" s="1816" t="s">
        <v>1164</v>
      </c>
      <c r="D41" s="1816" t="s">
        <v>1024</v>
      </c>
      <c r="E41" s="1131" t="s">
        <v>1181</v>
      </c>
      <c r="F41" s="1131" t="s">
        <v>1182</v>
      </c>
      <c r="G41" s="1131" t="s">
        <v>1166</v>
      </c>
      <c r="H41" s="1131" t="s">
        <v>1167</v>
      </c>
      <c r="I41"/>
      <c r="J41" s="1180"/>
      <c r="K41" s="1180"/>
      <c r="L41" s="1180"/>
      <c r="M41" s="1180"/>
      <c r="N41" s="1180"/>
      <c r="O41" s="1180"/>
      <c r="P41" s="1180"/>
      <c r="Q41" s="1180"/>
      <c r="R41" s="1180"/>
      <c r="S41" s="1180"/>
      <c r="T41" s="1180"/>
      <c r="U41" s="1180"/>
      <c r="V41" s="1180"/>
      <c r="W41" s="1180"/>
      <c r="X41" s="1180"/>
      <c r="Y41" s="1180"/>
      <c r="Z41" s="1180"/>
      <c r="AA41" s="1180"/>
      <c r="AB41" s="1180"/>
      <c r="AC41" s="1180"/>
      <c r="AD41" s="1180"/>
      <c r="AE41" s="1180"/>
      <c r="AF41" s="1180"/>
      <c r="AG41" s="1180"/>
      <c r="AH41" s="1180"/>
      <c r="AI41" s="1180"/>
      <c r="AJ41" s="1180"/>
      <c r="AK41" s="1180"/>
      <c r="AL41" s="1180"/>
      <c r="AM41" s="1180"/>
      <c r="AN41" s="1180"/>
      <c r="AO41" s="1180"/>
      <c r="AP41" s="1180"/>
      <c r="AQ41" s="1180"/>
      <c r="AR41" s="1180"/>
      <c r="AS41" s="1180"/>
      <c r="AT41" s="1180"/>
      <c r="AU41" s="1180"/>
      <c r="AV41" s="1180"/>
      <c r="AW41" s="1180"/>
      <c r="AX41" s="1180"/>
      <c r="AY41" s="1180"/>
      <c r="AZ41" s="1180"/>
      <c r="BA41" s="1180"/>
      <c r="BB41" s="1180"/>
      <c r="BC41" s="1180"/>
      <c r="BD41" s="1180"/>
      <c r="BE41" s="1180"/>
      <c r="BF41" s="1180"/>
      <c r="BG41" s="1180"/>
      <c r="BH41" s="1180"/>
      <c r="BI41" s="1180"/>
      <c r="BJ41" s="1180"/>
      <c r="BK41" s="1180"/>
      <c r="BL41" s="1180"/>
      <c r="BM41" s="1180"/>
      <c r="BN41" s="1180"/>
      <c r="BO41" s="1180"/>
      <c r="BP41" s="1180"/>
      <c r="BQ41" s="1180"/>
      <c r="BR41" s="1180"/>
      <c r="BS41" s="1180"/>
      <c r="BT41" s="1180"/>
      <c r="BU41" s="1180"/>
      <c r="BV41" s="1180"/>
      <c r="BW41" s="1180"/>
      <c r="BX41" s="1180"/>
      <c r="BY41" s="1180"/>
      <c r="BZ41" s="1180"/>
      <c r="CA41" s="1180"/>
      <c r="CB41" s="1180"/>
      <c r="CC41" s="1180"/>
      <c r="CD41" s="1180"/>
      <c r="CE41" s="1180"/>
      <c r="CF41" s="1180"/>
      <c r="CG41" s="1180"/>
      <c r="CH41" s="1180"/>
      <c r="CI41" s="1180"/>
      <c r="CJ41" s="1180"/>
      <c r="CK41" s="1180"/>
      <c r="CL41" s="1180"/>
      <c r="CM41" s="1180"/>
      <c r="CN41" s="1180"/>
      <c r="CO41" s="1180"/>
      <c r="CP41" s="1180"/>
      <c r="CQ41" s="1180"/>
      <c r="CR41" s="1180"/>
      <c r="CS41" s="1180"/>
      <c r="CT41" s="1180"/>
      <c r="CU41" s="1180"/>
      <c r="CV41" s="1180"/>
      <c r="CW41" s="1180"/>
      <c r="CX41" s="1180"/>
      <c r="CY41" s="1180"/>
      <c r="CZ41" s="1180"/>
      <c r="DA41" s="1180"/>
      <c r="DB41" s="1180"/>
      <c r="DC41" s="1180"/>
      <c r="DD41" s="1180"/>
      <c r="DE41" s="1180"/>
      <c r="DF41" s="1180"/>
      <c r="DG41" s="1180"/>
      <c r="DH41" s="1180"/>
      <c r="DI41" s="1180"/>
      <c r="DJ41" s="1180"/>
      <c r="DK41" s="1180"/>
      <c r="DL41" s="1180"/>
      <c r="DM41" s="1180"/>
      <c r="DN41" s="1180"/>
      <c r="DO41" s="1180"/>
      <c r="DP41" s="1180"/>
      <c r="DQ41" s="1180"/>
      <c r="DR41" s="1180"/>
      <c r="DS41" s="1180"/>
      <c r="DT41" s="1180"/>
      <c r="DU41" s="1180"/>
      <c r="DV41" s="1180"/>
      <c r="DW41" s="1180"/>
      <c r="DX41" s="1180"/>
      <c r="DY41" s="1180"/>
      <c r="DZ41" s="1180"/>
      <c r="EA41" s="1180"/>
      <c r="EB41" s="1180"/>
      <c r="EC41" s="1180"/>
      <c r="ED41" s="1180"/>
      <c r="EE41" s="1180"/>
      <c r="EF41" s="1180"/>
      <c r="EG41" s="1180"/>
      <c r="EH41" s="1180"/>
      <c r="EI41" s="1180"/>
      <c r="EJ41" s="1180"/>
      <c r="EK41" s="1180"/>
      <c r="EL41" s="1180"/>
      <c r="EM41" s="1180"/>
      <c r="EN41" s="1180"/>
      <c r="EO41" s="1180"/>
      <c r="EP41" s="1180"/>
      <c r="EQ41" s="1180"/>
      <c r="ER41" s="1180"/>
      <c r="ES41" s="1180"/>
      <c r="ET41" s="1180"/>
      <c r="EU41" s="1180"/>
      <c r="EV41" s="1180"/>
      <c r="EW41" s="1180"/>
      <c r="EX41" s="1180"/>
      <c r="EY41" s="1180"/>
      <c r="EZ41" s="1180"/>
      <c r="FA41" s="1180"/>
      <c r="FB41" s="1180"/>
      <c r="FC41" s="1180"/>
      <c r="FD41" s="1180"/>
      <c r="FE41" s="1180"/>
      <c r="FF41" s="1180"/>
      <c r="FG41" s="1180"/>
      <c r="FH41" s="1180"/>
      <c r="FI41" s="1180"/>
      <c r="FJ41" s="1180"/>
      <c r="FK41" s="1180"/>
      <c r="FL41" s="1180"/>
      <c r="FM41" s="1180"/>
      <c r="FN41" s="1180"/>
      <c r="FO41" s="1180"/>
      <c r="FP41" s="1180"/>
      <c r="FQ41" s="1180"/>
      <c r="FR41" s="1180"/>
      <c r="FS41" s="1180"/>
      <c r="FT41" s="1180"/>
      <c r="FU41" s="1180"/>
      <c r="FV41" s="1180"/>
      <c r="FW41" s="1180"/>
      <c r="FX41" s="1180"/>
      <c r="FY41" s="1180"/>
      <c r="FZ41" s="1180"/>
      <c r="GA41" s="1180"/>
    </row>
    <row r="42" spans="1:183" s="1182" customFormat="1" hidden="1">
      <c r="A42" s="1118"/>
      <c r="B42" s="1816"/>
      <c r="C42" s="1816"/>
      <c r="D42" s="1816"/>
      <c r="E42" s="1131" t="s">
        <v>1168</v>
      </c>
      <c r="F42" s="1131" t="s">
        <v>295</v>
      </c>
      <c r="G42" s="1131" t="s">
        <v>1144</v>
      </c>
      <c r="H42" s="1131" t="s">
        <v>1145</v>
      </c>
      <c r="I42"/>
      <c r="J42" s="1180"/>
      <c r="K42" s="1180"/>
      <c r="L42" s="1180"/>
      <c r="M42" s="1180"/>
      <c r="N42" s="1180"/>
      <c r="O42" s="1180"/>
      <c r="P42" s="1180"/>
      <c r="Q42" s="1180"/>
      <c r="R42" s="1180"/>
      <c r="S42" s="1180"/>
      <c r="T42" s="1180"/>
      <c r="U42" s="1180"/>
      <c r="V42" s="1180"/>
      <c r="W42" s="1180"/>
      <c r="X42" s="1180"/>
      <c r="Y42" s="1180"/>
      <c r="Z42" s="1180"/>
      <c r="AA42" s="1180"/>
      <c r="AB42" s="1180"/>
      <c r="AC42" s="1180"/>
      <c r="AD42" s="1180"/>
      <c r="AE42" s="1180"/>
      <c r="AF42" s="1180"/>
      <c r="AG42" s="1180"/>
      <c r="AH42" s="1180"/>
      <c r="AI42" s="1180"/>
      <c r="AJ42" s="1180"/>
      <c r="AK42" s="1180"/>
      <c r="AL42" s="1180"/>
      <c r="AM42" s="1180"/>
      <c r="AN42" s="1180"/>
      <c r="AO42" s="1180"/>
      <c r="AP42" s="1180"/>
      <c r="AQ42" s="1180"/>
      <c r="AR42" s="1180"/>
      <c r="AS42" s="1180"/>
      <c r="AT42" s="1180"/>
      <c r="AU42" s="1180"/>
      <c r="AV42" s="1180"/>
      <c r="AW42" s="1180"/>
      <c r="AX42" s="1180"/>
      <c r="AY42" s="1180"/>
      <c r="AZ42" s="1180"/>
      <c r="BA42" s="1180"/>
      <c r="BB42" s="1180"/>
      <c r="BC42" s="1180"/>
      <c r="BD42" s="1180"/>
      <c r="BE42" s="1180"/>
      <c r="BF42" s="1180"/>
      <c r="BG42" s="1180"/>
      <c r="BH42" s="1180"/>
      <c r="BI42" s="1180"/>
      <c r="BJ42" s="1180"/>
      <c r="BK42" s="1180"/>
      <c r="BL42" s="1180"/>
      <c r="BM42" s="1180"/>
      <c r="BN42" s="1180"/>
      <c r="BO42" s="1180"/>
      <c r="BP42" s="1180"/>
      <c r="BQ42" s="1180"/>
      <c r="BR42" s="1180"/>
      <c r="BS42" s="1180"/>
      <c r="BT42" s="1180"/>
      <c r="BU42" s="1180"/>
      <c r="BV42" s="1180"/>
      <c r="BW42" s="1180"/>
      <c r="BX42" s="1180"/>
      <c r="BY42" s="1180"/>
      <c r="BZ42" s="1180"/>
      <c r="CA42" s="1180"/>
      <c r="CB42" s="1180"/>
      <c r="CC42" s="1180"/>
      <c r="CD42" s="1180"/>
      <c r="CE42" s="1180"/>
      <c r="CF42" s="1180"/>
      <c r="CG42" s="1180"/>
      <c r="CH42" s="1180"/>
      <c r="CI42" s="1180"/>
      <c r="CJ42" s="1180"/>
      <c r="CK42" s="1180"/>
      <c r="CL42" s="1180"/>
      <c r="CM42" s="1180"/>
      <c r="CN42" s="1180"/>
      <c r="CO42" s="1180"/>
      <c r="CP42" s="1180"/>
      <c r="CQ42" s="1180"/>
      <c r="CR42" s="1180"/>
      <c r="CS42" s="1180"/>
      <c r="CT42" s="1180"/>
      <c r="CU42" s="1180"/>
      <c r="CV42" s="1180"/>
      <c r="CW42" s="1180"/>
      <c r="CX42" s="1180"/>
      <c r="CY42" s="1180"/>
      <c r="CZ42" s="1180"/>
      <c r="DA42" s="1180"/>
      <c r="DB42" s="1180"/>
      <c r="DC42" s="1180"/>
      <c r="DD42" s="1180"/>
      <c r="DE42" s="1180"/>
      <c r="DF42" s="1180"/>
      <c r="DG42" s="1180"/>
      <c r="DH42" s="1180"/>
      <c r="DI42" s="1180"/>
      <c r="DJ42" s="1180"/>
      <c r="DK42" s="1180"/>
      <c r="DL42" s="1180"/>
      <c r="DM42" s="1180"/>
      <c r="DN42" s="1180"/>
      <c r="DO42" s="1180"/>
      <c r="DP42" s="1180"/>
      <c r="DQ42" s="1180"/>
      <c r="DR42" s="1180"/>
      <c r="DS42" s="1180"/>
      <c r="DT42" s="1180"/>
      <c r="DU42" s="1180"/>
      <c r="DV42" s="1180"/>
      <c r="DW42" s="1180"/>
      <c r="DX42" s="1180"/>
      <c r="DY42" s="1180"/>
      <c r="DZ42" s="1180"/>
      <c r="EA42" s="1180"/>
      <c r="EB42" s="1180"/>
      <c r="EC42" s="1180"/>
      <c r="ED42" s="1180"/>
      <c r="EE42" s="1180"/>
      <c r="EF42" s="1180"/>
      <c r="EG42" s="1180"/>
      <c r="EH42" s="1180"/>
      <c r="EI42" s="1180"/>
      <c r="EJ42" s="1180"/>
      <c r="EK42" s="1180"/>
      <c r="EL42" s="1180"/>
      <c r="EM42" s="1180"/>
      <c r="EN42" s="1180"/>
      <c r="EO42" s="1180"/>
      <c r="EP42" s="1180"/>
      <c r="EQ42" s="1180"/>
      <c r="ER42" s="1180"/>
      <c r="ES42" s="1180"/>
      <c r="ET42" s="1180"/>
      <c r="EU42" s="1180"/>
      <c r="EV42" s="1180"/>
      <c r="EW42" s="1180"/>
      <c r="EX42" s="1180"/>
      <c r="EY42" s="1180"/>
      <c r="EZ42" s="1180"/>
      <c r="FA42" s="1180"/>
      <c r="FB42" s="1180"/>
      <c r="FC42" s="1180"/>
      <c r="FD42" s="1180"/>
      <c r="FE42" s="1180"/>
      <c r="FF42" s="1180"/>
      <c r="FG42" s="1180"/>
      <c r="FH42" s="1180"/>
      <c r="FI42" s="1180"/>
      <c r="FJ42" s="1180"/>
      <c r="FK42" s="1180"/>
      <c r="FL42" s="1180"/>
      <c r="FM42" s="1180"/>
      <c r="FN42" s="1180"/>
      <c r="FO42" s="1180"/>
      <c r="FP42" s="1180"/>
      <c r="FQ42" s="1180"/>
      <c r="FR42" s="1180"/>
      <c r="FS42" s="1180"/>
      <c r="FT42" s="1180"/>
      <c r="FU42" s="1180"/>
      <c r="FV42" s="1180"/>
      <c r="FW42" s="1180"/>
      <c r="FX42" s="1180"/>
      <c r="FY42" s="1180"/>
      <c r="FZ42" s="1180"/>
      <c r="GA42" s="1180"/>
    </row>
    <row r="43" spans="1:183" s="1182" customFormat="1" ht="29.25" hidden="1">
      <c r="A43" s="1118"/>
      <c r="B43" s="1163" t="s">
        <v>1183</v>
      </c>
      <c r="C43" s="1816"/>
      <c r="D43" s="1816"/>
      <c r="E43" s="1132" t="s">
        <v>1184</v>
      </c>
      <c r="F43" s="1132" t="s">
        <v>1185</v>
      </c>
      <c r="G43" s="1132" t="s">
        <v>1186</v>
      </c>
      <c r="H43" s="1164" t="s">
        <v>1187</v>
      </c>
      <c r="I43"/>
      <c r="J43" s="1180"/>
      <c r="K43" s="1180"/>
      <c r="L43" s="1180"/>
      <c r="M43" s="1180"/>
      <c r="N43" s="1180"/>
      <c r="O43" s="1180"/>
      <c r="P43" s="1180"/>
      <c r="Q43" s="1180"/>
      <c r="R43" s="1180"/>
      <c r="S43" s="1180"/>
      <c r="T43" s="1180"/>
      <c r="U43" s="1180"/>
      <c r="V43" s="1180"/>
      <c r="W43" s="1180"/>
      <c r="X43" s="1180"/>
      <c r="Y43" s="1180"/>
      <c r="Z43" s="1180"/>
      <c r="AA43" s="1180"/>
      <c r="AB43" s="1180"/>
      <c r="AC43" s="1180"/>
      <c r="AD43" s="1180"/>
      <c r="AE43" s="1180"/>
      <c r="AF43" s="1180"/>
      <c r="AG43" s="1180"/>
      <c r="AH43" s="1180"/>
      <c r="AI43" s="1180"/>
      <c r="AJ43" s="1180"/>
      <c r="AK43" s="1180"/>
      <c r="AL43" s="1180"/>
      <c r="AM43" s="1180"/>
      <c r="AN43" s="1180"/>
      <c r="AO43" s="1180"/>
      <c r="AP43" s="1180"/>
      <c r="AQ43" s="1180"/>
      <c r="AR43" s="1180"/>
      <c r="AS43" s="1180"/>
      <c r="AT43" s="1180"/>
      <c r="AU43" s="1180"/>
      <c r="AV43" s="1180"/>
      <c r="AW43" s="1180"/>
      <c r="AX43" s="1180"/>
      <c r="AY43" s="1180"/>
      <c r="AZ43" s="1180"/>
      <c r="BA43" s="1180"/>
      <c r="BB43" s="1180"/>
      <c r="BC43" s="1180"/>
      <c r="BD43" s="1180"/>
      <c r="BE43" s="1180"/>
      <c r="BF43" s="1180"/>
      <c r="BG43" s="1180"/>
      <c r="BH43" s="1180"/>
      <c r="BI43" s="1180"/>
      <c r="BJ43" s="1180"/>
      <c r="BK43" s="1180"/>
      <c r="BL43" s="1180"/>
      <c r="BM43" s="1180"/>
      <c r="BN43" s="1180"/>
      <c r="BO43" s="1180"/>
      <c r="BP43" s="1180"/>
      <c r="BQ43" s="1180"/>
      <c r="BR43" s="1180"/>
      <c r="BS43" s="1180"/>
      <c r="BT43" s="1180"/>
      <c r="BU43" s="1180"/>
      <c r="BV43" s="1180"/>
      <c r="BW43" s="1180"/>
      <c r="BX43" s="1180"/>
      <c r="BY43" s="1180"/>
      <c r="BZ43" s="1180"/>
      <c r="CA43" s="1180"/>
      <c r="CB43" s="1180"/>
      <c r="CC43" s="1180"/>
      <c r="CD43" s="1180"/>
      <c r="CE43" s="1180"/>
      <c r="CF43" s="1180"/>
      <c r="CG43" s="1180"/>
      <c r="CH43" s="1180"/>
      <c r="CI43" s="1180"/>
      <c r="CJ43" s="1180"/>
      <c r="CK43" s="1180"/>
      <c r="CL43" s="1180"/>
      <c r="CM43" s="1180"/>
      <c r="CN43" s="1180"/>
      <c r="CO43" s="1180"/>
      <c r="CP43" s="1180"/>
      <c r="CQ43" s="1180"/>
      <c r="CR43" s="1180"/>
      <c r="CS43" s="1180"/>
      <c r="CT43" s="1180"/>
      <c r="CU43" s="1180"/>
      <c r="CV43" s="1180"/>
      <c r="CW43" s="1180"/>
      <c r="CX43" s="1180"/>
      <c r="CY43" s="1180"/>
      <c r="CZ43" s="1180"/>
      <c r="DA43" s="1180"/>
      <c r="DB43" s="1180"/>
      <c r="DC43" s="1180"/>
      <c r="DD43" s="1180"/>
      <c r="DE43" s="1180"/>
      <c r="DF43" s="1180"/>
      <c r="DG43" s="1180"/>
      <c r="DH43" s="1180"/>
      <c r="DI43" s="1180"/>
      <c r="DJ43" s="1180"/>
      <c r="DK43" s="1180"/>
      <c r="DL43" s="1180"/>
      <c r="DM43" s="1180"/>
      <c r="DN43" s="1180"/>
      <c r="DO43" s="1180"/>
      <c r="DP43" s="1180"/>
      <c r="DQ43" s="1180"/>
      <c r="DR43" s="1180"/>
      <c r="DS43" s="1180"/>
      <c r="DT43" s="1180"/>
      <c r="DU43" s="1180"/>
      <c r="DV43" s="1180"/>
      <c r="DW43" s="1180"/>
      <c r="DX43" s="1180"/>
      <c r="DY43" s="1180"/>
      <c r="DZ43" s="1180"/>
      <c r="EA43" s="1180"/>
      <c r="EB43" s="1180"/>
      <c r="EC43" s="1180"/>
      <c r="ED43" s="1180"/>
      <c r="EE43" s="1180"/>
      <c r="EF43" s="1180"/>
      <c r="EG43" s="1180"/>
      <c r="EH43" s="1180"/>
      <c r="EI43" s="1180"/>
      <c r="EJ43" s="1180"/>
      <c r="EK43" s="1180"/>
      <c r="EL43" s="1180"/>
      <c r="EM43" s="1180"/>
      <c r="EN43" s="1180"/>
      <c r="EO43" s="1180"/>
      <c r="EP43" s="1180"/>
      <c r="EQ43" s="1180"/>
      <c r="ER43" s="1180"/>
      <c r="ES43" s="1180"/>
      <c r="ET43" s="1180"/>
      <c r="EU43" s="1180"/>
      <c r="EV43" s="1180"/>
      <c r="EW43" s="1180"/>
      <c r="EX43" s="1180"/>
      <c r="EY43" s="1180"/>
      <c r="EZ43" s="1180"/>
      <c r="FA43" s="1180"/>
      <c r="FB43" s="1180"/>
      <c r="FC43" s="1180"/>
      <c r="FD43" s="1180"/>
      <c r="FE43" s="1180"/>
      <c r="FF43" s="1180"/>
      <c r="FG43" s="1180"/>
      <c r="FH43" s="1180"/>
      <c r="FI43" s="1180"/>
      <c r="FJ43" s="1180"/>
      <c r="FK43" s="1180"/>
      <c r="FL43" s="1180"/>
      <c r="FM43" s="1180"/>
      <c r="FN43" s="1180"/>
      <c r="FO43" s="1180"/>
      <c r="FP43" s="1180"/>
      <c r="FQ43" s="1180"/>
      <c r="FR43" s="1180"/>
      <c r="FS43" s="1180"/>
      <c r="FT43" s="1180"/>
      <c r="FU43" s="1180"/>
      <c r="FV43" s="1180"/>
      <c r="FW43" s="1180"/>
      <c r="FX43" s="1180"/>
      <c r="FY43" s="1180"/>
      <c r="FZ43" s="1180"/>
      <c r="GA43" s="1180"/>
    </row>
    <row r="44" spans="1:183" s="1182" customFormat="1" hidden="1">
      <c r="A44" s="1118"/>
      <c r="B44" s="1815" t="s">
        <v>1188</v>
      </c>
      <c r="C44" s="1815"/>
      <c r="D44" s="1815"/>
      <c r="E44" s="1815"/>
      <c r="F44" s="1815"/>
      <c r="G44" s="1815"/>
      <c r="H44" s="1815"/>
      <c r="I44"/>
      <c r="J44" s="1180"/>
      <c r="K44" s="1180"/>
      <c r="L44" s="1180"/>
      <c r="M44" s="1180"/>
      <c r="N44" s="1180"/>
      <c r="O44" s="1180"/>
      <c r="P44" s="1180"/>
      <c r="Q44" s="1180"/>
      <c r="R44" s="1180"/>
      <c r="S44" s="1180"/>
      <c r="T44" s="1180"/>
      <c r="U44" s="1180"/>
      <c r="V44" s="1180"/>
      <c r="W44" s="1180"/>
      <c r="X44" s="1180"/>
      <c r="Y44" s="1180"/>
      <c r="Z44" s="1180"/>
      <c r="AA44" s="1180"/>
      <c r="AB44" s="1180"/>
      <c r="AC44" s="1180"/>
      <c r="AD44" s="1180"/>
      <c r="AE44" s="1180"/>
      <c r="AF44" s="1180"/>
      <c r="AG44" s="1180"/>
      <c r="AH44" s="1180"/>
      <c r="AI44" s="1180"/>
      <c r="AJ44" s="1180"/>
      <c r="AK44" s="1180"/>
      <c r="AL44" s="1180"/>
      <c r="AM44" s="1180"/>
      <c r="AN44" s="1180"/>
      <c r="AO44" s="1180"/>
      <c r="AP44" s="1180"/>
      <c r="AQ44" s="1180"/>
      <c r="AR44" s="1180"/>
      <c r="AS44" s="1180"/>
      <c r="AT44" s="1180"/>
      <c r="AU44" s="1180"/>
      <c r="AV44" s="1180"/>
      <c r="AW44" s="1180"/>
      <c r="AX44" s="1180"/>
      <c r="AY44" s="1180"/>
      <c r="AZ44" s="1180"/>
      <c r="BA44" s="1180"/>
      <c r="BB44" s="1180"/>
      <c r="BC44" s="1180"/>
      <c r="BD44" s="1180"/>
      <c r="BE44" s="1180"/>
      <c r="BF44" s="1180"/>
      <c r="BG44" s="1180"/>
      <c r="BH44" s="1180"/>
      <c r="BI44" s="1180"/>
      <c r="BJ44" s="1180"/>
      <c r="BK44" s="1180"/>
      <c r="BL44" s="1180"/>
      <c r="BM44" s="1180"/>
      <c r="BN44" s="1180"/>
      <c r="BO44" s="1180"/>
      <c r="BP44" s="1180"/>
      <c r="BQ44" s="1180"/>
      <c r="BR44" s="1180"/>
      <c r="BS44" s="1180"/>
      <c r="BT44" s="1180"/>
      <c r="BU44" s="1180"/>
      <c r="BV44" s="1180"/>
      <c r="BW44" s="1180"/>
      <c r="BX44" s="1180"/>
      <c r="BY44" s="1180"/>
      <c r="BZ44" s="1180"/>
      <c r="CA44" s="1180"/>
      <c r="CB44" s="1180"/>
      <c r="CC44" s="1180"/>
      <c r="CD44" s="1180"/>
      <c r="CE44" s="1180"/>
      <c r="CF44" s="1180"/>
      <c r="CG44" s="1180"/>
      <c r="CH44" s="1180"/>
      <c r="CI44" s="1180"/>
      <c r="CJ44" s="1180"/>
      <c r="CK44" s="1180"/>
      <c r="CL44" s="1180"/>
      <c r="CM44" s="1180"/>
      <c r="CN44" s="1180"/>
      <c r="CO44" s="1180"/>
      <c r="CP44" s="1180"/>
      <c r="CQ44" s="1180"/>
      <c r="CR44" s="1180"/>
      <c r="CS44" s="1180"/>
      <c r="CT44" s="1180"/>
      <c r="CU44" s="1180"/>
      <c r="CV44" s="1180"/>
      <c r="CW44" s="1180"/>
      <c r="CX44" s="1180"/>
      <c r="CY44" s="1180"/>
      <c r="CZ44" s="1180"/>
      <c r="DA44" s="1180"/>
      <c r="DB44" s="1180"/>
      <c r="DC44" s="1180"/>
      <c r="DD44" s="1180"/>
      <c r="DE44" s="1180"/>
      <c r="DF44" s="1180"/>
      <c r="DG44" s="1180"/>
      <c r="DH44" s="1180"/>
      <c r="DI44" s="1180"/>
      <c r="DJ44" s="1180"/>
      <c r="DK44" s="1180"/>
      <c r="DL44" s="1180"/>
      <c r="DM44" s="1180"/>
      <c r="DN44" s="1180"/>
      <c r="DO44" s="1180"/>
      <c r="DP44" s="1180"/>
      <c r="DQ44" s="1180"/>
      <c r="DR44" s="1180"/>
      <c r="DS44" s="1180"/>
      <c r="DT44" s="1180"/>
      <c r="DU44" s="1180"/>
      <c r="DV44" s="1180"/>
      <c r="DW44" s="1180"/>
      <c r="DX44" s="1180"/>
      <c r="DY44" s="1180"/>
      <c r="DZ44" s="1180"/>
      <c r="EA44" s="1180"/>
      <c r="EB44" s="1180"/>
      <c r="EC44" s="1180"/>
      <c r="ED44" s="1180"/>
      <c r="EE44" s="1180"/>
      <c r="EF44" s="1180"/>
      <c r="EG44" s="1180"/>
      <c r="EH44" s="1180"/>
      <c r="EI44" s="1180"/>
      <c r="EJ44" s="1180"/>
      <c r="EK44" s="1180"/>
      <c r="EL44" s="1180"/>
      <c r="EM44" s="1180"/>
      <c r="EN44" s="1180"/>
      <c r="EO44" s="1180"/>
      <c r="EP44" s="1180"/>
      <c r="EQ44" s="1180"/>
      <c r="ER44" s="1180"/>
      <c r="ES44" s="1180"/>
      <c r="ET44" s="1180"/>
      <c r="EU44" s="1180"/>
      <c r="EV44" s="1180"/>
      <c r="EW44" s="1180"/>
      <c r="EX44" s="1180"/>
      <c r="EY44" s="1180"/>
      <c r="EZ44" s="1180"/>
      <c r="FA44" s="1180"/>
      <c r="FB44" s="1180"/>
      <c r="FC44" s="1180"/>
      <c r="FD44" s="1180"/>
      <c r="FE44" s="1180"/>
      <c r="FF44" s="1180"/>
      <c r="FG44" s="1180"/>
      <c r="FH44" s="1180"/>
      <c r="FI44" s="1180"/>
      <c r="FJ44" s="1180"/>
      <c r="FK44" s="1180"/>
      <c r="FL44" s="1180"/>
      <c r="FM44" s="1180"/>
      <c r="FN44" s="1180"/>
      <c r="FO44" s="1180"/>
      <c r="FP44" s="1180"/>
      <c r="FQ44" s="1180"/>
      <c r="FR44" s="1180"/>
      <c r="FS44" s="1180"/>
      <c r="FT44" s="1180"/>
      <c r="FU44" s="1180"/>
      <c r="FV44" s="1180"/>
      <c r="FW44" s="1180"/>
      <c r="FX44" s="1180"/>
      <c r="FY44" s="1180"/>
      <c r="FZ44" s="1180"/>
      <c r="GA44" s="1180"/>
    </row>
    <row r="45" spans="1:183" s="1182" customFormat="1" hidden="1">
      <c r="A45" s="1118"/>
      <c r="B45" s="1125"/>
      <c r="C45" s="1126"/>
      <c r="D45" s="1121"/>
      <c r="E45" s="1129"/>
      <c r="F45" s="1128"/>
      <c r="G45" s="1128"/>
      <c r="H45" s="1167" t="str">
        <f>IF(B45="","",ROUND(B45*E45*F45*G45,0))</f>
        <v/>
      </c>
      <c r="I45"/>
      <c r="J45" s="1180"/>
      <c r="K45" s="1180"/>
      <c r="L45" s="1180"/>
      <c r="M45" s="1180"/>
      <c r="N45" s="1180"/>
      <c r="O45" s="1180"/>
      <c r="P45" s="1180"/>
      <c r="Q45" s="1180"/>
      <c r="R45" s="1180"/>
      <c r="S45" s="1180"/>
      <c r="T45" s="1180"/>
      <c r="U45" s="1180"/>
      <c r="V45" s="1180"/>
      <c r="W45" s="1180"/>
      <c r="X45" s="1180"/>
      <c r="Y45" s="1180"/>
      <c r="Z45" s="1180"/>
      <c r="AA45" s="1180"/>
      <c r="AB45" s="1180"/>
      <c r="AC45" s="1180"/>
      <c r="AD45" s="1180"/>
      <c r="AE45" s="1180"/>
      <c r="AF45" s="1180"/>
      <c r="AG45" s="1180"/>
      <c r="AH45" s="1180"/>
      <c r="AI45" s="1180"/>
      <c r="AJ45" s="1180"/>
      <c r="AK45" s="1180"/>
      <c r="AL45" s="1180"/>
      <c r="AM45" s="1180"/>
      <c r="AN45" s="1180"/>
      <c r="AO45" s="1180"/>
      <c r="AP45" s="1180"/>
      <c r="AQ45" s="1180"/>
      <c r="AR45" s="1180"/>
      <c r="AS45" s="1180"/>
      <c r="AT45" s="1180"/>
      <c r="AU45" s="1180"/>
      <c r="AV45" s="1180"/>
      <c r="AW45" s="1180"/>
      <c r="AX45" s="1180"/>
      <c r="AY45" s="1180"/>
      <c r="AZ45" s="1180"/>
      <c r="BA45" s="1180"/>
      <c r="BB45" s="1180"/>
      <c r="BC45" s="1180"/>
      <c r="BD45" s="1180"/>
      <c r="BE45" s="1180"/>
      <c r="BF45" s="1180"/>
      <c r="BG45" s="1180"/>
      <c r="BH45" s="1180"/>
      <c r="BI45" s="1180"/>
      <c r="BJ45" s="1180"/>
      <c r="BK45" s="1180"/>
      <c r="BL45" s="1180"/>
      <c r="BM45" s="1180"/>
      <c r="BN45" s="1180"/>
      <c r="BO45" s="1180"/>
      <c r="BP45" s="1180"/>
      <c r="BQ45" s="1180"/>
      <c r="BR45" s="1180"/>
      <c r="BS45" s="1180"/>
      <c r="BT45" s="1180"/>
      <c r="BU45" s="1180"/>
      <c r="BV45" s="1180"/>
      <c r="BW45" s="1180"/>
      <c r="BX45" s="1180"/>
      <c r="BY45" s="1180"/>
      <c r="BZ45" s="1180"/>
      <c r="CA45" s="1180"/>
      <c r="CB45" s="1180"/>
      <c r="CC45" s="1180"/>
      <c r="CD45" s="1180"/>
      <c r="CE45" s="1180"/>
      <c r="CF45" s="1180"/>
      <c r="CG45" s="1180"/>
      <c r="CH45" s="1180"/>
      <c r="CI45" s="1180"/>
      <c r="CJ45" s="1180"/>
      <c r="CK45" s="1180"/>
      <c r="CL45" s="1180"/>
      <c r="CM45" s="1180"/>
      <c r="CN45" s="1180"/>
      <c r="CO45" s="1180"/>
      <c r="CP45" s="1180"/>
      <c r="CQ45" s="1180"/>
      <c r="CR45" s="1180"/>
      <c r="CS45" s="1180"/>
      <c r="CT45" s="1180"/>
      <c r="CU45" s="1180"/>
      <c r="CV45" s="1180"/>
      <c r="CW45" s="1180"/>
      <c r="CX45" s="1180"/>
      <c r="CY45" s="1180"/>
      <c r="CZ45" s="1180"/>
      <c r="DA45" s="1180"/>
      <c r="DB45" s="1180"/>
      <c r="DC45" s="1180"/>
      <c r="DD45" s="1180"/>
      <c r="DE45" s="1180"/>
      <c r="DF45" s="1180"/>
      <c r="DG45" s="1180"/>
      <c r="DH45" s="1180"/>
      <c r="DI45" s="1180"/>
      <c r="DJ45" s="1180"/>
      <c r="DK45" s="1180"/>
      <c r="DL45" s="1180"/>
      <c r="DM45" s="1180"/>
      <c r="DN45" s="1180"/>
      <c r="DO45" s="1180"/>
      <c r="DP45" s="1180"/>
      <c r="DQ45" s="1180"/>
      <c r="DR45" s="1180"/>
      <c r="DS45" s="1180"/>
      <c r="DT45" s="1180"/>
      <c r="DU45" s="1180"/>
      <c r="DV45" s="1180"/>
      <c r="DW45" s="1180"/>
      <c r="DX45" s="1180"/>
      <c r="DY45" s="1180"/>
      <c r="DZ45" s="1180"/>
      <c r="EA45" s="1180"/>
      <c r="EB45" s="1180"/>
      <c r="EC45" s="1180"/>
      <c r="ED45" s="1180"/>
      <c r="EE45" s="1180"/>
      <c r="EF45" s="1180"/>
      <c r="EG45" s="1180"/>
      <c r="EH45" s="1180"/>
      <c r="EI45" s="1180"/>
      <c r="EJ45" s="1180"/>
      <c r="EK45" s="1180"/>
      <c r="EL45" s="1180"/>
      <c r="EM45" s="1180"/>
      <c r="EN45" s="1180"/>
      <c r="EO45" s="1180"/>
      <c r="EP45" s="1180"/>
      <c r="EQ45" s="1180"/>
      <c r="ER45" s="1180"/>
      <c r="ES45" s="1180"/>
      <c r="ET45" s="1180"/>
      <c r="EU45" s="1180"/>
      <c r="EV45" s="1180"/>
      <c r="EW45" s="1180"/>
      <c r="EX45" s="1180"/>
      <c r="EY45" s="1180"/>
      <c r="EZ45" s="1180"/>
      <c r="FA45" s="1180"/>
      <c r="FB45" s="1180"/>
      <c r="FC45" s="1180"/>
      <c r="FD45" s="1180"/>
      <c r="FE45" s="1180"/>
      <c r="FF45" s="1180"/>
      <c r="FG45" s="1180"/>
      <c r="FH45" s="1180"/>
      <c r="FI45" s="1180"/>
      <c r="FJ45" s="1180"/>
      <c r="FK45" s="1180"/>
      <c r="FL45" s="1180"/>
      <c r="FM45" s="1180"/>
      <c r="FN45" s="1180"/>
      <c r="FO45" s="1180"/>
      <c r="FP45" s="1180"/>
      <c r="FQ45" s="1180"/>
      <c r="FR45" s="1180"/>
      <c r="FS45" s="1180"/>
      <c r="FT45" s="1180"/>
      <c r="FU45" s="1180"/>
      <c r="FV45" s="1180"/>
      <c r="FW45" s="1180"/>
      <c r="FX45" s="1180"/>
      <c r="FY45" s="1180"/>
      <c r="FZ45" s="1180"/>
      <c r="GA45" s="1180"/>
    </row>
    <row r="46" spans="1:183" s="1182" customFormat="1" hidden="1">
      <c r="A46" s="1118"/>
      <c r="B46" s="1125"/>
      <c r="C46" s="1126"/>
      <c r="D46" s="1121"/>
      <c r="E46" s="1121"/>
      <c r="F46" s="1124"/>
      <c r="G46" s="1130"/>
      <c r="H46" s="1167" t="str">
        <f>IF(B46="","",ROUND(B46*E46*F46*G46,0))</f>
        <v/>
      </c>
      <c r="I46"/>
      <c r="J46" s="1180"/>
      <c r="K46" s="1180"/>
      <c r="L46" s="1180"/>
      <c r="M46" s="1180"/>
      <c r="N46" s="1180"/>
      <c r="O46" s="1180"/>
      <c r="P46" s="1180"/>
      <c r="Q46" s="1180"/>
      <c r="R46" s="1180"/>
      <c r="S46" s="1180"/>
      <c r="T46" s="1180"/>
      <c r="U46" s="1180"/>
      <c r="V46" s="1180"/>
      <c r="W46" s="1180"/>
      <c r="X46" s="1180"/>
      <c r="Y46" s="1180"/>
      <c r="Z46" s="1180"/>
      <c r="AA46" s="1180"/>
      <c r="AB46" s="1180"/>
      <c r="AC46" s="1180"/>
      <c r="AD46" s="1180"/>
      <c r="AE46" s="1180"/>
      <c r="AF46" s="1180"/>
      <c r="AG46" s="1180"/>
      <c r="AH46" s="1180"/>
      <c r="AI46" s="1180"/>
      <c r="AJ46" s="1180"/>
      <c r="AK46" s="1180"/>
      <c r="AL46" s="1180"/>
      <c r="AM46" s="1180"/>
      <c r="AN46" s="1180"/>
      <c r="AO46" s="1180"/>
      <c r="AP46" s="1180"/>
      <c r="AQ46" s="1180"/>
      <c r="AR46" s="1180"/>
      <c r="AS46" s="1180"/>
      <c r="AT46" s="1180"/>
      <c r="AU46" s="1180"/>
      <c r="AV46" s="1180"/>
      <c r="AW46" s="1180"/>
      <c r="AX46" s="1180"/>
      <c r="AY46" s="1180"/>
      <c r="AZ46" s="1180"/>
      <c r="BA46" s="1180"/>
      <c r="BB46" s="1180"/>
      <c r="BC46" s="1180"/>
      <c r="BD46" s="1180"/>
      <c r="BE46" s="1180"/>
      <c r="BF46" s="1180"/>
      <c r="BG46" s="1180"/>
      <c r="BH46" s="1180"/>
      <c r="BI46" s="1180"/>
      <c r="BJ46" s="1180"/>
      <c r="BK46" s="1180"/>
      <c r="BL46" s="1180"/>
      <c r="BM46" s="1180"/>
      <c r="BN46" s="1180"/>
      <c r="BO46" s="1180"/>
      <c r="BP46" s="1180"/>
      <c r="BQ46" s="1180"/>
      <c r="BR46" s="1180"/>
      <c r="BS46" s="1180"/>
      <c r="BT46" s="1180"/>
      <c r="BU46" s="1180"/>
      <c r="BV46" s="1180"/>
      <c r="BW46" s="1180"/>
      <c r="BX46" s="1180"/>
      <c r="BY46" s="1180"/>
      <c r="BZ46" s="1180"/>
      <c r="CA46" s="1180"/>
      <c r="CB46" s="1180"/>
      <c r="CC46" s="1180"/>
      <c r="CD46" s="1180"/>
      <c r="CE46" s="1180"/>
      <c r="CF46" s="1180"/>
      <c r="CG46" s="1180"/>
      <c r="CH46" s="1180"/>
      <c r="CI46" s="1180"/>
      <c r="CJ46" s="1180"/>
      <c r="CK46" s="1180"/>
      <c r="CL46" s="1180"/>
      <c r="CM46" s="1180"/>
      <c r="CN46" s="1180"/>
      <c r="CO46" s="1180"/>
      <c r="CP46" s="1180"/>
      <c r="CQ46" s="1180"/>
      <c r="CR46" s="1180"/>
      <c r="CS46" s="1180"/>
      <c r="CT46" s="1180"/>
      <c r="CU46" s="1180"/>
      <c r="CV46" s="1180"/>
      <c r="CW46" s="1180"/>
      <c r="CX46" s="1180"/>
      <c r="CY46" s="1180"/>
      <c r="CZ46" s="1180"/>
      <c r="DA46" s="1180"/>
      <c r="DB46" s="1180"/>
      <c r="DC46" s="1180"/>
      <c r="DD46" s="1180"/>
      <c r="DE46" s="1180"/>
      <c r="DF46" s="1180"/>
      <c r="DG46" s="1180"/>
      <c r="DH46" s="1180"/>
      <c r="DI46" s="1180"/>
      <c r="DJ46" s="1180"/>
      <c r="DK46" s="1180"/>
      <c r="DL46" s="1180"/>
      <c r="DM46" s="1180"/>
      <c r="DN46" s="1180"/>
      <c r="DO46" s="1180"/>
      <c r="DP46" s="1180"/>
      <c r="DQ46" s="1180"/>
      <c r="DR46" s="1180"/>
      <c r="DS46" s="1180"/>
      <c r="DT46" s="1180"/>
      <c r="DU46" s="1180"/>
      <c r="DV46" s="1180"/>
      <c r="DW46" s="1180"/>
      <c r="DX46" s="1180"/>
      <c r="DY46" s="1180"/>
      <c r="DZ46" s="1180"/>
      <c r="EA46" s="1180"/>
      <c r="EB46" s="1180"/>
      <c r="EC46" s="1180"/>
      <c r="ED46" s="1180"/>
      <c r="EE46" s="1180"/>
      <c r="EF46" s="1180"/>
      <c r="EG46" s="1180"/>
      <c r="EH46" s="1180"/>
      <c r="EI46" s="1180"/>
      <c r="EJ46" s="1180"/>
      <c r="EK46" s="1180"/>
      <c r="EL46" s="1180"/>
      <c r="EM46" s="1180"/>
      <c r="EN46" s="1180"/>
      <c r="EO46" s="1180"/>
      <c r="EP46" s="1180"/>
      <c r="EQ46" s="1180"/>
      <c r="ER46" s="1180"/>
      <c r="ES46" s="1180"/>
      <c r="ET46" s="1180"/>
      <c r="EU46" s="1180"/>
      <c r="EV46" s="1180"/>
      <c r="EW46" s="1180"/>
      <c r="EX46" s="1180"/>
      <c r="EY46" s="1180"/>
      <c r="EZ46" s="1180"/>
      <c r="FA46" s="1180"/>
      <c r="FB46" s="1180"/>
      <c r="FC46" s="1180"/>
      <c r="FD46" s="1180"/>
      <c r="FE46" s="1180"/>
      <c r="FF46" s="1180"/>
      <c r="FG46" s="1180"/>
      <c r="FH46" s="1180"/>
      <c r="FI46" s="1180"/>
      <c r="FJ46" s="1180"/>
      <c r="FK46" s="1180"/>
      <c r="FL46" s="1180"/>
      <c r="FM46" s="1180"/>
      <c r="FN46" s="1180"/>
      <c r="FO46" s="1180"/>
      <c r="FP46" s="1180"/>
      <c r="FQ46" s="1180"/>
      <c r="FR46" s="1180"/>
      <c r="FS46" s="1180"/>
      <c r="FT46" s="1180"/>
      <c r="FU46" s="1180"/>
      <c r="FV46" s="1180"/>
      <c r="FW46" s="1180"/>
      <c r="FX46" s="1180"/>
      <c r="FY46" s="1180"/>
      <c r="FZ46" s="1180"/>
      <c r="GA46" s="1180"/>
    </row>
    <row r="47" spans="1:183" s="1182" customFormat="1">
      <c r="A47" s="1118"/>
      <c r="B47" s="1816" t="s">
        <v>1137</v>
      </c>
      <c r="C47" s="1816" t="s">
        <v>1164</v>
      </c>
      <c r="D47" s="1817" t="s">
        <v>1024</v>
      </c>
      <c r="E47" s="1817" t="s">
        <v>1189</v>
      </c>
      <c r="F47" s="1817" t="s">
        <v>1190</v>
      </c>
      <c r="G47" s="1817"/>
      <c r="H47" s="1817" t="s">
        <v>1142</v>
      </c>
      <c r="I47"/>
      <c r="J47" s="1180"/>
      <c r="K47" s="1180"/>
      <c r="L47" s="1180"/>
      <c r="M47" s="1180"/>
      <c r="N47" s="1180"/>
      <c r="O47" s="1180"/>
      <c r="P47" s="1180"/>
      <c r="Q47" s="1180"/>
      <c r="R47" s="1180"/>
      <c r="S47" s="1180"/>
      <c r="T47" s="1180"/>
      <c r="U47" s="1180"/>
      <c r="V47" s="1180"/>
      <c r="W47" s="1180"/>
      <c r="X47" s="1180"/>
      <c r="Y47" s="1180"/>
      <c r="Z47" s="1180"/>
      <c r="AA47" s="1180"/>
      <c r="AB47" s="1180"/>
      <c r="AC47" s="1180"/>
      <c r="AD47" s="1180"/>
      <c r="AE47" s="1180"/>
      <c r="AF47" s="1180"/>
      <c r="AG47" s="1180"/>
      <c r="AH47" s="1180"/>
      <c r="AI47" s="1180"/>
      <c r="AJ47" s="1180"/>
      <c r="AK47" s="1180"/>
      <c r="AL47" s="1180"/>
      <c r="AM47" s="1180"/>
      <c r="AN47" s="1180"/>
      <c r="AO47" s="1180"/>
      <c r="AP47" s="1180"/>
      <c r="AQ47" s="1180"/>
      <c r="AR47" s="1180"/>
      <c r="AS47" s="1180"/>
      <c r="AT47" s="1180"/>
      <c r="AU47" s="1180"/>
      <c r="AV47" s="1180"/>
      <c r="AW47" s="1180"/>
      <c r="AX47" s="1180"/>
      <c r="AY47" s="1180"/>
      <c r="AZ47" s="1180"/>
      <c r="BA47" s="1180"/>
      <c r="BB47" s="1180"/>
      <c r="BC47" s="1180"/>
      <c r="BD47" s="1180"/>
      <c r="BE47" s="1180"/>
      <c r="BF47" s="1180"/>
      <c r="BG47" s="1180"/>
      <c r="BH47" s="1180"/>
      <c r="BI47" s="1180"/>
      <c r="BJ47" s="1180"/>
      <c r="BK47" s="1180"/>
      <c r="BL47" s="1180"/>
      <c r="BM47" s="1180"/>
      <c r="BN47" s="1180"/>
      <c r="BO47" s="1180"/>
      <c r="BP47" s="1180"/>
      <c r="BQ47" s="1180"/>
      <c r="BR47" s="1180"/>
      <c r="BS47" s="1180"/>
      <c r="BT47" s="1180"/>
      <c r="BU47" s="1180"/>
      <c r="BV47" s="1180"/>
      <c r="BW47" s="1180"/>
      <c r="BX47" s="1180"/>
      <c r="BY47" s="1180"/>
      <c r="BZ47" s="1180"/>
      <c r="CA47" s="1180"/>
      <c r="CB47" s="1180"/>
      <c r="CC47" s="1180"/>
      <c r="CD47" s="1180"/>
      <c r="CE47" s="1180"/>
      <c r="CF47" s="1180"/>
      <c r="CG47" s="1180"/>
      <c r="CH47" s="1180"/>
      <c r="CI47" s="1180"/>
      <c r="CJ47" s="1180"/>
      <c r="CK47" s="1180"/>
      <c r="CL47" s="1180"/>
      <c r="CM47" s="1180"/>
      <c r="CN47" s="1180"/>
      <c r="CO47" s="1180"/>
      <c r="CP47" s="1180"/>
      <c r="CQ47" s="1180"/>
      <c r="CR47" s="1180"/>
      <c r="CS47" s="1180"/>
      <c r="CT47" s="1180"/>
      <c r="CU47" s="1180"/>
      <c r="CV47" s="1180"/>
      <c r="CW47" s="1180"/>
      <c r="CX47" s="1180"/>
      <c r="CY47" s="1180"/>
      <c r="CZ47" s="1180"/>
      <c r="DA47" s="1180"/>
      <c r="DB47" s="1180"/>
      <c r="DC47" s="1180"/>
      <c r="DD47" s="1180"/>
      <c r="DE47" s="1180"/>
      <c r="DF47" s="1180"/>
      <c r="DG47" s="1180"/>
      <c r="DH47" s="1180"/>
      <c r="DI47" s="1180"/>
      <c r="DJ47" s="1180"/>
      <c r="DK47" s="1180"/>
      <c r="DL47" s="1180"/>
      <c r="DM47" s="1180"/>
      <c r="DN47" s="1180"/>
      <c r="DO47" s="1180"/>
      <c r="DP47" s="1180"/>
      <c r="DQ47" s="1180"/>
      <c r="DR47" s="1180"/>
      <c r="DS47" s="1180"/>
      <c r="DT47" s="1180"/>
      <c r="DU47" s="1180"/>
      <c r="DV47" s="1180"/>
      <c r="DW47" s="1180"/>
      <c r="DX47" s="1180"/>
      <c r="DY47" s="1180"/>
      <c r="DZ47" s="1180"/>
      <c r="EA47" s="1180"/>
      <c r="EB47" s="1180"/>
      <c r="EC47" s="1180"/>
      <c r="ED47" s="1180"/>
      <c r="EE47" s="1180"/>
      <c r="EF47" s="1180"/>
      <c r="EG47" s="1180"/>
      <c r="EH47" s="1180"/>
      <c r="EI47" s="1180"/>
      <c r="EJ47" s="1180"/>
      <c r="EK47" s="1180"/>
      <c r="EL47" s="1180"/>
      <c r="EM47" s="1180"/>
      <c r="EN47" s="1180"/>
      <c r="EO47" s="1180"/>
      <c r="EP47" s="1180"/>
      <c r="EQ47" s="1180"/>
      <c r="ER47" s="1180"/>
      <c r="ES47" s="1180"/>
      <c r="ET47" s="1180"/>
      <c r="EU47" s="1180"/>
      <c r="EV47" s="1180"/>
      <c r="EW47" s="1180"/>
      <c r="EX47" s="1180"/>
      <c r="EY47" s="1180"/>
      <c r="EZ47" s="1180"/>
      <c r="FA47" s="1180"/>
      <c r="FB47" s="1180"/>
      <c r="FC47" s="1180"/>
      <c r="FD47" s="1180"/>
      <c r="FE47" s="1180"/>
      <c r="FF47" s="1180"/>
      <c r="FG47" s="1180"/>
      <c r="FH47" s="1180"/>
      <c r="FI47" s="1180"/>
      <c r="FJ47" s="1180"/>
      <c r="FK47" s="1180"/>
      <c r="FL47" s="1180"/>
      <c r="FM47" s="1180"/>
      <c r="FN47" s="1180"/>
      <c r="FO47" s="1180"/>
      <c r="FP47" s="1180"/>
      <c r="FQ47" s="1180"/>
      <c r="FR47" s="1180"/>
      <c r="FS47" s="1180"/>
      <c r="FT47" s="1180"/>
      <c r="FU47" s="1180"/>
      <c r="FV47" s="1180"/>
      <c r="FW47" s="1180"/>
      <c r="FX47" s="1180"/>
      <c r="FY47" s="1180"/>
      <c r="FZ47" s="1180"/>
      <c r="GA47" s="1180"/>
    </row>
    <row r="48" spans="1:183" s="1182" customFormat="1">
      <c r="A48" s="1118"/>
      <c r="B48" s="1816"/>
      <c r="C48" s="1816"/>
      <c r="D48" s="1817"/>
      <c r="E48" s="1817" t="s">
        <v>1168</v>
      </c>
      <c r="F48" s="1817"/>
      <c r="G48" s="1817"/>
      <c r="H48" s="1817" t="s">
        <v>1145</v>
      </c>
      <c r="I48"/>
      <c r="J48" s="1180"/>
      <c r="K48" s="1180"/>
      <c r="L48" s="1180"/>
      <c r="M48" s="1180"/>
      <c r="N48" s="1180"/>
      <c r="O48" s="1180"/>
      <c r="P48" s="1180"/>
      <c r="Q48" s="1180"/>
      <c r="R48" s="1180"/>
      <c r="S48" s="1180"/>
      <c r="T48" s="1180"/>
      <c r="U48" s="1180"/>
      <c r="V48" s="1180"/>
      <c r="W48" s="1180"/>
      <c r="X48" s="1180"/>
      <c r="Y48" s="1180"/>
      <c r="Z48" s="1180"/>
      <c r="AA48" s="1180"/>
      <c r="AB48" s="1180"/>
      <c r="AC48" s="1180"/>
      <c r="AD48" s="1180"/>
      <c r="AE48" s="1180"/>
      <c r="AF48" s="1180"/>
      <c r="AG48" s="1180"/>
      <c r="AH48" s="1180"/>
      <c r="AI48" s="1180"/>
      <c r="AJ48" s="1180"/>
      <c r="AK48" s="1180"/>
      <c r="AL48" s="1180"/>
      <c r="AM48" s="1180"/>
      <c r="AN48" s="1180"/>
      <c r="AO48" s="1180"/>
      <c r="AP48" s="1180"/>
      <c r="AQ48" s="1180"/>
      <c r="AR48" s="1180"/>
      <c r="AS48" s="1180"/>
      <c r="AT48" s="1180"/>
      <c r="AU48" s="1180"/>
      <c r="AV48" s="1180"/>
      <c r="AW48" s="1180"/>
      <c r="AX48" s="1180"/>
      <c r="AY48" s="1180"/>
      <c r="AZ48" s="1180"/>
      <c r="BA48" s="1180"/>
      <c r="BB48" s="1180"/>
      <c r="BC48" s="1180"/>
      <c r="BD48" s="1180"/>
      <c r="BE48" s="1180"/>
      <c r="BF48" s="1180"/>
      <c r="BG48" s="1180"/>
      <c r="BH48" s="1180"/>
      <c r="BI48" s="1180"/>
      <c r="BJ48" s="1180"/>
      <c r="BK48" s="1180"/>
      <c r="BL48" s="1180"/>
      <c r="BM48" s="1180"/>
      <c r="BN48" s="1180"/>
      <c r="BO48" s="1180"/>
      <c r="BP48" s="1180"/>
      <c r="BQ48" s="1180"/>
      <c r="BR48" s="1180"/>
      <c r="BS48" s="1180"/>
      <c r="BT48" s="1180"/>
      <c r="BU48" s="1180"/>
      <c r="BV48" s="1180"/>
      <c r="BW48" s="1180"/>
      <c r="BX48" s="1180"/>
      <c r="BY48" s="1180"/>
      <c r="BZ48" s="1180"/>
      <c r="CA48" s="1180"/>
      <c r="CB48" s="1180"/>
      <c r="CC48" s="1180"/>
      <c r="CD48" s="1180"/>
      <c r="CE48" s="1180"/>
      <c r="CF48" s="1180"/>
      <c r="CG48" s="1180"/>
      <c r="CH48" s="1180"/>
      <c r="CI48" s="1180"/>
      <c r="CJ48" s="1180"/>
      <c r="CK48" s="1180"/>
      <c r="CL48" s="1180"/>
      <c r="CM48" s="1180"/>
      <c r="CN48" s="1180"/>
      <c r="CO48" s="1180"/>
      <c r="CP48" s="1180"/>
      <c r="CQ48" s="1180"/>
      <c r="CR48" s="1180"/>
      <c r="CS48" s="1180"/>
      <c r="CT48" s="1180"/>
      <c r="CU48" s="1180"/>
      <c r="CV48" s="1180"/>
      <c r="CW48" s="1180"/>
      <c r="CX48" s="1180"/>
      <c r="CY48" s="1180"/>
      <c r="CZ48" s="1180"/>
      <c r="DA48" s="1180"/>
      <c r="DB48" s="1180"/>
      <c r="DC48" s="1180"/>
      <c r="DD48" s="1180"/>
      <c r="DE48" s="1180"/>
      <c r="DF48" s="1180"/>
      <c r="DG48" s="1180"/>
      <c r="DH48" s="1180"/>
      <c r="DI48" s="1180"/>
      <c r="DJ48" s="1180"/>
      <c r="DK48" s="1180"/>
      <c r="DL48" s="1180"/>
      <c r="DM48" s="1180"/>
      <c r="DN48" s="1180"/>
      <c r="DO48" s="1180"/>
      <c r="DP48" s="1180"/>
      <c r="DQ48" s="1180"/>
      <c r="DR48" s="1180"/>
      <c r="DS48" s="1180"/>
      <c r="DT48" s="1180"/>
      <c r="DU48" s="1180"/>
      <c r="DV48" s="1180"/>
      <c r="DW48" s="1180"/>
      <c r="DX48" s="1180"/>
      <c r="DY48" s="1180"/>
      <c r="DZ48" s="1180"/>
      <c r="EA48" s="1180"/>
      <c r="EB48" s="1180"/>
      <c r="EC48" s="1180"/>
      <c r="ED48" s="1180"/>
      <c r="EE48" s="1180"/>
      <c r="EF48" s="1180"/>
      <c r="EG48" s="1180"/>
      <c r="EH48" s="1180"/>
      <c r="EI48" s="1180"/>
      <c r="EJ48" s="1180"/>
      <c r="EK48" s="1180"/>
      <c r="EL48" s="1180"/>
      <c r="EM48" s="1180"/>
      <c r="EN48" s="1180"/>
      <c r="EO48" s="1180"/>
      <c r="EP48" s="1180"/>
      <c r="EQ48" s="1180"/>
      <c r="ER48" s="1180"/>
      <c r="ES48" s="1180"/>
      <c r="ET48" s="1180"/>
      <c r="EU48" s="1180"/>
      <c r="EV48" s="1180"/>
      <c r="EW48" s="1180"/>
      <c r="EX48" s="1180"/>
      <c r="EY48" s="1180"/>
      <c r="EZ48" s="1180"/>
      <c r="FA48" s="1180"/>
      <c r="FB48" s="1180"/>
      <c r="FC48" s="1180"/>
      <c r="FD48" s="1180"/>
      <c r="FE48" s="1180"/>
      <c r="FF48" s="1180"/>
      <c r="FG48" s="1180"/>
      <c r="FH48" s="1180"/>
      <c r="FI48" s="1180"/>
      <c r="FJ48" s="1180"/>
      <c r="FK48" s="1180"/>
      <c r="FL48" s="1180"/>
      <c r="FM48" s="1180"/>
      <c r="FN48" s="1180"/>
      <c r="FO48" s="1180"/>
      <c r="FP48" s="1180"/>
      <c r="FQ48" s="1180"/>
      <c r="FR48" s="1180"/>
      <c r="FS48" s="1180"/>
      <c r="FT48" s="1180"/>
      <c r="FU48" s="1180"/>
      <c r="FV48" s="1180"/>
      <c r="FW48" s="1180"/>
      <c r="FX48" s="1180"/>
      <c r="FY48" s="1180"/>
      <c r="FZ48" s="1180"/>
      <c r="GA48" s="1180"/>
    </row>
    <row r="49" spans="1:183" s="1182" customFormat="1">
      <c r="A49" s="1118"/>
      <c r="B49" s="1163" t="s">
        <v>1191</v>
      </c>
      <c r="C49" s="1816"/>
      <c r="D49" s="1817"/>
      <c r="E49" s="1132" t="s">
        <v>1192</v>
      </c>
      <c r="F49" s="1817"/>
      <c r="G49" s="1817"/>
      <c r="H49" s="1164" t="s">
        <v>1193</v>
      </c>
      <c r="I49"/>
      <c r="J49" s="1180"/>
      <c r="K49" s="1180"/>
      <c r="L49" s="1180"/>
      <c r="M49" s="1180"/>
      <c r="N49" s="1180"/>
      <c r="O49" s="1180"/>
      <c r="P49" s="1180"/>
      <c r="Q49" s="1180"/>
      <c r="R49" s="1180"/>
      <c r="S49" s="1180"/>
      <c r="T49" s="1180"/>
      <c r="U49" s="1180"/>
      <c r="V49" s="1180"/>
      <c r="W49" s="1180"/>
      <c r="X49" s="1180"/>
      <c r="Y49" s="1180"/>
      <c r="Z49" s="1180"/>
      <c r="AA49" s="1180"/>
      <c r="AB49" s="1180"/>
      <c r="AC49" s="1180"/>
      <c r="AD49" s="1180"/>
      <c r="AE49" s="1180"/>
      <c r="AF49" s="1180"/>
      <c r="AG49" s="1180"/>
      <c r="AH49" s="1180"/>
      <c r="AI49" s="1180"/>
      <c r="AJ49" s="1180"/>
      <c r="AK49" s="1180"/>
      <c r="AL49" s="1180"/>
      <c r="AM49" s="1180"/>
      <c r="AN49" s="1180"/>
      <c r="AO49" s="1180"/>
      <c r="AP49" s="1180"/>
      <c r="AQ49" s="1180"/>
      <c r="AR49" s="1180"/>
      <c r="AS49" s="1180"/>
      <c r="AT49" s="1180"/>
      <c r="AU49" s="1180"/>
      <c r="AV49" s="1180"/>
      <c r="AW49" s="1180"/>
      <c r="AX49" s="1180"/>
      <c r="AY49" s="1180"/>
      <c r="AZ49" s="1180"/>
      <c r="BA49" s="1180"/>
      <c r="BB49" s="1180"/>
      <c r="BC49" s="1180"/>
      <c r="BD49" s="1180"/>
      <c r="BE49" s="1180"/>
      <c r="BF49" s="1180"/>
      <c r="BG49" s="1180"/>
      <c r="BH49" s="1180"/>
      <c r="BI49" s="1180"/>
      <c r="BJ49" s="1180"/>
      <c r="BK49" s="1180"/>
      <c r="BL49" s="1180"/>
      <c r="BM49" s="1180"/>
      <c r="BN49" s="1180"/>
      <c r="BO49" s="1180"/>
      <c r="BP49" s="1180"/>
      <c r="BQ49" s="1180"/>
      <c r="BR49" s="1180"/>
      <c r="BS49" s="1180"/>
      <c r="BT49" s="1180"/>
      <c r="BU49" s="1180"/>
      <c r="BV49" s="1180"/>
      <c r="BW49" s="1180"/>
      <c r="BX49" s="1180"/>
      <c r="BY49" s="1180"/>
      <c r="BZ49" s="1180"/>
      <c r="CA49" s="1180"/>
      <c r="CB49" s="1180"/>
      <c r="CC49" s="1180"/>
      <c r="CD49" s="1180"/>
      <c r="CE49" s="1180"/>
      <c r="CF49" s="1180"/>
      <c r="CG49" s="1180"/>
      <c r="CH49" s="1180"/>
      <c r="CI49" s="1180"/>
      <c r="CJ49" s="1180"/>
      <c r="CK49" s="1180"/>
      <c r="CL49" s="1180"/>
      <c r="CM49" s="1180"/>
      <c r="CN49" s="1180"/>
      <c r="CO49" s="1180"/>
      <c r="CP49" s="1180"/>
      <c r="CQ49" s="1180"/>
      <c r="CR49" s="1180"/>
      <c r="CS49" s="1180"/>
      <c r="CT49" s="1180"/>
      <c r="CU49" s="1180"/>
      <c r="CV49" s="1180"/>
      <c r="CW49" s="1180"/>
      <c r="CX49" s="1180"/>
      <c r="CY49" s="1180"/>
      <c r="CZ49" s="1180"/>
      <c r="DA49" s="1180"/>
      <c r="DB49" s="1180"/>
      <c r="DC49" s="1180"/>
      <c r="DD49" s="1180"/>
      <c r="DE49" s="1180"/>
      <c r="DF49" s="1180"/>
      <c r="DG49" s="1180"/>
      <c r="DH49" s="1180"/>
      <c r="DI49" s="1180"/>
      <c r="DJ49" s="1180"/>
      <c r="DK49" s="1180"/>
      <c r="DL49" s="1180"/>
      <c r="DM49" s="1180"/>
      <c r="DN49" s="1180"/>
      <c r="DO49" s="1180"/>
      <c r="DP49" s="1180"/>
      <c r="DQ49" s="1180"/>
      <c r="DR49" s="1180"/>
      <c r="DS49" s="1180"/>
      <c r="DT49" s="1180"/>
      <c r="DU49" s="1180"/>
      <c r="DV49" s="1180"/>
      <c r="DW49" s="1180"/>
      <c r="DX49" s="1180"/>
      <c r="DY49" s="1180"/>
      <c r="DZ49" s="1180"/>
      <c r="EA49" s="1180"/>
      <c r="EB49" s="1180"/>
      <c r="EC49" s="1180"/>
      <c r="ED49" s="1180"/>
      <c r="EE49" s="1180"/>
      <c r="EF49" s="1180"/>
      <c r="EG49" s="1180"/>
      <c r="EH49" s="1180"/>
      <c r="EI49" s="1180"/>
      <c r="EJ49" s="1180"/>
      <c r="EK49" s="1180"/>
      <c r="EL49" s="1180"/>
      <c r="EM49" s="1180"/>
      <c r="EN49" s="1180"/>
      <c r="EO49" s="1180"/>
      <c r="EP49" s="1180"/>
      <c r="EQ49" s="1180"/>
      <c r="ER49" s="1180"/>
      <c r="ES49" s="1180"/>
      <c r="ET49" s="1180"/>
      <c r="EU49" s="1180"/>
      <c r="EV49" s="1180"/>
      <c r="EW49" s="1180"/>
      <c r="EX49" s="1180"/>
      <c r="EY49" s="1180"/>
      <c r="EZ49" s="1180"/>
      <c r="FA49" s="1180"/>
      <c r="FB49" s="1180"/>
      <c r="FC49" s="1180"/>
      <c r="FD49" s="1180"/>
      <c r="FE49" s="1180"/>
      <c r="FF49" s="1180"/>
      <c r="FG49" s="1180"/>
      <c r="FH49" s="1180"/>
      <c r="FI49" s="1180"/>
      <c r="FJ49" s="1180"/>
      <c r="FK49" s="1180"/>
      <c r="FL49" s="1180"/>
      <c r="FM49" s="1180"/>
      <c r="FN49" s="1180"/>
      <c r="FO49" s="1180"/>
      <c r="FP49" s="1180"/>
      <c r="FQ49" s="1180"/>
      <c r="FR49" s="1180"/>
      <c r="FS49" s="1180"/>
      <c r="FT49" s="1180"/>
      <c r="FU49" s="1180"/>
      <c r="FV49" s="1180"/>
      <c r="FW49" s="1180"/>
      <c r="FX49" s="1180"/>
      <c r="FY49" s="1180"/>
      <c r="FZ49" s="1180"/>
      <c r="GA49" s="1180"/>
    </row>
    <row r="50" spans="1:183" s="1182" customFormat="1" ht="14.45" customHeight="1">
      <c r="A50" s="1118"/>
      <c r="B50" s="1815" t="s">
        <v>1194</v>
      </c>
      <c r="C50" s="1815"/>
      <c r="D50" s="1815"/>
      <c r="E50" s="1815"/>
      <c r="F50" s="1815"/>
      <c r="G50" s="1815"/>
      <c r="H50" s="1815"/>
      <c r="I50"/>
      <c r="J50" s="1180"/>
      <c r="K50" s="1180"/>
      <c r="L50" s="1180"/>
      <c r="M50" s="1180"/>
      <c r="N50" s="1180"/>
      <c r="O50" s="1180"/>
      <c r="P50" s="1180"/>
      <c r="Q50" s="1180"/>
      <c r="R50" s="1180"/>
      <c r="S50" s="1180"/>
      <c r="T50" s="1180"/>
      <c r="U50" s="1180"/>
      <c r="V50" s="1180"/>
      <c r="W50" s="1180"/>
      <c r="X50" s="1180"/>
      <c r="Y50" s="1180"/>
      <c r="Z50" s="1180"/>
      <c r="AA50" s="1180"/>
      <c r="AB50" s="1180"/>
      <c r="AC50" s="1180"/>
      <c r="AD50" s="1180"/>
      <c r="AE50" s="1180"/>
      <c r="AF50" s="1180"/>
      <c r="AG50" s="1180"/>
      <c r="AH50" s="1180"/>
      <c r="AI50" s="1180"/>
      <c r="AJ50" s="1180"/>
      <c r="AK50" s="1180"/>
      <c r="AL50" s="1180"/>
      <c r="AM50" s="1180"/>
      <c r="AN50" s="1180"/>
      <c r="AO50" s="1180"/>
      <c r="AP50" s="1180"/>
      <c r="AQ50" s="1180"/>
      <c r="AR50" s="1180"/>
      <c r="AS50" s="1180"/>
      <c r="AT50" s="1180"/>
      <c r="AU50" s="1180"/>
      <c r="AV50" s="1180"/>
      <c r="AW50" s="1180"/>
      <c r="AX50" s="1180"/>
      <c r="AY50" s="1180"/>
      <c r="AZ50" s="1180"/>
      <c r="BA50" s="1180"/>
      <c r="BB50" s="1180"/>
      <c r="BC50" s="1180"/>
      <c r="BD50" s="1180"/>
      <c r="BE50" s="1180"/>
      <c r="BF50" s="1180"/>
      <c r="BG50" s="1180"/>
      <c r="BH50" s="1180"/>
      <c r="BI50" s="1180"/>
      <c r="BJ50" s="1180"/>
      <c r="BK50" s="1180"/>
      <c r="BL50" s="1180"/>
      <c r="BM50" s="1180"/>
      <c r="BN50" s="1180"/>
      <c r="BO50" s="1180"/>
      <c r="BP50" s="1180"/>
      <c r="BQ50" s="1180"/>
      <c r="BR50" s="1180"/>
      <c r="BS50" s="1180"/>
      <c r="BT50" s="1180"/>
      <c r="BU50" s="1180"/>
      <c r="BV50" s="1180"/>
      <c r="BW50" s="1180"/>
      <c r="BX50" s="1180"/>
      <c r="BY50" s="1180"/>
      <c r="BZ50" s="1180"/>
      <c r="CA50" s="1180"/>
      <c r="CB50" s="1180"/>
      <c r="CC50" s="1180"/>
      <c r="CD50" s="1180"/>
      <c r="CE50" s="1180"/>
      <c r="CF50" s="1180"/>
      <c r="CG50" s="1180"/>
      <c r="CH50" s="1180"/>
      <c r="CI50" s="1180"/>
      <c r="CJ50" s="1180"/>
      <c r="CK50" s="1180"/>
      <c r="CL50" s="1180"/>
      <c r="CM50" s="1180"/>
      <c r="CN50" s="1180"/>
      <c r="CO50" s="1180"/>
      <c r="CP50" s="1180"/>
      <c r="CQ50" s="1180"/>
      <c r="CR50" s="1180"/>
      <c r="CS50" s="1180"/>
      <c r="CT50" s="1180"/>
      <c r="CU50" s="1180"/>
      <c r="CV50" s="1180"/>
      <c r="CW50" s="1180"/>
      <c r="CX50" s="1180"/>
      <c r="CY50" s="1180"/>
      <c r="CZ50" s="1180"/>
      <c r="DA50" s="1180"/>
      <c r="DB50" s="1180"/>
      <c r="DC50" s="1180"/>
      <c r="DD50" s="1180"/>
      <c r="DE50" s="1180"/>
      <c r="DF50" s="1180"/>
      <c r="DG50" s="1180"/>
      <c r="DH50" s="1180"/>
      <c r="DI50" s="1180"/>
      <c r="DJ50" s="1180"/>
      <c r="DK50" s="1180"/>
      <c r="DL50" s="1180"/>
      <c r="DM50" s="1180"/>
      <c r="DN50" s="1180"/>
      <c r="DO50" s="1180"/>
      <c r="DP50" s="1180"/>
      <c r="DQ50" s="1180"/>
      <c r="DR50" s="1180"/>
      <c r="DS50" s="1180"/>
      <c r="DT50" s="1180"/>
      <c r="DU50" s="1180"/>
      <c r="DV50" s="1180"/>
      <c r="DW50" s="1180"/>
      <c r="DX50" s="1180"/>
      <c r="DY50" s="1180"/>
      <c r="DZ50" s="1180"/>
      <c r="EA50" s="1180"/>
      <c r="EB50" s="1180"/>
      <c r="EC50" s="1180"/>
      <c r="ED50" s="1180"/>
      <c r="EE50" s="1180"/>
      <c r="EF50" s="1180"/>
      <c r="EG50" s="1180"/>
      <c r="EH50" s="1180"/>
      <c r="EI50" s="1180"/>
      <c r="EJ50" s="1180"/>
      <c r="EK50" s="1180"/>
      <c r="EL50" s="1180"/>
      <c r="EM50" s="1180"/>
      <c r="EN50" s="1180"/>
      <c r="EO50" s="1180"/>
      <c r="EP50" s="1180"/>
      <c r="EQ50" s="1180"/>
      <c r="ER50" s="1180"/>
      <c r="ES50" s="1180"/>
      <c r="ET50" s="1180"/>
      <c r="EU50" s="1180"/>
      <c r="EV50" s="1180"/>
      <c r="EW50" s="1180"/>
      <c r="EX50" s="1180"/>
      <c r="EY50" s="1180"/>
      <c r="EZ50" s="1180"/>
      <c r="FA50" s="1180"/>
      <c r="FB50" s="1180"/>
      <c r="FC50" s="1180"/>
      <c r="FD50" s="1180"/>
      <c r="FE50" s="1180"/>
      <c r="FF50" s="1180"/>
      <c r="FG50" s="1180"/>
      <c r="FH50" s="1180"/>
      <c r="FI50" s="1180"/>
      <c r="FJ50" s="1180"/>
      <c r="FK50" s="1180"/>
      <c r="FL50" s="1180"/>
      <c r="FM50" s="1180"/>
      <c r="FN50" s="1180"/>
      <c r="FO50" s="1180"/>
      <c r="FP50" s="1180"/>
      <c r="FQ50" s="1180"/>
      <c r="FR50" s="1180"/>
      <c r="FS50" s="1180"/>
      <c r="FT50" s="1180"/>
      <c r="FU50" s="1180"/>
      <c r="FV50" s="1180"/>
      <c r="FW50" s="1180"/>
      <c r="FX50" s="1180"/>
      <c r="FY50" s="1180"/>
      <c r="FZ50" s="1180"/>
      <c r="GA50" s="1180"/>
    </row>
    <row r="51" spans="1:183" s="1182" customFormat="1" ht="52.5" customHeight="1">
      <c r="A51" s="1118"/>
      <c r="B51" s="1125">
        <v>1</v>
      </c>
      <c r="C51" s="1126" t="s">
        <v>1195</v>
      </c>
      <c r="D51" s="1121" t="s">
        <v>492</v>
      </c>
      <c r="E51" s="1127">
        <v>874745</v>
      </c>
      <c r="F51" s="1817" t="s">
        <v>1190</v>
      </c>
      <c r="G51" s="1817"/>
      <c r="H51" s="1167">
        <f>IF(B51="","",ROUND(B51*E51,10))</f>
        <v>874745</v>
      </c>
      <c r="I51"/>
      <c r="J51" s="1180"/>
      <c r="K51" s="1180"/>
      <c r="L51" s="1180"/>
      <c r="M51" s="1180"/>
      <c r="N51" s="1180"/>
      <c r="O51" s="1180"/>
      <c r="P51" s="1180"/>
      <c r="Q51" s="1180"/>
      <c r="R51" s="1180"/>
      <c r="S51" s="1180"/>
      <c r="T51" s="1180"/>
      <c r="U51" s="1180"/>
      <c r="V51" s="1180"/>
      <c r="W51" s="1180"/>
      <c r="X51" s="1180"/>
      <c r="Y51" s="1180"/>
      <c r="Z51" s="1180"/>
      <c r="AA51" s="1180"/>
      <c r="AB51" s="1180"/>
      <c r="AC51" s="1180"/>
      <c r="AD51" s="1180"/>
      <c r="AE51" s="1180"/>
      <c r="AF51" s="1180"/>
      <c r="AG51" s="1180"/>
      <c r="AH51" s="1180"/>
      <c r="AI51" s="1180"/>
      <c r="AJ51" s="1180"/>
      <c r="AK51" s="1180"/>
      <c r="AL51" s="1180"/>
      <c r="AM51" s="1180"/>
      <c r="AN51" s="1180"/>
      <c r="AO51" s="1180"/>
      <c r="AP51" s="1180"/>
      <c r="AQ51" s="1180"/>
      <c r="AR51" s="1180"/>
      <c r="AS51" s="1180"/>
      <c r="AT51" s="1180"/>
      <c r="AU51" s="1180"/>
      <c r="AV51" s="1180"/>
      <c r="AW51" s="1180"/>
      <c r="AX51" s="1180"/>
      <c r="AY51" s="1180"/>
      <c r="AZ51" s="1180"/>
      <c r="BA51" s="1180"/>
      <c r="BB51" s="1180"/>
      <c r="BC51" s="1180"/>
      <c r="BD51" s="1180"/>
      <c r="BE51" s="1180"/>
      <c r="BF51" s="1180"/>
      <c r="BG51" s="1180"/>
      <c r="BH51" s="1180"/>
      <c r="BI51" s="1180"/>
      <c r="BJ51" s="1180"/>
      <c r="BK51" s="1180"/>
      <c r="BL51" s="1180"/>
      <c r="BM51" s="1180"/>
      <c r="BN51" s="1180"/>
      <c r="BO51" s="1180"/>
      <c r="BP51" s="1180"/>
      <c r="BQ51" s="1180"/>
      <c r="BR51" s="1180"/>
      <c r="BS51" s="1180"/>
      <c r="BT51" s="1180"/>
      <c r="BU51" s="1180"/>
      <c r="BV51" s="1180"/>
      <c r="BW51" s="1180"/>
      <c r="BX51" s="1180"/>
      <c r="BY51" s="1180"/>
      <c r="BZ51" s="1180"/>
      <c r="CA51" s="1180"/>
      <c r="CB51" s="1180"/>
      <c r="CC51" s="1180"/>
      <c r="CD51" s="1180"/>
      <c r="CE51" s="1180"/>
      <c r="CF51" s="1180"/>
      <c r="CG51" s="1180"/>
      <c r="CH51" s="1180"/>
      <c r="CI51" s="1180"/>
      <c r="CJ51" s="1180"/>
      <c r="CK51" s="1180"/>
      <c r="CL51" s="1180"/>
      <c r="CM51" s="1180"/>
      <c r="CN51" s="1180"/>
      <c r="CO51" s="1180"/>
      <c r="CP51" s="1180"/>
      <c r="CQ51" s="1180"/>
      <c r="CR51" s="1180"/>
      <c r="CS51" s="1180"/>
      <c r="CT51" s="1180"/>
      <c r="CU51" s="1180"/>
      <c r="CV51" s="1180"/>
      <c r="CW51" s="1180"/>
      <c r="CX51" s="1180"/>
      <c r="CY51" s="1180"/>
      <c r="CZ51" s="1180"/>
      <c r="DA51" s="1180"/>
      <c r="DB51" s="1180"/>
      <c r="DC51" s="1180"/>
      <c r="DD51" s="1180"/>
      <c r="DE51" s="1180"/>
      <c r="DF51" s="1180"/>
      <c r="DG51" s="1180"/>
      <c r="DH51" s="1180"/>
      <c r="DI51" s="1180"/>
      <c r="DJ51" s="1180"/>
      <c r="DK51" s="1180"/>
      <c r="DL51" s="1180"/>
      <c r="DM51" s="1180"/>
      <c r="DN51" s="1180"/>
      <c r="DO51" s="1180"/>
      <c r="DP51" s="1180"/>
      <c r="DQ51" s="1180"/>
      <c r="DR51" s="1180"/>
      <c r="DS51" s="1180"/>
      <c r="DT51" s="1180"/>
      <c r="DU51" s="1180"/>
      <c r="DV51" s="1180"/>
      <c r="DW51" s="1180"/>
      <c r="DX51" s="1180"/>
      <c r="DY51" s="1180"/>
      <c r="DZ51" s="1180"/>
      <c r="EA51" s="1180"/>
      <c r="EB51" s="1180"/>
      <c r="EC51" s="1180"/>
      <c r="ED51" s="1180"/>
      <c r="EE51" s="1180"/>
      <c r="EF51" s="1180"/>
      <c r="EG51" s="1180"/>
      <c r="EH51" s="1180"/>
      <c r="EI51" s="1180"/>
      <c r="EJ51" s="1180"/>
      <c r="EK51" s="1180"/>
      <c r="EL51" s="1180"/>
      <c r="EM51" s="1180"/>
      <c r="EN51" s="1180"/>
      <c r="EO51" s="1180"/>
      <c r="EP51" s="1180"/>
      <c r="EQ51" s="1180"/>
      <c r="ER51" s="1180"/>
      <c r="ES51" s="1180"/>
      <c r="ET51" s="1180"/>
      <c r="EU51" s="1180"/>
      <c r="EV51" s="1180"/>
      <c r="EW51" s="1180"/>
      <c r="EX51" s="1180"/>
      <c r="EY51" s="1180"/>
      <c r="EZ51" s="1180"/>
      <c r="FA51" s="1180"/>
      <c r="FB51" s="1180"/>
      <c r="FC51" s="1180"/>
      <c r="FD51" s="1180"/>
      <c r="FE51" s="1180"/>
      <c r="FF51" s="1180"/>
      <c r="FG51" s="1180"/>
      <c r="FH51" s="1180"/>
      <c r="FI51" s="1180"/>
      <c r="FJ51" s="1180"/>
      <c r="FK51" s="1180"/>
      <c r="FL51" s="1180"/>
      <c r="FM51" s="1180"/>
      <c r="FN51" s="1180"/>
      <c r="FO51" s="1180"/>
      <c r="FP51" s="1180"/>
      <c r="FQ51" s="1180"/>
      <c r="FR51" s="1180"/>
      <c r="FS51" s="1180"/>
      <c r="FT51" s="1180"/>
      <c r="FU51" s="1180"/>
      <c r="FV51" s="1180"/>
      <c r="FW51" s="1180"/>
      <c r="FX51" s="1180"/>
      <c r="FY51" s="1180"/>
      <c r="FZ51" s="1180"/>
      <c r="GA51" s="1180"/>
    </row>
    <row r="52" spans="1:183" s="1182" customFormat="1">
      <c r="A52" s="1118"/>
      <c r="B52" s="1815" t="s">
        <v>1196</v>
      </c>
      <c r="C52" s="1815"/>
      <c r="D52" s="1815"/>
      <c r="E52" s="1815"/>
      <c r="F52" s="1815"/>
      <c r="G52" s="1815"/>
      <c r="H52" s="1815"/>
      <c r="I52"/>
      <c r="J52" s="1180"/>
      <c r="K52" s="1180"/>
      <c r="L52" s="1180"/>
      <c r="M52" s="1180"/>
      <c r="N52" s="1180"/>
      <c r="O52" s="1180"/>
      <c r="P52" s="1180"/>
      <c r="Q52" s="1180"/>
      <c r="R52" s="1180"/>
      <c r="S52" s="1180"/>
      <c r="T52" s="1180"/>
      <c r="U52" s="1180"/>
      <c r="V52" s="1180"/>
      <c r="W52" s="1180"/>
      <c r="X52" s="1180"/>
      <c r="Y52" s="1180"/>
      <c r="Z52" s="1180"/>
      <c r="AA52" s="1180"/>
      <c r="AB52" s="1180"/>
      <c r="AC52" s="1180"/>
      <c r="AD52" s="1180"/>
      <c r="AE52" s="1180"/>
      <c r="AF52" s="1180"/>
      <c r="AG52" s="1180"/>
      <c r="AH52" s="1180"/>
      <c r="AI52" s="1180"/>
      <c r="AJ52" s="1180"/>
      <c r="AK52" s="1180"/>
      <c r="AL52" s="1180"/>
      <c r="AM52" s="1180"/>
      <c r="AN52" s="1180"/>
      <c r="AO52" s="1180"/>
      <c r="AP52" s="1180"/>
      <c r="AQ52" s="1180"/>
      <c r="AR52" s="1180"/>
      <c r="AS52" s="1180"/>
      <c r="AT52" s="1180"/>
      <c r="AU52" s="1180"/>
      <c r="AV52" s="1180"/>
      <c r="AW52" s="1180"/>
      <c r="AX52" s="1180"/>
      <c r="AY52" s="1180"/>
      <c r="AZ52" s="1180"/>
      <c r="BA52" s="1180"/>
      <c r="BB52" s="1180"/>
      <c r="BC52" s="1180"/>
      <c r="BD52" s="1180"/>
      <c r="BE52" s="1180"/>
      <c r="BF52" s="1180"/>
      <c r="BG52" s="1180"/>
      <c r="BH52" s="1180"/>
      <c r="BI52" s="1180"/>
      <c r="BJ52" s="1180"/>
      <c r="BK52" s="1180"/>
      <c r="BL52" s="1180"/>
      <c r="BM52" s="1180"/>
      <c r="BN52" s="1180"/>
      <c r="BO52" s="1180"/>
      <c r="BP52" s="1180"/>
      <c r="BQ52" s="1180"/>
      <c r="BR52" s="1180"/>
      <c r="BS52" s="1180"/>
      <c r="BT52" s="1180"/>
      <c r="BU52" s="1180"/>
      <c r="BV52" s="1180"/>
      <c r="BW52" s="1180"/>
      <c r="BX52" s="1180"/>
      <c r="BY52" s="1180"/>
      <c r="BZ52" s="1180"/>
      <c r="CA52" s="1180"/>
      <c r="CB52" s="1180"/>
      <c r="CC52" s="1180"/>
      <c r="CD52" s="1180"/>
      <c r="CE52" s="1180"/>
      <c r="CF52" s="1180"/>
      <c r="CG52" s="1180"/>
      <c r="CH52" s="1180"/>
      <c r="CI52" s="1180"/>
      <c r="CJ52" s="1180"/>
      <c r="CK52" s="1180"/>
      <c r="CL52" s="1180"/>
      <c r="CM52" s="1180"/>
      <c r="CN52" s="1180"/>
      <c r="CO52" s="1180"/>
      <c r="CP52" s="1180"/>
      <c r="CQ52" s="1180"/>
      <c r="CR52" s="1180"/>
      <c r="CS52" s="1180"/>
      <c r="CT52" s="1180"/>
      <c r="CU52" s="1180"/>
      <c r="CV52" s="1180"/>
      <c r="CW52" s="1180"/>
      <c r="CX52" s="1180"/>
      <c r="CY52" s="1180"/>
      <c r="CZ52" s="1180"/>
      <c r="DA52" s="1180"/>
      <c r="DB52" s="1180"/>
      <c r="DC52" s="1180"/>
      <c r="DD52" s="1180"/>
      <c r="DE52" s="1180"/>
      <c r="DF52" s="1180"/>
      <c r="DG52" s="1180"/>
      <c r="DH52" s="1180"/>
      <c r="DI52" s="1180"/>
      <c r="DJ52" s="1180"/>
      <c r="DK52" s="1180"/>
      <c r="DL52" s="1180"/>
      <c r="DM52" s="1180"/>
      <c r="DN52" s="1180"/>
      <c r="DO52" s="1180"/>
      <c r="DP52" s="1180"/>
      <c r="DQ52" s="1180"/>
      <c r="DR52" s="1180"/>
      <c r="DS52" s="1180"/>
      <c r="DT52" s="1180"/>
      <c r="DU52" s="1180"/>
      <c r="DV52" s="1180"/>
      <c r="DW52" s="1180"/>
      <c r="DX52" s="1180"/>
      <c r="DY52" s="1180"/>
      <c r="DZ52" s="1180"/>
      <c r="EA52" s="1180"/>
      <c r="EB52" s="1180"/>
      <c r="EC52" s="1180"/>
      <c r="ED52" s="1180"/>
      <c r="EE52" s="1180"/>
      <c r="EF52" s="1180"/>
      <c r="EG52" s="1180"/>
      <c r="EH52" s="1180"/>
      <c r="EI52" s="1180"/>
      <c r="EJ52" s="1180"/>
      <c r="EK52" s="1180"/>
      <c r="EL52" s="1180"/>
      <c r="EM52" s="1180"/>
      <c r="EN52" s="1180"/>
      <c r="EO52" s="1180"/>
      <c r="EP52" s="1180"/>
      <c r="EQ52" s="1180"/>
      <c r="ER52" s="1180"/>
      <c r="ES52" s="1180"/>
      <c r="ET52" s="1180"/>
      <c r="EU52" s="1180"/>
      <c r="EV52" s="1180"/>
      <c r="EW52" s="1180"/>
      <c r="EX52" s="1180"/>
      <c r="EY52" s="1180"/>
      <c r="EZ52" s="1180"/>
      <c r="FA52" s="1180"/>
      <c r="FB52" s="1180"/>
      <c r="FC52" s="1180"/>
      <c r="FD52" s="1180"/>
      <c r="FE52" s="1180"/>
      <c r="FF52" s="1180"/>
      <c r="FG52" s="1180"/>
      <c r="FH52" s="1180"/>
      <c r="FI52" s="1180"/>
      <c r="FJ52" s="1180"/>
      <c r="FK52" s="1180"/>
      <c r="FL52" s="1180"/>
      <c r="FM52" s="1180"/>
      <c r="FN52" s="1180"/>
      <c r="FO52" s="1180"/>
      <c r="FP52" s="1180"/>
      <c r="FQ52" s="1180"/>
      <c r="FR52" s="1180"/>
      <c r="FS52" s="1180"/>
      <c r="FT52" s="1180"/>
      <c r="FU52" s="1180"/>
      <c r="FV52" s="1180"/>
      <c r="FW52" s="1180"/>
      <c r="FX52" s="1180"/>
      <c r="FY52" s="1180"/>
      <c r="FZ52" s="1180"/>
      <c r="GA52" s="1180"/>
    </row>
    <row r="53" spans="1:183" s="1182" customFormat="1">
      <c r="A53" s="1118"/>
      <c r="B53" s="1125">
        <v>1</v>
      </c>
      <c r="C53" s="1133" t="s">
        <v>1197</v>
      </c>
      <c r="D53" s="1134" t="s">
        <v>1198</v>
      </c>
      <c r="E53" s="1135">
        <v>10000000</v>
      </c>
      <c r="F53" s="1818"/>
      <c r="G53" s="1819"/>
      <c r="H53" s="1167">
        <f>E53</f>
        <v>10000000</v>
      </c>
      <c r="I53"/>
      <c r="J53" s="1180"/>
      <c r="K53" s="1180"/>
      <c r="L53" s="1180"/>
      <c r="M53" s="1180"/>
      <c r="N53" s="1180"/>
      <c r="O53" s="1180"/>
      <c r="P53" s="1180"/>
      <c r="Q53" s="1180"/>
      <c r="R53" s="1180"/>
      <c r="S53" s="1180"/>
      <c r="T53" s="1180"/>
      <c r="U53" s="1180"/>
      <c r="V53" s="1180"/>
      <c r="W53" s="1180"/>
      <c r="X53" s="1180"/>
      <c r="Y53" s="1180"/>
      <c r="Z53" s="1180"/>
      <c r="AA53" s="1180"/>
      <c r="AB53" s="1180"/>
      <c r="AC53" s="1180"/>
      <c r="AD53" s="1180"/>
      <c r="AE53" s="1180"/>
      <c r="AF53" s="1180"/>
      <c r="AG53" s="1180"/>
      <c r="AH53" s="1180"/>
      <c r="AI53" s="1180"/>
      <c r="AJ53" s="1180"/>
      <c r="AK53" s="1180"/>
      <c r="AL53" s="1180"/>
      <c r="AM53" s="1180"/>
      <c r="AN53" s="1180"/>
      <c r="AO53" s="1180"/>
      <c r="AP53" s="1180"/>
      <c r="AQ53" s="1180"/>
      <c r="AR53" s="1180"/>
      <c r="AS53" s="1180"/>
      <c r="AT53" s="1180"/>
      <c r="AU53" s="1180"/>
      <c r="AV53" s="1180"/>
      <c r="AW53" s="1180"/>
      <c r="AX53" s="1180"/>
      <c r="AY53" s="1180"/>
      <c r="AZ53" s="1180"/>
      <c r="BA53" s="1180"/>
      <c r="BB53" s="1180"/>
      <c r="BC53" s="1180"/>
      <c r="BD53" s="1180"/>
      <c r="BE53" s="1180"/>
      <c r="BF53" s="1180"/>
      <c r="BG53" s="1180"/>
      <c r="BH53" s="1180"/>
      <c r="BI53" s="1180"/>
      <c r="BJ53" s="1180"/>
      <c r="BK53" s="1180"/>
      <c r="BL53" s="1180"/>
      <c r="BM53" s="1180"/>
      <c r="BN53" s="1180"/>
      <c r="BO53" s="1180"/>
      <c r="BP53" s="1180"/>
      <c r="BQ53" s="1180"/>
      <c r="BR53" s="1180"/>
      <c r="BS53" s="1180"/>
      <c r="BT53" s="1180"/>
      <c r="BU53" s="1180"/>
      <c r="BV53" s="1180"/>
      <c r="BW53" s="1180"/>
      <c r="BX53" s="1180"/>
      <c r="BY53" s="1180"/>
      <c r="BZ53" s="1180"/>
      <c r="CA53" s="1180"/>
      <c r="CB53" s="1180"/>
      <c r="CC53" s="1180"/>
      <c r="CD53" s="1180"/>
      <c r="CE53" s="1180"/>
      <c r="CF53" s="1180"/>
      <c r="CG53" s="1180"/>
      <c r="CH53" s="1180"/>
      <c r="CI53" s="1180"/>
      <c r="CJ53" s="1180"/>
      <c r="CK53" s="1180"/>
      <c r="CL53" s="1180"/>
      <c r="CM53" s="1180"/>
      <c r="CN53" s="1180"/>
      <c r="CO53" s="1180"/>
      <c r="CP53" s="1180"/>
      <c r="CQ53" s="1180"/>
      <c r="CR53" s="1180"/>
      <c r="CS53" s="1180"/>
      <c r="CT53" s="1180"/>
      <c r="CU53" s="1180"/>
      <c r="CV53" s="1180"/>
      <c r="CW53" s="1180"/>
      <c r="CX53" s="1180"/>
      <c r="CY53" s="1180"/>
      <c r="CZ53" s="1180"/>
      <c r="DA53" s="1180"/>
      <c r="DB53" s="1180"/>
      <c r="DC53" s="1180"/>
      <c r="DD53" s="1180"/>
      <c r="DE53" s="1180"/>
      <c r="DF53" s="1180"/>
      <c r="DG53" s="1180"/>
      <c r="DH53" s="1180"/>
      <c r="DI53" s="1180"/>
      <c r="DJ53" s="1180"/>
      <c r="DK53" s="1180"/>
      <c r="DL53" s="1180"/>
      <c r="DM53" s="1180"/>
      <c r="DN53" s="1180"/>
      <c r="DO53" s="1180"/>
      <c r="DP53" s="1180"/>
      <c r="DQ53" s="1180"/>
      <c r="DR53" s="1180"/>
      <c r="DS53" s="1180"/>
      <c r="DT53" s="1180"/>
      <c r="DU53" s="1180"/>
      <c r="DV53" s="1180"/>
      <c r="DW53" s="1180"/>
      <c r="DX53" s="1180"/>
      <c r="DY53" s="1180"/>
      <c r="DZ53" s="1180"/>
      <c r="EA53" s="1180"/>
      <c r="EB53" s="1180"/>
      <c r="EC53" s="1180"/>
      <c r="ED53" s="1180"/>
      <c r="EE53" s="1180"/>
      <c r="EF53" s="1180"/>
      <c r="EG53" s="1180"/>
      <c r="EH53" s="1180"/>
      <c r="EI53" s="1180"/>
      <c r="EJ53" s="1180"/>
      <c r="EK53" s="1180"/>
      <c r="EL53" s="1180"/>
      <c r="EM53" s="1180"/>
      <c r="EN53" s="1180"/>
      <c r="EO53" s="1180"/>
      <c r="EP53" s="1180"/>
      <c r="EQ53" s="1180"/>
      <c r="ER53" s="1180"/>
      <c r="ES53" s="1180"/>
      <c r="ET53" s="1180"/>
      <c r="EU53" s="1180"/>
      <c r="EV53" s="1180"/>
      <c r="EW53" s="1180"/>
      <c r="EX53" s="1180"/>
      <c r="EY53" s="1180"/>
      <c r="EZ53" s="1180"/>
      <c r="FA53" s="1180"/>
      <c r="FB53" s="1180"/>
      <c r="FC53" s="1180"/>
      <c r="FD53" s="1180"/>
      <c r="FE53" s="1180"/>
      <c r="FF53" s="1180"/>
      <c r="FG53" s="1180"/>
      <c r="FH53" s="1180"/>
      <c r="FI53" s="1180"/>
      <c r="FJ53" s="1180"/>
      <c r="FK53" s="1180"/>
      <c r="FL53" s="1180"/>
      <c r="FM53" s="1180"/>
      <c r="FN53" s="1180"/>
      <c r="FO53" s="1180"/>
      <c r="FP53" s="1180"/>
      <c r="FQ53" s="1180"/>
      <c r="FR53" s="1180"/>
      <c r="FS53" s="1180"/>
      <c r="FT53" s="1180"/>
      <c r="FU53" s="1180"/>
      <c r="FV53" s="1180"/>
      <c r="FW53" s="1180"/>
      <c r="FX53" s="1180"/>
      <c r="FY53" s="1180"/>
      <c r="FZ53" s="1180"/>
      <c r="GA53" s="1180"/>
    </row>
    <row r="54" spans="1:183" s="1182" customFormat="1">
      <c r="A54" s="1118"/>
      <c r="B54" s="1125">
        <v>15</v>
      </c>
      <c r="C54" s="1133" t="s">
        <v>1199</v>
      </c>
      <c r="D54" s="1134" t="s">
        <v>1198</v>
      </c>
      <c r="E54" s="1135">
        <f>1200000</f>
        <v>1200000</v>
      </c>
      <c r="F54" s="1820"/>
      <c r="G54" s="1821"/>
      <c r="H54" s="1167">
        <f>E54*B54</f>
        <v>18000000</v>
      </c>
      <c r="I54"/>
      <c r="J54" s="1180"/>
      <c r="K54" s="1180"/>
      <c r="L54" s="1180"/>
      <c r="M54" s="1180"/>
      <c r="N54" s="1180"/>
      <c r="O54" s="1180"/>
      <c r="P54" s="1180"/>
      <c r="Q54" s="1180"/>
      <c r="R54" s="1180"/>
      <c r="S54" s="1180"/>
      <c r="T54" s="1180"/>
      <c r="U54" s="1180"/>
      <c r="V54" s="1180"/>
      <c r="W54" s="1180"/>
      <c r="X54" s="1180"/>
      <c r="Y54" s="1180"/>
      <c r="Z54" s="1180"/>
      <c r="AA54" s="1180"/>
      <c r="AB54" s="1180"/>
      <c r="AC54" s="1180"/>
      <c r="AD54" s="1180"/>
      <c r="AE54" s="1180"/>
      <c r="AF54" s="1180"/>
      <c r="AG54" s="1180"/>
      <c r="AH54" s="1180"/>
      <c r="AI54" s="1180"/>
      <c r="AJ54" s="1180"/>
      <c r="AK54" s="1180"/>
      <c r="AL54" s="1180"/>
      <c r="AM54" s="1180"/>
      <c r="AN54" s="1180"/>
      <c r="AO54" s="1180"/>
      <c r="AP54" s="1180"/>
      <c r="AQ54" s="1180"/>
      <c r="AR54" s="1180"/>
      <c r="AS54" s="1180"/>
      <c r="AT54" s="1180"/>
      <c r="AU54" s="1180"/>
      <c r="AV54" s="1180"/>
      <c r="AW54" s="1180"/>
      <c r="AX54" s="1180"/>
      <c r="AY54" s="1180"/>
      <c r="AZ54" s="1180"/>
      <c r="BA54" s="1180"/>
      <c r="BB54" s="1180"/>
      <c r="BC54" s="1180"/>
      <c r="BD54" s="1180"/>
      <c r="BE54" s="1180"/>
      <c r="BF54" s="1180"/>
      <c r="BG54" s="1180"/>
      <c r="BH54" s="1180"/>
      <c r="BI54" s="1180"/>
      <c r="BJ54" s="1180"/>
      <c r="BK54" s="1180"/>
      <c r="BL54" s="1180"/>
      <c r="BM54" s="1180"/>
      <c r="BN54" s="1180"/>
      <c r="BO54" s="1180"/>
      <c r="BP54" s="1180"/>
      <c r="BQ54" s="1180"/>
      <c r="BR54" s="1180"/>
      <c r="BS54" s="1180"/>
      <c r="BT54" s="1180"/>
      <c r="BU54" s="1180"/>
      <c r="BV54" s="1180"/>
      <c r="BW54" s="1180"/>
      <c r="BX54" s="1180"/>
      <c r="BY54" s="1180"/>
      <c r="BZ54" s="1180"/>
      <c r="CA54" s="1180"/>
      <c r="CB54" s="1180"/>
      <c r="CC54" s="1180"/>
      <c r="CD54" s="1180"/>
      <c r="CE54" s="1180"/>
      <c r="CF54" s="1180"/>
      <c r="CG54" s="1180"/>
      <c r="CH54" s="1180"/>
      <c r="CI54" s="1180"/>
      <c r="CJ54" s="1180"/>
      <c r="CK54" s="1180"/>
      <c r="CL54" s="1180"/>
      <c r="CM54" s="1180"/>
      <c r="CN54" s="1180"/>
      <c r="CO54" s="1180"/>
      <c r="CP54" s="1180"/>
      <c r="CQ54" s="1180"/>
      <c r="CR54" s="1180"/>
      <c r="CS54" s="1180"/>
      <c r="CT54" s="1180"/>
      <c r="CU54" s="1180"/>
      <c r="CV54" s="1180"/>
      <c r="CW54" s="1180"/>
      <c r="CX54" s="1180"/>
      <c r="CY54" s="1180"/>
      <c r="CZ54" s="1180"/>
      <c r="DA54" s="1180"/>
      <c r="DB54" s="1180"/>
      <c r="DC54" s="1180"/>
      <c r="DD54" s="1180"/>
      <c r="DE54" s="1180"/>
      <c r="DF54" s="1180"/>
      <c r="DG54" s="1180"/>
      <c r="DH54" s="1180"/>
      <c r="DI54" s="1180"/>
      <c r="DJ54" s="1180"/>
      <c r="DK54" s="1180"/>
      <c r="DL54" s="1180"/>
      <c r="DM54" s="1180"/>
      <c r="DN54" s="1180"/>
      <c r="DO54" s="1180"/>
      <c r="DP54" s="1180"/>
      <c r="DQ54" s="1180"/>
      <c r="DR54" s="1180"/>
      <c r="DS54" s="1180"/>
      <c r="DT54" s="1180"/>
      <c r="DU54" s="1180"/>
      <c r="DV54" s="1180"/>
      <c r="DW54" s="1180"/>
      <c r="DX54" s="1180"/>
      <c r="DY54" s="1180"/>
      <c r="DZ54" s="1180"/>
      <c r="EA54" s="1180"/>
      <c r="EB54" s="1180"/>
      <c r="EC54" s="1180"/>
      <c r="ED54" s="1180"/>
      <c r="EE54" s="1180"/>
      <c r="EF54" s="1180"/>
      <c r="EG54" s="1180"/>
      <c r="EH54" s="1180"/>
      <c r="EI54" s="1180"/>
      <c r="EJ54" s="1180"/>
      <c r="EK54" s="1180"/>
      <c r="EL54" s="1180"/>
      <c r="EM54" s="1180"/>
      <c r="EN54" s="1180"/>
      <c r="EO54" s="1180"/>
      <c r="EP54" s="1180"/>
      <c r="EQ54" s="1180"/>
      <c r="ER54" s="1180"/>
      <c r="ES54" s="1180"/>
      <c r="ET54" s="1180"/>
      <c r="EU54" s="1180"/>
      <c r="EV54" s="1180"/>
      <c r="EW54" s="1180"/>
      <c r="EX54" s="1180"/>
      <c r="EY54" s="1180"/>
      <c r="EZ54" s="1180"/>
      <c r="FA54" s="1180"/>
      <c r="FB54" s="1180"/>
      <c r="FC54" s="1180"/>
      <c r="FD54" s="1180"/>
      <c r="FE54" s="1180"/>
      <c r="FF54" s="1180"/>
      <c r="FG54" s="1180"/>
      <c r="FH54" s="1180"/>
      <c r="FI54" s="1180"/>
      <c r="FJ54" s="1180"/>
      <c r="FK54" s="1180"/>
      <c r="FL54" s="1180"/>
      <c r="FM54" s="1180"/>
      <c r="FN54" s="1180"/>
      <c r="FO54" s="1180"/>
      <c r="FP54" s="1180"/>
      <c r="FQ54" s="1180"/>
      <c r="FR54" s="1180"/>
      <c r="FS54" s="1180"/>
      <c r="FT54" s="1180"/>
      <c r="FU54" s="1180"/>
      <c r="FV54" s="1180"/>
      <c r="FW54" s="1180"/>
      <c r="FX54" s="1180"/>
      <c r="FY54" s="1180"/>
      <c r="FZ54" s="1180"/>
      <c r="GA54" s="1180"/>
    </row>
    <row r="55" spans="1:183" s="1182" customFormat="1" ht="46.5" customHeight="1">
      <c r="A55" s="1118"/>
      <c r="B55" s="1125">
        <v>1</v>
      </c>
      <c r="C55" s="1500" t="s">
        <v>1200</v>
      </c>
      <c r="D55" s="1134" t="s">
        <v>1198</v>
      </c>
      <c r="E55" s="1135">
        <v>39501001</v>
      </c>
      <c r="F55" s="1820"/>
      <c r="G55" s="1821"/>
      <c r="H55" s="1167">
        <f t="shared" ref="H55" si="3">+IF(B55="","",ROUND(B55*E55,0))</f>
        <v>39501001</v>
      </c>
      <c r="I55"/>
      <c r="J55" s="1180"/>
      <c r="K55" s="1180"/>
      <c r="L55" s="1180"/>
      <c r="M55" s="1180"/>
      <c r="N55" s="1180"/>
      <c r="O55" s="1180"/>
      <c r="P55" s="1180"/>
      <c r="Q55" s="1180"/>
      <c r="R55" s="1180"/>
      <c r="S55" s="1180"/>
      <c r="T55" s="1180"/>
      <c r="U55" s="1180"/>
      <c r="V55" s="1180"/>
      <c r="W55" s="1180"/>
      <c r="X55" s="1180"/>
      <c r="Y55" s="1180"/>
      <c r="Z55" s="1180"/>
      <c r="AA55" s="1180"/>
      <c r="AB55" s="1180"/>
      <c r="AC55" s="1180"/>
      <c r="AD55" s="1180"/>
      <c r="AE55" s="1180"/>
      <c r="AF55" s="1180"/>
      <c r="AG55" s="1180"/>
      <c r="AH55" s="1180"/>
      <c r="AI55" s="1180"/>
      <c r="AJ55" s="1180"/>
      <c r="AK55" s="1180"/>
      <c r="AL55" s="1180"/>
      <c r="AM55" s="1180"/>
      <c r="AN55" s="1180"/>
      <c r="AO55" s="1180"/>
      <c r="AP55" s="1180"/>
      <c r="AQ55" s="1180"/>
      <c r="AR55" s="1180"/>
      <c r="AS55" s="1180"/>
      <c r="AT55" s="1180"/>
      <c r="AU55" s="1180"/>
      <c r="AV55" s="1180"/>
      <c r="AW55" s="1180"/>
      <c r="AX55" s="1180"/>
      <c r="AY55" s="1180"/>
      <c r="AZ55" s="1180"/>
      <c r="BA55" s="1180"/>
      <c r="BB55" s="1180"/>
      <c r="BC55" s="1180"/>
      <c r="BD55" s="1180"/>
      <c r="BE55" s="1180"/>
      <c r="BF55" s="1180"/>
      <c r="BG55" s="1180"/>
      <c r="BH55" s="1180"/>
      <c r="BI55" s="1180"/>
      <c r="BJ55" s="1180"/>
      <c r="BK55" s="1180"/>
      <c r="BL55" s="1180"/>
      <c r="BM55" s="1180"/>
      <c r="BN55" s="1180"/>
      <c r="BO55" s="1180"/>
      <c r="BP55" s="1180"/>
      <c r="BQ55" s="1180"/>
      <c r="BR55" s="1180"/>
      <c r="BS55" s="1180"/>
      <c r="BT55" s="1180"/>
      <c r="BU55" s="1180"/>
      <c r="BV55" s="1180"/>
      <c r="BW55" s="1180"/>
      <c r="BX55" s="1180"/>
      <c r="BY55" s="1180"/>
      <c r="BZ55" s="1180"/>
      <c r="CA55" s="1180"/>
      <c r="CB55" s="1180"/>
      <c r="CC55" s="1180"/>
      <c r="CD55" s="1180"/>
      <c r="CE55" s="1180"/>
      <c r="CF55" s="1180"/>
      <c r="CG55" s="1180"/>
      <c r="CH55" s="1180"/>
      <c r="CI55" s="1180"/>
      <c r="CJ55" s="1180"/>
      <c r="CK55" s="1180"/>
      <c r="CL55" s="1180"/>
      <c r="CM55" s="1180"/>
      <c r="CN55" s="1180"/>
      <c r="CO55" s="1180"/>
      <c r="CP55" s="1180"/>
      <c r="CQ55" s="1180"/>
      <c r="CR55" s="1180"/>
      <c r="CS55" s="1180"/>
      <c r="CT55" s="1180"/>
      <c r="CU55" s="1180"/>
      <c r="CV55" s="1180"/>
      <c r="CW55" s="1180"/>
      <c r="CX55" s="1180"/>
      <c r="CY55" s="1180"/>
      <c r="CZ55" s="1180"/>
      <c r="DA55" s="1180"/>
      <c r="DB55" s="1180"/>
      <c r="DC55" s="1180"/>
      <c r="DD55" s="1180"/>
      <c r="DE55" s="1180"/>
      <c r="DF55" s="1180"/>
      <c r="DG55" s="1180"/>
      <c r="DH55" s="1180"/>
      <c r="DI55" s="1180"/>
      <c r="DJ55" s="1180"/>
      <c r="DK55" s="1180"/>
      <c r="DL55" s="1180"/>
      <c r="DM55" s="1180"/>
      <c r="DN55" s="1180"/>
      <c r="DO55" s="1180"/>
      <c r="DP55" s="1180"/>
      <c r="DQ55" s="1180"/>
      <c r="DR55" s="1180"/>
      <c r="DS55" s="1180"/>
      <c r="DT55" s="1180"/>
      <c r="DU55" s="1180"/>
      <c r="DV55" s="1180"/>
      <c r="DW55" s="1180"/>
      <c r="DX55" s="1180"/>
      <c r="DY55" s="1180"/>
      <c r="DZ55" s="1180"/>
      <c r="EA55" s="1180"/>
      <c r="EB55" s="1180"/>
      <c r="EC55" s="1180"/>
      <c r="ED55" s="1180"/>
      <c r="EE55" s="1180"/>
      <c r="EF55" s="1180"/>
      <c r="EG55" s="1180"/>
      <c r="EH55" s="1180"/>
      <c r="EI55" s="1180"/>
      <c r="EJ55" s="1180"/>
      <c r="EK55" s="1180"/>
      <c r="EL55" s="1180"/>
      <c r="EM55" s="1180"/>
      <c r="EN55" s="1180"/>
      <c r="EO55" s="1180"/>
      <c r="EP55" s="1180"/>
      <c r="EQ55" s="1180"/>
      <c r="ER55" s="1180"/>
      <c r="ES55" s="1180"/>
      <c r="ET55" s="1180"/>
      <c r="EU55" s="1180"/>
      <c r="EV55" s="1180"/>
      <c r="EW55" s="1180"/>
      <c r="EX55" s="1180"/>
      <c r="EY55" s="1180"/>
      <c r="EZ55" s="1180"/>
      <c r="FA55" s="1180"/>
      <c r="FB55" s="1180"/>
      <c r="FC55" s="1180"/>
      <c r="FD55" s="1180"/>
      <c r="FE55" s="1180"/>
      <c r="FF55" s="1180"/>
      <c r="FG55" s="1180"/>
      <c r="FH55" s="1180"/>
      <c r="FI55" s="1180"/>
      <c r="FJ55" s="1180"/>
      <c r="FK55" s="1180"/>
      <c r="FL55" s="1180"/>
      <c r="FM55" s="1180"/>
      <c r="FN55" s="1180"/>
      <c r="FO55" s="1180"/>
      <c r="FP55" s="1180"/>
      <c r="FQ55" s="1180"/>
      <c r="FR55" s="1180"/>
      <c r="FS55" s="1180"/>
      <c r="FT55" s="1180"/>
      <c r="FU55" s="1180"/>
      <c r="FV55" s="1180"/>
      <c r="FW55" s="1180"/>
      <c r="FX55" s="1180"/>
      <c r="FY55" s="1180"/>
      <c r="FZ55" s="1180"/>
      <c r="GA55" s="1180"/>
    </row>
    <row r="56" spans="1:183" s="1182" customFormat="1" ht="37.5" customHeight="1">
      <c r="A56" s="1118"/>
      <c r="B56" s="1125">
        <v>1</v>
      </c>
      <c r="C56" s="1133" t="s">
        <v>1201</v>
      </c>
      <c r="D56" s="1134" t="s">
        <v>1198</v>
      </c>
      <c r="E56" s="1135">
        <v>3783147</v>
      </c>
      <c r="F56" s="1822"/>
      <c r="G56" s="1823"/>
      <c r="H56" s="1167">
        <f>+IF(B56="","",ROUND(B56*E56,10))</f>
        <v>3783147</v>
      </c>
      <c r="I56"/>
      <c r="J56" s="1180"/>
      <c r="K56" s="1180"/>
      <c r="L56" s="1180"/>
      <c r="M56" s="1180"/>
      <c r="N56" s="1180"/>
      <c r="O56" s="1180"/>
      <c r="P56" s="1180"/>
      <c r="Q56" s="1180"/>
      <c r="R56" s="1180"/>
      <c r="S56" s="1180"/>
      <c r="T56" s="1180"/>
      <c r="U56" s="1180"/>
      <c r="V56" s="1180"/>
      <c r="W56" s="1180"/>
      <c r="X56" s="1180"/>
      <c r="Y56" s="1180"/>
      <c r="Z56" s="1180"/>
      <c r="AA56" s="1180"/>
      <c r="AB56" s="1180"/>
      <c r="AC56" s="1180"/>
      <c r="AD56" s="1180"/>
      <c r="AE56" s="1180"/>
      <c r="AF56" s="1180"/>
      <c r="AG56" s="1180"/>
      <c r="AH56" s="1180"/>
      <c r="AI56" s="1180"/>
      <c r="AJ56" s="1180"/>
      <c r="AK56" s="1180"/>
      <c r="AL56" s="1180"/>
      <c r="AM56" s="1180"/>
      <c r="AN56" s="1180"/>
      <c r="AO56" s="1180"/>
      <c r="AP56" s="1180"/>
      <c r="AQ56" s="1180"/>
      <c r="AR56" s="1180"/>
      <c r="AS56" s="1180"/>
      <c r="AT56" s="1180"/>
      <c r="AU56" s="1180"/>
      <c r="AV56" s="1180"/>
      <c r="AW56" s="1180"/>
      <c r="AX56" s="1180"/>
      <c r="AY56" s="1180"/>
      <c r="AZ56" s="1180"/>
      <c r="BA56" s="1180"/>
      <c r="BB56" s="1180"/>
      <c r="BC56" s="1180"/>
      <c r="BD56" s="1180"/>
      <c r="BE56" s="1180"/>
      <c r="BF56" s="1180"/>
      <c r="BG56" s="1180"/>
      <c r="BH56" s="1180"/>
      <c r="BI56" s="1180"/>
      <c r="BJ56" s="1180"/>
      <c r="BK56" s="1180"/>
      <c r="BL56" s="1180"/>
      <c r="BM56" s="1180"/>
      <c r="BN56" s="1180"/>
      <c r="BO56" s="1180"/>
      <c r="BP56" s="1180"/>
      <c r="BQ56" s="1180"/>
      <c r="BR56" s="1180"/>
      <c r="BS56" s="1180"/>
      <c r="BT56" s="1180"/>
      <c r="BU56" s="1180"/>
      <c r="BV56" s="1180"/>
      <c r="BW56" s="1180"/>
      <c r="BX56" s="1180"/>
      <c r="BY56" s="1180"/>
      <c r="BZ56" s="1180"/>
      <c r="CA56" s="1180"/>
      <c r="CB56" s="1180"/>
      <c r="CC56" s="1180"/>
      <c r="CD56" s="1180"/>
      <c r="CE56" s="1180"/>
      <c r="CF56" s="1180"/>
      <c r="CG56" s="1180"/>
      <c r="CH56" s="1180"/>
      <c r="CI56" s="1180"/>
      <c r="CJ56" s="1180"/>
      <c r="CK56" s="1180"/>
      <c r="CL56" s="1180"/>
      <c r="CM56" s="1180"/>
      <c r="CN56" s="1180"/>
      <c r="CO56" s="1180"/>
      <c r="CP56" s="1180"/>
      <c r="CQ56" s="1180"/>
      <c r="CR56" s="1180"/>
      <c r="CS56" s="1180"/>
      <c r="CT56" s="1180"/>
      <c r="CU56" s="1180"/>
      <c r="CV56" s="1180"/>
      <c r="CW56" s="1180"/>
      <c r="CX56" s="1180"/>
      <c r="CY56" s="1180"/>
      <c r="CZ56" s="1180"/>
      <c r="DA56" s="1180"/>
      <c r="DB56" s="1180"/>
      <c r="DC56" s="1180"/>
      <c r="DD56" s="1180"/>
      <c r="DE56" s="1180"/>
      <c r="DF56" s="1180"/>
      <c r="DG56" s="1180"/>
      <c r="DH56" s="1180"/>
      <c r="DI56" s="1180"/>
      <c r="DJ56" s="1180"/>
      <c r="DK56" s="1180"/>
      <c r="DL56" s="1180"/>
      <c r="DM56" s="1180"/>
      <c r="DN56" s="1180"/>
      <c r="DO56" s="1180"/>
      <c r="DP56" s="1180"/>
      <c r="DQ56" s="1180"/>
      <c r="DR56" s="1180"/>
      <c r="DS56" s="1180"/>
      <c r="DT56" s="1180"/>
      <c r="DU56" s="1180"/>
      <c r="DV56" s="1180"/>
      <c r="DW56" s="1180"/>
      <c r="DX56" s="1180"/>
      <c r="DY56" s="1180"/>
      <c r="DZ56" s="1180"/>
      <c r="EA56" s="1180"/>
      <c r="EB56" s="1180"/>
      <c r="EC56" s="1180"/>
      <c r="ED56" s="1180"/>
      <c r="EE56" s="1180"/>
      <c r="EF56" s="1180"/>
      <c r="EG56" s="1180"/>
      <c r="EH56" s="1180"/>
      <c r="EI56" s="1180"/>
      <c r="EJ56" s="1180"/>
      <c r="EK56" s="1180"/>
      <c r="EL56" s="1180"/>
      <c r="EM56" s="1180"/>
      <c r="EN56" s="1180"/>
      <c r="EO56" s="1180"/>
      <c r="EP56" s="1180"/>
      <c r="EQ56" s="1180"/>
      <c r="ER56" s="1180"/>
      <c r="ES56" s="1180"/>
      <c r="ET56" s="1180"/>
      <c r="EU56" s="1180"/>
      <c r="EV56" s="1180"/>
      <c r="EW56" s="1180"/>
      <c r="EX56" s="1180"/>
      <c r="EY56" s="1180"/>
      <c r="EZ56" s="1180"/>
      <c r="FA56" s="1180"/>
      <c r="FB56" s="1180"/>
      <c r="FC56" s="1180"/>
      <c r="FD56" s="1180"/>
      <c r="FE56" s="1180"/>
      <c r="FF56" s="1180"/>
      <c r="FG56" s="1180"/>
      <c r="FH56" s="1180"/>
      <c r="FI56" s="1180"/>
      <c r="FJ56" s="1180"/>
      <c r="FK56" s="1180"/>
      <c r="FL56" s="1180"/>
      <c r="FM56" s="1180"/>
      <c r="FN56" s="1180"/>
      <c r="FO56" s="1180"/>
      <c r="FP56" s="1180"/>
      <c r="FQ56" s="1180"/>
      <c r="FR56" s="1180"/>
      <c r="FS56" s="1180"/>
      <c r="FT56" s="1180"/>
      <c r="FU56" s="1180"/>
      <c r="FV56" s="1180"/>
      <c r="FW56" s="1180"/>
      <c r="FX56" s="1180"/>
      <c r="FY56" s="1180"/>
      <c r="FZ56" s="1180"/>
      <c r="GA56" s="1180"/>
    </row>
    <row r="57" spans="1:183" s="1182" customFormat="1" ht="33.75" customHeight="1">
      <c r="A57" s="1118"/>
      <c r="B57" s="1806" t="s">
        <v>1202</v>
      </c>
      <c r="C57" s="1806"/>
      <c r="D57" s="1806"/>
      <c r="E57" s="1806"/>
      <c r="F57" s="1806"/>
      <c r="G57" s="1806"/>
      <c r="H57" s="1171">
        <f>+SUM(H36:H37,H39:H40,H51,H53:H56)</f>
        <v>76526525</v>
      </c>
      <c r="I57"/>
      <c r="J57" s="1180"/>
      <c r="K57" s="1180"/>
      <c r="L57" s="1180"/>
      <c r="M57" s="1180"/>
      <c r="N57" s="1180"/>
      <c r="O57" s="1180"/>
      <c r="P57" s="1180"/>
      <c r="Q57" s="1180"/>
      <c r="R57" s="1180"/>
      <c r="S57" s="1180"/>
      <c r="T57" s="1180"/>
      <c r="U57" s="1180"/>
      <c r="V57" s="1180"/>
      <c r="W57" s="1180"/>
      <c r="X57" s="1180"/>
      <c r="Y57" s="1180"/>
      <c r="Z57" s="1180"/>
      <c r="AA57" s="1180"/>
      <c r="AB57" s="1180"/>
      <c r="AC57" s="1180"/>
      <c r="AD57" s="1180"/>
      <c r="AE57" s="1180"/>
      <c r="AF57" s="1180"/>
      <c r="AG57" s="1180"/>
      <c r="AH57" s="1180"/>
      <c r="AI57" s="1180"/>
      <c r="AJ57" s="1180"/>
      <c r="AK57" s="1180"/>
      <c r="AL57" s="1180"/>
      <c r="AM57" s="1180"/>
      <c r="AN57" s="1180"/>
      <c r="AO57" s="1180"/>
      <c r="AP57" s="1180"/>
      <c r="AQ57" s="1180"/>
      <c r="AR57" s="1180"/>
      <c r="AS57" s="1180"/>
      <c r="AT57" s="1180"/>
      <c r="AU57" s="1180"/>
      <c r="AV57" s="1180"/>
      <c r="AW57" s="1180"/>
      <c r="AX57" s="1180"/>
      <c r="AY57" s="1180"/>
      <c r="AZ57" s="1180"/>
      <c r="BA57" s="1180"/>
      <c r="BB57" s="1180"/>
      <c r="BC57" s="1180"/>
      <c r="BD57" s="1180"/>
      <c r="BE57" s="1180"/>
      <c r="BF57" s="1180"/>
      <c r="BG57" s="1180"/>
      <c r="BH57" s="1180"/>
      <c r="BI57" s="1180"/>
      <c r="BJ57" s="1180"/>
      <c r="BK57" s="1180"/>
      <c r="BL57" s="1180"/>
      <c r="BM57" s="1180"/>
      <c r="BN57" s="1180"/>
      <c r="BO57" s="1180"/>
      <c r="BP57" s="1180"/>
      <c r="BQ57" s="1180"/>
      <c r="BR57" s="1180"/>
      <c r="BS57" s="1180"/>
      <c r="BT57" s="1180"/>
      <c r="BU57" s="1180"/>
      <c r="BV57" s="1180"/>
      <c r="BW57" s="1180"/>
      <c r="BX57" s="1180"/>
      <c r="BY57" s="1180"/>
      <c r="BZ57" s="1180"/>
      <c r="CA57" s="1180"/>
      <c r="CB57" s="1180"/>
      <c r="CC57" s="1180"/>
      <c r="CD57" s="1180"/>
      <c r="CE57" s="1180"/>
      <c r="CF57" s="1180"/>
      <c r="CG57" s="1180"/>
      <c r="CH57" s="1180"/>
      <c r="CI57" s="1180"/>
      <c r="CJ57" s="1180"/>
      <c r="CK57" s="1180"/>
      <c r="CL57" s="1180"/>
      <c r="CM57" s="1180"/>
      <c r="CN57" s="1180"/>
      <c r="CO57" s="1180"/>
      <c r="CP57" s="1180"/>
      <c r="CQ57" s="1180"/>
      <c r="CR57" s="1180"/>
      <c r="CS57" s="1180"/>
      <c r="CT57" s="1180"/>
      <c r="CU57" s="1180"/>
      <c r="CV57" s="1180"/>
      <c r="CW57" s="1180"/>
      <c r="CX57" s="1180"/>
      <c r="CY57" s="1180"/>
      <c r="CZ57" s="1180"/>
      <c r="DA57" s="1180"/>
      <c r="DB57" s="1180"/>
      <c r="DC57" s="1180"/>
      <c r="DD57" s="1180"/>
      <c r="DE57" s="1180"/>
      <c r="DF57" s="1180"/>
      <c r="DG57" s="1180"/>
      <c r="DH57" s="1180"/>
      <c r="DI57" s="1180"/>
      <c r="DJ57" s="1180"/>
      <c r="DK57" s="1180"/>
      <c r="DL57" s="1180"/>
      <c r="DM57" s="1180"/>
      <c r="DN57" s="1180"/>
      <c r="DO57" s="1180"/>
      <c r="DP57" s="1180"/>
      <c r="DQ57" s="1180"/>
      <c r="DR57" s="1180"/>
      <c r="DS57" s="1180"/>
      <c r="DT57" s="1180"/>
      <c r="DU57" s="1180"/>
      <c r="DV57" s="1180"/>
      <c r="DW57" s="1180"/>
      <c r="DX57" s="1180"/>
      <c r="DY57" s="1180"/>
      <c r="DZ57" s="1180"/>
      <c r="EA57" s="1180"/>
      <c r="EB57" s="1180"/>
      <c r="EC57" s="1180"/>
      <c r="ED57" s="1180"/>
      <c r="EE57" s="1180"/>
      <c r="EF57" s="1180"/>
      <c r="EG57" s="1180"/>
      <c r="EH57" s="1180"/>
      <c r="EI57" s="1180"/>
      <c r="EJ57" s="1180"/>
      <c r="EK57" s="1180"/>
      <c r="EL57" s="1180"/>
      <c r="EM57" s="1180"/>
      <c r="EN57" s="1180"/>
      <c r="EO57" s="1180"/>
      <c r="EP57" s="1180"/>
      <c r="EQ57" s="1180"/>
      <c r="ER57" s="1180"/>
      <c r="ES57" s="1180"/>
      <c r="ET57" s="1180"/>
      <c r="EU57" s="1180"/>
      <c r="EV57" s="1180"/>
      <c r="EW57" s="1180"/>
      <c r="EX57" s="1180"/>
      <c r="EY57" s="1180"/>
      <c r="EZ57" s="1180"/>
      <c r="FA57" s="1180"/>
      <c r="FB57" s="1180"/>
      <c r="FC57" s="1180"/>
      <c r="FD57" s="1180"/>
      <c r="FE57" s="1180"/>
      <c r="FF57" s="1180"/>
      <c r="FG57" s="1180"/>
      <c r="FH57" s="1180"/>
      <c r="FI57" s="1180"/>
      <c r="FJ57" s="1180"/>
      <c r="FK57" s="1180"/>
      <c r="FL57" s="1180"/>
      <c r="FM57" s="1180"/>
      <c r="FN57" s="1180"/>
      <c r="FO57" s="1180"/>
      <c r="FP57" s="1180"/>
      <c r="FQ57" s="1180"/>
      <c r="FR57" s="1180"/>
      <c r="FS57" s="1180"/>
      <c r="FT57" s="1180"/>
      <c r="FU57" s="1180"/>
      <c r="FV57" s="1180"/>
      <c r="FW57" s="1180"/>
      <c r="FX57" s="1180"/>
      <c r="FY57" s="1180"/>
      <c r="FZ57" s="1180"/>
      <c r="GA57" s="1180"/>
    </row>
    <row r="58" spans="1:183" s="1182" customFormat="1" ht="16.5" customHeight="1">
      <c r="A58" s="1118"/>
      <c r="B58" s="1806" t="s">
        <v>1203</v>
      </c>
      <c r="C58" s="1806"/>
      <c r="D58" s="1806"/>
      <c r="E58" s="1806"/>
      <c r="F58" s="1806"/>
      <c r="G58" s="1806"/>
      <c r="H58" s="1171">
        <f>+H30+H57</f>
        <v>488174525</v>
      </c>
      <c r="I58"/>
      <c r="J58" s="1180"/>
      <c r="K58" s="1539"/>
      <c r="L58" s="1539"/>
      <c r="M58" s="1180"/>
      <c r="N58" s="1180"/>
      <c r="O58" s="1180"/>
      <c r="P58" s="1180"/>
      <c r="Q58" s="1180"/>
      <c r="R58" s="1180"/>
      <c r="S58" s="1180"/>
      <c r="T58" s="1180"/>
      <c r="U58" s="1180"/>
      <c r="V58" s="1180"/>
      <c r="W58" s="1180"/>
      <c r="X58" s="1180"/>
      <c r="Y58" s="1180"/>
      <c r="Z58" s="1180"/>
      <c r="AA58" s="1180"/>
      <c r="AB58" s="1180"/>
      <c r="AC58" s="1180"/>
      <c r="AD58" s="1180"/>
      <c r="AE58" s="1180"/>
      <c r="AF58" s="1180"/>
      <c r="AG58" s="1180"/>
      <c r="AH58" s="1180"/>
      <c r="AI58" s="1180"/>
      <c r="AJ58" s="1180"/>
      <c r="AK58" s="1180"/>
      <c r="AL58" s="1180"/>
      <c r="AM58" s="1180"/>
      <c r="AN58" s="1180"/>
      <c r="AO58" s="1180"/>
      <c r="AP58" s="1180"/>
      <c r="AQ58" s="1180"/>
      <c r="AR58" s="1180"/>
      <c r="AS58" s="1180"/>
      <c r="AT58" s="1180"/>
      <c r="AU58" s="1180"/>
      <c r="AV58" s="1180"/>
      <c r="AW58" s="1180"/>
      <c r="AX58" s="1180"/>
      <c r="AY58" s="1180"/>
      <c r="AZ58" s="1180"/>
      <c r="BA58" s="1180"/>
      <c r="BB58" s="1180"/>
      <c r="BC58" s="1180"/>
      <c r="BD58" s="1180"/>
      <c r="BE58" s="1180"/>
      <c r="BF58" s="1180"/>
      <c r="BG58" s="1180"/>
      <c r="BH58" s="1180"/>
      <c r="BI58" s="1180"/>
      <c r="BJ58" s="1180"/>
      <c r="BK58" s="1180"/>
      <c r="BL58" s="1180"/>
      <c r="BM58" s="1180"/>
      <c r="BN58" s="1180"/>
      <c r="BO58" s="1180"/>
      <c r="BP58" s="1180"/>
      <c r="BQ58" s="1180"/>
      <c r="BR58" s="1180"/>
      <c r="BS58" s="1180"/>
      <c r="BT58" s="1180"/>
      <c r="BU58" s="1180"/>
      <c r="BV58" s="1180"/>
      <c r="BW58" s="1180"/>
      <c r="BX58" s="1180"/>
      <c r="BY58" s="1180"/>
      <c r="BZ58" s="1180"/>
      <c r="CA58" s="1180"/>
      <c r="CB58" s="1180"/>
      <c r="CC58" s="1180"/>
      <c r="CD58" s="1180"/>
      <c r="CE58" s="1180"/>
      <c r="CF58" s="1180"/>
      <c r="CG58" s="1180"/>
      <c r="CH58" s="1180"/>
      <c r="CI58" s="1180"/>
      <c r="CJ58" s="1180"/>
      <c r="CK58" s="1180"/>
      <c r="CL58" s="1180"/>
      <c r="CM58" s="1180"/>
      <c r="CN58" s="1180"/>
      <c r="CO58" s="1180"/>
      <c r="CP58" s="1180"/>
      <c r="CQ58" s="1180"/>
      <c r="CR58" s="1180"/>
      <c r="CS58" s="1180"/>
      <c r="CT58" s="1180"/>
      <c r="CU58" s="1180"/>
      <c r="CV58" s="1180"/>
      <c r="CW58" s="1180"/>
      <c r="CX58" s="1180"/>
      <c r="CY58" s="1180"/>
      <c r="CZ58" s="1180"/>
      <c r="DA58" s="1180"/>
      <c r="DB58" s="1180"/>
      <c r="DC58" s="1180"/>
      <c r="DD58" s="1180"/>
      <c r="DE58" s="1180"/>
      <c r="DF58" s="1180"/>
      <c r="DG58" s="1180"/>
      <c r="DH58" s="1180"/>
      <c r="DI58" s="1180"/>
      <c r="DJ58" s="1180"/>
      <c r="DK58" s="1180"/>
      <c r="DL58" s="1180"/>
      <c r="DM58" s="1180"/>
      <c r="DN58" s="1180"/>
      <c r="DO58" s="1180"/>
      <c r="DP58" s="1180"/>
      <c r="DQ58" s="1180"/>
      <c r="DR58" s="1180"/>
      <c r="DS58" s="1180"/>
      <c r="DT58" s="1180"/>
      <c r="DU58" s="1180"/>
      <c r="DV58" s="1180"/>
      <c r="DW58" s="1180"/>
      <c r="DX58" s="1180"/>
      <c r="DY58" s="1180"/>
      <c r="DZ58" s="1180"/>
      <c r="EA58" s="1180"/>
      <c r="EB58" s="1180"/>
      <c r="EC58" s="1180"/>
      <c r="ED58" s="1180"/>
      <c r="EE58" s="1180"/>
      <c r="EF58" s="1180"/>
      <c r="EG58" s="1180"/>
      <c r="EH58" s="1180"/>
      <c r="EI58" s="1180"/>
      <c r="EJ58" s="1180"/>
      <c r="EK58" s="1180"/>
      <c r="EL58" s="1180"/>
      <c r="EM58" s="1180"/>
      <c r="EN58" s="1180"/>
      <c r="EO58" s="1180"/>
      <c r="EP58" s="1180"/>
      <c r="EQ58" s="1180"/>
      <c r="ER58" s="1180"/>
      <c r="ES58" s="1180"/>
      <c r="ET58" s="1180"/>
      <c r="EU58" s="1180"/>
      <c r="EV58" s="1180"/>
      <c r="EW58" s="1180"/>
      <c r="EX58" s="1180"/>
      <c r="EY58" s="1180"/>
      <c r="EZ58" s="1180"/>
      <c r="FA58" s="1180"/>
      <c r="FB58" s="1180"/>
      <c r="FC58" s="1180"/>
      <c r="FD58" s="1180"/>
      <c r="FE58" s="1180"/>
      <c r="FF58" s="1180"/>
      <c r="FG58" s="1180"/>
      <c r="FH58" s="1180"/>
      <c r="FI58" s="1180"/>
      <c r="FJ58" s="1180"/>
      <c r="FK58" s="1180"/>
      <c r="FL58" s="1180"/>
      <c r="FM58" s="1180"/>
      <c r="FN58" s="1180"/>
      <c r="FO58" s="1180"/>
      <c r="FP58" s="1180"/>
      <c r="FQ58" s="1180"/>
      <c r="FR58" s="1180"/>
      <c r="FS58" s="1180"/>
      <c r="FT58" s="1180"/>
      <c r="FU58" s="1180"/>
      <c r="FV58" s="1180"/>
      <c r="FW58" s="1180"/>
      <c r="FX58" s="1180"/>
      <c r="FY58" s="1180"/>
      <c r="FZ58" s="1180"/>
      <c r="GA58" s="1180"/>
    </row>
    <row r="59" spans="1:183" s="1182" customFormat="1" ht="14.1" customHeight="1">
      <c r="A59" s="1118"/>
      <c r="B59" s="1806" t="s">
        <v>1204</v>
      </c>
      <c r="C59" s="1806"/>
      <c r="D59" s="1806"/>
      <c r="E59" s="1806"/>
      <c r="F59" s="1806"/>
      <c r="G59" s="1806"/>
      <c r="H59" s="1172">
        <f ca="1">ROUND((H28*'F.M.'!F51+'INT OBRA'!H57)*19%,0)</f>
        <v>81685747</v>
      </c>
      <c r="I59"/>
      <c r="J59" s="1180"/>
      <c r="K59" s="1180"/>
      <c r="L59" s="1180"/>
      <c r="M59" s="1180"/>
      <c r="N59" s="1180"/>
      <c r="O59" s="1180"/>
      <c r="P59" s="1180"/>
      <c r="Q59" s="1180"/>
      <c r="R59" s="1180"/>
      <c r="S59" s="1180"/>
      <c r="T59" s="1180"/>
      <c r="U59" s="1180"/>
      <c r="V59" s="1180"/>
      <c r="W59" s="1180"/>
      <c r="X59" s="1180"/>
      <c r="Y59" s="1180"/>
      <c r="Z59" s="1180"/>
      <c r="AA59" s="1180"/>
      <c r="AB59" s="1180"/>
      <c r="AC59" s="1180"/>
      <c r="AD59" s="1180"/>
      <c r="AE59" s="1180"/>
      <c r="AF59" s="1180"/>
      <c r="AG59" s="1180"/>
      <c r="AH59" s="1180"/>
      <c r="AI59" s="1180"/>
      <c r="AJ59" s="1180"/>
      <c r="AK59" s="1180"/>
      <c r="AL59" s="1180"/>
      <c r="AM59" s="1180"/>
      <c r="AN59" s="1180"/>
      <c r="AO59" s="1180"/>
      <c r="AP59" s="1180"/>
      <c r="AQ59" s="1180"/>
      <c r="AR59" s="1180"/>
      <c r="AS59" s="1180"/>
      <c r="AT59" s="1180"/>
      <c r="AU59" s="1180"/>
      <c r="AV59" s="1180"/>
      <c r="AW59" s="1180"/>
      <c r="AX59" s="1180"/>
      <c r="AY59" s="1180"/>
      <c r="AZ59" s="1180"/>
      <c r="BA59" s="1180"/>
      <c r="BB59" s="1180"/>
      <c r="BC59" s="1180"/>
      <c r="BD59" s="1180"/>
      <c r="BE59" s="1180"/>
      <c r="BF59" s="1180"/>
      <c r="BG59" s="1180"/>
      <c r="BH59" s="1180"/>
      <c r="BI59" s="1180"/>
      <c r="BJ59" s="1180"/>
      <c r="BK59" s="1180"/>
      <c r="BL59" s="1180"/>
      <c r="BM59" s="1180"/>
      <c r="BN59" s="1180"/>
      <c r="BO59" s="1180"/>
      <c r="BP59" s="1180"/>
      <c r="BQ59" s="1180"/>
      <c r="BR59" s="1180"/>
      <c r="BS59" s="1180"/>
      <c r="BT59" s="1180"/>
      <c r="BU59" s="1180"/>
      <c r="BV59" s="1180"/>
      <c r="BW59" s="1180"/>
      <c r="BX59" s="1180"/>
      <c r="BY59" s="1180"/>
      <c r="BZ59" s="1180"/>
      <c r="CA59" s="1180"/>
      <c r="CB59" s="1180"/>
      <c r="CC59" s="1180"/>
      <c r="CD59" s="1180"/>
      <c r="CE59" s="1180"/>
      <c r="CF59" s="1180"/>
      <c r="CG59" s="1180"/>
      <c r="CH59" s="1180"/>
      <c r="CI59" s="1180"/>
      <c r="CJ59" s="1180"/>
      <c r="CK59" s="1180"/>
      <c r="CL59" s="1180"/>
      <c r="CM59" s="1180"/>
      <c r="CN59" s="1180"/>
      <c r="CO59" s="1180"/>
      <c r="CP59" s="1180"/>
      <c r="CQ59" s="1180"/>
      <c r="CR59" s="1180"/>
      <c r="CS59" s="1180"/>
      <c r="CT59" s="1180"/>
      <c r="CU59" s="1180"/>
      <c r="CV59" s="1180"/>
      <c r="CW59" s="1180"/>
      <c r="CX59" s="1180"/>
      <c r="CY59" s="1180"/>
      <c r="CZ59" s="1180"/>
      <c r="DA59" s="1180"/>
      <c r="DB59" s="1180"/>
      <c r="DC59" s="1180"/>
      <c r="DD59" s="1180"/>
      <c r="DE59" s="1180"/>
      <c r="DF59" s="1180"/>
      <c r="DG59" s="1180"/>
      <c r="DH59" s="1180"/>
      <c r="DI59" s="1180"/>
      <c r="DJ59" s="1180"/>
      <c r="DK59" s="1180"/>
      <c r="DL59" s="1180"/>
      <c r="DM59" s="1180"/>
      <c r="DN59" s="1180"/>
      <c r="DO59" s="1180"/>
      <c r="DP59" s="1180"/>
      <c r="DQ59" s="1180"/>
      <c r="DR59" s="1180"/>
      <c r="DS59" s="1180"/>
      <c r="DT59" s="1180"/>
      <c r="DU59" s="1180"/>
      <c r="DV59" s="1180"/>
      <c r="DW59" s="1180"/>
      <c r="DX59" s="1180"/>
      <c r="DY59" s="1180"/>
      <c r="DZ59" s="1180"/>
      <c r="EA59" s="1180"/>
      <c r="EB59" s="1180"/>
      <c r="EC59" s="1180"/>
      <c r="ED59" s="1180"/>
      <c r="EE59" s="1180"/>
      <c r="EF59" s="1180"/>
      <c r="EG59" s="1180"/>
      <c r="EH59" s="1180"/>
      <c r="EI59" s="1180"/>
      <c r="EJ59" s="1180"/>
      <c r="EK59" s="1180"/>
      <c r="EL59" s="1180"/>
      <c r="EM59" s="1180"/>
      <c r="EN59" s="1180"/>
      <c r="EO59" s="1180"/>
      <c r="EP59" s="1180"/>
      <c r="EQ59" s="1180"/>
      <c r="ER59" s="1180"/>
      <c r="ES59" s="1180"/>
      <c r="ET59" s="1180"/>
      <c r="EU59" s="1180"/>
      <c r="EV59" s="1180"/>
      <c r="EW59" s="1180"/>
      <c r="EX59" s="1180"/>
      <c r="EY59" s="1180"/>
      <c r="EZ59" s="1180"/>
      <c r="FA59" s="1180"/>
      <c r="FB59" s="1180"/>
      <c r="FC59" s="1180"/>
      <c r="FD59" s="1180"/>
      <c r="FE59" s="1180"/>
      <c r="FF59" s="1180"/>
      <c r="FG59" s="1180"/>
      <c r="FH59" s="1180"/>
      <c r="FI59" s="1180"/>
      <c r="FJ59" s="1180"/>
      <c r="FK59" s="1180"/>
      <c r="FL59" s="1180"/>
      <c r="FM59" s="1180"/>
      <c r="FN59" s="1180"/>
      <c r="FO59" s="1180"/>
      <c r="FP59" s="1180"/>
      <c r="FQ59" s="1180"/>
      <c r="FR59" s="1180"/>
      <c r="FS59" s="1180"/>
      <c r="FT59" s="1180"/>
      <c r="FU59" s="1180"/>
      <c r="FV59" s="1180"/>
      <c r="FW59" s="1180"/>
      <c r="FX59" s="1180"/>
      <c r="FY59" s="1180"/>
      <c r="FZ59" s="1180"/>
      <c r="GA59" s="1180"/>
    </row>
    <row r="60" spans="1:183" s="1182" customFormat="1" ht="14.1" customHeight="1">
      <c r="A60" s="1118"/>
      <c r="B60" s="1807" t="s">
        <v>1205</v>
      </c>
      <c r="C60" s="1807"/>
      <c r="D60" s="1807"/>
      <c r="E60" s="1807"/>
      <c r="F60" s="1807"/>
      <c r="G60" s="1807"/>
      <c r="H60" s="1187">
        <f ca="1">ROUND(H58+H59,0)</f>
        <v>569860272</v>
      </c>
      <c r="I60"/>
      <c r="J60" s="1541">
        <f ca="1">K60-H60</f>
        <v>0</v>
      </c>
      <c r="K60" s="1541">
        <v>569860272</v>
      </c>
      <c r="L60" s="1529"/>
      <c r="M60" s="1180"/>
      <c r="N60" s="1180"/>
      <c r="O60" s="1180"/>
      <c r="P60" s="1180"/>
      <c r="Q60" s="1180"/>
      <c r="R60" s="1180"/>
      <c r="S60" s="1180"/>
      <c r="T60" s="1180"/>
      <c r="U60" s="1180"/>
      <c r="V60" s="1180"/>
      <c r="W60" s="1180"/>
      <c r="X60" s="1180"/>
      <c r="Y60" s="1180"/>
      <c r="Z60" s="1180"/>
      <c r="AA60" s="1180"/>
      <c r="AB60" s="1180"/>
      <c r="AC60" s="1180"/>
      <c r="AD60" s="1180"/>
      <c r="AE60" s="1180"/>
      <c r="AF60" s="1180"/>
      <c r="AG60" s="1180"/>
      <c r="AH60" s="1180"/>
      <c r="AI60" s="1180"/>
      <c r="AJ60" s="1180"/>
      <c r="AK60" s="1180"/>
      <c r="AL60" s="1180"/>
      <c r="AM60" s="1180"/>
      <c r="AN60" s="1180"/>
      <c r="AO60" s="1180"/>
      <c r="AP60" s="1180"/>
      <c r="AQ60" s="1180"/>
      <c r="AR60" s="1180"/>
      <c r="AS60" s="1180"/>
      <c r="AT60" s="1180"/>
      <c r="AU60" s="1180"/>
      <c r="AV60" s="1180"/>
      <c r="AW60" s="1180"/>
      <c r="AX60" s="1180"/>
      <c r="AY60" s="1180"/>
      <c r="AZ60" s="1180"/>
      <c r="BA60" s="1180"/>
      <c r="BB60" s="1180"/>
      <c r="BC60" s="1180"/>
      <c r="BD60" s="1180"/>
      <c r="BE60" s="1180"/>
      <c r="BF60" s="1180"/>
      <c r="BG60" s="1180"/>
      <c r="BH60" s="1180"/>
      <c r="BI60" s="1180"/>
      <c r="BJ60" s="1180"/>
      <c r="BK60" s="1180"/>
      <c r="BL60" s="1180"/>
      <c r="BM60" s="1180"/>
      <c r="BN60" s="1180"/>
      <c r="BO60" s="1180"/>
      <c r="BP60" s="1180"/>
      <c r="BQ60" s="1180"/>
      <c r="BR60" s="1180"/>
      <c r="BS60" s="1180"/>
      <c r="BT60" s="1180"/>
      <c r="BU60" s="1180"/>
      <c r="BV60" s="1180"/>
      <c r="BW60" s="1180"/>
      <c r="BX60" s="1180"/>
      <c r="BY60" s="1180"/>
      <c r="BZ60" s="1180"/>
      <c r="CA60" s="1180"/>
      <c r="CB60" s="1180"/>
      <c r="CC60" s="1180"/>
      <c r="CD60" s="1180"/>
      <c r="CE60" s="1180"/>
      <c r="CF60" s="1180"/>
      <c r="CG60" s="1180"/>
      <c r="CH60" s="1180"/>
      <c r="CI60" s="1180"/>
      <c r="CJ60" s="1180"/>
      <c r="CK60" s="1180"/>
      <c r="CL60" s="1180"/>
      <c r="CM60" s="1180"/>
      <c r="CN60" s="1180"/>
      <c r="CO60" s="1180"/>
      <c r="CP60" s="1180"/>
      <c r="CQ60" s="1180"/>
      <c r="CR60" s="1180"/>
      <c r="CS60" s="1180"/>
      <c r="CT60" s="1180"/>
      <c r="CU60" s="1180"/>
      <c r="CV60" s="1180"/>
      <c r="CW60" s="1180"/>
      <c r="CX60" s="1180"/>
      <c r="CY60" s="1180"/>
      <c r="CZ60" s="1180"/>
      <c r="DA60" s="1180"/>
      <c r="DB60" s="1180"/>
      <c r="DC60" s="1180"/>
      <c r="DD60" s="1180"/>
      <c r="DE60" s="1180"/>
      <c r="DF60" s="1180"/>
      <c r="DG60" s="1180"/>
      <c r="DH60" s="1180"/>
      <c r="DI60" s="1180"/>
      <c r="DJ60" s="1180"/>
      <c r="DK60" s="1180"/>
      <c r="DL60" s="1180"/>
      <c r="DM60" s="1180"/>
      <c r="DN60" s="1180"/>
      <c r="DO60" s="1180"/>
      <c r="DP60" s="1180"/>
      <c r="DQ60" s="1180"/>
      <c r="DR60" s="1180"/>
      <c r="DS60" s="1180"/>
      <c r="DT60" s="1180"/>
      <c r="DU60" s="1180"/>
      <c r="DV60" s="1180"/>
      <c r="DW60" s="1180"/>
      <c r="DX60" s="1180"/>
      <c r="DY60" s="1180"/>
      <c r="DZ60" s="1180"/>
      <c r="EA60" s="1180"/>
      <c r="EB60" s="1180"/>
      <c r="EC60" s="1180"/>
      <c r="ED60" s="1180"/>
      <c r="EE60" s="1180"/>
      <c r="EF60" s="1180"/>
      <c r="EG60" s="1180"/>
      <c r="EH60" s="1180"/>
      <c r="EI60" s="1180"/>
      <c r="EJ60" s="1180"/>
      <c r="EK60" s="1180"/>
      <c r="EL60" s="1180"/>
      <c r="EM60" s="1180"/>
      <c r="EN60" s="1180"/>
      <c r="EO60" s="1180"/>
      <c r="EP60" s="1180"/>
      <c r="EQ60" s="1180"/>
      <c r="ER60" s="1180"/>
      <c r="ES60" s="1180"/>
      <c r="ET60" s="1180"/>
      <c r="EU60" s="1180"/>
      <c r="EV60" s="1180"/>
      <c r="EW60" s="1180"/>
      <c r="EX60" s="1180"/>
      <c r="EY60" s="1180"/>
      <c r="EZ60" s="1180"/>
      <c r="FA60" s="1180"/>
      <c r="FB60" s="1180"/>
      <c r="FC60" s="1180"/>
      <c r="FD60" s="1180"/>
      <c r="FE60" s="1180"/>
      <c r="FF60" s="1180"/>
      <c r="FG60" s="1180"/>
      <c r="FH60" s="1180"/>
      <c r="FI60" s="1180"/>
      <c r="FJ60" s="1180"/>
      <c r="FK60" s="1180"/>
      <c r="FL60" s="1180"/>
      <c r="FM60" s="1180"/>
      <c r="FN60" s="1180"/>
      <c r="FO60" s="1180"/>
      <c r="FP60" s="1180"/>
      <c r="FQ60" s="1180"/>
      <c r="FR60" s="1180"/>
      <c r="FS60" s="1180"/>
      <c r="FT60" s="1180"/>
      <c r="FU60" s="1180"/>
      <c r="FV60" s="1180"/>
      <c r="FW60" s="1180"/>
      <c r="FX60" s="1180"/>
      <c r="FY60" s="1180"/>
      <c r="FZ60" s="1180"/>
      <c r="GA60" s="1180"/>
    </row>
    <row r="61" spans="1:183" ht="12.6" customHeight="1">
      <c r="A61" s="1114"/>
      <c r="B61" s="1356"/>
      <c r="C61" s="1357"/>
      <c r="D61" s="1357"/>
      <c r="E61" s="1357"/>
      <c r="F61" s="1357"/>
      <c r="G61" s="1357"/>
      <c r="H61" s="1358"/>
    </row>
    <row r="62" spans="1:183" ht="15.75">
      <c r="A62" s="1114"/>
      <c r="B62" s="1808"/>
      <c r="C62" s="1809"/>
      <c r="D62" s="1359"/>
      <c r="E62" s="1173"/>
      <c r="F62" s="1360"/>
      <c r="G62" s="1174"/>
      <c r="H62" s="1188"/>
      <c r="J62" s="1183"/>
      <c r="K62" s="1183"/>
      <c r="L62" s="1183"/>
      <c r="M62" s="1183"/>
      <c r="N62" s="1183"/>
      <c r="O62" s="1183"/>
      <c r="P62" s="1183"/>
      <c r="Q62" s="1183"/>
      <c r="R62" s="1183"/>
      <c r="S62" s="1183"/>
      <c r="T62" s="1183"/>
      <c r="U62" s="1183"/>
      <c r="V62" s="1183"/>
      <c r="W62" s="1183"/>
      <c r="X62" s="1183"/>
      <c r="Y62" s="1183"/>
      <c r="Z62" s="1183"/>
      <c r="AA62" s="1183"/>
      <c r="AB62" s="1183"/>
      <c r="AC62" s="1183"/>
      <c r="AD62" s="1183"/>
      <c r="AE62" s="1183"/>
      <c r="AF62" s="1183"/>
      <c r="AG62" s="1183"/>
      <c r="AH62" s="1183"/>
      <c r="AI62" s="1183"/>
      <c r="AJ62" s="1183"/>
      <c r="AK62" s="1183"/>
      <c r="AL62" s="1183"/>
      <c r="AM62" s="1183"/>
      <c r="AN62" s="1183"/>
      <c r="AO62" s="1183"/>
      <c r="AP62" s="1183"/>
      <c r="AQ62" s="1183"/>
      <c r="AR62" s="1183"/>
      <c r="AS62" s="1183"/>
      <c r="AT62" s="1183"/>
      <c r="AU62" s="1183"/>
      <c r="AV62" s="1183"/>
      <c r="AW62" s="1183"/>
      <c r="AX62" s="1183"/>
      <c r="AY62" s="1183"/>
      <c r="AZ62" s="1183"/>
      <c r="BA62" s="1183"/>
      <c r="BB62" s="1183"/>
      <c r="BC62" s="1183"/>
      <c r="BD62" s="1183"/>
      <c r="BE62" s="1183"/>
      <c r="BF62" s="1183"/>
      <c r="BG62" s="1183"/>
      <c r="BH62" s="1183"/>
      <c r="BI62" s="1183"/>
      <c r="BJ62" s="1183"/>
      <c r="BK62" s="1183"/>
      <c r="BL62" s="1183"/>
      <c r="BM62" s="1183"/>
      <c r="BN62" s="1183"/>
      <c r="BO62" s="1183"/>
      <c r="BP62" s="1183"/>
      <c r="BQ62" s="1183"/>
      <c r="BR62" s="1183"/>
      <c r="BS62" s="1183"/>
      <c r="BT62" s="1183"/>
      <c r="BU62" s="1183"/>
      <c r="BV62" s="1183"/>
      <c r="BW62" s="1183"/>
      <c r="BX62" s="1183"/>
      <c r="BY62" s="1183"/>
      <c r="BZ62" s="1183"/>
      <c r="CA62" s="1183"/>
      <c r="CB62" s="1183"/>
      <c r="CC62" s="1183"/>
      <c r="CD62" s="1183"/>
      <c r="CE62" s="1183"/>
      <c r="CF62" s="1183"/>
      <c r="CG62" s="1183"/>
      <c r="CH62" s="1183"/>
      <c r="CI62" s="1183"/>
      <c r="CJ62" s="1183"/>
      <c r="CK62" s="1183"/>
      <c r="CL62" s="1183"/>
      <c r="CM62" s="1183"/>
      <c r="CN62" s="1183"/>
      <c r="CO62" s="1183"/>
      <c r="CP62" s="1183"/>
      <c r="CQ62" s="1183"/>
      <c r="CR62" s="1183"/>
      <c r="CS62" s="1183"/>
      <c r="CT62" s="1183"/>
      <c r="CU62" s="1183"/>
      <c r="CV62" s="1183"/>
      <c r="CW62" s="1183"/>
      <c r="CX62" s="1183"/>
      <c r="CY62" s="1183"/>
      <c r="CZ62" s="1183"/>
      <c r="DA62" s="1183"/>
      <c r="DB62" s="1183"/>
      <c r="DC62" s="1183"/>
      <c r="DD62" s="1183"/>
      <c r="DE62" s="1183"/>
      <c r="DF62" s="1183"/>
      <c r="DG62" s="1183"/>
      <c r="DH62" s="1183"/>
      <c r="DI62" s="1183"/>
      <c r="DJ62" s="1183"/>
      <c r="DK62" s="1183"/>
      <c r="DL62" s="1183"/>
      <c r="DM62" s="1183"/>
      <c r="DN62" s="1183"/>
      <c r="DO62" s="1183"/>
      <c r="DP62" s="1183"/>
      <c r="DQ62" s="1183"/>
      <c r="DR62" s="1183"/>
      <c r="DS62" s="1183"/>
      <c r="DT62" s="1183"/>
      <c r="DU62" s="1183"/>
      <c r="DV62" s="1183"/>
      <c r="DW62" s="1183"/>
      <c r="DX62" s="1183"/>
      <c r="DY62" s="1183"/>
      <c r="DZ62" s="1183"/>
      <c r="EA62" s="1183"/>
      <c r="EB62" s="1183"/>
      <c r="EC62" s="1183"/>
      <c r="ED62" s="1183"/>
      <c r="EE62" s="1183"/>
      <c r="EF62" s="1183"/>
      <c r="EG62" s="1183"/>
      <c r="EH62" s="1183"/>
      <c r="EI62" s="1183"/>
      <c r="EJ62" s="1183"/>
      <c r="EK62" s="1183"/>
      <c r="EL62" s="1183"/>
      <c r="EM62" s="1183"/>
      <c r="EN62" s="1183"/>
      <c r="EO62" s="1183"/>
      <c r="EP62" s="1183"/>
      <c r="EQ62" s="1183"/>
      <c r="ER62" s="1183"/>
      <c r="ES62" s="1183"/>
      <c r="ET62" s="1183"/>
      <c r="EU62" s="1183"/>
      <c r="EV62" s="1183"/>
      <c r="EW62" s="1183"/>
      <c r="EX62" s="1183"/>
      <c r="EY62" s="1183"/>
      <c r="EZ62" s="1183"/>
      <c r="FA62" s="1183"/>
      <c r="FB62" s="1183"/>
      <c r="FC62" s="1183"/>
      <c r="FD62" s="1183"/>
      <c r="FE62" s="1183"/>
      <c r="FF62" s="1183"/>
      <c r="FG62" s="1183"/>
      <c r="FH62" s="1183"/>
      <c r="FI62" s="1183"/>
      <c r="FJ62" s="1183"/>
      <c r="FK62" s="1183"/>
      <c r="FL62" s="1183"/>
      <c r="FM62" s="1183"/>
      <c r="FN62" s="1183"/>
      <c r="FO62" s="1183"/>
      <c r="FP62" s="1183"/>
      <c r="FQ62" s="1183"/>
      <c r="FR62" s="1183"/>
      <c r="FS62" s="1183"/>
      <c r="FT62" s="1183"/>
      <c r="FU62" s="1183"/>
      <c r="FV62" s="1183"/>
      <c r="FW62" s="1183"/>
      <c r="FX62" s="1183"/>
      <c r="FY62" s="1183"/>
      <c r="FZ62" s="1183"/>
      <c r="GA62" s="1183"/>
    </row>
    <row r="63" spans="1:183" ht="30" customHeight="1">
      <c r="A63" s="1114"/>
      <c r="B63" s="1813" t="s">
        <v>22</v>
      </c>
      <c r="C63" s="1551"/>
      <c r="D63" s="1176"/>
      <c r="E63" s="1173"/>
      <c r="F63" s="1177"/>
      <c r="G63" s="1174"/>
      <c r="H63" s="1188"/>
      <c r="J63" s="1183"/>
      <c r="K63" s="1183"/>
      <c r="L63" s="1183"/>
      <c r="M63" s="1183"/>
      <c r="N63" s="1183"/>
      <c r="O63" s="1183"/>
      <c r="P63" s="1183"/>
      <c r="Q63" s="1183"/>
      <c r="R63" s="1183"/>
      <c r="S63" s="1183"/>
      <c r="T63" s="1183"/>
      <c r="U63" s="1183"/>
      <c r="V63" s="1183"/>
      <c r="W63" s="1183"/>
      <c r="X63" s="1183"/>
      <c r="Y63" s="1183"/>
      <c r="Z63" s="1183"/>
      <c r="AA63" s="1183"/>
      <c r="AB63" s="1183"/>
      <c r="AC63" s="1183"/>
      <c r="AD63" s="1183"/>
      <c r="AE63" s="1183"/>
      <c r="AF63" s="1183"/>
      <c r="AG63" s="1183"/>
      <c r="AH63" s="1183"/>
      <c r="AI63" s="1183"/>
      <c r="AJ63" s="1183"/>
      <c r="AK63" s="1183"/>
      <c r="AL63" s="1183"/>
      <c r="AM63" s="1183"/>
      <c r="AN63" s="1183"/>
      <c r="AO63" s="1183"/>
      <c r="AP63" s="1183"/>
      <c r="AQ63" s="1183"/>
      <c r="AR63" s="1183"/>
      <c r="AS63" s="1183"/>
      <c r="AT63" s="1183"/>
      <c r="AU63" s="1183"/>
      <c r="AV63" s="1183"/>
      <c r="AW63" s="1183"/>
      <c r="AX63" s="1183"/>
      <c r="AY63" s="1183"/>
      <c r="AZ63" s="1183"/>
      <c r="BA63" s="1183"/>
      <c r="BB63" s="1183"/>
      <c r="BC63" s="1183"/>
      <c r="BD63" s="1183"/>
      <c r="BE63" s="1183"/>
      <c r="BF63" s="1183"/>
      <c r="BG63" s="1183"/>
      <c r="BH63" s="1183"/>
      <c r="BI63" s="1183"/>
      <c r="BJ63" s="1183"/>
      <c r="BK63" s="1183"/>
      <c r="BL63" s="1183"/>
      <c r="BM63" s="1183"/>
      <c r="BN63" s="1183"/>
      <c r="BO63" s="1183"/>
      <c r="BP63" s="1183"/>
      <c r="BQ63" s="1183"/>
      <c r="BR63" s="1183"/>
      <c r="BS63" s="1183"/>
      <c r="BT63" s="1183"/>
      <c r="BU63" s="1183"/>
      <c r="BV63" s="1183"/>
      <c r="BW63" s="1183"/>
      <c r="BX63" s="1183"/>
      <c r="BY63" s="1183"/>
      <c r="BZ63" s="1183"/>
      <c r="CA63" s="1183"/>
      <c r="CB63" s="1183"/>
      <c r="CC63" s="1183"/>
      <c r="CD63" s="1183"/>
      <c r="CE63" s="1183"/>
      <c r="CF63" s="1183"/>
      <c r="CG63" s="1183"/>
      <c r="CH63" s="1183"/>
      <c r="CI63" s="1183"/>
      <c r="CJ63" s="1183"/>
      <c r="CK63" s="1183"/>
      <c r="CL63" s="1183"/>
      <c r="CM63" s="1183"/>
      <c r="CN63" s="1183"/>
      <c r="CO63" s="1183"/>
      <c r="CP63" s="1183"/>
      <c r="CQ63" s="1183"/>
      <c r="CR63" s="1183"/>
      <c r="CS63" s="1183"/>
      <c r="CT63" s="1183"/>
      <c r="CU63" s="1183"/>
      <c r="CV63" s="1183"/>
      <c r="CW63" s="1183"/>
      <c r="CX63" s="1183"/>
      <c r="CY63" s="1183"/>
      <c r="CZ63" s="1183"/>
      <c r="DA63" s="1183"/>
      <c r="DB63" s="1183"/>
      <c r="DC63" s="1183"/>
      <c r="DD63" s="1183"/>
      <c r="DE63" s="1183"/>
      <c r="DF63" s="1183"/>
      <c r="DG63" s="1183"/>
      <c r="DH63" s="1183"/>
      <c r="DI63" s="1183"/>
      <c r="DJ63" s="1183"/>
      <c r="DK63" s="1183"/>
      <c r="DL63" s="1183"/>
      <c r="DM63" s="1183"/>
      <c r="DN63" s="1183"/>
      <c r="DO63" s="1183"/>
      <c r="DP63" s="1183"/>
      <c r="DQ63" s="1183"/>
      <c r="DR63" s="1183"/>
      <c r="DS63" s="1183"/>
      <c r="DT63" s="1183"/>
      <c r="DU63" s="1183"/>
      <c r="DV63" s="1183"/>
      <c r="DW63" s="1183"/>
      <c r="DX63" s="1183"/>
      <c r="DY63" s="1183"/>
      <c r="DZ63" s="1183"/>
      <c r="EA63" s="1183"/>
      <c r="EB63" s="1183"/>
      <c r="EC63" s="1183"/>
      <c r="ED63" s="1183"/>
      <c r="EE63" s="1183"/>
      <c r="EF63" s="1183"/>
      <c r="EG63" s="1183"/>
      <c r="EH63" s="1183"/>
      <c r="EI63" s="1183"/>
      <c r="EJ63" s="1183"/>
      <c r="EK63" s="1183"/>
      <c r="EL63" s="1183"/>
      <c r="EM63" s="1183"/>
      <c r="EN63" s="1183"/>
      <c r="EO63" s="1183"/>
      <c r="EP63" s="1183"/>
      <c r="EQ63" s="1183"/>
      <c r="ER63" s="1183"/>
      <c r="ES63" s="1183"/>
      <c r="ET63" s="1183"/>
      <c r="EU63" s="1183"/>
      <c r="EV63" s="1183"/>
      <c r="EW63" s="1183"/>
      <c r="EX63" s="1183"/>
      <c r="EY63" s="1183"/>
      <c r="EZ63" s="1183"/>
      <c r="FA63" s="1183"/>
      <c r="FB63" s="1183"/>
      <c r="FC63" s="1183"/>
      <c r="FD63" s="1183"/>
      <c r="FE63" s="1183"/>
      <c r="FF63" s="1183"/>
      <c r="FG63" s="1183"/>
      <c r="FH63" s="1183"/>
      <c r="FI63" s="1183"/>
      <c r="FJ63" s="1183"/>
      <c r="FK63" s="1183"/>
      <c r="FL63" s="1183"/>
      <c r="FM63" s="1183"/>
      <c r="FN63" s="1183"/>
      <c r="FO63" s="1183"/>
      <c r="FP63" s="1183"/>
      <c r="FQ63" s="1183"/>
      <c r="FR63" s="1183"/>
      <c r="FS63" s="1183"/>
      <c r="FT63" s="1183"/>
      <c r="FU63" s="1183"/>
      <c r="FV63" s="1183"/>
      <c r="FW63" s="1183"/>
      <c r="FX63" s="1183"/>
      <c r="FY63" s="1183"/>
      <c r="FZ63" s="1183"/>
      <c r="GA63" s="1183"/>
    </row>
    <row r="64" spans="1:183" ht="15" customHeight="1">
      <c r="A64" s="1114"/>
      <c r="B64" s="1804" t="s">
        <v>23</v>
      </c>
      <c r="C64" s="1545"/>
      <c r="D64" s="1176"/>
      <c r="E64" s="1173"/>
      <c r="F64" s="1177"/>
      <c r="G64" s="1174"/>
      <c r="H64" s="1188"/>
      <c r="J64" s="1183"/>
      <c r="K64" s="1183"/>
      <c r="L64" s="1183"/>
      <c r="M64" s="1183"/>
      <c r="N64" s="1183"/>
      <c r="O64" s="1183"/>
      <c r="P64" s="1183"/>
      <c r="Q64" s="1183"/>
      <c r="R64" s="1183"/>
      <c r="S64" s="1183"/>
      <c r="T64" s="1183"/>
      <c r="U64" s="1183"/>
      <c r="V64" s="1183"/>
      <c r="W64" s="1183"/>
      <c r="X64" s="1183"/>
      <c r="Y64" s="1183"/>
      <c r="Z64" s="1183"/>
      <c r="AA64" s="1183"/>
      <c r="AB64" s="1183"/>
      <c r="AC64" s="1183"/>
      <c r="AD64" s="1183"/>
      <c r="AE64" s="1183"/>
      <c r="AF64" s="1183"/>
      <c r="AG64" s="1183"/>
      <c r="AH64" s="1183"/>
      <c r="AI64" s="1183"/>
      <c r="AJ64" s="1183"/>
      <c r="AK64" s="1183"/>
      <c r="AL64" s="1183"/>
      <c r="AM64" s="1183"/>
      <c r="AN64" s="1183"/>
      <c r="AO64" s="1183"/>
      <c r="AP64" s="1183"/>
      <c r="AQ64" s="1183"/>
      <c r="AR64" s="1183"/>
      <c r="AS64" s="1183"/>
      <c r="AT64" s="1183"/>
      <c r="AU64" s="1183"/>
      <c r="AV64" s="1183"/>
      <c r="AW64" s="1183"/>
      <c r="AX64" s="1183"/>
      <c r="AY64" s="1183"/>
      <c r="AZ64" s="1183"/>
      <c r="BA64" s="1183"/>
      <c r="BB64" s="1183"/>
      <c r="BC64" s="1183"/>
      <c r="BD64" s="1183"/>
      <c r="BE64" s="1183"/>
      <c r="BF64" s="1183"/>
      <c r="BG64" s="1183"/>
      <c r="BH64" s="1183"/>
      <c r="BI64" s="1183"/>
      <c r="BJ64" s="1183"/>
      <c r="BK64" s="1183"/>
      <c r="BL64" s="1183"/>
      <c r="BM64" s="1183"/>
      <c r="BN64" s="1183"/>
      <c r="BO64" s="1183"/>
      <c r="BP64" s="1183"/>
      <c r="BQ64" s="1183"/>
      <c r="BR64" s="1183"/>
      <c r="BS64" s="1183"/>
      <c r="BT64" s="1183"/>
      <c r="BU64" s="1183"/>
      <c r="BV64" s="1183"/>
      <c r="BW64" s="1183"/>
      <c r="BX64" s="1183"/>
      <c r="BY64" s="1183"/>
      <c r="BZ64" s="1183"/>
      <c r="CA64" s="1183"/>
      <c r="CB64" s="1183"/>
      <c r="CC64" s="1183"/>
      <c r="CD64" s="1183"/>
      <c r="CE64" s="1183"/>
      <c r="CF64" s="1183"/>
      <c r="CG64" s="1183"/>
      <c r="CH64" s="1183"/>
      <c r="CI64" s="1183"/>
      <c r="CJ64" s="1183"/>
      <c r="CK64" s="1183"/>
      <c r="CL64" s="1183"/>
      <c r="CM64" s="1183"/>
      <c r="CN64" s="1183"/>
      <c r="CO64" s="1183"/>
      <c r="CP64" s="1183"/>
      <c r="CQ64" s="1183"/>
      <c r="CR64" s="1183"/>
      <c r="CS64" s="1183"/>
      <c r="CT64" s="1183"/>
      <c r="CU64" s="1183"/>
      <c r="CV64" s="1183"/>
      <c r="CW64" s="1183"/>
      <c r="CX64" s="1183"/>
      <c r="CY64" s="1183"/>
      <c r="CZ64" s="1183"/>
      <c r="DA64" s="1183"/>
      <c r="DB64" s="1183"/>
      <c r="DC64" s="1183"/>
      <c r="DD64" s="1183"/>
      <c r="DE64" s="1183"/>
      <c r="DF64" s="1183"/>
      <c r="DG64" s="1183"/>
      <c r="DH64" s="1183"/>
      <c r="DI64" s="1183"/>
      <c r="DJ64" s="1183"/>
      <c r="DK64" s="1183"/>
      <c r="DL64" s="1183"/>
      <c r="DM64" s="1183"/>
      <c r="DN64" s="1183"/>
      <c r="DO64" s="1183"/>
      <c r="DP64" s="1183"/>
      <c r="DQ64" s="1183"/>
      <c r="DR64" s="1183"/>
      <c r="DS64" s="1183"/>
      <c r="DT64" s="1183"/>
      <c r="DU64" s="1183"/>
      <c r="DV64" s="1183"/>
      <c r="DW64" s="1183"/>
      <c r="DX64" s="1183"/>
      <c r="DY64" s="1183"/>
      <c r="DZ64" s="1183"/>
      <c r="EA64" s="1183"/>
      <c r="EB64" s="1183"/>
      <c r="EC64" s="1183"/>
      <c r="ED64" s="1183"/>
      <c r="EE64" s="1183"/>
      <c r="EF64" s="1183"/>
      <c r="EG64" s="1183"/>
      <c r="EH64" s="1183"/>
      <c r="EI64" s="1183"/>
      <c r="EJ64" s="1183"/>
      <c r="EK64" s="1183"/>
      <c r="EL64" s="1183"/>
      <c r="EM64" s="1183"/>
      <c r="EN64" s="1183"/>
      <c r="EO64" s="1183"/>
      <c r="EP64" s="1183"/>
      <c r="EQ64" s="1183"/>
      <c r="ER64" s="1183"/>
      <c r="ES64" s="1183"/>
      <c r="ET64" s="1183"/>
      <c r="EU64" s="1183"/>
      <c r="EV64" s="1183"/>
      <c r="EW64" s="1183"/>
      <c r="EX64" s="1183"/>
      <c r="EY64" s="1183"/>
      <c r="EZ64" s="1183"/>
      <c r="FA64" s="1183"/>
      <c r="FB64" s="1183"/>
      <c r="FC64" s="1183"/>
      <c r="FD64" s="1183"/>
      <c r="FE64" s="1183"/>
      <c r="FF64" s="1183"/>
      <c r="FG64" s="1183"/>
      <c r="FH64" s="1183"/>
      <c r="FI64" s="1183"/>
      <c r="FJ64" s="1183"/>
      <c r="FK64" s="1183"/>
      <c r="FL64" s="1183"/>
      <c r="FM64" s="1183"/>
      <c r="FN64" s="1183"/>
      <c r="FO64" s="1183"/>
      <c r="FP64" s="1183"/>
      <c r="FQ64" s="1183"/>
      <c r="FR64" s="1183"/>
      <c r="FS64" s="1183"/>
      <c r="FT64" s="1183"/>
      <c r="FU64" s="1183"/>
      <c r="FV64" s="1183"/>
      <c r="FW64" s="1183"/>
      <c r="FX64" s="1183"/>
      <c r="FY64" s="1183"/>
      <c r="FZ64" s="1183"/>
      <c r="GA64" s="1183"/>
    </row>
    <row r="65" spans="1:16311" ht="15" customHeight="1">
      <c r="A65" s="1114"/>
      <c r="B65" s="1814" t="s">
        <v>24</v>
      </c>
      <c r="C65" s="1545"/>
      <c r="D65" s="1176"/>
      <c r="E65" s="1173"/>
      <c r="F65" s="1173"/>
      <c r="G65" s="1174"/>
      <c r="H65" s="1188"/>
      <c r="J65" s="1183"/>
      <c r="K65" s="1183"/>
      <c r="L65" s="1183"/>
      <c r="M65" s="1183"/>
      <c r="N65" s="1183"/>
      <c r="O65" s="1183"/>
      <c r="P65" s="1183"/>
      <c r="Q65" s="1183"/>
      <c r="R65" s="1183"/>
      <c r="S65" s="1183"/>
      <c r="T65" s="1183"/>
      <c r="U65" s="1183"/>
      <c r="V65" s="1183"/>
      <c r="W65" s="1183"/>
      <c r="X65" s="1183"/>
      <c r="Y65" s="1183"/>
      <c r="Z65" s="1183"/>
      <c r="AA65" s="1183"/>
      <c r="AB65" s="1183"/>
      <c r="AC65" s="1183"/>
      <c r="AD65" s="1183"/>
      <c r="AE65" s="1183"/>
      <c r="AF65" s="1183"/>
      <c r="AG65" s="1183"/>
      <c r="AH65" s="1183"/>
      <c r="AI65" s="1183"/>
      <c r="AJ65" s="1183"/>
      <c r="AK65" s="1183"/>
      <c r="AL65" s="1183"/>
      <c r="AM65" s="1183"/>
      <c r="AN65" s="1183"/>
      <c r="AO65" s="1183"/>
      <c r="AP65" s="1183"/>
      <c r="AQ65" s="1183"/>
      <c r="AR65" s="1183"/>
      <c r="AS65" s="1183"/>
      <c r="AT65" s="1183"/>
      <c r="AU65" s="1183"/>
      <c r="AV65" s="1183"/>
      <c r="AW65" s="1183"/>
      <c r="AX65" s="1183"/>
      <c r="AY65" s="1183"/>
      <c r="AZ65" s="1183"/>
      <c r="BA65" s="1183"/>
      <c r="BB65" s="1183"/>
      <c r="BC65" s="1183"/>
      <c r="BD65" s="1183"/>
      <c r="BE65" s="1183"/>
      <c r="BF65" s="1183"/>
      <c r="BG65" s="1183"/>
      <c r="BH65" s="1183"/>
      <c r="BI65" s="1183"/>
      <c r="BJ65" s="1183"/>
      <c r="BK65" s="1183"/>
      <c r="BL65" s="1183"/>
      <c r="BM65" s="1183"/>
      <c r="BN65" s="1183"/>
      <c r="BO65" s="1183"/>
      <c r="BP65" s="1183"/>
      <c r="BQ65" s="1183"/>
      <c r="BR65" s="1183"/>
      <c r="BS65" s="1183"/>
      <c r="BT65" s="1183"/>
      <c r="BU65" s="1183"/>
      <c r="BV65" s="1183"/>
      <c r="BW65" s="1183"/>
      <c r="BX65" s="1183"/>
      <c r="BY65" s="1183"/>
      <c r="BZ65" s="1183"/>
      <c r="CA65" s="1183"/>
      <c r="CB65" s="1183"/>
      <c r="CC65" s="1183"/>
      <c r="CD65" s="1183"/>
      <c r="CE65" s="1183"/>
      <c r="CF65" s="1183"/>
      <c r="CG65" s="1183"/>
      <c r="CH65" s="1183"/>
      <c r="CI65" s="1183"/>
      <c r="CJ65" s="1183"/>
      <c r="CK65" s="1183"/>
      <c r="CL65" s="1183"/>
      <c r="CM65" s="1183"/>
      <c r="CN65" s="1183"/>
      <c r="CO65" s="1183"/>
      <c r="CP65" s="1183"/>
      <c r="CQ65" s="1183"/>
      <c r="CR65" s="1183"/>
      <c r="CS65" s="1183"/>
      <c r="CT65" s="1183"/>
      <c r="CU65" s="1183"/>
      <c r="CV65" s="1183"/>
      <c r="CW65" s="1183"/>
      <c r="CX65" s="1183"/>
      <c r="CY65" s="1183"/>
      <c r="CZ65" s="1183"/>
      <c r="DA65" s="1183"/>
      <c r="DB65" s="1183"/>
      <c r="DC65" s="1183"/>
      <c r="DD65" s="1183"/>
      <c r="DE65" s="1183"/>
      <c r="DF65" s="1183"/>
      <c r="DG65" s="1183"/>
      <c r="DH65" s="1183"/>
      <c r="DI65" s="1183"/>
      <c r="DJ65" s="1183"/>
      <c r="DK65" s="1183"/>
      <c r="DL65" s="1183"/>
      <c r="DM65" s="1183"/>
      <c r="DN65" s="1183"/>
      <c r="DO65" s="1183"/>
      <c r="DP65" s="1183"/>
      <c r="DQ65" s="1183"/>
      <c r="DR65" s="1183"/>
      <c r="DS65" s="1183"/>
      <c r="DT65" s="1183"/>
      <c r="DU65" s="1183"/>
      <c r="DV65" s="1183"/>
      <c r="DW65" s="1183"/>
      <c r="DX65" s="1183"/>
      <c r="DY65" s="1183"/>
      <c r="DZ65" s="1183"/>
      <c r="EA65" s="1183"/>
      <c r="EB65" s="1183"/>
      <c r="EC65" s="1183"/>
      <c r="ED65" s="1183"/>
      <c r="EE65" s="1183"/>
      <c r="EF65" s="1183"/>
      <c r="EG65" s="1183"/>
      <c r="EH65" s="1183"/>
      <c r="EI65" s="1183"/>
      <c r="EJ65" s="1183"/>
      <c r="EK65" s="1183"/>
      <c r="EL65" s="1183"/>
      <c r="EM65" s="1183"/>
      <c r="EN65" s="1183"/>
      <c r="EO65" s="1183"/>
      <c r="EP65" s="1183"/>
      <c r="EQ65" s="1183"/>
      <c r="ER65" s="1183"/>
      <c r="ES65" s="1183"/>
      <c r="ET65" s="1183"/>
      <c r="EU65" s="1183"/>
      <c r="EV65" s="1183"/>
      <c r="EW65" s="1183"/>
      <c r="EX65" s="1183"/>
      <c r="EY65" s="1183"/>
      <c r="EZ65" s="1183"/>
      <c r="FA65" s="1183"/>
      <c r="FB65" s="1183"/>
      <c r="FC65" s="1183"/>
      <c r="FD65" s="1183"/>
      <c r="FE65" s="1183"/>
      <c r="FF65" s="1183"/>
      <c r="FG65" s="1183"/>
      <c r="FH65" s="1183"/>
      <c r="FI65" s="1183"/>
      <c r="FJ65" s="1183"/>
      <c r="FK65" s="1183"/>
      <c r="FL65" s="1183"/>
      <c r="FM65" s="1183"/>
      <c r="FN65" s="1183"/>
      <c r="FO65" s="1183"/>
      <c r="FP65" s="1183"/>
      <c r="FQ65" s="1183"/>
      <c r="FR65" s="1183"/>
      <c r="FS65" s="1183"/>
      <c r="FT65" s="1183"/>
      <c r="FU65" s="1183"/>
      <c r="FV65" s="1183"/>
      <c r="FW65" s="1183"/>
      <c r="FX65" s="1183"/>
      <c r="FY65" s="1183"/>
      <c r="FZ65" s="1183"/>
      <c r="GA65" s="1183"/>
    </row>
    <row r="66" spans="1:16311" ht="15" customHeight="1">
      <c r="A66" s="1114"/>
      <c r="B66" s="1804" t="s">
        <v>25</v>
      </c>
      <c r="C66" s="1545"/>
      <c r="D66" s="1178"/>
      <c r="E66" s="1175"/>
      <c r="F66" s="1178"/>
      <c r="G66" s="1174"/>
      <c r="H66" s="1188"/>
      <c r="J66" s="1183"/>
      <c r="K66" s="1183"/>
      <c r="L66" s="1183"/>
      <c r="M66" s="1183"/>
      <c r="N66" s="1183"/>
      <c r="O66" s="1183"/>
      <c r="P66" s="1183"/>
      <c r="Q66" s="1183"/>
      <c r="R66" s="1183"/>
      <c r="S66" s="1183"/>
      <c r="T66" s="1183"/>
      <c r="U66" s="1183"/>
      <c r="V66" s="1183"/>
      <c r="W66" s="1183"/>
      <c r="X66" s="1183"/>
      <c r="Y66" s="1183"/>
      <c r="Z66" s="1183"/>
      <c r="AA66" s="1183"/>
      <c r="AB66" s="1183"/>
      <c r="AC66" s="1183"/>
      <c r="AD66" s="1183"/>
      <c r="AE66" s="1183"/>
      <c r="AF66" s="1183"/>
      <c r="AG66" s="1183"/>
      <c r="AH66" s="1183"/>
      <c r="AI66" s="1183"/>
      <c r="AJ66" s="1183"/>
      <c r="AK66" s="1183"/>
      <c r="AL66" s="1183"/>
      <c r="AM66" s="1183"/>
      <c r="AN66" s="1183"/>
      <c r="AO66" s="1183"/>
      <c r="AP66" s="1183"/>
      <c r="AQ66" s="1183"/>
      <c r="AR66" s="1183"/>
      <c r="AS66" s="1183"/>
      <c r="AT66" s="1183"/>
      <c r="AU66" s="1183"/>
      <c r="AV66" s="1183"/>
      <c r="AW66" s="1183"/>
      <c r="AX66" s="1183"/>
      <c r="AY66" s="1183"/>
      <c r="AZ66" s="1183"/>
      <c r="BA66" s="1183"/>
      <c r="BB66" s="1183"/>
      <c r="BC66" s="1183"/>
      <c r="BD66" s="1183"/>
      <c r="BE66" s="1183"/>
      <c r="BF66" s="1183"/>
      <c r="BG66" s="1183"/>
      <c r="BH66" s="1183"/>
      <c r="BI66" s="1183"/>
      <c r="BJ66" s="1183"/>
      <c r="BK66" s="1183"/>
      <c r="BL66" s="1183"/>
      <c r="BM66" s="1183"/>
      <c r="BN66" s="1183"/>
      <c r="BO66" s="1183"/>
      <c r="BP66" s="1183"/>
      <c r="BQ66" s="1183"/>
      <c r="BR66" s="1183"/>
      <c r="BS66" s="1183"/>
      <c r="BT66" s="1183"/>
      <c r="BU66" s="1183"/>
      <c r="BV66" s="1183"/>
      <c r="BW66" s="1183"/>
      <c r="BX66" s="1183"/>
      <c r="BY66" s="1183"/>
      <c r="BZ66" s="1183"/>
      <c r="CA66" s="1183"/>
      <c r="CB66" s="1183"/>
      <c r="CC66" s="1183"/>
      <c r="CD66" s="1183"/>
      <c r="CE66" s="1183"/>
      <c r="CF66" s="1183"/>
      <c r="CG66" s="1183"/>
      <c r="CH66" s="1183"/>
      <c r="CI66" s="1183"/>
      <c r="CJ66" s="1183"/>
      <c r="CK66" s="1183"/>
      <c r="CL66" s="1183"/>
      <c r="CM66" s="1183"/>
      <c r="CN66" s="1183"/>
      <c r="CO66" s="1183"/>
      <c r="CP66" s="1183"/>
      <c r="CQ66" s="1183"/>
      <c r="CR66" s="1183"/>
      <c r="CS66" s="1183"/>
      <c r="CT66" s="1183"/>
      <c r="CU66" s="1183"/>
      <c r="CV66" s="1183"/>
      <c r="CW66" s="1183"/>
      <c r="CX66" s="1183"/>
      <c r="CY66" s="1183"/>
      <c r="CZ66" s="1183"/>
      <c r="DA66" s="1183"/>
      <c r="DB66" s="1183"/>
      <c r="DC66" s="1183"/>
      <c r="DD66" s="1183"/>
      <c r="DE66" s="1183"/>
      <c r="DF66" s="1183"/>
      <c r="DG66" s="1183"/>
      <c r="DH66" s="1183"/>
      <c r="DI66" s="1183"/>
      <c r="DJ66" s="1183"/>
      <c r="DK66" s="1183"/>
      <c r="DL66" s="1183"/>
      <c r="DM66" s="1183"/>
      <c r="DN66" s="1183"/>
      <c r="DO66" s="1183"/>
      <c r="DP66" s="1183"/>
      <c r="DQ66" s="1183"/>
      <c r="DR66" s="1183"/>
      <c r="DS66" s="1183"/>
      <c r="DT66" s="1183"/>
      <c r="DU66" s="1183"/>
      <c r="DV66" s="1183"/>
      <c r="DW66" s="1183"/>
      <c r="DX66" s="1183"/>
      <c r="DY66" s="1183"/>
      <c r="DZ66" s="1183"/>
      <c r="EA66" s="1183"/>
      <c r="EB66" s="1183"/>
      <c r="EC66" s="1183"/>
      <c r="ED66" s="1183"/>
      <c r="EE66" s="1183"/>
      <c r="EF66" s="1183"/>
      <c r="EG66" s="1183"/>
      <c r="EH66" s="1183"/>
      <c r="EI66" s="1183"/>
      <c r="EJ66" s="1183"/>
      <c r="EK66" s="1183"/>
      <c r="EL66" s="1183"/>
      <c r="EM66" s="1183"/>
      <c r="EN66" s="1183"/>
      <c r="EO66" s="1183"/>
      <c r="EP66" s="1183"/>
      <c r="EQ66" s="1183"/>
      <c r="ER66" s="1183"/>
      <c r="ES66" s="1183"/>
      <c r="ET66" s="1183"/>
      <c r="EU66" s="1183"/>
      <c r="EV66" s="1183"/>
      <c r="EW66" s="1183"/>
      <c r="EX66" s="1183"/>
      <c r="EY66" s="1183"/>
      <c r="EZ66" s="1183"/>
      <c r="FA66" s="1183"/>
      <c r="FB66" s="1183"/>
      <c r="FC66" s="1183"/>
      <c r="FD66" s="1183"/>
      <c r="FE66" s="1183"/>
      <c r="FF66" s="1183"/>
      <c r="FG66" s="1183"/>
      <c r="FH66" s="1183"/>
      <c r="FI66" s="1183"/>
      <c r="FJ66" s="1183"/>
      <c r="FK66" s="1183"/>
      <c r="FL66" s="1183"/>
      <c r="FM66" s="1183"/>
      <c r="FN66" s="1183"/>
      <c r="FO66" s="1183"/>
      <c r="FP66" s="1183"/>
      <c r="FQ66" s="1183"/>
      <c r="FR66" s="1183"/>
      <c r="FS66" s="1183"/>
      <c r="FT66" s="1183"/>
      <c r="FU66" s="1183"/>
      <c r="FV66" s="1183"/>
      <c r="FW66" s="1183"/>
      <c r="FX66" s="1183"/>
      <c r="FY66" s="1183"/>
      <c r="FZ66" s="1183"/>
      <c r="GA66" s="1183"/>
    </row>
    <row r="67" spans="1:16311" ht="15" customHeight="1">
      <c r="A67" s="1114"/>
      <c r="B67" s="1804" t="s">
        <v>26</v>
      </c>
      <c r="C67" s="1545"/>
      <c r="D67" s="1179"/>
      <c r="E67" s="1175"/>
      <c r="F67" s="1179"/>
      <c r="G67" s="1174"/>
      <c r="H67" s="1188"/>
      <c r="J67" s="1183"/>
      <c r="K67" s="1183"/>
      <c r="L67" s="1183"/>
      <c r="M67" s="1183"/>
      <c r="N67" s="1183"/>
      <c r="O67" s="1183"/>
      <c r="P67" s="1183"/>
      <c r="Q67" s="1183"/>
      <c r="R67" s="1183"/>
      <c r="S67" s="1183"/>
      <c r="T67" s="1183"/>
      <c r="U67" s="1183"/>
      <c r="V67" s="1183"/>
      <c r="W67" s="1183"/>
      <c r="X67" s="1183"/>
      <c r="Y67" s="1183"/>
      <c r="Z67" s="1183"/>
      <c r="AA67" s="1183"/>
      <c r="AB67" s="1183"/>
      <c r="AC67" s="1183"/>
      <c r="AD67" s="1183"/>
      <c r="AE67" s="1183"/>
      <c r="AF67" s="1183"/>
      <c r="AG67" s="1183"/>
      <c r="AH67" s="1183"/>
      <c r="AI67" s="1183"/>
      <c r="AJ67" s="1183"/>
      <c r="AK67" s="1183"/>
      <c r="AL67" s="1183"/>
      <c r="AM67" s="1183"/>
      <c r="AN67" s="1183"/>
      <c r="AO67" s="1183"/>
      <c r="AP67" s="1183"/>
      <c r="AQ67" s="1183"/>
      <c r="AR67" s="1183"/>
      <c r="AS67" s="1183"/>
      <c r="AT67" s="1183"/>
      <c r="AU67" s="1183"/>
      <c r="AV67" s="1183"/>
      <c r="AW67" s="1183"/>
      <c r="AX67" s="1183"/>
      <c r="AY67" s="1183"/>
      <c r="AZ67" s="1183"/>
      <c r="BA67" s="1183"/>
      <c r="BB67" s="1183"/>
      <c r="BC67" s="1183"/>
      <c r="BD67" s="1183"/>
      <c r="BE67" s="1183"/>
      <c r="BF67" s="1183"/>
      <c r="BG67" s="1183"/>
      <c r="BH67" s="1183"/>
      <c r="BI67" s="1183"/>
      <c r="BJ67" s="1183"/>
      <c r="BK67" s="1183"/>
      <c r="BL67" s="1183"/>
      <c r="BM67" s="1183"/>
      <c r="BN67" s="1183"/>
      <c r="BO67" s="1183"/>
      <c r="BP67" s="1183"/>
      <c r="BQ67" s="1183"/>
      <c r="BR67" s="1183"/>
      <c r="BS67" s="1183"/>
      <c r="BT67" s="1183"/>
      <c r="BU67" s="1183"/>
      <c r="BV67" s="1183"/>
      <c r="BW67" s="1183"/>
      <c r="BX67" s="1183"/>
      <c r="BY67" s="1183"/>
      <c r="BZ67" s="1183"/>
      <c r="CA67" s="1183"/>
      <c r="CB67" s="1183"/>
      <c r="CC67" s="1183"/>
      <c r="CD67" s="1183"/>
      <c r="CE67" s="1183"/>
      <c r="CF67" s="1183"/>
      <c r="CG67" s="1183"/>
      <c r="CH67" s="1183"/>
      <c r="CI67" s="1183"/>
      <c r="CJ67" s="1183"/>
      <c r="CK67" s="1183"/>
      <c r="CL67" s="1183"/>
      <c r="CM67" s="1183"/>
      <c r="CN67" s="1183"/>
      <c r="CO67" s="1183"/>
      <c r="CP67" s="1183"/>
      <c r="CQ67" s="1183"/>
      <c r="CR67" s="1183"/>
      <c r="CS67" s="1183"/>
      <c r="CT67" s="1183"/>
      <c r="CU67" s="1183"/>
      <c r="CV67" s="1183"/>
      <c r="CW67" s="1183"/>
      <c r="CX67" s="1183"/>
      <c r="CY67" s="1183"/>
      <c r="CZ67" s="1183"/>
      <c r="DA67" s="1183"/>
      <c r="DB67" s="1183"/>
      <c r="DC67" s="1183"/>
      <c r="DD67" s="1183"/>
      <c r="DE67" s="1183"/>
      <c r="DF67" s="1183"/>
      <c r="DG67" s="1183"/>
      <c r="DH67" s="1183"/>
      <c r="DI67" s="1183"/>
      <c r="DJ67" s="1183"/>
      <c r="DK67" s="1183"/>
      <c r="DL67" s="1183"/>
      <c r="DM67" s="1183"/>
      <c r="DN67" s="1183"/>
      <c r="DO67" s="1183"/>
      <c r="DP67" s="1183"/>
      <c r="DQ67" s="1183"/>
      <c r="DR67" s="1183"/>
      <c r="DS67" s="1183"/>
      <c r="DT67" s="1183"/>
      <c r="DU67" s="1183"/>
      <c r="DV67" s="1183"/>
      <c r="DW67" s="1183"/>
      <c r="DX67" s="1183"/>
      <c r="DY67" s="1183"/>
      <c r="DZ67" s="1183"/>
      <c r="EA67" s="1183"/>
      <c r="EB67" s="1183"/>
      <c r="EC67" s="1183"/>
      <c r="ED67" s="1183"/>
      <c r="EE67" s="1183"/>
      <c r="EF67" s="1183"/>
      <c r="EG67" s="1183"/>
      <c r="EH67" s="1183"/>
      <c r="EI67" s="1183"/>
      <c r="EJ67" s="1183"/>
      <c r="EK67" s="1183"/>
      <c r="EL67" s="1183"/>
      <c r="EM67" s="1183"/>
      <c r="EN67" s="1183"/>
      <c r="EO67" s="1183"/>
      <c r="EP67" s="1183"/>
      <c r="EQ67" s="1183"/>
      <c r="ER67" s="1183"/>
      <c r="ES67" s="1183"/>
      <c r="ET67" s="1183"/>
      <c r="EU67" s="1183"/>
      <c r="EV67" s="1183"/>
      <c r="EW67" s="1183"/>
      <c r="EX67" s="1183"/>
      <c r="EY67" s="1183"/>
      <c r="EZ67" s="1183"/>
      <c r="FA67" s="1183"/>
      <c r="FB67" s="1183"/>
      <c r="FC67" s="1183"/>
      <c r="FD67" s="1183"/>
      <c r="FE67" s="1183"/>
      <c r="FF67" s="1183"/>
      <c r="FG67" s="1183"/>
      <c r="FH67" s="1183"/>
      <c r="FI67" s="1183"/>
      <c r="FJ67" s="1183"/>
      <c r="FK67" s="1183"/>
      <c r="FL67" s="1183"/>
      <c r="FM67" s="1183"/>
      <c r="FN67" s="1183"/>
      <c r="FO67" s="1183"/>
      <c r="FP67" s="1183"/>
      <c r="FQ67" s="1183"/>
      <c r="FR67" s="1183"/>
      <c r="FS67" s="1183"/>
      <c r="FT67" s="1183"/>
      <c r="FU67" s="1183"/>
      <c r="FV67" s="1183"/>
      <c r="FW67" s="1183"/>
      <c r="FX67" s="1183"/>
      <c r="FY67" s="1183"/>
      <c r="FZ67" s="1183"/>
      <c r="GA67" s="1183"/>
    </row>
    <row r="68" spans="1:16311" ht="6.6" customHeight="1">
      <c r="A68" s="1114"/>
      <c r="B68" s="1189"/>
      <c r="C68" s="1179"/>
      <c r="D68" s="1179"/>
      <c r="E68" s="1175"/>
      <c r="F68" s="1179"/>
      <c r="G68" s="1174"/>
      <c r="H68" s="1188"/>
    </row>
    <row r="69" spans="1:16311" ht="15" customHeight="1">
      <c r="A69" s="1114"/>
      <c r="B69" s="1810" t="s">
        <v>1206</v>
      </c>
      <c r="C69" s="1810"/>
      <c r="D69" s="1810"/>
      <c r="E69" s="1810"/>
      <c r="F69" s="1810"/>
      <c r="G69" s="1810"/>
      <c r="H69" s="1810"/>
    </row>
    <row r="70" spans="1:16311" ht="37.35" customHeight="1">
      <c r="A70" s="1114"/>
      <c r="B70" s="1810" t="s">
        <v>1207</v>
      </c>
      <c r="C70" s="1810"/>
      <c r="D70" s="1810"/>
      <c r="E70" s="1810"/>
      <c r="F70" s="1810"/>
      <c r="G70" s="1810"/>
      <c r="H70" s="1810"/>
    </row>
    <row r="71" spans="1:16311" ht="38.1" customHeight="1">
      <c r="A71" s="1114"/>
      <c r="B71" s="1810" t="s">
        <v>1208</v>
      </c>
      <c r="C71" s="1810"/>
      <c r="D71" s="1810"/>
      <c r="E71" s="1810"/>
      <c r="F71" s="1810"/>
      <c r="G71" s="1810"/>
      <c r="H71" s="1810"/>
    </row>
    <row r="72" spans="1:16311" ht="22.35" customHeight="1">
      <c r="A72" s="1114"/>
      <c r="B72" s="1810" t="s">
        <v>1209</v>
      </c>
      <c r="C72" s="1810"/>
      <c r="D72" s="1810"/>
      <c r="E72" s="1810"/>
      <c r="F72" s="1810"/>
      <c r="G72" s="1810"/>
      <c r="H72" s="1810"/>
    </row>
    <row r="73" spans="1:16311" s="1180" customFormat="1" ht="47.25" customHeight="1">
      <c r="A73" s="1113"/>
      <c r="B73" s="1810" t="s">
        <v>1210</v>
      </c>
      <c r="C73" s="1810"/>
      <c r="D73" s="1810"/>
      <c r="E73" s="1810"/>
      <c r="F73" s="1810"/>
      <c r="G73" s="1810"/>
      <c r="H73" s="1810"/>
      <c r="I73"/>
      <c r="GB73" s="1181"/>
      <c r="GC73" s="1181"/>
      <c r="GD73" s="1181"/>
      <c r="GE73" s="1181"/>
      <c r="GF73" s="1181"/>
      <c r="GG73" s="1181"/>
      <c r="GH73" s="1181"/>
      <c r="GI73" s="1181"/>
      <c r="GJ73" s="1181"/>
      <c r="GK73" s="1181"/>
      <c r="GL73" s="1181"/>
      <c r="GM73" s="1181"/>
      <c r="GN73" s="1181"/>
      <c r="GO73" s="1181"/>
      <c r="GP73" s="1181"/>
      <c r="GQ73" s="1181"/>
      <c r="GR73" s="1181"/>
      <c r="GS73" s="1181"/>
      <c r="GT73" s="1181"/>
      <c r="GU73" s="1181"/>
      <c r="GV73" s="1181"/>
      <c r="GW73" s="1181"/>
      <c r="GX73" s="1181"/>
      <c r="GY73" s="1181"/>
      <c r="GZ73" s="1181"/>
      <c r="HA73" s="1181"/>
      <c r="HB73" s="1181"/>
      <c r="HC73" s="1181"/>
      <c r="HD73" s="1181"/>
      <c r="HE73" s="1181"/>
      <c r="HF73" s="1181"/>
      <c r="HG73" s="1181"/>
      <c r="HH73" s="1181"/>
      <c r="HI73" s="1181"/>
      <c r="HJ73" s="1181"/>
      <c r="HK73" s="1181"/>
      <c r="HL73" s="1181"/>
      <c r="HM73" s="1181"/>
      <c r="HN73" s="1181"/>
      <c r="HO73" s="1181"/>
      <c r="HP73" s="1181"/>
      <c r="HQ73" s="1181"/>
      <c r="HR73" s="1181"/>
      <c r="HS73" s="1181"/>
      <c r="HT73" s="1181"/>
      <c r="HU73" s="1181"/>
      <c r="HV73" s="1181"/>
      <c r="HW73" s="1181"/>
      <c r="HX73" s="1181"/>
      <c r="HY73" s="1181"/>
      <c r="HZ73" s="1181"/>
      <c r="IA73" s="1181"/>
      <c r="IB73" s="1181"/>
      <c r="IC73" s="1181"/>
      <c r="ID73" s="1181"/>
      <c r="IE73" s="1181"/>
      <c r="IF73" s="1181"/>
      <c r="IG73" s="1181"/>
      <c r="IH73" s="1181"/>
      <c r="II73" s="1181"/>
      <c r="IJ73" s="1181"/>
      <c r="IK73" s="1181"/>
      <c r="IL73" s="1181"/>
      <c r="IM73" s="1181"/>
      <c r="IN73" s="1181"/>
      <c r="IO73" s="1181"/>
      <c r="IP73" s="1181"/>
      <c r="IQ73" s="1181"/>
      <c r="IR73" s="1181"/>
      <c r="IS73" s="1181"/>
      <c r="IT73" s="1181"/>
      <c r="IU73" s="1181"/>
      <c r="IV73" s="1181"/>
      <c r="IW73" s="1181"/>
      <c r="IX73" s="1181"/>
      <c r="IY73" s="1181"/>
      <c r="IZ73" s="1181"/>
      <c r="JA73" s="1181"/>
      <c r="JB73" s="1181"/>
      <c r="JC73" s="1181"/>
      <c r="JD73" s="1181"/>
      <c r="JE73" s="1181"/>
      <c r="JF73" s="1181"/>
      <c r="JG73" s="1181"/>
      <c r="JH73" s="1181"/>
      <c r="JI73" s="1181"/>
      <c r="JJ73" s="1181"/>
      <c r="JK73" s="1181"/>
      <c r="JL73" s="1181"/>
      <c r="JM73" s="1181"/>
      <c r="JN73" s="1181"/>
      <c r="JO73" s="1181"/>
      <c r="JP73" s="1181"/>
      <c r="JQ73" s="1181"/>
      <c r="JR73" s="1181"/>
      <c r="JS73" s="1181"/>
      <c r="JT73" s="1181"/>
      <c r="JU73" s="1181"/>
      <c r="JV73" s="1181"/>
      <c r="JW73" s="1181"/>
      <c r="JX73" s="1181"/>
      <c r="JY73" s="1181"/>
      <c r="JZ73" s="1181"/>
      <c r="KA73" s="1181"/>
      <c r="KB73" s="1181"/>
      <c r="KC73" s="1181"/>
      <c r="KD73" s="1181"/>
      <c r="KE73" s="1181"/>
      <c r="KF73" s="1181"/>
      <c r="KG73" s="1181"/>
      <c r="KH73" s="1181"/>
      <c r="KI73" s="1181"/>
      <c r="KJ73" s="1181"/>
      <c r="KK73" s="1181"/>
      <c r="KL73" s="1181"/>
      <c r="KM73" s="1181"/>
      <c r="KN73" s="1181"/>
      <c r="KO73" s="1181"/>
      <c r="KP73" s="1181"/>
      <c r="KQ73" s="1181"/>
      <c r="KR73" s="1181"/>
      <c r="KS73" s="1181"/>
      <c r="KT73" s="1181"/>
      <c r="KU73" s="1181"/>
      <c r="KV73" s="1181"/>
      <c r="KW73" s="1181"/>
      <c r="KX73" s="1181"/>
      <c r="KY73" s="1181"/>
      <c r="KZ73" s="1181"/>
      <c r="LA73" s="1181"/>
      <c r="LB73" s="1181"/>
      <c r="LC73" s="1181"/>
      <c r="LD73" s="1181"/>
      <c r="LE73" s="1181"/>
      <c r="LF73" s="1181"/>
      <c r="LG73" s="1181"/>
      <c r="LH73" s="1181"/>
      <c r="LI73" s="1181"/>
      <c r="LJ73" s="1181"/>
      <c r="LK73" s="1181"/>
      <c r="LL73" s="1181"/>
      <c r="LM73" s="1181"/>
      <c r="LN73" s="1181"/>
      <c r="LO73" s="1181"/>
      <c r="LP73" s="1181"/>
      <c r="LQ73" s="1181"/>
      <c r="LR73" s="1181"/>
      <c r="LS73" s="1181"/>
      <c r="LT73" s="1181"/>
      <c r="LU73" s="1181"/>
      <c r="LV73" s="1181"/>
      <c r="LW73" s="1181"/>
      <c r="LX73" s="1181"/>
      <c r="LY73" s="1181"/>
      <c r="LZ73" s="1181"/>
      <c r="MA73" s="1181"/>
      <c r="MB73" s="1181"/>
      <c r="MC73" s="1181"/>
      <c r="MD73" s="1181"/>
      <c r="ME73" s="1181"/>
      <c r="MF73" s="1181"/>
      <c r="MG73" s="1181"/>
      <c r="MH73" s="1181"/>
      <c r="MI73" s="1181"/>
      <c r="MJ73" s="1181"/>
      <c r="MK73" s="1181"/>
      <c r="ML73" s="1181"/>
      <c r="MM73" s="1181"/>
      <c r="MN73" s="1181"/>
      <c r="MO73" s="1181"/>
      <c r="MP73" s="1181"/>
      <c r="MQ73" s="1181"/>
      <c r="MR73" s="1181"/>
      <c r="MS73" s="1181"/>
      <c r="MT73" s="1181"/>
      <c r="MU73" s="1181"/>
      <c r="MV73" s="1181"/>
      <c r="MW73" s="1181"/>
      <c r="MX73" s="1181"/>
      <c r="MY73" s="1181"/>
      <c r="MZ73" s="1181"/>
      <c r="NA73" s="1181"/>
      <c r="NB73" s="1181"/>
      <c r="NC73" s="1181"/>
      <c r="ND73" s="1181"/>
      <c r="NE73" s="1181"/>
      <c r="NF73" s="1181"/>
      <c r="NG73" s="1181"/>
      <c r="NH73" s="1181"/>
      <c r="NI73" s="1181"/>
      <c r="NJ73" s="1181"/>
      <c r="NK73" s="1181"/>
      <c r="NL73" s="1181"/>
      <c r="NM73" s="1181"/>
      <c r="NN73" s="1181"/>
      <c r="NO73" s="1181"/>
      <c r="NP73" s="1181"/>
      <c r="NQ73" s="1181"/>
      <c r="NR73" s="1181"/>
      <c r="NS73" s="1181"/>
      <c r="NT73" s="1181"/>
      <c r="NU73" s="1181"/>
      <c r="NV73" s="1181"/>
      <c r="NW73" s="1181"/>
      <c r="NX73" s="1181"/>
      <c r="NY73" s="1181"/>
      <c r="NZ73" s="1181"/>
      <c r="OA73" s="1181"/>
      <c r="OB73" s="1181"/>
      <c r="OC73" s="1181"/>
      <c r="OD73" s="1181"/>
      <c r="OE73" s="1181"/>
      <c r="OF73" s="1181"/>
      <c r="OG73" s="1181"/>
      <c r="OH73" s="1181"/>
      <c r="OI73" s="1181"/>
      <c r="OJ73" s="1181"/>
      <c r="OK73" s="1181"/>
      <c r="OL73" s="1181"/>
      <c r="OM73" s="1181"/>
      <c r="ON73" s="1181"/>
      <c r="OO73" s="1181"/>
      <c r="OP73" s="1181"/>
      <c r="OQ73" s="1181"/>
      <c r="OR73" s="1181"/>
      <c r="OS73" s="1181"/>
      <c r="OT73" s="1181"/>
      <c r="OU73" s="1181"/>
      <c r="OV73" s="1181"/>
      <c r="OW73" s="1181"/>
      <c r="OX73" s="1181"/>
      <c r="OY73" s="1181"/>
      <c r="OZ73" s="1181"/>
      <c r="PA73" s="1181"/>
      <c r="PB73" s="1181"/>
      <c r="PC73" s="1181"/>
      <c r="PD73" s="1181"/>
      <c r="PE73" s="1181"/>
      <c r="PF73" s="1181"/>
      <c r="PG73" s="1181"/>
      <c r="PH73" s="1181"/>
      <c r="PI73" s="1181"/>
      <c r="PJ73" s="1181"/>
      <c r="PK73" s="1181"/>
      <c r="PL73" s="1181"/>
      <c r="PM73" s="1181"/>
      <c r="PN73" s="1181"/>
      <c r="PO73" s="1181"/>
      <c r="PP73" s="1181"/>
      <c r="PQ73" s="1181"/>
      <c r="PR73" s="1181"/>
      <c r="PS73" s="1181"/>
      <c r="PT73" s="1181"/>
      <c r="PU73" s="1181"/>
      <c r="PV73" s="1181"/>
      <c r="PW73" s="1181"/>
      <c r="PX73" s="1181"/>
      <c r="PY73" s="1181"/>
      <c r="PZ73" s="1181"/>
      <c r="QA73" s="1181"/>
      <c r="QB73" s="1181"/>
      <c r="QC73" s="1181"/>
      <c r="QD73" s="1181"/>
      <c r="QE73" s="1181"/>
      <c r="QF73" s="1181"/>
      <c r="QG73" s="1181"/>
      <c r="QH73" s="1181"/>
      <c r="QI73" s="1181"/>
      <c r="QJ73" s="1181"/>
      <c r="QK73" s="1181"/>
      <c r="QL73" s="1181"/>
      <c r="QM73" s="1181"/>
      <c r="QN73" s="1181"/>
      <c r="QO73" s="1181"/>
      <c r="QP73" s="1181"/>
      <c r="QQ73" s="1181"/>
      <c r="QR73" s="1181"/>
      <c r="QS73" s="1181"/>
      <c r="QT73" s="1181"/>
      <c r="QU73" s="1181"/>
      <c r="QV73" s="1181"/>
      <c r="QW73" s="1181"/>
      <c r="QX73" s="1181"/>
      <c r="QY73" s="1181"/>
      <c r="QZ73" s="1181"/>
      <c r="RA73" s="1181"/>
      <c r="RB73" s="1181"/>
      <c r="RC73" s="1181"/>
      <c r="RD73" s="1181"/>
      <c r="RE73" s="1181"/>
      <c r="RF73" s="1181"/>
      <c r="RG73" s="1181"/>
      <c r="RH73" s="1181"/>
      <c r="RI73" s="1181"/>
      <c r="RJ73" s="1181"/>
      <c r="RK73" s="1181"/>
      <c r="RL73" s="1181"/>
      <c r="RM73" s="1181"/>
      <c r="RN73" s="1181"/>
      <c r="RO73" s="1181"/>
      <c r="RP73" s="1181"/>
      <c r="RQ73" s="1181"/>
      <c r="RR73" s="1181"/>
      <c r="RS73" s="1181"/>
      <c r="RT73" s="1181"/>
      <c r="RU73" s="1181"/>
      <c r="RV73" s="1181"/>
      <c r="RW73" s="1181"/>
      <c r="RX73" s="1181"/>
      <c r="RY73" s="1181"/>
      <c r="RZ73" s="1181"/>
      <c r="SA73" s="1181"/>
      <c r="SB73" s="1181"/>
      <c r="SC73" s="1181"/>
      <c r="SD73" s="1181"/>
      <c r="SE73" s="1181"/>
      <c r="SF73" s="1181"/>
      <c r="SG73" s="1181"/>
      <c r="SH73" s="1181"/>
      <c r="SI73" s="1181"/>
      <c r="SJ73" s="1181"/>
      <c r="SK73" s="1181"/>
      <c r="SL73" s="1181"/>
      <c r="SM73" s="1181"/>
      <c r="SN73" s="1181"/>
      <c r="SO73" s="1181"/>
      <c r="SP73" s="1181"/>
      <c r="SQ73" s="1181"/>
      <c r="SR73" s="1181"/>
      <c r="SS73" s="1181"/>
      <c r="ST73" s="1181"/>
      <c r="SU73" s="1181"/>
      <c r="SV73" s="1181"/>
      <c r="SW73" s="1181"/>
      <c r="SX73" s="1181"/>
      <c r="SY73" s="1181"/>
      <c r="SZ73" s="1181"/>
      <c r="TA73" s="1181"/>
      <c r="TB73" s="1181"/>
      <c r="TC73" s="1181"/>
      <c r="TD73" s="1181"/>
      <c r="TE73" s="1181"/>
      <c r="TF73" s="1181"/>
      <c r="TG73" s="1181"/>
      <c r="TH73" s="1181"/>
      <c r="TI73" s="1181"/>
      <c r="TJ73" s="1181"/>
      <c r="TK73" s="1181"/>
      <c r="TL73" s="1181"/>
      <c r="TM73" s="1181"/>
      <c r="TN73" s="1181"/>
      <c r="TO73" s="1181"/>
      <c r="TP73" s="1181"/>
      <c r="TQ73" s="1181"/>
      <c r="TR73" s="1181"/>
      <c r="TS73" s="1181"/>
      <c r="TT73" s="1181"/>
      <c r="TU73" s="1181"/>
      <c r="TV73" s="1181"/>
      <c r="TW73" s="1181"/>
      <c r="TX73" s="1181"/>
      <c r="TY73" s="1181"/>
      <c r="TZ73" s="1181"/>
      <c r="UA73" s="1181"/>
      <c r="UB73" s="1181"/>
      <c r="UC73" s="1181"/>
      <c r="UD73" s="1181"/>
      <c r="UE73" s="1181"/>
      <c r="UF73" s="1181"/>
      <c r="UG73" s="1181"/>
      <c r="UH73" s="1181"/>
      <c r="UI73" s="1181"/>
      <c r="UJ73" s="1181"/>
      <c r="UK73" s="1181"/>
      <c r="UL73" s="1181"/>
      <c r="UM73" s="1181"/>
      <c r="UN73" s="1181"/>
      <c r="UO73" s="1181"/>
      <c r="UP73" s="1181"/>
      <c r="UQ73" s="1181"/>
      <c r="UR73" s="1181"/>
      <c r="US73" s="1181"/>
      <c r="UT73" s="1181"/>
      <c r="UU73" s="1181"/>
      <c r="UV73" s="1181"/>
      <c r="UW73" s="1181"/>
      <c r="UX73" s="1181"/>
      <c r="UY73" s="1181"/>
      <c r="UZ73" s="1181"/>
      <c r="VA73" s="1181"/>
      <c r="VB73" s="1181"/>
      <c r="VC73" s="1181"/>
      <c r="VD73" s="1181"/>
      <c r="VE73" s="1181"/>
      <c r="VF73" s="1181"/>
      <c r="VG73" s="1181"/>
      <c r="VH73" s="1181"/>
      <c r="VI73" s="1181"/>
      <c r="VJ73" s="1181"/>
      <c r="VK73" s="1181"/>
      <c r="VL73" s="1181"/>
      <c r="VM73" s="1181"/>
      <c r="VN73" s="1181"/>
      <c r="VO73" s="1181"/>
      <c r="VP73" s="1181"/>
      <c r="VQ73" s="1181"/>
      <c r="VR73" s="1181"/>
      <c r="VS73" s="1181"/>
      <c r="VT73" s="1181"/>
      <c r="VU73" s="1181"/>
      <c r="VV73" s="1181"/>
      <c r="VW73" s="1181"/>
      <c r="VX73" s="1181"/>
      <c r="VY73" s="1181"/>
      <c r="VZ73" s="1181"/>
      <c r="WA73" s="1181"/>
      <c r="WB73" s="1181"/>
      <c r="WC73" s="1181"/>
      <c r="WD73" s="1181"/>
      <c r="WE73" s="1181"/>
      <c r="WF73" s="1181"/>
      <c r="WG73" s="1181"/>
      <c r="WH73" s="1181"/>
      <c r="WI73" s="1181"/>
      <c r="WJ73" s="1181"/>
      <c r="WK73" s="1181"/>
      <c r="WL73" s="1181"/>
      <c r="WM73" s="1181"/>
      <c r="WN73" s="1181"/>
      <c r="WO73" s="1181"/>
      <c r="WP73" s="1181"/>
      <c r="WQ73" s="1181"/>
      <c r="WR73" s="1181"/>
      <c r="WS73" s="1181"/>
      <c r="WT73" s="1181"/>
      <c r="WU73" s="1181"/>
      <c r="WV73" s="1181"/>
      <c r="WW73" s="1181"/>
      <c r="WX73" s="1181"/>
      <c r="WY73" s="1181"/>
      <c r="WZ73" s="1181"/>
      <c r="XA73" s="1181"/>
      <c r="XB73" s="1181"/>
      <c r="XC73" s="1181"/>
      <c r="XD73" s="1181"/>
      <c r="XE73" s="1181"/>
      <c r="XF73" s="1181"/>
      <c r="XG73" s="1181"/>
      <c r="XH73" s="1181"/>
      <c r="XI73" s="1181"/>
      <c r="XJ73" s="1181"/>
      <c r="XK73" s="1181"/>
      <c r="XL73" s="1181"/>
      <c r="XM73" s="1181"/>
      <c r="XN73" s="1181"/>
      <c r="XO73" s="1181"/>
      <c r="XP73" s="1181"/>
      <c r="XQ73" s="1181"/>
      <c r="XR73" s="1181"/>
      <c r="XS73" s="1181"/>
      <c r="XT73" s="1181"/>
      <c r="XU73" s="1181"/>
      <c r="XV73" s="1181"/>
      <c r="XW73" s="1181"/>
      <c r="XX73" s="1181"/>
      <c r="XY73" s="1181"/>
      <c r="XZ73" s="1181"/>
      <c r="YA73" s="1181"/>
      <c r="YB73" s="1181"/>
      <c r="YC73" s="1181"/>
      <c r="YD73" s="1181"/>
      <c r="YE73" s="1181"/>
      <c r="YF73" s="1181"/>
      <c r="YG73" s="1181"/>
      <c r="YH73" s="1181"/>
      <c r="YI73" s="1181"/>
      <c r="YJ73" s="1181"/>
      <c r="YK73" s="1181"/>
      <c r="YL73" s="1181"/>
      <c r="YM73" s="1181"/>
      <c r="YN73" s="1181"/>
      <c r="YO73" s="1181"/>
      <c r="YP73" s="1181"/>
      <c r="YQ73" s="1181"/>
      <c r="YR73" s="1181"/>
      <c r="YS73" s="1181"/>
      <c r="YT73" s="1181"/>
      <c r="YU73" s="1181"/>
      <c r="YV73" s="1181"/>
      <c r="YW73" s="1181"/>
      <c r="YX73" s="1181"/>
      <c r="YY73" s="1181"/>
      <c r="YZ73" s="1181"/>
      <c r="ZA73" s="1181"/>
      <c r="ZB73" s="1181"/>
      <c r="ZC73" s="1181"/>
      <c r="ZD73" s="1181"/>
      <c r="ZE73" s="1181"/>
      <c r="ZF73" s="1181"/>
      <c r="ZG73" s="1181"/>
      <c r="ZH73" s="1181"/>
      <c r="ZI73" s="1181"/>
      <c r="ZJ73" s="1181"/>
      <c r="ZK73" s="1181"/>
      <c r="ZL73" s="1181"/>
      <c r="ZM73" s="1181"/>
      <c r="ZN73" s="1181"/>
      <c r="ZO73" s="1181"/>
      <c r="ZP73" s="1181"/>
      <c r="ZQ73" s="1181"/>
      <c r="ZR73" s="1181"/>
      <c r="ZS73" s="1181"/>
      <c r="ZT73" s="1181"/>
      <c r="ZU73" s="1181"/>
      <c r="ZV73" s="1181"/>
      <c r="ZW73" s="1181"/>
      <c r="ZX73" s="1181"/>
      <c r="ZY73" s="1181"/>
      <c r="ZZ73" s="1181"/>
      <c r="AAA73" s="1181"/>
      <c r="AAB73" s="1181"/>
      <c r="AAC73" s="1181"/>
      <c r="AAD73" s="1181"/>
      <c r="AAE73" s="1181"/>
      <c r="AAF73" s="1181"/>
      <c r="AAG73" s="1181"/>
      <c r="AAH73" s="1181"/>
      <c r="AAI73" s="1181"/>
      <c r="AAJ73" s="1181"/>
      <c r="AAK73" s="1181"/>
      <c r="AAL73" s="1181"/>
      <c r="AAM73" s="1181"/>
      <c r="AAN73" s="1181"/>
      <c r="AAO73" s="1181"/>
      <c r="AAP73" s="1181"/>
      <c r="AAQ73" s="1181"/>
      <c r="AAR73" s="1181"/>
      <c r="AAS73" s="1181"/>
      <c r="AAT73" s="1181"/>
      <c r="AAU73" s="1181"/>
      <c r="AAV73" s="1181"/>
      <c r="AAW73" s="1181"/>
      <c r="AAX73" s="1181"/>
      <c r="AAY73" s="1181"/>
      <c r="AAZ73" s="1181"/>
      <c r="ABA73" s="1181"/>
      <c r="ABB73" s="1181"/>
      <c r="ABC73" s="1181"/>
      <c r="ABD73" s="1181"/>
      <c r="ABE73" s="1181"/>
      <c r="ABF73" s="1181"/>
      <c r="ABG73" s="1181"/>
      <c r="ABH73" s="1181"/>
      <c r="ABI73" s="1181"/>
      <c r="ABJ73" s="1181"/>
      <c r="ABK73" s="1181"/>
      <c r="ABL73" s="1181"/>
      <c r="ABM73" s="1181"/>
      <c r="ABN73" s="1181"/>
      <c r="ABO73" s="1181"/>
      <c r="ABP73" s="1181"/>
      <c r="ABQ73" s="1181"/>
      <c r="ABR73" s="1181"/>
      <c r="ABS73" s="1181"/>
      <c r="ABT73" s="1181"/>
      <c r="ABU73" s="1181"/>
      <c r="ABV73" s="1181"/>
      <c r="ABW73" s="1181"/>
      <c r="ABX73" s="1181"/>
      <c r="ABY73" s="1181"/>
      <c r="ABZ73" s="1181"/>
      <c r="ACA73" s="1181"/>
      <c r="ACB73" s="1181"/>
      <c r="ACC73" s="1181"/>
      <c r="ACD73" s="1181"/>
      <c r="ACE73" s="1181"/>
      <c r="ACF73" s="1181"/>
      <c r="ACG73" s="1181"/>
      <c r="ACH73" s="1181"/>
      <c r="ACI73" s="1181"/>
      <c r="ACJ73" s="1181"/>
      <c r="ACK73" s="1181"/>
      <c r="ACL73" s="1181"/>
      <c r="ACM73" s="1181"/>
      <c r="ACN73" s="1181"/>
      <c r="ACO73" s="1181"/>
      <c r="ACP73" s="1181"/>
      <c r="ACQ73" s="1181"/>
      <c r="ACR73" s="1181"/>
      <c r="ACS73" s="1181"/>
      <c r="ACT73" s="1181"/>
      <c r="ACU73" s="1181"/>
      <c r="ACV73" s="1181"/>
      <c r="ACW73" s="1181"/>
      <c r="ACX73" s="1181"/>
      <c r="ACY73" s="1181"/>
      <c r="ACZ73" s="1181"/>
      <c r="ADA73" s="1181"/>
      <c r="ADB73" s="1181"/>
      <c r="ADC73" s="1181"/>
      <c r="ADD73" s="1181"/>
      <c r="ADE73" s="1181"/>
      <c r="ADF73" s="1181"/>
      <c r="ADG73" s="1181"/>
      <c r="ADH73" s="1181"/>
      <c r="ADI73" s="1181"/>
      <c r="ADJ73" s="1181"/>
      <c r="ADK73" s="1181"/>
      <c r="ADL73" s="1181"/>
      <c r="ADM73" s="1181"/>
      <c r="ADN73" s="1181"/>
      <c r="ADO73" s="1181"/>
      <c r="ADP73" s="1181"/>
      <c r="ADQ73" s="1181"/>
      <c r="ADR73" s="1181"/>
      <c r="ADS73" s="1181"/>
      <c r="ADT73" s="1181"/>
      <c r="ADU73" s="1181"/>
      <c r="ADV73" s="1181"/>
      <c r="ADW73" s="1181"/>
      <c r="ADX73" s="1181"/>
      <c r="ADY73" s="1181"/>
      <c r="ADZ73" s="1181"/>
      <c r="AEA73" s="1181"/>
      <c r="AEB73" s="1181"/>
      <c r="AEC73" s="1181"/>
      <c r="AED73" s="1181"/>
      <c r="AEE73" s="1181"/>
      <c r="AEF73" s="1181"/>
      <c r="AEG73" s="1181"/>
      <c r="AEH73" s="1181"/>
      <c r="AEI73" s="1181"/>
      <c r="AEJ73" s="1181"/>
      <c r="AEK73" s="1181"/>
      <c r="AEL73" s="1181"/>
      <c r="AEM73" s="1181"/>
      <c r="AEN73" s="1181"/>
      <c r="AEO73" s="1181"/>
      <c r="AEP73" s="1181"/>
      <c r="AEQ73" s="1181"/>
      <c r="AER73" s="1181"/>
      <c r="AES73" s="1181"/>
      <c r="AET73" s="1181"/>
      <c r="AEU73" s="1181"/>
      <c r="AEV73" s="1181"/>
      <c r="AEW73" s="1181"/>
      <c r="AEX73" s="1181"/>
      <c r="AEY73" s="1181"/>
      <c r="AEZ73" s="1181"/>
      <c r="AFA73" s="1181"/>
      <c r="AFB73" s="1181"/>
      <c r="AFC73" s="1181"/>
      <c r="AFD73" s="1181"/>
      <c r="AFE73" s="1181"/>
      <c r="AFF73" s="1181"/>
      <c r="AFG73" s="1181"/>
      <c r="AFH73" s="1181"/>
      <c r="AFI73" s="1181"/>
      <c r="AFJ73" s="1181"/>
      <c r="AFK73" s="1181"/>
      <c r="AFL73" s="1181"/>
      <c r="AFM73" s="1181"/>
      <c r="AFN73" s="1181"/>
      <c r="AFO73" s="1181"/>
      <c r="AFP73" s="1181"/>
      <c r="AFQ73" s="1181"/>
      <c r="AFR73" s="1181"/>
      <c r="AFS73" s="1181"/>
      <c r="AFT73" s="1181"/>
      <c r="AFU73" s="1181"/>
      <c r="AFV73" s="1181"/>
      <c r="AFW73" s="1181"/>
      <c r="AFX73" s="1181"/>
      <c r="AFY73" s="1181"/>
      <c r="AFZ73" s="1181"/>
      <c r="AGA73" s="1181"/>
      <c r="AGB73" s="1181"/>
      <c r="AGC73" s="1181"/>
      <c r="AGD73" s="1181"/>
      <c r="AGE73" s="1181"/>
      <c r="AGF73" s="1181"/>
      <c r="AGG73" s="1181"/>
      <c r="AGH73" s="1181"/>
      <c r="AGI73" s="1181"/>
      <c r="AGJ73" s="1181"/>
      <c r="AGK73" s="1181"/>
      <c r="AGL73" s="1181"/>
      <c r="AGM73" s="1181"/>
      <c r="AGN73" s="1181"/>
      <c r="AGO73" s="1181"/>
      <c r="AGP73" s="1181"/>
      <c r="AGQ73" s="1181"/>
      <c r="AGR73" s="1181"/>
      <c r="AGS73" s="1181"/>
      <c r="AGT73" s="1181"/>
      <c r="AGU73" s="1181"/>
      <c r="AGV73" s="1181"/>
      <c r="AGW73" s="1181"/>
      <c r="AGX73" s="1181"/>
      <c r="AGY73" s="1181"/>
      <c r="AGZ73" s="1181"/>
      <c r="AHA73" s="1181"/>
      <c r="AHB73" s="1181"/>
      <c r="AHC73" s="1181"/>
      <c r="AHD73" s="1181"/>
      <c r="AHE73" s="1181"/>
      <c r="AHF73" s="1181"/>
      <c r="AHG73" s="1181"/>
      <c r="AHH73" s="1181"/>
      <c r="AHI73" s="1181"/>
      <c r="AHJ73" s="1181"/>
      <c r="AHK73" s="1181"/>
      <c r="AHL73" s="1181"/>
      <c r="AHM73" s="1181"/>
      <c r="AHN73" s="1181"/>
      <c r="AHO73" s="1181"/>
      <c r="AHP73" s="1181"/>
      <c r="AHQ73" s="1181"/>
      <c r="AHR73" s="1181"/>
      <c r="AHS73" s="1181"/>
      <c r="AHT73" s="1181"/>
      <c r="AHU73" s="1181"/>
      <c r="AHV73" s="1181"/>
      <c r="AHW73" s="1181"/>
      <c r="AHX73" s="1181"/>
      <c r="AHY73" s="1181"/>
      <c r="AHZ73" s="1181"/>
      <c r="AIA73" s="1181"/>
      <c r="AIB73" s="1181"/>
      <c r="AIC73" s="1181"/>
      <c r="AID73" s="1181"/>
      <c r="AIE73" s="1181"/>
      <c r="AIF73" s="1181"/>
      <c r="AIG73" s="1181"/>
      <c r="AIH73" s="1181"/>
      <c r="AII73" s="1181"/>
      <c r="AIJ73" s="1181"/>
      <c r="AIK73" s="1181"/>
      <c r="AIL73" s="1181"/>
      <c r="AIM73" s="1181"/>
      <c r="AIN73" s="1181"/>
      <c r="AIO73" s="1181"/>
      <c r="AIP73" s="1181"/>
      <c r="AIQ73" s="1181"/>
      <c r="AIR73" s="1181"/>
      <c r="AIS73" s="1181"/>
      <c r="AIT73" s="1181"/>
      <c r="AIU73" s="1181"/>
      <c r="AIV73" s="1181"/>
      <c r="AIW73" s="1181"/>
      <c r="AIX73" s="1181"/>
      <c r="AIY73" s="1181"/>
      <c r="AIZ73" s="1181"/>
      <c r="AJA73" s="1181"/>
      <c r="AJB73" s="1181"/>
      <c r="AJC73" s="1181"/>
      <c r="AJD73" s="1181"/>
      <c r="AJE73" s="1181"/>
      <c r="AJF73" s="1181"/>
      <c r="AJG73" s="1181"/>
      <c r="AJH73" s="1181"/>
      <c r="AJI73" s="1181"/>
      <c r="AJJ73" s="1181"/>
      <c r="AJK73" s="1181"/>
      <c r="AJL73" s="1181"/>
      <c r="AJM73" s="1181"/>
      <c r="AJN73" s="1181"/>
      <c r="AJO73" s="1181"/>
      <c r="AJP73" s="1181"/>
      <c r="AJQ73" s="1181"/>
      <c r="AJR73" s="1181"/>
      <c r="AJS73" s="1181"/>
      <c r="AJT73" s="1181"/>
      <c r="AJU73" s="1181"/>
      <c r="AJV73" s="1181"/>
      <c r="AJW73" s="1181"/>
      <c r="AJX73" s="1181"/>
      <c r="AJY73" s="1181"/>
      <c r="AJZ73" s="1181"/>
      <c r="AKA73" s="1181"/>
      <c r="AKB73" s="1181"/>
      <c r="AKC73" s="1181"/>
      <c r="AKD73" s="1181"/>
      <c r="AKE73" s="1181"/>
      <c r="AKF73" s="1181"/>
      <c r="AKG73" s="1181"/>
      <c r="AKH73" s="1181"/>
      <c r="AKI73" s="1181"/>
      <c r="AKJ73" s="1181"/>
      <c r="AKK73" s="1181"/>
      <c r="AKL73" s="1181"/>
      <c r="AKM73" s="1181"/>
      <c r="AKN73" s="1181"/>
      <c r="AKO73" s="1181"/>
      <c r="AKP73" s="1181"/>
      <c r="AKQ73" s="1181"/>
      <c r="AKR73" s="1181"/>
      <c r="AKS73" s="1181"/>
      <c r="AKT73" s="1181"/>
      <c r="AKU73" s="1181"/>
      <c r="AKV73" s="1181"/>
      <c r="AKW73" s="1181"/>
      <c r="AKX73" s="1181"/>
      <c r="AKY73" s="1181"/>
      <c r="AKZ73" s="1181"/>
      <c r="ALA73" s="1181"/>
      <c r="ALB73" s="1181"/>
      <c r="ALC73" s="1181"/>
      <c r="ALD73" s="1181"/>
      <c r="ALE73" s="1181"/>
      <c r="ALF73" s="1181"/>
      <c r="ALG73" s="1181"/>
      <c r="ALH73" s="1181"/>
      <c r="ALI73" s="1181"/>
      <c r="ALJ73" s="1181"/>
      <c r="ALK73" s="1181"/>
      <c r="ALL73" s="1181"/>
      <c r="ALM73" s="1181"/>
      <c r="ALN73" s="1181"/>
      <c r="ALO73" s="1181"/>
      <c r="ALP73" s="1181"/>
      <c r="ALQ73" s="1181"/>
      <c r="ALR73" s="1181"/>
      <c r="ALS73" s="1181"/>
      <c r="ALT73" s="1181"/>
      <c r="ALU73" s="1181"/>
      <c r="ALV73" s="1181"/>
      <c r="ALW73" s="1181"/>
      <c r="ALX73" s="1181"/>
      <c r="ALY73" s="1181"/>
      <c r="ALZ73" s="1181"/>
      <c r="AMA73" s="1181"/>
      <c r="AMB73" s="1181"/>
      <c r="AMC73" s="1181"/>
      <c r="AMD73" s="1181"/>
      <c r="AME73" s="1181"/>
      <c r="AMF73" s="1181"/>
      <c r="AMG73" s="1181"/>
      <c r="AMH73" s="1181"/>
      <c r="AMI73" s="1181"/>
      <c r="AMJ73" s="1181"/>
      <c r="AMK73" s="1181"/>
      <c r="AML73" s="1181"/>
      <c r="AMM73" s="1181"/>
      <c r="AMN73" s="1181"/>
      <c r="AMO73" s="1181"/>
      <c r="AMP73" s="1181"/>
      <c r="AMQ73" s="1181"/>
      <c r="AMR73" s="1181"/>
      <c r="AMS73" s="1181"/>
      <c r="AMT73" s="1181"/>
      <c r="AMU73" s="1181"/>
      <c r="AMV73" s="1181"/>
      <c r="AMW73" s="1181"/>
      <c r="AMX73" s="1181"/>
      <c r="AMY73" s="1181"/>
      <c r="AMZ73" s="1181"/>
      <c r="ANA73" s="1181"/>
      <c r="ANB73" s="1181"/>
      <c r="ANC73" s="1181"/>
      <c r="AND73" s="1181"/>
      <c r="ANE73" s="1181"/>
      <c r="ANF73" s="1181"/>
      <c r="ANG73" s="1181"/>
      <c r="ANH73" s="1181"/>
      <c r="ANI73" s="1181"/>
      <c r="ANJ73" s="1181"/>
      <c r="ANK73" s="1181"/>
      <c r="ANL73" s="1181"/>
      <c r="ANM73" s="1181"/>
      <c r="ANN73" s="1181"/>
      <c r="ANO73" s="1181"/>
      <c r="ANP73" s="1181"/>
      <c r="ANQ73" s="1181"/>
      <c r="ANR73" s="1181"/>
      <c r="ANS73" s="1181"/>
      <c r="ANT73" s="1181"/>
      <c r="ANU73" s="1181"/>
      <c r="ANV73" s="1181"/>
      <c r="ANW73" s="1181"/>
      <c r="ANX73" s="1181"/>
      <c r="ANY73" s="1181"/>
      <c r="ANZ73" s="1181"/>
      <c r="AOA73" s="1181"/>
      <c r="AOB73" s="1181"/>
      <c r="AOC73" s="1181"/>
      <c r="AOD73" s="1181"/>
      <c r="AOE73" s="1181"/>
      <c r="AOF73" s="1181"/>
      <c r="AOG73" s="1181"/>
      <c r="AOH73" s="1181"/>
      <c r="AOI73" s="1181"/>
      <c r="AOJ73" s="1181"/>
      <c r="AOK73" s="1181"/>
      <c r="AOL73" s="1181"/>
      <c r="AOM73" s="1181"/>
      <c r="AON73" s="1181"/>
      <c r="AOO73" s="1181"/>
      <c r="AOP73" s="1181"/>
      <c r="AOQ73" s="1181"/>
      <c r="AOR73" s="1181"/>
      <c r="AOS73" s="1181"/>
      <c r="AOT73" s="1181"/>
      <c r="AOU73" s="1181"/>
      <c r="AOV73" s="1181"/>
      <c r="AOW73" s="1181"/>
      <c r="AOX73" s="1181"/>
      <c r="AOY73" s="1181"/>
      <c r="AOZ73" s="1181"/>
      <c r="APA73" s="1181"/>
      <c r="APB73" s="1181"/>
      <c r="APC73" s="1181"/>
      <c r="APD73" s="1181"/>
      <c r="APE73" s="1181"/>
      <c r="APF73" s="1181"/>
      <c r="APG73" s="1181"/>
      <c r="APH73" s="1181"/>
      <c r="API73" s="1181"/>
      <c r="APJ73" s="1181"/>
      <c r="APK73" s="1181"/>
      <c r="APL73" s="1181"/>
      <c r="APM73" s="1181"/>
      <c r="APN73" s="1181"/>
      <c r="APO73" s="1181"/>
      <c r="APP73" s="1181"/>
      <c r="APQ73" s="1181"/>
      <c r="APR73" s="1181"/>
      <c r="APS73" s="1181"/>
      <c r="APT73" s="1181"/>
      <c r="APU73" s="1181"/>
      <c r="APV73" s="1181"/>
      <c r="APW73" s="1181"/>
      <c r="APX73" s="1181"/>
      <c r="APY73" s="1181"/>
      <c r="APZ73" s="1181"/>
      <c r="AQA73" s="1181"/>
      <c r="AQB73" s="1181"/>
      <c r="AQC73" s="1181"/>
      <c r="AQD73" s="1181"/>
      <c r="AQE73" s="1181"/>
      <c r="AQF73" s="1181"/>
      <c r="AQG73" s="1181"/>
      <c r="AQH73" s="1181"/>
      <c r="AQI73" s="1181"/>
      <c r="AQJ73" s="1181"/>
      <c r="AQK73" s="1181"/>
      <c r="AQL73" s="1181"/>
      <c r="AQM73" s="1181"/>
      <c r="AQN73" s="1181"/>
      <c r="AQO73" s="1181"/>
      <c r="AQP73" s="1181"/>
      <c r="AQQ73" s="1181"/>
      <c r="AQR73" s="1181"/>
      <c r="AQS73" s="1181"/>
      <c r="AQT73" s="1181"/>
      <c r="AQU73" s="1181"/>
      <c r="AQV73" s="1181"/>
      <c r="AQW73" s="1181"/>
      <c r="AQX73" s="1181"/>
      <c r="AQY73" s="1181"/>
      <c r="AQZ73" s="1181"/>
      <c r="ARA73" s="1181"/>
      <c r="ARB73" s="1181"/>
      <c r="ARC73" s="1181"/>
      <c r="ARD73" s="1181"/>
      <c r="ARE73" s="1181"/>
      <c r="ARF73" s="1181"/>
      <c r="ARG73" s="1181"/>
      <c r="ARH73" s="1181"/>
      <c r="ARI73" s="1181"/>
      <c r="ARJ73" s="1181"/>
      <c r="ARK73" s="1181"/>
      <c r="ARL73" s="1181"/>
      <c r="ARM73" s="1181"/>
      <c r="ARN73" s="1181"/>
      <c r="ARO73" s="1181"/>
      <c r="ARP73" s="1181"/>
      <c r="ARQ73" s="1181"/>
      <c r="ARR73" s="1181"/>
      <c r="ARS73" s="1181"/>
      <c r="ART73" s="1181"/>
      <c r="ARU73" s="1181"/>
      <c r="ARV73" s="1181"/>
      <c r="ARW73" s="1181"/>
      <c r="ARX73" s="1181"/>
      <c r="ARY73" s="1181"/>
      <c r="ARZ73" s="1181"/>
      <c r="ASA73" s="1181"/>
      <c r="ASB73" s="1181"/>
      <c r="ASC73" s="1181"/>
      <c r="ASD73" s="1181"/>
      <c r="ASE73" s="1181"/>
      <c r="ASF73" s="1181"/>
      <c r="ASG73" s="1181"/>
      <c r="ASH73" s="1181"/>
      <c r="ASI73" s="1181"/>
      <c r="ASJ73" s="1181"/>
      <c r="ASK73" s="1181"/>
      <c r="ASL73" s="1181"/>
      <c r="ASM73" s="1181"/>
      <c r="ASN73" s="1181"/>
      <c r="ASO73" s="1181"/>
      <c r="ASP73" s="1181"/>
      <c r="ASQ73" s="1181"/>
      <c r="ASR73" s="1181"/>
      <c r="ASS73" s="1181"/>
      <c r="AST73" s="1181"/>
      <c r="ASU73" s="1181"/>
      <c r="ASV73" s="1181"/>
      <c r="ASW73" s="1181"/>
      <c r="ASX73" s="1181"/>
      <c r="ASY73" s="1181"/>
      <c r="ASZ73" s="1181"/>
      <c r="ATA73" s="1181"/>
      <c r="ATB73" s="1181"/>
      <c r="ATC73" s="1181"/>
      <c r="ATD73" s="1181"/>
      <c r="ATE73" s="1181"/>
      <c r="ATF73" s="1181"/>
      <c r="ATG73" s="1181"/>
      <c r="ATH73" s="1181"/>
      <c r="ATI73" s="1181"/>
      <c r="ATJ73" s="1181"/>
      <c r="ATK73" s="1181"/>
      <c r="ATL73" s="1181"/>
      <c r="ATM73" s="1181"/>
      <c r="ATN73" s="1181"/>
      <c r="ATO73" s="1181"/>
      <c r="ATP73" s="1181"/>
      <c r="ATQ73" s="1181"/>
      <c r="ATR73" s="1181"/>
      <c r="ATS73" s="1181"/>
      <c r="ATT73" s="1181"/>
      <c r="ATU73" s="1181"/>
      <c r="ATV73" s="1181"/>
      <c r="ATW73" s="1181"/>
      <c r="ATX73" s="1181"/>
      <c r="ATY73" s="1181"/>
      <c r="ATZ73" s="1181"/>
      <c r="AUA73" s="1181"/>
      <c r="AUB73" s="1181"/>
      <c r="AUC73" s="1181"/>
      <c r="AUD73" s="1181"/>
      <c r="AUE73" s="1181"/>
      <c r="AUF73" s="1181"/>
      <c r="AUG73" s="1181"/>
      <c r="AUH73" s="1181"/>
      <c r="AUI73" s="1181"/>
      <c r="AUJ73" s="1181"/>
      <c r="AUK73" s="1181"/>
      <c r="AUL73" s="1181"/>
      <c r="AUM73" s="1181"/>
      <c r="AUN73" s="1181"/>
      <c r="AUO73" s="1181"/>
      <c r="AUP73" s="1181"/>
      <c r="AUQ73" s="1181"/>
      <c r="AUR73" s="1181"/>
      <c r="AUS73" s="1181"/>
      <c r="AUT73" s="1181"/>
      <c r="AUU73" s="1181"/>
      <c r="AUV73" s="1181"/>
      <c r="AUW73" s="1181"/>
      <c r="AUX73" s="1181"/>
      <c r="AUY73" s="1181"/>
      <c r="AUZ73" s="1181"/>
      <c r="AVA73" s="1181"/>
      <c r="AVB73" s="1181"/>
      <c r="AVC73" s="1181"/>
      <c r="AVD73" s="1181"/>
      <c r="AVE73" s="1181"/>
      <c r="AVF73" s="1181"/>
      <c r="AVG73" s="1181"/>
      <c r="AVH73" s="1181"/>
      <c r="AVI73" s="1181"/>
      <c r="AVJ73" s="1181"/>
      <c r="AVK73" s="1181"/>
      <c r="AVL73" s="1181"/>
      <c r="AVM73" s="1181"/>
      <c r="AVN73" s="1181"/>
      <c r="AVO73" s="1181"/>
      <c r="AVP73" s="1181"/>
      <c r="AVQ73" s="1181"/>
      <c r="AVR73" s="1181"/>
      <c r="AVS73" s="1181"/>
      <c r="AVT73" s="1181"/>
      <c r="AVU73" s="1181"/>
      <c r="AVV73" s="1181"/>
      <c r="AVW73" s="1181"/>
      <c r="AVX73" s="1181"/>
      <c r="AVY73" s="1181"/>
      <c r="AVZ73" s="1181"/>
      <c r="AWA73" s="1181"/>
      <c r="AWB73" s="1181"/>
      <c r="AWC73" s="1181"/>
      <c r="AWD73" s="1181"/>
      <c r="AWE73" s="1181"/>
      <c r="AWF73" s="1181"/>
      <c r="AWG73" s="1181"/>
      <c r="AWH73" s="1181"/>
      <c r="AWI73" s="1181"/>
      <c r="AWJ73" s="1181"/>
      <c r="AWK73" s="1181"/>
      <c r="AWL73" s="1181"/>
      <c r="AWM73" s="1181"/>
      <c r="AWN73" s="1181"/>
      <c r="AWO73" s="1181"/>
      <c r="AWP73" s="1181"/>
      <c r="AWQ73" s="1181"/>
      <c r="AWR73" s="1181"/>
      <c r="AWS73" s="1181"/>
      <c r="AWT73" s="1181"/>
      <c r="AWU73" s="1181"/>
      <c r="AWV73" s="1181"/>
      <c r="AWW73" s="1181"/>
      <c r="AWX73" s="1181"/>
      <c r="AWY73" s="1181"/>
      <c r="AWZ73" s="1181"/>
      <c r="AXA73" s="1181"/>
      <c r="AXB73" s="1181"/>
      <c r="AXC73" s="1181"/>
      <c r="AXD73" s="1181"/>
      <c r="AXE73" s="1181"/>
      <c r="AXF73" s="1181"/>
      <c r="AXG73" s="1181"/>
      <c r="AXH73" s="1181"/>
      <c r="AXI73" s="1181"/>
      <c r="AXJ73" s="1181"/>
      <c r="AXK73" s="1181"/>
      <c r="AXL73" s="1181"/>
      <c r="AXM73" s="1181"/>
      <c r="AXN73" s="1181"/>
      <c r="AXO73" s="1181"/>
      <c r="AXP73" s="1181"/>
      <c r="AXQ73" s="1181"/>
      <c r="AXR73" s="1181"/>
      <c r="AXS73" s="1181"/>
      <c r="AXT73" s="1181"/>
      <c r="AXU73" s="1181"/>
      <c r="AXV73" s="1181"/>
      <c r="AXW73" s="1181"/>
      <c r="AXX73" s="1181"/>
      <c r="AXY73" s="1181"/>
      <c r="AXZ73" s="1181"/>
      <c r="AYA73" s="1181"/>
      <c r="AYB73" s="1181"/>
      <c r="AYC73" s="1181"/>
      <c r="AYD73" s="1181"/>
      <c r="AYE73" s="1181"/>
      <c r="AYF73" s="1181"/>
      <c r="AYG73" s="1181"/>
      <c r="AYH73" s="1181"/>
      <c r="AYI73" s="1181"/>
      <c r="AYJ73" s="1181"/>
      <c r="AYK73" s="1181"/>
      <c r="AYL73" s="1181"/>
      <c r="AYM73" s="1181"/>
      <c r="AYN73" s="1181"/>
      <c r="AYO73" s="1181"/>
      <c r="AYP73" s="1181"/>
      <c r="AYQ73" s="1181"/>
      <c r="AYR73" s="1181"/>
      <c r="AYS73" s="1181"/>
      <c r="AYT73" s="1181"/>
      <c r="AYU73" s="1181"/>
      <c r="AYV73" s="1181"/>
      <c r="AYW73" s="1181"/>
      <c r="AYX73" s="1181"/>
      <c r="AYY73" s="1181"/>
      <c r="AYZ73" s="1181"/>
      <c r="AZA73" s="1181"/>
      <c r="AZB73" s="1181"/>
      <c r="AZC73" s="1181"/>
      <c r="AZD73" s="1181"/>
      <c r="AZE73" s="1181"/>
      <c r="AZF73" s="1181"/>
      <c r="AZG73" s="1181"/>
      <c r="AZH73" s="1181"/>
      <c r="AZI73" s="1181"/>
      <c r="AZJ73" s="1181"/>
      <c r="AZK73" s="1181"/>
      <c r="AZL73" s="1181"/>
      <c r="AZM73" s="1181"/>
      <c r="AZN73" s="1181"/>
      <c r="AZO73" s="1181"/>
      <c r="AZP73" s="1181"/>
      <c r="AZQ73" s="1181"/>
      <c r="AZR73" s="1181"/>
      <c r="AZS73" s="1181"/>
      <c r="AZT73" s="1181"/>
      <c r="AZU73" s="1181"/>
      <c r="AZV73" s="1181"/>
      <c r="AZW73" s="1181"/>
      <c r="AZX73" s="1181"/>
      <c r="AZY73" s="1181"/>
      <c r="AZZ73" s="1181"/>
      <c r="BAA73" s="1181"/>
      <c r="BAB73" s="1181"/>
      <c r="BAC73" s="1181"/>
      <c r="BAD73" s="1181"/>
      <c r="BAE73" s="1181"/>
      <c r="BAF73" s="1181"/>
      <c r="BAG73" s="1181"/>
      <c r="BAH73" s="1181"/>
      <c r="BAI73" s="1181"/>
      <c r="BAJ73" s="1181"/>
      <c r="BAK73" s="1181"/>
      <c r="BAL73" s="1181"/>
      <c r="BAM73" s="1181"/>
      <c r="BAN73" s="1181"/>
      <c r="BAO73" s="1181"/>
      <c r="BAP73" s="1181"/>
      <c r="BAQ73" s="1181"/>
      <c r="BAR73" s="1181"/>
      <c r="BAS73" s="1181"/>
      <c r="BAT73" s="1181"/>
      <c r="BAU73" s="1181"/>
      <c r="BAV73" s="1181"/>
      <c r="BAW73" s="1181"/>
      <c r="BAX73" s="1181"/>
      <c r="BAY73" s="1181"/>
      <c r="BAZ73" s="1181"/>
      <c r="BBA73" s="1181"/>
      <c r="BBB73" s="1181"/>
      <c r="BBC73" s="1181"/>
      <c r="BBD73" s="1181"/>
      <c r="BBE73" s="1181"/>
      <c r="BBF73" s="1181"/>
      <c r="BBG73" s="1181"/>
      <c r="BBH73" s="1181"/>
      <c r="BBI73" s="1181"/>
      <c r="BBJ73" s="1181"/>
      <c r="BBK73" s="1181"/>
      <c r="BBL73" s="1181"/>
      <c r="BBM73" s="1181"/>
      <c r="BBN73" s="1181"/>
      <c r="BBO73" s="1181"/>
      <c r="BBP73" s="1181"/>
      <c r="BBQ73" s="1181"/>
      <c r="BBR73" s="1181"/>
      <c r="BBS73" s="1181"/>
      <c r="BBT73" s="1181"/>
      <c r="BBU73" s="1181"/>
      <c r="BBV73" s="1181"/>
      <c r="BBW73" s="1181"/>
      <c r="BBX73" s="1181"/>
      <c r="BBY73" s="1181"/>
      <c r="BBZ73" s="1181"/>
      <c r="BCA73" s="1181"/>
      <c r="BCB73" s="1181"/>
      <c r="BCC73" s="1181"/>
      <c r="BCD73" s="1181"/>
      <c r="BCE73" s="1181"/>
      <c r="BCF73" s="1181"/>
      <c r="BCG73" s="1181"/>
      <c r="BCH73" s="1181"/>
      <c r="BCI73" s="1181"/>
      <c r="BCJ73" s="1181"/>
      <c r="BCK73" s="1181"/>
      <c r="BCL73" s="1181"/>
      <c r="BCM73" s="1181"/>
      <c r="BCN73" s="1181"/>
      <c r="BCO73" s="1181"/>
      <c r="BCP73" s="1181"/>
      <c r="BCQ73" s="1181"/>
      <c r="BCR73" s="1181"/>
      <c r="BCS73" s="1181"/>
      <c r="BCT73" s="1181"/>
      <c r="BCU73" s="1181"/>
      <c r="BCV73" s="1181"/>
      <c r="BCW73" s="1181"/>
      <c r="BCX73" s="1181"/>
      <c r="BCY73" s="1181"/>
      <c r="BCZ73" s="1181"/>
      <c r="BDA73" s="1181"/>
      <c r="BDB73" s="1181"/>
      <c r="BDC73" s="1181"/>
      <c r="BDD73" s="1181"/>
      <c r="BDE73" s="1181"/>
      <c r="BDF73" s="1181"/>
      <c r="BDG73" s="1181"/>
      <c r="BDH73" s="1181"/>
      <c r="BDI73" s="1181"/>
      <c r="BDJ73" s="1181"/>
      <c r="BDK73" s="1181"/>
      <c r="BDL73" s="1181"/>
      <c r="BDM73" s="1181"/>
      <c r="BDN73" s="1181"/>
      <c r="BDO73" s="1181"/>
      <c r="BDP73" s="1181"/>
      <c r="BDQ73" s="1181"/>
      <c r="BDR73" s="1181"/>
      <c r="BDS73" s="1181"/>
      <c r="BDT73" s="1181"/>
      <c r="BDU73" s="1181"/>
      <c r="BDV73" s="1181"/>
      <c r="BDW73" s="1181"/>
      <c r="BDX73" s="1181"/>
      <c r="BDY73" s="1181"/>
      <c r="BDZ73" s="1181"/>
      <c r="BEA73" s="1181"/>
      <c r="BEB73" s="1181"/>
      <c r="BEC73" s="1181"/>
      <c r="BED73" s="1181"/>
      <c r="BEE73" s="1181"/>
      <c r="BEF73" s="1181"/>
      <c r="BEG73" s="1181"/>
      <c r="BEH73" s="1181"/>
      <c r="BEI73" s="1181"/>
      <c r="BEJ73" s="1181"/>
      <c r="BEK73" s="1181"/>
      <c r="BEL73" s="1181"/>
      <c r="BEM73" s="1181"/>
      <c r="BEN73" s="1181"/>
      <c r="BEO73" s="1181"/>
      <c r="BEP73" s="1181"/>
      <c r="BEQ73" s="1181"/>
      <c r="BER73" s="1181"/>
      <c r="BES73" s="1181"/>
      <c r="BET73" s="1181"/>
      <c r="BEU73" s="1181"/>
      <c r="BEV73" s="1181"/>
      <c r="BEW73" s="1181"/>
      <c r="BEX73" s="1181"/>
      <c r="BEY73" s="1181"/>
      <c r="BEZ73" s="1181"/>
      <c r="BFA73" s="1181"/>
      <c r="BFB73" s="1181"/>
      <c r="BFC73" s="1181"/>
      <c r="BFD73" s="1181"/>
      <c r="BFE73" s="1181"/>
      <c r="BFF73" s="1181"/>
      <c r="BFG73" s="1181"/>
      <c r="BFH73" s="1181"/>
      <c r="BFI73" s="1181"/>
      <c r="BFJ73" s="1181"/>
      <c r="BFK73" s="1181"/>
      <c r="BFL73" s="1181"/>
      <c r="BFM73" s="1181"/>
      <c r="BFN73" s="1181"/>
      <c r="BFO73" s="1181"/>
      <c r="BFP73" s="1181"/>
      <c r="BFQ73" s="1181"/>
      <c r="BFR73" s="1181"/>
      <c r="BFS73" s="1181"/>
      <c r="BFT73" s="1181"/>
      <c r="BFU73" s="1181"/>
      <c r="BFV73" s="1181"/>
      <c r="BFW73" s="1181"/>
      <c r="BFX73" s="1181"/>
      <c r="BFY73" s="1181"/>
      <c r="BFZ73" s="1181"/>
      <c r="BGA73" s="1181"/>
      <c r="BGB73" s="1181"/>
      <c r="BGC73" s="1181"/>
      <c r="BGD73" s="1181"/>
      <c r="BGE73" s="1181"/>
      <c r="BGF73" s="1181"/>
      <c r="BGG73" s="1181"/>
      <c r="BGH73" s="1181"/>
      <c r="BGI73" s="1181"/>
      <c r="BGJ73" s="1181"/>
      <c r="BGK73" s="1181"/>
      <c r="BGL73" s="1181"/>
      <c r="BGM73" s="1181"/>
      <c r="BGN73" s="1181"/>
      <c r="BGO73" s="1181"/>
      <c r="BGP73" s="1181"/>
      <c r="BGQ73" s="1181"/>
      <c r="BGR73" s="1181"/>
      <c r="BGS73" s="1181"/>
      <c r="BGT73" s="1181"/>
      <c r="BGU73" s="1181"/>
      <c r="BGV73" s="1181"/>
      <c r="BGW73" s="1181"/>
      <c r="BGX73" s="1181"/>
      <c r="BGY73" s="1181"/>
      <c r="BGZ73" s="1181"/>
      <c r="BHA73" s="1181"/>
      <c r="BHB73" s="1181"/>
      <c r="BHC73" s="1181"/>
      <c r="BHD73" s="1181"/>
      <c r="BHE73" s="1181"/>
      <c r="BHF73" s="1181"/>
      <c r="BHG73" s="1181"/>
      <c r="BHH73" s="1181"/>
      <c r="BHI73" s="1181"/>
      <c r="BHJ73" s="1181"/>
      <c r="BHK73" s="1181"/>
      <c r="BHL73" s="1181"/>
      <c r="BHM73" s="1181"/>
      <c r="BHN73" s="1181"/>
      <c r="BHO73" s="1181"/>
      <c r="BHP73" s="1181"/>
      <c r="BHQ73" s="1181"/>
      <c r="BHR73" s="1181"/>
      <c r="BHS73" s="1181"/>
      <c r="BHT73" s="1181"/>
      <c r="BHU73" s="1181"/>
      <c r="BHV73" s="1181"/>
      <c r="BHW73" s="1181"/>
      <c r="BHX73" s="1181"/>
      <c r="BHY73" s="1181"/>
      <c r="BHZ73" s="1181"/>
      <c r="BIA73" s="1181"/>
      <c r="BIB73" s="1181"/>
      <c r="BIC73" s="1181"/>
      <c r="BID73" s="1181"/>
      <c r="BIE73" s="1181"/>
      <c r="BIF73" s="1181"/>
      <c r="BIG73" s="1181"/>
      <c r="BIH73" s="1181"/>
      <c r="BII73" s="1181"/>
      <c r="BIJ73" s="1181"/>
      <c r="BIK73" s="1181"/>
      <c r="BIL73" s="1181"/>
      <c r="BIM73" s="1181"/>
      <c r="BIN73" s="1181"/>
      <c r="BIO73" s="1181"/>
      <c r="BIP73" s="1181"/>
      <c r="BIQ73" s="1181"/>
      <c r="BIR73" s="1181"/>
      <c r="BIS73" s="1181"/>
      <c r="BIT73" s="1181"/>
      <c r="BIU73" s="1181"/>
      <c r="BIV73" s="1181"/>
      <c r="BIW73" s="1181"/>
      <c r="BIX73" s="1181"/>
      <c r="BIY73" s="1181"/>
      <c r="BIZ73" s="1181"/>
      <c r="BJA73" s="1181"/>
      <c r="BJB73" s="1181"/>
      <c r="BJC73" s="1181"/>
      <c r="BJD73" s="1181"/>
      <c r="BJE73" s="1181"/>
      <c r="BJF73" s="1181"/>
      <c r="BJG73" s="1181"/>
      <c r="BJH73" s="1181"/>
      <c r="BJI73" s="1181"/>
      <c r="BJJ73" s="1181"/>
      <c r="BJK73" s="1181"/>
      <c r="BJL73" s="1181"/>
      <c r="BJM73" s="1181"/>
      <c r="BJN73" s="1181"/>
      <c r="BJO73" s="1181"/>
      <c r="BJP73" s="1181"/>
      <c r="BJQ73" s="1181"/>
      <c r="BJR73" s="1181"/>
      <c r="BJS73" s="1181"/>
      <c r="BJT73" s="1181"/>
      <c r="BJU73" s="1181"/>
      <c r="BJV73" s="1181"/>
      <c r="BJW73" s="1181"/>
      <c r="BJX73" s="1181"/>
      <c r="BJY73" s="1181"/>
      <c r="BJZ73" s="1181"/>
      <c r="BKA73" s="1181"/>
      <c r="BKB73" s="1181"/>
      <c r="BKC73" s="1181"/>
      <c r="BKD73" s="1181"/>
      <c r="BKE73" s="1181"/>
      <c r="BKF73" s="1181"/>
      <c r="BKG73" s="1181"/>
      <c r="BKH73" s="1181"/>
      <c r="BKI73" s="1181"/>
      <c r="BKJ73" s="1181"/>
      <c r="BKK73" s="1181"/>
      <c r="BKL73" s="1181"/>
      <c r="BKM73" s="1181"/>
      <c r="BKN73" s="1181"/>
      <c r="BKO73" s="1181"/>
      <c r="BKP73" s="1181"/>
      <c r="BKQ73" s="1181"/>
      <c r="BKR73" s="1181"/>
      <c r="BKS73" s="1181"/>
      <c r="BKT73" s="1181"/>
      <c r="BKU73" s="1181"/>
      <c r="BKV73" s="1181"/>
      <c r="BKW73" s="1181"/>
      <c r="BKX73" s="1181"/>
      <c r="BKY73" s="1181"/>
      <c r="BKZ73" s="1181"/>
      <c r="BLA73" s="1181"/>
      <c r="BLB73" s="1181"/>
      <c r="BLC73" s="1181"/>
      <c r="BLD73" s="1181"/>
      <c r="BLE73" s="1181"/>
      <c r="BLF73" s="1181"/>
      <c r="BLG73" s="1181"/>
      <c r="BLH73" s="1181"/>
      <c r="BLI73" s="1181"/>
      <c r="BLJ73" s="1181"/>
      <c r="BLK73" s="1181"/>
      <c r="BLL73" s="1181"/>
      <c r="BLM73" s="1181"/>
      <c r="BLN73" s="1181"/>
      <c r="BLO73" s="1181"/>
      <c r="BLP73" s="1181"/>
      <c r="BLQ73" s="1181"/>
      <c r="BLR73" s="1181"/>
      <c r="BLS73" s="1181"/>
      <c r="BLT73" s="1181"/>
      <c r="BLU73" s="1181"/>
      <c r="BLV73" s="1181"/>
      <c r="BLW73" s="1181"/>
      <c r="BLX73" s="1181"/>
      <c r="BLY73" s="1181"/>
      <c r="BLZ73" s="1181"/>
      <c r="BMA73" s="1181"/>
      <c r="BMB73" s="1181"/>
      <c r="BMC73" s="1181"/>
      <c r="BMD73" s="1181"/>
      <c r="BME73" s="1181"/>
      <c r="BMF73" s="1181"/>
      <c r="BMG73" s="1181"/>
      <c r="BMH73" s="1181"/>
      <c r="BMI73" s="1181"/>
      <c r="BMJ73" s="1181"/>
      <c r="BMK73" s="1181"/>
      <c r="BML73" s="1181"/>
      <c r="BMM73" s="1181"/>
      <c r="BMN73" s="1181"/>
      <c r="BMO73" s="1181"/>
      <c r="BMP73" s="1181"/>
      <c r="BMQ73" s="1181"/>
      <c r="BMR73" s="1181"/>
      <c r="BMS73" s="1181"/>
      <c r="BMT73" s="1181"/>
      <c r="BMU73" s="1181"/>
      <c r="BMV73" s="1181"/>
      <c r="BMW73" s="1181"/>
      <c r="BMX73" s="1181"/>
      <c r="BMY73" s="1181"/>
      <c r="BMZ73" s="1181"/>
      <c r="BNA73" s="1181"/>
      <c r="BNB73" s="1181"/>
      <c r="BNC73" s="1181"/>
      <c r="BND73" s="1181"/>
      <c r="BNE73" s="1181"/>
      <c r="BNF73" s="1181"/>
      <c r="BNG73" s="1181"/>
      <c r="BNH73" s="1181"/>
      <c r="BNI73" s="1181"/>
      <c r="BNJ73" s="1181"/>
      <c r="BNK73" s="1181"/>
      <c r="BNL73" s="1181"/>
      <c r="BNM73" s="1181"/>
      <c r="BNN73" s="1181"/>
      <c r="BNO73" s="1181"/>
      <c r="BNP73" s="1181"/>
      <c r="BNQ73" s="1181"/>
      <c r="BNR73" s="1181"/>
      <c r="BNS73" s="1181"/>
      <c r="BNT73" s="1181"/>
      <c r="BNU73" s="1181"/>
      <c r="BNV73" s="1181"/>
      <c r="BNW73" s="1181"/>
      <c r="BNX73" s="1181"/>
      <c r="BNY73" s="1181"/>
      <c r="BNZ73" s="1181"/>
      <c r="BOA73" s="1181"/>
      <c r="BOB73" s="1181"/>
      <c r="BOC73" s="1181"/>
      <c r="BOD73" s="1181"/>
      <c r="BOE73" s="1181"/>
      <c r="BOF73" s="1181"/>
      <c r="BOG73" s="1181"/>
      <c r="BOH73" s="1181"/>
      <c r="BOI73" s="1181"/>
      <c r="BOJ73" s="1181"/>
      <c r="BOK73" s="1181"/>
      <c r="BOL73" s="1181"/>
      <c r="BOM73" s="1181"/>
      <c r="BON73" s="1181"/>
      <c r="BOO73" s="1181"/>
      <c r="BOP73" s="1181"/>
      <c r="BOQ73" s="1181"/>
      <c r="BOR73" s="1181"/>
      <c r="BOS73" s="1181"/>
      <c r="BOT73" s="1181"/>
      <c r="BOU73" s="1181"/>
      <c r="BOV73" s="1181"/>
      <c r="BOW73" s="1181"/>
      <c r="BOX73" s="1181"/>
      <c r="BOY73" s="1181"/>
      <c r="BOZ73" s="1181"/>
      <c r="BPA73" s="1181"/>
      <c r="BPB73" s="1181"/>
      <c r="BPC73" s="1181"/>
      <c r="BPD73" s="1181"/>
      <c r="BPE73" s="1181"/>
      <c r="BPF73" s="1181"/>
      <c r="BPG73" s="1181"/>
      <c r="BPH73" s="1181"/>
      <c r="BPI73" s="1181"/>
      <c r="BPJ73" s="1181"/>
      <c r="BPK73" s="1181"/>
      <c r="BPL73" s="1181"/>
      <c r="BPM73" s="1181"/>
      <c r="BPN73" s="1181"/>
      <c r="BPO73" s="1181"/>
      <c r="BPP73" s="1181"/>
      <c r="BPQ73" s="1181"/>
      <c r="BPR73" s="1181"/>
      <c r="BPS73" s="1181"/>
      <c r="BPT73" s="1181"/>
      <c r="BPU73" s="1181"/>
      <c r="BPV73" s="1181"/>
      <c r="BPW73" s="1181"/>
      <c r="BPX73" s="1181"/>
      <c r="BPY73" s="1181"/>
      <c r="BPZ73" s="1181"/>
      <c r="BQA73" s="1181"/>
      <c r="BQB73" s="1181"/>
      <c r="BQC73" s="1181"/>
      <c r="BQD73" s="1181"/>
      <c r="BQE73" s="1181"/>
      <c r="BQF73" s="1181"/>
      <c r="BQG73" s="1181"/>
      <c r="BQH73" s="1181"/>
      <c r="BQI73" s="1181"/>
      <c r="BQJ73" s="1181"/>
      <c r="BQK73" s="1181"/>
      <c r="BQL73" s="1181"/>
      <c r="BQM73" s="1181"/>
      <c r="BQN73" s="1181"/>
      <c r="BQO73" s="1181"/>
      <c r="BQP73" s="1181"/>
      <c r="BQQ73" s="1181"/>
      <c r="BQR73" s="1181"/>
      <c r="BQS73" s="1181"/>
      <c r="BQT73" s="1181"/>
      <c r="BQU73" s="1181"/>
      <c r="BQV73" s="1181"/>
      <c r="BQW73" s="1181"/>
      <c r="BQX73" s="1181"/>
      <c r="BQY73" s="1181"/>
      <c r="BQZ73" s="1181"/>
      <c r="BRA73" s="1181"/>
      <c r="BRB73" s="1181"/>
      <c r="BRC73" s="1181"/>
      <c r="BRD73" s="1181"/>
      <c r="BRE73" s="1181"/>
      <c r="BRF73" s="1181"/>
      <c r="BRG73" s="1181"/>
      <c r="BRH73" s="1181"/>
      <c r="BRI73" s="1181"/>
      <c r="BRJ73" s="1181"/>
      <c r="BRK73" s="1181"/>
      <c r="BRL73" s="1181"/>
      <c r="BRM73" s="1181"/>
      <c r="BRN73" s="1181"/>
      <c r="BRO73" s="1181"/>
      <c r="BRP73" s="1181"/>
      <c r="BRQ73" s="1181"/>
      <c r="BRR73" s="1181"/>
      <c r="BRS73" s="1181"/>
      <c r="BRT73" s="1181"/>
      <c r="BRU73" s="1181"/>
      <c r="BRV73" s="1181"/>
      <c r="BRW73" s="1181"/>
      <c r="BRX73" s="1181"/>
      <c r="BRY73" s="1181"/>
      <c r="BRZ73" s="1181"/>
      <c r="BSA73" s="1181"/>
      <c r="BSB73" s="1181"/>
      <c r="BSC73" s="1181"/>
      <c r="BSD73" s="1181"/>
      <c r="BSE73" s="1181"/>
      <c r="BSF73" s="1181"/>
      <c r="BSG73" s="1181"/>
      <c r="BSH73" s="1181"/>
      <c r="BSI73" s="1181"/>
      <c r="BSJ73" s="1181"/>
      <c r="BSK73" s="1181"/>
      <c r="BSL73" s="1181"/>
      <c r="BSM73" s="1181"/>
      <c r="BSN73" s="1181"/>
      <c r="BSO73" s="1181"/>
      <c r="BSP73" s="1181"/>
      <c r="BSQ73" s="1181"/>
      <c r="BSR73" s="1181"/>
      <c r="BSS73" s="1181"/>
      <c r="BST73" s="1181"/>
      <c r="BSU73" s="1181"/>
      <c r="BSV73" s="1181"/>
      <c r="BSW73" s="1181"/>
      <c r="BSX73" s="1181"/>
      <c r="BSY73" s="1181"/>
      <c r="BSZ73" s="1181"/>
      <c r="BTA73" s="1181"/>
      <c r="BTB73" s="1181"/>
      <c r="BTC73" s="1181"/>
      <c r="BTD73" s="1181"/>
      <c r="BTE73" s="1181"/>
      <c r="BTF73" s="1181"/>
      <c r="BTG73" s="1181"/>
      <c r="BTH73" s="1181"/>
      <c r="BTI73" s="1181"/>
      <c r="BTJ73" s="1181"/>
      <c r="BTK73" s="1181"/>
      <c r="BTL73" s="1181"/>
      <c r="BTM73" s="1181"/>
      <c r="BTN73" s="1181"/>
      <c r="BTO73" s="1181"/>
      <c r="BTP73" s="1181"/>
      <c r="BTQ73" s="1181"/>
      <c r="BTR73" s="1181"/>
      <c r="BTS73" s="1181"/>
      <c r="BTT73" s="1181"/>
      <c r="BTU73" s="1181"/>
      <c r="BTV73" s="1181"/>
      <c r="BTW73" s="1181"/>
      <c r="BTX73" s="1181"/>
      <c r="BTY73" s="1181"/>
      <c r="BTZ73" s="1181"/>
      <c r="BUA73" s="1181"/>
      <c r="BUB73" s="1181"/>
      <c r="BUC73" s="1181"/>
      <c r="BUD73" s="1181"/>
      <c r="BUE73" s="1181"/>
      <c r="BUF73" s="1181"/>
      <c r="BUG73" s="1181"/>
      <c r="BUH73" s="1181"/>
      <c r="BUI73" s="1181"/>
      <c r="BUJ73" s="1181"/>
      <c r="BUK73" s="1181"/>
      <c r="BUL73" s="1181"/>
      <c r="BUM73" s="1181"/>
      <c r="BUN73" s="1181"/>
      <c r="BUO73" s="1181"/>
      <c r="BUP73" s="1181"/>
      <c r="BUQ73" s="1181"/>
      <c r="BUR73" s="1181"/>
      <c r="BUS73" s="1181"/>
      <c r="BUT73" s="1181"/>
      <c r="BUU73" s="1181"/>
      <c r="BUV73" s="1181"/>
      <c r="BUW73" s="1181"/>
      <c r="BUX73" s="1181"/>
      <c r="BUY73" s="1181"/>
      <c r="BUZ73" s="1181"/>
      <c r="BVA73" s="1181"/>
      <c r="BVB73" s="1181"/>
      <c r="BVC73" s="1181"/>
      <c r="BVD73" s="1181"/>
      <c r="BVE73" s="1181"/>
      <c r="BVF73" s="1181"/>
      <c r="BVG73" s="1181"/>
      <c r="BVH73" s="1181"/>
      <c r="BVI73" s="1181"/>
      <c r="BVJ73" s="1181"/>
      <c r="BVK73" s="1181"/>
      <c r="BVL73" s="1181"/>
      <c r="BVM73" s="1181"/>
      <c r="BVN73" s="1181"/>
      <c r="BVO73" s="1181"/>
      <c r="BVP73" s="1181"/>
      <c r="BVQ73" s="1181"/>
      <c r="BVR73" s="1181"/>
      <c r="BVS73" s="1181"/>
      <c r="BVT73" s="1181"/>
      <c r="BVU73" s="1181"/>
      <c r="BVV73" s="1181"/>
      <c r="BVW73" s="1181"/>
      <c r="BVX73" s="1181"/>
      <c r="BVY73" s="1181"/>
      <c r="BVZ73" s="1181"/>
      <c r="BWA73" s="1181"/>
      <c r="BWB73" s="1181"/>
      <c r="BWC73" s="1181"/>
      <c r="BWD73" s="1181"/>
      <c r="BWE73" s="1181"/>
      <c r="BWF73" s="1181"/>
      <c r="BWG73" s="1181"/>
      <c r="BWH73" s="1181"/>
      <c r="BWI73" s="1181"/>
      <c r="BWJ73" s="1181"/>
      <c r="BWK73" s="1181"/>
      <c r="BWL73" s="1181"/>
      <c r="BWM73" s="1181"/>
      <c r="BWN73" s="1181"/>
      <c r="BWO73" s="1181"/>
      <c r="BWP73" s="1181"/>
      <c r="BWQ73" s="1181"/>
      <c r="BWR73" s="1181"/>
      <c r="BWS73" s="1181"/>
      <c r="BWT73" s="1181"/>
      <c r="BWU73" s="1181"/>
      <c r="BWV73" s="1181"/>
      <c r="BWW73" s="1181"/>
      <c r="BWX73" s="1181"/>
      <c r="BWY73" s="1181"/>
      <c r="BWZ73" s="1181"/>
      <c r="BXA73" s="1181"/>
      <c r="BXB73" s="1181"/>
      <c r="BXC73" s="1181"/>
      <c r="BXD73" s="1181"/>
      <c r="BXE73" s="1181"/>
      <c r="BXF73" s="1181"/>
      <c r="BXG73" s="1181"/>
      <c r="BXH73" s="1181"/>
      <c r="BXI73" s="1181"/>
      <c r="BXJ73" s="1181"/>
      <c r="BXK73" s="1181"/>
      <c r="BXL73" s="1181"/>
      <c r="BXM73" s="1181"/>
      <c r="BXN73" s="1181"/>
      <c r="BXO73" s="1181"/>
      <c r="BXP73" s="1181"/>
      <c r="BXQ73" s="1181"/>
      <c r="BXR73" s="1181"/>
      <c r="BXS73" s="1181"/>
      <c r="BXT73" s="1181"/>
      <c r="BXU73" s="1181"/>
      <c r="BXV73" s="1181"/>
      <c r="BXW73" s="1181"/>
      <c r="BXX73" s="1181"/>
      <c r="BXY73" s="1181"/>
      <c r="BXZ73" s="1181"/>
      <c r="BYA73" s="1181"/>
      <c r="BYB73" s="1181"/>
      <c r="BYC73" s="1181"/>
      <c r="BYD73" s="1181"/>
      <c r="BYE73" s="1181"/>
      <c r="BYF73" s="1181"/>
      <c r="BYG73" s="1181"/>
      <c r="BYH73" s="1181"/>
      <c r="BYI73" s="1181"/>
      <c r="BYJ73" s="1181"/>
      <c r="BYK73" s="1181"/>
      <c r="BYL73" s="1181"/>
      <c r="BYM73" s="1181"/>
      <c r="BYN73" s="1181"/>
      <c r="BYO73" s="1181"/>
      <c r="BYP73" s="1181"/>
      <c r="BYQ73" s="1181"/>
      <c r="BYR73" s="1181"/>
      <c r="BYS73" s="1181"/>
      <c r="BYT73" s="1181"/>
      <c r="BYU73" s="1181"/>
      <c r="BYV73" s="1181"/>
      <c r="BYW73" s="1181"/>
      <c r="BYX73" s="1181"/>
      <c r="BYY73" s="1181"/>
      <c r="BYZ73" s="1181"/>
      <c r="BZA73" s="1181"/>
      <c r="BZB73" s="1181"/>
      <c r="BZC73" s="1181"/>
      <c r="BZD73" s="1181"/>
      <c r="BZE73" s="1181"/>
      <c r="BZF73" s="1181"/>
      <c r="BZG73" s="1181"/>
      <c r="BZH73" s="1181"/>
      <c r="BZI73" s="1181"/>
      <c r="BZJ73" s="1181"/>
      <c r="BZK73" s="1181"/>
      <c r="BZL73" s="1181"/>
      <c r="BZM73" s="1181"/>
      <c r="BZN73" s="1181"/>
      <c r="BZO73" s="1181"/>
      <c r="BZP73" s="1181"/>
      <c r="BZQ73" s="1181"/>
      <c r="BZR73" s="1181"/>
      <c r="BZS73" s="1181"/>
      <c r="BZT73" s="1181"/>
      <c r="BZU73" s="1181"/>
      <c r="BZV73" s="1181"/>
      <c r="BZW73" s="1181"/>
      <c r="BZX73" s="1181"/>
      <c r="BZY73" s="1181"/>
      <c r="BZZ73" s="1181"/>
      <c r="CAA73" s="1181"/>
      <c r="CAB73" s="1181"/>
      <c r="CAC73" s="1181"/>
      <c r="CAD73" s="1181"/>
      <c r="CAE73" s="1181"/>
      <c r="CAF73" s="1181"/>
      <c r="CAG73" s="1181"/>
      <c r="CAH73" s="1181"/>
      <c r="CAI73" s="1181"/>
      <c r="CAJ73" s="1181"/>
      <c r="CAK73" s="1181"/>
      <c r="CAL73" s="1181"/>
      <c r="CAM73" s="1181"/>
      <c r="CAN73" s="1181"/>
      <c r="CAO73" s="1181"/>
      <c r="CAP73" s="1181"/>
      <c r="CAQ73" s="1181"/>
      <c r="CAR73" s="1181"/>
      <c r="CAS73" s="1181"/>
      <c r="CAT73" s="1181"/>
      <c r="CAU73" s="1181"/>
      <c r="CAV73" s="1181"/>
      <c r="CAW73" s="1181"/>
      <c r="CAX73" s="1181"/>
      <c r="CAY73" s="1181"/>
      <c r="CAZ73" s="1181"/>
      <c r="CBA73" s="1181"/>
      <c r="CBB73" s="1181"/>
      <c r="CBC73" s="1181"/>
      <c r="CBD73" s="1181"/>
      <c r="CBE73" s="1181"/>
      <c r="CBF73" s="1181"/>
      <c r="CBG73" s="1181"/>
      <c r="CBH73" s="1181"/>
      <c r="CBI73" s="1181"/>
      <c r="CBJ73" s="1181"/>
      <c r="CBK73" s="1181"/>
      <c r="CBL73" s="1181"/>
      <c r="CBM73" s="1181"/>
      <c r="CBN73" s="1181"/>
      <c r="CBO73" s="1181"/>
      <c r="CBP73" s="1181"/>
      <c r="CBQ73" s="1181"/>
      <c r="CBR73" s="1181"/>
      <c r="CBS73" s="1181"/>
      <c r="CBT73" s="1181"/>
      <c r="CBU73" s="1181"/>
      <c r="CBV73" s="1181"/>
      <c r="CBW73" s="1181"/>
      <c r="CBX73" s="1181"/>
      <c r="CBY73" s="1181"/>
      <c r="CBZ73" s="1181"/>
      <c r="CCA73" s="1181"/>
      <c r="CCB73" s="1181"/>
      <c r="CCC73" s="1181"/>
      <c r="CCD73" s="1181"/>
      <c r="CCE73" s="1181"/>
      <c r="CCF73" s="1181"/>
      <c r="CCG73" s="1181"/>
      <c r="CCH73" s="1181"/>
      <c r="CCI73" s="1181"/>
      <c r="CCJ73" s="1181"/>
      <c r="CCK73" s="1181"/>
      <c r="CCL73" s="1181"/>
      <c r="CCM73" s="1181"/>
      <c r="CCN73" s="1181"/>
      <c r="CCO73" s="1181"/>
      <c r="CCP73" s="1181"/>
      <c r="CCQ73" s="1181"/>
      <c r="CCR73" s="1181"/>
      <c r="CCS73" s="1181"/>
      <c r="CCT73" s="1181"/>
      <c r="CCU73" s="1181"/>
      <c r="CCV73" s="1181"/>
      <c r="CCW73" s="1181"/>
      <c r="CCX73" s="1181"/>
      <c r="CCY73" s="1181"/>
      <c r="CCZ73" s="1181"/>
      <c r="CDA73" s="1181"/>
      <c r="CDB73" s="1181"/>
      <c r="CDC73" s="1181"/>
      <c r="CDD73" s="1181"/>
      <c r="CDE73" s="1181"/>
      <c r="CDF73" s="1181"/>
      <c r="CDG73" s="1181"/>
      <c r="CDH73" s="1181"/>
      <c r="CDI73" s="1181"/>
      <c r="CDJ73" s="1181"/>
      <c r="CDK73" s="1181"/>
      <c r="CDL73" s="1181"/>
      <c r="CDM73" s="1181"/>
      <c r="CDN73" s="1181"/>
      <c r="CDO73" s="1181"/>
      <c r="CDP73" s="1181"/>
      <c r="CDQ73" s="1181"/>
      <c r="CDR73" s="1181"/>
      <c r="CDS73" s="1181"/>
      <c r="CDT73" s="1181"/>
      <c r="CDU73" s="1181"/>
      <c r="CDV73" s="1181"/>
      <c r="CDW73" s="1181"/>
      <c r="CDX73" s="1181"/>
      <c r="CDY73" s="1181"/>
      <c r="CDZ73" s="1181"/>
      <c r="CEA73" s="1181"/>
      <c r="CEB73" s="1181"/>
      <c r="CEC73" s="1181"/>
      <c r="CED73" s="1181"/>
      <c r="CEE73" s="1181"/>
      <c r="CEF73" s="1181"/>
      <c r="CEG73" s="1181"/>
      <c r="CEH73" s="1181"/>
      <c r="CEI73" s="1181"/>
      <c r="CEJ73" s="1181"/>
      <c r="CEK73" s="1181"/>
      <c r="CEL73" s="1181"/>
      <c r="CEM73" s="1181"/>
      <c r="CEN73" s="1181"/>
      <c r="CEO73" s="1181"/>
      <c r="CEP73" s="1181"/>
      <c r="CEQ73" s="1181"/>
      <c r="CER73" s="1181"/>
      <c r="CES73" s="1181"/>
      <c r="CET73" s="1181"/>
      <c r="CEU73" s="1181"/>
      <c r="CEV73" s="1181"/>
      <c r="CEW73" s="1181"/>
      <c r="CEX73" s="1181"/>
      <c r="CEY73" s="1181"/>
      <c r="CEZ73" s="1181"/>
      <c r="CFA73" s="1181"/>
      <c r="CFB73" s="1181"/>
      <c r="CFC73" s="1181"/>
      <c r="CFD73" s="1181"/>
      <c r="CFE73" s="1181"/>
      <c r="CFF73" s="1181"/>
      <c r="CFG73" s="1181"/>
      <c r="CFH73" s="1181"/>
      <c r="CFI73" s="1181"/>
      <c r="CFJ73" s="1181"/>
      <c r="CFK73" s="1181"/>
      <c r="CFL73" s="1181"/>
      <c r="CFM73" s="1181"/>
      <c r="CFN73" s="1181"/>
      <c r="CFO73" s="1181"/>
      <c r="CFP73" s="1181"/>
      <c r="CFQ73" s="1181"/>
      <c r="CFR73" s="1181"/>
      <c r="CFS73" s="1181"/>
      <c r="CFT73" s="1181"/>
      <c r="CFU73" s="1181"/>
      <c r="CFV73" s="1181"/>
      <c r="CFW73" s="1181"/>
      <c r="CFX73" s="1181"/>
      <c r="CFY73" s="1181"/>
      <c r="CFZ73" s="1181"/>
      <c r="CGA73" s="1181"/>
      <c r="CGB73" s="1181"/>
      <c r="CGC73" s="1181"/>
      <c r="CGD73" s="1181"/>
      <c r="CGE73" s="1181"/>
      <c r="CGF73" s="1181"/>
      <c r="CGG73" s="1181"/>
      <c r="CGH73" s="1181"/>
      <c r="CGI73" s="1181"/>
      <c r="CGJ73" s="1181"/>
      <c r="CGK73" s="1181"/>
      <c r="CGL73" s="1181"/>
      <c r="CGM73" s="1181"/>
      <c r="CGN73" s="1181"/>
      <c r="CGO73" s="1181"/>
      <c r="CGP73" s="1181"/>
      <c r="CGQ73" s="1181"/>
      <c r="CGR73" s="1181"/>
      <c r="CGS73" s="1181"/>
      <c r="CGT73" s="1181"/>
      <c r="CGU73" s="1181"/>
      <c r="CGV73" s="1181"/>
      <c r="CGW73" s="1181"/>
      <c r="CGX73" s="1181"/>
      <c r="CGY73" s="1181"/>
      <c r="CGZ73" s="1181"/>
      <c r="CHA73" s="1181"/>
      <c r="CHB73" s="1181"/>
      <c r="CHC73" s="1181"/>
      <c r="CHD73" s="1181"/>
      <c r="CHE73" s="1181"/>
      <c r="CHF73" s="1181"/>
      <c r="CHG73" s="1181"/>
      <c r="CHH73" s="1181"/>
      <c r="CHI73" s="1181"/>
      <c r="CHJ73" s="1181"/>
      <c r="CHK73" s="1181"/>
      <c r="CHL73" s="1181"/>
      <c r="CHM73" s="1181"/>
      <c r="CHN73" s="1181"/>
      <c r="CHO73" s="1181"/>
      <c r="CHP73" s="1181"/>
      <c r="CHQ73" s="1181"/>
      <c r="CHR73" s="1181"/>
      <c r="CHS73" s="1181"/>
      <c r="CHT73" s="1181"/>
      <c r="CHU73" s="1181"/>
      <c r="CHV73" s="1181"/>
      <c r="CHW73" s="1181"/>
      <c r="CHX73" s="1181"/>
      <c r="CHY73" s="1181"/>
      <c r="CHZ73" s="1181"/>
      <c r="CIA73" s="1181"/>
      <c r="CIB73" s="1181"/>
      <c r="CIC73" s="1181"/>
      <c r="CID73" s="1181"/>
      <c r="CIE73" s="1181"/>
      <c r="CIF73" s="1181"/>
      <c r="CIG73" s="1181"/>
      <c r="CIH73" s="1181"/>
      <c r="CII73" s="1181"/>
      <c r="CIJ73" s="1181"/>
      <c r="CIK73" s="1181"/>
      <c r="CIL73" s="1181"/>
      <c r="CIM73" s="1181"/>
      <c r="CIN73" s="1181"/>
      <c r="CIO73" s="1181"/>
      <c r="CIP73" s="1181"/>
      <c r="CIQ73" s="1181"/>
      <c r="CIR73" s="1181"/>
      <c r="CIS73" s="1181"/>
      <c r="CIT73" s="1181"/>
      <c r="CIU73" s="1181"/>
      <c r="CIV73" s="1181"/>
      <c r="CIW73" s="1181"/>
      <c r="CIX73" s="1181"/>
      <c r="CIY73" s="1181"/>
      <c r="CIZ73" s="1181"/>
      <c r="CJA73" s="1181"/>
      <c r="CJB73" s="1181"/>
      <c r="CJC73" s="1181"/>
      <c r="CJD73" s="1181"/>
      <c r="CJE73" s="1181"/>
      <c r="CJF73" s="1181"/>
      <c r="CJG73" s="1181"/>
      <c r="CJH73" s="1181"/>
      <c r="CJI73" s="1181"/>
      <c r="CJJ73" s="1181"/>
      <c r="CJK73" s="1181"/>
      <c r="CJL73" s="1181"/>
      <c r="CJM73" s="1181"/>
      <c r="CJN73" s="1181"/>
      <c r="CJO73" s="1181"/>
      <c r="CJP73" s="1181"/>
      <c r="CJQ73" s="1181"/>
      <c r="CJR73" s="1181"/>
      <c r="CJS73" s="1181"/>
      <c r="CJT73" s="1181"/>
      <c r="CJU73" s="1181"/>
      <c r="CJV73" s="1181"/>
      <c r="CJW73" s="1181"/>
      <c r="CJX73" s="1181"/>
      <c r="CJY73" s="1181"/>
      <c r="CJZ73" s="1181"/>
      <c r="CKA73" s="1181"/>
      <c r="CKB73" s="1181"/>
      <c r="CKC73" s="1181"/>
      <c r="CKD73" s="1181"/>
      <c r="CKE73" s="1181"/>
      <c r="CKF73" s="1181"/>
      <c r="CKG73" s="1181"/>
      <c r="CKH73" s="1181"/>
      <c r="CKI73" s="1181"/>
      <c r="CKJ73" s="1181"/>
      <c r="CKK73" s="1181"/>
      <c r="CKL73" s="1181"/>
      <c r="CKM73" s="1181"/>
      <c r="CKN73" s="1181"/>
      <c r="CKO73" s="1181"/>
      <c r="CKP73" s="1181"/>
      <c r="CKQ73" s="1181"/>
      <c r="CKR73" s="1181"/>
      <c r="CKS73" s="1181"/>
      <c r="CKT73" s="1181"/>
      <c r="CKU73" s="1181"/>
      <c r="CKV73" s="1181"/>
      <c r="CKW73" s="1181"/>
      <c r="CKX73" s="1181"/>
      <c r="CKY73" s="1181"/>
      <c r="CKZ73" s="1181"/>
      <c r="CLA73" s="1181"/>
      <c r="CLB73" s="1181"/>
      <c r="CLC73" s="1181"/>
      <c r="CLD73" s="1181"/>
      <c r="CLE73" s="1181"/>
      <c r="CLF73" s="1181"/>
      <c r="CLG73" s="1181"/>
      <c r="CLH73" s="1181"/>
      <c r="CLI73" s="1181"/>
      <c r="CLJ73" s="1181"/>
      <c r="CLK73" s="1181"/>
      <c r="CLL73" s="1181"/>
      <c r="CLM73" s="1181"/>
      <c r="CLN73" s="1181"/>
      <c r="CLO73" s="1181"/>
      <c r="CLP73" s="1181"/>
      <c r="CLQ73" s="1181"/>
      <c r="CLR73" s="1181"/>
      <c r="CLS73" s="1181"/>
      <c r="CLT73" s="1181"/>
      <c r="CLU73" s="1181"/>
      <c r="CLV73" s="1181"/>
      <c r="CLW73" s="1181"/>
      <c r="CLX73" s="1181"/>
      <c r="CLY73" s="1181"/>
      <c r="CLZ73" s="1181"/>
      <c r="CMA73" s="1181"/>
      <c r="CMB73" s="1181"/>
      <c r="CMC73" s="1181"/>
      <c r="CMD73" s="1181"/>
      <c r="CME73" s="1181"/>
      <c r="CMF73" s="1181"/>
      <c r="CMG73" s="1181"/>
      <c r="CMH73" s="1181"/>
      <c r="CMI73" s="1181"/>
      <c r="CMJ73" s="1181"/>
      <c r="CMK73" s="1181"/>
      <c r="CML73" s="1181"/>
      <c r="CMM73" s="1181"/>
      <c r="CMN73" s="1181"/>
      <c r="CMO73" s="1181"/>
      <c r="CMP73" s="1181"/>
      <c r="CMQ73" s="1181"/>
      <c r="CMR73" s="1181"/>
      <c r="CMS73" s="1181"/>
      <c r="CMT73" s="1181"/>
      <c r="CMU73" s="1181"/>
      <c r="CMV73" s="1181"/>
      <c r="CMW73" s="1181"/>
      <c r="CMX73" s="1181"/>
      <c r="CMY73" s="1181"/>
      <c r="CMZ73" s="1181"/>
      <c r="CNA73" s="1181"/>
      <c r="CNB73" s="1181"/>
      <c r="CNC73" s="1181"/>
      <c r="CND73" s="1181"/>
      <c r="CNE73" s="1181"/>
      <c r="CNF73" s="1181"/>
      <c r="CNG73" s="1181"/>
      <c r="CNH73" s="1181"/>
      <c r="CNI73" s="1181"/>
      <c r="CNJ73" s="1181"/>
      <c r="CNK73" s="1181"/>
      <c r="CNL73" s="1181"/>
      <c r="CNM73" s="1181"/>
      <c r="CNN73" s="1181"/>
      <c r="CNO73" s="1181"/>
      <c r="CNP73" s="1181"/>
      <c r="CNQ73" s="1181"/>
      <c r="CNR73" s="1181"/>
      <c r="CNS73" s="1181"/>
      <c r="CNT73" s="1181"/>
      <c r="CNU73" s="1181"/>
      <c r="CNV73" s="1181"/>
      <c r="CNW73" s="1181"/>
      <c r="CNX73" s="1181"/>
      <c r="CNY73" s="1181"/>
      <c r="CNZ73" s="1181"/>
      <c r="COA73" s="1181"/>
      <c r="COB73" s="1181"/>
      <c r="COC73" s="1181"/>
      <c r="COD73" s="1181"/>
      <c r="COE73" s="1181"/>
      <c r="COF73" s="1181"/>
      <c r="COG73" s="1181"/>
      <c r="COH73" s="1181"/>
      <c r="COI73" s="1181"/>
      <c r="COJ73" s="1181"/>
      <c r="COK73" s="1181"/>
      <c r="COL73" s="1181"/>
      <c r="COM73" s="1181"/>
      <c r="CON73" s="1181"/>
      <c r="COO73" s="1181"/>
      <c r="COP73" s="1181"/>
      <c r="COQ73" s="1181"/>
      <c r="COR73" s="1181"/>
      <c r="COS73" s="1181"/>
      <c r="COT73" s="1181"/>
      <c r="COU73" s="1181"/>
      <c r="COV73" s="1181"/>
      <c r="COW73" s="1181"/>
      <c r="COX73" s="1181"/>
      <c r="COY73" s="1181"/>
      <c r="COZ73" s="1181"/>
      <c r="CPA73" s="1181"/>
      <c r="CPB73" s="1181"/>
      <c r="CPC73" s="1181"/>
      <c r="CPD73" s="1181"/>
      <c r="CPE73" s="1181"/>
      <c r="CPF73" s="1181"/>
      <c r="CPG73" s="1181"/>
      <c r="CPH73" s="1181"/>
      <c r="CPI73" s="1181"/>
      <c r="CPJ73" s="1181"/>
      <c r="CPK73" s="1181"/>
      <c r="CPL73" s="1181"/>
      <c r="CPM73" s="1181"/>
      <c r="CPN73" s="1181"/>
      <c r="CPO73" s="1181"/>
      <c r="CPP73" s="1181"/>
      <c r="CPQ73" s="1181"/>
      <c r="CPR73" s="1181"/>
      <c r="CPS73" s="1181"/>
      <c r="CPT73" s="1181"/>
      <c r="CPU73" s="1181"/>
      <c r="CPV73" s="1181"/>
      <c r="CPW73" s="1181"/>
      <c r="CPX73" s="1181"/>
      <c r="CPY73" s="1181"/>
      <c r="CPZ73" s="1181"/>
      <c r="CQA73" s="1181"/>
      <c r="CQB73" s="1181"/>
      <c r="CQC73" s="1181"/>
      <c r="CQD73" s="1181"/>
      <c r="CQE73" s="1181"/>
      <c r="CQF73" s="1181"/>
      <c r="CQG73" s="1181"/>
      <c r="CQH73" s="1181"/>
      <c r="CQI73" s="1181"/>
      <c r="CQJ73" s="1181"/>
      <c r="CQK73" s="1181"/>
      <c r="CQL73" s="1181"/>
      <c r="CQM73" s="1181"/>
      <c r="CQN73" s="1181"/>
      <c r="CQO73" s="1181"/>
      <c r="CQP73" s="1181"/>
      <c r="CQQ73" s="1181"/>
      <c r="CQR73" s="1181"/>
      <c r="CQS73" s="1181"/>
      <c r="CQT73" s="1181"/>
      <c r="CQU73" s="1181"/>
      <c r="CQV73" s="1181"/>
      <c r="CQW73" s="1181"/>
      <c r="CQX73" s="1181"/>
      <c r="CQY73" s="1181"/>
      <c r="CQZ73" s="1181"/>
      <c r="CRA73" s="1181"/>
      <c r="CRB73" s="1181"/>
      <c r="CRC73" s="1181"/>
      <c r="CRD73" s="1181"/>
      <c r="CRE73" s="1181"/>
      <c r="CRF73" s="1181"/>
      <c r="CRG73" s="1181"/>
      <c r="CRH73" s="1181"/>
      <c r="CRI73" s="1181"/>
      <c r="CRJ73" s="1181"/>
      <c r="CRK73" s="1181"/>
      <c r="CRL73" s="1181"/>
      <c r="CRM73" s="1181"/>
      <c r="CRN73" s="1181"/>
      <c r="CRO73" s="1181"/>
      <c r="CRP73" s="1181"/>
      <c r="CRQ73" s="1181"/>
      <c r="CRR73" s="1181"/>
      <c r="CRS73" s="1181"/>
      <c r="CRT73" s="1181"/>
      <c r="CRU73" s="1181"/>
      <c r="CRV73" s="1181"/>
      <c r="CRW73" s="1181"/>
      <c r="CRX73" s="1181"/>
      <c r="CRY73" s="1181"/>
      <c r="CRZ73" s="1181"/>
      <c r="CSA73" s="1181"/>
      <c r="CSB73" s="1181"/>
      <c r="CSC73" s="1181"/>
      <c r="CSD73" s="1181"/>
      <c r="CSE73" s="1181"/>
      <c r="CSF73" s="1181"/>
      <c r="CSG73" s="1181"/>
      <c r="CSH73" s="1181"/>
      <c r="CSI73" s="1181"/>
      <c r="CSJ73" s="1181"/>
      <c r="CSK73" s="1181"/>
      <c r="CSL73" s="1181"/>
      <c r="CSM73" s="1181"/>
      <c r="CSN73" s="1181"/>
      <c r="CSO73" s="1181"/>
      <c r="CSP73" s="1181"/>
      <c r="CSQ73" s="1181"/>
      <c r="CSR73" s="1181"/>
      <c r="CSS73" s="1181"/>
      <c r="CST73" s="1181"/>
      <c r="CSU73" s="1181"/>
      <c r="CSV73" s="1181"/>
      <c r="CSW73" s="1181"/>
      <c r="CSX73" s="1181"/>
      <c r="CSY73" s="1181"/>
      <c r="CSZ73" s="1181"/>
      <c r="CTA73" s="1181"/>
      <c r="CTB73" s="1181"/>
      <c r="CTC73" s="1181"/>
      <c r="CTD73" s="1181"/>
      <c r="CTE73" s="1181"/>
      <c r="CTF73" s="1181"/>
      <c r="CTG73" s="1181"/>
      <c r="CTH73" s="1181"/>
      <c r="CTI73" s="1181"/>
      <c r="CTJ73" s="1181"/>
      <c r="CTK73" s="1181"/>
      <c r="CTL73" s="1181"/>
      <c r="CTM73" s="1181"/>
      <c r="CTN73" s="1181"/>
      <c r="CTO73" s="1181"/>
      <c r="CTP73" s="1181"/>
      <c r="CTQ73" s="1181"/>
      <c r="CTR73" s="1181"/>
      <c r="CTS73" s="1181"/>
      <c r="CTT73" s="1181"/>
      <c r="CTU73" s="1181"/>
      <c r="CTV73" s="1181"/>
      <c r="CTW73" s="1181"/>
      <c r="CTX73" s="1181"/>
      <c r="CTY73" s="1181"/>
      <c r="CTZ73" s="1181"/>
      <c r="CUA73" s="1181"/>
      <c r="CUB73" s="1181"/>
      <c r="CUC73" s="1181"/>
      <c r="CUD73" s="1181"/>
      <c r="CUE73" s="1181"/>
      <c r="CUF73" s="1181"/>
      <c r="CUG73" s="1181"/>
      <c r="CUH73" s="1181"/>
      <c r="CUI73" s="1181"/>
      <c r="CUJ73" s="1181"/>
      <c r="CUK73" s="1181"/>
      <c r="CUL73" s="1181"/>
      <c r="CUM73" s="1181"/>
      <c r="CUN73" s="1181"/>
      <c r="CUO73" s="1181"/>
      <c r="CUP73" s="1181"/>
      <c r="CUQ73" s="1181"/>
      <c r="CUR73" s="1181"/>
      <c r="CUS73" s="1181"/>
      <c r="CUT73" s="1181"/>
      <c r="CUU73" s="1181"/>
      <c r="CUV73" s="1181"/>
      <c r="CUW73" s="1181"/>
      <c r="CUX73" s="1181"/>
      <c r="CUY73" s="1181"/>
      <c r="CUZ73" s="1181"/>
      <c r="CVA73" s="1181"/>
      <c r="CVB73" s="1181"/>
      <c r="CVC73" s="1181"/>
      <c r="CVD73" s="1181"/>
      <c r="CVE73" s="1181"/>
      <c r="CVF73" s="1181"/>
      <c r="CVG73" s="1181"/>
      <c r="CVH73" s="1181"/>
      <c r="CVI73" s="1181"/>
      <c r="CVJ73" s="1181"/>
      <c r="CVK73" s="1181"/>
      <c r="CVL73" s="1181"/>
      <c r="CVM73" s="1181"/>
      <c r="CVN73" s="1181"/>
      <c r="CVO73" s="1181"/>
      <c r="CVP73" s="1181"/>
      <c r="CVQ73" s="1181"/>
      <c r="CVR73" s="1181"/>
      <c r="CVS73" s="1181"/>
      <c r="CVT73" s="1181"/>
      <c r="CVU73" s="1181"/>
      <c r="CVV73" s="1181"/>
      <c r="CVW73" s="1181"/>
      <c r="CVX73" s="1181"/>
      <c r="CVY73" s="1181"/>
      <c r="CVZ73" s="1181"/>
      <c r="CWA73" s="1181"/>
      <c r="CWB73" s="1181"/>
      <c r="CWC73" s="1181"/>
      <c r="CWD73" s="1181"/>
      <c r="CWE73" s="1181"/>
      <c r="CWF73" s="1181"/>
      <c r="CWG73" s="1181"/>
      <c r="CWH73" s="1181"/>
      <c r="CWI73" s="1181"/>
      <c r="CWJ73" s="1181"/>
      <c r="CWK73" s="1181"/>
      <c r="CWL73" s="1181"/>
      <c r="CWM73" s="1181"/>
      <c r="CWN73" s="1181"/>
      <c r="CWO73" s="1181"/>
      <c r="CWP73" s="1181"/>
      <c r="CWQ73" s="1181"/>
      <c r="CWR73" s="1181"/>
      <c r="CWS73" s="1181"/>
      <c r="CWT73" s="1181"/>
      <c r="CWU73" s="1181"/>
      <c r="CWV73" s="1181"/>
      <c r="CWW73" s="1181"/>
      <c r="CWX73" s="1181"/>
      <c r="CWY73" s="1181"/>
      <c r="CWZ73" s="1181"/>
      <c r="CXA73" s="1181"/>
      <c r="CXB73" s="1181"/>
      <c r="CXC73" s="1181"/>
      <c r="CXD73" s="1181"/>
      <c r="CXE73" s="1181"/>
      <c r="CXF73" s="1181"/>
      <c r="CXG73" s="1181"/>
      <c r="CXH73" s="1181"/>
      <c r="CXI73" s="1181"/>
      <c r="CXJ73" s="1181"/>
      <c r="CXK73" s="1181"/>
      <c r="CXL73" s="1181"/>
      <c r="CXM73" s="1181"/>
      <c r="CXN73" s="1181"/>
      <c r="CXO73" s="1181"/>
      <c r="CXP73" s="1181"/>
      <c r="CXQ73" s="1181"/>
      <c r="CXR73" s="1181"/>
      <c r="CXS73" s="1181"/>
      <c r="CXT73" s="1181"/>
      <c r="CXU73" s="1181"/>
      <c r="CXV73" s="1181"/>
      <c r="CXW73" s="1181"/>
      <c r="CXX73" s="1181"/>
      <c r="CXY73" s="1181"/>
      <c r="CXZ73" s="1181"/>
      <c r="CYA73" s="1181"/>
      <c r="CYB73" s="1181"/>
      <c r="CYC73" s="1181"/>
      <c r="CYD73" s="1181"/>
      <c r="CYE73" s="1181"/>
      <c r="CYF73" s="1181"/>
      <c r="CYG73" s="1181"/>
      <c r="CYH73" s="1181"/>
      <c r="CYI73" s="1181"/>
      <c r="CYJ73" s="1181"/>
      <c r="CYK73" s="1181"/>
      <c r="CYL73" s="1181"/>
      <c r="CYM73" s="1181"/>
      <c r="CYN73" s="1181"/>
      <c r="CYO73" s="1181"/>
      <c r="CYP73" s="1181"/>
      <c r="CYQ73" s="1181"/>
      <c r="CYR73" s="1181"/>
      <c r="CYS73" s="1181"/>
      <c r="CYT73" s="1181"/>
      <c r="CYU73" s="1181"/>
      <c r="CYV73" s="1181"/>
      <c r="CYW73" s="1181"/>
      <c r="CYX73" s="1181"/>
      <c r="CYY73" s="1181"/>
      <c r="CYZ73" s="1181"/>
      <c r="CZA73" s="1181"/>
      <c r="CZB73" s="1181"/>
      <c r="CZC73" s="1181"/>
      <c r="CZD73" s="1181"/>
      <c r="CZE73" s="1181"/>
      <c r="CZF73" s="1181"/>
      <c r="CZG73" s="1181"/>
      <c r="CZH73" s="1181"/>
      <c r="CZI73" s="1181"/>
      <c r="CZJ73" s="1181"/>
      <c r="CZK73" s="1181"/>
      <c r="CZL73" s="1181"/>
      <c r="CZM73" s="1181"/>
      <c r="CZN73" s="1181"/>
      <c r="CZO73" s="1181"/>
      <c r="CZP73" s="1181"/>
      <c r="CZQ73" s="1181"/>
      <c r="CZR73" s="1181"/>
      <c r="CZS73" s="1181"/>
      <c r="CZT73" s="1181"/>
      <c r="CZU73" s="1181"/>
      <c r="CZV73" s="1181"/>
      <c r="CZW73" s="1181"/>
      <c r="CZX73" s="1181"/>
      <c r="CZY73" s="1181"/>
      <c r="CZZ73" s="1181"/>
      <c r="DAA73" s="1181"/>
      <c r="DAB73" s="1181"/>
      <c r="DAC73" s="1181"/>
      <c r="DAD73" s="1181"/>
      <c r="DAE73" s="1181"/>
      <c r="DAF73" s="1181"/>
      <c r="DAG73" s="1181"/>
      <c r="DAH73" s="1181"/>
      <c r="DAI73" s="1181"/>
      <c r="DAJ73" s="1181"/>
      <c r="DAK73" s="1181"/>
      <c r="DAL73" s="1181"/>
      <c r="DAM73" s="1181"/>
      <c r="DAN73" s="1181"/>
      <c r="DAO73" s="1181"/>
      <c r="DAP73" s="1181"/>
      <c r="DAQ73" s="1181"/>
      <c r="DAR73" s="1181"/>
      <c r="DAS73" s="1181"/>
      <c r="DAT73" s="1181"/>
      <c r="DAU73" s="1181"/>
      <c r="DAV73" s="1181"/>
      <c r="DAW73" s="1181"/>
      <c r="DAX73" s="1181"/>
      <c r="DAY73" s="1181"/>
      <c r="DAZ73" s="1181"/>
      <c r="DBA73" s="1181"/>
      <c r="DBB73" s="1181"/>
      <c r="DBC73" s="1181"/>
      <c r="DBD73" s="1181"/>
      <c r="DBE73" s="1181"/>
      <c r="DBF73" s="1181"/>
      <c r="DBG73" s="1181"/>
      <c r="DBH73" s="1181"/>
      <c r="DBI73" s="1181"/>
      <c r="DBJ73" s="1181"/>
      <c r="DBK73" s="1181"/>
      <c r="DBL73" s="1181"/>
      <c r="DBM73" s="1181"/>
      <c r="DBN73" s="1181"/>
      <c r="DBO73" s="1181"/>
      <c r="DBP73" s="1181"/>
      <c r="DBQ73" s="1181"/>
      <c r="DBR73" s="1181"/>
      <c r="DBS73" s="1181"/>
      <c r="DBT73" s="1181"/>
      <c r="DBU73" s="1181"/>
      <c r="DBV73" s="1181"/>
      <c r="DBW73" s="1181"/>
      <c r="DBX73" s="1181"/>
      <c r="DBY73" s="1181"/>
      <c r="DBZ73" s="1181"/>
      <c r="DCA73" s="1181"/>
      <c r="DCB73" s="1181"/>
      <c r="DCC73" s="1181"/>
      <c r="DCD73" s="1181"/>
      <c r="DCE73" s="1181"/>
      <c r="DCF73" s="1181"/>
      <c r="DCG73" s="1181"/>
      <c r="DCH73" s="1181"/>
      <c r="DCI73" s="1181"/>
      <c r="DCJ73" s="1181"/>
      <c r="DCK73" s="1181"/>
      <c r="DCL73" s="1181"/>
      <c r="DCM73" s="1181"/>
      <c r="DCN73" s="1181"/>
      <c r="DCO73" s="1181"/>
      <c r="DCP73" s="1181"/>
      <c r="DCQ73" s="1181"/>
      <c r="DCR73" s="1181"/>
      <c r="DCS73" s="1181"/>
      <c r="DCT73" s="1181"/>
      <c r="DCU73" s="1181"/>
      <c r="DCV73" s="1181"/>
      <c r="DCW73" s="1181"/>
      <c r="DCX73" s="1181"/>
      <c r="DCY73" s="1181"/>
      <c r="DCZ73" s="1181"/>
      <c r="DDA73" s="1181"/>
      <c r="DDB73" s="1181"/>
      <c r="DDC73" s="1181"/>
      <c r="DDD73" s="1181"/>
      <c r="DDE73" s="1181"/>
      <c r="DDF73" s="1181"/>
      <c r="DDG73" s="1181"/>
      <c r="DDH73" s="1181"/>
      <c r="DDI73" s="1181"/>
      <c r="DDJ73" s="1181"/>
      <c r="DDK73" s="1181"/>
      <c r="DDL73" s="1181"/>
      <c r="DDM73" s="1181"/>
      <c r="DDN73" s="1181"/>
      <c r="DDO73" s="1181"/>
      <c r="DDP73" s="1181"/>
      <c r="DDQ73" s="1181"/>
      <c r="DDR73" s="1181"/>
      <c r="DDS73" s="1181"/>
      <c r="DDT73" s="1181"/>
      <c r="DDU73" s="1181"/>
      <c r="DDV73" s="1181"/>
      <c r="DDW73" s="1181"/>
      <c r="DDX73" s="1181"/>
      <c r="DDY73" s="1181"/>
      <c r="DDZ73" s="1181"/>
      <c r="DEA73" s="1181"/>
      <c r="DEB73" s="1181"/>
      <c r="DEC73" s="1181"/>
      <c r="DED73" s="1181"/>
      <c r="DEE73" s="1181"/>
      <c r="DEF73" s="1181"/>
      <c r="DEG73" s="1181"/>
      <c r="DEH73" s="1181"/>
      <c r="DEI73" s="1181"/>
      <c r="DEJ73" s="1181"/>
      <c r="DEK73" s="1181"/>
      <c r="DEL73" s="1181"/>
      <c r="DEM73" s="1181"/>
      <c r="DEN73" s="1181"/>
      <c r="DEO73" s="1181"/>
      <c r="DEP73" s="1181"/>
      <c r="DEQ73" s="1181"/>
      <c r="DER73" s="1181"/>
      <c r="DES73" s="1181"/>
      <c r="DET73" s="1181"/>
      <c r="DEU73" s="1181"/>
      <c r="DEV73" s="1181"/>
      <c r="DEW73" s="1181"/>
      <c r="DEX73" s="1181"/>
      <c r="DEY73" s="1181"/>
      <c r="DEZ73" s="1181"/>
      <c r="DFA73" s="1181"/>
      <c r="DFB73" s="1181"/>
      <c r="DFC73" s="1181"/>
      <c r="DFD73" s="1181"/>
      <c r="DFE73" s="1181"/>
      <c r="DFF73" s="1181"/>
      <c r="DFG73" s="1181"/>
      <c r="DFH73" s="1181"/>
      <c r="DFI73" s="1181"/>
      <c r="DFJ73" s="1181"/>
      <c r="DFK73" s="1181"/>
      <c r="DFL73" s="1181"/>
      <c r="DFM73" s="1181"/>
      <c r="DFN73" s="1181"/>
      <c r="DFO73" s="1181"/>
      <c r="DFP73" s="1181"/>
      <c r="DFQ73" s="1181"/>
      <c r="DFR73" s="1181"/>
      <c r="DFS73" s="1181"/>
      <c r="DFT73" s="1181"/>
      <c r="DFU73" s="1181"/>
      <c r="DFV73" s="1181"/>
      <c r="DFW73" s="1181"/>
      <c r="DFX73" s="1181"/>
      <c r="DFY73" s="1181"/>
      <c r="DFZ73" s="1181"/>
      <c r="DGA73" s="1181"/>
      <c r="DGB73" s="1181"/>
      <c r="DGC73" s="1181"/>
      <c r="DGD73" s="1181"/>
      <c r="DGE73" s="1181"/>
      <c r="DGF73" s="1181"/>
      <c r="DGG73" s="1181"/>
      <c r="DGH73" s="1181"/>
      <c r="DGI73" s="1181"/>
      <c r="DGJ73" s="1181"/>
      <c r="DGK73" s="1181"/>
      <c r="DGL73" s="1181"/>
      <c r="DGM73" s="1181"/>
      <c r="DGN73" s="1181"/>
      <c r="DGO73" s="1181"/>
      <c r="DGP73" s="1181"/>
      <c r="DGQ73" s="1181"/>
      <c r="DGR73" s="1181"/>
      <c r="DGS73" s="1181"/>
      <c r="DGT73" s="1181"/>
      <c r="DGU73" s="1181"/>
      <c r="DGV73" s="1181"/>
      <c r="DGW73" s="1181"/>
      <c r="DGX73" s="1181"/>
      <c r="DGY73" s="1181"/>
      <c r="DGZ73" s="1181"/>
      <c r="DHA73" s="1181"/>
      <c r="DHB73" s="1181"/>
      <c r="DHC73" s="1181"/>
      <c r="DHD73" s="1181"/>
      <c r="DHE73" s="1181"/>
      <c r="DHF73" s="1181"/>
      <c r="DHG73" s="1181"/>
      <c r="DHH73" s="1181"/>
      <c r="DHI73" s="1181"/>
      <c r="DHJ73" s="1181"/>
      <c r="DHK73" s="1181"/>
      <c r="DHL73" s="1181"/>
      <c r="DHM73" s="1181"/>
      <c r="DHN73" s="1181"/>
      <c r="DHO73" s="1181"/>
      <c r="DHP73" s="1181"/>
      <c r="DHQ73" s="1181"/>
      <c r="DHR73" s="1181"/>
      <c r="DHS73" s="1181"/>
      <c r="DHT73" s="1181"/>
      <c r="DHU73" s="1181"/>
      <c r="DHV73" s="1181"/>
      <c r="DHW73" s="1181"/>
      <c r="DHX73" s="1181"/>
      <c r="DHY73" s="1181"/>
      <c r="DHZ73" s="1181"/>
      <c r="DIA73" s="1181"/>
      <c r="DIB73" s="1181"/>
      <c r="DIC73" s="1181"/>
      <c r="DID73" s="1181"/>
      <c r="DIE73" s="1181"/>
      <c r="DIF73" s="1181"/>
      <c r="DIG73" s="1181"/>
      <c r="DIH73" s="1181"/>
      <c r="DII73" s="1181"/>
      <c r="DIJ73" s="1181"/>
      <c r="DIK73" s="1181"/>
      <c r="DIL73" s="1181"/>
      <c r="DIM73" s="1181"/>
      <c r="DIN73" s="1181"/>
      <c r="DIO73" s="1181"/>
      <c r="DIP73" s="1181"/>
      <c r="DIQ73" s="1181"/>
      <c r="DIR73" s="1181"/>
      <c r="DIS73" s="1181"/>
      <c r="DIT73" s="1181"/>
      <c r="DIU73" s="1181"/>
      <c r="DIV73" s="1181"/>
      <c r="DIW73" s="1181"/>
      <c r="DIX73" s="1181"/>
      <c r="DIY73" s="1181"/>
      <c r="DIZ73" s="1181"/>
      <c r="DJA73" s="1181"/>
      <c r="DJB73" s="1181"/>
      <c r="DJC73" s="1181"/>
      <c r="DJD73" s="1181"/>
      <c r="DJE73" s="1181"/>
      <c r="DJF73" s="1181"/>
      <c r="DJG73" s="1181"/>
      <c r="DJH73" s="1181"/>
      <c r="DJI73" s="1181"/>
      <c r="DJJ73" s="1181"/>
      <c r="DJK73" s="1181"/>
      <c r="DJL73" s="1181"/>
      <c r="DJM73" s="1181"/>
      <c r="DJN73" s="1181"/>
      <c r="DJO73" s="1181"/>
      <c r="DJP73" s="1181"/>
      <c r="DJQ73" s="1181"/>
      <c r="DJR73" s="1181"/>
      <c r="DJS73" s="1181"/>
      <c r="DJT73" s="1181"/>
      <c r="DJU73" s="1181"/>
      <c r="DJV73" s="1181"/>
      <c r="DJW73" s="1181"/>
      <c r="DJX73" s="1181"/>
      <c r="DJY73" s="1181"/>
      <c r="DJZ73" s="1181"/>
      <c r="DKA73" s="1181"/>
      <c r="DKB73" s="1181"/>
      <c r="DKC73" s="1181"/>
      <c r="DKD73" s="1181"/>
      <c r="DKE73" s="1181"/>
      <c r="DKF73" s="1181"/>
      <c r="DKG73" s="1181"/>
      <c r="DKH73" s="1181"/>
      <c r="DKI73" s="1181"/>
      <c r="DKJ73" s="1181"/>
      <c r="DKK73" s="1181"/>
      <c r="DKL73" s="1181"/>
      <c r="DKM73" s="1181"/>
      <c r="DKN73" s="1181"/>
      <c r="DKO73" s="1181"/>
      <c r="DKP73" s="1181"/>
      <c r="DKQ73" s="1181"/>
      <c r="DKR73" s="1181"/>
      <c r="DKS73" s="1181"/>
      <c r="DKT73" s="1181"/>
      <c r="DKU73" s="1181"/>
      <c r="DKV73" s="1181"/>
      <c r="DKW73" s="1181"/>
      <c r="DKX73" s="1181"/>
      <c r="DKY73" s="1181"/>
      <c r="DKZ73" s="1181"/>
      <c r="DLA73" s="1181"/>
      <c r="DLB73" s="1181"/>
      <c r="DLC73" s="1181"/>
      <c r="DLD73" s="1181"/>
      <c r="DLE73" s="1181"/>
      <c r="DLF73" s="1181"/>
      <c r="DLG73" s="1181"/>
      <c r="DLH73" s="1181"/>
      <c r="DLI73" s="1181"/>
      <c r="DLJ73" s="1181"/>
      <c r="DLK73" s="1181"/>
      <c r="DLL73" s="1181"/>
      <c r="DLM73" s="1181"/>
      <c r="DLN73" s="1181"/>
      <c r="DLO73" s="1181"/>
      <c r="DLP73" s="1181"/>
      <c r="DLQ73" s="1181"/>
      <c r="DLR73" s="1181"/>
      <c r="DLS73" s="1181"/>
      <c r="DLT73" s="1181"/>
      <c r="DLU73" s="1181"/>
      <c r="DLV73" s="1181"/>
      <c r="DLW73" s="1181"/>
      <c r="DLX73" s="1181"/>
      <c r="DLY73" s="1181"/>
      <c r="DLZ73" s="1181"/>
      <c r="DMA73" s="1181"/>
      <c r="DMB73" s="1181"/>
      <c r="DMC73" s="1181"/>
      <c r="DMD73" s="1181"/>
      <c r="DME73" s="1181"/>
      <c r="DMF73" s="1181"/>
      <c r="DMG73" s="1181"/>
      <c r="DMH73" s="1181"/>
      <c r="DMI73" s="1181"/>
      <c r="DMJ73" s="1181"/>
      <c r="DMK73" s="1181"/>
      <c r="DML73" s="1181"/>
      <c r="DMM73" s="1181"/>
      <c r="DMN73" s="1181"/>
      <c r="DMO73" s="1181"/>
      <c r="DMP73" s="1181"/>
      <c r="DMQ73" s="1181"/>
      <c r="DMR73" s="1181"/>
      <c r="DMS73" s="1181"/>
      <c r="DMT73" s="1181"/>
      <c r="DMU73" s="1181"/>
      <c r="DMV73" s="1181"/>
      <c r="DMW73" s="1181"/>
      <c r="DMX73" s="1181"/>
      <c r="DMY73" s="1181"/>
      <c r="DMZ73" s="1181"/>
      <c r="DNA73" s="1181"/>
      <c r="DNB73" s="1181"/>
      <c r="DNC73" s="1181"/>
      <c r="DND73" s="1181"/>
      <c r="DNE73" s="1181"/>
      <c r="DNF73" s="1181"/>
      <c r="DNG73" s="1181"/>
      <c r="DNH73" s="1181"/>
      <c r="DNI73" s="1181"/>
      <c r="DNJ73" s="1181"/>
      <c r="DNK73" s="1181"/>
      <c r="DNL73" s="1181"/>
      <c r="DNM73" s="1181"/>
      <c r="DNN73" s="1181"/>
      <c r="DNO73" s="1181"/>
      <c r="DNP73" s="1181"/>
      <c r="DNQ73" s="1181"/>
      <c r="DNR73" s="1181"/>
      <c r="DNS73" s="1181"/>
      <c r="DNT73" s="1181"/>
      <c r="DNU73" s="1181"/>
      <c r="DNV73" s="1181"/>
      <c r="DNW73" s="1181"/>
      <c r="DNX73" s="1181"/>
      <c r="DNY73" s="1181"/>
      <c r="DNZ73" s="1181"/>
      <c r="DOA73" s="1181"/>
      <c r="DOB73" s="1181"/>
      <c r="DOC73" s="1181"/>
      <c r="DOD73" s="1181"/>
      <c r="DOE73" s="1181"/>
      <c r="DOF73" s="1181"/>
      <c r="DOG73" s="1181"/>
      <c r="DOH73" s="1181"/>
      <c r="DOI73" s="1181"/>
      <c r="DOJ73" s="1181"/>
      <c r="DOK73" s="1181"/>
      <c r="DOL73" s="1181"/>
      <c r="DOM73" s="1181"/>
      <c r="DON73" s="1181"/>
      <c r="DOO73" s="1181"/>
      <c r="DOP73" s="1181"/>
      <c r="DOQ73" s="1181"/>
      <c r="DOR73" s="1181"/>
      <c r="DOS73" s="1181"/>
      <c r="DOT73" s="1181"/>
      <c r="DOU73" s="1181"/>
      <c r="DOV73" s="1181"/>
      <c r="DOW73" s="1181"/>
      <c r="DOX73" s="1181"/>
      <c r="DOY73" s="1181"/>
      <c r="DOZ73" s="1181"/>
      <c r="DPA73" s="1181"/>
      <c r="DPB73" s="1181"/>
      <c r="DPC73" s="1181"/>
      <c r="DPD73" s="1181"/>
      <c r="DPE73" s="1181"/>
      <c r="DPF73" s="1181"/>
      <c r="DPG73" s="1181"/>
      <c r="DPH73" s="1181"/>
      <c r="DPI73" s="1181"/>
      <c r="DPJ73" s="1181"/>
      <c r="DPK73" s="1181"/>
      <c r="DPL73" s="1181"/>
      <c r="DPM73" s="1181"/>
      <c r="DPN73" s="1181"/>
      <c r="DPO73" s="1181"/>
      <c r="DPP73" s="1181"/>
      <c r="DPQ73" s="1181"/>
      <c r="DPR73" s="1181"/>
      <c r="DPS73" s="1181"/>
      <c r="DPT73" s="1181"/>
      <c r="DPU73" s="1181"/>
      <c r="DPV73" s="1181"/>
      <c r="DPW73" s="1181"/>
      <c r="DPX73" s="1181"/>
      <c r="DPY73" s="1181"/>
      <c r="DPZ73" s="1181"/>
      <c r="DQA73" s="1181"/>
      <c r="DQB73" s="1181"/>
      <c r="DQC73" s="1181"/>
      <c r="DQD73" s="1181"/>
      <c r="DQE73" s="1181"/>
      <c r="DQF73" s="1181"/>
      <c r="DQG73" s="1181"/>
      <c r="DQH73" s="1181"/>
      <c r="DQI73" s="1181"/>
      <c r="DQJ73" s="1181"/>
      <c r="DQK73" s="1181"/>
      <c r="DQL73" s="1181"/>
      <c r="DQM73" s="1181"/>
      <c r="DQN73" s="1181"/>
      <c r="DQO73" s="1181"/>
      <c r="DQP73" s="1181"/>
      <c r="DQQ73" s="1181"/>
      <c r="DQR73" s="1181"/>
      <c r="DQS73" s="1181"/>
      <c r="DQT73" s="1181"/>
      <c r="DQU73" s="1181"/>
      <c r="DQV73" s="1181"/>
      <c r="DQW73" s="1181"/>
      <c r="DQX73" s="1181"/>
      <c r="DQY73" s="1181"/>
      <c r="DQZ73" s="1181"/>
      <c r="DRA73" s="1181"/>
      <c r="DRB73" s="1181"/>
      <c r="DRC73" s="1181"/>
      <c r="DRD73" s="1181"/>
      <c r="DRE73" s="1181"/>
      <c r="DRF73" s="1181"/>
      <c r="DRG73" s="1181"/>
      <c r="DRH73" s="1181"/>
      <c r="DRI73" s="1181"/>
      <c r="DRJ73" s="1181"/>
      <c r="DRK73" s="1181"/>
      <c r="DRL73" s="1181"/>
      <c r="DRM73" s="1181"/>
      <c r="DRN73" s="1181"/>
      <c r="DRO73" s="1181"/>
      <c r="DRP73" s="1181"/>
      <c r="DRQ73" s="1181"/>
      <c r="DRR73" s="1181"/>
      <c r="DRS73" s="1181"/>
      <c r="DRT73" s="1181"/>
      <c r="DRU73" s="1181"/>
      <c r="DRV73" s="1181"/>
      <c r="DRW73" s="1181"/>
      <c r="DRX73" s="1181"/>
      <c r="DRY73" s="1181"/>
      <c r="DRZ73" s="1181"/>
      <c r="DSA73" s="1181"/>
      <c r="DSB73" s="1181"/>
      <c r="DSC73" s="1181"/>
      <c r="DSD73" s="1181"/>
      <c r="DSE73" s="1181"/>
      <c r="DSF73" s="1181"/>
      <c r="DSG73" s="1181"/>
      <c r="DSH73" s="1181"/>
      <c r="DSI73" s="1181"/>
      <c r="DSJ73" s="1181"/>
      <c r="DSK73" s="1181"/>
      <c r="DSL73" s="1181"/>
      <c r="DSM73" s="1181"/>
      <c r="DSN73" s="1181"/>
      <c r="DSO73" s="1181"/>
      <c r="DSP73" s="1181"/>
      <c r="DSQ73" s="1181"/>
      <c r="DSR73" s="1181"/>
      <c r="DSS73" s="1181"/>
      <c r="DST73" s="1181"/>
      <c r="DSU73" s="1181"/>
      <c r="DSV73" s="1181"/>
      <c r="DSW73" s="1181"/>
      <c r="DSX73" s="1181"/>
      <c r="DSY73" s="1181"/>
      <c r="DSZ73" s="1181"/>
      <c r="DTA73" s="1181"/>
      <c r="DTB73" s="1181"/>
      <c r="DTC73" s="1181"/>
      <c r="DTD73" s="1181"/>
      <c r="DTE73" s="1181"/>
      <c r="DTF73" s="1181"/>
      <c r="DTG73" s="1181"/>
      <c r="DTH73" s="1181"/>
      <c r="DTI73" s="1181"/>
      <c r="DTJ73" s="1181"/>
      <c r="DTK73" s="1181"/>
      <c r="DTL73" s="1181"/>
      <c r="DTM73" s="1181"/>
      <c r="DTN73" s="1181"/>
      <c r="DTO73" s="1181"/>
      <c r="DTP73" s="1181"/>
      <c r="DTQ73" s="1181"/>
      <c r="DTR73" s="1181"/>
      <c r="DTS73" s="1181"/>
      <c r="DTT73" s="1181"/>
      <c r="DTU73" s="1181"/>
      <c r="DTV73" s="1181"/>
      <c r="DTW73" s="1181"/>
      <c r="DTX73" s="1181"/>
      <c r="DTY73" s="1181"/>
      <c r="DTZ73" s="1181"/>
      <c r="DUA73" s="1181"/>
      <c r="DUB73" s="1181"/>
      <c r="DUC73" s="1181"/>
      <c r="DUD73" s="1181"/>
      <c r="DUE73" s="1181"/>
      <c r="DUF73" s="1181"/>
      <c r="DUG73" s="1181"/>
      <c r="DUH73" s="1181"/>
      <c r="DUI73" s="1181"/>
      <c r="DUJ73" s="1181"/>
      <c r="DUK73" s="1181"/>
      <c r="DUL73" s="1181"/>
      <c r="DUM73" s="1181"/>
      <c r="DUN73" s="1181"/>
      <c r="DUO73" s="1181"/>
      <c r="DUP73" s="1181"/>
      <c r="DUQ73" s="1181"/>
      <c r="DUR73" s="1181"/>
      <c r="DUS73" s="1181"/>
      <c r="DUT73" s="1181"/>
      <c r="DUU73" s="1181"/>
      <c r="DUV73" s="1181"/>
      <c r="DUW73" s="1181"/>
      <c r="DUX73" s="1181"/>
      <c r="DUY73" s="1181"/>
      <c r="DUZ73" s="1181"/>
      <c r="DVA73" s="1181"/>
      <c r="DVB73" s="1181"/>
      <c r="DVC73" s="1181"/>
      <c r="DVD73" s="1181"/>
      <c r="DVE73" s="1181"/>
      <c r="DVF73" s="1181"/>
      <c r="DVG73" s="1181"/>
      <c r="DVH73" s="1181"/>
      <c r="DVI73" s="1181"/>
      <c r="DVJ73" s="1181"/>
      <c r="DVK73" s="1181"/>
      <c r="DVL73" s="1181"/>
      <c r="DVM73" s="1181"/>
      <c r="DVN73" s="1181"/>
      <c r="DVO73" s="1181"/>
      <c r="DVP73" s="1181"/>
      <c r="DVQ73" s="1181"/>
      <c r="DVR73" s="1181"/>
      <c r="DVS73" s="1181"/>
      <c r="DVT73" s="1181"/>
      <c r="DVU73" s="1181"/>
      <c r="DVV73" s="1181"/>
      <c r="DVW73" s="1181"/>
      <c r="DVX73" s="1181"/>
      <c r="DVY73" s="1181"/>
      <c r="DVZ73" s="1181"/>
      <c r="DWA73" s="1181"/>
      <c r="DWB73" s="1181"/>
      <c r="DWC73" s="1181"/>
      <c r="DWD73" s="1181"/>
      <c r="DWE73" s="1181"/>
      <c r="DWF73" s="1181"/>
      <c r="DWG73" s="1181"/>
      <c r="DWH73" s="1181"/>
      <c r="DWI73" s="1181"/>
      <c r="DWJ73" s="1181"/>
      <c r="DWK73" s="1181"/>
      <c r="DWL73" s="1181"/>
      <c r="DWM73" s="1181"/>
      <c r="DWN73" s="1181"/>
      <c r="DWO73" s="1181"/>
      <c r="DWP73" s="1181"/>
      <c r="DWQ73" s="1181"/>
      <c r="DWR73" s="1181"/>
      <c r="DWS73" s="1181"/>
      <c r="DWT73" s="1181"/>
      <c r="DWU73" s="1181"/>
      <c r="DWV73" s="1181"/>
      <c r="DWW73" s="1181"/>
      <c r="DWX73" s="1181"/>
      <c r="DWY73" s="1181"/>
      <c r="DWZ73" s="1181"/>
      <c r="DXA73" s="1181"/>
      <c r="DXB73" s="1181"/>
      <c r="DXC73" s="1181"/>
      <c r="DXD73" s="1181"/>
      <c r="DXE73" s="1181"/>
      <c r="DXF73" s="1181"/>
      <c r="DXG73" s="1181"/>
      <c r="DXH73" s="1181"/>
      <c r="DXI73" s="1181"/>
      <c r="DXJ73" s="1181"/>
      <c r="DXK73" s="1181"/>
      <c r="DXL73" s="1181"/>
      <c r="DXM73" s="1181"/>
      <c r="DXN73" s="1181"/>
      <c r="DXO73" s="1181"/>
      <c r="DXP73" s="1181"/>
      <c r="DXQ73" s="1181"/>
      <c r="DXR73" s="1181"/>
      <c r="DXS73" s="1181"/>
      <c r="DXT73" s="1181"/>
      <c r="DXU73" s="1181"/>
      <c r="DXV73" s="1181"/>
      <c r="DXW73" s="1181"/>
      <c r="DXX73" s="1181"/>
      <c r="DXY73" s="1181"/>
      <c r="DXZ73" s="1181"/>
      <c r="DYA73" s="1181"/>
      <c r="DYB73" s="1181"/>
      <c r="DYC73" s="1181"/>
      <c r="DYD73" s="1181"/>
      <c r="DYE73" s="1181"/>
      <c r="DYF73" s="1181"/>
      <c r="DYG73" s="1181"/>
      <c r="DYH73" s="1181"/>
      <c r="DYI73" s="1181"/>
      <c r="DYJ73" s="1181"/>
      <c r="DYK73" s="1181"/>
      <c r="DYL73" s="1181"/>
      <c r="DYM73" s="1181"/>
      <c r="DYN73" s="1181"/>
      <c r="DYO73" s="1181"/>
      <c r="DYP73" s="1181"/>
      <c r="DYQ73" s="1181"/>
      <c r="DYR73" s="1181"/>
      <c r="DYS73" s="1181"/>
      <c r="DYT73" s="1181"/>
      <c r="DYU73" s="1181"/>
      <c r="DYV73" s="1181"/>
      <c r="DYW73" s="1181"/>
      <c r="DYX73" s="1181"/>
      <c r="DYY73" s="1181"/>
      <c r="DYZ73" s="1181"/>
      <c r="DZA73" s="1181"/>
      <c r="DZB73" s="1181"/>
      <c r="DZC73" s="1181"/>
      <c r="DZD73" s="1181"/>
      <c r="DZE73" s="1181"/>
      <c r="DZF73" s="1181"/>
      <c r="DZG73" s="1181"/>
      <c r="DZH73" s="1181"/>
      <c r="DZI73" s="1181"/>
      <c r="DZJ73" s="1181"/>
      <c r="DZK73" s="1181"/>
      <c r="DZL73" s="1181"/>
      <c r="DZM73" s="1181"/>
      <c r="DZN73" s="1181"/>
      <c r="DZO73" s="1181"/>
      <c r="DZP73" s="1181"/>
      <c r="DZQ73" s="1181"/>
      <c r="DZR73" s="1181"/>
      <c r="DZS73" s="1181"/>
      <c r="DZT73" s="1181"/>
      <c r="DZU73" s="1181"/>
      <c r="DZV73" s="1181"/>
      <c r="DZW73" s="1181"/>
      <c r="DZX73" s="1181"/>
      <c r="DZY73" s="1181"/>
      <c r="DZZ73" s="1181"/>
      <c r="EAA73" s="1181"/>
      <c r="EAB73" s="1181"/>
      <c r="EAC73" s="1181"/>
      <c r="EAD73" s="1181"/>
      <c r="EAE73" s="1181"/>
      <c r="EAF73" s="1181"/>
      <c r="EAG73" s="1181"/>
      <c r="EAH73" s="1181"/>
      <c r="EAI73" s="1181"/>
      <c r="EAJ73" s="1181"/>
      <c r="EAK73" s="1181"/>
      <c r="EAL73" s="1181"/>
      <c r="EAM73" s="1181"/>
      <c r="EAN73" s="1181"/>
      <c r="EAO73" s="1181"/>
      <c r="EAP73" s="1181"/>
      <c r="EAQ73" s="1181"/>
      <c r="EAR73" s="1181"/>
      <c r="EAS73" s="1181"/>
      <c r="EAT73" s="1181"/>
      <c r="EAU73" s="1181"/>
      <c r="EAV73" s="1181"/>
      <c r="EAW73" s="1181"/>
      <c r="EAX73" s="1181"/>
      <c r="EAY73" s="1181"/>
      <c r="EAZ73" s="1181"/>
      <c r="EBA73" s="1181"/>
      <c r="EBB73" s="1181"/>
      <c r="EBC73" s="1181"/>
      <c r="EBD73" s="1181"/>
      <c r="EBE73" s="1181"/>
      <c r="EBF73" s="1181"/>
      <c r="EBG73" s="1181"/>
      <c r="EBH73" s="1181"/>
      <c r="EBI73" s="1181"/>
      <c r="EBJ73" s="1181"/>
      <c r="EBK73" s="1181"/>
      <c r="EBL73" s="1181"/>
      <c r="EBM73" s="1181"/>
      <c r="EBN73" s="1181"/>
      <c r="EBO73" s="1181"/>
      <c r="EBP73" s="1181"/>
      <c r="EBQ73" s="1181"/>
      <c r="EBR73" s="1181"/>
      <c r="EBS73" s="1181"/>
      <c r="EBT73" s="1181"/>
      <c r="EBU73" s="1181"/>
      <c r="EBV73" s="1181"/>
      <c r="EBW73" s="1181"/>
      <c r="EBX73" s="1181"/>
      <c r="EBY73" s="1181"/>
      <c r="EBZ73" s="1181"/>
      <c r="ECA73" s="1181"/>
      <c r="ECB73" s="1181"/>
      <c r="ECC73" s="1181"/>
      <c r="ECD73" s="1181"/>
      <c r="ECE73" s="1181"/>
      <c r="ECF73" s="1181"/>
      <c r="ECG73" s="1181"/>
      <c r="ECH73" s="1181"/>
      <c r="ECI73" s="1181"/>
      <c r="ECJ73" s="1181"/>
      <c r="ECK73" s="1181"/>
      <c r="ECL73" s="1181"/>
      <c r="ECM73" s="1181"/>
      <c r="ECN73" s="1181"/>
      <c r="ECO73" s="1181"/>
      <c r="ECP73" s="1181"/>
      <c r="ECQ73" s="1181"/>
      <c r="ECR73" s="1181"/>
      <c r="ECS73" s="1181"/>
      <c r="ECT73" s="1181"/>
      <c r="ECU73" s="1181"/>
      <c r="ECV73" s="1181"/>
      <c r="ECW73" s="1181"/>
      <c r="ECX73" s="1181"/>
      <c r="ECY73" s="1181"/>
      <c r="ECZ73" s="1181"/>
      <c r="EDA73" s="1181"/>
      <c r="EDB73" s="1181"/>
      <c r="EDC73" s="1181"/>
      <c r="EDD73" s="1181"/>
      <c r="EDE73" s="1181"/>
      <c r="EDF73" s="1181"/>
      <c r="EDG73" s="1181"/>
      <c r="EDH73" s="1181"/>
      <c r="EDI73" s="1181"/>
      <c r="EDJ73" s="1181"/>
      <c r="EDK73" s="1181"/>
      <c r="EDL73" s="1181"/>
      <c r="EDM73" s="1181"/>
      <c r="EDN73" s="1181"/>
      <c r="EDO73" s="1181"/>
      <c r="EDP73" s="1181"/>
      <c r="EDQ73" s="1181"/>
      <c r="EDR73" s="1181"/>
      <c r="EDS73" s="1181"/>
      <c r="EDT73" s="1181"/>
      <c r="EDU73" s="1181"/>
      <c r="EDV73" s="1181"/>
      <c r="EDW73" s="1181"/>
      <c r="EDX73" s="1181"/>
      <c r="EDY73" s="1181"/>
      <c r="EDZ73" s="1181"/>
      <c r="EEA73" s="1181"/>
      <c r="EEB73" s="1181"/>
      <c r="EEC73" s="1181"/>
      <c r="EED73" s="1181"/>
      <c r="EEE73" s="1181"/>
      <c r="EEF73" s="1181"/>
      <c r="EEG73" s="1181"/>
      <c r="EEH73" s="1181"/>
      <c r="EEI73" s="1181"/>
      <c r="EEJ73" s="1181"/>
      <c r="EEK73" s="1181"/>
      <c r="EEL73" s="1181"/>
      <c r="EEM73" s="1181"/>
      <c r="EEN73" s="1181"/>
      <c r="EEO73" s="1181"/>
      <c r="EEP73" s="1181"/>
      <c r="EEQ73" s="1181"/>
      <c r="EER73" s="1181"/>
      <c r="EES73" s="1181"/>
      <c r="EET73" s="1181"/>
      <c r="EEU73" s="1181"/>
      <c r="EEV73" s="1181"/>
      <c r="EEW73" s="1181"/>
      <c r="EEX73" s="1181"/>
      <c r="EEY73" s="1181"/>
      <c r="EEZ73" s="1181"/>
      <c r="EFA73" s="1181"/>
      <c r="EFB73" s="1181"/>
      <c r="EFC73" s="1181"/>
      <c r="EFD73" s="1181"/>
      <c r="EFE73" s="1181"/>
      <c r="EFF73" s="1181"/>
      <c r="EFG73" s="1181"/>
      <c r="EFH73" s="1181"/>
      <c r="EFI73" s="1181"/>
      <c r="EFJ73" s="1181"/>
      <c r="EFK73" s="1181"/>
      <c r="EFL73" s="1181"/>
      <c r="EFM73" s="1181"/>
      <c r="EFN73" s="1181"/>
      <c r="EFO73" s="1181"/>
      <c r="EFP73" s="1181"/>
      <c r="EFQ73" s="1181"/>
      <c r="EFR73" s="1181"/>
      <c r="EFS73" s="1181"/>
      <c r="EFT73" s="1181"/>
      <c r="EFU73" s="1181"/>
      <c r="EFV73" s="1181"/>
      <c r="EFW73" s="1181"/>
      <c r="EFX73" s="1181"/>
      <c r="EFY73" s="1181"/>
      <c r="EFZ73" s="1181"/>
      <c r="EGA73" s="1181"/>
      <c r="EGB73" s="1181"/>
      <c r="EGC73" s="1181"/>
      <c r="EGD73" s="1181"/>
      <c r="EGE73" s="1181"/>
      <c r="EGF73" s="1181"/>
      <c r="EGG73" s="1181"/>
      <c r="EGH73" s="1181"/>
      <c r="EGI73" s="1181"/>
      <c r="EGJ73" s="1181"/>
      <c r="EGK73" s="1181"/>
      <c r="EGL73" s="1181"/>
      <c r="EGM73" s="1181"/>
      <c r="EGN73" s="1181"/>
      <c r="EGO73" s="1181"/>
      <c r="EGP73" s="1181"/>
      <c r="EGQ73" s="1181"/>
      <c r="EGR73" s="1181"/>
      <c r="EGS73" s="1181"/>
      <c r="EGT73" s="1181"/>
      <c r="EGU73" s="1181"/>
      <c r="EGV73" s="1181"/>
      <c r="EGW73" s="1181"/>
      <c r="EGX73" s="1181"/>
      <c r="EGY73" s="1181"/>
      <c r="EGZ73" s="1181"/>
      <c r="EHA73" s="1181"/>
      <c r="EHB73" s="1181"/>
      <c r="EHC73" s="1181"/>
      <c r="EHD73" s="1181"/>
      <c r="EHE73" s="1181"/>
      <c r="EHF73" s="1181"/>
      <c r="EHG73" s="1181"/>
      <c r="EHH73" s="1181"/>
      <c r="EHI73" s="1181"/>
      <c r="EHJ73" s="1181"/>
      <c r="EHK73" s="1181"/>
      <c r="EHL73" s="1181"/>
      <c r="EHM73" s="1181"/>
      <c r="EHN73" s="1181"/>
      <c r="EHO73" s="1181"/>
      <c r="EHP73" s="1181"/>
      <c r="EHQ73" s="1181"/>
      <c r="EHR73" s="1181"/>
      <c r="EHS73" s="1181"/>
      <c r="EHT73" s="1181"/>
      <c r="EHU73" s="1181"/>
      <c r="EHV73" s="1181"/>
      <c r="EHW73" s="1181"/>
      <c r="EHX73" s="1181"/>
      <c r="EHY73" s="1181"/>
      <c r="EHZ73" s="1181"/>
      <c r="EIA73" s="1181"/>
      <c r="EIB73" s="1181"/>
      <c r="EIC73" s="1181"/>
      <c r="EID73" s="1181"/>
      <c r="EIE73" s="1181"/>
      <c r="EIF73" s="1181"/>
      <c r="EIG73" s="1181"/>
      <c r="EIH73" s="1181"/>
      <c r="EII73" s="1181"/>
      <c r="EIJ73" s="1181"/>
      <c r="EIK73" s="1181"/>
      <c r="EIL73" s="1181"/>
      <c r="EIM73" s="1181"/>
      <c r="EIN73" s="1181"/>
      <c r="EIO73" s="1181"/>
      <c r="EIP73" s="1181"/>
      <c r="EIQ73" s="1181"/>
      <c r="EIR73" s="1181"/>
      <c r="EIS73" s="1181"/>
      <c r="EIT73" s="1181"/>
      <c r="EIU73" s="1181"/>
      <c r="EIV73" s="1181"/>
      <c r="EIW73" s="1181"/>
      <c r="EIX73" s="1181"/>
      <c r="EIY73" s="1181"/>
      <c r="EIZ73" s="1181"/>
      <c r="EJA73" s="1181"/>
      <c r="EJB73" s="1181"/>
      <c r="EJC73" s="1181"/>
      <c r="EJD73" s="1181"/>
      <c r="EJE73" s="1181"/>
      <c r="EJF73" s="1181"/>
      <c r="EJG73" s="1181"/>
      <c r="EJH73" s="1181"/>
      <c r="EJI73" s="1181"/>
      <c r="EJJ73" s="1181"/>
      <c r="EJK73" s="1181"/>
      <c r="EJL73" s="1181"/>
      <c r="EJM73" s="1181"/>
      <c r="EJN73" s="1181"/>
      <c r="EJO73" s="1181"/>
      <c r="EJP73" s="1181"/>
      <c r="EJQ73" s="1181"/>
      <c r="EJR73" s="1181"/>
      <c r="EJS73" s="1181"/>
      <c r="EJT73" s="1181"/>
      <c r="EJU73" s="1181"/>
      <c r="EJV73" s="1181"/>
      <c r="EJW73" s="1181"/>
      <c r="EJX73" s="1181"/>
      <c r="EJY73" s="1181"/>
      <c r="EJZ73" s="1181"/>
      <c r="EKA73" s="1181"/>
      <c r="EKB73" s="1181"/>
      <c r="EKC73" s="1181"/>
      <c r="EKD73" s="1181"/>
      <c r="EKE73" s="1181"/>
      <c r="EKF73" s="1181"/>
      <c r="EKG73" s="1181"/>
      <c r="EKH73" s="1181"/>
      <c r="EKI73" s="1181"/>
      <c r="EKJ73" s="1181"/>
      <c r="EKK73" s="1181"/>
      <c r="EKL73" s="1181"/>
      <c r="EKM73" s="1181"/>
      <c r="EKN73" s="1181"/>
      <c r="EKO73" s="1181"/>
      <c r="EKP73" s="1181"/>
      <c r="EKQ73" s="1181"/>
      <c r="EKR73" s="1181"/>
      <c r="EKS73" s="1181"/>
      <c r="EKT73" s="1181"/>
      <c r="EKU73" s="1181"/>
      <c r="EKV73" s="1181"/>
      <c r="EKW73" s="1181"/>
      <c r="EKX73" s="1181"/>
      <c r="EKY73" s="1181"/>
      <c r="EKZ73" s="1181"/>
      <c r="ELA73" s="1181"/>
      <c r="ELB73" s="1181"/>
      <c r="ELC73" s="1181"/>
      <c r="ELD73" s="1181"/>
      <c r="ELE73" s="1181"/>
      <c r="ELF73" s="1181"/>
      <c r="ELG73" s="1181"/>
      <c r="ELH73" s="1181"/>
      <c r="ELI73" s="1181"/>
      <c r="ELJ73" s="1181"/>
      <c r="ELK73" s="1181"/>
      <c r="ELL73" s="1181"/>
      <c r="ELM73" s="1181"/>
      <c r="ELN73" s="1181"/>
      <c r="ELO73" s="1181"/>
      <c r="ELP73" s="1181"/>
      <c r="ELQ73" s="1181"/>
      <c r="ELR73" s="1181"/>
      <c r="ELS73" s="1181"/>
      <c r="ELT73" s="1181"/>
      <c r="ELU73" s="1181"/>
      <c r="ELV73" s="1181"/>
      <c r="ELW73" s="1181"/>
      <c r="ELX73" s="1181"/>
      <c r="ELY73" s="1181"/>
      <c r="ELZ73" s="1181"/>
      <c r="EMA73" s="1181"/>
      <c r="EMB73" s="1181"/>
      <c r="EMC73" s="1181"/>
      <c r="EMD73" s="1181"/>
      <c r="EME73" s="1181"/>
      <c r="EMF73" s="1181"/>
      <c r="EMG73" s="1181"/>
      <c r="EMH73" s="1181"/>
      <c r="EMI73" s="1181"/>
      <c r="EMJ73" s="1181"/>
      <c r="EMK73" s="1181"/>
      <c r="EML73" s="1181"/>
      <c r="EMM73" s="1181"/>
      <c r="EMN73" s="1181"/>
      <c r="EMO73" s="1181"/>
      <c r="EMP73" s="1181"/>
      <c r="EMQ73" s="1181"/>
      <c r="EMR73" s="1181"/>
      <c r="EMS73" s="1181"/>
      <c r="EMT73" s="1181"/>
      <c r="EMU73" s="1181"/>
      <c r="EMV73" s="1181"/>
      <c r="EMW73" s="1181"/>
      <c r="EMX73" s="1181"/>
      <c r="EMY73" s="1181"/>
      <c r="EMZ73" s="1181"/>
      <c r="ENA73" s="1181"/>
      <c r="ENB73" s="1181"/>
      <c r="ENC73" s="1181"/>
      <c r="END73" s="1181"/>
      <c r="ENE73" s="1181"/>
      <c r="ENF73" s="1181"/>
      <c r="ENG73" s="1181"/>
      <c r="ENH73" s="1181"/>
      <c r="ENI73" s="1181"/>
      <c r="ENJ73" s="1181"/>
      <c r="ENK73" s="1181"/>
      <c r="ENL73" s="1181"/>
      <c r="ENM73" s="1181"/>
      <c r="ENN73" s="1181"/>
      <c r="ENO73" s="1181"/>
      <c r="ENP73" s="1181"/>
      <c r="ENQ73" s="1181"/>
      <c r="ENR73" s="1181"/>
      <c r="ENS73" s="1181"/>
      <c r="ENT73" s="1181"/>
      <c r="ENU73" s="1181"/>
      <c r="ENV73" s="1181"/>
      <c r="ENW73" s="1181"/>
      <c r="ENX73" s="1181"/>
      <c r="ENY73" s="1181"/>
      <c r="ENZ73" s="1181"/>
      <c r="EOA73" s="1181"/>
      <c r="EOB73" s="1181"/>
      <c r="EOC73" s="1181"/>
      <c r="EOD73" s="1181"/>
      <c r="EOE73" s="1181"/>
      <c r="EOF73" s="1181"/>
      <c r="EOG73" s="1181"/>
      <c r="EOH73" s="1181"/>
      <c r="EOI73" s="1181"/>
      <c r="EOJ73" s="1181"/>
      <c r="EOK73" s="1181"/>
      <c r="EOL73" s="1181"/>
      <c r="EOM73" s="1181"/>
      <c r="EON73" s="1181"/>
      <c r="EOO73" s="1181"/>
      <c r="EOP73" s="1181"/>
      <c r="EOQ73" s="1181"/>
      <c r="EOR73" s="1181"/>
      <c r="EOS73" s="1181"/>
      <c r="EOT73" s="1181"/>
      <c r="EOU73" s="1181"/>
      <c r="EOV73" s="1181"/>
      <c r="EOW73" s="1181"/>
      <c r="EOX73" s="1181"/>
      <c r="EOY73" s="1181"/>
      <c r="EOZ73" s="1181"/>
      <c r="EPA73" s="1181"/>
      <c r="EPB73" s="1181"/>
      <c r="EPC73" s="1181"/>
      <c r="EPD73" s="1181"/>
      <c r="EPE73" s="1181"/>
      <c r="EPF73" s="1181"/>
      <c r="EPG73" s="1181"/>
      <c r="EPH73" s="1181"/>
      <c r="EPI73" s="1181"/>
      <c r="EPJ73" s="1181"/>
      <c r="EPK73" s="1181"/>
      <c r="EPL73" s="1181"/>
      <c r="EPM73" s="1181"/>
      <c r="EPN73" s="1181"/>
      <c r="EPO73" s="1181"/>
      <c r="EPP73" s="1181"/>
      <c r="EPQ73" s="1181"/>
      <c r="EPR73" s="1181"/>
      <c r="EPS73" s="1181"/>
      <c r="EPT73" s="1181"/>
      <c r="EPU73" s="1181"/>
      <c r="EPV73" s="1181"/>
      <c r="EPW73" s="1181"/>
      <c r="EPX73" s="1181"/>
      <c r="EPY73" s="1181"/>
      <c r="EPZ73" s="1181"/>
      <c r="EQA73" s="1181"/>
      <c r="EQB73" s="1181"/>
      <c r="EQC73" s="1181"/>
      <c r="EQD73" s="1181"/>
      <c r="EQE73" s="1181"/>
      <c r="EQF73" s="1181"/>
      <c r="EQG73" s="1181"/>
      <c r="EQH73" s="1181"/>
      <c r="EQI73" s="1181"/>
      <c r="EQJ73" s="1181"/>
      <c r="EQK73" s="1181"/>
      <c r="EQL73" s="1181"/>
      <c r="EQM73" s="1181"/>
      <c r="EQN73" s="1181"/>
      <c r="EQO73" s="1181"/>
      <c r="EQP73" s="1181"/>
      <c r="EQQ73" s="1181"/>
      <c r="EQR73" s="1181"/>
      <c r="EQS73" s="1181"/>
      <c r="EQT73" s="1181"/>
      <c r="EQU73" s="1181"/>
      <c r="EQV73" s="1181"/>
      <c r="EQW73" s="1181"/>
      <c r="EQX73" s="1181"/>
      <c r="EQY73" s="1181"/>
      <c r="EQZ73" s="1181"/>
      <c r="ERA73" s="1181"/>
      <c r="ERB73" s="1181"/>
      <c r="ERC73" s="1181"/>
      <c r="ERD73" s="1181"/>
      <c r="ERE73" s="1181"/>
      <c r="ERF73" s="1181"/>
      <c r="ERG73" s="1181"/>
      <c r="ERH73" s="1181"/>
      <c r="ERI73" s="1181"/>
      <c r="ERJ73" s="1181"/>
      <c r="ERK73" s="1181"/>
      <c r="ERL73" s="1181"/>
      <c r="ERM73" s="1181"/>
      <c r="ERN73" s="1181"/>
      <c r="ERO73" s="1181"/>
      <c r="ERP73" s="1181"/>
      <c r="ERQ73" s="1181"/>
      <c r="ERR73" s="1181"/>
      <c r="ERS73" s="1181"/>
      <c r="ERT73" s="1181"/>
      <c r="ERU73" s="1181"/>
      <c r="ERV73" s="1181"/>
      <c r="ERW73" s="1181"/>
      <c r="ERX73" s="1181"/>
      <c r="ERY73" s="1181"/>
      <c r="ERZ73" s="1181"/>
      <c r="ESA73" s="1181"/>
      <c r="ESB73" s="1181"/>
      <c r="ESC73" s="1181"/>
      <c r="ESD73" s="1181"/>
      <c r="ESE73" s="1181"/>
      <c r="ESF73" s="1181"/>
      <c r="ESG73" s="1181"/>
      <c r="ESH73" s="1181"/>
      <c r="ESI73" s="1181"/>
      <c r="ESJ73" s="1181"/>
      <c r="ESK73" s="1181"/>
      <c r="ESL73" s="1181"/>
      <c r="ESM73" s="1181"/>
      <c r="ESN73" s="1181"/>
      <c r="ESO73" s="1181"/>
      <c r="ESP73" s="1181"/>
      <c r="ESQ73" s="1181"/>
      <c r="ESR73" s="1181"/>
      <c r="ESS73" s="1181"/>
      <c r="EST73" s="1181"/>
      <c r="ESU73" s="1181"/>
      <c r="ESV73" s="1181"/>
      <c r="ESW73" s="1181"/>
      <c r="ESX73" s="1181"/>
      <c r="ESY73" s="1181"/>
      <c r="ESZ73" s="1181"/>
      <c r="ETA73" s="1181"/>
      <c r="ETB73" s="1181"/>
      <c r="ETC73" s="1181"/>
      <c r="ETD73" s="1181"/>
      <c r="ETE73" s="1181"/>
      <c r="ETF73" s="1181"/>
      <c r="ETG73" s="1181"/>
      <c r="ETH73" s="1181"/>
      <c r="ETI73" s="1181"/>
      <c r="ETJ73" s="1181"/>
      <c r="ETK73" s="1181"/>
      <c r="ETL73" s="1181"/>
      <c r="ETM73" s="1181"/>
      <c r="ETN73" s="1181"/>
      <c r="ETO73" s="1181"/>
      <c r="ETP73" s="1181"/>
      <c r="ETQ73" s="1181"/>
      <c r="ETR73" s="1181"/>
      <c r="ETS73" s="1181"/>
      <c r="ETT73" s="1181"/>
      <c r="ETU73" s="1181"/>
      <c r="ETV73" s="1181"/>
      <c r="ETW73" s="1181"/>
      <c r="ETX73" s="1181"/>
      <c r="ETY73" s="1181"/>
      <c r="ETZ73" s="1181"/>
      <c r="EUA73" s="1181"/>
      <c r="EUB73" s="1181"/>
      <c r="EUC73" s="1181"/>
      <c r="EUD73" s="1181"/>
      <c r="EUE73" s="1181"/>
      <c r="EUF73" s="1181"/>
      <c r="EUG73" s="1181"/>
      <c r="EUH73" s="1181"/>
      <c r="EUI73" s="1181"/>
      <c r="EUJ73" s="1181"/>
      <c r="EUK73" s="1181"/>
      <c r="EUL73" s="1181"/>
      <c r="EUM73" s="1181"/>
      <c r="EUN73" s="1181"/>
      <c r="EUO73" s="1181"/>
      <c r="EUP73" s="1181"/>
      <c r="EUQ73" s="1181"/>
      <c r="EUR73" s="1181"/>
      <c r="EUS73" s="1181"/>
      <c r="EUT73" s="1181"/>
      <c r="EUU73" s="1181"/>
      <c r="EUV73" s="1181"/>
      <c r="EUW73" s="1181"/>
      <c r="EUX73" s="1181"/>
      <c r="EUY73" s="1181"/>
      <c r="EUZ73" s="1181"/>
      <c r="EVA73" s="1181"/>
      <c r="EVB73" s="1181"/>
      <c r="EVC73" s="1181"/>
      <c r="EVD73" s="1181"/>
      <c r="EVE73" s="1181"/>
      <c r="EVF73" s="1181"/>
      <c r="EVG73" s="1181"/>
      <c r="EVH73" s="1181"/>
      <c r="EVI73" s="1181"/>
      <c r="EVJ73" s="1181"/>
      <c r="EVK73" s="1181"/>
      <c r="EVL73" s="1181"/>
      <c r="EVM73" s="1181"/>
      <c r="EVN73" s="1181"/>
      <c r="EVO73" s="1181"/>
      <c r="EVP73" s="1181"/>
      <c r="EVQ73" s="1181"/>
      <c r="EVR73" s="1181"/>
      <c r="EVS73" s="1181"/>
      <c r="EVT73" s="1181"/>
      <c r="EVU73" s="1181"/>
      <c r="EVV73" s="1181"/>
      <c r="EVW73" s="1181"/>
      <c r="EVX73" s="1181"/>
      <c r="EVY73" s="1181"/>
      <c r="EVZ73" s="1181"/>
      <c r="EWA73" s="1181"/>
      <c r="EWB73" s="1181"/>
      <c r="EWC73" s="1181"/>
      <c r="EWD73" s="1181"/>
      <c r="EWE73" s="1181"/>
      <c r="EWF73" s="1181"/>
      <c r="EWG73" s="1181"/>
      <c r="EWH73" s="1181"/>
      <c r="EWI73" s="1181"/>
      <c r="EWJ73" s="1181"/>
      <c r="EWK73" s="1181"/>
      <c r="EWL73" s="1181"/>
      <c r="EWM73" s="1181"/>
      <c r="EWN73" s="1181"/>
      <c r="EWO73" s="1181"/>
      <c r="EWP73" s="1181"/>
      <c r="EWQ73" s="1181"/>
      <c r="EWR73" s="1181"/>
      <c r="EWS73" s="1181"/>
      <c r="EWT73" s="1181"/>
      <c r="EWU73" s="1181"/>
      <c r="EWV73" s="1181"/>
      <c r="EWW73" s="1181"/>
      <c r="EWX73" s="1181"/>
      <c r="EWY73" s="1181"/>
      <c r="EWZ73" s="1181"/>
      <c r="EXA73" s="1181"/>
      <c r="EXB73" s="1181"/>
      <c r="EXC73" s="1181"/>
      <c r="EXD73" s="1181"/>
      <c r="EXE73" s="1181"/>
      <c r="EXF73" s="1181"/>
      <c r="EXG73" s="1181"/>
      <c r="EXH73" s="1181"/>
      <c r="EXI73" s="1181"/>
      <c r="EXJ73" s="1181"/>
      <c r="EXK73" s="1181"/>
      <c r="EXL73" s="1181"/>
      <c r="EXM73" s="1181"/>
      <c r="EXN73" s="1181"/>
      <c r="EXO73" s="1181"/>
      <c r="EXP73" s="1181"/>
      <c r="EXQ73" s="1181"/>
      <c r="EXR73" s="1181"/>
      <c r="EXS73" s="1181"/>
      <c r="EXT73" s="1181"/>
      <c r="EXU73" s="1181"/>
      <c r="EXV73" s="1181"/>
      <c r="EXW73" s="1181"/>
      <c r="EXX73" s="1181"/>
      <c r="EXY73" s="1181"/>
      <c r="EXZ73" s="1181"/>
      <c r="EYA73" s="1181"/>
      <c r="EYB73" s="1181"/>
      <c r="EYC73" s="1181"/>
      <c r="EYD73" s="1181"/>
      <c r="EYE73" s="1181"/>
      <c r="EYF73" s="1181"/>
      <c r="EYG73" s="1181"/>
      <c r="EYH73" s="1181"/>
      <c r="EYI73" s="1181"/>
      <c r="EYJ73" s="1181"/>
      <c r="EYK73" s="1181"/>
      <c r="EYL73" s="1181"/>
      <c r="EYM73" s="1181"/>
      <c r="EYN73" s="1181"/>
      <c r="EYO73" s="1181"/>
      <c r="EYP73" s="1181"/>
      <c r="EYQ73" s="1181"/>
      <c r="EYR73" s="1181"/>
      <c r="EYS73" s="1181"/>
      <c r="EYT73" s="1181"/>
      <c r="EYU73" s="1181"/>
      <c r="EYV73" s="1181"/>
      <c r="EYW73" s="1181"/>
      <c r="EYX73" s="1181"/>
      <c r="EYY73" s="1181"/>
      <c r="EYZ73" s="1181"/>
      <c r="EZA73" s="1181"/>
      <c r="EZB73" s="1181"/>
      <c r="EZC73" s="1181"/>
      <c r="EZD73" s="1181"/>
      <c r="EZE73" s="1181"/>
      <c r="EZF73" s="1181"/>
      <c r="EZG73" s="1181"/>
      <c r="EZH73" s="1181"/>
      <c r="EZI73" s="1181"/>
      <c r="EZJ73" s="1181"/>
      <c r="EZK73" s="1181"/>
      <c r="EZL73" s="1181"/>
      <c r="EZM73" s="1181"/>
      <c r="EZN73" s="1181"/>
      <c r="EZO73" s="1181"/>
      <c r="EZP73" s="1181"/>
      <c r="EZQ73" s="1181"/>
      <c r="EZR73" s="1181"/>
      <c r="EZS73" s="1181"/>
      <c r="EZT73" s="1181"/>
      <c r="EZU73" s="1181"/>
      <c r="EZV73" s="1181"/>
      <c r="EZW73" s="1181"/>
      <c r="EZX73" s="1181"/>
      <c r="EZY73" s="1181"/>
      <c r="EZZ73" s="1181"/>
      <c r="FAA73" s="1181"/>
      <c r="FAB73" s="1181"/>
      <c r="FAC73" s="1181"/>
      <c r="FAD73" s="1181"/>
      <c r="FAE73" s="1181"/>
      <c r="FAF73" s="1181"/>
      <c r="FAG73" s="1181"/>
      <c r="FAH73" s="1181"/>
      <c r="FAI73" s="1181"/>
      <c r="FAJ73" s="1181"/>
      <c r="FAK73" s="1181"/>
      <c r="FAL73" s="1181"/>
      <c r="FAM73" s="1181"/>
      <c r="FAN73" s="1181"/>
      <c r="FAO73" s="1181"/>
      <c r="FAP73" s="1181"/>
      <c r="FAQ73" s="1181"/>
      <c r="FAR73" s="1181"/>
      <c r="FAS73" s="1181"/>
      <c r="FAT73" s="1181"/>
      <c r="FAU73" s="1181"/>
      <c r="FAV73" s="1181"/>
      <c r="FAW73" s="1181"/>
      <c r="FAX73" s="1181"/>
      <c r="FAY73" s="1181"/>
      <c r="FAZ73" s="1181"/>
      <c r="FBA73" s="1181"/>
      <c r="FBB73" s="1181"/>
      <c r="FBC73" s="1181"/>
      <c r="FBD73" s="1181"/>
      <c r="FBE73" s="1181"/>
      <c r="FBF73" s="1181"/>
      <c r="FBG73" s="1181"/>
      <c r="FBH73" s="1181"/>
      <c r="FBI73" s="1181"/>
      <c r="FBJ73" s="1181"/>
      <c r="FBK73" s="1181"/>
      <c r="FBL73" s="1181"/>
      <c r="FBM73" s="1181"/>
      <c r="FBN73" s="1181"/>
      <c r="FBO73" s="1181"/>
      <c r="FBP73" s="1181"/>
      <c r="FBQ73" s="1181"/>
      <c r="FBR73" s="1181"/>
      <c r="FBS73" s="1181"/>
      <c r="FBT73" s="1181"/>
      <c r="FBU73" s="1181"/>
      <c r="FBV73" s="1181"/>
      <c r="FBW73" s="1181"/>
      <c r="FBX73" s="1181"/>
      <c r="FBY73" s="1181"/>
      <c r="FBZ73" s="1181"/>
      <c r="FCA73" s="1181"/>
      <c r="FCB73" s="1181"/>
      <c r="FCC73" s="1181"/>
      <c r="FCD73" s="1181"/>
      <c r="FCE73" s="1181"/>
      <c r="FCF73" s="1181"/>
      <c r="FCG73" s="1181"/>
      <c r="FCH73" s="1181"/>
      <c r="FCI73" s="1181"/>
      <c r="FCJ73" s="1181"/>
      <c r="FCK73" s="1181"/>
      <c r="FCL73" s="1181"/>
      <c r="FCM73" s="1181"/>
      <c r="FCN73" s="1181"/>
      <c r="FCO73" s="1181"/>
      <c r="FCP73" s="1181"/>
      <c r="FCQ73" s="1181"/>
      <c r="FCR73" s="1181"/>
      <c r="FCS73" s="1181"/>
      <c r="FCT73" s="1181"/>
      <c r="FCU73" s="1181"/>
      <c r="FCV73" s="1181"/>
      <c r="FCW73" s="1181"/>
      <c r="FCX73" s="1181"/>
      <c r="FCY73" s="1181"/>
      <c r="FCZ73" s="1181"/>
      <c r="FDA73" s="1181"/>
      <c r="FDB73" s="1181"/>
      <c r="FDC73" s="1181"/>
      <c r="FDD73" s="1181"/>
      <c r="FDE73" s="1181"/>
      <c r="FDF73" s="1181"/>
      <c r="FDG73" s="1181"/>
      <c r="FDH73" s="1181"/>
      <c r="FDI73" s="1181"/>
      <c r="FDJ73" s="1181"/>
      <c r="FDK73" s="1181"/>
      <c r="FDL73" s="1181"/>
      <c r="FDM73" s="1181"/>
      <c r="FDN73" s="1181"/>
      <c r="FDO73" s="1181"/>
      <c r="FDP73" s="1181"/>
      <c r="FDQ73" s="1181"/>
      <c r="FDR73" s="1181"/>
      <c r="FDS73" s="1181"/>
      <c r="FDT73" s="1181"/>
      <c r="FDU73" s="1181"/>
      <c r="FDV73" s="1181"/>
      <c r="FDW73" s="1181"/>
      <c r="FDX73" s="1181"/>
      <c r="FDY73" s="1181"/>
      <c r="FDZ73" s="1181"/>
      <c r="FEA73" s="1181"/>
      <c r="FEB73" s="1181"/>
      <c r="FEC73" s="1181"/>
      <c r="FED73" s="1181"/>
      <c r="FEE73" s="1181"/>
      <c r="FEF73" s="1181"/>
      <c r="FEG73" s="1181"/>
      <c r="FEH73" s="1181"/>
      <c r="FEI73" s="1181"/>
      <c r="FEJ73" s="1181"/>
      <c r="FEK73" s="1181"/>
      <c r="FEL73" s="1181"/>
      <c r="FEM73" s="1181"/>
      <c r="FEN73" s="1181"/>
      <c r="FEO73" s="1181"/>
      <c r="FEP73" s="1181"/>
      <c r="FEQ73" s="1181"/>
      <c r="FER73" s="1181"/>
      <c r="FES73" s="1181"/>
      <c r="FET73" s="1181"/>
      <c r="FEU73" s="1181"/>
      <c r="FEV73" s="1181"/>
      <c r="FEW73" s="1181"/>
      <c r="FEX73" s="1181"/>
      <c r="FEY73" s="1181"/>
      <c r="FEZ73" s="1181"/>
      <c r="FFA73" s="1181"/>
      <c r="FFB73" s="1181"/>
      <c r="FFC73" s="1181"/>
      <c r="FFD73" s="1181"/>
      <c r="FFE73" s="1181"/>
      <c r="FFF73" s="1181"/>
      <c r="FFG73" s="1181"/>
      <c r="FFH73" s="1181"/>
      <c r="FFI73" s="1181"/>
      <c r="FFJ73" s="1181"/>
      <c r="FFK73" s="1181"/>
      <c r="FFL73" s="1181"/>
      <c r="FFM73" s="1181"/>
      <c r="FFN73" s="1181"/>
      <c r="FFO73" s="1181"/>
      <c r="FFP73" s="1181"/>
      <c r="FFQ73" s="1181"/>
      <c r="FFR73" s="1181"/>
      <c r="FFS73" s="1181"/>
      <c r="FFT73" s="1181"/>
      <c r="FFU73" s="1181"/>
      <c r="FFV73" s="1181"/>
      <c r="FFW73" s="1181"/>
      <c r="FFX73" s="1181"/>
      <c r="FFY73" s="1181"/>
      <c r="FFZ73" s="1181"/>
      <c r="FGA73" s="1181"/>
      <c r="FGB73" s="1181"/>
      <c r="FGC73" s="1181"/>
      <c r="FGD73" s="1181"/>
      <c r="FGE73" s="1181"/>
      <c r="FGF73" s="1181"/>
      <c r="FGG73" s="1181"/>
      <c r="FGH73" s="1181"/>
      <c r="FGI73" s="1181"/>
      <c r="FGJ73" s="1181"/>
      <c r="FGK73" s="1181"/>
      <c r="FGL73" s="1181"/>
      <c r="FGM73" s="1181"/>
      <c r="FGN73" s="1181"/>
      <c r="FGO73" s="1181"/>
      <c r="FGP73" s="1181"/>
      <c r="FGQ73" s="1181"/>
      <c r="FGR73" s="1181"/>
      <c r="FGS73" s="1181"/>
      <c r="FGT73" s="1181"/>
      <c r="FGU73" s="1181"/>
      <c r="FGV73" s="1181"/>
      <c r="FGW73" s="1181"/>
      <c r="FGX73" s="1181"/>
      <c r="FGY73" s="1181"/>
      <c r="FGZ73" s="1181"/>
      <c r="FHA73" s="1181"/>
      <c r="FHB73" s="1181"/>
      <c r="FHC73" s="1181"/>
      <c r="FHD73" s="1181"/>
      <c r="FHE73" s="1181"/>
      <c r="FHF73" s="1181"/>
      <c r="FHG73" s="1181"/>
      <c r="FHH73" s="1181"/>
      <c r="FHI73" s="1181"/>
      <c r="FHJ73" s="1181"/>
      <c r="FHK73" s="1181"/>
      <c r="FHL73" s="1181"/>
      <c r="FHM73" s="1181"/>
      <c r="FHN73" s="1181"/>
      <c r="FHO73" s="1181"/>
      <c r="FHP73" s="1181"/>
      <c r="FHQ73" s="1181"/>
      <c r="FHR73" s="1181"/>
      <c r="FHS73" s="1181"/>
      <c r="FHT73" s="1181"/>
      <c r="FHU73" s="1181"/>
      <c r="FHV73" s="1181"/>
      <c r="FHW73" s="1181"/>
      <c r="FHX73" s="1181"/>
      <c r="FHY73" s="1181"/>
      <c r="FHZ73" s="1181"/>
      <c r="FIA73" s="1181"/>
      <c r="FIB73" s="1181"/>
      <c r="FIC73" s="1181"/>
      <c r="FID73" s="1181"/>
      <c r="FIE73" s="1181"/>
      <c r="FIF73" s="1181"/>
      <c r="FIG73" s="1181"/>
      <c r="FIH73" s="1181"/>
      <c r="FII73" s="1181"/>
      <c r="FIJ73" s="1181"/>
      <c r="FIK73" s="1181"/>
      <c r="FIL73" s="1181"/>
      <c r="FIM73" s="1181"/>
      <c r="FIN73" s="1181"/>
      <c r="FIO73" s="1181"/>
      <c r="FIP73" s="1181"/>
      <c r="FIQ73" s="1181"/>
      <c r="FIR73" s="1181"/>
      <c r="FIS73" s="1181"/>
      <c r="FIT73" s="1181"/>
      <c r="FIU73" s="1181"/>
      <c r="FIV73" s="1181"/>
      <c r="FIW73" s="1181"/>
      <c r="FIX73" s="1181"/>
      <c r="FIY73" s="1181"/>
      <c r="FIZ73" s="1181"/>
      <c r="FJA73" s="1181"/>
      <c r="FJB73" s="1181"/>
      <c r="FJC73" s="1181"/>
      <c r="FJD73" s="1181"/>
      <c r="FJE73" s="1181"/>
      <c r="FJF73" s="1181"/>
      <c r="FJG73" s="1181"/>
      <c r="FJH73" s="1181"/>
      <c r="FJI73" s="1181"/>
      <c r="FJJ73" s="1181"/>
      <c r="FJK73" s="1181"/>
      <c r="FJL73" s="1181"/>
      <c r="FJM73" s="1181"/>
      <c r="FJN73" s="1181"/>
      <c r="FJO73" s="1181"/>
      <c r="FJP73" s="1181"/>
      <c r="FJQ73" s="1181"/>
      <c r="FJR73" s="1181"/>
      <c r="FJS73" s="1181"/>
      <c r="FJT73" s="1181"/>
      <c r="FJU73" s="1181"/>
      <c r="FJV73" s="1181"/>
      <c r="FJW73" s="1181"/>
      <c r="FJX73" s="1181"/>
      <c r="FJY73" s="1181"/>
      <c r="FJZ73" s="1181"/>
      <c r="FKA73" s="1181"/>
      <c r="FKB73" s="1181"/>
      <c r="FKC73" s="1181"/>
      <c r="FKD73" s="1181"/>
      <c r="FKE73" s="1181"/>
      <c r="FKF73" s="1181"/>
      <c r="FKG73" s="1181"/>
      <c r="FKH73" s="1181"/>
      <c r="FKI73" s="1181"/>
      <c r="FKJ73" s="1181"/>
      <c r="FKK73" s="1181"/>
      <c r="FKL73" s="1181"/>
      <c r="FKM73" s="1181"/>
      <c r="FKN73" s="1181"/>
      <c r="FKO73" s="1181"/>
      <c r="FKP73" s="1181"/>
      <c r="FKQ73" s="1181"/>
      <c r="FKR73" s="1181"/>
      <c r="FKS73" s="1181"/>
      <c r="FKT73" s="1181"/>
      <c r="FKU73" s="1181"/>
      <c r="FKV73" s="1181"/>
      <c r="FKW73" s="1181"/>
      <c r="FKX73" s="1181"/>
      <c r="FKY73" s="1181"/>
      <c r="FKZ73" s="1181"/>
      <c r="FLA73" s="1181"/>
      <c r="FLB73" s="1181"/>
      <c r="FLC73" s="1181"/>
      <c r="FLD73" s="1181"/>
      <c r="FLE73" s="1181"/>
      <c r="FLF73" s="1181"/>
      <c r="FLG73" s="1181"/>
      <c r="FLH73" s="1181"/>
      <c r="FLI73" s="1181"/>
      <c r="FLJ73" s="1181"/>
      <c r="FLK73" s="1181"/>
      <c r="FLL73" s="1181"/>
      <c r="FLM73" s="1181"/>
      <c r="FLN73" s="1181"/>
      <c r="FLO73" s="1181"/>
      <c r="FLP73" s="1181"/>
      <c r="FLQ73" s="1181"/>
      <c r="FLR73" s="1181"/>
      <c r="FLS73" s="1181"/>
      <c r="FLT73" s="1181"/>
      <c r="FLU73" s="1181"/>
      <c r="FLV73" s="1181"/>
      <c r="FLW73" s="1181"/>
      <c r="FLX73" s="1181"/>
      <c r="FLY73" s="1181"/>
      <c r="FLZ73" s="1181"/>
      <c r="FMA73" s="1181"/>
      <c r="FMB73" s="1181"/>
      <c r="FMC73" s="1181"/>
      <c r="FMD73" s="1181"/>
      <c r="FME73" s="1181"/>
      <c r="FMF73" s="1181"/>
      <c r="FMG73" s="1181"/>
      <c r="FMH73" s="1181"/>
      <c r="FMI73" s="1181"/>
      <c r="FMJ73" s="1181"/>
      <c r="FMK73" s="1181"/>
      <c r="FML73" s="1181"/>
      <c r="FMM73" s="1181"/>
      <c r="FMN73" s="1181"/>
      <c r="FMO73" s="1181"/>
      <c r="FMP73" s="1181"/>
      <c r="FMQ73" s="1181"/>
      <c r="FMR73" s="1181"/>
      <c r="FMS73" s="1181"/>
      <c r="FMT73" s="1181"/>
      <c r="FMU73" s="1181"/>
      <c r="FMV73" s="1181"/>
      <c r="FMW73" s="1181"/>
      <c r="FMX73" s="1181"/>
      <c r="FMY73" s="1181"/>
      <c r="FMZ73" s="1181"/>
      <c r="FNA73" s="1181"/>
      <c r="FNB73" s="1181"/>
      <c r="FNC73" s="1181"/>
      <c r="FND73" s="1181"/>
      <c r="FNE73" s="1181"/>
      <c r="FNF73" s="1181"/>
      <c r="FNG73" s="1181"/>
      <c r="FNH73" s="1181"/>
      <c r="FNI73" s="1181"/>
      <c r="FNJ73" s="1181"/>
      <c r="FNK73" s="1181"/>
      <c r="FNL73" s="1181"/>
      <c r="FNM73" s="1181"/>
      <c r="FNN73" s="1181"/>
      <c r="FNO73" s="1181"/>
      <c r="FNP73" s="1181"/>
      <c r="FNQ73" s="1181"/>
      <c r="FNR73" s="1181"/>
      <c r="FNS73" s="1181"/>
      <c r="FNT73" s="1181"/>
      <c r="FNU73" s="1181"/>
      <c r="FNV73" s="1181"/>
      <c r="FNW73" s="1181"/>
      <c r="FNX73" s="1181"/>
      <c r="FNY73" s="1181"/>
      <c r="FNZ73" s="1181"/>
      <c r="FOA73" s="1181"/>
      <c r="FOB73" s="1181"/>
      <c r="FOC73" s="1181"/>
      <c r="FOD73" s="1181"/>
      <c r="FOE73" s="1181"/>
      <c r="FOF73" s="1181"/>
      <c r="FOG73" s="1181"/>
      <c r="FOH73" s="1181"/>
      <c r="FOI73" s="1181"/>
      <c r="FOJ73" s="1181"/>
      <c r="FOK73" s="1181"/>
      <c r="FOL73" s="1181"/>
      <c r="FOM73" s="1181"/>
      <c r="FON73" s="1181"/>
      <c r="FOO73" s="1181"/>
      <c r="FOP73" s="1181"/>
      <c r="FOQ73" s="1181"/>
      <c r="FOR73" s="1181"/>
      <c r="FOS73" s="1181"/>
      <c r="FOT73" s="1181"/>
      <c r="FOU73" s="1181"/>
      <c r="FOV73" s="1181"/>
      <c r="FOW73" s="1181"/>
      <c r="FOX73" s="1181"/>
      <c r="FOY73" s="1181"/>
      <c r="FOZ73" s="1181"/>
      <c r="FPA73" s="1181"/>
      <c r="FPB73" s="1181"/>
      <c r="FPC73" s="1181"/>
      <c r="FPD73" s="1181"/>
      <c r="FPE73" s="1181"/>
      <c r="FPF73" s="1181"/>
      <c r="FPG73" s="1181"/>
      <c r="FPH73" s="1181"/>
      <c r="FPI73" s="1181"/>
      <c r="FPJ73" s="1181"/>
      <c r="FPK73" s="1181"/>
      <c r="FPL73" s="1181"/>
      <c r="FPM73" s="1181"/>
      <c r="FPN73" s="1181"/>
      <c r="FPO73" s="1181"/>
      <c r="FPP73" s="1181"/>
      <c r="FPQ73" s="1181"/>
      <c r="FPR73" s="1181"/>
      <c r="FPS73" s="1181"/>
      <c r="FPT73" s="1181"/>
      <c r="FPU73" s="1181"/>
      <c r="FPV73" s="1181"/>
      <c r="FPW73" s="1181"/>
      <c r="FPX73" s="1181"/>
      <c r="FPY73" s="1181"/>
      <c r="FPZ73" s="1181"/>
      <c r="FQA73" s="1181"/>
      <c r="FQB73" s="1181"/>
      <c r="FQC73" s="1181"/>
      <c r="FQD73" s="1181"/>
      <c r="FQE73" s="1181"/>
      <c r="FQF73" s="1181"/>
      <c r="FQG73" s="1181"/>
      <c r="FQH73" s="1181"/>
      <c r="FQI73" s="1181"/>
      <c r="FQJ73" s="1181"/>
      <c r="FQK73" s="1181"/>
      <c r="FQL73" s="1181"/>
      <c r="FQM73" s="1181"/>
      <c r="FQN73" s="1181"/>
      <c r="FQO73" s="1181"/>
      <c r="FQP73" s="1181"/>
      <c r="FQQ73" s="1181"/>
      <c r="FQR73" s="1181"/>
      <c r="FQS73" s="1181"/>
      <c r="FQT73" s="1181"/>
      <c r="FQU73" s="1181"/>
      <c r="FQV73" s="1181"/>
      <c r="FQW73" s="1181"/>
      <c r="FQX73" s="1181"/>
      <c r="FQY73" s="1181"/>
      <c r="FQZ73" s="1181"/>
      <c r="FRA73" s="1181"/>
      <c r="FRB73" s="1181"/>
      <c r="FRC73" s="1181"/>
      <c r="FRD73" s="1181"/>
      <c r="FRE73" s="1181"/>
      <c r="FRF73" s="1181"/>
      <c r="FRG73" s="1181"/>
      <c r="FRH73" s="1181"/>
      <c r="FRI73" s="1181"/>
      <c r="FRJ73" s="1181"/>
      <c r="FRK73" s="1181"/>
      <c r="FRL73" s="1181"/>
      <c r="FRM73" s="1181"/>
      <c r="FRN73" s="1181"/>
      <c r="FRO73" s="1181"/>
      <c r="FRP73" s="1181"/>
      <c r="FRQ73" s="1181"/>
      <c r="FRR73" s="1181"/>
      <c r="FRS73" s="1181"/>
      <c r="FRT73" s="1181"/>
      <c r="FRU73" s="1181"/>
      <c r="FRV73" s="1181"/>
      <c r="FRW73" s="1181"/>
      <c r="FRX73" s="1181"/>
      <c r="FRY73" s="1181"/>
      <c r="FRZ73" s="1181"/>
      <c r="FSA73" s="1181"/>
      <c r="FSB73" s="1181"/>
      <c r="FSC73" s="1181"/>
      <c r="FSD73" s="1181"/>
      <c r="FSE73" s="1181"/>
      <c r="FSF73" s="1181"/>
      <c r="FSG73" s="1181"/>
      <c r="FSH73" s="1181"/>
      <c r="FSI73" s="1181"/>
      <c r="FSJ73" s="1181"/>
      <c r="FSK73" s="1181"/>
      <c r="FSL73" s="1181"/>
      <c r="FSM73" s="1181"/>
      <c r="FSN73" s="1181"/>
      <c r="FSO73" s="1181"/>
      <c r="FSP73" s="1181"/>
      <c r="FSQ73" s="1181"/>
      <c r="FSR73" s="1181"/>
      <c r="FSS73" s="1181"/>
      <c r="FST73" s="1181"/>
      <c r="FSU73" s="1181"/>
      <c r="FSV73" s="1181"/>
      <c r="FSW73" s="1181"/>
      <c r="FSX73" s="1181"/>
      <c r="FSY73" s="1181"/>
      <c r="FSZ73" s="1181"/>
      <c r="FTA73" s="1181"/>
      <c r="FTB73" s="1181"/>
      <c r="FTC73" s="1181"/>
      <c r="FTD73" s="1181"/>
      <c r="FTE73" s="1181"/>
      <c r="FTF73" s="1181"/>
      <c r="FTG73" s="1181"/>
      <c r="FTH73" s="1181"/>
      <c r="FTI73" s="1181"/>
      <c r="FTJ73" s="1181"/>
      <c r="FTK73" s="1181"/>
      <c r="FTL73" s="1181"/>
      <c r="FTM73" s="1181"/>
      <c r="FTN73" s="1181"/>
      <c r="FTO73" s="1181"/>
      <c r="FTP73" s="1181"/>
      <c r="FTQ73" s="1181"/>
      <c r="FTR73" s="1181"/>
      <c r="FTS73" s="1181"/>
      <c r="FTT73" s="1181"/>
      <c r="FTU73" s="1181"/>
      <c r="FTV73" s="1181"/>
      <c r="FTW73" s="1181"/>
      <c r="FTX73" s="1181"/>
      <c r="FTY73" s="1181"/>
      <c r="FTZ73" s="1181"/>
      <c r="FUA73" s="1181"/>
      <c r="FUB73" s="1181"/>
      <c r="FUC73" s="1181"/>
      <c r="FUD73" s="1181"/>
      <c r="FUE73" s="1181"/>
      <c r="FUF73" s="1181"/>
      <c r="FUG73" s="1181"/>
      <c r="FUH73" s="1181"/>
      <c r="FUI73" s="1181"/>
      <c r="FUJ73" s="1181"/>
      <c r="FUK73" s="1181"/>
      <c r="FUL73" s="1181"/>
      <c r="FUM73" s="1181"/>
      <c r="FUN73" s="1181"/>
      <c r="FUO73" s="1181"/>
      <c r="FUP73" s="1181"/>
      <c r="FUQ73" s="1181"/>
      <c r="FUR73" s="1181"/>
      <c r="FUS73" s="1181"/>
      <c r="FUT73" s="1181"/>
      <c r="FUU73" s="1181"/>
      <c r="FUV73" s="1181"/>
      <c r="FUW73" s="1181"/>
      <c r="FUX73" s="1181"/>
      <c r="FUY73" s="1181"/>
      <c r="FUZ73" s="1181"/>
      <c r="FVA73" s="1181"/>
      <c r="FVB73" s="1181"/>
      <c r="FVC73" s="1181"/>
      <c r="FVD73" s="1181"/>
      <c r="FVE73" s="1181"/>
      <c r="FVF73" s="1181"/>
      <c r="FVG73" s="1181"/>
      <c r="FVH73" s="1181"/>
      <c r="FVI73" s="1181"/>
      <c r="FVJ73" s="1181"/>
      <c r="FVK73" s="1181"/>
      <c r="FVL73" s="1181"/>
      <c r="FVM73" s="1181"/>
      <c r="FVN73" s="1181"/>
      <c r="FVO73" s="1181"/>
      <c r="FVP73" s="1181"/>
      <c r="FVQ73" s="1181"/>
      <c r="FVR73" s="1181"/>
      <c r="FVS73" s="1181"/>
      <c r="FVT73" s="1181"/>
      <c r="FVU73" s="1181"/>
      <c r="FVV73" s="1181"/>
      <c r="FVW73" s="1181"/>
      <c r="FVX73" s="1181"/>
      <c r="FVY73" s="1181"/>
      <c r="FVZ73" s="1181"/>
      <c r="FWA73" s="1181"/>
      <c r="FWB73" s="1181"/>
      <c r="FWC73" s="1181"/>
      <c r="FWD73" s="1181"/>
      <c r="FWE73" s="1181"/>
      <c r="FWF73" s="1181"/>
      <c r="FWG73" s="1181"/>
      <c r="FWH73" s="1181"/>
      <c r="FWI73" s="1181"/>
      <c r="FWJ73" s="1181"/>
      <c r="FWK73" s="1181"/>
      <c r="FWL73" s="1181"/>
      <c r="FWM73" s="1181"/>
      <c r="FWN73" s="1181"/>
      <c r="FWO73" s="1181"/>
      <c r="FWP73" s="1181"/>
      <c r="FWQ73" s="1181"/>
      <c r="FWR73" s="1181"/>
      <c r="FWS73" s="1181"/>
      <c r="FWT73" s="1181"/>
      <c r="FWU73" s="1181"/>
      <c r="FWV73" s="1181"/>
      <c r="FWW73" s="1181"/>
      <c r="FWX73" s="1181"/>
      <c r="FWY73" s="1181"/>
      <c r="FWZ73" s="1181"/>
      <c r="FXA73" s="1181"/>
      <c r="FXB73" s="1181"/>
      <c r="FXC73" s="1181"/>
      <c r="FXD73" s="1181"/>
      <c r="FXE73" s="1181"/>
      <c r="FXF73" s="1181"/>
      <c r="FXG73" s="1181"/>
      <c r="FXH73" s="1181"/>
      <c r="FXI73" s="1181"/>
      <c r="FXJ73" s="1181"/>
      <c r="FXK73" s="1181"/>
      <c r="FXL73" s="1181"/>
      <c r="FXM73" s="1181"/>
      <c r="FXN73" s="1181"/>
      <c r="FXO73" s="1181"/>
      <c r="FXP73" s="1181"/>
      <c r="FXQ73" s="1181"/>
      <c r="FXR73" s="1181"/>
      <c r="FXS73" s="1181"/>
      <c r="FXT73" s="1181"/>
      <c r="FXU73" s="1181"/>
      <c r="FXV73" s="1181"/>
      <c r="FXW73" s="1181"/>
      <c r="FXX73" s="1181"/>
      <c r="FXY73" s="1181"/>
      <c r="FXZ73" s="1181"/>
      <c r="FYA73" s="1181"/>
      <c r="FYB73" s="1181"/>
      <c r="FYC73" s="1181"/>
      <c r="FYD73" s="1181"/>
      <c r="FYE73" s="1181"/>
      <c r="FYF73" s="1181"/>
      <c r="FYG73" s="1181"/>
      <c r="FYH73" s="1181"/>
      <c r="FYI73" s="1181"/>
      <c r="FYJ73" s="1181"/>
      <c r="FYK73" s="1181"/>
      <c r="FYL73" s="1181"/>
      <c r="FYM73" s="1181"/>
      <c r="FYN73" s="1181"/>
      <c r="FYO73" s="1181"/>
      <c r="FYP73" s="1181"/>
      <c r="FYQ73" s="1181"/>
      <c r="FYR73" s="1181"/>
      <c r="FYS73" s="1181"/>
      <c r="FYT73" s="1181"/>
      <c r="FYU73" s="1181"/>
      <c r="FYV73" s="1181"/>
      <c r="FYW73" s="1181"/>
      <c r="FYX73" s="1181"/>
      <c r="FYY73" s="1181"/>
      <c r="FYZ73" s="1181"/>
      <c r="FZA73" s="1181"/>
      <c r="FZB73" s="1181"/>
      <c r="FZC73" s="1181"/>
      <c r="FZD73" s="1181"/>
      <c r="FZE73" s="1181"/>
      <c r="FZF73" s="1181"/>
      <c r="FZG73" s="1181"/>
      <c r="FZH73" s="1181"/>
      <c r="FZI73" s="1181"/>
      <c r="FZJ73" s="1181"/>
      <c r="FZK73" s="1181"/>
      <c r="FZL73" s="1181"/>
      <c r="FZM73" s="1181"/>
      <c r="FZN73" s="1181"/>
      <c r="FZO73" s="1181"/>
      <c r="FZP73" s="1181"/>
      <c r="FZQ73" s="1181"/>
      <c r="FZR73" s="1181"/>
      <c r="FZS73" s="1181"/>
      <c r="FZT73" s="1181"/>
      <c r="FZU73" s="1181"/>
      <c r="FZV73" s="1181"/>
      <c r="FZW73" s="1181"/>
      <c r="FZX73" s="1181"/>
      <c r="FZY73" s="1181"/>
      <c r="FZZ73" s="1181"/>
      <c r="GAA73" s="1181"/>
      <c r="GAB73" s="1181"/>
      <c r="GAC73" s="1181"/>
      <c r="GAD73" s="1181"/>
      <c r="GAE73" s="1181"/>
      <c r="GAF73" s="1181"/>
      <c r="GAG73" s="1181"/>
      <c r="GAH73" s="1181"/>
      <c r="GAI73" s="1181"/>
      <c r="GAJ73" s="1181"/>
      <c r="GAK73" s="1181"/>
      <c r="GAL73" s="1181"/>
      <c r="GAM73" s="1181"/>
      <c r="GAN73" s="1181"/>
      <c r="GAO73" s="1181"/>
      <c r="GAP73" s="1181"/>
      <c r="GAQ73" s="1181"/>
      <c r="GAR73" s="1181"/>
      <c r="GAS73" s="1181"/>
      <c r="GAT73" s="1181"/>
      <c r="GAU73" s="1181"/>
      <c r="GAV73" s="1181"/>
      <c r="GAW73" s="1181"/>
      <c r="GAX73" s="1181"/>
      <c r="GAY73" s="1181"/>
      <c r="GAZ73" s="1181"/>
      <c r="GBA73" s="1181"/>
      <c r="GBB73" s="1181"/>
      <c r="GBC73" s="1181"/>
      <c r="GBD73" s="1181"/>
      <c r="GBE73" s="1181"/>
      <c r="GBF73" s="1181"/>
      <c r="GBG73" s="1181"/>
      <c r="GBH73" s="1181"/>
      <c r="GBI73" s="1181"/>
      <c r="GBJ73" s="1181"/>
      <c r="GBK73" s="1181"/>
      <c r="GBL73" s="1181"/>
      <c r="GBM73" s="1181"/>
      <c r="GBN73" s="1181"/>
      <c r="GBO73" s="1181"/>
      <c r="GBP73" s="1181"/>
      <c r="GBQ73" s="1181"/>
      <c r="GBR73" s="1181"/>
      <c r="GBS73" s="1181"/>
      <c r="GBT73" s="1181"/>
      <c r="GBU73" s="1181"/>
      <c r="GBV73" s="1181"/>
      <c r="GBW73" s="1181"/>
      <c r="GBX73" s="1181"/>
      <c r="GBY73" s="1181"/>
      <c r="GBZ73" s="1181"/>
      <c r="GCA73" s="1181"/>
      <c r="GCB73" s="1181"/>
      <c r="GCC73" s="1181"/>
      <c r="GCD73" s="1181"/>
      <c r="GCE73" s="1181"/>
      <c r="GCF73" s="1181"/>
      <c r="GCG73" s="1181"/>
      <c r="GCH73" s="1181"/>
      <c r="GCI73" s="1181"/>
      <c r="GCJ73" s="1181"/>
      <c r="GCK73" s="1181"/>
      <c r="GCL73" s="1181"/>
      <c r="GCM73" s="1181"/>
      <c r="GCN73" s="1181"/>
      <c r="GCO73" s="1181"/>
      <c r="GCP73" s="1181"/>
      <c r="GCQ73" s="1181"/>
      <c r="GCR73" s="1181"/>
      <c r="GCS73" s="1181"/>
      <c r="GCT73" s="1181"/>
      <c r="GCU73" s="1181"/>
      <c r="GCV73" s="1181"/>
      <c r="GCW73" s="1181"/>
      <c r="GCX73" s="1181"/>
      <c r="GCY73" s="1181"/>
      <c r="GCZ73" s="1181"/>
      <c r="GDA73" s="1181"/>
      <c r="GDB73" s="1181"/>
      <c r="GDC73" s="1181"/>
      <c r="GDD73" s="1181"/>
      <c r="GDE73" s="1181"/>
      <c r="GDF73" s="1181"/>
      <c r="GDG73" s="1181"/>
      <c r="GDH73" s="1181"/>
      <c r="GDI73" s="1181"/>
      <c r="GDJ73" s="1181"/>
      <c r="GDK73" s="1181"/>
      <c r="GDL73" s="1181"/>
      <c r="GDM73" s="1181"/>
      <c r="GDN73" s="1181"/>
      <c r="GDO73" s="1181"/>
      <c r="GDP73" s="1181"/>
      <c r="GDQ73" s="1181"/>
      <c r="GDR73" s="1181"/>
      <c r="GDS73" s="1181"/>
      <c r="GDT73" s="1181"/>
      <c r="GDU73" s="1181"/>
      <c r="GDV73" s="1181"/>
      <c r="GDW73" s="1181"/>
      <c r="GDX73" s="1181"/>
      <c r="GDY73" s="1181"/>
      <c r="GDZ73" s="1181"/>
      <c r="GEA73" s="1181"/>
      <c r="GEB73" s="1181"/>
      <c r="GEC73" s="1181"/>
      <c r="GED73" s="1181"/>
      <c r="GEE73" s="1181"/>
      <c r="GEF73" s="1181"/>
      <c r="GEG73" s="1181"/>
      <c r="GEH73" s="1181"/>
      <c r="GEI73" s="1181"/>
      <c r="GEJ73" s="1181"/>
      <c r="GEK73" s="1181"/>
      <c r="GEL73" s="1181"/>
      <c r="GEM73" s="1181"/>
      <c r="GEN73" s="1181"/>
      <c r="GEO73" s="1181"/>
      <c r="GEP73" s="1181"/>
      <c r="GEQ73" s="1181"/>
      <c r="GER73" s="1181"/>
      <c r="GES73" s="1181"/>
      <c r="GET73" s="1181"/>
      <c r="GEU73" s="1181"/>
      <c r="GEV73" s="1181"/>
      <c r="GEW73" s="1181"/>
      <c r="GEX73" s="1181"/>
      <c r="GEY73" s="1181"/>
      <c r="GEZ73" s="1181"/>
      <c r="GFA73" s="1181"/>
      <c r="GFB73" s="1181"/>
      <c r="GFC73" s="1181"/>
      <c r="GFD73" s="1181"/>
      <c r="GFE73" s="1181"/>
      <c r="GFF73" s="1181"/>
      <c r="GFG73" s="1181"/>
      <c r="GFH73" s="1181"/>
      <c r="GFI73" s="1181"/>
      <c r="GFJ73" s="1181"/>
      <c r="GFK73" s="1181"/>
      <c r="GFL73" s="1181"/>
      <c r="GFM73" s="1181"/>
      <c r="GFN73" s="1181"/>
      <c r="GFO73" s="1181"/>
      <c r="GFP73" s="1181"/>
      <c r="GFQ73" s="1181"/>
      <c r="GFR73" s="1181"/>
      <c r="GFS73" s="1181"/>
      <c r="GFT73" s="1181"/>
      <c r="GFU73" s="1181"/>
      <c r="GFV73" s="1181"/>
      <c r="GFW73" s="1181"/>
      <c r="GFX73" s="1181"/>
      <c r="GFY73" s="1181"/>
      <c r="GFZ73" s="1181"/>
      <c r="GGA73" s="1181"/>
      <c r="GGB73" s="1181"/>
      <c r="GGC73" s="1181"/>
      <c r="GGD73" s="1181"/>
      <c r="GGE73" s="1181"/>
      <c r="GGF73" s="1181"/>
      <c r="GGG73" s="1181"/>
      <c r="GGH73" s="1181"/>
      <c r="GGI73" s="1181"/>
      <c r="GGJ73" s="1181"/>
      <c r="GGK73" s="1181"/>
      <c r="GGL73" s="1181"/>
      <c r="GGM73" s="1181"/>
      <c r="GGN73" s="1181"/>
      <c r="GGO73" s="1181"/>
      <c r="GGP73" s="1181"/>
      <c r="GGQ73" s="1181"/>
      <c r="GGR73" s="1181"/>
      <c r="GGS73" s="1181"/>
      <c r="GGT73" s="1181"/>
      <c r="GGU73" s="1181"/>
      <c r="GGV73" s="1181"/>
      <c r="GGW73" s="1181"/>
      <c r="GGX73" s="1181"/>
      <c r="GGY73" s="1181"/>
      <c r="GGZ73" s="1181"/>
      <c r="GHA73" s="1181"/>
      <c r="GHB73" s="1181"/>
      <c r="GHC73" s="1181"/>
      <c r="GHD73" s="1181"/>
      <c r="GHE73" s="1181"/>
      <c r="GHF73" s="1181"/>
      <c r="GHG73" s="1181"/>
      <c r="GHH73" s="1181"/>
      <c r="GHI73" s="1181"/>
      <c r="GHJ73" s="1181"/>
      <c r="GHK73" s="1181"/>
      <c r="GHL73" s="1181"/>
      <c r="GHM73" s="1181"/>
      <c r="GHN73" s="1181"/>
      <c r="GHO73" s="1181"/>
      <c r="GHP73" s="1181"/>
      <c r="GHQ73" s="1181"/>
      <c r="GHR73" s="1181"/>
      <c r="GHS73" s="1181"/>
      <c r="GHT73" s="1181"/>
      <c r="GHU73" s="1181"/>
      <c r="GHV73" s="1181"/>
      <c r="GHW73" s="1181"/>
      <c r="GHX73" s="1181"/>
      <c r="GHY73" s="1181"/>
      <c r="GHZ73" s="1181"/>
      <c r="GIA73" s="1181"/>
      <c r="GIB73" s="1181"/>
      <c r="GIC73" s="1181"/>
      <c r="GID73" s="1181"/>
      <c r="GIE73" s="1181"/>
      <c r="GIF73" s="1181"/>
      <c r="GIG73" s="1181"/>
      <c r="GIH73" s="1181"/>
      <c r="GII73" s="1181"/>
      <c r="GIJ73" s="1181"/>
      <c r="GIK73" s="1181"/>
      <c r="GIL73" s="1181"/>
      <c r="GIM73" s="1181"/>
      <c r="GIN73" s="1181"/>
      <c r="GIO73" s="1181"/>
      <c r="GIP73" s="1181"/>
      <c r="GIQ73" s="1181"/>
      <c r="GIR73" s="1181"/>
      <c r="GIS73" s="1181"/>
      <c r="GIT73" s="1181"/>
      <c r="GIU73" s="1181"/>
      <c r="GIV73" s="1181"/>
      <c r="GIW73" s="1181"/>
      <c r="GIX73" s="1181"/>
      <c r="GIY73" s="1181"/>
      <c r="GIZ73" s="1181"/>
      <c r="GJA73" s="1181"/>
      <c r="GJB73" s="1181"/>
      <c r="GJC73" s="1181"/>
      <c r="GJD73" s="1181"/>
      <c r="GJE73" s="1181"/>
      <c r="GJF73" s="1181"/>
      <c r="GJG73" s="1181"/>
      <c r="GJH73" s="1181"/>
      <c r="GJI73" s="1181"/>
      <c r="GJJ73" s="1181"/>
      <c r="GJK73" s="1181"/>
      <c r="GJL73" s="1181"/>
      <c r="GJM73" s="1181"/>
      <c r="GJN73" s="1181"/>
      <c r="GJO73" s="1181"/>
      <c r="GJP73" s="1181"/>
      <c r="GJQ73" s="1181"/>
      <c r="GJR73" s="1181"/>
      <c r="GJS73" s="1181"/>
      <c r="GJT73" s="1181"/>
      <c r="GJU73" s="1181"/>
      <c r="GJV73" s="1181"/>
      <c r="GJW73" s="1181"/>
      <c r="GJX73" s="1181"/>
      <c r="GJY73" s="1181"/>
      <c r="GJZ73" s="1181"/>
      <c r="GKA73" s="1181"/>
      <c r="GKB73" s="1181"/>
      <c r="GKC73" s="1181"/>
      <c r="GKD73" s="1181"/>
      <c r="GKE73" s="1181"/>
      <c r="GKF73" s="1181"/>
      <c r="GKG73" s="1181"/>
      <c r="GKH73" s="1181"/>
      <c r="GKI73" s="1181"/>
      <c r="GKJ73" s="1181"/>
      <c r="GKK73" s="1181"/>
      <c r="GKL73" s="1181"/>
      <c r="GKM73" s="1181"/>
      <c r="GKN73" s="1181"/>
      <c r="GKO73" s="1181"/>
      <c r="GKP73" s="1181"/>
      <c r="GKQ73" s="1181"/>
      <c r="GKR73" s="1181"/>
      <c r="GKS73" s="1181"/>
      <c r="GKT73" s="1181"/>
      <c r="GKU73" s="1181"/>
      <c r="GKV73" s="1181"/>
      <c r="GKW73" s="1181"/>
      <c r="GKX73" s="1181"/>
      <c r="GKY73" s="1181"/>
      <c r="GKZ73" s="1181"/>
      <c r="GLA73" s="1181"/>
      <c r="GLB73" s="1181"/>
      <c r="GLC73" s="1181"/>
      <c r="GLD73" s="1181"/>
      <c r="GLE73" s="1181"/>
      <c r="GLF73" s="1181"/>
      <c r="GLG73" s="1181"/>
      <c r="GLH73" s="1181"/>
      <c r="GLI73" s="1181"/>
      <c r="GLJ73" s="1181"/>
      <c r="GLK73" s="1181"/>
      <c r="GLL73" s="1181"/>
      <c r="GLM73" s="1181"/>
      <c r="GLN73" s="1181"/>
      <c r="GLO73" s="1181"/>
      <c r="GLP73" s="1181"/>
      <c r="GLQ73" s="1181"/>
      <c r="GLR73" s="1181"/>
      <c r="GLS73" s="1181"/>
      <c r="GLT73" s="1181"/>
      <c r="GLU73" s="1181"/>
      <c r="GLV73" s="1181"/>
      <c r="GLW73" s="1181"/>
      <c r="GLX73" s="1181"/>
      <c r="GLY73" s="1181"/>
      <c r="GLZ73" s="1181"/>
      <c r="GMA73" s="1181"/>
      <c r="GMB73" s="1181"/>
      <c r="GMC73" s="1181"/>
      <c r="GMD73" s="1181"/>
      <c r="GME73" s="1181"/>
      <c r="GMF73" s="1181"/>
      <c r="GMG73" s="1181"/>
      <c r="GMH73" s="1181"/>
      <c r="GMI73" s="1181"/>
      <c r="GMJ73" s="1181"/>
      <c r="GMK73" s="1181"/>
      <c r="GML73" s="1181"/>
      <c r="GMM73" s="1181"/>
      <c r="GMN73" s="1181"/>
      <c r="GMO73" s="1181"/>
      <c r="GMP73" s="1181"/>
      <c r="GMQ73" s="1181"/>
      <c r="GMR73" s="1181"/>
      <c r="GMS73" s="1181"/>
      <c r="GMT73" s="1181"/>
      <c r="GMU73" s="1181"/>
      <c r="GMV73" s="1181"/>
      <c r="GMW73" s="1181"/>
      <c r="GMX73" s="1181"/>
      <c r="GMY73" s="1181"/>
      <c r="GMZ73" s="1181"/>
      <c r="GNA73" s="1181"/>
      <c r="GNB73" s="1181"/>
      <c r="GNC73" s="1181"/>
      <c r="GND73" s="1181"/>
      <c r="GNE73" s="1181"/>
      <c r="GNF73" s="1181"/>
      <c r="GNG73" s="1181"/>
      <c r="GNH73" s="1181"/>
      <c r="GNI73" s="1181"/>
      <c r="GNJ73" s="1181"/>
      <c r="GNK73" s="1181"/>
      <c r="GNL73" s="1181"/>
      <c r="GNM73" s="1181"/>
      <c r="GNN73" s="1181"/>
      <c r="GNO73" s="1181"/>
      <c r="GNP73" s="1181"/>
      <c r="GNQ73" s="1181"/>
      <c r="GNR73" s="1181"/>
      <c r="GNS73" s="1181"/>
      <c r="GNT73" s="1181"/>
      <c r="GNU73" s="1181"/>
      <c r="GNV73" s="1181"/>
      <c r="GNW73" s="1181"/>
      <c r="GNX73" s="1181"/>
      <c r="GNY73" s="1181"/>
      <c r="GNZ73" s="1181"/>
      <c r="GOA73" s="1181"/>
      <c r="GOB73" s="1181"/>
      <c r="GOC73" s="1181"/>
      <c r="GOD73" s="1181"/>
      <c r="GOE73" s="1181"/>
      <c r="GOF73" s="1181"/>
      <c r="GOG73" s="1181"/>
      <c r="GOH73" s="1181"/>
      <c r="GOI73" s="1181"/>
      <c r="GOJ73" s="1181"/>
      <c r="GOK73" s="1181"/>
      <c r="GOL73" s="1181"/>
      <c r="GOM73" s="1181"/>
      <c r="GON73" s="1181"/>
      <c r="GOO73" s="1181"/>
      <c r="GOP73" s="1181"/>
      <c r="GOQ73" s="1181"/>
      <c r="GOR73" s="1181"/>
      <c r="GOS73" s="1181"/>
      <c r="GOT73" s="1181"/>
      <c r="GOU73" s="1181"/>
      <c r="GOV73" s="1181"/>
      <c r="GOW73" s="1181"/>
      <c r="GOX73" s="1181"/>
      <c r="GOY73" s="1181"/>
      <c r="GOZ73" s="1181"/>
      <c r="GPA73" s="1181"/>
      <c r="GPB73" s="1181"/>
      <c r="GPC73" s="1181"/>
      <c r="GPD73" s="1181"/>
      <c r="GPE73" s="1181"/>
      <c r="GPF73" s="1181"/>
      <c r="GPG73" s="1181"/>
      <c r="GPH73" s="1181"/>
      <c r="GPI73" s="1181"/>
      <c r="GPJ73" s="1181"/>
      <c r="GPK73" s="1181"/>
      <c r="GPL73" s="1181"/>
      <c r="GPM73" s="1181"/>
      <c r="GPN73" s="1181"/>
      <c r="GPO73" s="1181"/>
      <c r="GPP73" s="1181"/>
      <c r="GPQ73" s="1181"/>
      <c r="GPR73" s="1181"/>
      <c r="GPS73" s="1181"/>
      <c r="GPT73" s="1181"/>
      <c r="GPU73" s="1181"/>
      <c r="GPV73" s="1181"/>
      <c r="GPW73" s="1181"/>
      <c r="GPX73" s="1181"/>
      <c r="GPY73" s="1181"/>
      <c r="GPZ73" s="1181"/>
      <c r="GQA73" s="1181"/>
      <c r="GQB73" s="1181"/>
      <c r="GQC73" s="1181"/>
      <c r="GQD73" s="1181"/>
      <c r="GQE73" s="1181"/>
      <c r="GQF73" s="1181"/>
      <c r="GQG73" s="1181"/>
      <c r="GQH73" s="1181"/>
      <c r="GQI73" s="1181"/>
      <c r="GQJ73" s="1181"/>
      <c r="GQK73" s="1181"/>
      <c r="GQL73" s="1181"/>
      <c r="GQM73" s="1181"/>
      <c r="GQN73" s="1181"/>
      <c r="GQO73" s="1181"/>
      <c r="GQP73" s="1181"/>
      <c r="GQQ73" s="1181"/>
      <c r="GQR73" s="1181"/>
      <c r="GQS73" s="1181"/>
      <c r="GQT73" s="1181"/>
      <c r="GQU73" s="1181"/>
      <c r="GQV73" s="1181"/>
      <c r="GQW73" s="1181"/>
      <c r="GQX73" s="1181"/>
      <c r="GQY73" s="1181"/>
      <c r="GQZ73" s="1181"/>
      <c r="GRA73" s="1181"/>
      <c r="GRB73" s="1181"/>
      <c r="GRC73" s="1181"/>
      <c r="GRD73" s="1181"/>
      <c r="GRE73" s="1181"/>
      <c r="GRF73" s="1181"/>
      <c r="GRG73" s="1181"/>
      <c r="GRH73" s="1181"/>
      <c r="GRI73" s="1181"/>
      <c r="GRJ73" s="1181"/>
      <c r="GRK73" s="1181"/>
      <c r="GRL73" s="1181"/>
      <c r="GRM73" s="1181"/>
      <c r="GRN73" s="1181"/>
      <c r="GRO73" s="1181"/>
      <c r="GRP73" s="1181"/>
      <c r="GRQ73" s="1181"/>
      <c r="GRR73" s="1181"/>
      <c r="GRS73" s="1181"/>
      <c r="GRT73" s="1181"/>
      <c r="GRU73" s="1181"/>
      <c r="GRV73" s="1181"/>
      <c r="GRW73" s="1181"/>
      <c r="GRX73" s="1181"/>
      <c r="GRY73" s="1181"/>
      <c r="GRZ73" s="1181"/>
      <c r="GSA73" s="1181"/>
      <c r="GSB73" s="1181"/>
      <c r="GSC73" s="1181"/>
      <c r="GSD73" s="1181"/>
      <c r="GSE73" s="1181"/>
      <c r="GSF73" s="1181"/>
      <c r="GSG73" s="1181"/>
      <c r="GSH73" s="1181"/>
      <c r="GSI73" s="1181"/>
      <c r="GSJ73" s="1181"/>
      <c r="GSK73" s="1181"/>
      <c r="GSL73" s="1181"/>
      <c r="GSM73" s="1181"/>
      <c r="GSN73" s="1181"/>
      <c r="GSO73" s="1181"/>
      <c r="GSP73" s="1181"/>
      <c r="GSQ73" s="1181"/>
      <c r="GSR73" s="1181"/>
      <c r="GSS73" s="1181"/>
      <c r="GST73" s="1181"/>
      <c r="GSU73" s="1181"/>
      <c r="GSV73" s="1181"/>
      <c r="GSW73" s="1181"/>
      <c r="GSX73" s="1181"/>
      <c r="GSY73" s="1181"/>
      <c r="GSZ73" s="1181"/>
      <c r="GTA73" s="1181"/>
      <c r="GTB73" s="1181"/>
      <c r="GTC73" s="1181"/>
      <c r="GTD73" s="1181"/>
      <c r="GTE73" s="1181"/>
      <c r="GTF73" s="1181"/>
      <c r="GTG73" s="1181"/>
      <c r="GTH73" s="1181"/>
      <c r="GTI73" s="1181"/>
      <c r="GTJ73" s="1181"/>
      <c r="GTK73" s="1181"/>
      <c r="GTL73" s="1181"/>
      <c r="GTM73" s="1181"/>
      <c r="GTN73" s="1181"/>
      <c r="GTO73" s="1181"/>
      <c r="GTP73" s="1181"/>
      <c r="GTQ73" s="1181"/>
      <c r="GTR73" s="1181"/>
      <c r="GTS73" s="1181"/>
      <c r="GTT73" s="1181"/>
      <c r="GTU73" s="1181"/>
      <c r="GTV73" s="1181"/>
      <c r="GTW73" s="1181"/>
      <c r="GTX73" s="1181"/>
      <c r="GTY73" s="1181"/>
      <c r="GTZ73" s="1181"/>
      <c r="GUA73" s="1181"/>
      <c r="GUB73" s="1181"/>
      <c r="GUC73" s="1181"/>
      <c r="GUD73" s="1181"/>
      <c r="GUE73" s="1181"/>
      <c r="GUF73" s="1181"/>
      <c r="GUG73" s="1181"/>
      <c r="GUH73" s="1181"/>
      <c r="GUI73" s="1181"/>
      <c r="GUJ73" s="1181"/>
      <c r="GUK73" s="1181"/>
      <c r="GUL73" s="1181"/>
      <c r="GUM73" s="1181"/>
      <c r="GUN73" s="1181"/>
      <c r="GUO73" s="1181"/>
      <c r="GUP73" s="1181"/>
      <c r="GUQ73" s="1181"/>
      <c r="GUR73" s="1181"/>
      <c r="GUS73" s="1181"/>
      <c r="GUT73" s="1181"/>
      <c r="GUU73" s="1181"/>
      <c r="GUV73" s="1181"/>
      <c r="GUW73" s="1181"/>
      <c r="GUX73" s="1181"/>
      <c r="GUY73" s="1181"/>
      <c r="GUZ73" s="1181"/>
      <c r="GVA73" s="1181"/>
      <c r="GVB73" s="1181"/>
      <c r="GVC73" s="1181"/>
      <c r="GVD73" s="1181"/>
      <c r="GVE73" s="1181"/>
      <c r="GVF73" s="1181"/>
      <c r="GVG73" s="1181"/>
      <c r="GVH73" s="1181"/>
      <c r="GVI73" s="1181"/>
      <c r="GVJ73" s="1181"/>
      <c r="GVK73" s="1181"/>
      <c r="GVL73" s="1181"/>
      <c r="GVM73" s="1181"/>
      <c r="GVN73" s="1181"/>
      <c r="GVO73" s="1181"/>
      <c r="GVP73" s="1181"/>
      <c r="GVQ73" s="1181"/>
      <c r="GVR73" s="1181"/>
      <c r="GVS73" s="1181"/>
      <c r="GVT73" s="1181"/>
      <c r="GVU73" s="1181"/>
      <c r="GVV73" s="1181"/>
      <c r="GVW73" s="1181"/>
      <c r="GVX73" s="1181"/>
      <c r="GVY73" s="1181"/>
      <c r="GVZ73" s="1181"/>
      <c r="GWA73" s="1181"/>
      <c r="GWB73" s="1181"/>
      <c r="GWC73" s="1181"/>
      <c r="GWD73" s="1181"/>
      <c r="GWE73" s="1181"/>
      <c r="GWF73" s="1181"/>
      <c r="GWG73" s="1181"/>
      <c r="GWH73" s="1181"/>
      <c r="GWI73" s="1181"/>
      <c r="GWJ73" s="1181"/>
      <c r="GWK73" s="1181"/>
      <c r="GWL73" s="1181"/>
      <c r="GWM73" s="1181"/>
      <c r="GWN73" s="1181"/>
      <c r="GWO73" s="1181"/>
      <c r="GWP73" s="1181"/>
      <c r="GWQ73" s="1181"/>
      <c r="GWR73" s="1181"/>
      <c r="GWS73" s="1181"/>
      <c r="GWT73" s="1181"/>
      <c r="GWU73" s="1181"/>
      <c r="GWV73" s="1181"/>
      <c r="GWW73" s="1181"/>
      <c r="GWX73" s="1181"/>
      <c r="GWY73" s="1181"/>
      <c r="GWZ73" s="1181"/>
      <c r="GXA73" s="1181"/>
      <c r="GXB73" s="1181"/>
      <c r="GXC73" s="1181"/>
      <c r="GXD73" s="1181"/>
      <c r="GXE73" s="1181"/>
      <c r="GXF73" s="1181"/>
      <c r="GXG73" s="1181"/>
      <c r="GXH73" s="1181"/>
      <c r="GXI73" s="1181"/>
      <c r="GXJ73" s="1181"/>
      <c r="GXK73" s="1181"/>
      <c r="GXL73" s="1181"/>
      <c r="GXM73" s="1181"/>
      <c r="GXN73" s="1181"/>
      <c r="GXO73" s="1181"/>
      <c r="GXP73" s="1181"/>
      <c r="GXQ73" s="1181"/>
      <c r="GXR73" s="1181"/>
      <c r="GXS73" s="1181"/>
      <c r="GXT73" s="1181"/>
      <c r="GXU73" s="1181"/>
      <c r="GXV73" s="1181"/>
      <c r="GXW73" s="1181"/>
      <c r="GXX73" s="1181"/>
      <c r="GXY73" s="1181"/>
      <c r="GXZ73" s="1181"/>
      <c r="GYA73" s="1181"/>
      <c r="GYB73" s="1181"/>
      <c r="GYC73" s="1181"/>
      <c r="GYD73" s="1181"/>
      <c r="GYE73" s="1181"/>
      <c r="GYF73" s="1181"/>
      <c r="GYG73" s="1181"/>
      <c r="GYH73" s="1181"/>
      <c r="GYI73" s="1181"/>
      <c r="GYJ73" s="1181"/>
      <c r="GYK73" s="1181"/>
      <c r="GYL73" s="1181"/>
      <c r="GYM73" s="1181"/>
      <c r="GYN73" s="1181"/>
      <c r="GYO73" s="1181"/>
      <c r="GYP73" s="1181"/>
      <c r="GYQ73" s="1181"/>
      <c r="GYR73" s="1181"/>
      <c r="GYS73" s="1181"/>
      <c r="GYT73" s="1181"/>
      <c r="GYU73" s="1181"/>
      <c r="GYV73" s="1181"/>
      <c r="GYW73" s="1181"/>
      <c r="GYX73" s="1181"/>
      <c r="GYY73" s="1181"/>
      <c r="GYZ73" s="1181"/>
      <c r="GZA73" s="1181"/>
      <c r="GZB73" s="1181"/>
      <c r="GZC73" s="1181"/>
      <c r="GZD73" s="1181"/>
      <c r="GZE73" s="1181"/>
      <c r="GZF73" s="1181"/>
      <c r="GZG73" s="1181"/>
      <c r="GZH73" s="1181"/>
      <c r="GZI73" s="1181"/>
      <c r="GZJ73" s="1181"/>
      <c r="GZK73" s="1181"/>
      <c r="GZL73" s="1181"/>
      <c r="GZM73" s="1181"/>
      <c r="GZN73" s="1181"/>
      <c r="GZO73" s="1181"/>
      <c r="GZP73" s="1181"/>
      <c r="GZQ73" s="1181"/>
      <c r="GZR73" s="1181"/>
      <c r="GZS73" s="1181"/>
      <c r="GZT73" s="1181"/>
      <c r="GZU73" s="1181"/>
      <c r="GZV73" s="1181"/>
      <c r="GZW73" s="1181"/>
      <c r="GZX73" s="1181"/>
      <c r="GZY73" s="1181"/>
      <c r="GZZ73" s="1181"/>
      <c r="HAA73" s="1181"/>
      <c r="HAB73" s="1181"/>
      <c r="HAC73" s="1181"/>
      <c r="HAD73" s="1181"/>
      <c r="HAE73" s="1181"/>
      <c r="HAF73" s="1181"/>
      <c r="HAG73" s="1181"/>
      <c r="HAH73" s="1181"/>
      <c r="HAI73" s="1181"/>
      <c r="HAJ73" s="1181"/>
      <c r="HAK73" s="1181"/>
      <c r="HAL73" s="1181"/>
      <c r="HAM73" s="1181"/>
      <c r="HAN73" s="1181"/>
      <c r="HAO73" s="1181"/>
      <c r="HAP73" s="1181"/>
      <c r="HAQ73" s="1181"/>
      <c r="HAR73" s="1181"/>
      <c r="HAS73" s="1181"/>
      <c r="HAT73" s="1181"/>
      <c r="HAU73" s="1181"/>
      <c r="HAV73" s="1181"/>
      <c r="HAW73" s="1181"/>
      <c r="HAX73" s="1181"/>
      <c r="HAY73" s="1181"/>
      <c r="HAZ73" s="1181"/>
      <c r="HBA73" s="1181"/>
      <c r="HBB73" s="1181"/>
      <c r="HBC73" s="1181"/>
      <c r="HBD73" s="1181"/>
      <c r="HBE73" s="1181"/>
      <c r="HBF73" s="1181"/>
      <c r="HBG73" s="1181"/>
      <c r="HBH73" s="1181"/>
      <c r="HBI73" s="1181"/>
      <c r="HBJ73" s="1181"/>
      <c r="HBK73" s="1181"/>
      <c r="HBL73" s="1181"/>
      <c r="HBM73" s="1181"/>
      <c r="HBN73" s="1181"/>
      <c r="HBO73" s="1181"/>
      <c r="HBP73" s="1181"/>
      <c r="HBQ73" s="1181"/>
      <c r="HBR73" s="1181"/>
      <c r="HBS73" s="1181"/>
      <c r="HBT73" s="1181"/>
      <c r="HBU73" s="1181"/>
      <c r="HBV73" s="1181"/>
      <c r="HBW73" s="1181"/>
      <c r="HBX73" s="1181"/>
      <c r="HBY73" s="1181"/>
      <c r="HBZ73" s="1181"/>
      <c r="HCA73" s="1181"/>
      <c r="HCB73" s="1181"/>
      <c r="HCC73" s="1181"/>
      <c r="HCD73" s="1181"/>
      <c r="HCE73" s="1181"/>
      <c r="HCF73" s="1181"/>
      <c r="HCG73" s="1181"/>
      <c r="HCH73" s="1181"/>
      <c r="HCI73" s="1181"/>
      <c r="HCJ73" s="1181"/>
      <c r="HCK73" s="1181"/>
      <c r="HCL73" s="1181"/>
      <c r="HCM73" s="1181"/>
      <c r="HCN73" s="1181"/>
      <c r="HCO73" s="1181"/>
      <c r="HCP73" s="1181"/>
      <c r="HCQ73" s="1181"/>
      <c r="HCR73" s="1181"/>
      <c r="HCS73" s="1181"/>
      <c r="HCT73" s="1181"/>
      <c r="HCU73" s="1181"/>
      <c r="HCV73" s="1181"/>
      <c r="HCW73" s="1181"/>
      <c r="HCX73" s="1181"/>
      <c r="HCY73" s="1181"/>
      <c r="HCZ73" s="1181"/>
      <c r="HDA73" s="1181"/>
      <c r="HDB73" s="1181"/>
      <c r="HDC73" s="1181"/>
      <c r="HDD73" s="1181"/>
      <c r="HDE73" s="1181"/>
      <c r="HDF73" s="1181"/>
      <c r="HDG73" s="1181"/>
      <c r="HDH73" s="1181"/>
      <c r="HDI73" s="1181"/>
      <c r="HDJ73" s="1181"/>
      <c r="HDK73" s="1181"/>
      <c r="HDL73" s="1181"/>
      <c r="HDM73" s="1181"/>
      <c r="HDN73" s="1181"/>
      <c r="HDO73" s="1181"/>
      <c r="HDP73" s="1181"/>
      <c r="HDQ73" s="1181"/>
      <c r="HDR73" s="1181"/>
      <c r="HDS73" s="1181"/>
      <c r="HDT73" s="1181"/>
      <c r="HDU73" s="1181"/>
      <c r="HDV73" s="1181"/>
      <c r="HDW73" s="1181"/>
      <c r="HDX73" s="1181"/>
      <c r="HDY73" s="1181"/>
      <c r="HDZ73" s="1181"/>
      <c r="HEA73" s="1181"/>
      <c r="HEB73" s="1181"/>
      <c r="HEC73" s="1181"/>
      <c r="HED73" s="1181"/>
      <c r="HEE73" s="1181"/>
      <c r="HEF73" s="1181"/>
      <c r="HEG73" s="1181"/>
      <c r="HEH73" s="1181"/>
      <c r="HEI73" s="1181"/>
      <c r="HEJ73" s="1181"/>
      <c r="HEK73" s="1181"/>
      <c r="HEL73" s="1181"/>
      <c r="HEM73" s="1181"/>
      <c r="HEN73" s="1181"/>
      <c r="HEO73" s="1181"/>
      <c r="HEP73" s="1181"/>
      <c r="HEQ73" s="1181"/>
      <c r="HER73" s="1181"/>
      <c r="HES73" s="1181"/>
      <c r="HET73" s="1181"/>
      <c r="HEU73" s="1181"/>
      <c r="HEV73" s="1181"/>
      <c r="HEW73" s="1181"/>
      <c r="HEX73" s="1181"/>
      <c r="HEY73" s="1181"/>
      <c r="HEZ73" s="1181"/>
      <c r="HFA73" s="1181"/>
      <c r="HFB73" s="1181"/>
      <c r="HFC73" s="1181"/>
      <c r="HFD73" s="1181"/>
      <c r="HFE73" s="1181"/>
      <c r="HFF73" s="1181"/>
      <c r="HFG73" s="1181"/>
      <c r="HFH73" s="1181"/>
      <c r="HFI73" s="1181"/>
      <c r="HFJ73" s="1181"/>
      <c r="HFK73" s="1181"/>
      <c r="HFL73" s="1181"/>
      <c r="HFM73" s="1181"/>
      <c r="HFN73" s="1181"/>
      <c r="HFO73" s="1181"/>
      <c r="HFP73" s="1181"/>
      <c r="HFQ73" s="1181"/>
      <c r="HFR73" s="1181"/>
      <c r="HFS73" s="1181"/>
      <c r="HFT73" s="1181"/>
      <c r="HFU73" s="1181"/>
      <c r="HFV73" s="1181"/>
      <c r="HFW73" s="1181"/>
      <c r="HFX73" s="1181"/>
      <c r="HFY73" s="1181"/>
      <c r="HFZ73" s="1181"/>
      <c r="HGA73" s="1181"/>
      <c r="HGB73" s="1181"/>
      <c r="HGC73" s="1181"/>
      <c r="HGD73" s="1181"/>
      <c r="HGE73" s="1181"/>
      <c r="HGF73" s="1181"/>
      <c r="HGG73" s="1181"/>
      <c r="HGH73" s="1181"/>
      <c r="HGI73" s="1181"/>
      <c r="HGJ73" s="1181"/>
      <c r="HGK73" s="1181"/>
      <c r="HGL73" s="1181"/>
      <c r="HGM73" s="1181"/>
      <c r="HGN73" s="1181"/>
      <c r="HGO73" s="1181"/>
      <c r="HGP73" s="1181"/>
      <c r="HGQ73" s="1181"/>
      <c r="HGR73" s="1181"/>
      <c r="HGS73" s="1181"/>
      <c r="HGT73" s="1181"/>
      <c r="HGU73" s="1181"/>
      <c r="HGV73" s="1181"/>
      <c r="HGW73" s="1181"/>
      <c r="HGX73" s="1181"/>
      <c r="HGY73" s="1181"/>
      <c r="HGZ73" s="1181"/>
      <c r="HHA73" s="1181"/>
      <c r="HHB73" s="1181"/>
      <c r="HHC73" s="1181"/>
      <c r="HHD73" s="1181"/>
      <c r="HHE73" s="1181"/>
      <c r="HHF73" s="1181"/>
      <c r="HHG73" s="1181"/>
      <c r="HHH73" s="1181"/>
      <c r="HHI73" s="1181"/>
      <c r="HHJ73" s="1181"/>
      <c r="HHK73" s="1181"/>
      <c r="HHL73" s="1181"/>
      <c r="HHM73" s="1181"/>
      <c r="HHN73" s="1181"/>
      <c r="HHO73" s="1181"/>
      <c r="HHP73" s="1181"/>
      <c r="HHQ73" s="1181"/>
      <c r="HHR73" s="1181"/>
      <c r="HHS73" s="1181"/>
      <c r="HHT73" s="1181"/>
      <c r="HHU73" s="1181"/>
      <c r="HHV73" s="1181"/>
      <c r="HHW73" s="1181"/>
      <c r="HHX73" s="1181"/>
      <c r="HHY73" s="1181"/>
      <c r="HHZ73" s="1181"/>
      <c r="HIA73" s="1181"/>
      <c r="HIB73" s="1181"/>
      <c r="HIC73" s="1181"/>
      <c r="HID73" s="1181"/>
      <c r="HIE73" s="1181"/>
      <c r="HIF73" s="1181"/>
      <c r="HIG73" s="1181"/>
      <c r="HIH73" s="1181"/>
      <c r="HII73" s="1181"/>
      <c r="HIJ73" s="1181"/>
      <c r="HIK73" s="1181"/>
      <c r="HIL73" s="1181"/>
      <c r="HIM73" s="1181"/>
      <c r="HIN73" s="1181"/>
      <c r="HIO73" s="1181"/>
      <c r="HIP73" s="1181"/>
      <c r="HIQ73" s="1181"/>
      <c r="HIR73" s="1181"/>
      <c r="HIS73" s="1181"/>
      <c r="HIT73" s="1181"/>
      <c r="HIU73" s="1181"/>
      <c r="HIV73" s="1181"/>
      <c r="HIW73" s="1181"/>
      <c r="HIX73" s="1181"/>
      <c r="HIY73" s="1181"/>
      <c r="HIZ73" s="1181"/>
      <c r="HJA73" s="1181"/>
      <c r="HJB73" s="1181"/>
      <c r="HJC73" s="1181"/>
      <c r="HJD73" s="1181"/>
      <c r="HJE73" s="1181"/>
      <c r="HJF73" s="1181"/>
      <c r="HJG73" s="1181"/>
      <c r="HJH73" s="1181"/>
      <c r="HJI73" s="1181"/>
      <c r="HJJ73" s="1181"/>
      <c r="HJK73" s="1181"/>
      <c r="HJL73" s="1181"/>
      <c r="HJM73" s="1181"/>
      <c r="HJN73" s="1181"/>
      <c r="HJO73" s="1181"/>
      <c r="HJP73" s="1181"/>
      <c r="HJQ73" s="1181"/>
      <c r="HJR73" s="1181"/>
      <c r="HJS73" s="1181"/>
      <c r="HJT73" s="1181"/>
      <c r="HJU73" s="1181"/>
      <c r="HJV73" s="1181"/>
      <c r="HJW73" s="1181"/>
      <c r="HJX73" s="1181"/>
      <c r="HJY73" s="1181"/>
      <c r="HJZ73" s="1181"/>
      <c r="HKA73" s="1181"/>
      <c r="HKB73" s="1181"/>
      <c r="HKC73" s="1181"/>
      <c r="HKD73" s="1181"/>
      <c r="HKE73" s="1181"/>
      <c r="HKF73" s="1181"/>
      <c r="HKG73" s="1181"/>
      <c r="HKH73" s="1181"/>
      <c r="HKI73" s="1181"/>
      <c r="HKJ73" s="1181"/>
      <c r="HKK73" s="1181"/>
      <c r="HKL73" s="1181"/>
      <c r="HKM73" s="1181"/>
      <c r="HKN73" s="1181"/>
      <c r="HKO73" s="1181"/>
      <c r="HKP73" s="1181"/>
      <c r="HKQ73" s="1181"/>
      <c r="HKR73" s="1181"/>
      <c r="HKS73" s="1181"/>
      <c r="HKT73" s="1181"/>
      <c r="HKU73" s="1181"/>
      <c r="HKV73" s="1181"/>
      <c r="HKW73" s="1181"/>
      <c r="HKX73" s="1181"/>
      <c r="HKY73" s="1181"/>
      <c r="HKZ73" s="1181"/>
      <c r="HLA73" s="1181"/>
      <c r="HLB73" s="1181"/>
      <c r="HLC73" s="1181"/>
      <c r="HLD73" s="1181"/>
      <c r="HLE73" s="1181"/>
      <c r="HLF73" s="1181"/>
      <c r="HLG73" s="1181"/>
      <c r="HLH73" s="1181"/>
      <c r="HLI73" s="1181"/>
      <c r="HLJ73" s="1181"/>
      <c r="HLK73" s="1181"/>
      <c r="HLL73" s="1181"/>
      <c r="HLM73" s="1181"/>
      <c r="HLN73" s="1181"/>
      <c r="HLO73" s="1181"/>
      <c r="HLP73" s="1181"/>
      <c r="HLQ73" s="1181"/>
      <c r="HLR73" s="1181"/>
      <c r="HLS73" s="1181"/>
      <c r="HLT73" s="1181"/>
      <c r="HLU73" s="1181"/>
      <c r="HLV73" s="1181"/>
      <c r="HLW73" s="1181"/>
      <c r="HLX73" s="1181"/>
      <c r="HLY73" s="1181"/>
      <c r="HLZ73" s="1181"/>
      <c r="HMA73" s="1181"/>
      <c r="HMB73" s="1181"/>
      <c r="HMC73" s="1181"/>
      <c r="HMD73" s="1181"/>
      <c r="HME73" s="1181"/>
      <c r="HMF73" s="1181"/>
      <c r="HMG73" s="1181"/>
      <c r="HMH73" s="1181"/>
      <c r="HMI73" s="1181"/>
      <c r="HMJ73" s="1181"/>
      <c r="HMK73" s="1181"/>
      <c r="HML73" s="1181"/>
      <c r="HMM73" s="1181"/>
      <c r="HMN73" s="1181"/>
      <c r="HMO73" s="1181"/>
      <c r="HMP73" s="1181"/>
      <c r="HMQ73" s="1181"/>
      <c r="HMR73" s="1181"/>
      <c r="HMS73" s="1181"/>
      <c r="HMT73" s="1181"/>
      <c r="HMU73" s="1181"/>
      <c r="HMV73" s="1181"/>
      <c r="HMW73" s="1181"/>
      <c r="HMX73" s="1181"/>
      <c r="HMY73" s="1181"/>
      <c r="HMZ73" s="1181"/>
      <c r="HNA73" s="1181"/>
      <c r="HNB73" s="1181"/>
      <c r="HNC73" s="1181"/>
      <c r="HND73" s="1181"/>
      <c r="HNE73" s="1181"/>
      <c r="HNF73" s="1181"/>
      <c r="HNG73" s="1181"/>
      <c r="HNH73" s="1181"/>
      <c r="HNI73" s="1181"/>
      <c r="HNJ73" s="1181"/>
      <c r="HNK73" s="1181"/>
      <c r="HNL73" s="1181"/>
      <c r="HNM73" s="1181"/>
      <c r="HNN73" s="1181"/>
      <c r="HNO73" s="1181"/>
      <c r="HNP73" s="1181"/>
      <c r="HNQ73" s="1181"/>
      <c r="HNR73" s="1181"/>
      <c r="HNS73" s="1181"/>
      <c r="HNT73" s="1181"/>
      <c r="HNU73" s="1181"/>
      <c r="HNV73" s="1181"/>
      <c r="HNW73" s="1181"/>
      <c r="HNX73" s="1181"/>
      <c r="HNY73" s="1181"/>
      <c r="HNZ73" s="1181"/>
      <c r="HOA73" s="1181"/>
      <c r="HOB73" s="1181"/>
      <c r="HOC73" s="1181"/>
      <c r="HOD73" s="1181"/>
      <c r="HOE73" s="1181"/>
      <c r="HOF73" s="1181"/>
      <c r="HOG73" s="1181"/>
      <c r="HOH73" s="1181"/>
      <c r="HOI73" s="1181"/>
      <c r="HOJ73" s="1181"/>
      <c r="HOK73" s="1181"/>
      <c r="HOL73" s="1181"/>
      <c r="HOM73" s="1181"/>
      <c r="HON73" s="1181"/>
      <c r="HOO73" s="1181"/>
      <c r="HOP73" s="1181"/>
      <c r="HOQ73" s="1181"/>
      <c r="HOR73" s="1181"/>
      <c r="HOS73" s="1181"/>
      <c r="HOT73" s="1181"/>
      <c r="HOU73" s="1181"/>
      <c r="HOV73" s="1181"/>
      <c r="HOW73" s="1181"/>
      <c r="HOX73" s="1181"/>
      <c r="HOY73" s="1181"/>
      <c r="HOZ73" s="1181"/>
      <c r="HPA73" s="1181"/>
      <c r="HPB73" s="1181"/>
      <c r="HPC73" s="1181"/>
      <c r="HPD73" s="1181"/>
      <c r="HPE73" s="1181"/>
      <c r="HPF73" s="1181"/>
      <c r="HPG73" s="1181"/>
      <c r="HPH73" s="1181"/>
      <c r="HPI73" s="1181"/>
      <c r="HPJ73" s="1181"/>
      <c r="HPK73" s="1181"/>
      <c r="HPL73" s="1181"/>
      <c r="HPM73" s="1181"/>
      <c r="HPN73" s="1181"/>
      <c r="HPO73" s="1181"/>
      <c r="HPP73" s="1181"/>
      <c r="HPQ73" s="1181"/>
      <c r="HPR73" s="1181"/>
      <c r="HPS73" s="1181"/>
      <c r="HPT73" s="1181"/>
      <c r="HPU73" s="1181"/>
      <c r="HPV73" s="1181"/>
      <c r="HPW73" s="1181"/>
      <c r="HPX73" s="1181"/>
      <c r="HPY73" s="1181"/>
      <c r="HPZ73" s="1181"/>
      <c r="HQA73" s="1181"/>
      <c r="HQB73" s="1181"/>
      <c r="HQC73" s="1181"/>
      <c r="HQD73" s="1181"/>
      <c r="HQE73" s="1181"/>
      <c r="HQF73" s="1181"/>
      <c r="HQG73" s="1181"/>
      <c r="HQH73" s="1181"/>
      <c r="HQI73" s="1181"/>
      <c r="HQJ73" s="1181"/>
      <c r="HQK73" s="1181"/>
      <c r="HQL73" s="1181"/>
      <c r="HQM73" s="1181"/>
      <c r="HQN73" s="1181"/>
      <c r="HQO73" s="1181"/>
      <c r="HQP73" s="1181"/>
      <c r="HQQ73" s="1181"/>
      <c r="HQR73" s="1181"/>
      <c r="HQS73" s="1181"/>
      <c r="HQT73" s="1181"/>
      <c r="HQU73" s="1181"/>
      <c r="HQV73" s="1181"/>
      <c r="HQW73" s="1181"/>
      <c r="HQX73" s="1181"/>
      <c r="HQY73" s="1181"/>
      <c r="HQZ73" s="1181"/>
      <c r="HRA73" s="1181"/>
      <c r="HRB73" s="1181"/>
      <c r="HRC73" s="1181"/>
      <c r="HRD73" s="1181"/>
      <c r="HRE73" s="1181"/>
      <c r="HRF73" s="1181"/>
      <c r="HRG73" s="1181"/>
      <c r="HRH73" s="1181"/>
      <c r="HRI73" s="1181"/>
      <c r="HRJ73" s="1181"/>
      <c r="HRK73" s="1181"/>
      <c r="HRL73" s="1181"/>
      <c r="HRM73" s="1181"/>
      <c r="HRN73" s="1181"/>
      <c r="HRO73" s="1181"/>
      <c r="HRP73" s="1181"/>
      <c r="HRQ73" s="1181"/>
      <c r="HRR73" s="1181"/>
      <c r="HRS73" s="1181"/>
      <c r="HRT73" s="1181"/>
      <c r="HRU73" s="1181"/>
      <c r="HRV73" s="1181"/>
      <c r="HRW73" s="1181"/>
      <c r="HRX73" s="1181"/>
      <c r="HRY73" s="1181"/>
      <c r="HRZ73" s="1181"/>
      <c r="HSA73" s="1181"/>
      <c r="HSB73" s="1181"/>
      <c r="HSC73" s="1181"/>
      <c r="HSD73" s="1181"/>
      <c r="HSE73" s="1181"/>
      <c r="HSF73" s="1181"/>
      <c r="HSG73" s="1181"/>
      <c r="HSH73" s="1181"/>
      <c r="HSI73" s="1181"/>
      <c r="HSJ73" s="1181"/>
      <c r="HSK73" s="1181"/>
      <c r="HSL73" s="1181"/>
      <c r="HSM73" s="1181"/>
      <c r="HSN73" s="1181"/>
      <c r="HSO73" s="1181"/>
      <c r="HSP73" s="1181"/>
      <c r="HSQ73" s="1181"/>
      <c r="HSR73" s="1181"/>
      <c r="HSS73" s="1181"/>
      <c r="HST73" s="1181"/>
      <c r="HSU73" s="1181"/>
      <c r="HSV73" s="1181"/>
      <c r="HSW73" s="1181"/>
      <c r="HSX73" s="1181"/>
      <c r="HSY73" s="1181"/>
      <c r="HSZ73" s="1181"/>
      <c r="HTA73" s="1181"/>
      <c r="HTB73" s="1181"/>
      <c r="HTC73" s="1181"/>
      <c r="HTD73" s="1181"/>
      <c r="HTE73" s="1181"/>
      <c r="HTF73" s="1181"/>
      <c r="HTG73" s="1181"/>
      <c r="HTH73" s="1181"/>
      <c r="HTI73" s="1181"/>
      <c r="HTJ73" s="1181"/>
      <c r="HTK73" s="1181"/>
      <c r="HTL73" s="1181"/>
      <c r="HTM73" s="1181"/>
      <c r="HTN73" s="1181"/>
      <c r="HTO73" s="1181"/>
      <c r="HTP73" s="1181"/>
      <c r="HTQ73" s="1181"/>
      <c r="HTR73" s="1181"/>
      <c r="HTS73" s="1181"/>
      <c r="HTT73" s="1181"/>
      <c r="HTU73" s="1181"/>
      <c r="HTV73" s="1181"/>
      <c r="HTW73" s="1181"/>
      <c r="HTX73" s="1181"/>
      <c r="HTY73" s="1181"/>
      <c r="HTZ73" s="1181"/>
      <c r="HUA73" s="1181"/>
      <c r="HUB73" s="1181"/>
      <c r="HUC73" s="1181"/>
      <c r="HUD73" s="1181"/>
      <c r="HUE73" s="1181"/>
      <c r="HUF73" s="1181"/>
      <c r="HUG73" s="1181"/>
      <c r="HUH73" s="1181"/>
      <c r="HUI73" s="1181"/>
      <c r="HUJ73" s="1181"/>
      <c r="HUK73" s="1181"/>
      <c r="HUL73" s="1181"/>
      <c r="HUM73" s="1181"/>
      <c r="HUN73" s="1181"/>
      <c r="HUO73" s="1181"/>
      <c r="HUP73" s="1181"/>
      <c r="HUQ73" s="1181"/>
      <c r="HUR73" s="1181"/>
      <c r="HUS73" s="1181"/>
      <c r="HUT73" s="1181"/>
      <c r="HUU73" s="1181"/>
      <c r="HUV73" s="1181"/>
      <c r="HUW73" s="1181"/>
      <c r="HUX73" s="1181"/>
      <c r="HUY73" s="1181"/>
      <c r="HUZ73" s="1181"/>
      <c r="HVA73" s="1181"/>
      <c r="HVB73" s="1181"/>
      <c r="HVC73" s="1181"/>
      <c r="HVD73" s="1181"/>
      <c r="HVE73" s="1181"/>
      <c r="HVF73" s="1181"/>
      <c r="HVG73" s="1181"/>
      <c r="HVH73" s="1181"/>
      <c r="HVI73" s="1181"/>
      <c r="HVJ73" s="1181"/>
      <c r="HVK73" s="1181"/>
      <c r="HVL73" s="1181"/>
      <c r="HVM73" s="1181"/>
      <c r="HVN73" s="1181"/>
      <c r="HVO73" s="1181"/>
      <c r="HVP73" s="1181"/>
      <c r="HVQ73" s="1181"/>
      <c r="HVR73" s="1181"/>
      <c r="HVS73" s="1181"/>
      <c r="HVT73" s="1181"/>
      <c r="HVU73" s="1181"/>
      <c r="HVV73" s="1181"/>
      <c r="HVW73" s="1181"/>
      <c r="HVX73" s="1181"/>
      <c r="HVY73" s="1181"/>
      <c r="HVZ73" s="1181"/>
      <c r="HWA73" s="1181"/>
      <c r="HWB73" s="1181"/>
      <c r="HWC73" s="1181"/>
      <c r="HWD73" s="1181"/>
      <c r="HWE73" s="1181"/>
      <c r="HWF73" s="1181"/>
      <c r="HWG73" s="1181"/>
      <c r="HWH73" s="1181"/>
      <c r="HWI73" s="1181"/>
      <c r="HWJ73" s="1181"/>
      <c r="HWK73" s="1181"/>
      <c r="HWL73" s="1181"/>
      <c r="HWM73" s="1181"/>
      <c r="HWN73" s="1181"/>
      <c r="HWO73" s="1181"/>
      <c r="HWP73" s="1181"/>
      <c r="HWQ73" s="1181"/>
      <c r="HWR73" s="1181"/>
      <c r="HWS73" s="1181"/>
      <c r="HWT73" s="1181"/>
      <c r="HWU73" s="1181"/>
      <c r="HWV73" s="1181"/>
      <c r="HWW73" s="1181"/>
      <c r="HWX73" s="1181"/>
      <c r="HWY73" s="1181"/>
      <c r="HWZ73" s="1181"/>
      <c r="HXA73" s="1181"/>
      <c r="HXB73" s="1181"/>
      <c r="HXC73" s="1181"/>
      <c r="HXD73" s="1181"/>
      <c r="HXE73" s="1181"/>
      <c r="HXF73" s="1181"/>
      <c r="HXG73" s="1181"/>
      <c r="HXH73" s="1181"/>
      <c r="HXI73" s="1181"/>
      <c r="HXJ73" s="1181"/>
      <c r="HXK73" s="1181"/>
      <c r="HXL73" s="1181"/>
      <c r="HXM73" s="1181"/>
      <c r="HXN73" s="1181"/>
      <c r="HXO73" s="1181"/>
      <c r="HXP73" s="1181"/>
      <c r="HXQ73" s="1181"/>
      <c r="HXR73" s="1181"/>
      <c r="HXS73" s="1181"/>
      <c r="HXT73" s="1181"/>
      <c r="HXU73" s="1181"/>
      <c r="HXV73" s="1181"/>
      <c r="HXW73" s="1181"/>
      <c r="HXX73" s="1181"/>
      <c r="HXY73" s="1181"/>
      <c r="HXZ73" s="1181"/>
      <c r="HYA73" s="1181"/>
      <c r="HYB73" s="1181"/>
      <c r="HYC73" s="1181"/>
      <c r="HYD73" s="1181"/>
      <c r="HYE73" s="1181"/>
      <c r="HYF73" s="1181"/>
      <c r="HYG73" s="1181"/>
      <c r="HYH73" s="1181"/>
      <c r="HYI73" s="1181"/>
      <c r="HYJ73" s="1181"/>
      <c r="HYK73" s="1181"/>
      <c r="HYL73" s="1181"/>
      <c r="HYM73" s="1181"/>
      <c r="HYN73" s="1181"/>
      <c r="HYO73" s="1181"/>
      <c r="HYP73" s="1181"/>
      <c r="HYQ73" s="1181"/>
      <c r="HYR73" s="1181"/>
      <c r="HYS73" s="1181"/>
      <c r="HYT73" s="1181"/>
      <c r="HYU73" s="1181"/>
      <c r="HYV73" s="1181"/>
      <c r="HYW73" s="1181"/>
      <c r="HYX73" s="1181"/>
      <c r="HYY73" s="1181"/>
      <c r="HYZ73" s="1181"/>
      <c r="HZA73" s="1181"/>
      <c r="HZB73" s="1181"/>
      <c r="HZC73" s="1181"/>
      <c r="HZD73" s="1181"/>
      <c r="HZE73" s="1181"/>
      <c r="HZF73" s="1181"/>
      <c r="HZG73" s="1181"/>
      <c r="HZH73" s="1181"/>
      <c r="HZI73" s="1181"/>
      <c r="HZJ73" s="1181"/>
      <c r="HZK73" s="1181"/>
      <c r="HZL73" s="1181"/>
      <c r="HZM73" s="1181"/>
      <c r="HZN73" s="1181"/>
      <c r="HZO73" s="1181"/>
      <c r="HZP73" s="1181"/>
      <c r="HZQ73" s="1181"/>
      <c r="HZR73" s="1181"/>
      <c r="HZS73" s="1181"/>
      <c r="HZT73" s="1181"/>
      <c r="HZU73" s="1181"/>
      <c r="HZV73" s="1181"/>
      <c r="HZW73" s="1181"/>
      <c r="HZX73" s="1181"/>
      <c r="HZY73" s="1181"/>
      <c r="HZZ73" s="1181"/>
      <c r="IAA73" s="1181"/>
      <c r="IAB73" s="1181"/>
      <c r="IAC73" s="1181"/>
      <c r="IAD73" s="1181"/>
      <c r="IAE73" s="1181"/>
      <c r="IAF73" s="1181"/>
      <c r="IAG73" s="1181"/>
      <c r="IAH73" s="1181"/>
      <c r="IAI73" s="1181"/>
      <c r="IAJ73" s="1181"/>
      <c r="IAK73" s="1181"/>
      <c r="IAL73" s="1181"/>
      <c r="IAM73" s="1181"/>
      <c r="IAN73" s="1181"/>
      <c r="IAO73" s="1181"/>
      <c r="IAP73" s="1181"/>
      <c r="IAQ73" s="1181"/>
      <c r="IAR73" s="1181"/>
      <c r="IAS73" s="1181"/>
      <c r="IAT73" s="1181"/>
      <c r="IAU73" s="1181"/>
      <c r="IAV73" s="1181"/>
      <c r="IAW73" s="1181"/>
      <c r="IAX73" s="1181"/>
      <c r="IAY73" s="1181"/>
      <c r="IAZ73" s="1181"/>
      <c r="IBA73" s="1181"/>
      <c r="IBB73" s="1181"/>
      <c r="IBC73" s="1181"/>
      <c r="IBD73" s="1181"/>
      <c r="IBE73" s="1181"/>
      <c r="IBF73" s="1181"/>
      <c r="IBG73" s="1181"/>
      <c r="IBH73" s="1181"/>
      <c r="IBI73" s="1181"/>
      <c r="IBJ73" s="1181"/>
      <c r="IBK73" s="1181"/>
      <c r="IBL73" s="1181"/>
      <c r="IBM73" s="1181"/>
      <c r="IBN73" s="1181"/>
      <c r="IBO73" s="1181"/>
      <c r="IBP73" s="1181"/>
      <c r="IBQ73" s="1181"/>
      <c r="IBR73" s="1181"/>
      <c r="IBS73" s="1181"/>
      <c r="IBT73" s="1181"/>
      <c r="IBU73" s="1181"/>
      <c r="IBV73" s="1181"/>
      <c r="IBW73" s="1181"/>
      <c r="IBX73" s="1181"/>
      <c r="IBY73" s="1181"/>
      <c r="IBZ73" s="1181"/>
      <c r="ICA73" s="1181"/>
      <c r="ICB73" s="1181"/>
      <c r="ICC73" s="1181"/>
      <c r="ICD73" s="1181"/>
      <c r="ICE73" s="1181"/>
      <c r="ICF73" s="1181"/>
      <c r="ICG73" s="1181"/>
      <c r="ICH73" s="1181"/>
      <c r="ICI73" s="1181"/>
      <c r="ICJ73" s="1181"/>
      <c r="ICK73" s="1181"/>
      <c r="ICL73" s="1181"/>
      <c r="ICM73" s="1181"/>
      <c r="ICN73" s="1181"/>
      <c r="ICO73" s="1181"/>
      <c r="ICP73" s="1181"/>
      <c r="ICQ73" s="1181"/>
      <c r="ICR73" s="1181"/>
      <c r="ICS73" s="1181"/>
      <c r="ICT73" s="1181"/>
      <c r="ICU73" s="1181"/>
      <c r="ICV73" s="1181"/>
      <c r="ICW73" s="1181"/>
      <c r="ICX73" s="1181"/>
      <c r="ICY73" s="1181"/>
      <c r="ICZ73" s="1181"/>
      <c r="IDA73" s="1181"/>
      <c r="IDB73" s="1181"/>
      <c r="IDC73" s="1181"/>
      <c r="IDD73" s="1181"/>
      <c r="IDE73" s="1181"/>
      <c r="IDF73" s="1181"/>
      <c r="IDG73" s="1181"/>
      <c r="IDH73" s="1181"/>
      <c r="IDI73" s="1181"/>
      <c r="IDJ73" s="1181"/>
      <c r="IDK73" s="1181"/>
      <c r="IDL73" s="1181"/>
      <c r="IDM73" s="1181"/>
      <c r="IDN73" s="1181"/>
      <c r="IDO73" s="1181"/>
      <c r="IDP73" s="1181"/>
      <c r="IDQ73" s="1181"/>
      <c r="IDR73" s="1181"/>
      <c r="IDS73" s="1181"/>
      <c r="IDT73" s="1181"/>
      <c r="IDU73" s="1181"/>
      <c r="IDV73" s="1181"/>
      <c r="IDW73" s="1181"/>
      <c r="IDX73" s="1181"/>
      <c r="IDY73" s="1181"/>
      <c r="IDZ73" s="1181"/>
      <c r="IEA73" s="1181"/>
      <c r="IEB73" s="1181"/>
      <c r="IEC73" s="1181"/>
      <c r="IED73" s="1181"/>
      <c r="IEE73" s="1181"/>
      <c r="IEF73" s="1181"/>
      <c r="IEG73" s="1181"/>
      <c r="IEH73" s="1181"/>
      <c r="IEI73" s="1181"/>
      <c r="IEJ73" s="1181"/>
      <c r="IEK73" s="1181"/>
      <c r="IEL73" s="1181"/>
      <c r="IEM73" s="1181"/>
      <c r="IEN73" s="1181"/>
      <c r="IEO73" s="1181"/>
      <c r="IEP73" s="1181"/>
      <c r="IEQ73" s="1181"/>
      <c r="IER73" s="1181"/>
      <c r="IES73" s="1181"/>
      <c r="IET73" s="1181"/>
      <c r="IEU73" s="1181"/>
      <c r="IEV73" s="1181"/>
      <c r="IEW73" s="1181"/>
      <c r="IEX73" s="1181"/>
      <c r="IEY73" s="1181"/>
      <c r="IEZ73" s="1181"/>
      <c r="IFA73" s="1181"/>
      <c r="IFB73" s="1181"/>
      <c r="IFC73" s="1181"/>
      <c r="IFD73" s="1181"/>
      <c r="IFE73" s="1181"/>
      <c r="IFF73" s="1181"/>
      <c r="IFG73" s="1181"/>
      <c r="IFH73" s="1181"/>
      <c r="IFI73" s="1181"/>
      <c r="IFJ73" s="1181"/>
      <c r="IFK73" s="1181"/>
      <c r="IFL73" s="1181"/>
      <c r="IFM73" s="1181"/>
      <c r="IFN73" s="1181"/>
      <c r="IFO73" s="1181"/>
      <c r="IFP73" s="1181"/>
      <c r="IFQ73" s="1181"/>
      <c r="IFR73" s="1181"/>
      <c r="IFS73" s="1181"/>
      <c r="IFT73" s="1181"/>
      <c r="IFU73" s="1181"/>
      <c r="IFV73" s="1181"/>
      <c r="IFW73" s="1181"/>
      <c r="IFX73" s="1181"/>
      <c r="IFY73" s="1181"/>
      <c r="IFZ73" s="1181"/>
      <c r="IGA73" s="1181"/>
      <c r="IGB73" s="1181"/>
      <c r="IGC73" s="1181"/>
      <c r="IGD73" s="1181"/>
      <c r="IGE73" s="1181"/>
      <c r="IGF73" s="1181"/>
      <c r="IGG73" s="1181"/>
      <c r="IGH73" s="1181"/>
      <c r="IGI73" s="1181"/>
      <c r="IGJ73" s="1181"/>
      <c r="IGK73" s="1181"/>
      <c r="IGL73" s="1181"/>
      <c r="IGM73" s="1181"/>
      <c r="IGN73" s="1181"/>
      <c r="IGO73" s="1181"/>
      <c r="IGP73" s="1181"/>
      <c r="IGQ73" s="1181"/>
      <c r="IGR73" s="1181"/>
      <c r="IGS73" s="1181"/>
      <c r="IGT73" s="1181"/>
      <c r="IGU73" s="1181"/>
      <c r="IGV73" s="1181"/>
      <c r="IGW73" s="1181"/>
      <c r="IGX73" s="1181"/>
      <c r="IGY73" s="1181"/>
      <c r="IGZ73" s="1181"/>
      <c r="IHA73" s="1181"/>
      <c r="IHB73" s="1181"/>
      <c r="IHC73" s="1181"/>
      <c r="IHD73" s="1181"/>
      <c r="IHE73" s="1181"/>
      <c r="IHF73" s="1181"/>
      <c r="IHG73" s="1181"/>
      <c r="IHH73" s="1181"/>
      <c r="IHI73" s="1181"/>
      <c r="IHJ73" s="1181"/>
      <c r="IHK73" s="1181"/>
      <c r="IHL73" s="1181"/>
      <c r="IHM73" s="1181"/>
      <c r="IHN73" s="1181"/>
      <c r="IHO73" s="1181"/>
      <c r="IHP73" s="1181"/>
      <c r="IHQ73" s="1181"/>
      <c r="IHR73" s="1181"/>
      <c r="IHS73" s="1181"/>
      <c r="IHT73" s="1181"/>
      <c r="IHU73" s="1181"/>
      <c r="IHV73" s="1181"/>
      <c r="IHW73" s="1181"/>
      <c r="IHX73" s="1181"/>
      <c r="IHY73" s="1181"/>
      <c r="IHZ73" s="1181"/>
      <c r="IIA73" s="1181"/>
      <c r="IIB73" s="1181"/>
      <c r="IIC73" s="1181"/>
      <c r="IID73" s="1181"/>
      <c r="IIE73" s="1181"/>
      <c r="IIF73" s="1181"/>
      <c r="IIG73" s="1181"/>
      <c r="IIH73" s="1181"/>
      <c r="III73" s="1181"/>
      <c r="IIJ73" s="1181"/>
      <c r="IIK73" s="1181"/>
      <c r="IIL73" s="1181"/>
      <c r="IIM73" s="1181"/>
      <c r="IIN73" s="1181"/>
      <c r="IIO73" s="1181"/>
      <c r="IIP73" s="1181"/>
      <c r="IIQ73" s="1181"/>
      <c r="IIR73" s="1181"/>
      <c r="IIS73" s="1181"/>
      <c r="IIT73" s="1181"/>
      <c r="IIU73" s="1181"/>
      <c r="IIV73" s="1181"/>
      <c r="IIW73" s="1181"/>
      <c r="IIX73" s="1181"/>
      <c r="IIY73" s="1181"/>
      <c r="IIZ73" s="1181"/>
      <c r="IJA73" s="1181"/>
      <c r="IJB73" s="1181"/>
      <c r="IJC73" s="1181"/>
      <c r="IJD73" s="1181"/>
      <c r="IJE73" s="1181"/>
      <c r="IJF73" s="1181"/>
      <c r="IJG73" s="1181"/>
      <c r="IJH73" s="1181"/>
      <c r="IJI73" s="1181"/>
      <c r="IJJ73" s="1181"/>
      <c r="IJK73" s="1181"/>
      <c r="IJL73" s="1181"/>
      <c r="IJM73" s="1181"/>
      <c r="IJN73" s="1181"/>
      <c r="IJO73" s="1181"/>
      <c r="IJP73" s="1181"/>
      <c r="IJQ73" s="1181"/>
      <c r="IJR73" s="1181"/>
      <c r="IJS73" s="1181"/>
      <c r="IJT73" s="1181"/>
      <c r="IJU73" s="1181"/>
      <c r="IJV73" s="1181"/>
      <c r="IJW73" s="1181"/>
      <c r="IJX73" s="1181"/>
      <c r="IJY73" s="1181"/>
      <c r="IJZ73" s="1181"/>
      <c r="IKA73" s="1181"/>
      <c r="IKB73" s="1181"/>
      <c r="IKC73" s="1181"/>
      <c r="IKD73" s="1181"/>
      <c r="IKE73" s="1181"/>
      <c r="IKF73" s="1181"/>
      <c r="IKG73" s="1181"/>
      <c r="IKH73" s="1181"/>
      <c r="IKI73" s="1181"/>
      <c r="IKJ73" s="1181"/>
      <c r="IKK73" s="1181"/>
      <c r="IKL73" s="1181"/>
      <c r="IKM73" s="1181"/>
      <c r="IKN73" s="1181"/>
      <c r="IKO73" s="1181"/>
      <c r="IKP73" s="1181"/>
      <c r="IKQ73" s="1181"/>
      <c r="IKR73" s="1181"/>
      <c r="IKS73" s="1181"/>
      <c r="IKT73" s="1181"/>
      <c r="IKU73" s="1181"/>
      <c r="IKV73" s="1181"/>
      <c r="IKW73" s="1181"/>
      <c r="IKX73" s="1181"/>
      <c r="IKY73" s="1181"/>
      <c r="IKZ73" s="1181"/>
      <c r="ILA73" s="1181"/>
      <c r="ILB73" s="1181"/>
      <c r="ILC73" s="1181"/>
      <c r="ILD73" s="1181"/>
      <c r="ILE73" s="1181"/>
      <c r="ILF73" s="1181"/>
      <c r="ILG73" s="1181"/>
      <c r="ILH73" s="1181"/>
      <c r="ILI73" s="1181"/>
      <c r="ILJ73" s="1181"/>
      <c r="ILK73" s="1181"/>
      <c r="ILL73" s="1181"/>
      <c r="ILM73" s="1181"/>
      <c r="ILN73" s="1181"/>
      <c r="ILO73" s="1181"/>
      <c r="ILP73" s="1181"/>
      <c r="ILQ73" s="1181"/>
      <c r="ILR73" s="1181"/>
      <c r="ILS73" s="1181"/>
      <c r="ILT73" s="1181"/>
      <c r="ILU73" s="1181"/>
      <c r="ILV73" s="1181"/>
      <c r="ILW73" s="1181"/>
      <c r="ILX73" s="1181"/>
      <c r="ILY73" s="1181"/>
      <c r="ILZ73" s="1181"/>
      <c r="IMA73" s="1181"/>
      <c r="IMB73" s="1181"/>
      <c r="IMC73" s="1181"/>
      <c r="IMD73" s="1181"/>
      <c r="IME73" s="1181"/>
      <c r="IMF73" s="1181"/>
      <c r="IMG73" s="1181"/>
      <c r="IMH73" s="1181"/>
      <c r="IMI73" s="1181"/>
      <c r="IMJ73" s="1181"/>
      <c r="IMK73" s="1181"/>
      <c r="IML73" s="1181"/>
      <c r="IMM73" s="1181"/>
      <c r="IMN73" s="1181"/>
      <c r="IMO73" s="1181"/>
      <c r="IMP73" s="1181"/>
      <c r="IMQ73" s="1181"/>
      <c r="IMR73" s="1181"/>
      <c r="IMS73" s="1181"/>
      <c r="IMT73" s="1181"/>
      <c r="IMU73" s="1181"/>
      <c r="IMV73" s="1181"/>
      <c r="IMW73" s="1181"/>
      <c r="IMX73" s="1181"/>
      <c r="IMY73" s="1181"/>
      <c r="IMZ73" s="1181"/>
      <c r="INA73" s="1181"/>
      <c r="INB73" s="1181"/>
      <c r="INC73" s="1181"/>
      <c r="IND73" s="1181"/>
      <c r="INE73" s="1181"/>
      <c r="INF73" s="1181"/>
      <c r="ING73" s="1181"/>
      <c r="INH73" s="1181"/>
      <c r="INI73" s="1181"/>
      <c r="INJ73" s="1181"/>
      <c r="INK73" s="1181"/>
      <c r="INL73" s="1181"/>
      <c r="INM73" s="1181"/>
      <c r="INN73" s="1181"/>
      <c r="INO73" s="1181"/>
      <c r="INP73" s="1181"/>
      <c r="INQ73" s="1181"/>
      <c r="INR73" s="1181"/>
      <c r="INS73" s="1181"/>
      <c r="INT73" s="1181"/>
      <c r="INU73" s="1181"/>
      <c r="INV73" s="1181"/>
      <c r="INW73" s="1181"/>
      <c r="INX73" s="1181"/>
      <c r="INY73" s="1181"/>
      <c r="INZ73" s="1181"/>
      <c r="IOA73" s="1181"/>
      <c r="IOB73" s="1181"/>
      <c r="IOC73" s="1181"/>
      <c r="IOD73" s="1181"/>
      <c r="IOE73" s="1181"/>
      <c r="IOF73" s="1181"/>
      <c r="IOG73" s="1181"/>
      <c r="IOH73" s="1181"/>
      <c r="IOI73" s="1181"/>
      <c r="IOJ73" s="1181"/>
      <c r="IOK73" s="1181"/>
      <c r="IOL73" s="1181"/>
      <c r="IOM73" s="1181"/>
      <c r="ION73" s="1181"/>
      <c r="IOO73" s="1181"/>
      <c r="IOP73" s="1181"/>
      <c r="IOQ73" s="1181"/>
      <c r="IOR73" s="1181"/>
      <c r="IOS73" s="1181"/>
      <c r="IOT73" s="1181"/>
      <c r="IOU73" s="1181"/>
      <c r="IOV73" s="1181"/>
      <c r="IOW73" s="1181"/>
      <c r="IOX73" s="1181"/>
      <c r="IOY73" s="1181"/>
      <c r="IOZ73" s="1181"/>
      <c r="IPA73" s="1181"/>
      <c r="IPB73" s="1181"/>
      <c r="IPC73" s="1181"/>
      <c r="IPD73" s="1181"/>
      <c r="IPE73" s="1181"/>
      <c r="IPF73" s="1181"/>
      <c r="IPG73" s="1181"/>
      <c r="IPH73" s="1181"/>
      <c r="IPI73" s="1181"/>
      <c r="IPJ73" s="1181"/>
      <c r="IPK73" s="1181"/>
      <c r="IPL73" s="1181"/>
      <c r="IPM73" s="1181"/>
      <c r="IPN73" s="1181"/>
      <c r="IPO73" s="1181"/>
      <c r="IPP73" s="1181"/>
      <c r="IPQ73" s="1181"/>
      <c r="IPR73" s="1181"/>
      <c r="IPS73" s="1181"/>
      <c r="IPT73" s="1181"/>
      <c r="IPU73" s="1181"/>
      <c r="IPV73" s="1181"/>
      <c r="IPW73" s="1181"/>
      <c r="IPX73" s="1181"/>
      <c r="IPY73" s="1181"/>
      <c r="IPZ73" s="1181"/>
      <c r="IQA73" s="1181"/>
      <c r="IQB73" s="1181"/>
      <c r="IQC73" s="1181"/>
      <c r="IQD73" s="1181"/>
      <c r="IQE73" s="1181"/>
      <c r="IQF73" s="1181"/>
      <c r="IQG73" s="1181"/>
      <c r="IQH73" s="1181"/>
      <c r="IQI73" s="1181"/>
      <c r="IQJ73" s="1181"/>
      <c r="IQK73" s="1181"/>
      <c r="IQL73" s="1181"/>
      <c r="IQM73" s="1181"/>
      <c r="IQN73" s="1181"/>
      <c r="IQO73" s="1181"/>
      <c r="IQP73" s="1181"/>
      <c r="IQQ73" s="1181"/>
      <c r="IQR73" s="1181"/>
      <c r="IQS73" s="1181"/>
      <c r="IQT73" s="1181"/>
      <c r="IQU73" s="1181"/>
      <c r="IQV73" s="1181"/>
      <c r="IQW73" s="1181"/>
      <c r="IQX73" s="1181"/>
      <c r="IQY73" s="1181"/>
      <c r="IQZ73" s="1181"/>
      <c r="IRA73" s="1181"/>
      <c r="IRB73" s="1181"/>
      <c r="IRC73" s="1181"/>
      <c r="IRD73" s="1181"/>
      <c r="IRE73" s="1181"/>
      <c r="IRF73" s="1181"/>
      <c r="IRG73" s="1181"/>
      <c r="IRH73" s="1181"/>
      <c r="IRI73" s="1181"/>
      <c r="IRJ73" s="1181"/>
      <c r="IRK73" s="1181"/>
      <c r="IRL73" s="1181"/>
      <c r="IRM73" s="1181"/>
      <c r="IRN73" s="1181"/>
      <c r="IRO73" s="1181"/>
      <c r="IRP73" s="1181"/>
      <c r="IRQ73" s="1181"/>
      <c r="IRR73" s="1181"/>
      <c r="IRS73" s="1181"/>
      <c r="IRT73" s="1181"/>
      <c r="IRU73" s="1181"/>
      <c r="IRV73" s="1181"/>
      <c r="IRW73" s="1181"/>
      <c r="IRX73" s="1181"/>
      <c r="IRY73" s="1181"/>
      <c r="IRZ73" s="1181"/>
      <c r="ISA73" s="1181"/>
      <c r="ISB73" s="1181"/>
      <c r="ISC73" s="1181"/>
      <c r="ISD73" s="1181"/>
      <c r="ISE73" s="1181"/>
      <c r="ISF73" s="1181"/>
      <c r="ISG73" s="1181"/>
      <c r="ISH73" s="1181"/>
      <c r="ISI73" s="1181"/>
      <c r="ISJ73" s="1181"/>
      <c r="ISK73" s="1181"/>
      <c r="ISL73" s="1181"/>
      <c r="ISM73" s="1181"/>
      <c r="ISN73" s="1181"/>
      <c r="ISO73" s="1181"/>
      <c r="ISP73" s="1181"/>
      <c r="ISQ73" s="1181"/>
      <c r="ISR73" s="1181"/>
      <c r="ISS73" s="1181"/>
      <c r="IST73" s="1181"/>
      <c r="ISU73" s="1181"/>
      <c r="ISV73" s="1181"/>
      <c r="ISW73" s="1181"/>
      <c r="ISX73" s="1181"/>
      <c r="ISY73" s="1181"/>
      <c r="ISZ73" s="1181"/>
      <c r="ITA73" s="1181"/>
      <c r="ITB73" s="1181"/>
      <c r="ITC73" s="1181"/>
      <c r="ITD73" s="1181"/>
      <c r="ITE73" s="1181"/>
      <c r="ITF73" s="1181"/>
      <c r="ITG73" s="1181"/>
      <c r="ITH73" s="1181"/>
      <c r="ITI73" s="1181"/>
      <c r="ITJ73" s="1181"/>
      <c r="ITK73" s="1181"/>
      <c r="ITL73" s="1181"/>
      <c r="ITM73" s="1181"/>
      <c r="ITN73" s="1181"/>
      <c r="ITO73" s="1181"/>
      <c r="ITP73" s="1181"/>
      <c r="ITQ73" s="1181"/>
      <c r="ITR73" s="1181"/>
      <c r="ITS73" s="1181"/>
      <c r="ITT73" s="1181"/>
      <c r="ITU73" s="1181"/>
      <c r="ITV73" s="1181"/>
      <c r="ITW73" s="1181"/>
      <c r="ITX73" s="1181"/>
      <c r="ITY73" s="1181"/>
      <c r="ITZ73" s="1181"/>
      <c r="IUA73" s="1181"/>
      <c r="IUB73" s="1181"/>
      <c r="IUC73" s="1181"/>
      <c r="IUD73" s="1181"/>
      <c r="IUE73" s="1181"/>
      <c r="IUF73" s="1181"/>
      <c r="IUG73" s="1181"/>
      <c r="IUH73" s="1181"/>
      <c r="IUI73" s="1181"/>
      <c r="IUJ73" s="1181"/>
      <c r="IUK73" s="1181"/>
      <c r="IUL73" s="1181"/>
      <c r="IUM73" s="1181"/>
      <c r="IUN73" s="1181"/>
      <c r="IUO73" s="1181"/>
      <c r="IUP73" s="1181"/>
      <c r="IUQ73" s="1181"/>
      <c r="IUR73" s="1181"/>
      <c r="IUS73" s="1181"/>
      <c r="IUT73" s="1181"/>
      <c r="IUU73" s="1181"/>
      <c r="IUV73" s="1181"/>
      <c r="IUW73" s="1181"/>
      <c r="IUX73" s="1181"/>
      <c r="IUY73" s="1181"/>
      <c r="IUZ73" s="1181"/>
      <c r="IVA73" s="1181"/>
      <c r="IVB73" s="1181"/>
      <c r="IVC73" s="1181"/>
      <c r="IVD73" s="1181"/>
      <c r="IVE73" s="1181"/>
      <c r="IVF73" s="1181"/>
      <c r="IVG73" s="1181"/>
      <c r="IVH73" s="1181"/>
      <c r="IVI73" s="1181"/>
      <c r="IVJ73" s="1181"/>
      <c r="IVK73" s="1181"/>
      <c r="IVL73" s="1181"/>
      <c r="IVM73" s="1181"/>
      <c r="IVN73" s="1181"/>
      <c r="IVO73" s="1181"/>
      <c r="IVP73" s="1181"/>
      <c r="IVQ73" s="1181"/>
      <c r="IVR73" s="1181"/>
      <c r="IVS73" s="1181"/>
      <c r="IVT73" s="1181"/>
      <c r="IVU73" s="1181"/>
      <c r="IVV73" s="1181"/>
      <c r="IVW73" s="1181"/>
      <c r="IVX73" s="1181"/>
      <c r="IVY73" s="1181"/>
      <c r="IVZ73" s="1181"/>
      <c r="IWA73" s="1181"/>
      <c r="IWB73" s="1181"/>
      <c r="IWC73" s="1181"/>
      <c r="IWD73" s="1181"/>
      <c r="IWE73" s="1181"/>
      <c r="IWF73" s="1181"/>
      <c r="IWG73" s="1181"/>
      <c r="IWH73" s="1181"/>
      <c r="IWI73" s="1181"/>
      <c r="IWJ73" s="1181"/>
      <c r="IWK73" s="1181"/>
      <c r="IWL73" s="1181"/>
      <c r="IWM73" s="1181"/>
      <c r="IWN73" s="1181"/>
      <c r="IWO73" s="1181"/>
      <c r="IWP73" s="1181"/>
      <c r="IWQ73" s="1181"/>
      <c r="IWR73" s="1181"/>
      <c r="IWS73" s="1181"/>
      <c r="IWT73" s="1181"/>
      <c r="IWU73" s="1181"/>
      <c r="IWV73" s="1181"/>
      <c r="IWW73" s="1181"/>
      <c r="IWX73" s="1181"/>
      <c r="IWY73" s="1181"/>
      <c r="IWZ73" s="1181"/>
      <c r="IXA73" s="1181"/>
      <c r="IXB73" s="1181"/>
      <c r="IXC73" s="1181"/>
      <c r="IXD73" s="1181"/>
      <c r="IXE73" s="1181"/>
      <c r="IXF73" s="1181"/>
      <c r="IXG73" s="1181"/>
      <c r="IXH73" s="1181"/>
      <c r="IXI73" s="1181"/>
      <c r="IXJ73" s="1181"/>
      <c r="IXK73" s="1181"/>
      <c r="IXL73" s="1181"/>
      <c r="IXM73" s="1181"/>
      <c r="IXN73" s="1181"/>
      <c r="IXO73" s="1181"/>
      <c r="IXP73" s="1181"/>
      <c r="IXQ73" s="1181"/>
      <c r="IXR73" s="1181"/>
      <c r="IXS73" s="1181"/>
      <c r="IXT73" s="1181"/>
      <c r="IXU73" s="1181"/>
      <c r="IXV73" s="1181"/>
      <c r="IXW73" s="1181"/>
      <c r="IXX73" s="1181"/>
      <c r="IXY73" s="1181"/>
      <c r="IXZ73" s="1181"/>
      <c r="IYA73" s="1181"/>
      <c r="IYB73" s="1181"/>
      <c r="IYC73" s="1181"/>
      <c r="IYD73" s="1181"/>
      <c r="IYE73" s="1181"/>
      <c r="IYF73" s="1181"/>
      <c r="IYG73" s="1181"/>
      <c r="IYH73" s="1181"/>
      <c r="IYI73" s="1181"/>
      <c r="IYJ73" s="1181"/>
      <c r="IYK73" s="1181"/>
      <c r="IYL73" s="1181"/>
      <c r="IYM73" s="1181"/>
      <c r="IYN73" s="1181"/>
      <c r="IYO73" s="1181"/>
      <c r="IYP73" s="1181"/>
      <c r="IYQ73" s="1181"/>
      <c r="IYR73" s="1181"/>
      <c r="IYS73" s="1181"/>
      <c r="IYT73" s="1181"/>
      <c r="IYU73" s="1181"/>
      <c r="IYV73" s="1181"/>
      <c r="IYW73" s="1181"/>
      <c r="IYX73" s="1181"/>
      <c r="IYY73" s="1181"/>
      <c r="IYZ73" s="1181"/>
      <c r="IZA73" s="1181"/>
      <c r="IZB73" s="1181"/>
      <c r="IZC73" s="1181"/>
      <c r="IZD73" s="1181"/>
      <c r="IZE73" s="1181"/>
      <c r="IZF73" s="1181"/>
      <c r="IZG73" s="1181"/>
      <c r="IZH73" s="1181"/>
      <c r="IZI73" s="1181"/>
      <c r="IZJ73" s="1181"/>
      <c r="IZK73" s="1181"/>
      <c r="IZL73" s="1181"/>
      <c r="IZM73" s="1181"/>
      <c r="IZN73" s="1181"/>
      <c r="IZO73" s="1181"/>
      <c r="IZP73" s="1181"/>
      <c r="IZQ73" s="1181"/>
      <c r="IZR73" s="1181"/>
      <c r="IZS73" s="1181"/>
      <c r="IZT73" s="1181"/>
      <c r="IZU73" s="1181"/>
      <c r="IZV73" s="1181"/>
      <c r="IZW73" s="1181"/>
      <c r="IZX73" s="1181"/>
      <c r="IZY73" s="1181"/>
      <c r="IZZ73" s="1181"/>
      <c r="JAA73" s="1181"/>
      <c r="JAB73" s="1181"/>
      <c r="JAC73" s="1181"/>
      <c r="JAD73" s="1181"/>
      <c r="JAE73" s="1181"/>
      <c r="JAF73" s="1181"/>
      <c r="JAG73" s="1181"/>
      <c r="JAH73" s="1181"/>
      <c r="JAI73" s="1181"/>
      <c r="JAJ73" s="1181"/>
      <c r="JAK73" s="1181"/>
      <c r="JAL73" s="1181"/>
      <c r="JAM73" s="1181"/>
      <c r="JAN73" s="1181"/>
      <c r="JAO73" s="1181"/>
      <c r="JAP73" s="1181"/>
      <c r="JAQ73" s="1181"/>
      <c r="JAR73" s="1181"/>
      <c r="JAS73" s="1181"/>
      <c r="JAT73" s="1181"/>
      <c r="JAU73" s="1181"/>
      <c r="JAV73" s="1181"/>
      <c r="JAW73" s="1181"/>
      <c r="JAX73" s="1181"/>
      <c r="JAY73" s="1181"/>
      <c r="JAZ73" s="1181"/>
      <c r="JBA73" s="1181"/>
      <c r="JBB73" s="1181"/>
      <c r="JBC73" s="1181"/>
      <c r="JBD73" s="1181"/>
      <c r="JBE73" s="1181"/>
      <c r="JBF73" s="1181"/>
      <c r="JBG73" s="1181"/>
      <c r="JBH73" s="1181"/>
      <c r="JBI73" s="1181"/>
      <c r="JBJ73" s="1181"/>
      <c r="JBK73" s="1181"/>
      <c r="JBL73" s="1181"/>
      <c r="JBM73" s="1181"/>
      <c r="JBN73" s="1181"/>
      <c r="JBO73" s="1181"/>
      <c r="JBP73" s="1181"/>
      <c r="JBQ73" s="1181"/>
      <c r="JBR73" s="1181"/>
      <c r="JBS73" s="1181"/>
      <c r="JBT73" s="1181"/>
      <c r="JBU73" s="1181"/>
      <c r="JBV73" s="1181"/>
      <c r="JBW73" s="1181"/>
      <c r="JBX73" s="1181"/>
      <c r="JBY73" s="1181"/>
      <c r="JBZ73" s="1181"/>
      <c r="JCA73" s="1181"/>
      <c r="JCB73" s="1181"/>
      <c r="JCC73" s="1181"/>
      <c r="JCD73" s="1181"/>
      <c r="JCE73" s="1181"/>
      <c r="JCF73" s="1181"/>
      <c r="JCG73" s="1181"/>
      <c r="JCH73" s="1181"/>
      <c r="JCI73" s="1181"/>
      <c r="JCJ73" s="1181"/>
      <c r="JCK73" s="1181"/>
      <c r="JCL73" s="1181"/>
      <c r="JCM73" s="1181"/>
      <c r="JCN73" s="1181"/>
      <c r="JCO73" s="1181"/>
      <c r="JCP73" s="1181"/>
      <c r="JCQ73" s="1181"/>
      <c r="JCR73" s="1181"/>
      <c r="JCS73" s="1181"/>
      <c r="JCT73" s="1181"/>
      <c r="JCU73" s="1181"/>
      <c r="JCV73" s="1181"/>
      <c r="JCW73" s="1181"/>
      <c r="JCX73" s="1181"/>
      <c r="JCY73" s="1181"/>
      <c r="JCZ73" s="1181"/>
      <c r="JDA73" s="1181"/>
      <c r="JDB73" s="1181"/>
      <c r="JDC73" s="1181"/>
      <c r="JDD73" s="1181"/>
      <c r="JDE73" s="1181"/>
      <c r="JDF73" s="1181"/>
      <c r="JDG73" s="1181"/>
      <c r="JDH73" s="1181"/>
      <c r="JDI73" s="1181"/>
      <c r="JDJ73" s="1181"/>
      <c r="JDK73" s="1181"/>
      <c r="JDL73" s="1181"/>
      <c r="JDM73" s="1181"/>
      <c r="JDN73" s="1181"/>
      <c r="JDO73" s="1181"/>
      <c r="JDP73" s="1181"/>
      <c r="JDQ73" s="1181"/>
      <c r="JDR73" s="1181"/>
      <c r="JDS73" s="1181"/>
      <c r="JDT73" s="1181"/>
      <c r="JDU73" s="1181"/>
      <c r="JDV73" s="1181"/>
      <c r="JDW73" s="1181"/>
      <c r="JDX73" s="1181"/>
      <c r="JDY73" s="1181"/>
      <c r="JDZ73" s="1181"/>
      <c r="JEA73" s="1181"/>
      <c r="JEB73" s="1181"/>
      <c r="JEC73" s="1181"/>
      <c r="JED73" s="1181"/>
      <c r="JEE73" s="1181"/>
      <c r="JEF73" s="1181"/>
      <c r="JEG73" s="1181"/>
      <c r="JEH73" s="1181"/>
      <c r="JEI73" s="1181"/>
      <c r="JEJ73" s="1181"/>
      <c r="JEK73" s="1181"/>
      <c r="JEL73" s="1181"/>
      <c r="JEM73" s="1181"/>
      <c r="JEN73" s="1181"/>
      <c r="JEO73" s="1181"/>
      <c r="JEP73" s="1181"/>
      <c r="JEQ73" s="1181"/>
      <c r="JER73" s="1181"/>
      <c r="JES73" s="1181"/>
      <c r="JET73" s="1181"/>
      <c r="JEU73" s="1181"/>
      <c r="JEV73" s="1181"/>
      <c r="JEW73" s="1181"/>
      <c r="JEX73" s="1181"/>
      <c r="JEY73" s="1181"/>
      <c r="JEZ73" s="1181"/>
      <c r="JFA73" s="1181"/>
      <c r="JFB73" s="1181"/>
      <c r="JFC73" s="1181"/>
      <c r="JFD73" s="1181"/>
      <c r="JFE73" s="1181"/>
      <c r="JFF73" s="1181"/>
      <c r="JFG73" s="1181"/>
      <c r="JFH73" s="1181"/>
      <c r="JFI73" s="1181"/>
      <c r="JFJ73" s="1181"/>
      <c r="JFK73" s="1181"/>
      <c r="JFL73" s="1181"/>
      <c r="JFM73" s="1181"/>
      <c r="JFN73" s="1181"/>
      <c r="JFO73" s="1181"/>
      <c r="JFP73" s="1181"/>
      <c r="JFQ73" s="1181"/>
      <c r="JFR73" s="1181"/>
      <c r="JFS73" s="1181"/>
      <c r="JFT73" s="1181"/>
      <c r="JFU73" s="1181"/>
      <c r="JFV73" s="1181"/>
      <c r="JFW73" s="1181"/>
      <c r="JFX73" s="1181"/>
      <c r="JFY73" s="1181"/>
      <c r="JFZ73" s="1181"/>
      <c r="JGA73" s="1181"/>
      <c r="JGB73" s="1181"/>
      <c r="JGC73" s="1181"/>
      <c r="JGD73" s="1181"/>
      <c r="JGE73" s="1181"/>
      <c r="JGF73" s="1181"/>
      <c r="JGG73" s="1181"/>
      <c r="JGH73" s="1181"/>
      <c r="JGI73" s="1181"/>
      <c r="JGJ73" s="1181"/>
      <c r="JGK73" s="1181"/>
      <c r="JGL73" s="1181"/>
      <c r="JGM73" s="1181"/>
      <c r="JGN73" s="1181"/>
      <c r="JGO73" s="1181"/>
      <c r="JGP73" s="1181"/>
      <c r="JGQ73" s="1181"/>
      <c r="JGR73" s="1181"/>
      <c r="JGS73" s="1181"/>
      <c r="JGT73" s="1181"/>
      <c r="JGU73" s="1181"/>
      <c r="JGV73" s="1181"/>
      <c r="JGW73" s="1181"/>
      <c r="JGX73" s="1181"/>
      <c r="JGY73" s="1181"/>
      <c r="JGZ73" s="1181"/>
      <c r="JHA73" s="1181"/>
      <c r="JHB73" s="1181"/>
      <c r="JHC73" s="1181"/>
      <c r="JHD73" s="1181"/>
      <c r="JHE73" s="1181"/>
      <c r="JHF73" s="1181"/>
      <c r="JHG73" s="1181"/>
      <c r="JHH73" s="1181"/>
      <c r="JHI73" s="1181"/>
      <c r="JHJ73" s="1181"/>
      <c r="JHK73" s="1181"/>
      <c r="JHL73" s="1181"/>
      <c r="JHM73" s="1181"/>
      <c r="JHN73" s="1181"/>
      <c r="JHO73" s="1181"/>
      <c r="JHP73" s="1181"/>
      <c r="JHQ73" s="1181"/>
      <c r="JHR73" s="1181"/>
      <c r="JHS73" s="1181"/>
      <c r="JHT73" s="1181"/>
      <c r="JHU73" s="1181"/>
      <c r="JHV73" s="1181"/>
      <c r="JHW73" s="1181"/>
      <c r="JHX73" s="1181"/>
      <c r="JHY73" s="1181"/>
      <c r="JHZ73" s="1181"/>
      <c r="JIA73" s="1181"/>
      <c r="JIB73" s="1181"/>
      <c r="JIC73" s="1181"/>
      <c r="JID73" s="1181"/>
      <c r="JIE73" s="1181"/>
      <c r="JIF73" s="1181"/>
      <c r="JIG73" s="1181"/>
      <c r="JIH73" s="1181"/>
      <c r="JII73" s="1181"/>
      <c r="JIJ73" s="1181"/>
      <c r="JIK73" s="1181"/>
      <c r="JIL73" s="1181"/>
      <c r="JIM73" s="1181"/>
      <c r="JIN73" s="1181"/>
      <c r="JIO73" s="1181"/>
      <c r="JIP73" s="1181"/>
      <c r="JIQ73" s="1181"/>
      <c r="JIR73" s="1181"/>
      <c r="JIS73" s="1181"/>
      <c r="JIT73" s="1181"/>
      <c r="JIU73" s="1181"/>
      <c r="JIV73" s="1181"/>
      <c r="JIW73" s="1181"/>
      <c r="JIX73" s="1181"/>
      <c r="JIY73" s="1181"/>
      <c r="JIZ73" s="1181"/>
      <c r="JJA73" s="1181"/>
      <c r="JJB73" s="1181"/>
      <c r="JJC73" s="1181"/>
      <c r="JJD73" s="1181"/>
      <c r="JJE73" s="1181"/>
      <c r="JJF73" s="1181"/>
      <c r="JJG73" s="1181"/>
      <c r="JJH73" s="1181"/>
      <c r="JJI73" s="1181"/>
      <c r="JJJ73" s="1181"/>
      <c r="JJK73" s="1181"/>
      <c r="JJL73" s="1181"/>
      <c r="JJM73" s="1181"/>
      <c r="JJN73" s="1181"/>
      <c r="JJO73" s="1181"/>
      <c r="JJP73" s="1181"/>
      <c r="JJQ73" s="1181"/>
      <c r="JJR73" s="1181"/>
      <c r="JJS73" s="1181"/>
      <c r="JJT73" s="1181"/>
      <c r="JJU73" s="1181"/>
      <c r="JJV73" s="1181"/>
      <c r="JJW73" s="1181"/>
      <c r="JJX73" s="1181"/>
      <c r="JJY73" s="1181"/>
      <c r="JJZ73" s="1181"/>
      <c r="JKA73" s="1181"/>
      <c r="JKB73" s="1181"/>
      <c r="JKC73" s="1181"/>
      <c r="JKD73" s="1181"/>
      <c r="JKE73" s="1181"/>
      <c r="JKF73" s="1181"/>
      <c r="JKG73" s="1181"/>
      <c r="JKH73" s="1181"/>
      <c r="JKI73" s="1181"/>
      <c r="JKJ73" s="1181"/>
      <c r="JKK73" s="1181"/>
      <c r="JKL73" s="1181"/>
      <c r="JKM73" s="1181"/>
      <c r="JKN73" s="1181"/>
      <c r="JKO73" s="1181"/>
      <c r="JKP73" s="1181"/>
      <c r="JKQ73" s="1181"/>
      <c r="JKR73" s="1181"/>
      <c r="JKS73" s="1181"/>
      <c r="JKT73" s="1181"/>
      <c r="JKU73" s="1181"/>
      <c r="JKV73" s="1181"/>
      <c r="JKW73" s="1181"/>
      <c r="JKX73" s="1181"/>
      <c r="JKY73" s="1181"/>
      <c r="JKZ73" s="1181"/>
      <c r="JLA73" s="1181"/>
      <c r="JLB73" s="1181"/>
      <c r="JLC73" s="1181"/>
      <c r="JLD73" s="1181"/>
      <c r="JLE73" s="1181"/>
      <c r="JLF73" s="1181"/>
      <c r="JLG73" s="1181"/>
      <c r="JLH73" s="1181"/>
      <c r="JLI73" s="1181"/>
      <c r="JLJ73" s="1181"/>
      <c r="JLK73" s="1181"/>
      <c r="JLL73" s="1181"/>
      <c r="JLM73" s="1181"/>
      <c r="JLN73" s="1181"/>
      <c r="JLO73" s="1181"/>
      <c r="JLP73" s="1181"/>
      <c r="JLQ73" s="1181"/>
      <c r="JLR73" s="1181"/>
      <c r="JLS73" s="1181"/>
      <c r="JLT73" s="1181"/>
      <c r="JLU73" s="1181"/>
      <c r="JLV73" s="1181"/>
      <c r="JLW73" s="1181"/>
      <c r="JLX73" s="1181"/>
      <c r="JLY73" s="1181"/>
      <c r="JLZ73" s="1181"/>
      <c r="JMA73" s="1181"/>
      <c r="JMB73" s="1181"/>
      <c r="JMC73" s="1181"/>
      <c r="JMD73" s="1181"/>
      <c r="JME73" s="1181"/>
      <c r="JMF73" s="1181"/>
      <c r="JMG73" s="1181"/>
      <c r="JMH73" s="1181"/>
      <c r="JMI73" s="1181"/>
      <c r="JMJ73" s="1181"/>
      <c r="JMK73" s="1181"/>
      <c r="JML73" s="1181"/>
      <c r="JMM73" s="1181"/>
      <c r="JMN73" s="1181"/>
      <c r="JMO73" s="1181"/>
      <c r="JMP73" s="1181"/>
      <c r="JMQ73" s="1181"/>
      <c r="JMR73" s="1181"/>
      <c r="JMS73" s="1181"/>
      <c r="JMT73" s="1181"/>
      <c r="JMU73" s="1181"/>
      <c r="JMV73" s="1181"/>
      <c r="JMW73" s="1181"/>
      <c r="JMX73" s="1181"/>
      <c r="JMY73" s="1181"/>
      <c r="JMZ73" s="1181"/>
      <c r="JNA73" s="1181"/>
      <c r="JNB73" s="1181"/>
      <c r="JNC73" s="1181"/>
      <c r="JND73" s="1181"/>
      <c r="JNE73" s="1181"/>
      <c r="JNF73" s="1181"/>
      <c r="JNG73" s="1181"/>
      <c r="JNH73" s="1181"/>
      <c r="JNI73" s="1181"/>
      <c r="JNJ73" s="1181"/>
      <c r="JNK73" s="1181"/>
      <c r="JNL73" s="1181"/>
      <c r="JNM73" s="1181"/>
      <c r="JNN73" s="1181"/>
      <c r="JNO73" s="1181"/>
      <c r="JNP73" s="1181"/>
      <c r="JNQ73" s="1181"/>
      <c r="JNR73" s="1181"/>
      <c r="JNS73" s="1181"/>
      <c r="JNT73" s="1181"/>
      <c r="JNU73" s="1181"/>
      <c r="JNV73" s="1181"/>
      <c r="JNW73" s="1181"/>
      <c r="JNX73" s="1181"/>
      <c r="JNY73" s="1181"/>
      <c r="JNZ73" s="1181"/>
      <c r="JOA73" s="1181"/>
      <c r="JOB73" s="1181"/>
      <c r="JOC73" s="1181"/>
      <c r="JOD73" s="1181"/>
      <c r="JOE73" s="1181"/>
      <c r="JOF73" s="1181"/>
      <c r="JOG73" s="1181"/>
      <c r="JOH73" s="1181"/>
      <c r="JOI73" s="1181"/>
      <c r="JOJ73" s="1181"/>
      <c r="JOK73" s="1181"/>
      <c r="JOL73" s="1181"/>
      <c r="JOM73" s="1181"/>
      <c r="JON73" s="1181"/>
      <c r="JOO73" s="1181"/>
      <c r="JOP73" s="1181"/>
      <c r="JOQ73" s="1181"/>
      <c r="JOR73" s="1181"/>
      <c r="JOS73" s="1181"/>
      <c r="JOT73" s="1181"/>
      <c r="JOU73" s="1181"/>
      <c r="JOV73" s="1181"/>
      <c r="JOW73" s="1181"/>
      <c r="JOX73" s="1181"/>
      <c r="JOY73" s="1181"/>
      <c r="JOZ73" s="1181"/>
      <c r="JPA73" s="1181"/>
      <c r="JPB73" s="1181"/>
      <c r="JPC73" s="1181"/>
      <c r="JPD73" s="1181"/>
      <c r="JPE73" s="1181"/>
      <c r="JPF73" s="1181"/>
      <c r="JPG73" s="1181"/>
      <c r="JPH73" s="1181"/>
      <c r="JPI73" s="1181"/>
      <c r="JPJ73" s="1181"/>
      <c r="JPK73" s="1181"/>
      <c r="JPL73" s="1181"/>
      <c r="JPM73" s="1181"/>
      <c r="JPN73" s="1181"/>
      <c r="JPO73" s="1181"/>
      <c r="JPP73" s="1181"/>
      <c r="JPQ73" s="1181"/>
      <c r="JPR73" s="1181"/>
      <c r="JPS73" s="1181"/>
      <c r="JPT73" s="1181"/>
      <c r="JPU73" s="1181"/>
      <c r="JPV73" s="1181"/>
      <c r="JPW73" s="1181"/>
      <c r="JPX73" s="1181"/>
      <c r="JPY73" s="1181"/>
      <c r="JPZ73" s="1181"/>
      <c r="JQA73" s="1181"/>
      <c r="JQB73" s="1181"/>
      <c r="JQC73" s="1181"/>
      <c r="JQD73" s="1181"/>
      <c r="JQE73" s="1181"/>
      <c r="JQF73" s="1181"/>
      <c r="JQG73" s="1181"/>
      <c r="JQH73" s="1181"/>
      <c r="JQI73" s="1181"/>
      <c r="JQJ73" s="1181"/>
      <c r="JQK73" s="1181"/>
      <c r="JQL73" s="1181"/>
      <c r="JQM73" s="1181"/>
      <c r="JQN73" s="1181"/>
      <c r="JQO73" s="1181"/>
      <c r="JQP73" s="1181"/>
      <c r="JQQ73" s="1181"/>
      <c r="JQR73" s="1181"/>
      <c r="JQS73" s="1181"/>
      <c r="JQT73" s="1181"/>
      <c r="JQU73" s="1181"/>
      <c r="JQV73" s="1181"/>
      <c r="JQW73" s="1181"/>
      <c r="JQX73" s="1181"/>
      <c r="JQY73" s="1181"/>
      <c r="JQZ73" s="1181"/>
      <c r="JRA73" s="1181"/>
      <c r="JRB73" s="1181"/>
      <c r="JRC73" s="1181"/>
      <c r="JRD73" s="1181"/>
      <c r="JRE73" s="1181"/>
      <c r="JRF73" s="1181"/>
      <c r="JRG73" s="1181"/>
      <c r="JRH73" s="1181"/>
      <c r="JRI73" s="1181"/>
      <c r="JRJ73" s="1181"/>
      <c r="JRK73" s="1181"/>
      <c r="JRL73" s="1181"/>
      <c r="JRM73" s="1181"/>
      <c r="JRN73" s="1181"/>
      <c r="JRO73" s="1181"/>
      <c r="JRP73" s="1181"/>
      <c r="JRQ73" s="1181"/>
      <c r="JRR73" s="1181"/>
      <c r="JRS73" s="1181"/>
      <c r="JRT73" s="1181"/>
      <c r="JRU73" s="1181"/>
      <c r="JRV73" s="1181"/>
      <c r="JRW73" s="1181"/>
      <c r="JRX73" s="1181"/>
      <c r="JRY73" s="1181"/>
      <c r="JRZ73" s="1181"/>
      <c r="JSA73" s="1181"/>
      <c r="JSB73" s="1181"/>
      <c r="JSC73" s="1181"/>
      <c r="JSD73" s="1181"/>
      <c r="JSE73" s="1181"/>
      <c r="JSF73" s="1181"/>
      <c r="JSG73" s="1181"/>
      <c r="JSH73" s="1181"/>
      <c r="JSI73" s="1181"/>
      <c r="JSJ73" s="1181"/>
      <c r="JSK73" s="1181"/>
      <c r="JSL73" s="1181"/>
      <c r="JSM73" s="1181"/>
      <c r="JSN73" s="1181"/>
      <c r="JSO73" s="1181"/>
      <c r="JSP73" s="1181"/>
      <c r="JSQ73" s="1181"/>
      <c r="JSR73" s="1181"/>
      <c r="JSS73" s="1181"/>
      <c r="JST73" s="1181"/>
      <c r="JSU73" s="1181"/>
      <c r="JSV73" s="1181"/>
      <c r="JSW73" s="1181"/>
      <c r="JSX73" s="1181"/>
      <c r="JSY73" s="1181"/>
      <c r="JSZ73" s="1181"/>
      <c r="JTA73" s="1181"/>
      <c r="JTB73" s="1181"/>
      <c r="JTC73" s="1181"/>
      <c r="JTD73" s="1181"/>
      <c r="JTE73" s="1181"/>
      <c r="JTF73" s="1181"/>
      <c r="JTG73" s="1181"/>
      <c r="JTH73" s="1181"/>
      <c r="JTI73" s="1181"/>
      <c r="JTJ73" s="1181"/>
      <c r="JTK73" s="1181"/>
      <c r="JTL73" s="1181"/>
      <c r="JTM73" s="1181"/>
      <c r="JTN73" s="1181"/>
      <c r="JTO73" s="1181"/>
      <c r="JTP73" s="1181"/>
      <c r="JTQ73" s="1181"/>
      <c r="JTR73" s="1181"/>
      <c r="JTS73" s="1181"/>
      <c r="JTT73" s="1181"/>
      <c r="JTU73" s="1181"/>
      <c r="JTV73" s="1181"/>
      <c r="JTW73" s="1181"/>
      <c r="JTX73" s="1181"/>
      <c r="JTY73" s="1181"/>
      <c r="JTZ73" s="1181"/>
      <c r="JUA73" s="1181"/>
      <c r="JUB73" s="1181"/>
      <c r="JUC73" s="1181"/>
      <c r="JUD73" s="1181"/>
      <c r="JUE73" s="1181"/>
      <c r="JUF73" s="1181"/>
      <c r="JUG73" s="1181"/>
      <c r="JUH73" s="1181"/>
      <c r="JUI73" s="1181"/>
      <c r="JUJ73" s="1181"/>
      <c r="JUK73" s="1181"/>
      <c r="JUL73" s="1181"/>
      <c r="JUM73" s="1181"/>
      <c r="JUN73" s="1181"/>
      <c r="JUO73" s="1181"/>
      <c r="JUP73" s="1181"/>
      <c r="JUQ73" s="1181"/>
      <c r="JUR73" s="1181"/>
      <c r="JUS73" s="1181"/>
      <c r="JUT73" s="1181"/>
      <c r="JUU73" s="1181"/>
      <c r="JUV73" s="1181"/>
      <c r="JUW73" s="1181"/>
      <c r="JUX73" s="1181"/>
      <c r="JUY73" s="1181"/>
      <c r="JUZ73" s="1181"/>
      <c r="JVA73" s="1181"/>
      <c r="JVB73" s="1181"/>
      <c r="JVC73" s="1181"/>
      <c r="JVD73" s="1181"/>
      <c r="JVE73" s="1181"/>
      <c r="JVF73" s="1181"/>
      <c r="JVG73" s="1181"/>
      <c r="JVH73" s="1181"/>
      <c r="JVI73" s="1181"/>
      <c r="JVJ73" s="1181"/>
      <c r="JVK73" s="1181"/>
      <c r="JVL73" s="1181"/>
      <c r="JVM73" s="1181"/>
      <c r="JVN73" s="1181"/>
      <c r="JVO73" s="1181"/>
      <c r="JVP73" s="1181"/>
      <c r="JVQ73" s="1181"/>
      <c r="JVR73" s="1181"/>
      <c r="JVS73" s="1181"/>
      <c r="JVT73" s="1181"/>
      <c r="JVU73" s="1181"/>
      <c r="JVV73" s="1181"/>
      <c r="JVW73" s="1181"/>
      <c r="JVX73" s="1181"/>
      <c r="JVY73" s="1181"/>
      <c r="JVZ73" s="1181"/>
      <c r="JWA73" s="1181"/>
      <c r="JWB73" s="1181"/>
      <c r="JWC73" s="1181"/>
      <c r="JWD73" s="1181"/>
      <c r="JWE73" s="1181"/>
      <c r="JWF73" s="1181"/>
      <c r="JWG73" s="1181"/>
      <c r="JWH73" s="1181"/>
      <c r="JWI73" s="1181"/>
      <c r="JWJ73" s="1181"/>
      <c r="JWK73" s="1181"/>
      <c r="JWL73" s="1181"/>
      <c r="JWM73" s="1181"/>
      <c r="JWN73" s="1181"/>
      <c r="JWO73" s="1181"/>
      <c r="JWP73" s="1181"/>
      <c r="JWQ73" s="1181"/>
      <c r="JWR73" s="1181"/>
      <c r="JWS73" s="1181"/>
      <c r="JWT73" s="1181"/>
      <c r="JWU73" s="1181"/>
      <c r="JWV73" s="1181"/>
      <c r="JWW73" s="1181"/>
      <c r="JWX73" s="1181"/>
      <c r="JWY73" s="1181"/>
      <c r="JWZ73" s="1181"/>
      <c r="JXA73" s="1181"/>
      <c r="JXB73" s="1181"/>
      <c r="JXC73" s="1181"/>
      <c r="JXD73" s="1181"/>
      <c r="JXE73" s="1181"/>
      <c r="JXF73" s="1181"/>
      <c r="JXG73" s="1181"/>
      <c r="JXH73" s="1181"/>
      <c r="JXI73" s="1181"/>
      <c r="JXJ73" s="1181"/>
      <c r="JXK73" s="1181"/>
      <c r="JXL73" s="1181"/>
      <c r="JXM73" s="1181"/>
      <c r="JXN73" s="1181"/>
      <c r="JXO73" s="1181"/>
      <c r="JXP73" s="1181"/>
      <c r="JXQ73" s="1181"/>
      <c r="JXR73" s="1181"/>
      <c r="JXS73" s="1181"/>
      <c r="JXT73" s="1181"/>
      <c r="JXU73" s="1181"/>
      <c r="JXV73" s="1181"/>
      <c r="JXW73" s="1181"/>
      <c r="JXX73" s="1181"/>
      <c r="JXY73" s="1181"/>
      <c r="JXZ73" s="1181"/>
      <c r="JYA73" s="1181"/>
      <c r="JYB73" s="1181"/>
      <c r="JYC73" s="1181"/>
      <c r="JYD73" s="1181"/>
      <c r="JYE73" s="1181"/>
      <c r="JYF73" s="1181"/>
      <c r="JYG73" s="1181"/>
      <c r="JYH73" s="1181"/>
      <c r="JYI73" s="1181"/>
      <c r="JYJ73" s="1181"/>
      <c r="JYK73" s="1181"/>
      <c r="JYL73" s="1181"/>
      <c r="JYM73" s="1181"/>
      <c r="JYN73" s="1181"/>
      <c r="JYO73" s="1181"/>
      <c r="JYP73" s="1181"/>
      <c r="JYQ73" s="1181"/>
      <c r="JYR73" s="1181"/>
      <c r="JYS73" s="1181"/>
      <c r="JYT73" s="1181"/>
      <c r="JYU73" s="1181"/>
      <c r="JYV73" s="1181"/>
      <c r="JYW73" s="1181"/>
      <c r="JYX73" s="1181"/>
      <c r="JYY73" s="1181"/>
      <c r="JYZ73" s="1181"/>
      <c r="JZA73" s="1181"/>
      <c r="JZB73" s="1181"/>
      <c r="JZC73" s="1181"/>
      <c r="JZD73" s="1181"/>
      <c r="JZE73" s="1181"/>
      <c r="JZF73" s="1181"/>
      <c r="JZG73" s="1181"/>
      <c r="JZH73" s="1181"/>
      <c r="JZI73" s="1181"/>
      <c r="JZJ73" s="1181"/>
      <c r="JZK73" s="1181"/>
      <c r="JZL73" s="1181"/>
      <c r="JZM73" s="1181"/>
      <c r="JZN73" s="1181"/>
      <c r="JZO73" s="1181"/>
      <c r="JZP73" s="1181"/>
      <c r="JZQ73" s="1181"/>
      <c r="JZR73" s="1181"/>
      <c r="JZS73" s="1181"/>
      <c r="JZT73" s="1181"/>
      <c r="JZU73" s="1181"/>
      <c r="JZV73" s="1181"/>
      <c r="JZW73" s="1181"/>
      <c r="JZX73" s="1181"/>
      <c r="JZY73" s="1181"/>
      <c r="JZZ73" s="1181"/>
      <c r="KAA73" s="1181"/>
      <c r="KAB73" s="1181"/>
      <c r="KAC73" s="1181"/>
      <c r="KAD73" s="1181"/>
      <c r="KAE73" s="1181"/>
      <c r="KAF73" s="1181"/>
      <c r="KAG73" s="1181"/>
      <c r="KAH73" s="1181"/>
      <c r="KAI73" s="1181"/>
      <c r="KAJ73" s="1181"/>
      <c r="KAK73" s="1181"/>
      <c r="KAL73" s="1181"/>
      <c r="KAM73" s="1181"/>
      <c r="KAN73" s="1181"/>
      <c r="KAO73" s="1181"/>
      <c r="KAP73" s="1181"/>
      <c r="KAQ73" s="1181"/>
      <c r="KAR73" s="1181"/>
      <c r="KAS73" s="1181"/>
      <c r="KAT73" s="1181"/>
      <c r="KAU73" s="1181"/>
      <c r="KAV73" s="1181"/>
      <c r="KAW73" s="1181"/>
      <c r="KAX73" s="1181"/>
      <c r="KAY73" s="1181"/>
      <c r="KAZ73" s="1181"/>
      <c r="KBA73" s="1181"/>
      <c r="KBB73" s="1181"/>
      <c r="KBC73" s="1181"/>
      <c r="KBD73" s="1181"/>
      <c r="KBE73" s="1181"/>
      <c r="KBF73" s="1181"/>
      <c r="KBG73" s="1181"/>
      <c r="KBH73" s="1181"/>
      <c r="KBI73" s="1181"/>
      <c r="KBJ73" s="1181"/>
      <c r="KBK73" s="1181"/>
      <c r="KBL73" s="1181"/>
      <c r="KBM73" s="1181"/>
      <c r="KBN73" s="1181"/>
      <c r="KBO73" s="1181"/>
      <c r="KBP73" s="1181"/>
      <c r="KBQ73" s="1181"/>
      <c r="KBR73" s="1181"/>
      <c r="KBS73" s="1181"/>
      <c r="KBT73" s="1181"/>
      <c r="KBU73" s="1181"/>
      <c r="KBV73" s="1181"/>
      <c r="KBW73" s="1181"/>
      <c r="KBX73" s="1181"/>
      <c r="KBY73" s="1181"/>
      <c r="KBZ73" s="1181"/>
      <c r="KCA73" s="1181"/>
      <c r="KCB73" s="1181"/>
      <c r="KCC73" s="1181"/>
      <c r="KCD73" s="1181"/>
      <c r="KCE73" s="1181"/>
      <c r="KCF73" s="1181"/>
      <c r="KCG73" s="1181"/>
      <c r="KCH73" s="1181"/>
      <c r="KCI73" s="1181"/>
      <c r="KCJ73" s="1181"/>
      <c r="KCK73" s="1181"/>
      <c r="KCL73" s="1181"/>
      <c r="KCM73" s="1181"/>
      <c r="KCN73" s="1181"/>
      <c r="KCO73" s="1181"/>
      <c r="KCP73" s="1181"/>
      <c r="KCQ73" s="1181"/>
      <c r="KCR73" s="1181"/>
      <c r="KCS73" s="1181"/>
      <c r="KCT73" s="1181"/>
      <c r="KCU73" s="1181"/>
      <c r="KCV73" s="1181"/>
      <c r="KCW73" s="1181"/>
      <c r="KCX73" s="1181"/>
      <c r="KCY73" s="1181"/>
      <c r="KCZ73" s="1181"/>
      <c r="KDA73" s="1181"/>
      <c r="KDB73" s="1181"/>
      <c r="KDC73" s="1181"/>
      <c r="KDD73" s="1181"/>
      <c r="KDE73" s="1181"/>
      <c r="KDF73" s="1181"/>
      <c r="KDG73" s="1181"/>
      <c r="KDH73" s="1181"/>
      <c r="KDI73" s="1181"/>
      <c r="KDJ73" s="1181"/>
      <c r="KDK73" s="1181"/>
      <c r="KDL73" s="1181"/>
      <c r="KDM73" s="1181"/>
      <c r="KDN73" s="1181"/>
      <c r="KDO73" s="1181"/>
      <c r="KDP73" s="1181"/>
      <c r="KDQ73" s="1181"/>
      <c r="KDR73" s="1181"/>
      <c r="KDS73" s="1181"/>
      <c r="KDT73" s="1181"/>
      <c r="KDU73" s="1181"/>
      <c r="KDV73" s="1181"/>
      <c r="KDW73" s="1181"/>
      <c r="KDX73" s="1181"/>
      <c r="KDY73" s="1181"/>
      <c r="KDZ73" s="1181"/>
      <c r="KEA73" s="1181"/>
      <c r="KEB73" s="1181"/>
      <c r="KEC73" s="1181"/>
      <c r="KED73" s="1181"/>
      <c r="KEE73" s="1181"/>
      <c r="KEF73" s="1181"/>
      <c r="KEG73" s="1181"/>
      <c r="KEH73" s="1181"/>
      <c r="KEI73" s="1181"/>
      <c r="KEJ73" s="1181"/>
      <c r="KEK73" s="1181"/>
      <c r="KEL73" s="1181"/>
      <c r="KEM73" s="1181"/>
      <c r="KEN73" s="1181"/>
      <c r="KEO73" s="1181"/>
      <c r="KEP73" s="1181"/>
      <c r="KEQ73" s="1181"/>
      <c r="KER73" s="1181"/>
      <c r="KES73" s="1181"/>
      <c r="KET73" s="1181"/>
      <c r="KEU73" s="1181"/>
      <c r="KEV73" s="1181"/>
      <c r="KEW73" s="1181"/>
      <c r="KEX73" s="1181"/>
      <c r="KEY73" s="1181"/>
      <c r="KEZ73" s="1181"/>
      <c r="KFA73" s="1181"/>
      <c r="KFB73" s="1181"/>
      <c r="KFC73" s="1181"/>
      <c r="KFD73" s="1181"/>
      <c r="KFE73" s="1181"/>
      <c r="KFF73" s="1181"/>
      <c r="KFG73" s="1181"/>
      <c r="KFH73" s="1181"/>
      <c r="KFI73" s="1181"/>
      <c r="KFJ73" s="1181"/>
      <c r="KFK73" s="1181"/>
      <c r="KFL73" s="1181"/>
      <c r="KFM73" s="1181"/>
      <c r="KFN73" s="1181"/>
      <c r="KFO73" s="1181"/>
      <c r="KFP73" s="1181"/>
      <c r="KFQ73" s="1181"/>
      <c r="KFR73" s="1181"/>
      <c r="KFS73" s="1181"/>
      <c r="KFT73" s="1181"/>
      <c r="KFU73" s="1181"/>
      <c r="KFV73" s="1181"/>
      <c r="KFW73" s="1181"/>
      <c r="KFX73" s="1181"/>
      <c r="KFY73" s="1181"/>
      <c r="KFZ73" s="1181"/>
      <c r="KGA73" s="1181"/>
      <c r="KGB73" s="1181"/>
      <c r="KGC73" s="1181"/>
      <c r="KGD73" s="1181"/>
      <c r="KGE73" s="1181"/>
      <c r="KGF73" s="1181"/>
      <c r="KGG73" s="1181"/>
      <c r="KGH73" s="1181"/>
      <c r="KGI73" s="1181"/>
      <c r="KGJ73" s="1181"/>
      <c r="KGK73" s="1181"/>
      <c r="KGL73" s="1181"/>
      <c r="KGM73" s="1181"/>
      <c r="KGN73" s="1181"/>
      <c r="KGO73" s="1181"/>
      <c r="KGP73" s="1181"/>
      <c r="KGQ73" s="1181"/>
      <c r="KGR73" s="1181"/>
      <c r="KGS73" s="1181"/>
      <c r="KGT73" s="1181"/>
      <c r="KGU73" s="1181"/>
      <c r="KGV73" s="1181"/>
      <c r="KGW73" s="1181"/>
      <c r="KGX73" s="1181"/>
      <c r="KGY73" s="1181"/>
      <c r="KGZ73" s="1181"/>
      <c r="KHA73" s="1181"/>
      <c r="KHB73" s="1181"/>
      <c r="KHC73" s="1181"/>
      <c r="KHD73" s="1181"/>
      <c r="KHE73" s="1181"/>
      <c r="KHF73" s="1181"/>
      <c r="KHG73" s="1181"/>
      <c r="KHH73" s="1181"/>
      <c r="KHI73" s="1181"/>
      <c r="KHJ73" s="1181"/>
      <c r="KHK73" s="1181"/>
      <c r="KHL73" s="1181"/>
      <c r="KHM73" s="1181"/>
      <c r="KHN73" s="1181"/>
      <c r="KHO73" s="1181"/>
      <c r="KHP73" s="1181"/>
      <c r="KHQ73" s="1181"/>
      <c r="KHR73" s="1181"/>
      <c r="KHS73" s="1181"/>
      <c r="KHT73" s="1181"/>
      <c r="KHU73" s="1181"/>
      <c r="KHV73" s="1181"/>
      <c r="KHW73" s="1181"/>
      <c r="KHX73" s="1181"/>
      <c r="KHY73" s="1181"/>
      <c r="KHZ73" s="1181"/>
      <c r="KIA73" s="1181"/>
      <c r="KIB73" s="1181"/>
      <c r="KIC73" s="1181"/>
      <c r="KID73" s="1181"/>
      <c r="KIE73" s="1181"/>
      <c r="KIF73" s="1181"/>
      <c r="KIG73" s="1181"/>
      <c r="KIH73" s="1181"/>
      <c r="KII73" s="1181"/>
      <c r="KIJ73" s="1181"/>
      <c r="KIK73" s="1181"/>
      <c r="KIL73" s="1181"/>
      <c r="KIM73" s="1181"/>
      <c r="KIN73" s="1181"/>
      <c r="KIO73" s="1181"/>
      <c r="KIP73" s="1181"/>
      <c r="KIQ73" s="1181"/>
      <c r="KIR73" s="1181"/>
      <c r="KIS73" s="1181"/>
      <c r="KIT73" s="1181"/>
      <c r="KIU73" s="1181"/>
      <c r="KIV73" s="1181"/>
      <c r="KIW73" s="1181"/>
      <c r="KIX73" s="1181"/>
      <c r="KIY73" s="1181"/>
      <c r="KIZ73" s="1181"/>
      <c r="KJA73" s="1181"/>
      <c r="KJB73" s="1181"/>
      <c r="KJC73" s="1181"/>
      <c r="KJD73" s="1181"/>
      <c r="KJE73" s="1181"/>
      <c r="KJF73" s="1181"/>
      <c r="KJG73" s="1181"/>
      <c r="KJH73" s="1181"/>
      <c r="KJI73" s="1181"/>
      <c r="KJJ73" s="1181"/>
      <c r="KJK73" s="1181"/>
      <c r="KJL73" s="1181"/>
      <c r="KJM73" s="1181"/>
      <c r="KJN73" s="1181"/>
      <c r="KJO73" s="1181"/>
      <c r="KJP73" s="1181"/>
      <c r="KJQ73" s="1181"/>
      <c r="KJR73" s="1181"/>
      <c r="KJS73" s="1181"/>
      <c r="KJT73" s="1181"/>
      <c r="KJU73" s="1181"/>
      <c r="KJV73" s="1181"/>
      <c r="KJW73" s="1181"/>
      <c r="KJX73" s="1181"/>
      <c r="KJY73" s="1181"/>
      <c r="KJZ73" s="1181"/>
      <c r="KKA73" s="1181"/>
      <c r="KKB73" s="1181"/>
      <c r="KKC73" s="1181"/>
      <c r="KKD73" s="1181"/>
      <c r="KKE73" s="1181"/>
      <c r="KKF73" s="1181"/>
      <c r="KKG73" s="1181"/>
      <c r="KKH73" s="1181"/>
      <c r="KKI73" s="1181"/>
      <c r="KKJ73" s="1181"/>
      <c r="KKK73" s="1181"/>
      <c r="KKL73" s="1181"/>
      <c r="KKM73" s="1181"/>
      <c r="KKN73" s="1181"/>
      <c r="KKO73" s="1181"/>
      <c r="KKP73" s="1181"/>
      <c r="KKQ73" s="1181"/>
      <c r="KKR73" s="1181"/>
      <c r="KKS73" s="1181"/>
      <c r="KKT73" s="1181"/>
      <c r="KKU73" s="1181"/>
      <c r="KKV73" s="1181"/>
      <c r="KKW73" s="1181"/>
      <c r="KKX73" s="1181"/>
      <c r="KKY73" s="1181"/>
      <c r="KKZ73" s="1181"/>
      <c r="KLA73" s="1181"/>
      <c r="KLB73" s="1181"/>
      <c r="KLC73" s="1181"/>
      <c r="KLD73" s="1181"/>
      <c r="KLE73" s="1181"/>
      <c r="KLF73" s="1181"/>
      <c r="KLG73" s="1181"/>
      <c r="KLH73" s="1181"/>
      <c r="KLI73" s="1181"/>
      <c r="KLJ73" s="1181"/>
      <c r="KLK73" s="1181"/>
      <c r="KLL73" s="1181"/>
      <c r="KLM73" s="1181"/>
      <c r="KLN73" s="1181"/>
      <c r="KLO73" s="1181"/>
      <c r="KLP73" s="1181"/>
      <c r="KLQ73" s="1181"/>
      <c r="KLR73" s="1181"/>
      <c r="KLS73" s="1181"/>
      <c r="KLT73" s="1181"/>
      <c r="KLU73" s="1181"/>
      <c r="KLV73" s="1181"/>
      <c r="KLW73" s="1181"/>
      <c r="KLX73" s="1181"/>
      <c r="KLY73" s="1181"/>
      <c r="KLZ73" s="1181"/>
      <c r="KMA73" s="1181"/>
      <c r="KMB73" s="1181"/>
      <c r="KMC73" s="1181"/>
      <c r="KMD73" s="1181"/>
      <c r="KME73" s="1181"/>
      <c r="KMF73" s="1181"/>
      <c r="KMG73" s="1181"/>
      <c r="KMH73" s="1181"/>
      <c r="KMI73" s="1181"/>
      <c r="KMJ73" s="1181"/>
      <c r="KMK73" s="1181"/>
      <c r="KML73" s="1181"/>
      <c r="KMM73" s="1181"/>
      <c r="KMN73" s="1181"/>
      <c r="KMO73" s="1181"/>
      <c r="KMP73" s="1181"/>
      <c r="KMQ73" s="1181"/>
      <c r="KMR73" s="1181"/>
      <c r="KMS73" s="1181"/>
      <c r="KMT73" s="1181"/>
      <c r="KMU73" s="1181"/>
      <c r="KMV73" s="1181"/>
      <c r="KMW73" s="1181"/>
      <c r="KMX73" s="1181"/>
      <c r="KMY73" s="1181"/>
      <c r="KMZ73" s="1181"/>
      <c r="KNA73" s="1181"/>
      <c r="KNB73" s="1181"/>
      <c r="KNC73" s="1181"/>
      <c r="KND73" s="1181"/>
      <c r="KNE73" s="1181"/>
      <c r="KNF73" s="1181"/>
      <c r="KNG73" s="1181"/>
      <c r="KNH73" s="1181"/>
      <c r="KNI73" s="1181"/>
      <c r="KNJ73" s="1181"/>
      <c r="KNK73" s="1181"/>
      <c r="KNL73" s="1181"/>
      <c r="KNM73" s="1181"/>
      <c r="KNN73" s="1181"/>
      <c r="KNO73" s="1181"/>
      <c r="KNP73" s="1181"/>
      <c r="KNQ73" s="1181"/>
      <c r="KNR73" s="1181"/>
      <c r="KNS73" s="1181"/>
      <c r="KNT73" s="1181"/>
      <c r="KNU73" s="1181"/>
      <c r="KNV73" s="1181"/>
      <c r="KNW73" s="1181"/>
      <c r="KNX73" s="1181"/>
      <c r="KNY73" s="1181"/>
      <c r="KNZ73" s="1181"/>
      <c r="KOA73" s="1181"/>
      <c r="KOB73" s="1181"/>
      <c r="KOC73" s="1181"/>
      <c r="KOD73" s="1181"/>
      <c r="KOE73" s="1181"/>
      <c r="KOF73" s="1181"/>
      <c r="KOG73" s="1181"/>
      <c r="KOH73" s="1181"/>
      <c r="KOI73" s="1181"/>
      <c r="KOJ73" s="1181"/>
      <c r="KOK73" s="1181"/>
      <c r="KOL73" s="1181"/>
      <c r="KOM73" s="1181"/>
      <c r="KON73" s="1181"/>
      <c r="KOO73" s="1181"/>
      <c r="KOP73" s="1181"/>
      <c r="KOQ73" s="1181"/>
      <c r="KOR73" s="1181"/>
      <c r="KOS73" s="1181"/>
      <c r="KOT73" s="1181"/>
      <c r="KOU73" s="1181"/>
      <c r="KOV73" s="1181"/>
      <c r="KOW73" s="1181"/>
      <c r="KOX73" s="1181"/>
      <c r="KOY73" s="1181"/>
      <c r="KOZ73" s="1181"/>
      <c r="KPA73" s="1181"/>
      <c r="KPB73" s="1181"/>
      <c r="KPC73" s="1181"/>
      <c r="KPD73" s="1181"/>
      <c r="KPE73" s="1181"/>
      <c r="KPF73" s="1181"/>
      <c r="KPG73" s="1181"/>
      <c r="KPH73" s="1181"/>
      <c r="KPI73" s="1181"/>
      <c r="KPJ73" s="1181"/>
      <c r="KPK73" s="1181"/>
      <c r="KPL73" s="1181"/>
      <c r="KPM73" s="1181"/>
      <c r="KPN73" s="1181"/>
      <c r="KPO73" s="1181"/>
      <c r="KPP73" s="1181"/>
      <c r="KPQ73" s="1181"/>
      <c r="KPR73" s="1181"/>
      <c r="KPS73" s="1181"/>
      <c r="KPT73" s="1181"/>
      <c r="KPU73" s="1181"/>
      <c r="KPV73" s="1181"/>
      <c r="KPW73" s="1181"/>
      <c r="KPX73" s="1181"/>
      <c r="KPY73" s="1181"/>
      <c r="KPZ73" s="1181"/>
      <c r="KQA73" s="1181"/>
      <c r="KQB73" s="1181"/>
      <c r="KQC73" s="1181"/>
      <c r="KQD73" s="1181"/>
      <c r="KQE73" s="1181"/>
      <c r="KQF73" s="1181"/>
      <c r="KQG73" s="1181"/>
      <c r="KQH73" s="1181"/>
      <c r="KQI73" s="1181"/>
      <c r="KQJ73" s="1181"/>
      <c r="KQK73" s="1181"/>
      <c r="KQL73" s="1181"/>
      <c r="KQM73" s="1181"/>
      <c r="KQN73" s="1181"/>
      <c r="KQO73" s="1181"/>
      <c r="KQP73" s="1181"/>
      <c r="KQQ73" s="1181"/>
      <c r="KQR73" s="1181"/>
      <c r="KQS73" s="1181"/>
      <c r="KQT73" s="1181"/>
      <c r="KQU73" s="1181"/>
      <c r="KQV73" s="1181"/>
      <c r="KQW73" s="1181"/>
      <c r="KQX73" s="1181"/>
      <c r="KQY73" s="1181"/>
      <c r="KQZ73" s="1181"/>
      <c r="KRA73" s="1181"/>
      <c r="KRB73" s="1181"/>
      <c r="KRC73" s="1181"/>
      <c r="KRD73" s="1181"/>
      <c r="KRE73" s="1181"/>
      <c r="KRF73" s="1181"/>
      <c r="KRG73" s="1181"/>
      <c r="KRH73" s="1181"/>
      <c r="KRI73" s="1181"/>
      <c r="KRJ73" s="1181"/>
      <c r="KRK73" s="1181"/>
      <c r="KRL73" s="1181"/>
      <c r="KRM73" s="1181"/>
      <c r="KRN73" s="1181"/>
      <c r="KRO73" s="1181"/>
      <c r="KRP73" s="1181"/>
      <c r="KRQ73" s="1181"/>
      <c r="KRR73" s="1181"/>
      <c r="KRS73" s="1181"/>
      <c r="KRT73" s="1181"/>
      <c r="KRU73" s="1181"/>
      <c r="KRV73" s="1181"/>
      <c r="KRW73" s="1181"/>
      <c r="KRX73" s="1181"/>
      <c r="KRY73" s="1181"/>
      <c r="KRZ73" s="1181"/>
      <c r="KSA73" s="1181"/>
      <c r="KSB73" s="1181"/>
      <c r="KSC73" s="1181"/>
      <c r="KSD73" s="1181"/>
      <c r="KSE73" s="1181"/>
      <c r="KSF73" s="1181"/>
      <c r="KSG73" s="1181"/>
      <c r="KSH73" s="1181"/>
      <c r="KSI73" s="1181"/>
      <c r="KSJ73" s="1181"/>
      <c r="KSK73" s="1181"/>
      <c r="KSL73" s="1181"/>
      <c r="KSM73" s="1181"/>
      <c r="KSN73" s="1181"/>
      <c r="KSO73" s="1181"/>
      <c r="KSP73" s="1181"/>
      <c r="KSQ73" s="1181"/>
      <c r="KSR73" s="1181"/>
      <c r="KSS73" s="1181"/>
      <c r="KST73" s="1181"/>
      <c r="KSU73" s="1181"/>
      <c r="KSV73" s="1181"/>
      <c r="KSW73" s="1181"/>
      <c r="KSX73" s="1181"/>
      <c r="KSY73" s="1181"/>
      <c r="KSZ73" s="1181"/>
      <c r="KTA73" s="1181"/>
      <c r="KTB73" s="1181"/>
      <c r="KTC73" s="1181"/>
      <c r="KTD73" s="1181"/>
      <c r="KTE73" s="1181"/>
      <c r="KTF73" s="1181"/>
      <c r="KTG73" s="1181"/>
      <c r="KTH73" s="1181"/>
      <c r="KTI73" s="1181"/>
      <c r="KTJ73" s="1181"/>
      <c r="KTK73" s="1181"/>
      <c r="KTL73" s="1181"/>
      <c r="KTM73" s="1181"/>
      <c r="KTN73" s="1181"/>
      <c r="KTO73" s="1181"/>
      <c r="KTP73" s="1181"/>
      <c r="KTQ73" s="1181"/>
      <c r="KTR73" s="1181"/>
      <c r="KTS73" s="1181"/>
      <c r="KTT73" s="1181"/>
      <c r="KTU73" s="1181"/>
      <c r="KTV73" s="1181"/>
      <c r="KTW73" s="1181"/>
      <c r="KTX73" s="1181"/>
      <c r="KTY73" s="1181"/>
      <c r="KTZ73" s="1181"/>
      <c r="KUA73" s="1181"/>
      <c r="KUB73" s="1181"/>
      <c r="KUC73" s="1181"/>
      <c r="KUD73" s="1181"/>
      <c r="KUE73" s="1181"/>
      <c r="KUF73" s="1181"/>
      <c r="KUG73" s="1181"/>
      <c r="KUH73" s="1181"/>
      <c r="KUI73" s="1181"/>
      <c r="KUJ73" s="1181"/>
      <c r="KUK73" s="1181"/>
      <c r="KUL73" s="1181"/>
      <c r="KUM73" s="1181"/>
      <c r="KUN73" s="1181"/>
      <c r="KUO73" s="1181"/>
      <c r="KUP73" s="1181"/>
      <c r="KUQ73" s="1181"/>
      <c r="KUR73" s="1181"/>
      <c r="KUS73" s="1181"/>
      <c r="KUT73" s="1181"/>
      <c r="KUU73" s="1181"/>
      <c r="KUV73" s="1181"/>
      <c r="KUW73" s="1181"/>
      <c r="KUX73" s="1181"/>
      <c r="KUY73" s="1181"/>
      <c r="KUZ73" s="1181"/>
      <c r="KVA73" s="1181"/>
      <c r="KVB73" s="1181"/>
      <c r="KVC73" s="1181"/>
      <c r="KVD73" s="1181"/>
      <c r="KVE73" s="1181"/>
      <c r="KVF73" s="1181"/>
      <c r="KVG73" s="1181"/>
      <c r="KVH73" s="1181"/>
      <c r="KVI73" s="1181"/>
      <c r="KVJ73" s="1181"/>
      <c r="KVK73" s="1181"/>
      <c r="KVL73" s="1181"/>
      <c r="KVM73" s="1181"/>
      <c r="KVN73" s="1181"/>
      <c r="KVO73" s="1181"/>
      <c r="KVP73" s="1181"/>
      <c r="KVQ73" s="1181"/>
      <c r="KVR73" s="1181"/>
      <c r="KVS73" s="1181"/>
      <c r="KVT73" s="1181"/>
      <c r="KVU73" s="1181"/>
      <c r="KVV73" s="1181"/>
      <c r="KVW73" s="1181"/>
      <c r="KVX73" s="1181"/>
      <c r="KVY73" s="1181"/>
      <c r="KVZ73" s="1181"/>
      <c r="KWA73" s="1181"/>
      <c r="KWB73" s="1181"/>
      <c r="KWC73" s="1181"/>
      <c r="KWD73" s="1181"/>
      <c r="KWE73" s="1181"/>
      <c r="KWF73" s="1181"/>
      <c r="KWG73" s="1181"/>
      <c r="KWH73" s="1181"/>
      <c r="KWI73" s="1181"/>
      <c r="KWJ73" s="1181"/>
      <c r="KWK73" s="1181"/>
      <c r="KWL73" s="1181"/>
      <c r="KWM73" s="1181"/>
      <c r="KWN73" s="1181"/>
      <c r="KWO73" s="1181"/>
      <c r="KWP73" s="1181"/>
      <c r="KWQ73" s="1181"/>
      <c r="KWR73" s="1181"/>
      <c r="KWS73" s="1181"/>
      <c r="KWT73" s="1181"/>
      <c r="KWU73" s="1181"/>
      <c r="KWV73" s="1181"/>
      <c r="KWW73" s="1181"/>
      <c r="KWX73" s="1181"/>
      <c r="KWY73" s="1181"/>
      <c r="KWZ73" s="1181"/>
      <c r="KXA73" s="1181"/>
      <c r="KXB73" s="1181"/>
      <c r="KXC73" s="1181"/>
      <c r="KXD73" s="1181"/>
      <c r="KXE73" s="1181"/>
      <c r="KXF73" s="1181"/>
      <c r="KXG73" s="1181"/>
      <c r="KXH73" s="1181"/>
      <c r="KXI73" s="1181"/>
      <c r="KXJ73" s="1181"/>
      <c r="KXK73" s="1181"/>
      <c r="KXL73" s="1181"/>
      <c r="KXM73" s="1181"/>
      <c r="KXN73" s="1181"/>
      <c r="KXO73" s="1181"/>
      <c r="KXP73" s="1181"/>
      <c r="KXQ73" s="1181"/>
      <c r="KXR73" s="1181"/>
      <c r="KXS73" s="1181"/>
      <c r="KXT73" s="1181"/>
      <c r="KXU73" s="1181"/>
      <c r="KXV73" s="1181"/>
      <c r="KXW73" s="1181"/>
      <c r="KXX73" s="1181"/>
      <c r="KXY73" s="1181"/>
      <c r="KXZ73" s="1181"/>
      <c r="KYA73" s="1181"/>
      <c r="KYB73" s="1181"/>
      <c r="KYC73" s="1181"/>
      <c r="KYD73" s="1181"/>
      <c r="KYE73" s="1181"/>
      <c r="KYF73" s="1181"/>
      <c r="KYG73" s="1181"/>
      <c r="KYH73" s="1181"/>
      <c r="KYI73" s="1181"/>
      <c r="KYJ73" s="1181"/>
      <c r="KYK73" s="1181"/>
      <c r="KYL73" s="1181"/>
      <c r="KYM73" s="1181"/>
      <c r="KYN73" s="1181"/>
      <c r="KYO73" s="1181"/>
      <c r="KYP73" s="1181"/>
      <c r="KYQ73" s="1181"/>
      <c r="KYR73" s="1181"/>
      <c r="KYS73" s="1181"/>
      <c r="KYT73" s="1181"/>
      <c r="KYU73" s="1181"/>
      <c r="KYV73" s="1181"/>
      <c r="KYW73" s="1181"/>
      <c r="KYX73" s="1181"/>
      <c r="KYY73" s="1181"/>
      <c r="KYZ73" s="1181"/>
      <c r="KZA73" s="1181"/>
      <c r="KZB73" s="1181"/>
      <c r="KZC73" s="1181"/>
      <c r="KZD73" s="1181"/>
      <c r="KZE73" s="1181"/>
      <c r="KZF73" s="1181"/>
      <c r="KZG73" s="1181"/>
      <c r="KZH73" s="1181"/>
      <c r="KZI73" s="1181"/>
      <c r="KZJ73" s="1181"/>
      <c r="KZK73" s="1181"/>
      <c r="KZL73" s="1181"/>
      <c r="KZM73" s="1181"/>
      <c r="KZN73" s="1181"/>
      <c r="KZO73" s="1181"/>
      <c r="KZP73" s="1181"/>
      <c r="KZQ73" s="1181"/>
      <c r="KZR73" s="1181"/>
      <c r="KZS73" s="1181"/>
      <c r="KZT73" s="1181"/>
      <c r="KZU73" s="1181"/>
      <c r="KZV73" s="1181"/>
      <c r="KZW73" s="1181"/>
      <c r="KZX73" s="1181"/>
      <c r="KZY73" s="1181"/>
      <c r="KZZ73" s="1181"/>
      <c r="LAA73" s="1181"/>
      <c r="LAB73" s="1181"/>
      <c r="LAC73" s="1181"/>
      <c r="LAD73" s="1181"/>
      <c r="LAE73" s="1181"/>
      <c r="LAF73" s="1181"/>
      <c r="LAG73" s="1181"/>
      <c r="LAH73" s="1181"/>
      <c r="LAI73" s="1181"/>
      <c r="LAJ73" s="1181"/>
      <c r="LAK73" s="1181"/>
      <c r="LAL73" s="1181"/>
      <c r="LAM73" s="1181"/>
      <c r="LAN73" s="1181"/>
      <c r="LAO73" s="1181"/>
      <c r="LAP73" s="1181"/>
      <c r="LAQ73" s="1181"/>
      <c r="LAR73" s="1181"/>
      <c r="LAS73" s="1181"/>
      <c r="LAT73" s="1181"/>
      <c r="LAU73" s="1181"/>
      <c r="LAV73" s="1181"/>
      <c r="LAW73" s="1181"/>
      <c r="LAX73" s="1181"/>
      <c r="LAY73" s="1181"/>
      <c r="LAZ73" s="1181"/>
      <c r="LBA73" s="1181"/>
      <c r="LBB73" s="1181"/>
      <c r="LBC73" s="1181"/>
      <c r="LBD73" s="1181"/>
      <c r="LBE73" s="1181"/>
      <c r="LBF73" s="1181"/>
      <c r="LBG73" s="1181"/>
      <c r="LBH73" s="1181"/>
      <c r="LBI73" s="1181"/>
      <c r="LBJ73" s="1181"/>
      <c r="LBK73" s="1181"/>
      <c r="LBL73" s="1181"/>
      <c r="LBM73" s="1181"/>
      <c r="LBN73" s="1181"/>
      <c r="LBO73" s="1181"/>
      <c r="LBP73" s="1181"/>
      <c r="LBQ73" s="1181"/>
      <c r="LBR73" s="1181"/>
      <c r="LBS73" s="1181"/>
      <c r="LBT73" s="1181"/>
      <c r="LBU73" s="1181"/>
      <c r="LBV73" s="1181"/>
      <c r="LBW73" s="1181"/>
      <c r="LBX73" s="1181"/>
      <c r="LBY73" s="1181"/>
      <c r="LBZ73" s="1181"/>
      <c r="LCA73" s="1181"/>
      <c r="LCB73" s="1181"/>
      <c r="LCC73" s="1181"/>
      <c r="LCD73" s="1181"/>
      <c r="LCE73" s="1181"/>
      <c r="LCF73" s="1181"/>
      <c r="LCG73" s="1181"/>
      <c r="LCH73" s="1181"/>
      <c r="LCI73" s="1181"/>
      <c r="LCJ73" s="1181"/>
      <c r="LCK73" s="1181"/>
      <c r="LCL73" s="1181"/>
      <c r="LCM73" s="1181"/>
      <c r="LCN73" s="1181"/>
      <c r="LCO73" s="1181"/>
      <c r="LCP73" s="1181"/>
      <c r="LCQ73" s="1181"/>
      <c r="LCR73" s="1181"/>
      <c r="LCS73" s="1181"/>
      <c r="LCT73" s="1181"/>
      <c r="LCU73" s="1181"/>
      <c r="LCV73" s="1181"/>
      <c r="LCW73" s="1181"/>
      <c r="LCX73" s="1181"/>
      <c r="LCY73" s="1181"/>
      <c r="LCZ73" s="1181"/>
      <c r="LDA73" s="1181"/>
      <c r="LDB73" s="1181"/>
      <c r="LDC73" s="1181"/>
      <c r="LDD73" s="1181"/>
      <c r="LDE73" s="1181"/>
      <c r="LDF73" s="1181"/>
      <c r="LDG73" s="1181"/>
      <c r="LDH73" s="1181"/>
      <c r="LDI73" s="1181"/>
      <c r="LDJ73" s="1181"/>
      <c r="LDK73" s="1181"/>
      <c r="LDL73" s="1181"/>
      <c r="LDM73" s="1181"/>
      <c r="LDN73" s="1181"/>
      <c r="LDO73" s="1181"/>
      <c r="LDP73" s="1181"/>
      <c r="LDQ73" s="1181"/>
      <c r="LDR73" s="1181"/>
      <c r="LDS73" s="1181"/>
      <c r="LDT73" s="1181"/>
      <c r="LDU73" s="1181"/>
      <c r="LDV73" s="1181"/>
      <c r="LDW73" s="1181"/>
      <c r="LDX73" s="1181"/>
      <c r="LDY73" s="1181"/>
      <c r="LDZ73" s="1181"/>
      <c r="LEA73" s="1181"/>
      <c r="LEB73" s="1181"/>
      <c r="LEC73" s="1181"/>
      <c r="LED73" s="1181"/>
      <c r="LEE73" s="1181"/>
      <c r="LEF73" s="1181"/>
      <c r="LEG73" s="1181"/>
      <c r="LEH73" s="1181"/>
      <c r="LEI73" s="1181"/>
      <c r="LEJ73" s="1181"/>
      <c r="LEK73" s="1181"/>
      <c r="LEL73" s="1181"/>
      <c r="LEM73" s="1181"/>
      <c r="LEN73" s="1181"/>
      <c r="LEO73" s="1181"/>
      <c r="LEP73" s="1181"/>
      <c r="LEQ73" s="1181"/>
      <c r="LER73" s="1181"/>
      <c r="LES73" s="1181"/>
      <c r="LET73" s="1181"/>
      <c r="LEU73" s="1181"/>
      <c r="LEV73" s="1181"/>
      <c r="LEW73" s="1181"/>
      <c r="LEX73" s="1181"/>
      <c r="LEY73" s="1181"/>
      <c r="LEZ73" s="1181"/>
      <c r="LFA73" s="1181"/>
      <c r="LFB73" s="1181"/>
      <c r="LFC73" s="1181"/>
      <c r="LFD73" s="1181"/>
      <c r="LFE73" s="1181"/>
      <c r="LFF73" s="1181"/>
      <c r="LFG73" s="1181"/>
      <c r="LFH73" s="1181"/>
      <c r="LFI73" s="1181"/>
      <c r="LFJ73" s="1181"/>
      <c r="LFK73" s="1181"/>
      <c r="LFL73" s="1181"/>
      <c r="LFM73" s="1181"/>
      <c r="LFN73" s="1181"/>
      <c r="LFO73" s="1181"/>
      <c r="LFP73" s="1181"/>
      <c r="LFQ73" s="1181"/>
      <c r="LFR73" s="1181"/>
      <c r="LFS73" s="1181"/>
      <c r="LFT73" s="1181"/>
      <c r="LFU73" s="1181"/>
      <c r="LFV73" s="1181"/>
      <c r="LFW73" s="1181"/>
      <c r="LFX73" s="1181"/>
      <c r="LFY73" s="1181"/>
      <c r="LFZ73" s="1181"/>
      <c r="LGA73" s="1181"/>
      <c r="LGB73" s="1181"/>
      <c r="LGC73" s="1181"/>
      <c r="LGD73" s="1181"/>
      <c r="LGE73" s="1181"/>
      <c r="LGF73" s="1181"/>
      <c r="LGG73" s="1181"/>
      <c r="LGH73" s="1181"/>
      <c r="LGI73" s="1181"/>
      <c r="LGJ73" s="1181"/>
      <c r="LGK73" s="1181"/>
      <c r="LGL73" s="1181"/>
      <c r="LGM73" s="1181"/>
      <c r="LGN73" s="1181"/>
      <c r="LGO73" s="1181"/>
      <c r="LGP73" s="1181"/>
      <c r="LGQ73" s="1181"/>
      <c r="LGR73" s="1181"/>
      <c r="LGS73" s="1181"/>
      <c r="LGT73" s="1181"/>
      <c r="LGU73" s="1181"/>
      <c r="LGV73" s="1181"/>
      <c r="LGW73" s="1181"/>
      <c r="LGX73" s="1181"/>
      <c r="LGY73" s="1181"/>
      <c r="LGZ73" s="1181"/>
      <c r="LHA73" s="1181"/>
      <c r="LHB73" s="1181"/>
      <c r="LHC73" s="1181"/>
      <c r="LHD73" s="1181"/>
      <c r="LHE73" s="1181"/>
      <c r="LHF73" s="1181"/>
      <c r="LHG73" s="1181"/>
      <c r="LHH73" s="1181"/>
      <c r="LHI73" s="1181"/>
      <c r="LHJ73" s="1181"/>
      <c r="LHK73" s="1181"/>
      <c r="LHL73" s="1181"/>
      <c r="LHM73" s="1181"/>
      <c r="LHN73" s="1181"/>
      <c r="LHO73" s="1181"/>
      <c r="LHP73" s="1181"/>
      <c r="LHQ73" s="1181"/>
      <c r="LHR73" s="1181"/>
      <c r="LHS73" s="1181"/>
      <c r="LHT73" s="1181"/>
      <c r="LHU73" s="1181"/>
      <c r="LHV73" s="1181"/>
      <c r="LHW73" s="1181"/>
      <c r="LHX73" s="1181"/>
      <c r="LHY73" s="1181"/>
      <c r="LHZ73" s="1181"/>
      <c r="LIA73" s="1181"/>
      <c r="LIB73" s="1181"/>
      <c r="LIC73" s="1181"/>
      <c r="LID73" s="1181"/>
      <c r="LIE73" s="1181"/>
      <c r="LIF73" s="1181"/>
      <c r="LIG73" s="1181"/>
      <c r="LIH73" s="1181"/>
      <c r="LII73" s="1181"/>
      <c r="LIJ73" s="1181"/>
      <c r="LIK73" s="1181"/>
      <c r="LIL73" s="1181"/>
      <c r="LIM73" s="1181"/>
      <c r="LIN73" s="1181"/>
      <c r="LIO73" s="1181"/>
      <c r="LIP73" s="1181"/>
      <c r="LIQ73" s="1181"/>
      <c r="LIR73" s="1181"/>
      <c r="LIS73" s="1181"/>
      <c r="LIT73" s="1181"/>
      <c r="LIU73" s="1181"/>
      <c r="LIV73" s="1181"/>
      <c r="LIW73" s="1181"/>
      <c r="LIX73" s="1181"/>
      <c r="LIY73" s="1181"/>
      <c r="LIZ73" s="1181"/>
      <c r="LJA73" s="1181"/>
      <c r="LJB73" s="1181"/>
      <c r="LJC73" s="1181"/>
      <c r="LJD73" s="1181"/>
      <c r="LJE73" s="1181"/>
      <c r="LJF73" s="1181"/>
      <c r="LJG73" s="1181"/>
      <c r="LJH73" s="1181"/>
      <c r="LJI73" s="1181"/>
      <c r="LJJ73" s="1181"/>
      <c r="LJK73" s="1181"/>
      <c r="LJL73" s="1181"/>
      <c r="LJM73" s="1181"/>
      <c r="LJN73" s="1181"/>
      <c r="LJO73" s="1181"/>
      <c r="LJP73" s="1181"/>
      <c r="LJQ73" s="1181"/>
      <c r="LJR73" s="1181"/>
      <c r="LJS73" s="1181"/>
      <c r="LJT73" s="1181"/>
      <c r="LJU73" s="1181"/>
      <c r="LJV73" s="1181"/>
      <c r="LJW73" s="1181"/>
      <c r="LJX73" s="1181"/>
      <c r="LJY73" s="1181"/>
      <c r="LJZ73" s="1181"/>
      <c r="LKA73" s="1181"/>
      <c r="LKB73" s="1181"/>
      <c r="LKC73" s="1181"/>
      <c r="LKD73" s="1181"/>
      <c r="LKE73" s="1181"/>
      <c r="LKF73" s="1181"/>
      <c r="LKG73" s="1181"/>
      <c r="LKH73" s="1181"/>
      <c r="LKI73" s="1181"/>
      <c r="LKJ73" s="1181"/>
      <c r="LKK73" s="1181"/>
      <c r="LKL73" s="1181"/>
      <c r="LKM73" s="1181"/>
      <c r="LKN73" s="1181"/>
      <c r="LKO73" s="1181"/>
      <c r="LKP73" s="1181"/>
      <c r="LKQ73" s="1181"/>
      <c r="LKR73" s="1181"/>
      <c r="LKS73" s="1181"/>
      <c r="LKT73" s="1181"/>
      <c r="LKU73" s="1181"/>
      <c r="LKV73" s="1181"/>
      <c r="LKW73" s="1181"/>
      <c r="LKX73" s="1181"/>
      <c r="LKY73" s="1181"/>
      <c r="LKZ73" s="1181"/>
      <c r="LLA73" s="1181"/>
      <c r="LLB73" s="1181"/>
      <c r="LLC73" s="1181"/>
      <c r="LLD73" s="1181"/>
      <c r="LLE73" s="1181"/>
      <c r="LLF73" s="1181"/>
      <c r="LLG73" s="1181"/>
      <c r="LLH73" s="1181"/>
      <c r="LLI73" s="1181"/>
      <c r="LLJ73" s="1181"/>
      <c r="LLK73" s="1181"/>
      <c r="LLL73" s="1181"/>
      <c r="LLM73" s="1181"/>
      <c r="LLN73" s="1181"/>
      <c r="LLO73" s="1181"/>
      <c r="LLP73" s="1181"/>
      <c r="LLQ73" s="1181"/>
      <c r="LLR73" s="1181"/>
      <c r="LLS73" s="1181"/>
      <c r="LLT73" s="1181"/>
      <c r="LLU73" s="1181"/>
      <c r="LLV73" s="1181"/>
      <c r="LLW73" s="1181"/>
      <c r="LLX73" s="1181"/>
      <c r="LLY73" s="1181"/>
      <c r="LLZ73" s="1181"/>
      <c r="LMA73" s="1181"/>
      <c r="LMB73" s="1181"/>
      <c r="LMC73" s="1181"/>
      <c r="LMD73" s="1181"/>
      <c r="LME73" s="1181"/>
      <c r="LMF73" s="1181"/>
      <c r="LMG73" s="1181"/>
      <c r="LMH73" s="1181"/>
      <c r="LMI73" s="1181"/>
      <c r="LMJ73" s="1181"/>
      <c r="LMK73" s="1181"/>
      <c r="LML73" s="1181"/>
      <c r="LMM73" s="1181"/>
      <c r="LMN73" s="1181"/>
      <c r="LMO73" s="1181"/>
      <c r="LMP73" s="1181"/>
      <c r="LMQ73" s="1181"/>
      <c r="LMR73" s="1181"/>
      <c r="LMS73" s="1181"/>
      <c r="LMT73" s="1181"/>
      <c r="LMU73" s="1181"/>
      <c r="LMV73" s="1181"/>
      <c r="LMW73" s="1181"/>
      <c r="LMX73" s="1181"/>
      <c r="LMY73" s="1181"/>
      <c r="LMZ73" s="1181"/>
      <c r="LNA73" s="1181"/>
      <c r="LNB73" s="1181"/>
      <c r="LNC73" s="1181"/>
      <c r="LND73" s="1181"/>
      <c r="LNE73" s="1181"/>
      <c r="LNF73" s="1181"/>
      <c r="LNG73" s="1181"/>
      <c r="LNH73" s="1181"/>
      <c r="LNI73" s="1181"/>
      <c r="LNJ73" s="1181"/>
      <c r="LNK73" s="1181"/>
      <c r="LNL73" s="1181"/>
      <c r="LNM73" s="1181"/>
      <c r="LNN73" s="1181"/>
      <c r="LNO73" s="1181"/>
      <c r="LNP73" s="1181"/>
      <c r="LNQ73" s="1181"/>
      <c r="LNR73" s="1181"/>
      <c r="LNS73" s="1181"/>
      <c r="LNT73" s="1181"/>
      <c r="LNU73" s="1181"/>
      <c r="LNV73" s="1181"/>
      <c r="LNW73" s="1181"/>
      <c r="LNX73" s="1181"/>
      <c r="LNY73" s="1181"/>
      <c r="LNZ73" s="1181"/>
      <c r="LOA73" s="1181"/>
      <c r="LOB73" s="1181"/>
      <c r="LOC73" s="1181"/>
      <c r="LOD73" s="1181"/>
      <c r="LOE73" s="1181"/>
      <c r="LOF73" s="1181"/>
      <c r="LOG73" s="1181"/>
      <c r="LOH73" s="1181"/>
      <c r="LOI73" s="1181"/>
      <c r="LOJ73" s="1181"/>
      <c r="LOK73" s="1181"/>
      <c r="LOL73" s="1181"/>
      <c r="LOM73" s="1181"/>
      <c r="LON73" s="1181"/>
      <c r="LOO73" s="1181"/>
      <c r="LOP73" s="1181"/>
      <c r="LOQ73" s="1181"/>
      <c r="LOR73" s="1181"/>
      <c r="LOS73" s="1181"/>
      <c r="LOT73" s="1181"/>
      <c r="LOU73" s="1181"/>
      <c r="LOV73" s="1181"/>
      <c r="LOW73" s="1181"/>
      <c r="LOX73" s="1181"/>
      <c r="LOY73" s="1181"/>
      <c r="LOZ73" s="1181"/>
      <c r="LPA73" s="1181"/>
      <c r="LPB73" s="1181"/>
      <c r="LPC73" s="1181"/>
      <c r="LPD73" s="1181"/>
      <c r="LPE73" s="1181"/>
      <c r="LPF73" s="1181"/>
      <c r="LPG73" s="1181"/>
      <c r="LPH73" s="1181"/>
      <c r="LPI73" s="1181"/>
      <c r="LPJ73" s="1181"/>
      <c r="LPK73" s="1181"/>
      <c r="LPL73" s="1181"/>
      <c r="LPM73" s="1181"/>
      <c r="LPN73" s="1181"/>
      <c r="LPO73" s="1181"/>
      <c r="LPP73" s="1181"/>
      <c r="LPQ73" s="1181"/>
      <c r="LPR73" s="1181"/>
      <c r="LPS73" s="1181"/>
      <c r="LPT73" s="1181"/>
      <c r="LPU73" s="1181"/>
      <c r="LPV73" s="1181"/>
      <c r="LPW73" s="1181"/>
      <c r="LPX73" s="1181"/>
      <c r="LPY73" s="1181"/>
      <c r="LPZ73" s="1181"/>
      <c r="LQA73" s="1181"/>
      <c r="LQB73" s="1181"/>
      <c r="LQC73" s="1181"/>
      <c r="LQD73" s="1181"/>
      <c r="LQE73" s="1181"/>
      <c r="LQF73" s="1181"/>
      <c r="LQG73" s="1181"/>
      <c r="LQH73" s="1181"/>
      <c r="LQI73" s="1181"/>
      <c r="LQJ73" s="1181"/>
      <c r="LQK73" s="1181"/>
      <c r="LQL73" s="1181"/>
      <c r="LQM73" s="1181"/>
      <c r="LQN73" s="1181"/>
      <c r="LQO73" s="1181"/>
      <c r="LQP73" s="1181"/>
      <c r="LQQ73" s="1181"/>
      <c r="LQR73" s="1181"/>
      <c r="LQS73" s="1181"/>
      <c r="LQT73" s="1181"/>
      <c r="LQU73" s="1181"/>
      <c r="LQV73" s="1181"/>
      <c r="LQW73" s="1181"/>
      <c r="LQX73" s="1181"/>
      <c r="LQY73" s="1181"/>
      <c r="LQZ73" s="1181"/>
      <c r="LRA73" s="1181"/>
      <c r="LRB73" s="1181"/>
      <c r="LRC73" s="1181"/>
      <c r="LRD73" s="1181"/>
      <c r="LRE73" s="1181"/>
      <c r="LRF73" s="1181"/>
      <c r="LRG73" s="1181"/>
      <c r="LRH73" s="1181"/>
      <c r="LRI73" s="1181"/>
      <c r="LRJ73" s="1181"/>
      <c r="LRK73" s="1181"/>
      <c r="LRL73" s="1181"/>
      <c r="LRM73" s="1181"/>
      <c r="LRN73" s="1181"/>
      <c r="LRO73" s="1181"/>
      <c r="LRP73" s="1181"/>
      <c r="LRQ73" s="1181"/>
      <c r="LRR73" s="1181"/>
      <c r="LRS73" s="1181"/>
      <c r="LRT73" s="1181"/>
      <c r="LRU73" s="1181"/>
      <c r="LRV73" s="1181"/>
      <c r="LRW73" s="1181"/>
      <c r="LRX73" s="1181"/>
      <c r="LRY73" s="1181"/>
      <c r="LRZ73" s="1181"/>
      <c r="LSA73" s="1181"/>
      <c r="LSB73" s="1181"/>
      <c r="LSC73" s="1181"/>
      <c r="LSD73" s="1181"/>
      <c r="LSE73" s="1181"/>
      <c r="LSF73" s="1181"/>
      <c r="LSG73" s="1181"/>
      <c r="LSH73" s="1181"/>
      <c r="LSI73" s="1181"/>
      <c r="LSJ73" s="1181"/>
      <c r="LSK73" s="1181"/>
      <c r="LSL73" s="1181"/>
      <c r="LSM73" s="1181"/>
      <c r="LSN73" s="1181"/>
      <c r="LSO73" s="1181"/>
      <c r="LSP73" s="1181"/>
      <c r="LSQ73" s="1181"/>
      <c r="LSR73" s="1181"/>
      <c r="LSS73" s="1181"/>
      <c r="LST73" s="1181"/>
      <c r="LSU73" s="1181"/>
      <c r="LSV73" s="1181"/>
      <c r="LSW73" s="1181"/>
      <c r="LSX73" s="1181"/>
      <c r="LSY73" s="1181"/>
      <c r="LSZ73" s="1181"/>
      <c r="LTA73" s="1181"/>
      <c r="LTB73" s="1181"/>
      <c r="LTC73" s="1181"/>
      <c r="LTD73" s="1181"/>
      <c r="LTE73" s="1181"/>
      <c r="LTF73" s="1181"/>
      <c r="LTG73" s="1181"/>
      <c r="LTH73" s="1181"/>
      <c r="LTI73" s="1181"/>
      <c r="LTJ73" s="1181"/>
      <c r="LTK73" s="1181"/>
      <c r="LTL73" s="1181"/>
      <c r="LTM73" s="1181"/>
      <c r="LTN73" s="1181"/>
      <c r="LTO73" s="1181"/>
      <c r="LTP73" s="1181"/>
      <c r="LTQ73" s="1181"/>
      <c r="LTR73" s="1181"/>
      <c r="LTS73" s="1181"/>
      <c r="LTT73" s="1181"/>
      <c r="LTU73" s="1181"/>
      <c r="LTV73" s="1181"/>
      <c r="LTW73" s="1181"/>
      <c r="LTX73" s="1181"/>
      <c r="LTY73" s="1181"/>
      <c r="LTZ73" s="1181"/>
      <c r="LUA73" s="1181"/>
      <c r="LUB73" s="1181"/>
      <c r="LUC73" s="1181"/>
      <c r="LUD73" s="1181"/>
      <c r="LUE73" s="1181"/>
      <c r="LUF73" s="1181"/>
      <c r="LUG73" s="1181"/>
      <c r="LUH73" s="1181"/>
      <c r="LUI73" s="1181"/>
      <c r="LUJ73" s="1181"/>
      <c r="LUK73" s="1181"/>
      <c r="LUL73" s="1181"/>
      <c r="LUM73" s="1181"/>
      <c r="LUN73" s="1181"/>
      <c r="LUO73" s="1181"/>
      <c r="LUP73" s="1181"/>
      <c r="LUQ73" s="1181"/>
      <c r="LUR73" s="1181"/>
      <c r="LUS73" s="1181"/>
      <c r="LUT73" s="1181"/>
      <c r="LUU73" s="1181"/>
      <c r="LUV73" s="1181"/>
      <c r="LUW73" s="1181"/>
      <c r="LUX73" s="1181"/>
      <c r="LUY73" s="1181"/>
      <c r="LUZ73" s="1181"/>
      <c r="LVA73" s="1181"/>
      <c r="LVB73" s="1181"/>
      <c r="LVC73" s="1181"/>
      <c r="LVD73" s="1181"/>
      <c r="LVE73" s="1181"/>
      <c r="LVF73" s="1181"/>
      <c r="LVG73" s="1181"/>
      <c r="LVH73" s="1181"/>
      <c r="LVI73" s="1181"/>
      <c r="LVJ73" s="1181"/>
      <c r="LVK73" s="1181"/>
      <c r="LVL73" s="1181"/>
      <c r="LVM73" s="1181"/>
      <c r="LVN73" s="1181"/>
      <c r="LVO73" s="1181"/>
      <c r="LVP73" s="1181"/>
      <c r="LVQ73" s="1181"/>
      <c r="LVR73" s="1181"/>
      <c r="LVS73" s="1181"/>
      <c r="LVT73" s="1181"/>
      <c r="LVU73" s="1181"/>
      <c r="LVV73" s="1181"/>
      <c r="LVW73" s="1181"/>
      <c r="LVX73" s="1181"/>
      <c r="LVY73" s="1181"/>
      <c r="LVZ73" s="1181"/>
      <c r="LWA73" s="1181"/>
      <c r="LWB73" s="1181"/>
      <c r="LWC73" s="1181"/>
      <c r="LWD73" s="1181"/>
      <c r="LWE73" s="1181"/>
      <c r="LWF73" s="1181"/>
      <c r="LWG73" s="1181"/>
      <c r="LWH73" s="1181"/>
      <c r="LWI73" s="1181"/>
      <c r="LWJ73" s="1181"/>
      <c r="LWK73" s="1181"/>
      <c r="LWL73" s="1181"/>
      <c r="LWM73" s="1181"/>
      <c r="LWN73" s="1181"/>
      <c r="LWO73" s="1181"/>
      <c r="LWP73" s="1181"/>
      <c r="LWQ73" s="1181"/>
      <c r="LWR73" s="1181"/>
      <c r="LWS73" s="1181"/>
      <c r="LWT73" s="1181"/>
      <c r="LWU73" s="1181"/>
      <c r="LWV73" s="1181"/>
      <c r="LWW73" s="1181"/>
      <c r="LWX73" s="1181"/>
      <c r="LWY73" s="1181"/>
      <c r="LWZ73" s="1181"/>
      <c r="LXA73" s="1181"/>
      <c r="LXB73" s="1181"/>
      <c r="LXC73" s="1181"/>
      <c r="LXD73" s="1181"/>
      <c r="LXE73" s="1181"/>
      <c r="LXF73" s="1181"/>
      <c r="LXG73" s="1181"/>
      <c r="LXH73" s="1181"/>
      <c r="LXI73" s="1181"/>
      <c r="LXJ73" s="1181"/>
      <c r="LXK73" s="1181"/>
      <c r="LXL73" s="1181"/>
      <c r="LXM73" s="1181"/>
      <c r="LXN73" s="1181"/>
      <c r="LXO73" s="1181"/>
      <c r="LXP73" s="1181"/>
      <c r="LXQ73" s="1181"/>
      <c r="LXR73" s="1181"/>
      <c r="LXS73" s="1181"/>
      <c r="LXT73" s="1181"/>
      <c r="LXU73" s="1181"/>
      <c r="LXV73" s="1181"/>
      <c r="LXW73" s="1181"/>
      <c r="LXX73" s="1181"/>
      <c r="LXY73" s="1181"/>
      <c r="LXZ73" s="1181"/>
      <c r="LYA73" s="1181"/>
      <c r="LYB73" s="1181"/>
      <c r="LYC73" s="1181"/>
      <c r="LYD73" s="1181"/>
      <c r="LYE73" s="1181"/>
      <c r="LYF73" s="1181"/>
      <c r="LYG73" s="1181"/>
      <c r="LYH73" s="1181"/>
      <c r="LYI73" s="1181"/>
      <c r="LYJ73" s="1181"/>
      <c r="LYK73" s="1181"/>
      <c r="LYL73" s="1181"/>
      <c r="LYM73" s="1181"/>
      <c r="LYN73" s="1181"/>
      <c r="LYO73" s="1181"/>
      <c r="LYP73" s="1181"/>
      <c r="LYQ73" s="1181"/>
      <c r="LYR73" s="1181"/>
      <c r="LYS73" s="1181"/>
      <c r="LYT73" s="1181"/>
      <c r="LYU73" s="1181"/>
      <c r="LYV73" s="1181"/>
      <c r="LYW73" s="1181"/>
      <c r="LYX73" s="1181"/>
      <c r="LYY73" s="1181"/>
      <c r="LYZ73" s="1181"/>
      <c r="LZA73" s="1181"/>
      <c r="LZB73" s="1181"/>
      <c r="LZC73" s="1181"/>
      <c r="LZD73" s="1181"/>
      <c r="LZE73" s="1181"/>
      <c r="LZF73" s="1181"/>
      <c r="LZG73" s="1181"/>
      <c r="LZH73" s="1181"/>
      <c r="LZI73" s="1181"/>
      <c r="LZJ73" s="1181"/>
      <c r="LZK73" s="1181"/>
      <c r="LZL73" s="1181"/>
      <c r="LZM73" s="1181"/>
      <c r="LZN73" s="1181"/>
      <c r="LZO73" s="1181"/>
      <c r="LZP73" s="1181"/>
      <c r="LZQ73" s="1181"/>
      <c r="LZR73" s="1181"/>
      <c r="LZS73" s="1181"/>
      <c r="LZT73" s="1181"/>
      <c r="LZU73" s="1181"/>
      <c r="LZV73" s="1181"/>
      <c r="LZW73" s="1181"/>
      <c r="LZX73" s="1181"/>
      <c r="LZY73" s="1181"/>
      <c r="LZZ73" s="1181"/>
      <c r="MAA73" s="1181"/>
      <c r="MAB73" s="1181"/>
      <c r="MAC73" s="1181"/>
      <c r="MAD73" s="1181"/>
      <c r="MAE73" s="1181"/>
      <c r="MAF73" s="1181"/>
      <c r="MAG73" s="1181"/>
      <c r="MAH73" s="1181"/>
      <c r="MAI73" s="1181"/>
      <c r="MAJ73" s="1181"/>
      <c r="MAK73" s="1181"/>
      <c r="MAL73" s="1181"/>
      <c r="MAM73" s="1181"/>
      <c r="MAN73" s="1181"/>
      <c r="MAO73" s="1181"/>
      <c r="MAP73" s="1181"/>
      <c r="MAQ73" s="1181"/>
      <c r="MAR73" s="1181"/>
      <c r="MAS73" s="1181"/>
      <c r="MAT73" s="1181"/>
      <c r="MAU73" s="1181"/>
      <c r="MAV73" s="1181"/>
      <c r="MAW73" s="1181"/>
      <c r="MAX73" s="1181"/>
      <c r="MAY73" s="1181"/>
      <c r="MAZ73" s="1181"/>
      <c r="MBA73" s="1181"/>
      <c r="MBB73" s="1181"/>
      <c r="MBC73" s="1181"/>
      <c r="MBD73" s="1181"/>
      <c r="MBE73" s="1181"/>
      <c r="MBF73" s="1181"/>
      <c r="MBG73" s="1181"/>
      <c r="MBH73" s="1181"/>
      <c r="MBI73" s="1181"/>
      <c r="MBJ73" s="1181"/>
      <c r="MBK73" s="1181"/>
      <c r="MBL73" s="1181"/>
      <c r="MBM73" s="1181"/>
      <c r="MBN73" s="1181"/>
      <c r="MBO73" s="1181"/>
      <c r="MBP73" s="1181"/>
      <c r="MBQ73" s="1181"/>
      <c r="MBR73" s="1181"/>
      <c r="MBS73" s="1181"/>
      <c r="MBT73" s="1181"/>
      <c r="MBU73" s="1181"/>
      <c r="MBV73" s="1181"/>
      <c r="MBW73" s="1181"/>
      <c r="MBX73" s="1181"/>
      <c r="MBY73" s="1181"/>
      <c r="MBZ73" s="1181"/>
      <c r="MCA73" s="1181"/>
      <c r="MCB73" s="1181"/>
      <c r="MCC73" s="1181"/>
      <c r="MCD73" s="1181"/>
      <c r="MCE73" s="1181"/>
      <c r="MCF73" s="1181"/>
      <c r="MCG73" s="1181"/>
      <c r="MCH73" s="1181"/>
      <c r="MCI73" s="1181"/>
      <c r="MCJ73" s="1181"/>
      <c r="MCK73" s="1181"/>
      <c r="MCL73" s="1181"/>
      <c r="MCM73" s="1181"/>
      <c r="MCN73" s="1181"/>
      <c r="MCO73" s="1181"/>
      <c r="MCP73" s="1181"/>
      <c r="MCQ73" s="1181"/>
      <c r="MCR73" s="1181"/>
      <c r="MCS73" s="1181"/>
      <c r="MCT73" s="1181"/>
      <c r="MCU73" s="1181"/>
      <c r="MCV73" s="1181"/>
      <c r="MCW73" s="1181"/>
      <c r="MCX73" s="1181"/>
      <c r="MCY73" s="1181"/>
      <c r="MCZ73" s="1181"/>
      <c r="MDA73" s="1181"/>
      <c r="MDB73" s="1181"/>
      <c r="MDC73" s="1181"/>
      <c r="MDD73" s="1181"/>
      <c r="MDE73" s="1181"/>
      <c r="MDF73" s="1181"/>
      <c r="MDG73" s="1181"/>
      <c r="MDH73" s="1181"/>
      <c r="MDI73" s="1181"/>
      <c r="MDJ73" s="1181"/>
      <c r="MDK73" s="1181"/>
      <c r="MDL73" s="1181"/>
      <c r="MDM73" s="1181"/>
      <c r="MDN73" s="1181"/>
      <c r="MDO73" s="1181"/>
      <c r="MDP73" s="1181"/>
      <c r="MDQ73" s="1181"/>
      <c r="MDR73" s="1181"/>
      <c r="MDS73" s="1181"/>
      <c r="MDT73" s="1181"/>
      <c r="MDU73" s="1181"/>
      <c r="MDV73" s="1181"/>
      <c r="MDW73" s="1181"/>
      <c r="MDX73" s="1181"/>
      <c r="MDY73" s="1181"/>
      <c r="MDZ73" s="1181"/>
      <c r="MEA73" s="1181"/>
      <c r="MEB73" s="1181"/>
      <c r="MEC73" s="1181"/>
      <c r="MED73" s="1181"/>
      <c r="MEE73" s="1181"/>
      <c r="MEF73" s="1181"/>
      <c r="MEG73" s="1181"/>
      <c r="MEH73" s="1181"/>
      <c r="MEI73" s="1181"/>
      <c r="MEJ73" s="1181"/>
      <c r="MEK73" s="1181"/>
      <c r="MEL73" s="1181"/>
      <c r="MEM73" s="1181"/>
      <c r="MEN73" s="1181"/>
      <c r="MEO73" s="1181"/>
      <c r="MEP73" s="1181"/>
      <c r="MEQ73" s="1181"/>
      <c r="MER73" s="1181"/>
      <c r="MES73" s="1181"/>
      <c r="MET73" s="1181"/>
      <c r="MEU73" s="1181"/>
      <c r="MEV73" s="1181"/>
      <c r="MEW73" s="1181"/>
      <c r="MEX73" s="1181"/>
      <c r="MEY73" s="1181"/>
      <c r="MEZ73" s="1181"/>
      <c r="MFA73" s="1181"/>
      <c r="MFB73" s="1181"/>
      <c r="MFC73" s="1181"/>
      <c r="MFD73" s="1181"/>
      <c r="MFE73" s="1181"/>
      <c r="MFF73" s="1181"/>
      <c r="MFG73" s="1181"/>
      <c r="MFH73" s="1181"/>
      <c r="MFI73" s="1181"/>
      <c r="MFJ73" s="1181"/>
      <c r="MFK73" s="1181"/>
      <c r="MFL73" s="1181"/>
      <c r="MFM73" s="1181"/>
      <c r="MFN73" s="1181"/>
      <c r="MFO73" s="1181"/>
      <c r="MFP73" s="1181"/>
      <c r="MFQ73" s="1181"/>
      <c r="MFR73" s="1181"/>
      <c r="MFS73" s="1181"/>
      <c r="MFT73" s="1181"/>
      <c r="MFU73" s="1181"/>
      <c r="MFV73" s="1181"/>
      <c r="MFW73" s="1181"/>
      <c r="MFX73" s="1181"/>
      <c r="MFY73" s="1181"/>
      <c r="MFZ73" s="1181"/>
      <c r="MGA73" s="1181"/>
      <c r="MGB73" s="1181"/>
      <c r="MGC73" s="1181"/>
      <c r="MGD73" s="1181"/>
      <c r="MGE73" s="1181"/>
      <c r="MGF73" s="1181"/>
      <c r="MGG73" s="1181"/>
      <c r="MGH73" s="1181"/>
      <c r="MGI73" s="1181"/>
      <c r="MGJ73" s="1181"/>
      <c r="MGK73" s="1181"/>
      <c r="MGL73" s="1181"/>
      <c r="MGM73" s="1181"/>
      <c r="MGN73" s="1181"/>
      <c r="MGO73" s="1181"/>
      <c r="MGP73" s="1181"/>
      <c r="MGQ73" s="1181"/>
      <c r="MGR73" s="1181"/>
      <c r="MGS73" s="1181"/>
      <c r="MGT73" s="1181"/>
      <c r="MGU73" s="1181"/>
      <c r="MGV73" s="1181"/>
      <c r="MGW73" s="1181"/>
      <c r="MGX73" s="1181"/>
      <c r="MGY73" s="1181"/>
      <c r="MGZ73" s="1181"/>
      <c r="MHA73" s="1181"/>
      <c r="MHB73" s="1181"/>
      <c r="MHC73" s="1181"/>
      <c r="MHD73" s="1181"/>
      <c r="MHE73" s="1181"/>
      <c r="MHF73" s="1181"/>
      <c r="MHG73" s="1181"/>
      <c r="MHH73" s="1181"/>
      <c r="MHI73" s="1181"/>
      <c r="MHJ73" s="1181"/>
      <c r="MHK73" s="1181"/>
      <c r="MHL73" s="1181"/>
      <c r="MHM73" s="1181"/>
      <c r="MHN73" s="1181"/>
      <c r="MHO73" s="1181"/>
      <c r="MHP73" s="1181"/>
      <c r="MHQ73" s="1181"/>
      <c r="MHR73" s="1181"/>
      <c r="MHS73" s="1181"/>
      <c r="MHT73" s="1181"/>
      <c r="MHU73" s="1181"/>
      <c r="MHV73" s="1181"/>
      <c r="MHW73" s="1181"/>
      <c r="MHX73" s="1181"/>
      <c r="MHY73" s="1181"/>
      <c r="MHZ73" s="1181"/>
      <c r="MIA73" s="1181"/>
      <c r="MIB73" s="1181"/>
      <c r="MIC73" s="1181"/>
      <c r="MID73" s="1181"/>
      <c r="MIE73" s="1181"/>
      <c r="MIF73" s="1181"/>
      <c r="MIG73" s="1181"/>
      <c r="MIH73" s="1181"/>
      <c r="MII73" s="1181"/>
      <c r="MIJ73" s="1181"/>
      <c r="MIK73" s="1181"/>
      <c r="MIL73" s="1181"/>
      <c r="MIM73" s="1181"/>
      <c r="MIN73" s="1181"/>
      <c r="MIO73" s="1181"/>
      <c r="MIP73" s="1181"/>
      <c r="MIQ73" s="1181"/>
      <c r="MIR73" s="1181"/>
      <c r="MIS73" s="1181"/>
      <c r="MIT73" s="1181"/>
      <c r="MIU73" s="1181"/>
      <c r="MIV73" s="1181"/>
      <c r="MIW73" s="1181"/>
      <c r="MIX73" s="1181"/>
      <c r="MIY73" s="1181"/>
      <c r="MIZ73" s="1181"/>
      <c r="MJA73" s="1181"/>
      <c r="MJB73" s="1181"/>
      <c r="MJC73" s="1181"/>
      <c r="MJD73" s="1181"/>
      <c r="MJE73" s="1181"/>
      <c r="MJF73" s="1181"/>
      <c r="MJG73" s="1181"/>
      <c r="MJH73" s="1181"/>
      <c r="MJI73" s="1181"/>
      <c r="MJJ73" s="1181"/>
      <c r="MJK73" s="1181"/>
      <c r="MJL73" s="1181"/>
      <c r="MJM73" s="1181"/>
      <c r="MJN73" s="1181"/>
      <c r="MJO73" s="1181"/>
      <c r="MJP73" s="1181"/>
      <c r="MJQ73" s="1181"/>
      <c r="MJR73" s="1181"/>
      <c r="MJS73" s="1181"/>
      <c r="MJT73" s="1181"/>
      <c r="MJU73" s="1181"/>
      <c r="MJV73" s="1181"/>
      <c r="MJW73" s="1181"/>
      <c r="MJX73" s="1181"/>
      <c r="MJY73" s="1181"/>
      <c r="MJZ73" s="1181"/>
      <c r="MKA73" s="1181"/>
      <c r="MKB73" s="1181"/>
      <c r="MKC73" s="1181"/>
      <c r="MKD73" s="1181"/>
      <c r="MKE73" s="1181"/>
      <c r="MKF73" s="1181"/>
      <c r="MKG73" s="1181"/>
      <c r="MKH73" s="1181"/>
      <c r="MKI73" s="1181"/>
      <c r="MKJ73" s="1181"/>
      <c r="MKK73" s="1181"/>
      <c r="MKL73" s="1181"/>
      <c r="MKM73" s="1181"/>
      <c r="MKN73" s="1181"/>
      <c r="MKO73" s="1181"/>
      <c r="MKP73" s="1181"/>
      <c r="MKQ73" s="1181"/>
      <c r="MKR73" s="1181"/>
      <c r="MKS73" s="1181"/>
      <c r="MKT73" s="1181"/>
      <c r="MKU73" s="1181"/>
      <c r="MKV73" s="1181"/>
      <c r="MKW73" s="1181"/>
      <c r="MKX73" s="1181"/>
      <c r="MKY73" s="1181"/>
      <c r="MKZ73" s="1181"/>
      <c r="MLA73" s="1181"/>
      <c r="MLB73" s="1181"/>
      <c r="MLC73" s="1181"/>
      <c r="MLD73" s="1181"/>
      <c r="MLE73" s="1181"/>
      <c r="MLF73" s="1181"/>
      <c r="MLG73" s="1181"/>
      <c r="MLH73" s="1181"/>
      <c r="MLI73" s="1181"/>
      <c r="MLJ73" s="1181"/>
      <c r="MLK73" s="1181"/>
      <c r="MLL73" s="1181"/>
      <c r="MLM73" s="1181"/>
      <c r="MLN73" s="1181"/>
      <c r="MLO73" s="1181"/>
      <c r="MLP73" s="1181"/>
      <c r="MLQ73" s="1181"/>
      <c r="MLR73" s="1181"/>
      <c r="MLS73" s="1181"/>
      <c r="MLT73" s="1181"/>
      <c r="MLU73" s="1181"/>
      <c r="MLV73" s="1181"/>
      <c r="MLW73" s="1181"/>
      <c r="MLX73" s="1181"/>
      <c r="MLY73" s="1181"/>
      <c r="MLZ73" s="1181"/>
      <c r="MMA73" s="1181"/>
      <c r="MMB73" s="1181"/>
      <c r="MMC73" s="1181"/>
      <c r="MMD73" s="1181"/>
      <c r="MME73" s="1181"/>
      <c r="MMF73" s="1181"/>
      <c r="MMG73" s="1181"/>
      <c r="MMH73" s="1181"/>
      <c r="MMI73" s="1181"/>
      <c r="MMJ73" s="1181"/>
      <c r="MMK73" s="1181"/>
      <c r="MML73" s="1181"/>
      <c r="MMM73" s="1181"/>
      <c r="MMN73" s="1181"/>
      <c r="MMO73" s="1181"/>
      <c r="MMP73" s="1181"/>
      <c r="MMQ73" s="1181"/>
      <c r="MMR73" s="1181"/>
      <c r="MMS73" s="1181"/>
      <c r="MMT73" s="1181"/>
      <c r="MMU73" s="1181"/>
      <c r="MMV73" s="1181"/>
      <c r="MMW73" s="1181"/>
      <c r="MMX73" s="1181"/>
      <c r="MMY73" s="1181"/>
      <c r="MMZ73" s="1181"/>
      <c r="MNA73" s="1181"/>
      <c r="MNB73" s="1181"/>
      <c r="MNC73" s="1181"/>
      <c r="MND73" s="1181"/>
      <c r="MNE73" s="1181"/>
      <c r="MNF73" s="1181"/>
      <c r="MNG73" s="1181"/>
      <c r="MNH73" s="1181"/>
      <c r="MNI73" s="1181"/>
      <c r="MNJ73" s="1181"/>
      <c r="MNK73" s="1181"/>
      <c r="MNL73" s="1181"/>
      <c r="MNM73" s="1181"/>
      <c r="MNN73" s="1181"/>
      <c r="MNO73" s="1181"/>
      <c r="MNP73" s="1181"/>
      <c r="MNQ73" s="1181"/>
      <c r="MNR73" s="1181"/>
      <c r="MNS73" s="1181"/>
      <c r="MNT73" s="1181"/>
      <c r="MNU73" s="1181"/>
      <c r="MNV73" s="1181"/>
      <c r="MNW73" s="1181"/>
      <c r="MNX73" s="1181"/>
      <c r="MNY73" s="1181"/>
      <c r="MNZ73" s="1181"/>
      <c r="MOA73" s="1181"/>
      <c r="MOB73" s="1181"/>
      <c r="MOC73" s="1181"/>
      <c r="MOD73" s="1181"/>
      <c r="MOE73" s="1181"/>
      <c r="MOF73" s="1181"/>
      <c r="MOG73" s="1181"/>
      <c r="MOH73" s="1181"/>
      <c r="MOI73" s="1181"/>
      <c r="MOJ73" s="1181"/>
      <c r="MOK73" s="1181"/>
      <c r="MOL73" s="1181"/>
      <c r="MOM73" s="1181"/>
      <c r="MON73" s="1181"/>
      <c r="MOO73" s="1181"/>
      <c r="MOP73" s="1181"/>
      <c r="MOQ73" s="1181"/>
      <c r="MOR73" s="1181"/>
      <c r="MOS73" s="1181"/>
      <c r="MOT73" s="1181"/>
      <c r="MOU73" s="1181"/>
      <c r="MOV73" s="1181"/>
      <c r="MOW73" s="1181"/>
      <c r="MOX73" s="1181"/>
      <c r="MOY73" s="1181"/>
      <c r="MOZ73" s="1181"/>
      <c r="MPA73" s="1181"/>
      <c r="MPB73" s="1181"/>
      <c r="MPC73" s="1181"/>
      <c r="MPD73" s="1181"/>
      <c r="MPE73" s="1181"/>
      <c r="MPF73" s="1181"/>
      <c r="MPG73" s="1181"/>
      <c r="MPH73" s="1181"/>
      <c r="MPI73" s="1181"/>
      <c r="MPJ73" s="1181"/>
      <c r="MPK73" s="1181"/>
      <c r="MPL73" s="1181"/>
      <c r="MPM73" s="1181"/>
      <c r="MPN73" s="1181"/>
      <c r="MPO73" s="1181"/>
      <c r="MPP73" s="1181"/>
      <c r="MPQ73" s="1181"/>
      <c r="MPR73" s="1181"/>
      <c r="MPS73" s="1181"/>
      <c r="MPT73" s="1181"/>
      <c r="MPU73" s="1181"/>
      <c r="MPV73" s="1181"/>
      <c r="MPW73" s="1181"/>
      <c r="MPX73" s="1181"/>
      <c r="MPY73" s="1181"/>
      <c r="MPZ73" s="1181"/>
      <c r="MQA73" s="1181"/>
      <c r="MQB73" s="1181"/>
      <c r="MQC73" s="1181"/>
      <c r="MQD73" s="1181"/>
      <c r="MQE73" s="1181"/>
      <c r="MQF73" s="1181"/>
      <c r="MQG73" s="1181"/>
      <c r="MQH73" s="1181"/>
      <c r="MQI73" s="1181"/>
      <c r="MQJ73" s="1181"/>
      <c r="MQK73" s="1181"/>
      <c r="MQL73" s="1181"/>
      <c r="MQM73" s="1181"/>
      <c r="MQN73" s="1181"/>
      <c r="MQO73" s="1181"/>
      <c r="MQP73" s="1181"/>
      <c r="MQQ73" s="1181"/>
      <c r="MQR73" s="1181"/>
      <c r="MQS73" s="1181"/>
      <c r="MQT73" s="1181"/>
      <c r="MQU73" s="1181"/>
      <c r="MQV73" s="1181"/>
      <c r="MQW73" s="1181"/>
      <c r="MQX73" s="1181"/>
      <c r="MQY73" s="1181"/>
      <c r="MQZ73" s="1181"/>
      <c r="MRA73" s="1181"/>
      <c r="MRB73" s="1181"/>
      <c r="MRC73" s="1181"/>
      <c r="MRD73" s="1181"/>
      <c r="MRE73" s="1181"/>
      <c r="MRF73" s="1181"/>
      <c r="MRG73" s="1181"/>
      <c r="MRH73" s="1181"/>
      <c r="MRI73" s="1181"/>
      <c r="MRJ73" s="1181"/>
      <c r="MRK73" s="1181"/>
      <c r="MRL73" s="1181"/>
      <c r="MRM73" s="1181"/>
      <c r="MRN73" s="1181"/>
      <c r="MRO73" s="1181"/>
      <c r="MRP73" s="1181"/>
      <c r="MRQ73" s="1181"/>
      <c r="MRR73" s="1181"/>
      <c r="MRS73" s="1181"/>
      <c r="MRT73" s="1181"/>
      <c r="MRU73" s="1181"/>
      <c r="MRV73" s="1181"/>
      <c r="MRW73" s="1181"/>
      <c r="MRX73" s="1181"/>
      <c r="MRY73" s="1181"/>
      <c r="MRZ73" s="1181"/>
      <c r="MSA73" s="1181"/>
      <c r="MSB73" s="1181"/>
      <c r="MSC73" s="1181"/>
      <c r="MSD73" s="1181"/>
      <c r="MSE73" s="1181"/>
      <c r="MSF73" s="1181"/>
      <c r="MSG73" s="1181"/>
      <c r="MSH73" s="1181"/>
      <c r="MSI73" s="1181"/>
      <c r="MSJ73" s="1181"/>
      <c r="MSK73" s="1181"/>
      <c r="MSL73" s="1181"/>
      <c r="MSM73" s="1181"/>
      <c r="MSN73" s="1181"/>
      <c r="MSO73" s="1181"/>
      <c r="MSP73" s="1181"/>
      <c r="MSQ73" s="1181"/>
      <c r="MSR73" s="1181"/>
      <c r="MSS73" s="1181"/>
      <c r="MST73" s="1181"/>
      <c r="MSU73" s="1181"/>
      <c r="MSV73" s="1181"/>
      <c r="MSW73" s="1181"/>
      <c r="MSX73" s="1181"/>
      <c r="MSY73" s="1181"/>
      <c r="MSZ73" s="1181"/>
      <c r="MTA73" s="1181"/>
      <c r="MTB73" s="1181"/>
      <c r="MTC73" s="1181"/>
      <c r="MTD73" s="1181"/>
      <c r="MTE73" s="1181"/>
      <c r="MTF73" s="1181"/>
      <c r="MTG73" s="1181"/>
      <c r="MTH73" s="1181"/>
      <c r="MTI73" s="1181"/>
      <c r="MTJ73" s="1181"/>
      <c r="MTK73" s="1181"/>
      <c r="MTL73" s="1181"/>
      <c r="MTM73" s="1181"/>
      <c r="MTN73" s="1181"/>
      <c r="MTO73" s="1181"/>
      <c r="MTP73" s="1181"/>
      <c r="MTQ73" s="1181"/>
      <c r="MTR73" s="1181"/>
      <c r="MTS73" s="1181"/>
      <c r="MTT73" s="1181"/>
      <c r="MTU73" s="1181"/>
      <c r="MTV73" s="1181"/>
      <c r="MTW73" s="1181"/>
      <c r="MTX73" s="1181"/>
      <c r="MTY73" s="1181"/>
      <c r="MTZ73" s="1181"/>
      <c r="MUA73" s="1181"/>
      <c r="MUB73" s="1181"/>
      <c r="MUC73" s="1181"/>
      <c r="MUD73" s="1181"/>
      <c r="MUE73" s="1181"/>
      <c r="MUF73" s="1181"/>
      <c r="MUG73" s="1181"/>
      <c r="MUH73" s="1181"/>
      <c r="MUI73" s="1181"/>
      <c r="MUJ73" s="1181"/>
      <c r="MUK73" s="1181"/>
      <c r="MUL73" s="1181"/>
      <c r="MUM73" s="1181"/>
      <c r="MUN73" s="1181"/>
      <c r="MUO73" s="1181"/>
      <c r="MUP73" s="1181"/>
      <c r="MUQ73" s="1181"/>
      <c r="MUR73" s="1181"/>
      <c r="MUS73" s="1181"/>
      <c r="MUT73" s="1181"/>
      <c r="MUU73" s="1181"/>
      <c r="MUV73" s="1181"/>
      <c r="MUW73" s="1181"/>
      <c r="MUX73" s="1181"/>
      <c r="MUY73" s="1181"/>
      <c r="MUZ73" s="1181"/>
      <c r="MVA73" s="1181"/>
      <c r="MVB73" s="1181"/>
      <c r="MVC73" s="1181"/>
      <c r="MVD73" s="1181"/>
      <c r="MVE73" s="1181"/>
      <c r="MVF73" s="1181"/>
      <c r="MVG73" s="1181"/>
      <c r="MVH73" s="1181"/>
      <c r="MVI73" s="1181"/>
      <c r="MVJ73" s="1181"/>
      <c r="MVK73" s="1181"/>
      <c r="MVL73" s="1181"/>
      <c r="MVM73" s="1181"/>
      <c r="MVN73" s="1181"/>
      <c r="MVO73" s="1181"/>
      <c r="MVP73" s="1181"/>
      <c r="MVQ73" s="1181"/>
      <c r="MVR73" s="1181"/>
      <c r="MVS73" s="1181"/>
      <c r="MVT73" s="1181"/>
      <c r="MVU73" s="1181"/>
      <c r="MVV73" s="1181"/>
      <c r="MVW73" s="1181"/>
      <c r="MVX73" s="1181"/>
      <c r="MVY73" s="1181"/>
      <c r="MVZ73" s="1181"/>
      <c r="MWA73" s="1181"/>
      <c r="MWB73" s="1181"/>
      <c r="MWC73" s="1181"/>
      <c r="MWD73" s="1181"/>
      <c r="MWE73" s="1181"/>
      <c r="MWF73" s="1181"/>
      <c r="MWG73" s="1181"/>
      <c r="MWH73" s="1181"/>
      <c r="MWI73" s="1181"/>
      <c r="MWJ73" s="1181"/>
      <c r="MWK73" s="1181"/>
      <c r="MWL73" s="1181"/>
      <c r="MWM73" s="1181"/>
      <c r="MWN73" s="1181"/>
      <c r="MWO73" s="1181"/>
      <c r="MWP73" s="1181"/>
      <c r="MWQ73" s="1181"/>
      <c r="MWR73" s="1181"/>
      <c r="MWS73" s="1181"/>
      <c r="MWT73" s="1181"/>
      <c r="MWU73" s="1181"/>
      <c r="MWV73" s="1181"/>
      <c r="MWW73" s="1181"/>
      <c r="MWX73" s="1181"/>
      <c r="MWY73" s="1181"/>
      <c r="MWZ73" s="1181"/>
      <c r="MXA73" s="1181"/>
      <c r="MXB73" s="1181"/>
      <c r="MXC73" s="1181"/>
      <c r="MXD73" s="1181"/>
      <c r="MXE73" s="1181"/>
      <c r="MXF73" s="1181"/>
      <c r="MXG73" s="1181"/>
      <c r="MXH73" s="1181"/>
      <c r="MXI73" s="1181"/>
      <c r="MXJ73" s="1181"/>
      <c r="MXK73" s="1181"/>
      <c r="MXL73" s="1181"/>
      <c r="MXM73" s="1181"/>
      <c r="MXN73" s="1181"/>
      <c r="MXO73" s="1181"/>
      <c r="MXP73" s="1181"/>
      <c r="MXQ73" s="1181"/>
      <c r="MXR73" s="1181"/>
      <c r="MXS73" s="1181"/>
      <c r="MXT73" s="1181"/>
      <c r="MXU73" s="1181"/>
      <c r="MXV73" s="1181"/>
      <c r="MXW73" s="1181"/>
      <c r="MXX73" s="1181"/>
      <c r="MXY73" s="1181"/>
      <c r="MXZ73" s="1181"/>
      <c r="MYA73" s="1181"/>
      <c r="MYB73" s="1181"/>
      <c r="MYC73" s="1181"/>
      <c r="MYD73" s="1181"/>
      <c r="MYE73" s="1181"/>
      <c r="MYF73" s="1181"/>
      <c r="MYG73" s="1181"/>
      <c r="MYH73" s="1181"/>
      <c r="MYI73" s="1181"/>
      <c r="MYJ73" s="1181"/>
      <c r="MYK73" s="1181"/>
      <c r="MYL73" s="1181"/>
      <c r="MYM73" s="1181"/>
      <c r="MYN73" s="1181"/>
      <c r="MYO73" s="1181"/>
      <c r="MYP73" s="1181"/>
      <c r="MYQ73" s="1181"/>
      <c r="MYR73" s="1181"/>
      <c r="MYS73" s="1181"/>
      <c r="MYT73" s="1181"/>
      <c r="MYU73" s="1181"/>
      <c r="MYV73" s="1181"/>
      <c r="MYW73" s="1181"/>
      <c r="MYX73" s="1181"/>
      <c r="MYY73" s="1181"/>
      <c r="MYZ73" s="1181"/>
      <c r="MZA73" s="1181"/>
      <c r="MZB73" s="1181"/>
      <c r="MZC73" s="1181"/>
      <c r="MZD73" s="1181"/>
      <c r="MZE73" s="1181"/>
      <c r="MZF73" s="1181"/>
      <c r="MZG73" s="1181"/>
      <c r="MZH73" s="1181"/>
      <c r="MZI73" s="1181"/>
      <c r="MZJ73" s="1181"/>
      <c r="MZK73" s="1181"/>
      <c r="MZL73" s="1181"/>
      <c r="MZM73" s="1181"/>
      <c r="MZN73" s="1181"/>
      <c r="MZO73" s="1181"/>
      <c r="MZP73" s="1181"/>
      <c r="MZQ73" s="1181"/>
      <c r="MZR73" s="1181"/>
      <c r="MZS73" s="1181"/>
      <c r="MZT73" s="1181"/>
      <c r="MZU73" s="1181"/>
      <c r="MZV73" s="1181"/>
      <c r="MZW73" s="1181"/>
      <c r="MZX73" s="1181"/>
      <c r="MZY73" s="1181"/>
      <c r="MZZ73" s="1181"/>
      <c r="NAA73" s="1181"/>
      <c r="NAB73" s="1181"/>
      <c r="NAC73" s="1181"/>
      <c r="NAD73" s="1181"/>
      <c r="NAE73" s="1181"/>
      <c r="NAF73" s="1181"/>
      <c r="NAG73" s="1181"/>
      <c r="NAH73" s="1181"/>
      <c r="NAI73" s="1181"/>
      <c r="NAJ73" s="1181"/>
      <c r="NAK73" s="1181"/>
      <c r="NAL73" s="1181"/>
      <c r="NAM73" s="1181"/>
      <c r="NAN73" s="1181"/>
      <c r="NAO73" s="1181"/>
      <c r="NAP73" s="1181"/>
      <c r="NAQ73" s="1181"/>
      <c r="NAR73" s="1181"/>
      <c r="NAS73" s="1181"/>
      <c r="NAT73" s="1181"/>
      <c r="NAU73" s="1181"/>
      <c r="NAV73" s="1181"/>
      <c r="NAW73" s="1181"/>
      <c r="NAX73" s="1181"/>
      <c r="NAY73" s="1181"/>
      <c r="NAZ73" s="1181"/>
      <c r="NBA73" s="1181"/>
      <c r="NBB73" s="1181"/>
      <c r="NBC73" s="1181"/>
      <c r="NBD73" s="1181"/>
      <c r="NBE73" s="1181"/>
      <c r="NBF73" s="1181"/>
      <c r="NBG73" s="1181"/>
      <c r="NBH73" s="1181"/>
      <c r="NBI73" s="1181"/>
      <c r="NBJ73" s="1181"/>
      <c r="NBK73" s="1181"/>
      <c r="NBL73" s="1181"/>
      <c r="NBM73" s="1181"/>
      <c r="NBN73" s="1181"/>
      <c r="NBO73" s="1181"/>
      <c r="NBP73" s="1181"/>
      <c r="NBQ73" s="1181"/>
      <c r="NBR73" s="1181"/>
      <c r="NBS73" s="1181"/>
      <c r="NBT73" s="1181"/>
      <c r="NBU73" s="1181"/>
      <c r="NBV73" s="1181"/>
      <c r="NBW73" s="1181"/>
      <c r="NBX73" s="1181"/>
      <c r="NBY73" s="1181"/>
      <c r="NBZ73" s="1181"/>
      <c r="NCA73" s="1181"/>
      <c r="NCB73" s="1181"/>
      <c r="NCC73" s="1181"/>
      <c r="NCD73" s="1181"/>
      <c r="NCE73" s="1181"/>
      <c r="NCF73" s="1181"/>
      <c r="NCG73" s="1181"/>
      <c r="NCH73" s="1181"/>
      <c r="NCI73" s="1181"/>
      <c r="NCJ73" s="1181"/>
      <c r="NCK73" s="1181"/>
      <c r="NCL73" s="1181"/>
      <c r="NCM73" s="1181"/>
      <c r="NCN73" s="1181"/>
      <c r="NCO73" s="1181"/>
      <c r="NCP73" s="1181"/>
      <c r="NCQ73" s="1181"/>
      <c r="NCR73" s="1181"/>
      <c r="NCS73" s="1181"/>
      <c r="NCT73" s="1181"/>
      <c r="NCU73" s="1181"/>
      <c r="NCV73" s="1181"/>
      <c r="NCW73" s="1181"/>
      <c r="NCX73" s="1181"/>
      <c r="NCY73" s="1181"/>
      <c r="NCZ73" s="1181"/>
      <c r="NDA73" s="1181"/>
      <c r="NDB73" s="1181"/>
      <c r="NDC73" s="1181"/>
      <c r="NDD73" s="1181"/>
      <c r="NDE73" s="1181"/>
      <c r="NDF73" s="1181"/>
      <c r="NDG73" s="1181"/>
      <c r="NDH73" s="1181"/>
      <c r="NDI73" s="1181"/>
      <c r="NDJ73" s="1181"/>
      <c r="NDK73" s="1181"/>
      <c r="NDL73" s="1181"/>
      <c r="NDM73" s="1181"/>
      <c r="NDN73" s="1181"/>
      <c r="NDO73" s="1181"/>
      <c r="NDP73" s="1181"/>
      <c r="NDQ73" s="1181"/>
      <c r="NDR73" s="1181"/>
      <c r="NDS73" s="1181"/>
      <c r="NDT73" s="1181"/>
      <c r="NDU73" s="1181"/>
      <c r="NDV73" s="1181"/>
      <c r="NDW73" s="1181"/>
      <c r="NDX73" s="1181"/>
      <c r="NDY73" s="1181"/>
      <c r="NDZ73" s="1181"/>
      <c r="NEA73" s="1181"/>
      <c r="NEB73" s="1181"/>
      <c r="NEC73" s="1181"/>
      <c r="NED73" s="1181"/>
      <c r="NEE73" s="1181"/>
      <c r="NEF73" s="1181"/>
      <c r="NEG73" s="1181"/>
      <c r="NEH73" s="1181"/>
      <c r="NEI73" s="1181"/>
      <c r="NEJ73" s="1181"/>
      <c r="NEK73" s="1181"/>
      <c r="NEL73" s="1181"/>
      <c r="NEM73" s="1181"/>
      <c r="NEN73" s="1181"/>
      <c r="NEO73" s="1181"/>
      <c r="NEP73" s="1181"/>
      <c r="NEQ73" s="1181"/>
      <c r="NER73" s="1181"/>
      <c r="NES73" s="1181"/>
      <c r="NET73" s="1181"/>
      <c r="NEU73" s="1181"/>
      <c r="NEV73" s="1181"/>
      <c r="NEW73" s="1181"/>
      <c r="NEX73" s="1181"/>
      <c r="NEY73" s="1181"/>
      <c r="NEZ73" s="1181"/>
      <c r="NFA73" s="1181"/>
      <c r="NFB73" s="1181"/>
      <c r="NFC73" s="1181"/>
      <c r="NFD73" s="1181"/>
      <c r="NFE73" s="1181"/>
      <c r="NFF73" s="1181"/>
      <c r="NFG73" s="1181"/>
      <c r="NFH73" s="1181"/>
      <c r="NFI73" s="1181"/>
      <c r="NFJ73" s="1181"/>
      <c r="NFK73" s="1181"/>
      <c r="NFL73" s="1181"/>
      <c r="NFM73" s="1181"/>
      <c r="NFN73" s="1181"/>
      <c r="NFO73" s="1181"/>
      <c r="NFP73" s="1181"/>
      <c r="NFQ73" s="1181"/>
      <c r="NFR73" s="1181"/>
      <c r="NFS73" s="1181"/>
      <c r="NFT73" s="1181"/>
      <c r="NFU73" s="1181"/>
      <c r="NFV73" s="1181"/>
      <c r="NFW73" s="1181"/>
      <c r="NFX73" s="1181"/>
      <c r="NFY73" s="1181"/>
      <c r="NFZ73" s="1181"/>
      <c r="NGA73" s="1181"/>
      <c r="NGB73" s="1181"/>
      <c r="NGC73" s="1181"/>
      <c r="NGD73" s="1181"/>
      <c r="NGE73" s="1181"/>
      <c r="NGF73" s="1181"/>
      <c r="NGG73" s="1181"/>
      <c r="NGH73" s="1181"/>
      <c r="NGI73" s="1181"/>
      <c r="NGJ73" s="1181"/>
      <c r="NGK73" s="1181"/>
      <c r="NGL73" s="1181"/>
      <c r="NGM73" s="1181"/>
      <c r="NGN73" s="1181"/>
      <c r="NGO73" s="1181"/>
      <c r="NGP73" s="1181"/>
      <c r="NGQ73" s="1181"/>
      <c r="NGR73" s="1181"/>
      <c r="NGS73" s="1181"/>
      <c r="NGT73" s="1181"/>
      <c r="NGU73" s="1181"/>
      <c r="NGV73" s="1181"/>
      <c r="NGW73" s="1181"/>
      <c r="NGX73" s="1181"/>
      <c r="NGY73" s="1181"/>
      <c r="NGZ73" s="1181"/>
      <c r="NHA73" s="1181"/>
      <c r="NHB73" s="1181"/>
      <c r="NHC73" s="1181"/>
      <c r="NHD73" s="1181"/>
      <c r="NHE73" s="1181"/>
      <c r="NHF73" s="1181"/>
      <c r="NHG73" s="1181"/>
      <c r="NHH73" s="1181"/>
      <c r="NHI73" s="1181"/>
      <c r="NHJ73" s="1181"/>
      <c r="NHK73" s="1181"/>
      <c r="NHL73" s="1181"/>
      <c r="NHM73" s="1181"/>
      <c r="NHN73" s="1181"/>
      <c r="NHO73" s="1181"/>
      <c r="NHP73" s="1181"/>
      <c r="NHQ73" s="1181"/>
      <c r="NHR73" s="1181"/>
      <c r="NHS73" s="1181"/>
      <c r="NHT73" s="1181"/>
      <c r="NHU73" s="1181"/>
      <c r="NHV73" s="1181"/>
      <c r="NHW73" s="1181"/>
      <c r="NHX73" s="1181"/>
      <c r="NHY73" s="1181"/>
      <c r="NHZ73" s="1181"/>
      <c r="NIA73" s="1181"/>
      <c r="NIB73" s="1181"/>
      <c r="NIC73" s="1181"/>
      <c r="NID73" s="1181"/>
      <c r="NIE73" s="1181"/>
      <c r="NIF73" s="1181"/>
      <c r="NIG73" s="1181"/>
      <c r="NIH73" s="1181"/>
      <c r="NII73" s="1181"/>
      <c r="NIJ73" s="1181"/>
      <c r="NIK73" s="1181"/>
      <c r="NIL73" s="1181"/>
      <c r="NIM73" s="1181"/>
      <c r="NIN73" s="1181"/>
      <c r="NIO73" s="1181"/>
      <c r="NIP73" s="1181"/>
      <c r="NIQ73" s="1181"/>
      <c r="NIR73" s="1181"/>
      <c r="NIS73" s="1181"/>
      <c r="NIT73" s="1181"/>
      <c r="NIU73" s="1181"/>
      <c r="NIV73" s="1181"/>
      <c r="NIW73" s="1181"/>
      <c r="NIX73" s="1181"/>
      <c r="NIY73" s="1181"/>
      <c r="NIZ73" s="1181"/>
      <c r="NJA73" s="1181"/>
      <c r="NJB73" s="1181"/>
      <c r="NJC73" s="1181"/>
      <c r="NJD73" s="1181"/>
      <c r="NJE73" s="1181"/>
      <c r="NJF73" s="1181"/>
      <c r="NJG73" s="1181"/>
      <c r="NJH73" s="1181"/>
      <c r="NJI73" s="1181"/>
      <c r="NJJ73" s="1181"/>
      <c r="NJK73" s="1181"/>
      <c r="NJL73" s="1181"/>
      <c r="NJM73" s="1181"/>
      <c r="NJN73" s="1181"/>
      <c r="NJO73" s="1181"/>
      <c r="NJP73" s="1181"/>
      <c r="NJQ73" s="1181"/>
      <c r="NJR73" s="1181"/>
      <c r="NJS73" s="1181"/>
      <c r="NJT73" s="1181"/>
      <c r="NJU73" s="1181"/>
      <c r="NJV73" s="1181"/>
      <c r="NJW73" s="1181"/>
      <c r="NJX73" s="1181"/>
      <c r="NJY73" s="1181"/>
      <c r="NJZ73" s="1181"/>
      <c r="NKA73" s="1181"/>
      <c r="NKB73" s="1181"/>
      <c r="NKC73" s="1181"/>
      <c r="NKD73" s="1181"/>
      <c r="NKE73" s="1181"/>
      <c r="NKF73" s="1181"/>
      <c r="NKG73" s="1181"/>
      <c r="NKH73" s="1181"/>
      <c r="NKI73" s="1181"/>
      <c r="NKJ73" s="1181"/>
      <c r="NKK73" s="1181"/>
      <c r="NKL73" s="1181"/>
      <c r="NKM73" s="1181"/>
      <c r="NKN73" s="1181"/>
      <c r="NKO73" s="1181"/>
      <c r="NKP73" s="1181"/>
      <c r="NKQ73" s="1181"/>
      <c r="NKR73" s="1181"/>
      <c r="NKS73" s="1181"/>
      <c r="NKT73" s="1181"/>
      <c r="NKU73" s="1181"/>
      <c r="NKV73" s="1181"/>
      <c r="NKW73" s="1181"/>
      <c r="NKX73" s="1181"/>
      <c r="NKY73" s="1181"/>
      <c r="NKZ73" s="1181"/>
      <c r="NLA73" s="1181"/>
      <c r="NLB73" s="1181"/>
      <c r="NLC73" s="1181"/>
      <c r="NLD73" s="1181"/>
      <c r="NLE73" s="1181"/>
      <c r="NLF73" s="1181"/>
      <c r="NLG73" s="1181"/>
      <c r="NLH73" s="1181"/>
      <c r="NLI73" s="1181"/>
      <c r="NLJ73" s="1181"/>
      <c r="NLK73" s="1181"/>
      <c r="NLL73" s="1181"/>
      <c r="NLM73" s="1181"/>
      <c r="NLN73" s="1181"/>
      <c r="NLO73" s="1181"/>
      <c r="NLP73" s="1181"/>
      <c r="NLQ73" s="1181"/>
      <c r="NLR73" s="1181"/>
      <c r="NLS73" s="1181"/>
      <c r="NLT73" s="1181"/>
      <c r="NLU73" s="1181"/>
      <c r="NLV73" s="1181"/>
      <c r="NLW73" s="1181"/>
      <c r="NLX73" s="1181"/>
      <c r="NLY73" s="1181"/>
      <c r="NLZ73" s="1181"/>
      <c r="NMA73" s="1181"/>
      <c r="NMB73" s="1181"/>
      <c r="NMC73" s="1181"/>
      <c r="NMD73" s="1181"/>
      <c r="NME73" s="1181"/>
      <c r="NMF73" s="1181"/>
      <c r="NMG73" s="1181"/>
      <c r="NMH73" s="1181"/>
      <c r="NMI73" s="1181"/>
      <c r="NMJ73" s="1181"/>
      <c r="NMK73" s="1181"/>
      <c r="NML73" s="1181"/>
      <c r="NMM73" s="1181"/>
      <c r="NMN73" s="1181"/>
      <c r="NMO73" s="1181"/>
      <c r="NMP73" s="1181"/>
      <c r="NMQ73" s="1181"/>
      <c r="NMR73" s="1181"/>
      <c r="NMS73" s="1181"/>
      <c r="NMT73" s="1181"/>
      <c r="NMU73" s="1181"/>
      <c r="NMV73" s="1181"/>
      <c r="NMW73" s="1181"/>
      <c r="NMX73" s="1181"/>
      <c r="NMY73" s="1181"/>
      <c r="NMZ73" s="1181"/>
      <c r="NNA73" s="1181"/>
      <c r="NNB73" s="1181"/>
      <c r="NNC73" s="1181"/>
      <c r="NND73" s="1181"/>
      <c r="NNE73" s="1181"/>
      <c r="NNF73" s="1181"/>
      <c r="NNG73" s="1181"/>
      <c r="NNH73" s="1181"/>
      <c r="NNI73" s="1181"/>
      <c r="NNJ73" s="1181"/>
      <c r="NNK73" s="1181"/>
      <c r="NNL73" s="1181"/>
      <c r="NNM73" s="1181"/>
      <c r="NNN73" s="1181"/>
      <c r="NNO73" s="1181"/>
      <c r="NNP73" s="1181"/>
      <c r="NNQ73" s="1181"/>
      <c r="NNR73" s="1181"/>
      <c r="NNS73" s="1181"/>
      <c r="NNT73" s="1181"/>
      <c r="NNU73" s="1181"/>
      <c r="NNV73" s="1181"/>
      <c r="NNW73" s="1181"/>
      <c r="NNX73" s="1181"/>
      <c r="NNY73" s="1181"/>
      <c r="NNZ73" s="1181"/>
      <c r="NOA73" s="1181"/>
      <c r="NOB73" s="1181"/>
      <c r="NOC73" s="1181"/>
      <c r="NOD73" s="1181"/>
      <c r="NOE73" s="1181"/>
      <c r="NOF73" s="1181"/>
      <c r="NOG73" s="1181"/>
      <c r="NOH73" s="1181"/>
      <c r="NOI73" s="1181"/>
      <c r="NOJ73" s="1181"/>
      <c r="NOK73" s="1181"/>
      <c r="NOL73" s="1181"/>
      <c r="NOM73" s="1181"/>
      <c r="NON73" s="1181"/>
      <c r="NOO73" s="1181"/>
      <c r="NOP73" s="1181"/>
      <c r="NOQ73" s="1181"/>
      <c r="NOR73" s="1181"/>
      <c r="NOS73" s="1181"/>
      <c r="NOT73" s="1181"/>
      <c r="NOU73" s="1181"/>
      <c r="NOV73" s="1181"/>
      <c r="NOW73" s="1181"/>
      <c r="NOX73" s="1181"/>
      <c r="NOY73" s="1181"/>
      <c r="NOZ73" s="1181"/>
      <c r="NPA73" s="1181"/>
      <c r="NPB73" s="1181"/>
      <c r="NPC73" s="1181"/>
      <c r="NPD73" s="1181"/>
      <c r="NPE73" s="1181"/>
      <c r="NPF73" s="1181"/>
      <c r="NPG73" s="1181"/>
      <c r="NPH73" s="1181"/>
      <c r="NPI73" s="1181"/>
      <c r="NPJ73" s="1181"/>
      <c r="NPK73" s="1181"/>
      <c r="NPL73" s="1181"/>
      <c r="NPM73" s="1181"/>
      <c r="NPN73" s="1181"/>
      <c r="NPO73" s="1181"/>
      <c r="NPP73" s="1181"/>
      <c r="NPQ73" s="1181"/>
      <c r="NPR73" s="1181"/>
      <c r="NPS73" s="1181"/>
      <c r="NPT73" s="1181"/>
      <c r="NPU73" s="1181"/>
      <c r="NPV73" s="1181"/>
      <c r="NPW73" s="1181"/>
      <c r="NPX73" s="1181"/>
      <c r="NPY73" s="1181"/>
      <c r="NPZ73" s="1181"/>
      <c r="NQA73" s="1181"/>
      <c r="NQB73" s="1181"/>
      <c r="NQC73" s="1181"/>
      <c r="NQD73" s="1181"/>
      <c r="NQE73" s="1181"/>
      <c r="NQF73" s="1181"/>
      <c r="NQG73" s="1181"/>
      <c r="NQH73" s="1181"/>
      <c r="NQI73" s="1181"/>
      <c r="NQJ73" s="1181"/>
      <c r="NQK73" s="1181"/>
      <c r="NQL73" s="1181"/>
      <c r="NQM73" s="1181"/>
      <c r="NQN73" s="1181"/>
      <c r="NQO73" s="1181"/>
      <c r="NQP73" s="1181"/>
      <c r="NQQ73" s="1181"/>
      <c r="NQR73" s="1181"/>
      <c r="NQS73" s="1181"/>
      <c r="NQT73" s="1181"/>
      <c r="NQU73" s="1181"/>
      <c r="NQV73" s="1181"/>
      <c r="NQW73" s="1181"/>
      <c r="NQX73" s="1181"/>
      <c r="NQY73" s="1181"/>
      <c r="NQZ73" s="1181"/>
      <c r="NRA73" s="1181"/>
      <c r="NRB73" s="1181"/>
      <c r="NRC73" s="1181"/>
      <c r="NRD73" s="1181"/>
      <c r="NRE73" s="1181"/>
      <c r="NRF73" s="1181"/>
      <c r="NRG73" s="1181"/>
      <c r="NRH73" s="1181"/>
      <c r="NRI73" s="1181"/>
      <c r="NRJ73" s="1181"/>
      <c r="NRK73" s="1181"/>
      <c r="NRL73" s="1181"/>
      <c r="NRM73" s="1181"/>
      <c r="NRN73" s="1181"/>
      <c r="NRO73" s="1181"/>
      <c r="NRP73" s="1181"/>
      <c r="NRQ73" s="1181"/>
      <c r="NRR73" s="1181"/>
      <c r="NRS73" s="1181"/>
      <c r="NRT73" s="1181"/>
      <c r="NRU73" s="1181"/>
      <c r="NRV73" s="1181"/>
      <c r="NRW73" s="1181"/>
      <c r="NRX73" s="1181"/>
      <c r="NRY73" s="1181"/>
      <c r="NRZ73" s="1181"/>
      <c r="NSA73" s="1181"/>
      <c r="NSB73" s="1181"/>
      <c r="NSC73" s="1181"/>
      <c r="NSD73" s="1181"/>
      <c r="NSE73" s="1181"/>
      <c r="NSF73" s="1181"/>
      <c r="NSG73" s="1181"/>
      <c r="NSH73" s="1181"/>
      <c r="NSI73" s="1181"/>
      <c r="NSJ73" s="1181"/>
      <c r="NSK73" s="1181"/>
      <c r="NSL73" s="1181"/>
      <c r="NSM73" s="1181"/>
      <c r="NSN73" s="1181"/>
      <c r="NSO73" s="1181"/>
      <c r="NSP73" s="1181"/>
      <c r="NSQ73" s="1181"/>
      <c r="NSR73" s="1181"/>
      <c r="NSS73" s="1181"/>
      <c r="NST73" s="1181"/>
      <c r="NSU73" s="1181"/>
      <c r="NSV73" s="1181"/>
      <c r="NSW73" s="1181"/>
      <c r="NSX73" s="1181"/>
      <c r="NSY73" s="1181"/>
      <c r="NSZ73" s="1181"/>
      <c r="NTA73" s="1181"/>
      <c r="NTB73" s="1181"/>
      <c r="NTC73" s="1181"/>
      <c r="NTD73" s="1181"/>
      <c r="NTE73" s="1181"/>
      <c r="NTF73" s="1181"/>
      <c r="NTG73" s="1181"/>
      <c r="NTH73" s="1181"/>
      <c r="NTI73" s="1181"/>
      <c r="NTJ73" s="1181"/>
      <c r="NTK73" s="1181"/>
      <c r="NTL73" s="1181"/>
      <c r="NTM73" s="1181"/>
      <c r="NTN73" s="1181"/>
      <c r="NTO73" s="1181"/>
      <c r="NTP73" s="1181"/>
      <c r="NTQ73" s="1181"/>
      <c r="NTR73" s="1181"/>
      <c r="NTS73" s="1181"/>
      <c r="NTT73" s="1181"/>
      <c r="NTU73" s="1181"/>
      <c r="NTV73" s="1181"/>
      <c r="NTW73" s="1181"/>
      <c r="NTX73" s="1181"/>
      <c r="NTY73" s="1181"/>
      <c r="NTZ73" s="1181"/>
      <c r="NUA73" s="1181"/>
      <c r="NUB73" s="1181"/>
      <c r="NUC73" s="1181"/>
      <c r="NUD73" s="1181"/>
      <c r="NUE73" s="1181"/>
      <c r="NUF73" s="1181"/>
      <c r="NUG73" s="1181"/>
      <c r="NUH73" s="1181"/>
      <c r="NUI73" s="1181"/>
      <c r="NUJ73" s="1181"/>
      <c r="NUK73" s="1181"/>
      <c r="NUL73" s="1181"/>
      <c r="NUM73" s="1181"/>
      <c r="NUN73" s="1181"/>
      <c r="NUO73" s="1181"/>
      <c r="NUP73" s="1181"/>
      <c r="NUQ73" s="1181"/>
      <c r="NUR73" s="1181"/>
      <c r="NUS73" s="1181"/>
      <c r="NUT73" s="1181"/>
      <c r="NUU73" s="1181"/>
      <c r="NUV73" s="1181"/>
      <c r="NUW73" s="1181"/>
      <c r="NUX73" s="1181"/>
      <c r="NUY73" s="1181"/>
      <c r="NUZ73" s="1181"/>
      <c r="NVA73" s="1181"/>
      <c r="NVB73" s="1181"/>
      <c r="NVC73" s="1181"/>
      <c r="NVD73" s="1181"/>
      <c r="NVE73" s="1181"/>
      <c r="NVF73" s="1181"/>
      <c r="NVG73" s="1181"/>
      <c r="NVH73" s="1181"/>
      <c r="NVI73" s="1181"/>
      <c r="NVJ73" s="1181"/>
      <c r="NVK73" s="1181"/>
      <c r="NVL73" s="1181"/>
      <c r="NVM73" s="1181"/>
      <c r="NVN73" s="1181"/>
      <c r="NVO73" s="1181"/>
      <c r="NVP73" s="1181"/>
      <c r="NVQ73" s="1181"/>
      <c r="NVR73" s="1181"/>
      <c r="NVS73" s="1181"/>
      <c r="NVT73" s="1181"/>
      <c r="NVU73" s="1181"/>
      <c r="NVV73" s="1181"/>
      <c r="NVW73" s="1181"/>
      <c r="NVX73" s="1181"/>
      <c r="NVY73" s="1181"/>
      <c r="NVZ73" s="1181"/>
      <c r="NWA73" s="1181"/>
      <c r="NWB73" s="1181"/>
      <c r="NWC73" s="1181"/>
      <c r="NWD73" s="1181"/>
      <c r="NWE73" s="1181"/>
      <c r="NWF73" s="1181"/>
      <c r="NWG73" s="1181"/>
      <c r="NWH73" s="1181"/>
      <c r="NWI73" s="1181"/>
      <c r="NWJ73" s="1181"/>
      <c r="NWK73" s="1181"/>
      <c r="NWL73" s="1181"/>
      <c r="NWM73" s="1181"/>
      <c r="NWN73" s="1181"/>
      <c r="NWO73" s="1181"/>
      <c r="NWP73" s="1181"/>
      <c r="NWQ73" s="1181"/>
      <c r="NWR73" s="1181"/>
      <c r="NWS73" s="1181"/>
      <c r="NWT73" s="1181"/>
      <c r="NWU73" s="1181"/>
      <c r="NWV73" s="1181"/>
      <c r="NWW73" s="1181"/>
      <c r="NWX73" s="1181"/>
      <c r="NWY73" s="1181"/>
      <c r="NWZ73" s="1181"/>
      <c r="NXA73" s="1181"/>
      <c r="NXB73" s="1181"/>
      <c r="NXC73" s="1181"/>
      <c r="NXD73" s="1181"/>
      <c r="NXE73" s="1181"/>
      <c r="NXF73" s="1181"/>
      <c r="NXG73" s="1181"/>
      <c r="NXH73" s="1181"/>
      <c r="NXI73" s="1181"/>
      <c r="NXJ73" s="1181"/>
      <c r="NXK73" s="1181"/>
      <c r="NXL73" s="1181"/>
      <c r="NXM73" s="1181"/>
      <c r="NXN73" s="1181"/>
      <c r="NXO73" s="1181"/>
      <c r="NXP73" s="1181"/>
      <c r="NXQ73" s="1181"/>
      <c r="NXR73" s="1181"/>
      <c r="NXS73" s="1181"/>
      <c r="NXT73" s="1181"/>
      <c r="NXU73" s="1181"/>
      <c r="NXV73" s="1181"/>
      <c r="NXW73" s="1181"/>
      <c r="NXX73" s="1181"/>
      <c r="NXY73" s="1181"/>
      <c r="NXZ73" s="1181"/>
      <c r="NYA73" s="1181"/>
      <c r="NYB73" s="1181"/>
      <c r="NYC73" s="1181"/>
      <c r="NYD73" s="1181"/>
      <c r="NYE73" s="1181"/>
      <c r="NYF73" s="1181"/>
      <c r="NYG73" s="1181"/>
      <c r="NYH73" s="1181"/>
      <c r="NYI73" s="1181"/>
      <c r="NYJ73" s="1181"/>
      <c r="NYK73" s="1181"/>
      <c r="NYL73" s="1181"/>
      <c r="NYM73" s="1181"/>
      <c r="NYN73" s="1181"/>
      <c r="NYO73" s="1181"/>
      <c r="NYP73" s="1181"/>
      <c r="NYQ73" s="1181"/>
      <c r="NYR73" s="1181"/>
      <c r="NYS73" s="1181"/>
      <c r="NYT73" s="1181"/>
      <c r="NYU73" s="1181"/>
      <c r="NYV73" s="1181"/>
      <c r="NYW73" s="1181"/>
      <c r="NYX73" s="1181"/>
      <c r="NYY73" s="1181"/>
      <c r="NYZ73" s="1181"/>
      <c r="NZA73" s="1181"/>
      <c r="NZB73" s="1181"/>
      <c r="NZC73" s="1181"/>
      <c r="NZD73" s="1181"/>
      <c r="NZE73" s="1181"/>
      <c r="NZF73" s="1181"/>
      <c r="NZG73" s="1181"/>
      <c r="NZH73" s="1181"/>
      <c r="NZI73" s="1181"/>
      <c r="NZJ73" s="1181"/>
      <c r="NZK73" s="1181"/>
      <c r="NZL73" s="1181"/>
      <c r="NZM73" s="1181"/>
      <c r="NZN73" s="1181"/>
      <c r="NZO73" s="1181"/>
      <c r="NZP73" s="1181"/>
      <c r="NZQ73" s="1181"/>
      <c r="NZR73" s="1181"/>
      <c r="NZS73" s="1181"/>
      <c r="NZT73" s="1181"/>
      <c r="NZU73" s="1181"/>
      <c r="NZV73" s="1181"/>
      <c r="NZW73" s="1181"/>
      <c r="NZX73" s="1181"/>
      <c r="NZY73" s="1181"/>
      <c r="NZZ73" s="1181"/>
      <c r="OAA73" s="1181"/>
      <c r="OAB73" s="1181"/>
      <c r="OAC73" s="1181"/>
      <c r="OAD73" s="1181"/>
      <c r="OAE73" s="1181"/>
      <c r="OAF73" s="1181"/>
      <c r="OAG73" s="1181"/>
      <c r="OAH73" s="1181"/>
      <c r="OAI73" s="1181"/>
      <c r="OAJ73" s="1181"/>
      <c r="OAK73" s="1181"/>
      <c r="OAL73" s="1181"/>
      <c r="OAM73" s="1181"/>
      <c r="OAN73" s="1181"/>
      <c r="OAO73" s="1181"/>
      <c r="OAP73" s="1181"/>
      <c r="OAQ73" s="1181"/>
      <c r="OAR73" s="1181"/>
      <c r="OAS73" s="1181"/>
      <c r="OAT73" s="1181"/>
      <c r="OAU73" s="1181"/>
      <c r="OAV73" s="1181"/>
      <c r="OAW73" s="1181"/>
      <c r="OAX73" s="1181"/>
      <c r="OAY73" s="1181"/>
      <c r="OAZ73" s="1181"/>
      <c r="OBA73" s="1181"/>
      <c r="OBB73" s="1181"/>
      <c r="OBC73" s="1181"/>
      <c r="OBD73" s="1181"/>
      <c r="OBE73" s="1181"/>
      <c r="OBF73" s="1181"/>
      <c r="OBG73" s="1181"/>
      <c r="OBH73" s="1181"/>
      <c r="OBI73" s="1181"/>
      <c r="OBJ73" s="1181"/>
      <c r="OBK73" s="1181"/>
      <c r="OBL73" s="1181"/>
      <c r="OBM73" s="1181"/>
      <c r="OBN73" s="1181"/>
      <c r="OBO73" s="1181"/>
      <c r="OBP73" s="1181"/>
      <c r="OBQ73" s="1181"/>
      <c r="OBR73" s="1181"/>
      <c r="OBS73" s="1181"/>
      <c r="OBT73" s="1181"/>
      <c r="OBU73" s="1181"/>
      <c r="OBV73" s="1181"/>
      <c r="OBW73" s="1181"/>
      <c r="OBX73" s="1181"/>
      <c r="OBY73" s="1181"/>
      <c r="OBZ73" s="1181"/>
      <c r="OCA73" s="1181"/>
      <c r="OCB73" s="1181"/>
      <c r="OCC73" s="1181"/>
      <c r="OCD73" s="1181"/>
      <c r="OCE73" s="1181"/>
      <c r="OCF73" s="1181"/>
      <c r="OCG73" s="1181"/>
      <c r="OCH73" s="1181"/>
      <c r="OCI73" s="1181"/>
      <c r="OCJ73" s="1181"/>
      <c r="OCK73" s="1181"/>
      <c r="OCL73" s="1181"/>
      <c r="OCM73" s="1181"/>
      <c r="OCN73" s="1181"/>
      <c r="OCO73" s="1181"/>
      <c r="OCP73" s="1181"/>
      <c r="OCQ73" s="1181"/>
      <c r="OCR73" s="1181"/>
      <c r="OCS73" s="1181"/>
      <c r="OCT73" s="1181"/>
      <c r="OCU73" s="1181"/>
      <c r="OCV73" s="1181"/>
      <c r="OCW73" s="1181"/>
      <c r="OCX73" s="1181"/>
      <c r="OCY73" s="1181"/>
      <c r="OCZ73" s="1181"/>
      <c r="ODA73" s="1181"/>
      <c r="ODB73" s="1181"/>
      <c r="ODC73" s="1181"/>
      <c r="ODD73" s="1181"/>
      <c r="ODE73" s="1181"/>
      <c r="ODF73" s="1181"/>
      <c r="ODG73" s="1181"/>
      <c r="ODH73" s="1181"/>
      <c r="ODI73" s="1181"/>
      <c r="ODJ73" s="1181"/>
      <c r="ODK73" s="1181"/>
      <c r="ODL73" s="1181"/>
      <c r="ODM73" s="1181"/>
      <c r="ODN73" s="1181"/>
      <c r="ODO73" s="1181"/>
      <c r="ODP73" s="1181"/>
      <c r="ODQ73" s="1181"/>
      <c r="ODR73" s="1181"/>
      <c r="ODS73" s="1181"/>
      <c r="ODT73" s="1181"/>
      <c r="ODU73" s="1181"/>
      <c r="ODV73" s="1181"/>
      <c r="ODW73" s="1181"/>
      <c r="ODX73" s="1181"/>
      <c r="ODY73" s="1181"/>
      <c r="ODZ73" s="1181"/>
      <c r="OEA73" s="1181"/>
      <c r="OEB73" s="1181"/>
      <c r="OEC73" s="1181"/>
      <c r="OED73" s="1181"/>
      <c r="OEE73" s="1181"/>
      <c r="OEF73" s="1181"/>
      <c r="OEG73" s="1181"/>
      <c r="OEH73" s="1181"/>
      <c r="OEI73" s="1181"/>
      <c r="OEJ73" s="1181"/>
      <c r="OEK73" s="1181"/>
      <c r="OEL73" s="1181"/>
      <c r="OEM73" s="1181"/>
      <c r="OEN73" s="1181"/>
      <c r="OEO73" s="1181"/>
      <c r="OEP73" s="1181"/>
      <c r="OEQ73" s="1181"/>
      <c r="OER73" s="1181"/>
      <c r="OES73" s="1181"/>
      <c r="OET73" s="1181"/>
      <c r="OEU73" s="1181"/>
      <c r="OEV73" s="1181"/>
      <c r="OEW73" s="1181"/>
      <c r="OEX73" s="1181"/>
      <c r="OEY73" s="1181"/>
      <c r="OEZ73" s="1181"/>
      <c r="OFA73" s="1181"/>
      <c r="OFB73" s="1181"/>
      <c r="OFC73" s="1181"/>
      <c r="OFD73" s="1181"/>
      <c r="OFE73" s="1181"/>
      <c r="OFF73" s="1181"/>
      <c r="OFG73" s="1181"/>
      <c r="OFH73" s="1181"/>
      <c r="OFI73" s="1181"/>
      <c r="OFJ73" s="1181"/>
      <c r="OFK73" s="1181"/>
      <c r="OFL73" s="1181"/>
      <c r="OFM73" s="1181"/>
      <c r="OFN73" s="1181"/>
      <c r="OFO73" s="1181"/>
      <c r="OFP73" s="1181"/>
      <c r="OFQ73" s="1181"/>
      <c r="OFR73" s="1181"/>
      <c r="OFS73" s="1181"/>
      <c r="OFT73" s="1181"/>
      <c r="OFU73" s="1181"/>
      <c r="OFV73" s="1181"/>
      <c r="OFW73" s="1181"/>
      <c r="OFX73" s="1181"/>
      <c r="OFY73" s="1181"/>
      <c r="OFZ73" s="1181"/>
      <c r="OGA73" s="1181"/>
      <c r="OGB73" s="1181"/>
      <c r="OGC73" s="1181"/>
      <c r="OGD73" s="1181"/>
      <c r="OGE73" s="1181"/>
      <c r="OGF73" s="1181"/>
      <c r="OGG73" s="1181"/>
      <c r="OGH73" s="1181"/>
      <c r="OGI73" s="1181"/>
      <c r="OGJ73" s="1181"/>
      <c r="OGK73" s="1181"/>
      <c r="OGL73" s="1181"/>
      <c r="OGM73" s="1181"/>
      <c r="OGN73" s="1181"/>
      <c r="OGO73" s="1181"/>
      <c r="OGP73" s="1181"/>
      <c r="OGQ73" s="1181"/>
      <c r="OGR73" s="1181"/>
      <c r="OGS73" s="1181"/>
      <c r="OGT73" s="1181"/>
      <c r="OGU73" s="1181"/>
      <c r="OGV73" s="1181"/>
      <c r="OGW73" s="1181"/>
      <c r="OGX73" s="1181"/>
      <c r="OGY73" s="1181"/>
      <c r="OGZ73" s="1181"/>
      <c r="OHA73" s="1181"/>
      <c r="OHB73" s="1181"/>
      <c r="OHC73" s="1181"/>
      <c r="OHD73" s="1181"/>
      <c r="OHE73" s="1181"/>
      <c r="OHF73" s="1181"/>
      <c r="OHG73" s="1181"/>
      <c r="OHH73" s="1181"/>
      <c r="OHI73" s="1181"/>
      <c r="OHJ73" s="1181"/>
      <c r="OHK73" s="1181"/>
      <c r="OHL73" s="1181"/>
      <c r="OHM73" s="1181"/>
      <c r="OHN73" s="1181"/>
      <c r="OHO73" s="1181"/>
      <c r="OHP73" s="1181"/>
      <c r="OHQ73" s="1181"/>
      <c r="OHR73" s="1181"/>
      <c r="OHS73" s="1181"/>
      <c r="OHT73" s="1181"/>
      <c r="OHU73" s="1181"/>
      <c r="OHV73" s="1181"/>
      <c r="OHW73" s="1181"/>
      <c r="OHX73" s="1181"/>
      <c r="OHY73" s="1181"/>
      <c r="OHZ73" s="1181"/>
      <c r="OIA73" s="1181"/>
      <c r="OIB73" s="1181"/>
      <c r="OIC73" s="1181"/>
      <c r="OID73" s="1181"/>
      <c r="OIE73" s="1181"/>
      <c r="OIF73" s="1181"/>
      <c r="OIG73" s="1181"/>
      <c r="OIH73" s="1181"/>
      <c r="OII73" s="1181"/>
      <c r="OIJ73" s="1181"/>
      <c r="OIK73" s="1181"/>
      <c r="OIL73" s="1181"/>
      <c r="OIM73" s="1181"/>
      <c r="OIN73" s="1181"/>
      <c r="OIO73" s="1181"/>
      <c r="OIP73" s="1181"/>
      <c r="OIQ73" s="1181"/>
      <c r="OIR73" s="1181"/>
      <c r="OIS73" s="1181"/>
      <c r="OIT73" s="1181"/>
      <c r="OIU73" s="1181"/>
      <c r="OIV73" s="1181"/>
      <c r="OIW73" s="1181"/>
      <c r="OIX73" s="1181"/>
      <c r="OIY73" s="1181"/>
      <c r="OIZ73" s="1181"/>
      <c r="OJA73" s="1181"/>
      <c r="OJB73" s="1181"/>
      <c r="OJC73" s="1181"/>
      <c r="OJD73" s="1181"/>
      <c r="OJE73" s="1181"/>
      <c r="OJF73" s="1181"/>
      <c r="OJG73" s="1181"/>
      <c r="OJH73" s="1181"/>
      <c r="OJI73" s="1181"/>
      <c r="OJJ73" s="1181"/>
      <c r="OJK73" s="1181"/>
      <c r="OJL73" s="1181"/>
      <c r="OJM73" s="1181"/>
      <c r="OJN73" s="1181"/>
      <c r="OJO73" s="1181"/>
      <c r="OJP73" s="1181"/>
      <c r="OJQ73" s="1181"/>
      <c r="OJR73" s="1181"/>
      <c r="OJS73" s="1181"/>
      <c r="OJT73" s="1181"/>
      <c r="OJU73" s="1181"/>
      <c r="OJV73" s="1181"/>
      <c r="OJW73" s="1181"/>
      <c r="OJX73" s="1181"/>
      <c r="OJY73" s="1181"/>
      <c r="OJZ73" s="1181"/>
      <c r="OKA73" s="1181"/>
      <c r="OKB73" s="1181"/>
      <c r="OKC73" s="1181"/>
      <c r="OKD73" s="1181"/>
      <c r="OKE73" s="1181"/>
      <c r="OKF73" s="1181"/>
      <c r="OKG73" s="1181"/>
      <c r="OKH73" s="1181"/>
      <c r="OKI73" s="1181"/>
      <c r="OKJ73" s="1181"/>
      <c r="OKK73" s="1181"/>
      <c r="OKL73" s="1181"/>
      <c r="OKM73" s="1181"/>
      <c r="OKN73" s="1181"/>
      <c r="OKO73" s="1181"/>
      <c r="OKP73" s="1181"/>
      <c r="OKQ73" s="1181"/>
      <c r="OKR73" s="1181"/>
      <c r="OKS73" s="1181"/>
      <c r="OKT73" s="1181"/>
      <c r="OKU73" s="1181"/>
      <c r="OKV73" s="1181"/>
      <c r="OKW73" s="1181"/>
      <c r="OKX73" s="1181"/>
      <c r="OKY73" s="1181"/>
      <c r="OKZ73" s="1181"/>
      <c r="OLA73" s="1181"/>
      <c r="OLB73" s="1181"/>
      <c r="OLC73" s="1181"/>
      <c r="OLD73" s="1181"/>
      <c r="OLE73" s="1181"/>
      <c r="OLF73" s="1181"/>
      <c r="OLG73" s="1181"/>
      <c r="OLH73" s="1181"/>
      <c r="OLI73" s="1181"/>
      <c r="OLJ73" s="1181"/>
      <c r="OLK73" s="1181"/>
      <c r="OLL73" s="1181"/>
      <c r="OLM73" s="1181"/>
      <c r="OLN73" s="1181"/>
      <c r="OLO73" s="1181"/>
      <c r="OLP73" s="1181"/>
      <c r="OLQ73" s="1181"/>
      <c r="OLR73" s="1181"/>
      <c r="OLS73" s="1181"/>
      <c r="OLT73" s="1181"/>
      <c r="OLU73" s="1181"/>
      <c r="OLV73" s="1181"/>
      <c r="OLW73" s="1181"/>
      <c r="OLX73" s="1181"/>
      <c r="OLY73" s="1181"/>
      <c r="OLZ73" s="1181"/>
      <c r="OMA73" s="1181"/>
      <c r="OMB73" s="1181"/>
      <c r="OMC73" s="1181"/>
      <c r="OMD73" s="1181"/>
      <c r="OME73" s="1181"/>
      <c r="OMF73" s="1181"/>
      <c r="OMG73" s="1181"/>
      <c r="OMH73" s="1181"/>
      <c r="OMI73" s="1181"/>
      <c r="OMJ73" s="1181"/>
      <c r="OMK73" s="1181"/>
      <c r="OML73" s="1181"/>
      <c r="OMM73" s="1181"/>
      <c r="OMN73" s="1181"/>
      <c r="OMO73" s="1181"/>
      <c r="OMP73" s="1181"/>
      <c r="OMQ73" s="1181"/>
      <c r="OMR73" s="1181"/>
      <c r="OMS73" s="1181"/>
      <c r="OMT73" s="1181"/>
      <c r="OMU73" s="1181"/>
      <c r="OMV73" s="1181"/>
      <c r="OMW73" s="1181"/>
      <c r="OMX73" s="1181"/>
      <c r="OMY73" s="1181"/>
      <c r="OMZ73" s="1181"/>
      <c r="ONA73" s="1181"/>
      <c r="ONB73" s="1181"/>
      <c r="ONC73" s="1181"/>
      <c r="OND73" s="1181"/>
      <c r="ONE73" s="1181"/>
      <c r="ONF73" s="1181"/>
      <c r="ONG73" s="1181"/>
      <c r="ONH73" s="1181"/>
      <c r="ONI73" s="1181"/>
      <c r="ONJ73" s="1181"/>
      <c r="ONK73" s="1181"/>
      <c r="ONL73" s="1181"/>
      <c r="ONM73" s="1181"/>
      <c r="ONN73" s="1181"/>
      <c r="ONO73" s="1181"/>
      <c r="ONP73" s="1181"/>
      <c r="ONQ73" s="1181"/>
      <c r="ONR73" s="1181"/>
      <c r="ONS73" s="1181"/>
      <c r="ONT73" s="1181"/>
      <c r="ONU73" s="1181"/>
      <c r="ONV73" s="1181"/>
      <c r="ONW73" s="1181"/>
      <c r="ONX73" s="1181"/>
      <c r="ONY73" s="1181"/>
      <c r="ONZ73" s="1181"/>
      <c r="OOA73" s="1181"/>
      <c r="OOB73" s="1181"/>
      <c r="OOC73" s="1181"/>
      <c r="OOD73" s="1181"/>
      <c r="OOE73" s="1181"/>
      <c r="OOF73" s="1181"/>
      <c r="OOG73" s="1181"/>
      <c r="OOH73" s="1181"/>
      <c r="OOI73" s="1181"/>
      <c r="OOJ73" s="1181"/>
      <c r="OOK73" s="1181"/>
      <c r="OOL73" s="1181"/>
      <c r="OOM73" s="1181"/>
      <c r="OON73" s="1181"/>
      <c r="OOO73" s="1181"/>
      <c r="OOP73" s="1181"/>
      <c r="OOQ73" s="1181"/>
      <c r="OOR73" s="1181"/>
      <c r="OOS73" s="1181"/>
      <c r="OOT73" s="1181"/>
      <c r="OOU73" s="1181"/>
      <c r="OOV73" s="1181"/>
      <c r="OOW73" s="1181"/>
      <c r="OOX73" s="1181"/>
      <c r="OOY73" s="1181"/>
      <c r="OOZ73" s="1181"/>
      <c r="OPA73" s="1181"/>
      <c r="OPB73" s="1181"/>
      <c r="OPC73" s="1181"/>
      <c r="OPD73" s="1181"/>
      <c r="OPE73" s="1181"/>
      <c r="OPF73" s="1181"/>
      <c r="OPG73" s="1181"/>
      <c r="OPH73" s="1181"/>
      <c r="OPI73" s="1181"/>
      <c r="OPJ73" s="1181"/>
      <c r="OPK73" s="1181"/>
      <c r="OPL73" s="1181"/>
      <c r="OPM73" s="1181"/>
      <c r="OPN73" s="1181"/>
      <c r="OPO73" s="1181"/>
      <c r="OPP73" s="1181"/>
      <c r="OPQ73" s="1181"/>
      <c r="OPR73" s="1181"/>
      <c r="OPS73" s="1181"/>
      <c r="OPT73" s="1181"/>
      <c r="OPU73" s="1181"/>
      <c r="OPV73" s="1181"/>
      <c r="OPW73" s="1181"/>
      <c r="OPX73" s="1181"/>
      <c r="OPY73" s="1181"/>
      <c r="OPZ73" s="1181"/>
      <c r="OQA73" s="1181"/>
      <c r="OQB73" s="1181"/>
      <c r="OQC73" s="1181"/>
      <c r="OQD73" s="1181"/>
      <c r="OQE73" s="1181"/>
      <c r="OQF73" s="1181"/>
      <c r="OQG73" s="1181"/>
      <c r="OQH73" s="1181"/>
      <c r="OQI73" s="1181"/>
      <c r="OQJ73" s="1181"/>
      <c r="OQK73" s="1181"/>
      <c r="OQL73" s="1181"/>
      <c r="OQM73" s="1181"/>
      <c r="OQN73" s="1181"/>
      <c r="OQO73" s="1181"/>
      <c r="OQP73" s="1181"/>
      <c r="OQQ73" s="1181"/>
      <c r="OQR73" s="1181"/>
      <c r="OQS73" s="1181"/>
      <c r="OQT73" s="1181"/>
      <c r="OQU73" s="1181"/>
      <c r="OQV73" s="1181"/>
      <c r="OQW73" s="1181"/>
      <c r="OQX73" s="1181"/>
      <c r="OQY73" s="1181"/>
      <c r="OQZ73" s="1181"/>
      <c r="ORA73" s="1181"/>
      <c r="ORB73" s="1181"/>
      <c r="ORC73" s="1181"/>
      <c r="ORD73" s="1181"/>
      <c r="ORE73" s="1181"/>
      <c r="ORF73" s="1181"/>
      <c r="ORG73" s="1181"/>
      <c r="ORH73" s="1181"/>
      <c r="ORI73" s="1181"/>
      <c r="ORJ73" s="1181"/>
      <c r="ORK73" s="1181"/>
      <c r="ORL73" s="1181"/>
      <c r="ORM73" s="1181"/>
      <c r="ORN73" s="1181"/>
      <c r="ORO73" s="1181"/>
      <c r="ORP73" s="1181"/>
      <c r="ORQ73" s="1181"/>
      <c r="ORR73" s="1181"/>
      <c r="ORS73" s="1181"/>
      <c r="ORT73" s="1181"/>
      <c r="ORU73" s="1181"/>
      <c r="ORV73" s="1181"/>
      <c r="ORW73" s="1181"/>
      <c r="ORX73" s="1181"/>
      <c r="ORY73" s="1181"/>
      <c r="ORZ73" s="1181"/>
      <c r="OSA73" s="1181"/>
      <c r="OSB73" s="1181"/>
      <c r="OSC73" s="1181"/>
      <c r="OSD73" s="1181"/>
      <c r="OSE73" s="1181"/>
      <c r="OSF73" s="1181"/>
      <c r="OSG73" s="1181"/>
      <c r="OSH73" s="1181"/>
      <c r="OSI73" s="1181"/>
      <c r="OSJ73" s="1181"/>
      <c r="OSK73" s="1181"/>
      <c r="OSL73" s="1181"/>
      <c r="OSM73" s="1181"/>
      <c r="OSN73" s="1181"/>
      <c r="OSO73" s="1181"/>
      <c r="OSP73" s="1181"/>
      <c r="OSQ73" s="1181"/>
      <c r="OSR73" s="1181"/>
      <c r="OSS73" s="1181"/>
      <c r="OST73" s="1181"/>
      <c r="OSU73" s="1181"/>
      <c r="OSV73" s="1181"/>
      <c r="OSW73" s="1181"/>
      <c r="OSX73" s="1181"/>
      <c r="OSY73" s="1181"/>
      <c r="OSZ73" s="1181"/>
      <c r="OTA73" s="1181"/>
      <c r="OTB73" s="1181"/>
      <c r="OTC73" s="1181"/>
      <c r="OTD73" s="1181"/>
      <c r="OTE73" s="1181"/>
      <c r="OTF73" s="1181"/>
      <c r="OTG73" s="1181"/>
      <c r="OTH73" s="1181"/>
      <c r="OTI73" s="1181"/>
      <c r="OTJ73" s="1181"/>
      <c r="OTK73" s="1181"/>
      <c r="OTL73" s="1181"/>
      <c r="OTM73" s="1181"/>
      <c r="OTN73" s="1181"/>
      <c r="OTO73" s="1181"/>
      <c r="OTP73" s="1181"/>
      <c r="OTQ73" s="1181"/>
      <c r="OTR73" s="1181"/>
      <c r="OTS73" s="1181"/>
      <c r="OTT73" s="1181"/>
      <c r="OTU73" s="1181"/>
      <c r="OTV73" s="1181"/>
      <c r="OTW73" s="1181"/>
      <c r="OTX73" s="1181"/>
      <c r="OTY73" s="1181"/>
      <c r="OTZ73" s="1181"/>
      <c r="OUA73" s="1181"/>
      <c r="OUB73" s="1181"/>
      <c r="OUC73" s="1181"/>
      <c r="OUD73" s="1181"/>
      <c r="OUE73" s="1181"/>
      <c r="OUF73" s="1181"/>
      <c r="OUG73" s="1181"/>
      <c r="OUH73" s="1181"/>
      <c r="OUI73" s="1181"/>
      <c r="OUJ73" s="1181"/>
      <c r="OUK73" s="1181"/>
      <c r="OUL73" s="1181"/>
      <c r="OUM73" s="1181"/>
      <c r="OUN73" s="1181"/>
      <c r="OUO73" s="1181"/>
      <c r="OUP73" s="1181"/>
      <c r="OUQ73" s="1181"/>
      <c r="OUR73" s="1181"/>
      <c r="OUS73" s="1181"/>
      <c r="OUT73" s="1181"/>
      <c r="OUU73" s="1181"/>
      <c r="OUV73" s="1181"/>
      <c r="OUW73" s="1181"/>
      <c r="OUX73" s="1181"/>
      <c r="OUY73" s="1181"/>
      <c r="OUZ73" s="1181"/>
      <c r="OVA73" s="1181"/>
      <c r="OVB73" s="1181"/>
      <c r="OVC73" s="1181"/>
      <c r="OVD73" s="1181"/>
      <c r="OVE73" s="1181"/>
      <c r="OVF73" s="1181"/>
      <c r="OVG73" s="1181"/>
      <c r="OVH73" s="1181"/>
      <c r="OVI73" s="1181"/>
      <c r="OVJ73" s="1181"/>
      <c r="OVK73" s="1181"/>
      <c r="OVL73" s="1181"/>
      <c r="OVM73" s="1181"/>
      <c r="OVN73" s="1181"/>
      <c r="OVO73" s="1181"/>
      <c r="OVP73" s="1181"/>
      <c r="OVQ73" s="1181"/>
      <c r="OVR73" s="1181"/>
      <c r="OVS73" s="1181"/>
      <c r="OVT73" s="1181"/>
      <c r="OVU73" s="1181"/>
      <c r="OVV73" s="1181"/>
      <c r="OVW73" s="1181"/>
      <c r="OVX73" s="1181"/>
      <c r="OVY73" s="1181"/>
      <c r="OVZ73" s="1181"/>
      <c r="OWA73" s="1181"/>
      <c r="OWB73" s="1181"/>
      <c r="OWC73" s="1181"/>
      <c r="OWD73" s="1181"/>
      <c r="OWE73" s="1181"/>
      <c r="OWF73" s="1181"/>
      <c r="OWG73" s="1181"/>
      <c r="OWH73" s="1181"/>
      <c r="OWI73" s="1181"/>
      <c r="OWJ73" s="1181"/>
      <c r="OWK73" s="1181"/>
      <c r="OWL73" s="1181"/>
      <c r="OWM73" s="1181"/>
      <c r="OWN73" s="1181"/>
      <c r="OWO73" s="1181"/>
      <c r="OWP73" s="1181"/>
      <c r="OWQ73" s="1181"/>
      <c r="OWR73" s="1181"/>
      <c r="OWS73" s="1181"/>
      <c r="OWT73" s="1181"/>
      <c r="OWU73" s="1181"/>
      <c r="OWV73" s="1181"/>
      <c r="OWW73" s="1181"/>
      <c r="OWX73" s="1181"/>
      <c r="OWY73" s="1181"/>
      <c r="OWZ73" s="1181"/>
      <c r="OXA73" s="1181"/>
      <c r="OXB73" s="1181"/>
      <c r="OXC73" s="1181"/>
      <c r="OXD73" s="1181"/>
      <c r="OXE73" s="1181"/>
      <c r="OXF73" s="1181"/>
      <c r="OXG73" s="1181"/>
      <c r="OXH73" s="1181"/>
      <c r="OXI73" s="1181"/>
      <c r="OXJ73" s="1181"/>
      <c r="OXK73" s="1181"/>
      <c r="OXL73" s="1181"/>
      <c r="OXM73" s="1181"/>
      <c r="OXN73" s="1181"/>
      <c r="OXO73" s="1181"/>
      <c r="OXP73" s="1181"/>
      <c r="OXQ73" s="1181"/>
      <c r="OXR73" s="1181"/>
      <c r="OXS73" s="1181"/>
      <c r="OXT73" s="1181"/>
      <c r="OXU73" s="1181"/>
      <c r="OXV73" s="1181"/>
      <c r="OXW73" s="1181"/>
      <c r="OXX73" s="1181"/>
      <c r="OXY73" s="1181"/>
      <c r="OXZ73" s="1181"/>
      <c r="OYA73" s="1181"/>
      <c r="OYB73" s="1181"/>
      <c r="OYC73" s="1181"/>
      <c r="OYD73" s="1181"/>
      <c r="OYE73" s="1181"/>
      <c r="OYF73" s="1181"/>
      <c r="OYG73" s="1181"/>
      <c r="OYH73" s="1181"/>
      <c r="OYI73" s="1181"/>
      <c r="OYJ73" s="1181"/>
      <c r="OYK73" s="1181"/>
      <c r="OYL73" s="1181"/>
      <c r="OYM73" s="1181"/>
      <c r="OYN73" s="1181"/>
      <c r="OYO73" s="1181"/>
      <c r="OYP73" s="1181"/>
      <c r="OYQ73" s="1181"/>
      <c r="OYR73" s="1181"/>
      <c r="OYS73" s="1181"/>
      <c r="OYT73" s="1181"/>
      <c r="OYU73" s="1181"/>
      <c r="OYV73" s="1181"/>
      <c r="OYW73" s="1181"/>
      <c r="OYX73" s="1181"/>
      <c r="OYY73" s="1181"/>
      <c r="OYZ73" s="1181"/>
      <c r="OZA73" s="1181"/>
      <c r="OZB73" s="1181"/>
      <c r="OZC73" s="1181"/>
      <c r="OZD73" s="1181"/>
      <c r="OZE73" s="1181"/>
      <c r="OZF73" s="1181"/>
      <c r="OZG73" s="1181"/>
      <c r="OZH73" s="1181"/>
      <c r="OZI73" s="1181"/>
      <c r="OZJ73" s="1181"/>
      <c r="OZK73" s="1181"/>
      <c r="OZL73" s="1181"/>
      <c r="OZM73" s="1181"/>
      <c r="OZN73" s="1181"/>
      <c r="OZO73" s="1181"/>
      <c r="OZP73" s="1181"/>
      <c r="OZQ73" s="1181"/>
      <c r="OZR73" s="1181"/>
      <c r="OZS73" s="1181"/>
      <c r="OZT73" s="1181"/>
      <c r="OZU73" s="1181"/>
      <c r="OZV73" s="1181"/>
      <c r="OZW73" s="1181"/>
      <c r="OZX73" s="1181"/>
      <c r="OZY73" s="1181"/>
      <c r="OZZ73" s="1181"/>
      <c r="PAA73" s="1181"/>
      <c r="PAB73" s="1181"/>
      <c r="PAC73" s="1181"/>
      <c r="PAD73" s="1181"/>
      <c r="PAE73" s="1181"/>
      <c r="PAF73" s="1181"/>
      <c r="PAG73" s="1181"/>
      <c r="PAH73" s="1181"/>
      <c r="PAI73" s="1181"/>
      <c r="PAJ73" s="1181"/>
      <c r="PAK73" s="1181"/>
      <c r="PAL73" s="1181"/>
      <c r="PAM73" s="1181"/>
      <c r="PAN73" s="1181"/>
      <c r="PAO73" s="1181"/>
      <c r="PAP73" s="1181"/>
      <c r="PAQ73" s="1181"/>
      <c r="PAR73" s="1181"/>
      <c r="PAS73" s="1181"/>
      <c r="PAT73" s="1181"/>
      <c r="PAU73" s="1181"/>
      <c r="PAV73" s="1181"/>
      <c r="PAW73" s="1181"/>
      <c r="PAX73" s="1181"/>
      <c r="PAY73" s="1181"/>
      <c r="PAZ73" s="1181"/>
      <c r="PBA73" s="1181"/>
      <c r="PBB73" s="1181"/>
      <c r="PBC73" s="1181"/>
      <c r="PBD73" s="1181"/>
      <c r="PBE73" s="1181"/>
      <c r="PBF73" s="1181"/>
      <c r="PBG73" s="1181"/>
      <c r="PBH73" s="1181"/>
      <c r="PBI73" s="1181"/>
      <c r="PBJ73" s="1181"/>
      <c r="PBK73" s="1181"/>
      <c r="PBL73" s="1181"/>
      <c r="PBM73" s="1181"/>
      <c r="PBN73" s="1181"/>
      <c r="PBO73" s="1181"/>
      <c r="PBP73" s="1181"/>
      <c r="PBQ73" s="1181"/>
      <c r="PBR73" s="1181"/>
      <c r="PBS73" s="1181"/>
      <c r="PBT73" s="1181"/>
      <c r="PBU73" s="1181"/>
      <c r="PBV73" s="1181"/>
      <c r="PBW73" s="1181"/>
      <c r="PBX73" s="1181"/>
      <c r="PBY73" s="1181"/>
      <c r="PBZ73" s="1181"/>
      <c r="PCA73" s="1181"/>
      <c r="PCB73" s="1181"/>
      <c r="PCC73" s="1181"/>
      <c r="PCD73" s="1181"/>
      <c r="PCE73" s="1181"/>
      <c r="PCF73" s="1181"/>
      <c r="PCG73" s="1181"/>
      <c r="PCH73" s="1181"/>
      <c r="PCI73" s="1181"/>
      <c r="PCJ73" s="1181"/>
      <c r="PCK73" s="1181"/>
      <c r="PCL73" s="1181"/>
      <c r="PCM73" s="1181"/>
      <c r="PCN73" s="1181"/>
      <c r="PCO73" s="1181"/>
      <c r="PCP73" s="1181"/>
      <c r="PCQ73" s="1181"/>
      <c r="PCR73" s="1181"/>
      <c r="PCS73" s="1181"/>
      <c r="PCT73" s="1181"/>
      <c r="PCU73" s="1181"/>
      <c r="PCV73" s="1181"/>
      <c r="PCW73" s="1181"/>
      <c r="PCX73" s="1181"/>
      <c r="PCY73" s="1181"/>
      <c r="PCZ73" s="1181"/>
      <c r="PDA73" s="1181"/>
      <c r="PDB73" s="1181"/>
      <c r="PDC73" s="1181"/>
      <c r="PDD73" s="1181"/>
      <c r="PDE73" s="1181"/>
      <c r="PDF73" s="1181"/>
      <c r="PDG73" s="1181"/>
      <c r="PDH73" s="1181"/>
      <c r="PDI73" s="1181"/>
      <c r="PDJ73" s="1181"/>
      <c r="PDK73" s="1181"/>
      <c r="PDL73" s="1181"/>
      <c r="PDM73" s="1181"/>
      <c r="PDN73" s="1181"/>
      <c r="PDO73" s="1181"/>
      <c r="PDP73" s="1181"/>
      <c r="PDQ73" s="1181"/>
      <c r="PDR73" s="1181"/>
      <c r="PDS73" s="1181"/>
      <c r="PDT73" s="1181"/>
      <c r="PDU73" s="1181"/>
      <c r="PDV73" s="1181"/>
      <c r="PDW73" s="1181"/>
      <c r="PDX73" s="1181"/>
      <c r="PDY73" s="1181"/>
      <c r="PDZ73" s="1181"/>
      <c r="PEA73" s="1181"/>
      <c r="PEB73" s="1181"/>
      <c r="PEC73" s="1181"/>
      <c r="PED73" s="1181"/>
      <c r="PEE73" s="1181"/>
      <c r="PEF73" s="1181"/>
      <c r="PEG73" s="1181"/>
      <c r="PEH73" s="1181"/>
      <c r="PEI73" s="1181"/>
      <c r="PEJ73" s="1181"/>
      <c r="PEK73" s="1181"/>
      <c r="PEL73" s="1181"/>
      <c r="PEM73" s="1181"/>
      <c r="PEN73" s="1181"/>
      <c r="PEO73" s="1181"/>
      <c r="PEP73" s="1181"/>
      <c r="PEQ73" s="1181"/>
      <c r="PER73" s="1181"/>
      <c r="PES73" s="1181"/>
      <c r="PET73" s="1181"/>
      <c r="PEU73" s="1181"/>
      <c r="PEV73" s="1181"/>
      <c r="PEW73" s="1181"/>
      <c r="PEX73" s="1181"/>
      <c r="PEY73" s="1181"/>
      <c r="PEZ73" s="1181"/>
      <c r="PFA73" s="1181"/>
      <c r="PFB73" s="1181"/>
      <c r="PFC73" s="1181"/>
      <c r="PFD73" s="1181"/>
      <c r="PFE73" s="1181"/>
      <c r="PFF73" s="1181"/>
      <c r="PFG73" s="1181"/>
      <c r="PFH73" s="1181"/>
      <c r="PFI73" s="1181"/>
      <c r="PFJ73" s="1181"/>
      <c r="PFK73" s="1181"/>
      <c r="PFL73" s="1181"/>
      <c r="PFM73" s="1181"/>
      <c r="PFN73" s="1181"/>
      <c r="PFO73" s="1181"/>
      <c r="PFP73" s="1181"/>
      <c r="PFQ73" s="1181"/>
      <c r="PFR73" s="1181"/>
      <c r="PFS73" s="1181"/>
      <c r="PFT73" s="1181"/>
      <c r="PFU73" s="1181"/>
      <c r="PFV73" s="1181"/>
      <c r="PFW73" s="1181"/>
      <c r="PFX73" s="1181"/>
      <c r="PFY73" s="1181"/>
      <c r="PFZ73" s="1181"/>
      <c r="PGA73" s="1181"/>
      <c r="PGB73" s="1181"/>
      <c r="PGC73" s="1181"/>
      <c r="PGD73" s="1181"/>
      <c r="PGE73" s="1181"/>
      <c r="PGF73" s="1181"/>
      <c r="PGG73" s="1181"/>
      <c r="PGH73" s="1181"/>
      <c r="PGI73" s="1181"/>
      <c r="PGJ73" s="1181"/>
      <c r="PGK73" s="1181"/>
      <c r="PGL73" s="1181"/>
      <c r="PGM73" s="1181"/>
      <c r="PGN73" s="1181"/>
      <c r="PGO73" s="1181"/>
      <c r="PGP73" s="1181"/>
      <c r="PGQ73" s="1181"/>
      <c r="PGR73" s="1181"/>
      <c r="PGS73" s="1181"/>
      <c r="PGT73" s="1181"/>
      <c r="PGU73" s="1181"/>
      <c r="PGV73" s="1181"/>
      <c r="PGW73" s="1181"/>
      <c r="PGX73" s="1181"/>
      <c r="PGY73" s="1181"/>
      <c r="PGZ73" s="1181"/>
      <c r="PHA73" s="1181"/>
      <c r="PHB73" s="1181"/>
      <c r="PHC73" s="1181"/>
      <c r="PHD73" s="1181"/>
      <c r="PHE73" s="1181"/>
      <c r="PHF73" s="1181"/>
      <c r="PHG73" s="1181"/>
      <c r="PHH73" s="1181"/>
      <c r="PHI73" s="1181"/>
      <c r="PHJ73" s="1181"/>
      <c r="PHK73" s="1181"/>
      <c r="PHL73" s="1181"/>
      <c r="PHM73" s="1181"/>
      <c r="PHN73" s="1181"/>
      <c r="PHO73" s="1181"/>
      <c r="PHP73" s="1181"/>
      <c r="PHQ73" s="1181"/>
      <c r="PHR73" s="1181"/>
      <c r="PHS73" s="1181"/>
      <c r="PHT73" s="1181"/>
      <c r="PHU73" s="1181"/>
      <c r="PHV73" s="1181"/>
      <c r="PHW73" s="1181"/>
      <c r="PHX73" s="1181"/>
      <c r="PHY73" s="1181"/>
      <c r="PHZ73" s="1181"/>
      <c r="PIA73" s="1181"/>
      <c r="PIB73" s="1181"/>
      <c r="PIC73" s="1181"/>
      <c r="PID73" s="1181"/>
      <c r="PIE73" s="1181"/>
      <c r="PIF73" s="1181"/>
      <c r="PIG73" s="1181"/>
      <c r="PIH73" s="1181"/>
      <c r="PII73" s="1181"/>
      <c r="PIJ73" s="1181"/>
      <c r="PIK73" s="1181"/>
      <c r="PIL73" s="1181"/>
      <c r="PIM73" s="1181"/>
      <c r="PIN73" s="1181"/>
      <c r="PIO73" s="1181"/>
      <c r="PIP73" s="1181"/>
      <c r="PIQ73" s="1181"/>
      <c r="PIR73" s="1181"/>
      <c r="PIS73" s="1181"/>
      <c r="PIT73" s="1181"/>
      <c r="PIU73" s="1181"/>
      <c r="PIV73" s="1181"/>
      <c r="PIW73" s="1181"/>
      <c r="PIX73" s="1181"/>
      <c r="PIY73" s="1181"/>
      <c r="PIZ73" s="1181"/>
      <c r="PJA73" s="1181"/>
      <c r="PJB73" s="1181"/>
      <c r="PJC73" s="1181"/>
      <c r="PJD73" s="1181"/>
      <c r="PJE73" s="1181"/>
      <c r="PJF73" s="1181"/>
      <c r="PJG73" s="1181"/>
      <c r="PJH73" s="1181"/>
      <c r="PJI73" s="1181"/>
      <c r="PJJ73" s="1181"/>
      <c r="PJK73" s="1181"/>
      <c r="PJL73" s="1181"/>
      <c r="PJM73" s="1181"/>
      <c r="PJN73" s="1181"/>
      <c r="PJO73" s="1181"/>
      <c r="PJP73" s="1181"/>
      <c r="PJQ73" s="1181"/>
      <c r="PJR73" s="1181"/>
      <c r="PJS73" s="1181"/>
      <c r="PJT73" s="1181"/>
      <c r="PJU73" s="1181"/>
      <c r="PJV73" s="1181"/>
      <c r="PJW73" s="1181"/>
      <c r="PJX73" s="1181"/>
      <c r="PJY73" s="1181"/>
      <c r="PJZ73" s="1181"/>
      <c r="PKA73" s="1181"/>
      <c r="PKB73" s="1181"/>
      <c r="PKC73" s="1181"/>
      <c r="PKD73" s="1181"/>
      <c r="PKE73" s="1181"/>
      <c r="PKF73" s="1181"/>
      <c r="PKG73" s="1181"/>
      <c r="PKH73" s="1181"/>
      <c r="PKI73" s="1181"/>
      <c r="PKJ73" s="1181"/>
      <c r="PKK73" s="1181"/>
      <c r="PKL73" s="1181"/>
      <c r="PKM73" s="1181"/>
      <c r="PKN73" s="1181"/>
      <c r="PKO73" s="1181"/>
      <c r="PKP73" s="1181"/>
      <c r="PKQ73" s="1181"/>
      <c r="PKR73" s="1181"/>
      <c r="PKS73" s="1181"/>
      <c r="PKT73" s="1181"/>
      <c r="PKU73" s="1181"/>
      <c r="PKV73" s="1181"/>
      <c r="PKW73" s="1181"/>
      <c r="PKX73" s="1181"/>
      <c r="PKY73" s="1181"/>
      <c r="PKZ73" s="1181"/>
      <c r="PLA73" s="1181"/>
      <c r="PLB73" s="1181"/>
      <c r="PLC73" s="1181"/>
      <c r="PLD73" s="1181"/>
      <c r="PLE73" s="1181"/>
      <c r="PLF73" s="1181"/>
      <c r="PLG73" s="1181"/>
      <c r="PLH73" s="1181"/>
      <c r="PLI73" s="1181"/>
      <c r="PLJ73" s="1181"/>
      <c r="PLK73" s="1181"/>
      <c r="PLL73" s="1181"/>
      <c r="PLM73" s="1181"/>
      <c r="PLN73" s="1181"/>
      <c r="PLO73" s="1181"/>
      <c r="PLP73" s="1181"/>
      <c r="PLQ73" s="1181"/>
      <c r="PLR73" s="1181"/>
      <c r="PLS73" s="1181"/>
      <c r="PLT73" s="1181"/>
      <c r="PLU73" s="1181"/>
      <c r="PLV73" s="1181"/>
      <c r="PLW73" s="1181"/>
      <c r="PLX73" s="1181"/>
      <c r="PLY73" s="1181"/>
      <c r="PLZ73" s="1181"/>
      <c r="PMA73" s="1181"/>
      <c r="PMB73" s="1181"/>
      <c r="PMC73" s="1181"/>
      <c r="PMD73" s="1181"/>
      <c r="PME73" s="1181"/>
      <c r="PMF73" s="1181"/>
      <c r="PMG73" s="1181"/>
      <c r="PMH73" s="1181"/>
      <c r="PMI73" s="1181"/>
      <c r="PMJ73" s="1181"/>
      <c r="PMK73" s="1181"/>
      <c r="PML73" s="1181"/>
      <c r="PMM73" s="1181"/>
      <c r="PMN73" s="1181"/>
      <c r="PMO73" s="1181"/>
      <c r="PMP73" s="1181"/>
      <c r="PMQ73" s="1181"/>
      <c r="PMR73" s="1181"/>
      <c r="PMS73" s="1181"/>
      <c r="PMT73" s="1181"/>
      <c r="PMU73" s="1181"/>
      <c r="PMV73" s="1181"/>
      <c r="PMW73" s="1181"/>
      <c r="PMX73" s="1181"/>
      <c r="PMY73" s="1181"/>
      <c r="PMZ73" s="1181"/>
      <c r="PNA73" s="1181"/>
      <c r="PNB73" s="1181"/>
      <c r="PNC73" s="1181"/>
      <c r="PND73" s="1181"/>
      <c r="PNE73" s="1181"/>
      <c r="PNF73" s="1181"/>
      <c r="PNG73" s="1181"/>
      <c r="PNH73" s="1181"/>
      <c r="PNI73" s="1181"/>
      <c r="PNJ73" s="1181"/>
      <c r="PNK73" s="1181"/>
      <c r="PNL73" s="1181"/>
      <c r="PNM73" s="1181"/>
      <c r="PNN73" s="1181"/>
      <c r="PNO73" s="1181"/>
      <c r="PNP73" s="1181"/>
      <c r="PNQ73" s="1181"/>
      <c r="PNR73" s="1181"/>
      <c r="PNS73" s="1181"/>
      <c r="PNT73" s="1181"/>
      <c r="PNU73" s="1181"/>
      <c r="PNV73" s="1181"/>
      <c r="PNW73" s="1181"/>
      <c r="PNX73" s="1181"/>
      <c r="PNY73" s="1181"/>
      <c r="PNZ73" s="1181"/>
      <c r="POA73" s="1181"/>
      <c r="POB73" s="1181"/>
      <c r="POC73" s="1181"/>
      <c r="POD73" s="1181"/>
      <c r="POE73" s="1181"/>
      <c r="POF73" s="1181"/>
      <c r="POG73" s="1181"/>
      <c r="POH73" s="1181"/>
      <c r="POI73" s="1181"/>
      <c r="POJ73" s="1181"/>
      <c r="POK73" s="1181"/>
      <c r="POL73" s="1181"/>
      <c r="POM73" s="1181"/>
      <c r="PON73" s="1181"/>
      <c r="POO73" s="1181"/>
      <c r="POP73" s="1181"/>
      <c r="POQ73" s="1181"/>
      <c r="POR73" s="1181"/>
      <c r="POS73" s="1181"/>
      <c r="POT73" s="1181"/>
      <c r="POU73" s="1181"/>
      <c r="POV73" s="1181"/>
      <c r="POW73" s="1181"/>
      <c r="POX73" s="1181"/>
      <c r="POY73" s="1181"/>
      <c r="POZ73" s="1181"/>
      <c r="PPA73" s="1181"/>
      <c r="PPB73" s="1181"/>
      <c r="PPC73" s="1181"/>
      <c r="PPD73" s="1181"/>
      <c r="PPE73" s="1181"/>
      <c r="PPF73" s="1181"/>
      <c r="PPG73" s="1181"/>
      <c r="PPH73" s="1181"/>
      <c r="PPI73" s="1181"/>
      <c r="PPJ73" s="1181"/>
      <c r="PPK73" s="1181"/>
      <c r="PPL73" s="1181"/>
      <c r="PPM73" s="1181"/>
      <c r="PPN73" s="1181"/>
      <c r="PPO73" s="1181"/>
      <c r="PPP73" s="1181"/>
      <c r="PPQ73" s="1181"/>
      <c r="PPR73" s="1181"/>
      <c r="PPS73" s="1181"/>
      <c r="PPT73" s="1181"/>
      <c r="PPU73" s="1181"/>
      <c r="PPV73" s="1181"/>
      <c r="PPW73" s="1181"/>
      <c r="PPX73" s="1181"/>
      <c r="PPY73" s="1181"/>
      <c r="PPZ73" s="1181"/>
      <c r="PQA73" s="1181"/>
      <c r="PQB73" s="1181"/>
      <c r="PQC73" s="1181"/>
      <c r="PQD73" s="1181"/>
      <c r="PQE73" s="1181"/>
      <c r="PQF73" s="1181"/>
      <c r="PQG73" s="1181"/>
      <c r="PQH73" s="1181"/>
      <c r="PQI73" s="1181"/>
      <c r="PQJ73" s="1181"/>
      <c r="PQK73" s="1181"/>
      <c r="PQL73" s="1181"/>
      <c r="PQM73" s="1181"/>
      <c r="PQN73" s="1181"/>
      <c r="PQO73" s="1181"/>
      <c r="PQP73" s="1181"/>
      <c r="PQQ73" s="1181"/>
      <c r="PQR73" s="1181"/>
      <c r="PQS73" s="1181"/>
      <c r="PQT73" s="1181"/>
      <c r="PQU73" s="1181"/>
      <c r="PQV73" s="1181"/>
      <c r="PQW73" s="1181"/>
      <c r="PQX73" s="1181"/>
      <c r="PQY73" s="1181"/>
      <c r="PQZ73" s="1181"/>
      <c r="PRA73" s="1181"/>
      <c r="PRB73" s="1181"/>
      <c r="PRC73" s="1181"/>
      <c r="PRD73" s="1181"/>
      <c r="PRE73" s="1181"/>
      <c r="PRF73" s="1181"/>
      <c r="PRG73" s="1181"/>
      <c r="PRH73" s="1181"/>
      <c r="PRI73" s="1181"/>
      <c r="PRJ73" s="1181"/>
      <c r="PRK73" s="1181"/>
      <c r="PRL73" s="1181"/>
      <c r="PRM73" s="1181"/>
      <c r="PRN73" s="1181"/>
      <c r="PRO73" s="1181"/>
      <c r="PRP73" s="1181"/>
      <c r="PRQ73" s="1181"/>
      <c r="PRR73" s="1181"/>
      <c r="PRS73" s="1181"/>
      <c r="PRT73" s="1181"/>
      <c r="PRU73" s="1181"/>
      <c r="PRV73" s="1181"/>
      <c r="PRW73" s="1181"/>
      <c r="PRX73" s="1181"/>
      <c r="PRY73" s="1181"/>
      <c r="PRZ73" s="1181"/>
      <c r="PSA73" s="1181"/>
      <c r="PSB73" s="1181"/>
      <c r="PSC73" s="1181"/>
      <c r="PSD73" s="1181"/>
      <c r="PSE73" s="1181"/>
      <c r="PSF73" s="1181"/>
      <c r="PSG73" s="1181"/>
      <c r="PSH73" s="1181"/>
      <c r="PSI73" s="1181"/>
      <c r="PSJ73" s="1181"/>
      <c r="PSK73" s="1181"/>
      <c r="PSL73" s="1181"/>
      <c r="PSM73" s="1181"/>
      <c r="PSN73" s="1181"/>
      <c r="PSO73" s="1181"/>
      <c r="PSP73" s="1181"/>
      <c r="PSQ73" s="1181"/>
      <c r="PSR73" s="1181"/>
      <c r="PSS73" s="1181"/>
      <c r="PST73" s="1181"/>
      <c r="PSU73" s="1181"/>
      <c r="PSV73" s="1181"/>
      <c r="PSW73" s="1181"/>
      <c r="PSX73" s="1181"/>
      <c r="PSY73" s="1181"/>
      <c r="PSZ73" s="1181"/>
      <c r="PTA73" s="1181"/>
      <c r="PTB73" s="1181"/>
      <c r="PTC73" s="1181"/>
      <c r="PTD73" s="1181"/>
      <c r="PTE73" s="1181"/>
      <c r="PTF73" s="1181"/>
      <c r="PTG73" s="1181"/>
      <c r="PTH73" s="1181"/>
      <c r="PTI73" s="1181"/>
      <c r="PTJ73" s="1181"/>
      <c r="PTK73" s="1181"/>
      <c r="PTL73" s="1181"/>
      <c r="PTM73" s="1181"/>
      <c r="PTN73" s="1181"/>
      <c r="PTO73" s="1181"/>
      <c r="PTP73" s="1181"/>
      <c r="PTQ73" s="1181"/>
      <c r="PTR73" s="1181"/>
      <c r="PTS73" s="1181"/>
      <c r="PTT73" s="1181"/>
      <c r="PTU73" s="1181"/>
      <c r="PTV73" s="1181"/>
      <c r="PTW73" s="1181"/>
      <c r="PTX73" s="1181"/>
      <c r="PTY73" s="1181"/>
      <c r="PTZ73" s="1181"/>
      <c r="PUA73" s="1181"/>
      <c r="PUB73" s="1181"/>
      <c r="PUC73" s="1181"/>
      <c r="PUD73" s="1181"/>
      <c r="PUE73" s="1181"/>
      <c r="PUF73" s="1181"/>
      <c r="PUG73" s="1181"/>
      <c r="PUH73" s="1181"/>
      <c r="PUI73" s="1181"/>
      <c r="PUJ73" s="1181"/>
      <c r="PUK73" s="1181"/>
      <c r="PUL73" s="1181"/>
      <c r="PUM73" s="1181"/>
      <c r="PUN73" s="1181"/>
      <c r="PUO73" s="1181"/>
      <c r="PUP73" s="1181"/>
      <c r="PUQ73" s="1181"/>
      <c r="PUR73" s="1181"/>
      <c r="PUS73" s="1181"/>
      <c r="PUT73" s="1181"/>
      <c r="PUU73" s="1181"/>
      <c r="PUV73" s="1181"/>
      <c r="PUW73" s="1181"/>
      <c r="PUX73" s="1181"/>
      <c r="PUY73" s="1181"/>
      <c r="PUZ73" s="1181"/>
      <c r="PVA73" s="1181"/>
      <c r="PVB73" s="1181"/>
      <c r="PVC73" s="1181"/>
      <c r="PVD73" s="1181"/>
      <c r="PVE73" s="1181"/>
      <c r="PVF73" s="1181"/>
      <c r="PVG73" s="1181"/>
      <c r="PVH73" s="1181"/>
      <c r="PVI73" s="1181"/>
      <c r="PVJ73" s="1181"/>
      <c r="PVK73" s="1181"/>
      <c r="PVL73" s="1181"/>
      <c r="PVM73" s="1181"/>
      <c r="PVN73" s="1181"/>
      <c r="PVO73" s="1181"/>
      <c r="PVP73" s="1181"/>
      <c r="PVQ73" s="1181"/>
      <c r="PVR73" s="1181"/>
      <c r="PVS73" s="1181"/>
      <c r="PVT73" s="1181"/>
      <c r="PVU73" s="1181"/>
      <c r="PVV73" s="1181"/>
      <c r="PVW73" s="1181"/>
      <c r="PVX73" s="1181"/>
      <c r="PVY73" s="1181"/>
      <c r="PVZ73" s="1181"/>
      <c r="PWA73" s="1181"/>
      <c r="PWB73" s="1181"/>
      <c r="PWC73" s="1181"/>
      <c r="PWD73" s="1181"/>
      <c r="PWE73" s="1181"/>
      <c r="PWF73" s="1181"/>
      <c r="PWG73" s="1181"/>
      <c r="PWH73" s="1181"/>
      <c r="PWI73" s="1181"/>
      <c r="PWJ73" s="1181"/>
      <c r="PWK73" s="1181"/>
      <c r="PWL73" s="1181"/>
      <c r="PWM73" s="1181"/>
      <c r="PWN73" s="1181"/>
      <c r="PWO73" s="1181"/>
      <c r="PWP73" s="1181"/>
      <c r="PWQ73" s="1181"/>
      <c r="PWR73" s="1181"/>
      <c r="PWS73" s="1181"/>
      <c r="PWT73" s="1181"/>
      <c r="PWU73" s="1181"/>
      <c r="PWV73" s="1181"/>
      <c r="PWW73" s="1181"/>
      <c r="PWX73" s="1181"/>
      <c r="PWY73" s="1181"/>
      <c r="PWZ73" s="1181"/>
      <c r="PXA73" s="1181"/>
      <c r="PXB73" s="1181"/>
      <c r="PXC73" s="1181"/>
      <c r="PXD73" s="1181"/>
      <c r="PXE73" s="1181"/>
      <c r="PXF73" s="1181"/>
      <c r="PXG73" s="1181"/>
      <c r="PXH73" s="1181"/>
      <c r="PXI73" s="1181"/>
      <c r="PXJ73" s="1181"/>
      <c r="PXK73" s="1181"/>
      <c r="PXL73" s="1181"/>
      <c r="PXM73" s="1181"/>
      <c r="PXN73" s="1181"/>
      <c r="PXO73" s="1181"/>
      <c r="PXP73" s="1181"/>
      <c r="PXQ73" s="1181"/>
      <c r="PXR73" s="1181"/>
      <c r="PXS73" s="1181"/>
      <c r="PXT73" s="1181"/>
      <c r="PXU73" s="1181"/>
      <c r="PXV73" s="1181"/>
      <c r="PXW73" s="1181"/>
      <c r="PXX73" s="1181"/>
      <c r="PXY73" s="1181"/>
      <c r="PXZ73" s="1181"/>
      <c r="PYA73" s="1181"/>
      <c r="PYB73" s="1181"/>
      <c r="PYC73" s="1181"/>
      <c r="PYD73" s="1181"/>
      <c r="PYE73" s="1181"/>
      <c r="PYF73" s="1181"/>
      <c r="PYG73" s="1181"/>
      <c r="PYH73" s="1181"/>
      <c r="PYI73" s="1181"/>
      <c r="PYJ73" s="1181"/>
      <c r="PYK73" s="1181"/>
      <c r="PYL73" s="1181"/>
      <c r="PYM73" s="1181"/>
      <c r="PYN73" s="1181"/>
      <c r="PYO73" s="1181"/>
      <c r="PYP73" s="1181"/>
      <c r="PYQ73" s="1181"/>
      <c r="PYR73" s="1181"/>
      <c r="PYS73" s="1181"/>
      <c r="PYT73" s="1181"/>
      <c r="PYU73" s="1181"/>
      <c r="PYV73" s="1181"/>
      <c r="PYW73" s="1181"/>
      <c r="PYX73" s="1181"/>
      <c r="PYY73" s="1181"/>
      <c r="PYZ73" s="1181"/>
      <c r="PZA73" s="1181"/>
      <c r="PZB73" s="1181"/>
      <c r="PZC73" s="1181"/>
      <c r="PZD73" s="1181"/>
      <c r="PZE73" s="1181"/>
      <c r="PZF73" s="1181"/>
      <c r="PZG73" s="1181"/>
      <c r="PZH73" s="1181"/>
      <c r="PZI73" s="1181"/>
      <c r="PZJ73" s="1181"/>
      <c r="PZK73" s="1181"/>
      <c r="PZL73" s="1181"/>
      <c r="PZM73" s="1181"/>
      <c r="PZN73" s="1181"/>
      <c r="PZO73" s="1181"/>
      <c r="PZP73" s="1181"/>
      <c r="PZQ73" s="1181"/>
      <c r="PZR73" s="1181"/>
      <c r="PZS73" s="1181"/>
      <c r="PZT73" s="1181"/>
      <c r="PZU73" s="1181"/>
      <c r="PZV73" s="1181"/>
      <c r="PZW73" s="1181"/>
      <c r="PZX73" s="1181"/>
      <c r="PZY73" s="1181"/>
      <c r="PZZ73" s="1181"/>
      <c r="QAA73" s="1181"/>
      <c r="QAB73" s="1181"/>
      <c r="QAC73" s="1181"/>
      <c r="QAD73" s="1181"/>
      <c r="QAE73" s="1181"/>
      <c r="QAF73" s="1181"/>
      <c r="QAG73" s="1181"/>
      <c r="QAH73" s="1181"/>
      <c r="QAI73" s="1181"/>
      <c r="QAJ73" s="1181"/>
      <c r="QAK73" s="1181"/>
      <c r="QAL73" s="1181"/>
      <c r="QAM73" s="1181"/>
      <c r="QAN73" s="1181"/>
      <c r="QAO73" s="1181"/>
      <c r="QAP73" s="1181"/>
      <c r="QAQ73" s="1181"/>
      <c r="QAR73" s="1181"/>
      <c r="QAS73" s="1181"/>
      <c r="QAT73" s="1181"/>
      <c r="QAU73" s="1181"/>
      <c r="QAV73" s="1181"/>
      <c r="QAW73" s="1181"/>
      <c r="QAX73" s="1181"/>
      <c r="QAY73" s="1181"/>
      <c r="QAZ73" s="1181"/>
      <c r="QBA73" s="1181"/>
      <c r="QBB73" s="1181"/>
      <c r="QBC73" s="1181"/>
      <c r="QBD73" s="1181"/>
      <c r="QBE73" s="1181"/>
      <c r="QBF73" s="1181"/>
      <c r="QBG73" s="1181"/>
      <c r="QBH73" s="1181"/>
      <c r="QBI73" s="1181"/>
      <c r="QBJ73" s="1181"/>
      <c r="QBK73" s="1181"/>
      <c r="QBL73" s="1181"/>
      <c r="QBM73" s="1181"/>
      <c r="QBN73" s="1181"/>
      <c r="QBO73" s="1181"/>
      <c r="QBP73" s="1181"/>
      <c r="QBQ73" s="1181"/>
      <c r="QBR73" s="1181"/>
      <c r="QBS73" s="1181"/>
      <c r="QBT73" s="1181"/>
      <c r="QBU73" s="1181"/>
      <c r="QBV73" s="1181"/>
      <c r="QBW73" s="1181"/>
      <c r="QBX73" s="1181"/>
      <c r="QBY73" s="1181"/>
      <c r="QBZ73" s="1181"/>
      <c r="QCA73" s="1181"/>
      <c r="QCB73" s="1181"/>
      <c r="QCC73" s="1181"/>
      <c r="QCD73" s="1181"/>
      <c r="QCE73" s="1181"/>
      <c r="QCF73" s="1181"/>
      <c r="QCG73" s="1181"/>
      <c r="QCH73" s="1181"/>
      <c r="QCI73" s="1181"/>
      <c r="QCJ73" s="1181"/>
      <c r="QCK73" s="1181"/>
      <c r="QCL73" s="1181"/>
      <c r="QCM73" s="1181"/>
      <c r="QCN73" s="1181"/>
      <c r="QCO73" s="1181"/>
      <c r="QCP73" s="1181"/>
      <c r="QCQ73" s="1181"/>
      <c r="QCR73" s="1181"/>
      <c r="QCS73" s="1181"/>
      <c r="QCT73" s="1181"/>
      <c r="QCU73" s="1181"/>
      <c r="QCV73" s="1181"/>
      <c r="QCW73" s="1181"/>
      <c r="QCX73" s="1181"/>
      <c r="QCY73" s="1181"/>
      <c r="QCZ73" s="1181"/>
      <c r="QDA73" s="1181"/>
      <c r="QDB73" s="1181"/>
      <c r="QDC73" s="1181"/>
      <c r="QDD73" s="1181"/>
      <c r="QDE73" s="1181"/>
      <c r="QDF73" s="1181"/>
      <c r="QDG73" s="1181"/>
      <c r="QDH73" s="1181"/>
      <c r="QDI73" s="1181"/>
      <c r="QDJ73" s="1181"/>
      <c r="QDK73" s="1181"/>
      <c r="QDL73" s="1181"/>
      <c r="QDM73" s="1181"/>
      <c r="QDN73" s="1181"/>
      <c r="QDO73" s="1181"/>
      <c r="QDP73" s="1181"/>
      <c r="QDQ73" s="1181"/>
      <c r="QDR73" s="1181"/>
      <c r="QDS73" s="1181"/>
      <c r="QDT73" s="1181"/>
      <c r="QDU73" s="1181"/>
      <c r="QDV73" s="1181"/>
      <c r="QDW73" s="1181"/>
      <c r="QDX73" s="1181"/>
      <c r="QDY73" s="1181"/>
      <c r="QDZ73" s="1181"/>
      <c r="QEA73" s="1181"/>
      <c r="QEB73" s="1181"/>
      <c r="QEC73" s="1181"/>
      <c r="QED73" s="1181"/>
      <c r="QEE73" s="1181"/>
      <c r="QEF73" s="1181"/>
      <c r="QEG73" s="1181"/>
      <c r="QEH73" s="1181"/>
      <c r="QEI73" s="1181"/>
      <c r="QEJ73" s="1181"/>
      <c r="QEK73" s="1181"/>
      <c r="QEL73" s="1181"/>
      <c r="QEM73" s="1181"/>
      <c r="QEN73" s="1181"/>
      <c r="QEO73" s="1181"/>
      <c r="QEP73" s="1181"/>
      <c r="QEQ73" s="1181"/>
      <c r="QER73" s="1181"/>
      <c r="QES73" s="1181"/>
      <c r="QET73" s="1181"/>
      <c r="QEU73" s="1181"/>
      <c r="QEV73" s="1181"/>
      <c r="QEW73" s="1181"/>
      <c r="QEX73" s="1181"/>
      <c r="QEY73" s="1181"/>
      <c r="QEZ73" s="1181"/>
      <c r="QFA73" s="1181"/>
      <c r="QFB73" s="1181"/>
      <c r="QFC73" s="1181"/>
      <c r="QFD73" s="1181"/>
      <c r="QFE73" s="1181"/>
      <c r="QFF73" s="1181"/>
      <c r="QFG73" s="1181"/>
      <c r="QFH73" s="1181"/>
      <c r="QFI73" s="1181"/>
      <c r="QFJ73" s="1181"/>
      <c r="QFK73" s="1181"/>
      <c r="QFL73" s="1181"/>
      <c r="QFM73" s="1181"/>
      <c r="QFN73" s="1181"/>
      <c r="QFO73" s="1181"/>
      <c r="QFP73" s="1181"/>
      <c r="QFQ73" s="1181"/>
      <c r="QFR73" s="1181"/>
      <c r="QFS73" s="1181"/>
      <c r="QFT73" s="1181"/>
      <c r="QFU73" s="1181"/>
      <c r="QFV73" s="1181"/>
      <c r="QFW73" s="1181"/>
      <c r="QFX73" s="1181"/>
      <c r="QFY73" s="1181"/>
      <c r="QFZ73" s="1181"/>
      <c r="QGA73" s="1181"/>
      <c r="QGB73" s="1181"/>
      <c r="QGC73" s="1181"/>
      <c r="QGD73" s="1181"/>
      <c r="QGE73" s="1181"/>
      <c r="QGF73" s="1181"/>
      <c r="QGG73" s="1181"/>
      <c r="QGH73" s="1181"/>
      <c r="QGI73" s="1181"/>
      <c r="QGJ73" s="1181"/>
      <c r="QGK73" s="1181"/>
      <c r="QGL73" s="1181"/>
      <c r="QGM73" s="1181"/>
      <c r="QGN73" s="1181"/>
      <c r="QGO73" s="1181"/>
      <c r="QGP73" s="1181"/>
      <c r="QGQ73" s="1181"/>
      <c r="QGR73" s="1181"/>
      <c r="QGS73" s="1181"/>
      <c r="QGT73" s="1181"/>
      <c r="QGU73" s="1181"/>
      <c r="QGV73" s="1181"/>
      <c r="QGW73" s="1181"/>
      <c r="QGX73" s="1181"/>
      <c r="QGY73" s="1181"/>
      <c r="QGZ73" s="1181"/>
      <c r="QHA73" s="1181"/>
      <c r="QHB73" s="1181"/>
      <c r="QHC73" s="1181"/>
      <c r="QHD73" s="1181"/>
      <c r="QHE73" s="1181"/>
      <c r="QHF73" s="1181"/>
      <c r="QHG73" s="1181"/>
      <c r="QHH73" s="1181"/>
      <c r="QHI73" s="1181"/>
      <c r="QHJ73" s="1181"/>
      <c r="QHK73" s="1181"/>
      <c r="QHL73" s="1181"/>
      <c r="QHM73" s="1181"/>
      <c r="QHN73" s="1181"/>
      <c r="QHO73" s="1181"/>
      <c r="QHP73" s="1181"/>
      <c r="QHQ73" s="1181"/>
      <c r="QHR73" s="1181"/>
      <c r="QHS73" s="1181"/>
      <c r="QHT73" s="1181"/>
      <c r="QHU73" s="1181"/>
      <c r="QHV73" s="1181"/>
      <c r="QHW73" s="1181"/>
      <c r="QHX73" s="1181"/>
      <c r="QHY73" s="1181"/>
      <c r="QHZ73" s="1181"/>
      <c r="QIA73" s="1181"/>
      <c r="QIB73" s="1181"/>
      <c r="QIC73" s="1181"/>
      <c r="QID73" s="1181"/>
      <c r="QIE73" s="1181"/>
      <c r="QIF73" s="1181"/>
      <c r="QIG73" s="1181"/>
      <c r="QIH73" s="1181"/>
      <c r="QII73" s="1181"/>
      <c r="QIJ73" s="1181"/>
      <c r="QIK73" s="1181"/>
      <c r="QIL73" s="1181"/>
      <c r="QIM73" s="1181"/>
      <c r="QIN73" s="1181"/>
      <c r="QIO73" s="1181"/>
      <c r="QIP73" s="1181"/>
      <c r="QIQ73" s="1181"/>
      <c r="QIR73" s="1181"/>
      <c r="QIS73" s="1181"/>
      <c r="QIT73" s="1181"/>
      <c r="QIU73" s="1181"/>
      <c r="QIV73" s="1181"/>
      <c r="QIW73" s="1181"/>
      <c r="QIX73" s="1181"/>
      <c r="QIY73" s="1181"/>
      <c r="QIZ73" s="1181"/>
      <c r="QJA73" s="1181"/>
      <c r="QJB73" s="1181"/>
      <c r="QJC73" s="1181"/>
      <c r="QJD73" s="1181"/>
      <c r="QJE73" s="1181"/>
      <c r="QJF73" s="1181"/>
      <c r="QJG73" s="1181"/>
      <c r="QJH73" s="1181"/>
      <c r="QJI73" s="1181"/>
      <c r="QJJ73" s="1181"/>
      <c r="QJK73" s="1181"/>
      <c r="QJL73" s="1181"/>
      <c r="QJM73" s="1181"/>
      <c r="QJN73" s="1181"/>
      <c r="QJO73" s="1181"/>
      <c r="QJP73" s="1181"/>
      <c r="QJQ73" s="1181"/>
      <c r="QJR73" s="1181"/>
      <c r="QJS73" s="1181"/>
      <c r="QJT73" s="1181"/>
      <c r="QJU73" s="1181"/>
      <c r="QJV73" s="1181"/>
      <c r="QJW73" s="1181"/>
      <c r="QJX73" s="1181"/>
      <c r="QJY73" s="1181"/>
      <c r="QJZ73" s="1181"/>
      <c r="QKA73" s="1181"/>
      <c r="QKB73" s="1181"/>
      <c r="QKC73" s="1181"/>
      <c r="QKD73" s="1181"/>
      <c r="QKE73" s="1181"/>
      <c r="QKF73" s="1181"/>
      <c r="QKG73" s="1181"/>
      <c r="QKH73" s="1181"/>
      <c r="QKI73" s="1181"/>
      <c r="QKJ73" s="1181"/>
      <c r="QKK73" s="1181"/>
      <c r="QKL73" s="1181"/>
      <c r="QKM73" s="1181"/>
      <c r="QKN73" s="1181"/>
      <c r="QKO73" s="1181"/>
      <c r="QKP73" s="1181"/>
      <c r="QKQ73" s="1181"/>
      <c r="QKR73" s="1181"/>
      <c r="QKS73" s="1181"/>
      <c r="QKT73" s="1181"/>
      <c r="QKU73" s="1181"/>
      <c r="QKV73" s="1181"/>
      <c r="QKW73" s="1181"/>
      <c r="QKX73" s="1181"/>
      <c r="QKY73" s="1181"/>
      <c r="QKZ73" s="1181"/>
      <c r="QLA73" s="1181"/>
      <c r="QLB73" s="1181"/>
      <c r="QLC73" s="1181"/>
      <c r="QLD73" s="1181"/>
      <c r="QLE73" s="1181"/>
      <c r="QLF73" s="1181"/>
      <c r="QLG73" s="1181"/>
      <c r="QLH73" s="1181"/>
      <c r="QLI73" s="1181"/>
      <c r="QLJ73" s="1181"/>
      <c r="QLK73" s="1181"/>
      <c r="QLL73" s="1181"/>
      <c r="QLM73" s="1181"/>
      <c r="QLN73" s="1181"/>
      <c r="QLO73" s="1181"/>
      <c r="QLP73" s="1181"/>
      <c r="QLQ73" s="1181"/>
      <c r="QLR73" s="1181"/>
      <c r="QLS73" s="1181"/>
      <c r="QLT73" s="1181"/>
      <c r="QLU73" s="1181"/>
      <c r="QLV73" s="1181"/>
      <c r="QLW73" s="1181"/>
      <c r="QLX73" s="1181"/>
      <c r="QLY73" s="1181"/>
      <c r="QLZ73" s="1181"/>
      <c r="QMA73" s="1181"/>
      <c r="QMB73" s="1181"/>
      <c r="QMC73" s="1181"/>
      <c r="QMD73" s="1181"/>
      <c r="QME73" s="1181"/>
      <c r="QMF73" s="1181"/>
      <c r="QMG73" s="1181"/>
      <c r="QMH73" s="1181"/>
      <c r="QMI73" s="1181"/>
      <c r="QMJ73" s="1181"/>
      <c r="QMK73" s="1181"/>
      <c r="QML73" s="1181"/>
      <c r="QMM73" s="1181"/>
      <c r="QMN73" s="1181"/>
      <c r="QMO73" s="1181"/>
      <c r="QMP73" s="1181"/>
      <c r="QMQ73" s="1181"/>
      <c r="QMR73" s="1181"/>
      <c r="QMS73" s="1181"/>
      <c r="QMT73" s="1181"/>
      <c r="QMU73" s="1181"/>
      <c r="QMV73" s="1181"/>
      <c r="QMW73" s="1181"/>
      <c r="QMX73" s="1181"/>
      <c r="QMY73" s="1181"/>
      <c r="QMZ73" s="1181"/>
      <c r="QNA73" s="1181"/>
      <c r="QNB73" s="1181"/>
      <c r="QNC73" s="1181"/>
      <c r="QND73" s="1181"/>
      <c r="QNE73" s="1181"/>
      <c r="QNF73" s="1181"/>
      <c r="QNG73" s="1181"/>
      <c r="QNH73" s="1181"/>
      <c r="QNI73" s="1181"/>
      <c r="QNJ73" s="1181"/>
      <c r="QNK73" s="1181"/>
      <c r="QNL73" s="1181"/>
      <c r="QNM73" s="1181"/>
      <c r="QNN73" s="1181"/>
      <c r="QNO73" s="1181"/>
      <c r="QNP73" s="1181"/>
      <c r="QNQ73" s="1181"/>
      <c r="QNR73" s="1181"/>
      <c r="QNS73" s="1181"/>
      <c r="QNT73" s="1181"/>
      <c r="QNU73" s="1181"/>
      <c r="QNV73" s="1181"/>
      <c r="QNW73" s="1181"/>
      <c r="QNX73" s="1181"/>
      <c r="QNY73" s="1181"/>
      <c r="QNZ73" s="1181"/>
      <c r="QOA73" s="1181"/>
      <c r="QOB73" s="1181"/>
      <c r="QOC73" s="1181"/>
      <c r="QOD73" s="1181"/>
      <c r="QOE73" s="1181"/>
      <c r="QOF73" s="1181"/>
      <c r="QOG73" s="1181"/>
      <c r="QOH73" s="1181"/>
      <c r="QOI73" s="1181"/>
      <c r="QOJ73" s="1181"/>
      <c r="QOK73" s="1181"/>
      <c r="QOL73" s="1181"/>
      <c r="QOM73" s="1181"/>
      <c r="QON73" s="1181"/>
      <c r="QOO73" s="1181"/>
      <c r="QOP73" s="1181"/>
      <c r="QOQ73" s="1181"/>
      <c r="QOR73" s="1181"/>
      <c r="QOS73" s="1181"/>
      <c r="QOT73" s="1181"/>
      <c r="QOU73" s="1181"/>
      <c r="QOV73" s="1181"/>
      <c r="QOW73" s="1181"/>
      <c r="QOX73" s="1181"/>
      <c r="QOY73" s="1181"/>
      <c r="QOZ73" s="1181"/>
      <c r="QPA73" s="1181"/>
      <c r="QPB73" s="1181"/>
      <c r="QPC73" s="1181"/>
      <c r="QPD73" s="1181"/>
      <c r="QPE73" s="1181"/>
      <c r="QPF73" s="1181"/>
      <c r="QPG73" s="1181"/>
      <c r="QPH73" s="1181"/>
      <c r="QPI73" s="1181"/>
      <c r="QPJ73" s="1181"/>
      <c r="QPK73" s="1181"/>
      <c r="QPL73" s="1181"/>
      <c r="QPM73" s="1181"/>
      <c r="QPN73" s="1181"/>
      <c r="QPO73" s="1181"/>
      <c r="QPP73" s="1181"/>
      <c r="QPQ73" s="1181"/>
      <c r="QPR73" s="1181"/>
      <c r="QPS73" s="1181"/>
      <c r="QPT73" s="1181"/>
      <c r="QPU73" s="1181"/>
      <c r="QPV73" s="1181"/>
      <c r="QPW73" s="1181"/>
      <c r="QPX73" s="1181"/>
      <c r="QPY73" s="1181"/>
      <c r="QPZ73" s="1181"/>
      <c r="QQA73" s="1181"/>
      <c r="QQB73" s="1181"/>
      <c r="QQC73" s="1181"/>
      <c r="QQD73" s="1181"/>
      <c r="QQE73" s="1181"/>
      <c r="QQF73" s="1181"/>
      <c r="QQG73" s="1181"/>
      <c r="QQH73" s="1181"/>
      <c r="QQI73" s="1181"/>
      <c r="QQJ73" s="1181"/>
      <c r="QQK73" s="1181"/>
      <c r="QQL73" s="1181"/>
      <c r="QQM73" s="1181"/>
      <c r="QQN73" s="1181"/>
      <c r="QQO73" s="1181"/>
      <c r="QQP73" s="1181"/>
      <c r="QQQ73" s="1181"/>
      <c r="QQR73" s="1181"/>
      <c r="QQS73" s="1181"/>
      <c r="QQT73" s="1181"/>
      <c r="QQU73" s="1181"/>
      <c r="QQV73" s="1181"/>
      <c r="QQW73" s="1181"/>
      <c r="QQX73" s="1181"/>
      <c r="QQY73" s="1181"/>
      <c r="QQZ73" s="1181"/>
      <c r="QRA73" s="1181"/>
      <c r="QRB73" s="1181"/>
      <c r="QRC73" s="1181"/>
      <c r="QRD73" s="1181"/>
      <c r="QRE73" s="1181"/>
      <c r="QRF73" s="1181"/>
      <c r="QRG73" s="1181"/>
      <c r="QRH73" s="1181"/>
      <c r="QRI73" s="1181"/>
      <c r="QRJ73" s="1181"/>
      <c r="QRK73" s="1181"/>
      <c r="QRL73" s="1181"/>
      <c r="QRM73" s="1181"/>
      <c r="QRN73" s="1181"/>
      <c r="QRO73" s="1181"/>
      <c r="QRP73" s="1181"/>
      <c r="QRQ73" s="1181"/>
      <c r="QRR73" s="1181"/>
      <c r="QRS73" s="1181"/>
      <c r="QRT73" s="1181"/>
      <c r="QRU73" s="1181"/>
      <c r="QRV73" s="1181"/>
      <c r="QRW73" s="1181"/>
      <c r="QRX73" s="1181"/>
      <c r="QRY73" s="1181"/>
      <c r="QRZ73" s="1181"/>
      <c r="QSA73" s="1181"/>
      <c r="QSB73" s="1181"/>
      <c r="QSC73" s="1181"/>
      <c r="QSD73" s="1181"/>
      <c r="QSE73" s="1181"/>
      <c r="QSF73" s="1181"/>
      <c r="QSG73" s="1181"/>
      <c r="QSH73" s="1181"/>
      <c r="QSI73" s="1181"/>
      <c r="QSJ73" s="1181"/>
      <c r="QSK73" s="1181"/>
      <c r="QSL73" s="1181"/>
      <c r="QSM73" s="1181"/>
      <c r="QSN73" s="1181"/>
      <c r="QSO73" s="1181"/>
      <c r="QSP73" s="1181"/>
      <c r="QSQ73" s="1181"/>
      <c r="QSR73" s="1181"/>
      <c r="QSS73" s="1181"/>
      <c r="QST73" s="1181"/>
      <c r="QSU73" s="1181"/>
      <c r="QSV73" s="1181"/>
      <c r="QSW73" s="1181"/>
      <c r="QSX73" s="1181"/>
      <c r="QSY73" s="1181"/>
      <c r="QSZ73" s="1181"/>
      <c r="QTA73" s="1181"/>
      <c r="QTB73" s="1181"/>
      <c r="QTC73" s="1181"/>
      <c r="QTD73" s="1181"/>
      <c r="QTE73" s="1181"/>
      <c r="QTF73" s="1181"/>
      <c r="QTG73" s="1181"/>
      <c r="QTH73" s="1181"/>
      <c r="QTI73" s="1181"/>
      <c r="QTJ73" s="1181"/>
      <c r="QTK73" s="1181"/>
      <c r="QTL73" s="1181"/>
      <c r="QTM73" s="1181"/>
      <c r="QTN73" s="1181"/>
      <c r="QTO73" s="1181"/>
      <c r="QTP73" s="1181"/>
      <c r="QTQ73" s="1181"/>
      <c r="QTR73" s="1181"/>
      <c r="QTS73" s="1181"/>
      <c r="QTT73" s="1181"/>
      <c r="QTU73" s="1181"/>
      <c r="QTV73" s="1181"/>
      <c r="QTW73" s="1181"/>
      <c r="QTX73" s="1181"/>
      <c r="QTY73" s="1181"/>
      <c r="QTZ73" s="1181"/>
      <c r="QUA73" s="1181"/>
      <c r="QUB73" s="1181"/>
      <c r="QUC73" s="1181"/>
      <c r="QUD73" s="1181"/>
      <c r="QUE73" s="1181"/>
      <c r="QUF73" s="1181"/>
      <c r="QUG73" s="1181"/>
      <c r="QUH73" s="1181"/>
      <c r="QUI73" s="1181"/>
      <c r="QUJ73" s="1181"/>
      <c r="QUK73" s="1181"/>
      <c r="QUL73" s="1181"/>
      <c r="QUM73" s="1181"/>
      <c r="QUN73" s="1181"/>
      <c r="QUO73" s="1181"/>
      <c r="QUP73" s="1181"/>
      <c r="QUQ73" s="1181"/>
      <c r="QUR73" s="1181"/>
      <c r="QUS73" s="1181"/>
      <c r="QUT73" s="1181"/>
      <c r="QUU73" s="1181"/>
      <c r="QUV73" s="1181"/>
      <c r="QUW73" s="1181"/>
      <c r="QUX73" s="1181"/>
      <c r="QUY73" s="1181"/>
      <c r="QUZ73" s="1181"/>
      <c r="QVA73" s="1181"/>
      <c r="QVB73" s="1181"/>
      <c r="QVC73" s="1181"/>
      <c r="QVD73" s="1181"/>
      <c r="QVE73" s="1181"/>
      <c r="QVF73" s="1181"/>
      <c r="QVG73" s="1181"/>
      <c r="QVH73" s="1181"/>
      <c r="QVI73" s="1181"/>
      <c r="QVJ73" s="1181"/>
      <c r="QVK73" s="1181"/>
      <c r="QVL73" s="1181"/>
      <c r="QVM73" s="1181"/>
      <c r="QVN73" s="1181"/>
      <c r="QVO73" s="1181"/>
      <c r="QVP73" s="1181"/>
      <c r="QVQ73" s="1181"/>
      <c r="QVR73" s="1181"/>
      <c r="QVS73" s="1181"/>
      <c r="QVT73" s="1181"/>
      <c r="QVU73" s="1181"/>
      <c r="QVV73" s="1181"/>
      <c r="QVW73" s="1181"/>
      <c r="QVX73" s="1181"/>
      <c r="QVY73" s="1181"/>
      <c r="QVZ73" s="1181"/>
      <c r="QWA73" s="1181"/>
      <c r="QWB73" s="1181"/>
      <c r="QWC73" s="1181"/>
      <c r="QWD73" s="1181"/>
      <c r="QWE73" s="1181"/>
      <c r="QWF73" s="1181"/>
      <c r="QWG73" s="1181"/>
      <c r="QWH73" s="1181"/>
      <c r="QWI73" s="1181"/>
      <c r="QWJ73" s="1181"/>
      <c r="QWK73" s="1181"/>
      <c r="QWL73" s="1181"/>
      <c r="QWM73" s="1181"/>
      <c r="QWN73" s="1181"/>
      <c r="QWO73" s="1181"/>
      <c r="QWP73" s="1181"/>
      <c r="QWQ73" s="1181"/>
      <c r="QWR73" s="1181"/>
      <c r="QWS73" s="1181"/>
      <c r="QWT73" s="1181"/>
      <c r="QWU73" s="1181"/>
      <c r="QWV73" s="1181"/>
      <c r="QWW73" s="1181"/>
      <c r="QWX73" s="1181"/>
      <c r="QWY73" s="1181"/>
      <c r="QWZ73" s="1181"/>
      <c r="QXA73" s="1181"/>
      <c r="QXB73" s="1181"/>
      <c r="QXC73" s="1181"/>
      <c r="QXD73" s="1181"/>
      <c r="QXE73" s="1181"/>
      <c r="QXF73" s="1181"/>
      <c r="QXG73" s="1181"/>
      <c r="QXH73" s="1181"/>
      <c r="QXI73" s="1181"/>
      <c r="QXJ73" s="1181"/>
      <c r="QXK73" s="1181"/>
      <c r="QXL73" s="1181"/>
      <c r="QXM73" s="1181"/>
      <c r="QXN73" s="1181"/>
      <c r="QXO73" s="1181"/>
      <c r="QXP73" s="1181"/>
      <c r="QXQ73" s="1181"/>
      <c r="QXR73" s="1181"/>
      <c r="QXS73" s="1181"/>
      <c r="QXT73" s="1181"/>
      <c r="QXU73" s="1181"/>
      <c r="QXV73" s="1181"/>
      <c r="QXW73" s="1181"/>
      <c r="QXX73" s="1181"/>
      <c r="QXY73" s="1181"/>
      <c r="QXZ73" s="1181"/>
      <c r="QYA73" s="1181"/>
      <c r="QYB73" s="1181"/>
      <c r="QYC73" s="1181"/>
      <c r="QYD73" s="1181"/>
      <c r="QYE73" s="1181"/>
      <c r="QYF73" s="1181"/>
      <c r="QYG73" s="1181"/>
      <c r="QYH73" s="1181"/>
      <c r="QYI73" s="1181"/>
      <c r="QYJ73" s="1181"/>
      <c r="QYK73" s="1181"/>
      <c r="QYL73" s="1181"/>
      <c r="QYM73" s="1181"/>
      <c r="QYN73" s="1181"/>
      <c r="QYO73" s="1181"/>
      <c r="QYP73" s="1181"/>
      <c r="QYQ73" s="1181"/>
      <c r="QYR73" s="1181"/>
      <c r="QYS73" s="1181"/>
      <c r="QYT73" s="1181"/>
      <c r="QYU73" s="1181"/>
      <c r="QYV73" s="1181"/>
      <c r="QYW73" s="1181"/>
      <c r="QYX73" s="1181"/>
      <c r="QYY73" s="1181"/>
      <c r="QYZ73" s="1181"/>
      <c r="QZA73" s="1181"/>
      <c r="QZB73" s="1181"/>
      <c r="QZC73" s="1181"/>
      <c r="QZD73" s="1181"/>
      <c r="QZE73" s="1181"/>
      <c r="QZF73" s="1181"/>
      <c r="QZG73" s="1181"/>
      <c r="QZH73" s="1181"/>
      <c r="QZI73" s="1181"/>
      <c r="QZJ73" s="1181"/>
      <c r="QZK73" s="1181"/>
      <c r="QZL73" s="1181"/>
      <c r="QZM73" s="1181"/>
      <c r="QZN73" s="1181"/>
      <c r="QZO73" s="1181"/>
      <c r="QZP73" s="1181"/>
      <c r="QZQ73" s="1181"/>
      <c r="QZR73" s="1181"/>
      <c r="QZS73" s="1181"/>
      <c r="QZT73" s="1181"/>
      <c r="QZU73" s="1181"/>
      <c r="QZV73" s="1181"/>
      <c r="QZW73" s="1181"/>
      <c r="QZX73" s="1181"/>
      <c r="QZY73" s="1181"/>
      <c r="QZZ73" s="1181"/>
      <c r="RAA73" s="1181"/>
      <c r="RAB73" s="1181"/>
      <c r="RAC73" s="1181"/>
      <c r="RAD73" s="1181"/>
      <c r="RAE73" s="1181"/>
      <c r="RAF73" s="1181"/>
      <c r="RAG73" s="1181"/>
      <c r="RAH73" s="1181"/>
      <c r="RAI73" s="1181"/>
      <c r="RAJ73" s="1181"/>
      <c r="RAK73" s="1181"/>
      <c r="RAL73" s="1181"/>
      <c r="RAM73" s="1181"/>
      <c r="RAN73" s="1181"/>
      <c r="RAO73" s="1181"/>
      <c r="RAP73" s="1181"/>
      <c r="RAQ73" s="1181"/>
      <c r="RAR73" s="1181"/>
      <c r="RAS73" s="1181"/>
      <c r="RAT73" s="1181"/>
      <c r="RAU73" s="1181"/>
      <c r="RAV73" s="1181"/>
      <c r="RAW73" s="1181"/>
      <c r="RAX73" s="1181"/>
      <c r="RAY73" s="1181"/>
      <c r="RAZ73" s="1181"/>
      <c r="RBA73" s="1181"/>
      <c r="RBB73" s="1181"/>
      <c r="RBC73" s="1181"/>
      <c r="RBD73" s="1181"/>
      <c r="RBE73" s="1181"/>
      <c r="RBF73" s="1181"/>
      <c r="RBG73" s="1181"/>
      <c r="RBH73" s="1181"/>
      <c r="RBI73" s="1181"/>
      <c r="RBJ73" s="1181"/>
      <c r="RBK73" s="1181"/>
      <c r="RBL73" s="1181"/>
      <c r="RBM73" s="1181"/>
      <c r="RBN73" s="1181"/>
      <c r="RBO73" s="1181"/>
      <c r="RBP73" s="1181"/>
      <c r="RBQ73" s="1181"/>
      <c r="RBR73" s="1181"/>
      <c r="RBS73" s="1181"/>
      <c r="RBT73" s="1181"/>
      <c r="RBU73" s="1181"/>
      <c r="RBV73" s="1181"/>
      <c r="RBW73" s="1181"/>
      <c r="RBX73" s="1181"/>
      <c r="RBY73" s="1181"/>
      <c r="RBZ73" s="1181"/>
      <c r="RCA73" s="1181"/>
      <c r="RCB73" s="1181"/>
      <c r="RCC73" s="1181"/>
      <c r="RCD73" s="1181"/>
      <c r="RCE73" s="1181"/>
      <c r="RCF73" s="1181"/>
      <c r="RCG73" s="1181"/>
      <c r="RCH73" s="1181"/>
      <c r="RCI73" s="1181"/>
      <c r="RCJ73" s="1181"/>
      <c r="RCK73" s="1181"/>
      <c r="RCL73" s="1181"/>
      <c r="RCM73" s="1181"/>
      <c r="RCN73" s="1181"/>
      <c r="RCO73" s="1181"/>
      <c r="RCP73" s="1181"/>
      <c r="RCQ73" s="1181"/>
      <c r="RCR73" s="1181"/>
      <c r="RCS73" s="1181"/>
      <c r="RCT73" s="1181"/>
      <c r="RCU73" s="1181"/>
      <c r="RCV73" s="1181"/>
      <c r="RCW73" s="1181"/>
      <c r="RCX73" s="1181"/>
      <c r="RCY73" s="1181"/>
      <c r="RCZ73" s="1181"/>
      <c r="RDA73" s="1181"/>
      <c r="RDB73" s="1181"/>
      <c r="RDC73" s="1181"/>
      <c r="RDD73" s="1181"/>
      <c r="RDE73" s="1181"/>
      <c r="RDF73" s="1181"/>
      <c r="RDG73" s="1181"/>
      <c r="RDH73" s="1181"/>
      <c r="RDI73" s="1181"/>
      <c r="RDJ73" s="1181"/>
      <c r="RDK73" s="1181"/>
      <c r="RDL73" s="1181"/>
      <c r="RDM73" s="1181"/>
      <c r="RDN73" s="1181"/>
      <c r="RDO73" s="1181"/>
      <c r="RDP73" s="1181"/>
      <c r="RDQ73" s="1181"/>
      <c r="RDR73" s="1181"/>
      <c r="RDS73" s="1181"/>
      <c r="RDT73" s="1181"/>
      <c r="RDU73" s="1181"/>
      <c r="RDV73" s="1181"/>
      <c r="RDW73" s="1181"/>
      <c r="RDX73" s="1181"/>
      <c r="RDY73" s="1181"/>
      <c r="RDZ73" s="1181"/>
      <c r="REA73" s="1181"/>
      <c r="REB73" s="1181"/>
      <c r="REC73" s="1181"/>
      <c r="RED73" s="1181"/>
      <c r="REE73" s="1181"/>
      <c r="REF73" s="1181"/>
      <c r="REG73" s="1181"/>
      <c r="REH73" s="1181"/>
      <c r="REI73" s="1181"/>
      <c r="REJ73" s="1181"/>
      <c r="REK73" s="1181"/>
      <c r="REL73" s="1181"/>
      <c r="REM73" s="1181"/>
      <c r="REN73" s="1181"/>
      <c r="REO73" s="1181"/>
      <c r="REP73" s="1181"/>
      <c r="REQ73" s="1181"/>
      <c r="RER73" s="1181"/>
      <c r="RES73" s="1181"/>
      <c r="RET73" s="1181"/>
      <c r="REU73" s="1181"/>
      <c r="REV73" s="1181"/>
      <c r="REW73" s="1181"/>
      <c r="REX73" s="1181"/>
      <c r="REY73" s="1181"/>
      <c r="REZ73" s="1181"/>
      <c r="RFA73" s="1181"/>
      <c r="RFB73" s="1181"/>
      <c r="RFC73" s="1181"/>
      <c r="RFD73" s="1181"/>
      <c r="RFE73" s="1181"/>
      <c r="RFF73" s="1181"/>
      <c r="RFG73" s="1181"/>
      <c r="RFH73" s="1181"/>
      <c r="RFI73" s="1181"/>
      <c r="RFJ73" s="1181"/>
      <c r="RFK73" s="1181"/>
      <c r="RFL73" s="1181"/>
      <c r="RFM73" s="1181"/>
      <c r="RFN73" s="1181"/>
      <c r="RFO73" s="1181"/>
      <c r="RFP73" s="1181"/>
      <c r="RFQ73" s="1181"/>
      <c r="RFR73" s="1181"/>
      <c r="RFS73" s="1181"/>
      <c r="RFT73" s="1181"/>
      <c r="RFU73" s="1181"/>
      <c r="RFV73" s="1181"/>
      <c r="RFW73" s="1181"/>
      <c r="RFX73" s="1181"/>
      <c r="RFY73" s="1181"/>
      <c r="RFZ73" s="1181"/>
      <c r="RGA73" s="1181"/>
      <c r="RGB73" s="1181"/>
      <c r="RGC73" s="1181"/>
      <c r="RGD73" s="1181"/>
      <c r="RGE73" s="1181"/>
      <c r="RGF73" s="1181"/>
      <c r="RGG73" s="1181"/>
      <c r="RGH73" s="1181"/>
      <c r="RGI73" s="1181"/>
      <c r="RGJ73" s="1181"/>
      <c r="RGK73" s="1181"/>
      <c r="RGL73" s="1181"/>
      <c r="RGM73" s="1181"/>
      <c r="RGN73" s="1181"/>
      <c r="RGO73" s="1181"/>
      <c r="RGP73" s="1181"/>
      <c r="RGQ73" s="1181"/>
      <c r="RGR73" s="1181"/>
      <c r="RGS73" s="1181"/>
      <c r="RGT73" s="1181"/>
      <c r="RGU73" s="1181"/>
      <c r="RGV73" s="1181"/>
      <c r="RGW73" s="1181"/>
      <c r="RGX73" s="1181"/>
      <c r="RGY73" s="1181"/>
      <c r="RGZ73" s="1181"/>
      <c r="RHA73" s="1181"/>
      <c r="RHB73" s="1181"/>
      <c r="RHC73" s="1181"/>
      <c r="RHD73" s="1181"/>
      <c r="RHE73" s="1181"/>
      <c r="RHF73" s="1181"/>
      <c r="RHG73" s="1181"/>
      <c r="RHH73" s="1181"/>
      <c r="RHI73" s="1181"/>
      <c r="RHJ73" s="1181"/>
      <c r="RHK73" s="1181"/>
      <c r="RHL73" s="1181"/>
      <c r="RHM73" s="1181"/>
      <c r="RHN73" s="1181"/>
      <c r="RHO73" s="1181"/>
      <c r="RHP73" s="1181"/>
      <c r="RHQ73" s="1181"/>
      <c r="RHR73" s="1181"/>
      <c r="RHS73" s="1181"/>
      <c r="RHT73" s="1181"/>
      <c r="RHU73" s="1181"/>
      <c r="RHV73" s="1181"/>
      <c r="RHW73" s="1181"/>
      <c r="RHX73" s="1181"/>
      <c r="RHY73" s="1181"/>
      <c r="RHZ73" s="1181"/>
      <c r="RIA73" s="1181"/>
      <c r="RIB73" s="1181"/>
      <c r="RIC73" s="1181"/>
      <c r="RID73" s="1181"/>
      <c r="RIE73" s="1181"/>
      <c r="RIF73" s="1181"/>
      <c r="RIG73" s="1181"/>
      <c r="RIH73" s="1181"/>
      <c r="RII73" s="1181"/>
      <c r="RIJ73" s="1181"/>
      <c r="RIK73" s="1181"/>
      <c r="RIL73" s="1181"/>
      <c r="RIM73" s="1181"/>
      <c r="RIN73" s="1181"/>
      <c r="RIO73" s="1181"/>
      <c r="RIP73" s="1181"/>
      <c r="RIQ73" s="1181"/>
      <c r="RIR73" s="1181"/>
      <c r="RIS73" s="1181"/>
      <c r="RIT73" s="1181"/>
      <c r="RIU73" s="1181"/>
      <c r="RIV73" s="1181"/>
      <c r="RIW73" s="1181"/>
      <c r="RIX73" s="1181"/>
      <c r="RIY73" s="1181"/>
      <c r="RIZ73" s="1181"/>
      <c r="RJA73" s="1181"/>
      <c r="RJB73" s="1181"/>
      <c r="RJC73" s="1181"/>
      <c r="RJD73" s="1181"/>
      <c r="RJE73" s="1181"/>
      <c r="RJF73" s="1181"/>
      <c r="RJG73" s="1181"/>
      <c r="RJH73" s="1181"/>
      <c r="RJI73" s="1181"/>
      <c r="RJJ73" s="1181"/>
      <c r="RJK73" s="1181"/>
      <c r="RJL73" s="1181"/>
      <c r="RJM73" s="1181"/>
      <c r="RJN73" s="1181"/>
      <c r="RJO73" s="1181"/>
      <c r="RJP73" s="1181"/>
      <c r="RJQ73" s="1181"/>
      <c r="RJR73" s="1181"/>
      <c r="RJS73" s="1181"/>
      <c r="RJT73" s="1181"/>
      <c r="RJU73" s="1181"/>
      <c r="RJV73" s="1181"/>
      <c r="RJW73" s="1181"/>
      <c r="RJX73" s="1181"/>
      <c r="RJY73" s="1181"/>
      <c r="RJZ73" s="1181"/>
      <c r="RKA73" s="1181"/>
      <c r="RKB73" s="1181"/>
      <c r="RKC73" s="1181"/>
      <c r="RKD73" s="1181"/>
      <c r="RKE73" s="1181"/>
      <c r="RKF73" s="1181"/>
      <c r="RKG73" s="1181"/>
      <c r="RKH73" s="1181"/>
      <c r="RKI73" s="1181"/>
      <c r="RKJ73" s="1181"/>
      <c r="RKK73" s="1181"/>
      <c r="RKL73" s="1181"/>
      <c r="RKM73" s="1181"/>
      <c r="RKN73" s="1181"/>
      <c r="RKO73" s="1181"/>
      <c r="RKP73" s="1181"/>
      <c r="RKQ73" s="1181"/>
      <c r="RKR73" s="1181"/>
      <c r="RKS73" s="1181"/>
      <c r="RKT73" s="1181"/>
      <c r="RKU73" s="1181"/>
      <c r="RKV73" s="1181"/>
      <c r="RKW73" s="1181"/>
      <c r="RKX73" s="1181"/>
      <c r="RKY73" s="1181"/>
      <c r="RKZ73" s="1181"/>
      <c r="RLA73" s="1181"/>
      <c r="RLB73" s="1181"/>
      <c r="RLC73" s="1181"/>
      <c r="RLD73" s="1181"/>
      <c r="RLE73" s="1181"/>
      <c r="RLF73" s="1181"/>
      <c r="RLG73" s="1181"/>
      <c r="RLH73" s="1181"/>
      <c r="RLI73" s="1181"/>
      <c r="RLJ73" s="1181"/>
      <c r="RLK73" s="1181"/>
      <c r="RLL73" s="1181"/>
      <c r="RLM73" s="1181"/>
      <c r="RLN73" s="1181"/>
      <c r="RLO73" s="1181"/>
      <c r="RLP73" s="1181"/>
      <c r="RLQ73" s="1181"/>
      <c r="RLR73" s="1181"/>
      <c r="RLS73" s="1181"/>
      <c r="RLT73" s="1181"/>
      <c r="RLU73" s="1181"/>
      <c r="RLV73" s="1181"/>
      <c r="RLW73" s="1181"/>
      <c r="RLX73" s="1181"/>
      <c r="RLY73" s="1181"/>
      <c r="RLZ73" s="1181"/>
      <c r="RMA73" s="1181"/>
      <c r="RMB73" s="1181"/>
      <c r="RMC73" s="1181"/>
      <c r="RMD73" s="1181"/>
      <c r="RME73" s="1181"/>
      <c r="RMF73" s="1181"/>
      <c r="RMG73" s="1181"/>
      <c r="RMH73" s="1181"/>
      <c r="RMI73" s="1181"/>
      <c r="RMJ73" s="1181"/>
      <c r="RMK73" s="1181"/>
      <c r="RML73" s="1181"/>
      <c r="RMM73" s="1181"/>
      <c r="RMN73" s="1181"/>
      <c r="RMO73" s="1181"/>
      <c r="RMP73" s="1181"/>
      <c r="RMQ73" s="1181"/>
      <c r="RMR73" s="1181"/>
      <c r="RMS73" s="1181"/>
      <c r="RMT73" s="1181"/>
      <c r="RMU73" s="1181"/>
      <c r="RMV73" s="1181"/>
      <c r="RMW73" s="1181"/>
      <c r="RMX73" s="1181"/>
      <c r="RMY73" s="1181"/>
      <c r="RMZ73" s="1181"/>
      <c r="RNA73" s="1181"/>
      <c r="RNB73" s="1181"/>
      <c r="RNC73" s="1181"/>
      <c r="RND73" s="1181"/>
      <c r="RNE73" s="1181"/>
      <c r="RNF73" s="1181"/>
      <c r="RNG73" s="1181"/>
      <c r="RNH73" s="1181"/>
      <c r="RNI73" s="1181"/>
      <c r="RNJ73" s="1181"/>
      <c r="RNK73" s="1181"/>
      <c r="RNL73" s="1181"/>
      <c r="RNM73" s="1181"/>
      <c r="RNN73" s="1181"/>
      <c r="RNO73" s="1181"/>
      <c r="RNP73" s="1181"/>
      <c r="RNQ73" s="1181"/>
      <c r="RNR73" s="1181"/>
      <c r="RNS73" s="1181"/>
      <c r="RNT73" s="1181"/>
      <c r="RNU73" s="1181"/>
      <c r="RNV73" s="1181"/>
      <c r="RNW73" s="1181"/>
      <c r="RNX73" s="1181"/>
      <c r="RNY73" s="1181"/>
      <c r="RNZ73" s="1181"/>
      <c r="ROA73" s="1181"/>
      <c r="ROB73" s="1181"/>
      <c r="ROC73" s="1181"/>
      <c r="ROD73" s="1181"/>
      <c r="ROE73" s="1181"/>
      <c r="ROF73" s="1181"/>
      <c r="ROG73" s="1181"/>
      <c r="ROH73" s="1181"/>
      <c r="ROI73" s="1181"/>
      <c r="ROJ73" s="1181"/>
      <c r="ROK73" s="1181"/>
      <c r="ROL73" s="1181"/>
      <c r="ROM73" s="1181"/>
      <c r="RON73" s="1181"/>
      <c r="ROO73" s="1181"/>
      <c r="ROP73" s="1181"/>
      <c r="ROQ73" s="1181"/>
      <c r="ROR73" s="1181"/>
      <c r="ROS73" s="1181"/>
      <c r="ROT73" s="1181"/>
      <c r="ROU73" s="1181"/>
      <c r="ROV73" s="1181"/>
      <c r="ROW73" s="1181"/>
      <c r="ROX73" s="1181"/>
      <c r="ROY73" s="1181"/>
      <c r="ROZ73" s="1181"/>
      <c r="RPA73" s="1181"/>
      <c r="RPB73" s="1181"/>
      <c r="RPC73" s="1181"/>
      <c r="RPD73" s="1181"/>
      <c r="RPE73" s="1181"/>
      <c r="RPF73" s="1181"/>
      <c r="RPG73" s="1181"/>
      <c r="RPH73" s="1181"/>
      <c r="RPI73" s="1181"/>
      <c r="RPJ73" s="1181"/>
      <c r="RPK73" s="1181"/>
      <c r="RPL73" s="1181"/>
      <c r="RPM73" s="1181"/>
      <c r="RPN73" s="1181"/>
      <c r="RPO73" s="1181"/>
      <c r="RPP73" s="1181"/>
      <c r="RPQ73" s="1181"/>
      <c r="RPR73" s="1181"/>
      <c r="RPS73" s="1181"/>
      <c r="RPT73" s="1181"/>
      <c r="RPU73" s="1181"/>
      <c r="RPV73" s="1181"/>
      <c r="RPW73" s="1181"/>
      <c r="RPX73" s="1181"/>
      <c r="RPY73" s="1181"/>
      <c r="RPZ73" s="1181"/>
      <c r="RQA73" s="1181"/>
      <c r="RQB73" s="1181"/>
      <c r="RQC73" s="1181"/>
      <c r="RQD73" s="1181"/>
      <c r="RQE73" s="1181"/>
      <c r="RQF73" s="1181"/>
      <c r="RQG73" s="1181"/>
      <c r="RQH73" s="1181"/>
      <c r="RQI73" s="1181"/>
      <c r="RQJ73" s="1181"/>
      <c r="RQK73" s="1181"/>
      <c r="RQL73" s="1181"/>
      <c r="RQM73" s="1181"/>
      <c r="RQN73" s="1181"/>
      <c r="RQO73" s="1181"/>
      <c r="RQP73" s="1181"/>
      <c r="RQQ73" s="1181"/>
      <c r="RQR73" s="1181"/>
      <c r="RQS73" s="1181"/>
      <c r="RQT73" s="1181"/>
      <c r="RQU73" s="1181"/>
      <c r="RQV73" s="1181"/>
      <c r="RQW73" s="1181"/>
      <c r="RQX73" s="1181"/>
      <c r="RQY73" s="1181"/>
      <c r="RQZ73" s="1181"/>
      <c r="RRA73" s="1181"/>
      <c r="RRB73" s="1181"/>
      <c r="RRC73" s="1181"/>
      <c r="RRD73" s="1181"/>
      <c r="RRE73" s="1181"/>
      <c r="RRF73" s="1181"/>
      <c r="RRG73" s="1181"/>
      <c r="RRH73" s="1181"/>
      <c r="RRI73" s="1181"/>
      <c r="RRJ73" s="1181"/>
      <c r="RRK73" s="1181"/>
      <c r="RRL73" s="1181"/>
      <c r="RRM73" s="1181"/>
      <c r="RRN73" s="1181"/>
      <c r="RRO73" s="1181"/>
      <c r="RRP73" s="1181"/>
      <c r="RRQ73" s="1181"/>
      <c r="RRR73" s="1181"/>
      <c r="RRS73" s="1181"/>
      <c r="RRT73" s="1181"/>
      <c r="RRU73" s="1181"/>
      <c r="RRV73" s="1181"/>
      <c r="RRW73" s="1181"/>
      <c r="RRX73" s="1181"/>
      <c r="RRY73" s="1181"/>
      <c r="RRZ73" s="1181"/>
      <c r="RSA73" s="1181"/>
      <c r="RSB73" s="1181"/>
      <c r="RSC73" s="1181"/>
      <c r="RSD73" s="1181"/>
      <c r="RSE73" s="1181"/>
      <c r="RSF73" s="1181"/>
      <c r="RSG73" s="1181"/>
      <c r="RSH73" s="1181"/>
      <c r="RSI73" s="1181"/>
      <c r="RSJ73" s="1181"/>
      <c r="RSK73" s="1181"/>
      <c r="RSL73" s="1181"/>
      <c r="RSM73" s="1181"/>
      <c r="RSN73" s="1181"/>
      <c r="RSO73" s="1181"/>
      <c r="RSP73" s="1181"/>
      <c r="RSQ73" s="1181"/>
      <c r="RSR73" s="1181"/>
      <c r="RSS73" s="1181"/>
      <c r="RST73" s="1181"/>
      <c r="RSU73" s="1181"/>
      <c r="RSV73" s="1181"/>
      <c r="RSW73" s="1181"/>
      <c r="RSX73" s="1181"/>
      <c r="RSY73" s="1181"/>
      <c r="RSZ73" s="1181"/>
      <c r="RTA73" s="1181"/>
      <c r="RTB73" s="1181"/>
      <c r="RTC73" s="1181"/>
      <c r="RTD73" s="1181"/>
      <c r="RTE73" s="1181"/>
      <c r="RTF73" s="1181"/>
      <c r="RTG73" s="1181"/>
      <c r="RTH73" s="1181"/>
      <c r="RTI73" s="1181"/>
      <c r="RTJ73" s="1181"/>
      <c r="RTK73" s="1181"/>
      <c r="RTL73" s="1181"/>
      <c r="RTM73" s="1181"/>
      <c r="RTN73" s="1181"/>
      <c r="RTO73" s="1181"/>
      <c r="RTP73" s="1181"/>
      <c r="RTQ73" s="1181"/>
      <c r="RTR73" s="1181"/>
      <c r="RTS73" s="1181"/>
      <c r="RTT73" s="1181"/>
      <c r="RTU73" s="1181"/>
      <c r="RTV73" s="1181"/>
      <c r="RTW73" s="1181"/>
      <c r="RTX73" s="1181"/>
      <c r="RTY73" s="1181"/>
      <c r="RTZ73" s="1181"/>
      <c r="RUA73" s="1181"/>
      <c r="RUB73" s="1181"/>
      <c r="RUC73" s="1181"/>
      <c r="RUD73" s="1181"/>
      <c r="RUE73" s="1181"/>
      <c r="RUF73" s="1181"/>
      <c r="RUG73" s="1181"/>
      <c r="RUH73" s="1181"/>
      <c r="RUI73" s="1181"/>
      <c r="RUJ73" s="1181"/>
      <c r="RUK73" s="1181"/>
      <c r="RUL73" s="1181"/>
      <c r="RUM73" s="1181"/>
      <c r="RUN73" s="1181"/>
      <c r="RUO73" s="1181"/>
      <c r="RUP73" s="1181"/>
      <c r="RUQ73" s="1181"/>
      <c r="RUR73" s="1181"/>
      <c r="RUS73" s="1181"/>
      <c r="RUT73" s="1181"/>
      <c r="RUU73" s="1181"/>
      <c r="RUV73" s="1181"/>
      <c r="RUW73" s="1181"/>
      <c r="RUX73" s="1181"/>
      <c r="RUY73" s="1181"/>
      <c r="RUZ73" s="1181"/>
      <c r="RVA73" s="1181"/>
      <c r="RVB73" s="1181"/>
      <c r="RVC73" s="1181"/>
      <c r="RVD73" s="1181"/>
      <c r="RVE73" s="1181"/>
      <c r="RVF73" s="1181"/>
      <c r="RVG73" s="1181"/>
      <c r="RVH73" s="1181"/>
      <c r="RVI73" s="1181"/>
      <c r="RVJ73" s="1181"/>
      <c r="RVK73" s="1181"/>
      <c r="RVL73" s="1181"/>
      <c r="RVM73" s="1181"/>
      <c r="RVN73" s="1181"/>
      <c r="RVO73" s="1181"/>
      <c r="RVP73" s="1181"/>
      <c r="RVQ73" s="1181"/>
      <c r="RVR73" s="1181"/>
      <c r="RVS73" s="1181"/>
      <c r="RVT73" s="1181"/>
      <c r="RVU73" s="1181"/>
      <c r="RVV73" s="1181"/>
      <c r="RVW73" s="1181"/>
      <c r="RVX73" s="1181"/>
      <c r="RVY73" s="1181"/>
      <c r="RVZ73" s="1181"/>
      <c r="RWA73" s="1181"/>
      <c r="RWB73" s="1181"/>
      <c r="RWC73" s="1181"/>
      <c r="RWD73" s="1181"/>
      <c r="RWE73" s="1181"/>
      <c r="RWF73" s="1181"/>
      <c r="RWG73" s="1181"/>
      <c r="RWH73" s="1181"/>
      <c r="RWI73" s="1181"/>
      <c r="RWJ73" s="1181"/>
      <c r="RWK73" s="1181"/>
      <c r="RWL73" s="1181"/>
      <c r="RWM73" s="1181"/>
      <c r="RWN73" s="1181"/>
      <c r="RWO73" s="1181"/>
      <c r="RWP73" s="1181"/>
      <c r="RWQ73" s="1181"/>
      <c r="RWR73" s="1181"/>
      <c r="RWS73" s="1181"/>
      <c r="RWT73" s="1181"/>
      <c r="RWU73" s="1181"/>
      <c r="RWV73" s="1181"/>
      <c r="RWW73" s="1181"/>
      <c r="RWX73" s="1181"/>
      <c r="RWY73" s="1181"/>
      <c r="RWZ73" s="1181"/>
      <c r="RXA73" s="1181"/>
      <c r="RXB73" s="1181"/>
      <c r="RXC73" s="1181"/>
      <c r="RXD73" s="1181"/>
      <c r="RXE73" s="1181"/>
      <c r="RXF73" s="1181"/>
      <c r="RXG73" s="1181"/>
      <c r="RXH73" s="1181"/>
      <c r="RXI73" s="1181"/>
      <c r="RXJ73" s="1181"/>
      <c r="RXK73" s="1181"/>
      <c r="RXL73" s="1181"/>
      <c r="RXM73" s="1181"/>
      <c r="RXN73" s="1181"/>
      <c r="RXO73" s="1181"/>
      <c r="RXP73" s="1181"/>
      <c r="RXQ73" s="1181"/>
      <c r="RXR73" s="1181"/>
      <c r="RXS73" s="1181"/>
      <c r="RXT73" s="1181"/>
      <c r="RXU73" s="1181"/>
      <c r="RXV73" s="1181"/>
      <c r="RXW73" s="1181"/>
      <c r="RXX73" s="1181"/>
      <c r="RXY73" s="1181"/>
      <c r="RXZ73" s="1181"/>
      <c r="RYA73" s="1181"/>
      <c r="RYB73" s="1181"/>
      <c r="RYC73" s="1181"/>
      <c r="RYD73" s="1181"/>
      <c r="RYE73" s="1181"/>
      <c r="RYF73" s="1181"/>
      <c r="RYG73" s="1181"/>
      <c r="RYH73" s="1181"/>
      <c r="RYI73" s="1181"/>
      <c r="RYJ73" s="1181"/>
      <c r="RYK73" s="1181"/>
      <c r="RYL73" s="1181"/>
      <c r="RYM73" s="1181"/>
      <c r="RYN73" s="1181"/>
      <c r="RYO73" s="1181"/>
      <c r="RYP73" s="1181"/>
      <c r="RYQ73" s="1181"/>
      <c r="RYR73" s="1181"/>
      <c r="RYS73" s="1181"/>
      <c r="RYT73" s="1181"/>
      <c r="RYU73" s="1181"/>
      <c r="RYV73" s="1181"/>
      <c r="RYW73" s="1181"/>
      <c r="RYX73" s="1181"/>
      <c r="RYY73" s="1181"/>
      <c r="RYZ73" s="1181"/>
      <c r="RZA73" s="1181"/>
      <c r="RZB73" s="1181"/>
      <c r="RZC73" s="1181"/>
      <c r="RZD73" s="1181"/>
      <c r="RZE73" s="1181"/>
      <c r="RZF73" s="1181"/>
      <c r="RZG73" s="1181"/>
      <c r="RZH73" s="1181"/>
      <c r="RZI73" s="1181"/>
      <c r="RZJ73" s="1181"/>
      <c r="RZK73" s="1181"/>
      <c r="RZL73" s="1181"/>
      <c r="RZM73" s="1181"/>
      <c r="RZN73" s="1181"/>
      <c r="RZO73" s="1181"/>
      <c r="RZP73" s="1181"/>
      <c r="RZQ73" s="1181"/>
      <c r="RZR73" s="1181"/>
      <c r="RZS73" s="1181"/>
      <c r="RZT73" s="1181"/>
      <c r="RZU73" s="1181"/>
      <c r="RZV73" s="1181"/>
      <c r="RZW73" s="1181"/>
      <c r="RZX73" s="1181"/>
      <c r="RZY73" s="1181"/>
      <c r="RZZ73" s="1181"/>
      <c r="SAA73" s="1181"/>
      <c r="SAB73" s="1181"/>
      <c r="SAC73" s="1181"/>
      <c r="SAD73" s="1181"/>
      <c r="SAE73" s="1181"/>
      <c r="SAF73" s="1181"/>
      <c r="SAG73" s="1181"/>
      <c r="SAH73" s="1181"/>
      <c r="SAI73" s="1181"/>
      <c r="SAJ73" s="1181"/>
      <c r="SAK73" s="1181"/>
      <c r="SAL73" s="1181"/>
      <c r="SAM73" s="1181"/>
      <c r="SAN73" s="1181"/>
      <c r="SAO73" s="1181"/>
      <c r="SAP73" s="1181"/>
      <c r="SAQ73" s="1181"/>
      <c r="SAR73" s="1181"/>
      <c r="SAS73" s="1181"/>
      <c r="SAT73" s="1181"/>
      <c r="SAU73" s="1181"/>
      <c r="SAV73" s="1181"/>
      <c r="SAW73" s="1181"/>
      <c r="SAX73" s="1181"/>
      <c r="SAY73" s="1181"/>
      <c r="SAZ73" s="1181"/>
      <c r="SBA73" s="1181"/>
      <c r="SBB73" s="1181"/>
      <c r="SBC73" s="1181"/>
      <c r="SBD73" s="1181"/>
      <c r="SBE73" s="1181"/>
      <c r="SBF73" s="1181"/>
      <c r="SBG73" s="1181"/>
      <c r="SBH73" s="1181"/>
      <c r="SBI73" s="1181"/>
      <c r="SBJ73" s="1181"/>
      <c r="SBK73" s="1181"/>
      <c r="SBL73" s="1181"/>
      <c r="SBM73" s="1181"/>
      <c r="SBN73" s="1181"/>
      <c r="SBO73" s="1181"/>
      <c r="SBP73" s="1181"/>
      <c r="SBQ73" s="1181"/>
      <c r="SBR73" s="1181"/>
      <c r="SBS73" s="1181"/>
      <c r="SBT73" s="1181"/>
      <c r="SBU73" s="1181"/>
      <c r="SBV73" s="1181"/>
      <c r="SBW73" s="1181"/>
      <c r="SBX73" s="1181"/>
      <c r="SBY73" s="1181"/>
      <c r="SBZ73" s="1181"/>
      <c r="SCA73" s="1181"/>
      <c r="SCB73" s="1181"/>
      <c r="SCC73" s="1181"/>
      <c r="SCD73" s="1181"/>
      <c r="SCE73" s="1181"/>
      <c r="SCF73" s="1181"/>
      <c r="SCG73" s="1181"/>
      <c r="SCH73" s="1181"/>
      <c r="SCI73" s="1181"/>
      <c r="SCJ73" s="1181"/>
      <c r="SCK73" s="1181"/>
      <c r="SCL73" s="1181"/>
      <c r="SCM73" s="1181"/>
      <c r="SCN73" s="1181"/>
      <c r="SCO73" s="1181"/>
      <c r="SCP73" s="1181"/>
      <c r="SCQ73" s="1181"/>
      <c r="SCR73" s="1181"/>
      <c r="SCS73" s="1181"/>
      <c r="SCT73" s="1181"/>
      <c r="SCU73" s="1181"/>
      <c r="SCV73" s="1181"/>
      <c r="SCW73" s="1181"/>
      <c r="SCX73" s="1181"/>
      <c r="SCY73" s="1181"/>
      <c r="SCZ73" s="1181"/>
      <c r="SDA73" s="1181"/>
      <c r="SDB73" s="1181"/>
      <c r="SDC73" s="1181"/>
      <c r="SDD73" s="1181"/>
      <c r="SDE73" s="1181"/>
      <c r="SDF73" s="1181"/>
      <c r="SDG73" s="1181"/>
      <c r="SDH73" s="1181"/>
      <c r="SDI73" s="1181"/>
      <c r="SDJ73" s="1181"/>
      <c r="SDK73" s="1181"/>
      <c r="SDL73" s="1181"/>
      <c r="SDM73" s="1181"/>
      <c r="SDN73" s="1181"/>
      <c r="SDO73" s="1181"/>
      <c r="SDP73" s="1181"/>
      <c r="SDQ73" s="1181"/>
      <c r="SDR73" s="1181"/>
      <c r="SDS73" s="1181"/>
      <c r="SDT73" s="1181"/>
      <c r="SDU73" s="1181"/>
      <c r="SDV73" s="1181"/>
      <c r="SDW73" s="1181"/>
      <c r="SDX73" s="1181"/>
      <c r="SDY73" s="1181"/>
      <c r="SDZ73" s="1181"/>
      <c r="SEA73" s="1181"/>
      <c r="SEB73" s="1181"/>
      <c r="SEC73" s="1181"/>
      <c r="SED73" s="1181"/>
      <c r="SEE73" s="1181"/>
      <c r="SEF73" s="1181"/>
      <c r="SEG73" s="1181"/>
      <c r="SEH73" s="1181"/>
      <c r="SEI73" s="1181"/>
      <c r="SEJ73" s="1181"/>
      <c r="SEK73" s="1181"/>
      <c r="SEL73" s="1181"/>
      <c r="SEM73" s="1181"/>
      <c r="SEN73" s="1181"/>
      <c r="SEO73" s="1181"/>
      <c r="SEP73" s="1181"/>
      <c r="SEQ73" s="1181"/>
      <c r="SER73" s="1181"/>
      <c r="SES73" s="1181"/>
      <c r="SET73" s="1181"/>
      <c r="SEU73" s="1181"/>
      <c r="SEV73" s="1181"/>
      <c r="SEW73" s="1181"/>
      <c r="SEX73" s="1181"/>
      <c r="SEY73" s="1181"/>
      <c r="SEZ73" s="1181"/>
      <c r="SFA73" s="1181"/>
      <c r="SFB73" s="1181"/>
      <c r="SFC73" s="1181"/>
      <c r="SFD73" s="1181"/>
      <c r="SFE73" s="1181"/>
      <c r="SFF73" s="1181"/>
      <c r="SFG73" s="1181"/>
      <c r="SFH73" s="1181"/>
      <c r="SFI73" s="1181"/>
      <c r="SFJ73" s="1181"/>
      <c r="SFK73" s="1181"/>
      <c r="SFL73" s="1181"/>
      <c r="SFM73" s="1181"/>
      <c r="SFN73" s="1181"/>
      <c r="SFO73" s="1181"/>
      <c r="SFP73" s="1181"/>
      <c r="SFQ73" s="1181"/>
      <c r="SFR73" s="1181"/>
      <c r="SFS73" s="1181"/>
      <c r="SFT73" s="1181"/>
      <c r="SFU73" s="1181"/>
      <c r="SFV73" s="1181"/>
      <c r="SFW73" s="1181"/>
      <c r="SFX73" s="1181"/>
      <c r="SFY73" s="1181"/>
      <c r="SFZ73" s="1181"/>
      <c r="SGA73" s="1181"/>
      <c r="SGB73" s="1181"/>
      <c r="SGC73" s="1181"/>
      <c r="SGD73" s="1181"/>
      <c r="SGE73" s="1181"/>
      <c r="SGF73" s="1181"/>
      <c r="SGG73" s="1181"/>
      <c r="SGH73" s="1181"/>
      <c r="SGI73" s="1181"/>
      <c r="SGJ73" s="1181"/>
      <c r="SGK73" s="1181"/>
      <c r="SGL73" s="1181"/>
      <c r="SGM73" s="1181"/>
      <c r="SGN73" s="1181"/>
      <c r="SGO73" s="1181"/>
      <c r="SGP73" s="1181"/>
      <c r="SGQ73" s="1181"/>
      <c r="SGR73" s="1181"/>
      <c r="SGS73" s="1181"/>
      <c r="SGT73" s="1181"/>
      <c r="SGU73" s="1181"/>
      <c r="SGV73" s="1181"/>
      <c r="SGW73" s="1181"/>
      <c r="SGX73" s="1181"/>
      <c r="SGY73" s="1181"/>
      <c r="SGZ73" s="1181"/>
      <c r="SHA73" s="1181"/>
      <c r="SHB73" s="1181"/>
      <c r="SHC73" s="1181"/>
      <c r="SHD73" s="1181"/>
      <c r="SHE73" s="1181"/>
      <c r="SHF73" s="1181"/>
      <c r="SHG73" s="1181"/>
      <c r="SHH73" s="1181"/>
      <c r="SHI73" s="1181"/>
      <c r="SHJ73" s="1181"/>
      <c r="SHK73" s="1181"/>
      <c r="SHL73" s="1181"/>
      <c r="SHM73" s="1181"/>
      <c r="SHN73" s="1181"/>
      <c r="SHO73" s="1181"/>
      <c r="SHP73" s="1181"/>
      <c r="SHQ73" s="1181"/>
      <c r="SHR73" s="1181"/>
      <c r="SHS73" s="1181"/>
      <c r="SHT73" s="1181"/>
      <c r="SHU73" s="1181"/>
      <c r="SHV73" s="1181"/>
      <c r="SHW73" s="1181"/>
      <c r="SHX73" s="1181"/>
      <c r="SHY73" s="1181"/>
      <c r="SHZ73" s="1181"/>
      <c r="SIA73" s="1181"/>
      <c r="SIB73" s="1181"/>
      <c r="SIC73" s="1181"/>
      <c r="SID73" s="1181"/>
      <c r="SIE73" s="1181"/>
      <c r="SIF73" s="1181"/>
      <c r="SIG73" s="1181"/>
      <c r="SIH73" s="1181"/>
      <c r="SII73" s="1181"/>
      <c r="SIJ73" s="1181"/>
      <c r="SIK73" s="1181"/>
      <c r="SIL73" s="1181"/>
      <c r="SIM73" s="1181"/>
      <c r="SIN73" s="1181"/>
      <c r="SIO73" s="1181"/>
      <c r="SIP73" s="1181"/>
      <c r="SIQ73" s="1181"/>
      <c r="SIR73" s="1181"/>
      <c r="SIS73" s="1181"/>
      <c r="SIT73" s="1181"/>
      <c r="SIU73" s="1181"/>
      <c r="SIV73" s="1181"/>
      <c r="SIW73" s="1181"/>
      <c r="SIX73" s="1181"/>
      <c r="SIY73" s="1181"/>
      <c r="SIZ73" s="1181"/>
      <c r="SJA73" s="1181"/>
      <c r="SJB73" s="1181"/>
      <c r="SJC73" s="1181"/>
      <c r="SJD73" s="1181"/>
      <c r="SJE73" s="1181"/>
      <c r="SJF73" s="1181"/>
      <c r="SJG73" s="1181"/>
      <c r="SJH73" s="1181"/>
      <c r="SJI73" s="1181"/>
      <c r="SJJ73" s="1181"/>
      <c r="SJK73" s="1181"/>
      <c r="SJL73" s="1181"/>
      <c r="SJM73" s="1181"/>
      <c r="SJN73" s="1181"/>
      <c r="SJO73" s="1181"/>
      <c r="SJP73" s="1181"/>
      <c r="SJQ73" s="1181"/>
      <c r="SJR73" s="1181"/>
      <c r="SJS73" s="1181"/>
      <c r="SJT73" s="1181"/>
      <c r="SJU73" s="1181"/>
      <c r="SJV73" s="1181"/>
      <c r="SJW73" s="1181"/>
      <c r="SJX73" s="1181"/>
      <c r="SJY73" s="1181"/>
      <c r="SJZ73" s="1181"/>
      <c r="SKA73" s="1181"/>
      <c r="SKB73" s="1181"/>
      <c r="SKC73" s="1181"/>
      <c r="SKD73" s="1181"/>
      <c r="SKE73" s="1181"/>
      <c r="SKF73" s="1181"/>
      <c r="SKG73" s="1181"/>
      <c r="SKH73" s="1181"/>
      <c r="SKI73" s="1181"/>
      <c r="SKJ73" s="1181"/>
      <c r="SKK73" s="1181"/>
      <c r="SKL73" s="1181"/>
      <c r="SKM73" s="1181"/>
      <c r="SKN73" s="1181"/>
      <c r="SKO73" s="1181"/>
      <c r="SKP73" s="1181"/>
      <c r="SKQ73" s="1181"/>
      <c r="SKR73" s="1181"/>
      <c r="SKS73" s="1181"/>
      <c r="SKT73" s="1181"/>
      <c r="SKU73" s="1181"/>
      <c r="SKV73" s="1181"/>
      <c r="SKW73" s="1181"/>
      <c r="SKX73" s="1181"/>
      <c r="SKY73" s="1181"/>
      <c r="SKZ73" s="1181"/>
      <c r="SLA73" s="1181"/>
      <c r="SLB73" s="1181"/>
      <c r="SLC73" s="1181"/>
      <c r="SLD73" s="1181"/>
      <c r="SLE73" s="1181"/>
      <c r="SLF73" s="1181"/>
      <c r="SLG73" s="1181"/>
      <c r="SLH73" s="1181"/>
      <c r="SLI73" s="1181"/>
      <c r="SLJ73" s="1181"/>
      <c r="SLK73" s="1181"/>
      <c r="SLL73" s="1181"/>
      <c r="SLM73" s="1181"/>
      <c r="SLN73" s="1181"/>
      <c r="SLO73" s="1181"/>
      <c r="SLP73" s="1181"/>
      <c r="SLQ73" s="1181"/>
      <c r="SLR73" s="1181"/>
      <c r="SLS73" s="1181"/>
      <c r="SLT73" s="1181"/>
      <c r="SLU73" s="1181"/>
      <c r="SLV73" s="1181"/>
      <c r="SLW73" s="1181"/>
      <c r="SLX73" s="1181"/>
      <c r="SLY73" s="1181"/>
      <c r="SLZ73" s="1181"/>
      <c r="SMA73" s="1181"/>
      <c r="SMB73" s="1181"/>
      <c r="SMC73" s="1181"/>
      <c r="SMD73" s="1181"/>
      <c r="SME73" s="1181"/>
      <c r="SMF73" s="1181"/>
      <c r="SMG73" s="1181"/>
      <c r="SMH73" s="1181"/>
      <c r="SMI73" s="1181"/>
      <c r="SMJ73" s="1181"/>
      <c r="SMK73" s="1181"/>
      <c r="SML73" s="1181"/>
      <c r="SMM73" s="1181"/>
      <c r="SMN73" s="1181"/>
      <c r="SMO73" s="1181"/>
      <c r="SMP73" s="1181"/>
      <c r="SMQ73" s="1181"/>
      <c r="SMR73" s="1181"/>
      <c r="SMS73" s="1181"/>
      <c r="SMT73" s="1181"/>
      <c r="SMU73" s="1181"/>
      <c r="SMV73" s="1181"/>
      <c r="SMW73" s="1181"/>
      <c r="SMX73" s="1181"/>
      <c r="SMY73" s="1181"/>
      <c r="SMZ73" s="1181"/>
      <c r="SNA73" s="1181"/>
      <c r="SNB73" s="1181"/>
      <c r="SNC73" s="1181"/>
      <c r="SND73" s="1181"/>
      <c r="SNE73" s="1181"/>
      <c r="SNF73" s="1181"/>
      <c r="SNG73" s="1181"/>
      <c r="SNH73" s="1181"/>
      <c r="SNI73" s="1181"/>
      <c r="SNJ73" s="1181"/>
      <c r="SNK73" s="1181"/>
      <c r="SNL73" s="1181"/>
      <c r="SNM73" s="1181"/>
      <c r="SNN73" s="1181"/>
      <c r="SNO73" s="1181"/>
      <c r="SNP73" s="1181"/>
      <c r="SNQ73" s="1181"/>
      <c r="SNR73" s="1181"/>
      <c r="SNS73" s="1181"/>
      <c r="SNT73" s="1181"/>
      <c r="SNU73" s="1181"/>
      <c r="SNV73" s="1181"/>
      <c r="SNW73" s="1181"/>
      <c r="SNX73" s="1181"/>
      <c r="SNY73" s="1181"/>
      <c r="SNZ73" s="1181"/>
      <c r="SOA73" s="1181"/>
      <c r="SOB73" s="1181"/>
      <c r="SOC73" s="1181"/>
      <c r="SOD73" s="1181"/>
      <c r="SOE73" s="1181"/>
      <c r="SOF73" s="1181"/>
      <c r="SOG73" s="1181"/>
      <c r="SOH73" s="1181"/>
      <c r="SOI73" s="1181"/>
      <c r="SOJ73" s="1181"/>
      <c r="SOK73" s="1181"/>
      <c r="SOL73" s="1181"/>
      <c r="SOM73" s="1181"/>
      <c r="SON73" s="1181"/>
      <c r="SOO73" s="1181"/>
      <c r="SOP73" s="1181"/>
      <c r="SOQ73" s="1181"/>
      <c r="SOR73" s="1181"/>
      <c r="SOS73" s="1181"/>
      <c r="SOT73" s="1181"/>
      <c r="SOU73" s="1181"/>
      <c r="SOV73" s="1181"/>
      <c r="SOW73" s="1181"/>
      <c r="SOX73" s="1181"/>
      <c r="SOY73" s="1181"/>
      <c r="SOZ73" s="1181"/>
      <c r="SPA73" s="1181"/>
      <c r="SPB73" s="1181"/>
      <c r="SPC73" s="1181"/>
      <c r="SPD73" s="1181"/>
      <c r="SPE73" s="1181"/>
      <c r="SPF73" s="1181"/>
      <c r="SPG73" s="1181"/>
      <c r="SPH73" s="1181"/>
      <c r="SPI73" s="1181"/>
      <c r="SPJ73" s="1181"/>
      <c r="SPK73" s="1181"/>
      <c r="SPL73" s="1181"/>
      <c r="SPM73" s="1181"/>
      <c r="SPN73" s="1181"/>
      <c r="SPO73" s="1181"/>
      <c r="SPP73" s="1181"/>
      <c r="SPQ73" s="1181"/>
      <c r="SPR73" s="1181"/>
      <c r="SPS73" s="1181"/>
      <c r="SPT73" s="1181"/>
      <c r="SPU73" s="1181"/>
      <c r="SPV73" s="1181"/>
      <c r="SPW73" s="1181"/>
      <c r="SPX73" s="1181"/>
      <c r="SPY73" s="1181"/>
      <c r="SPZ73" s="1181"/>
      <c r="SQA73" s="1181"/>
      <c r="SQB73" s="1181"/>
      <c r="SQC73" s="1181"/>
      <c r="SQD73" s="1181"/>
      <c r="SQE73" s="1181"/>
      <c r="SQF73" s="1181"/>
      <c r="SQG73" s="1181"/>
      <c r="SQH73" s="1181"/>
      <c r="SQI73" s="1181"/>
      <c r="SQJ73" s="1181"/>
      <c r="SQK73" s="1181"/>
      <c r="SQL73" s="1181"/>
      <c r="SQM73" s="1181"/>
      <c r="SQN73" s="1181"/>
      <c r="SQO73" s="1181"/>
      <c r="SQP73" s="1181"/>
      <c r="SQQ73" s="1181"/>
      <c r="SQR73" s="1181"/>
      <c r="SQS73" s="1181"/>
      <c r="SQT73" s="1181"/>
      <c r="SQU73" s="1181"/>
      <c r="SQV73" s="1181"/>
      <c r="SQW73" s="1181"/>
      <c r="SQX73" s="1181"/>
      <c r="SQY73" s="1181"/>
      <c r="SQZ73" s="1181"/>
      <c r="SRA73" s="1181"/>
      <c r="SRB73" s="1181"/>
      <c r="SRC73" s="1181"/>
      <c r="SRD73" s="1181"/>
      <c r="SRE73" s="1181"/>
      <c r="SRF73" s="1181"/>
      <c r="SRG73" s="1181"/>
      <c r="SRH73" s="1181"/>
      <c r="SRI73" s="1181"/>
      <c r="SRJ73" s="1181"/>
      <c r="SRK73" s="1181"/>
      <c r="SRL73" s="1181"/>
      <c r="SRM73" s="1181"/>
      <c r="SRN73" s="1181"/>
      <c r="SRO73" s="1181"/>
      <c r="SRP73" s="1181"/>
      <c r="SRQ73" s="1181"/>
      <c r="SRR73" s="1181"/>
      <c r="SRS73" s="1181"/>
      <c r="SRT73" s="1181"/>
      <c r="SRU73" s="1181"/>
      <c r="SRV73" s="1181"/>
      <c r="SRW73" s="1181"/>
      <c r="SRX73" s="1181"/>
      <c r="SRY73" s="1181"/>
      <c r="SRZ73" s="1181"/>
      <c r="SSA73" s="1181"/>
      <c r="SSB73" s="1181"/>
      <c r="SSC73" s="1181"/>
      <c r="SSD73" s="1181"/>
      <c r="SSE73" s="1181"/>
      <c r="SSF73" s="1181"/>
      <c r="SSG73" s="1181"/>
      <c r="SSH73" s="1181"/>
      <c r="SSI73" s="1181"/>
      <c r="SSJ73" s="1181"/>
      <c r="SSK73" s="1181"/>
      <c r="SSL73" s="1181"/>
      <c r="SSM73" s="1181"/>
      <c r="SSN73" s="1181"/>
      <c r="SSO73" s="1181"/>
      <c r="SSP73" s="1181"/>
      <c r="SSQ73" s="1181"/>
      <c r="SSR73" s="1181"/>
      <c r="SSS73" s="1181"/>
      <c r="SST73" s="1181"/>
      <c r="SSU73" s="1181"/>
      <c r="SSV73" s="1181"/>
      <c r="SSW73" s="1181"/>
      <c r="SSX73" s="1181"/>
      <c r="SSY73" s="1181"/>
      <c r="SSZ73" s="1181"/>
      <c r="STA73" s="1181"/>
      <c r="STB73" s="1181"/>
      <c r="STC73" s="1181"/>
      <c r="STD73" s="1181"/>
      <c r="STE73" s="1181"/>
      <c r="STF73" s="1181"/>
      <c r="STG73" s="1181"/>
      <c r="STH73" s="1181"/>
      <c r="STI73" s="1181"/>
      <c r="STJ73" s="1181"/>
      <c r="STK73" s="1181"/>
      <c r="STL73" s="1181"/>
      <c r="STM73" s="1181"/>
      <c r="STN73" s="1181"/>
      <c r="STO73" s="1181"/>
      <c r="STP73" s="1181"/>
      <c r="STQ73" s="1181"/>
      <c r="STR73" s="1181"/>
      <c r="STS73" s="1181"/>
      <c r="STT73" s="1181"/>
      <c r="STU73" s="1181"/>
      <c r="STV73" s="1181"/>
      <c r="STW73" s="1181"/>
      <c r="STX73" s="1181"/>
      <c r="STY73" s="1181"/>
      <c r="STZ73" s="1181"/>
      <c r="SUA73" s="1181"/>
      <c r="SUB73" s="1181"/>
      <c r="SUC73" s="1181"/>
      <c r="SUD73" s="1181"/>
      <c r="SUE73" s="1181"/>
      <c r="SUF73" s="1181"/>
      <c r="SUG73" s="1181"/>
      <c r="SUH73" s="1181"/>
      <c r="SUI73" s="1181"/>
      <c r="SUJ73" s="1181"/>
      <c r="SUK73" s="1181"/>
      <c r="SUL73" s="1181"/>
      <c r="SUM73" s="1181"/>
      <c r="SUN73" s="1181"/>
      <c r="SUO73" s="1181"/>
      <c r="SUP73" s="1181"/>
      <c r="SUQ73" s="1181"/>
      <c r="SUR73" s="1181"/>
      <c r="SUS73" s="1181"/>
      <c r="SUT73" s="1181"/>
      <c r="SUU73" s="1181"/>
      <c r="SUV73" s="1181"/>
      <c r="SUW73" s="1181"/>
      <c r="SUX73" s="1181"/>
      <c r="SUY73" s="1181"/>
      <c r="SUZ73" s="1181"/>
      <c r="SVA73" s="1181"/>
      <c r="SVB73" s="1181"/>
      <c r="SVC73" s="1181"/>
      <c r="SVD73" s="1181"/>
      <c r="SVE73" s="1181"/>
      <c r="SVF73" s="1181"/>
      <c r="SVG73" s="1181"/>
      <c r="SVH73" s="1181"/>
      <c r="SVI73" s="1181"/>
      <c r="SVJ73" s="1181"/>
      <c r="SVK73" s="1181"/>
      <c r="SVL73" s="1181"/>
      <c r="SVM73" s="1181"/>
      <c r="SVN73" s="1181"/>
      <c r="SVO73" s="1181"/>
      <c r="SVP73" s="1181"/>
      <c r="SVQ73" s="1181"/>
      <c r="SVR73" s="1181"/>
      <c r="SVS73" s="1181"/>
      <c r="SVT73" s="1181"/>
      <c r="SVU73" s="1181"/>
      <c r="SVV73" s="1181"/>
      <c r="SVW73" s="1181"/>
      <c r="SVX73" s="1181"/>
      <c r="SVY73" s="1181"/>
      <c r="SVZ73" s="1181"/>
      <c r="SWA73" s="1181"/>
      <c r="SWB73" s="1181"/>
      <c r="SWC73" s="1181"/>
      <c r="SWD73" s="1181"/>
      <c r="SWE73" s="1181"/>
      <c r="SWF73" s="1181"/>
      <c r="SWG73" s="1181"/>
      <c r="SWH73" s="1181"/>
      <c r="SWI73" s="1181"/>
      <c r="SWJ73" s="1181"/>
      <c r="SWK73" s="1181"/>
      <c r="SWL73" s="1181"/>
      <c r="SWM73" s="1181"/>
      <c r="SWN73" s="1181"/>
      <c r="SWO73" s="1181"/>
      <c r="SWP73" s="1181"/>
      <c r="SWQ73" s="1181"/>
      <c r="SWR73" s="1181"/>
      <c r="SWS73" s="1181"/>
      <c r="SWT73" s="1181"/>
      <c r="SWU73" s="1181"/>
      <c r="SWV73" s="1181"/>
      <c r="SWW73" s="1181"/>
      <c r="SWX73" s="1181"/>
      <c r="SWY73" s="1181"/>
      <c r="SWZ73" s="1181"/>
      <c r="SXA73" s="1181"/>
      <c r="SXB73" s="1181"/>
      <c r="SXC73" s="1181"/>
      <c r="SXD73" s="1181"/>
      <c r="SXE73" s="1181"/>
      <c r="SXF73" s="1181"/>
      <c r="SXG73" s="1181"/>
      <c r="SXH73" s="1181"/>
      <c r="SXI73" s="1181"/>
      <c r="SXJ73" s="1181"/>
      <c r="SXK73" s="1181"/>
      <c r="SXL73" s="1181"/>
      <c r="SXM73" s="1181"/>
      <c r="SXN73" s="1181"/>
      <c r="SXO73" s="1181"/>
      <c r="SXP73" s="1181"/>
      <c r="SXQ73" s="1181"/>
      <c r="SXR73" s="1181"/>
      <c r="SXS73" s="1181"/>
      <c r="SXT73" s="1181"/>
      <c r="SXU73" s="1181"/>
      <c r="SXV73" s="1181"/>
      <c r="SXW73" s="1181"/>
      <c r="SXX73" s="1181"/>
      <c r="SXY73" s="1181"/>
      <c r="SXZ73" s="1181"/>
      <c r="SYA73" s="1181"/>
      <c r="SYB73" s="1181"/>
      <c r="SYC73" s="1181"/>
      <c r="SYD73" s="1181"/>
      <c r="SYE73" s="1181"/>
      <c r="SYF73" s="1181"/>
      <c r="SYG73" s="1181"/>
      <c r="SYH73" s="1181"/>
      <c r="SYI73" s="1181"/>
      <c r="SYJ73" s="1181"/>
      <c r="SYK73" s="1181"/>
      <c r="SYL73" s="1181"/>
      <c r="SYM73" s="1181"/>
      <c r="SYN73" s="1181"/>
      <c r="SYO73" s="1181"/>
      <c r="SYP73" s="1181"/>
      <c r="SYQ73" s="1181"/>
      <c r="SYR73" s="1181"/>
      <c r="SYS73" s="1181"/>
      <c r="SYT73" s="1181"/>
      <c r="SYU73" s="1181"/>
      <c r="SYV73" s="1181"/>
      <c r="SYW73" s="1181"/>
      <c r="SYX73" s="1181"/>
      <c r="SYY73" s="1181"/>
      <c r="SYZ73" s="1181"/>
      <c r="SZA73" s="1181"/>
      <c r="SZB73" s="1181"/>
      <c r="SZC73" s="1181"/>
      <c r="SZD73" s="1181"/>
      <c r="SZE73" s="1181"/>
      <c r="SZF73" s="1181"/>
      <c r="SZG73" s="1181"/>
      <c r="SZH73" s="1181"/>
      <c r="SZI73" s="1181"/>
      <c r="SZJ73" s="1181"/>
      <c r="SZK73" s="1181"/>
      <c r="SZL73" s="1181"/>
      <c r="SZM73" s="1181"/>
      <c r="SZN73" s="1181"/>
      <c r="SZO73" s="1181"/>
      <c r="SZP73" s="1181"/>
      <c r="SZQ73" s="1181"/>
      <c r="SZR73" s="1181"/>
      <c r="SZS73" s="1181"/>
      <c r="SZT73" s="1181"/>
      <c r="SZU73" s="1181"/>
      <c r="SZV73" s="1181"/>
      <c r="SZW73" s="1181"/>
      <c r="SZX73" s="1181"/>
      <c r="SZY73" s="1181"/>
      <c r="SZZ73" s="1181"/>
      <c r="TAA73" s="1181"/>
      <c r="TAB73" s="1181"/>
      <c r="TAC73" s="1181"/>
      <c r="TAD73" s="1181"/>
      <c r="TAE73" s="1181"/>
      <c r="TAF73" s="1181"/>
      <c r="TAG73" s="1181"/>
      <c r="TAH73" s="1181"/>
      <c r="TAI73" s="1181"/>
      <c r="TAJ73" s="1181"/>
      <c r="TAK73" s="1181"/>
      <c r="TAL73" s="1181"/>
      <c r="TAM73" s="1181"/>
      <c r="TAN73" s="1181"/>
      <c r="TAO73" s="1181"/>
      <c r="TAP73" s="1181"/>
      <c r="TAQ73" s="1181"/>
      <c r="TAR73" s="1181"/>
      <c r="TAS73" s="1181"/>
      <c r="TAT73" s="1181"/>
      <c r="TAU73" s="1181"/>
      <c r="TAV73" s="1181"/>
      <c r="TAW73" s="1181"/>
      <c r="TAX73" s="1181"/>
      <c r="TAY73" s="1181"/>
      <c r="TAZ73" s="1181"/>
      <c r="TBA73" s="1181"/>
      <c r="TBB73" s="1181"/>
      <c r="TBC73" s="1181"/>
      <c r="TBD73" s="1181"/>
      <c r="TBE73" s="1181"/>
      <c r="TBF73" s="1181"/>
      <c r="TBG73" s="1181"/>
      <c r="TBH73" s="1181"/>
      <c r="TBI73" s="1181"/>
      <c r="TBJ73" s="1181"/>
      <c r="TBK73" s="1181"/>
      <c r="TBL73" s="1181"/>
      <c r="TBM73" s="1181"/>
      <c r="TBN73" s="1181"/>
      <c r="TBO73" s="1181"/>
      <c r="TBP73" s="1181"/>
      <c r="TBQ73" s="1181"/>
      <c r="TBR73" s="1181"/>
      <c r="TBS73" s="1181"/>
      <c r="TBT73" s="1181"/>
      <c r="TBU73" s="1181"/>
      <c r="TBV73" s="1181"/>
      <c r="TBW73" s="1181"/>
      <c r="TBX73" s="1181"/>
      <c r="TBY73" s="1181"/>
      <c r="TBZ73" s="1181"/>
      <c r="TCA73" s="1181"/>
      <c r="TCB73" s="1181"/>
      <c r="TCC73" s="1181"/>
      <c r="TCD73" s="1181"/>
      <c r="TCE73" s="1181"/>
      <c r="TCF73" s="1181"/>
      <c r="TCG73" s="1181"/>
      <c r="TCH73" s="1181"/>
      <c r="TCI73" s="1181"/>
      <c r="TCJ73" s="1181"/>
      <c r="TCK73" s="1181"/>
      <c r="TCL73" s="1181"/>
      <c r="TCM73" s="1181"/>
      <c r="TCN73" s="1181"/>
      <c r="TCO73" s="1181"/>
      <c r="TCP73" s="1181"/>
      <c r="TCQ73" s="1181"/>
      <c r="TCR73" s="1181"/>
      <c r="TCS73" s="1181"/>
      <c r="TCT73" s="1181"/>
      <c r="TCU73" s="1181"/>
      <c r="TCV73" s="1181"/>
      <c r="TCW73" s="1181"/>
      <c r="TCX73" s="1181"/>
      <c r="TCY73" s="1181"/>
      <c r="TCZ73" s="1181"/>
      <c r="TDA73" s="1181"/>
      <c r="TDB73" s="1181"/>
      <c r="TDC73" s="1181"/>
      <c r="TDD73" s="1181"/>
      <c r="TDE73" s="1181"/>
      <c r="TDF73" s="1181"/>
      <c r="TDG73" s="1181"/>
      <c r="TDH73" s="1181"/>
      <c r="TDI73" s="1181"/>
      <c r="TDJ73" s="1181"/>
      <c r="TDK73" s="1181"/>
      <c r="TDL73" s="1181"/>
      <c r="TDM73" s="1181"/>
      <c r="TDN73" s="1181"/>
      <c r="TDO73" s="1181"/>
      <c r="TDP73" s="1181"/>
      <c r="TDQ73" s="1181"/>
      <c r="TDR73" s="1181"/>
      <c r="TDS73" s="1181"/>
      <c r="TDT73" s="1181"/>
      <c r="TDU73" s="1181"/>
      <c r="TDV73" s="1181"/>
      <c r="TDW73" s="1181"/>
      <c r="TDX73" s="1181"/>
      <c r="TDY73" s="1181"/>
      <c r="TDZ73" s="1181"/>
      <c r="TEA73" s="1181"/>
      <c r="TEB73" s="1181"/>
      <c r="TEC73" s="1181"/>
      <c r="TED73" s="1181"/>
      <c r="TEE73" s="1181"/>
      <c r="TEF73" s="1181"/>
      <c r="TEG73" s="1181"/>
      <c r="TEH73" s="1181"/>
      <c r="TEI73" s="1181"/>
      <c r="TEJ73" s="1181"/>
      <c r="TEK73" s="1181"/>
      <c r="TEL73" s="1181"/>
      <c r="TEM73" s="1181"/>
      <c r="TEN73" s="1181"/>
      <c r="TEO73" s="1181"/>
      <c r="TEP73" s="1181"/>
      <c r="TEQ73" s="1181"/>
      <c r="TER73" s="1181"/>
      <c r="TES73" s="1181"/>
      <c r="TET73" s="1181"/>
      <c r="TEU73" s="1181"/>
      <c r="TEV73" s="1181"/>
      <c r="TEW73" s="1181"/>
      <c r="TEX73" s="1181"/>
      <c r="TEY73" s="1181"/>
      <c r="TEZ73" s="1181"/>
      <c r="TFA73" s="1181"/>
      <c r="TFB73" s="1181"/>
      <c r="TFC73" s="1181"/>
      <c r="TFD73" s="1181"/>
      <c r="TFE73" s="1181"/>
      <c r="TFF73" s="1181"/>
      <c r="TFG73" s="1181"/>
      <c r="TFH73" s="1181"/>
      <c r="TFI73" s="1181"/>
      <c r="TFJ73" s="1181"/>
      <c r="TFK73" s="1181"/>
      <c r="TFL73" s="1181"/>
      <c r="TFM73" s="1181"/>
      <c r="TFN73" s="1181"/>
      <c r="TFO73" s="1181"/>
      <c r="TFP73" s="1181"/>
      <c r="TFQ73" s="1181"/>
      <c r="TFR73" s="1181"/>
      <c r="TFS73" s="1181"/>
      <c r="TFT73" s="1181"/>
      <c r="TFU73" s="1181"/>
      <c r="TFV73" s="1181"/>
      <c r="TFW73" s="1181"/>
      <c r="TFX73" s="1181"/>
      <c r="TFY73" s="1181"/>
      <c r="TFZ73" s="1181"/>
      <c r="TGA73" s="1181"/>
      <c r="TGB73" s="1181"/>
      <c r="TGC73" s="1181"/>
      <c r="TGD73" s="1181"/>
      <c r="TGE73" s="1181"/>
      <c r="TGF73" s="1181"/>
      <c r="TGG73" s="1181"/>
      <c r="TGH73" s="1181"/>
      <c r="TGI73" s="1181"/>
      <c r="TGJ73" s="1181"/>
      <c r="TGK73" s="1181"/>
      <c r="TGL73" s="1181"/>
      <c r="TGM73" s="1181"/>
      <c r="TGN73" s="1181"/>
      <c r="TGO73" s="1181"/>
      <c r="TGP73" s="1181"/>
      <c r="TGQ73" s="1181"/>
      <c r="TGR73" s="1181"/>
      <c r="TGS73" s="1181"/>
      <c r="TGT73" s="1181"/>
      <c r="TGU73" s="1181"/>
      <c r="TGV73" s="1181"/>
      <c r="TGW73" s="1181"/>
      <c r="TGX73" s="1181"/>
      <c r="TGY73" s="1181"/>
      <c r="TGZ73" s="1181"/>
      <c r="THA73" s="1181"/>
      <c r="THB73" s="1181"/>
      <c r="THC73" s="1181"/>
      <c r="THD73" s="1181"/>
      <c r="THE73" s="1181"/>
      <c r="THF73" s="1181"/>
      <c r="THG73" s="1181"/>
      <c r="THH73" s="1181"/>
      <c r="THI73" s="1181"/>
      <c r="THJ73" s="1181"/>
      <c r="THK73" s="1181"/>
      <c r="THL73" s="1181"/>
      <c r="THM73" s="1181"/>
      <c r="THN73" s="1181"/>
      <c r="THO73" s="1181"/>
      <c r="THP73" s="1181"/>
      <c r="THQ73" s="1181"/>
      <c r="THR73" s="1181"/>
      <c r="THS73" s="1181"/>
      <c r="THT73" s="1181"/>
      <c r="THU73" s="1181"/>
      <c r="THV73" s="1181"/>
      <c r="THW73" s="1181"/>
      <c r="THX73" s="1181"/>
      <c r="THY73" s="1181"/>
      <c r="THZ73" s="1181"/>
      <c r="TIA73" s="1181"/>
      <c r="TIB73" s="1181"/>
      <c r="TIC73" s="1181"/>
      <c r="TID73" s="1181"/>
      <c r="TIE73" s="1181"/>
      <c r="TIF73" s="1181"/>
      <c r="TIG73" s="1181"/>
      <c r="TIH73" s="1181"/>
      <c r="TII73" s="1181"/>
      <c r="TIJ73" s="1181"/>
      <c r="TIK73" s="1181"/>
      <c r="TIL73" s="1181"/>
      <c r="TIM73" s="1181"/>
      <c r="TIN73" s="1181"/>
      <c r="TIO73" s="1181"/>
      <c r="TIP73" s="1181"/>
      <c r="TIQ73" s="1181"/>
      <c r="TIR73" s="1181"/>
      <c r="TIS73" s="1181"/>
      <c r="TIT73" s="1181"/>
      <c r="TIU73" s="1181"/>
      <c r="TIV73" s="1181"/>
      <c r="TIW73" s="1181"/>
      <c r="TIX73" s="1181"/>
      <c r="TIY73" s="1181"/>
      <c r="TIZ73" s="1181"/>
      <c r="TJA73" s="1181"/>
      <c r="TJB73" s="1181"/>
      <c r="TJC73" s="1181"/>
      <c r="TJD73" s="1181"/>
      <c r="TJE73" s="1181"/>
      <c r="TJF73" s="1181"/>
      <c r="TJG73" s="1181"/>
      <c r="TJH73" s="1181"/>
      <c r="TJI73" s="1181"/>
      <c r="TJJ73" s="1181"/>
      <c r="TJK73" s="1181"/>
      <c r="TJL73" s="1181"/>
      <c r="TJM73" s="1181"/>
      <c r="TJN73" s="1181"/>
      <c r="TJO73" s="1181"/>
      <c r="TJP73" s="1181"/>
      <c r="TJQ73" s="1181"/>
      <c r="TJR73" s="1181"/>
      <c r="TJS73" s="1181"/>
      <c r="TJT73" s="1181"/>
      <c r="TJU73" s="1181"/>
      <c r="TJV73" s="1181"/>
      <c r="TJW73" s="1181"/>
      <c r="TJX73" s="1181"/>
      <c r="TJY73" s="1181"/>
      <c r="TJZ73" s="1181"/>
      <c r="TKA73" s="1181"/>
      <c r="TKB73" s="1181"/>
      <c r="TKC73" s="1181"/>
      <c r="TKD73" s="1181"/>
      <c r="TKE73" s="1181"/>
      <c r="TKF73" s="1181"/>
      <c r="TKG73" s="1181"/>
      <c r="TKH73" s="1181"/>
      <c r="TKI73" s="1181"/>
      <c r="TKJ73" s="1181"/>
      <c r="TKK73" s="1181"/>
      <c r="TKL73" s="1181"/>
      <c r="TKM73" s="1181"/>
      <c r="TKN73" s="1181"/>
      <c r="TKO73" s="1181"/>
      <c r="TKP73" s="1181"/>
      <c r="TKQ73" s="1181"/>
      <c r="TKR73" s="1181"/>
      <c r="TKS73" s="1181"/>
      <c r="TKT73" s="1181"/>
      <c r="TKU73" s="1181"/>
      <c r="TKV73" s="1181"/>
      <c r="TKW73" s="1181"/>
      <c r="TKX73" s="1181"/>
      <c r="TKY73" s="1181"/>
      <c r="TKZ73" s="1181"/>
      <c r="TLA73" s="1181"/>
      <c r="TLB73" s="1181"/>
      <c r="TLC73" s="1181"/>
      <c r="TLD73" s="1181"/>
      <c r="TLE73" s="1181"/>
      <c r="TLF73" s="1181"/>
      <c r="TLG73" s="1181"/>
      <c r="TLH73" s="1181"/>
      <c r="TLI73" s="1181"/>
      <c r="TLJ73" s="1181"/>
      <c r="TLK73" s="1181"/>
      <c r="TLL73" s="1181"/>
      <c r="TLM73" s="1181"/>
      <c r="TLN73" s="1181"/>
      <c r="TLO73" s="1181"/>
      <c r="TLP73" s="1181"/>
      <c r="TLQ73" s="1181"/>
      <c r="TLR73" s="1181"/>
      <c r="TLS73" s="1181"/>
      <c r="TLT73" s="1181"/>
      <c r="TLU73" s="1181"/>
      <c r="TLV73" s="1181"/>
      <c r="TLW73" s="1181"/>
      <c r="TLX73" s="1181"/>
      <c r="TLY73" s="1181"/>
      <c r="TLZ73" s="1181"/>
      <c r="TMA73" s="1181"/>
      <c r="TMB73" s="1181"/>
      <c r="TMC73" s="1181"/>
      <c r="TMD73" s="1181"/>
      <c r="TME73" s="1181"/>
      <c r="TMF73" s="1181"/>
      <c r="TMG73" s="1181"/>
      <c r="TMH73" s="1181"/>
      <c r="TMI73" s="1181"/>
      <c r="TMJ73" s="1181"/>
      <c r="TMK73" s="1181"/>
      <c r="TML73" s="1181"/>
      <c r="TMM73" s="1181"/>
      <c r="TMN73" s="1181"/>
      <c r="TMO73" s="1181"/>
      <c r="TMP73" s="1181"/>
      <c r="TMQ73" s="1181"/>
      <c r="TMR73" s="1181"/>
      <c r="TMS73" s="1181"/>
      <c r="TMT73" s="1181"/>
      <c r="TMU73" s="1181"/>
      <c r="TMV73" s="1181"/>
      <c r="TMW73" s="1181"/>
      <c r="TMX73" s="1181"/>
      <c r="TMY73" s="1181"/>
      <c r="TMZ73" s="1181"/>
      <c r="TNA73" s="1181"/>
      <c r="TNB73" s="1181"/>
      <c r="TNC73" s="1181"/>
      <c r="TND73" s="1181"/>
      <c r="TNE73" s="1181"/>
      <c r="TNF73" s="1181"/>
      <c r="TNG73" s="1181"/>
      <c r="TNH73" s="1181"/>
      <c r="TNI73" s="1181"/>
      <c r="TNJ73" s="1181"/>
      <c r="TNK73" s="1181"/>
      <c r="TNL73" s="1181"/>
      <c r="TNM73" s="1181"/>
      <c r="TNN73" s="1181"/>
      <c r="TNO73" s="1181"/>
      <c r="TNP73" s="1181"/>
      <c r="TNQ73" s="1181"/>
      <c r="TNR73" s="1181"/>
      <c r="TNS73" s="1181"/>
      <c r="TNT73" s="1181"/>
      <c r="TNU73" s="1181"/>
      <c r="TNV73" s="1181"/>
      <c r="TNW73" s="1181"/>
      <c r="TNX73" s="1181"/>
      <c r="TNY73" s="1181"/>
      <c r="TNZ73" s="1181"/>
      <c r="TOA73" s="1181"/>
      <c r="TOB73" s="1181"/>
      <c r="TOC73" s="1181"/>
      <c r="TOD73" s="1181"/>
      <c r="TOE73" s="1181"/>
      <c r="TOF73" s="1181"/>
      <c r="TOG73" s="1181"/>
      <c r="TOH73" s="1181"/>
      <c r="TOI73" s="1181"/>
      <c r="TOJ73" s="1181"/>
      <c r="TOK73" s="1181"/>
      <c r="TOL73" s="1181"/>
      <c r="TOM73" s="1181"/>
      <c r="TON73" s="1181"/>
      <c r="TOO73" s="1181"/>
      <c r="TOP73" s="1181"/>
      <c r="TOQ73" s="1181"/>
      <c r="TOR73" s="1181"/>
      <c r="TOS73" s="1181"/>
      <c r="TOT73" s="1181"/>
      <c r="TOU73" s="1181"/>
      <c r="TOV73" s="1181"/>
      <c r="TOW73" s="1181"/>
      <c r="TOX73" s="1181"/>
      <c r="TOY73" s="1181"/>
      <c r="TOZ73" s="1181"/>
      <c r="TPA73" s="1181"/>
      <c r="TPB73" s="1181"/>
      <c r="TPC73" s="1181"/>
      <c r="TPD73" s="1181"/>
      <c r="TPE73" s="1181"/>
      <c r="TPF73" s="1181"/>
      <c r="TPG73" s="1181"/>
      <c r="TPH73" s="1181"/>
      <c r="TPI73" s="1181"/>
      <c r="TPJ73" s="1181"/>
      <c r="TPK73" s="1181"/>
      <c r="TPL73" s="1181"/>
      <c r="TPM73" s="1181"/>
      <c r="TPN73" s="1181"/>
      <c r="TPO73" s="1181"/>
      <c r="TPP73" s="1181"/>
      <c r="TPQ73" s="1181"/>
      <c r="TPR73" s="1181"/>
      <c r="TPS73" s="1181"/>
      <c r="TPT73" s="1181"/>
      <c r="TPU73" s="1181"/>
      <c r="TPV73" s="1181"/>
      <c r="TPW73" s="1181"/>
      <c r="TPX73" s="1181"/>
      <c r="TPY73" s="1181"/>
      <c r="TPZ73" s="1181"/>
      <c r="TQA73" s="1181"/>
      <c r="TQB73" s="1181"/>
      <c r="TQC73" s="1181"/>
      <c r="TQD73" s="1181"/>
      <c r="TQE73" s="1181"/>
      <c r="TQF73" s="1181"/>
      <c r="TQG73" s="1181"/>
      <c r="TQH73" s="1181"/>
      <c r="TQI73" s="1181"/>
      <c r="TQJ73" s="1181"/>
      <c r="TQK73" s="1181"/>
      <c r="TQL73" s="1181"/>
      <c r="TQM73" s="1181"/>
      <c r="TQN73" s="1181"/>
      <c r="TQO73" s="1181"/>
      <c r="TQP73" s="1181"/>
      <c r="TQQ73" s="1181"/>
      <c r="TQR73" s="1181"/>
      <c r="TQS73" s="1181"/>
      <c r="TQT73" s="1181"/>
      <c r="TQU73" s="1181"/>
      <c r="TQV73" s="1181"/>
      <c r="TQW73" s="1181"/>
      <c r="TQX73" s="1181"/>
      <c r="TQY73" s="1181"/>
      <c r="TQZ73" s="1181"/>
      <c r="TRA73" s="1181"/>
      <c r="TRB73" s="1181"/>
      <c r="TRC73" s="1181"/>
      <c r="TRD73" s="1181"/>
      <c r="TRE73" s="1181"/>
      <c r="TRF73" s="1181"/>
      <c r="TRG73" s="1181"/>
      <c r="TRH73" s="1181"/>
      <c r="TRI73" s="1181"/>
      <c r="TRJ73" s="1181"/>
      <c r="TRK73" s="1181"/>
      <c r="TRL73" s="1181"/>
      <c r="TRM73" s="1181"/>
      <c r="TRN73" s="1181"/>
      <c r="TRO73" s="1181"/>
      <c r="TRP73" s="1181"/>
      <c r="TRQ73" s="1181"/>
      <c r="TRR73" s="1181"/>
      <c r="TRS73" s="1181"/>
      <c r="TRT73" s="1181"/>
      <c r="TRU73" s="1181"/>
      <c r="TRV73" s="1181"/>
      <c r="TRW73" s="1181"/>
      <c r="TRX73" s="1181"/>
      <c r="TRY73" s="1181"/>
      <c r="TRZ73" s="1181"/>
      <c r="TSA73" s="1181"/>
      <c r="TSB73" s="1181"/>
      <c r="TSC73" s="1181"/>
      <c r="TSD73" s="1181"/>
      <c r="TSE73" s="1181"/>
      <c r="TSF73" s="1181"/>
      <c r="TSG73" s="1181"/>
      <c r="TSH73" s="1181"/>
      <c r="TSI73" s="1181"/>
      <c r="TSJ73" s="1181"/>
      <c r="TSK73" s="1181"/>
      <c r="TSL73" s="1181"/>
      <c r="TSM73" s="1181"/>
      <c r="TSN73" s="1181"/>
      <c r="TSO73" s="1181"/>
      <c r="TSP73" s="1181"/>
      <c r="TSQ73" s="1181"/>
      <c r="TSR73" s="1181"/>
      <c r="TSS73" s="1181"/>
      <c r="TST73" s="1181"/>
      <c r="TSU73" s="1181"/>
      <c r="TSV73" s="1181"/>
      <c r="TSW73" s="1181"/>
      <c r="TSX73" s="1181"/>
      <c r="TSY73" s="1181"/>
      <c r="TSZ73" s="1181"/>
      <c r="TTA73" s="1181"/>
      <c r="TTB73" s="1181"/>
      <c r="TTC73" s="1181"/>
      <c r="TTD73" s="1181"/>
      <c r="TTE73" s="1181"/>
      <c r="TTF73" s="1181"/>
      <c r="TTG73" s="1181"/>
      <c r="TTH73" s="1181"/>
      <c r="TTI73" s="1181"/>
      <c r="TTJ73" s="1181"/>
      <c r="TTK73" s="1181"/>
      <c r="TTL73" s="1181"/>
      <c r="TTM73" s="1181"/>
      <c r="TTN73" s="1181"/>
      <c r="TTO73" s="1181"/>
      <c r="TTP73" s="1181"/>
      <c r="TTQ73" s="1181"/>
      <c r="TTR73" s="1181"/>
      <c r="TTS73" s="1181"/>
      <c r="TTT73" s="1181"/>
      <c r="TTU73" s="1181"/>
      <c r="TTV73" s="1181"/>
      <c r="TTW73" s="1181"/>
      <c r="TTX73" s="1181"/>
      <c r="TTY73" s="1181"/>
      <c r="TTZ73" s="1181"/>
      <c r="TUA73" s="1181"/>
      <c r="TUB73" s="1181"/>
      <c r="TUC73" s="1181"/>
      <c r="TUD73" s="1181"/>
      <c r="TUE73" s="1181"/>
      <c r="TUF73" s="1181"/>
      <c r="TUG73" s="1181"/>
      <c r="TUH73" s="1181"/>
      <c r="TUI73" s="1181"/>
      <c r="TUJ73" s="1181"/>
      <c r="TUK73" s="1181"/>
      <c r="TUL73" s="1181"/>
      <c r="TUM73" s="1181"/>
      <c r="TUN73" s="1181"/>
      <c r="TUO73" s="1181"/>
      <c r="TUP73" s="1181"/>
      <c r="TUQ73" s="1181"/>
      <c r="TUR73" s="1181"/>
      <c r="TUS73" s="1181"/>
      <c r="TUT73" s="1181"/>
      <c r="TUU73" s="1181"/>
      <c r="TUV73" s="1181"/>
      <c r="TUW73" s="1181"/>
      <c r="TUX73" s="1181"/>
      <c r="TUY73" s="1181"/>
      <c r="TUZ73" s="1181"/>
      <c r="TVA73" s="1181"/>
      <c r="TVB73" s="1181"/>
      <c r="TVC73" s="1181"/>
      <c r="TVD73" s="1181"/>
      <c r="TVE73" s="1181"/>
      <c r="TVF73" s="1181"/>
      <c r="TVG73" s="1181"/>
      <c r="TVH73" s="1181"/>
      <c r="TVI73" s="1181"/>
      <c r="TVJ73" s="1181"/>
      <c r="TVK73" s="1181"/>
      <c r="TVL73" s="1181"/>
      <c r="TVM73" s="1181"/>
      <c r="TVN73" s="1181"/>
      <c r="TVO73" s="1181"/>
      <c r="TVP73" s="1181"/>
      <c r="TVQ73" s="1181"/>
      <c r="TVR73" s="1181"/>
      <c r="TVS73" s="1181"/>
      <c r="TVT73" s="1181"/>
      <c r="TVU73" s="1181"/>
      <c r="TVV73" s="1181"/>
      <c r="TVW73" s="1181"/>
      <c r="TVX73" s="1181"/>
      <c r="TVY73" s="1181"/>
      <c r="TVZ73" s="1181"/>
      <c r="TWA73" s="1181"/>
      <c r="TWB73" s="1181"/>
      <c r="TWC73" s="1181"/>
      <c r="TWD73" s="1181"/>
      <c r="TWE73" s="1181"/>
      <c r="TWF73" s="1181"/>
      <c r="TWG73" s="1181"/>
      <c r="TWH73" s="1181"/>
      <c r="TWI73" s="1181"/>
      <c r="TWJ73" s="1181"/>
      <c r="TWK73" s="1181"/>
      <c r="TWL73" s="1181"/>
      <c r="TWM73" s="1181"/>
      <c r="TWN73" s="1181"/>
      <c r="TWO73" s="1181"/>
      <c r="TWP73" s="1181"/>
      <c r="TWQ73" s="1181"/>
      <c r="TWR73" s="1181"/>
      <c r="TWS73" s="1181"/>
      <c r="TWT73" s="1181"/>
      <c r="TWU73" s="1181"/>
      <c r="TWV73" s="1181"/>
      <c r="TWW73" s="1181"/>
      <c r="TWX73" s="1181"/>
      <c r="TWY73" s="1181"/>
      <c r="TWZ73" s="1181"/>
      <c r="TXA73" s="1181"/>
      <c r="TXB73" s="1181"/>
      <c r="TXC73" s="1181"/>
      <c r="TXD73" s="1181"/>
      <c r="TXE73" s="1181"/>
      <c r="TXF73" s="1181"/>
      <c r="TXG73" s="1181"/>
      <c r="TXH73" s="1181"/>
      <c r="TXI73" s="1181"/>
      <c r="TXJ73" s="1181"/>
      <c r="TXK73" s="1181"/>
      <c r="TXL73" s="1181"/>
      <c r="TXM73" s="1181"/>
      <c r="TXN73" s="1181"/>
      <c r="TXO73" s="1181"/>
      <c r="TXP73" s="1181"/>
      <c r="TXQ73" s="1181"/>
      <c r="TXR73" s="1181"/>
      <c r="TXS73" s="1181"/>
      <c r="TXT73" s="1181"/>
      <c r="TXU73" s="1181"/>
      <c r="TXV73" s="1181"/>
      <c r="TXW73" s="1181"/>
      <c r="TXX73" s="1181"/>
      <c r="TXY73" s="1181"/>
      <c r="TXZ73" s="1181"/>
      <c r="TYA73" s="1181"/>
      <c r="TYB73" s="1181"/>
      <c r="TYC73" s="1181"/>
      <c r="TYD73" s="1181"/>
      <c r="TYE73" s="1181"/>
      <c r="TYF73" s="1181"/>
      <c r="TYG73" s="1181"/>
      <c r="TYH73" s="1181"/>
      <c r="TYI73" s="1181"/>
      <c r="TYJ73" s="1181"/>
      <c r="TYK73" s="1181"/>
      <c r="TYL73" s="1181"/>
      <c r="TYM73" s="1181"/>
      <c r="TYN73" s="1181"/>
      <c r="TYO73" s="1181"/>
      <c r="TYP73" s="1181"/>
      <c r="TYQ73" s="1181"/>
      <c r="TYR73" s="1181"/>
      <c r="TYS73" s="1181"/>
      <c r="TYT73" s="1181"/>
      <c r="TYU73" s="1181"/>
      <c r="TYV73" s="1181"/>
      <c r="TYW73" s="1181"/>
      <c r="TYX73" s="1181"/>
      <c r="TYY73" s="1181"/>
      <c r="TYZ73" s="1181"/>
      <c r="TZA73" s="1181"/>
      <c r="TZB73" s="1181"/>
      <c r="TZC73" s="1181"/>
      <c r="TZD73" s="1181"/>
      <c r="TZE73" s="1181"/>
      <c r="TZF73" s="1181"/>
      <c r="TZG73" s="1181"/>
      <c r="TZH73" s="1181"/>
      <c r="TZI73" s="1181"/>
      <c r="TZJ73" s="1181"/>
      <c r="TZK73" s="1181"/>
      <c r="TZL73" s="1181"/>
      <c r="TZM73" s="1181"/>
      <c r="TZN73" s="1181"/>
      <c r="TZO73" s="1181"/>
      <c r="TZP73" s="1181"/>
      <c r="TZQ73" s="1181"/>
      <c r="TZR73" s="1181"/>
      <c r="TZS73" s="1181"/>
      <c r="TZT73" s="1181"/>
      <c r="TZU73" s="1181"/>
      <c r="TZV73" s="1181"/>
      <c r="TZW73" s="1181"/>
      <c r="TZX73" s="1181"/>
      <c r="TZY73" s="1181"/>
      <c r="TZZ73" s="1181"/>
      <c r="UAA73" s="1181"/>
      <c r="UAB73" s="1181"/>
      <c r="UAC73" s="1181"/>
      <c r="UAD73" s="1181"/>
      <c r="UAE73" s="1181"/>
      <c r="UAF73" s="1181"/>
      <c r="UAG73" s="1181"/>
      <c r="UAH73" s="1181"/>
      <c r="UAI73" s="1181"/>
      <c r="UAJ73" s="1181"/>
      <c r="UAK73" s="1181"/>
      <c r="UAL73" s="1181"/>
      <c r="UAM73" s="1181"/>
      <c r="UAN73" s="1181"/>
      <c r="UAO73" s="1181"/>
      <c r="UAP73" s="1181"/>
      <c r="UAQ73" s="1181"/>
      <c r="UAR73" s="1181"/>
      <c r="UAS73" s="1181"/>
      <c r="UAT73" s="1181"/>
      <c r="UAU73" s="1181"/>
      <c r="UAV73" s="1181"/>
      <c r="UAW73" s="1181"/>
      <c r="UAX73" s="1181"/>
      <c r="UAY73" s="1181"/>
      <c r="UAZ73" s="1181"/>
      <c r="UBA73" s="1181"/>
      <c r="UBB73" s="1181"/>
      <c r="UBC73" s="1181"/>
      <c r="UBD73" s="1181"/>
      <c r="UBE73" s="1181"/>
      <c r="UBF73" s="1181"/>
      <c r="UBG73" s="1181"/>
      <c r="UBH73" s="1181"/>
      <c r="UBI73" s="1181"/>
      <c r="UBJ73" s="1181"/>
      <c r="UBK73" s="1181"/>
      <c r="UBL73" s="1181"/>
      <c r="UBM73" s="1181"/>
      <c r="UBN73" s="1181"/>
      <c r="UBO73" s="1181"/>
      <c r="UBP73" s="1181"/>
      <c r="UBQ73" s="1181"/>
      <c r="UBR73" s="1181"/>
      <c r="UBS73" s="1181"/>
      <c r="UBT73" s="1181"/>
      <c r="UBU73" s="1181"/>
      <c r="UBV73" s="1181"/>
      <c r="UBW73" s="1181"/>
      <c r="UBX73" s="1181"/>
      <c r="UBY73" s="1181"/>
      <c r="UBZ73" s="1181"/>
      <c r="UCA73" s="1181"/>
      <c r="UCB73" s="1181"/>
      <c r="UCC73" s="1181"/>
      <c r="UCD73" s="1181"/>
      <c r="UCE73" s="1181"/>
      <c r="UCF73" s="1181"/>
      <c r="UCG73" s="1181"/>
      <c r="UCH73" s="1181"/>
      <c r="UCI73" s="1181"/>
      <c r="UCJ73" s="1181"/>
      <c r="UCK73" s="1181"/>
      <c r="UCL73" s="1181"/>
      <c r="UCM73" s="1181"/>
      <c r="UCN73" s="1181"/>
      <c r="UCO73" s="1181"/>
      <c r="UCP73" s="1181"/>
      <c r="UCQ73" s="1181"/>
      <c r="UCR73" s="1181"/>
      <c r="UCS73" s="1181"/>
      <c r="UCT73" s="1181"/>
      <c r="UCU73" s="1181"/>
      <c r="UCV73" s="1181"/>
      <c r="UCW73" s="1181"/>
      <c r="UCX73" s="1181"/>
      <c r="UCY73" s="1181"/>
      <c r="UCZ73" s="1181"/>
      <c r="UDA73" s="1181"/>
      <c r="UDB73" s="1181"/>
      <c r="UDC73" s="1181"/>
      <c r="UDD73" s="1181"/>
      <c r="UDE73" s="1181"/>
      <c r="UDF73" s="1181"/>
      <c r="UDG73" s="1181"/>
      <c r="UDH73" s="1181"/>
      <c r="UDI73" s="1181"/>
      <c r="UDJ73" s="1181"/>
      <c r="UDK73" s="1181"/>
      <c r="UDL73" s="1181"/>
      <c r="UDM73" s="1181"/>
      <c r="UDN73" s="1181"/>
      <c r="UDO73" s="1181"/>
      <c r="UDP73" s="1181"/>
      <c r="UDQ73" s="1181"/>
      <c r="UDR73" s="1181"/>
      <c r="UDS73" s="1181"/>
      <c r="UDT73" s="1181"/>
      <c r="UDU73" s="1181"/>
      <c r="UDV73" s="1181"/>
      <c r="UDW73" s="1181"/>
      <c r="UDX73" s="1181"/>
      <c r="UDY73" s="1181"/>
      <c r="UDZ73" s="1181"/>
      <c r="UEA73" s="1181"/>
      <c r="UEB73" s="1181"/>
      <c r="UEC73" s="1181"/>
      <c r="UED73" s="1181"/>
      <c r="UEE73" s="1181"/>
      <c r="UEF73" s="1181"/>
      <c r="UEG73" s="1181"/>
      <c r="UEH73" s="1181"/>
      <c r="UEI73" s="1181"/>
      <c r="UEJ73" s="1181"/>
      <c r="UEK73" s="1181"/>
      <c r="UEL73" s="1181"/>
      <c r="UEM73" s="1181"/>
      <c r="UEN73" s="1181"/>
      <c r="UEO73" s="1181"/>
      <c r="UEP73" s="1181"/>
      <c r="UEQ73" s="1181"/>
      <c r="UER73" s="1181"/>
      <c r="UES73" s="1181"/>
      <c r="UET73" s="1181"/>
      <c r="UEU73" s="1181"/>
      <c r="UEV73" s="1181"/>
      <c r="UEW73" s="1181"/>
      <c r="UEX73" s="1181"/>
      <c r="UEY73" s="1181"/>
      <c r="UEZ73" s="1181"/>
      <c r="UFA73" s="1181"/>
      <c r="UFB73" s="1181"/>
      <c r="UFC73" s="1181"/>
      <c r="UFD73" s="1181"/>
      <c r="UFE73" s="1181"/>
      <c r="UFF73" s="1181"/>
      <c r="UFG73" s="1181"/>
      <c r="UFH73" s="1181"/>
      <c r="UFI73" s="1181"/>
      <c r="UFJ73" s="1181"/>
      <c r="UFK73" s="1181"/>
      <c r="UFL73" s="1181"/>
      <c r="UFM73" s="1181"/>
      <c r="UFN73" s="1181"/>
      <c r="UFO73" s="1181"/>
      <c r="UFP73" s="1181"/>
      <c r="UFQ73" s="1181"/>
      <c r="UFR73" s="1181"/>
      <c r="UFS73" s="1181"/>
      <c r="UFT73" s="1181"/>
      <c r="UFU73" s="1181"/>
      <c r="UFV73" s="1181"/>
      <c r="UFW73" s="1181"/>
      <c r="UFX73" s="1181"/>
      <c r="UFY73" s="1181"/>
      <c r="UFZ73" s="1181"/>
      <c r="UGA73" s="1181"/>
      <c r="UGB73" s="1181"/>
      <c r="UGC73" s="1181"/>
      <c r="UGD73" s="1181"/>
      <c r="UGE73" s="1181"/>
      <c r="UGF73" s="1181"/>
      <c r="UGG73" s="1181"/>
      <c r="UGH73" s="1181"/>
      <c r="UGI73" s="1181"/>
      <c r="UGJ73" s="1181"/>
      <c r="UGK73" s="1181"/>
      <c r="UGL73" s="1181"/>
      <c r="UGM73" s="1181"/>
      <c r="UGN73" s="1181"/>
      <c r="UGO73" s="1181"/>
      <c r="UGP73" s="1181"/>
      <c r="UGQ73" s="1181"/>
      <c r="UGR73" s="1181"/>
      <c r="UGS73" s="1181"/>
      <c r="UGT73" s="1181"/>
      <c r="UGU73" s="1181"/>
      <c r="UGV73" s="1181"/>
      <c r="UGW73" s="1181"/>
      <c r="UGX73" s="1181"/>
      <c r="UGY73" s="1181"/>
      <c r="UGZ73" s="1181"/>
      <c r="UHA73" s="1181"/>
      <c r="UHB73" s="1181"/>
      <c r="UHC73" s="1181"/>
      <c r="UHD73" s="1181"/>
      <c r="UHE73" s="1181"/>
      <c r="UHF73" s="1181"/>
      <c r="UHG73" s="1181"/>
      <c r="UHH73" s="1181"/>
      <c r="UHI73" s="1181"/>
      <c r="UHJ73" s="1181"/>
      <c r="UHK73" s="1181"/>
      <c r="UHL73" s="1181"/>
      <c r="UHM73" s="1181"/>
      <c r="UHN73" s="1181"/>
      <c r="UHO73" s="1181"/>
      <c r="UHP73" s="1181"/>
      <c r="UHQ73" s="1181"/>
      <c r="UHR73" s="1181"/>
      <c r="UHS73" s="1181"/>
      <c r="UHT73" s="1181"/>
      <c r="UHU73" s="1181"/>
      <c r="UHV73" s="1181"/>
      <c r="UHW73" s="1181"/>
      <c r="UHX73" s="1181"/>
      <c r="UHY73" s="1181"/>
      <c r="UHZ73" s="1181"/>
      <c r="UIA73" s="1181"/>
      <c r="UIB73" s="1181"/>
      <c r="UIC73" s="1181"/>
      <c r="UID73" s="1181"/>
      <c r="UIE73" s="1181"/>
      <c r="UIF73" s="1181"/>
      <c r="UIG73" s="1181"/>
      <c r="UIH73" s="1181"/>
      <c r="UII73" s="1181"/>
      <c r="UIJ73" s="1181"/>
      <c r="UIK73" s="1181"/>
      <c r="UIL73" s="1181"/>
      <c r="UIM73" s="1181"/>
      <c r="UIN73" s="1181"/>
      <c r="UIO73" s="1181"/>
      <c r="UIP73" s="1181"/>
      <c r="UIQ73" s="1181"/>
      <c r="UIR73" s="1181"/>
      <c r="UIS73" s="1181"/>
      <c r="UIT73" s="1181"/>
      <c r="UIU73" s="1181"/>
      <c r="UIV73" s="1181"/>
      <c r="UIW73" s="1181"/>
      <c r="UIX73" s="1181"/>
      <c r="UIY73" s="1181"/>
      <c r="UIZ73" s="1181"/>
      <c r="UJA73" s="1181"/>
      <c r="UJB73" s="1181"/>
      <c r="UJC73" s="1181"/>
      <c r="UJD73" s="1181"/>
      <c r="UJE73" s="1181"/>
      <c r="UJF73" s="1181"/>
      <c r="UJG73" s="1181"/>
      <c r="UJH73" s="1181"/>
      <c r="UJI73" s="1181"/>
      <c r="UJJ73" s="1181"/>
      <c r="UJK73" s="1181"/>
      <c r="UJL73" s="1181"/>
      <c r="UJM73" s="1181"/>
      <c r="UJN73" s="1181"/>
      <c r="UJO73" s="1181"/>
      <c r="UJP73" s="1181"/>
      <c r="UJQ73" s="1181"/>
      <c r="UJR73" s="1181"/>
      <c r="UJS73" s="1181"/>
      <c r="UJT73" s="1181"/>
      <c r="UJU73" s="1181"/>
      <c r="UJV73" s="1181"/>
      <c r="UJW73" s="1181"/>
      <c r="UJX73" s="1181"/>
      <c r="UJY73" s="1181"/>
      <c r="UJZ73" s="1181"/>
      <c r="UKA73" s="1181"/>
      <c r="UKB73" s="1181"/>
      <c r="UKC73" s="1181"/>
      <c r="UKD73" s="1181"/>
      <c r="UKE73" s="1181"/>
      <c r="UKF73" s="1181"/>
      <c r="UKG73" s="1181"/>
      <c r="UKH73" s="1181"/>
      <c r="UKI73" s="1181"/>
      <c r="UKJ73" s="1181"/>
      <c r="UKK73" s="1181"/>
      <c r="UKL73" s="1181"/>
      <c r="UKM73" s="1181"/>
      <c r="UKN73" s="1181"/>
      <c r="UKO73" s="1181"/>
      <c r="UKP73" s="1181"/>
      <c r="UKQ73" s="1181"/>
      <c r="UKR73" s="1181"/>
      <c r="UKS73" s="1181"/>
      <c r="UKT73" s="1181"/>
      <c r="UKU73" s="1181"/>
      <c r="UKV73" s="1181"/>
      <c r="UKW73" s="1181"/>
      <c r="UKX73" s="1181"/>
      <c r="UKY73" s="1181"/>
      <c r="UKZ73" s="1181"/>
      <c r="ULA73" s="1181"/>
      <c r="ULB73" s="1181"/>
      <c r="ULC73" s="1181"/>
      <c r="ULD73" s="1181"/>
      <c r="ULE73" s="1181"/>
      <c r="ULF73" s="1181"/>
      <c r="ULG73" s="1181"/>
      <c r="ULH73" s="1181"/>
      <c r="ULI73" s="1181"/>
      <c r="ULJ73" s="1181"/>
      <c r="ULK73" s="1181"/>
      <c r="ULL73" s="1181"/>
      <c r="ULM73" s="1181"/>
      <c r="ULN73" s="1181"/>
      <c r="ULO73" s="1181"/>
      <c r="ULP73" s="1181"/>
      <c r="ULQ73" s="1181"/>
      <c r="ULR73" s="1181"/>
      <c r="ULS73" s="1181"/>
      <c r="ULT73" s="1181"/>
      <c r="ULU73" s="1181"/>
      <c r="ULV73" s="1181"/>
      <c r="ULW73" s="1181"/>
      <c r="ULX73" s="1181"/>
      <c r="ULY73" s="1181"/>
      <c r="ULZ73" s="1181"/>
      <c r="UMA73" s="1181"/>
      <c r="UMB73" s="1181"/>
      <c r="UMC73" s="1181"/>
      <c r="UMD73" s="1181"/>
      <c r="UME73" s="1181"/>
      <c r="UMF73" s="1181"/>
      <c r="UMG73" s="1181"/>
      <c r="UMH73" s="1181"/>
      <c r="UMI73" s="1181"/>
      <c r="UMJ73" s="1181"/>
      <c r="UMK73" s="1181"/>
      <c r="UML73" s="1181"/>
      <c r="UMM73" s="1181"/>
      <c r="UMN73" s="1181"/>
      <c r="UMO73" s="1181"/>
      <c r="UMP73" s="1181"/>
      <c r="UMQ73" s="1181"/>
      <c r="UMR73" s="1181"/>
      <c r="UMS73" s="1181"/>
      <c r="UMT73" s="1181"/>
      <c r="UMU73" s="1181"/>
      <c r="UMV73" s="1181"/>
      <c r="UMW73" s="1181"/>
      <c r="UMX73" s="1181"/>
      <c r="UMY73" s="1181"/>
      <c r="UMZ73" s="1181"/>
      <c r="UNA73" s="1181"/>
      <c r="UNB73" s="1181"/>
      <c r="UNC73" s="1181"/>
      <c r="UND73" s="1181"/>
      <c r="UNE73" s="1181"/>
      <c r="UNF73" s="1181"/>
      <c r="UNG73" s="1181"/>
      <c r="UNH73" s="1181"/>
      <c r="UNI73" s="1181"/>
      <c r="UNJ73" s="1181"/>
      <c r="UNK73" s="1181"/>
      <c r="UNL73" s="1181"/>
      <c r="UNM73" s="1181"/>
      <c r="UNN73" s="1181"/>
      <c r="UNO73" s="1181"/>
      <c r="UNP73" s="1181"/>
      <c r="UNQ73" s="1181"/>
      <c r="UNR73" s="1181"/>
      <c r="UNS73" s="1181"/>
      <c r="UNT73" s="1181"/>
      <c r="UNU73" s="1181"/>
      <c r="UNV73" s="1181"/>
      <c r="UNW73" s="1181"/>
      <c r="UNX73" s="1181"/>
      <c r="UNY73" s="1181"/>
      <c r="UNZ73" s="1181"/>
      <c r="UOA73" s="1181"/>
      <c r="UOB73" s="1181"/>
      <c r="UOC73" s="1181"/>
      <c r="UOD73" s="1181"/>
      <c r="UOE73" s="1181"/>
      <c r="UOF73" s="1181"/>
      <c r="UOG73" s="1181"/>
      <c r="UOH73" s="1181"/>
      <c r="UOI73" s="1181"/>
      <c r="UOJ73" s="1181"/>
      <c r="UOK73" s="1181"/>
      <c r="UOL73" s="1181"/>
      <c r="UOM73" s="1181"/>
      <c r="UON73" s="1181"/>
      <c r="UOO73" s="1181"/>
      <c r="UOP73" s="1181"/>
      <c r="UOQ73" s="1181"/>
      <c r="UOR73" s="1181"/>
      <c r="UOS73" s="1181"/>
      <c r="UOT73" s="1181"/>
      <c r="UOU73" s="1181"/>
      <c r="UOV73" s="1181"/>
      <c r="UOW73" s="1181"/>
      <c r="UOX73" s="1181"/>
      <c r="UOY73" s="1181"/>
      <c r="UOZ73" s="1181"/>
      <c r="UPA73" s="1181"/>
      <c r="UPB73" s="1181"/>
      <c r="UPC73" s="1181"/>
      <c r="UPD73" s="1181"/>
      <c r="UPE73" s="1181"/>
      <c r="UPF73" s="1181"/>
      <c r="UPG73" s="1181"/>
      <c r="UPH73" s="1181"/>
      <c r="UPI73" s="1181"/>
      <c r="UPJ73" s="1181"/>
      <c r="UPK73" s="1181"/>
      <c r="UPL73" s="1181"/>
      <c r="UPM73" s="1181"/>
      <c r="UPN73" s="1181"/>
      <c r="UPO73" s="1181"/>
      <c r="UPP73" s="1181"/>
      <c r="UPQ73" s="1181"/>
      <c r="UPR73" s="1181"/>
      <c r="UPS73" s="1181"/>
      <c r="UPT73" s="1181"/>
      <c r="UPU73" s="1181"/>
      <c r="UPV73" s="1181"/>
      <c r="UPW73" s="1181"/>
      <c r="UPX73" s="1181"/>
      <c r="UPY73" s="1181"/>
      <c r="UPZ73" s="1181"/>
      <c r="UQA73" s="1181"/>
      <c r="UQB73" s="1181"/>
      <c r="UQC73" s="1181"/>
      <c r="UQD73" s="1181"/>
      <c r="UQE73" s="1181"/>
      <c r="UQF73" s="1181"/>
      <c r="UQG73" s="1181"/>
      <c r="UQH73" s="1181"/>
      <c r="UQI73" s="1181"/>
      <c r="UQJ73" s="1181"/>
      <c r="UQK73" s="1181"/>
      <c r="UQL73" s="1181"/>
      <c r="UQM73" s="1181"/>
      <c r="UQN73" s="1181"/>
      <c r="UQO73" s="1181"/>
      <c r="UQP73" s="1181"/>
      <c r="UQQ73" s="1181"/>
      <c r="UQR73" s="1181"/>
      <c r="UQS73" s="1181"/>
      <c r="UQT73" s="1181"/>
      <c r="UQU73" s="1181"/>
      <c r="UQV73" s="1181"/>
      <c r="UQW73" s="1181"/>
      <c r="UQX73" s="1181"/>
      <c r="UQY73" s="1181"/>
      <c r="UQZ73" s="1181"/>
      <c r="URA73" s="1181"/>
      <c r="URB73" s="1181"/>
      <c r="URC73" s="1181"/>
      <c r="URD73" s="1181"/>
      <c r="URE73" s="1181"/>
      <c r="URF73" s="1181"/>
      <c r="URG73" s="1181"/>
      <c r="URH73" s="1181"/>
      <c r="URI73" s="1181"/>
      <c r="URJ73" s="1181"/>
      <c r="URK73" s="1181"/>
      <c r="URL73" s="1181"/>
      <c r="URM73" s="1181"/>
      <c r="URN73" s="1181"/>
      <c r="URO73" s="1181"/>
      <c r="URP73" s="1181"/>
      <c r="URQ73" s="1181"/>
      <c r="URR73" s="1181"/>
      <c r="URS73" s="1181"/>
      <c r="URT73" s="1181"/>
      <c r="URU73" s="1181"/>
      <c r="URV73" s="1181"/>
      <c r="URW73" s="1181"/>
      <c r="URX73" s="1181"/>
      <c r="URY73" s="1181"/>
      <c r="URZ73" s="1181"/>
      <c r="USA73" s="1181"/>
      <c r="USB73" s="1181"/>
      <c r="USC73" s="1181"/>
      <c r="USD73" s="1181"/>
      <c r="USE73" s="1181"/>
      <c r="USF73" s="1181"/>
      <c r="USG73" s="1181"/>
      <c r="USH73" s="1181"/>
      <c r="USI73" s="1181"/>
      <c r="USJ73" s="1181"/>
      <c r="USK73" s="1181"/>
      <c r="USL73" s="1181"/>
      <c r="USM73" s="1181"/>
      <c r="USN73" s="1181"/>
      <c r="USO73" s="1181"/>
      <c r="USP73" s="1181"/>
      <c r="USQ73" s="1181"/>
      <c r="USR73" s="1181"/>
      <c r="USS73" s="1181"/>
      <c r="UST73" s="1181"/>
      <c r="USU73" s="1181"/>
      <c r="USV73" s="1181"/>
      <c r="USW73" s="1181"/>
      <c r="USX73" s="1181"/>
      <c r="USY73" s="1181"/>
      <c r="USZ73" s="1181"/>
      <c r="UTA73" s="1181"/>
      <c r="UTB73" s="1181"/>
      <c r="UTC73" s="1181"/>
      <c r="UTD73" s="1181"/>
      <c r="UTE73" s="1181"/>
      <c r="UTF73" s="1181"/>
      <c r="UTG73" s="1181"/>
      <c r="UTH73" s="1181"/>
      <c r="UTI73" s="1181"/>
      <c r="UTJ73" s="1181"/>
      <c r="UTK73" s="1181"/>
      <c r="UTL73" s="1181"/>
      <c r="UTM73" s="1181"/>
      <c r="UTN73" s="1181"/>
      <c r="UTO73" s="1181"/>
      <c r="UTP73" s="1181"/>
      <c r="UTQ73" s="1181"/>
      <c r="UTR73" s="1181"/>
      <c r="UTS73" s="1181"/>
      <c r="UTT73" s="1181"/>
      <c r="UTU73" s="1181"/>
      <c r="UTV73" s="1181"/>
      <c r="UTW73" s="1181"/>
      <c r="UTX73" s="1181"/>
      <c r="UTY73" s="1181"/>
      <c r="UTZ73" s="1181"/>
      <c r="UUA73" s="1181"/>
      <c r="UUB73" s="1181"/>
      <c r="UUC73" s="1181"/>
      <c r="UUD73" s="1181"/>
      <c r="UUE73" s="1181"/>
      <c r="UUF73" s="1181"/>
      <c r="UUG73" s="1181"/>
      <c r="UUH73" s="1181"/>
      <c r="UUI73" s="1181"/>
      <c r="UUJ73" s="1181"/>
      <c r="UUK73" s="1181"/>
      <c r="UUL73" s="1181"/>
      <c r="UUM73" s="1181"/>
      <c r="UUN73" s="1181"/>
      <c r="UUO73" s="1181"/>
      <c r="UUP73" s="1181"/>
      <c r="UUQ73" s="1181"/>
      <c r="UUR73" s="1181"/>
      <c r="UUS73" s="1181"/>
      <c r="UUT73" s="1181"/>
      <c r="UUU73" s="1181"/>
      <c r="UUV73" s="1181"/>
      <c r="UUW73" s="1181"/>
      <c r="UUX73" s="1181"/>
      <c r="UUY73" s="1181"/>
      <c r="UUZ73" s="1181"/>
      <c r="UVA73" s="1181"/>
      <c r="UVB73" s="1181"/>
      <c r="UVC73" s="1181"/>
      <c r="UVD73" s="1181"/>
      <c r="UVE73" s="1181"/>
      <c r="UVF73" s="1181"/>
      <c r="UVG73" s="1181"/>
      <c r="UVH73" s="1181"/>
      <c r="UVI73" s="1181"/>
      <c r="UVJ73" s="1181"/>
      <c r="UVK73" s="1181"/>
      <c r="UVL73" s="1181"/>
      <c r="UVM73" s="1181"/>
      <c r="UVN73" s="1181"/>
      <c r="UVO73" s="1181"/>
      <c r="UVP73" s="1181"/>
      <c r="UVQ73" s="1181"/>
      <c r="UVR73" s="1181"/>
      <c r="UVS73" s="1181"/>
      <c r="UVT73" s="1181"/>
      <c r="UVU73" s="1181"/>
      <c r="UVV73" s="1181"/>
      <c r="UVW73" s="1181"/>
      <c r="UVX73" s="1181"/>
      <c r="UVY73" s="1181"/>
      <c r="UVZ73" s="1181"/>
      <c r="UWA73" s="1181"/>
      <c r="UWB73" s="1181"/>
      <c r="UWC73" s="1181"/>
      <c r="UWD73" s="1181"/>
      <c r="UWE73" s="1181"/>
      <c r="UWF73" s="1181"/>
      <c r="UWG73" s="1181"/>
      <c r="UWH73" s="1181"/>
      <c r="UWI73" s="1181"/>
      <c r="UWJ73" s="1181"/>
      <c r="UWK73" s="1181"/>
      <c r="UWL73" s="1181"/>
      <c r="UWM73" s="1181"/>
      <c r="UWN73" s="1181"/>
      <c r="UWO73" s="1181"/>
      <c r="UWP73" s="1181"/>
      <c r="UWQ73" s="1181"/>
      <c r="UWR73" s="1181"/>
      <c r="UWS73" s="1181"/>
      <c r="UWT73" s="1181"/>
      <c r="UWU73" s="1181"/>
      <c r="UWV73" s="1181"/>
      <c r="UWW73" s="1181"/>
      <c r="UWX73" s="1181"/>
      <c r="UWY73" s="1181"/>
      <c r="UWZ73" s="1181"/>
      <c r="UXA73" s="1181"/>
      <c r="UXB73" s="1181"/>
      <c r="UXC73" s="1181"/>
      <c r="UXD73" s="1181"/>
      <c r="UXE73" s="1181"/>
      <c r="UXF73" s="1181"/>
      <c r="UXG73" s="1181"/>
      <c r="UXH73" s="1181"/>
      <c r="UXI73" s="1181"/>
      <c r="UXJ73" s="1181"/>
      <c r="UXK73" s="1181"/>
      <c r="UXL73" s="1181"/>
      <c r="UXM73" s="1181"/>
      <c r="UXN73" s="1181"/>
      <c r="UXO73" s="1181"/>
      <c r="UXP73" s="1181"/>
      <c r="UXQ73" s="1181"/>
      <c r="UXR73" s="1181"/>
      <c r="UXS73" s="1181"/>
      <c r="UXT73" s="1181"/>
      <c r="UXU73" s="1181"/>
      <c r="UXV73" s="1181"/>
      <c r="UXW73" s="1181"/>
      <c r="UXX73" s="1181"/>
      <c r="UXY73" s="1181"/>
      <c r="UXZ73" s="1181"/>
      <c r="UYA73" s="1181"/>
      <c r="UYB73" s="1181"/>
      <c r="UYC73" s="1181"/>
      <c r="UYD73" s="1181"/>
      <c r="UYE73" s="1181"/>
      <c r="UYF73" s="1181"/>
      <c r="UYG73" s="1181"/>
      <c r="UYH73" s="1181"/>
      <c r="UYI73" s="1181"/>
      <c r="UYJ73" s="1181"/>
      <c r="UYK73" s="1181"/>
      <c r="UYL73" s="1181"/>
      <c r="UYM73" s="1181"/>
      <c r="UYN73" s="1181"/>
      <c r="UYO73" s="1181"/>
      <c r="UYP73" s="1181"/>
      <c r="UYQ73" s="1181"/>
      <c r="UYR73" s="1181"/>
      <c r="UYS73" s="1181"/>
      <c r="UYT73" s="1181"/>
      <c r="UYU73" s="1181"/>
      <c r="UYV73" s="1181"/>
      <c r="UYW73" s="1181"/>
      <c r="UYX73" s="1181"/>
      <c r="UYY73" s="1181"/>
      <c r="UYZ73" s="1181"/>
      <c r="UZA73" s="1181"/>
      <c r="UZB73" s="1181"/>
      <c r="UZC73" s="1181"/>
      <c r="UZD73" s="1181"/>
      <c r="UZE73" s="1181"/>
      <c r="UZF73" s="1181"/>
      <c r="UZG73" s="1181"/>
      <c r="UZH73" s="1181"/>
      <c r="UZI73" s="1181"/>
      <c r="UZJ73" s="1181"/>
      <c r="UZK73" s="1181"/>
      <c r="UZL73" s="1181"/>
      <c r="UZM73" s="1181"/>
      <c r="UZN73" s="1181"/>
      <c r="UZO73" s="1181"/>
      <c r="UZP73" s="1181"/>
      <c r="UZQ73" s="1181"/>
      <c r="UZR73" s="1181"/>
      <c r="UZS73" s="1181"/>
      <c r="UZT73" s="1181"/>
      <c r="UZU73" s="1181"/>
      <c r="UZV73" s="1181"/>
      <c r="UZW73" s="1181"/>
      <c r="UZX73" s="1181"/>
      <c r="UZY73" s="1181"/>
      <c r="UZZ73" s="1181"/>
      <c r="VAA73" s="1181"/>
      <c r="VAB73" s="1181"/>
      <c r="VAC73" s="1181"/>
      <c r="VAD73" s="1181"/>
      <c r="VAE73" s="1181"/>
      <c r="VAF73" s="1181"/>
      <c r="VAG73" s="1181"/>
      <c r="VAH73" s="1181"/>
      <c r="VAI73" s="1181"/>
      <c r="VAJ73" s="1181"/>
      <c r="VAK73" s="1181"/>
      <c r="VAL73" s="1181"/>
      <c r="VAM73" s="1181"/>
      <c r="VAN73" s="1181"/>
      <c r="VAO73" s="1181"/>
      <c r="VAP73" s="1181"/>
      <c r="VAQ73" s="1181"/>
      <c r="VAR73" s="1181"/>
      <c r="VAS73" s="1181"/>
      <c r="VAT73" s="1181"/>
      <c r="VAU73" s="1181"/>
      <c r="VAV73" s="1181"/>
      <c r="VAW73" s="1181"/>
      <c r="VAX73" s="1181"/>
      <c r="VAY73" s="1181"/>
      <c r="VAZ73" s="1181"/>
      <c r="VBA73" s="1181"/>
      <c r="VBB73" s="1181"/>
      <c r="VBC73" s="1181"/>
      <c r="VBD73" s="1181"/>
      <c r="VBE73" s="1181"/>
      <c r="VBF73" s="1181"/>
      <c r="VBG73" s="1181"/>
      <c r="VBH73" s="1181"/>
      <c r="VBI73" s="1181"/>
      <c r="VBJ73" s="1181"/>
      <c r="VBK73" s="1181"/>
      <c r="VBL73" s="1181"/>
      <c r="VBM73" s="1181"/>
      <c r="VBN73" s="1181"/>
      <c r="VBO73" s="1181"/>
      <c r="VBP73" s="1181"/>
      <c r="VBQ73" s="1181"/>
      <c r="VBR73" s="1181"/>
      <c r="VBS73" s="1181"/>
      <c r="VBT73" s="1181"/>
      <c r="VBU73" s="1181"/>
      <c r="VBV73" s="1181"/>
      <c r="VBW73" s="1181"/>
      <c r="VBX73" s="1181"/>
      <c r="VBY73" s="1181"/>
      <c r="VBZ73" s="1181"/>
      <c r="VCA73" s="1181"/>
      <c r="VCB73" s="1181"/>
      <c r="VCC73" s="1181"/>
      <c r="VCD73" s="1181"/>
      <c r="VCE73" s="1181"/>
      <c r="VCF73" s="1181"/>
      <c r="VCG73" s="1181"/>
      <c r="VCH73" s="1181"/>
      <c r="VCI73" s="1181"/>
      <c r="VCJ73" s="1181"/>
      <c r="VCK73" s="1181"/>
      <c r="VCL73" s="1181"/>
      <c r="VCM73" s="1181"/>
      <c r="VCN73" s="1181"/>
      <c r="VCO73" s="1181"/>
      <c r="VCP73" s="1181"/>
      <c r="VCQ73" s="1181"/>
      <c r="VCR73" s="1181"/>
      <c r="VCS73" s="1181"/>
      <c r="VCT73" s="1181"/>
      <c r="VCU73" s="1181"/>
      <c r="VCV73" s="1181"/>
      <c r="VCW73" s="1181"/>
      <c r="VCX73" s="1181"/>
      <c r="VCY73" s="1181"/>
      <c r="VCZ73" s="1181"/>
      <c r="VDA73" s="1181"/>
      <c r="VDB73" s="1181"/>
      <c r="VDC73" s="1181"/>
      <c r="VDD73" s="1181"/>
      <c r="VDE73" s="1181"/>
      <c r="VDF73" s="1181"/>
      <c r="VDG73" s="1181"/>
      <c r="VDH73" s="1181"/>
      <c r="VDI73" s="1181"/>
      <c r="VDJ73" s="1181"/>
      <c r="VDK73" s="1181"/>
      <c r="VDL73" s="1181"/>
      <c r="VDM73" s="1181"/>
      <c r="VDN73" s="1181"/>
      <c r="VDO73" s="1181"/>
      <c r="VDP73" s="1181"/>
      <c r="VDQ73" s="1181"/>
      <c r="VDR73" s="1181"/>
      <c r="VDS73" s="1181"/>
      <c r="VDT73" s="1181"/>
      <c r="VDU73" s="1181"/>
      <c r="VDV73" s="1181"/>
      <c r="VDW73" s="1181"/>
      <c r="VDX73" s="1181"/>
      <c r="VDY73" s="1181"/>
      <c r="VDZ73" s="1181"/>
      <c r="VEA73" s="1181"/>
      <c r="VEB73" s="1181"/>
      <c r="VEC73" s="1181"/>
      <c r="VED73" s="1181"/>
      <c r="VEE73" s="1181"/>
      <c r="VEF73" s="1181"/>
      <c r="VEG73" s="1181"/>
      <c r="VEH73" s="1181"/>
      <c r="VEI73" s="1181"/>
      <c r="VEJ73" s="1181"/>
      <c r="VEK73" s="1181"/>
      <c r="VEL73" s="1181"/>
      <c r="VEM73" s="1181"/>
      <c r="VEN73" s="1181"/>
      <c r="VEO73" s="1181"/>
      <c r="VEP73" s="1181"/>
      <c r="VEQ73" s="1181"/>
      <c r="VER73" s="1181"/>
      <c r="VES73" s="1181"/>
      <c r="VET73" s="1181"/>
      <c r="VEU73" s="1181"/>
      <c r="VEV73" s="1181"/>
      <c r="VEW73" s="1181"/>
      <c r="VEX73" s="1181"/>
      <c r="VEY73" s="1181"/>
      <c r="VEZ73" s="1181"/>
      <c r="VFA73" s="1181"/>
      <c r="VFB73" s="1181"/>
      <c r="VFC73" s="1181"/>
      <c r="VFD73" s="1181"/>
      <c r="VFE73" s="1181"/>
      <c r="VFF73" s="1181"/>
      <c r="VFG73" s="1181"/>
      <c r="VFH73" s="1181"/>
      <c r="VFI73" s="1181"/>
      <c r="VFJ73" s="1181"/>
      <c r="VFK73" s="1181"/>
      <c r="VFL73" s="1181"/>
      <c r="VFM73" s="1181"/>
      <c r="VFN73" s="1181"/>
      <c r="VFO73" s="1181"/>
      <c r="VFP73" s="1181"/>
      <c r="VFQ73" s="1181"/>
      <c r="VFR73" s="1181"/>
      <c r="VFS73" s="1181"/>
      <c r="VFT73" s="1181"/>
      <c r="VFU73" s="1181"/>
      <c r="VFV73" s="1181"/>
      <c r="VFW73" s="1181"/>
      <c r="VFX73" s="1181"/>
      <c r="VFY73" s="1181"/>
      <c r="VFZ73" s="1181"/>
      <c r="VGA73" s="1181"/>
      <c r="VGB73" s="1181"/>
      <c r="VGC73" s="1181"/>
      <c r="VGD73" s="1181"/>
      <c r="VGE73" s="1181"/>
      <c r="VGF73" s="1181"/>
      <c r="VGG73" s="1181"/>
      <c r="VGH73" s="1181"/>
      <c r="VGI73" s="1181"/>
      <c r="VGJ73" s="1181"/>
      <c r="VGK73" s="1181"/>
      <c r="VGL73" s="1181"/>
      <c r="VGM73" s="1181"/>
      <c r="VGN73" s="1181"/>
      <c r="VGO73" s="1181"/>
      <c r="VGP73" s="1181"/>
      <c r="VGQ73" s="1181"/>
      <c r="VGR73" s="1181"/>
      <c r="VGS73" s="1181"/>
      <c r="VGT73" s="1181"/>
      <c r="VGU73" s="1181"/>
      <c r="VGV73" s="1181"/>
      <c r="VGW73" s="1181"/>
      <c r="VGX73" s="1181"/>
      <c r="VGY73" s="1181"/>
      <c r="VGZ73" s="1181"/>
      <c r="VHA73" s="1181"/>
      <c r="VHB73" s="1181"/>
      <c r="VHC73" s="1181"/>
      <c r="VHD73" s="1181"/>
      <c r="VHE73" s="1181"/>
      <c r="VHF73" s="1181"/>
      <c r="VHG73" s="1181"/>
      <c r="VHH73" s="1181"/>
      <c r="VHI73" s="1181"/>
      <c r="VHJ73" s="1181"/>
      <c r="VHK73" s="1181"/>
      <c r="VHL73" s="1181"/>
      <c r="VHM73" s="1181"/>
      <c r="VHN73" s="1181"/>
      <c r="VHO73" s="1181"/>
      <c r="VHP73" s="1181"/>
      <c r="VHQ73" s="1181"/>
      <c r="VHR73" s="1181"/>
      <c r="VHS73" s="1181"/>
      <c r="VHT73" s="1181"/>
      <c r="VHU73" s="1181"/>
      <c r="VHV73" s="1181"/>
      <c r="VHW73" s="1181"/>
      <c r="VHX73" s="1181"/>
      <c r="VHY73" s="1181"/>
      <c r="VHZ73" s="1181"/>
      <c r="VIA73" s="1181"/>
      <c r="VIB73" s="1181"/>
      <c r="VIC73" s="1181"/>
      <c r="VID73" s="1181"/>
      <c r="VIE73" s="1181"/>
      <c r="VIF73" s="1181"/>
      <c r="VIG73" s="1181"/>
      <c r="VIH73" s="1181"/>
      <c r="VII73" s="1181"/>
      <c r="VIJ73" s="1181"/>
      <c r="VIK73" s="1181"/>
      <c r="VIL73" s="1181"/>
      <c r="VIM73" s="1181"/>
      <c r="VIN73" s="1181"/>
      <c r="VIO73" s="1181"/>
      <c r="VIP73" s="1181"/>
      <c r="VIQ73" s="1181"/>
      <c r="VIR73" s="1181"/>
      <c r="VIS73" s="1181"/>
      <c r="VIT73" s="1181"/>
      <c r="VIU73" s="1181"/>
      <c r="VIV73" s="1181"/>
      <c r="VIW73" s="1181"/>
      <c r="VIX73" s="1181"/>
      <c r="VIY73" s="1181"/>
      <c r="VIZ73" s="1181"/>
      <c r="VJA73" s="1181"/>
      <c r="VJB73" s="1181"/>
      <c r="VJC73" s="1181"/>
      <c r="VJD73" s="1181"/>
      <c r="VJE73" s="1181"/>
      <c r="VJF73" s="1181"/>
      <c r="VJG73" s="1181"/>
      <c r="VJH73" s="1181"/>
      <c r="VJI73" s="1181"/>
      <c r="VJJ73" s="1181"/>
      <c r="VJK73" s="1181"/>
      <c r="VJL73" s="1181"/>
      <c r="VJM73" s="1181"/>
      <c r="VJN73" s="1181"/>
      <c r="VJO73" s="1181"/>
      <c r="VJP73" s="1181"/>
      <c r="VJQ73" s="1181"/>
      <c r="VJR73" s="1181"/>
      <c r="VJS73" s="1181"/>
      <c r="VJT73" s="1181"/>
      <c r="VJU73" s="1181"/>
      <c r="VJV73" s="1181"/>
      <c r="VJW73" s="1181"/>
      <c r="VJX73" s="1181"/>
      <c r="VJY73" s="1181"/>
      <c r="VJZ73" s="1181"/>
      <c r="VKA73" s="1181"/>
      <c r="VKB73" s="1181"/>
      <c r="VKC73" s="1181"/>
      <c r="VKD73" s="1181"/>
      <c r="VKE73" s="1181"/>
      <c r="VKF73" s="1181"/>
      <c r="VKG73" s="1181"/>
      <c r="VKH73" s="1181"/>
      <c r="VKI73" s="1181"/>
      <c r="VKJ73" s="1181"/>
      <c r="VKK73" s="1181"/>
      <c r="VKL73" s="1181"/>
      <c r="VKM73" s="1181"/>
      <c r="VKN73" s="1181"/>
      <c r="VKO73" s="1181"/>
      <c r="VKP73" s="1181"/>
      <c r="VKQ73" s="1181"/>
      <c r="VKR73" s="1181"/>
      <c r="VKS73" s="1181"/>
      <c r="VKT73" s="1181"/>
      <c r="VKU73" s="1181"/>
      <c r="VKV73" s="1181"/>
      <c r="VKW73" s="1181"/>
      <c r="VKX73" s="1181"/>
      <c r="VKY73" s="1181"/>
      <c r="VKZ73" s="1181"/>
      <c r="VLA73" s="1181"/>
      <c r="VLB73" s="1181"/>
      <c r="VLC73" s="1181"/>
      <c r="VLD73" s="1181"/>
      <c r="VLE73" s="1181"/>
      <c r="VLF73" s="1181"/>
      <c r="VLG73" s="1181"/>
      <c r="VLH73" s="1181"/>
      <c r="VLI73" s="1181"/>
      <c r="VLJ73" s="1181"/>
      <c r="VLK73" s="1181"/>
      <c r="VLL73" s="1181"/>
      <c r="VLM73" s="1181"/>
      <c r="VLN73" s="1181"/>
      <c r="VLO73" s="1181"/>
      <c r="VLP73" s="1181"/>
      <c r="VLQ73" s="1181"/>
      <c r="VLR73" s="1181"/>
      <c r="VLS73" s="1181"/>
      <c r="VLT73" s="1181"/>
      <c r="VLU73" s="1181"/>
      <c r="VLV73" s="1181"/>
      <c r="VLW73" s="1181"/>
      <c r="VLX73" s="1181"/>
      <c r="VLY73" s="1181"/>
      <c r="VLZ73" s="1181"/>
      <c r="VMA73" s="1181"/>
      <c r="VMB73" s="1181"/>
      <c r="VMC73" s="1181"/>
      <c r="VMD73" s="1181"/>
      <c r="VME73" s="1181"/>
      <c r="VMF73" s="1181"/>
      <c r="VMG73" s="1181"/>
      <c r="VMH73" s="1181"/>
      <c r="VMI73" s="1181"/>
      <c r="VMJ73" s="1181"/>
      <c r="VMK73" s="1181"/>
      <c r="VML73" s="1181"/>
      <c r="VMM73" s="1181"/>
      <c r="VMN73" s="1181"/>
      <c r="VMO73" s="1181"/>
      <c r="VMP73" s="1181"/>
      <c r="VMQ73" s="1181"/>
      <c r="VMR73" s="1181"/>
      <c r="VMS73" s="1181"/>
      <c r="VMT73" s="1181"/>
      <c r="VMU73" s="1181"/>
      <c r="VMV73" s="1181"/>
      <c r="VMW73" s="1181"/>
      <c r="VMX73" s="1181"/>
      <c r="VMY73" s="1181"/>
      <c r="VMZ73" s="1181"/>
      <c r="VNA73" s="1181"/>
      <c r="VNB73" s="1181"/>
      <c r="VNC73" s="1181"/>
      <c r="VND73" s="1181"/>
      <c r="VNE73" s="1181"/>
      <c r="VNF73" s="1181"/>
      <c r="VNG73" s="1181"/>
      <c r="VNH73" s="1181"/>
      <c r="VNI73" s="1181"/>
      <c r="VNJ73" s="1181"/>
      <c r="VNK73" s="1181"/>
      <c r="VNL73" s="1181"/>
      <c r="VNM73" s="1181"/>
      <c r="VNN73" s="1181"/>
      <c r="VNO73" s="1181"/>
      <c r="VNP73" s="1181"/>
      <c r="VNQ73" s="1181"/>
      <c r="VNR73" s="1181"/>
      <c r="VNS73" s="1181"/>
      <c r="VNT73" s="1181"/>
      <c r="VNU73" s="1181"/>
      <c r="VNV73" s="1181"/>
      <c r="VNW73" s="1181"/>
      <c r="VNX73" s="1181"/>
      <c r="VNY73" s="1181"/>
      <c r="VNZ73" s="1181"/>
      <c r="VOA73" s="1181"/>
      <c r="VOB73" s="1181"/>
      <c r="VOC73" s="1181"/>
      <c r="VOD73" s="1181"/>
      <c r="VOE73" s="1181"/>
      <c r="VOF73" s="1181"/>
      <c r="VOG73" s="1181"/>
      <c r="VOH73" s="1181"/>
      <c r="VOI73" s="1181"/>
      <c r="VOJ73" s="1181"/>
      <c r="VOK73" s="1181"/>
      <c r="VOL73" s="1181"/>
      <c r="VOM73" s="1181"/>
      <c r="VON73" s="1181"/>
      <c r="VOO73" s="1181"/>
      <c r="VOP73" s="1181"/>
      <c r="VOQ73" s="1181"/>
      <c r="VOR73" s="1181"/>
      <c r="VOS73" s="1181"/>
      <c r="VOT73" s="1181"/>
      <c r="VOU73" s="1181"/>
      <c r="VOV73" s="1181"/>
      <c r="VOW73" s="1181"/>
      <c r="VOX73" s="1181"/>
      <c r="VOY73" s="1181"/>
      <c r="VOZ73" s="1181"/>
      <c r="VPA73" s="1181"/>
      <c r="VPB73" s="1181"/>
      <c r="VPC73" s="1181"/>
      <c r="VPD73" s="1181"/>
      <c r="VPE73" s="1181"/>
      <c r="VPF73" s="1181"/>
      <c r="VPG73" s="1181"/>
      <c r="VPH73" s="1181"/>
      <c r="VPI73" s="1181"/>
      <c r="VPJ73" s="1181"/>
      <c r="VPK73" s="1181"/>
      <c r="VPL73" s="1181"/>
      <c r="VPM73" s="1181"/>
      <c r="VPN73" s="1181"/>
      <c r="VPO73" s="1181"/>
      <c r="VPP73" s="1181"/>
      <c r="VPQ73" s="1181"/>
      <c r="VPR73" s="1181"/>
      <c r="VPS73" s="1181"/>
      <c r="VPT73" s="1181"/>
      <c r="VPU73" s="1181"/>
      <c r="VPV73" s="1181"/>
      <c r="VPW73" s="1181"/>
      <c r="VPX73" s="1181"/>
      <c r="VPY73" s="1181"/>
      <c r="VPZ73" s="1181"/>
      <c r="VQA73" s="1181"/>
      <c r="VQB73" s="1181"/>
      <c r="VQC73" s="1181"/>
      <c r="VQD73" s="1181"/>
      <c r="VQE73" s="1181"/>
      <c r="VQF73" s="1181"/>
      <c r="VQG73" s="1181"/>
      <c r="VQH73" s="1181"/>
      <c r="VQI73" s="1181"/>
      <c r="VQJ73" s="1181"/>
      <c r="VQK73" s="1181"/>
      <c r="VQL73" s="1181"/>
      <c r="VQM73" s="1181"/>
      <c r="VQN73" s="1181"/>
      <c r="VQO73" s="1181"/>
      <c r="VQP73" s="1181"/>
      <c r="VQQ73" s="1181"/>
      <c r="VQR73" s="1181"/>
      <c r="VQS73" s="1181"/>
      <c r="VQT73" s="1181"/>
      <c r="VQU73" s="1181"/>
      <c r="VQV73" s="1181"/>
      <c r="VQW73" s="1181"/>
      <c r="VQX73" s="1181"/>
      <c r="VQY73" s="1181"/>
      <c r="VQZ73" s="1181"/>
      <c r="VRA73" s="1181"/>
      <c r="VRB73" s="1181"/>
      <c r="VRC73" s="1181"/>
      <c r="VRD73" s="1181"/>
      <c r="VRE73" s="1181"/>
      <c r="VRF73" s="1181"/>
      <c r="VRG73" s="1181"/>
      <c r="VRH73" s="1181"/>
      <c r="VRI73" s="1181"/>
      <c r="VRJ73" s="1181"/>
      <c r="VRK73" s="1181"/>
      <c r="VRL73" s="1181"/>
      <c r="VRM73" s="1181"/>
      <c r="VRN73" s="1181"/>
      <c r="VRO73" s="1181"/>
      <c r="VRP73" s="1181"/>
      <c r="VRQ73" s="1181"/>
      <c r="VRR73" s="1181"/>
      <c r="VRS73" s="1181"/>
      <c r="VRT73" s="1181"/>
      <c r="VRU73" s="1181"/>
      <c r="VRV73" s="1181"/>
      <c r="VRW73" s="1181"/>
      <c r="VRX73" s="1181"/>
      <c r="VRY73" s="1181"/>
      <c r="VRZ73" s="1181"/>
      <c r="VSA73" s="1181"/>
      <c r="VSB73" s="1181"/>
      <c r="VSC73" s="1181"/>
      <c r="VSD73" s="1181"/>
      <c r="VSE73" s="1181"/>
      <c r="VSF73" s="1181"/>
      <c r="VSG73" s="1181"/>
      <c r="VSH73" s="1181"/>
      <c r="VSI73" s="1181"/>
      <c r="VSJ73" s="1181"/>
      <c r="VSK73" s="1181"/>
      <c r="VSL73" s="1181"/>
      <c r="VSM73" s="1181"/>
      <c r="VSN73" s="1181"/>
      <c r="VSO73" s="1181"/>
      <c r="VSP73" s="1181"/>
      <c r="VSQ73" s="1181"/>
      <c r="VSR73" s="1181"/>
      <c r="VSS73" s="1181"/>
      <c r="VST73" s="1181"/>
      <c r="VSU73" s="1181"/>
      <c r="VSV73" s="1181"/>
      <c r="VSW73" s="1181"/>
      <c r="VSX73" s="1181"/>
      <c r="VSY73" s="1181"/>
      <c r="VSZ73" s="1181"/>
      <c r="VTA73" s="1181"/>
      <c r="VTB73" s="1181"/>
      <c r="VTC73" s="1181"/>
      <c r="VTD73" s="1181"/>
      <c r="VTE73" s="1181"/>
      <c r="VTF73" s="1181"/>
      <c r="VTG73" s="1181"/>
      <c r="VTH73" s="1181"/>
      <c r="VTI73" s="1181"/>
      <c r="VTJ73" s="1181"/>
      <c r="VTK73" s="1181"/>
      <c r="VTL73" s="1181"/>
      <c r="VTM73" s="1181"/>
      <c r="VTN73" s="1181"/>
      <c r="VTO73" s="1181"/>
      <c r="VTP73" s="1181"/>
      <c r="VTQ73" s="1181"/>
      <c r="VTR73" s="1181"/>
      <c r="VTS73" s="1181"/>
      <c r="VTT73" s="1181"/>
      <c r="VTU73" s="1181"/>
      <c r="VTV73" s="1181"/>
      <c r="VTW73" s="1181"/>
      <c r="VTX73" s="1181"/>
      <c r="VTY73" s="1181"/>
      <c r="VTZ73" s="1181"/>
      <c r="VUA73" s="1181"/>
      <c r="VUB73" s="1181"/>
      <c r="VUC73" s="1181"/>
      <c r="VUD73" s="1181"/>
      <c r="VUE73" s="1181"/>
      <c r="VUF73" s="1181"/>
      <c r="VUG73" s="1181"/>
      <c r="VUH73" s="1181"/>
      <c r="VUI73" s="1181"/>
      <c r="VUJ73" s="1181"/>
      <c r="VUK73" s="1181"/>
      <c r="VUL73" s="1181"/>
      <c r="VUM73" s="1181"/>
      <c r="VUN73" s="1181"/>
      <c r="VUO73" s="1181"/>
      <c r="VUP73" s="1181"/>
      <c r="VUQ73" s="1181"/>
      <c r="VUR73" s="1181"/>
      <c r="VUS73" s="1181"/>
      <c r="VUT73" s="1181"/>
      <c r="VUU73" s="1181"/>
      <c r="VUV73" s="1181"/>
      <c r="VUW73" s="1181"/>
      <c r="VUX73" s="1181"/>
      <c r="VUY73" s="1181"/>
      <c r="VUZ73" s="1181"/>
      <c r="VVA73" s="1181"/>
      <c r="VVB73" s="1181"/>
      <c r="VVC73" s="1181"/>
      <c r="VVD73" s="1181"/>
      <c r="VVE73" s="1181"/>
      <c r="VVF73" s="1181"/>
      <c r="VVG73" s="1181"/>
      <c r="VVH73" s="1181"/>
      <c r="VVI73" s="1181"/>
      <c r="VVJ73" s="1181"/>
      <c r="VVK73" s="1181"/>
      <c r="VVL73" s="1181"/>
      <c r="VVM73" s="1181"/>
      <c r="VVN73" s="1181"/>
      <c r="VVO73" s="1181"/>
      <c r="VVP73" s="1181"/>
      <c r="VVQ73" s="1181"/>
      <c r="VVR73" s="1181"/>
      <c r="VVS73" s="1181"/>
      <c r="VVT73" s="1181"/>
      <c r="VVU73" s="1181"/>
      <c r="VVV73" s="1181"/>
      <c r="VVW73" s="1181"/>
      <c r="VVX73" s="1181"/>
      <c r="VVY73" s="1181"/>
      <c r="VVZ73" s="1181"/>
      <c r="VWA73" s="1181"/>
      <c r="VWB73" s="1181"/>
      <c r="VWC73" s="1181"/>
      <c r="VWD73" s="1181"/>
      <c r="VWE73" s="1181"/>
      <c r="VWF73" s="1181"/>
      <c r="VWG73" s="1181"/>
      <c r="VWH73" s="1181"/>
      <c r="VWI73" s="1181"/>
      <c r="VWJ73" s="1181"/>
      <c r="VWK73" s="1181"/>
      <c r="VWL73" s="1181"/>
      <c r="VWM73" s="1181"/>
      <c r="VWN73" s="1181"/>
      <c r="VWO73" s="1181"/>
      <c r="VWP73" s="1181"/>
      <c r="VWQ73" s="1181"/>
      <c r="VWR73" s="1181"/>
      <c r="VWS73" s="1181"/>
      <c r="VWT73" s="1181"/>
      <c r="VWU73" s="1181"/>
      <c r="VWV73" s="1181"/>
      <c r="VWW73" s="1181"/>
      <c r="VWX73" s="1181"/>
      <c r="VWY73" s="1181"/>
      <c r="VWZ73" s="1181"/>
      <c r="VXA73" s="1181"/>
      <c r="VXB73" s="1181"/>
      <c r="VXC73" s="1181"/>
      <c r="VXD73" s="1181"/>
      <c r="VXE73" s="1181"/>
      <c r="VXF73" s="1181"/>
      <c r="VXG73" s="1181"/>
      <c r="VXH73" s="1181"/>
      <c r="VXI73" s="1181"/>
      <c r="VXJ73" s="1181"/>
      <c r="VXK73" s="1181"/>
      <c r="VXL73" s="1181"/>
      <c r="VXM73" s="1181"/>
      <c r="VXN73" s="1181"/>
      <c r="VXO73" s="1181"/>
      <c r="VXP73" s="1181"/>
      <c r="VXQ73" s="1181"/>
      <c r="VXR73" s="1181"/>
      <c r="VXS73" s="1181"/>
      <c r="VXT73" s="1181"/>
      <c r="VXU73" s="1181"/>
      <c r="VXV73" s="1181"/>
      <c r="VXW73" s="1181"/>
      <c r="VXX73" s="1181"/>
      <c r="VXY73" s="1181"/>
      <c r="VXZ73" s="1181"/>
      <c r="VYA73" s="1181"/>
      <c r="VYB73" s="1181"/>
      <c r="VYC73" s="1181"/>
      <c r="VYD73" s="1181"/>
      <c r="VYE73" s="1181"/>
      <c r="VYF73" s="1181"/>
      <c r="VYG73" s="1181"/>
      <c r="VYH73" s="1181"/>
      <c r="VYI73" s="1181"/>
      <c r="VYJ73" s="1181"/>
      <c r="VYK73" s="1181"/>
      <c r="VYL73" s="1181"/>
      <c r="VYM73" s="1181"/>
      <c r="VYN73" s="1181"/>
      <c r="VYO73" s="1181"/>
      <c r="VYP73" s="1181"/>
      <c r="VYQ73" s="1181"/>
      <c r="VYR73" s="1181"/>
      <c r="VYS73" s="1181"/>
      <c r="VYT73" s="1181"/>
      <c r="VYU73" s="1181"/>
      <c r="VYV73" s="1181"/>
      <c r="VYW73" s="1181"/>
      <c r="VYX73" s="1181"/>
      <c r="VYY73" s="1181"/>
      <c r="VYZ73" s="1181"/>
      <c r="VZA73" s="1181"/>
      <c r="VZB73" s="1181"/>
      <c r="VZC73" s="1181"/>
      <c r="VZD73" s="1181"/>
      <c r="VZE73" s="1181"/>
      <c r="VZF73" s="1181"/>
      <c r="VZG73" s="1181"/>
      <c r="VZH73" s="1181"/>
      <c r="VZI73" s="1181"/>
      <c r="VZJ73" s="1181"/>
      <c r="VZK73" s="1181"/>
      <c r="VZL73" s="1181"/>
      <c r="VZM73" s="1181"/>
      <c r="VZN73" s="1181"/>
      <c r="VZO73" s="1181"/>
      <c r="VZP73" s="1181"/>
      <c r="VZQ73" s="1181"/>
      <c r="VZR73" s="1181"/>
      <c r="VZS73" s="1181"/>
      <c r="VZT73" s="1181"/>
      <c r="VZU73" s="1181"/>
      <c r="VZV73" s="1181"/>
      <c r="VZW73" s="1181"/>
      <c r="VZX73" s="1181"/>
      <c r="VZY73" s="1181"/>
      <c r="VZZ73" s="1181"/>
      <c r="WAA73" s="1181"/>
      <c r="WAB73" s="1181"/>
      <c r="WAC73" s="1181"/>
      <c r="WAD73" s="1181"/>
      <c r="WAE73" s="1181"/>
      <c r="WAF73" s="1181"/>
      <c r="WAG73" s="1181"/>
      <c r="WAH73" s="1181"/>
      <c r="WAI73" s="1181"/>
      <c r="WAJ73" s="1181"/>
      <c r="WAK73" s="1181"/>
      <c r="WAL73" s="1181"/>
      <c r="WAM73" s="1181"/>
      <c r="WAN73" s="1181"/>
      <c r="WAO73" s="1181"/>
      <c r="WAP73" s="1181"/>
      <c r="WAQ73" s="1181"/>
      <c r="WAR73" s="1181"/>
      <c r="WAS73" s="1181"/>
      <c r="WAT73" s="1181"/>
      <c r="WAU73" s="1181"/>
      <c r="WAV73" s="1181"/>
      <c r="WAW73" s="1181"/>
      <c r="WAX73" s="1181"/>
      <c r="WAY73" s="1181"/>
      <c r="WAZ73" s="1181"/>
      <c r="WBA73" s="1181"/>
      <c r="WBB73" s="1181"/>
      <c r="WBC73" s="1181"/>
      <c r="WBD73" s="1181"/>
      <c r="WBE73" s="1181"/>
      <c r="WBF73" s="1181"/>
      <c r="WBG73" s="1181"/>
      <c r="WBH73" s="1181"/>
      <c r="WBI73" s="1181"/>
      <c r="WBJ73" s="1181"/>
      <c r="WBK73" s="1181"/>
      <c r="WBL73" s="1181"/>
      <c r="WBM73" s="1181"/>
      <c r="WBN73" s="1181"/>
      <c r="WBO73" s="1181"/>
      <c r="WBP73" s="1181"/>
      <c r="WBQ73" s="1181"/>
      <c r="WBR73" s="1181"/>
      <c r="WBS73" s="1181"/>
      <c r="WBT73" s="1181"/>
      <c r="WBU73" s="1181"/>
      <c r="WBV73" s="1181"/>
      <c r="WBW73" s="1181"/>
      <c r="WBX73" s="1181"/>
      <c r="WBY73" s="1181"/>
      <c r="WBZ73" s="1181"/>
      <c r="WCA73" s="1181"/>
      <c r="WCB73" s="1181"/>
      <c r="WCC73" s="1181"/>
      <c r="WCD73" s="1181"/>
      <c r="WCE73" s="1181"/>
      <c r="WCF73" s="1181"/>
      <c r="WCG73" s="1181"/>
      <c r="WCH73" s="1181"/>
      <c r="WCI73" s="1181"/>
      <c r="WCJ73" s="1181"/>
      <c r="WCK73" s="1181"/>
      <c r="WCL73" s="1181"/>
      <c r="WCM73" s="1181"/>
      <c r="WCN73" s="1181"/>
      <c r="WCO73" s="1181"/>
      <c r="WCP73" s="1181"/>
      <c r="WCQ73" s="1181"/>
      <c r="WCR73" s="1181"/>
      <c r="WCS73" s="1181"/>
      <c r="WCT73" s="1181"/>
      <c r="WCU73" s="1181"/>
      <c r="WCV73" s="1181"/>
      <c r="WCW73" s="1181"/>
      <c r="WCX73" s="1181"/>
      <c r="WCY73" s="1181"/>
      <c r="WCZ73" s="1181"/>
      <c r="WDA73" s="1181"/>
      <c r="WDB73" s="1181"/>
      <c r="WDC73" s="1181"/>
      <c r="WDD73" s="1181"/>
      <c r="WDE73" s="1181"/>
      <c r="WDF73" s="1181"/>
      <c r="WDG73" s="1181"/>
      <c r="WDH73" s="1181"/>
      <c r="WDI73" s="1181"/>
      <c r="WDJ73" s="1181"/>
      <c r="WDK73" s="1181"/>
      <c r="WDL73" s="1181"/>
      <c r="WDM73" s="1181"/>
      <c r="WDN73" s="1181"/>
      <c r="WDO73" s="1181"/>
      <c r="WDP73" s="1181"/>
      <c r="WDQ73" s="1181"/>
      <c r="WDR73" s="1181"/>
      <c r="WDS73" s="1181"/>
      <c r="WDT73" s="1181"/>
      <c r="WDU73" s="1181"/>
      <c r="WDV73" s="1181"/>
      <c r="WDW73" s="1181"/>
      <c r="WDX73" s="1181"/>
      <c r="WDY73" s="1181"/>
      <c r="WDZ73" s="1181"/>
      <c r="WEA73" s="1181"/>
      <c r="WEB73" s="1181"/>
      <c r="WEC73" s="1181"/>
      <c r="WED73" s="1181"/>
      <c r="WEE73" s="1181"/>
      <c r="WEF73" s="1181"/>
      <c r="WEG73" s="1181"/>
      <c r="WEH73" s="1181"/>
      <c r="WEI73" s="1181"/>
      <c r="WEJ73" s="1181"/>
      <c r="WEK73" s="1181"/>
      <c r="WEL73" s="1181"/>
      <c r="WEM73" s="1181"/>
      <c r="WEN73" s="1181"/>
      <c r="WEO73" s="1181"/>
      <c r="WEP73" s="1181"/>
      <c r="WEQ73" s="1181"/>
      <c r="WER73" s="1181"/>
      <c r="WES73" s="1181"/>
      <c r="WET73" s="1181"/>
      <c r="WEU73" s="1181"/>
      <c r="WEV73" s="1181"/>
      <c r="WEW73" s="1181"/>
      <c r="WEX73" s="1181"/>
      <c r="WEY73" s="1181"/>
      <c r="WEZ73" s="1181"/>
      <c r="WFA73" s="1181"/>
      <c r="WFB73" s="1181"/>
      <c r="WFC73" s="1181"/>
      <c r="WFD73" s="1181"/>
      <c r="WFE73" s="1181"/>
      <c r="WFF73" s="1181"/>
      <c r="WFG73" s="1181"/>
      <c r="WFH73" s="1181"/>
      <c r="WFI73" s="1181"/>
      <c r="WFJ73" s="1181"/>
      <c r="WFK73" s="1181"/>
      <c r="WFL73" s="1181"/>
      <c r="WFM73" s="1181"/>
      <c r="WFN73" s="1181"/>
      <c r="WFO73" s="1181"/>
      <c r="WFP73" s="1181"/>
      <c r="WFQ73" s="1181"/>
      <c r="WFR73" s="1181"/>
      <c r="WFS73" s="1181"/>
      <c r="WFT73" s="1181"/>
      <c r="WFU73" s="1181"/>
      <c r="WFV73" s="1181"/>
      <c r="WFW73" s="1181"/>
      <c r="WFX73" s="1181"/>
      <c r="WFY73" s="1181"/>
      <c r="WFZ73" s="1181"/>
      <c r="WGA73" s="1181"/>
      <c r="WGB73" s="1181"/>
      <c r="WGC73" s="1181"/>
      <c r="WGD73" s="1181"/>
      <c r="WGE73" s="1181"/>
      <c r="WGF73" s="1181"/>
      <c r="WGG73" s="1181"/>
      <c r="WGH73" s="1181"/>
      <c r="WGI73" s="1181"/>
      <c r="WGJ73" s="1181"/>
      <c r="WGK73" s="1181"/>
      <c r="WGL73" s="1181"/>
      <c r="WGM73" s="1181"/>
      <c r="WGN73" s="1181"/>
      <c r="WGO73" s="1181"/>
      <c r="WGP73" s="1181"/>
      <c r="WGQ73" s="1181"/>
      <c r="WGR73" s="1181"/>
      <c r="WGS73" s="1181"/>
      <c r="WGT73" s="1181"/>
      <c r="WGU73" s="1181"/>
      <c r="WGV73" s="1181"/>
      <c r="WGW73" s="1181"/>
      <c r="WGX73" s="1181"/>
      <c r="WGY73" s="1181"/>
      <c r="WGZ73" s="1181"/>
      <c r="WHA73" s="1181"/>
      <c r="WHB73" s="1181"/>
      <c r="WHC73" s="1181"/>
      <c r="WHD73" s="1181"/>
      <c r="WHE73" s="1181"/>
      <c r="WHF73" s="1181"/>
      <c r="WHG73" s="1181"/>
      <c r="WHH73" s="1181"/>
      <c r="WHI73" s="1181"/>
      <c r="WHJ73" s="1181"/>
      <c r="WHK73" s="1181"/>
      <c r="WHL73" s="1181"/>
      <c r="WHM73" s="1181"/>
      <c r="WHN73" s="1181"/>
      <c r="WHO73" s="1181"/>
      <c r="WHP73" s="1181"/>
      <c r="WHQ73" s="1181"/>
      <c r="WHR73" s="1181"/>
      <c r="WHS73" s="1181"/>
      <c r="WHT73" s="1181"/>
      <c r="WHU73" s="1181"/>
      <c r="WHV73" s="1181"/>
      <c r="WHW73" s="1181"/>
      <c r="WHX73" s="1181"/>
      <c r="WHY73" s="1181"/>
      <c r="WHZ73" s="1181"/>
      <c r="WIA73" s="1181"/>
      <c r="WIB73" s="1181"/>
      <c r="WIC73" s="1181"/>
      <c r="WID73" s="1181"/>
      <c r="WIE73" s="1181"/>
      <c r="WIF73" s="1181"/>
      <c r="WIG73" s="1181"/>
      <c r="WIH73" s="1181"/>
      <c r="WII73" s="1181"/>
      <c r="WIJ73" s="1181"/>
      <c r="WIK73" s="1181"/>
      <c r="WIL73" s="1181"/>
      <c r="WIM73" s="1181"/>
      <c r="WIN73" s="1181"/>
      <c r="WIO73" s="1181"/>
      <c r="WIP73" s="1181"/>
      <c r="WIQ73" s="1181"/>
      <c r="WIR73" s="1181"/>
      <c r="WIS73" s="1181"/>
      <c r="WIT73" s="1181"/>
      <c r="WIU73" s="1181"/>
      <c r="WIV73" s="1181"/>
      <c r="WIW73" s="1181"/>
      <c r="WIX73" s="1181"/>
      <c r="WIY73" s="1181"/>
      <c r="WIZ73" s="1181"/>
      <c r="WJA73" s="1181"/>
      <c r="WJB73" s="1181"/>
      <c r="WJC73" s="1181"/>
      <c r="WJD73" s="1181"/>
      <c r="WJE73" s="1181"/>
      <c r="WJF73" s="1181"/>
      <c r="WJG73" s="1181"/>
      <c r="WJH73" s="1181"/>
      <c r="WJI73" s="1181"/>
      <c r="WJJ73" s="1181"/>
      <c r="WJK73" s="1181"/>
      <c r="WJL73" s="1181"/>
      <c r="WJM73" s="1181"/>
      <c r="WJN73" s="1181"/>
      <c r="WJO73" s="1181"/>
      <c r="WJP73" s="1181"/>
      <c r="WJQ73" s="1181"/>
      <c r="WJR73" s="1181"/>
      <c r="WJS73" s="1181"/>
      <c r="WJT73" s="1181"/>
      <c r="WJU73" s="1181"/>
      <c r="WJV73" s="1181"/>
      <c r="WJW73" s="1181"/>
      <c r="WJX73" s="1181"/>
      <c r="WJY73" s="1181"/>
      <c r="WJZ73" s="1181"/>
      <c r="WKA73" s="1181"/>
      <c r="WKB73" s="1181"/>
      <c r="WKC73" s="1181"/>
      <c r="WKD73" s="1181"/>
      <c r="WKE73" s="1181"/>
      <c r="WKF73" s="1181"/>
      <c r="WKG73" s="1181"/>
      <c r="WKH73" s="1181"/>
      <c r="WKI73" s="1181"/>
      <c r="WKJ73" s="1181"/>
      <c r="WKK73" s="1181"/>
      <c r="WKL73" s="1181"/>
      <c r="WKM73" s="1181"/>
      <c r="WKN73" s="1181"/>
      <c r="WKO73" s="1181"/>
      <c r="WKP73" s="1181"/>
      <c r="WKQ73" s="1181"/>
      <c r="WKR73" s="1181"/>
      <c r="WKS73" s="1181"/>
      <c r="WKT73" s="1181"/>
      <c r="WKU73" s="1181"/>
      <c r="WKV73" s="1181"/>
      <c r="WKW73" s="1181"/>
      <c r="WKX73" s="1181"/>
      <c r="WKY73" s="1181"/>
      <c r="WKZ73" s="1181"/>
      <c r="WLA73" s="1181"/>
      <c r="WLB73" s="1181"/>
      <c r="WLC73" s="1181"/>
      <c r="WLD73" s="1181"/>
      <c r="WLE73" s="1181"/>
      <c r="WLF73" s="1181"/>
      <c r="WLG73" s="1181"/>
      <c r="WLH73" s="1181"/>
      <c r="WLI73" s="1181"/>
      <c r="WLJ73" s="1181"/>
      <c r="WLK73" s="1181"/>
      <c r="WLL73" s="1181"/>
      <c r="WLM73" s="1181"/>
      <c r="WLN73" s="1181"/>
      <c r="WLO73" s="1181"/>
      <c r="WLP73" s="1181"/>
      <c r="WLQ73" s="1181"/>
      <c r="WLR73" s="1181"/>
      <c r="WLS73" s="1181"/>
      <c r="WLT73" s="1181"/>
      <c r="WLU73" s="1181"/>
      <c r="WLV73" s="1181"/>
      <c r="WLW73" s="1181"/>
      <c r="WLX73" s="1181"/>
      <c r="WLY73" s="1181"/>
      <c r="WLZ73" s="1181"/>
      <c r="WMA73" s="1181"/>
      <c r="WMB73" s="1181"/>
      <c r="WMC73" s="1181"/>
      <c r="WMD73" s="1181"/>
      <c r="WME73" s="1181"/>
      <c r="WMF73" s="1181"/>
      <c r="WMG73" s="1181"/>
      <c r="WMH73" s="1181"/>
      <c r="WMI73" s="1181"/>
      <c r="WMJ73" s="1181"/>
      <c r="WMK73" s="1181"/>
      <c r="WML73" s="1181"/>
      <c r="WMM73" s="1181"/>
      <c r="WMN73" s="1181"/>
      <c r="WMO73" s="1181"/>
      <c r="WMP73" s="1181"/>
      <c r="WMQ73" s="1181"/>
      <c r="WMR73" s="1181"/>
      <c r="WMS73" s="1181"/>
      <c r="WMT73" s="1181"/>
      <c r="WMU73" s="1181"/>
      <c r="WMV73" s="1181"/>
      <c r="WMW73" s="1181"/>
      <c r="WMX73" s="1181"/>
      <c r="WMY73" s="1181"/>
      <c r="WMZ73" s="1181"/>
      <c r="WNA73" s="1181"/>
      <c r="WNB73" s="1181"/>
      <c r="WNC73" s="1181"/>
      <c r="WND73" s="1181"/>
      <c r="WNE73" s="1181"/>
      <c r="WNF73" s="1181"/>
      <c r="WNG73" s="1181"/>
      <c r="WNH73" s="1181"/>
      <c r="WNI73" s="1181"/>
      <c r="WNJ73" s="1181"/>
      <c r="WNK73" s="1181"/>
      <c r="WNL73" s="1181"/>
      <c r="WNM73" s="1181"/>
      <c r="WNN73" s="1181"/>
      <c r="WNO73" s="1181"/>
      <c r="WNP73" s="1181"/>
      <c r="WNQ73" s="1181"/>
      <c r="WNR73" s="1181"/>
      <c r="WNS73" s="1181"/>
      <c r="WNT73" s="1181"/>
      <c r="WNU73" s="1181"/>
      <c r="WNV73" s="1181"/>
      <c r="WNW73" s="1181"/>
      <c r="WNX73" s="1181"/>
      <c r="WNY73" s="1181"/>
      <c r="WNZ73" s="1181"/>
      <c r="WOA73" s="1181"/>
      <c r="WOB73" s="1181"/>
      <c r="WOC73" s="1181"/>
      <c r="WOD73" s="1181"/>
      <c r="WOE73" s="1181"/>
      <c r="WOF73" s="1181"/>
      <c r="WOG73" s="1181"/>
      <c r="WOH73" s="1181"/>
      <c r="WOI73" s="1181"/>
      <c r="WOJ73" s="1181"/>
      <c r="WOK73" s="1181"/>
      <c r="WOL73" s="1181"/>
      <c r="WOM73" s="1181"/>
      <c r="WON73" s="1181"/>
      <c r="WOO73" s="1181"/>
      <c r="WOP73" s="1181"/>
      <c r="WOQ73" s="1181"/>
      <c r="WOR73" s="1181"/>
      <c r="WOS73" s="1181"/>
      <c r="WOT73" s="1181"/>
      <c r="WOU73" s="1181"/>
      <c r="WOV73" s="1181"/>
      <c r="WOW73" s="1181"/>
      <c r="WOX73" s="1181"/>
      <c r="WOY73" s="1181"/>
      <c r="WOZ73" s="1181"/>
      <c r="WPA73" s="1181"/>
      <c r="WPB73" s="1181"/>
      <c r="WPC73" s="1181"/>
      <c r="WPD73" s="1181"/>
      <c r="WPE73" s="1181"/>
      <c r="WPF73" s="1181"/>
      <c r="WPG73" s="1181"/>
      <c r="WPH73" s="1181"/>
      <c r="WPI73" s="1181"/>
      <c r="WPJ73" s="1181"/>
      <c r="WPK73" s="1181"/>
      <c r="WPL73" s="1181"/>
      <c r="WPM73" s="1181"/>
      <c r="WPN73" s="1181"/>
      <c r="WPO73" s="1181"/>
      <c r="WPP73" s="1181"/>
      <c r="WPQ73" s="1181"/>
      <c r="WPR73" s="1181"/>
      <c r="WPS73" s="1181"/>
      <c r="WPT73" s="1181"/>
      <c r="WPU73" s="1181"/>
      <c r="WPV73" s="1181"/>
      <c r="WPW73" s="1181"/>
      <c r="WPX73" s="1181"/>
      <c r="WPY73" s="1181"/>
      <c r="WPZ73" s="1181"/>
      <c r="WQA73" s="1181"/>
      <c r="WQB73" s="1181"/>
      <c r="WQC73" s="1181"/>
      <c r="WQD73" s="1181"/>
      <c r="WQE73" s="1181"/>
      <c r="WQF73" s="1181"/>
      <c r="WQG73" s="1181"/>
      <c r="WQH73" s="1181"/>
      <c r="WQI73" s="1181"/>
      <c r="WQJ73" s="1181"/>
      <c r="WQK73" s="1181"/>
      <c r="WQL73" s="1181"/>
      <c r="WQM73" s="1181"/>
      <c r="WQN73" s="1181"/>
      <c r="WQO73" s="1181"/>
      <c r="WQP73" s="1181"/>
      <c r="WQQ73" s="1181"/>
      <c r="WQR73" s="1181"/>
      <c r="WQS73" s="1181"/>
      <c r="WQT73" s="1181"/>
      <c r="WQU73" s="1181"/>
      <c r="WQV73" s="1181"/>
      <c r="WQW73" s="1181"/>
      <c r="WQX73" s="1181"/>
      <c r="WQY73" s="1181"/>
      <c r="WQZ73" s="1181"/>
      <c r="WRA73" s="1181"/>
      <c r="WRB73" s="1181"/>
      <c r="WRC73" s="1181"/>
      <c r="WRD73" s="1181"/>
      <c r="WRE73" s="1181"/>
      <c r="WRF73" s="1181"/>
      <c r="WRG73" s="1181"/>
      <c r="WRH73" s="1181"/>
      <c r="WRI73" s="1181"/>
      <c r="WRJ73" s="1181"/>
      <c r="WRK73" s="1181"/>
      <c r="WRL73" s="1181"/>
      <c r="WRM73" s="1181"/>
      <c r="WRN73" s="1181"/>
      <c r="WRO73" s="1181"/>
      <c r="WRP73" s="1181"/>
      <c r="WRQ73" s="1181"/>
      <c r="WRR73" s="1181"/>
      <c r="WRS73" s="1181"/>
      <c r="WRT73" s="1181"/>
      <c r="WRU73" s="1181"/>
      <c r="WRV73" s="1181"/>
      <c r="WRW73" s="1181"/>
      <c r="WRX73" s="1181"/>
      <c r="WRY73" s="1181"/>
      <c r="WRZ73" s="1181"/>
      <c r="WSA73" s="1181"/>
      <c r="WSB73" s="1181"/>
      <c r="WSC73" s="1181"/>
      <c r="WSD73" s="1181"/>
      <c r="WSE73" s="1181"/>
      <c r="WSF73" s="1181"/>
      <c r="WSG73" s="1181"/>
      <c r="WSH73" s="1181"/>
      <c r="WSI73" s="1181"/>
      <c r="WSJ73" s="1181"/>
      <c r="WSK73" s="1181"/>
      <c r="WSL73" s="1181"/>
      <c r="WSM73" s="1181"/>
      <c r="WSN73" s="1181"/>
      <c r="WSO73" s="1181"/>
      <c r="WSP73" s="1181"/>
      <c r="WSQ73" s="1181"/>
      <c r="WSR73" s="1181"/>
      <c r="WSS73" s="1181"/>
      <c r="WST73" s="1181"/>
      <c r="WSU73" s="1181"/>
      <c r="WSV73" s="1181"/>
      <c r="WSW73" s="1181"/>
      <c r="WSX73" s="1181"/>
      <c r="WSY73" s="1181"/>
      <c r="WSZ73" s="1181"/>
      <c r="WTA73" s="1181"/>
      <c r="WTB73" s="1181"/>
      <c r="WTC73" s="1181"/>
      <c r="WTD73" s="1181"/>
      <c r="WTE73" s="1181"/>
      <c r="WTF73" s="1181"/>
      <c r="WTG73" s="1181"/>
      <c r="WTH73" s="1181"/>
      <c r="WTI73" s="1181"/>
      <c r="WTJ73" s="1181"/>
      <c r="WTK73" s="1181"/>
      <c r="WTL73" s="1181"/>
      <c r="WTM73" s="1181"/>
      <c r="WTN73" s="1181"/>
      <c r="WTO73" s="1181"/>
      <c r="WTP73" s="1181"/>
      <c r="WTQ73" s="1181"/>
      <c r="WTR73" s="1181"/>
      <c r="WTS73" s="1181"/>
      <c r="WTT73" s="1181"/>
      <c r="WTU73" s="1181"/>
      <c r="WTV73" s="1181"/>
      <c r="WTW73" s="1181"/>
      <c r="WTX73" s="1181"/>
      <c r="WTY73" s="1181"/>
      <c r="WTZ73" s="1181"/>
      <c r="WUA73" s="1181"/>
      <c r="WUB73" s="1181"/>
      <c r="WUC73" s="1181"/>
      <c r="WUD73" s="1181"/>
      <c r="WUE73" s="1181"/>
      <c r="WUF73" s="1181"/>
      <c r="WUG73" s="1181"/>
      <c r="WUH73" s="1181"/>
      <c r="WUI73" s="1181"/>
      <c r="WUJ73" s="1181"/>
      <c r="WUK73" s="1181"/>
      <c r="WUL73" s="1181"/>
      <c r="WUM73" s="1181"/>
      <c r="WUN73" s="1181"/>
      <c r="WUO73" s="1181"/>
      <c r="WUP73" s="1181"/>
      <c r="WUQ73" s="1181"/>
      <c r="WUR73" s="1181"/>
      <c r="WUS73" s="1181"/>
      <c r="WUT73" s="1181"/>
      <c r="WUU73" s="1181"/>
      <c r="WUV73" s="1181"/>
      <c r="WUW73" s="1181"/>
      <c r="WUX73" s="1181"/>
      <c r="WUY73" s="1181"/>
      <c r="WUZ73" s="1181"/>
      <c r="WVA73" s="1181"/>
      <c r="WVB73" s="1181"/>
      <c r="WVC73" s="1181"/>
      <c r="WVD73" s="1181"/>
      <c r="WVE73" s="1181"/>
      <c r="WVF73" s="1181"/>
      <c r="WVG73" s="1181"/>
      <c r="WVH73" s="1181"/>
      <c r="WVI73" s="1181"/>
      <c r="WVJ73" s="1181"/>
      <c r="WVK73" s="1181"/>
      <c r="WVL73" s="1181"/>
      <c r="WVM73" s="1181"/>
      <c r="WVN73" s="1181"/>
      <c r="WVO73" s="1181"/>
      <c r="WVP73" s="1181"/>
      <c r="WVQ73" s="1181"/>
      <c r="WVR73" s="1181"/>
      <c r="WVS73" s="1181"/>
      <c r="WVT73" s="1181"/>
      <c r="WVU73" s="1181"/>
      <c r="WVV73" s="1181"/>
      <c r="WVW73" s="1181"/>
      <c r="WVX73" s="1181"/>
      <c r="WVY73" s="1181"/>
      <c r="WVZ73" s="1181"/>
      <c r="WWA73" s="1181"/>
      <c r="WWB73" s="1181"/>
      <c r="WWC73" s="1181"/>
      <c r="WWD73" s="1181"/>
      <c r="WWE73" s="1181"/>
      <c r="WWF73" s="1181"/>
      <c r="WWG73" s="1181"/>
      <c r="WWH73" s="1181"/>
      <c r="WWI73" s="1181"/>
      <c r="WWJ73" s="1181"/>
      <c r="WWK73" s="1181"/>
      <c r="WWL73" s="1181"/>
      <c r="WWM73" s="1181"/>
      <c r="WWN73" s="1181"/>
      <c r="WWO73" s="1181"/>
      <c r="WWP73" s="1181"/>
      <c r="WWQ73" s="1181"/>
      <c r="WWR73" s="1181"/>
      <c r="WWS73" s="1181"/>
      <c r="WWT73" s="1181"/>
      <c r="WWU73" s="1181"/>
      <c r="WWV73" s="1181"/>
      <c r="WWW73" s="1181"/>
      <c r="WWX73" s="1181"/>
      <c r="WWY73" s="1181"/>
      <c r="WWZ73" s="1181"/>
      <c r="WXA73" s="1181"/>
      <c r="WXB73" s="1181"/>
      <c r="WXC73" s="1181"/>
      <c r="WXD73" s="1181"/>
      <c r="WXE73" s="1181"/>
      <c r="WXF73" s="1181"/>
      <c r="WXG73" s="1181"/>
      <c r="WXH73" s="1181"/>
      <c r="WXI73" s="1181"/>
      <c r="WXJ73" s="1181"/>
      <c r="WXK73" s="1181"/>
      <c r="WXL73" s="1181"/>
      <c r="WXM73" s="1181"/>
      <c r="WXN73" s="1181"/>
      <c r="WXO73" s="1181"/>
      <c r="WXP73" s="1181"/>
      <c r="WXQ73" s="1181"/>
      <c r="WXR73" s="1181"/>
      <c r="WXS73" s="1181"/>
      <c r="WXT73" s="1181"/>
      <c r="WXU73" s="1181"/>
      <c r="WXV73" s="1181"/>
      <c r="WXW73" s="1181"/>
      <c r="WXX73" s="1181"/>
      <c r="WXY73" s="1181"/>
      <c r="WXZ73" s="1181"/>
      <c r="WYA73" s="1181"/>
      <c r="WYB73" s="1181"/>
      <c r="WYC73" s="1181"/>
      <c r="WYD73" s="1181"/>
      <c r="WYE73" s="1181"/>
      <c r="WYF73" s="1181"/>
      <c r="WYG73" s="1181"/>
      <c r="WYH73" s="1181"/>
      <c r="WYI73" s="1181"/>
      <c r="WYJ73" s="1181"/>
      <c r="WYK73" s="1181"/>
      <c r="WYL73" s="1181"/>
      <c r="WYM73" s="1181"/>
      <c r="WYN73" s="1181"/>
      <c r="WYO73" s="1181"/>
      <c r="WYP73" s="1181"/>
      <c r="WYQ73" s="1181"/>
      <c r="WYR73" s="1181"/>
      <c r="WYS73" s="1181"/>
      <c r="WYT73" s="1181"/>
      <c r="WYU73" s="1181"/>
      <c r="WYV73" s="1181"/>
      <c r="WYW73" s="1181"/>
      <c r="WYX73" s="1181"/>
      <c r="WYY73" s="1181"/>
      <c r="WYZ73" s="1181"/>
      <c r="WZA73" s="1181"/>
      <c r="WZB73" s="1181"/>
      <c r="WZC73" s="1181"/>
      <c r="WZD73" s="1181"/>
      <c r="WZE73" s="1181"/>
      <c r="WZF73" s="1181"/>
      <c r="WZG73" s="1181"/>
      <c r="WZH73" s="1181"/>
      <c r="WZI73" s="1181"/>
      <c r="WZJ73" s="1181"/>
      <c r="WZK73" s="1181"/>
      <c r="WZL73" s="1181"/>
      <c r="WZM73" s="1181"/>
      <c r="WZN73" s="1181"/>
      <c r="WZO73" s="1181"/>
      <c r="WZP73" s="1181"/>
      <c r="WZQ73" s="1181"/>
      <c r="WZR73" s="1181"/>
      <c r="WZS73" s="1181"/>
      <c r="WZT73" s="1181"/>
      <c r="WZU73" s="1181"/>
      <c r="WZV73" s="1181"/>
      <c r="WZW73" s="1181"/>
      <c r="WZX73" s="1181"/>
      <c r="WZY73" s="1181"/>
      <c r="WZZ73" s="1181"/>
      <c r="XAA73" s="1181"/>
      <c r="XAB73" s="1181"/>
      <c r="XAC73" s="1181"/>
      <c r="XAD73" s="1181"/>
      <c r="XAE73" s="1181"/>
      <c r="XAF73" s="1181"/>
      <c r="XAG73" s="1181"/>
      <c r="XAH73" s="1181"/>
      <c r="XAI73" s="1181"/>
      <c r="XAJ73" s="1181"/>
      <c r="XAK73" s="1181"/>
      <c r="XAL73" s="1181"/>
      <c r="XAM73" s="1181"/>
      <c r="XAN73" s="1181"/>
      <c r="XAO73" s="1181"/>
      <c r="XAP73" s="1181"/>
      <c r="XAQ73" s="1181"/>
      <c r="XAR73" s="1181"/>
      <c r="XAS73" s="1181"/>
      <c r="XAT73" s="1181"/>
      <c r="XAU73" s="1181"/>
      <c r="XAV73" s="1181"/>
      <c r="XAW73" s="1181"/>
      <c r="XAX73" s="1181"/>
      <c r="XAY73" s="1181"/>
      <c r="XAZ73" s="1181"/>
      <c r="XBA73" s="1181"/>
      <c r="XBB73" s="1181"/>
      <c r="XBC73" s="1181"/>
      <c r="XBD73" s="1181"/>
      <c r="XBE73" s="1181"/>
      <c r="XBF73" s="1181"/>
      <c r="XBG73" s="1181"/>
      <c r="XBH73" s="1181"/>
      <c r="XBI73" s="1181"/>
      <c r="XBJ73" s="1181"/>
      <c r="XBK73" s="1181"/>
      <c r="XBL73" s="1181"/>
      <c r="XBM73" s="1181"/>
      <c r="XBN73" s="1181"/>
      <c r="XBO73" s="1181"/>
      <c r="XBP73" s="1181"/>
      <c r="XBQ73" s="1181"/>
      <c r="XBR73" s="1181"/>
      <c r="XBS73" s="1181"/>
      <c r="XBT73" s="1181"/>
      <c r="XBU73" s="1181"/>
      <c r="XBV73" s="1181"/>
      <c r="XBW73" s="1181"/>
      <c r="XBX73" s="1181"/>
      <c r="XBY73" s="1181"/>
      <c r="XBZ73" s="1181"/>
      <c r="XCA73" s="1181"/>
      <c r="XCB73" s="1181"/>
      <c r="XCC73" s="1181"/>
      <c r="XCD73" s="1181"/>
      <c r="XCE73" s="1181"/>
      <c r="XCF73" s="1181"/>
      <c r="XCG73" s="1181"/>
      <c r="XCH73" s="1181"/>
      <c r="XCI73" s="1181"/>
    </row>
    <row r="74" spans="1:16311" s="1180" customFormat="1" ht="23.1" customHeight="1">
      <c r="A74" s="1113"/>
      <c r="B74" s="1810" t="s">
        <v>1211</v>
      </c>
      <c r="C74" s="1810"/>
      <c r="D74" s="1810"/>
      <c r="E74" s="1810"/>
      <c r="F74" s="1810"/>
      <c r="G74" s="1810"/>
      <c r="H74" s="1810"/>
      <c r="I74"/>
    </row>
    <row r="75" spans="1:16311" s="1180" customFormat="1" ht="23.1" customHeight="1">
      <c r="A75" s="1113"/>
      <c r="B75" s="1826" t="s">
        <v>1212</v>
      </c>
      <c r="C75" s="1827"/>
      <c r="D75" s="1827"/>
      <c r="E75" s="1827"/>
      <c r="F75" s="1827"/>
      <c r="G75" s="1827"/>
      <c r="H75" s="1828"/>
      <c r="I75"/>
    </row>
    <row r="76" spans="1:16311" s="1180" customFormat="1" ht="35.25" customHeight="1">
      <c r="A76" s="1113"/>
      <c r="B76" s="1811" t="s">
        <v>1213</v>
      </c>
      <c r="C76" s="1811"/>
      <c r="D76" s="1811"/>
      <c r="E76" s="1811"/>
      <c r="F76" s="1811"/>
      <c r="G76" s="1811"/>
      <c r="H76" s="1811"/>
      <c r="I76"/>
    </row>
    <row r="77" spans="1:16311" s="1180" customFormat="1" ht="23.1" customHeight="1">
      <c r="A77" s="1113"/>
      <c r="B77" s="1812" t="s">
        <v>1214</v>
      </c>
      <c r="C77" s="1812"/>
      <c r="D77" s="1812"/>
      <c r="E77" s="1812"/>
      <c r="F77" s="1812"/>
      <c r="G77" s="1812"/>
      <c r="H77" s="1812"/>
      <c r="I77"/>
    </row>
    <row r="78" spans="1:16311" s="1180" customFormat="1" ht="9" customHeight="1">
      <c r="A78" s="1113"/>
      <c r="B78" s="1805"/>
      <c r="C78" s="1805"/>
      <c r="D78" s="1805"/>
      <c r="E78" s="1805"/>
      <c r="F78" s="1805"/>
      <c r="G78" s="1805"/>
      <c r="H78" s="1805"/>
      <c r="I78"/>
    </row>
    <row r="79" spans="1:16311" s="1180" customFormat="1" hidden="1">
      <c r="B79" s="1184"/>
      <c r="C79" s="1185"/>
      <c r="D79" s="1185"/>
      <c r="E79" s="1186"/>
      <c r="I79"/>
    </row>
    <row r="80" spans="1:16311" s="1180" customFormat="1" hidden="1">
      <c r="B80" s="1184"/>
      <c r="C80" s="1185"/>
      <c r="D80" s="1185"/>
      <c r="E80" s="1186"/>
      <c r="I80"/>
    </row>
    <row r="81" spans="2:9" s="1180" customFormat="1" hidden="1">
      <c r="B81" s="1184"/>
      <c r="C81" s="1185"/>
      <c r="D81" s="1185"/>
      <c r="E81" s="1186"/>
      <c r="I81"/>
    </row>
    <row r="82" spans="2:9" s="1180" customFormat="1" hidden="1">
      <c r="B82" s="1184"/>
      <c r="C82" s="1185"/>
      <c r="D82" s="1185"/>
      <c r="E82" s="1186"/>
      <c r="I82"/>
    </row>
    <row r="83" spans="2:9" s="1180" customFormat="1" hidden="1">
      <c r="B83" s="1184"/>
      <c r="C83" s="1185"/>
      <c r="D83" s="1185"/>
      <c r="E83" s="1186"/>
      <c r="I83"/>
    </row>
    <row r="84" spans="2:9" s="1180" customFormat="1" hidden="1">
      <c r="B84" s="1184"/>
      <c r="C84" s="1185"/>
      <c r="D84" s="1185"/>
      <c r="E84" s="1186"/>
      <c r="I84"/>
    </row>
    <row r="85" spans="2:9" s="1180" customFormat="1" hidden="1">
      <c r="B85" s="1184"/>
      <c r="C85" s="1185"/>
      <c r="D85" s="1185"/>
      <c r="E85" s="1186"/>
      <c r="I85"/>
    </row>
    <row r="86" spans="2:9" s="1180" customFormat="1" hidden="1">
      <c r="B86" s="1184"/>
      <c r="C86" s="1185"/>
      <c r="D86" s="1185"/>
      <c r="E86" s="1186"/>
      <c r="I86"/>
    </row>
    <row r="87" spans="2:9" s="1180" customFormat="1" hidden="1">
      <c r="B87" s="1184"/>
      <c r="C87" s="1185"/>
      <c r="D87" s="1185"/>
      <c r="E87" s="1186"/>
      <c r="I87"/>
    </row>
    <row r="88" spans="2:9" s="1180" customFormat="1" hidden="1">
      <c r="B88" s="1184"/>
      <c r="C88" s="1185"/>
      <c r="D88" s="1185"/>
      <c r="E88" s="1186"/>
      <c r="I88"/>
    </row>
    <row r="89" spans="2:9" s="1180" customFormat="1" hidden="1">
      <c r="B89" s="1184"/>
      <c r="C89" s="1185"/>
      <c r="D89" s="1185"/>
      <c r="E89" s="1186"/>
      <c r="I89"/>
    </row>
    <row r="90" spans="2:9" s="1180" customFormat="1" hidden="1">
      <c r="B90" s="1184"/>
      <c r="C90" s="1185"/>
      <c r="D90" s="1185"/>
      <c r="E90" s="1186"/>
      <c r="I90"/>
    </row>
    <row r="91" spans="2:9" s="1180" customFormat="1" hidden="1">
      <c r="B91" s="1184"/>
      <c r="C91" s="1185"/>
      <c r="D91" s="1185"/>
      <c r="E91" s="1186"/>
      <c r="I91"/>
    </row>
    <row r="92" spans="2:9" s="1180" customFormat="1" hidden="1">
      <c r="B92" s="1184"/>
      <c r="C92" s="1185"/>
      <c r="D92" s="1185"/>
      <c r="E92" s="1186"/>
      <c r="I92"/>
    </row>
    <row r="93" spans="2:9" s="1180" customFormat="1" hidden="1">
      <c r="B93" s="1184"/>
      <c r="C93" s="1185"/>
      <c r="D93" s="1185"/>
      <c r="E93" s="1186"/>
      <c r="I93"/>
    </row>
    <row r="94" spans="2:9" s="1180" customFormat="1" hidden="1">
      <c r="B94" s="1184"/>
      <c r="C94" s="1185"/>
      <c r="D94" s="1185"/>
      <c r="E94" s="1186"/>
      <c r="I94"/>
    </row>
    <row r="95" spans="2:9" s="1180" customFormat="1" hidden="1">
      <c r="B95" s="1184"/>
      <c r="C95" s="1185"/>
      <c r="D95" s="1185"/>
      <c r="E95" s="1186"/>
      <c r="I95"/>
    </row>
    <row r="96" spans="2:9" s="1180" customFormat="1" hidden="1">
      <c r="B96" s="1184"/>
      <c r="C96" s="1185"/>
      <c r="D96" s="1185"/>
      <c r="E96" s="1186"/>
      <c r="I96"/>
    </row>
    <row r="97" spans="2:9" s="1180" customFormat="1" hidden="1">
      <c r="B97" s="1184"/>
      <c r="C97" s="1185"/>
      <c r="D97" s="1185"/>
      <c r="E97" s="1186"/>
      <c r="I97"/>
    </row>
    <row r="98" spans="2:9" s="1180" customFormat="1" hidden="1">
      <c r="B98" s="1184"/>
      <c r="C98" s="1185"/>
      <c r="D98" s="1185"/>
      <c r="E98" s="1186"/>
      <c r="I98"/>
    </row>
    <row r="99" spans="2:9" s="1180" customFormat="1" hidden="1">
      <c r="B99" s="1184"/>
      <c r="C99" s="1185"/>
      <c r="D99" s="1185"/>
      <c r="E99" s="1186"/>
      <c r="I99"/>
    </row>
    <row r="100" spans="2:9" s="1180" customFormat="1" hidden="1">
      <c r="B100" s="1184"/>
      <c r="C100" s="1185"/>
      <c r="D100" s="1185"/>
      <c r="E100" s="1186"/>
      <c r="I100"/>
    </row>
    <row r="101" spans="2:9" s="1180" customFormat="1" hidden="1">
      <c r="B101" s="1184"/>
      <c r="C101" s="1185"/>
      <c r="D101" s="1185"/>
      <c r="E101" s="1186"/>
      <c r="I101"/>
    </row>
    <row r="102" spans="2:9" s="1180" customFormat="1" hidden="1">
      <c r="B102" s="1184"/>
      <c r="C102" s="1185"/>
      <c r="D102" s="1185"/>
      <c r="E102" s="1186"/>
      <c r="I102"/>
    </row>
    <row r="103" spans="2:9" s="1180" customFormat="1" hidden="1">
      <c r="B103" s="1184"/>
      <c r="C103" s="1185"/>
      <c r="D103" s="1185"/>
      <c r="E103" s="1186"/>
      <c r="I103"/>
    </row>
    <row r="104" spans="2:9" s="1180" customFormat="1" hidden="1">
      <c r="B104" s="1184"/>
      <c r="C104" s="1185"/>
      <c r="D104" s="1185"/>
      <c r="E104" s="1186"/>
      <c r="I104"/>
    </row>
    <row r="105" spans="2:9" s="1180" customFormat="1" hidden="1">
      <c r="B105" s="1184"/>
      <c r="C105" s="1185"/>
      <c r="D105" s="1185"/>
      <c r="E105" s="1186"/>
      <c r="I105"/>
    </row>
    <row r="106" spans="2:9" s="1180" customFormat="1" hidden="1">
      <c r="B106" s="1184"/>
      <c r="C106" s="1185"/>
      <c r="D106" s="1185"/>
      <c r="E106" s="1186"/>
      <c r="I106"/>
    </row>
    <row r="107" spans="2:9" s="1180" customFormat="1" hidden="1">
      <c r="B107" s="1184"/>
      <c r="C107" s="1185"/>
      <c r="D107" s="1185"/>
      <c r="E107" s="1186"/>
      <c r="I107"/>
    </row>
    <row r="108" spans="2:9" s="1180" customFormat="1" hidden="1">
      <c r="B108" s="1184"/>
      <c r="C108" s="1185"/>
      <c r="D108" s="1185"/>
      <c r="E108" s="1186"/>
      <c r="I108"/>
    </row>
    <row r="109" spans="2:9" s="1180" customFormat="1" hidden="1">
      <c r="B109" s="1184"/>
      <c r="C109" s="1185"/>
      <c r="D109" s="1185"/>
      <c r="E109" s="1186"/>
      <c r="I109"/>
    </row>
    <row r="110" spans="2:9" s="1180" customFormat="1" hidden="1">
      <c r="B110" s="1184"/>
      <c r="C110" s="1185"/>
      <c r="D110" s="1185"/>
      <c r="E110" s="1186"/>
      <c r="I110"/>
    </row>
    <row r="111" spans="2:9" s="1180" customFormat="1" hidden="1">
      <c r="B111" s="1184"/>
      <c r="C111" s="1185"/>
      <c r="D111" s="1185"/>
      <c r="E111" s="1186"/>
      <c r="I111"/>
    </row>
    <row r="112" spans="2:9" s="1180" customFormat="1" hidden="1">
      <c r="B112" s="1184"/>
      <c r="C112" s="1185"/>
      <c r="D112" s="1185"/>
      <c r="E112" s="1186"/>
      <c r="I112"/>
    </row>
    <row r="113" spans="2:9" s="1180" customFormat="1" hidden="1">
      <c r="B113" s="1184"/>
      <c r="C113" s="1185"/>
      <c r="D113" s="1185"/>
      <c r="E113" s="1186"/>
      <c r="I113"/>
    </row>
    <row r="114" spans="2:9" s="1180" customFormat="1" hidden="1">
      <c r="B114" s="1184"/>
      <c r="C114" s="1185"/>
      <c r="D114" s="1185"/>
      <c r="E114" s="1186"/>
      <c r="I114"/>
    </row>
    <row r="115" spans="2:9" s="1180" customFormat="1" hidden="1">
      <c r="B115" s="1184"/>
      <c r="C115" s="1185"/>
      <c r="D115" s="1185"/>
      <c r="E115" s="1186"/>
      <c r="I115"/>
    </row>
    <row r="116" spans="2:9" s="1180" customFormat="1" hidden="1">
      <c r="B116" s="1184"/>
      <c r="C116" s="1185"/>
      <c r="D116" s="1185"/>
      <c r="E116" s="1186"/>
      <c r="I116"/>
    </row>
    <row r="117" spans="2:9" s="1180" customFormat="1" hidden="1">
      <c r="B117" s="1184"/>
      <c r="C117" s="1185"/>
      <c r="D117" s="1185"/>
      <c r="E117" s="1186"/>
      <c r="I117"/>
    </row>
    <row r="118" spans="2:9" s="1180" customFormat="1" hidden="1">
      <c r="B118" s="1184"/>
      <c r="C118" s="1185"/>
      <c r="D118" s="1185"/>
      <c r="E118" s="1186"/>
      <c r="I118"/>
    </row>
    <row r="119" spans="2:9" s="1180" customFormat="1" hidden="1">
      <c r="B119" s="1184"/>
      <c r="C119" s="1185"/>
      <c r="D119" s="1185"/>
      <c r="E119" s="1186"/>
      <c r="I119"/>
    </row>
    <row r="120" spans="2:9" s="1180" customFormat="1" hidden="1">
      <c r="B120" s="1184"/>
      <c r="C120" s="1185"/>
      <c r="D120" s="1185"/>
      <c r="E120" s="1186"/>
      <c r="I120"/>
    </row>
    <row r="121" spans="2:9" s="1180" customFormat="1" hidden="1">
      <c r="B121" s="1184"/>
      <c r="C121" s="1185"/>
      <c r="D121" s="1185"/>
      <c r="E121" s="1186"/>
      <c r="I121"/>
    </row>
    <row r="122" spans="2:9" s="1180" customFormat="1" hidden="1">
      <c r="B122" s="1184"/>
      <c r="C122" s="1185"/>
      <c r="D122" s="1185"/>
      <c r="E122" s="1186"/>
      <c r="I122"/>
    </row>
    <row r="123" spans="2:9" s="1180" customFormat="1" hidden="1">
      <c r="B123" s="1184"/>
      <c r="C123" s="1185"/>
      <c r="D123" s="1185"/>
      <c r="E123" s="1186"/>
      <c r="I123"/>
    </row>
    <row r="124" spans="2:9" s="1180" customFormat="1" hidden="1">
      <c r="B124" s="1184"/>
      <c r="C124" s="1185"/>
      <c r="D124" s="1185"/>
      <c r="E124" s="1186"/>
      <c r="I124"/>
    </row>
    <row r="125" spans="2:9" s="1180" customFormat="1" hidden="1">
      <c r="B125" s="1184"/>
      <c r="C125" s="1185"/>
      <c r="D125" s="1185"/>
      <c r="E125" s="1186"/>
      <c r="I125"/>
    </row>
    <row r="126" spans="2:9" s="1180" customFormat="1" hidden="1">
      <c r="B126" s="1184"/>
      <c r="C126" s="1185"/>
      <c r="D126" s="1185"/>
      <c r="E126" s="1186"/>
      <c r="I126"/>
    </row>
    <row r="127" spans="2:9" s="1180" customFormat="1" hidden="1">
      <c r="B127" s="1184"/>
      <c r="C127" s="1185"/>
      <c r="D127" s="1185"/>
      <c r="E127" s="1186"/>
      <c r="I127"/>
    </row>
    <row r="128" spans="2:9" s="1180" customFormat="1" hidden="1">
      <c r="B128" s="1184"/>
      <c r="C128" s="1185"/>
      <c r="D128" s="1185"/>
      <c r="E128" s="1186"/>
      <c r="I128"/>
    </row>
    <row r="129" spans="2:9" s="1180" customFormat="1" hidden="1">
      <c r="B129" s="1184"/>
      <c r="C129" s="1185"/>
      <c r="D129" s="1185"/>
      <c r="E129" s="1186"/>
      <c r="I129"/>
    </row>
    <row r="130" spans="2:9" s="1180" customFormat="1" hidden="1">
      <c r="B130" s="1184"/>
      <c r="C130" s="1185"/>
      <c r="D130" s="1185"/>
      <c r="E130" s="1186"/>
      <c r="I130"/>
    </row>
    <row r="131" spans="2:9" s="1180" customFormat="1" hidden="1">
      <c r="B131" s="1184"/>
      <c r="C131" s="1185"/>
      <c r="D131" s="1185"/>
      <c r="E131" s="1186"/>
      <c r="I131"/>
    </row>
    <row r="132" spans="2:9" s="1180" customFormat="1" hidden="1">
      <c r="B132" s="1184"/>
      <c r="C132" s="1185"/>
      <c r="D132" s="1185"/>
      <c r="E132" s="1186"/>
      <c r="I132"/>
    </row>
    <row r="133" spans="2:9" s="1180" customFormat="1" hidden="1">
      <c r="B133" s="1184"/>
      <c r="C133" s="1185"/>
      <c r="D133" s="1185"/>
      <c r="E133" s="1186"/>
      <c r="I133"/>
    </row>
    <row r="134" spans="2:9" s="1180" customFormat="1" hidden="1">
      <c r="B134" s="1184"/>
      <c r="C134" s="1185"/>
      <c r="D134" s="1185"/>
      <c r="E134" s="1186"/>
      <c r="I134"/>
    </row>
    <row r="135" spans="2:9" s="1180" customFormat="1" hidden="1">
      <c r="B135" s="1184"/>
      <c r="C135" s="1185"/>
      <c r="D135" s="1185"/>
      <c r="E135" s="1186"/>
      <c r="I135"/>
    </row>
    <row r="136" spans="2:9" s="1180" customFormat="1" hidden="1">
      <c r="B136" s="1184"/>
      <c r="C136" s="1185"/>
      <c r="D136" s="1185"/>
      <c r="E136" s="1186"/>
      <c r="I136"/>
    </row>
    <row r="137" spans="2:9" s="1180" customFormat="1" hidden="1">
      <c r="B137" s="1184"/>
      <c r="C137" s="1185"/>
      <c r="D137" s="1185"/>
      <c r="E137" s="1186"/>
      <c r="I137"/>
    </row>
    <row r="138" spans="2:9" s="1180" customFormat="1" hidden="1">
      <c r="B138" s="1184"/>
      <c r="C138" s="1185"/>
      <c r="D138" s="1185"/>
      <c r="E138" s="1186"/>
      <c r="I138"/>
    </row>
    <row r="139" spans="2:9" s="1180" customFormat="1" hidden="1">
      <c r="B139" s="1184"/>
      <c r="C139" s="1185"/>
      <c r="D139" s="1185"/>
      <c r="E139" s="1186"/>
      <c r="I139"/>
    </row>
    <row r="140" spans="2:9" s="1180" customFormat="1" hidden="1">
      <c r="B140" s="1184"/>
      <c r="C140" s="1185"/>
      <c r="D140" s="1185"/>
      <c r="E140" s="1186"/>
      <c r="I140"/>
    </row>
    <row r="141" spans="2:9" s="1180" customFormat="1" hidden="1">
      <c r="B141" s="1184"/>
      <c r="C141" s="1185"/>
      <c r="D141" s="1185"/>
      <c r="E141" s="1186"/>
      <c r="I141"/>
    </row>
    <row r="142" spans="2:9" s="1180" customFormat="1" hidden="1">
      <c r="B142" s="1184"/>
      <c r="C142" s="1185"/>
      <c r="D142" s="1185"/>
      <c r="E142" s="1186"/>
      <c r="I142"/>
    </row>
    <row r="143" spans="2:9" s="1180" customFormat="1" hidden="1">
      <c r="B143" s="1184"/>
      <c r="C143" s="1185"/>
      <c r="D143" s="1185"/>
      <c r="E143" s="1186"/>
      <c r="I143"/>
    </row>
    <row r="144" spans="2:9" s="1180" customFormat="1" hidden="1">
      <c r="B144" s="1184"/>
      <c r="C144" s="1185"/>
      <c r="D144" s="1185"/>
      <c r="E144" s="1186"/>
      <c r="I144"/>
    </row>
    <row r="145" spans="2:9" s="1180" customFormat="1" hidden="1">
      <c r="B145" s="1184"/>
      <c r="C145" s="1185"/>
      <c r="D145" s="1185"/>
      <c r="E145" s="1186"/>
      <c r="I145"/>
    </row>
    <row r="146" spans="2:9" s="1180" customFormat="1" hidden="1">
      <c r="B146" s="1184"/>
      <c r="C146" s="1185"/>
      <c r="D146" s="1185"/>
      <c r="E146" s="1186"/>
      <c r="I146"/>
    </row>
    <row r="147" spans="2:9" s="1180" customFormat="1" hidden="1">
      <c r="B147" s="1184"/>
      <c r="C147" s="1185"/>
      <c r="D147" s="1185"/>
      <c r="E147" s="1186"/>
      <c r="I147"/>
    </row>
    <row r="148" spans="2:9" s="1180" customFormat="1" hidden="1">
      <c r="B148" s="1184"/>
      <c r="C148" s="1185"/>
      <c r="D148" s="1185"/>
      <c r="E148" s="1186"/>
      <c r="I148"/>
    </row>
    <row r="149" spans="2:9" s="1180" customFormat="1" hidden="1">
      <c r="B149" s="1184"/>
      <c r="C149" s="1185"/>
      <c r="D149" s="1185"/>
      <c r="E149" s="1186"/>
      <c r="I149"/>
    </row>
    <row r="150" spans="2:9" s="1180" customFormat="1" hidden="1">
      <c r="B150" s="1184"/>
      <c r="C150" s="1185"/>
      <c r="D150" s="1185"/>
      <c r="E150" s="1186"/>
      <c r="I150"/>
    </row>
    <row r="151" spans="2:9" s="1180" customFormat="1" hidden="1">
      <c r="B151" s="1184"/>
      <c r="C151" s="1185"/>
      <c r="D151" s="1185"/>
      <c r="E151" s="1186"/>
      <c r="I151"/>
    </row>
    <row r="152" spans="2:9" s="1180" customFormat="1" hidden="1">
      <c r="B152" s="1184"/>
      <c r="C152" s="1185"/>
      <c r="D152" s="1185"/>
      <c r="E152" s="1186"/>
      <c r="I152"/>
    </row>
    <row r="153" spans="2:9" s="1180" customFormat="1" hidden="1">
      <c r="B153" s="1184"/>
      <c r="C153" s="1185"/>
      <c r="D153" s="1185"/>
      <c r="E153" s="1186"/>
      <c r="I153"/>
    </row>
    <row r="154" spans="2:9" s="1180" customFormat="1" hidden="1">
      <c r="B154" s="1184"/>
      <c r="C154" s="1185"/>
      <c r="D154" s="1185"/>
      <c r="E154" s="1186"/>
      <c r="I154"/>
    </row>
    <row r="155" spans="2:9" s="1180" customFormat="1" hidden="1">
      <c r="B155" s="1184"/>
      <c r="C155" s="1185"/>
      <c r="D155" s="1185"/>
      <c r="E155" s="1186"/>
      <c r="I155"/>
    </row>
    <row r="156" spans="2:9" s="1180" customFormat="1" hidden="1">
      <c r="B156" s="1184"/>
      <c r="C156" s="1185"/>
      <c r="D156" s="1185"/>
      <c r="E156" s="1186"/>
      <c r="I156"/>
    </row>
    <row r="157" spans="2:9" s="1180" customFormat="1" hidden="1">
      <c r="B157" s="1184"/>
      <c r="C157" s="1185"/>
      <c r="D157" s="1185"/>
      <c r="E157" s="1186"/>
      <c r="I157"/>
    </row>
    <row r="158" spans="2:9" s="1180" customFormat="1" hidden="1">
      <c r="B158" s="1184"/>
      <c r="C158" s="1185"/>
      <c r="D158" s="1185"/>
      <c r="E158" s="1186"/>
      <c r="I158"/>
    </row>
    <row r="159" spans="2:9" s="1180" customFormat="1" hidden="1">
      <c r="B159" s="1184"/>
      <c r="C159" s="1185"/>
      <c r="D159" s="1185"/>
      <c r="E159" s="1186"/>
      <c r="I159"/>
    </row>
    <row r="160" spans="2:9" s="1180" customFormat="1" hidden="1">
      <c r="B160" s="1184"/>
      <c r="C160" s="1185"/>
      <c r="D160" s="1185"/>
      <c r="E160" s="1186"/>
      <c r="I160"/>
    </row>
    <row r="161" spans="2:9" s="1180" customFormat="1" hidden="1">
      <c r="B161" s="1184"/>
      <c r="C161" s="1185"/>
      <c r="D161" s="1185"/>
      <c r="E161" s="1186"/>
      <c r="I161"/>
    </row>
    <row r="162" spans="2:9" s="1180" customFormat="1" hidden="1">
      <c r="B162" s="1184"/>
      <c r="C162" s="1185"/>
      <c r="D162" s="1185"/>
      <c r="E162" s="1186"/>
      <c r="I162"/>
    </row>
    <row r="163" spans="2:9" s="1180" customFormat="1" hidden="1">
      <c r="B163" s="1184"/>
      <c r="C163" s="1185"/>
      <c r="D163" s="1185"/>
      <c r="E163" s="1186"/>
      <c r="I163"/>
    </row>
    <row r="164" spans="2:9" s="1180" customFormat="1" hidden="1">
      <c r="B164" s="1184"/>
      <c r="C164" s="1185"/>
      <c r="D164" s="1185"/>
      <c r="E164" s="1186"/>
      <c r="I164"/>
    </row>
    <row r="165" spans="2:9" s="1180" customFormat="1" hidden="1">
      <c r="B165" s="1184"/>
      <c r="C165" s="1185"/>
      <c r="D165" s="1185"/>
      <c r="E165" s="1186"/>
      <c r="I165"/>
    </row>
    <row r="166" spans="2:9" s="1180" customFormat="1" hidden="1">
      <c r="B166" s="1184"/>
      <c r="C166" s="1185"/>
      <c r="D166" s="1185"/>
      <c r="E166" s="1186"/>
      <c r="I166"/>
    </row>
    <row r="167" spans="2:9" s="1180" customFormat="1" hidden="1">
      <c r="B167" s="1184"/>
      <c r="C167" s="1185"/>
      <c r="D167" s="1185"/>
      <c r="E167" s="1186"/>
      <c r="I167"/>
    </row>
    <row r="168" spans="2:9" s="1180" customFormat="1" hidden="1">
      <c r="B168" s="1184"/>
      <c r="C168" s="1185"/>
      <c r="D168" s="1185"/>
      <c r="E168" s="1186"/>
      <c r="I168"/>
    </row>
    <row r="169" spans="2:9" s="1180" customFormat="1" hidden="1">
      <c r="B169" s="1184"/>
      <c r="C169" s="1185"/>
      <c r="D169" s="1185"/>
      <c r="E169" s="1186"/>
      <c r="I169"/>
    </row>
    <row r="170" spans="2:9" s="1180" customFormat="1" hidden="1">
      <c r="B170" s="1184"/>
      <c r="C170" s="1185"/>
      <c r="D170" s="1185"/>
      <c r="E170" s="1186"/>
      <c r="I170"/>
    </row>
    <row r="171" spans="2:9" s="1180" customFormat="1" hidden="1">
      <c r="B171" s="1184"/>
      <c r="C171" s="1185"/>
      <c r="D171" s="1185"/>
      <c r="E171" s="1186"/>
      <c r="I171"/>
    </row>
    <row r="172" spans="2:9" s="1180" customFormat="1" hidden="1">
      <c r="B172" s="1184"/>
      <c r="C172" s="1185"/>
      <c r="D172" s="1185"/>
      <c r="E172" s="1186"/>
      <c r="I172"/>
    </row>
    <row r="173" spans="2:9" s="1180" customFormat="1" hidden="1">
      <c r="B173" s="1184"/>
      <c r="C173" s="1185"/>
      <c r="D173" s="1185"/>
      <c r="E173" s="1186"/>
      <c r="I173"/>
    </row>
    <row r="174" spans="2:9" s="1180" customFormat="1" hidden="1">
      <c r="B174" s="1184"/>
      <c r="C174" s="1185"/>
      <c r="D174" s="1185"/>
      <c r="E174" s="1186"/>
      <c r="I174"/>
    </row>
    <row r="175" spans="2:9" s="1180" customFormat="1" hidden="1">
      <c r="B175" s="1184"/>
      <c r="C175" s="1185"/>
      <c r="D175" s="1185"/>
      <c r="E175" s="1186"/>
      <c r="I175"/>
    </row>
    <row r="176" spans="2:9" s="1180" customFormat="1" hidden="1">
      <c r="B176" s="1184"/>
      <c r="C176" s="1185"/>
      <c r="D176" s="1185"/>
      <c r="E176" s="1186"/>
      <c r="I176"/>
    </row>
    <row r="177" spans="2:16311" s="1180" customFormat="1" hidden="1">
      <c r="B177" s="1184"/>
      <c r="C177" s="1185"/>
      <c r="D177" s="1185"/>
      <c r="E177" s="1186"/>
      <c r="I177"/>
    </row>
    <row r="178" spans="2:16311" s="1180" customFormat="1" hidden="1">
      <c r="B178" s="1184"/>
      <c r="C178" s="1185"/>
      <c r="D178" s="1185"/>
      <c r="E178" s="1186"/>
      <c r="I178"/>
    </row>
    <row r="179" spans="2:16311" s="1180" customFormat="1" hidden="1">
      <c r="B179" s="1184"/>
      <c r="C179" s="1185"/>
      <c r="D179" s="1185"/>
      <c r="E179" s="1186"/>
      <c r="I179"/>
    </row>
    <row r="180" spans="2:16311" s="1180" customFormat="1" hidden="1">
      <c r="B180" s="1184"/>
      <c r="C180" s="1185"/>
      <c r="D180" s="1185"/>
      <c r="E180" s="1186"/>
      <c r="I180"/>
    </row>
    <row r="181" spans="2:16311" s="1180" customFormat="1" hidden="1">
      <c r="B181" s="1184"/>
      <c r="C181" s="1185"/>
      <c r="D181" s="1185"/>
      <c r="E181" s="1186"/>
      <c r="I181"/>
    </row>
    <row r="182" spans="2:16311" s="1180" customFormat="1" hidden="1">
      <c r="B182" s="1184"/>
      <c r="C182" s="1185"/>
      <c r="D182" s="1185"/>
      <c r="E182" s="1186"/>
      <c r="I182"/>
    </row>
    <row r="183" spans="2:16311" s="1180" customFormat="1" hidden="1">
      <c r="B183" s="1184"/>
      <c r="C183" s="1185"/>
      <c r="D183" s="1185"/>
      <c r="E183" s="1186"/>
      <c r="I183"/>
    </row>
    <row r="184" spans="2:16311" s="1180" customFormat="1" hidden="1">
      <c r="B184" s="1184"/>
      <c r="C184" s="1185"/>
      <c r="D184" s="1185"/>
      <c r="E184" s="1186"/>
      <c r="I184"/>
    </row>
    <row r="185" spans="2:16311" s="1180" customFormat="1" hidden="1">
      <c r="B185" s="1184"/>
      <c r="C185" s="1185"/>
      <c r="D185" s="1185"/>
      <c r="E185" s="1186"/>
      <c r="I185"/>
    </row>
    <row r="186" spans="2:16311" s="1180" customFormat="1" hidden="1">
      <c r="B186" s="1184"/>
      <c r="C186" s="1185"/>
      <c r="D186" s="1185"/>
      <c r="E186" s="1186"/>
      <c r="I186"/>
    </row>
    <row r="187" spans="2:16311" s="1180" customFormat="1" hidden="1">
      <c r="B187" s="1184"/>
      <c r="C187" s="1185"/>
      <c r="D187" s="1185"/>
      <c r="E187" s="1186"/>
      <c r="I187"/>
    </row>
    <row r="188" spans="2:16311" s="1180" customFormat="1" hidden="1">
      <c r="B188" s="1184"/>
      <c r="C188" s="1185"/>
      <c r="D188" s="1185"/>
      <c r="E188" s="1186"/>
      <c r="I188"/>
    </row>
    <row r="189" spans="2:16311" s="1180" customFormat="1" hidden="1">
      <c r="B189" s="1184"/>
      <c r="C189" s="1185"/>
      <c r="D189" s="1185"/>
      <c r="E189" s="1186"/>
      <c r="I189"/>
    </row>
    <row r="190" spans="2:16311" s="1180" customFormat="1" hidden="1">
      <c r="B190" s="1184"/>
      <c r="C190" s="1185"/>
      <c r="D190" s="1185"/>
      <c r="E190" s="1186"/>
      <c r="I190"/>
      <c r="GB190" s="1181"/>
      <c r="GC190" s="1181"/>
      <c r="GD190" s="1181"/>
      <c r="GE190" s="1181"/>
      <c r="GF190" s="1181"/>
      <c r="GG190" s="1181"/>
      <c r="GH190" s="1181"/>
      <c r="GI190" s="1181"/>
      <c r="GJ190" s="1181"/>
      <c r="GK190" s="1181"/>
      <c r="GL190" s="1181"/>
      <c r="GM190" s="1181"/>
      <c r="GN190" s="1181"/>
      <c r="GO190" s="1181"/>
      <c r="GP190" s="1181"/>
      <c r="GQ190" s="1181"/>
      <c r="GR190" s="1181"/>
      <c r="GS190" s="1181"/>
      <c r="GT190" s="1181"/>
      <c r="GU190" s="1181"/>
      <c r="GV190" s="1181"/>
      <c r="GW190" s="1181"/>
      <c r="GX190" s="1181"/>
      <c r="GY190" s="1181"/>
      <c r="GZ190" s="1181"/>
      <c r="HA190" s="1181"/>
      <c r="HB190" s="1181"/>
      <c r="HC190" s="1181"/>
      <c r="HD190" s="1181"/>
      <c r="HE190" s="1181"/>
      <c r="HF190" s="1181"/>
      <c r="HG190" s="1181"/>
      <c r="HH190" s="1181"/>
      <c r="HI190" s="1181"/>
      <c r="HJ190" s="1181"/>
      <c r="HK190" s="1181"/>
      <c r="HL190" s="1181"/>
      <c r="HM190" s="1181"/>
      <c r="HN190" s="1181"/>
      <c r="HO190" s="1181"/>
      <c r="HP190" s="1181"/>
      <c r="HQ190" s="1181"/>
      <c r="HR190" s="1181"/>
      <c r="HS190" s="1181"/>
      <c r="HT190" s="1181"/>
      <c r="HU190" s="1181"/>
      <c r="HV190" s="1181"/>
      <c r="HW190" s="1181"/>
      <c r="HX190" s="1181"/>
      <c r="HY190" s="1181"/>
      <c r="HZ190" s="1181"/>
      <c r="IA190" s="1181"/>
      <c r="IB190" s="1181"/>
      <c r="IC190" s="1181"/>
      <c r="ID190" s="1181"/>
      <c r="IE190" s="1181"/>
      <c r="IF190" s="1181"/>
      <c r="IG190" s="1181"/>
      <c r="IH190" s="1181"/>
      <c r="II190" s="1181"/>
      <c r="IJ190" s="1181"/>
      <c r="IK190" s="1181"/>
      <c r="IL190" s="1181"/>
      <c r="IM190" s="1181"/>
      <c r="IN190" s="1181"/>
      <c r="IO190" s="1181"/>
      <c r="IP190" s="1181"/>
      <c r="IQ190" s="1181"/>
      <c r="IR190" s="1181"/>
      <c r="IS190" s="1181"/>
      <c r="IT190" s="1181"/>
      <c r="IU190" s="1181"/>
      <c r="IV190" s="1181"/>
      <c r="IW190" s="1181"/>
      <c r="IX190" s="1181"/>
      <c r="IY190" s="1181"/>
      <c r="IZ190" s="1181"/>
      <c r="JA190" s="1181"/>
      <c r="JB190" s="1181"/>
      <c r="JC190" s="1181"/>
      <c r="JD190" s="1181"/>
      <c r="JE190" s="1181"/>
      <c r="JF190" s="1181"/>
      <c r="JG190" s="1181"/>
      <c r="JH190" s="1181"/>
      <c r="JI190" s="1181"/>
      <c r="JJ190" s="1181"/>
      <c r="JK190" s="1181"/>
      <c r="JL190" s="1181"/>
      <c r="JM190" s="1181"/>
      <c r="JN190" s="1181"/>
      <c r="JO190" s="1181"/>
      <c r="JP190" s="1181"/>
      <c r="JQ190" s="1181"/>
      <c r="JR190" s="1181"/>
      <c r="JS190" s="1181"/>
      <c r="JT190" s="1181"/>
      <c r="JU190" s="1181"/>
      <c r="JV190" s="1181"/>
      <c r="JW190" s="1181"/>
      <c r="JX190" s="1181"/>
      <c r="JY190" s="1181"/>
      <c r="JZ190" s="1181"/>
      <c r="KA190" s="1181"/>
      <c r="KB190" s="1181"/>
      <c r="KC190" s="1181"/>
      <c r="KD190" s="1181"/>
      <c r="KE190" s="1181"/>
      <c r="KF190" s="1181"/>
      <c r="KG190" s="1181"/>
      <c r="KH190" s="1181"/>
      <c r="KI190" s="1181"/>
      <c r="KJ190" s="1181"/>
      <c r="KK190" s="1181"/>
      <c r="KL190" s="1181"/>
      <c r="KM190" s="1181"/>
      <c r="KN190" s="1181"/>
      <c r="KO190" s="1181"/>
      <c r="KP190" s="1181"/>
      <c r="KQ190" s="1181"/>
      <c r="KR190" s="1181"/>
      <c r="KS190" s="1181"/>
      <c r="KT190" s="1181"/>
      <c r="KU190" s="1181"/>
      <c r="KV190" s="1181"/>
      <c r="KW190" s="1181"/>
      <c r="KX190" s="1181"/>
      <c r="KY190" s="1181"/>
      <c r="KZ190" s="1181"/>
      <c r="LA190" s="1181"/>
      <c r="LB190" s="1181"/>
      <c r="LC190" s="1181"/>
      <c r="LD190" s="1181"/>
      <c r="LE190" s="1181"/>
      <c r="LF190" s="1181"/>
      <c r="LG190" s="1181"/>
      <c r="LH190" s="1181"/>
      <c r="LI190" s="1181"/>
      <c r="LJ190" s="1181"/>
      <c r="LK190" s="1181"/>
      <c r="LL190" s="1181"/>
      <c r="LM190" s="1181"/>
      <c r="LN190" s="1181"/>
      <c r="LO190" s="1181"/>
      <c r="LP190" s="1181"/>
      <c r="LQ190" s="1181"/>
      <c r="LR190" s="1181"/>
      <c r="LS190" s="1181"/>
      <c r="LT190" s="1181"/>
      <c r="LU190" s="1181"/>
      <c r="LV190" s="1181"/>
      <c r="LW190" s="1181"/>
      <c r="LX190" s="1181"/>
      <c r="LY190" s="1181"/>
      <c r="LZ190" s="1181"/>
      <c r="MA190" s="1181"/>
      <c r="MB190" s="1181"/>
      <c r="MC190" s="1181"/>
      <c r="MD190" s="1181"/>
      <c r="ME190" s="1181"/>
      <c r="MF190" s="1181"/>
      <c r="MG190" s="1181"/>
      <c r="MH190" s="1181"/>
      <c r="MI190" s="1181"/>
      <c r="MJ190" s="1181"/>
      <c r="MK190" s="1181"/>
      <c r="ML190" s="1181"/>
      <c r="MM190" s="1181"/>
      <c r="MN190" s="1181"/>
      <c r="MO190" s="1181"/>
      <c r="MP190" s="1181"/>
      <c r="MQ190" s="1181"/>
      <c r="MR190" s="1181"/>
      <c r="MS190" s="1181"/>
      <c r="MT190" s="1181"/>
      <c r="MU190" s="1181"/>
      <c r="MV190" s="1181"/>
      <c r="MW190" s="1181"/>
      <c r="MX190" s="1181"/>
      <c r="MY190" s="1181"/>
      <c r="MZ190" s="1181"/>
      <c r="NA190" s="1181"/>
      <c r="NB190" s="1181"/>
      <c r="NC190" s="1181"/>
      <c r="ND190" s="1181"/>
      <c r="NE190" s="1181"/>
      <c r="NF190" s="1181"/>
      <c r="NG190" s="1181"/>
      <c r="NH190" s="1181"/>
      <c r="NI190" s="1181"/>
      <c r="NJ190" s="1181"/>
      <c r="NK190" s="1181"/>
      <c r="NL190" s="1181"/>
      <c r="NM190" s="1181"/>
      <c r="NN190" s="1181"/>
      <c r="NO190" s="1181"/>
      <c r="NP190" s="1181"/>
      <c r="NQ190" s="1181"/>
      <c r="NR190" s="1181"/>
      <c r="NS190" s="1181"/>
      <c r="NT190" s="1181"/>
      <c r="NU190" s="1181"/>
      <c r="NV190" s="1181"/>
      <c r="NW190" s="1181"/>
      <c r="NX190" s="1181"/>
      <c r="NY190" s="1181"/>
      <c r="NZ190" s="1181"/>
      <c r="OA190" s="1181"/>
      <c r="OB190" s="1181"/>
      <c r="OC190" s="1181"/>
      <c r="OD190" s="1181"/>
      <c r="OE190" s="1181"/>
      <c r="OF190" s="1181"/>
      <c r="OG190" s="1181"/>
      <c r="OH190" s="1181"/>
      <c r="OI190" s="1181"/>
      <c r="OJ190" s="1181"/>
      <c r="OK190" s="1181"/>
      <c r="OL190" s="1181"/>
      <c r="OM190" s="1181"/>
      <c r="ON190" s="1181"/>
      <c r="OO190" s="1181"/>
      <c r="OP190" s="1181"/>
      <c r="OQ190" s="1181"/>
      <c r="OR190" s="1181"/>
      <c r="OS190" s="1181"/>
      <c r="OT190" s="1181"/>
      <c r="OU190" s="1181"/>
      <c r="OV190" s="1181"/>
      <c r="OW190" s="1181"/>
      <c r="OX190" s="1181"/>
      <c r="OY190" s="1181"/>
      <c r="OZ190" s="1181"/>
      <c r="PA190" s="1181"/>
      <c r="PB190" s="1181"/>
      <c r="PC190" s="1181"/>
      <c r="PD190" s="1181"/>
      <c r="PE190" s="1181"/>
      <c r="PF190" s="1181"/>
      <c r="PG190" s="1181"/>
      <c r="PH190" s="1181"/>
      <c r="PI190" s="1181"/>
      <c r="PJ190" s="1181"/>
      <c r="PK190" s="1181"/>
      <c r="PL190" s="1181"/>
      <c r="PM190" s="1181"/>
      <c r="PN190" s="1181"/>
      <c r="PO190" s="1181"/>
      <c r="PP190" s="1181"/>
      <c r="PQ190" s="1181"/>
      <c r="PR190" s="1181"/>
      <c r="PS190" s="1181"/>
      <c r="PT190" s="1181"/>
      <c r="PU190" s="1181"/>
      <c r="PV190" s="1181"/>
      <c r="PW190" s="1181"/>
      <c r="PX190" s="1181"/>
      <c r="PY190" s="1181"/>
      <c r="PZ190" s="1181"/>
      <c r="QA190" s="1181"/>
      <c r="QB190" s="1181"/>
      <c r="QC190" s="1181"/>
      <c r="QD190" s="1181"/>
      <c r="QE190" s="1181"/>
      <c r="QF190" s="1181"/>
      <c r="QG190" s="1181"/>
      <c r="QH190" s="1181"/>
      <c r="QI190" s="1181"/>
      <c r="QJ190" s="1181"/>
      <c r="QK190" s="1181"/>
      <c r="QL190" s="1181"/>
      <c r="QM190" s="1181"/>
      <c r="QN190" s="1181"/>
      <c r="QO190" s="1181"/>
      <c r="QP190" s="1181"/>
      <c r="QQ190" s="1181"/>
      <c r="QR190" s="1181"/>
      <c r="QS190" s="1181"/>
      <c r="QT190" s="1181"/>
      <c r="QU190" s="1181"/>
      <c r="QV190" s="1181"/>
      <c r="QW190" s="1181"/>
      <c r="QX190" s="1181"/>
      <c r="QY190" s="1181"/>
      <c r="QZ190" s="1181"/>
      <c r="RA190" s="1181"/>
      <c r="RB190" s="1181"/>
      <c r="RC190" s="1181"/>
      <c r="RD190" s="1181"/>
      <c r="RE190" s="1181"/>
      <c r="RF190" s="1181"/>
      <c r="RG190" s="1181"/>
      <c r="RH190" s="1181"/>
      <c r="RI190" s="1181"/>
      <c r="RJ190" s="1181"/>
      <c r="RK190" s="1181"/>
      <c r="RL190" s="1181"/>
      <c r="RM190" s="1181"/>
      <c r="RN190" s="1181"/>
      <c r="RO190" s="1181"/>
      <c r="RP190" s="1181"/>
      <c r="RQ190" s="1181"/>
      <c r="RR190" s="1181"/>
      <c r="RS190" s="1181"/>
      <c r="RT190" s="1181"/>
      <c r="RU190" s="1181"/>
      <c r="RV190" s="1181"/>
      <c r="RW190" s="1181"/>
      <c r="RX190" s="1181"/>
      <c r="RY190" s="1181"/>
      <c r="RZ190" s="1181"/>
      <c r="SA190" s="1181"/>
      <c r="SB190" s="1181"/>
      <c r="SC190" s="1181"/>
      <c r="SD190" s="1181"/>
      <c r="SE190" s="1181"/>
      <c r="SF190" s="1181"/>
      <c r="SG190" s="1181"/>
      <c r="SH190" s="1181"/>
      <c r="SI190" s="1181"/>
      <c r="SJ190" s="1181"/>
      <c r="SK190" s="1181"/>
      <c r="SL190" s="1181"/>
      <c r="SM190" s="1181"/>
      <c r="SN190" s="1181"/>
      <c r="SO190" s="1181"/>
      <c r="SP190" s="1181"/>
      <c r="SQ190" s="1181"/>
      <c r="SR190" s="1181"/>
      <c r="SS190" s="1181"/>
      <c r="ST190" s="1181"/>
      <c r="SU190" s="1181"/>
      <c r="SV190" s="1181"/>
      <c r="SW190" s="1181"/>
      <c r="SX190" s="1181"/>
      <c r="SY190" s="1181"/>
      <c r="SZ190" s="1181"/>
      <c r="TA190" s="1181"/>
      <c r="TB190" s="1181"/>
      <c r="TC190" s="1181"/>
      <c r="TD190" s="1181"/>
      <c r="TE190" s="1181"/>
      <c r="TF190" s="1181"/>
      <c r="TG190" s="1181"/>
      <c r="TH190" s="1181"/>
      <c r="TI190" s="1181"/>
      <c r="TJ190" s="1181"/>
      <c r="TK190" s="1181"/>
      <c r="TL190" s="1181"/>
      <c r="TM190" s="1181"/>
      <c r="TN190" s="1181"/>
      <c r="TO190" s="1181"/>
      <c r="TP190" s="1181"/>
      <c r="TQ190" s="1181"/>
      <c r="TR190" s="1181"/>
      <c r="TS190" s="1181"/>
      <c r="TT190" s="1181"/>
      <c r="TU190" s="1181"/>
      <c r="TV190" s="1181"/>
      <c r="TW190" s="1181"/>
      <c r="TX190" s="1181"/>
      <c r="TY190" s="1181"/>
      <c r="TZ190" s="1181"/>
      <c r="UA190" s="1181"/>
      <c r="UB190" s="1181"/>
      <c r="UC190" s="1181"/>
      <c r="UD190" s="1181"/>
      <c r="UE190" s="1181"/>
      <c r="UF190" s="1181"/>
      <c r="UG190" s="1181"/>
      <c r="UH190" s="1181"/>
      <c r="UI190" s="1181"/>
      <c r="UJ190" s="1181"/>
      <c r="UK190" s="1181"/>
      <c r="UL190" s="1181"/>
      <c r="UM190" s="1181"/>
      <c r="UN190" s="1181"/>
      <c r="UO190" s="1181"/>
      <c r="UP190" s="1181"/>
      <c r="UQ190" s="1181"/>
      <c r="UR190" s="1181"/>
      <c r="US190" s="1181"/>
      <c r="UT190" s="1181"/>
      <c r="UU190" s="1181"/>
      <c r="UV190" s="1181"/>
      <c r="UW190" s="1181"/>
      <c r="UX190" s="1181"/>
      <c r="UY190" s="1181"/>
      <c r="UZ190" s="1181"/>
      <c r="VA190" s="1181"/>
      <c r="VB190" s="1181"/>
      <c r="VC190" s="1181"/>
      <c r="VD190" s="1181"/>
      <c r="VE190" s="1181"/>
      <c r="VF190" s="1181"/>
      <c r="VG190" s="1181"/>
      <c r="VH190" s="1181"/>
      <c r="VI190" s="1181"/>
      <c r="VJ190" s="1181"/>
      <c r="VK190" s="1181"/>
      <c r="VL190" s="1181"/>
      <c r="VM190" s="1181"/>
      <c r="VN190" s="1181"/>
      <c r="VO190" s="1181"/>
      <c r="VP190" s="1181"/>
      <c r="VQ190" s="1181"/>
      <c r="VR190" s="1181"/>
      <c r="VS190" s="1181"/>
      <c r="VT190" s="1181"/>
      <c r="VU190" s="1181"/>
      <c r="VV190" s="1181"/>
      <c r="VW190" s="1181"/>
      <c r="VX190" s="1181"/>
      <c r="VY190" s="1181"/>
      <c r="VZ190" s="1181"/>
      <c r="WA190" s="1181"/>
      <c r="WB190" s="1181"/>
      <c r="WC190" s="1181"/>
      <c r="WD190" s="1181"/>
      <c r="WE190" s="1181"/>
      <c r="WF190" s="1181"/>
      <c r="WG190" s="1181"/>
      <c r="WH190" s="1181"/>
      <c r="WI190" s="1181"/>
      <c r="WJ190" s="1181"/>
      <c r="WK190" s="1181"/>
      <c r="WL190" s="1181"/>
      <c r="WM190" s="1181"/>
      <c r="WN190" s="1181"/>
      <c r="WO190" s="1181"/>
      <c r="WP190" s="1181"/>
      <c r="WQ190" s="1181"/>
      <c r="WR190" s="1181"/>
      <c r="WS190" s="1181"/>
      <c r="WT190" s="1181"/>
      <c r="WU190" s="1181"/>
      <c r="WV190" s="1181"/>
      <c r="WW190" s="1181"/>
      <c r="WX190" s="1181"/>
      <c r="WY190" s="1181"/>
      <c r="WZ190" s="1181"/>
      <c r="XA190" s="1181"/>
      <c r="XB190" s="1181"/>
      <c r="XC190" s="1181"/>
      <c r="XD190" s="1181"/>
      <c r="XE190" s="1181"/>
      <c r="XF190" s="1181"/>
      <c r="XG190" s="1181"/>
      <c r="XH190" s="1181"/>
      <c r="XI190" s="1181"/>
      <c r="XJ190" s="1181"/>
      <c r="XK190" s="1181"/>
      <c r="XL190" s="1181"/>
      <c r="XM190" s="1181"/>
      <c r="XN190" s="1181"/>
      <c r="XO190" s="1181"/>
      <c r="XP190" s="1181"/>
      <c r="XQ190" s="1181"/>
      <c r="XR190" s="1181"/>
      <c r="XS190" s="1181"/>
      <c r="XT190" s="1181"/>
      <c r="XU190" s="1181"/>
      <c r="XV190" s="1181"/>
      <c r="XW190" s="1181"/>
      <c r="XX190" s="1181"/>
      <c r="XY190" s="1181"/>
      <c r="XZ190" s="1181"/>
      <c r="YA190" s="1181"/>
      <c r="YB190" s="1181"/>
      <c r="YC190" s="1181"/>
      <c r="YD190" s="1181"/>
      <c r="YE190" s="1181"/>
      <c r="YF190" s="1181"/>
      <c r="YG190" s="1181"/>
      <c r="YH190" s="1181"/>
      <c r="YI190" s="1181"/>
      <c r="YJ190" s="1181"/>
      <c r="YK190" s="1181"/>
      <c r="YL190" s="1181"/>
      <c r="YM190" s="1181"/>
      <c r="YN190" s="1181"/>
      <c r="YO190" s="1181"/>
      <c r="YP190" s="1181"/>
      <c r="YQ190" s="1181"/>
      <c r="YR190" s="1181"/>
      <c r="YS190" s="1181"/>
      <c r="YT190" s="1181"/>
      <c r="YU190" s="1181"/>
      <c r="YV190" s="1181"/>
      <c r="YW190" s="1181"/>
      <c r="YX190" s="1181"/>
      <c r="YY190" s="1181"/>
      <c r="YZ190" s="1181"/>
      <c r="ZA190" s="1181"/>
      <c r="ZB190" s="1181"/>
      <c r="ZC190" s="1181"/>
      <c r="ZD190" s="1181"/>
      <c r="ZE190" s="1181"/>
      <c r="ZF190" s="1181"/>
      <c r="ZG190" s="1181"/>
      <c r="ZH190" s="1181"/>
      <c r="ZI190" s="1181"/>
      <c r="ZJ190" s="1181"/>
      <c r="ZK190" s="1181"/>
      <c r="ZL190" s="1181"/>
      <c r="ZM190" s="1181"/>
      <c r="ZN190" s="1181"/>
      <c r="ZO190" s="1181"/>
      <c r="ZP190" s="1181"/>
      <c r="ZQ190" s="1181"/>
      <c r="ZR190" s="1181"/>
      <c r="ZS190" s="1181"/>
      <c r="ZT190" s="1181"/>
      <c r="ZU190" s="1181"/>
      <c r="ZV190" s="1181"/>
      <c r="ZW190" s="1181"/>
      <c r="ZX190" s="1181"/>
      <c r="ZY190" s="1181"/>
      <c r="ZZ190" s="1181"/>
      <c r="AAA190" s="1181"/>
      <c r="AAB190" s="1181"/>
      <c r="AAC190" s="1181"/>
      <c r="AAD190" s="1181"/>
      <c r="AAE190" s="1181"/>
      <c r="AAF190" s="1181"/>
      <c r="AAG190" s="1181"/>
      <c r="AAH190" s="1181"/>
      <c r="AAI190" s="1181"/>
      <c r="AAJ190" s="1181"/>
      <c r="AAK190" s="1181"/>
      <c r="AAL190" s="1181"/>
      <c r="AAM190" s="1181"/>
      <c r="AAN190" s="1181"/>
      <c r="AAO190" s="1181"/>
      <c r="AAP190" s="1181"/>
      <c r="AAQ190" s="1181"/>
      <c r="AAR190" s="1181"/>
      <c r="AAS190" s="1181"/>
      <c r="AAT190" s="1181"/>
      <c r="AAU190" s="1181"/>
      <c r="AAV190" s="1181"/>
      <c r="AAW190" s="1181"/>
      <c r="AAX190" s="1181"/>
      <c r="AAY190" s="1181"/>
      <c r="AAZ190" s="1181"/>
      <c r="ABA190" s="1181"/>
      <c r="ABB190" s="1181"/>
      <c r="ABC190" s="1181"/>
      <c r="ABD190" s="1181"/>
      <c r="ABE190" s="1181"/>
      <c r="ABF190" s="1181"/>
      <c r="ABG190" s="1181"/>
      <c r="ABH190" s="1181"/>
      <c r="ABI190" s="1181"/>
      <c r="ABJ190" s="1181"/>
      <c r="ABK190" s="1181"/>
      <c r="ABL190" s="1181"/>
      <c r="ABM190" s="1181"/>
      <c r="ABN190" s="1181"/>
      <c r="ABO190" s="1181"/>
      <c r="ABP190" s="1181"/>
      <c r="ABQ190" s="1181"/>
      <c r="ABR190" s="1181"/>
      <c r="ABS190" s="1181"/>
      <c r="ABT190" s="1181"/>
      <c r="ABU190" s="1181"/>
      <c r="ABV190" s="1181"/>
      <c r="ABW190" s="1181"/>
      <c r="ABX190" s="1181"/>
      <c r="ABY190" s="1181"/>
      <c r="ABZ190" s="1181"/>
      <c r="ACA190" s="1181"/>
      <c r="ACB190" s="1181"/>
      <c r="ACC190" s="1181"/>
      <c r="ACD190" s="1181"/>
      <c r="ACE190" s="1181"/>
      <c r="ACF190" s="1181"/>
      <c r="ACG190" s="1181"/>
      <c r="ACH190" s="1181"/>
      <c r="ACI190" s="1181"/>
      <c r="ACJ190" s="1181"/>
      <c r="ACK190" s="1181"/>
      <c r="ACL190" s="1181"/>
      <c r="ACM190" s="1181"/>
      <c r="ACN190" s="1181"/>
      <c r="ACO190" s="1181"/>
      <c r="ACP190" s="1181"/>
      <c r="ACQ190" s="1181"/>
      <c r="ACR190" s="1181"/>
      <c r="ACS190" s="1181"/>
      <c r="ACT190" s="1181"/>
      <c r="ACU190" s="1181"/>
      <c r="ACV190" s="1181"/>
      <c r="ACW190" s="1181"/>
      <c r="ACX190" s="1181"/>
      <c r="ACY190" s="1181"/>
      <c r="ACZ190" s="1181"/>
      <c r="ADA190" s="1181"/>
      <c r="ADB190" s="1181"/>
      <c r="ADC190" s="1181"/>
      <c r="ADD190" s="1181"/>
      <c r="ADE190" s="1181"/>
      <c r="ADF190" s="1181"/>
      <c r="ADG190" s="1181"/>
      <c r="ADH190" s="1181"/>
      <c r="ADI190" s="1181"/>
      <c r="ADJ190" s="1181"/>
      <c r="ADK190" s="1181"/>
      <c r="ADL190" s="1181"/>
      <c r="ADM190" s="1181"/>
      <c r="ADN190" s="1181"/>
      <c r="ADO190" s="1181"/>
      <c r="ADP190" s="1181"/>
      <c r="ADQ190" s="1181"/>
      <c r="ADR190" s="1181"/>
      <c r="ADS190" s="1181"/>
      <c r="ADT190" s="1181"/>
      <c r="ADU190" s="1181"/>
      <c r="ADV190" s="1181"/>
      <c r="ADW190" s="1181"/>
      <c r="ADX190" s="1181"/>
      <c r="ADY190" s="1181"/>
      <c r="ADZ190" s="1181"/>
      <c r="AEA190" s="1181"/>
      <c r="AEB190" s="1181"/>
      <c r="AEC190" s="1181"/>
      <c r="AED190" s="1181"/>
      <c r="AEE190" s="1181"/>
      <c r="AEF190" s="1181"/>
      <c r="AEG190" s="1181"/>
      <c r="AEH190" s="1181"/>
      <c r="AEI190" s="1181"/>
      <c r="AEJ190" s="1181"/>
      <c r="AEK190" s="1181"/>
      <c r="AEL190" s="1181"/>
      <c r="AEM190" s="1181"/>
      <c r="AEN190" s="1181"/>
      <c r="AEO190" s="1181"/>
      <c r="AEP190" s="1181"/>
      <c r="AEQ190" s="1181"/>
      <c r="AER190" s="1181"/>
      <c r="AES190" s="1181"/>
      <c r="AET190" s="1181"/>
      <c r="AEU190" s="1181"/>
      <c r="AEV190" s="1181"/>
      <c r="AEW190" s="1181"/>
      <c r="AEX190" s="1181"/>
      <c r="AEY190" s="1181"/>
      <c r="AEZ190" s="1181"/>
      <c r="AFA190" s="1181"/>
      <c r="AFB190" s="1181"/>
      <c r="AFC190" s="1181"/>
      <c r="AFD190" s="1181"/>
      <c r="AFE190" s="1181"/>
      <c r="AFF190" s="1181"/>
      <c r="AFG190" s="1181"/>
      <c r="AFH190" s="1181"/>
      <c r="AFI190" s="1181"/>
      <c r="AFJ190" s="1181"/>
      <c r="AFK190" s="1181"/>
      <c r="AFL190" s="1181"/>
      <c r="AFM190" s="1181"/>
      <c r="AFN190" s="1181"/>
      <c r="AFO190" s="1181"/>
      <c r="AFP190" s="1181"/>
      <c r="AFQ190" s="1181"/>
      <c r="AFR190" s="1181"/>
      <c r="AFS190" s="1181"/>
      <c r="AFT190" s="1181"/>
      <c r="AFU190" s="1181"/>
      <c r="AFV190" s="1181"/>
      <c r="AFW190" s="1181"/>
      <c r="AFX190" s="1181"/>
      <c r="AFY190" s="1181"/>
      <c r="AFZ190" s="1181"/>
      <c r="AGA190" s="1181"/>
      <c r="AGB190" s="1181"/>
      <c r="AGC190" s="1181"/>
      <c r="AGD190" s="1181"/>
      <c r="AGE190" s="1181"/>
      <c r="AGF190" s="1181"/>
      <c r="AGG190" s="1181"/>
      <c r="AGH190" s="1181"/>
      <c r="AGI190" s="1181"/>
      <c r="AGJ190" s="1181"/>
      <c r="AGK190" s="1181"/>
      <c r="AGL190" s="1181"/>
      <c r="AGM190" s="1181"/>
      <c r="AGN190" s="1181"/>
      <c r="AGO190" s="1181"/>
      <c r="AGP190" s="1181"/>
      <c r="AGQ190" s="1181"/>
      <c r="AGR190" s="1181"/>
      <c r="AGS190" s="1181"/>
      <c r="AGT190" s="1181"/>
      <c r="AGU190" s="1181"/>
      <c r="AGV190" s="1181"/>
      <c r="AGW190" s="1181"/>
      <c r="AGX190" s="1181"/>
      <c r="AGY190" s="1181"/>
      <c r="AGZ190" s="1181"/>
      <c r="AHA190" s="1181"/>
      <c r="AHB190" s="1181"/>
      <c r="AHC190" s="1181"/>
      <c r="AHD190" s="1181"/>
      <c r="AHE190" s="1181"/>
      <c r="AHF190" s="1181"/>
      <c r="AHG190" s="1181"/>
      <c r="AHH190" s="1181"/>
      <c r="AHI190" s="1181"/>
      <c r="AHJ190" s="1181"/>
      <c r="AHK190" s="1181"/>
      <c r="AHL190" s="1181"/>
      <c r="AHM190" s="1181"/>
      <c r="AHN190" s="1181"/>
      <c r="AHO190" s="1181"/>
      <c r="AHP190" s="1181"/>
      <c r="AHQ190" s="1181"/>
      <c r="AHR190" s="1181"/>
      <c r="AHS190" s="1181"/>
      <c r="AHT190" s="1181"/>
      <c r="AHU190" s="1181"/>
      <c r="AHV190" s="1181"/>
      <c r="AHW190" s="1181"/>
      <c r="AHX190" s="1181"/>
      <c r="AHY190" s="1181"/>
      <c r="AHZ190" s="1181"/>
      <c r="AIA190" s="1181"/>
      <c r="AIB190" s="1181"/>
      <c r="AIC190" s="1181"/>
      <c r="AID190" s="1181"/>
      <c r="AIE190" s="1181"/>
      <c r="AIF190" s="1181"/>
      <c r="AIG190" s="1181"/>
      <c r="AIH190" s="1181"/>
      <c r="AII190" s="1181"/>
      <c r="AIJ190" s="1181"/>
      <c r="AIK190" s="1181"/>
      <c r="AIL190" s="1181"/>
      <c r="AIM190" s="1181"/>
      <c r="AIN190" s="1181"/>
      <c r="AIO190" s="1181"/>
      <c r="AIP190" s="1181"/>
      <c r="AIQ190" s="1181"/>
      <c r="AIR190" s="1181"/>
      <c r="AIS190" s="1181"/>
      <c r="AIT190" s="1181"/>
      <c r="AIU190" s="1181"/>
      <c r="AIV190" s="1181"/>
      <c r="AIW190" s="1181"/>
      <c r="AIX190" s="1181"/>
      <c r="AIY190" s="1181"/>
      <c r="AIZ190" s="1181"/>
      <c r="AJA190" s="1181"/>
      <c r="AJB190" s="1181"/>
      <c r="AJC190" s="1181"/>
      <c r="AJD190" s="1181"/>
      <c r="AJE190" s="1181"/>
      <c r="AJF190" s="1181"/>
      <c r="AJG190" s="1181"/>
      <c r="AJH190" s="1181"/>
      <c r="AJI190" s="1181"/>
      <c r="AJJ190" s="1181"/>
      <c r="AJK190" s="1181"/>
      <c r="AJL190" s="1181"/>
      <c r="AJM190" s="1181"/>
      <c r="AJN190" s="1181"/>
      <c r="AJO190" s="1181"/>
      <c r="AJP190" s="1181"/>
      <c r="AJQ190" s="1181"/>
      <c r="AJR190" s="1181"/>
      <c r="AJS190" s="1181"/>
      <c r="AJT190" s="1181"/>
      <c r="AJU190" s="1181"/>
      <c r="AJV190" s="1181"/>
      <c r="AJW190" s="1181"/>
      <c r="AJX190" s="1181"/>
      <c r="AJY190" s="1181"/>
      <c r="AJZ190" s="1181"/>
      <c r="AKA190" s="1181"/>
      <c r="AKB190" s="1181"/>
      <c r="AKC190" s="1181"/>
      <c r="AKD190" s="1181"/>
      <c r="AKE190" s="1181"/>
      <c r="AKF190" s="1181"/>
      <c r="AKG190" s="1181"/>
      <c r="AKH190" s="1181"/>
      <c r="AKI190" s="1181"/>
      <c r="AKJ190" s="1181"/>
      <c r="AKK190" s="1181"/>
      <c r="AKL190" s="1181"/>
      <c r="AKM190" s="1181"/>
      <c r="AKN190" s="1181"/>
      <c r="AKO190" s="1181"/>
      <c r="AKP190" s="1181"/>
      <c r="AKQ190" s="1181"/>
      <c r="AKR190" s="1181"/>
      <c r="AKS190" s="1181"/>
      <c r="AKT190" s="1181"/>
      <c r="AKU190" s="1181"/>
      <c r="AKV190" s="1181"/>
      <c r="AKW190" s="1181"/>
      <c r="AKX190" s="1181"/>
      <c r="AKY190" s="1181"/>
      <c r="AKZ190" s="1181"/>
      <c r="ALA190" s="1181"/>
      <c r="ALB190" s="1181"/>
      <c r="ALC190" s="1181"/>
      <c r="ALD190" s="1181"/>
      <c r="ALE190" s="1181"/>
      <c r="ALF190" s="1181"/>
      <c r="ALG190" s="1181"/>
      <c r="ALH190" s="1181"/>
      <c r="ALI190" s="1181"/>
      <c r="ALJ190" s="1181"/>
      <c r="ALK190" s="1181"/>
      <c r="ALL190" s="1181"/>
      <c r="ALM190" s="1181"/>
      <c r="ALN190" s="1181"/>
      <c r="ALO190" s="1181"/>
      <c r="ALP190" s="1181"/>
      <c r="ALQ190" s="1181"/>
      <c r="ALR190" s="1181"/>
      <c r="ALS190" s="1181"/>
      <c r="ALT190" s="1181"/>
      <c r="ALU190" s="1181"/>
      <c r="ALV190" s="1181"/>
      <c r="ALW190" s="1181"/>
      <c r="ALX190" s="1181"/>
      <c r="ALY190" s="1181"/>
      <c r="ALZ190" s="1181"/>
      <c r="AMA190" s="1181"/>
      <c r="AMB190" s="1181"/>
      <c r="AMC190" s="1181"/>
      <c r="AMD190" s="1181"/>
      <c r="AME190" s="1181"/>
      <c r="AMF190" s="1181"/>
      <c r="AMG190" s="1181"/>
      <c r="AMH190" s="1181"/>
      <c r="AMI190" s="1181"/>
      <c r="AMJ190" s="1181"/>
      <c r="AMK190" s="1181"/>
      <c r="AML190" s="1181"/>
      <c r="AMM190" s="1181"/>
      <c r="AMN190" s="1181"/>
      <c r="AMO190" s="1181"/>
      <c r="AMP190" s="1181"/>
      <c r="AMQ190" s="1181"/>
      <c r="AMR190" s="1181"/>
      <c r="AMS190" s="1181"/>
      <c r="AMT190" s="1181"/>
      <c r="AMU190" s="1181"/>
      <c r="AMV190" s="1181"/>
      <c r="AMW190" s="1181"/>
      <c r="AMX190" s="1181"/>
      <c r="AMY190" s="1181"/>
      <c r="AMZ190" s="1181"/>
      <c r="ANA190" s="1181"/>
      <c r="ANB190" s="1181"/>
      <c r="ANC190" s="1181"/>
      <c r="AND190" s="1181"/>
      <c r="ANE190" s="1181"/>
      <c r="ANF190" s="1181"/>
      <c r="ANG190" s="1181"/>
      <c r="ANH190" s="1181"/>
      <c r="ANI190" s="1181"/>
      <c r="ANJ190" s="1181"/>
      <c r="ANK190" s="1181"/>
      <c r="ANL190" s="1181"/>
      <c r="ANM190" s="1181"/>
      <c r="ANN190" s="1181"/>
      <c r="ANO190" s="1181"/>
      <c r="ANP190" s="1181"/>
      <c r="ANQ190" s="1181"/>
      <c r="ANR190" s="1181"/>
      <c r="ANS190" s="1181"/>
      <c r="ANT190" s="1181"/>
      <c r="ANU190" s="1181"/>
      <c r="ANV190" s="1181"/>
      <c r="ANW190" s="1181"/>
      <c r="ANX190" s="1181"/>
      <c r="ANY190" s="1181"/>
      <c r="ANZ190" s="1181"/>
      <c r="AOA190" s="1181"/>
      <c r="AOB190" s="1181"/>
      <c r="AOC190" s="1181"/>
      <c r="AOD190" s="1181"/>
      <c r="AOE190" s="1181"/>
      <c r="AOF190" s="1181"/>
      <c r="AOG190" s="1181"/>
      <c r="AOH190" s="1181"/>
      <c r="AOI190" s="1181"/>
      <c r="AOJ190" s="1181"/>
      <c r="AOK190" s="1181"/>
      <c r="AOL190" s="1181"/>
      <c r="AOM190" s="1181"/>
      <c r="AON190" s="1181"/>
      <c r="AOO190" s="1181"/>
      <c r="AOP190" s="1181"/>
      <c r="AOQ190" s="1181"/>
      <c r="AOR190" s="1181"/>
      <c r="AOS190" s="1181"/>
      <c r="AOT190" s="1181"/>
      <c r="AOU190" s="1181"/>
      <c r="AOV190" s="1181"/>
      <c r="AOW190" s="1181"/>
      <c r="AOX190" s="1181"/>
      <c r="AOY190" s="1181"/>
      <c r="AOZ190" s="1181"/>
      <c r="APA190" s="1181"/>
      <c r="APB190" s="1181"/>
      <c r="APC190" s="1181"/>
      <c r="APD190" s="1181"/>
      <c r="APE190" s="1181"/>
      <c r="APF190" s="1181"/>
      <c r="APG190" s="1181"/>
      <c r="APH190" s="1181"/>
      <c r="API190" s="1181"/>
      <c r="APJ190" s="1181"/>
      <c r="APK190" s="1181"/>
      <c r="APL190" s="1181"/>
      <c r="APM190" s="1181"/>
      <c r="APN190" s="1181"/>
      <c r="APO190" s="1181"/>
      <c r="APP190" s="1181"/>
      <c r="APQ190" s="1181"/>
      <c r="APR190" s="1181"/>
      <c r="APS190" s="1181"/>
      <c r="APT190" s="1181"/>
      <c r="APU190" s="1181"/>
      <c r="APV190" s="1181"/>
      <c r="APW190" s="1181"/>
      <c r="APX190" s="1181"/>
      <c r="APY190" s="1181"/>
      <c r="APZ190" s="1181"/>
      <c r="AQA190" s="1181"/>
      <c r="AQB190" s="1181"/>
      <c r="AQC190" s="1181"/>
      <c r="AQD190" s="1181"/>
      <c r="AQE190" s="1181"/>
      <c r="AQF190" s="1181"/>
      <c r="AQG190" s="1181"/>
      <c r="AQH190" s="1181"/>
      <c r="AQI190" s="1181"/>
      <c r="AQJ190" s="1181"/>
      <c r="AQK190" s="1181"/>
      <c r="AQL190" s="1181"/>
      <c r="AQM190" s="1181"/>
      <c r="AQN190" s="1181"/>
      <c r="AQO190" s="1181"/>
      <c r="AQP190" s="1181"/>
      <c r="AQQ190" s="1181"/>
      <c r="AQR190" s="1181"/>
      <c r="AQS190" s="1181"/>
      <c r="AQT190" s="1181"/>
      <c r="AQU190" s="1181"/>
      <c r="AQV190" s="1181"/>
      <c r="AQW190" s="1181"/>
      <c r="AQX190" s="1181"/>
      <c r="AQY190" s="1181"/>
      <c r="AQZ190" s="1181"/>
      <c r="ARA190" s="1181"/>
      <c r="ARB190" s="1181"/>
      <c r="ARC190" s="1181"/>
      <c r="ARD190" s="1181"/>
      <c r="ARE190" s="1181"/>
      <c r="ARF190" s="1181"/>
      <c r="ARG190" s="1181"/>
      <c r="ARH190" s="1181"/>
      <c r="ARI190" s="1181"/>
      <c r="ARJ190" s="1181"/>
      <c r="ARK190" s="1181"/>
      <c r="ARL190" s="1181"/>
      <c r="ARM190" s="1181"/>
      <c r="ARN190" s="1181"/>
      <c r="ARO190" s="1181"/>
      <c r="ARP190" s="1181"/>
      <c r="ARQ190" s="1181"/>
      <c r="ARR190" s="1181"/>
      <c r="ARS190" s="1181"/>
      <c r="ART190" s="1181"/>
      <c r="ARU190" s="1181"/>
      <c r="ARV190" s="1181"/>
      <c r="ARW190" s="1181"/>
      <c r="ARX190" s="1181"/>
      <c r="ARY190" s="1181"/>
      <c r="ARZ190" s="1181"/>
      <c r="ASA190" s="1181"/>
      <c r="ASB190" s="1181"/>
      <c r="ASC190" s="1181"/>
      <c r="ASD190" s="1181"/>
      <c r="ASE190" s="1181"/>
      <c r="ASF190" s="1181"/>
      <c r="ASG190" s="1181"/>
      <c r="ASH190" s="1181"/>
      <c r="ASI190" s="1181"/>
      <c r="ASJ190" s="1181"/>
      <c r="ASK190" s="1181"/>
      <c r="ASL190" s="1181"/>
      <c r="ASM190" s="1181"/>
      <c r="ASN190" s="1181"/>
      <c r="ASO190" s="1181"/>
      <c r="ASP190" s="1181"/>
      <c r="ASQ190" s="1181"/>
      <c r="ASR190" s="1181"/>
      <c r="ASS190" s="1181"/>
      <c r="AST190" s="1181"/>
      <c r="ASU190" s="1181"/>
      <c r="ASV190" s="1181"/>
      <c r="ASW190" s="1181"/>
      <c r="ASX190" s="1181"/>
      <c r="ASY190" s="1181"/>
      <c r="ASZ190" s="1181"/>
      <c r="ATA190" s="1181"/>
      <c r="ATB190" s="1181"/>
      <c r="ATC190" s="1181"/>
      <c r="ATD190" s="1181"/>
      <c r="ATE190" s="1181"/>
      <c r="ATF190" s="1181"/>
      <c r="ATG190" s="1181"/>
      <c r="ATH190" s="1181"/>
      <c r="ATI190" s="1181"/>
      <c r="ATJ190" s="1181"/>
      <c r="ATK190" s="1181"/>
      <c r="ATL190" s="1181"/>
      <c r="ATM190" s="1181"/>
      <c r="ATN190" s="1181"/>
      <c r="ATO190" s="1181"/>
      <c r="ATP190" s="1181"/>
      <c r="ATQ190" s="1181"/>
      <c r="ATR190" s="1181"/>
      <c r="ATS190" s="1181"/>
      <c r="ATT190" s="1181"/>
      <c r="ATU190" s="1181"/>
      <c r="ATV190" s="1181"/>
      <c r="ATW190" s="1181"/>
      <c r="ATX190" s="1181"/>
      <c r="ATY190" s="1181"/>
      <c r="ATZ190" s="1181"/>
      <c r="AUA190" s="1181"/>
      <c r="AUB190" s="1181"/>
      <c r="AUC190" s="1181"/>
      <c r="AUD190" s="1181"/>
      <c r="AUE190" s="1181"/>
      <c r="AUF190" s="1181"/>
      <c r="AUG190" s="1181"/>
      <c r="AUH190" s="1181"/>
      <c r="AUI190" s="1181"/>
      <c r="AUJ190" s="1181"/>
      <c r="AUK190" s="1181"/>
      <c r="AUL190" s="1181"/>
      <c r="AUM190" s="1181"/>
      <c r="AUN190" s="1181"/>
      <c r="AUO190" s="1181"/>
      <c r="AUP190" s="1181"/>
      <c r="AUQ190" s="1181"/>
      <c r="AUR190" s="1181"/>
      <c r="AUS190" s="1181"/>
      <c r="AUT190" s="1181"/>
      <c r="AUU190" s="1181"/>
      <c r="AUV190" s="1181"/>
      <c r="AUW190" s="1181"/>
      <c r="AUX190" s="1181"/>
      <c r="AUY190" s="1181"/>
      <c r="AUZ190" s="1181"/>
      <c r="AVA190" s="1181"/>
      <c r="AVB190" s="1181"/>
      <c r="AVC190" s="1181"/>
      <c r="AVD190" s="1181"/>
      <c r="AVE190" s="1181"/>
      <c r="AVF190" s="1181"/>
      <c r="AVG190" s="1181"/>
      <c r="AVH190" s="1181"/>
      <c r="AVI190" s="1181"/>
      <c r="AVJ190" s="1181"/>
      <c r="AVK190" s="1181"/>
      <c r="AVL190" s="1181"/>
      <c r="AVM190" s="1181"/>
      <c r="AVN190" s="1181"/>
      <c r="AVO190" s="1181"/>
      <c r="AVP190" s="1181"/>
      <c r="AVQ190" s="1181"/>
      <c r="AVR190" s="1181"/>
      <c r="AVS190" s="1181"/>
      <c r="AVT190" s="1181"/>
      <c r="AVU190" s="1181"/>
      <c r="AVV190" s="1181"/>
      <c r="AVW190" s="1181"/>
      <c r="AVX190" s="1181"/>
      <c r="AVY190" s="1181"/>
      <c r="AVZ190" s="1181"/>
      <c r="AWA190" s="1181"/>
      <c r="AWB190" s="1181"/>
      <c r="AWC190" s="1181"/>
      <c r="AWD190" s="1181"/>
      <c r="AWE190" s="1181"/>
      <c r="AWF190" s="1181"/>
      <c r="AWG190" s="1181"/>
      <c r="AWH190" s="1181"/>
      <c r="AWI190" s="1181"/>
      <c r="AWJ190" s="1181"/>
      <c r="AWK190" s="1181"/>
      <c r="AWL190" s="1181"/>
      <c r="AWM190" s="1181"/>
      <c r="AWN190" s="1181"/>
      <c r="AWO190" s="1181"/>
      <c r="AWP190" s="1181"/>
      <c r="AWQ190" s="1181"/>
      <c r="AWR190" s="1181"/>
      <c r="AWS190" s="1181"/>
      <c r="AWT190" s="1181"/>
      <c r="AWU190" s="1181"/>
      <c r="AWV190" s="1181"/>
      <c r="AWW190" s="1181"/>
      <c r="AWX190" s="1181"/>
      <c r="AWY190" s="1181"/>
      <c r="AWZ190" s="1181"/>
      <c r="AXA190" s="1181"/>
      <c r="AXB190" s="1181"/>
      <c r="AXC190" s="1181"/>
      <c r="AXD190" s="1181"/>
      <c r="AXE190" s="1181"/>
      <c r="AXF190" s="1181"/>
      <c r="AXG190" s="1181"/>
      <c r="AXH190" s="1181"/>
      <c r="AXI190" s="1181"/>
      <c r="AXJ190" s="1181"/>
      <c r="AXK190" s="1181"/>
      <c r="AXL190" s="1181"/>
      <c r="AXM190" s="1181"/>
      <c r="AXN190" s="1181"/>
      <c r="AXO190" s="1181"/>
      <c r="AXP190" s="1181"/>
      <c r="AXQ190" s="1181"/>
      <c r="AXR190" s="1181"/>
      <c r="AXS190" s="1181"/>
      <c r="AXT190" s="1181"/>
      <c r="AXU190" s="1181"/>
      <c r="AXV190" s="1181"/>
      <c r="AXW190" s="1181"/>
      <c r="AXX190" s="1181"/>
      <c r="AXY190" s="1181"/>
      <c r="AXZ190" s="1181"/>
      <c r="AYA190" s="1181"/>
      <c r="AYB190" s="1181"/>
      <c r="AYC190" s="1181"/>
      <c r="AYD190" s="1181"/>
      <c r="AYE190" s="1181"/>
      <c r="AYF190" s="1181"/>
      <c r="AYG190" s="1181"/>
      <c r="AYH190" s="1181"/>
      <c r="AYI190" s="1181"/>
      <c r="AYJ190" s="1181"/>
      <c r="AYK190" s="1181"/>
      <c r="AYL190" s="1181"/>
      <c r="AYM190" s="1181"/>
      <c r="AYN190" s="1181"/>
      <c r="AYO190" s="1181"/>
      <c r="AYP190" s="1181"/>
      <c r="AYQ190" s="1181"/>
      <c r="AYR190" s="1181"/>
      <c r="AYS190" s="1181"/>
      <c r="AYT190" s="1181"/>
      <c r="AYU190" s="1181"/>
      <c r="AYV190" s="1181"/>
      <c r="AYW190" s="1181"/>
      <c r="AYX190" s="1181"/>
      <c r="AYY190" s="1181"/>
      <c r="AYZ190" s="1181"/>
      <c r="AZA190" s="1181"/>
      <c r="AZB190" s="1181"/>
      <c r="AZC190" s="1181"/>
      <c r="AZD190" s="1181"/>
      <c r="AZE190" s="1181"/>
      <c r="AZF190" s="1181"/>
      <c r="AZG190" s="1181"/>
      <c r="AZH190" s="1181"/>
      <c r="AZI190" s="1181"/>
      <c r="AZJ190" s="1181"/>
      <c r="AZK190" s="1181"/>
      <c r="AZL190" s="1181"/>
      <c r="AZM190" s="1181"/>
      <c r="AZN190" s="1181"/>
      <c r="AZO190" s="1181"/>
      <c r="AZP190" s="1181"/>
      <c r="AZQ190" s="1181"/>
      <c r="AZR190" s="1181"/>
      <c r="AZS190" s="1181"/>
      <c r="AZT190" s="1181"/>
      <c r="AZU190" s="1181"/>
      <c r="AZV190" s="1181"/>
      <c r="AZW190" s="1181"/>
      <c r="AZX190" s="1181"/>
      <c r="AZY190" s="1181"/>
      <c r="AZZ190" s="1181"/>
      <c r="BAA190" s="1181"/>
      <c r="BAB190" s="1181"/>
      <c r="BAC190" s="1181"/>
      <c r="BAD190" s="1181"/>
      <c r="BAE190" s="1181"/>
      <c r="BAF190" s="1181"/>
      <c r="BAG190" s="1181"/>
      <c r="BAH190" s="1181"/>
      <c r="BAI190" s="1181"/>
      <c r="BAJ190" s="1181"/>
      <c r="BAK190" s="1181"/>
      <c r="BAL190" s="1181"/>
      <c r="BAM190" s="1181"/>
      <c r="BAN190" s="1181"/>
      <c r="BAO190" s="1181"/>
      <c r="BAP190" s="1181"/>
      <c r="BAQ190" s="1181"/>
      <c r="BAR190" s="1181"/>
      <c r="BAS190" s="1181"/>
      <c r="BAT190" s="1181"/>
      <c r="BAU190" s="1181"/>
      <c r="BAV190" s="1181"/>
      <c r="BAW190" s="1181"/>
      <c r="BAX190" s="1181"/>
      <c r="BAY190" s="1181"/>
      <c r="BAZ190" s="1181"/>
      <c r="BBA190" s="1181"/>
      <c r="BBB190" s="1181"/>
      <c r="BBC190" s="1181"/>
      <c r="BBD190" s="1181"/>
      <c r="BBE190" s="1181"/>
      <c r="BBF190" s="1181"/>
      <c r="BBG190" s="1181"/>
      <c r="BBH190" s="1181"/>
      <c r="BBI190" s="1181"/>
      <c r="BBJ190" s="1181"/>
      <c r="BBK190" s="1181"/>
      <c r="BBL190" s="1181"/>
      <c r="BBM190" s="1181"/>
      <c r="BBN190" s="1181"/>
      <c r="BBO190" s="1181"/>
      <c r="BBP190" s="1181"/>
      <c r="BBQ190" s="1181"/>
      <c r="BBR190" s="1181"/>
      <c r="BBS190" s="1181"/>
      <c r="BBT190" s="1181"/>
      <c r="BBU190" s="1181"/>
      <c r="BBV190" s="1181"/>
      <c r="BBW190" s="1181"/>
      <c r="BBX190" s="1181"/>
      <c r="BBY190" s="1181"/>
      <c r="BBZ190" s="1181"/>
      <c r="BCA190" s="1181"/>
      <c r="BCB190" s="1181"/>
      <c r="BCC190" s="1181"/>
      <c r="BCD190" s="1181"/>
      <c r="BCE190" s="1181"/>
      <c r="BCF190" s="1181"/>
      <c r="BCG190" s="1181"/>
      <c r="BCH190" s="1181"/>
      <c r="BCI190" s="1181"/>
      <c r="BCJ190" s="1181"/>
      <c r="BCK190" s="1181"/>
      <c r="BCL190" s="1181"/>
      <c r="BCM190" s="1181"/>
      <c r="BCN190" s="1181"/>
      <c r="BCO190" s="1181"/>
      <c r="BCP190" s="1181"/>
      <c r="BCQ190" s="1181"/>
      <c r="BCR190" s="1181"/>
      <c r="BCS190" s="1181"/>
      <c r="BCT190" s="1181"/>
      <c r="BCU190" s="1181"/>
      <c r="BCV190" s="1181"/>
      <c r="BCW190" s="1181"/>
      <c r="BCX190" s="1181"/>
      <c r="BCY190" s="1181"/>
      <c r="BCZ190" s="1181"/>
      <c r="BDA190" s="1181"/>
      <c r="BDB190" s="1181"/>
      <c r="BDC190" s="1181"/>
      <c r="BDD190" s="1181"/>
      <c r="BDE190" s="1181"/>
      <c r="BDF190" s="1181"/>
      <c r="BDG190" s="1181"/>
      <c r="BDH190" s="1181"/>
      <c r="BDI190" s="1181"/>
      <c r="BDJ190" s="1181"/>
      <c r="BDK190" s="1181"/>
      <c r="BDL190" s="1181"/>
      <c r="BDM190" s="1181"/>
      <c r="BDN190" s="1181"/>
      <c r="BDO190" s="1181"/>
      <c r="BDP190" s="1181"/>
      <c r="BDQ190" s="1181"/>
      <c r="BDR190" s="1181"/>
      <c r="BDS190" s="1181"/>
      <c r="BDT190" s="1181"/>
      <c r="BDU190" s="1181"/>
      <c r="BDV190" s="1181"/>
      <c r="BDW190" s="1181"/>
      <c r="BDX190" s="1181"/>
      <c r="BDY190" s="1181"/>
      <c r="BDZ190" s="1181"/>
      <c r="BEA190" s="1181"/>
      <c r="BEB190" s="1181"/>
      <c r="BEC190" s="1181"/>
      <c r="BED190" s="1181"/>
      <c r="BEE190" s="1181"/>
      <c r="BEF190" s="1181"/>
      <c r="BEG190" s="1181"/>
      <c r="BEH190" s="1181"/>
      <c r="BEI190" s="1181"/>
      <c r="BEJ190" s="1181"/>
      <c r="BEK190" s="1181"/>
      <c r="BEL190" s="1181"/>
      <c r="BEM190" s="1181"/>
      <c r="BEN190" s="1181"/>
      <c r="BEO190" s="1181"/>
      <c r="BEP190" s="1181"/>
      <c r="BEQ190" s="1181"/>
      <c r="BER190" s="1181"/>
      <c r="BES190" s="1181"/>
      <c r="BET190" s="1181"/>
      <c r="BEU190" s="1181"/>
      <c r="BEV190" s="1181"/>
      <c r="BEW190" s="1181"/>
      <c r="BEX190" s="1181"/>
      <c r="BEY190" s="1181"/>
      <c r="BEZ190" s="1181"/>
      <c r="BFA190" s="1181"/>
      <c r="BFB190" s="1181"/>
      <c r="BFC190" s="1181"/>
      <c r="BFD190" s="1181"/>
      <c r="BFE190" s="1181"/>
      <c r="BFF190" s="1181"/>
      <c r="BFG190" s="1181"/>
      <c r="BFH190" s="1181"/>
      <c r="BFI190" s="1181"/>
      <c r="BFJ190" s="1181"/>
      <c r="BFK190" s="1181"/>
      <c r="BFL190" s="1181"/>
      <c r="BFM190" s="1181"/>
      <c r="BFN190" s="1181"/>
      <c r="BFO190" s="1181"/>
      <c r="BFP190" s="1181"/>
      <c r="BFQ190" s="1181"/>
      <c r="BFR190" s="1181"/>
      <c r="BFS190" s="1181"/>
      <c r="BFT190" s="1181"/>
      <c r="BFU190" s="1181"/>
      <c r="BFV190" s="1181"/>
      <c r="BFW190" s="1181"/>
      <c r="BFX190" s="1181"/>
      <c r="BFY190" s="1181"/>
      <c r="BFZ190" s="1181"/>
      <c r="BGA190" s="1181"/>
      <c r="BGB190" s="1181"/>
      <c r="BGC190" s="1181"/>
      <c r="BGD190" s="1181"/>
      <c r="BGE190" s="1181"/>
      <c r="BGF190" s="1181"/>
      <c r="BGG190" s="1181"/>
      <c r="BGH190" s="1181"/>
      <c r="BGI190" s="1181"/>
      <c r="BGJ190" s="1181"/>
      <c r="BGK190" s="1181"/>
      <c r="BGL190" s="1181"/>
      <c r="BGM190" s="1181"/>
      <c r="BGN190" s="1181"/>
      <c r="BGO190" s="1181"/>
      <c r="BGP190" s="1181"/>
      <c r="BGQ190" s="1181"/>
      <c r="BGR190" s="1181"/>
      <c r="BGS190" s="1181"/>
      <c r="BGT190" s="1181"/>
      <c r="BGU190" s="1181"/>
      <c r="BGV190" s="1181"/>
      <c r="BGW190" s="1181"/>
      <c r="BGX190" s="1181"/>
      <c r="BGY190" s="1181"/>
      <c r="BGZ190" s="1181"/>
      <c r="BHA190" s="1181"/>
      <c r="BHB190" s="1181"/>
      <c r="BHC190" s="1181"/>
      <c r="BHD190" s="1181"/>
      <c r="BHE190" s="1181"/>
      <c r="BHF190" s="1181"/>
      <c r="BHG190" s="1181"/>
      <c r="BHH190" s="1181"/>
      <c r="BHI190" s="1181"/>
      <c r="BHJ190" s="1181"/>
      <c r="BHK190" s="1181"/>
      <c r="BHL190" s="1181"/>
      <c r="BHM190" s="1181"/>
      <c r="BHN190" s="1181"/>
      <c r="BHO190" s="1181"/>
      <c r="BHP190" s="1181"/>
      <c r="BHQ190" s="1181"/>
      <c r="BHR190" s="1181"/>
      <c r="BHS190" s="1181"/>
      <c r="BHT190" s="1181"/>
      <c r="BHU190" s="1181"/>
      <c r="BHV190" s="1181"/>
      <c r="BHW190" s="1181"/>
      <c r="BHX190" s="1181"/>
      <c r="BHY190" s="1181"/>
      <c r="BHZ190" s="1181"/>
      <c r="BIA190" s="1181"/>
      <c r="BIB190" s="1181"/>
      <c r="BIC190" s="1181"/>
      <c r="BID190" s="1181"/>
      <c r="BIE190" s="1181"/>
      <c r="BIF190" s="1181"/>
      <c r="BIG190" s="1181"/>
      <c r="BIH190" s="1181"/>
      <c r="BII190" s="1181"/>
      <c r="BIJ190" s="1181"/>
      <c r="BIK190" s="1181"/>
      <c r="BIL190" s="1181"/>
      <c r="BIM190" s="1181"/>
      <c r="BIN190" s="1181"/>
      <c r="BIO190" s="1181"/>
      <c r="BIP190" s="1181"/>
      <c r="BIQ190" s="1181"/>
      <c r="BIR190" s="1181"/>
      <c r="BIS190" s="1181"/>
      <c r="BIT190" s="1181"/>
      <c r="BIU190" s="1181"/>
      <c r="BIV190" s="1181"/>
      <c r="BIW190" s="1181"/>
      <c r="BIX190" s="1181"/>
      <c r="BIY190" s="1181"/>
      <c r="BIZ190" s="1181"/>
      <c r="BJA190" s="1181"/>
      <c r="BJB190" s="1181"/>
      <c r="BJC190" s="1181"/>
      <c r="BJD190" s="1181"/>
      <c r="BJE190" s="1181"/>
      <c r="BJF190" s="1181"/>
      <c r="BJG190" s="1181"/>
      <c r="BJH190" s="1181"/>
      <c r="BJI190" s="1181"/>
      <c r="BJJ190" s="1181"/>
      <c r="BJK190" s="1181"/>
      <c r="BJL190" s="1181"/>
      <c r="BJM190" s="1181"/>
      <c r="BJN190" s="1181"/>
      <c r="BJO190" s="1181"/>
      <c r="BJP190" s="1181"/>
      <c r="BJQ190" s="1181"/>
      <c r="BJR190" s="1181"/>
      <c r="BJS190" s="1181"/>
      <c r="BJT190" s="1181"/>
      <c r="BJU190" s="1181"/>
      <c r="BJV190" s="1181"/>
      <c r="BJW190" s="1181"/>
      <c r="BJX190" s="1181"/>
      <c r="BJY190" s="1181"/>
      <c r="BJZ190" s="1181"/>
      <c r="BKA190" s="1181"/>
      <c r="BKB190" s="1181"/>
      <c r="BKC190" s="1181"/>
      <c r="BKD190" s="1181"/>
      <c r="BKE190" s="1181"/>
      <c r="BKF190" s="1181"/>
      <c r="BKG190" s="1181"/>
      <c r="BKH190" s="1181"/>
      <c r="BKI190" s="1181"/>
      <c r="BKJ190" s="1181"/>
      <c r="BKK190" s="1181"/>
      <c r="BKL190" s="1181"/>
      <c r="BKM190" s="1181"/>
      <c r="BKN190" s="1181"/>
      <c r="BKO190" s="1181"/>
      <c r="BKP190" s="1181"/>
      <c r="BKQ190" s="1181"/>
      <c r="BKR190" s="1181"/>
      <c r="BKS190" s="1181"/>
      <c r="BKT190" s="1181"/>
      <c r="BKU190" s="1181"/>
      <c r="BKV190" s="1181"/>
      <c r="BKW190" s="1181"/>
      <c r="BKX190" s="1181"/>
      <c r="BKY190" s="1181"/>
      <c r="BKZ190" s="1181"/>
      <c r="BLA190" s="1181"/>
      <c r="BLB190" s="1181"/>
      <c r="BLC190" s="1181"/>
      <c r="BLD190" s="1181"/>
      <c r="BLE190" s="1181"/>
      <c r="BLF190" s="1181"/>
      <c r="BLG190" s="1181"/>
      <c r="BLH190" s="1181"/>
      <c r="BLI190" s="1181"/>
      <c r="BLJ190" s="1181"/>
      <c r="BLK190" s="1181"/>
      <c r="BLL190" s="1181"/>
      <c r="BLM190" s="1181"/>
      <c r="BLN190" s="1181"/>
      <c r="BLO190" s="1181"/>
      <c r="BLP190" s="1181"/>
      <c r="BLQ190" s="1181"/>
      <c r="BLR190" s="1181"/>
      <c r="BLS190" s="1181"/>
      <c r="BLT190" s="1181"/>
      <c r="BLU190" s="1181"/>
      <c r="BLV190" s="1181"/>
      <c r="BLW190" s="1181"/>
      <c r="BLX190" s="1181"/>
      <c r="BLY190" s="1181"/>
      <c r="BLZ190" s="1181"/>
      <c r="BMA190" s="1181"/>
      <c r="BMB190" s="1181"/>
      <c r="BMC190" s="1181"/>
      <c r="BMD190" s="1181"/>
      <c r="BME190" s="1181"/>
      <c r="BMF190" s="1181"/>
      <c r="BMG190" s="1181"/>
      <c r="BMH190" s="1181"/>
      <c r="BMI190" s="1181"/>
      <c r="BMJ190" s="1181"/>
      <c r="BMK190" s="1181"/>
      <c r="BML190" s="1181"/>
      <c r="BMM190" s="1181"/>
      <c r="BMN190" s="1181"/>
      <c r="BMO190" s="1181"/>
      <c r="BMP190" s="1181"/>
      <c r="BMQ190" s="1181"/>
      <c r="BMR190" s="1181"/>
      <c r="BMS190" s="1181"/>
      <c r="BMT190" s="1181"/>
      <c r="BMU190" s="1181"/>
      <c r="BMV190" s="1181"/>
      <c r="BMW190" s="1181"/>
      <c r="BMX190" s="1181"/>
      <c r="BMY190" s="1181"/>
      <c r="BMZ190" s="1181"/>
      <c r="BNA190" s="1181"/>
      <c r="BNB190" s="1181"/>
      <c r="BNC190" s="1181"/>
      <c r="BND190" s="1181"/>
      <c r="BNE190" s="1181"/>
      <c r="BNF190" s="1181"/>
      <c r="BNG190" s="1181"/>
      <c r="BNH190" s="1181"/>
      <c r="BNI190" s="1181"/>
      <c r="BNJ190" s="1181"/>
      <c r="BNK190" s="1181"/>
      <c r="BNL190" s="1181"/>
      <c r="BNM190" s="1181"/>
      <c r="BNN190" s="1181"/>
      <c r="BNO190" s="1181"/>
      <c r="BNP190" s="1181"/>
      <c r="BNQ190" s="1181"/>
      <c r="BNR190" s="1181"/>
      <c r="BNS190" s="1181"/>
      <c r="BNT190" s="1181"/>
      <c r="BNU190" s="1181"/>
      <c r="BNV190" s="1181"/>
      <c r="BNW190" s="1181"/>
      <c r="BNX190" s="1181"/>
      <c r="BNY190" s="1181"/>
      <c r="BNZ190" s="1181"/>
      <c r="BOA190" s="1181"/>
      <c r="BOB190" s="1181"/>
      <c r="BOC190" s="1181"/>
      <c r="BOD190" s="1181"/>
      <c r="BOE190" s="1181"/>
      <c r="BOF190" s="1181"/>
      <c r="BOG190" s="1181"/>
      <c r="BOH190" s="1181"/>
      <c r="BOI190" s="1181"/>
      <c r="BOJ190" s="1181"/>
      <c r="BOK190" s="1181"/>
      <c r="BOL190" s="1181"/>
      <c r="BOM190" s="1181"/>
      <c r="BON190" s="1181"/>
      <c r="BOO190" s="1181"/>
      <c r="BOP190" s="1181"/>
      <c r="BOQ190" s="1181"/>
      <c r="BOR190" s="1181"/>
      <c r="BOS190" s="1181"/>
      <c r="BOT190" s="1181"/>
      <c r="BOU190" s="1181"/>
      <c r="BOV190" s="1181"/>
      <c r="BOW190" s="1181"/>
      <c r="BOX190" s="1181"/>
      <c r="BOY190" s="1181"/>
      <c r="BOZ190" s="1181"/>
      <c r="BPA190" s="1181"/>
      <c r="BPB190" s="1181"/>
      <c r="BPC190" s="1181"/>
      <c r="BPD190" s="1181"/>
      <c r="BPE190" s="1181"/>
      <c r="BPF190" s="1181"/>
      <c r="BPG190" s="1181"/>
      <c r="BPH190" s="1181"/>
      <c r="BPI190" s="1181"/>
      <c r="BPJ190" s="1181"/>
      <c r="BPK190" s="1181"/>
      <c r="BPL190" s="1181"/>
      <c r="BPM190" s="1181"/>
      <c r="BPN190" s="1181"/>
      <c r="BPO190" s="1181"/>
      <c r="BPP190" s="1181"/>
      <c r="BPQ190" s="1181"/>
      <c r="BPR190" s="1181"/>
      <c r="BPS190" s="1181"/>
      <c r="BPT190" s="1181"/>
      <c r="BPU190" s="1181"/>
      <c r="BPV190" s="1181"/>
      <c r="BPW190" s="1181"/>
      <c r="BPX190" s="1181"/>
      <c r="BPY190" s="1181"/>
      <c r="BPZ190" s="1181"/>
      <c r="BQA190" s="1181"/>
      <c r="BQB190" s="1181"/>
      <c r="BQC190" s="1181"/>
      <c r="BQD190" s="1181"/>
      <c r="BQE190" s="1181"/>
      <c r="BQF190" s="1181"/>
      <c r="BQG190" s="1181"/>
      <c r="BQH190" s="1181"/>
      <c r="BQI190" s="1181"/>
      <c r="BQJ190" s="1181"/>
      <c r="BQK190" s="1181"/>
      <c r="BQL190" s="1181"/>
      <c r="BQM190" s="1181"/>
      <c r="BQN190" s="1181"/>
      <c r="BQO190" s="1181"/>
      <c r="BQP190" s="1181"/>
      <c r="BQQ190" s="1181"/>
      <c r="BQR190" s="1181"/>
      <c r="BQS190" s="1181"/>
      <c r="BQT190" s="1181"/>
      <c r="BQU190" s="1181"/>
      <c r="BQV190" s="1181"/>
      <c r="BQW190" s="1181"/>
      <c r="BQX190" s="1181"/>
      <c r="BQY190" s="1181"/>
      <c r="BQZ190" s="1181"/>
      <c r="BRA190" s="1181"/>
      <c r="BRB190" s="1181"/>
      <c r="BRC190" s="1181"/>
      <c r="BRD190" s="1181"/>
      <c r="BRE190" s="1181"/>
      <c r="BRF190" s="1181"/>
      <c r="BRG190" s="1181"/>
      <c r="BRH190" s="1181"/>
      <c r="BRI190" s="1181"/>
      <c r="BRJ190" s="1181"/>
      <c r="BRK190" s="1181"/>
      <c r="BRL190" s="1181"/>
      <c r="BRM190" s="1181"/>
      <c r="BRN190" s="1181"/>
      <c r="BRO190" s="1181"/>
      <c r="BRP190" s="1181"/>
      <c r="BRQ190" s="1181"/>
      <c r="BRR190" s="1181"/>
      <c r="BRS190" s="1181"/>
      <c r="BRT190" s="1181"/>
      <c r="BRU190" s="1181"/>
      <c r="BRV190" s="1181"/>
      <c r="BRW190" s="1181"/>
      <c r="BRX190" s="1181"/>
      <c r="BRY190" s="1181"/>
      <c r="BRZ190" s="1181"/>
      <c r="BSA190" s="1181"/>
      <c r="BSB190" s="1181"/>
      <c r="BSC190" s="1181"/>
      <c r="BSD190" s="1181"/>
      <c r="BSE190" s="1181"/>
      <c r="BSF190" s="1181"/>
      <c r="BSG190" s="1181"/>
      <c r="BSH190" s="1181"/>
      <c r="BSI190" s="1181"/>
      <c r="BSJ190" s="1181"/>
      <c r="BSK190" s="1181"/>
      <c r="BSL190" s="1181"/>
      <c r="BSM190" s="1181"/>
      <c r="BSN190" s="1181"/>
      <c r="BSO190" s="1181"/>
      <c r="BSP190" s="1181"/>
      <c r="BSQ190" s="1181"/>
      <c r="BSR190" s="1181"/>
      <c r="BSS190" s="1181"/>
      <c r="BST190" s="1181"/>
      <c r="BSU190" s="1181"/>
      <c r="BSV190" s="1181"/>
      <c r="BSW190" s="1181"/>
      <c r="BSX190" s="1181"/>
      <c r="BSY190" s="1181"/>
      <c r="BSZ190" s="1181"/>
      <c r="BTA190" s="1181"/>
      <c r="BTB190" s="1181"/>
      <c r="BTC190" s="1181"/>
      <c r="BTD190" s="1181"/>
      <c r="BTE190" s="1181"/>
      <c r="BTF190" s="1181"/>
      <c r="BTG190" s="1181"/>
      <c r="BTH190" s="1181"/>
      <c r="BTI190" s="1181"/>
      <c r="BTJ190" s="1181"/>
      <c r="BTK190" s="1181"/>
      <c r="BTL190" s="1181"/>
      <c r="BTM190" s="1181"/>
      <c r="BTN190" s="1181"/>
      <c r="BTO190" s="1181"/>
      <c r="BTP190" s="1181"/>
      <c r="BTQ190" s="1181"/>
      <c r="BTR190" s="1181"/>
      <c r="BTS190" s="1181"/>
      <c r="BTT190" s="1181"/>
      <c r="BTU190" s="1181"/>
      <c r="BTV190" s="1181"/>
      <c r="BTW190" s="1181"/>
      <c r="BTX190" s="1181"/>
      <c r="BTY190" s="1181"/>
      <c r="BTZ190" s="1181"/>
      <c r="BUA190" s="1181"/>
      <c r="BUB190" s="1181"/>
      <c r="BUC190" s="1181"/>
      <c r="BUD190" s="1181"/>
      <c r="BUE190" s="1181"/>
      <c r="BUF190" s="1181"/>
      <c r="BUG190" s="1181"/>
      <c r="BUH190" s="1181"/>
      <c r="BUI190" s="1181"/>
      <c r="BUJ190" s="1181"/>
      <c r="BUK190" s="1181"/>
      <c r="BUL190" s="1181"/>
      <c r="BUM190" s="1181"/>
      <c r="BUN190" s="1181"/>
      <c r="BUO190" s="1181"/>
      <c r="BUP190" s="1181"/>
      <c r="BUQ190" s="1181"/>
      <c r="BUR190" s="1181"/>
      <c r="BUS190" s="1181"/>
      <c r="BUT190" s="1181"/>
      <c r="BUU190" s="1181"/>
      <c r="BUV190" s="1181"/>
      <c r="BUW190" s="1181"/>
      <c r="BUX190" s="1181"/>
      <c r="BUY190" s="1181"/>
      <c r="BUZ190" s="1181"/>
      <c r="BVA190" s="1181"/>
      <c r="BVB190" s="1181"/>
      <c r="BVC190" s="1181"/>
      <c r="BVD190" s="1181"/>
      <c r="BVE190" s="1181"/>
      <c r="BVF190" s="1181"/>
      <c r="BVG190" s="1181"/>
      <c r="BVH190" s="1181"/>
      <c r="BVI190" s="1181"/>
      <c r="BVJ190" s="1181"/>
      <c r="BVK190" s="1181"/>
      <c r="BVL190" s="1181"/>
      <c r="BVM190" s="1181"/>
      <c r="BVN190" s="1181"/>
      <c r="BVO190" s="1181"/>
      <c r="BVP190" s="1181"/>
      <c r="BVQ190" s="1181"/>
      <c r="BVR190" s="1181"/>
      <c r="BVS190" s="1181"/>
      <c r="BVT190" s="1181"/>
      <c r="BVU190" s="1181"/>
      <c r="BVV190" s="1181"/>
      <c r="BVW190" s="1181"/>
      <c r="BVX190" s="1181"/>
      <c r="BVY190" s="1181"/>
      <c r="BVZ190" s="1181"/>
      <c r="BWA190" s="1181"/>
      <c r="BWB190" s="1181"/>
      <c r="BWC190" s="1181"/>
      <c r="BWD190" s="1181"/>
      <c r="BWE190" s="1181"/>
      <c r="BWF190" s="1181"/>
      <c r="BWG190" s="1181"/>
      <c r="BWH190" s="1181"/>
      <c r="BWI190" s="1181"/>
      <c r="BWJ190" s="1181"/>
      <c r="BWK190" s="1181"/>
      <c r="BWL190" s="1181"/>
      <c r="BWM190" s="1181"/>
      <c r="BWN190" s="1181"/>
      <c r="BWO190" s="1181"/>
      <c r="BWP190" s="1181"/>
      <c r="BWQ190" s="1181"/>
      <c r="BWR190" s="1181"/>
      <c r="BWS190" s="1181"/>
      <c r="BWT190" s="1181"/>
      <c r="BWU190" s="1181"/>
      <c r="BWV190" s="1181"/>
      <c r="BWW190" s="1181"/>
      <c r="BWX190" s="1181"/>
      <c r="BWY190" s="1181"/>
      <c r="BWZ190" s="1181"/>
      <c r="BXA190" s="1181"/>
      <c r="BXB190" s="1181"/>
      <c r="BXC190" s="1181"/>
      <c r="BXD190" s="1181"/>
      <c r="BXE190" s="1181"/>
      <c r="BXF190" s="1181"/>
      <c r="BXG190" s="1181"/>
      <c r="BXH190" s="1181"/>
      <c r="BXI190" s="1181"/>
      <c r="BXJ190" s="1181"/>
      <c r="BXK190" s="1181"/>
      <c r="BXL190" s="1181"/>
      <c r="BXM190" s="1181"/>
      <c r="BXN190" s="1181"/>
      <c r="BXO190" s="1181"/>
      <c r="BXP190" s="1181"/>
      <c r="BXQ190" s="1181"/>
      <c r="BXR190" s="1181"/>
      <c r="BXS190" s="1181"/>
      <c r="BXT190" s="1181"/>
      <c r="BXU190" s="1181"/>
      <c r="BXV190" s="1181"/>
      <c r="BXW190" s="1181"/>
      <c r="BXX190" s="1181"/>
      <c r="BXY190" s="1181"/>
      <c r="BXZ190" s="1181"/>
      <c r="BYA190" s="1181"/>
      <c r="BYB190" s="1181"/>
      <c r="BYC190" s="1181"/>
      <c r="BYD190" s="1181"/>
      <c r="BYE190" s="1181"/>
      <c r="BYF190" s="1181"/>
      <c r="BYG190" s="1181"/>
      <c r="BYH190" s="1181"/>
      <c r="BYI190" s="1181"/>
      <c r="BYJ190" s="1181"/>
      <c r="BYK190" s="1181"/>
      <c r="BYL190" s="1181"/>
      <c r="BYM190" s="1181"/>
      <c r="BYN190" s="1181"/>
      <c r="BYO190" s="1181"/>
      <c r="BYP190" s="1181"/>
      <c r="BYQ190" s="1181"/>
      <c r="BYR190" s="1181"/>
      <c r="BYS190" s="1181"/>
      <c r="BYT190" s="1181"/>
      <c r="BYU190" s="1181"/>
      <c r="BYV190" s="1181"/>
      <c r="BYW190" s="1181"/>
      <c r="BYX190" s="1181"/>
      <c r="BYY190" s="1181"/>
      <c r="BYZ190" s="1181"/>
      <c r="BZA190" s="1181"/>
      <c r="BZB190" s="1181"/>
      <c r="BZC190" s="1181"/>
      <c r="BZD190" s="1181"/>
      <c r="BZE190" s="1181"/>
      <c r="BZF190" s="1181"/>
      <c r="BZG190" s="1181"/>
      <c r="BZH190" s="1181"/>
      <c r="BZI190" s="1181"/>
      <c r="BZJ190" s="1181"/>
      <c r="BZK190" s="1181"/>
      <c r="BZL190" s="1181"/>
      <c r="BZM190" s="1181"/>
      <c r="BZN190" s="1181"/>
      <c r="BZO190" s="1181"/>
      <c r="BZP190" s="1181"/>
      <c r="BZQ190" s="1181"/>
      <c r="BZR190" s="1181"/>
      <c r="BZS190" s="1181"/>
      <c r="BZT190" s="1181"/>
      <c r="BZU190" s="1181"/>
      <c r="BZV190" s="1181"/>
      <c r="BZW190" s="1181"/>
      <c r="BZX190" s="1181"/>
      <c r="BZY190" s="1181"/>
      <c r="BZZ190" s="1181"/>
      <c r="CAA190" s="1181"/>
      <c r="CAB190" s="1181"/>
      <c r="CAC190" s="1181"/>
      <c r="CAD190" s="1181"/>
      <c r="CAE190" s="1181"/>
      <c r="CAF190" s="1181"/>
      <c r="CAG190" s="1181"/>
      <c r="CAH190" s="1181"/>
      <c r="CAI190" s="1181"/>
      <c r="CAJ190" s="1181"/>
      <c r="CAK190" s="1181"/>
      <c r="CAL190" s="1181"/>
      <c r="CAM190" s="1181"/>
      <c r="CAN190" s="1181"/>
      <c r="CAO190" s="1181"/>
      <c r="CAP190" s="1181"/>
      <c r="CAQ190" s="1181"/>
      <c r="CAR190" s="1181"/>
      <c r="CAS190" s="1181"/>
      <c r="CAT190" s="1181"/>
      <c r="CAU190" s="1181"/>
      <c r="CAV190" s="1181"/>
      <c r="CAW190" s="1181"/>
      <c r="CAX190" s="1181"/>
      <c r="CAY190" s="1181"/>
      <c r="CAZ190" s="1181"/>
      <c r="CBA190" s="1181"/>
      <c r="CBB190" s="1181"/>
      <c r="CBC190" s="1181"/>
      <c r="CBD190" s="1181"/>
      <c r="CBE190" s="1181"/>
      <c r="CBF190" s="1181"/>
      <c r="CBG190" s="1181"/>
      <c r="CBH190" s="1181"/>
      <c r="CBI190" s="1181"/>
      <c r="CBJ190" s="1181"/>
      <c r="CBK190" s="1181"/>
      <c r="CBL190" s="1181"/>
      <c r="CBM190" s="1181"/>
      <c r="CBN190" s="1181"/>
      <c r="CBO190" s="1181"/>
      <c r="CBP190" s="1181"/>
      <c r="CBQ190" s="1181"/>
      <c r="CBR190" s="1181"/>
      <c r="CBS190" s="1181"/>
      <c r="CBT190" s="1181"/>
      <c r="CBU190" s="1181"/>
      <c r="CBV190" s="1181"/>
      <c r="CBW190" s="1181"/>
      <c r="CBX190" s="1181"/>
      <c r="CBY190" s="1181"/>
      <c r="CBZ190" s="1181"/>
      <c r="CCA190" s="1181"/>
      <c r="CCB190" s="1181"/>
      <c r="CCC190" s="1181"/>
      <c r="CCD190" s="1181"/>
      <c r="CCE190" s="1181"/>
      <c r="CCF190" s="1181"/>
      <c r="CCG190" s="1181"/>
      <c r="CCH190" s="1181"/>
      <c r="CCI190" s="1181"/>
      <c r="CCJ190" s="1181"/>
      <c r="CCK190" s="1181"/>
      <c r="CCL190" s="1181"/>
      <c r="CCM190" s="1181"/>
      <c r="CCN190" s="1181"/>
      <c r="CCO190" s="1181"/>
      <c r="CCP190" s="1181"/>
      <c r="CCQ190" s="1181"/>
      <c r="CCR190" s="1181"/>
      <c r="CCS190" s="1181"/>
      <c r="CCT190" s="1181"/>
      <c r="CCU190" s="1181"/>
      <c r="CCV190" s="1181"/>
      <c r="CCW190" s="1181"/>
      <c r="CCX190" s="1181"/>
      <c r="CCY190" s="1181"/>
      <c r="CCZ190" s="1181"/>
      <c r="CDA190" s="1181"/>
      <c r="CDB190" s="1181"/>
      <c r="CDC190" s="1181"/>
      <c r="CDD190" s="1181"/>
      <c r="CDE190" s="1181"/>
      <c r="CDF190" s="1181"/>
      <c r="CDG190" s="1181"/>
      <c r="CDH190" s="1181"/>
      <c r="CDI190" s="1181"/>
      <c r="CDJ190" s="1181"/>
      <c r="CDK190" s="1181"/>
      <c r="CDL190" s="1181"/>
      <c r="CDM190" s="1181"/>
      <c r="CDN190" s="1181"/>
      <c r="CDO190" s="1181"/>
      <c r="CDP190" s="1181"/>
      <c r="CDQ190" s="1181"/>
      <c r="CDR190" s="1181"/>
      <c r="CDS190" s="1181"/>
      <c r="CDT190" s="1181"/>
      <c r="CDU190" s="1181"/>
      <c r="CDV190" s="1181"/>
      <c r="CDW190" s="1181"/>
      <c r="CDX190" s="1181"/>
      <c r="CDY190" s="1181"/>
      <c r="CDZ190" s="1181"/>
      <c r="CEA190" s="1181"/>
      <c r="CEB190" s="1181"/>
      <c r="CEC190" s="1181"/>
      <c r="CED190" s="1181"/>
      <c r="CEE190" s="1181"/>
      <c r="CEF190" s="1181"/>
      <c r="CEG190" s="1181"/>
      <c r="CEH190" s="1181"/>
      <c r="CEI190" s="1181"/>
      <c r="CEJ190" s="1181"/>
      <c r="CEK190" s="1181"/>
      <c r="CEL190" s="1181"/>
      <c r="CEM190" s="1181"/>
      <c r="CEN190" s="1181"/>
      <c r="CEO190" s="1181"/>
      <c r="CEP190" s="1181"/>
      <c r="CEQ190" s="1181"/>
      <c r="CER190" s="1181"/>
      <c r="CES190" s="1181"/>
      <c r="CET190" s="1181"/>
      <c r="CEU190" s="1181"/>
      <c r="CEV190" s="1181"/>
      <c r="CEW190" s="1181"/>
      <c r="CEX190" s="1181"/>
      <c r="CEY190" s="1181"/>
      <c r="CEZ190" s="1181"/>
      <c r="CFA190" s="1181"/>
      <c r="CFB190" s="1181"/>
      <c r="CFC190" s="1181"/>
      <c r="CFD190" s="1181"/>
      <c r="CFE190" s="1181"/>
      <c r="CFF190" s="1181"/>
      <c r="CFG190" s="1181"/>
      <c r="CFH190" s="1181"/>
      <c r="CFI190" s="1181"/>
      <c r="CFJ190" s="1181"/>
      <c r="CFK190" s="1181"/>
      <c r="CFL190" s="1181"/>
      <c r="CFM190" s="1181"/>
      <c r="CFN190" s="1181"/>
      <c r="CFO190" s="1181"/>
      <c r="CFP190" s="1181"/>
      <c r="CFQ190" s="1181"/>
      <c r="CFR190" s="1181"/>
      <c r="CFS190" s="1181"/>
      <c r="CFT190" s="1181"/>
      <c r="CFU190" s="1181"/>
      <c r="CFV190" s="1181"/>
      <c r="CFW190" s="1181"/>
      <c r="CFX190" s="1181"/>
      <c r="CFY190" s="1181"/>
      <c r="CFZ190" s="1181"/>
      <c r="CGA190" s="1181"/>
      <c r="CGB190" s="1181"/>
      <c r="CGC190" s="1181"/>
      <c r="CGD190" s="1181"/>
      <c r="CGE190" s="1181"/>
      <c r="CGF190" s="1181"/>
      <c r="CGG190" s="1181"/>
      <c r="CGH190" s="1181"/>
      <c r="CGI190" s="1181"/>
      <c r="CGJ190" s="1181"/>
      <c r="CGK190" s="1181"/>
      <c r="CGL190" s="1181"/>
      <c r="CGM190" s="1181"/>
      <c r="CGN190" s="1181"/>
      <c r="CGO190" s="1181"/>
      <c r="CGP190" s="1181"/>
      <c r="CGQ190" s="1181"/>
      <c r="CGR190" s="1181"/>
      <c r="CGS190" s="1181"/>
      <c r="CGT190" s="1181"/>
      <c r="CGU190" s="1181"/>
      <c r="CGV190" s="1181"/>
      <c r="CGW190" s="1181"/>
      <c r="CGX190" s="1181"/>
      <c r="CGY190" s="1181"/>
      <c r="CGZ190" s="1181"/>
      <c r="CHA190" s="1181"/>
      <c r="CHB190" s="1181"/>
      <c r="CHC190" s="1181"/>
      <c r="CHD190" s="1181"/>
      <c r="CHE190" s="1181"/>
      <c r="CHF190" s="1181"/>
      <c r="CHG190" s="1181"/>
      <c r="CHH190" s="1181"/>
      <c r="CHI190" s="1181"/>
      <c r="CHJ190" s="1181"/>
      <c r="CHK190" s="1181"/>
      <c r="CHL190" s="1181"/>
      <c r="CHM190" s="1181"/>
      <c r="CHN190" s="1181"/>
      <c r="CHO190" s="1181"/>
      <c r="CHP190" s="1181"/>
      <c r="CHQ190" s="1181"/>
      <c r="CHR190" s="1181"/>
      <c r="CHS190" s="1181"/>
      <c r="CHT190" s="1181"/>
      <c r="CHU190" s="1181"/>
      <c r="CHV190" s="1181"/>
      <c r="CHW190" s="1181"/>
      <c r="CHX190" s="1181"/>
      <c r="CHY190" s="1181"/>
      <c r="CHZ190" s="1181"/>
      <c r="CIA190" s="1181"/>
      <c r="CIB190" s="1181"/>
      <c r="CIC190" s="1181"/>
      <c r="CID190" s="1181"/>
      <c r="CIE190" s="1181"/>
      <c r="CIF190" s="1181"/>
      <c r="CIG190" s="1181"/>
      <c r="CIH190" s="1181"/>
      <c r="CII190" s="1181"/>
      <c r="CIJ190" s="1181"/>
      <c r="CIK190" s="1181"/>
      <c r="CIL190" s="1181"/>
      <c r="CIM190" s="1181"/>
      <c r="CIN190" s="1181"/>
      <c r="CIO190" s="1181"/>
      <c r="CIP190" s="1181"/>
      <c r="CIQ190" s="1181"/>
      <c r="CIR190" s="1181"/>
      <c r="CIS190" s="1181"/>
      <c r="CIT190" s="1181"/>
      <c r="CIU190" s="1181"/>
      <c r="CIV190" s="1181"/>
      <c r="CIW190" s="1181"/>
      <c r="CIX190" s="1181"/>
      <c r="CIY190" s="1181"/>
      <c r="CIZ190" s="1181"/>
      <c r="CJA190" s="1181"/>
      <c r="CJB190" s="1181"/>
      <c r="CJC190" s="1181"/>
      <c r="CJD190" s="1181"/>
      <c r="CJE190" s="1181"/>
      <c r="CJF190" s="1181"/>
      <c r="CJG190" s="1181"/>
      <c r="CJH190" s="1181"/>
      <c r="CJI190" s="1181"/>
      <c r="CJJ190" s="1181"/>
      <c r="CJK190" s="1181"/>
      <c r="CJL190" s="1181"/>
      <c r="CJM190" s="1181"/>
      <c r="CJN190" s="1181"/>
      <c r="CJO190" s="1181"/>
      <c r="CJP190" s="1181"/>
      <c r="CJQ190" s="1181"/>
      <c r="CJR190" s="1181"/>
      <c r="CJS190" s="1181"/>
      <c r="CJT190" s="1181"/>
      <c r="CJU190" s="1181"/>
      <c r="CJV190" s="1181"/>
      <c r="CJW190" s="1181"/>
      <c r="CJX190" s="1181"/>
      <c r="CJY190" s="1181"/>
      <c r="CJZ190" s="1181"/>
      <c r="CKA190" s="1181"/>
      <c r="CKB190" s="1181"/>
      <c r="CKC190" s="1181"/>
      <c r="CKD190" s="1181"/>
      <c r="CKE190" s="1181"/>
      <c r="CKF190" s="1181"/>
      <c r="CKG190" s="1181"/>
      <c r="CKH190" s="1181"/>
      <c r="CKI190" s="1181"/>
      <c r="CKJ190" s="1181"/>
      <c r="CKK190" s="1181"/>
      <c r="CKL190" s="1181"/>
      <c r="CKM190" s="1181"/>
      <c r="CKN190" s="1181"/>
      <c r="CKO190" s="1181"/>
      <c r="CKP190" s="1181"/>
      <c r="CKQ190" s="1181"/>
      <c r="CKR190" s="1181"/>
      <c r="CKS190" s="1181"/>
      <c r="CKT190" s="1181"/>
      <c r="CKU190" s="1181"/>
      <c r="CKV190" s="1181"/>
      <c r="CKW190" s="1181"/>
      <c r="CKX190" s="1181"/>
      <c r="CKY190" s="1181"/>
      <c r="CKZ190" s="1181"/>
      <c r="CLA190" s="1181"/>
      <c r="CLB190" s="1181"/>
      <c r="CLC190" s="1181"/>
      <c r="CLD190" s="1181"/>
      <c r="CLE190" s="1181"/>
      <c r="CLF190" s="1181"/>
      <c r="CLG190" s="1181"/>
      <c r="CLH190" s="1181"/>
      <c r="CLI190" s="1181"/>
      <c r="CLJ190" s="1181"/>
      <c r="CLK190" s="1181"/>
      <c r="CLL190" s="1181"/>
      <c r="CLM190" s="1181"/>
      <c r="CLN190" s="1181"/>
      <c r="CLO190" s="1181"/>
      <c r="CLP190" s="1181"/>
      <c r="CLQ190" s="1181"/>
      <c r="CLR190" s="1181"/>
      <c r="CLS190" s="1181"/>
      <c r="CLT190" s="1181"/>
      <c r="CLU190" s="1181"/>
      <c r="CLV190" s="1181"/>
      <c r="CLW190" s="1181"/>
      <c r="CLX190" s="1181"/>
      <c r="CLY190" s="1181"/>
      <c r="CLZ190" s="1181"/>
      <c r="CMA190" s="1181"/>
      <c r="CMB190" s="1181"/>
      <c r="CMC190" s="1181"/>
      <c r="CMD190" s="1181"/>
      <c r="CME190" s="1181"/>
      <c r="CMF190" s="1181"/>
      <c r="CMG190" s="1181"/>
      <c r="CMH190" s="1181"/>
      <c r="CMI190" s="1181"/>
      <c r="CMJ190" s="1181"/>
      <c r="CMK190" s="1181"/>
      <c r="CML190" s="1181"/>
      <c r="CMM190" s="1181"/>
      <c r="CMN190" s="1181"/>
      <c r="CMO190" s="1181"/>
      <c r="CMP190" s="1181"/>
      <c r="CMQ190" s="1181"/>
      <c r="CMR190" s="1181"/>
      <c r="CMS190" s="1181"/>
      <c r="CMT190" s="1181"/>
      <c r="CMU190" s="1181"/>
      <c r="CMV190" s="1181"/>
      <c r="CMW190" s="1181"/>
      <c r="CMX190" s="1181"/>
      <c r="CMY190" s="1181"/>
      <c r="CMZ190" s="1181"/>
      <c r="CNA190" s="1181"/>
      <c r="CNB190" s="1181"/>
      <c r="CNC190" s="1181"/>
      <c r="CND190" s="1181"/>
      <c r="CNE190" s="1181"/>
      <c r="CNF190" s="1181"/>
      <c r="CNG190" s="1181"/>
      <c r="CNH190" s="1181"/>
      <c r="CNI190" s="1181"/>
      <c r="CNJ190" s="1181"/>
      <c r="CNK190" s="1181"/>
      <c r="CNL190" s="1181"/>
      <c r="CNM190" s="1181"/>
      <c r="CNN190" s="1181"/>
      <c r="CNO190" s="1181"/>
      <c r="CNP190" s="1181"/>
      <c r="CNQ190" s="1181"/>
      <c r="CNR190" s="1181"/>
      <c r="CNS190" s="1181"/>
      <c r="CNT190" s="1181"/>
      <c r="CNU190" s="1181"/>
      <c r="CNV190" s="1181"/>
      <c r="CNW190" s="1181"/>
      <c r="CNX190" s="1181"/>
      <c r="CNY190" s="1181"/>
      <c r="CNZ190" s="1181"/>
      <c r="COA190" s="1181"/>
      <c r="COB190" s="1181"/>
      <c r="COC190" s="1181"/>
      <c r="COD190" s="1181"/>
      <c r="COE190" s="1181"/>
      <c r="COF190" s="1181"/>
      <c r="COG190" s="1181"/>
      <c r="COH190" s="1181"/>
      <c r="COI190" s="1181"/>
      <c r="COJ190" s="1181"/>
      <c r="COK190" s="1181"/>
      <c r="COL190" s="1181"/>
      <c r="COM190" s="1181"/>
      <c r="CON190" s="1181"/>
      <c r="COO190" s="1181"/>
      <c r="COP190" s="1181"/>
      <c r="COQ190" s="1181"/>
      <c r="COR190" s="1181"/>
      <c r="COS190" s="1181"/>
      <c r="COT190" s="1181"/>
      <c r="COU190" s="1181"/>
      <c r="COV190" s="1181"/>
      <c r="COW190" s="1181"/>
      <c r="COX190" s="1181"/>
      <c r="COY190" s="1181"/>
      <c r="COZ190" s="1181"/>
      <c r="CPA190" s="1181"/>
      <c r="CPB190" s="1181"/>
      <c r="CPC190" s="1181"/>
      <c r="CPD190" s="1181"/>
      <c r="CPE190" s="1181"/>
      <c r="CPF190" s="1181"/>
      <c r="CPG190" s="1181"/>
      <c r="CPH190" s="1181"/>
      <c r="CPI190" s="1181"/>
      <c r="CPJ190" s="1181"/>
      <c r="CPK190" s="1181"/>
      <c r="CPL190" s="1181"/>
      <c r="CPM190" s="1181"/>
      <c r="CPN190" s="1181"/>
      <c r="CPO190" s="1181"/>
      <c r="CPP190" s="1181"/>
      <c r="CPQ190" s="1181"/>
      <c r="CPR190" s="1181"/>
      <c r="CPS190" s="1181"/>
      <c r="CPT190" s="1181"/>
      <c r="CPU190" s="1181"/>
      <c r="CPV190" s="1181"/>
      <c r="CPW190" s="1181"/>
      <c r="CPX190" s="1181"/>
      <c r="CPY190" s="1181"/>
      <c r="CPZ190" s="1181"/>
      <c r="CQA190" s="1181"/>
      <c r="CQB190" s="1181"/>
      <c r="CQC190" s="1181"/>
      <c r="CQD190" s="1181"/>
      <c r="CQE190" s="1181"/>
      <c r="CQF190" s="1181"/>
      <c r="CQG190" s="1181"/>
      <c r="CQH190" s="1181"/>
      <c r="CQI190" s="1181"/>
      <c r="CQJ190" s="1181"/>
      <c r="CQK190" s="1181"/>
      <c r="CQL190" s="1181"/>
      <c r="CQM190" s="1181"/>
      <c r="CQN190" s="1181"/>
      <c r="CQO190" s="1181"/>
      <c r="CQP190" s="1181"/>
      <c r="CQQ190" s="1181"/>
      <c r="CQR190" s="1181"/>
      <c r="CQS190" s="1181"/>
      <c r="CQT190" s="1181"/>
      <c r="CQU190" s="1181"/>
      <c r="CQV190" s="1181"/>
      <c r="CQW190" s="1181"/>
      <c r="CQX190" s="1181"/>
      <c r="CQY190" s="1181"/>
      <c r="CQZ190" s="1181"/>
      <c r="CRA190" s="1181"/>
      <c r="CRB190" s="1181"/>
      <c r="CRC190" s="1181"/>
      <c r="CRD190" s="1181"/>
      <c r="CRE190" s="1181"/>
      <c r="CRF190" s="1181"/>
      <c r="CRG190" s="1181"/>
      <c r="CRH190" s="1181"/>
      <c r="CRI190" s="1181"/>
      <c r="CRJ190" s="1181"/>
      <c r="CRK190" s="1181"/>
      <c r="CRL190" s="1181"/>
      <c r="CRM190" s="1181"/>
      <c r="CRN190" s="1181"/>
      <c r="CRO190" s="1181"/>
      <c r="CRP190" s="1181"/>
      <c r="CRQ190" s="1181"/>
      <c r="CRR190" s="1181"/>
      <c r="CRS190" s="1181"/>
      <c r="CRT190" s="1181"/>
      <c r="CRU190" s="1181"/>
      <c r="CRV190" s="1181"/>
      <c r="CRW190" s="1181"/>
      <c r="CRX190" s="1181"/>
      <c r="CRY190" s="1181"/>
      <c r="CRZ190" s="1181"/>
      <c r="CSA190" s="1181"/>
      <c r="CSB190" s="1181"/>
      <c r="CSC190" s="1181"/>
      <c r="CSD190" s="1181"/>
      <c r="CSE190" s="1181"/>
      <c r="CSF190" s="1181"/>
      <c r="CSG190" s="1181"/>
      <c r="CSH190" s="1181"/>
      <c r="CSI190" s="1181"/>
      <c r="CSJ190" s="1181"/>
      <c r="CSK190" s="1181"/>
      <c r="CSL190" s="1181"/>
      <c r="CSM190" s="1181"/>
      <c r="CSN190" s="1181"/>
      <c r="CSO190" s="1181"/>
      <c r="CSP190" s="1181"/>
      <c r="CSQ190" s="1181"/>
      <c r="CSR190" s="1181"/>
      <c r="CSS190" s="1181"/>
      <c r="CST190" s="1181"/>
      <c r="CSU190" s="1181"/>
      <c r="CSV190" s="1181"/>
      <c r="CSW190" s="1181"/>
      <c r="CSX190" s="1181"/>
      <c r="CSY190" s="1181"/>
      <c r="CSZ190" s="1181"/>
      <c r="CTA190" s="1181"/>
      <c r="CTB190" s="1181"/>
      <c r="CTC190" s="1181"/>
      <c r="CTD190" s="1181"/>
      <c r="CTE190" s="1181"/>
      <c r="CTF190" s="1181"/>
      <c r="CTG190" s="1181"/>
      <c r="CTH190" s="1181"/>
      <c r="CTI190" s="1181"/>
      <c r="CTJ190" s="1181"/>
      <c r="CTK190" s="1181"/>
      <c r="CTL190" s="1181"/>
      <c r="CTM190" s="1181"/>
      <c r="CTN190" s="1181"/>
      <c r="CTO190" s="1181"/>
      <c r="CTP190" s="1181"/>
      <c r="CTQ190" s="1181"/>
      <c r="CTR190" s="1181"/>
      <c r="CTS190" s="1181"/>
      <c r="CTT190" s="1181"/>
      <c r="CTU190" s="1181"/>
      <c r="CTV190" s="1181"/>
      <c r="CTW190" s="1181"/>
      <c r="CTX190" s="1181"/>
      <c r="CTY190" s="1181"/>
      <c r="CTZ190" s="1181"/>
      <c r="CUA190" s="1181"/>
      <c r="CUB190" s="1181"/>
      <c r="CUC190" s="1181"/>
      <c r="CUD190" s="1181"/>
      <c r="CUE190" s="1181"/>
      <c r="CUF190" s="1181"/>
      <c r="CUG190" s="1181"/>
      <c r="CUH190" s="1181"/>
      <c r="CUI190" s="1181"/>
      <c r="CUJ190" s="1181"/>
      <c r="CUK190" s="1181"/>
      <c r="CUL190" s="1181"/>
      <c r="CUM190" s="1181"/>
      <c r="CUN190" s="1181"/>
      <c r="CUO190" s="1181"/>
      <c r="CUP190" s="1181"/>
      <c r="CUQ190" s="1181"/>
      <c r="CUR190" s="1181"/>
      <c r="CUS190" s="1181"/>
      <c r="CUT190" s="1181"/>
      <c r="CUU190" s="1181"/>
      <c r="CUV190" s="1181"/>
      <c r="CUW190" s="1181"/>
      <c r="CUX190" s="1181"/>
      <c r="CUY190" s="1181"/>
      <c r="CUZ190" s="1181"/>
      <c r="CVA190" s="1181"/>
      <c r="CVB190" s="1181"/>
      <c r="CVC190" s="1181"/>
      <c r="CVD190" s="1181"/>
      <c r="CVE190" s="1181"/>
      <c r="CVF190" s="1181"/>
      <c r="CVG190" s="1181"/>
      <c r="CVH190" s="1181"/>
      <c r="CVI190" s="1181"/>
      <c r="CVJ190" s="1181"/>
      <c r="CVK190" s="1181"/>
      <c r="CVL190" s="1181"/>
      <c r="CVM190" s="1181"/>
      <c r="CVN190" s="1181"/>
      <c r="CVO190" s="1181"/>
      <c r="CVP190" s="1181"/>
      <c r="CVQ190" s="1181"/>
      <c r="CVR190" s="1181"/>
      <c r="CVS190" s="1181"/>
      <c r="CVT190" s="1181"/>
      <c r="CVU190" s="1181"/>
      <c r="CVV190" s="1181"/>
      <c r="CVW190" s="1181"/>
      <c r="CVX190" s="1181"/>
      <c r="CVY190" s="1181"/>
      <c r="CVZ190" s="1181"/>
      <c r="CWA190" s="1181"/>
      <c r="CWB190" s="1181"/>
      <c r="CWC190" s="1181"/>
      <c r="CWD190" s="1181"/>
      <c r="CWE190" s="1181"/>
      <c r="CWF190" s="1181"/>
      <c r="CWG190" s="1181"/>
      <c r="CWH190" s="1181"/>
      <c r="CWI190" s="1181"/>
      <c r="CWJ190" s="1181"/>
      <c r="CWK190" s="1181"/>
      <c r="CWL190" s="1181"/>
      <c r="CWM190" s="1181"/>
      <c r="CWN190" s="1181"/>
      <c r="CWO190" s="1181"/>
      <c r="CWP190" s="1181"/>
      <c r="CWQ190" s="1181"/>
      <c r="CWR190" s="1181"/>
      <c r="CWS190" s="1181"/>
      <c r="CWT190" s="1181"/>
      <c r="CWU190" s="1181"/>
      <c r="CWV190" s="1181"/>
      <c r="CWW190" s="1181"/>
      <c r="CWX190" s="1181"/>
      <c r="CWY190" s="1181"/>
      <c r="CWZ190" s="1181"/>
      <c r="CXA190" s="1181"/>
      <c r="CXB190" s="1181"/>
      <c r="CXC190" s="1181"/>
      <c r="CXD190" s="1181"/>
      <c r="CXE190" s="1181"/>
      <c r="CXF190" s="1181"/>
      <c r="CXG190" s="1181"/>
      <c r="CXH190" s="1181"/>
      <c r="CXI190" s="1181"/>
      <c r="CXJ190" s="1181"/>
      <c r="CXK190" s="1181"/>
      <c r="CXL190" s="1181"/>
      <c r="CXM190" s="1181"/>
      <c r="CXN190" s="1181"/>
      <c r="CXO190" s="1181"/>
      <c r="CXP190" s="1181"/>
      <c r="CXQ190" s="1181"/>
      <c r="CXR190" s="1181"/>
      <c r="CXS190" s="1181"/>
      <c r="CXT190" s="1181"/>
      <c r="CXU190" s="1181"/>
      <c r="CXV190" s="1181"/>
      <c r="CXW190" s="1181"/>
      <c r="CXX190" s="1181"/>
      <c r="CXY190" s="1181"/>
      <c r="CXZ190" s="1181"/>
      <c r="CYA190" s="1181"/>
      <c r="CYB190" s="1181"/>
      <c r="CYC190" s="1181"/>
      <c r="CYD190" s="1181"/>
      <c r="CYE190" s="1181"/>
      <c r="CYF190" s="1181"/>
      <c r="CYG190" s="1181"/>
      <c r="CYH190" s="1181"/>
      <c r="CYI190" s="1181"/>
      <c r="CYJ190" s="1181"/>
      <c r="CYK190" s="1181"/>
      <c r="CYL190" s="1181"/>
      <c r="CYM190" s="1181"/>
      <c r="CYN190" s="1181"/>
      <c r="CYO190" s="1181"/>
      <c r="CYP190" s="1181"/>
      <c r="CYQ190" s="1181"/>
      <c r="CYR190" s="1181"/>
      <c r="CYS190" s="1181"/>
      <c r="CYT190" s="1181"/>
      <c r="CYU190" s="1181"/>
      <c r="CYV190" s="1181"/>
      <c r="CYW190" s="1181"/>
      <c r="CYX190" s="1181"/>
      <c r="CYY190" s="1181"/>
      <c r="CYZ190" s="1181"/>
      <c r="CZA190" s="1181"/>
      <c r="CZB190" s="1181"/>
      <c r="CZC190" s="1181"/>
      <c r="CZD190" s="1181"/>
      <c r="CZE190" s="1181"/>
      <c r="CZF190" s="1181"/>
      <c r="CZG190" s="1181"/>
      <c r="CZH190" s="1181"/>
      <c r="CZI190" s="1181"/>
      <c r="CZJ190" s="1181"/>
      <c r="CZK190" s="1181"/>
      <c r="CZL190" s="1181"/>
      <c r="CZM190" s="1181"/>
      <c r="CZN190" s="1181"/>
      <c r="CZO190" s="1181"/>
      <c r="CZP190" s="1181"/>
      <c r="CZQ190" s="1181"/>
      <c r="CZR190" s="1181"/>
      <c r="CZS190" s="1181"/>
      <c r="CZT190" s="1181"/>
      <c r="CZU190" s="1181"/>
      <c r="CZV190" s="1181"/>
      <c r="CZW190" s="1181"/>
      <c r="CZX190" s="1181"/>
      <c r="CZY190" s="1181"/>
      <c r="CZZ190" s="1181"/>
      <c r="DAA190" s="1181"/>
      <c r="DAB190" s="1181"/>
      <c r="DAC190" s="1181"/>
      <c r="DAD190" s="1181"/>
      <c r="DAE190" s="1181"/>
      <c r="DAF190" s="1181"/>
      <c r="DAG190" s="1181"/>
      <c r="DAH190" s="1181"/>
      <c r="DAI190" s="1181"/>
      <c r="DAJ190" s="1181"/>
      <c r="DAK190" s="1181"/>
      <c r="DAL190" s="1181"/>
      <c r="DAM190" s="1181"/>
      <c r="DAN190" s="1181"/>
      <c r="DAO190" s="1181"/>
      <c r="DAP190" s="1181"/>
      <c r="DAQ190" s="1181"/>
      <c r="DAR190" s="1181"/>
      <c r="DAS190" s="1181"/>
      <c r="DAT190" s="1181"/>
      <c r="DAU190" s="1181"/>
      <c r="DAV190" s="1181"/>
      <c r="DAW190" s="1181"/>
      <c r="DAX190" s="1181"/>
      <c r="DAY190" s="1181"/>
      <c r="DAZ190" s="1181"/>
      <c r="DBA190" s="1181"/>
      <c r="DBB190" s="1181"/>
      <c r="DBC190" s="1181"/>
      <c r="DBD190" s="1181"/>
      <c r="DBE190" s="1181"/>
      <c r="DBF190" s="1181"/>
      <c r="DBG190" s="1181"/>
      <c r="DBH190" s="1181"/>
      <c r="DBI190" s="1181"/>
      <c r="DBJ190" s="1181"/>
      <c r="DBK190" s="1181"/>
      <c r="DBL190" s="1181"/>
      <c r="DBM190" s="1181"/>
      <c r="DBN190" s="1181"/>
      <c r="DBO190" s="1181"/>
      <c r="DBP190" s="1181"/>
      <c r="DBQ190" s="1181"/>
      <c r="DBR190" s="1181"/>
      <c r="DBS190" s="1181"/>
      <c r="DBT190" s="1181"/>
      <c r="DBU190" s="1181"/>
      <c r="DBV190" s="1181"/>
      <c r="DBW190" s="1181"/>
      <c r="DBX190" s="1181"/>
      <c r="DBY190" s="1181"/>
      <c r="DBZ190" s="1181"/>
      <c r="DCA190" s="1181"/>
      <c r="DCB190" s="1181"/>
      <c r="DCC190" s="1181"/>
      <c r="DCD190" s="1181"/>
      <c r="DCE190" s="1181"/>
      <c r="DCF190" s="1181"/>
      <c r="DCG190" s="1181"/>
      <c r="DCH190" s="1181"/>
      <c r="DCI190" s="1181"/>
      <c r="DCJ190" s="1181"/>
      <c r="DCK190" s="1181"/>
      <c r="DCL190" s="1181"/>
      <c r="DCM190" s="1181"/>
      <c r="DCN190" s="1181"/>
      <c r="DCO190" s="1181"/>
      <c r="DCP190" s="1181"/>
      <c r="DCQ190" s="1181"/>
      <c r="DCR190" s="1181"/>
      <c r="DCS190" s="1181"/>
      <c r="DCT190" s="1181"/>
      <c r="DCU190" s="1181"/>
      <c r="DCV190" s="1181"/>
      <c r="DCW190" s="1181"/>
      <c r="DCX190" s="1181"/>
      <c r="DCY190" s="1181"/>
      <c r="DCZ190" s="1181"/>
      <c r="DDA190" s="1181"/>
      <c r="DDB190" s="1181"/>
      <c r="DDC190" s="1181"/>
      <c r="DDD190" s="1181"/>
      <c r="DDE190" s="1181"/>
      <c r="DDF190" s="1181"/>
      <c r="DDG190" s="1181"/>
      <c r="DDH190" s="1181"/>
      <c r="DDI190" s="1181"/>
      <c r="DDJ190" s="1181"/>
      <c r="DDK190" s="1181"/>
      <c r="DDL190" s="1181"/>
      <c r="DDM190" s="1181"/>
      <c r="DDN190" s="1181"/>
      <c r="DDO190" s="1181"/>
      <c r="DDP190" s="1181"/>
      <c r="DDQ190" s="1181"/>
      <c r="DDR190" s="1181"/>
      <c r="DDS190" s="1181"/>
      <c r="DDT190" s="1181"/>
      <c r="DDU190" s="1181"/>
      <c r="DDV190" s="1181"/>
      <c r="DDW190" s="1181"/>
      <c r="DDX190" s="1181"/>
      <c r="DDY190" s="1181"/>
      <c r="DDZ190" s="1181"/>
      <c r="DEA190" s="1181"/>
      <c r="DEB190" s="1181"/>
      <c r="DEC190" s="1181"/>
      <c r="DED190" s="1181"/>
      <c r="DEE190" s="1181"/>
      <c r="DEF190" s="1181"/>
      <c r="DEG190" s="1181"/>
      <c r="DEH190" s="1181"/>
      <c r="DEI190" s="1181"/>
      <c r="DEJ190" s="1181"/>
      <c r="DEK190" s="1181"/>
      <c r="DEL190" s="1181"/>
      <c r="DEM190" s="1181"/>
      <c r="DEN190" s="1181"/>
      <c r="DEO190" s="1181"/>
      <c r="DEP190" s="1181"/>
      <c r="DEQ190" s="1181"/>
      <c r="DER190" s="1181"/>
      <c r="DES190" s="1181"/>
      <c r="DET190" s="1181"/>
      <c r="DEU190" s="1181"/>
      <c r="DEV190" s="1181"/>
      <c r="DEW190" s="1181"/>
      <c r="DEX190" s="1181"/>
      <c r="DEY190" s="1181"/>
      <c r="DEZ190" s="1181"/>
      <c r="DFA190" s="1181"/>
      <c r="DFB190" s="1181"/>
      <c r="DFC190" s="1181"/>
      <c r="DFD190" s="1181"/>
      <c r="DFE190" s="1181"/>
      <c r="DFF190" s="1181"/>
      <c r="DFG190" s="1181"/>
      <c r="DFH190" s="1181"/>
      <c r="DFI190" s="1181"/>
      <c r="DFJ190" s="1181"/>
      <c r="DFK190" s="1181"/>
      <c r="DFL190" s="1181"/>
      <c r="DFM190" s="1181"/>
      <c r="DFN190" s="1181"/>
      <c r="DFO190" s="1181"/>
      <c r="DFP190" s="1181"/>
      <c r="DFQ190" s="1181"/>
      <c r="DFR190" s="1181"/>
      <c r="DFS190" s="1181"/>
      <c r="DFT190" s="1181"/>
      <c r="DFU190" s="1181"/>
      <c r="DFV190" s="1181"/>
      <c r="DFW190" s="1181"/>
      <c r="DFX190" s="1181"/>
      <c r="DFY190" s="1181"/>
      <c r="DFZ190" s="1181"/>
      <c r="DGA190" s="1181"/>
      <c r="DGB190" s="1181"/>
      <c r="DGC190" s="1181"/>
      <c r="DGD190" s="1181"/>
      <c r="DGE190" s="1181"/>
      <c r="DGF190" s="1181"/>
      <c r="DGG190" s="1181"/>
      <c r="DGH190" s="1181"/>
      <c r="DGI190" s="1181"/>
      <c r="DGJ190" s="1181"/>
      <c r="DGK190" s="1181"/>
      <c r="DGL190" s="1181"/>
      <c r="DGM190" s="1181"/>
      <c r="DGN190" s="1181"/>
      <c r="DGO190" s="1181"/>
      <c r="DGP190" s="1181"/>
      <c r="DGQ190" s="1181"/>
      <c r="DGR190" s="1181"/>
      <c r="DGS190" s="1181"/>
      <c r="DGT190" s="1181"/>
      <c r="DGU190" s="1181"/>
      <c r="DGV190" s="1181"/>
      <c r="DGW190" s="1181"/>
      <c r="DGX190" s="1181"/>
      <c r="DGY190" s="1181"/>
      <c r="DGZ190" s="1181"/>
      <c r="DHA190" s="1181"/>
      <c r="DHB190" s="1181"/>
      <c r="DHC190" s="1181"/>
      <c r="DHD190" s="1181"/>
      <c r="DHE190" s="1181"/>
      <c r="DHF190" s="1181"/>
      <c r="DHG190" s="1181"/>
      <c r="DHH190" s="1181"/>
      <c r="DHI190" s="1181"/>
      <c r="DHJ190" s="1181"/>
      <c r="DHK190" s="1181"/>
      <c r="DHL190" s="1181"/>
      <c r="DHM190" s="1181"/>
      <c r="DHN190" s="1181"/>
      <c r="DHO190" s="1181"/>
      <c r="DHP190" s="1181"/>
      <c r="DHQ190" s="1181"/>
      <c r="DHR190" s="1181"/>
      <c r="DHS190" s="1181"/>
      <c r="DHT190" s="1181"/>
      <c r="DHU190" s="1181"/>
      <c r="DHV190" s="1181"/>
      <c r="DHW190" s="1181"/>
      <c r="DHX190" s="1181"/>
      <c r="DHY190" s="1181"/>
      <c r="DHZ190" s="1181"/>
      <c r="DIA190" s="1181"/>
      <c r="DIB190" s="1181"/>
      <c r="DIC190" s="1181"/>
      <c r="DID190" s="1181"/>
      <c r="DIE190" s="1181"/>
      <c r="DIF190" s="1181"/>
      <c r="DIG190" s="1181"/>
      <c r="DIH190" s="1181"/>
      <c r="DII190" s="1181"/>
      <c r="DIJ190" s="1181"/>
      <c r="DIK190" s="1181"/>
      <c r="DIL190" s="1181"/>
      <c r="DIM190" s="1181"/>
      <c r="DIN190" s="1181"/>
      <c r="DIO190" s="1181"/>
      <c r="DIP190" s="1181"/>
      <c r="DIQ190" s="1181"/>
      <c r="DIR190" s="1181"/>
      <c r="DIS190" s="1181"/>
      <c r="DIT190" s="1181"/>
      <c r="DIU190" s="1181"/>
      <c r="DIV190" s="1181"/>
      <c r="DIW190" s="1181"/>
      <c r="DIX190" s="1181"/>
      <c r="DIY190" s="1181"/>
      <c r="DIZ190" s="1181"/>
      <c r="DJA190" s="1181"/>
      <c r="DJB190" s="1181"/>
      <c r="DJC190" s="1181"/>
      <c r="DJD190" s="1181"/>
      <c r="DJE190" s="1181"/>
      <c r="DJF190" s="1181"/>
      <c r="DJG190" s="1181"/>
      <c r="DJH190" s="1181"/>
      <c r="DJI190" s="1181"/>
      <c r="DJJ190" s="1181"/>
      <c r="DJK190" s="1181"/>
      <c r="DJL190" s="1181"/>
      <c r="DJM190" s="1181"/>
      <c r="DJN190" s="1181"/>
      <c r="DJO190" s="1181"/>
      <c r="DJP190" s="1181"/>
      <c r="DJQ190" s="1181"/>
      <c r="DJR190" s="1181"/>
      <c r="DJS190" s="1181"/>
      <c r="DJT190" s="1181"/>
      <c r="DJU190" s="1181"/>
      <c r="DJV190" s="1181"/>
      <c r="DJW190" s="1181"/>
      <c r="DJX190" s="1181"/>
      <c r="DJY190" s="1181"/>
      <c r="DJZ190" s="1181"/>
      <c r="DKA190" s="1181"/>
      <c r="DKB190" s="1181"/>
      <c r="DKC190" s="1181"/>
      <c r="DKD190" s="1181"/>
      <c r="DKE190" s="1181"/>
      <c r="DKF190" s="1181"/>
      <c r="DKG190" s="1181"/>
      <c r="DKH190" s="1181"/>
      <c r="DKI190" s="1181"/>
      <c r="DKJ190" s="1181"/>
      <c r="DKK190" s="1181"/>
      <c r="DKL190" s="1181"/>
      <c r="DKM190" s="1181"/>
      <c r="DKN190" s="1181"/>
      <c r="DKO190" s="1181"/>
      <c r="DKP190" s="1181"/>
      <c r="DKQ190" s="1181"/>
      <c r="DKR190" s="1181"/>
      <c r="DKS190" s="1181"/>
      <c r="DKT190" s="1181"/>
      <c r="DKU190" s="1181"/>
      <c r="DKV190" s="1181"/>
      <c r="DKW190" s="1181"/>
      <c r="DKX190" s="1181"/>
      <c r="DKY190" s="1181"/>
      <c r="DKZ190" s="1181"/>
      <c r="DLA190" s="1181"/>
      <c r="DLB190" s="1181"/>
      <c r="DLC190" s="1181"/>
      <c r="DLD190" s="1181"/>
      <c r="DLE190" s="1181"/>
      <c r="DLF190" s="1181"/>
      <c r="DLG190" s="1181"/>
      <c r="DLH190" s="1181"/>
      <c r="DLI190" s="1181"/>
      <c r="DLJ190" s="1181"/>
      <c r="DLK190" s="1181"/>
      <c r="DLL190" s="1181"/>
      <c r="DLM190" s="1181"/>
      <c r="DLN190" s="1181"/>
      <c r="DLO190" s="1181"/>
      <c r="DLP190" s="1181"/>
      <c r="DLQ190" s="1181"/>
      <c r="DLR190" s="1181"/>
      <c r="DLS190" s="1181"/>
      <c r="DLT190" s="1181"/>
      <c r="DLU190" s="1181"/>
      <c r="DLV190" s="1181"/>
      <c r="DLW190" s="1181"/>
      <c r="DLX190" s="1181"/>
      <c r="DLY190" s="1181"/>
      <c r="DLZ190" s="1181"/>
      <c r="DMA190" s="1181"/>
      <c r="DMB190" s="1181"/>
      <c r="DMC190" s="1181"/>
      <c r="DMD190" s="1181"/>
      <c r="DME190" s="1181"/>
      <c r="DMF190" s="1181"/>
      <c r="DMG190" s="1181"/>
      <c r="DMH190" s="1181"/>
      <c r="DMI190" s="1181"/>
      <c r="DMJ190" s="1181"/>
      <c r="DMK190" s="1181"/>
      <c r="DML190" s="1181"/>
      <c r="DMM190" s="1181"/>
      <c r="DMN190" s="1181"/>
      <c r="DMO190" s="1181"/>
      <c r="DMP190" s="1181"/>
      <c r="DMQ190" s="1181"/>
      <c r="DMR190" s="1181"/>
      <c r="DMS190" s="1181"/>
      <c r="DMT190" s="1181"/>
      <c r="DMU190" s="1181"/>
      <c r="DMV190" s="1181"/>
      <c r="DMW190" s="1181"/>
      <c r="DMX190" s="1181"/>
      <c r="DMY190" s="1181"/>
      <c r="DMZ190" s="1181"/>
      <c r="DNA190" s="1181"/>
      <c r="DNB190" s="1181"/>
      <c r="DNC190" s="1181"/>
      <c r="DND190" s="1181"/>
      <c r="DNE190" s="1181"/>
      <c r="DNF190" s="1181"/>
      <c r="DNG190" s="1181"/>
      <c r="DNH190" s="1181"/>
      <c r="DNI190" s="1181"/>
      <c r="DNJ190" s="1181"/>
      <c r="DNK190" s="1181"/>
      <c r="DNL190" s="1181"/>
      <c r="DNM190" s="1181"/>
      <c r="DNN190" s="1181"/>
      <c r="DNO190" s="1181"/>
      <c r="DNP190" s="1181"/>
      <c r="DNQ190" s="1181"/>
      <c r="DNR190" s="1181"/>
      <c r="DNS190" s="1181"/>
      <c r="DNT190" s="1181"/>
      <c r="DNU190" s="1181"/>
      <c r="DNV190" s="1181"/>
      <c r="DNW190" s="1181"/>
      <c r="DNX190" s="1181"/>
      <c r="DNY190" s="1181"/>
      <c r="DNZ190" s="1181"/>
      <c r="DOA190" s="1181"/>
      <c r="DOB190" s="1181"/>
      <c r="DOC190" s="1181"/>
      <c r="DOD190" s="1181"/>
      <c r="DOE190" s="1181"/>
      <c r="DOF190" s="1181"/>
      <c r="DOG190" s="1181"/>
      <c r="DOH190" s="1181"/>
      <c r="DOI190" s="1181"/>
      <c r="DOJ190" s="1181"/>
      <c r="DOK190" s="1181"/>
      <c r="DOL190" s="1181"/>
      <c r="DOM190" s="1181"/>
      <c r="DON190" s="1181"/>
      <c r="DOO190" s="1181"/>
      <c r="DOP190" s="1181"/>
      <c r="DOQ190" s="1181"/>
      <c r="DOR190" s="1181"/>
      <c r="DOS190" s="1181"/>
      <c r="DOT190" s="1181"/>
      <c r="DOU190" s="1181"/>
      <c r="DOV190" s="1181"/>
      <c r="DOW190" s="1181"/>
      <c r="DOX190" s="1181"/>
      <c r="DOY190" s="1181"/>
      <c r="DOZ190" s="1181"/>
      <c r="DPA190" s="1181"/>
      <c r="DPB190" s="1181"/>
      <c r="DPC190" s="1181"/>
      <c r="DPD190" s="1181"/>
      <c r="DPE190" s="1181"/>
      <c r="DPF190" s="1181"/>
      <c r="DPG190" s="1181"/>
      <c r="DPH190" s="1181"/>
      <c r="DPI190" s="1181"/>
      <c r="DPJ190" s="1181"/>
      <c r="DPK190" s="1181"/>
      <c r="DPL190" s="1181"/>
      <c r="DPM190" s="1181"/>
      <c r="DPN190" s="1181"/>
      <c r="DPO190" s="1181"/>
      <c r="DPP190" s="1181"/>
      <c r="DPQ190" s="1181"/>
      <c r="DPR190" s="1181"/>
      <c r="DPS190" s="1181"/>
      <c r="DPT190" s="1181"/>
      <c r="DPU190" s="1181"/>
      <c r="DPV190" s="1181"/>
      <c r="DPW190" s="1181"/>
      <c r="DPX190" s="1181"/>
      <c r="DPY190" s="1181"/>
      <c r="DPZ190" s="1181"/>
      <c r="DQA190" s="1181"/>
      <c r="DQB190" s="1181"/>
      <c r="DQC190" s="1181"/>
      <c r="DQD190" s="1181"/>
      <c r="DQE190" s="1181"/>
      <c r="DQF190" s="1181"/>
      <c r="DQG190" s="1181"/>
      <c r="DQH190" s="1181"/>
      <c r="DQI190" s="1181"/>
      <c r="DQJ190" s="1181"/>
      <c r="DQK190" s="1181"/>
      <c r="DQL190" s="1181"/>
      <c r="DQM190" s="1181"/>
      <c r="DQN190" s="1181"/>
      <c r="DQO190" s="1181"/>
      <c r="DQP190" s="1181"/>
      <c r="DQQ190" s="1181"/>
      <c r="DQR190" s="1181"/>
      <c r="DQS190" s="1181"/>
      <c r="DQT190" s="1181"/>
      <c r="DQU190" s="1181"/>
      <c r="DQV190" s="1181"/>
      <c r="DQW190" s="1181"/>
      <c r="DQX190" s="1181"/>
      <c r="DQY190" s="1181"/>
      <c r="DQZ190" s="1181"/>
      <c r="DRA190" s="1181"/>
      <c r="DRB190" s="1181"/>
      <c r="DRC190" s="1181"/>
      <c r="DRD190" s="1181"/>
      <c r="DRE190" s="1181"/>
      <c r="DRF190" s="1181"/>
      <c r="DRG190" s="1181"/>
      <c r="DRH190" s="1181"/>
      <c r="DRI190" s="1181"/>
      <c r="DRJ190" s="1181"/>
      <c r="DRK190" s="1181"/>
      <c r="DRL190" s="1181"/>
      <c r="DRM190" s="1181"/>
      <c r="DRN190" s="1181"/>
      <c r="DRO190" s="1181"/>
      <c r="DRP190" s="1181"/>
      <c r="DRQ190" s="1181"/>
      <c r="DRR190" s="1181"/>
      <c r="DRS190" s="1181"/>
      <c r="DRT190" s="1181"/>
      <c r="DRU190" s="1181"/>
      <c r="DRV190" s="1181"/>
      <c r="DRW190" s="1181"/>
      <c r="DRX190" s="1181"/>
      <c r="DRY190" s="1181"/>
      <c r="DRZ190" s="1181"/>
      <c r="DSA190" s="1181"/>
      <c r="DSB190" s="1181"/>
      <c r="DSC190" s="1181"/>
      <c r="DSD190" s="1181"/>
      <c r="DSE190" s="1181"/>
      <c r="DSF190" s="1181"/>
      <c r="DSG190" s="1181"/>
      <c r="DSH190" s="1181"/>
      <c r="DSI190" s="1181"/>
      <c r="DSJ190" s="1181"/>
      <c r="DSK190" s="1181"/>
      <c r="DSL190" s="1181"/>
      <c r="DSM190" s="1181"/>
      <c r="DSN190" s="1181"/>
      <c r="DSO190" s="1181"/>
      <c r="DSP190" s="1181"/>
      <c r="DSQ190" s="1181"/>
      <c r="DSR190" s="1181"/>
      <c r="DSS190" s="1181"/>
      <c r="DST190" s="1181"/>
      <c r="DSU190" s="1181"/>
      <c r="DSV190" s="1181"/>
      <c r="DSW190" s="1181"/>
      <c r="DSX190" s="1181"/>
      <c r="DSY190" s="1181"/>
      <c r="DSZ190" s="1181"/>
      <c r="DTA190" s="1181"/>
      <c r="DTB190" s="1181"/>
      <c r="DTC190" s="1181"/>
      <c r="DTD190" s="1181"/>
      <c r="DTE190" s="1181"/>
      <c r="DTF190" s="1181"/>
      <c r="DTG190" s="1181"/>
      <c r="DTH190" s="1181"/>
      <c r="DTI190" s="1181"/>
      <c r="DTJ190" s="1181"/>
      <c r="DTK190" s="1181"/>
      <c r="DTL190" s="1181"/>
      <c r="DTM190" s="1181"/>
      <c r="DTN190" s="1181"/>
      <c r="DTO190" s="1181"/>
      <c r="DTP190" s="1181"/>
      <c r="DTQ190" s="1181"/>
      <c r="DTR190" s="1181"/>
      <c r="DTS190" s="1181"/>
      <c r="DTT190" s="1181"/>
      <c r="DTU190" s="1181"/>
      <c r="DTV190" s="1181"/>
      <c r="DTW190" s="1181"/>
      <c r="DTX190" s="1181"/>
      <c r="DTY190" s="1181"/>
      <c r="DTZ190" s="1181"/>
      <c r="DUA190" s="1181"/>
      <c r="DUB190" s="1181"/>
      <c r="DUC190" s="1181"/>
      <c r="DUD190" s="1181"/>
      <c r="DUE190" s="1181"/>
      <c r="DUF190" s="1181"/>
      <c r="DUG190" s="1181"/>
      <c r="DUH190" s="1181"/>
      <c r="DUI190" s="1181"/>
      <c r="DUJ190" s="1181"/>
      <c r="DUK190" s="1181"/>
      <c r="DUL190" s="1181"/>
      <c r="DUM190" s="1181"/>
      <c r="DUN190" s="1181"/>
      <c r="DUO190" s="1181"/>
      <c r="DUP190" s="1181"/>
      <c r="DUQ190" s="1181"/>
      <c r="DUR190" s="1181"/>
      <c r="DUS190" s="1181"/>
      <c r="DUT190" s="1181"/>
      <c r="DUU190" s="1181"/>
      <c r="DUV190" s="1181"/>
      <c r="DUW190" s="1181"/>
      <c r="DUX190" s="1181"/>
      <c r="DUY190" s="1181"/>
      <c r="DUZ190" s="1181"/>
      <c r="DVA190" s="1181"/>
      <c r="DVB190" s="1181"/>
      <c r="DVC190" s="1181"/>
      <c r="DVD190" s="1181"/>
      <c r="DVE190" s="1181"/>
      <c r="DVF190" s="1181"/>
      <c r="DVG190" s="1181"/>
      <c r="DVH190" s="1181"/>
      <c r="DVI190" s="1181"/>
      <c r="DVJ190" s="1181"/>
      <c r="DVK190" s="1181"/>
      <c r="DVL190" s="1181"/>
      <c r="DVM190" s="1181"/>
      <c r="DVN190" s="1181"/>
      <c r="DVO190" s="1181"/>
      <c r="DVP190" s="1181"/>
      <c r="DVQ190" s="1181"/>
      <c r="DVR190" s="1181"/>
      <c r="DVS190" s="1181"/>
      <c r="DVT190" s="1181"/>
      <c r="DVU190" s="1181"/>
      <c r="DVV190" s="1181"/>
      <c r="DVW190" s="1181"/>
      <c r="DVX190" s="1181"/>
      <c r="DVY190" s="1181"/>
      <c r="DVZ190" s="1181"/>
      <c r="DWA190" s="1181"/>
      <c r="DWB190" s="1181"/>
      <c r="DWC190" s="1181"/>
      <c r="DWD190" s="1181"/>
      <c r="DWE190" s="1181"/>
      <c r="DWF190" s="1181"/>
      <c r="DWG190" s="1181"/>
      <c r="DWH190" s="1181"/>
      <c r="DWI190" s="1181"/>
      <c r="DWJ190" s="1181"/>
      <c r="DWK190" s="1181"/>
      <c r="DWL190" s="1181"/>
      <c r="DWM190" s="1181"/>
      <c r="DWN190" s="1181"/>
      <c r="DWO190" s="1181"/>
      <c r="DWP190" s="1181"/>
      <c r="DWQ190" s="1181"/>
      <c r="DWR190" s="1181"/>
      <c r="DWS190" s="1181"/>
      <c r="DWT190" s="1181"/>
      <c r="DWU190" s="1181"/>
      <c r="DWV190" s="1181"/>
      <c r="DWW190" s="1181"/>
      <c r="DWX190" s="1181"/>
      <c r="DWY190" s="1181"/>
      <c r="DWZ190" s="1181"/>
      <c r="DXA190" s="1181"/>
      <c r="DXB190" s="1181"/>
      <c r="DXC190" s="1181"/>
      <c r="DXD190" s="1181"/>
      <c r="DXE190" s="1181"/>
      <c r="DXF190" s="1181"/>
      <c r="DXG190" s="1181"/>
      <c r="DXH190" s="1181"/>
      <c r="DXI190" s="1181"/>
      <c r="DXJ190" s="1181"/>
      <c r="DXK190" s="1181"/>
      <c r="DXL190" s="1181"/>
      <c r="DXM190" s="1181"/>
      <c r="DXN190" s="1181"/>
      <c r="DXO190" s="1181"/>
      <c r="DXP190" s="1181"/>
      <c r="DXQ190" s="1181"/>
      <c r="DXR190" s="1181"/>
      <c r="DXS190" s="1181"/>
      <c r="DXT190" s="1181"/>
      <c r="DXU190" s="1181"/>
      <c r="DXV190" s="1181"/>
      <c r="DXW190" s="1181"/>
      <c r="DXX190" s="1181"/>
      <c r="DXY190" s="1181"/>
      <c r="DXZ190" s="1181"/>
      <c r="DYA190" s="1181"/>
      <c r="DYB190" s="1181"/>
      <c r="DYC190" s="1181"/>
      <c r="DYD190" s="1181"/>
      <c r="DYE190" s="1181"/>
      <c r="DYF190" s="1181"/>
      <c r="DYG190" s="1181"/>
      <c r="DYH190" s="1181"/>
      <c r="DYI190" s="1181"/>
      <c r="DYJ190" s="1181"/>
      <c r="DYK190" s="1181"/>
      <c r="DYL190" s="1181"/>
      <c r="DYM190" s="1181"/>
      <c r="DYN190" s="1181"/>
      <c r="DYO190" s="1181"/>
      <c r="DYP190" s="1181"/>
      <c r="DYQ190" s="1181"/>
      <c r="DYR190" s="1181"/>
      <c r="DYS190" s="1181"/>
      <c r="DYT190" s="1181"/>
      <c r="DYU190" s="1181"/>
      <c r="DYV190" s="1181"/>
      <c r="DYW190" s="1181"/>
      <c r="DYX190" s="1181"/>
      <c r="DYY190" s="1181"/>
      <c r="DYZ190" s="1181"/>
      <c r="DZA190" s="1181"/>
      <c r="DZB190" s="1181"/>
      <c r="DZC190" s="1181"/>
      <c r="DZD190" s="1181"/>
      <c r="DZE190" s="1181"/>
      <c r="DZF190" s="1181"/>
      <c r="DZG190" s="1181"/>
      <c r="DZH190" s="1181"/>
      <c r="DZI190" s="1181"/>
      <c r="DZJ190" s="1181"/>
      <c r="DZK190" s="1181"/>
      <c r="DZL190" s="1181"/>
      <c r="DZM190" s="1181"/>
      <c r="DZN190" s="1181"/>
      <c r="DZO190" s="1181"/>
      <c r="DZP190" s="1181"/>
      <c r="DZQ190" s="1181"/>
      <c r="DZR190" s="1181"/>
      <c r="DZS190" s="1181"/>
      <c r="DZT190" s="1181"/>
      <c r="DZU190" s="1181"/>
      <c r="DZV190" s="1181"/>
      <c r="DZW190" s="1181"/>
      <c r="DZX190" s="1181"/>
      <c r="DZY190" s="1181"/>
      <c r="DZZ190" s="1181"/>
      <c r="EAA190" s="1181"/>
      <c r="EAB190" s="1181"/>
      <c r="EAC190" s="1181"/>
      <c r="EAD190" s="1181"/>
      <c r="EAE190" s="1181"/>
      <c r="EAF190" s="1181"/>
      <c r="EAG190" s="1181"/>
      <c r="EAH190" s="1181"/>
      <c r="EAI190" s="1181"/>
      <c r="EAJ190" s="1181"/>
      <c r="EAK190" s="1181"/>
      <c r="EAL190" s="1181"/>
      <c r="EAM190" s="1181"/>
      <c r="EAN190" s="1181"/>
      <c r="EAO190" s="1181"/>
      <c r="EAP190" s="1181"/>
      <c r="EAQ190" s="1181"/>
      <c r="EAR190" s="1181"/>
      <c r="EAS190" s="1181"/>
      <c r="EAT190" s="1181"/>
      <c r="EAU190" s="1181"/>
      <c r="EAV190" s="1181"/>
      <c r="EAW190" s="1181"/>
      <c r="EAX190" s="1181"/>
      <c r="EAY190" s="1181"/>
      <c r="EAZ190" s="1181"/>
      <c r="EBA190" s="1181"/>
      <c r="EBB190" s="1181"/>
      <c r="EBC190" s="1181"/>
      <c r="EBD190" s="1181"/>
      <c r="EBE190" s="1181"/>
      <c r="EBF190" s="1181"/>
      <c r="EBG190" s="1181"/>
      <c r="EBH190" s="1181"/>
      <c r="EBI190" s="1181"/>
      <c r="EBJ190" s="1181"/>
      <c r="EBK190" s="1181"/>
      <c r="EBL190" s="1181"/>
      <c r="EBM190" s="1181"/>
      <c r="EBN190" s="1181"/>
      <c r="EBO190" s="1181"/>
      <c r="EBP190" s="1181"/>
      <c r="EBQ190" s="1181"/>
      <c r="EBR190" s="1181"/>
      <c r="EBS190" s="1181"/>
      <c r="EBT190" s="1181"/>
      <c r="EBU190" s="1181"/>
      <c r="EBV190" s="1181"/>
      <c r="EBW190" s="1181"/>
      <c r="EBX190" s="1181"/>
      <c r="EBY190" s="1181"/>
      <c r="EBZ190" s="1181"/>
      <c r="ECA190" s="1181"/>
      <c r="ECB190" s="1181"/>
      <c r="ECC190" s="1181"/>
      <c r="ECD190" s="1181"/>
      <c r="ECE190" s="1181"/>
      <c r="ECF190" s="1181"/>
      <c r="ECG190" s="1181"/>
      <c r="ECH190" s="1181"/>
      <c r="ECI190" s="1181"/>
      <c r="ECJ190" s="1181"/>
      <c r="ECK190" s="1181"/>
      <c r="ECL190" s="1181"/>
      <c r="ECM190" s="1181"/>
      <c r="ECN190" s="1181"/>
      <c r="ECO190" s="1181"/>
      <c r="ECP190" s="1181"/>
      <c r="ECQ190" s="1181"/>
      <c r="ECR190" s="1181"/>
      <c r="ECS190" s="1181"/>
      <c r="ECT190" s="1181"/>
      <c r="ECU190" s="1181"/>
      <c r="ECV190" s="1181"/>
      <c r="ECW190" s="1181"/>
      <c r="ECX190" s="1181"/>
      <c r="ECY190" s="1181"/>
      <c r="ECZ190" s="1181"/>
      <c r="EDA190" s="1181"/>
      <c r="EDB190" s="1181"/>
      <c r="EDC190" s="1181"/>
      <c r="EDD190" s="1181"/>
      <c r="EDE190" s="1181"/>
      <c r="EDF190" s="1181"/>
      <c r="EDG190" s="1181"/>
      <c r="EDH190" s="1181"/>
      <c r="EDI190" s="1181"/>
      <c r="EDJ190" s="1181"/>
      <c r="EDK190" s="1181"/>
      <c r="EDL190" s="1181"/>
      <c r="EDM190" s="1181"/>
      <c r="EDN190" s="1181"/>
      <c r="EDO190" s="1181"/>
      <c r="EDP190" s="1181"/>
      <c r="EDQ190" s="1181"/>
      <c r="EDR190" s="1181"/>
      <c r="EDS190" s="1181"/>
      <c r="EDT190" s="1181"/>
      <c r="EDU190" s="1181"/>
      <c r="EDV190" s="1181"/>
      <c r="EDW190" s="1181"/>
      <c r="EDX190" s="1181"/>
      <c r="EDY190" s="1181"/>
      <c r="EDZ190" s="1181"/>
      <c r="EEA190" s="1181"/>
      <c r="EEB190" s="1181"/>
      <c r="EEC190" s="1181"/>
      <c r="EED190" s="1181"/>
      <c r="EEE190" s="1181"/>
      <c r="EEF190" s="1181"/>
      <c r="EEG190" s="1181"/>
      <c r="EEH190" s="1181"/>
      <c r="EEI190" s="1181"/>
      <c r="EEJ190" s="1181"/>
      <c r="EEK190" s="1181"/>
      <c r="EEL190" s="1181"/>
      <c r="EEM190" s="1181"/>
      <c r="EEN190" s="1181"/>
      <c r="EEO190" s="1181"/>
      <c r="EEP190" s="1181"/>
      <c r="EEQ190" s="1181"/>
      <c r="EER190" s="1181"/>
      <c r="EES190" s="1181"/>
      <c r="EET190" s="1181"/>
      <c r="EEU190" s="1181"/>
      <c r="EEV190" s="1181"/>
      <c r="EEW190" s="1181"/>
      <c r="EEX190" s="1181"/>
      <c r="EEY190" s="1181"/>
      <c r="EEZ190" s="1181"/>
      <c r="EFA190" s="1181"/>
      <c r="EFB190" s="1181"/>
      <c r="EFC190" s="1181"/>
      <c r="EFD190" s="1181"/>
      <c r="EFE190" s="1181"/>
      <c r="EFF190" s="1181"/>
      <c r="EFG190" s="1181"/>
      <c r="EFH190" s="1181"/>
      <c r="EFI190" s="1181"/>
      <c r="EFJ190" s="1181"/>
      <c r="EFK190" s="1181"/>
      <c r="EFL190" s="1181"/>
      <c r="EFM190" s="1181"/>
      <c r="EFN190" s="1181"/>
      <c r="EFO190" s="1181"/>
      <c r="EFP190" s="1181"/>
      <c r="EFQ190" s="1181"/>
      <c r="EFR190" s="1181"/>
      <c r="EFS190" s="1181"/>
      <c r="EFT190" s="1181"/>
      <c r="EFU190" s="1181"/>
      <c r="EFV190" s="1181"/>
      <c r="EFW190" s="1181"/>
      <c r="EFX190" s="1181"/>
      <c r="EFY190" s="1181"/>
      <c r="EFZ190" s="1181"/>
      <c r="EGA190" s="1181"/>
      <c r="EGB190" s="1181"/>
      <c r="EGC190" s="1181"/>
      <c r="EGD190" s="1181"/>
      <c r="EGE190" s="1181"/>
      <c r="EGF190" s="1181"/>
      <c r="EGG190" s="1181"/>
      <c r="EGH190" s="1181"/>
      <c r="EGI190" s="1181"/>
      <c r="EGJ190" s="1181"/>
      <c r="EGK190" s="1181"/>
      <c r="EGL190" s="1181"/>
      <c r="EGM190" s="1181"/>
      <c r="EGN190" s="1181"/>
      <c r="EGO190" s="1181"/>
      <c r="EGP190" s="1181"/>
      <c r="EGQ190" s="1181"/>
      <c r="EGR190" s="1181"/>
      <c r="EGS190" s="1181"/>
      <c r="EGT190" s="1181"/>
      <c r="EGU190" s="1181"/>
      <c r="EGV190" s="1181"/>
      <c r="EGW190" s="1181"/>
      <c r="EGX190" s="1181"/>
      <c r="EGY190" s="1181"/>
      <c r="EGZ190" s="1181"/>
      <c r="EHA190" s="1181"/>
      <c r="EHB190" s="1181"/>
      <c r="EHC190" s="1181"/>
      <c r="EHD190" s="1181"/>
      <c r="EHE190" s="1181"/>
      <c r="EHF190" s="1181"/>
      <c r="EHG190" s="1181"/>
      <c r="EHH190" s="1181"/>
      <c r="EHI190" s="1181"/>
      <c r="EHJ190" s="1181"/>
      <c r="EHK190" s="1181"/>
      <c r="EHL190" s="1181"/>
      <c r="EHM190" s="1181"/>
      <c r="EHN190" s="1181"/>
      <c r="EHO190" s="1181"/>
      <c r="EHP190" s="1181"/>
      <c r="EHQ190" s="1181"/>
      <c r="EHR190" s="1181"/>
      <c r="EHS190" s="1181"/>
      <c r="EHT190" s="1181"/>
      <c r="EHU190" s="1181"/>
      <c r="EHV190" s="1181"/>
      <c r="EHW190" s="1181"/>
      <c r="EHX190" s="1181"/>
      <c r="EHY190" s="1181"/>
      <c r="EHZ190" s="1181"/>
      <c r="EIA190" s="1181"/>
      <c r="EIB190" s="1181"/>
      <c r="EIC190" s="1181"/>
      <c r="EID190" s="1181"/>
      <c r="EIE190" s="1181"/>
      <c r="EIF190" s="1181"/>
      <c r="EIG190" s="1181"/>
      <c r="EIH190" s="1181"/>
      <c r="EII190" s="1181"/>
      <c r="EIJ190" s="1181"/>
      <c r="EIK190" s="1181"/>
      <c r="EIL190" s="1181"/>
      <c r="EIM190" s="1181"/>
      <c r="EIN190" s="1181"/>
      <c r="EIO190" s="1181"/>
      <c r="EIP190" s="1181"/>
      <c r="EIQ190" s="1181"/>
      <c r="EIR190" s="1181"/>
      <c r="EIS190" s="1181"/>
      <c r="EIT190" s="1181"/>
      <c r="EIU190" s="1181"/>
      <c r="EIV190" s="1181"/>
      <c r="EIW190" s="1181"/>
      <c r="EIX190" s="1181"/>
      <c r="EIY190" s="1181"/>
      <c r="EIZ190" s="1181"/>
      <c r="EJA190" s="1181"/>
      <c r="EJB190" s="1181"/>
      <c r="EJC190" s="1181"/>
      <c r="EJD190" s="1181"/>
      <c r="EJE190" s="1181"/>
      <c r="EJF190" s="1181"/>
      <c r="EJG190" s="1181"/>
      <c r="EJH190" s="1181"/>
      <c r="EJI190" s="1181"/>
      <c r="EJJ190" s="1181"/>
      <c r="EJK190" s="1181"/>
      <c r="EJL190" s="1181"/>
      <c r="EJM190" s="1181"/>
      <c r="EJN190" s="1181"/>
      <c r="EJO190" s="1181"/>
      <c r="EJP190" s="1181"/>
      <c r="EJQ190" s="1181"/>
      <c r="EJR190" s="1181"/>
      <c r="EJS190" s="1181"/>
      <c r="EJT190" s="1181"/>
      <c r="EJU190" s="1181"/>
      <c r="EJV190" s="1181"/>
      <c r="EJW190" s="1181"/>
      <c r="EJX190" s="1181"/>
      <c r="EJY190" s="1181"/>
      <c r="EJZ190" s="1181"/>
      <c r="EKA190" s="1181"/>
      <c r="EKB190" s="1181"/>
      <c r="EKC190" s="1181"/>
      <c r="EKD190" s="1181"/>
      <c r="EKE190" s="1181"/>
      <c r="EKF190" s="1181"/>
      <c r="EKG190" s="1181"/>
      <c r="EKH190" s="1181"/>
      <c r="EKI190" s="1181"/>
      <c r="EKJ190" s="1181"/>
      <c r="EKK190" s="1181"/>
      <c r="EKL190" s="1181"/>
      <c r="EKM190" s="1181"/>
      <c r="EKN190" s="1181"/>
      <c r="EKO190" s="1181"/>
      <c r="EKP190" s="1181"/>
      <c r="EKQ190" s="1181"/>
      <c r="EKR190" s="1181"/>
      <c r="EKS190" s="1181"/>
      <c r="EKT190" s="1181"/>
      <c r="EKU190" s="1181"/>
      <c r="EKV190" s="1181"/>
      <c r="EKW190" s="1181"/>
      <c r="EKX190" s="1181"/>
      <c r="EKY190" s="1181"/>
      <c r="EKZ190" s="1181"/>
      <c r="ELA190" s="1181"/>
      <c r="ELB190" s="1181"/>
      <c r="ELC190" s="1181"/>
      <c r="ELD190" s="1181"/>
      <c r="ELE190" s="1181"/>
      <c r="ELF190" s="1181"/>
      <c r="ELG190" s="1181"/>
      <c r="ELH190" s="1181"/>
      <c r="ELI190" s="1181"/>
      <c r="ELJ190" s="1181"/>
      <c r="ELK190" s="1181"/>
      <c r="ELL190" s="1181"/>
      <c r="ELM190" s="1181"/>
      <c r="ELN190" s="1181"/>
      <c r="ELO190" s="1181"/>
      <c r="ELP190" s="1181"/>
      <c r="ELQ190" s="1181"/>
      <c r="ELR190" s="1181"/>
      <c r="ELS190" s="1181"/>
      <c r="ELT190" s="1181"/>
      <c r="ELU190" s="1181"/>
      <c r="ELV190" s="1181"/>
      <c r="ELW190" s="1181"/>
      <c r="ELX190" s="1181"/>
      <c r="ELY190" s="1181"/>
      <c r="ELZ190" s="1181"/>
      <c r="EMA190" s="1181"/>
      <c r="EMB190" s="1181"/>
      <c r="EMC190" s="1181"/>
      <c r="EMD190" s="1181"/>
      <c r="EME190" s="1181"/>
      <c r="EMF190" s="1181"/>
      <c r="EMG190" s="1181"/>
      <c r="EMH190" s="1181"/>
      <c r="EMI190" s="1181"/>
      <c r="EMJ190" s="1181"/>
      <c r="EMK190" s="1181"/>
      <c r="EML190" s="1181"/>
      <c r="EMM190" s="1181"/>
      <c r="EMN190" s="1181"/>
      <c r="EMO190" s="1181"/>
      <c r="EMP190" s="1181"/>
      <c r="EMQ190" s="1181"/>
      <c r="EMR190" s="1181"/>
      <c r="EMS190" s="1181"/>
      <c r="EMT190" s="1181"/>
      <c r="EMU190" s="1181"/>
      <c r="EMV190" s="1181"/>
      <c r="EMW190" s="1181"/>
      <c r="EMX190" s="1181"/>
      <c r="EMY190" s="1181"/>
      <c r="EMZ190" s="1181"/>
      <c r="ENA190" s="1181"/>
      <c r="ENB190" s="1181"/>
      <c r="ENC190" s="1181"/>
      <c r="END190" s="1181"/>
      <c r="ENE190" s="1181"/>
      <c r="ENF190" s="1181"/>
      <c r="ENG190" s="1181"/>
      <c r="ENH190" s="1181"/>
      <c r="ENI190" s="1181"/>
      <c r="ENJ190" s="1181"/>
      <c r="ENK190" s="1181"/>
      <c r="ENL190" s="1181"/>
      <c r="ENM190" s="1181"/>
      <c r="ENN190" s="1181"/>
      <c r="ENO190" s="1181"/>
      <c r="ENP190" s="1181"/>
      <c r="ENQ190" s="1181"/>
      <c r="ENR190" s="1181"/>
      <c r="ENS190" s="1181"/>
      <c r="ENT190" s="1181"/>
      <c r="ENU190" s="1181"/>
      <c r="ENV190" s="1181"/>
      <c r="ENW190" s="1181"/>
      <c r="ENX190" s="1181"/>
      <c r="ENY190" s="1181"/>
      <c r="ENZ190" s="1181"/>
      <c r="EOA190" s="1181"/>
      <c r="EOB190" s="1181"/>
      <c r="EOC190" s="1181"/>
      <c r="EOD190" s="1181"/>
      <c r="EOE190" s="1181"/>
      <c r="EOF190" s="1181"/>
      <c r="EOG190" s="1181"/>
      <c r="EOH190" s="1181"/>
      <c r="EOI190" s="1181"/>
      <c r="EOJ190" s="1181"/>
      <c r="EOK190" s="1181"/>
      <c r="EOL190" s="1181"/>
      <c r="EOM190" s="1181"/>
      <c r="EON190" s="1181"/>
      <c r="EOO190" s="1181"/>
      <c r="EOP190" s="1181"/>
      <c r="EOQ190" s="1181"/>
      <c r="EOR190" s="1181"/>
      <c r="EOS190" s="1181"/>
      <c r="EOT190" s="1181"/>
      <c r="EOU190" s="1181"/>
      <c r="EOV190" s="1181"/>
      <c r="EOW190" s="1181"/>
      <c r="EOX190" s="1181"/>
      <c r="EOY190" s="1181"/>
      <c r="EOZ190" s="1181"/>
      <c r="EPA190" s="1181"/>
      <c r="EPB190" s="1181"/>
      <c r="EPC190" s="1181"/>
      <c r="EPD190" s="1181"/>
      <c r="EPE190" s="1181"/>
      <c r="EPF190" s="1181"/>
      <c r="EPG190" s="1181"/>
      <c r="EPH190" s="1181"/>
      <c r="EPI190" s="1181"/>
      <c r="EPJ190" s="1181"/>
      <c r="EPK190" s="1181"/>
      <c r="EPL190" s="1181"/>
      <c r="EPM190" s="1181"/>
      <c r="EPN190" s="1181"/>
      <c r="EPO190" s="1181"/>
      <c r="EPP190" s="1181"/>
      <c r="EPQ190" s="1181"/>
      <c r="EPR190" s="1181"/>
      <c r="EPS190" s="1181"/>
      <c r="EPT190" s="1181"/>
      <c r="EPU190" s="1181"/>
      <c r="EPV190" s="1181"/>
      <c r="EPW190" s="1181"/>
      <c r="EPX190" s="1181"/>
      <c r="EPY190" s="1181"/>
      <c r="EPZ190" s="1181"/>
      <c r="EQA190" s="1181"/>
      <c r="EQB190" s="1181"/>
      <c r="EQC190" s="1181"/>
      <c r="EQD190" s="1181"/>
      <c r="EQE190" s="1181"/>
      <c r="EQF190" s="1181"/>
      <c r="EQG190" s="1181"/>
      <c r="EQH190" s="1181"/>
      <c r="EQI190" s="1181"/>
      <c r="EQJ190" s="1181"/>
      <c r="EQK190" s="1181"/>
      <c r="EQL190" s="1181"/>
      <c r="EQM190" s="1181"/>
      <c r="EQN190" s="1181"/>
      <c r="EQO190" s="1181"/>
      <c r="EQP190" s="1181"/>
      <c r="EQQ190" s="1181"/>
      <c r="EQR190" s="1181"/>
      <c r="EQS190" s="1181"/>
      <c r="EQT190" s="1181"/>
      <c r="EQU190" s="1181"/>
      <c r="EQV190" s="1181"/>
      <c r="EQW190" s="1181"/>
      <c r="EQX190" s="1181"/>
      <c r="EQY190" s="1181"/>
      <c r="EQZ190" s="1181"/>
      <c r="ERA190" s="1181"/>
      <c r="ERB190" s="1181"/>
      <c r="ERC190" s="1181"/>
      <c r="ERD190" s="1181"/>
      <c r="ERE190" s="1181"/>
      <c r="ERF190" s="1181"/>
      <c r="ERG190" s="1181"/>
      <c r="ERH190" s="1181"/>
      <c r="ERI190" s="1181"/>
      <c r="ERJ190" s="1181"/>
      <c r="ERK190" s="1181"/>
      <c r="ERL190" s="1181"/>
      <c r="ERM190" s="1181"/>
      <c r="ERN190" s="1181"/>
      <c r="ERO190" s="1181"/>
      <c r="ERP190" s="1181"/>
      <c r="ERQ190" s="1181"/>
      <c r="ERR190" s="1181"/>
      <c r="ERS190" s="1181"/>
      <c r="ERT190" s="1181"/>
      <c r="ERU190" s="1181"/>
      <c r="ERV190" s="1181"/>
      <c r="ERW190" s="1181"/>
      <c r="ERX190" s="1181"/>
      <c r="ERY190" s="1181"/>
      <c r="ERZ190" s="1181"/>
      <c r="ESA190" s="1181"/>
      <c r="ESB190" s="1181"/>
      <c r="ESC190" s="1181"/>
      <c r="ESD190" s="1181"/>
      <c r="ESE190" s="1181"/>
      <c r="ESF190" s="1181"/>
      <c r="ESG190" s="1181"/>
      <c r="ESH190" s="1181"/>
      <c r="ESI190" s="1181"/>
      <c r="ESJ190" s="1181"/>
      <c r="ESK190" s="1181"/>
      <c r="ESL190" s="1181"/>
      <c r="ESM190" s="1181"/>
      <c r="ESN190" s="1181"/>
      <c r="ESO190" s="1181"/>
      <c r="ESP190" s="1181"/>
      <c r="ESQ190" s="1181"/>
      <c r="ESR190" s="1181"/>
      <c r="ESS190" s="1181"/>
      <c r="EST190" s="1181"/>
      <c r="ESU190" s="1181"/>
      <c r="ESV190" s="1181"/>
      <c r="ESW190" s="1181"/>
      <c r="ESX190" s="1181"/>
      <c r="ESY190" s="1181"/>
      <c r="ESZ190" s="1181"/>
      <c r="ETA190" s="1181"/>
      <c r="ETB190" s="1181"/>
      <c r="ETC190" s="1181"/>
      <c r="ETD190" s="1181"/>
      <c r="ETE190" s="1181"/>
      <c r="ETF190" s="1181"/>
      <c r="ETG190" s="1181"/>
      <c r="ETH190" s="1181"/>
      <c r="ETI190" s="1181"/>
      <c r="ETJ190" s="1181"/>
      <c r="ETK190" s="1181"/>
      <c r="ETL190" s="1181"/>
      <c r="ETM190" s="1181"/>
      <c r="ETN190" s="1181"/>
      <c r="ETO190" s="1181"/>
      <c r="ETP190" s="1181"/>
      <c r="ETQ190" s="1181"/>
      <c r="ETR190" s="1181"/>
      <c r="ETS190" s="1181"/>
      <c r="ETT190" s="1181"/>
      <c r="ETU190" s="1181"/>
      <c r="ETV190" s="1181"/>
      <c r="ETW190" s="1181"/>
      <c r="ETX190" s="1181"/>
      <c r="ETY190" s="1181"/>
      <c r="ETZ190" s="1181"/>
      <c r="EUA190" s="1181"/>
      <c r="EUB190" s="1181"/>
      <c r="EUC190" s="1181"/>
      <c r="EUD190" s="1181"/>
      <c r="EUE190" s="1181"/>
      <c r="EUF190" s="1181"/>
      <c r="EUG190" s="1181"/>
      <c r="EUH190" s="1181"/>
      <c r="EUI190" s="1181"/>
      <c r="EUJ190" s="1181"/>
      <c r="EUK190" s="1181"/>
      <c r="EUL190" s="1181"/>
      <c r="EUM190" s="1181"/>
      <c r="EUN190" s="1181"/>
      <c r="EUO190" s="1181"/>
      <c r="EUP190" s="1181"/>
      <c r="EUQ190" s="1181"/>
      <c r="EUR190" s="1181"/>
      <c r="EUS190" s="1181"/>
      <c r="EUT190" s="1181"/>
      <c r="EUU190" s="1181"/>
      <c r="EUV190" s="1181"/>
      <c r="EUW190" s="1181"/>
      <c r="EUX190" s="1181"/>
      <c r="EUY190" s="1181"/>
      <c r="EUZ190" s="1181"/>
      <c r="EVA190" s="1181"/>
      <c r="EVB190" s="1181"/>
      <c r="EVC190" s="1181"/>
      <c r="EVD190" s="1181"/>
      <c r="EVE190" s="1181"/>
      <c r="EVF190" s="1181"/>
      <c r="EVG190" s="1181"/>
      <c r="EVH190" s="1181"/>
      <c r="EVI190" s="1181"/>
      <c r="EVJ190" s="1181"/>
      <c r="EVK190" s="1181"/>
      <c r="EVL190" s="1181"/>
      <c r="EVM190" s="1181"/>
      <c r="EVN190" s="1181"/>
      <c r="EVO190" s="1181"/>
      <c r="EVP190" s="1181"/>
      <c r="EVQ190" s="1181"/>
      <c r="EVR190" s="1181"/>
      <c r="EVS190" s="1181"/>
      <c r="EVT190" s="1181"/>
      <c r="EVU190" s="1181"/>
      <c r="EVV190" s="1181"/>
      <c r="EVW190" s="1181"/>
      <c r="EVX190" s="1181"/>
      <c r="EVY190" s="1181"/>
      <c r="EVZ190" s="1181"/>
      <c r="EWA190" s="1181"/>
      <c r="EWB190" s="1181"/>
      <c r="EWC190" s="1181"/>
      <c r="EWD190" s="1181"/>
      <c r="EWE190" s="1181"/>
      <c r="EWF190" s="1181"/>
      <c r="EWG190" s="1181"/>
      <c r="EWH190" s="1181"/>
      <c r="EWI190" s="1181"/>
      <c r="EWJ190" s="1181"/>
      <c r="EWK190" s="1181"/>
      <c r="EWL190" s="1181"/>
      <c r="EWM190" s="1181"/>
      <c r="EWN190" s="1181"/>
      <c r="EWO190" s="1181"/>
      <c r="EWP190" s="1181"/>
      <c r="EWQ190" s="1181"/>
      <c r="EWR190" s="1181"/>
      <c r="EWS190" s="1181"/>
      <c r="EWT190" s="1181"/>
      <c r="EWU190" s="1181"/>
      <c r="EWV190" s="1181"/>
      <c r="EWW190" s="1181"/>
      <c r="EWX190" s="1181"/>
      <c r="EWY190" s="1181"/>
      <c r="EWZ190" s="1181"/>
      <c r="EXA190" s="1181"/>
      <c r="EXB190" s="1181"/>
      <c r="EXC190" s="1181"/>
      <c r="EXD190" s="1181"/>
      <c r="EXE190" s="1181"/>
      <c r="EXF190" s="1181"/>
      <c r="EXG190" s="1181"/>
      <c r="EXH190" s="1181"/>
      <c r="EXI190" s="1181"/>
      <c r="EXJ190" s="1181"/>
      <c r="EXK190" s="1181"/>
      <c r="EXL190" s="1181"/>
      <c r="EXM190" s="1181"/>
      <c r="EXN190" s="1181"/>
      <c r="EXO190" s="1181"/>
      <c r="EXP190" s="1181"/>
      <c r="EXQ190" s="1181"/>
      <c r="EXR190" s="1181"/>
      <c r="EXS190" s="1181"/>
      <c r="EXT190" s="1181"/>
      <c r="EXU190" s="1181"/>
      <c r="EXV190" s="1181"/>
      <c r="EXW190" s="1181"/>
      <c r="EXX190" s="1181"/>
      <c r="EXY190" s="1181"/>
      <c r="EXZ190" s="1181"/>
      <c r="EYA190" s="1181"/>
      <c r="EYB190" s="1181"/>
      <c r="EYC190" s="1181"/>
      <c r="EYD190" s="1181"/>
      <c r="EYE190" s="1181"/>
      <c r="EYF190" s="1181"/>
      <c r="EYG190" s="1181"/>
      <c r="EYH190" s="1181"/>
      <c r="EYI190" s="1181"/>
      <c r="EYJ190" s="1181"/>
      <c r="EYK190" s="1181"/>
      <c r="EYL190" s="1181"/>
      <c r="EYM190" s="1181"/>
      <c r="EYN190" s="1181"/>
      <c r="EYO190" s="1181"/>
      <c r="EYP190" s="1181"/>
      <c r="EYQ190" s="1181"/>
      <c r="EYR190" s="1181"/>
      <c r="EYS190" s="1181"/>
      <c r="EYT190" s="1181"/>
      <c r="EYU190" s="1181"/>
      <c r="EYV190" s="1181"/>
      <c r="EYW190" s="1181"/>
      <c r="EYX190" s="1181"/>
      <c r="EYY190" s="1181"/>
      <c r="EYZ190" s="1181"/>
      <c r="EZA190" s="1181"/>
      <c r="EZB190" s="1181"/>
      <c r="EZC190" s="1181"/>
      <c r="EZD190" s="1181"/>
      <c r="EZE190" s="1181"/>
      <c r="EZF190" s="1181"/>
      <c r="EZG190" s="1181"/>
      <c r="EZH190" s="1181"/>
      <c r="EZI190" s="1181"/>
      <c r="EZJ190" s="1181"/>
      <c r="EZK190" s="1181"/>
      <c r="EZL190" s="1181"/>
      <c r="EZM190" s="1181"/>
      <c r="EZN190" s="1181"/>
      <c r="EZO190" s="1181"/>
      <c r="EZP190" s="1181"/>
      <c r="EZQ190" s="1181"/>
      <c r="EZR190" s="1181"/>
      <c r="EZS190" s="1181"/>
      <c r="EZT190" s="1181"/>
      <c r="EZU190" s="1181"/>
      <c r="EZV190" s="1181"/>
      <c r="EZW190" s="1181"/>
      <c r="EZX190" s="1181"/>
      <c r="EZY190" s="1181"/>
      <c r="EZZ190" s="1181"/>
      <c r="FAA190" s="1181"/>
      <c r="FAB190" s="1181"/>
      <c r="FAC190" s="1181"/>
      <c r="FAD190" s="1181"/>
      <c r="FAE190" s="1181"/>
      <c r="FAF190" s="1181"/>
      <c r="FAG190" s="1181"/>
      <c r="FAH190" s="1181"/>
      <c r="FAI190" s="1181"/>
      <c r="FAJ190" s="1181"/>
      <c r="FAK190" s="1181"/>
      <c r="FAL190" s="1181"/>
      <c r="FAM190" s="1181"/>
      <c r="FAN190" s="1181"/>
      <c r="FAO190" s="1181"/>
      <c r="FAP190" s="1181"/>
      <c r="FAQ190" s="1181"/>
      <c r="FAR190" s="1181"/>
      <c r="FAS190" s="1181"/>
      <c r="FAT190" s="1181"/>
      <c r="FAU190" s="1181"/>
      <c r="FAV190" s="1181"/>
      <c r="FAW190" s="1181"/>
      <c r="FAX190" s="1181"/>
      <c r="FAY190" s="1181"/>
      <c r="FAZ190" s="1181"/>
      <c r="FBA190" s="1181"/>
      <c r="FBB190" s="1181"/>
      <c r="FBC190" s="1181"/>
      <c r="FBD190" s="1181"/>
      <c r="FBE190" s="1181"/>
      <c r="FBF190" s="1181"/>
      <c r="FBG190" s="1181"/>
      <c r="FBH190" s="1181"/>
      <c r="FBI190" s="1181"/>
      <c r="FBJ190" s="1181"/>
      <c r="FBK190" s="1181"/>
      <c r="FBL190" s="1181"/>
      <c r="FBM190" s="1181"/>
      <c r="FBN190" s="1181"/>
      <c r="FBO190" s="1181"/>
      <c r="FBP190" s="1181"/>
      <c r="FBQ190" s="1181"/>
      <c r="FBR190" s="1181"/>
      <c r="FBS190" s="1181"/>
      <c r="FBT190" s="1181"/>
      <c r="FBU190" s="1181"/>
      <c r="FBV190" s="1181"/>
      <c r="FBW190" s="1181"/>
      <c r="FBX190" s="1181"/>
      <c r="FBY190" s="1181"/>
      <c r="FBZ190" s="1181"/>
      <c r="FCA190" s="1181"/>
      <c r="FCB190" s="1181"/>
      <c r="FCC190" s="1181"/>
      <c r="FCD190" s="1181"/>
      <c r="FCE190" s="1181"/>
      <c r="FCF190" s="1181"/>
      <c r="FCG190" s="1181"/>
      <c r="FCH190" s="1181"/>
      <c r="FCI190" s="1181"/>
      <c r="FCJ190" s="1181"/>
      <c r="FCK190" s="1181"/>
      <c r="FCL190" s="1181"/>
      <c r="FCM190" s="1181"/>
      <c r="FCN190" s="1181"/>
      <c r="FCO190" s="1181"/>
      <c r="FCP190" s="1181"/>
      <c r="FCQ190" s="1181"/>
      <c r="FCR190" s="1181"/>
      <c r="FCS190" s="1181"/>
      <c r="FCT190" s="1181"/>
      <c r="FCU190" s="1181"/>
      <c r="FCV190" s="1181"/>
      <c r="FCW190" s="1181"/>
      <c r="FCX190" s="1181"/>
      <c r="FCY190" s="1181"/>
      <c r="FCZ190" s="1181"/>
      <c r="FDA190" s="1181"/>
      <c r="FDB190" s="1181"/>
      <c r="FDC190" s="1181"/>
      <c r="FDD190" s="1181"/>
      <c r="FDE190" s="1181"/>
      <c r="FDF190" s="1181"/>
      <c r="FDG190" s="1181"/>
      <c r="FDH190" s="1181"/>
      <c r="FDI190" s="1181"/>
      <c r="FDJ190" s="1181"/>
      <c r="FDK190" s="1181"/>
      <c r="FDL190" s="1181"/>
      <c r="FDM190" s="1181"/>
      <c r="FDN190" s="1181"/>
      <c r="FDO190" s="1181"/>
      <c r="FDP190" s="1181"/>
      <c r="FDQ190" s="1181"/>
      <c r="FDR190" s="1181"/>
      <c r="FDS190" s="1181"/>
      <c r="FDT190" s="1181"/>
      <c r="FDU190" s="1181"/>
      <c r="FDV190" s="1181"/>
      <c r="FDW190" s="1181"/>
      <c r="FDX190" s="1181"/>
      <c r="FDY190" s="1181"/>
      <c r="FDZ190" s="1181"/>
      <c r="FEA190" s="1181"/>
      <c r="FEB190" s="1181"/>
      <c r="FEC190" s="1181"/>
      <c r="FED190" s="1181"/>
      <c r="FEE190" s="1181"/>
      <c r="FEF190" s="1181"/>
      <c r="FEG190" s="1181"/>
      <c r="FEH190" s="1181"/>
      <c r="FEI190" s="1181"/>
      <c r="FEJ190" s="1181"/>
      <c r="FEK190" s="1181"/>
      <c r="FEL190" s="1181"/>
      <c r="FEM190" s="1181"/>
      <c r="FEN190" s="1181"/>
      <c r="FEO190" s="1181"/>
      <c r="FEP190" s="1181"/>
      <c r="FEQ190" s="1181"/>
      <c r="FER190" s="1181"/>
      <c r="FES190" s="1181"/>
      <c r="FET190" s="1181"/>
      <c r="FEU190" s="1181"/>
      <c r="FEV190" s="1181"/>
      <c r="FEW190" s="1181"/>
      <c r="FEX190" s="1181"/>
      <c r="FEY190" s="1181"/>
      <c r="FEZ190" s="1181"/>
      <c r="FFA190" s="1181"/>
      <c r="FFB190" s="1181"/>
      <c r="FFC190" s="1181"/>
      <c r="FFD190" s="1181"/>
      <c r="FFE190" s="1181"/>
      <c r="FFF190" s="1181"/>
      <c r="FFG190" s="1181"/>
      <c r="FFH190" s="1181"/>
      <c r="FFI190" s="1181"/>
      <c r="FFJ190" s="1181"/>
      <c r="FFK190" s="1181"/>
      <c r="FFL190" s="1181"/>
      <c r="FFM190" s="1181"/>
      <c r="FFN190" s="1181"/>
      <c r="FFO190" s="1181"/>
      <c r="FFP190" s="1181"/>
      <c r="FFQ190" s="1181"/>
      <c r="FFR190" s="1181"/>
      <c r="FFS190" s="1181"/>
      <c r="FFT190" s="1181"/>
      <c r="FFU190" s="1181"/>
      <c r="FFV190" s="1181"/>
      <c r="FFW190" s="1181"/>
      <c r="FFX190" s="1181"/>
      <c r="FFY190" s="1181"/>
      <c r="FFZ190" s="1181"/>
      <c r="FGA190" s="1181"/>
      <c r="FGB190" s="1181"/>
      <c r="FGC190" s="1181"/>
      <c r="FGD190" s="1181"/>
      <c r="FGE190" s="1181"/>
      <c r="FGF190" s="1181"/>
      <c r="FGG190" s="1181"/>
      <c r="FGH190" s="1181"/>
      <c r="FGI190" s="1181"/>
      <c r="FGJ190" s="1181"/>
      <c r="FGK190" s="1181"/>
      <c r="FGL190" s="1181"/>
      <c r="FGM190" s="1181"/>
      <c r="FGN190" s="1181"/>
      <c r="FGO190" s="1181"/>
      <c r="FGP190" s="1181"/>
      <c r="FGQ190" s="1181"/>
      <c r="FGR190" s="1181"/>
      <c r="FGS190" s="1181"/>
      <c r="FGT190" s="1181"/>
      <c r="FGU190" s="1181"/>
      <c r="FGV190" s="1181"/>
      <c r="FGW190" s="1181"/>
      <c r="FGX190" s="1181"/>
      <c r="FGY190" s="1181"/>
      <c r="FGZ190" s="1181"/>
      <c r="FHA190" s="1181"/>
      <c r="FHB190" s="1181"/>
      <c r="FHC190" s="1181"/>
      <c r="FHD190" s="1181"/>
      <c r="FHE190" s="1181"/>
      <c r="FHF190" s="1181"/>
      <c r="FHG190" s="1181"/>
      <c r="FHH190" s="1181"/>
      <c r="FHI190" s="1181"/>
      <c r="FHJ190" s="1181"/>
      <c r="FHK190" s="1181"/>
      <c r="FHL190" s="1181"/>
      <c r="FHM190" s="1181"/>
      <c r="FHN190" s="1181"/>
      <c r="FHO190" s="1181"/>
      <c r="FHP190" s="1181"/>
      <c r="FHQ190" s="1181"/>
      <c r="FHR190" s="1181"/>
      <c r="FHS190" s="1181"/>
      <c r="FHT190" s="1181"/>
      <c r="FHU190" s="1181"/>
      <c r="FHV190" s="1181"/>
      <c r="FHW190" s="1181"/>
      <c r="FHX190" s="1181"/>
      <c r="FHY190" s="1181"/>
      <c r="FHZ190" s="1181"/>
      <c r="FIA190" s="1181"/>
      <c r="FIB190" s="1181"/>
      <c r="FIC190" s="1181"/>
      <c r="FID190" s="1181"/>
      <c r="FIE190" s="1181"/>
      <c r="FIF190" s="1181"/>
      <c r="FIG190" s="1181"/>
      <c r="FIH190" s="1181"/>
      <c r="FII190" s="1181"/>
      <c r="FIJ190" s="1181"/>
      <c r="FIK190" s="1181"/>
      <c r="FIL190" s="1181"/>
      <c r="FIM190" s="1181"/>
      <c r="FIN190" s="1181"/>
      <c r="FIO190" s="1181"/>
      <c r="FIP190" s="1181"/>
      <c r="FIQ190" s="1181"/>
      <c r="FIR190" s="1181"/>
      <c r="FIS190" s="1181"/>
      <c r="FIT190" s="1181"/>
      <c r="FIU190" s="1181"/>
      <c r="FIV190" s="1181"/>
      <c r="FIW190" s="1181"/>
      <c r="FIX190" s="1181"/>
      <c r="FIY190" s="1181"/>
      <c r="FIZ190" s="1181"/>
      <c r="FJA190" s="1181"/>
      <c r="FJB190" s="1181"/>
      <c r="FJC190" s="1181"/>
      <c r="FJD190" s="1181"/>
      <c r="FJE190" s="1181"/>
      <c r="FJF190" s="1181"/>
      <c r="FJG190" s="1181"/>
      <c r="FJH190" s="1181"/>
      <c r="FJI190" s="1181"/>
      <c r="FJJ190" s="1181"/>
      <c r="FJK190" s="1181"/>
      <c r="FJL190" s="1181"/>
      <c r="FJM190" s="1181"/>
      <c r="FJN190" s="1181"/>
      <c r="FJO190" s="1181"/>
      <c r="FJP190" s="1181"/>
      <c r="FJQ190" s="1181"/>
      <c r="FJR190" s="1181"/>
      <c r="FJS190" s="1181"/>
      <c r="FJT190" s="1181"/>
      <c r="FJU190" s="1181"/>
      <c r="FJV190" s="1181"/>
      <c r="FJW190" s="1181"/>
      <c r="FJX190" s="1181"/>
      <c r="FJY190" s="1181"/>
      <c r="FJZ190" s="1181"/>
      <c r="FKA190" s="1181"/>
      <c r="FKB190" s="1181"/>
      <c r="FKC190" s="1181"/>
      <c r="FKD190" s="1181"/>
      <c r="FKE190" s="1181"/>
      <c r="FKF190" s="1181"/>
      <c r="FKG190" s="1181"/>
      <c r="FKH190" s="1181"/>
      <c r="FKI190" s="1181"/>
      <c r="FKJ190" s="1181"/>
      <c r="FKK190" s="1181"/>
      <c r="FKL190" s="1181"/>
      <c r="FKM190" s="1181"/>
      <c r="FKN190" s="1181"/>
      <c r="FKO190" s="1181"/>
      <c r="FKP190" s="1181"/>
      <c r="FKQ190" s="1181"/>
      <c r="FKR190" s="1181"/>
      <c r="FKS190" s="1181"/>
      <c r="FKT190" s="1181"/>
      <c r="FKU190" s="1181"/>
      <c r="FKV190" s="1181"/>
      <c r="FKW190" s="1181"/>
      <c r="FKX190" s="1181"/>
      <c r="FKY190" s="1181"/>
      <c r="FKZ190" s="1181"/>
      <c r="FLA190" s="1181"/>
      <c r="FLB190" s="1181"/>
      <c r="FLC190" s="1181"/>
      <c r="FLD190" s="1181"/>
      <c r="FLE190" s="1181"/>
      <c r="FLF190" s="1181"/>
      <c r="FLG190" s="1181"/>
      <c r="FLH190" s="1181"/>
      <c r="FLI190" s="1181"/>
      <c r="FLJ190" s="1181"/>
      <c r="FLK190" s="1181"/>
      <c r="FLL190" s="1181"/>
      <c r="FLM190" s="1181"/>
      <c r="FLN190" s="1181"/>
      <c r="FLO190" s="1181"/>
      <c r="FLP190" s="1181"/>
      <c r="FLQ190" s="1181"/>
      <c r="FLR190" s="1181"/>
      <c r="FLS190" s="1181"/>
      <c r="FLT190" s="1181"/>
      <c r="FLU190" s="1181"/>
      <c r="FLV190" s="1181"/>
      <c r="FLW190" s="1181"/>
      <c r="FLX190" s="1181"/>
      <c r="FLY190" s="1181"/>
      <c r="FLZ190" s="1181"/>
      <c r="FMA190" s="1181"/>
      <c r="FMB190" s="1181"/>
      <c r="FMC190" s="1181"/>
      <c r="FMD190" s="1181"/>
      <c r="FME190" s="1181"/>
      <c r="FMF190" s="1181"/>
      <c r="FMG190" s="1181"/>
      <c r="FMH190" s="1181"/>
      <c r="FMI190" s="1181"/>
      <c r="FMJ190" s="1181"/>
      <c r="FMK190" s="1181"/>
      <c r="FML190" s="1181"/>
      <c r="FMM190" s="1181"/>
      <c r="FMN190" s="1181"/>
      <c r="FMO190" s="1181"/>
      <c r="FMP190" s="1181"/>
      <c r="FMQ190" s="1181"/>
      <c r="FMR190" s="1181"/>
      <c r="FMS190" s="1181"/>
      <c r="FMT190" s="1181"/>
      <c r="FMU190" s="1181"/>
      <c r="FMV190" s="1181"/>
      <c r="FMW190" s="1181"/>
      <c r="FMX190" s="1181"/>
      <c r="FMY190" s="1181"/>
      <c r="FMZ190" s="1181"/>
      <c r="FNA190" s="1181"/>
      <c r="FNB190" s="1181"/>
      <c r="FNC190" s="1181"/>
      <c r="FND190" s="1181"/>
      <c r="FNE190" s="1181"/>
      <c r="FNF190" s="1181"/>
      <c r="FNG190" s="1181"/>
      <c r="FNH190" s="1181"/>
      <c r="FNI190" s="1181"/>
      <c r="FNJ190" s="1181"/>
      <c r="FNK190" s="1181"/>
      <c r="FNL190" s="1181"/>
      <c r="FNM190" s="1181"/>
      <c r="FNN190" s="1181"/>
      <c r="FNO190" s="1181"/>
      <c r="FNP190" s="1181"/>
      <c r="FNQ190" s="1181"/>
      <c r="FNR190" s="1181"/>
      <c r="FNS190" s="1181"/>
      <c r="FNT190" s="1181"/>
      <c r="FNU190" s="1181"/>
      <c r="FNV190" s="1181"/>
      <c r="FNW190" s="1181"/>
      <c r="FNX190" s="1181"/>
      <c r="FNY190" s="1181"/>
      <c r="FNZ190" s="1181"/>
      <c r="FOA190" s="1181"/>
      <c r="FOB190" s="1181"/>
      <c r="FOC190" s="1181"/>
      <c r="FOD190" s="1181"/>
      <c r="FOE190" s="1181"/>
      <c r="FOF190" s="1181"/>
      <c r="FOG190" s="1181"/>
      <c r="FOH190" s="1181"/>
      <c r="FOI190" s="1181"/>
      <c r="FOJ190" s="1181"/>
      <c r="FOK190" s="1181"/>
      <c r="FOL190" s="1181"/>
      <c r="FOM190" s="1181"/>
      <c r="FON190" s="1181"/>
      <c r="FOO190" s="1181"/>
      <c r="FOP190" s="1181"/>
      <c r="FOQ190" s="1181"/>
      <c r="FOR190" s="1181"/>
      <c r="FOS190" s="1181"/>
      <c r="FOT190" s="1181"/>
      <c r="FOU190" s="1181"/>
      <c r="FOV190" s="1181"/>
      <c r="FOW190" s="1181"/>
      <c r="FOX190" s="1181"/>
      <c r="FOY190" s="1181"/>
      <c r="FOZ190" s="1181"/>
      <c r="FPA190" s="1181"/>
      <c r="FPB190" s="1181"/>
      <c r="FPC190" s="1181"/>
      <c r="FPD190" s="1181"/>
      <c r="FPE190" s="1181"/>
      <c r="FPF190" s="1181"/>
      <c r="FPG190" s="1181"/>
      <c r="FPH190" s="1181"/>
      <c r="FPI190" s="1181"/>
      <c r="FPJ190" s="1181"/>
      <c r="FPK190" s="1181"/>
      <c r="FPL190" s="1181"/>
      <c r="FPM190" s="1181"/>
      <c r="FPN190" s="1181"/>
      <c r="FPO190" s="1181"/>
      <c r="FPP190" s="1181"/>
      <c r="FPQ190" s="1181"/>
      <c r="FPR190" s="1181"/>
      <c r="FPS190" s="1181"/>
      <c r="FPT190" s="1181"/>
      <c r="FPU190" s="1181"/>
      <c r="FPV190" s="1181"/>
      <c r="FPW190" s="1181"/>
      <c r="FPX190" s="1181"/>
      <c r="FPY190" s="1181"/>
      <c r="FPZ190" s="1181"/>
      <c r="FQA190" s="1181"/>
      <c r="FQB190" s="1181"/>
      <c r="FQC190" s="1181"/>
      <c r="FQD190" s="1181"/>
      <c r="FQE190" s="1181"/>
      <c r="FQF190" s="1181"/>
      <c r="FQG190" s="1181"/>
      <c r="FQH190" s="1181"/>
      <c r="FQI190" s="1181"/>
      <c r="FQJ190" s="1181"/>
      <c r="FQK190" s="1181"/>
      <c r="FQL190" s="1181"/>
      <c r="FQM190" s="1181"/>
      <c r="FQN190" s="1181"/>
      <c r="FQO190" s="1181"/>
      <c r="FQP190" s="1181"/>
      <c r="FQQ190" s="1181"/>
      <c r="FQR190" s="1181"/>
      <c r="FQS190" s="1181"/>
      <c r="FQT190" s="1181"/>
      <c r="FQU190" s="1181"/>
      <c r="FQV190" s="1181"/>
      <c r="FQW190" s="1181"/>
      <c r="FQX190" s="1181"/>
      <c r="FQY190" s="1181"/>
      <c r="FQZ190" s="1181"/>
      <c r="FRA190" s="1181"/>
      <c r="FRB190" s="1181"/>
      <c r="FRC190" s="1181"/>
      <c r="FRD190" s="1181"/>
      <c r="FRE190" s="1181"/>
      <c r="FRF190" s="1181"/>
      <c r="FRG190" s="1181"/>
      <c r="FRH190" s="1181"/>
      <c r="FRI190" s="1181"/>
      <c r="FRJ190" s="1181"/>
      <c r="FRK190" s="1181"/>
      <c r="FRL190" s="1181"/>
      <c r="FRM190" s="1181"/>
      <c r="FRN190" s="1181"/>
      <c r="FRO190" s="1181"/>
      <c r="FRP190" s="1181"/>
      <c r="FRQ190" s="1181"/>
      <c r="FRR190" s="1181"/>
      <c r="FRS190" s="1181"/>
      <c r="FRT190" s="1181"/>
      <c r="FRU190" s="1181"/>
      <c r="FRV190" s="1181"/>
      <c r="FRW190" s="1181"/>
      <c r="FRX190" s="1181"/>
      <c r="FRY190" s="1181"/>
      <c r="FRZ190" s="1181"/>
      <c r="FSA190" s="1181"/>
      <c r="FSB190" s="1181"/>
      <c r="FSC190" s="1181"/>
      <c r="FSD190" s="1181"/>
      <c r="FSE190" s="1181"/>
      <c r="FSF190" s="1181"/>
      <c r="FSG190" s="1181"/>
      <c r="FSH190" s="1181"/>
      <c r="FSI190" s="1181"/>
      <c r="FSJ190" s="1181"/>
      <c r="FSK190" s="1181"/>
      <c r="FSL190" s="1181"/>
      <c r="FSM190" s="1181"/>
      <c r="FSN190" s="1181"/>
      <c r="FSO190" s="1181"/>
      <c r="FSP190" s="1181"/>
      <c r="FSQ190" s="1181"/>
      <c r="FSR190" s="1181"/>
      <c r="FSS190" s="1181"/>
      <c r="FST190" s="1181"/>
      <c r="FSU190" s="1181"/>
      <c r="FSV190" s="1181"/>
      <c r="FSW190" s="1181"/>
      <c r="FSX190" s="1181"/>
      <c r="FSY190" s="1181"/>
      <c r="FSZ190" s="1181"/>
      <c r="FTA190" s="1181"/>
      <c r="FTB190" s="1181"/>
      <c r="FTC190" s="1181"/>
      <c r="FTD190" s="1181"/>
      <c r="FTE190" s="1181"/>
      <c r="FTF190" s="1181"/>
      <c r="FTG190" s="1181"/>
      <c r="FTH190" s="1181"/>
      <c r="FTI190" s="1181"/>
      <c r="FTJ190" s="1181"/>
      <c r="FTK190" s="1181"/>
      <c r="FTL190" s="1181"/>
      <c r="FTM190" s="1181"/>
      <c r="FTN190" s="1181"/>
      <c r="FTO190" s="1181"/>
      <c r="FTP190" s="1181"/>
      <c r="FTQ190" s="1181"/>
      <c r="FTR190" s="1181"/>
      <c r="FTS190" s="1181"/>
      <c r="FTT190" s="1181"/>
      <c r="FTU190" s="1181"/>
      <c r="FTV190" s="1181"/>
      <c r="FTW190" s="1181"/>
      <c r="FTX190" s="1181"/>
      <c r="FTY190" s="1181"/>
      <c r="FTZ190" s="1181"/>
      <c r="FUA190" s="1181"/>
      <c r="FUB190" s="1181"/>
      <c r="FUC190" s="1181"/>
      <c r="FUD190" s="1181"/>
      <c r="FUE190" s="1181"/>
      <c r="FUF190" s="1181"/>
      <c r="FUG190" s="1181"/>
      <c r="FUH190" s="1181"/>
      <c r="FUI190" s="1181"/>
      <c r="FUJ190" s="1181"/>
      <c r="FUK190" s="1181"/>
      <c r="FUL190" s="1181"/>
      <c r="FUM190" s="1181"/>
      <c r="FUN190" s="1181"/>
      <c r="FUO190" s="1181"/>
      <c r="FUP190" s="1181"/>
      <c r="FUQ190" s="1181"/>
      <c r="FUR190" s="1181"/>
      <c r="FUS190" s="1181"/>
      <c r="FUT190" s="1181"/>
      <c r="FUU190" s="1181"/>
      <c r="FUV190" s="1181"/>
      <c r="FUW190" s="1181"/>
      <c r="FUX190" s="1181"/>
      <c r="FUY190" s="1181"/>
      <c r="FUZ190" s="1181"/>
      <c r="FVA190" s="1181"/>
      <c r="FVB190" s="1181"/>
      <c r="FVC190" s="1181"/>
      <c r="FVD190" s="1181"/>
      <c r="FVE190" s="1181"/>
      <c r="FVF190" s="1181"/>
      <c r="FVG190" s="1181"/>
      <c r="FVH190" s="1181"/>
      <c r="FVI190" s="1181"/>
      <c r="FVJ190" s="1181"/>
      <c r="FVK190" s="1181"/>
      <c r="FVL190" s="1181"/>
      <c r="FVM190" s="1181"/>
      <c r="FVN190" s="1181"/>
      <c r="FVO190" s="1181"/>
      <c r="FVP190" s="1181"/>
      <c r="FVQ190" s="1181"/>
      <c r="FVR190" s="1181"/>
      <c r="FVS190" s="1181"/>
      <c r="FVT190" s="1181"/>
      <c r="FVU190" s="1181"/>
      <c r="FVV190" s="1181"/>
      <c r="FVW190" s="1181"/>
      <c r="FVX190" s="1181"/>
      <c r="FVY190" s="1181"/>
      <c r="FVZ190" s="1181"/>
      <c r="FWA190" s="1181"/>
      <c r="FWB190" s="1181"/>
      <c r="FWC190" s="1181"/>
      <c r="FWD190" s="1181"/>
      <c r="FWE190" s="1181"/>
      <c r="FWF190" s="1181"/>
      <c r="FWG190" s="1181"/>
      <c r="FWH190" s="1181"/>
      <c r="FWI190" s="1181"/>
      <c r="FWJ190" s="1181"/>
      <c r="FWK190" s="1181"/>
      <c r="FWL190" s="1181"/>
      <c r="FWM190" s="1181"/>
      <c r="FWN190" s="1181"/>
      <c r="FWO190" s="1181"/>
      <c r="FWP190" s="1181"/>
      <c r="FWQ190" s="1181"/>
      <c r="FWR190" s="1181"/>
      <c r="FWS190" s="1181"/>
      <c r="FWT190" s="1181"/>
      <c r="FWU190" s="1181"/>
      <c r="FWV190" s="1181"/>
      <c r="FWW190" s="1181"/>
      <c r="FWX190" s="1181"/>
      <c r="FWY190" s="1181"/>
      <c r="FWZ190" s="1181"/>
      <c r="FXA190" s="1181"/>
      <c r="FXB190" s="1181"/>
      <c r="FXC190" s="1181"/>
      <c r="FXD190" s="1181"/>
      <c r="FXE190" s="1181"/>
      <c r="FXF190" s="1181"/>
      <c r="FXG190" s="1181"/>
      <c r="FXH190" s="1181"/>
      <c r="FXI190" s="1181"/>
      <c r="FXJ190" s="1181"/>
      <c r="FXK190" s="1181"/>
      <c r="FXL190" s="1181"/>
      <c r="FXM190" s="1181"/>
      <c r="FXN190" s="1181"/>
      <c r="FXO190" s="1181"/>
      <c r="FXP190" s="1181"/>
      <c r="FXQ190" s="1181"/>
      <c r="FXR190" s="1181"/>
      <c r="FXS190" s="1181"/>
      <c r="FXT190" s="1181"/>
      <c r="FXU190" s="1181"/>
      <c r="FXV190" s="1181"/>
      <c r="FXW190" s="1181"/>
      <c r="FXX190" s="1181"/>
      <c r="FXY190" s="1181"/>
      <c r="FXZ190" s="1181"/>
      <c r="FYA190" s="1181"/>
      <c r="FYB190" s="1181"/>
      <c r="FYC190" s="1181"/>
      <c r="FYD190" s="1181"/>
      <c r="FYE190" s="1181"/>
      <c r="FYF190" s="1181"/>
      <c r="FYG190" s="1181"/>
      <c r="FYH190" s="1181"/>
      <c r="FYI190" s="1181"/>
      <c r="FYJ190" s="1181"/>
      <c r="FYK190" s="1181"/>
      <c r="FYL190" s="1181"/>
      <c r="FYM190" s="1181"/>
      <c r="FYN190" s="1181"/>
      <c r="FYO190" s="1181"/>
      <c r="FYP190" s="1181"/>
      <c r="FYQ190" s="1181"/>
      <c r="FYR190" s="1181"/>
      <c r="FYS190" s="1181"/>
      <c r="FYT190" s="1181"/>
      <c r="FYU190" s="1181"/>
      <c r="FYV190" s="1181"/>
      <c r="FYW190" s="1181"/>
      <c r="FYX190" s="1181"/>
      <c r="FYY190" s="1181"/>
      <c r="FYZ190" s="1181"/>
      <c r="FZA190" s="1181"/>
      <c r="FZB190" s="1181"/>
      <c r="FZC190" s="1181"/>
      <c r="FZD190" s="1181"/>
      <c r="FZE190" s="1181"/>
      <c r="FZF190" s="1181"/>
      <c r="FZG190" s="1181"/>
      <c r="FZH190" s="1181"/>
      <c r="FZI190" s="1181"/>
      <c r="FZJ190" s="1181"/>
      <c r="FZK190" s="1181"/>
      <c r="FZL190" s="1181"/>
      <c r="FZM190" s="1181"/>
      <c r="FZN190" s="1181"/>
      <c r="FZO190" s="1181"/>
      <c r="FZP190" s="1181"/>
      <c r="FZQ190" s="1181"/>
      <c r="FZR190" s="1181"/>
      <c r="FZS190" s="1181"/>
      <c r="FZT190" s="1181"/>
      <c r="FZU190" s="1181"/>
      <c r="FZV190" s="1181"/>
      <c r="FZW190" s="1181"/>
      <c r="FZX190" s="1181"/>
      <c r="FZY190" s="1181"/>
      <c r="FZZ190" s="1181"/>
      <c r="GAA190" s="1181"/>
      <c r="GAB190" s="1181"/>
      <c r="GAC190" s="1181"/>
      <c r="GAD190" s="1181"/>
      <c r="GAE190" s="1181"/>
      <c r="GAF190" s="1181"/>
      <c r="GAG190" s="1181"/>
      <c r="GAH190" s="1181"/>
      <c r="GAI190" s="1181"/>
      <c r="GAJ190" s="1181"/>
      <c r="GAK190" s="1181"/>
      <c r="GAL190" s="1181"/>
      <c r="GAM190" s="1181"/>
      <c r="GAN190" s="1181"/>
      <c r="GAO190" s="1181"/>
      <c r="GAP190" s="1181"/>
      <c r="GAQ190" s="1181"/>
      <c r="GAR190" s="1181"/>
      <c r="GAS190" s="1181"/>
      <c r="GAT190" s="1181"/>
      <c r="GAU190" s="1181"/>
      <c r="GAV190" s="1181"/>
      <c r="GAW190" s="1181"/>
      <c r="GAX190" s="1181"/>
      <c r="GAY190" s="1181"/>
      <c r="GAZ190" s="1181"/>
      <c r="GBA190" s="1181"/>
      <c r="GBB190" s="1181"/>
      <c r="GBC190" s="1181"/>
      <c r="GBD190" s="1181"/>
      <c r="GBE190" s="1181"/>
      <c r="GBF190" s="1181"/>
      <c r="GBG190" s="1181"/>
      <c r="GBH190" s="1181"/>
      <c r="GBI190" s="1181"/>
      <c r="GBJ190" s="1181"/>
      <c r="GBK190" s="1181"/>
      <c r="GBL190" s="1181"/>
      <c r="GBM190" s="1181"/>
      <c r="GBN190" s="1181"/>
      <c r="GBO190" s="1181"/>
      <c r="GBP190" s="1181"/>
      <c r="GBQ190" s="1181"/>
      <c r="GBR190" s="1181"/>
      <c r="GBS190" s="1181"/>
      <c r="GBT190" s="1181"/>
      <c r="GBU190" s="1181"/>
      <c r="GBV190" s="1181"/>
      <c r="GBW190" s="1181"/>
      <c r="GBX190" s="1181"/>
      <c r="GBY190" s="1181"/>
      <c r="GBZ190" s="1181"/>
      <c r="GCA190" s="1181"/>
      <c r="GCB190" s="1181"/>
      <c r="GCC190" s="1181"/>
      <c r="GCD190" s="1181"/>
      <c r="GCE190" s="1181"/>
      <c r="GCF190" s="1181"/>
      <c r="GCG190" s="1181"/>
      <c r="GCH190" s="1181"/>
      <c r="GCI190" s="1181"/>
      <c r="GCJ190" s="1181"/>
      <c r="GCK190" s="1181"/>
      <c r="GCL190" s="1181"/>
      <c r="GCM190" s="1181"/>
      <c r="GCN190" s="1181"/>
      <c r="GCO190" s="1181"/>
      <c r="GCP190" s="1181"/>
      <c r="GCQ190" s="1181"/>
      <c r="GCR190" s="1181"/>
      <c r="GCS190" s="1181"/>
      <c r="GCT190" s="1181"/>
      <c r="GCU190" s="1181"/>
      <c r="GCV190" s="1181"/>
      <c r="GCW190" s="1181"/>
      <c r="GCX190" s="1181"/>
      <c r="GCY190" s="1181"/>
      <c r="GCZ190" s="1181"/>
      <c r="GDA190" s="1181"/>
      <c r="GDB190" s="1181"/>
      <c r="GDC190" s="1181"/>
      <c r="GDD190" s="1181"/>
      <c r="GDE190" s="1181"/>
      <c r="GDF190" s="1181"/>
      <c r="GDG190" s="1181"/>
      <c r="GDH190" s="1181"/>
      <c r="GDI190" s="1181"/>
      <c r="GDJ190" s="1181"/>
      <c r="GDK190" s="1181"/>
      <c r="GDL190" s="1181"/>
      <c r="GDM190" s="1181"/>
      <c r="GDN190" s="1181"/>
      <c r="GDO190" s="1181"/>
      <c r="GDP190" s="1181"/>
      <c r="GDQ190" s="1181"/>
      <c r="GDR190" s="1181"/>
      <c r="GDS190" s="1181"/>
      <c r="GDT190" s="1181"/>
      <c r="GDU190" s="1181"/>
      <c r="GDV190" s="1181"/>
      <c r="GDW190" s="1181"/>
      <c r="GDX190" s="1181"/>
      <c r="GDY190" s="1181"/>
      <c r="GDZ190" s="1181"/>
      <c r="GEA190" s="1181"/>
      <c r="GEB190" s="1181"/>
      <c r="GEC190" s="1181"/>
      <c r="GED190" s="1181"/>
      <c r="GEE190" s="1181"/>
      <c r="GEF190" s="1181"/>
      <c r="GEG190" s="1181"/>
      <c r="GEH190" s="1181"/>
      <c r="GEI190" s="1181"/>
      <c r="GEJ190" s="1181"/>
      <c r="GEK190" s="1181"/>
      <c r="GEL190" s="1181"/>
      <c r="GEM190" s="1181"/>
      <c r="GEN190" s="1181"/>
      <c r="GEO190" s="1181"/>
      <c r="GEP190" s="1181"/>
      <c r="GEQ190" s="1181"/>
      <c r="GER190" s="1181"/>
      <c r="GES190" s="1181"/>
      <c r="GET190" s="1181"/>
      <c r="GEU190" s="1181"/>
      <c r="GEV190" s="1181"/>
      <c r="GEW190" s="1181"/>
      <c r="GEX190" s="1181"/>
      <c r="GEY190" s="1181"/>
      <c r="GEZ190" s="1181"/>
      <c r="GFA190" s="1181"/>
      <c r="GFB190" s="1181"/>
      <c r="GFC190" s="1181"/>
      <c r="GFD190" s="1181"/>
      <c r="GFE190" s="1181"/>
      <c r="GFF190" s="1181"/>
      <c r="GFG190" s="1181"/>
      <c r="GFH190" s="1181"/>
      <c r="GFI190" s="1181"/>
      <c r="GFJ190" s="1181"/>
      <c r="GFK190" s="1181"/>
      <c r="GFL190" s="1181"/>
      <c r="GFM190" s="1181"/>
      <c r="GFN190" s="1181"/>
      <c r="GFO190" s="1181"/>
      <c r="GFP190" s="1181"/>
      <c r="GFQ190" s="1181"/>
      <c r="GFR190" s="1181"/>
      <c r="GFS190" s="1181"/>
      <c r="GFT190" s="1181"/>
      <c r="GFU190" s="1181"/>
      <c r="GFV190" s="1181"/>
      <c r="GFW190" s="1181"/>
      <c r="GFX190" s="1181"/>
      <c r="GFY190" s="1181"/>
      <c r="GFZ190" s="1181"/>
      <c r="GGA190" s="1181"/>
      <c r="GGB190" s="1181"/>
      <c r="GGC190" s="1181"/>
      <c r="GGD190" s="1181"/>
      <c r="GGE190" s="1181"/>
      <c r="GGF190" s="1181"/>
      <c r="GGG190" s="1181"/>
      <c r="GGH190" s="1181"/>
      <c r="GGI190" s="1181"/>
      <c r="GGJ190" s="1181"/>
      <c r="GGK190" s="1181"/>
      <c r="GGL190" s="1181"/>
      <c r="GGM190" s="1181"/>
      <c r="GGN190" s="1181"/>
      <c r="GGO190" s="1181"/>
      <c r="GGP190" s="1181"/>
      <c r="GGQ190" s="1181"/>
      <c r="GGR190" s="1181"/>
      <c r="GGS190" s="1181"/>
      <c r="GGT190" s="1181"/>
      <c r="GGU190" s="1181"/>
      <c r="GGV190" s="1181"/>
      <c r="GGW190" s="1181"/>
      <c r="GGX190" s="1181"/>
      <c r="GGY190" s="1181"/>
      <c r="GGZ190" s="1181"/>
      <c r="GHA190" s="1181"/>
      <c r="GHB190" s="1181"/>
      <c r="GHC190" s="1181"/>
      <c r="GHD190" s="1181"/>
      <c r="GHE190" s="1181"/>
      <c r="GHF190" s="1181"/>
      <c r="GHG190" s="1181"/>
      <c r="GHH190" s="1181"/>
      <c r="GHI190" s="1181"/>
      <c r="GHJ190" s="1181"/>
      <c r="GHK190" s="1181"/>
      <c r="GHL190" s="1181"/>
      <c r="GHM190" s="1181"/>
      <c r="GHN190" s="1181"/>
      <c r="GHO190" s="1181"/>
      <c r="GHP190" s="1181"/>
      <c r="GHQ190" s="1181"/>
      <c r="GHR190" s="1181"/>
      <c r="GHS190" s="1181"/>
      <c r="GHT190" s="1181"/>
      <c r="GHU190" s="1181"/>
      <c r="GHV190" s="1181"/>
      <c r="GHW190" s="1181"/>
      <c r="GHX190" s="1181"/>
      <c r="GHY190" s="1181"/>
      <c r="GHZ190" s="1181"/>
      <c r="GIA190" s="1181"/>
      <c r="GIB190" s="1181"/>
      <c r="GIC190" s="1181"/>
      <c r="GID190" s="1181"/>
      <c r="GIE190" s="1181"/>
      <c r="GIF190" s="1181"/>
      <c r="GIG190" s="1181"/>
      <c r="GIH190" s="1181"/>
      <c r="GII190" s="1181"/>
      <c r="GIJ190" s="1181"/>
      <c r="GIK190" s="1181"/>
      <c r="GIL190" s="1181"/>
      <c r="GIM190" s="1181"/>
      <c r="GIN190" s="1181"/>
      <c r="GIO190" s="1181"/>
      <c r="GIP190" s="1181"/>
      <c r="GIQ190" s="1181"/>
      <c r="GIR190" s="1181"/>
      <c r="GIS190" s="1181"/>
      <c r="GIT190" s="1181"/>
      <c r="GIU190" s="1181"/>
      <c r="GIV190" s="1181"/>
      <c r="GIW190" s="1181"/>
      <c r="GIX190" s="1181"/>
      <c r="GIY190" s="1181"/>
      <c r="GIZ190" s="1181"/>
      <c r="GJA190" s="1181"/>
      <c r="GJB190" s="1181"/>
      <c r="GJC190" s="1181"/>
      <c r="GJD190" s="1181"/>
      <c r="GJE190" s="1181"/>
      <c r="GJF190" s="1181"/>
      <c r="GJG190" s="1181"/>
      <c r="GJH190" s="1181"/>
      <c r="GJI190" s="1181"/>
      <c r="GJJ190" s="1181"/>
      <c r="GJK190" s="1181"/>
      <c r="GJL190" s="1181"/>
      <c r="GJM190" s="1181"/>
      <c r="GJN190" s="1181"/>
      <c r="GJO190" s="1181"/>
      <c r="GJP190" s="1181"/>
      <c r="GJQ190" s="1181"/>
      <c r="GJR190" s="1181"/>
      <c r="GJS190" s="1181"/>
      <c r="GJT190" s="1181"/>
      <c r="GJU190" s="1181"/>
      <c r="GJV190" s="1181"/>
      <c r="GJW190" s="1181"/>
      <c r="GJX190" s="1181"/>
      <c r="GJY190" s="1181"/>
      <c r="GJZ190" s="1181"/>
      <c r="GKA190" s="1181"/>
      <c r="GKB190" s="1181"/>
      <c r="GKC190" s="1181"/>
      <c r="GKD190" s="1181"/>
      <c r="GKE190" s="1181"/>
      <c r="GKF190" s="1181"/>
      <c r="GKG190" s="1181"/>
      <c r="GKH190" s="1181"/>
      <c r="GKI190" s="1181"/>
      <c r="GKJ190" s="1181"/>
      <c r="GKK190" s="1181"/>
      <c r="GKL190" s="1181"/>
      <c r="GKM190" s="1181"/>
      <c r="GKN190" s="1181"/>
      <c r="GKO190" s="1181"/>
      <c r="GKP190" s="1181"/>
      <c r="GKQ190" s="1181"/>
      <c r="GKR190" s="1181"/>
      <c r="GKS190" s="1181"/>
      <c r="GKT190" s="1181"/>
      <c r="GKU190" s="1181"/>
      <c r="GKV190" s="1181"/>
      <c r="GKW190" s="1181"/>
      <c r="GKX190" s="1181"/>
      <c r="GKY190" s="1181"/>
      <c r="GKZ190" s="1181"/>
      <c r="GLA190" s="1181"/>
      <c r="GLB190" s="1181"/>
      <c r="GLC190" s="1181"/>
      <c r="GLD190" s="1181"/>
      <c r="GLE190" s="1181"/>
      <c r="GLF190" s="1181"/>
      <c r="GLG190" s="1181"/>
      <c r="GLH190" s="1181"/>
      <c r="GLI190" s="1181"/>
      <c r="GLJ190" s="1181"/>
      <c r="GLK190" s="1181"/>
      <c r="GLL190" s="1181"/>
      <c r="GLM190" s="1181"/>
      <c r="GLN190" s="1181"/>
      <c r="GLO190" s="1181"/>
      <c r="GLP190" s="1181"/>
      <c r="GLQ190" s="1181"/>
      <c r="GLR190" s="1181"/>
      <c r="GLS190" s="1181"/>
      <c r="GLT190" s="1181"/>
      <c r="GLU190" s="1181"/>
      <c r="GLV190" s="1181"/>
      <c r="GLW190" s="1181"/>
      <c r="GLX190" s="1181"/>
      <c r="GLY190" s="1181"/>
      <c r="GLZ190" s="1181"/>
      <c r="GMA190" s="1181"/>
      <c r="GMB190" s="1181"/>
      <c r="GMC190" s="1181"/>
      <c r="GMD190" s="1181"/>
      <c r="GME190" s="1181"/>
      <c r="GMF190" s="1181"/>
      <c r="GMG190" s="1181"/>
      <c r="GMH190" s="1181"/>
      <c r="GMI190" s="1181"/>
      <c r="GMJ190" s="1181"/>
      <c r="GMK190" s="1181"/>
      <c r="GML190" s="1181"/>
      <c r="GMM190" s="1181"/>
      <c r="GMN190" s="1181"/>
      <c r="GMO190" s="1181"/>
      <c r="GMP190" s="1181"/>
      <c r="GMQ190" s="1181"/>
      <c r="GMR190" s="1181"/>
      <c r="GMS190" s="1181"/>
      <c r="GMT190" s="1181"/>
      <c r="GMU190" s="1181"/>
      <c r="GMV190" s="1181"/>
      <c r="GMW190" s="1181"/>
      <c r="GMX190" s="1181"/>
      <c r="GMY190" s="1181"/>
      <c r="GMZ190" s="1181"/>
      <c r="GNA190" s="1181"/>
      <c r="GNB190" s="1181"/>
      <c r="GNC190" s="1181"/>
      <c r="GND190" s="1181"/>
      <c r="GNE190" s="1181"/>
      <c r="GNF190" s="1181"/>
      <c r="GNG190" s="1181"/>
      <c r="GNH190" s="1181"/>
      <c r="GNI190" s="1181"/>
      <c r="GNJ190" s="1181"/>
      <c r="GNK190" s="1181"/>
      <c r="GNL190" s="1181"/>
      <c r="GNM190" s="1181"/>
      <c r="GNN190" s="1181"/>
      <c r="GNO190" s="1181"/>
      <c r="GNP190" s="1181"/>
      <c r="GNQ190" s="1181"/>
      <c r="GNR190" s="1181"/>
      <c r="GNS190" s="1181"/>
      <c r="GNT190" s="1181"/>
      <c r="GNU190" s="1181"/>
      <c r="GNV190" s="1181"/>
      <c r="GNW190" s="1181"/>
      <c r="GNX190" s="1181"/>
      <c r="GNY190" s="1181"/>
      <c r="GNZ190" s="1181"/>
      <c r="GOA190" s="1181"/>
      <c r="GOB190" s="1181"/>
      <c r="GOC190" s="1181"/>
      <c r="GOD190" s="1181"/>
      <c r="GOE190" s="1181"/>
      <c r="GOF190" s="1181"/>
      <c r="GOG190" s="1181"/>
      <c r="GOH190" s="1181"/>
      <c r="GOI190" s="1181"/>
      <c r="GOJ190" s="1181"/>
      <c r="GOK190" s="1181"/>
      <c r="GOL190" s="1181"/>
      <c r="GOM190" s="1181"/>
      <c r="GON190" s="1181"/>
      <c r="GOO190" s="1181"/>
      <c r="GOP190" s="1181"/>
      <c r="GOQ190" s="1181"/>
      <c r="GOR190" s="1181"/>
      <c r="GOS190" s="1181"/>
      <c r="GOT190" s="1181"/>
      <c r="GOU190" s="1181"/>
      <c r="GOV190" s="1181"/>
      <c r="GOW190" s="1181"/>
      <c r="GOX190" s="1181"/>
      <c r="GOY190" s="1181"/>
      <c r="GOZ190" s="1181"/>
      <c r="GPA190" s="1181"/>
      <c r="GPB190" s="1181"/>
      <c r="GPC190" s="1181"/>
      <c r="GPD190" s="1181"/>
      <c r="GPE190" s="1181"/>
      <c r="GPF190" s="1181"/>
      <c r="GPG190" s="1181"/>
      <c r="GPH190" s="1181"/>
      <c r="GPI190" s="1181"/>
      <c r="GPJ190" s="1181"/>
      <c r="GPK190" s="1181"/>
      <c r="GPL190" s="1181"/>
      <c r="GPM190" s="1181"/>
      <c r="GPN190" s="1181"/>
      <c r="GPO190" s="1181"/>
      <c r="GPP190" s="1181"/>
      <c r="GPQ190" s="1181"/>
      <c r="GPR190" s="1181"/>
      <c r="GPS190" s="1181"/>
      <c r="GPT190" s="1181"/>
      <c r="GPU190" s="1181"/>
      <c r="GPV190" s="1181"/>
      <c r="GPW190" s="1181"/>
      <c r="GPX190" s="1181"/>
      <c r="GPY190" s="1181"/>
      <c r="GPZ190" s="1181"/>
      <c r="GQA190" s="1181"/>
      <c r="GQB190" s="1181"/>
      <c r="GQC190" s="1181"/>
      <c r="GQD190" s="1181"/>
      <c r="GQE190" s="1181"/>
      <c r="GQF190" s="1181"/>
      <c r="GQG190" s="1181"/>
      <c r="GQH190" s="1181"/>
      <c r="GQI190" s="1181"/>
      <c r="GQJ190" s="1181"/>
      <c r="GQK190" s="1181"/>
      <c r="GQL190" s="1181"/>
      <c r="GQM190" s="1181"/>
      <c r="GQN190" s="1181"/>
      <c r="GQO190" s="1181"/>
      <c r="GQP190" s="1181"/>
      <c r="GQQ190" s="1181"/>
      <c r="GQR190" s="1181"/>
      <c r="GQS190" s="1181"/>
      <c r="GQT190" s="1181"/>
      <c r="GQU190" s="1181"/>
      <c r="GQV190" s="1181"/>
      <c r="GQW190" s="1181"/>
      <c r="GQX190" s="1181"/>
      <c r="GQY190" s="1181"/>
      <c r="GQZ190" s="1181"/>
      <c r="GRA190" s="1181"/>
      <c r="GRB190" s="1181"/>
      <c r="GRC190" s="1181"/>
      <c r="GRD190" s="1181"/>
      <c r="GRE190" s="1181"/>
      <c r="GRF190" s="1181"/>
      <c r="GRG190" s="1181"/>
      <c r="GRH190" s="1181"/>
      <c r="GRI190" s="1181"/>
      <c r="GRJ190" s="1181"/>
      <c r="GRK190" s="1181"/>
      <c r="GRL190" s="1181"/>
      <c r="GRM190" s="1181"/>
      <c r="GRN190" s="1181"/>
      <c r="GRO190" s="1181"/>
      <c r="GRP190" s="1181"/>
      <c r="GRQ190" s="1181"/>
      <c r="GRR190" s="1181"/>
      <c r="GRS190" s="1181"/>
      <c r="GRT190" s="1181"/>
      <c r="GRU190" s="1181"/>
      <c r="GRV190" s="1181"/>
      <c r="GRW190" s="1181"/>
      <c r="GRX190" s="1181"/>
      <c r="GRY190" s="1181"/>
      <c r="GRZ190" s="1181"/>
      <c r="GSA190" s="1181"/>
      <c r="GSB190" s="1181"/>
      <c r="GSC190" s="1181"/>
      <c r="GSD190" s="1181"/>
      <c r="GSE190" s="1181"/>
      <c r="GSF190" s="1181"/>
      <c r="GSG190" s="1181"/>
      <c r="GSH190" s="1181"/>
      <c r="GSI190" s="1181"/>
      <c r="GSJ190" s="1181"/>
      <c r="GSK190" s="1181"/>
      <c r="GSL190" s="1181"/>
      <c r="GSM190" s="1181"/>
      <c r="GSN190" s="1181"/>
      <c r="GSO190" s="1181"/>
      <c r="GSP190" s="1181"/>
      <c r="GSQ190" s="1181"/>
      <c r="GSR190" s="1181"/>
      <c r="GSS190" s="1181"/>
      <c r="GST190" s="1181"/>
      <c r="GSU190" s="1181"/>
      <c r="GSV190" s="1181"/>
      <c r="GSW190" s="1181"/>
      <c r="GSX190" s="1181"/>
      <c r="GSY190" s="1181"/>
      <c r="GSZ190" s="1181"/>
      <c r="GTA190" s="1181"/>
      <c r="GTB190" s="1181"/>
      <c r="GTC190" s="1181"/>
      <c r="GTD190" s="1181"/>
      <c r="GTE190" s="1181"/>
      <c r="GTF190" s="1181"/>
      <c r="GTG190" s="1181"/>
      <c r="GTH190" s="1181"/>
      <c r="GTI190" s="1181"/>
      <c r="GTJ190" s="1181"/>
      <c r="GTK190" s="1181"/>
      <c r="GTL190" s="1181"/>
      <c r="GTM190" s="1181"/>
      <c r="GTN190" s="1181"/>
      <c r="GTO190" s="1181"/>
      <c r="GTP190" s="1181"/>
      <c r="GTQ190" s="1181"/>
      <c r="GTR190" s="1181"/>
      <c r="GTS190" s="1181"/>
      <c r="GTT190" s="1181"/>
      <c r="GTU190" s="1181"/>
      <c r="GTV190" s="1181"/>
      <c r="GTW190" s="1181"/>
      <c r="GTX190" s="1181"/>
      <c r="GTY190" s="1181"/>
      <c r="GTZ190" s="1181"/>
      <c r="GUA190" s="1181"/>
      <c r="GUB190" s="1181"/>
      <c r="GUC190" s="1181"/>
      <c r="GUD190" s="1181"/>
      <c r="GUE190" s="1181"/>
      <c r="GUF190" s="1181"/>
      <c r="GUG190" s="1181"/>
      <c r="GUH190" s="1181"/>
      <c r="GUI190" s="1181"/>
      <c r="GUJ190" s="1181"/>
      <c r="GUK190" s="1181"/>
      <c r="GUL190" s="1181"/>
      <c r="GUM190" s="1181"/>
      <c r="GUN190" s="1181"/>
      <c r="GUO190" s="1181"/>
      <c r="GUP190" s="1181"/>
      <c r="GUQ190" s="1181"/>
      <c r="GUR190" s="1181"/>
      <c r="GUS190" s="1181"/>
      <c r="GUT190" s="1181"/>
      <c r="GUU190" s="1181"/>
      <c r="GUV190" s="1181"/>
      <c r="GUW190" s="1181"/>
      <c r="GUX190" s="1181"/>
      <c r="GUY190" s="1181"/>
      <c r="GUZ190" s="1181"/>
      <c r="GVA190" s="1181"/>
      <c r="GVB190" s="1181"/>
      <c r="GVC190" s="1181"/>
      <c r="GVD190" s="1181"/>
      <c r="GVE190" s="1181"/>
      <c r="GVF190" s="1181"/>
      <c r="GVG190" s="1181"/>
      <c r="GVH190" s="1181"/>
      <c r="GVI190" s="1181"/>
      <c r="GVJ190" s="1181"/>
      <c r="GVK190" s="1181"/>
      <c r="GVL190" s="1181"/>
      <c r="GVM190" s="1181"/>
      <c r="GVN190" s="1181"/>
      <c r="GVO190" s="1181"/>
      <c r="GVP190" s="1181"/>
      <c r="GVQ190" s="1181"/>
      <c r="GVR190" s="1181"/>
      <c r="GVS190" s="1181"/>
      <c r="GVT190" s="1181"/>
      <c r="GVU190" s="1181"/>
      <c r="GVV190" s="1181"/>
      <c r="GVW190" s="1181"/>
      <c r="GVX190" s="1181"/>
      <c r="GVY190" s="1181"/>
      <c r="GVZ190" s="1181"/>
      <c r="GWA190" s="1181"/>
      <c r="GWB190" s="1181"/>
      <c r="GWC190" s="1181"/>
      <c r="GWD190" s="1181"/>
      <c r="GWE190" s="1181"/>
      <c r="GWF190" s="1181"/>
      <c r="GWG190" s="1181"/>
      <c r="GWH190" s="1181"/>
      <c r="GWI190" s="1181"/>
      <c r="GWJ190" s="1181"/>
      <c r="GWK190" s="1181"/>
      <c r="GWL190" s="1181"/>
      <c r="GWM190" s="1181"/>
      <c r="GWN190" s="1181"/>
      <c r="GWO190" s="1181"/>
      <c r="GWP190" s="1181"/>
      <c r="GWQ190" s="1181"/>
      <c r="GWR190" s="1181"/>
      <c r="GWS190" s="1181"/>
      <c r="GWT190" s="1181"/>
      <c r="GWU190" s="1181"/>
      <c r="GWV190" s="1181"/>
      <c r="GWW190" s="1181"/>
      <c r="GWX190" s="1181"/>
      <c r="GWY190" s="1181"/>
      <c r="GWZ190" s="1181"/>
      <c r="GXA190" s="1181"/>
      <c r="GXB190" s="1181"/>
      <c r="GXC190" s="1181"/>
      <c r="GXD190" s="1181"/>
      <c r="GXE190" s="1181"/>
      <c r="GXF190" s="1181"/>
      <c r="GXG190" s="1181"/>
      <c r="GXH190" s="1181"/>
      <c r="GXI190" s="1181"/>
      <c r="GXJ190" s="1181"/>
      <c r="GXK190" s="1181"/>
      <c r="GXL190" s="1181"/>
      <c r="GXM190" s="1181"/>
      <c r="GXN190" s="1181"/>
      <c r="GXO190" s="1181"/>
      <c r="GXP190" s="1181"/>
      <c r="GXQ190" s="1181"/>
      <c r="GXR190" s="1181"/>
      <c r="GXS190" s="1181"/>
      <c r="GXT190" s="1181"/>
      <c r="GXU190" s="1181"/>
      <c r="GXV190" s="1181"/>
      <c r="GXW190" s="1181"/>
      <c r="GXX190" s="1181"/>
      <c r="GXY190" s="1181"/>
      <c r="GXZ190" s="1181"/>
      <c r="GYA190" s="1181"/>
      <c r="GYB190" s="1181"/>
      <c r="GYC190" s="1181"/>
      <c r="GYD190" s="1181"/>
      <c r="GYE190" s="1181"/>
      <c r="GYF190" s="1181"/>
      <c r="GYG190" s="1181"/>
      <c r="GYH190" s="1181"/>
      <c r="GYI190" s="1181"/>
      <c r="GYJ190" s="1181"/>
      <c r="GYK190" s="1181"/>
      <c r="GYL190" s="1181"/>
      <c r="GYM190" s="1181"/>
      <c r="GYN190" s="1181"/>
      <c r="GYO190" s="1181"/>
      <c r="GYP190" s="1181"/>
      <c r="GYQ190" s="1181"/>
      <c r="GYR190" s="1181"/>
      <c r="GYS190" s="1181"/>
      <c r="GYT190" s="1181"/>
      <c r="GYU190" s="1181"/>
      <c r="GYV190" s="1181"/>
      <c r="GYW190" s="1181"/>
      <c r="GYX190" s="1181"/>
      <c r="GYY190" s="1181"/>
      <c r="GYZ190" s="1181"/>
      <c r="GZA190" s="1181"/>
      <c r="GZB190" s="1181"/>
      <c r="GZC190" s="1181"/>
      <c r="GZD190" s="1181"/>
      <c r="GZE190" s="1181"/>
      <c r="GZF190" s="1181"/>
      <c r="GZG190" s="1181"/>
      <c r="GZH190" s="1181"/>
      <c r="GZI190" s="1181"/>
      <c r="GZJ190" s="1181"/>
      <c r="GZK190" s="1181"/>
      <c r="GZL190" s="1181"/>
      <c r="GZM190" s="1181"/>
      <c r="GZN190" s="1181"/>
      <c r="GZO190" s="1181"/>
      <c r="GZP190" s="1181"/>
      <c r="GZQ190" s="1181"/>
      <c r="GZR190" s="1181"/>
      <c r="GZS190" s="1181"/>
      <c r="GZT190" s="1181"/>
      <c r="GZU190" s="1181"/>
      <c r="GZV190" s="1181"/>
      <c r="GZW190" s="1181"/>
      <c r="GZX190" s="1181"/>
      <c r="GZY190" s="1181"/>
      <c r="GZZ190" s="1181"/>
      <c r="HAA190" s="1181"/>
      <c r="HAB190" s="1181"/>
      <c r="HAC190" s="1181"/>
      <c r="HAD190" s="1181"/>
      <c r="HAE190" s="1181"/>
      <c r="HAF190" s="1181"/>
      <c r="HAG190" s="1181"/>
      <c r="HAH190" s="1181"/>
      <c r="HAI190" s="1181"/>
      <c r="HAJ190" s="1181"/>
      <c r="HAK190" s="1181"/>
      <c r="HAL190" s="1181"/>
      <c r="HAM190" s="1181"/>
      <c r="HAN190" s="1181"/>
      <c r="HAO190" s="1181"/>
      <c r="HAP190" s="1181"/>
      <c r="HAQ190" s="1181"/>
      <c r="HAR190" s="1181"/>
      <c r="HAS190" s="1181"/>
      <c r="HAT190" s="1181"/>
      <c r="HAU190" s="1181"/>
      <c r="HAV190" s="1181"/>
      <c r="HAW190" s="1181"/>
      <c r="HAX190" s="1181"/>
      <c r="HAY190" s="1181"/>
      <c r="HAZ190" s="1181"/>
      <c r="HBA190" s="1181"/>
      <c r="HBB190" s="1181"/>
      <c r="HBC190" s="1181"/>
      <c r="HBD190" s="1181"/>
      <c r="HBE190" s="1181"/>
      <c r="HBF190" s="1181"/>
      <c r="HBG190" s="1181"/>
      <c r="HBH190" s="1181"/>
      <c r="HBI190" s="1181"/>
      <c r="HBJ190" s="1181"/>
      <c r="HBK190" s="1181"/>
      <c r="HBL190" s="1181"/>
      <c r="HBM190" s="1181"/>
      <c r="HBN190" s="1181"/>
      <c r="HBO190" s="1181"/>
      <c r="HBP190" s="1181"/>
      <c r="HBQ190" s="1181"/>
      <c r="HBR190" s="1181"/>
      <c r="HBS190" s="1181"/>
      <c r="HBT190" s="1181"/>
      <c r="HBU190" s="1181"/>
      <c r="HBV190" s="1181"/>
      <c r="HBW190" s="1181"/>
      <c r="HBX190" s="1181"/>
      <c r="HBY190" s="1181"/>
      <c r="HBZ190" s="1181"/>
      <c r="HCA190" s="1181"/>
      <c r="HCB190" s="1181"/>
      <c r="HCC190" s="1181"/>
      <c r="HCD190" s="1181"/>
      <c r="HCE190" s="1181"/>
      <c r="HCF190" s="1181"/>
      <c r="HCG190" s="1181"/>
      <c r="HCH190" s="1181"/>
      <c r="HCI190" s="1181"/>
      <c r="HCJ190" s="1181"/>
      <c r="HCK190" s="1181"/>
      <c r="HCL190" s="1181"/>
      <c r="HCM190" s="1181"/>
      <c r="HCN190" s="1181"/>
      <c r="HCO190" s="1181"/>
      <c r="HCP190" s="1181"/>
      <c r="HCQ190" s="1181"/>
      <c r="HCR190" s="1181"/>
      <c r="HCS190" s="1181"/>
      <c r="HCT190" s="1181"/>
      <c r="HCU190" s="1181"/>
      <c r="HCV190" s="1181"/>
      <c r="HCW190" s="1181"/>
      <c r="HCX190" s="1181"/>
      <c r="HCY190" s="1181"/>
      <c r="HCZ190" s="1181"/>
      <c r="HDA190" s="1181"/>
      <c r="HDB190" s="1181"/>
      <c r="HDC190" s="1181"/>
      <c r="HDD190" s="1181"/>
      <c r="HDE190" s="1181"/>
      <c r="HDF190" s="1181"/>
      <c r="HDG190" s="1181"/>
      <c r="HDH190" s="1181"/>
      <c r="HDI190" s="1181"/>
      <c r="HDJ190" s="1181"/>
      <c r="HDK190" s="1181"/>
      <c r="HDL190" s="1181"/>
      <c r="HDM190" s="1181"/>
      <c r="HDN190" s="1181"/>
      <c r="HDO190" s="1181"/>
      <c r="HDP190" s="1181"/>
      <c r="HDQ190" s="1181"/>
      <c r="HDR190" s="1181"/>
      <c r="HDS190" s="1181"/>
      <c r="HDT190" s="1181"/>
      <c r="HDU190" s="1181"/>
      <c r="HDV190" s="1181"/>
      <c r="HDW190" s="1181"/>
      <c r="HDX190" s="1181"/>
      <c r="HDY190" s="1181"/>
      <c r="HDZ190" s="1181"/>
      <c r="HEA190" s="1181"/>
      <c r="HEB190" s="1181"/>
      <c r="HEC190" s="1181"/>
      <c r="HED190" s="1181"/>
      <c r="HEE190" s="1181"/>
      <c r="HEF190" s="1181"/>
      <c r="HEG190" s="1181"/>
      <c r="HEH190" s="1181"/>
      <c r="HEI190" s="1181"/>
      <c r="HEJ190" s="1181"/>
      <c r="HEK190" s="1181"/>
      <c r="HEL190" s="1181"/>
      <c r="HEM190" s="1181"/>
      <c r="HEN190" s="1181"/>
      <c r="HEO190" s="1181"/>
      <c r="HEP190" s="1181"/>
      <c r="HEQ190" s="1181"/>
      <c r="HER190" s="1181"/>
      <c r="HES190" s="1181"/>
      <c r="HET190" s="1181"/>
      <c r="HEU190" s="1181"/>
      <c r="HEV190" s="1181"/>
      <c r="HEW190" s="1181"/>
      <c r="HEX190" s="1181"/>
      <c r="HEY190" s="1181"/>
      <c r="HEZ190" s="1181"/>
      <c r="HFA190" s="1181"/>
      <c r="HFB190" s="1181"/>
      <c r="HFC190" s="1181"/>
      <c r="HFD190" s="1181"/>
      <c r="HFE190" s="1181"/>
      <c r="HFF190" s="1181"/>
      <c r="HFG190" s="1181"/>
      <c r="HFH190" s="1181"/>
      <c r="HFI190" s="1181"/>
      <c r="HFJ190" s="1181"/>
      <c r="HFK190" s="1181"/>
      <c r="HFL190" s="1181"/>
      <c r="HFM190" s="1181"/>
      <c r="HFN190" s="1181"/>
      <c r="HFO190" s="1181"/>
      <c r="HFP190" s="1181"/>
      <c r="HFQ190" s="1181"/>
      <c r="HFR190" s="1181"/>
      <c r="HFS190" s="1181"/>
      <c r="HFT190" s="1181"/>
      <c r="HFU190" s="1181"/>
      <c r="HFV190" s="1181"/>
      <c r="HFW190" s="1181"/>
      <c r="HFX190" s="1181"/>
      <c r="HFY190" s="1181"/>
      <c r="HFZ190" s="1181"/>
      <c r="HGA190" s="1181"/>
      <c r="HGB190" s="1181"/>
      <c r="HGC190" s="1181"/>
      <c r="HGD190" s="1181"/>
      <c r="HGE190" s="1181"/>
      <c r="HGF190" s="1181"/>
      <c r="HGG190" s="1181"/>
      <c r="HGH190" s="1181"/>
      <c r="HGI190" s="1181"/>
      <c r="HGJ190" s="1181"/>
      <c r="HGK190" s="1181"/>
      <c r="HGL190" s="1181"/>
      <c r="HGM190" s="1181"/>
      <c r="HGN190" s="1181"/>
      <c r="HGO190" s="1181"/>
      <c r="HGP190" s="1181"/>
      <c r="HGQ190" s="1181"/>
      <c r="HGR190" s="1181"/>
      <c r="HGS190" s="1181"/>
      <c r="HGT190" s="1181"/>
      <c r="HGU190" s="1181"/>
      <c r="HGV190" s="1181"/>
      <c r="HGW190" s="1181"/>
      <c r="HGX190" s="1181"/>
      <c r="HGY190" s="1181"/>
      <c r="HGZ190" s="1181"/>
      <c r="HHA190" s="1181"/>
      <c r="HHB190" s="1181"/>
      <c r="HHC190" s="1181"/>
      <c r="HHD190" s="1181"/>
      <c r="HHE190" s="1181"/>
      <c r="HHF190" s="1181"/>
      <c r="HHG190" s="1181"/>
      <c r="HHH190" s="1181"/>
      <c r="HHI190" s="1181"/>
      <c r="HHJ190" s="1181"/>
      <c r="HHK190" s="1181"/>
      <c r="HHL190" s="1181"/>
      <c r="HHM190" s="1181"/>
      <c r="HHN190" s="1181"/>
      <c r="HHO190" s="1181"/>
      <c r="HHP190" s="1181"/>
      <c r="HHQ190" s="1181"/>
      <c r="HHR190" s="1181"/>
      <c r="HHS190" s="1181"/>
      <c r="HHT190" s="1181"/>
      <c r="HHU190" s="1181"/>
      <c r="HHV190" s="1181"/>
      <c r="HHW190" s="1181"/>
      <c r="HHX190" s="1181"/>
      <c r="HHY190" s="1181"/>
      <c r="HHZ190" s="1181"/>
      <c r="HIA190" s="1181"/>
      <c r="HIB190" s="1181"/>
      <c r="HIC190" s="1181"/>
      <c r="HID190" s="1181"/>
      <c r="HIE190" s="1181"/>
      <c r="HIF190" s="1181"/>
      <c r="HIG190" s="1181"/>
      <c r="HIH190" s="1181"/>
      <c r="HII190" s="1181"/>
      <c r="HIJ190" s="1181"/>
      <c r="HIK190" s="1181"/>
      <c r="HIL190" s="1181"/>
      <c r="HIM190" s="1181"/>
      <c r="HIN190" s="1181"/>
      <c r="HIO190" s="1181"/>
      <c r="HIP190" s="1181"/>
      <c r="HIQ190" s="1181"/>
      <c r="HIR190" s="1181"/>
      <c r="HIS190" s="1181"/>
      <c r="HIT190" s="1181"/>
      <c r="HIU190" s="1181"/>
      <c r="HIV190" s="1181"/>
      <c r="HIW190" s="1181"/>
      <c r="HIX190" s="1181"/>
      <c r="HIY190" s="1181"/>
      <c r="HIZ190" s="1181"/>
      <c r="HJA190" s="1181"/>
      <c r="HJB190" s="1181"/>
      <c r="HJC190" s="1181"/>
      <c r="HJD190" s="1181"/>
      <c r="HJE190" s="1181"/>
      <c r="HJF190" s="1181"/>
      <c r="HJG190" s="1181"/>
      <c r="HJH190" s="1181"/>
      <c r="HJI190" s="1181"/>
      <c r="HJJ190" s="1181"/>
      <c r="HJK190" s="1181"/>
      <c r="HJL190" s="1181"/>
      <c r="HJM190" s="1181"/>
      <c r="HJN190" s="1181"/>
      <c r="HJO190" s="1181"/>
      <c r="HJP190" s="1181"/>
      <c r="HJQ190" s="1181"/>
      <c r="HJR190" s="1181"/>
      <c r="HJS190" s="1181"/>
      <c r="HJT190" s="1181"/>
      <c r="HJU190" s="1181"/>
      <c r="HJV190" s="1181"/>
      <c r="HJW190" s="1181"/>
      <c r="HJX190" s="1181"/>
      <c r="HJY190" s="1181"/>
      <c r="HJZ190" s="1181"/>
      <c r="HKA190" s="1181"/>
      <c r="HKB190" s="1181"/>
      <c r="HKC190" s="1181"/>
      <c r="HKD190" s="1181"/>
      <c r="HKE190" s="1181"/>
      <c r="HKF190" s="1181"/>
      <c r="HKG190" s="1181"/>
      <c r="HKH190" s="1181"/>
      <c r="HKI190" s="1181"/>
      <c r="HKJ190" s="1181"/>
      <c r="HKK190" s="1181"/>
      <c r="HKL190" s="1181"/>
      <c r="HKM190" s="1181"/>
      <c r="HKN190" s="1181"/>
      <c r="HKO190" s="1181"/>
      <c r="HKP190" s="1181"/>
      <c r="HKQ190" s="1181"/>
      <c r="HKR190" s="1181"/>
      <c r="HKS190" s="1181"/>
      <c r="HKT190" s="1181"/>
      <c r="HKU190" s="1181"/>
      <c r="HKV190" s="1181"/>
      <c r="HKW190" s="1181"/>
      <c r="HKX190" s="1181"/>
      <c r="HKY190" s="1181"/>
      <c r="HKZ190" s="1181"/>
      <c r="HLA190" s="1181"/>
      <c r="HLB190" s="1181"/>
      <c r="HLC190" s="1181"/>
      <c r="HLD190" s="1181"/>
      <c r="HLE190" s="1181"/>
      <c r="HLF190" s="1181"/>
      <c r="HLG190" s="1181"/>
      <c r="HLH190" s="1181"/>
      <c r="HLI190" s="1181"/>
      <c r="HLJ190" s="1181"/>
      <c r="HLK190" s="1181"/>
      <c r="HLL190" s="1181"/>
      <c r="HLM190" s="1181"/>
      <c r="HLN190" s="1181"/>
      <c r="HLO190" s="1181"/>
      <c r="HLP190" s="1181"/>
      <c r="HLQ190" s="1181"/>
      <c r="HLR190" s="1181"/>
      <c r="HLS190" s="1181"/>
      <c r="HLT190" s="1181"/>
      <c r="HLU190" s="1181"/>
      <c r="HLV190" s="1181"/>
      <c r="HLW190" s="1181"/>
      <c r="HLX190" s="1181"/>
      <c r="HLY190" s="1181"/>
      <c r="HLZ190" s="1181"/>
      <c r="HMA190" s="1181"/>
      <c r="HMB190" s="1181"/>
      <c r="HMC190" s="1181"/>
      <c r="HMD190" s="1181"/>
      <c r="HME190" s="1181"/>
      <c r="HMF190" s="1181"/>
      <c r="HMG190" s="1181"/>
      <c r="HMH190" s="1181"/>
      <c r="HMI190" s="1181"/>
      <c r="HMJ190" s="1181"/>
      <c r="HMK190" s="1181"/>
      <c r="HML190" s="1181"/>
      <c r="HMM190" s="1181"/>
      <c r="HMN190" s="1181"/>
      <c r="HMO190" s="1181"/>
      <c r="HMP190" s="1181"/>
      <c r="HMQ190" s="1181"/>
      <c r="HMR190" s="1181"/>
      <c r="HMS190" s="1181"/>
      <c r="HMT190" s="1181"/>
      <c r="HMU190" s="1181"/>
      <c r="HMV190" s="1181"/>
      <c r="HMW190" s="1181"/>
      <c r="HMX190" s="1181"/>
      <c r="HMY190" s="1181"/>
      <c r="HMZ190" s="1181"/>
      <c r="HNA190" s="1181"/>
      <c r="HNB190" s="1181"/>
      <c r="HNC190" s="1181"/>
      <c r="HND190" s="1181"/>
      <c r="HNE190" s="1181"/>
      <c r="HNF190" s="1181"/>
      <c r="HNG190" s="1181"/>
      <c r="HNH190" s="1181"/>
      <c r="HNI190" s="1181"/>
      <c r="HNJ190" s="1181"/>
      <c r="HNK190" s="1181"/>
      <c r="HNL190" s="1181"/>
      <c r="HNM190" s="1181"/>
      <c r="HNN190" s="1181"/>
      <c r="HNO190" s="1181"/>
      <c r="HNP190" s="1181"/>
      <c r="HNQ190" s="1181"/>
      <c r="HNR190" s="1181"/>
      <c r="HNS190" s="1181"/>
      <c r="HNT190" s="1181"/>
      <c r="HNU190" s="1181"/>
      <c r="HNV190" s="1181"/>
      <c r="HNW190" s="1181"/>
      <c r="HNX190" s="1181"/>
      <c r="HNY190" s="1181"/>
      <c r="HNZ190" s="1181"/>
      <c r="HOA190" s="1181"/>
      <c r="HOB190" s="1181"/>
      <c r="HOC190" s="1181"/>
      <c r="HOD190" s="1181"/>
      <c r="HOE190" s="1181"/>
      <c r="HOF190" s="1181"/>
      <c r="HOG190" s="1181"/>
      <c r="HOH190" s="1181"/>
      <c r="HOI190" s="1181"/>
      <c r="HOJ190" s="1181"/>
      <c r="HOK190" s="1181"/>
      <c r="HOL190" s="1181"/>
      <c r="HOM190" s="1181"/>
      <c r="HON190" s="1181"/>
      <c r="HOO190" s="1181"/>
      <c r="HOP190" s="1181"/>
      <c r="HOQ190" s="1181"/>
      <c r="HOR190" s="1181"/>
      <c r="HOS190" s="1181"/>
      <c r="HOT190" s="1181"/>
      <c r="HOU190" s="1181"/>
      <c r="HOV190" s="1181"/>
      <c r="HOW190" s="1181"/>
      <c r="HOX190" s="1181"/>
      <c r="HOY190" s="1181"/>
      <c r="HOZ190" s="1181"/>
      <c r="HPA190" s="1181"/>
      <c r="HPB190" s="1181"/>
      <c r="HPC190" s="1181"/>
      <c r="HPD190" s="1181"/>
      <c r="HPE190" s="1181"/>
      <c r="HPF190" s="1181"/>
      <c r="HPG190" s="1181"/>
      <c r="HPH190" s="1181"/>
      <c r="HPI190" s="1181"/>
      <c r="HPJ190" s="1181"/>
      <c r="HPK190" s="1181"/>
      <c r="HPL190" s="1181"/>
      <c r="HPM190" s="1181"/>
      <c r="HPN190" s="1181"/>
      <c r="HPO190" s="1181"/>
      <c r="HPP190" s="1181"/>
      <c r="HPQ190" s="1181"/>
      <c r="HPR190" s="1181"/>
      <c r="HPS190" s="1181"/>
      <c r="HPT190" s="1181"/>
      <c r="HPU190" s="1181"/>
      <c r="HPV190" s="1181"/>
      <c r="HPW190" s="1181"/>
      <c r="HPX190" s="1181"/>
      <c r="HPY190" s="1181"/>
      <c r="HPZ190" s="1181"/>
      <c r="HQA190" s="1181"/>
      <c r="HQB190" s="1181"/>
      <c r="HQC190" s="1181"/>
      <c r="HQD190" s="1181"/>
      <c r="HQE190" s="1181"/>
      <c r="HQF190" s="1181"/>
      <c r="HQG190" s="1181"/>
      <c r="HQH190" s="1181"/>
      <c r="HQI190" s="1181"/>
      <c r="HQJ190" s="1181"/>
      <c r="HQK190" s="1181"/>
      <c r="HQL190" s="1181"/>
      <c r="HQM190" s="1181"/>
      <c r="HQN190" s="1181"/>
      <c r="HQO190" s="1181"/>
      <c r="HQP190" s="1181"/>
      <c r="HQQ190" s="1181"/>
      <c r="HQR190" s="1181"/>
      <c r="HQS190" s="1181"/>
      <c r="HQT190" s="1181"/>
      <c r="HQU190" s="1181"/>
      <c r="HQV190" s="1181"/>
      <c r="HQW190" s="1181"/>
      <c r="HQX190" s="1181"/>
      <c r="HQY190" s="1181"/>
      <c r="HQZ190" s="1181"/>
      <c r="HRA190" s="1181"/>
      <c r="HRB190" s="1181"/>
      <c r="HRC190" s="1181"/>
      <c r="HRD190" s="1181"/>
      <c r="HRE190" s="1181"/>
      <c r="HRF190" s="1181"/>
      <c r="HRG190" s="1181"/>
      <c r="HRH190" s="1181"/>
      <c r="HRI190" s="1181"/>
      <c r="HRJ190" s="1181"/>
      <c r="HRK190" s="1181"/>
      <c r="HRL190" s="1181"/>
      <c r="HRM190" s="1181"/>
      <c r="HRN190" s="1181"/>
      <c r="HRO190" s="1181"/>
      <c r="HRP190" s="1181"/>
      <c r="HRQ190" s="1181"/>
      <c r="HRR190" s="1181"/>
      <c r="HRS190" s="1181"/>
      <c r="HRT190" s="1181"/>
      <c r="HRU190" s="1181"/>
      <c r="HRV190" s="1181"/>
      <c r="HRW190" s="1181"/>
      <c r="HRX190" s="1181"/>
      <c r="HRY190" s="1181"/>
      <c r="HRZ190" s="1181"/>
      <c r="HSA190" s="1181"/>
      <c r="HSB190" s="1181"/>
      <c r="HSC190" s="1181"/>
      <c r="HSD190" s="1181"/>
      <c r="HSE190" s="1181"/>
      <c r="HSF190" s="1181"/>
      <c r="HSG190" s="1181"/>
      <c r="HSH190" s="1181"/>
      <c r="HSI190" s="1181"/>
      <c r="HSJ190" s="1181"/>
      <c r="HSK190" s="1181"/>
      <c r="HSL190" s="1181"/>
      <c r="HSM190" s="1181"/>
      <c r="HSN190" s="1181"/>
      <c r="HSO190" s="1181"/>
      <c r="HSP190" s="1181"/>
      <c r="HSQ190" s="1181"/>
      <c r="HSR190" s="1181"/>
      <c r="HSS190" s="1181"/>
      <c r="HST190" s="1181"/>
      <c r="HSU190" s="1181"/>
      <c r="HSV190" s="1181"/>
      <c r="HSW190" s="1181"/>
      <c r="HSX190" s="1181"/>
      <c r="HSY190" s="1181"/>
      <c r="HSZ190" s="1181"/>
      <c r="HTA190" s="1181"/>
      <c r="HTB190" s="1181"/>
      <c r="HTC190" s="1181"/>
      <c r="HTD190" s="1181"/>
      <c r="HTE190" s="1181"/>
      <c r="HTF190" s="1181"/>
      <c r="HTG190" s="1181"/>
      <c r="HTH190" s="1181"/>
      <c r="HTI190" s="1181"/>
      <c r="HTJ190" s="1181"/>
      <c r="HTK190" s="1181"/>
      <c r="HTL190" s="1181"/>
      <c r="HTM190" s="1181"/>
      <c r="HTN190" s="1181"/>
      <c r="HTO190" s="1181"/>
      <c r="HTP190" s="1181"/>
      <c r="HTQ190" s="1181"/>
      <c r="HTR190" s="1181"/>
      <c r="HTS190" s="1181"/>
      <c r="HTT190" s="1181"/>
      <c r="HTU190" s="1181"/>
      <c r="HTV190" s="1181"/>
      <c r="HTW190" s="1181"/>
      <c r="HTX190" s="1181"/>
      <c r="HTY190" s="1181"/>
      <c r="HTZ190" s="1181"/>
      <c r="HUA190" s="1181"/>
      <c r="HUB190" s="1181"/>
      <c r="HUC190" s="1181"/>
      <c r="HUD190" s="1181"/>
      <c r="HUE190" s="1181"/>
      <c r="HUF190" s="1181"/>
      <c r="HUG190" s="1181"/>
      <c r="HUH190" s="1181"/>
      <c r="HUI190" s="1181"/>
      <c r="HUJ190" s="1181"/>
      <c r="HUK190" s="1181"/>
      <c r="HUL190" s="1181"/>
      <c r="HUM190" s="1181"/>
      <c r="HUN190" s="1181"/>
      <c r="HUO190" s="1181"/>
      <c r="HUP190" s="1181"/>
      <c r="HUQ190" s="1181"/>
      <c r="HUR190" s="1181"/>
      <c r="HUS190" s="1181"/>
      <c r="HUT190" s="1181"/>
      <c r="HUU190" s="1181"/>
      <c r="HUV190" s="1181"/>
      <c r="HUW190" s="1181"/>
      <c r="HUX190" s="1181"/>
      <c r="HUY190" s="1181"/>
      <c r="HUZ190" s="1181"/>
      <c r="HVA190" s="1181"/>
      <c r="HVB190" s="1181"/>
      <c r="HVC190" s="1181"/>
      <c r="HVD190" s="1181"/>
      <c r="HVE190" s="1181"/>
      <c r="HVF190" s="1181"/>
      <c r="HVG190" s="1181"/>
      <c r="HVH190" s="1181"/>
      <c r="HVI190" s="1181"/>
      <c r="HVJ190" s="1181"/>
      <c r="HVK190" s="1181"/>
      <c r="HVL190" s="1181"/>
      <c r="HVM190" s="1181"/>
      <c r="HVN190" s="1181"/>
      <c r="HVO190" s="1181"/>
      <c r="HVP190" s="1181"/>
      <c r="HVQ190" s="1181"/>
      <c r="HVR190" s="1181"/>
      <c r="HVS190" s="1181"/>
      <c r="HVT190" s="1181"/>
      <c r="HVU190" s="1181"/>
      <c r="HVV190" s="1181"/>
      <c r="HVW190" s="1181"/>
      <c r="HVX190" s="1181"/>
      <c r="HVY190" s="1181"/>
      <c r="HVZ190" s="1181"/>
      <c r="HWA190" s="1181"/>
      <c r="HWB190" s="1181"/>
      <c r="HWC190" s="1181"/>
      <c r="HWD190" s="1181"/>
      <c r="HWE190" s="1181"/>
      <c r="HWF190" s="1181"/>
      <c r="HWG190" s="1181"/>
      <c r="HWH190" s="1181"/>
      <c r="HWI190" s="1181"/>
      <c r="HWJ190" s="1181"/>
      <c r="HWK190" s="1181"/>
      <c r="HWL190" s="1181"/>
      <c r="HWM190" s="1181"/>
      <c r="HWN190" s="1181"/>
      <c r="HWO190" s="1181"/>
      <c r="HWP190" s="1181"/>
      <c r="HWQ190" s="1181"/>
      <c r="HWR190" s="1181"/>
      <c r="HWS190" s="1181"/>
      <c r="HWT190" s="1181"/>
      <c r="HWU190" s="1181"/>
      <c r="HWV190" s="1181"/>
      <c r="HWW190" s="1181"/>
      <c r="HWX190" s="1181"/>
      <c r="HWY190" s="1181"/>
      <c r="HWZ190" s="1181"/>
      <c r="HXA190" s="1181"/>
      <c r="HXB190" s="1181"/>
      <c r="HXC190" s="1181"/>
      <c r="HXD190" s="1181"/>
      <c r="HXE190" s="1181"/>
      <c r="HXF190" s="1181"/>
      <c r="HXG190" s="1181"/>
      <c r="HXH190" s="1181"/>
      <c r="HXI190" s="1181"/>
      <c r="HXJ190" s="1181"/>
      <c r="HXK190" s="1181"/>
      <c r="HXL190" s="1181"/>
      <c r="HXM190" s="1181"/>
      <c r="HXN190" s="1181"/>
      <c r="HXO190" s="1181"/>
      <c r="HXP190" s="1181"/>
      <c r="HXQ190" s="1181"/>
      <c r="HXR190" s="1181"/>
      <c r="HXS190" s="1181"/>
      <c r="HXT190" s="1181"/>
      <c r="HXU190" s="1181"/>
      <c r="HXV190" s="1181"/>
      <c r="HXW190" s="1181"/>
      <c r="HXX190" s="1181"/>
      <c r="HXY190" s="1181"/>
      <c r="HXZ190" s="1181"/>
      <c r="HYA190" s="1181"/>
      <c r="HYB190" s="1181"/>
      <c r="HYC190" s="1181"/>
      <c r="HYD190" s="1181"/>
      <c r="HYE190" s="1181"/>
      <c r="HYF190" s="1181"/>
      <c r="HYG190" s="1181"/>
      <c r="HYH190" s="1181"/>
      <c r="HYI190" s="1181"/>
      <c r="HYJ190" s="1181"/>
      <c r="HYK190" s="1181"/>
      <c r="HYL190" s="1181"/>
      <c r="HYM190" s="1181"/>
      <c r="HYN190" s="1181"/>
      <c r="HYO190" s="1181"/>
      <c r="HYP190" s="1181"/>
      <c r="HYQ190" s="1181"/>
      <c r="HYR190" s="1181"/>
      <c r="HYS190" s="1181"/>
      <c r="HYT190" s="1181"/>
      <c r="HYU190" s="1181"/>
      <c r="HYV190" s="1181"/>
      <c r="HYW190" s="1181"/>
      <c r="HYX190" s="1181"/>
      <c r="HYY190" s="1181"/>
      <c r="HYZ190" s="1181"/>
      <c r="HZA190" s="1181"/>
      <c r="HZB190" s="1181"/>
      <c r="HZC190" s="1181"/>
      <c r="HZD190" s="1181"/>
      <c r="HZE190" s="1181"/>
      <c r="HZF190" s="1181"/>
      <c r="HZG190" s="1181"/>
      <c r="HZH190" s="1181"/>
      <c r="HZI190" s="1181"/>
      <c r="HZJ190" s="1181"/>
      <c r="HZK190" s="1181"/>
      <c r="HZL190" s="1181"/>
      <c r="HZM190" s="1181"/>
      <c r="HZN190" s="1181"/>
      <c r="HZO190" s="1181"/>
      <c r="HZP190" s="1181"/>
      <c r="HZQ190" s="1181"/>
      <c r="HZR190" s="1181"/>
      <c r="HZS190" s="1181"/>
      <c r="HZT190" s="1181"/>
      <c r="HZU190" s="1181"/>
      <c r="HZV190" s="1181"/>
      <c r="HZW190" s="1181"/>
      <c r="HZX190" s="1181"/>
      <c r="HZY190" s="1181"/>
      <c r="HZZ190" s="1181"/>
      <c r="IAA190" s="1181"/>
      <c r="IAB190" s="1181"/>
      <c r="IAC190" s="1181"/>
      <c r="IAD190" s="1181"/>
      <c r="IAE190" s="1181"/>
      <c r="IAF190" s="1181"/>
      <c r="IAG190" s="1181"/>
      <c r="IAH190" s="1181"/>
      <c r="IAI190" s="1181"/>
      <c r="IAJ190" s="1181"/>
      <c r="IAK190" s="1181"/>
      <c r="IAL190" s="1181"/>
      <c r="IAM190" s="1181"/>
      <c r="IAN190" s="1181"/>
      <c r="IAO190" s="1181"/>
      <c r="IAP190" s="1181"/>
      <c r="IAQ190" s="1181"/>
      <c r="IAR190" s="1181"/>
      <c r="IAS190" s="1181"/>
      <c r="IAT190" s="1181"/>
      <c r="IAU190" s="1181"/>
      <c r="IAV190" s="1181"/>
      <c r="IAW190" s="1181"/>
      <c r="IAX190" s="1181"/>
      <c r="IAY190" s="1181"/>
      <c r="IAZ190" s="1181"/>
      <c r="IBA190" s="1181"/>
      <c r="IBB190" s="1181"/>
      <c r="IBC190" s="1181"/>
      <c r="IBD190" s="1181"/>
      <c r="IBE190" s="1181"/>
      <c r="IBF190" s="1181"/>
      <c r="IBG190" s="1181"/>
      <c r="IBH190" s="1181"/>
      <c r="IBI190" s="1181"/>
      <c r="IBJ190" s="1181"/>
      <c r="IBK190" s="1181"/>
      <c r="IBL190" s="1181"/>
      <c r="IBM190" s="1181"/>
      <c r="IBN190" s="1181"/>
      <c r="IBO190" s="1181"/>
      <c r="IBP190" s="1181"/>
      <c r="IBQ190" s="1181"/>
      <c r="IBR190" s="1181"/>
      <c r="IBS190" s="1181"/>
      <c r="IBT190" s="1181"/>
      <c r="IBU190" s="1181"/>
      <c r="IBV190" s="1181"/>
      <c r="IBW190" s="1181"/>
      <c r="IBX190" s="1181"/>
      <c r="IBY190" s="1181"/>
      <c r="IBZ190" s="1181"/>
      <c r="ICA190" s="1181"/>
      <c r="ICB190" s="1181"/>
      <c r="ICC190" s="1181"/>
      <c r="ICD190" s="1181"/>
      <c r="ICE190" s="1181"/>
      <c r="ICF190" s="1181"/>
      <c r="ICG190" s="1181"/>
      <c r="ICH190" s="1181"/>
      <c r="ICI190" s="1181"/>
      <c r="ICJ190" s="1181"/>
      <c r="ICK190" s="1181"/>
      <c r="ICL190" s="1181"/>
      <c r="ICM190" s="1181"/>
      <c r="ICN190" s="1181"/>
      <c r="ICO190" s="1181"/>
      <c r="ICP190" s="1181"/>
      <c r="ICQ190" s="1181"/>
      <c r="ICR190" s="1181"/>
      <c r="ICS190" s="1181"/>
      <c r="ICT190" s="1181"/>
      <c r="ICU190" s="1181"/>
      <c r="ICV190" s="1181"/>
      <c r="ICW190" s="1181"/>
      <c r="ICX190" s="1181"/>
      <c r="ICY190" s="1181"/>
      <c r="ICZ190" s="1181"/>
      <c r="IDA190" s="1181"/>
      <c r="IDB190" s="1181"/>
      <c r="IDC190" s="1181"/>
      <c r="IDD190" s="1181"/>
      <c r="IDE190" s="1181"/>
      <c r="IDF190" s="1181"/>
      <c r="IDG190" s="1181"/>
      <c r="IDH190" s="1181"/>
      <c r="IDI190" s="1181"/>
      <c r="IDJ190" s="1181"/>
      <c r="IDK190" s="1181"/>
      <c r="IDL190" s="1181"/>
      <c r="IDM190" s="1181"/>
      <c r="IDN190" s="1181"/>
      <c r="IDO190" s="1181"/>
      <c r="IDP190" s="1181"/>
      <c r="IDQ190" s="1181"/>
      <c r="IDR190" s="1181"/>
      <c r="IDS190" s="1181"/>
      <c r="IDT190" s="1181"/>
      <c r="IDU190" s="1181"/>
      <c r="IDV190" s="1181"/>
      <c r="IDW190" s="1181"/>
      <c r="IDX190" s="1181"/>
      <c r="IDY190" s="1181"/>
      <c r="IDZ190" s="1181"/>
      <c r="IEA190" s="1181"/>
      <c r="IEB190" s="1181"/>
      <c r="IEC190" s="1181"/>
      <c r="IED190" s="1181"/>
      <c r="IEE190" s="1181"/>
      <c r="IEF190" s="1181"/>
      <c r="IEG190" s="1181"/>
      <c r="IEH190" s="1181"/>
      <c r="IEI190" s="1181"/>
      <c r="IEJ190" s="1181"/>
      <c r="IEK190" s="1181"/>
      <c r="IEL190" s="1181"/>
      <c r="IEM190" s="1181"/>
      <c r="IEN190" s="1181"/>
      <c r="IEO190" s="1181"/>
      <c r="IEP190" s="1181"/>
      <c r="IEQ190" s="1181"/>
      <c r="IER190" s="1181"/>
      <c r="IES190" s="1181"/>
      <c r="IET190" s="1181"/>
      <c r="IEU190" s="1181"/>
      <c r="IEV190" s="1181"/>
      <c r="IEW190" s="1181"/>
      <c r="IEX190" s="1181"/>
      <c r="IEY190" s="1181"/>
      <c r="IEZ190" s="1181"/>
      <c r="IFA190" s="1181"/>
      <c r="IFB190" s="1181"/>
      <c r="IFC190" s="1181"/>
      <c r="IFD190" s="1181"/>
      <c r="IFE190" s="1181"/>
      <c r="IFF190" s="1181"/>
      <c r="IFG190" s="1181"/>
      <c r="IFH190" s="1181"/>
      <c r="IFI190" s="1181"/>
      <c r="IFJ190" s="1181"/>
      <c r="IFK190" s="1181"/>
      <c r="IFL190" s="1181"/>
      <c r="IFM190" s="1181"/>
      <c r="IFN190" s="1181"/>
      <c r="IFO190" s="1181"/>
      <c r="IFP190" s="1181"/>
      <c r="IFQ190" s="1181"/>
      <c r="IFR190" s="1181"/>
      <c r="IFS190" s="1181"/>
      <c r="IFT190" s="1181"/>
      <c r="IFU190" s="1181"/>
      <c r="IFV190" s="1181"/>
      <c r="IFW190" s="1181"/>
      <c r="IFX190" s="1181"/>
      <c r="IFY190" s="1181"/>
      <c r="IFZ190" s="1181"/>
      <c r="IGA190" s="1181"/>
      <c r="IGB190" s="1181"/>
      <c r="IGC190" s="1181"/>
      <c r="IGD190" s="1181"/>
      <c r="IGE190" s="1181"/>
      <c r="IGF190" s="1181"/>
      <c r="IGG190" s="1181"/>
      <c r="IGH190" s="1181"/>
      <c r="IGI190" s="1181"/>
      <c r="IGJ190" s="1181"/>
      <c r="IGK190" s="1181"/>
      <c r="IGL190" s="1181"/>
      <c r="IGM190" s="1181"/>
      <c r="IGN190" s="1181"/>
      <c r="IGO190" s="1181"/>
      <c r="IGP190" s="1181"/>
      <c r="IGQ190" s="1181"/>
      <c r="IGR190" s="1181"/>
      <c r="IGS190" s="1181"/>
      <c r="IGT190" s="1181"/>
      <c r="IGU190" s="1181"/>
      <c r="IGV190" s="1181"/>
      <c r="IGW190" s="1181"/>
      <c r="IGX190" s="1181"/>
      <c r="IGY190" s="1181"/>
      <c r="IGZ190" s="1181"/>
      <c r="IHA190" s="1181"/>
      <c r="IHB190" s="1181"/>
      <c r="IHC190" s="1181"/>
      <c r="IHD190" s="1181"/>
      <c r="IHE190" s="1181"/>
      <c r="IHF190" s="1181"/>
      <c r="IHG190" s="1181"/>
      <c r="IHH190" s="1181"/>
      <c r="IHI190" s="1181"/>
      <c r="IHJ190" s="1181"/>
      <c r="IHK190" s="1181"/>
      <c r="IHL190" s="1181"/>
      <c r="IHM190" s="1181"/>
      <c r="IHN190" s="1181"/>
      <c r="IHO190" s="1181"/>
      <c r="IHP190" s="1181"/>
      <c r="IHQ190" s="1181"/>
      <c r="IHR190" s="1181"/>
      <c r="IHS190" s="1181"/>
      <c r="IHT190" s="1181"/>
      <c r="IHU190" s="1181"/>
      <c r="IHV190" s="1181"/>
      <c r="IHW190" s="1181"/>
      <c r="IHX190" s="1181"/>
      <c r="IHY190" s="1181"/>
      <c r="IHZ190" s="1181"/>
      <c r="IIA190" s="1181"/>
      <c r="IIB190" s="1181"/>
      <c r="IIC190" s="1181"/>
      <c r="IID190" s="1181"/>
      <c r="IIE190" s="1181"/>
      <c r="IIF190" s="1181"/>
      <c r="IIG190" s="1181"/>
      <c r="IIH190" s="1181"/>
      <c r="III190" s="1181"/>
      <c r="IIJ190" s="1181"/>
      <c r="IIK190" s="1181"/>
      <c r="IIL190" s="1181"/>
      <c r="IIM190" s="1181"/>
      <c r="IIN190" s="1181"/>
      <c r="IIO190" s="1181"/>
      <c r="IIP190" s="1181"/>
      <c r="IIQ190" s="1181"/>
      <c r="IIR190" s="1181"/>
      <c r="IIS190" s="1181"/>
      <c r="IIT190" s="1181"/>
      <c r="IIU190" s="1181"/>
      <c r="IIV190" s="1181"/>
      <c r="IIW190" s="1181"/>
      <c r="IIX190" s="1181"/>
      <c r="IIY190" s="1181"/>
      <c r="IIZ190" s="1181"/>
      <c r="IJA190" s="1181"/>
      <c r="IJB190" s="1181"/>
      <c r="IJC190" s="1181"/>
      <c r="IJD190" s="1181"/>
      <c r="IJE190" s="1181"/>
      <c r="IJF190" s="1181"/>
      <c r="IJG190" s="1181"/>
      <c r="IJH190" s="1181"/>
      <c r="IJI190" s="1181"/>
      <c r="IJJ190" s="1181"/>
      <c r="IJK190" s="1181"/>
      <c r="IJL190" s="1181"/>
      <c r="IJM190" s="1181"/>
      <c r="IJN190" s="1181"/>
      <c r="IJO190" s="1181"/>
      <c r="IJP190" s="1181"/>
      <c r="IJQ190" s="1181"/>
      <c r="IJR190" s="1181"/>
      <c r="IJS190" s="1181"/>
      <c r="IJT190" s="1181"/>
      <c r="IJU190" s="1181"/>
      <c r="IJV190" s="1181"/>
      <c r="IJW190" s="1181"/>
      <c r="IJX190" s="1181"/>
      <c r="IJY190" s="1181"/>
      <c r="IJZ190" s="1181"/>
      <c r="IKA190" s="1181"/>
      <c r="IKB190" s="1181"/>
      <c r="IKC190" s="1181"/>
      <c r="IKD190" s="1181"/>
      <c r="IKE190" s="1181"/>
      <c r="IKF190" s="1181"/>
      <c r="IKG190" s="1181"/>
      <c r="IKH190" s="1181"/>
      <c r="IKI190" s="1181"/>
      <c r="IKJ190" s="1181"/>
      <c r="IKK190" s="1181"/>
      <c r="IKL190" s="1181"/>
      <c r="IKM190" s="1181"/>
      <c r="IKN190" s="1181"/>
      <c r="IKO190" s="1181"/>
      <c r="IKP190" s="1181"/>
      <c r="IKQ190" s="1181"/>
      <c r="IKR190" s="1181"/>
      <c r="IKS190" s="1181"/>
      <c r="IKT190" s="1181"/>
      <c r="IKU190" s="1181"/>
      <c r="IKV190" s="1181"/>
      <c r="IKW190" s="1181"/>
      <c r="IKX190" s="1181"/>
      <c r="IKY190" s="1181"/>
      <c r="IKZ190" s="1181"/>
      <c r="ILA190" s="1181"/>
      <c r="ILB190" s="1181"/>
      <c r="ILC190" s="1181"/>
      <c r="ILD190" s="1181"/>
      <c r="ILE190" s="1181"/>
      <c r="ILF190" s="1181"/>
      <c r="ILG190" s="1181"/>
      <c r="ILH190" s="1181"/>
      <c r="ILI190" s="1181"/>
      <c r="ILJ190" s="1181"/>
      <c r="ILK190" s="1181"/>
      <c r="ILL190" s="1181"/>
      <c r="ILM190" s="1181"/>
      <c r="ILN190" s="1181"/>
      <c r="ILO190" s="1181"/>
      <c r="ILP190" s="1181"/>
      <c r="ILQ190" s="1181"/>
      <c r="ILR190" s="1181"/>
      <c r="ILS190" s="1181"/>
      <c r="ILT190" s="1181"/>
      <c r="ILU190" s="1181"/>
      <c r="ILV190" s="1181"/>
      <c r="ILW190" s="1181"/>
      <c r="ILX190" s="1181"/>
      <c r="ILY190" s="1181"/>
      <c r="ILZ190" s="1181"/>
      <c r="IMA190" s="1181"/>
      <c r="IMB190" s="1181"/>
      <c r="IMC190" s="1181"/>
      <c r="IMD190" s="1181"/>
      <c r="IME190" s="1181"/>
      <c r="IMF190" s="1181"/>
      <c r="IMG190" s="1181"/>
      <c r="IMH190" s="1181"/>
      <c r="IMI190" s="1181"/>
      <c r="IMJ190" s="1181"/>
      <c r="IMK190" s="1181"/>
      <c r="IML190" s="1181"/>
      <c r="IMM190" s="1181"/>
      <c r="IMN190" s="1181"/>
      <c r="IMO190" s="1181"/>
      <c r="IMP190" s="1181"/>
      <c r="IMQ190" s="1181"/>
      <c r="IMR190" s="1181"/>
      <c r="IMS190" s="1181"/>
      <c r="IMT190" s="1181"/>
      <c r="IMU190" s="1181"/>
      <c r="IMV190" s="1181"/>
      <c r="IMW190" s="1181"/>
      <c r="IMX190" s="1181"/>
      <c r="IMY190" s="1181"/>
      <c r="IMZ190" s="1181"/>
      <c r="INA190" s="1181"/>
      <c r="INB190" s="1181"/>
      <c r="INC190" s="1181"/>
      <c r="IND190" s="1181"/>
      <c r="INE190" s="1181"/>
      <c r="INF190" s="1181"/>
      <c r="ING190" s="1181"/>
      <c r="INH190" s="1181"/>
      <c r="INI190" s="1181"/>
      <c r="INJ190" s="1181"/>
      <c r="INK190" s="1181"/>
      <c r="INL190" s="1181"/>
      <c r="INM190" s="1181"/>
      <c r="INN190" s="1181"/>
      <c r="INO190" s="1181"/>
      <c r="INP190" s="1181"/>
      <c r="INQ190" s="1181"/>
      <c r="INR190" s="1181"/>
      <c r="INS190" s="1181"/>
      <c r="INT190" s="1181"/>
      <c r="INU190" s="1181"/>
      <c r="INV190" s="1181"/>
      <c r="INW190" s="1181"/>
      <c r="INX190" s="1181"/>
      <c r="INY190" s="1181"/>
      <c r="INZ190" s="1181"/>
      <c r="IOA190" s="1181"/>
      <c r="IOB190" s="1181"/>
      <c r="IOC190" s="1181"/>
      <c r="IOD190" s="1181"/>
      <c r="IOE190" s="1181"/>
      <c r="IOF190" s="1181"/>
      <c r="IOG190" s="1181"/>
      <c r="IOH190" s="1181"/>
      <c r="IOI190" s="1181"/>
      <c r="IOJ190" s="1181"/>
      <c r="IOK190" s="1181"/>
      <c r="IOL190" s="1181"/>
      <c r="IOM190" s="1181"/>
      <c r="ION190" s="1181"/>
      <c r="IOO190" s="1181"/>
      <c r="IOP190" s="1181"/>
      <c r="IOQ190" s="1181"/>
      <c r="IOR190" s="1181"/>
      <c r="IOS190" s="1181"/>
      <c r="IOT190" s="1181"/>
      <c r="IOU190" s="1181"/>
      <c r="IOV190" s="1181"/>
      <c r="IOW190" s="1181"/>
      <c r="IOX190" s="1181"/>
      <c r="IOY190" s="1181"/>
      <c r="IOZ190" s="1181"/>
      <c r="IPA190" s="1181"/>
      <c r="IPB190" s="1181"/>
      <c r="IPC190" s="1181"/>
      <c r="IPD190" s="1181"/>
      <c r="IPE190" s="1181"/>
      <c r="IPF190" s="1181"/>
      <c r="IPG190" s="1181"/>
      <c r="IPH190" s="1181"/>
      <c r="IPI190" s="1181"/>
      <c r="IPJ190" s="1181"/>
      <c r="IPK190" s="1181"/>
      <c r="IPL190" s="1181"/>
      <c r="IPM190" s="1181"/>
      <c r="IPN190" s="1181"/>
      <c r="IPO190" s="1181"/>
      <c r="IPP190" s="1181"/>
      <c r="IPQ190" s="1181"/>
      <c r="IPR190" s="1181"/>
      <c r="IPS190" s="1181"/>
      <c r="IPT190" s="1181"/>
      <c r="IPU190" s="1181"/>
      <c r="IPV190" s="1181"/>
      <c r="IPW190" s="1181"/>
      <c r="IPX190" s="1181"/>
      <c r="IPY190" s="1181"/>
      <c r="IPZ190" s="1181"/>
      <c r="IQA190" s="1181"/>
      <c r="IQB190" s="1181"/>
      <c r="IQC190" s="1181"/>
      <c r="IQD190" s="1181"/>
      <c r="IQE190" s="1181"/>
      <c r="IQF190" s="1181"/>
      <c r="IQG190" s="1181"/>
      <c r="IQH190" s="1181"/>
      <c r="IQI190" s="1181"/>
      <c r="IQJ190" s="1181"/>
      <c r="IQK190" s="1181"/>
      <c r="IQL190" s="1181"/>
      <c r="IQM190" s="1181"/>
      <c r="IQN190" s="1181"/>
      <c r="IQO190" s="1181"/>
      <c r="IQP190" s="1181"/>
      <c r="IQQ190" s="1181"/>
      <c r="IQR190" s="1181"/>
      <c r="IQS190" s="1181"/>
      <c r="IQT190" s="1181"/>
      <c r="IQU190" s="1181"/>
      <c r="IQV190" s="1181"/>
      <c r="IQW190" s="1181"/>
      <c r="IQX190" s="1181"/>
      <c r="IQY190" s="1181"/>
      <c r="IQZ190" s="1181"/>
      <c r="IRA190" s="1181"/>
      <c r="IRB190" s="1181"/>
      <c r="IRC190" s="1181"/>
      <c r="IRD190" s="1181"/>
      <c r="IRE190" s="1181"/>
      <c r="IRF190" s="1181"/>
      <c r="IRG190" s="1181"/>
      <c r="IRH190" s="1181"/>
      <c r="IRI190" s="1181"/>
      <c r="IRJ190" s="1181"/>
      <c r="IRK190" s="1181"/>
      <c r="IRL190" s="1181"/>
      <c r="IRM190" s="1181"/>
      <c r="IRN190" s="1181"/>
      <c r="IRO190" s="1181"/>
      <c r="IRP190" s="1181"/>
      <c r="IRQ190" s="1181"/>
      <c r="IRR190" s="1181"/>
      <c r="IRS190" s="1181"/>
      <c r="IRT190" s="1181"/>
      <c r="IRU190" s="1181"/>
      <c r="IRV190" s="1181"/>
      <c r="IRW190" s="1181"/>
      <c r="IRX190" s="1181"/>
      <c r="IRY190" s="1181"/>
      <c r="IRZ190" s="1181"/>
      <c r="ISA190" s="1181"/>
      <c r="ISB190" s="1181"/>
      <c r="ISC190" s="1181"/>
      <c r="ISD190" s="1181"/>
      <c r="ISE190" s="1181"/>
      <c r="ISF190" s="1181"/>
      <c r="ISG190" s="1181"/>
      <c r="ISH190" s="1181"/>
      <c r="ISI190" s="1181"/>
      <c r="ISJ190" s="1181"/>
      <c r="ISK190" s="1181"/>
      <c r="ISL190" s="1181"/>
      <c r="ISM190" s="1181"/>
      <c r="ISN190" s="1181"/>
      <c r="ISO190" s="1181"/>
      <c r="ISP190" s="1181"/>
      <c r="ISQ190" s="1181"/>
      <c r="ISR190" s="1181"/>
      <c r="ISS190" s="1181"/>
      <c r="IST190" s="1181"/>
      <c r="ISU190" s="1181"/>
      <c r="ISV190" s="1181"/>
      <c r="ISW190" s="1181"/>
      <c r="ISX190" s="1181"/>
      <c r="ISY190" s="1181"/>
      <c r="ISZ190" s="1181"/>
      <c r="ITA190" s="1181"/>
      <c r="ITB190" s="1181"/>
      <c r="ITC190" s="1181"/>
      <c r="ITD190" s="1181"/>
      <c r="ITE190" s="1181"/>
      <c r="ITF190" s="1181"/>
      <c r="ITG190" s="1181"/>
      <c r="ITH190" s="1181"/>
      <c r="ITI190" s="1181"/>
      <c r="ITJ190" s="1181"/>
      <c r="ITK190" s="1181"/>
      <c r="ITL190" s="1181"/>
      <c r="ITM190" s="1181"/>
      <c r="ITN190" s="1181"/>
      <c r="ITO190" s="1181"/>
      <c r="ITP190" s="1181"/>
      <c r="ITQ190" s="1181"/>
      <c r="ITR190" s="1181"/>
      <c r="ITS190" s="1181"/>
      <c r="ITT190" s="1181"/>
      <c r="ITU190" s="1181"/>
      <c r="ITV190" s="1181"/>
      <c r="ITW190" s="1181"/>
      <c r="ITX190" s="1181"/>
      <c r="ITY190" s="1181"/>
      <c r="ITZ190" s="1181"/>
      <c r="IUA190" s="1181"/>
      <c r="IUB190" s="1181"/>
      <c r="IUC190" s="1181"/>
      <c r="IUD190" s="1181"/>
      <c r="IUE190" s="1181"/>
      <c r="IUF190" s="1181"/>
      <c r="IUG190" s="1181"/>
      <c r="IUH190" s="1181"/>
      <c r="IUI190" s="1181"/>
      <c r="IUJ190" s="1181"/>
      <c r="IUK190" s="1181"/>
      <c r="IUL190" s="1181"/>
      <c r="IUM190" s="1181"/>
      <c r="IUN190" s="1181"/>
      <c r="IUO190" s="1181"/>
      <c r="IUP190" s="1181"/>
      <c r="IUQ190" s="1181"/>
      <c r="IUR190" s="1181"/>
      <c r="IUS190" s="1181"/>
      <c r="IUT190" s="1181"/>
      <c r="IUU190" s="1181"/>
      <c r="IUV190" s="1181"/>
      <c r="IUW190" s="1181"/>
      <c r="IUX190" s="1181"/>
      <c r="IUY190" s="1181"/>
      <c r="IUZ190" s="1181"/>
      <c r="IVA190" s="1181"/>
      <c r="IVB190" s="1181"/>
      <c r="IVC190" s="1181"/>
      <c r="IVD190" s="1181"/>
      <c r="IVE190" s="1181"/>
      <c r="IVF190" s="1181"/>
      <c r="IVG190" s="1181"/>
      <c r="IVH190" s="1181"/>
      <c r="IVI190" s="1181"/>
      <c r="IVJ190" s="1181"/>
      <c r="IVK190" s="1181"/>
      <c r="IVL190" s="1181"/>
      <c r="IVM190" s="1181"/>
      <c r="IVN190" s="1181"/>
      <c r="IVO190" s="1181"/>
      <c r="IVP190" s="1181"/>
      <c r="IVQ190" s="1181"/>
      <c r="IVR190" s="1181"/>
      <c r="IVS190" s="1181"/>
      <c r="IVT190" s="1181"/>
      <c r="IVU190" s="1181"/>
      <c r="IVV190" s="1181"/>
      <c r="IVW190" s="1181"/>
      <c r="IVX190" s="1181"/>
      <c r="IVY190" s="1181"/>
      <c r="IVZ190" s="1181"/>
      <c r="IWA190" s="1181"/>
      <c r="IWB190" s="1181"/>
      <c r="IWC190" s="1181"/>
      <c r="IWD190" s="1181"/>
      <c r="IWE190" s="1181"/>
      <c r="IWF190" s="1181"/>
      <c r="IWG190" s="1181"/>
      <c r="IWH190" s="1181"/>
      <c r="IWI190" s="1181"/>
      <c r="IWJ190" s="1181"/>
      <c r="IWK190" s="1181"/>
      <c r="IWL190" s="1181"/>
      <c r="IWM190" s="1181"/>
      <c r="IWN190" s="1181"/>
      <c r="IWO190" s="1181"/>
      <c r="IWP190" s="1181"/>
      <c r="IWQ190" s="1181"/>
      <c r="IWR190" s="1181"/>
      <c r="IWS190" s="1181"/>
      <c r="IWT190" s="1181"/>
      <c r="IWU190" s="1181"/>
      <c r="IWV190" s="1181"/>
      <c r="IWW190" s="1181"/>
      <c r="IWX190" s="1181"/>
      <c r="IWY190" s="1181"/>
      <c r="IWZ190" s="1181"/>
      <c r="IXA190" s="1181"/>
      <c r="IXB190" s="1181"/>
      <c r="IXC190" s="1181"/>
      <c r="IXD190" s="1181"/>
      <c r="IXE190" s="1181"/>
      <c r="IXF190" s="1181"/>
      <c r="IXG190" s="1181"/>
      <c r="IXH190" s="1181"/>
      <c r="IXI190" s="1181"/>
      <c r="IXJ190" s="1181"/>
      <c r="IXK190" s="1181"/>
      <c r="IXL190" s="1181"/>
      <c r="IXM190" s="1181"/>
      <c r="IXN190" s="1181"/>
      <c r="IXO190" s="1181"/>
      <c r="IXP190" s="1181"/>
      <c r="IXQ190" s="1181"/>
      <c r="IXR190" s="1181"/>
      <c r="IXS190" s="1181"/>
      <c r="IXT190" s="1181"/>
      <c r="IXU190" s="1181"/>
      <c r="IXV190" s="1181"/>
      <c r="IXW190" s="1181"/>
      <c r="IXX190" s="1181"/>
      <c r="IXY190" s="1181"/>
      <c r="IXZ190" s="1181"/>
      <c r="IYA190" s="1181"/>
      <c r="IYB190" s="1181"/>
      <c r="IYC190" s="1181"/>
      <c r="IYD190" s="1181"/>
      <c r="IYE190" s="1181"/>
      <c r="IYF190" s="1181"/>
      <c r="IYG190" s="1181"/>
      <c r="IYH190" s="1181"/>
      <c r="IYI190" s="1181"/>
      <c r="IYJ190" s="1181"/>
      <c r="IYK190" s="1181"/>
      <c r="IYL190" s="1181"/>
      <c r="IYM190" s="1181"/>
      <c r="IYN190" s="1181"/>
      <c r="IYO190" s="1181"/>
      <c r="IYP190" s="1181"/>
      <c r="IYQ190" s="1181"/>
      <c r="IYR190" s="1181"/>
      <c r="IYS190" s="1181"/>
      <c r="IYT190" s="1181"/>
      <c r="IYU190" s="1181"/>
      <c r="IYV190" s="1181"/>
      <c r="IYW190" s="1181"/>
      <c r="IYX190" s="1181"/>
      <c r="IYY190" s="1181"/>
      <c r="IYZ190" s="1181"/>
      <c r="IZA190" s="1181"/>
      <c r="IZB190" s="1181"/>
      <c r="IZC190" s="1181"/>
      <c r="IZD190" s="1181"/>
      <c r="IZE190" s="1181"/>
      <c r="IZF190" s="1181"/>
      <c r="IZG190" s="1181"/>
      <c r="IZH190" s="1181"/>
      <c r="IZI190" s="1181"/>
      <c r="IZJ190" s="1181"/>
      <c r="IZK190" s="1181"/>
      <c r="IZL190" s="1181"/>
      <c r="IZM190" s="1181"/>
      <c r="IZN190" s="1181"/>
      <c r="IZO190" s="1181"/>
      <c r="IZP190" s="1181"/>
      <c r="IZQ190" s="1181"/>
      <c r="IZR190" s="1181"/>
      <c r="IZS190" s="1181"/>
      <c r="IZT190" s="1181"/>
      <c r="IZU190" s="1181"/>
      <c r="IZV190" s="1181"/>
      <c r="IZW190" s="1181"/>
      <c r="IZX190" s="1181"/>
      <c r="IZY190" s="1181"/>
      <c r="IZZ190" s="1181"/>
      <c r="JAA190" s="1181"/>
      <c r="JAB190" s="1181"/>
      <c r="JAC190" s="1181"/>
      <c r="JAD190" s="1181"/>
      <c r="JAE190" s="1181"/>
      <c r="JAF190" s="1181"/>
      <c r="JAG190" s="1181"/>
      <c r="JAH190" s="1181"/>
      <c r="JAI190" s="1181"/>
      <c r="JAJ190" s="1181"/>
      <c r="JAK190" s="1181"/>
      <c r="JAL190" s="1181"/>
      <c r="JAM190" s="1181"/>
      <c r="JAN190" s="1181"/>
      <c r="JAO190" s="1181"/>
      <c r="JAP190" s="1181"/>
      <c r="JAQ190" s="1181"/>
      <c r="JAR190" s="1181"/>
      <c r="JAS190" s="1181"/>
      <c r="JAT190" s="1181"/>
      <c r="JAU190" s="1181"/>
      <c r="JAV190" s="1181"/>
      <c r="JAW190" s="1181"/>
      <c r="JAX190" s="1181"/>
      <c r="JAY190" s="1181"/>
      <c r="JAZ190" s="1181"/>
      <c r="JBA190" s="1181"/>
      <c r="JBB190" s="1181"/>
      <c r="JBC190" s="1181"/>
      <c r="JBD190" s="1181"/>
      <c r="JBE190" s="1181"/>
      <c r="JBF190" s="1181"/>
      <c r="JBG190" s="1181"/>
      <c r="JBH190" s="1181"/>
      <c r="JBI190" s="1181"/>
      <c r="JBJ190" s="1181"/>
      <c r="JBK190" s="1181"/>
      <c r="JBL190" s="1181"/>
      <c r="JBM190" s="1181"/>
      <c r="JBN190" s="1181"/>
      <c r="JBO190" s="1181"/>
      <c r="JBP190" s="1181"/>
      <c r="JBQ190" s="1181"/>
      <c r="JBR190" s="1181"/>
      <c r="JBS190" s="1181"/>
      <c r="JBT190" s="1181"/>
      <c r="JBU190" s="1181"/>
      <c r="JBV190" s="1181"/>
      <c r="JBW190" s="1181"/>
      <c r="JBX190" s="1181"/>
      <c r="JBY190" s="1181"/>
      <c r="JBZ190" s="1181"/>
      <c r="JCA190" s="1181"/>
      <c r="JCB190" s="1181"/>
      <c r="JCC190" s="1181"/>
      <c r="JCD190" s="1181"/>
      <c r="JCE190" s="1181"/>
      <c r="JCF190" s="1181"/>
      <c r="JCG190" s="1181"/>
      <c r="JCH190" s="1181"/>
      <c r="JCI190" s="1181"/>
      <c r="JCJ190" s="1181"/>
      <c r="JCK190" s="1181"/>
      <c r="JCL190" s="1181"/>
      <c r="JCM190" s="1181"/>
      <c r="JCN190" s="1181"/>
      <c r="JCO190" s="1181"/>
      <c r="JCP190" s="1181"/>
      <c r="JCQ190" s="1181"/>
      <c r="JCR190" s="1181"/>
      <c r="JCS190" s="1181"/>
      <c r="JCT190" s="1181"/>
      <c r="JCU190" s="1181"/>
      <c r="JCV190" s="1181"/>
      <c r="JCW190" s="1181"/>
      <c r="JCX190" s="1181"/>
      <c r="JCY190" s="1181"/>
      <c r="JCZ190" s="1181"/>
      <c r="JDA190" s="1181"/>
      <c r="JDB190" s="1181"/>
      <c r="JDC190" s="1181"/>
      <c r="JDD190" s="1181"/>
      <c r="JDE190" s="1181"/>
      <c r="JDF190" s="1181"/>
      <c r="JDG190" s="1181"/>
      <c r="JDH190" s="1181"/>
      <c r="JDI190" s="1181"/>
      <c r="JDJ190" s="1181"/>
      <c r="JDK190" s="1181"/>
      <c r="JDL190" s="1181"/>
      <c r="JDM190" s="1181"/>
      <c r="JDN190" s="1181"/>
      <c r="JDO190" s="1181"/>
      <c r="JDP190" s="1181"/>
      <c r="JDQ190" s="1181"/>
      <c r="JDR190" s="1181"/>
      <c r="JDS190" s="1181"/>
      <c r="JDT190" s="1181"/>
      <c r="JDU190" s="1181"/>
      <c r="JDV190" s="1181"/>
      <c r="JDW190" s="1181"/>
      <c r="JDX190" s="1181"/>
      <c r="JDY190" s="1181"/>
      <c r="JDZ190" s="1181"/>
      <c r="JEA190" s="1181"/>
      <c r="JEB190" s="1181"/>
      <c r="JEC190" s="1181"/>
      <c r="JED190" s="1181"/>
      <c r="JEE190" s="1181"/>
      <c r="JEF190" s="1181"/>
      <c r="JEG190" s="1181"/>
      <c r="JEH190" s="1181"/>
      <c r="JEI190" s="1181"/>
      <c r="JEJ190" s="1181"/>
      <c r="JEK190" s="1181"/>
      <c r="JEL190" s="1181"/>
      <c r="JEM190" s="1181"/>
      <c r="JEN190" s="1181"/>
      <c r="JEO190" s="1181"/>
      <c r="JEP190" s="1181"/>
      <c r="JEQ190" s="1181"/>
      <c r="JER190" s="1181"/>
      <c r="JES190" s="1181"/>
      <c r="JET190" s="1181"/>
      <c r="JEU190" s="1181"/>
      <c r="JEV190" s="1181"/>
      <c r="JEW190" s="1181"/>
      <c r="JEX190" s="1181"/>
      <c r="JEY190" s="1181"/>
      <c r="JEZ190" s="1181"/>
      <c r="JFA190" s="1181"/>
      <c r="JFB190" s="1181"/>
      <c r="JFC190" s="1181"/>
      <c r="JFD190" s="1181"/>
      <c r="JFE190" s="1181"/>
      <c r="JFF190" s="1181"/>
      <c r="JFG190" s="1181"/>
      <c r="JFH190" s="1181"/>
      <c r="JFI190" s="1181"/>
      <c r="JFJ190" s="1181"/>
      <c r="JFK190" s="1181"/>
      <c r="JFL190" s="1181"/>
      <c r="JFM190" s="1181"/>
      <c r="JFN190" s="1181"/>
      <c r="JFO190" s="1181"/>
      <c r="JFP190" s="1181"/>
      <c r="JFQ190" s="1181"/>
      <c r="JFR190" s="1181"/>
      <c r="JFS190" s="1181"/>
      <c r="JFT190" s="1181"/>
      <c r="JFU190" s="1181"/>
      <c r="JFV190" s="1181"/>
      <c r="JFW190" s="1181"/>
      <c r="JFX190" s="1181"/>
      <c r="JFY190" s="1181"/>
      <c r="JFZ190" s="1181"/>
      <c r="JGA190" s="1181"/>
      <c r="JGB190" s="1181"/>
      <c r="JGC190" s="1181"/>
      <c r="JGD190" s="1181"/>
      <c r="JGE190" s="1181"/>
      <c r="JGF190" s="1181"/>
      <c r="JGG190" s="1181"/>
      <c r="JGH190" s="1181"/>
      <c r="JGI190" s="1181"/>
      <c r="JGJ190" s="1181"/>
      <c r="JGK190" s="1181"/>
      <c r="JGL190" s="1181"/>
      <c r="JGM190" s="1181"/>
      <c r="JGN190" s="1181"/>
      <c r="JGO190" s="1181"/>
      <c r="JGP190" s="1181"/>
      <c r="JGQ190" s="1181"/>
      <c r="JGR190" s="1181"/>
      <c r="JGS190" s="1181"/>
      <c r="JGT190" s="1181"/>
      <c r="JGU190" s="1181"/>
      <c r="JGV190" s="1181"/>
      <c r="JGW190" s="1181"/>
      <c r="JGX190" s="1181"/>
      <c r="JGY190" s="1181"/>
      <c r="JGZ190" s="1181"/>
      <c r="JHA190" s="1181"/>
      <c r="JHB190" s="1181"/>
      <c r="JHC190" s="1181"/>
      <c r="JHD190" s="1181"/>
      <c r="JHE190" s="1181"/>
      <c r="JHF190" s="1181"/>
      <c r="JHG190" s="1181"/>
      <c r="JHH190" s="1181"/>
      <c r="JHI190" s="1181"/>
      <c r="JHJ190" s="1181"/>
      <c r="JHK190" s="1181"/>
      <c r="JHL190" s="1181"/>
      <c r="JHM190" s="1181"/>
      <c r="JHN190" s="1181"/>
      <c r="JHO190" s="1181"/>
      <c r="JHP190" s="1181"/>
      <c r="JHQ190" s="1181"/>
      <c r="JHR190" s="1181"/>
      <c r="JHS190" s="1181"/>
      <c r="JHT190" s="1181"/>
      <c r="JHU190" s="1181"/>
      <c r="JHV190" s="1181"/>
      <c r="JHW190" s="1181"/>
      <c r="JHX190" s="1181"/>
      <c r="JHY190" s="1181"/>
      <c r="JHZ190" s="1181"/>
      <c r="JIA190" s="1181"/>
      <c r="JIB190" s="1181"/>
      <c r="JIC190" s="1181"/>
      <c r="JID190" s="1181"/>
      <c r="JIE190" s="1181"/>
      <c r="JIF190" s="1181"/>
      <c r="JIG190" s="1181"/>
      <c r="JIH190" s="1181"/>
      <c r="JII190" s="1181"/>
      <c r="JIJ190" s="1181"/>
      <c r="JIK190" s="1181"/>
      <c r="JIL190" s="1181"/>
      <c r="JIM190" s="1181"/>
      <c r="JIN190" s="1181"/>
      <c r="JIO190" s="1181"/>
      <c r="JIP190" s="1181"/>
      <c r="JIQ190" s="1181"/>
      <c r="JIR190" s="1181"/>
      <c r="JIS190" s="1181"/>
      <c r="JIT190" s="1181"/>
      <c r="JIU190" s="1181"/>
      <c r="JIV190" s="1181"/>
      <c r="JIW190" s="1181"/>
      <c r="JIX190" s="1181"/>
      <c r="JIY190" s="1181"/>
      <c r="JIZ190" s="1181"/>
      <c r="JJA190" s="1181"/>
      <c r="JJB190" s="1181"/>
      <c r="JJC190" s="1181"/>
      <c r="JJD190" s="1181"/>
      <c r="JJE190" s="1181"/>
      <c r="JJF190" s="1181"/>
      <c r="JJG190" s="1181"/>
      <c r="JJH190" s="1181"/>
      <c r="JJI190" s="1181"/>
      <c r="JJJ190" s="1181"/>
      <c r="JJK190" s="1181"/>
      <c r="JJL190" s="1181"/>
      <c r="JJM190" s="1181"/>
      <c r="JJN190" s="1181"/>
      <c r="JJO190" s="1181"/>
      <c r="JJP190" s="1181"/>
      <c r="JJQ190" s="1181"/>
      <c r="JJR190" s="1181"/>
      <c r="JJS190" s="1181"/>
      <c r="JJT190" s="1181"/>
      <c r="JJU190" s="1181"/>
      <c r="JJV190" s="1181"/>
      <c r="JJW190" s="1181"/>
      <c r="JJX190" s="1181"/>
      <c r="JJY190" s="1181"/>
      <c r="JJZ190" s="1181"/>
      <c r="JKA190" s="1181"/>
      <c r="JKB190" s="1181"/>
      <c r="JKC190" s="1181"/>
      <c r="JKD190" s="1181"/>
      <c r="JKE190" s="1181"/>
      <c r="JKF190" s="1181"/>
      <c r="JKG190" s="1181"/>
      <c r="JKH190" s="1181"/>
      <c r="JKI190" s="1181"/>
      <c r="JKJ190" s="1181"/>
      <c r="JKK190" s="1181"/>
      <c r="JKL190" s="1181"/>
      <c r="JKM190" s="1181"/>
      <c r="JKN190" s="1181"/>
      <c r="JKO190" s="1181"/>
      <c r="JKP190" s="1181"/>
      <c r="JKQ190" s="1181"/>
      <c r="JKR190" s="1181"/>
      <c r="JKS190" s="1181"/>
      <c r="JKT190" s="1181"/>
      <c r="JKU190" s="1181"/>
      <c r="JKV190" s="1181"/>
      <c r="JKW190" s="1181"/>
      <c r="JKX190" s="1181"/>
      <c r="JKY190" s="1181"/>
      <c r="JKZ190" s="1181"/>
      <c r="JLA190" s="1181"/>
      <c r="JLB190" s="1181"/>
      <c r="JLC190" s="1181"/>
      <c r="JLD190" s="1181"/>
      <c r="JLE190" s="1181"/>
      <c r="JLF190" s="1181"/>
      <c r="JLG190" s="1181"/>
      <c r="JLH190" s="1181"/>
      <c r="JLI190" s="1181"/>
      <c r="JLJ190" s="1181"/>
      <c r="JLK190" s="1181"/>
      <c r="JLL190" s="1181"/>
      <c r="JLM190" s="1181"/>
      <c r="JLN190" s="1181"/>
      <c r="JLO190" s="1181"/>
      <c r="JLP190" s="1181"/>
      <c r="JLQ190" s="1181"/>
      <c r="JLR190" s="1181"/>
      <c r="JLS190" s="1181"/>
      <c r="JLT190" s="1181"/>
      <c r="JLU190" s="1181"/>
      <c r="JLV190" s="1181"/>
      <c r="JLW190" s="1181"/>
      <c r="JLX190" s="1181"/>
      <c r="JLY190" s="1181"/>
      <c r="JLZ190" s="1181"/>
      <c r="JMA190" s="1181"/>
      <c r="JMB190" s="1181"/>
      <c r="JMC190" s="1181"/>
      <c r="JMD190" s="1181"/>
      <c r="JME190" s="1181"/>
      <c r="JMF190" s="1181"/>
      <c r="JMG190" s="1181"/>
      <c r="JMH190" s="1181"/>
      <c r="JMI190" s="1181"/>
      <c r="JMJ190" s="1181"/>
      <c r="JMK190" s="1181"/>
      <c r="JML190" s="1181"/>
      <c r="JMM190" s="1181"/>
      <c r="JMN190" s="1181"/>
      <c r="JMO190" s="1181"/>
      <c r="JMP190" s="1181"/>
      <c r="JMQ190" s="1181"/>
      <c r="JMR190" s="1181"/>
      <c r="JMS190" s="1181"/>
      <c r="JMT190" s="1181"/>
      <c r="JMU190" s="1181"/>
      <c r="JMV190" s="1181"/>
      <c r="JMW190" s="1181"/>
      <c r="JMX190" s="1181"/>
      <c r="JMY190" s="1181"/>
      <c r="JMZ190" s="1181"/>
      <c r="JNA190" s="1181"/>
      <c r="JNB190" s="1181"/>
      <c r="JNC190" s="1181"/>
      <c r="JND190" s="1181"/>
      <c r="JNE190" s="1181"/>
      <c r="JNF190" s="1181"/>
      <c r="JNG190" s="1181"/>
      <c r="JNH190" s="1181"/>
      <c r="JNI190" s="1181"/>
      <c r="JNJ190" s="1181"/>
      <c r="JNK190" s="1181"/>
      <c r="JNL190" s="1181"/>
      <c r="JNM190" s="1181"/>
      <c r="JNN190" s="1181"/>
      <c r="JNO190" s="1181"/>
      <c r="JNP190" s="1181"/>
      <c r="JNQ190" s="1181"/>
      <c r="JNR190" s="1181"/>
      <c r="JNS190" s="1181"/>
      <c r="JNT190" s="1181"/>
      <c r="JNU190" s="1181"/>
      <c r="JNV190" s="1181"/>
      <c r="JNW190" s="1181"/>
      <c r="JNX190" s="1181"/>
      <c r="JNY190" s="1181"/>
      <c r="JNZ190" s="1181"/>
      <c r="JOA190" s="1181"/>
      <c r="JOB190" s="1181"/>
      <c r="JOC190" s="1181"/>
      <c r="JOD190" s="1181"/>
      <c r="JOE190" s="1181"/>
      <c r="JOF190" s="1181"/>
      <c r="JOG190" s="1181"/>
      <c r="JOH190" s="1181"/>
      <c r="JOI190" s="1181"/>
      <c r="JOJ190" s="1181"/>
      <c r="JOK190" s="1181"/>
      <c r="JOL190" s="1181"/>
      <c r="JOM190" s="1181"/>
      <c r="JON190" s="1181"/>
      <c r="JOO190" s="1181"/>
      <c r="JOP190" s="1181"/>
      <c r="JOQ190" s="1181"/>
      <c r="JOR190" s="1181"/>
      <c r="JOS190" s="1181"/>
      <c r="JOT190" s="1181"/>
      <c r="JOU190" s="1181"/>
      <c r="JOV190" s="1181"/>
      <c r="JOW190" s="1181"/>
      <c r="JOX190" s="1181"/>
      <c r="JOY190" s="1181"/>
      <c r="JOZ190" s="1181"/>
      <c r="JPA190" s="1181"/>
      <c r="JPB190" s="1181"/>
      <c r="JPC190" s="1181"/>
      <c r="JPD190" s="1181"/>
      <c r="JPE190" s="1181"/>
      <c r="JPF190" s="1181"/>
      <c r="JPG190" s="1181"/>
      <c r="JPH190" s="1181"/>
      <c r="JPI190" s="1181"/>
      <c r="JPJ190" s="1181"/>
      <c r="JPK190" s="1181"/>
      <c r="JPL190" s="1181"/>
      <c r="JPM190" s="1181"/>
      <c r="JPN190" s="1181"/>
      <c r="JPO190" s="1181"/>
      <c r="JPP190" s="1181"/>
      <c r="JPQ190" s="1181"/>
      <c r="JPR190" s="1181"/>
      <c r="JPS190" s="1181"/>
      <c r="JPT190" s="1181"/>
      <c r="JPU190" s="1181"/>
      <c r="JPV190" s="1181"/>
      <c r="JPW190" s="1181"/>
      <c r="JPX190" s="1181"/>
      <c r="JPY190" s="1181"/>
      <c r="JPZ190" s="1181"/>
      <c r="JQA190" s="1181"/>
      <c r="JQB190" s="1181"/>
      <c r="JQC190" s="1181"/>
      <c r="JQD190" s="1181"/>
      <c r="JQE190" s="1181"/>
      <c r="JQF190" s="1181"/>
      <c r="JQG190" s="1181"/>
      <c r="JQH190" s="1181"/>
      <c r="JQI190" s="1181"/>
      <c r="JQJ190" s="1181"/>
      <c r="JQK190" s="1181"/>
      <c r="JQL190" s="1181"/>
      <c r="JQM190" s="1181"/>
      <c r="JQN190" s="1181"/>
      <c r="JQO190" s="1181"/>
      <c r="JQP190" s="1181"/>
      <c r="JQQ190" s="1181"/>
      <c r="JQR190" s="1181"/>
      <c r="JQS190" s="1181"/>
      <c r="JQT190" s="1181"/>
      <c r="JQU190" s="1181"/>
      <c r="JQV190" s="1181"/>
      <c r="JQW190" s="1181"/>
      <c r="JQX190" s="1181"/>
      <c r="JQY190" s="1181"/>
      <c r="JQZ190" s="1181"/>
      <c r="JRA190" s="1181"/>
      <c r="JRB190" s="1181"/>
      <c r="JRC190" s="1181"/>
      <c r="JRD190" s="1181"/>
      <c r="JRE190" s="1181"/>
      <c r="JRF190" s="1181"/>
      <c r="JRG190" s="1181"/>
      <c r="JRH190" s="1181"/>
      <c r="JRI190" s="1181"/>
      <c r="JRJ190" s="1181"/>
      <c r="JRK190" s="1181"/>
      <c r="JRL190" s="1181"/>
      <c r="JRM190" s="1181"/>
      <c r="JRN190" s="1181"/>
      <c r="JRO190" s="1181"/>
      <c r="JRP190" s="1181"/>
      <c r="JRQ190" s="1181"/>
      <c r="JRR190" s="1181"/>
      <c r="JRS190" s="1181"/>
      <c r="JRT190" s="1181"/>
      <c r="JRU190" s="1181"/>
      <c r="JRV190" s="1181"/>
      <c r="JRW190" s="1181"/>
      <c r="JRX190" s="1181"/>
      <c r="JRY190" s="1181"/>
      <c r="JRZ190" s="1181"/>
      <c r="JSA190" s="1181"/>
      <c r="JSB190" s="1181"/>
      <c r="JSC190" s="1181"/>
      <c r="JSD190" s="1181"/>
      <c r="JSE190" s="1181"/>
      <c r="JSF190" s="1181"/>
      <c r="JSG190" s="1181"/>
      <c r="JSH190" s="1181"/>
      <c r="JSI190" s="1181"/>
      <c r="JSJ190" s="1181"/>
      <c r="JSK190" s="1181"/>
      <c r="JSL190" s="1181"/>
      <c r="JSM190" s="1181"/>
      <c r="JSN190" s="1181"/>
      <c r="JSO190" s="1181"/>
      <c r="JSP190" s="1181"/>
      <c r="JSQ190" s="1181"/>
      <c r="JSR190" s="1181"/>
      <c r="JSS190" s="1181"/>
      <c r="JST190" s="1181"/>
      <c r="JSU190" s="1181"/>
      <c r="JSV190" s="1181"/>
      <c r="JSW190" s="1181"/>
      <c r="JSX190" s="1181"/>
      <c r="JSY190" s="1181"/>
      <c r="JSZ190" s="1181"/>
      <c r="JTA190" s="1181"/>
      <c r="JTB190" s="1181"/>
      <c r="JTC190" s="1181"/>
      <c r="JTD190" s="1181"/>
      <c r="JTE190" s="1181"/>
      <c r="JTF190" s="1181"/>
      <c r="JTG190" s="1181"/>
      <c r="JTH190" s="1181"/>
      <c r="JTI190" s="1181"/>
      <c r="JTJ190" s="1181"/>
      <c r="JTK190" s="1181"/>
      <c r="JTL190" s="1181"/>
      <c r="JTM190" s="1181"/>
      <c r="JTN190" s="1181"/>
      <c r="JTO190" s="1181"/>
      <c r="JTP190" s="1181"/>
      <c r="JTQ190" s="1181"/>
      <c r="JTR190" s="1181"/>
      <c r="JTS190" s="1181"/>
      <c r="JTT190" s="1181"/>
      <c r="JTU190" s="1181"/>
      <c r="JTV190" s="1181"/>
      <c r="JTW190" s="1181"/>
      <c r="JTX190" s="1181"/>
      <c r="JTY190" s="1181"/>
      <c r="JTZ190" s="1181"/>
      <c r="JUA190" s="1181"/>
      <c r="JUB190" s="1181"/>
      <c r="JUC190" s="1181"/>
      <c r="JUD190" s="1181"/>
      <c r="JUE190" s="1181"/>
      <c r="JUF190" s="1181"/>
      <c r="JUG190" s="1181"/>
      <c r="JUH190" s="1181"/>
      <c r="JUI190" s="1181"/>
      <c r="JUJ190" s="1181"/>
      <c r="JUK190" s="1181"/>
      <c r="JUL190" s="1181"/>
      <c r="JUM190" s="1181"/>
      <c r="JUN190" s="1181"/>
      <c r="JUO190" s="1181"/>
      <c r="JUP190" s="1181"/>
      <c r="JUQ190" s="1181"/>
      <c r="JUR190" s="1181"/>
      <c r="JUS190" s="1181"/>
      <c r="JUT190" s="1181"/>
      <c r="JUU190" s="1181"/>
      <c r="JUV190" s="1181"/>
      <c r="JUW190" s="1181"/>
      <c r="JUX190" s="1181"/>
      <c r="JUY190" s="1181"/>
      <c r="JUZ190" s="1181"/>
      <c r="JVA190" s="1181"/>
      <c r="JVB190" s="1181"/>
      <c r="JVC190" s="1181"/>
      <c r="JVD190" s="1181"/>
      <c r="JVE190" s="1181"/>
      <c r="JVF190" s="1181"/>
      <c r="JVG190" s="1181"/>
      <c r="JVH190" s="1181"/>
      <c r="JVI190" s="1181"/>
      <c r="JVJ190" s="1181"/>
      <c r="JVK190" s="1181"/>
      <c r="JVL190" s="1181"/>
      <c r="JVM190" s="1181"/>
      <c r="JVN190" s="1181"/>
      <c r="JVO190" s="1181"/>
      <c r="JVP190" s="1181"/>
      <c r="JVQ190" s="1181"/>
      <c r="JVR190" s="1181"/>
      <c r="JVS190" s="1181"/>
      <c r="JVT190" s="1181"/>
      <c r="JVU190" s="1181"/>
      <c r="JVV190" s="1181"/>
      <c r="JVW190" s="1181"/>
      <c r="JVX190" s="1181"/>
      <c r="JVY190" s="1181"/>
      <c r="JVZ190" s="1181"/>
      <c r="JWA190" s="1181"/>
      <c r="JWB190" s="1181"/>
      <c r="JWC190" s="1181"/>
      <c r="JWD190" s="1181"/>
      <c r="JWE190" s="1181"/>
      <c r="JWF190" s="1181"/>
      <c r="JWG190" s="1181"/>
      <c r="JWH190" s="1181"/>
      <c r="JWI190" s="1181"/>
      <c r="JWJ190" s="1181"/>
      <c r="JWK190" s="1181"/>
      <c r="JWL190" s="1181"/>
      <c r="JWM190" s="1181"/>
      <c r="JWN190" s="1181"/>
      <c r="JWO190" s="1181"/>
      <c r="JWP190" s="1181"/>
      <c r="JWQ190" s="1181"/>
      <c r="JWR190" s="1181"/>
      <c r="JWS190" s="1181"/>
      <c r="JWT190" s="1181"/>
      <c r="JWU190" s="1181"/>
      <c r="JWV190" s="1181"/>
      <c r="JWW190" s="1181"/>
      <c r="JWX190" s="1181"/>
      <c r="JWY190" s="1181"/>
      <c r="JWZ190" s="1181"/>
      <c r="JXA190" s="1181"/>
      <c r="JXB190" s="1181"/>
      <c r="JXC190" s="1181"/>
      <c r="JXD190" s="1181"/>
      <c r="JXE190" s="1181"/>
      <c r="JXF190" s="1181"/>
      <c r="JXG190" s="1181"/>
      <c r="JXH190" s="1181"/>
      <c r="JXI190" s="1181"/>
      <c r="JXJ190" s="1181"/>
      <c r="JXK190" s="1181"/>
      <c r="JXL190" s="1181"/>
      <c r="JXM190" s="1181"/>
      <c r="JXN190" s="1181"/>
      <c r="JXO190" s="1181"/>
      <c r="JXP190" s="1181"/>
      <c r="JXQ190" s="1181"/>
      <c r="JXR190" s="1181"/>
      <c r="JXS190" s="1181"/>
      <c r="JXT190" s="1181"/>
      <c r="JXU190" s="1181"/>
      <c r="JXV190" s="1181"/>
      <c r="JXW190" s="1181"/>
      <c r="JXX190" s="1181"/>
      <c r="JXY190" s="1181"/>
      <c r="JXZ190" s="1181"/>
      <c r="JYA190" s="1181"/>
      <c r="JYB190" s="1181"/>
      <c r="JYC190" s="1181"/>
      <c r="JYD190" s="1181"/>
      <c r="JYE190" s="1181"/>
      <c r="JYF190" s="1181"/>
      <c r="JYG190" s="1181"/>
      <c r="JYH190" s="1181"/>
      <c r="JYI190" s="1181"/>
      <c r="JYJ190" s="1181"/>
      <c r="JYK190" s="1181"/>
      <c r="JYL190" s="1181"/>
      <c r="JYM190" s="1181"/>
      <c r="JYN190" s="1181"/>
      <c r="JYO190" s="1181"/>
      <c r="JYP190" s="1181"/>
      <c r="JYQ190" s="1181"/>
      <c r="JYR190" s="1181"/>
      <c r="JYS190" s="1181"/>
      <c r="JYT190" s="1181"/>
      <c r="JYU190" s="1181"/>
      <c r="JYV190" s="1181"/>
      <c r="JYW190" s="1181"/>
      <c r="JYX190" s="1181"/>
      <c r="JYY190" s="1181"/>
      <c r="JYZ190" s="1181"/>
      <c r="JZA190" s="1181"/>
      <c r="JZB190" s="1181"/>
      <c r="JZC190" s="1181"/>
      <c r="JZD190" s="1181"/>
      <c r="JZE190" s="1181"/>
      <c r="JZF190" s="1181"/>
      <c r="JZG190" s="1181"/>
      <c r="JZH190" s="1181"/>
      <c r="JZI190" s="1181"/>
      <c r="JZJ190" s="1181"/>
      <c r="JZK190" s="1181"/>
      <c r="JZL190" s="1181"/>
      <c r="JZM190" s="1181"/>
      <c r="JZN190" s="1181"/>
      <c r="JZO190" s="1181"/>
      <c r="JZP190" s="1181"/>
      <c r="JZQ190" s="1181"/>
      <c r="JZR190" s="1181"/>
      <c r="JZS190" s="1181"/>
      <c r="JZT190" s="1181"/>
      <c r="JZU190" s="1181"/>
      <c r="JZV190" s="1181"/>
      <c r="JZW190" s="1181"/>
      <c r="JZX190" s="1181"/>
      <c r="JZY190" s="1181"/>
      <c r="JZZ190" s="1181"/>
      <c r="KAA190" s="1181"/>
      <c r="KAB190" s="1181"/>
      <c r="KAC190" s="1181"/>
      <c r="KAD190" s="1181"/>
      <c r="KAE190" s="1181"/>
      <c r="KAF190" s="1181"/>
      <c r="KAG190" s="1181"/>
      <c r="KAH190" s="1181"/>
      <c r="KAI190" s="1181"/>
      <c r="KAJ190" s="1181"/>
      <c r="KAK190" s="1181"/>
      <c r="KAL190" s="1181"/>
      <c r="KAM190" s="1181"/>
      <c r="KAN190" s="1181"/>
      <c r="KAO190" s="1181"/>
      <c r="KAP190" s="1181"/>
      <c r="KAQ190" s="1181"/>
      <c r="KAR190" s="1181"/>
      <c r="KAS190" s="1181"/>
      <c r="KAT190" s="1181"/>
      <c r="KAU190" s="1181"/>
      <c r="KAV190" s="1181"/>
      <c r="KAW190" s="1181"/>
      <c r="KAX190" s="1181"/>
      <c r="KAY190" s="1181"/>
      <c r="KAZ190" s="1181"/>
      <c r="KBA190" s="1181"/>
      <c r="KBB190" s="1181"/>
      <c r="KBC190" s="1181"/>
      <c r="KBD190" s="1181"/>
      <c r="KBE190" s="1181"/>
      <c r="KBF190" s="1181"/>
      <c r="KBG190" s="1181"/>
      <c r="KBH190" s="1181"/>
      <c r="KBI190" s="1181"/>
      <c r="KBJ190" s="1181"/>
      <c r="KBK190" s="1181"/>
      <c r="KBL190" s="1181"/>
      <c r="KBM190" s="1181"/>
      <c r="KBN190" s="1181"/>
      <c r="KBO190" s="1181"/>
      <c r="KBP190" s="1181"/>
      <c r="KBQ190" s="1181"/>
      <c r="KBR190" s="1181"/>
      <c r="KBS190" s="1181"/>
      <c r="KBT190" s="1181"/>
      <c r="KBU190" s="1181"/>
      <c r="KBV190" s="1181"/>
      <c r="KBW190" s="1181"/>
      <c r="KBX190" s="1181"/>
      <c r="KBY190" s="1181"/>
      <c r="KBZ190" s="1181"/>
      <c r="KCA190" s="1181"/>
      <c r="KCB190" s="1181"/>
      <c r="KCC190" s="1181"/>
      <c r="KCD190" s="1181"/>
      <c r="KCE190" s="1181"/>
      <c r="KCF190" s="1181"/>
      <c r="KCG190" s="1181"/>
      <c r="KCH190" s="1181"/>
      <c r="KCI190" s="1181"/>
      <c r="KCJ190" s="1181"/>
      <c r="KCK190" s="1181"/>
      <c r="KCL190" s="1181"/>
      <c r="KCM190" s="1181"/>
      <c r="KCN190" s="1181"/>
      <c r="KCO190" s="1181"/>
      <c r="KCP190" s="1181"/>
      <c r="KCQ190" s="1181"/>
      <c r="KCR190" s="1181"/>
      <c r="KCS190" s="1181"/>
      <c r="KCT190" s="1181"/>
      <c r="KCU190" s="1181"/>
      <c r="KCV190" s="1181"/>
      <c r="KCW190" s="1181"/>
      <c r="KCX190" s="1181"/>
      <c r="KCY190" s="1181"/>
      <c r="KCZ190" s="1181"/>
      <c r="KDA190" s="1181"/>
      <c r="KDB190" s="1181"/>
      <c r="KDC190" s="1181"/>
      <c r="KDD190" s="1181"/>
      <c r="KDE190" s="1181"/>
      <c r="KDF190" s="1181"/>
      <c r="KDG190" s="1181"/>
      <c r="KDH190" s="1181"/>
      <c r="KDI190" s="1181"/>
      <c r="KDJ190" s="1181"/>
      <c r="KDK190" s="1181"/>
      <c r="KDL190" s="1181"/>
      <c r="KDM190" s="1181"/>
      <c r="KDN190" s="1181"/>
      <c r="KDO190" s="1181"/>
      <c r="KDP190" s="1181"/>
      <c r="KDQ190" s="1181"/>
      <c r="KDR190" s="1181"/>
      <c r="KDS190" s="1181"/>
      <c r="KDT190" s="1181"/>
      <c r="KDU190" s="1181"/>
      <c r="KDV190" s="1181"/>
      <c r="KDW190" s="1181"/>
      <c r="KDX190" s="1181"/>
      <c r="KDY190" s="1181"/>
      <c r="KDZ190" s="1181"/>
      <c r="KEA190" s="1181"/>
      <c r="KEB190" s="1181"/>
      <c r="KEC190" s="1181"/>
      <c r="KED190" s="1181"/>
      <c r="KEE190" s="1181"/>
      <c r="KEF190" s="1181"/>
      <c r="KEG190" s="1181"/>
      <c r="KEH190" s="1181"/>
      <c r="KEI190" s="1181"/>
      <c r="KEJ190" s="1181"/>
      <c r="KEK190" s="1181"/>
      <c r="KEL190" s="1181"/>
      <c r="KEM190" s="1181"/>
      <c r="KEN190" s="1181"/>
      <c r="KEO190" s="1181"/>
      <c r="KEP190" s="1181"/>
      <c r="KEQ190" s="1181"/>
      <c r="KER190" s="1181"/>
      <c r="KES190" s="1181"/>
      <c r="KET190" s="1181"/>
      <c r="KEU190" s="1181"/>
      <c r="KEV190" s="1181"/>
      <c r="KEW190" s="1181"/>
      <c r="KEX190" s="1181"/>
      <c r="KEY190" s="1181"/>
      <c r="KEZ190" s="1181"/>
      <c r="KFA190" s="1181"/>
      <c r="KFB190" s="1181"/>
      <c r="KFC190" s="1181"/>
      <c r="KFD190" s="1181"/>
      <c r="KFE190" s="1181"/>
      <c r="KFF190" s="1181"/>
      <c r="KFG190" s="1181"/>
      <c r="KFH190" s="1181"/>
      <c r="KFI190" s="1181"/>
      <c r="KFJ190" s="1181"/>
      <c r="KFK190" s="1181"/>
      <c r="KFL190" s="1181"/>
      <c r="KFM190" s="1181"/>
      <c r="KFN190" s="1181"/>
      <c r="KFO190" s="1181"/>
      <c r="KFP190" s="1181"/>
      <c r="KFQ190" s="1181"/>
      <c r="KFR190" s="1181"/>
      <c r="KFS190" s="1181"/>
      <c r="KFT190" s="1181"/>
      <c r="KFU190" s="1181"/>
      <c r="KFV190" s="1181"/>
      <c r="KFW190" s="1181"/>
      <c r="KFX190" s="1181"/>
      <c r="KFY190" s="1181"/>
      <c r="KFZ190" s="1181"/>
      <c r="KGA190" s="1181"/>
      <c r="KGB190" s="1181"/>
      <c r="KGC190" s="1181"/>
      <c r="KGD190" s="1181"/>
      <c r="KGE190" s="1181"/>
      <c r="KGF190" s="1181"/>
      <c r="KGG190" s="1181"/>
      <c r="KGH190" s="1181"/>
      <c r="KGI190" s="1181"/>
      <c r="KGJ190" s="1181"/>
      <c r="KGK190" s="1181"/>
      <c r="KGL190" s="1181"/>
      <c r="KGM190" s="1181"/>
      <c r="KGN190" s="1181"/>
      <c r="KGO190" s="1181"/>
      <c r="KGP190" s="1181"/>
      <c r="KGQ190" s="1181"/>
      <c r="KGR190" s="1181"/>
      <c r="KGS190" s="1181"/>
      <c r="KGT190" s="1181"/>
      <c r="KGU190" s="1181"/>
      <c r="KGV190" s="1181"/>
      <c r="KGW190" s="1181"/>
      <c r="KGX190" s="1181"/>
      <c r="KGY190" s="1181"/>
      <c r="KGZ190" s="1181"/>
      <c r="KHA190" s="1181"/>
      <c r="KHB190" s="1181"/>
      <c r="KHC190" s="1181"/>
      <c r="KHD190" s="1181"/>
      <c r="KHE190" s="1181"/>
      <c r="KHF190" s="1181"/>
      <c r="KHG190" s="1181"/>
      <c r="KHH190" s="1181"/>
      <c r="KHI190" s="1181"/>
      <c r="KHJ190" s="1181"/>
      <c r="KHK190" s="1181"/>
      <c r="KHL190" s="1181"/>
      <c r="KHM190" s="1181"/>
      <c r="KHN190" s="1181"/>
      <c r="KHO190" s="1181"/>
      <c r="KHP190" s="1181"/>
      <c r="KHQ190" s="1181"/>
      <c r="KHR190" s="1181"/>
      <c r="KHS190" s="1181"/>
      <c r="KHT190" s="1181"/>
      <c r="KHU190" s="1181"/>
      <c r="KHV190" s="1181"/>
      <c r="KHW190" s="1181"/>
      <c r="KHX190" s="1181"/>
      <c r="KHY190" s="1181"/>
      <c r="KHZ190" s="1181"/>
      <c r="KIA190" s="1181"/>
      <c r="KIB190" s="1181"/>
      <c r="KIC190" s="1181"/>
      <c r="KID190" s="1181"/>
      <c r="KIE190" s="1181"/>
      <c r="KIF190" s="1181"/>
      <c r="KIG190" s="1181"/>
      <c r="KIH190" s="1181"/>
      <c r="KII190" s="1181"/>
      <c r="KIJ190" s="1181"/>
      <c r="KIK190" s="1181"/>
      <c r="KIL190" s="1181"/>
      <c r="KIM190" s="1181"/>
      <c r="KIN190" s="1181"/>
      <c r="KIO190" s="1181"/>
      <c r="KIP190" s="1181"/>
      <c r="KIQ190" s="1181"/>
      <c r="KIR190" s="1181"/>
      <c r="KIS190" s="1181"/>
      <c r="KIT190" s="1181"/>
      <c r="KIU190" s="1181"/>
      <c r="KIV190" s="1181"/>
      <c r="KIW190" s="1181"/>
      <c r="KIX190" s="1181"/>
      <c r="KIY190" s="1181"/>
      <c r="KIZ190" s="1181"/>
      <c r="KJA190" s="1181"/>
      <c r="KJB190" s="1181"/>
      <c r="KJC190" s="1181"/>
      <c r="KJD190" s="1181"/>
      <c r="KJE190" s="1181"/>
      <c r="KJF190" s="1181"/>
      <c r="KJG190" s="1181"/>
      <c r="KJH190" s="1181"/>
      <c r="KJI190" s="1181"/>
      <c r="KJJ190" s="1181"/>
      <c r="KJK190" s="1181"/>
      <c r="KJL190" s="1181"/>
      <c r="KJM190" s="1181"/>
      <c r="KJN190" s="1181"/>
      <c r="KJO190" s="1181"/>
      <c r="KJP190" s="1181"/>
      <c r="KJQ190" s="1181"/>
      <c r="KJR190" s="1181"/>
      <c r="KJS190" s="1181"/>
      <c r="KJT190" s="1181"/>
      <c r="KJU190" s="1181"/>
      <c r="KJV190" s="1181"/>
      <c r="KJW190" s="1181"/>
      <c r="KJX190" s="1181"/>
      <c r="KJY190" s="1181"/>
      <c r="KJZ190" s="1181"/>
      <c r="KKA190" s="1181"/>
      <c r="KKB190" s="1181"/>
      <c r="KKC190" s="1181"/>
      <c r="KKD190" s="1181"/>
      <c r="KKE190" s="1181"/>
      <c r="KKF190" s="1181"/>
      <c r="KKG190" s="1181"/>
      <c r="KKH190" s="1181"/>
      <c r="KKI190" s="1181"/>
      <c r="KKJ190" s="1181"/>
      <c r="KKK190" s="1181"/>
      <c r="KKL190" s="1181"/>
      <c r="KKM190" s="1181"/>
      <c r="KKN190" s="1181"/>
      <c r="KKO190" s="1181"/>
      <c r="KKP190" s="1181"/>
      <c r="KKQ190" s="1181"/>
      <c r="KKR190" s="1181"/>
      <c r="KKS190" s="1181"/>
      <c r="KKT190" s="1181"/>
      <c r="KKU190" s="1181"/>
      <c r="KKV190" s="1181"/>
      <c r="KKW190" s="1181"/>
      <c r="KKX190" s="1181"/>
      <c r="KKY190" s="1181"/>
      <c r="KKZ190" s="1181"/>
      <c r="KLA190" s="1181"/>
      <c r="KLB190" s="1181"/>
      <c r="KLC190" s="1181"/>
      <c r="KLD190" s="1181"/>
      <c r="KLE190" s="1181"/>
      <c r="KLF190" s="1181"/>
      <c r="KLG190" s="1181"/>
      <c r="KLH190" s="1181"/>
      <c r="KLI190" s="1181"/>
      <c r="KLJ190" s="1181"/>
      <c r="KLK190" s="1181"/>
      <c r="KLL190" s="1181"/>
      <c r="KLM190" s="1181"/>
      <c r="KLN190" s="1181"/>
      <c r="KLO190" s="1181"/>
      <c r="KLP190" s="1181"/>
      <c r="KLQ190" s="1181"/>
      <c r="KLR190" s="1181"/>
      <c r="KLS190" s="1181"/>
      <c r="KLT190" s="1181"/>
      <c r="KLU190" s="1181"/>
      <c r="KLV190" s="1181"/>
      <c r="KLW190" s="1181"/>
      <c r="KLX190" s="1181"/>
      <c r="KLY190" s="1181"/>
      <c r="KLZ190" s="1181"/>
      <c r="KMA190" s="1181"/>
      <c r="KMB190" s="1181"/>
      <c r="KMC190" s="1181"/>
      <c r="KMD190" s="1181"/>
      <c r="KME190" s="1181"/>
      <c r="KMF190" s="1181"/>
      <c r="KMG190" s="1181"/>
      <c r="KMH190" s="1181"/>
      <c r="KMI190" s="1181"/>
      <c r="KMJ190" s="1181"/>
      <c r="KMK190" s="1181"/>
      <c r="KML190" s="1181"/>
      <c r="KMM190" s="1181"/>
      <c r="KMN190" s="1181"/>
      <c r="KMO190" s="1181"/>
      <c r="KMP190" s="1181"/>
      <c r="KMQ190" s="1181"/>
      <c r="KMR190" s="1181"/>
      <c r="KMS190" s="1181"/>
      <c r="KMT190" s="1181"/>
      <c r="KMU190" s="1181"/>
      <c r="KMV190" s="1181"/>
      <c r="KMW190" s="1181"/>
      <c r="KMX190" s="1181"/>
      <c r="KMY190" s="1181"/>
      <c r="KMZ190" s="1181"/>
      <c r="KNA190" s="1181"/>
      <c r="KNB190" s="1181"/>
      <c r="KNC190" s="1181"/>
      <c r="KND190" s="1181"/>
      <c r="KNE190" s="1181"/>
      <c r="KNF190" s="1181"/>
      <c r="KNG190" s="1181"/>
      <c r="KNH190" s="1181"/>
      <c r="KNI190" s="1181"/>
      <c r="KNJ190" s="1181"/>
      <c r="KNK190" s="1181"/>
      <c r="KNL190" s="1181"/>
      <c r="KNM190" s="1181"/>
      <c r="KNN190" s="1181"/>
      <c r="KNO190" s="1181"/>
      <c r="KNP190" s="1181"/>
      <c r="KNQ190" s="1181"/>
      <c r="KNR190" s="1181"/>
      <c r="KNS190" s="1181"/>
      <c r="KNT190" s="1181"/>
      <c r="KNU190" s="1181"/>
      <c r="KNV190" s="1181"/>
      <c r="KNW190" s="1181"/>
      <c r="KNX190" s="1181"/>
      <c r="KNY190" s="1181"/>
      <c r="KNZ190" s="1181"/>
      <c r="KOA190" s="1181"/>
      <c r="KOB190" s="1181"/>
      <c r="KOC190" s="1181"/>
      <c r="KOD190" s="1181"/>
      <c r="KOE190" s="1181"/>
      <c r="KOF190" s="1181"/>
      <c r="KOG190" s="1181"/>
      <c r="KOH190" s="1181"/>
      <c r="KOI190" s="1181"/>
      <c r="KOJ190" s="1181"/>
      <c r="KOK190" s="1181"/>
      <c r="KOL190" s="1181"/>
      <c r="KOM190" s="1181"/>
      <c r="KON190" s="1181"/>
      <c r="KOO190" s="1181"/>
      <c r="KOP190" s="1181"/>
      <c r="KOQ190" s="1181"/>
      <c r="KOR190" s="1181"/>
      <c r="KOS190" s="1181"/>
      <c r="KOT190" s="1181"/>
      <c r="KOU190" s="1181"/>
      <c r="KOV190" s="1181"/>
      <c r="KOW190" s="1181"/>
      <c r="KOX190" s="1181"/>
      <c r="KOY190" s="1181"/>
      <c r="KOZ190" s="1181"/>
      <c r="KPA190" s="1181"/>
      <c r="KPB190" s="1181"/>
      <c r="KPC190" s="1181"/>
      <c r="KPD190" s="1181"/>
      <c r="KPE190" s="1181"/>
      <c r="KPF190" s="1181"/>
      <c r="KPG190" s="1181"/>
      <c r="KPH190" s="1181"/>
      <c r="KPI190" s="1181"/>
      <c r="KPJ190" s="1181"/>
      <c r="KPK190" s="1181"/>
      <c r="KPL190" s="1181"/>
      <c r="KPM190" s="1181"/>
      <c r="KPN190" s="1181"/>
      <c r="KPO190" s="1181"/>
      <c r="KPP190" s="1181"/>
      <c r="KPQ190" s="1181"/>
      <c r="KPR190" s="1181"/>
      <c r="KPS190" s="1181"/>
      <c r="KPT190" s="1181"/>
      <c r="KPU190" s="1181"/>
      <c r="KPV190" s="1181"/>
      <c r="KPW190" s="1181"/>
      <c r="KPX190" s="1181"/>
      <c r="KPY190" s="1181"/>
      <c r="KPZ190" s="1181"/>
      <c r="KQA190" s="1181"/>
      <c r="KQB190" s="1181"/>
      <c r="KQC190" s="1181"/>
      <c r="KQD190" s="1181"/>
      <c r="KQE190" s="1181"/>
      <c r="KQF190" s="1181"/>
      <c r="KQG190" s="1181"/>
      <c r="KQH190" s="1181"/>
      <c r="KQI190" s="1181"/>
      <c r="KQJ190" s="1181"/>
      <c r="KQK190" s="1181"/>
      <c r="KQL190" s="1181"/>
      <c r="KQM190" s="1181"/>
      <c r="KQN190" s="1181"/>
      <c r="KQO190" s="1181"/>
      <c r="KQP190" s="1181"/>
      <c r="KQQ190" s="1181"/>
      <c r="KQR190" s="1181"/>
      <c r="KQS190" s="1181"/>
      <c r="KQT190" s="1181"/>
      <c r="KQU190" s="1181"/>
      <c r="KQV190" s="1181"/>
      <c r="KQW190" s="1181"/>
      <c r="KQX190" s="1181"/>
      <c r="KQY190" s="1181"/>
      <c r="KQZ190" s="1181"/>
      <c r="KRA190" s="1181"/>
      <c r="KRB190" s="1181"/>
      <c r="KRC190" s="1181"/>
      <c r="KRD190" s="1181"/>
      <c r="KRE190" s="1181"/>
      <c r="KRF190" s="1181"/>
      <c r="KRG190" s="1181"/>
      <c r="KRH190" s="1181"/>
      <c r="KRI190" s="1181"/>
      <c r="KRJ190" s="1181"/>
      <c r="KRK190" s="1181"/>
      <c r="KRL190" s="1181"/>
      <c r="KRM190" s="1181"/>
      <c r="KRN190" s="1181"/>
      <c r="KRO190" s="1181"/>
      <c r="KRP190" s="1181"/>
      <c r="KRQ190" s="1181"/>
      <c r="KRR190" s="1181"/>
      <c r="KRS190" s="1181"/>
      <c r="KRT190" s="1181"/>
      <c r="KRU190" s="1181"/>
      <c r="KRV190" s="1181"/>
      <c r="KRW190" s="1181"/>
      <c r="KRX190" s="1181"/>
      <c r="KRY190" s="1181"/>
      <c r="KRZ190" s="1181"/>
      <c r="KSA190" s="1181"/>
      <c r="KSB190" s="1181"/>
      <c r="KSC190" s="1181"/>
      <c r="KSD190" s="1181"/>
      <c r="KSE190" s="1181"/>
      <c r="KSF190" s="1181"/>
      <c r="KSG190" s="1181"/>
      <c r="KSH190" s="1181"/>
      <c r="KSI190" s="1181"/>
      <c r="KSJ190" s="1181"/>
      <c r="KSK190" s="1181"/>
      <c r="KSL190" s="1181"/>
      <c r="KSM190" s="1181"/>
      <c r="KSN190" s="1181"/>
      <c r="KSO190" s="1181"/>
      <c r="KSP190" s="1181"/>
      <c r="KSQ190" s="1181"/>
      <c r="KSR190" s="1181"/>
      <c r="KSS190" s="1181"/>
      <c r="KST190" s="1181"/>
      <c r="KSU190" s="1181"/>
      <c r="KSV190" s="1181"/>
      <c r="KSW190" s="1181"/>
      <c r="KSX190" s="1181"/>
      <c r="KSY190" s="1181"/>
      <c r="KSZ190" s="1181"/>
      <c r="KTA190" s="1181"/>
      <c r="KTB190" s="1181"/>
      <c r="KTC190" s="1181"/>
      <c r="KTD190" s="1181"/>
      <c r="KTE190" s="1181"/>
      <c r="KTF190" s="1181"/>
      <c r="KTG190" s="1181"/>
      <c r="KTH190" s="1181"/>
      <c r="KTI190" s="1181"/>
      <c r="KTJ190" s="1181"/>
      <c r="KTK190" s="1181"/>
      <c r="KTL190" s="1181"/>
      <c r="KTM190" s="1181"/>
      <c r="KTN190" s="1181"/>
      <c r="KTO190" s="1181"/>
      <c r="KTP190" s="1181"/>
      <c r="KTQ190" s="1181"/>
      <c r="KTR190" s="1181"/>
      <c r="KTS190" s="1181"/>
      <c r="KTT190" s="1181"/>
      <c r="KTU190" s="1181"/>
      <c r="KTV190" s="1181"/>
      <c r="KTW190" s="1181"/>
      <c r="KTX190" s="1181"/>
      <c r="KTY190" s="1181"/>
      <c r="KTZ190" s="1181"/>
      <c r="KUA190" s="1181"/>
      <c r="KUB190" s="1181"/>
      <c r="KUC190" s="1181"/>
      <c r="KUD190" s="1181"/>
      <c r="KUE190" s="1181"/>
      <c r="KUF190" s="1181"/>
      <c r="KUG190" s="1181"/>
      <c r="KUH190" s="1181"/>
      <c r="KUI190" s="1181"/>
      <c r="KUJ190" s="1181"/>
      <c r="KUK190" s="1181"/>
      <c r="KUL190" s="1181"/>
      <c r="KUM190" s="1181"/>
      <c r="KUN190" s="1181"/>
      <c r="KUO190" s="1181"/>
      <c r="KUP190" s="1181"/>
      <c r="KUQ190" s="1181"/>
      <c r="KUR190" s="1181"/>
      <c r="KUS190" s="1181"/>
      <c r="KUT190" s="1181"/>
      <c r="KUU190" s="1181"/>
      <c r="KUV190" s="1181"/>
      <c r="KUW190" s="1181"/>
      <c r="KUX190" s="1181"/>
      <c r="KUY190" s="1181"/>
      <c r="KUZ190" s="1181"/>
      <c r="KVA190" s="1181"/>
      <c r="KVB190" s="1181"/>
      <c r="KVC190" s="1181"/>
      <c r="KVD190" s="1181"/>
      <c r="KVE190" s="1181"/>
      <c r="KVF190" s="1181"/>
      <c r="KVG190" s="1181"/>
      <c r="KVH190" s="1181"/>
      <c r="KVI190" s="1181"/>
      <c r="KVJ190" s="1181"/>
      <c r="KVK190" s="1181"/>
      <c r="KVL190" s="1181"/>
      <c r="KVM190" s="1181"/>
      <c r="KVN190" s="1181"/>
      <c r="KVO190" s="1181"/>
      <c r="KVP190" s="1181"/>
      <c r="KVQ190" s="1181"/>
      <c r="KVR190" s="1181"/>
      <c r="KVS190" s="1181"/>
      <c r="KVT190" s="1181"/>
      <c r="KVU190" s="1181"/>
      <c r="KVV190" s="1181"/>
      <c r="KVW190" s="1181"/>
      <c r="KVX190" s="1181"/>
      <c r="KVY190" s="1181"/>
      <c r="KVZ190" s="1181"/>
      <c r="KWA190" s="1181"/>
      <c r="KWB190" s="1181"/>
      <c r="KWC190" s="1181"/>
      <c r="KWD190" s="1181"/>
      <c r="KWE190" s="1181"/>
      <c r="KWF190" s="1181"/>
      <c r="KWG190" s="1181"/>
      <c r="KWH190" s="1181"/>
      <c r="KWI190" s="1181"/>
      <c r="KWJ190" s="1181"/>
      <c r="KWK190" s="1181"/>
      <c r="KWL190" s="1181"/>
      <c r="KWM190" s="1181"/>
      <c r="KWN190" s="1181"/>
      <c r="KWO190" s="1181"/>
      <c r="KWP190" s="1181"/>
      <c r="KWQ190" s="1181"/>
      <c r="KWR190" s="1181"/>
      <c r="KWS190" s="1181"/>
      <c r="KWT190" s="1181"/>
      <c r="KWU190" s="1181"/>
      <c r="KWV190" s="1181"/>
      <c r="KWW190" s="1181"/>
      <c r="KWX190" s="1181"/>
      <c r="KWY190" s="1181"/>
      <c r="KWZ190" s="1181"/>
      <c r="KXA190" s="1181"/>
      <c r="KXB190" s="1181"/>
      <c r="KXC190" s="1181"/>
      <c r="KXD190" s="1181"/>
      <c r="KXE190" s="1181"/>
      <c r="KXF190" s="1181"/>
      <c r="KXG190" s="1181"/>
      <c r="KXH190" s="1181"/>
      <c r="KXI190" s="1181"/>
      <c r="KXJ190" s="1181"/>
      <c r="KXK190" s="1181"/>
      <c r="KXL190" s="1181"/>
      <c r="KXM190" s="1181"/>
      <c r="KXN190" s="1181"/>
      <c r="KXO190" s="1181"/>
      <c r="KXP190" s="1181"/>
      <c r="KXQ190" s="1181"/>
      <c r="KXR190" s="1181"/>
      <c r="KXS190" s="1181"/>
      <c r="KXT190" s="1181"/>
      <c r="KXU190" s="1181"/>
      <c r="KXV190" s="1181"/>
      <c r="KXW190" s="1181"/>
      <c r="KXX190" s="1181"/>
      <c r="KXY190" s="1181"/>
      <c r="KXZ190" s="1181"/>
      <c r="KYA190" s="1181"/>
      <c r="KYB190" s="1181"/>
      <c r="KYC190" s="1181"/>
      <c r="KYD190" s="1181"/>
      <c r="KYE190" s="1181"/>
      <c r="KYF190" s="1181"/>
      <c r="KYG190" s="1181"/>
      <c r="KYH190" s="1181"/>
      <c r="KYI190" s="1181"/>
      <c r="KYJ190" s="1181"/>
      <c r="KYK190" s="1181"/>
      <c r="KYL190" s="1181"/>
      <c r="KYM190" s="1181"/>
      <c r="KYN190" s="1181"/>
      <c r="KYO190" s="1181"/>
      <c r="KYP190" s="1181"/>
      <c r="KYQ190" s="1181"/>
      <c r="KYR190" s="1181"/>
      <c r="KYS190" s="1181"/>
      <c r="KYT190" s="1181"/>
      <c r="KYU190" s="1181"/>
      <c r="KYV190" s="1181"/>
      <c r="KYW190" s="1181"/>
      <c r="KYX190" s="1181"/>
      <c r="KYY190" s="1181"/>
      <c r="KYZ190" s="1181"/>
      <c r="KZA190" s="1181"/>
      <c r="KZB190" s="1181"/>
      <c r="KZC190" s="1181"/>
      <c r="KZD190" s="1181"/>
      <c r="KZE190" s="1181"/>
      <c r="KZF190" s="1181"/>
      <c r="KZG190" s="1181"/>
      <c r="KZH190" s="1181"/>
      <c r="KZI190" s="1181"/>
      <c r="KZJ190" s="1181"/>
      <c r="KZK190" s="1181"/>
      <c r="KZL190" s="1181"/>
      <c r="KZM190" s="1181"/>
      <c r="KZN190" s="1181"/>
      <c r="KZO190" s="1181"/>
      <c r="KZP190" s="1181"/>
      <c r="KZQ190" s="1181"/>
      <c r="KZR190" s="1181"/>
      <c r="KZS190" s="1181"/>
      <c r="KZT190" s="1181"/>
      <c r="KZU190" s="1181"/>
      <c r="KZV190" s="1181"/>
      <c r="KZW190" s="1181"/>
      <c r="KZX190" s="1181"/>
      <c r="KZY190" s="1181"/>
      <c r="KZZ190" s="1181"/>
      <c r="LAA190" s="1181"/>
      <c r="LAB190" s="1181"/>
      <c r="LAC190" s="1181"/>
      <c r="LAD190" s="1181"/>
      <c r="LAE190" s="1181"/>
      <c r="LAF190" s="1181"/>
      <c r="LAG190" s="1181"/>
      <c r="LAH190" s="1181"/>
      <c r="LAI190" s="1181"/>
      <c r="LAJ190" s="1181"/>
      <c r="LAK190" s="1181"/>
      <c r="LAL190" s="1181"/>
      <c r="LAM190" s="1181"/>
      <c r="LAN190" s="1181"/>
      <c r="LAO190" s="1181"/>
      <c r="LAP190" s="1181"/>
      <c r="LAQ190" s="1181"/>
      <c r="LAR190" s="1181"/>
      <c r="LAS190" s="1181"/>
      <c r="LAT190" s="1181"/>
      <c r="LAU190" s="1181"/>
      <c r="LAV190" s="1181"/>
      <c r="LAW190" s="1181"/>
      <c r="LAX190" s="1181"/>
      <c r="LAY190" s="1181"/>
      <c r="LAZ190" s="1181"/>
      <c r="LBA190" s="1181"/>
      <c r="LBB190" s="1181"/>
      <c r="LBC190" s="1181"/>
      <c r="LBD190" s="1181"/>
      <c r="LBE190" s="1181"/>
      <c r="LBF190" s="1181"/>
      <c r="LBG190" s="1181"/>
      <c r="LBH190" s="1181"/>
      <c r="LBI190" s="1181"/>
      <c r="LBJ190" s="1181"/>
      <c r="LBK190" s="1181"/>
      <c r="LBL190" s="1181"/>
      <c r="LBM190" s="1181"/>
      <c r="LBN190" s="1181"/>
      <c r="LBO190" s="1181"/>
      <c r="LBP190" s="1181"/>
      <c r="LBQ190" s="1181"/>
      <c r="LBR190" s="1181"/>
      <c r="LBS190" s="1181"/>
      <c r="LBT190" s="1181"/>
      <c r="LBU190" s="1181"/>
      <c r="LBV190" s="1181"/>
      <c r="LBW190" s="1181"/>
      <c r="LBX190" s="1181"/>
      <c r="LBY190" s="1181"/>
      <c r="LBZ190" s="1181"/>
      <c r="LCA190" s="1181"/>
      <c r="LCB190" s="1181"/>
      <c r="LCC190" s="1181"/>
      <c r="LCD190" s="1181"/>
      <c r="LCE190" s="1181"/>
      <c r="LCF190" s="1181"/>
      <c r="LCG190" s="1181"/>
      <c r="LCH190" s="1181"/>
      <c r="LCI190" s="1181"/>
      <c r="LCJ190" s="1181"/>
      <c r="LCK190" s="1181"/>
      <c r="LCL190" s="1181"/>
      <c r="LCM190" s="1181"/>
      <c r="LCN190" s="1181"/>
      <c r="LCO190" s="1181"/>
      <c r="LCP190" s="1181"/>
      <c r="LCQ190" s="1181"/>
      <c r="LCR190" s="1181"/>
      <c r="LCS190" s="1181"/>
      <c r="LCT190" s="1181"/>
      <c r="LCU190" s="1181"/>
      <c r="LCV190" s="1181"/>
      <c r="LCW190" s="1181"/>
      <c r="LCX190" s="1181"/>
      <c r="LCY190" s="1181"/>
      <c r="LCZ190" s="1181"/>
      <c r="LDA190" s="1181"/>
      <c r="LDB190" s="1181"/>
      <c r="LDC190" s="1181"/>
      <c r="LDD190" s="1181"/>
      <c r="LDE190" s="1181"/>
      <c r="LDF190" s="1181"/>
      <c r="LDG190" s="1181"/>
      <c r="LDH190" s="1181"/>
      <c r="LDI190" s="1181"/>
      <c r="LDJ190" s="1181"/>
      <c r="LDK190" s="1181"/>
      <c r="LDL190" s="1181"/>
      <c r="LDM190" s="1181"/>
      <c r="LDN190" s="1181"/>
      <c r="LDO190" s="1181"/>
      <c r="LDP190" s="1181"/>
      <c r="LDQ190" s="1181"/>
      <c r="LDR190" s="1181"/>
      <c r="LDS190" s="1181"/>
      <c r="LDT190" s="1181"/>
      <c r="LDU190" s="1181"/>
      <c r="LDV190" s="1181"/>
      <c r="LDW190" s="1181"/>
      <c r="LDX190" s="1181"/>
      <c r="LDY190" s="1181"/>
      <c r="LDZ190" s="1181"/>
      <c r="LEA190" s="1181"/>
      <c r="LEB190" s="1181"/>
      <c r="LEC190" s="1181"/>
      <c r="LED190" s="1181"/>
      <c r="LEE190" s="1181"/>
      <c r="LEF190" s="1181"/>
      <c r="LEG190" s="1181"/>
      <c r="LEH190" s="1181"/>
      <c r="LEI190" s="1181"/>
      <c r="LEJ190" s="1181"/>
      <c r="LEK190" s="1181"/>
      <c r="LEL190" s="1181"/>
      <c r="LEM190" s="1181"/>
      <c r="LEN190" s="1181"/>
      <c r="LEO190" s="1181"/>
      <c r="LEP190" s="1181"/>
      <c r="LEQ190" s="1181"/>
      <c r="LER190" s="1181"/>
      <c r="LES190" s="1181"/>
      <c r="LET190" s="1181"/>
      <c r="LEU190" s="1181"/>
      <c r="LEV190" s="1181"/>
      <c r="LEW190" s="1181"/>
      <c r="LEX190" s="1181"/>
      <c r="LEY190" s="1181"/>
      <c r="LEZ190" s="1181"/>
      <c r="LFA190" s="1181"/>
      <c r="LFB190" s="1181"/>
      <c r="LFC190" s="1181"/>
      <c r="LFD190" s="1181"/>
      <c r="LFE190" s="1181"/>
      <c r="LFF190" s="1181"/>
      <c r="LFG190" s="1181"/>
      <c r="LFH190" s="1181"/>
      <c r="LFI190" s="1181"/>
      <c r="LFJ190" s="1181"/>
      <c r="LFK190" s="1181"/>
      <c r="LFL190" s="1181"/>
      <c r="LFM190" s="1181"/>
      <c r="LFN190" s="1181"/>
      <c r="LFO190" s="1181"/>
      <c r="LFP190" s="1181"/>
      <c r="LFQ190" s="1181"/>
      <c r="LFR190" s="1181"/>
      <c r="LFS190" s="1181"/>
      <c r="LFT190" s="1181"/>
      <c r="LFU190" s="1181"/>
      <c r="LFV190" s="1181"/>
      <c r="LFW190" s="1181"/>
      <c r="LFX190" s="1181"/>
      <c r="LFY190" s="1181"/>
      <c r="LFZ190" s="1181"/>
      <c r="LGA190" s="1181"/>
      <c r="LGB190" s="1181"/>
      <c r="LGC190" s="1181"/>
      <c r="LGD190" s="1181"/>
      <c r="LGE190" s="1181"/>
      <c r="LGF190" s="1181"/>
      <c r="LGG190" s="1181"/>
      <c r="LGH190" s="1181"/>
      <c r="LGI190" s="1181"/>
      <c r="LGJ190" s="1181"/>
      <c r="LGK190" s="1181"/>
      <c r="LGL190" s="1181"/>
      <c r="LGM190" s="1181"/>
      <c r="LGN190" s="1181"/>
      <c r="LGO190" s="1181"/>
      <c r="LGP190" s="1181"/>
      <c r="LGQ190" s="1181"/>
      <c r="LGR190" s="1181"/>
      <c r="LGS190" s="1181"/>
      <c r="LGT190" s="1181"/>
      <c r="LGU190" s="1181"/>
      <c r="LGV190" s="1181"/>
      <c r="LGW190" s="1181"/>
      <c r="LGX190" s="1181"/>
      <c r="LGY190" s="1181"/>
      <c r="LGZ190" s="1181"/>
      <c r="LHA190" s="1181"/>
      <c r="LHB190" s="1181"/>
      <c r="LHC190" s="1181"/>
      <c r="LHD190" s="1181"/>
      <c r="LHE190" s="1181"/>
      <c r="LHF190" s="1181"/>
      <c r="LHG190" s="1181"/>
      <c r="LHH190" s="1181"/>
      <c r="LHI190" s="1181"/>
      <c r="LHJ190" s="1181"/>
      <c r="LHK190" s="1181"/>
      <c r="LHL190" s="1181"/>
      <c r="LHM190" s="1181"/>
      <c r="LHN190" s="1181"/>
      <c r="LHO190" s="1181"/>
      <c r="LHP190" s="1181"/>
      <c r="LHQ190" s="1181"/>
      <c r="LHR190" s="1181"/>
      <c r="LHS190" s="1181"/>
      <c r="LHT190" s="1181"/>
      <c r="LHU190" s="1181"/>
      <c r="LHV190" s="1181"/>
      <c r="LHW190" s="1181"/>
      <c r="LHX190" s="1181"/>
      <c r="LHY190" s="1181"/>
      <c r="LHZ190" s="1181"/>
      <c r="LIA190" s="1181"/>
      <c r="LIB190" s="1181"/>
      <c r="LIC190" s="1181"/>
      <c r="LID190" s="1181"/>
      <c r="LIE190" s="1181"/>
      <c r="LIF190" s="1181"/>
      <c r="LIG190" s="1181"/>
      <c r="LIH190" s="1181"/>
      <c r="LII190" s="1181"/>
      <c r="LIJ190" s="1181"/>
      <c r="LIK190" s="1181"/>
      <c r="LIL190" s="1181"/>
      <c r="LIM190" s="1181"/>
      <c r="LIN190" s="1181"/>
      <c r="LIO190" s="1181"/>
      <c r="LIP190" s="1181"/>
      <c r="LIQ190" s="1181"/>
      <c r="LIR190" s="1181"/>
      <c r="LIS190" s="1181"/>
      <c r="LIT190" s="1181"/>
      <c r="LIU190" s="1181"/>
      <c r="LIV190" s="1181"/>
      <c r="LIW190" s="1181"/>
      <c r="LIX190" s="1181"/>
      <c r="LIY190" s="1181"/>
      <c r="LIZ190" s="1181"/>
      <c r="LJA190" s="1181"/>
      <c r="LJB190" s="1181"/>
      <c r="LJC190" s="1181"/>
      <c r="LJD190" s="1181"/>
      <c r="LJE190" s="1181"/>
      <c r="LJF190" s="1181"/>
      <c r="LJG190" s="1181"/>
      <c r="LJH190" s="1181"/>
      <c r="LJI190" s="1181"/>
      <c r="LJJ190" s="1181"/>
      <c r="LJK190" s="1181"/>
      <c r="LJL190" s="1181"/>
      <c r="LJM190" s="1181"/>
      <c r="LJN190" s="1181"/>
      <c r="LJO190" s="1181"/>
      <c r="LJP190" s="1181"/>
      <c r="LJQ190" s="1181"/>
      <c r="LJR190" s="1181"/>
      <c r="LJS190" s="1181"/>
      <c r="LJT190" s="1181"/>
      <c r="LJU190" s="1181"/>
      <c r="LJV190" s="1181"/>
      <c r="LJW190" s="1181"/>
      <c r="LJX190" s="1181"/>
      <c r="LJY190" s="1181"/>
      <c r="LJZ190" s="1181"/>
      <c r="LKA190" s="1181"/>
      <c r="LKB190" s="1181"/>
      <c r="LKC190" s="1181"/>
      <c r="LKD190" s="1181"/>
      <c r="LKE190" s="1181"/>
      <c r="LKF190" s="1181"/>
      <c r="LKG190" s="1181"/>
      <c r="LKH190" s="1181"/>
      <c r="LKI190" s="1181"/>
      <c r="LKJ190" s="1181"/>
      <c r="LKK190" s="1181"/>
      <c r="LKL190" s="1181"/>
      <c r="LKM190" s="1181"/>
      <c r="LKN190" s="1181"/>
      <c r="LKO190" s="1181"/>
      <c r="LKP190" s="1181"/>
      <c r="LKQ190" s="1181"/>
      <c r="LKR190" s="1181"/>
      <c r="LKS190" s="1181"/>
      <c r="LKT190" s="1181"/>
      <c r="LKU190" s="1181"/>
      <c r="LKV190" s="1181"/>
      <c r="LKW190" s="1181"/>
      <c r="LKX190" s="1181"/>
      <c r="LKY190" s="1181"/>
      <c r="LKZ190" s="1181"/>
      <c r="LLA190" s="1181"/>
      <c r="LLB190" s="1181"/>
      <c r="LLC190" s="1181"/>
      <c r="LLD190" s="1181"/>
      <c r="LLE190" s="1181"/>
      <c r="LLF190" s="1181"/>
      <c r="LLG190" s="1181"/>
      <c r="LLH190" s="1181"/>
      <c r="LLI190" s="1181"/>
      <c r="LLJ190" s="1181"/>
      <c r="LLK190" s="1181"/>
      <c r="LLL190" s="1181"/>
      <c r="LLM190" s="1181"/>
      <c r="LLN190" s="1181"/>
      <c r="LLO190" s="1181"/>
      <c r="LLP190" s="1181"/>
      <c r="LLQ190" s="1181"/>
      <c r="LLR190" s="1181"/>
      <c r="LLS190" s="1181"/>
      <c r="LLT190" s="1181"/>
      <c r="LLU190" s="1181"/>
      <c r="LLV190" s="1181"/>
      <c r="LLW190" s="1181"/>
      <c r="LLX190" s="1181"/>
      <c r="LLY190" s="1181"/>
      <c r="LLZ190" s="1181"/>
      <c r="LMA190" s="1181"/>
      <c r="LMB190" s="1181"/>
      <c r="LMC190" s="1181"/>
      <c r="LMD190" s="1181"/>
      <c r="LME190" s="1181"/>
      <c r="LMF190" s="1181"/>
      <c r="LMG190" s="1181"/>
      <c r="LMH190" s="1181"/>
      <c r="LMI190" s="1181"/>
      <c r="LMJ190" s="1181"/>
      <c r="LMK190" s="1181"/>
      <c r="LML190" s="1181"/>
      <c r="LMM190" s="1181"/>
      <c r="LMN190" s="1181"/>
      <c r="LMO190" s="1181"/>
      <c r="LMP190" s="1181"/>
      <c r="LMQ190" s="1181"/>
      <c r="LMR190" s="1181"/>
      <c r="LMS190" s="1181"/>
      <c r="LMT190" s="1181"/>
      <c r="LMU190" s="1181"/>
      <c r="LMV190" s="1181"/>
      <c r="LMW190" s="1181"/>
      <c r="LMX190" s="1181"/>
      <c r="LMY190" s="1181"/>
      <c r="LMZ190" s="1181"/>
      <c r="LNA190" s="1181"/>
      <c r="LNB190" s="1181"/>
      <c r="LNC190" s="1181"/>
      <c r="LND190" s="1181"/>
      <c r="LNE190" s="1181"/>
      <c r="LNF190" s="1181"/>
      <c r="LNG190" s="1181"/>
      <c r="LNH190" s="1181"/>
      <c r="LNI190" s="1181"/>
      <c r="LNJ190" s="1181"/>
      <c r="LNK190" s="1181"/>
      <c r="LNL190" s="1181"/>
      <c r="LNM190" s="1181"/>
      <c r="LNN190" s="1181"/>
      <c r="LNO190" s="1181"/>
      <c r="LNP190" s="1181"/>
      <c r="LNQ190" s="1181"/>
      <c r="LNR190" s="1181"/>
      <c r="LNS190" s="1181"/>
      <c r="LNT190" s="1181"/>
      <c r="LNU190" s="1181"/>
      <c r="LNV190" s="1181"/>
      <c r="LNW190" s="1181"/>
      <c r="LNX190" s="1181"/>
      <c r="LNY190" s="1181"/>
      <c r="LNZ190" s="1181"/>
      <c r="LOA190" s="1181"/>
      <c r="LOB190" s="1181"/>
      <c r="LOC190" s="1181"/>
      <c r="LOD190" s="1181"/>
      <c r="LOE190" s="1181"/>
      <c r="LOF190" s="1181"/>
      <c r="LOG190" s="1181"/>
      <c r="LOH190" s="1181"/>
      <c r="LOI190" s="1181"/>
      <c r="LOJ190" s="1181"/>
      <c r="LOK190" s="1181"/>
      <c r="LOL190" s="1181"/>
      <c r="LOM190" s="1181"/>
      <c r="LON190" s="1181"/>
      <c r="LOO190" s="1181"/>
      <c r="LOP190" s="1181"/>
      <c r="LOQ190" s="1181"/>
      <c r="LOR190" s="1181"/>
      <c r="LOS190" s="1181"/>
      <c r="LOT190" s="1181"/>
      <c r="LOU190" s="1181"/>
      <c r="LOV190" s="1181"/>
      <c r="LOW190" s="1181"/>
      <c r="LOX190" s="1181"/>
      <c r="LOY190" s="1181"/>
      <c r="LOZ190" s="1181"/>
      <c r="LPA190" s="1181"/>
      <c r="LPB190" s="1181"/>
      <c r="LPC190" s="1181"/>
      <c r="LPD190" s="1181"/>
      <c r="LPE190" s="1181"/>
      <c r="LPF190" s="1181"/>
      <c r="LPG190" s="1181"/>
      <c r="LPH190" s="1181"/>
      <c r="LPI190" s="1181"/>
      <c r="LPJ190" s="1181"/>
      <c r="LPK190" s="1181"/>
      <c r="LPL190" s="1181"/>
      <c r="LPM190" s="1181"/>
      <c r="LPN190" s="1181"/>
      <c r="LPO190" s="1181"/>
      <c r="LPP190" s="1181"/>
      <c r="LPQ190" s="1181"/>
      <c r="LPR190" s="1181"/>
      <c r="LPS190" s="1181"/>
      <c r="LPT190" s="1181"/>
      <c r="LPU190" s="1181"/>
      <c r="LPV190" s="1181"/>
      <c r="LPW190" s="1181"/>
      <c r="LPX190" s="1181"/>
      <c r="LPY190" s="1181"/>
      <c r="LPZ190" s="1181"/>
      <c r="LQA190" s="1181"/>
      <c r="LQB190" s="1181"/>
      <c r="LQC190" s="1181"/>
      <c r="LQD190" s="1181"/>
      <c r="LQE190" s="1181"/>
      <c r="LQF190" s="1181"/>
      <c r="LQG190" s="1181"/>
      <c r="LQH190" s="1181"/>
      <c r="LQI190" s="1181"/>
      <c r="LQJ190" s="1181"/>
      <c r="LQK190" s="1181"/>
      <c r="LQL190" s="1181"/>
      <c r="LQM190" s="1181"/>
      <c r="LQN190" s="1181"/>
      <c r="LQO190" s="1181"/>
      <c r="LQP190" s="1181"/>
      <c r="LQQ190" s="1181"/>
      <c r="LQR190" s="1181"/>
      <c r="LQS190" s="1181"/>
      <c r="LQT190" s="1181"/>
      <c r="LQU190" s="1181"/>
      <c r="LQV190" s="1181"/>
      <c r="LQW190" s="1181"/>
      <c r="LQX190" s="1181"/>
      <c r="LQY190" s="1181"/>
      <c r="LQZ190" s="1181"/>
      <c r="LRA190" s="1181"/>
      <c r="LRB190" s="1181"/>
      <c r="LRC190" s="1181"/>
      <c r="LRD190" s="1181"/>
      <c r="LRE190" s="1181"/>
      <c r="LRF190" s="1181"/>
      <c r="LRG190" s="1181"/>
      <c r="LRH190" s="1181"/>
      <c r="LRI190" s="1181"/>
      <c r="LRJ190" s="1181"/>
      <c r="LRK190" s="1181"/>
      <c r="LRL190" s="1181"/>
      <c r="LRM190" s="1181"/>
      <c r="LRN190" s="1181"/>
      <c r="LRO190" s="1181"/>
      <c r="LRP190" s="1181"/>
      <c r="LRQ190" s="1181"/>
      <c r="LRR190" s="1181"/>
      <c r="LRS190" s="1181"/>
      <c r="LRT190" s="1181"/>
      <c r="LRU190" s="1181"/>
      <c r="LRV190" s="1181"/>
      <c r="LRW190" s="1181"/>
      <c r="LRX190" s="1181"/>
      <c r="LRY190" s="1181"/>
      <c r="LRZ190" s="1181"/>
      <c r="LSA190" s="1181"/>
      <c r="LSB190" s="1181"/>
      <c r="LSC190" s="1181"/>
      <c r="LSD190" s="1181"/>
      <c r="LSE190" s="1181"/>
      <c r="LSF190" s="1181"/>
      <c r="LSG190" s="1181"/>
      <c r="LSH190" s="1181"/>
      <c r="LSI190" s="1181"/>
      <c r="LSJ190" s="1181"/>
      <c r="LSK190" s="1181"/>
      <c r="LSL190" s="1181"/>
      <c r="LSM190" s="1181"/>
      <c r="LSN190" s="1181"/>
      <c r="LSO190" s="1181"/>
      <c r="LSP190" s="1181"/>
      <c r="LSQ190" s="1181"/>
      <c r="LSR190" s="1181"/>
      <c r="LSS190" s="1181"/>
      <c r="LST190" s="1181"/>
      <c r="LSU190" s="1181"/>
      <c r="LSV190" s="1181"/>
      <c r="LSW190" s="1181"/>
      <c r="LSX190" s="1181"/>
      <c r="LSY190" s="1181"/>
      <c r="LSZ190" s="1181"/>
      <c r="LTA190" s="1181"/>
      <c r="LTB190" s="1181"/>
      <c r="LTC190" s="1181"/>
      <c r="LTD190" s="1181"/>
      <c r="LTE190" s="1181"/>
      <c r="LTF190" s="1181"/>
      <c r="LTG190" s="1181"/>
      <c r="LTH190" s="1181"/>
      <c r="LTI190" s="1181"/>
      <c r="LTJ190" s="1181"/>
      <c r="LTK190" s="1181"/>
      <c r="LTL190" s="1181"/>
      <c r="LTM190" s="1181"/>
      <c r="LTN190" s="1181"/>
      <c r="LTO190" s="1181"/>
      <c r="LTP190" s="1181"/>
      <c r="LTQ190" s="1181"/>
      <c r="LTR190" s="1181"/>
      <c r="LTS190" s="1181"/>
      <c r="LTT190" s="1181"/>
      <c r="LTU190" s="1181"/>
      <c r="LTV190" s="1181"/>
      <c r="LTW190" s="1181"/>
      <c r="LTX190" s="1181"/>
      <c r="LTY190" s="1181"/>
      <c r="LTZ190" s="1181"/>
      <c r="LUA190" s="1181"/>
      <c r="LUB190" s="1181"/>
      <c r="LUC190" s="1181"/>
      <c r="LUD190" s="1181"/>
      <c r="LUE190" s="1181"/>
      <c r="LUF190" s="1181"/>
      <c r="LUG190" s="1181"/>
      <c r="LUH190" s="1181"/>
      <c r="LUI190" s="1181"/>
      <c r="LUJ190" s="1181"/>
      <c r="LUK190" s="1181"/>
      <c r="LUL190" s="1181"/>
      <c r="LUM190" s="1181"/>
      <c r="LUN190" s="1181"/>
      <c r="LUO190" s="1181"/>
      <c r="LUP190" s="1181"/>
      <c r="LUQ190" s="1181"/>
      <c r="LUR190" s="1181"/>
      <c r="LUS190" s="1181"/>
      <c r="LUT190" s="1181"/>
      <c r="LUU190" s="1181"/>
      <c r="LUV190" s="1181"/>
      <c r="LUW190" s="1181"/>
      <c r="LUX190" s="1181"/>
      <c r="LUY190" s="1181"/>
      <c r="LUZ190" s="1181"/>
      <c r="LVA190" s="1181"/>
      <c r="LVB190" s="1181"/>
      <c r="LVC190" s="1181"/>
      <c r="LVD190" s="1181"/>
      <c r="LVE190" s="1181"/>
      <c r="LVF190" s="1181"/>
      <c r="LVG190" s="1181"/>
      <c r="LVH190" s="1181"/>
      <c r="LVI190" s="1181"/>
      <c r="LVJ190" s="1181"/>
      <c r="LVK190" s="1181"/>
      <c r="LVL190" s="1181"/>
      <c r="LVM190" s="1181"/>
      <c r="LVN190" s="1181"/>
      <c r="LVO190" s="1181"/>
      <c r="LVP190" s="1181"/>
      <c r="LVQ190" s="1181"/>
      <c r="LVR190" s="1181"/>
      <c r="LVS190" s="1181"/>
      <c r="LVT190" s="1181"/>
      <c r="LVU190" s="1181"/>
      <c r="LVV190" s="1181"/>
      <c r="LVW190" s="1181"/>
      <c r="LVX190" s="1181"/>
      <c r="LVY190" s="1181"/>
      <c r="LVZ190" s="1181"/>
      <c r="LWA190" s="1181"/>
      <c r="LWB190" s="1181"/>
      <c r="LWC190" s="1181"/>
      <c r="LWD190" s="1181"/>
      <c r="LWE190" s="1181"/>
      <c r="LWF190" s="1181"/>
      <c r="LWG190" s="1181"/>
      <c r="LWH190" s="1181"/>
      <c r="LWI190" s="1181"/>
      <c r="LWJ190" s="1181"/>
      <c r="LWK190" s="1181"/>
      <c r="LWL190" s="1181"/>
      <c r="LWM190" s="1181"/>
      <c r="LWN190" s="1181"/>
      <c r="LWO190" s="1181"/>
      <c r="LWP190" s="1181"/>
      <c r="LWQ190" s="1181"/>
      <c r="LWR190" s="1181"/>
      <c r="LWS190" s="1181"/>
      <c r="LWT190" s="1181"/>
      <c r="LWU190" s="1181"/>
      <c r="LWV190" s="1181"/>
      <c r="LWW190" s="1181"/>
      <c r="LWX190" s="1181"/>
      <c r="LWY190" s="1181"/>
      <c r="LWZ190" s="1181"/>
      <c r="LXA190" s="1181"/>
      <c r="LXB190" s="1181"/>
      <c r="LXC190" s="1181"/>
      <c r="LXD190" s="1181"/>
      <c r="LXE190" s="1181"/>
      <c r="LXF190" s="1181"/>
      <c r="LXG190" s="1181"/>
      <c r="LXH190" s="1181"/>
      <c r="LXI190" s="1181"/>
      <c r="LXJ190" s="1181"/>
      <c r="LXK190" s="1181"/>
      <c r="LXL190" s="1181"/>
      <c r="LXM190" s="1181"/>
      <c r="LXN190" s="1181"/>
      <c r="LXO190" s="1181"/>
      <c r="LXP190" s="1181"/>
      <c r="LXQ190" s="1181"/>
      <c r="LXR190" s="1181"/>
      <c r="LXS190" s="1181"/>
      <c r="LXT190" s="1181"/>
      <c r="LXU190" s="1181"/>
      <c r="LXV190" s="1181"/>
      <c r="LXW190" s="1181"/>
      <c r="LXX190" s="1181"/>
      <c r="LXY190" s="1181"/>
      <c r="LXZ190" s="1181"/>
      <c r="LYA190" s="1181"/>
      <c r="LYB190" s="1181"/>
      <c r="LYC190" s="1181"/>
      <c r="LYD190" s="1181"/>
      <c r="LYE190" s="1181"/>
      <c r="LYF190" s="1181"/>
      <c r="LYG190" s="1181"/>
      <c r="LYH190" s="1181"/>
      <c r="LYI190" s="1181"/>
      <c r="LYJ190" s="1181"/>
      <c r="LYK190" s="1181"/>
      <c r="LYL190" s="1181"/>
      <c r="LYM190" s="1181"/>
      <c r="LYN190" s="1181"/>
      <c r="LYO190" s="1181"/>
      <c r="LYP190" s="1181"/>
      <c r="LYQ190" s="1181"/>
      <c r="LYR190" s="1181"/>
      <c r="LYS190" s="1181"/>
      <c r="LYT190" s="1181"/>
      <c r="LYU190" s="1181"/>
      <c r="LYV190" s="1181"/>
      <c r="LYW190" s="1181"/>
      <c r="LYX190" s="1181"/>
      <c r="LYY190" s="1181"/>
      <c r="LYZ190" s="1181"/>
      <c r="LZA190" s="1181"/>
      <c r="LZB190" s="1181"/>
      <c r="LZC190" s="1181"/>
      <c r="LZD190" s="1181"/>
      <c r="LZE190" s="1181"/>
      <c r="LZF190" s="1181"/>
      <c r="LZG190" s="1181"/>
      <c r="LZH190" s="1181"/>
      <c r="LZI190" s="1181"/>
      <c r="LZJ190" s="1181"/>
      <c r="LZK190" s="1181"/>
      <c r="LZL190" s="1181"/>
      <c r="LZM190" s="1181"/>
      <c r="LZN190" s="1181"/>
      <c r="LZO190" s="1181"/>
      <c r="LZP190" s="1181"/>
      <c r="LZQ190" s="1181"/>
      <c r="LZR190" s="1181"/>
      <c r="LZS190" s="1181"/>
      <c r="LZT190" s="1181"/>
      <c r="LZU190" s="1181"/>
      <c r="LZV190" s="1181"/>
      <c r="LZW190" s="1181"/>
      <c r="LZX190" s="1181"/>
      <c r="LZY190" s="1181"/>
      <c r="LZZ190" s="1181"/>
      <c r="MAA190" s="1181"/>
      <c r="MAB190" s="1181"/>
      <c r="MAC190" s="1181"/>
      <c r="MAD190" s="1181"/>
      <c r="MAE190" s="1181"/>
      <c r="MAF190" s="1181"/>
      <c r="MAG190" s="1181"/>
      <c r="MAH190" s="1181"/>
      <c r="MAI190" s="1181"/>
      <c r="MAJ190" s="1181"/>
      <c r="MAK190" s="1181"/>
      <c r="MAL190" s="1181"/>
      <c r="MAM190" s="1181"/>
      <c r="MAN190" s="1181"/>
      <c r="MAO190" s="1181"/>
      <c r="MAP190" s="1181"/>
      <c r="MAQ190" s="1181"/>
      <c r="MAR190" s="1181"/>
      <c r="MAS190" s="1181"/>
      <c r="MAT190" s="1181"/>
      <c r="MAU190" s="1181"/>
      <c r="MAV190" s="1181"/>
      <c r="MAW190" s="1181"/>
      <c r="MAX190" s="1181"/>
      <c r="MAY190" s="1181"/>
      <c r="MAZ190" s="1181"/>
      <c r="MBA190" s="1181"/>
      <c r="MBB190" s="1181"/>
      <c r="MBC190" s="1181"/>
      <c r="MBD190" s="1181"/>
      <c r="MBE190" s="1181"/>
      <c r="MBF190" s="1181"/>
      <c r="MBG190" s="1181"/>
      <c r="MBH190" s="1181"/>
      <c r="MBI190" s="1181"/>
      <c r="MBJ190" s="1181"/>
      <c r="MBK190" s="1181"/>
      <c r="MBL190" s="1181"/>
      <c r="MBM190" s="1181"/>
      <c r="MBN190" s="1181"/>
      <c r="MBO190" s="1181"/>
      <c r="MBP190" s="1181"/>
      <c r="MBQ190" s="1181"/>
      <c r="MBR190" s="1181"/>
      <c r="MBS190" s="1181"/>
      <c r="MBT190" s="1181"/>
      <c r="MBU190" s="1181"/>
      <c r="MBV190" s="1181"/>
      <c r="MBW190" s="1181"/>
      <c r="MBX190" s="1181"/>
      <c r="MBY190" s="1181"/>
      <c r="MBZ190" s="1181"/>
      <c r="MCA190" s="1181"/>
      <c r="MCB190" s="1181"/>
      <c r="MCC190" s="1181"/>
      <c r="MCD190" s="1181"/>
      <c r="MCE190" s="1181"/>
      <c r="MCF190" s="1181"/>
      <c r="MCG190" s="1181"/>
      <c r="MCH190" s="1181"/>
      <c r="MCI190" s="1181"/>
      <c r="MCJ190" s="1181"/>
      <c r="MCK190" s="1181"/>
      <c r="MCL190" s="1181"/>
      <c r="MCM190" s="1181"/>
      <c r="MCN190" s="1181"/>
      <c r="MCO190" s="1181"/>
      <c r="MCP190" s="1181"/>
      <c r="MCQ190" s="1181"/>
      <c r="MCR190" s="1181"/>
      <c r="MCS190" s="1181"/>
      <c r="MCT190" s="1181"/>
      <c r="MCU190" s="1181"/>
      <c r="MCV190" s="1181"/>
      <c r="MCW190" s="1181"/>
      <c r="MCX190" s="1181"/>
      <c r="MCY190" s="1181"/>
      <c r="MCZ190" s="1181"/>
      <c r="MDA190" s="1181"/>
      <c r="MDB190" s="1181"/>
      <c r="MDC190" s="1181"/>
      <c r="MDD190" s="1181"/>
      <c r="MDE190" s="1181"/>
      <c r="MDF190" s="1181"/>
      <c r="MDG190" s="1181"/>
      <c r="MDH190" s="1181"/>
      <c r="MDI190" s="1181"/>
      <c r="MDJ190" s="1181"/>
      <c r="MDK190" s="1181"/>
      <c r="MDL190" s="1181"/>
      <c r="MDM190" s="1181"/>
      <c r="MDN190" s="1181"/>
      <c r="MDO190" s="1181"/>
      <c r="MDP190" s="1181"/>
      <c r="MDQ190" s="1181"/>
      <c r="MDR190" s="1181"/>
      <c r="MDS190" s="1181"/>
      <c r="MDT190" s="1181"/>
      <c r="MDU190" s="1181"/>
      <c r="MDV190" s="1181"/>
      <c r="MDW190" s="1181"/>
      <c r="MDX190" s="1181"/>
      <c r="MDY190" s="1181"/>
      <c r="MDZ190" s="1181"/>
      <c r="MEA190" s="1181"/>
      <c r="MEB190" s="1181"/>
      <c r="MEC190" s="1181"/>
      <c r="MED190" s="1181"/>
      <c r="MEE190" s="1181"/>
      <c r="MEF190" s="1181"/>
      <c r="MEG190" s="1181"/>
      <c r="MEH190" s="1181"/>
      <c r="MEI190" s="1181"/>
      <c r="MEJ190" s="1181"/>
      <c r="MEK190" s="1181"/>
      <c r="MEL190" s="1181"/>
      <c r="MEM190" s="1181"/>
      <c r="MEN190" s="1181"/>
      <c r="MEO190" s="1181"/>
      <c r="MEP190" s="1181"/>
      <c r="MEQ190" s="1181"/>
      <c r="MER190" s="1181"/>
      <c r="MES190" s="1181"/>
      <c r="MET190" s="1181"/>
      <c r="MEU190" s="1181"/>
      <c r="MEV190" s="1181"/>
      <c r="MEW190" s="1181"/>
      <c r="MEX190" s="1181"/>
      <c r="MEY190" s="1181"/>
      <c r="MEZ190" s="1181"/>
      <c r="MFA190" s="1181"/>
      <c r="MFB190" s="1181"/>
      <c r="MFC190" s="1181"/>
      <c r="MFD190" s="1181"/>
      <c r="MFE190" s="1181"/>
      <c r="MFF190" s="1181"/>
      <c r="MFG190" s="1181"/>
      <c r="MFH190" s="1181"/>
      <c r="MFI190" s="1181"/>
      <c r="MFJ190" s="1181"/>
      <c r="MFK190" s="1181"/>
      <c r="MFL190" s="1181"/>
      <c r="MFM190" s="1181"/>
      <c r="MFN190" s="1181"/>
      <c r="MFO190" s="1181"/>
      <c r="MFP190" s="1181"/>
      <c r="MFQ190" s="1181"/>
      <c r="MFR190" s="1181"/>
      <c r="MFS190" s="1181"/>
      <c r="MFT190" s="1181"/>
      <c r="MFU190" s="1181"/>
      <c r="MFV190" s="1181"/>
      <c r="MFW190" s="1181"/>
      <c r="MFX190" s="1181"/>
      <c r="MFY190" s="1181"/>
      <c r="MFZ190" s="1181"/>
      <c r="MGA190" s="1181"/>
      <c r="MGB190" s="1181"/>
      <c r="MGC190" s="1181"/>
      <c r="MGD190" s="1181"/>
      <c r="MGE190" s="1181"/>
      <c r="MGF190" s="1181"/>
      <c r="MGG190" s="1181"/>
      <c r="MGH190" s="1181"/>
      <c r="MGI190" s="1181"/>
      <c r="MGJ190" s="1181"/>
      <c r="MGK190" s="1181"/>
      <c r="MGL190" s="1181"/>
      <c r="MGM190" s="1181"/>
      <c r="MGN190" s="1181"/>
      <c r="MGO190" s="1181"/>
      <c r="MGP190" s="1181"/>
      <c r="MGQ190" s="1181"/>
      <c r="MGR190" s="1181"/>
      <c r="MGS190" s="1181"/>
      <c r="MGT190" s="1181"/>
      <c r="MGU190" s="1181"/>
      <c r="MGV190" s="1181"/>
      <c r="MGW190" s="1181"/>
      <c r="MGX190" s="1181"/>
      <c r="MGY190" s="1181"/>
      <c r="MGZ190" s="1181"/>
      <c r="MHA190" s="1181"/>
      <c r="MHB190" s="1181"/>
      <c r="MHC190" s="1181"/>
      <c r="MHD190" s="1181"/>
      <c r="MHE190" s="1181"/>
      <c r="MHF190" s="1181"/>
      <c r="MHG190" s="1181"/>
      <c r="MHH190" s="1181"/>
      <c r="MHI190" s="1181"/>
      <c r="MHJ190" s="1181"/>
      <c r="MHK190" s="1181"/>
      <c r="MHL190" s="1181"/>
      <c r="MHM190" s="1181"/>
      <c r="MHN190" s="1181"/>
      <c r="MHO190" s="1181"/>
      <c r="MHP190" s="1181"/>
      <c r="MHQ190" s="1181"/>
      <c r="MHR190" s="1181"/>
      <c r="MHS190" s="1181"/>
      <c r="MHT190" s="1181"/>
      <c r="MHU190" s="1181"/>
      <c r="MHV190" s="1181"/>
      <c r="MHW190" s="1181"/>
      <c r="MHX190" s="1181"/>
      <c r="MHY190" s="1181"/>
      <c r="MHZ190" s="1181"/>
      <c r="MIA190" s="1181"/>
      <c r="MIB190" s="1181"/>
      <c r="MIC190" s="1181"/>
      <c r="MID190" s="1181"/>
      <c r="MIE190" s="1181"/>
      <c r="MIF190" s="1181"/>
      <c r="MIG190" s="1181"/>
      <c r="MIH190" s="1181"/>
      <c r="MII190" s="1181"/>
      <c r="MIJ190" s="1181"/>
      <c r="MIK190" s="1181"/>
      <c r="MIL190" s="1181"/>
      <c r="MIM190" s="1181"/>
      <c r="MIN190" s="1181"/>
      <c r="MIO190" s="1181"/>
      <c r="MIP190" s="1181"/>
      <c r="MIQ190" s="1181"/>
      <c r="MIR190" s="1181"/>
      <c r="MIS190" s="1181"/>
      <c r="MIT190" s="1181"/>
      <c r="MIU190" s="1181"/>
      <c r="MIV190" s="1181"/>
      <c r="MIW190" s="1181"/>
      <c r="MIX190" s="1181"/>
      <c r="MIY190" s="1181"/>
      <c r="MIZ190" s="1181"/>
      <c r="MJA190" s="1181"/>
      <c r="MJB190" s="1181"/>
      <c r="MJC190" s="1181"/>
      <c r="MJD190" s="1181"/>
      <c r="MJE190" s="1181"/>
      <c r="MJF190" s="1181"/>
      <c r="MJG190" s="1181"/>
      <c r="MJH190" s="1181"/>
      <c r="MJI190" s="1181"/>
      <c r="MJJ190" s="1181"/>
      <c r="MJK190" s="1181"/>
      <c r="MJL190" s="1181"/>
      <c r="MJM190" s="1181"/>
      <c r="MJN190" s="1181"/>
      <c r="MJO190" s="1181"/>
      <c r="MJP190" s="1181"/>
      <c r="MJQ190" s="1181"/>
      <c r="MJR190" s="1181"/>
      <c r="MJS190" s="1181"/>
      <c r="MJT190" s="1181"/>
      <c r="MJU190" s="1181"/>
      <c r="MJV190" s="1181"/>
      <c r="MJW190" s="1181"/>
      <c r="MJX190" s="1181"/>
      <c r="MJY190" s="1181"/>
      <c r="MJZ190" s="1181"/>
      <c r="MKA190" s="1181"/>
      <c r="MKB190" s="1181"/>
      <c r="MKC190" s="1181"/>
      <c r="MKD190" s="1181"/>
      <c r="MKE190" s="1181"/>
      <c r="MKF190" s="1181"/>
      <c r="MKG190" s="1181"/>
      <c r="MKH190" s="1181"/>
      <c r="MKI190" s="1181"/>
      <c r="MKJ190" s="1181"/>
      <c r="MKK190" s="1181"/>
      <c r="MKL190" s="1181"/>
      <c r="MKM190" s="1181"/>
      <c r="MKN190" s="1181"/>
      <c r="MKO190" s="1181"/>
      <c r="MKP190" s="1181"/>
      <c r="MKQ190" s="1181"/>
      <c r="MKR190" s="1181"/>
      <c r="MKS190" s="1181"/>
      <c r="MKT190" s="1181"/>
      <c r="MKU190" s="1181"/>
      <c r="MKV190" s="1181"/>
      <c r="MKW190" s="1181"/>
      <c r="MKX190" s="1181"/>
      <c r="MKY190" s="1181"/>
      <c r="MKZ190" s="1181"/>
      <c r="MLA190" s="1181"/>
      <c r="MLB190" s="1181"/>
      <c r="MLC190" s="1181"/>
      <c r="MLD190" s="1181"/>
      <c r="MLE190" s="1181"/>
      <c r="MLF190" s="1181"/>
      <c r="MLG190" s="1181"/>
      <c r="MLH190" s="1181"/>
      <c r="MLI190" s="1181"/>
      <c r="MLJ190" s="1181"/>
      <c r="MLK190" s="1181"/>
      <c r="MLL190" s="1181"/>
      <c r="MLM190" s="1181"/>
      <c r="MLN190" s="1181"/>
      <c r="MLO190" s="1181"/>
      <c r="MLP190" s="1181"/>
      <c r="MLQ190" s="1181"/>
      <c r="MLR190" s="1181"/>
      <c r="MLS190" s="1181"/>
      <c r="MLT190" s="1181"/>
      <c r="MLU190" s="1181"/>
      <c r="MLV190" s="1181"/>
      <c r="MLW190" s="1181"/>
      <c r="MLX190" s="1181"/>
      <c r="MLY190" s="1181"/>
      <c r="MLZ190" s="1181"/>
      <c r="MMA190" s="1181"/>
      <c r="MMB190" s="1181"/>
      <c r="MMC190" s="1181"/>
      <c r="MMD190" s="1181"/>
      <c r="MME190" s="1181"/>
      <c r="MMF190" s="1181"/>
      <c r="MMG190" s="1181"/>
      <c r="MMH190" s="1181"/>
      <c r="MMI190" s="1181"/>
      <c r="MMJ190" s="1181"/>
      <c r="MMK190" s="1181"/>
      <c r="MML190" s="1181"/>
      <c r="MMM190" s="1181"/>
      <c r="MMN190" s="1181"/>
      <c r="MMO190" s="1181"/>
      <c r="MMP190" s="1181"/>
      <c r="MMQ190" s="1181"/>
      <c r="MMR190" s="1181"/>
      <c r="MMS190" s="1181"/>
      <c r="MMT190" s="1181"/>
      <c r="MMU190" s="1181"/>
      <c r="MMV190" s="1181"/>
      <c r="MMW190" s="1181"/>
      <c r="MMX190" s="1181"/>
      <c r="MMY190" s="1181"/>
      <c r="MMZ190" s="1181"/>
      <c r="MNA190" s="1181"/>
      <c r="MNB190" s="1181"/>
      <c r="MNC190" s="1181"/>
      <c r="MND190" s="1181"/>
      <c r="MNE190" s="1181"/>
      <c r="MNF190" s="1181"/>
      <c r="MNG190" s="1181"/>
      <c r="MNH190" s="1181"/>
      <c r="MNI190" s="1181"/>
      <c r="MNJ190" s="1181"/>
      <c r="MNK190" s="1181"/>
      <c r="MNL190" s="1181"/>
      <c r="MNM190" s="1181"/>
      <c r="MNN190" s="1181"/>
      <c r="MNO190" s="1181"/>
      <c r="MNP190" s="1181"/>
      <c r="MNQ190" s="1181"/>
      <c r="MNR190" s="1181"/>
      <c r="MNS190" s="1181"/>
      <c r="MNT190" s="1181"/>
      <c r="MNU190" s="1181"/>
      <c r="MNV190" s="1181"/>
      <c r="MNW190" s="1181"/>
      <c r="MNX190" s="1181"/>
      <c r="MNY190" s="1181"/>
      <c r="MNZ190" s="1181"/>
      <c r="MOA190" s="1181"/>
      <c r="MOB190" s="1181"/>
      <c r="MOC190" s="1181"/>
      <c r="MOD190" s="1181"/>
      <c r="MOE190" s="1181"/>
      <c r="MOF190" s="1181"/>
      <c r="MOG190" s="1181"/>
      <c r="MOH190" s="1181"/>
      <c r="MOI190" s="1181"/>
      <c r="MOJ190" s="1181"/>
      <c r="MOK190" s="1181"/>
      <c r="MOL190" s="1181"/>
      <c r="MOM190" s="1181"/>
      <c r="MON190" s="1181"/>
      <c r="MOO190" s="1181"/>
      <c r="MOP190" s="1181"/>
      <c r="MOQ190" s="1181"/>
      <c r="MOR190" s="1181"/>
      <c r="MOS190" s="1181"/>
      <c r="MOT190" s="1181"/>
      <c r="MOU190" s="1181"/>
      <c r="MOV190" s="1181"/>
      <c r="MOW190" s="1181"/>
      <c r="MOX190" s="1181"/>
      <c r="MOY190" s="1181"/>
      <c r="MOZ190" s="1181"/>
      <c r="MPA190" s="1181"/>
      <c r="MPB190" s="1181"/>
      <c r="MPC190" s="1181"/>
      <c r="MPD190" s="1181"/>
      <c r="MPE190" s="1181"/>
      <c r="MPF190" s="1181"/>
      <c r="MPG190" s="1181"/>
      <c r="MPH190" s="1181"/>
      <c r="MPI190" s="1181"/>
      <c r="MPJ190" s="1181"/>
      <c r="MPK190" s="1181"/>
      <c r="MPL190" s="1181"/>
      <c r="MPM190" s="1181"/>
      <c r="MPN190" s="1181"/>
      <c r="MPO190" s="1181"/>
      <c r="MPP190" s="1181"/>
      <c r="MPQ190" s="1181"/>
      <c r="MPR190" s="1181"/>
      <c r="MPS190" s="1181"/>
      <c r="MPT190" s="1181"/>
      <c r="MPU190" s="1181"/>
      <c r="MPV190" s="1181"/>
      <c r="MPW190" s="1181"/>
      <c r="MPX190" s="1181"/>
      <c r="MPY190" s="1181"/>
      <c r="MPZ190" s="1181"/>
      <c r="MQA190" s="1181"/>
      <c r="MQB190" s="1181"/>
      <c r="MQC190" s="1181"/>
      <c r="MQD190" s="1181"/>
      <c r="MQE190" s="1181"/>
      <c r="MQF190" s="1181"/>
      <c r="MQG190" s="1181"/>
      <c r="MQH190" s="1181"/>
      <c r="MQI190" s="1181"/>
      <c r="MQJ190" s="1181"/>
      <c r="MQK190" s="1181"/>
      <c r="MQL190" s="1181"/>
      <c r="MQM190" s="1181"/>
      <c r="MQN190" s="1181"/>
      <c r="MQO190" s="1181"/>
      <c r="MQP190" s="1181"/>
      <c r="MQQ190" s="1181"/>
      <c r="MQR190" s="1181"/>
      <c r="MQS190" s="1181"/>
      <c r="MQT190" s="1181"/>
      <c r="MQU190" s="1181"/>
      <c r="MQV190" s="1181"/>
      <c r="MQW190" s="1181"/>
      <c r="MQX190" s="1181"/>
      <c r="MQY190" s="1181"/>
      <c r="MQZ190" s="1181"/>
      <c r="MRA190" s="1181"/>
      <c r="MRB190" s="1181"/>
      <c r="MRC190" s="1181"/>
      <c r="MRD190" s="1181"/>
      <c r="MRE190" s="1181"/>
      <c r="MRF190" s="1181"/>
      <c r="MRG190" s="1181"/>
      <c r="MRH190" s="1181"/>
      <c r="MRI190" s="1181"/>
      <c r="MRJ190" s="1181"/>
      <c r="MRK190" s="1181"/>
      <c r="MRL190" s="1181"/>
      <c r="MRM190" s="1181"/>
      <c r="MRN190" s="1181"/>
      <c r="MRO190" s="1181"/>
      <c r="MRP190" s="1181"/>
      <c r="MRQ190" s="1181"/>
      <c r="MRR190" s="1181"/>
      <c r="MRS190" s="1181"/>
      <c r="MRT190" s="1181"/>
      <c r="MRU190" s="1181"/>
      <c r="MRV190" s="1181"/>
      <c r="MRW190" s="1181"/>
      <c r="MRX190" s="1181"/>
      <c r="MRY190" s="1181"/>
      <c r="MRZ190" s="1181"/>
      <c r="MSA190" s="1181"/>
      <c r="MSB190" s="1181"/>
      <c r="MSC190" s="1181"/>
      <c r="MSD190" s="1181"/>
      <c r="MSE190" s="1181"/>
      <c r="MSF190" s="1181"/>
      <c r="MSG190" s="1181"/>
      <c r="MSH190" s="1181"/>
      <c r="MSI190" s="1181"/>
      <c r="MSJ190" s="1181"/>
      <c r="MSK190" s="1181"/>
      <c r="MSL190" s="1181"/>
      <c r="MSM190" s="1181"/>
      <c r="MSN190" s="1181"/>
      <c r="MSO190" s="1181"/>
      <c r="MSP190" s="1181"/>
      <c r="MSQ190" s="1181"/>
      <c r="MSR190" s="1181"/>
      <c r="MSS190" s="1181"/>
      <c r="MST190" s="1181"/>
      <c r="MSU190" s="1181"/>
      <c r="MSV190" s="1181"/>
      <c r="MSW190" s="1181"/>
      <c r="MSX190" s="1181"/>
      <c r="MSY190" s="1181"/>
      <c r="MSZ190" s="1181"/>
      <c r="MTA190" s="1181"/>
      <c r="MTB190" s="1181"/>
      <c r="MTC190" s="1181"/>
      <c r="MTD190" s="1181"/>
      <c r="MTE190" s="1181"/>
      <c r="MTF190" s="1181"/>
      <c r="MTG190" s="1181"/>
      <c r="MTH190" s="1181"/>
      <c r="MTI190" s="1181"/>
      <c r="MTJ190" s="1181"/>
      <c r="MTK190" s="1181"/>
      <c r="MTL190" s="1181"/>
      <c r="MTM190" s="1181"/>
      <c r="MTN190" s="1181"/>
      <c r="MTO190" s="1181"/>
      <c r="MTP190" s="1181"/>
      <c r="MTQ190" s="1181"/>
      <c r="MTR190" s="1181"/>
      <c r="MTS190" s="1181"/>
      <c r="MTT190" s="1181"/>
      <c r="MTU190" s="1181"/>
      <c r="MTV190" s="1181"/>
      <c r="MTW190" s="1181"/>
      <c r="MTX190" s="1181"/>
      <c r="MTY190" s="1181"/>
      <c r="MTZ190" s="1181"/>
      <c r="MUA190" s="1181"/>
      <c r="MUB190" s="1181"/>
      <c r="MUC190" s="1181"/>
      <c r="MUD190" s="1181"/>
      <c r="MUE190" s="1181"/>
      <c r="MUF190" s="1181"/>
      <c r="MUG190" s="1181"/>
      <c r="MUH190" s="1181"/>
      <c r="MUI190" s="1181"/>
      <c r="MUJ190" s="1181"/>
      <c r="MUK190" s="1181"/>
      <c r="MUL190" s="1181"/>
      <c r="MUM190" s="1181"/>
      <c r="MUN190" s="1181"/>
      <c r="MUO190" s="1181"/>
      <c r="MUP190" s="1181"/>
      <c r="MUQ190" s="1181"/>
      <c r="MUR190" s="1181"/>
      <c r="MUS190" s="1181"/>
      <c r="MUT190" s="1181"/>
      <c r="MUU190" s="1181"/>
      <c r="MUV190" s="1181"/>
      <c r="MUW190" s="1181"/>
      <c r="MUX190" s="1181"/>
      <c r="MUY190" s="1181"/>
      <c r="MUZ190" s="1181"/>
      <c r="MVA190" s="1181"/>
      <c r="MVB190" s="1181"/>
      <c r="MVC190" s="1181"/>
      <c r="MVD190" s="1181"/>
      <c r="MVE190" s="1181"/>
      <c r="MVF190" s="1181"/>
      <c r="MVG190" s="1181"/>
      <c r="MVH190" s="1181"/>
      <c r="MVI190" s="1181"/>
      <c r="MVJ190" s="1181"/>
      <c r="MVK190" s="1181"/>
      <c r="MVL190" s="1181"/>
      <c r="MVM190" s="1181"/>
      <c r="MVN190" s="1181"/>
      <c r="MVO190" s="1181"/>
      <c r="MVP190" s="1181"/>
      <c r="MVQ190" s="1181"/>
      <c r="MVR190" s="1181"/>
      <c r="MVS190" s="1181"/>
      <c r="MVT190" s="1181"/>
      <c r="MVU190" s="1181"/>
      <c r="MVV190" s="1181"/>
      <c r="MVW190" s="1181"/>
      <c r="MVX190" s="1181"/>
      <c r="MVY190" s="1181"/>
      <c r="MVZ190" s="1181"/>
      <c r="MWA190" s="1181"/>
      <c r="MWB190" s="1181"/>
      <c r="MWC190" s="1181"/>
      <c r="MWD190" s="1181"/>
      <c r="MWE190" s="1181"/>
      <c r="MWF190" s="1181"/>
      <c r="MWG190" s="1181"/>
      <c r="MWH190" s="1181"/>
      <c r="MWI190" s="1181"/>
      <c r="MWJ190" s="1181"/>
      <c r="MWK190" s="1181"/>
      <c r="MWL190" s="1181"/>
      <c r="MWM190" s="1181"/>
      <c r="MWN190" s="1181"/>
      <c r="MWO190" s="1181"/>
      <c r="MWP190" s="1181"/>
      <c r="MWQ190" s="1181"/>
      <c r="MWR190" s="1181"/>
      <c r="MWS190" s="1181"/>
      <c r="MWT190" s="1181"/>
      <c r="MWU190" s="1181"/>
      <c r="MWV190" s="1181"/>
      <c r="MWW190" s="1181"/>
      <c r="MWX190" s="1181"/>
      <c r="MWY190" s="1181"/>
      <c r="MWZ190" s="1181"/>
      <c r="MXA190" s="1181"/>
      <c r="MXB190" s="1181"/>
      <c r="MXC190" s="1181"/>
      <c r="MXD190" s="1181"/>
      <c r="MXE190" s="1181"/>
      <c r="MXF190" s="1181"/>
      <c r="MXG190" s="1181"/>
      <c r="MXH190" s="1181"/>
      <c r="MXI190" s="1181"/>
      <c r="MXJ190" s="1181"/>
      <c r="MXK190" s="1181"/>
      <c r="MXL190" s="1181"/>
      <c r="MXM190" s="1181"/>
      <c r="MXN190" s="1181"/>
      <c r="MXO190" s="1181"/>
      <c r="MXP190" s="1181"/>
      <c r="MXQ190" s="1181"/>
      <c r="MXR190" s="1181"/>
      <c r="MXS190" s="1181"/>
      <c r="MXT190" s="1181"/>
      <c r="MXU190" s="1181"/>
      <c r="MXV190" s="1181"/>
      <c r="MXW190" s="1181"/>
      <c r="MXX190" s="1181"/>
      <c r="MXY190" s="1181"/>
      <c r="MXZ190" s="1181"/>
      <c r="MYA190" s="1181"/>
      <c r="MYB190" s="1181"/>
      <c r="MYC190" s="1181"/>
      <c r="MYD190" s="1181"/>
      <c r="MYE190" s="1181"/>
      <c r="MYF190" s="1181"/>
      <c r="MYG190" s="1181"/>
      <c r="MYH190" s="1181"/>
      <c r="MYI190" s="1181"/>
      <c r="MYJ190" s="1181"/>
      <c r="MYK190" s="1181"/>
      <c r="MYL190" s="1181"/>
      <c r="MYM190" s="1181"/>
      <c r="MYN190" s="1181"/>
      <c r="MYO190" s="1181"/>
      <c r="MYP190" s="1181"/>
      <c r="MYQ190" s="1181"/>
      <c r="MYR190" s="1181"/>
      <c r="MYS190" s="1181"/>
      <c r="MYT190" s="1181"/>
      <c r="MYU190" s="1181"/>
      <c r="MYV190" s="1181"/>
      <c r="MYW190" s="1181"/>
      <c r="MYX190" s="1181"/>
      <c r="MYY190" s="1181"/>
      <c r="MYZ190" s="1181"/>
      <c r="MZA190" s="1181"/>
      <c r="MZB190" s="1181"/>
      <c r="MZC190" s="1181"/>
      <c r="MZD190" s="1181"/>
      <c r="MZE190" s="1181"/>
      <c r="MZF190" s="1181"/>
      <c r="MZG190" s="1181"/>
      <c r="MZH190" s="1181"/>
      <c r="MZI190" s="1181"/>
      <c r="MZJ190" s="1181"/>
      <c r="MZK190" s="1181"/>
      <c r="MZL190" s="1181"/>
      <c r="MZM190" s="1181"/>
      <c r="MZN190" s="1181"/>
      <c r="MZO190" s="1181"/>
      <c r="MZP190" s="1181"/>
      <c r="MZQ190" s="1181"/>
      <c r="MZR190" s="1181"/>
      <c r="MZS190" s="1181"/>
      <c r="MZT190" s="1181"/>
      <c r="MZU190" s="1181"/>
      <c r="MZV190" s="1181"/>
      <c r="MZW190" s="1181"/>
      <c r="MZX190" s="1181"/>
      <c r="MZY190" s="1181"/>
      <c r="MZZ190" s="1181"/>
      <c r="NAA190" s="1181"/>
      <c r="NAB190" s="1181"/>
      <c r="NAC190" s="1181"/>
      <c r="NAD190" s="1181"/>
      <c r="NAE190" s="1181"/>
      <c r="NAF190" s="1181"/>
      <c r="NAG190" s="1181"/>
      <c r="NAH190" s="1181"/>
      <c r="NAI190" s="1181"/>
      <c r="NAJ190" s="1181"/>
      <c r="NAK190" s="1181"/>
      <c r="NAL190" s="1181"/>
      <c r="NAM190" s="1181"/>
      <c r="NAN190" s="1181"/>
      <c r="NAO190" s="1181"/>
      <c r="NAP190" s="1181"/>
      <c r="NAQ190" s="1181"/>
      <c r="NAR190" s="1181"/>
      <c r="NAS190" s="1181"/>
      <c r="NAT190" s="1181"/>
      <c r="NAU190" s="1181"/>
      <c r="NAV190" s="1181"/>
      <c r="NAW190" s="1181"/>
      <c r="NAX190" s="1181"/>
      <c r="NAY190" s="1181"/>
      <c r="NAZ190" s="1181"/>
      <c r="NBA190" s="1181"/>
      <c r="NBB190" s="1181"/>
      <c r="NBC190" s="1181"/>
      <c r="NBD190" s="1181"/>
      <c r="NBE190" s="1181"/>
      <c r="NBF190" s="1181"/>
      <c r="NBG190" s="1181"/>
      <c r="NBH190" s="1181"/>
      <c r="NBI190" s="1181"/>
      <c r="NBJ190" s="1181"/>
      <c r="NBK190" s="1181"/>
      <c r="NBL190" s="1181"/>
      <c r="NBM190" s="1181"/>
      <c r="NBN190" s="1181"/>
      <c r="NBO190" s="1181"/>
      <c r="NBP190" s="1181"/>
      <c r="NBQ190" s="1181"/>
      <c r="NBR190" s="1181"/>
      <c r="NBS190" s="1181"/>
      <c r="NBT190" s="1181"/>
      <c r="NBU190" s="1181"/>
      <c r="NBV190" s="1181"/>
      <c r="NBW190" s="1181"/>
      <c r="NBX190" s="1181"/>
      <c r="NBY190" s="1181"/>
      <c r="NBZ190" s="1181"/>
      <c r="NCA190" s="1181"/>
      <c r="NCB190" s="1181"/>
      <c r="NCC190" s="1181"/>
      <c r="NCD190" s="1181"/>
      <c r="NCE190" s="1181"/>
      <c r="NCF190" s="1181"/>
      <c r="NCG190" s="1181"/>
      <c r="NCH190" s="1181"/>
      <c r="NCI190" s="1181"/>
      <c r="NCJ190" s="1181"/>
      <c r="NCK190" s="1181"/>
      <c r="NCL190" s="1181"/>
      <c r="NCM190" s="1181"/>
      <c r="NCN190" s="1181"/>
      <c r="NCO190" s="1181"/>
      <c r="NCP190" s="1181"/>
      <c r="NCQ190" s="1181"/>
      <c r="NCR190" s="1181"/>
      <c r="NCS190" s="1181"/>
      <c r="NCT190" s="1181"/>
      <c r="NCU190" s="1181"/>
      <c r="NCV190" s="1181"/>
      <c r="NCW190" s="1181"/>
      <c r="NCX190" s="1181"/>
      <c r="NCY190" s="1181"/>
      <c r="NCZ190" s="1181"/>
      <c r="NDA190" s="1181"/>
      <c r="NDB190" s="1181"/>
      <c r="NDC190" s="1181"/>
      <c r="NDD190" s="1181"/>
      <c r="NDE190" s="1181"/>
      <c r="NDF190" s="1181"/>
      <c r="NDG190" s="1181"/>
      <c r="NDH190" s="1181"/>
      <c r="NDI190" s="1181"/>
      <c r="NDJ190" s="1181"/>
      <c r="NDK190" s="1181"/>
      <c r="NDL190" s="1181"/>
      <c r="NDM190" s="1181"/>
      <c r="NDN190" s="1181"/>
      <c r="NDO190" s="1181"/>
      <c r="NDP190" s="1181"/>
      <c r="NDQ190" s="1181"/>
      <c r="NDR190" s="1181"/>
      <c r="NDS190" s="1181"/>
      <c r="NDT190" s="1181"/>
      <c r="NDU190" s="1181"/>
      <c r="NDV190" s="1181"/>
      <c r="NDW190" s="1181"/>
      <c r="NDX190" s="1181"/>
      <c r="NDY190" s="1181"/>
      <c r="NDZ190" s="1181"/>
      <c r="NEA190" s="1181"/>
      <c r="NEB190" s="1181"/>
      <c r="NEC190" s="1181"/>
      <c r="NED190" s="1181"/>
      <c r="NEE190" s="1181"/>
      <c r="NEF190" s="1181"/>
      <c r="NEG190" s="1181"/>
      <c r="NEH190" s="1181"/>
      <c r="NEI190" s="1181"/>
      <c r="NEJ190" s="1181"/>
      <c r="NEK190" s="1181"/>
      <c r="NEL190" s="1181"/>
      <c r="NEM190" s="1181"/>
      <c r="NEN190" s="1181"/>
      <c r="NEO190" s="1181"/>
      <c r="NEP190" s="1181"/>
      <c r="NEQ190" s="1181"/>
      <c r="NER190" s="1181"/>
      <c r="NES190" s="1181"/>
      <c r="NET190" s="1181"/>
      <c r="NEU190" s="1181"/>
      <c r="NEV190" s="1181"/>
      <c r="NEW190" s="1181"/>
      <c r="NEX190" s="1181"/>
      <c r="NEY190" s="1181"/>
      <c r="NEZ190" s="1181"/>
      <c r="NFA190" s="1181"/>
      <c r="NFB190" s="1181"/>
      <c r="NFC190" s="1181"/>
      <c r="NFD190" s="1181"/>
      <c r="NFE190" s="1181"/>
      <c r="NFF190" s="1181"/>
      <c r="NFG190" s="1181"/>
      <c r="NFH190" s="1181"/>
      <c r="NFI190" s="1181"/>
      <c r="NFJ190" s="1181"/>
      <c r="NFK190" s="1181"/>
      <c r="NFL190" s="1181"/>
      <c r="NFM190" s="1181"/>
      <c r="NFN190" s="1181"/>
      <c r="NFO190" s="1181"/>
      <c r="NFP190" s="1181"/>
      <c r="NFQ190" s="1181"/>
      <c r="NFR190" s="1181"/>
      <c r="NFS190" s="1181"/>
      <c r="NFT190" s="1181"/>
      <c r="NFU190" s="1181"/>
      <c r="NFV190" s="1181"/>
      <c r="NFW190" s="1181"/>
      <c r="NFX190" s="1181"/>
      <c r="NFY190" s="1181"/>
      <c r="NFZ190" s="1181"/>
      <c r="NGA190" s="1181"/>
      <c r="NGB190" s="1181"/>
      <c r="NGC190" s="1181"/>
      <c r="NGD190" s="1181"/>
      <c r="NGE190" s="1181"/>
      <c r="NGF190" s="1181"/>
      <c r="NGG190" s="1181"/>
      <c r="NGH190" s="1181"/>
      <c r="NGI190" s="1181"/>
      <c r="NGJ190" s="1181"/>
      <c r="NGK190" s="1181"/>
      <c r="NGL190" s="1181"/>
      <c r="NGM190" s="1181"/>
      <c r="NGN190" s="1181"/>
      <c r="NGO190" s="1181"/>
      <c r="NGP190" s="1181"/>
      <c r="NGQ190" s="1181"/>
      <c r="NGR190" s="1181"/>
      <c r="NGS190" s="1181"/>
      <c r="NGT190" s="1181"/>
      <c r="NGU190" s="1181"/>
      <c r="NGV190" s="1181"/>
      <c r="NGW190" s="1181"/>
      <c r="NGX190" s="1181"/>
      <c r="NGY190" s="1181"/>
      <c r="NGZ190" s="1181"/>
      <c r="NHA190" s="1181"/>
      <c r="NHB190" s="1181"/>
      <c r="NHC190" s="1181"/>
      <c r="NHD190" s="1181"/>
      <c r="NHE190" s="1181"/>
      <c r="NHF190" s="1181"/>
      <c r="NHG190" s="1181"/>
      <c r="NHH190" s="1181"/>
      <c r="NHI190" s="1181"/>
      <c r="NHJ190" s="1181"/>
      <c r="NHK190" s="1181"/>
      <c r="NHL190" s="1181"/>
      <c r="NHM190" s="1181"/>
      <c r="NHN190" s="1181"/>
      <c r="NHO190" s="1181"/>
      <c r="NHP190" s="1181"/>
      <c r="NHQ190" s="1181"/>
      <c r="NHR190" s="1181"/>
      <c r="NHS190" s="1181"/>
      <c r="NHT190" s="1181"/>
      <c r="NHU190" s="1181"/>
      <c r="NHV190" s="1181"/>
      <c r="NHW190" s="1181"/>
      <c r="NHX190" s="1181"/>
      <c r="NHY190" s="1181"/>
      <c r="NHZ190" s="1181"/>
      <c r="NIA190" s="1181"/>
      <c r="NIB190" s="1181"/>
      <c r="NIC190" s="1181"/>
      <c r="NID190" s="1181"/>
      <c r="NIE190" s="1181"/>
      <c r="NIF190" s="1181"/>
      <c r="NIG190" s="1181"/>
      <c r="NIH190" s="1181"/>
      <c r="NII190" s="1181"/>
      <c r="NIJ190" s="1181"/>
      <c r="NIK190" s="1181"/>
      <c r="NIL190" s="1181"/>
      <c r="NIM190" s="1181"/>
      <c r="NIN190" s="1181"/>
      <c r="NIO190" s="1181"/>
      <c r="NIP190" s="1181"/>
      <c r="NIQ190" s="1181"/>
      <c r="NIR190" s="1181"/>
      <c r="NIS190" s="1181"/>
      <c r="NIT190" s="1181"/>
      <c r="NIU190" s="1181"/>
      <c r="NIV190" s="1181"/>
      <c r="NIW190" s="1181"/>
      <c r="NIX190" s="1181"/>
      <c r="NIY190" s="1181"/>
      <c r="NIZ190" s="1181"/>
      <c r="NJA190" s="1181"/>
      <c r="NJB190" s="1181"/>
      <c r="NJC190" s="1181"/>
      <c r="NJD190" s="1181"/>
      <c r="NJE190" s="1181"/>
      <c r="NJF190" s="1181"/>
      <c r="NJG190" s="1181"/>
      <c r="NJH190" s="1181"/>
      <c r="NJI190" s="1181"/>
      <c r="NJJ190" s="1181"/>
      <c r="NJK190" s="1181"/>
      <c r="NJL190" s="1181"/>
      <c r="NJM190" s="1181"/>
      <c r="NJN190" s="1181"/>
      <c r="NJO190" s="1181"/>
      <c r="NJP190" s="1181"/>
      <c r="NJQ190" s="1181"/>
      <c r="NJR190" s="1181"/>
      <c r="NJS190" s="1181"/>
      <c r="NJT190" s="1181"/>
      <c r="NJU190" s="1181"/>
      <c r="NJV190" s="1181"/>
      <c r="NJW190" s="1181"/>
      <c r="NJX190" s="1181"/>
      <c r="NJY190" s="1181"/>
      <c r="NJZ190" s="1181"/>
      <c r="NKA190" s="1181"/>
      <c r="NKB190" s="1181"/>
      <c r="NKC190" s="1181"/>
      <c r="NKD190" s="1181"/>
      <c r="NKE190" s="1181"/>
      <c r="NKF190" s="1181"/>
      <c r="NKG190" s="1181"/>
      <c r="NKH190" s="1181"/>
      <c r="NKI190" s="1181"/>
      <c r="NKJ190" s="1181"/>
      <c r="NKK190" s="1181"/>
      <c r="NKL190" s="1181"/>
      <c r="NKM190" s="1181"/>
      <c r="NKN190" s="1181"/>
      <c r="NKO190" s="1181"/>
      <c r="NKP190" s="1181"/>
      <c r="NKQ190" s="1181"/>
      <c r="NKR190" s="1181"/>
      <c r="NKS190" s="1181"/>
      <c r="NKT190" s="1181"/>
      <c r="NKU190" s="1181"/>
      <c r="NKV190" s="1181"/>
      <c r="NKW190" s="1181"/>
      <c r="NKX190" s="1181"/>
      <c r="NKY190" s="1181"/>
      <c r="NKZ190" s="1181"/>
      <c r="NLA190" s="1181"/>
      <c r="NLB190" s="1181"/>
      <c r="NLC190" s="1181"/>
      <c r="NLD190" s="1181"/>
      <c r="NLE190" s="1181"/>
      <c r="NLF190" s="1181"/>
      <c r="NLG190" s="1181"/>
      <c r="NLH190" s="1181"/>
      <c r="NLI190" s="1181"/>
      <c r="NLJ190" s="1181"/>
      <c r="NLK190" s="1181"/>
      <c r="NLL190" s="1181"/>
      <c r="NLM190" s="1181"/>
      <c r="NLN190" s="1181"/>
      <c r="NLO190" s="1181"/>
      <c r="NLP190" s="1181"/>
      <c r="NLQ190" s="1181"/>
      <c r="NLR190" s="1181"/>
      <c r="NLS190" s="1181"/>
      <c r="NLT190" s="1181"/>
      <c r="NLU190" s="1181"/>
      <c r="NLV190" s="1181"/>
      <c r="NLW190" s="1181"/>
      <c r="NLX190" s="1181"/>
      <c r="NLY190" s="1181"/>
      <c r="NLZ190" s="1181"/>
      <c r="NMA190" s="1181"/>
      <c r="NMB190" s="1181"/>
      <c r="NMC190" s="1181"/>
      <c r="NMD190" s="1181"/>
      <c r="NME190" s="1181"/>
      <c r="NMF190" s="1181"/>
      <c r="NMG190" s="1181"/>
      <c r="NMH190" s="1181"/>
      <c r="NMI190" s="1181"/>
      <c r="NMJ190" s="1181"/>
      <c r="NMK190" s="1181"/>
      <c r="NML190" s="1181"/>
      <c r="NMM190" s="1181"/>
      <c r="NMN190" s="1181"/>
      <c r="NMO190" s="1181"/>
      <c r="NMP190" s="1181"/>
      <c r="NMQ190" s="1181"/>
      <c r="NMR190" s="1181"/>
      <c r="NMS190" s="1181"/>
      <c r="NMT190" s="1181"/>
      <c r="NMU190" s="1181"/>
      <c r="NMV190" s="1181"/>
      <c r="NMW190" s="1181"/>
      <c r="NMX190" s="1181"/>
      <c r="NMY190" s="1181"/>
      <c r="NMZ190" s="1181"/>
      <c r="NNA190" s="1181"/>
      <c r="NNB190" s="1181"/>
      <c r="NNC190" s="1181"/>
      <c r="NND190" s="1181"/>
      <c r="NNE190" s="1181"/>
      <c r="NNF190" s="1181"/>
      <c r="NNG190" s="1181"/>
      <c r="NNH190" s="1181"/>
      <c r="NNI190" s="1181"/>
      <c r="NNJ190" s="1181"/>
      <c r="NNK190" s="1181"/>
      <c r="NNL190" s="1181"/>
      <c r="NNM190" s="1181"/>
      <c r="NNN190" s="1181"/>
      <c r="NNO190" s="1181"/>
      <c r="NNP190" s="1181"/>
      <c r="NNQ190" s="1181"/>
      <c r="NNR190" s="1181"/>
      <c r="NNS190" s="1181"/>
      <c r="NNT190" s="1181"/>
      <c r="NNU190" s="1181"/>
      <c r="NNV190" s="1181"/>
      <c r="NNW190" s="1181"/>
      <c r="NNX190" s="1181"/>
      <c r="NNY190" s="1181"/>
      <c r="NNZ190" s="1181"/>
      <c r="NOA190" s="1181"/>
      <c r="NOB190" s="1181"/>
      <c r="NOC190" s="1181"/>
      <c r="NOD190" s="1181"/>
      <c r="NOE190" s="1181"/>
      <c r="NOF190" s="1181"/>
      <c r="NOG190" s="1181"/>
      <c r="NOH190" s="1181"/>
      <c r="NOI190" s="1181"/>
      <c r="NOJ190" s="1181"/>
      <c r="NOK190" s="1181"/>
      <c r="NOL190" s="1181"/>
      <c r="NOM190" s="1181"/>
      <c r="NON190" s="1181"/>
      <c r="NOO190" s="1181"/>
      <c r="NOP190" s="1181"/>
      <c r="NOQ190" s="1181"/>
      <c r="NOR190" s="1181"/>
      <c r="NOS190" s="1181"/>
      <c r="NOT190" s="1181"/>
      <c r="NOU190" s="1181"/>
      <c r="NOV190" s="1181"/>
      <c r="NOW190" s="1181"/>
      <c r="NOX190" s="1181"/>
      <c r="NOY190" s="1181"/>
      <c r="NOZ190" s="1181"/>
      <c r="NPA190" s="1181"/>
      <c r="NPB190" s="1181"/>
      <c r="NPC190" s="1181"/>
      <c r="NPD190" s="1181"/>
      <c r="NPE190" s="1181"/>
      <c r="NPF190" s="1181"/>
      <c r="NPG190" s="1181"/>
      <c r="NPH190" s="1181"/>
      <c r="NPI190" s="1181"/>
      <c r="NPJ190" s="1181"/>
      <c r="NPK190" s="1181"/>
      <c r="NPL190" s="1181"/>
      <c r="NPM190" s="1181"/>
      <c r="NPN190" s="1181"/>
      <c r="NPO190" s="1181"/>
      <c r="NPP190" s="1181"/>
      <c r="NPQ190" s="1181"/>
      <c r="NPR190" s="1181"/>
      <c r="NPS190" s="1181"/>
      <c r="NPT190" s="1181"/>
      <c r="NPU190" s="1181"/>
      <c r="NPV190" s="1181"/>
      <c r="NPW190" s="1181"/>
      <c r="NPX190" s="1181"/>
      <c r="NPY190" s="1181"/>
      <c r="NPZ190" s="1181"/>
      <c r="NQA190" s="1181"/>
      <c r="NQB190" s="1181"/>
      <c r="NQC190" s="1181"/>
      <c r="NQD190" s="1181"/>
      <c r="NQE190" s="1181"/>
      <c r="NQF190" s="1181"/>
      <c r="NQG190" s="1181"/>
      <c r="NQH190" s="1181"/>
      <c r="NQI190" s="1181"/>
      <c r="NQJ190" s="1181"/>
      <c r="NQK190" s="1181"/>
      <c r="NQL190" s="1181"/>
      <c r="NQM190" s="1181"/>
      <c r="NQN190" s="1181"/>
      <c r="NQO190" s="1181"/>
      <c r="NQP190" s="1181"/>
      <c r="NQQ190" s="1181"/>
      <c r="NQR190" s="1181"/>
      <c r="NQS190" s="1181"/>
      <c r="NQT190" s="1181"/>
      <c r="NQU190" s="1181"/>
      <c r="NQV190" s="1181"/>
      <c r="NQW190" s="1181"/>
      <c r="NQX190" s="1181"/>
      <c r="NQY190" s="1181"/>
      <c r="NQZ190" s="1181"/>
      <c r="NRA190" s="1181"/>
      <c r="NRB190" s="1181"/>
      <c r="NRC190" s="1181"/>
      <c r="NRD190" s="1181"/>
      <c r="NRE190" s="1181"/>
      <c r="NRF190" s="1181"/>
      <c r="NRG190" s="1181"/>
      <c r="NRH190" s="1181"/>
      <c r="NRI190" s="1181"/>
      <c r="NRJ190" s="1181"/>
      <c r="NRK190" s="1181"/>
      <c r="NRL190" s="1181"/>
      <c r="NRM190" s="1181"/>
      <c r="NRN190" s="1181"/>
      <c r="NRO190" s="1181"/>
      <c r="NRP190" s="1181"/>
      <c r="NRQ190" s="1181"/>
      <c r="NRR190" s="1181"/>
      <c r="NRS190" s="1181"/>
      <c r="NRT190" s="1181"/>
      <c r="NRU190" s="1181"/>
      <c r="NRV190" s="1181"/>
      <c r="NRW190" s="1181"/>
      <c r="NRX190" s="1181"/>
      <c r="NRY190" s="1181"/>
      <c r="NRZ190" s="1181"/>
      <c r="NSA190" s="1181"/>
      <c r="NSB190" s="1181"/>
      <c r="NSC190" s="1181"/>
      <c r="NSD190" s="1181"/>
      <c r="NSE190" s="1181"/>
      <c r="NSF190" s="1181"/>
      <c r="NSG190" s="1181"/>
      <c r="NSH190" s="1181"/>
      <c r="NSI190" s="1181"/>
      <c r="NSJ190" s="1181"/>
      <c r="NSK190" s="1181"/>
      <c r="NSL190" s="1181"/>
      <c r="NSM190" s="1181"/>
      <c r="NSN190" s="1181"/>
      <c r="NSO190" s="1181"/>
      <c r="NSP190" s="1181"/>
      <c r="NSQ190" s="1181"/>
      <c r="NSR190" s="1181"/>
      <c r="NSS190" s="1181"/>
      <c r="NST190" s="1181"/>
      <c r="NSU190" s="1181"/>
      <c r="NSV190" s="1181"/>
      <c r="NSW190" s="1181"/>
      <c r="NSX190" s="1181"/>
      <c r="NSY190" s="1181"/>
      <c r="NSZ190" s="1181"/>
      <c r="NTA190" s="1181"/>
      <c r="NTB190" s="1181"/>
      <c r="NTC190" s="1181"/>
      <c r="NTD190" s="1181"/>
      <c r="NTE190" s="1181"/>
      <c r="NTF190" s="1181"/>
      <c r="NTG190" s="1181"/>
      <c r="NTH190" s="1181"/>
      <c r="NTI190" s="1181"/>
      <c r="NTJ190" s="1181"/>
      <c r="NTK190" s="1181"/>
      <c r="NTL190" s="1181"/>
      <c r="NTM190" s="1181"/>
      <c r="NTN190" s="1181"/>
      <c r="NTO190" s="1181"/>
      <c r="NTP190" s="1181"/>
      <c r="NTQ190" s="1181"/>
      <c r="NTR190" s="1181"/>
      <c r="NTS190" s="1181"/>
      <c r="NTT190" s="1181"/>
      <c r="NTU190" s="1181"/>
      <c r="NTV190" s="1181"/>
      <c r="NTW190" s="1181"/>
      <c r="NTX190" s="1181"/>
      <c r="NTY190" s="1181"/>
      <c r="NTZ190" s="1181"/>
      <c r="NUA190" s="1181"/>
      <c r="NUB190" s="1181"/>
      <c r="NUC190" s="1181"/>
      <c r="NUD190" s="1181"/>
      <c r="NUE190" s="1181"/>
      <c r="NUF190" s="1181"/>
      <c r="NUG190" s="1181"/>
      <c r="NUH190" s="1181"/>
      <c r="NUI190" s="1181"/>
      <c r="NUJ190" s="1181"/>
      <c r="NUK190" s="1181"/>
      <c r="NUL190" s="1181"/>
      <c r="NUM190" s="1181"/>
      <c r="NUN190" s="1181"/>
      <c r="NUO190" s="1181"/>
      <c r="NUP190" s="1181"/>
      <c r="NUQ190" s="1181"/>
      <c r="NUR190" s="1181"/>
      <c r="NUS190" s="1181"/>
      <c r="NUT190" s="1181"/>
      <c r="NUU190" s="1181"/>
      <c r="NUV190" s="1181"/>
      <c r="NUW190" s="1181"/>
      <c r="NUX190" s="1181"/>
      <c r="NUY190" s="1181"/>
      <c r="NUZ190" s="1181"/>
      <c r="NVA190" s="1181"/>
      <c r="NVB190" s="1181"/>
      <c r="NVC190" s="1181"/>
      <c r="NVD190" s="1181"/>
      <c r="NVE190" s="1181"/>
      <c r="NVF190" s="1181"/>
      <c r="NVG190" s="1181"/>
      <c r="NVH190" s="1181"/>
      <c r="NVI190" s="1181"/>
      <c r="NVJ190" s="1181"/>
      <c r="NVK190" s="1181"/>
      <c r="NVL190" s="1181"/>
      <c r="NVM190" s="1181"/>
      <c r="NVN190" s="1181"/>
      <c r="NVO190" s="1181"/>
      <c r="NVP190" s="1181"/>
      <c r="NVQ190" s="1181"/>
      <c r="NVR190" s="1181"/>
      <c r="NVS190" s="1181"/>
      <c r="NVT190" s="1181"/>
      <c r="NVU190" s="1181"/>
      <c r="NVV190" s="1181"/>
      <c r="NVW190" s="1181"/>
      <c r="NVX190" s="1181"/>
      <c r="NVY190" s="1181"/>
      <c r="NVZ190" s="1181"/>
      <c r="NWA190" s="1181"/>
      <c r="NWB190" s="1181"/>
      <c r="NWC190" s="1181"/>
      <c r="NWD190" s="1181"/>
      <c r="NWE190" s="1181"/>
      <c r="NWF190" s="1181"/>
      <c r="NWG190" s="1181"/>
      <c r="NWH190" s="1181"/>
      <c r="NWI190" s="1181"/>
      <c r="NWJ190" s="1181"/>
      <c r="NWK190" s="1181"/>
      <c r="NWL190" s="1181"/>
      <c r="NWM190" s="1181"/>
      <c r="NWN190" s="1181"/>
      <c r="NWO190" s="1181"/>
      <c r="NWP190" s="1181"/>
      <c r="NWQ190" s="1181"/>
      <c r="NWR190" s="1181"/>
      <c r="NWS190" s="1181"/>
      <c r="NWT190" s="1181"/>
      <c r="NWU190" s="1181"/>
      <c r="NWV190" s="1181"/>
      <c r="NWW190" s="1181"/>
      <c r="NWX190" s="1181"/>
      <c r="NWY190" s="1181"/>
      <c r="NWZ190" s="1181"/>
      <c r="NXA190" s="1181"/>
      <c r="NXB190" s="1181"/>
      <c r="NXC190" s="1181"/>
      <c r="NXD190" s="1181"/>
      <c r="NXE190" s="1181"/>
      <c r="NXF190" s="1181"/>
      <c r="NXG190" s="1181"/>
      <c r="NXH190" s="1181"/>
      <c r="NXI190" s="1181"/>
      <c r="NXJ190" s="1181"/>
      <c r="NXK190" s="1181"/>
      <c r="NXL190" s="1181"/>
      <c r="NXM190" s="1181"/>
      <c r="NXN190" s="1181"/>
      <c r="NXO190" s="1181"/>
      <c r="NXP190" s="1181"/>
      <c r="NXQ190" s="1181"/>
      <c r="NXR190" s="1181"/>
      <c r="NXS190" s="1181"/>
      <c r="NXT190" s="1181"/>
      <c r="NXU190" s="1181"/>
      <c r="NXV190" s="1181"/>
      <c r="NXW190" s="1181"/>
      <c r="NXX190" s="1181"/>
      <c r="NXY190" s="1181"/>
      <c r="NXZ190" s="1181"/>
      <c r="NYA190" s="1181"/>
      <c r="NYB190" s="1181"/>
      <c r="NYC190" s="1181"/>
      <c r="NYD190" s="1181"/>
      <c r="NYE190" s="1181"/>
      <c r="NYF190" s="1181"/>
      <c r="NYG190" s="1181"/>
      <c r="NYH190" s="1181"/>
      <c r="NYI190" s="1181"/>
      <c r="NYJ190" s="1181"/>
      <c r="NYK190" s="1181"/>
      <c r="NYL190" s="1181"/>
      <c r="NYM190" s="1181"/>
      <c r="NYN190" s="1181"/>
      <c r="NYO190" s="1181"/>
      <c r="NYP190" s="1181"/>
      <c r="NYQ190" s="1181"/>
      <c r="NYR190" s="1181"/>
      <c r="NYS190" s="1181"/>
      <c r="NYT190" s="1181"/>
      <c r="NYU190" s="1181"/>
      <c r="NYV190" s="1181"/>
      <c r="NYW190" s="1181"/>
      <c r="NYX190" s="1181"/>
      <c r="NYY190" s="1181"/>
      <c r="NYZ190" s="1181"/>
      <c r="NZA190" s="1181"/>
      <c r="NZB190" s="1181"/>
      <c r="NZC190" s="1181"/>
      <c r="NZD190" s="1181"/>
      <c r="NZE190" s="1181"/>
      <c r="NZF190" s="1181"/>
      <c r="NZG190" s="1181"/>
      <c r="NZH190" s="1181"/>
      <c r="NZI190" s="1181"/>
      <c r="NZJ190" s="1181"/>
      <c r="NZK190" s="1181"/>
      <c r="NZL190" s="1181"/>
      <c r="NZM190" s="1181"/>
      <c r="NZN190" s="1181"/>
      <c r="NZO190" s="1181"/>
      <c r="NZP190" s="1181"/>
      <c r="NZQ190" s="1181"/>
      <c r="NZR190" s="1181"/>
      <c r="NZS190" s="1181"/>
      <c r="NZT190" s="1181"/>
      <c r="NZU190" s="1181"/>
      <c r="NZV190" s="1181"/>
      <c r="NZW190" s="1181"/>
      <c r="NZX190" s="1181"/>
      <c r="NZY190" s="1181"/>
      <c r="NZZ190" s="1181"/>
      <c r="OAA190" s="1181"/>
      <c r="OAB190" s="1181"/>
      <c r="OAC190" s="1181"/>
      <c r="OAD190" s="1181"/>
      <c r="OAE190" s="1181"/>
      <c r="OAF190" s="1181"/>
      <c r="OAG190" s="1181"/>
      <c r="OAH190" s="1181"/>
      <c r="OAI190" s="1181"/>
      <c r="OAJ190" s="1181"/>
      <c r="OAK190" s="1181"/>
      <c r="OAL190" s="1181"/>
      <c r="OAM190" s="1181"/>
      <c r="OAN190" s="1181"/>
      <c r="OAO190" s="1181"/>
      <c r="OAP190" s="1181"/>
      <c r="OAQ190" s="1181"/>
      <c r="OAR190" s="1181"/>
      <c r="OAS190" s="1181"/>
      <c r="OAT190" s="1181"/>
      <c r="OAU190" s="1181"/>
      <c r="OAV190" s="1181"/>
      <c r="OAW190" s="1181"/>
      <c r="OAX190" s="1181"/>
      <c r="OAY190" s="1181"/>
      <c r="OAZ190" s="1181"/>
      <c r="OBA190" s="1181"/>
      <c r="OBB190" s="1181"/>
      <c r="OBC190" s="1181"/>
      <c r="OBD190" s="1181"/>
      <c r="OBE190" s="1181"/>
      <c r="OBF190" s="1181"/>
      <c r="OBG190" s="1181"/>
      <c r="OBH190" s="1181"/>
      <c r="OBI190" s="1181"/>
      <c r="OBJ190" s="1181"/>
      <c r="OBK190" s="1181"/>
      <c r="OBL190" s="1181"/>
      <c r="OBM190" s="1181"/>
      <c r="OBN190" s="1181"/>
      <c r="OBO190" s="1181"/>
      <c r="OBP190" s="1181"/>
      <c r="OBQ190" s="1181"/>
      <c r="OBR190" s="1181"/>
      <c r="OBS190" s="1181"/>
      <c r="OBT190" s="1181"/>
      <c r="OBU190" s="1181"/>
      <c r="OBV190" s="1181"/>
      <c r="OBW190" s="1181"/>
      <c r="OBX190" s="1181"/>
      <c r="OBY190" s="1181"/>
      <c r="OBZ190" s="1181"/>
      <c r="OCA190" s="1181"/>
      <c r="OCB190" s="1181"/>
      <c r="OCC190" s="1181"/>
      <c r="OCD190" s="1181"/>
      <c r="OCE190" s="1181"/>
      <c r="OCF190" s="1181"/>
      <c r="OCG190" s="1181"/>
      <c r="OCH190" s="1181"/>
      <c r="OCI190" s="1181"/>
      <c r="OCJ190" s="1181"/>
      <c r="OCK190" s="1181"/>
      <c r="OCL190" s="1181"/>
      <c r="OCM190" s="1181"/>
      <c r="OCN190" s="1181"/>
      <c r="OCO190" s="1181"/>
      <c r="OCP190" s="1181"/>
      <c r="OCQ190" s="1181"/>
      <c r="OCR190" s="1181"/>
      <c r="OCS190" s="1181"/>
      <c r="OCT190" s="1181"/>
      <c r="OCU190" s="1181"/>
      <c r="OCV190" s="1181"/>
      <c r="OCW190" s="1181"/>
      <c r="OCX190" s="1181"/>
      <c r="OCY190" s="1181"/>
      <c r="OCZ190" s="1181"/>
      <c r="ODA190" s="1181"/>
      <c r="ODB190" s="1181"/>
      <c r="ODC190" s="1181"/>
      <c r="ODD190" s="1181"/>
      <c r="ODE190" s="1181"/>
      <c r="ODF190" s="1181"/>
      <c r="ODG190" s="1181"/>
      <c r="ODH190" s="1181"/>
      <c r="ODI190" s="1181"/>
      <c r="ODJ190" s="1181"/>
      <c r="ODK190" s="1181"/>
      <c r="ODL190" s="1181"/>
      <c r="ODM190" s="1181"/>
      <c r="ODN190" s="1181"/>
      <c r="ODO190" s="1181"/>
      <c r="ODP190" s="1181"/>
      <c r="ODQ190" s="1181"/>
      <c r="ODR190" s="1181"/>
      <c r="ODS190" s="1181"/>
      <c r="ODT190" s="1181"/>
      <c r="ODU190" s="1181"/>
      <c r="ODV190" s="1181"/>
      <c r="ODW190" s="1181"/>
      <c r="ODX190" s="1181"/>
      <c r="ODY190" s="1181"/>
      <c r="ODZ190" s="1181"/>
      <c r="OEA190" s="1181"/>
      <c r="OEB190" s="1181"/>
      <c r="OEC190" s="1181"/>
      <c r="OED190" s="1181"/>
      <c r="OEE190" s="1181"/>
      <c r="OEF190" s="1181"/>
      <c r="OEG190" s="1181"/>
      <c r="OEH190" s="1181"/>
      <c r="OEI190" s="1181"/>
      <c r="OEJ190" s="1181"/>
      <c r="OEK190" s="1181"/>
      <c r="OEL190" s="1181"/>
      <c r="OEM190" s="1181"/>
      <c r="OEN190" s="1181"/>
      <c r="OEO190" s="1181"/>
      <c r="OEP190" s="1181"/>
      <c r="OEQ190" s="1181"/>
      <c r="OER190" s="1181"/>
      <c r="OES190" s="1181"/>
      <c r="OET190" s="1181"/>
      <c r="OEU190" s="1181"/>
      <c r="OEV190" s="1181"/>
      <c r="OEW190" s="1181"/>
      <c r="OEX190" s="1181"/>
      <c r="OEY190" s="1181"/>
      <c r="OEZ190" s="1181"/>
      <c r="OFA190" s="1181"/>
      <c r="OFB190" s="1181"/>
      <c r="OFC190" s="1181"/>
      <c r="OFD190" s="1181"/>
      <c r="OFE190" s="1181"/>
      <c r="OFF190" s="1181"/>
      <c r="OFG190" s="1181"/>
      <c r="OFH190" s="1181"/>
      <c r="OFI190" s="1181"/>
      <c r="OFJ190" s="1181"/>
      <c r="OFK190" s="1181"/>
      <c r="OFL190" s="1181"/>
      <c r="OFM190" s="1181"/>
      <c r="OFN190" s="1181"/>
      <c r="OFO190" s="1181"/>
      <c r="OFP190" s="1181"/>
      <c r="OFQ190" s="1181"/>
      <c r="OFR190" s="1181"/>
      <c r="OFS190" s="1181"/>
      <c r="OFT190" s="1181"/>
      <c r="OFU190" s="1181"/>
      <c r="OFV190" s="1181"/>
      <c r="OFW190" s="1181"/>
      <c r="OFX190" s="1181"/>
      <c r="OFY190" s="1181"/>
      <c r="OFZ190" s="1181"/>
      <c r="OGA190" s="1181"/>
      <c r="OGB190" s="1181"/>
      <c r="OGC190" s="1181"/>
      <c r="OGD190" s="1181"/>
      <c r="OGE190" s="1181"/>
      <c r="OGF190" s="1181"/>
      <c r="OGG190" s="1181"/>
      <c r="OGH190" s="1181"/>
      <c r="OGI190" s="1181"/>
      <c r="OGJ190" s="1181"/>
      <c r="OGK190" s="1181"/>
      <c r="OGL190" s="1181"/>
      <c r="OGM190" s="1181"/>
      <c r="OGN190" s="1181"/>
      <c r="OGO190" s="1181"/>
      <c r="OGP190" s="1181"/>
      <c r="OGQ190" s="1181"/>
      <c r="OGR190" s="1181"/>
      <c r="OGS190" s="1181"/>
      <c r="OGT190" s="1181"/>
      <c r="OGU190" s="1181"/>
      <c r="OGV190" s="1181"/>
      <c r="OGW190" s="1181"/>
      <c r="OGX190" s="1181"/>
      <c r="OGY190" s="1181"/>
      <c r="OGZ190" s="1181"/>
      <c r="OHA190" s="1181"/>
      <c r="OHB190" s="1181"/>
      <c r="OHC190" s="1181"/>
      <c r="OHD190" s="1181"/>
      <c r="OHE190" s="1181"/>
      <c r="OHF190" s="1181"/>
      <c r="OHG190" s="1181"/>
      <c r="OHH190" s="1181"/>
      <c r="OHI190" s="1181"/>
      <c r="OHJ190" s="1181"/>
      <c r="OHK190" s="1181"/>
      <c r="OHL190" s="1181"/>
      <c r="OHM190" s="1181"/>
      <c r="OHN190" s="1181"/>
      <c r="OHO190" s="1181"/>
      <c r="OHP190" s="1181"/>
      <c r="OHQ190" s="1181"/>
      <c r="OHR190" s="1181"/>
      <c r="OHS190" s="1181"/>
      <c r="OHT190" s="1181"/>
      <c r="OHU190" s="1181"/>
      <c r="OHV190" s="1181"/>
      <c r="OHW190" s="1181"/>
      <c r="OHX190" s="1181"/>
      <c r="OHY190" s="1181"/>
      <c r="OHZ190" s="1181"/>
      <c r="OIA190" s="1181"/>
      <c r="OIB190" s="1181"/>
      <c r="OIC190" s="1181"/>
      <c r="OID190" s="1181"/>
      <c r="OIE190" s="1181"/>
      <c r="OIF190" s="1181"/>
      <c r="OIG190" s="1181"/>
      <c r="OIH190" s="1181"/>
      <c r="OII190" s="1181"/>
      <c r="OIJ190" s="1181"/>
      <c r="OIK190" s="1181"/>
      <c r="OIL190" s="1181"/>
      <c r="OIM190" s="1181"/>
      <c r="OIN190" s="1181"/>
      <c r="OIO190" s="1181"/>
      <c r="OIP190" s="1181"/>
      <c r="OIQ190" s="1181"/>
      <c r="OIR190" s="1181"/>
      <c r="OIS190" s="1181"/>
      <c r="OIT190" s="1181"/>
      <c r="OIU190" s="1181"/>
      <c r="OIV190" s="1181"/>
      <c r="OIW190" s="1181"/>
      <c r="OIX190" s="1181"/>
      <c r="OIY190" s="1181"/>
      <c r="OIZ190" s="1181"/>
      <c r="OJA190" s="1181"/>
      <c r="OJB190" s="1181"/>
      <c r="OJC190" s="1181"/>
      <c r="OJD190" s="1181"/>
      <c r="OJE190" s="1181"/>
      <c r="OJF190" s="1181"/>
      <c r="OJG190" s="1181"/>
      <c r="OJH190" s="1181"/>
      <c r="OJI190" s="1181"/>
      <c r="OJJ190" s="1181"/>
      <c r="OJK190" s="1181"/>
      <c r="OJL190" s="1181"/>
      <c r="OJM190" s="1181"/>
      <c r="OJN190" s="1181"/>
      <c r="OJO190" s="1181"/>
      <c r="OJP190" s="1181"/>
      <c r="OJQ190" s="1181"/>
      <c r="OJR190" s="1181"/>
      <c r="OJS190" s="1181"/>
      <c r="OJT190" s="1181"/>
      <c r="OJU190" s="1181"/>
      <c r="OJV190" s="1181"/>
      <c r="OJW190" s="1181"/>
      <c r="OJX190" s="1181"/>
      <c r="OJY190" s="1181"/>
      <c r="OJZ190" s="1181"/>
      <c r="OKA190" s="1181"/>
      <c r="OKB190" s="1181"/>
      <c r="OKC190" s="1181"/>
      <c r="OKD190" s="1181"/>
      <c r="OKE190" s="1181"/>
      <c r="OKF190" s="1181"/>
      <c r="OKG190" s="1181"/>
      <c r="OKH190" s="1181"/>
      <c r="OKI190" s="1181"/>
      <c r="OKJ190" s="1181"/>
      <c r="OKK190" s="1181"/>
      <c r="OKL190" s="1181"/>
      <c r="OKM190" s="1181"/>
      <c r="OKN190" s="1181"/>
      <c r="OKO190" s="1181"/>
      <c r="OKP190" s="1181"/>
      <c r="OKQ190" s="1181"/>
      <c r="OKR190" s="1181"/>
      <c r="OKS190" s="1181"/>
      <c r="OKT190" s="1181"/>
      <c r="OKU190" s="1181"/>
      <c r="OKV190" s="1181"/>
      <c r="OKW190" s="1181"/>
      <c r="OKX190" s="1181"/>
      <c r="OKY190" s="1181"/>
      <c r="OKZ190" s="1181"/>
      <c r="OLA190" s="1181"/>
      <c r="OLB190" s="1181"/>
      <c r="OLC190" s="1181"/>
      <c r="OLD190" s="1181"/>
      <c r="OLE190" s="1181"/>
      <c r="OLF190" s="1181"/>
      <c r="OLG190" s="1181"/>
      <c r="OLH190" s="1181"/>
      <c r="OLI190" s="1181"/>
      <c r="OLJ190" s="1181"/>
      <c r="OLK190" s="1181"/>
      <c r="OLL190" s="1181"/>
      <c r="OLM190" s="1181"/>
      <c r="OLN190" s="1181"/>
      <c r="OLO190" s="1181"/>
      <c r="OLP190" s="1181"/>
      <c r="OLQ190" s="1181"/>
      <c r="OLR190" s="1181"/>
      <c r="OLS190" s="1181"/>
      <c r="OLT190" s="1181"/>
      <c r="OLU190" s="1181"/>
      <c r="OLV190" s="1181"/>
      <c r="OLW190" s="1181"/>
      <c r="OLX190" s="1181"/>
      <c r="OLY190" s="1181"/>
      <c r="OLZ190" s="1181"/>
      <c r="OMA190" s="1181"/>
      <c r="OMB190" s="1181"/>
      <c r="OMC190" s="1181"/>
      <c r="OMD190" s="1181"/>
      <c r="OME190" s="1181"/>
      <c r="OMF190" s="1181"/>
      <c r="OMG190" s="1181"/>
      <c r="OMH190" s="1181"/>
      <c r="OMI190" s="1181"/>
      <c r="OMJ190" s="1181"/>
      <c r="OMK190" s="1181"/>
      <c r="OML190" s="1181"/>
      <c r="OMM190" s="1181"/>
      <c r="OMN190" s="1181"/>
      <c r="OMO190" s="1181"/>
      <c r="OMP190" s="1181"/>
      <c r="OMQ190" s="1181"/>
      <c r="OMR190" s="1181"/>
      <c r="OMS190" s="1181"/>
      <c r="OMT190" s="1181"/>
      <c r="OMU190" s="1181"/>
      <c r="OMV190" s="1181"/>
      <c r="OMW190" s="1181"/>
      <c r="OMX190" s="1181"/>
      <c r="OMY190" s="1181"/>
      <c r="OMZ190" s="1181"/>
      <c r="ONA190" s="1181"/>
      <c r="ONB190" s="1181"/>
      <c r="ONC190" s="1181"/>
      <c r="OND190" s="1181"/>
      <c r="ONE190" s="1181"/>
      <c r="ONF190" s="1181"/>
      <c r="ONG190" s="1181"/>
      <c r="ONH190" s="1181"/>
      <c r="ONI190" s="1181"/>
      <c r="ONJ190" s="1181"/>
      <c r="ONK190" s="1181"/>
      <c r="ONL190" s="1181"/>
      <c r="ONM190" s="1181"/>
      <c r="ONN190" s="1181"/>
      <c r="ONO190" s="1181"/>
      <c r="ONP190" s="1181"/>
      <c r="ONQ190" s="1181"/>
      <c r="ONR190" s="1181"/>
      <c r="ONS190" s="1181"/>
      <c r="ONT190" s="1181"/>
      <c r="ONU190" s="1181"/>
      <c r="ONV190" s="1181"/>
      <c r="ONW190" s="1181"/>
      <c r="ONX190" s="1181"/>
      <c r="ONY190" s="1181"/>
      <c r="ONZ190" s="1181"/>
      <c r="OOA190" s="1181"/>
      <c r="OOB190" s="1181"/>
      <c r="OOC190" s="1181"/>
      <c r="OOD190" s="1181"/>
      <c r="OOE190" s="1181"/>
      <c r="OOF190" s="1181"/>
      <c r="OOG190" s="1181"/>
      <c r="OOH190" s="1181"/>
      <c r="OOI190" s="1181"/>
      <c r="OOJ190" s="1181"/>
      <c r="OOK190" s="1181"/>
      <c r="OOL190" s="1181"/>
      <c r="OOM190" s="1181"/>
      <c r="OON190" s="1181"/>
      <c r="OOO190" s="1181"/>
      <c r="OOP190" s="1181"/>
      <c r="OOQ190" s="1181"/>
      <c r="OOR190" s="1181"/>
      <c r="OOS190" s="1181"/>
      <c r="OOT190" s="1181"/>
      <c r="OOU190" s="1181"/>
      <c r="OOV190" s="1181"/>
      <c r="OOW190" s="1181"/>
      <c r="OOX190" s="1181"/>
      <c r="OOY190" s="1181"/>
      <c r="OOZ190" s="1181"/>
      <c r="OPA190" s="1181"/>
      <c r="OPB190" s="1181"/>
      <c r="OPC190" s="1181"/>
      <c r="OPD190" s="1181"/>
      <c r="OPE190" s="1181"/>
      <c r="OPF190" s="1181"/>
      <c r="OPG190" s="1181"/>
      <c r="OPH190" s="1181"/>
      <c r="OPI190" s="1181"/>
      <c r="OPJ190" s="1181"/>
      <c r="OPK190" s="1181"/>
      <c r="OPL190" s="1181"/>
      <c r="OPM190" s="1181"/>
      <c r="OPN190" s="1181"/>
      <c r="OPO190" s="1181"/>
      <c r="OPP190" s="1181"/>
      <c r="OPQ190" s="1181"/>
      <c r="OPR190" s="1181"/>
      <c r="OPS190" s="1181"/>
      <c r="OPT190" s="1181"/>
      <c r="OPU190" s="1181"/>
      <c r="OPV190" s="1181"/>
      <c r="OPW190" s="1181"/>
      <c r="OPX190" s="1181"/>
      <c r="OPY190" s="1181"/>
      <c r="OPZ190" s="1181"/>
      <c r="OQA190" s="1181"/>
      <c r="OQB190" s="1181"/>
      <c r="OQC190" s="1181"/>
      <c r="OQD190" s="1181"/>
      <c r="OQE190" s="1181"/>
      <c r="OQF190" s="1181"/>
      <c r="OQG190" s="1181"/>
      <c r="OQH190" s="1181"/>
      <c r="OQI190" s="1181"/>
      <c r="OQJ190" s="1181"/>
      <c r="OQK190" s="1181"/>
      <c r="OQL190" s="1181"/>
      <c r="OQM190" s="1181"/>
      <c r="OQN190" s="1181"/>
      <c r="OQO190" s="1181"/>
      <c r="OQP190" s="1181"/>
      <c r="OQQ190" s="1181"/>
      <c r="OQR190" s="1181"/>
      <c r="OQS190" s="1181"/>
      <c r="OQT190" s="1181"/>
      <c r="OQU190" s="1181"/>
      <c r="OQV190" s="1181"/>
      <c r="OQW190" s="1181"/>
      <c r="OQX190" s="1181"/>
      <c r="OQY190" s="1181"/>
      <c r="OQZ190" s="1181"/>
      <c r="ORA190" s="1181"/>
      <c r="ORB190" s="1181"/>
      <c r="ORC190" s="1181"/>
      <c r="ORD190" s="1181"/>
      <c r="ORE190" s="1181"/>
      <c r="ORF190" s="1181"/>
      <c r="ORG190" s="1181"/>
      <c r="ORH190" s="1181"/>
      <c r="ORI190" s="1181"/>
      <c r="ORJ190" s="1181"/>
      <c r="ORK190" s="1181"/>
      <c r="ORL190" s="1181"/>
      <c r="ORM190" s="1181"/>
      <c r="ORN190" s="1181"/>
      <c r="ORO190" s="1181"/>
      <c r="ORP190" s="1181"/>
      <c r="ORQ190" s="1181"/>
      <c r="ORR190" s="1181"/>
      <c r="ORS190" s="1181"/>
      <c r="ORT190" s="1181"/>
      <c r="ORU190" s="1181"/>
      <c r="ORV190" s="1181"/>
      <c r="ORW190" s="1181"/>
      <c r="ORX190" s="1181"/>
      <c r="ORY190" s="1181"/>
      <c r="ORZ190" s="1181"/>
      <c r="OSA190" s="1181"/>
      <c r="OSB190" s="1181"/>
      <c r="OSC190" s="1181"/>
      <c r="OSD190" s="1181"/>
      <c r="OSE190" s="1181"/>
      <c r="OSF190" s="1181"/>
      <c r="OSG190" s="1181"/>
      <c r="OSH190" s="1181"/>
      <c r="OSI190" s="1181"/>
      <c r="OSJ190" s="1181"/>
      <c r="OSK190" s="1181"/>
      <c r="OSL190" s="1181"/>
      <c r="OSM190" s="1181"/>
      <c r="OSN190" s="1181"/>
      <c r="OSO190" s="1181"/>
      <c r="OSP190" s="1181"/>
      <c r="OSQ190" s="1181"/>
      <c r="OSR190" s="1181"/>
      <c r="OSS190" s="1181"/>
      <c r="OST190" s="1181"/>
      <c r="OSU190" s="1181"/>
      <c r="OSV190" s="1181"/>
      <c r="OSW190" s="1181"/>
      <c r="OSX190" s="1181"/>
      <c r="OSY190" s="1181"/>
      <c r="OSZ190" s="1181"/>
      <c r="OTA190" s="1181"/>
      <c r="OTB190" s="1181"/>
      <c r="OTC190" s="1181"/>
      <c r="OTD190" s="1181"/>
      <c r="OTE190" s="1181"/>
      <c r="OTF190" s="1181"/>
      <c r="OTG190" s="1181"/>
      <c r="OTH190" s="1181"/>
      <c r="OTI190" s="1181"/>
      <c r="OTJ190" s="1181"/>
      <c r="OTK190" s="1181"/>
      <c r="OTL190" s="1181"/>
      <c r="OTM190" s="1181"/>
      <c r="OTN190" s="1181"/>
      <c r="OTO190" s="1181"/>
      <c r="OTP190" s="1181"/>
      <c r="OTQ190" s="1181"/>
      <c r="OTR190" s="1181"/>
      <c r="OTS190" s="1181"/>
      <c r="OTT190" s="1181"/>
      <c r="OTU190" s="1181"/>
      <c r="OTV190" s="1181"/>
      <c r="OTW190" s="1181"/>
      <c r="OTX190" s="1181"/>
      <c r="OTY190" s="1181"/>
      <c r="OTZ190" s="1181"/>
      <c r="OUA190" s="1181"/>
      <c r="OUB190" s="1181"/>
      <c r="OUC190" s="1181"/>
      <c r="OUD190" s="1181"/>
      <c r="OUE190" s="1181"/>
      <c r="OUF190" s="1181"/>
      <c r="OUG190" s="1181"/>
      <c r="OUH190" s="1181"/>
      <c r="OUI190" s="1181"/>
      <c r="OUJ190" s="1181"/>
      <c r="OUK190" s="1181"/>
      <c r="OUL190" s="1181"/>
      <c r="OUM190" s="1181"/>
      <c r="OUN190" s="1181"/>
      <c r="OUO190" s="1181"/>
      <c r="OUP190" s="1181"/>
      <c r="OUQ190" s="1181"/>
      <c r="OUR190" s="1181"/>
      <c r="OUS190" s="1181"/>
      <c r="OUT190" s="1181"/>
      <c r="OUU190" s="1181"/>
      <c r="OUV190" s="1181"/>
      <c r="OUW190" s="1181"/>
      <c r="OUX190" s="1181"/>
      <c r="OUY190" s="1181"/>
      <c r="OUZ190" s="1181"/>
      <c r="OVA190" s="1181"/>
      <c r="OVB190" s="1181"/>
      <c r="OVC190" s="1181"/>
      <c r="OVD190" s="1181"/>
      <c r="OVE190" s="1181"/>
      <c r="OVF190" s="1181"/>
      <c r="OVG190" s="1181"/>
      <c r="OVH190" s="1181"/>
      <c r="OVI190" s="1181"/>
      <c r="OVJ190" s="1181"/>
      <c r="OVK190" s="1181"/>
      <c r="OVL190" s="1181"/>
      <c r="OVM190" s="1181"/>
      <c r="OVN190" s="1181"/>
      <c r="OVO190" s="1181"/>
      <c r="OVP190" s="1181"/>
      <c r="OVQ190" s="1181"/>
      <c r="OVR190" s="1181"/>
      <c r="OVS190" s="1181"/>
      <c r="OVT190" s="1181"/>
      <c r="OVU190" s="1181"/>
      <c r="OVV190" s="1181"/>
      <c r="OVW190" s="1181"/>
      <c r="OVX190" s="1181"/>
      <c r="OVY190" s="1181"/>
      <c r="OVZ190" s="1181"/>
      <c r="OWA190" s="1181"/>
      <c r="OWB190" s="1181"/>
      <c r="OWC190" s="1181"/>
      <c r="OWD190" s="1181"/>
      <c r="OWE190" s="1181"/>
      <c r="OWF190" s="1181"/>
      <c r="OWG190" s="1181"/>
      <c r="OWH190" s="1181"/>
      <c r="OWI190" s="1181"/>
      <c r="OWJ190" s="1181"/>
      <c r="OWK190" s="1181"/>
      <c r="OWL190" s="1181"/>
      <c r="OWM190" s="1181"/>
      <c r="OWN190" s="1181"/>
      <c r="OWO190" s="1181"/>
      <c r="OWP190" s="1181"/>
      <c r="OWQ190" s="1181"/>
      <c r="OWR190" s="1181"/>
      <c r="OWS190" s="1181"/>
      <c r="OWT190" s="1181"/>
      <c r="OWU190" s="1181"/>
      <c r="OWV190" s="1181"/>
      <c r="OWW190" s="1181"/>
      <c r="OWX190" s="1181"/>
      <c r="OWY190" s="1181"/>
      <c r="OWZ190" s="1181"/>
      <c r="OXA190" s="1181"/>
      <c r="OXB190" s="1181"/>
      <c r="OXC190" s="1181"/>
      <c r="OXD190" s="1181"/>
      <c r="OXE190" s="1181"/>
      <c r="OXF190" s="1181"/>
      <c r="OXG190" s="1181"/>
      <c r="OXH190" s="1181"/>
      <c r="OXI190" s="1181"/>
      <c r="OXJ190" s="1181"/>
      <c r="OXK190" s="1181"/>
      <c r="OXL190" s="1181"/>
      <c r="OXM190" s="1181"/>
      <c r="OXN190" s="1181"/>
      <c r="OXO190" s="1181"/>
      <c r="OXP190" s="1181"/>
      <c r="OXQ190" s="1181"/>
      <c r="OXR190" s="1181"/>
      <c r="OXS190" s="1181"/>
      <c r="OXT190" s="1181"/>
      <c r="OXU190" s="1181"/>
      <c r="OXV190" s="1181"/>
      <c r="OXW190" s="1181"/>
      <c r="OXX190" s="1181"/>
      <c r="OXY190" s="1181"/>
      <c r="OXZ190" s="1181"/>
      <c r="OYA190" s="1181"/>
      <c r="OYB190" s="1181"/>
      <c r="OYC190" s="1181"/>
      <c r="OYD190" s="1181"/>
      <c r="OYE190" s="1181"/>
      <c r="OYF190" s="1181"/>
      <c r="OYG190" s="1181"/>
      <c r="OYH190" s="1181"/>
      <c r="OYI190" s="1181"/>
      <c r="OYJ190" s="1181"/>
      <c r="OYK190" s="1181"/>
      <c r="OYL190" s="1181"/>
      <c r="OYM190" s="1181"/>
      <c r="OYN190" s="1181"/>
      <c r="OYO190" s="1181"/>
      <c r="OYP190" s="1181"/>
      <c r="OYQ190" s="1181"/>
      <c r="OYR190" s="1181"/>
      <c r="OYS190" s="1181"/>
      <c r="OYT190" s="1181"/>
      <c r="OYU190" s="1181"/>
      <c r="OYV190" s="1181"/>
      <c r="OYW190" s="1181"/>
      <c r="OYX190" s="1181"/>
      <c r="OYY190" s="1181"/>
      <c r="OYZ190" s="1181"/>
      <c r="OZA190" s="1181"/>
      <c r="OZB190" s="1181"/>
      <c r="OZC190" s="1181"/>
      <c r="OZD190" s="1181"/>
      <c r="OZE190" s="1181"/>
      <c r="OZF190" s="1181"/>
      <c r="OZG190" s="1181"/>
      <c r="OZH190" s="1181"/>
      <c r="OZI190" s="1181"/>
      <c r="OZJ190" s="1181"/>
      <c r="OZK190" s="1181"/>
      <c r="OZL190" s="1181"/>
      <c r="OZM190" s="1181"/>
      <c r="OZN190" s="1181"/>
      <c r="OZO190" s="1181"/>
      <c r="OZP190" s="1181"/>
      <c r="OZQ190" s="1181"/>
      <c r="OZR190" s="1181"/>
      <c r="OZS190" s="1181"/>
      <c r="OZT190" s="1181"/>
      <c r="OZU190" s="1181"/>
      <c r="OZV190" s="1181"/>
      <c r="OZW190" s="1181"/>
      <c r="OZX190" s="1181"/>
      <c r="OZY190" s="1181"/>
      <c r="OZZ190" s="1181"/>
      <c r="PAA190" s="1181"/>
      <c r="PAB190" s="1181"/>
      <c r="PAC190" s="1181"/>
      <c r="PAD190" s="1181"/>
      <c r="PAE190" s="1181"/>
      <c r="PAF190" s="1181"/>
      <c r="PAG190" s="1181"/>
      <c r="PAH190" s="1181"/>
      <c r="PAI190" s="1181"/>
      <c r="PAJ190" s="1181"/>
      <c r="PAK190" s="1181"/>
      <c r="PAL190" s="1181"/>
      <c r="PAM190" s="1181"/>
      <c r="PAN190" s="1181"/>
      <c r="PAO190" s="1181"/>
      <c r="PAP190" s="1181"/>
      <c r="PAQ190" s="1181"/>
      <c r="PAR190" s="1181"/>
      <c r="PAS190" s="1181"/>
      <c r="PAT190" s="1181"/>
      <c r="PAU190" s="1181"/>
      <c r="PAV190" s="1181"/>
      <c r="PAW190" s="1181"/>
      <c r="PAX190" s="1181"/>
      <c r="PAY190" s="1181"/>
      <c r="PAZ190" s="1181"/>
      <c r="PBA190" s="1181"/>
      <c r="PBB190" s="1181"/>
      <c r="PBC190" s="1181"/>
      <c r="PBD190" s="1181"/>
      <c r="PBE190" s="1181"/>
      <c r="PBF190" s="1181"/>
      <c r="PBG190" s="1181"/>
      <c r="PBH190" s="1181"/>
      <c r="PBI190" s="1181"/>
      <c r="PBJ190" s="1181"/>
      <c r="PBK190" s="1181"/>
      <c r="PBL190" s="1181"/>
      <c r="PBM190" s="1181"/>
      <c r="PBN190" s="1181"/>
      <c r="PBO190" s="1181"/>
      <c r="PBP190" s="1181"/>
      <c r="PBQ190" s="1181"/>
      <c r="PBR190" s="1181"/>
      <c r="PBS190" s="1181"/>
      <c r="PBT190" s="1181"/>
      <c r="PBU190" s="1181"/>
      <c r="PBV190" s="1181"/>
      <c r="PBW190" s="1181"/>
      <c r="PBX190" s="1181"/>
      <c r="PBY190" s="1181"/>
      <c r="PBZ190" s="1181"/>
      <c r="PCA190" s="1181"/>
      <c r="PCB190" s="1181"/>
      <c r="PCC190" s="1181"/>
      <c r="PCD190" s="1181"/>
      <c r="PCE190" s="1181"/>
      <c r="PCF190" s="1181"/>
      <c r="PCG190" s="1181"/>
      <c r="PCH190" s="1181"/>
      <c r="PCI190" s="1181"/>
      <c r="PCJ190" s="1181"/>
      <c r="PCK190" s="1181"/>
      <c r="PCL190" s="1181"/>
      <c r="PCM190" s="1181"/>
      <c r="PCN190" s="1181"/>
      <c r="PCO190" s="1181"/>
      <c r="PCP190" s="1181"/>
      <c r="PCQ190" s="1181"/>
      <c r="PCR190" s="1181"/>
      <c r="PCS190" s="1181"/>
      <c r="PCT190" s="1181"/>
      <c r="PCU190" s="1181"/>
      <c r="PCV190" s="1181"/>
      <c r="PCW190" s="1181"/>
      <c r="PCX190" s="1181"/>
      <c r="PCY190" s="1181"/>
      <c r="PCZ190" s="1181"/>
      <c r="PDA190" s="1181"/>
      <c r="PDB190" s="1181"/>
      <c r="PDC190" s="1181"/>
      <c r="PDD190" s="1181"/>
      <c r="PDE190" s="1181"/>
      <c r="PDF190" s="1181"/>
      <c r="PDG190" s="1181"/>
      <c r="PDH190" s="1181"/>
      <c r="PDI190" s="1181"/>
      <c r="PDJ190" s="1181"/>
      <c r="PDK190" s="1181"/>
      <c r="PDL190" s="1181"/>
      <c r="PDM190" s="1181"/>
      <c r="PDN190" s="1181"/>
      <c r="PDO190" s="1181"/>
      <c r="PDP190" s="1181"/>
      <c r="PDQ190" s="1181"/>
      <c r="PDR190" s="1181"/>
      <c r="PDS190" s="1181"/>
      <c r="PDT190" s="1181"/>
      <c r="PDU190" s="1181"/>
      <c r="PDV190" s="1181"/>
      <c r="PDW190" s="1181"/>
      <c r="PDX190" s="1181"/>
      <c r="PDY190" s="1181"/>
      <c r="PDZ190" s="1181"/>
      <c r="PEA190" s="1181"/>
      <c r="PEB190" s="1181"/>
      <c r="PEC190" s="1181"/>
      <c r="PED190" s="1181"/>
      <c r="PEE190" s="1181"/>
      <c r="PEF190" s="1181"/>
      <c r="PEG190" s="1181"/>
      <c r="PEH190" s="1181"/>
      <c r="PEI190" s="1181"/>
      <c r="PEJ190" s="1181"/>
      <c r="PEK190" s="1181"/>
      <c r="PEL190" s="1181"/>
      <c r="PEM190" s="1181"/>
      <c r="PEN190" s="1181"/>
      <c r="PEO190" s="1181"/>
      <c r="PEP190" s="1181"/>
      <c r="PEQ190" s="1181"/>
      <c r="PER190" s="1181"/>
      <c r="PES190" s="1181"/>
      <c r="PET190" s="1181"/>
      <c r="PEU190" s="1181"/>
      <c r="PEV190" s="1181"/>
      <c r="PEW190" s="1181"/>
      <c r="PEX190" s="1181"/>
      <c r="PEY190" s="1181"/>
      <c r="PEZ190" s="1181"/>
      <c r="PFA190" s="1181"/>
      <c r="PFB190" s="1181"/>
      <c r="PFC190" s="1181"/>
      <c r="PFD190" s="1181"/>
      <c r="PFE190" s="1181"/>
      <c r="PFF190" s="1181"/>
      <c r="PFG190" s="1181"/>
      <c r="PFH190" s="1181"/>
      <c r="PFI190" s="1181"/>
      <c r="PFJ190" s="1181"/>
      <c r="PFK190" s="1181"/>
      <c r="PFL190" s="1181"/>
      <c r="PFM190" s="1181"/>
      <c r="PFN190" s="1181"/>
      <c r="PFO190" s="1181"/>
      <c r="PFP190" s="1181"/>
      <c r="PFQ190" s="1181"/>
      <c r="PFR190" s="1181"/>
      <c r="PFS190" s="1181"/>
      <c r="PFT190" s="1181"/>
      <c r="PFU190" s="1181"/>
      <c r="PFV190" s="1181"/>
      <c r="PFW190" s="1181"/>
      <c r="PFX190" s="1181"/>
      <c r="PFY190" s="1181"/>
      <c r="PFZ190" s="1181"/>
      <c r="PGA190" s="1181"/>
      <c r="PGB190" s="1181"/>
      <c r="PGC190" s="1181"/>
      <c r="PGD190" s="1181"/>
      <c r="PGE190" s="1181"/>
      <c r="PGF190" s="1181"/>
      <c r="PGG190" s="1181"/>
      <c r="PGH190" s="1181"/>
      <c r="PGI190" s="1181"/>
      <c r="PGJ190" s="1181"/>
      <c r="PGK190" s="1181"/>
      <c r="PGL190" s="1181"/>
      <c r="PGM190" s="1181"/>
      <c r="PGN190" s="1181"/>
      <c r="PGO190" s="1181"/>
      <c r="PGP190" s="1181"/>
      <c r="PGQ190" s="1181"/>
      <c r="PGR190" s="1181"/>
      <c r="PGS190" s="1181"/>
      <c r="PGT190" s="1181"/>
      <c r="PGU190" s="1181"/>
      <c r="PGV190" s="1181"/>
      <c r="PGW190" s="1181"/>
      <c r="PGX190" s="1181"/>
      <c r="PGY190" s="1181"/>
      <c r="PGZ190" s="1181"/>
      <c r="PHA190" s="1181"/>
      <c r="PHB190" s="1181"/>
      <c r="PHC190" s="1181"/>
      <c r="PHD190" s="1181"/>
      <c r="PHE190" s="1181"/>
      <c r="PHF190" s="1181"/>
      <c r="PHG190" s="1181"/>
      <c r="PHH190" s="1181"/>
      <c r="PHI190" s="1181"/>
      <c r="PHJ190" s="1181"/>
      <c r="PHK190" s="1181"/>
      <c r="PHL190" s="1181"/>
      <c r="PHM190" s="1181"/>
      <c r="PHN190" s="1181"/>
      <c r="PHO190" s="1181"/>
      <c r="PHP190" s="1181"/>
      <c r="PHQ190" s="1181"/>
      <c r="PHR190" s="1181"/>
      <c r="PHS190" s="1181"/>
      <c r="PHT190" s="1181"/>
      <c r="PHU190" s="1181"/>
      <c r="PHV190" s="1181"/>
      <c r="PHW190" s="1181"/>
      <c r="PHX190" s="1181"/>
      <c r="PHY190" s="1181"/>
      <c r="PHZ190" s="1181"/>
      <c r="PIA190" s="1181"/>
      <c r="PIB190" s="1181"/>
      <c r="PIC190" s="1181"/>
      <c r="PID190" s="1181"/>
      <c r="PIE190" s="1181"/>
      <c r="PIF190" s="1181"/>
      <c r="PIG190" s="1181"/>
      <c r="PIH190" s="1181"/>
      <c r="PII190" s="1181"/>
      <c r="PIJ190" s="1181"/>
      <c r="PIK190" s="1181"/>
      <c r="PIL190" s="1181"/>
      <c r="PIM190" s="1181"/>
      <c r="PIN190" s="1181"/>
      <c r="PIO190" s="1181"/>
      <c r="PIP190" s="1181"/>
      <c r="PIQ190" s="1181"/>
      <c r="PIR190" s="1181"/>
      <c r="PIS190" s="1181"/>
      <c r="PIT190" s="1181"/>
      <c r="PIU190" s="1181"/>
      <c r="PIV190" s="1181"/>
      <c r="PIW190" s="1181"/>
      <c r="PIX190" s="1181"/>
      <c r="PIY190" s="1181"/>
      <c r="PIZ190" s="1181"/>
      <c r="PJA190" s="1181"/>
      <c r="PJB190" s="1181"/>
      <c r="PJC190" s="1181"/>
      <c r="PJD190" s="1181"/>
      <c r="PJE190" s="1181"/>
      <c r="PJF190" s="1181"/>
      <c r="PJG190" s="1181"/>
      <c r="PJH190" s="1181"/>
      <c r="PJI190" s="1181"/>
      <c r="PJJ190" s="1181"/>
      <c r="PJK190" s="1181"/>
      <c r="PJL190" s="1181"/>
      <c r="PJM190" s="1181"/>
      <c r="PJN190" s="1181"/>
      <c r="PJO190" s="1181"/>
      <c r="PJP190" s="1181"/>
      <c r="PJQ190" s="1181"/>
      <c r="PJR190" s="1181"/>
      <c r="PJS190" s="1181"/>
      <c r="PJT190" s="1181"/>
      <c r="PJU190" s="1181"/>
      <c r="PJV190" s="1181"/>
      <c r="PJW190" s="1181"/>
      <c r="PJX190" s="1181"/>
      <c r="PJY190" s="1181"/>
      <c r="PJZ190" s="1181"/>
      <c r="PKA190" s="1181"/>
      <c r="PKB190" s="1181"/>
      <c r="PKC190" s="1181"/>
      <c r="PKD190" s="1181"/>
      <c r="PKE190" s="1181"/>
      <c r="PKF190" s="1181"/>
      <c r="PKG190" s="1181"/>
      <c r="PKH190" s="1181"/>
      <c r="PKI190" s="1181"/>
      <c r="PKJ190" s="1181"/>
      <c r="PKK190" s="1181"/>
      <c r="PKL190" s="1181"/>
      <c r="PKM190" s="1181"/>
      <c r="PKN190" s="1181"/>
      <c r="PKO190" s="1181"/>
      <c r="PKP190" s="1181"/>
      <c r="PKQ190" s="1181"/>
      <c r="PKR190" s="1181"/>
      <c r="PKS190" s="1181"/>
      <c r="PKT190" s="1181"/>
      <c r="PKU190" s="1181"/>
      <c r="PKV190" s="1181"/>
      <c r="PKW190" s="1181"/>
      <c r="PKX190" s="1181"/>
      <c r="PKY190" s="1181"/>
      <c r="PKZ190" s="1181"/>
      <c r="PLA190" s="1181"/>
      <c r="PLB190" s="1181"/>
      <c r="PLC190" s="1181"/>
      <c r="PLD190" s="1181"/>
      <c r="PLE190" s="1181"/>
      <c r="PLF190" s="1181"/>
      <c r="PLG190" s="1181"/>
      <c r="PLH190" s="1181"/>
      <c r="PLI190" s="1181"/>
      <c r="PLJ190" s="1181"/>
      <c r="PLK190" s="1181"/>
      <c r="PLL190" s="1181"/>
      <c r="PLM190" s="1181"/>
      <c r="PLN190" s="1181"/>
      <c r="PLO190" s="1181"/>
      <c r="PLP190" s="1181"/>
      <c r="PLQ190" s="1181"/>
      <c r="PLR190" s="1181"/>
      <c r="PLS190" s="1181"/>
      <c r="PLT190" s="1181"/>
      <c r="PLU190" s="1181"/>
      <c r="PLV190" s="1181"/>
      <c r="PLW190" s="1181"/>
      <c r="PLX190" s="1181"/>
      <c r="PLY190" s="1181"/>
      <c r="PLZ190" s="1181"/>
      <c r="PMA190" s="1181"/>
      <c r="PMB190" s="1181"/>
      <c r="PMC190" s="1181"/>
      <c r="PMD190" s="1181"/>
      <c r="PME190" s="1181"/>
      <c r="PMF190" s="1181"/>
      <c r="PMG190" s="1181"/>
      <c r="PMH190" s="1181"/>
      <c r="PMI190" s="1181"/>
      <c r="PMJ190" s="1181"/>
      <c r="PMK190" s="1181"/>
      <c r="PML190" s="1181"/>
      <c r="PMM190" s="1181"/>
      <c r="PMN190" s="1181"/>
      <c r="PMO190" s="1181"/>
      <c r="PMP190" s="1181"/>
      <c r="PMQ190" s="1181"/>
      <c r="PMR190" s="1181"/>
      <c r="PMS190" s="1181"/>
      <c r="PMT190" s="1181"/>
      <c r="PMU190" s="1181"/>
      <c r="PMV190" s="1181"/>
      <c r="PMW190" s="1181"/>
      <c r="PMX190" s="1181"/>
      <c r="PMY190" s="1181"/>
      <c r="PMZ190" s="1181"/>
      <c r="PNA190" s="1181"/>
      <c r="PNB190" s="1181"/>
      <c r="PNC190" s="1181"/>
      <c r="PND190" s="1181"/>
      <c r="PNE190" s="1181"/>
      <c r="PNF190" s="1181"/>
      <c r="PNG190" s="1181"/>
      <c r="PNH190" s="1181"/>
      <c r="PNI190" s="1181"/>
      <c r="PNJ190" s="1181"/>
      <c r="PNK190" s="1181"/>
      <c r="PNL190" s="1181"/>
      <c r="PNM190" s="1181"/>
      <c r="PNN190" s="1181"/>
      <c r="PNO190" s="1181"/>
      <c r="PNP190" s="1181"/>
      <c r="PNQ190" s="1181"/>
      <c r="PNR190" s="1181"/>
      <c r="PNS190" s="1181"/>
      <c r="PNT190" s="1181"/>
      <c r="PNU190" s="1181"/>
      <c r="PNV190" s="1181"/>
      <c r="PNW190" s="1181"/>
      <c r="PNX190" s="1181"/>
      <c r="PNY190" s="1181"/>
      <c r="PNZ190" s="1181"/>
      <c r="POA190" s="1181"/>
      <c r="POB190" s="1181"/>
      <c r="POC190" s="1181"/>
      <c r="POD190" s="1181"/>
      <c r="POE190" s="1181"/>
      <c r="POF190" s="1181"/>
      <c r="POG190" s="1181"/>
      <c r="POH190" s="1181"/>
      <c r="POI190" s="1181"/>
      <c r="POJ190" s="1181"/>
      <c r="POK190" s="1181"/>
      <c r="POL190" s="1181"/>
      <c r="POM190" s="1181"/>
      <c r="PON190" s="1181"/>
      <c r="POO190" s="1181"/>
      <c r="POP190" s="1181"/>
      <c r="POQ190" s="1181"/>
      <c r="POR190" s="1181"/>
      <c r="POS190" s="1181"/>
      <c r="POT190" s="1181"/>
      <c r="POU190" s="1181"/>
      <c r="POV190" s="1181"/>
      <c r="POW190" s="1181"/>
      <c r="POX190" s="1181"/>
      <c r="POY190" s="1181"/>
      <c r="POZ190" s="1181"/>
      <c r="PPA190" s="1181"/>
      <c r="PPB190" s="1181"/>
      <c r="PPC190" s="1181"/>
      <c r="PPD190" s="1181"/>
      <c r="PPE190" s="1181"/>
      <c r="PPF190" s="1181"/>
      <c r="PPG190" s="1181"/>
      <c r="PPH190" s="1181"/>
      <c r="PPI190" s="1181"/>
      <c r="PPJ190" s="1181"/>
      <c r="PPK190" s="1181"/>
      <c r="PPL190" s="1181"/>
      <c r="PPM190" s="1181"/>
      <c r="PPN190" s="1181"/>
      <c r="PPO190" s="1181"/>
      <c r="PPP190" s="1181"/>
      <c r="PPQ190" s="1181"/>
      <c r="PPR190" s="1181"/>
      <c r="PPS190" s="1181"/>
      <c r="PPT190" s="1181"/>
      <c r="PPU190" s="1181"/>
      <c r="PPV190" s="1181"/>
      <c r="PPW190" s="1181"/>
      <c r="PPX190" s="1181"/>
      <c r="PPY190" s="1181"/>
      <c r="PPZ190" s="1181"/>
      <c r="PQA190" s="1181"/>
      <c r="PQB190" s="1181"/>
      <c r="PQC190" s="1181"/>
      <c r="PQD190" s="1181"/>
      <c r="PQE190" s="1181"/>
      <c r="PQF190" s="1181"/>
      <c r="PQG190" s="1181"/>
      <c r="PQH190" s="1181"/>
      <c r="PQI190" s="1181"/>
      <c r="PQJ190" s="1181"/>
      <c r="PQK190" s="1181"/>
      <c r="PQL190" s="1181"/>
      <c r="PQM190" s="1181"/>
      <c r="PQN190" s="1181"/>
      <c r="PQO190" s="1181"/>
      <c r="PQP190" s="1181"/>
      <c r="PQQ190" s="1181"/>
      <c r="PQR190" s="1181"/>
      <c r="PQS190" s="1181"/>
      <c r="PQT190" s="1181"/>
      <c r="PQU190" s="1181"/>
      <c r="PQV190" s="1181"/>
      <c r="PQW190" s="1181"/>
      <c r="PQX190" s="1181"/>
      <c r="PQY190" s="1181"/>
      <c r="PQZ190" s="1181"/>
      <c r="PRA190" s="1181"/>
      <c r="PRB190" s="1181"/>
      <c r="PRC190" s="1181"/>
      <c r="PRD190" s="1181"/>
      <c r="PRE190" s="1181"/>
      <c r="PRF190" s="1181"/>
      <c r="PRG190" s="1181"/>
      <c r="PRH190" s="1181"/>
      <c r="PRI190" s="1181"/>
      <c r="PRJ190" s="1181"/>
      <c r="PRK190" s="1181"/>
      <c r="PRL190" s="1181"/>
      <c r="PRM190" s="1181"/>
      <c r="PRN190" s="1181"/>
      <c r="PRO190" s="1181"/>
      <c r="PRP190" s="1181"/>
      <c r="PRQ190" s="1181"/>
      <c r="PRR190" s="1181"/>
      <c r="PRS190" s="1181"/>
      <c r="PRT190" s="1181"/>
      <c r="PRU190" s="1181"/>
      <c r="PRV190" s="1181"/>
      <c r="PRW190" s="1181"/>
      <c r="PRX190" s="1181"/>
      <c r="PRY190" s="1181"/>
      <c r="PRZ190" s="1181"/>
      <c r="PSA190" s="1181"/>
      <c r="PSB190" s="1181"/>
      <c r="PSC190" s="1181"/>
      <c r="PSD190" s="1181"/>
      <c r="PSE190" s="1181"/>
      <c r="PSF190" s="1181"/>
      <c r="PSG190" s="1181"/>
      <c r="PSH190" s="1181"/>
      <c r="PSI190" s="1181"/>
      <c r="PSJ190" s="1181"/>
      <c r="PSK190" s="1181"/>
      <c r="PSL190" s="1181"/>
      <c r="PSM190" s="1181"/>
      <c r="PSN190" s="1181"/>
      <c r="PSO190" s="1181"/>
      <c r="PSP190" s="1181"/>
      <c r="PSQ190" s="1181"/>
      <c r="PSR190" s="1181"/>
      <c r="PSS190" s="1181"/>
      <c r="PST190" s="1181"/>
      <c r="PSU190" s="1181"/>
      <c r="PSV190" s="1181"/>
      <c r="PSW190" s="1181"/>
      <c r="PSX190" s="1181"/>
      <c r="PSY190" s="1181"/>
      <c r="PSZ190" s="1181"/>
      <c r="PTA190" s="1181"/>
      <c r="PTB190" s="1181"/>
      <c r="PTC190" s="1181"/>
      <c r="PTD190" s="1181"/>
      <c r="PTE190" s="1181"/>
      <c r="PTF190" s="1181"/>
      <c r="PTG190" s="1181"/>
      <c r="PTH190" s="1181"/>
      <c r="PTI190" s="1181"/>
      <c r="PTJ190" s="1181"/>
      <c r="PTK190" s="1181"/>
      <c r="PTL190" s="1181"/>
      <c r="PTM190" s="1181"/>
      <c r="PTN190" s="1181"/>
      <c r="PTO190" s="1181"/>
      <c r="PTP190" s="1181"/>
      <c r="PTQ190" s="1181"/>
      <c r="PTR190" s="1181"/>
      <c r="PTS190" s="1181"/>
      <c r="PTT190" s="1181"/>
      <c r="PTU190" s="1181"/>
      <c r="PTV190" s="1181"/>
      <c r="PTW190" s="1181"/>
      <c r="PTX190" s="1181"/>
      <c r="PTY190" s="1181"/>
      <c r="PTZ190" s="1181"/>
      <c r="PUA190" s="1181"/>
      <c r="PUB190" s="1181"/>
      <c r="PUC190" s="1181"/>
      <c r="PUD190" s="1181"/>
      <c r="PUE190" s="1181"/>
      <c r="PUF190" s="1181"/>
      <c r="PUG190" s="1181"/>
      <c r="PUH190" s="1181"/>
      <c r="PUI190" s="1181"/>
      <c r="PUJ190" s="1181"/>
      <c r="PUK190" s="1181"/>
      <c r="PUL190" s="1181"/>
      <c r="PUM190" s="1181"/>
      <c r="PUN190" s="1181"/>
      <c r="PUO190" s="1181"/>
      <c r="PUP190" s="1181"/>
      <c r="PUQ190" s="1181"/>
      <c r="PUR190" s="1181"/>
      <c r="PUS190" s="1181"/>
      <c r="PUT190" s="1181"/>
      <c r="PUU190" s="1181"/>
      <c r="PUV190" s="1181"/>
      <c r="PUW190" s="1181"/>
      <c r="PUX190" s="1181"/>
      <c r="PUY190" s="1181"/>
      <c r="PUZ190" s="1181"/>
      <c r="PVA190" s="1181"/>
      <c r="PVB190" s="1181"/>
      <c r="PVC190" s="1181"/>
      <c r="PVD190" s="1181"/>
      <c r="PVE190" s="1181"/>
      <c r="PVF190" s="1181"/>
      <c r="PVG190" s="1181"/>
      <c r="PVH190" s="1181"/>
      <c r="PVI190" s="1181"/>
      <c r="PVJ190" s="1181"/>
      <c r="PVK190" s="1181"/>
      <c r="PVL190" s="1181"/>
      <c r="PVM190" s="1181"/>
      <c r="PVN190" s="1181"/>
      <c r="PVO190" s="1181"/>
      <c r="PVP190" s="1181"/>
      <c r="PVQ190" s="1181"/>
      <c r="PVR190" s="1181"/>
      <c r="PVS190" s="1181"/>
      <c r="PVT190" s="1181"/>
      <c r="PVU190" s="1181"/>
      <c r="PVV190" s="1181"/>
      <c r="PVW190" s="1181"/>
      <c r="PVX190" s="1181"/>
      <c r="PVY190" s="1181"/>
      <c r="PVZ190" s="1181"/>
      <c r="PWA190" s="1181"/>
      <c r="PWB190" s="1181"/>
      <c r="PWC190" s="1181"/>
      <c r="PWD190" s="1181"/>
      <c r="PWE190" s="1181"/>
      <c r="PWF190" s="1181"/>
      <c r="PWG190" s="1181"/>
      <c r="PWH190" s="1181"/>
      <c r="PWI190" s="1181"/>
      <c r="PWJ190" s="1181"/>
      <c r="PWK190" s="1181"/>
      <c r="PWL190" s="1181"/>
      <c r="PWM190" s="1181"/>
      <c r="PWN190" s="1181"/>
      <c r="PWO190" s="1181"/>
      <c r="PWP190" s="1181"/>
      <c r="PWQ190" s="1181"/>
      <c r="PWR190" s="1181"/>
      <c r="PWS190" s="1181"/>
      <c r="PWT190" s="1181"/>
      <c r="PWU190" s="1181"/>
      <c r="PWV190" s="1181"/>
      <c r="PWW190" s="1181"/>
      <c r="PWX190" s="1181"/>
      <c r="PWY190" s="1181"/>
      <c r="PWZ190" s="1181"/>
      <c r="PXA190" s="1181"/>
      <c r="PXB190" s="1181"/>
      <c r="PXC190" s="1181"/>
      <c r="PXD190" s="1181"/>
      <c r="PXE190" s="1181"/>
      <c r="PXF190" s="1181"/>
      <c r="PXG190" s="1181"/>
      <c r="PXH190" s="1181"/>
      <c r="PXI190" s="1181"/>
      <c r="PXJ190" s="1181"/>
      <c r="PXK190" s="1181"/>
      <c r="PXL190" s="1181"/>
      <c r="PXM190" s="1181"/>
      <c r="PXN190" s="1181"/>
      <c r="PXO190" s="1181"/>
      <c r="PXP190" s="1181"/>
      <c r="PXQ190" s="1181"/>
      <c r="PXR190" s="1181"/>
      <c r="PXS190" s="1181"/>
      <c r="PXT190" s="1181"/>
      <c r="PXU190" s="1181"/>
      <c r="PXV190" s="1181"/>
      <c r="PXW190" s="1181"/>
      <c r="PXX190" s="1181"/>
      <c r="PXY190" s="1181"/>
      <c r="PXZ190" s="1181"/>
      <c r="PYA190" s="1181"/>
      <c r="PYB190" s="1181"/>
      <c r="PYC190" s="1181"/>
      <c r="PYD190" s="1181"/>
      <c r="PYE190" s="1181"/>
      <c r="PYF190" s="1181"/>
      <c r="PYG190" s="1181"/>
      <c r="PYH190" s="1181"/>
      <c r="PYI190" s="1181"/>
      <c r="PYJ190" s="1181"/>
      <c r="PYK190" s="1181"/>
      <c r="PYL190" s="1181"/>
      <c r="PYM190" s="1181"/>
      <c r="PYN190" s="1181"/>
      <c r="PYO190" s="1181"/>
      <c r="PYP190" s="1181"/>
      <c r="PYQ190" s="1181"/>
      <c r="PYR190" s="1181"/>
      <c r="PYS190" s="1181"/>
      <c r="PYT190" s="1181"/>
      <c r="PYU190" s="1181"/>
      <c r="PYV190" s="1181"/>
      <c r="PYW190" s="1181"/>
      <c r="PYX190" s="1181"/>
      <c r="PYY190" s="1181"/>
      <c r="PYZ190" s="1181"/>
      <c r="PZA190" s="1181"/>
      <c r="PZB190" s="1181"/>
      <c r="PZC190" s="1181"/>
      <c r="PZD190" s="1181"/>
      <c r="PZE190" s="1181"/>
      <c r="PZF190" s="1181"/>
      <c r="PZG190" s="1181"/>
      <c r="PZH190" s="1181"/>
      <c r="PZI190" s="1181"/>
      <c r="PZJ190" s="1181"/>
      <c r="PZK190" s="1181"/>
      <c r="PZL190" s="1181"/>
      <c r="PZM190" s="1181"/>
      <c r="PZN190" s="1181"/>
      <c r="PZO190" s="1181"/>
      <c r="PZP190" s="1181"/>
      <c r="PZQ190" s="1181"/>
      <c r="PZR190" s="1181"/>
      <c r="PZS190" s="1181"/>
      <c r="PZT190" s="1181"/>
      <c r="PZU190" s="1181"/>
      <c r="PZV190" s="1181"/>
      <c r="PZW190" s="1181"/>
      <c r="PZX190" s="1181"/>
      <c r="PZY190" s="1181"/>
      <c r="PZZ190" s="1181"/>
      <c r="QAA190" s="1181"/>
      <c r="QAB190" s="1181"/>
      <c r="QAC190" s="1181"/>
      <c r="QAD190" s="1181"/>
      <c r="QAE190" s="1181"/>
      <c r="QAF190" s="1181"/>
      <c r="QAG190" s="1181"/>
      <c r="QAH190" s="1181"/>
      <c r="QAI190" s="1181"/>
      <c r="QAJ190" s="1181"/>
      <c r="QAK190" s="1181"/>
      <c r="QAL190" s="1181"/>
      <c r="QAM190" s="1181"/>
      <c r="QAN190" s="1181"/>
      <c r="QAO190" s="1181"/>
      <c r="QAP190" s="1181"/>
      <c r="QAQ190" s="1181"/>
      <c r="QAR190" s="1181"/>
      <c r="QAS190" s="1181"/>
      <c r="QAT190" s="1181"/>
      <c r="QAU190" s="1181"/>
      <c r="QAV190" s="1181"/>
      <c r="QAW190" s="1181"/>
      <c r="QAX190" s="1181"/>
      <c r="QAY190" s="1181"/>
      <c r="QAZ190" s="1181"/>
      <c r="QBA190" s="1181"/>
      <c r="QBB190" s="1181"/>
      <c r="QBC190" s="1181"/>
      <c r="QBD190" s="1181"/>
      <c r="QBE190" s="1181"/>
      <c r="QBF190" s="1181"/>
      <c r="QBG190" s="1181"/>
      <c r="QBH190" s="1181"/>
      <c r="QBI190" s="1181"/>
      <c r="QBJ190" s="1181"/>
      <c r="QBK190" s="1181"/>
      <c r="QBL190" s="1181"/>
      <c r="QBM190" s="1181"/>
      <c r="QBN190" s="1181"/>
      <c r="QBO190" s="1181"/>
      <c r="QBP190" s="1181"/>
      <c r="QBQ190" s="1181"/>
      <c r="QBR190" s="1181"/>
      <c r="QBS190" s="1181"/>
      <c r="QBT190" s="1181"/>
      <c r="QBU190" s="1181"/>
      <c r="QBV190" s="1181"/>
      <c r="QBW190" s="1181"/>
      <c r="QBX190" s="1181"/>
      <c r="QBY190" s="1181"/>
      <c r="QBZ190" s="1181"/>
      <c r="QCA190" s="1181"/>
      <c r="QCB190" s="1181"/>
      <c r="QCC190" s="1181"/>
      <c r="QCD190" s="1181"/>
      <c r="QCE190" s="1181"/>
      <c r="QCF190" s="1181"/>
      <c r="QCG190" s="1181"/>
      <c r="QCH190" s="1181"/>
      <c r="QCI190" s="1181"/>
      <c r="QCJ190" s="1181"/>
      <c r="QCK190" s="1181"/>
      <c r="QCL190" s="1181"/>
      <c r="QCM190" s="1181"/>
      <c r="QCN190" s="1181"/>
      <c r="QCO190" s="1181"/>
      <c r="QCP190" s="1181"/>
      <c r="QCQ190" s="1181"/>
      <c r="QCR190" s="1181"/>
      <c r="QCS190" s="1181"/>
      <c r="QCT190" s="1181"/>
      <c r="QCU190" s="1181"/>
      <c r="QCV190" s="1181"/>
      <c r="QCW190" s="1181"/>
      <c r="QCX190" s="1181"/>
      <c r="QCY190" s="1181"/>
      <c r="QCZ190" s="1181"/>
      <c r="QDA190" s="1181"/>
      <c r="QDB190" s="1181"/>
      <c r="QDC190" s="1181"/>
      <c r="QDD190" s="1181"/>
      <c r="QDE190" s="1181"/>
      <c r="QDF190" s="1181"/>
      <c r="QDG190" s="1181"/>
      <c r="QDH190" s="1181"/>
      <c r="QDI190" s="1181"/>
      <c r="QDJ190" s="1181"/>
      <c r="QDK190" s="1181"/>
      <c r="QDL190" s="1181"/>
      <c r="QDM190" s="1181"/>
      <c r="QDN190" s="1181"/>
      <c r="QDO190" s="1181"/>
      <c r="QDP190" s="1181"/>
      <c r="QDQ190" s="1181"/>
      <c r="QDR190" s="1181"/>
      <c r="QDS190" s="1181"/>
      <c r="QDT190" s="1181"/>
      <c r="QDU190" s="1181"/>
      <c r="QDV190" s="1181"/>
      <c r="QDW190" s="1181"/>
      <c r="QDX190" s="1181"/>
      <c r="QDY190" s="1181"/>
      <c r="QDZ190" s="1181"/>
      <c r="QEA190" s="1181"/>
      <c r="QEB190" s="1181"/>
      <c r="QEC190" s="1181"/>
      <c r="QED190" s="1181"/>
      <c r="QEE190" s="1181"/>
      <c r="QEF190" s="1181"/>
      <c r="QEG190" s="1181"/>
      <c r="QEH190" s="1181"/>
      <c r="QEI190" s="1181"/>
      <c r="QEJ190" s="1181"/>
      <c r="QEK190" s="1181"/>
      <c r="QEL190" s="1181"/>
      <c r="QEM190" s="1181"/>
      <c r="QEN190" s="1181"/>
      <c r="QEO190" s="1181"/>
      <c r="QEP190" s="1181"/>
      <c r="QEQ190" s="1181"/>
      <c r="QER190" s="1181"/>
      <c r="QES190" s="1181"/>
      <c r="QET190" s="1181"/>
      <c r="QEU190" s="1181"/>
      <c r="QEV190" s="1181"/>
      <c r="QEW190" s="1181"/>
      <c r="QEX190" s="1181"/>
      <c r="QEY190" s="1181"/>
      <c r="QEZ190" s="1181"/>
      <c r="QFA190" s="1181"/>
      <c r="QFB190" s="1181"/>
      <c r="QFC190" s="1181"/>
      <c r="QFD190" s="1181"/>
      <c r="QFE190" s="1181"/>
      <c r="QFF190" s="1181"/>
      <c r="QFG190" s="1181"/>
      <c r="QFH190" s="1181"/>
      <c r="QFI190" s="1181"/>
      <c r="QFJ190" s="1181"/>
      <c r="QFK190" s="1181"/>
      <c r="QFL190" s="1181"/>
      <c r="QFM190" s="1181"/>
      <c r="QFN190" s="1181"/>
      <c r="QFO190" s="1181"/>
      <c r="QFP190" s="1181"/>
      <c r="QFQ190" s="1181"/>
      <c r="QFR190" s="1181"/>
      <c r="QFS190" s="1181"/>
      <c r="QFT190" s="1181"/>
      <c r="QFU190" s="1181"/>
      <c r="QFV190" s="1181"/>
      <c r="QFW190" s="1181"/>
      <c r="QFX190" s="1181"/>
      <c r="QFY190" s="1181"/>
      <c r="QFZ190" s="1181"/>
      <c r="QGA190" s="1181"/>
      <c r="QGB190" s="1181"/>
      <c r="QGC190" s="1181"/>
      <c r="QGD190" s="1181"/>
      <c r="QGE190" s="1181"/>
      <c r="QGF190" s="1181"/>
      <c r="QGG190" s="1181"/>
      <c r="QGH190" s="1181"/>
      <c r="QGI190" s="1181"/>
      <c r="QGJ190" s="1181"/>
      <c r="QGK190" s="1181"/>
      <c r="QGL190" s="1181"/>
      <c r="QGM190" s="1181"/>
      <c r="QGN190" s="1181"/>
      <c r="QGO190" s="1181"/>
      <c r="QGP190" s="1181"/>
      <c r="QGQ190" s="1181"/>
      <c r="QGR190" s="1181"/>
      <c r="QGS190" s="1181"/>
      <c r="QGT190" s="1181"/>
      <c r="QGU190" s="1181"/>
      <c r="QGV190" s="1181"/>
      <c r="QGW190" s="1181"/>
      <c r="QGX190" s="1181"/>
      <c r="QGY190" s="1181"/>
      <c r="QGZ190" s="1181"/>
      <c r="QHA190" s="1181"/>
      <c r="QHB190" s="1181"/>
      <c r="QHC190" s="1181"/>
      <c r="QHD190" s="1181"/>
      <c r="QHE190" s="1181"/>
      <c r="QHF190" s="1181"/>
      <c r="QHG190" s="1181"/>
      <c r="QHH190" s="1181"/>
      <c r="QHI190" s="1181"/>
      <c r="QHJ190" s="1181"/>
      <c r="QHK190" s="1181"/>
      <c r="QHL190" s="1181"/>
      <c r="QHM190" s="1181"/>
      <c r="QHN190" s="1181"/>
      <c r="QHO190" s="1181"/>
      <c r="QHP190" s="1181"/>
      <c r="QHQ190" s="1181"/>
      <c r="QHR190" s="1181"/>
      <c r="QHS190" s="1181"/>
      <c r="QHT190" s="1181"/>
      <c r="QHU190" s="1181"/>
      <c r="QHV190" s="1181"/>
      <c r="QHW190" s="1181"/>
      <c r="QHX190" s="1181"/>
      <c r="QHY190" s="1181"/>
      <c r="QHZ190" s="1181"/>
      <c r="QIA190" s="1181"/>
      <c r="QIB190" s="1181"/>
      <c r="QIC190" s="1181"/>
      <c r="QID190" s="1181"/>
      <c r="QIE190" s="1181"/>
      <c r="QIF190" s="1181"/>
      <c r="QIG190" s="1181"/>
      <c r="QIH190" s="1181"/>
      <c r="QII190" s="1181"/>
      <c r="QIJ190" s="1181"/>
      <c r="QIK190" s="1181"/>
      <c r="QIL190" s="1181"/>
      <c r="QIM190" s="1181"/>
      <c r="QIN190" s="1181"/>
      <c r="QIO190" s="1181"/>
      <c r="QIP190" s="1181"/>
      <c r="QIQ190" s="1181"/>
      <c r="QIR190" s="1181"/>
      <c r="QIS190" s="1181"/>
      <c r="QIT190" s="1181"/>
      <c r="QIU190" s="1181"/>
      <c r="QIV190" s="1181"/>
      <c r="QIW190" s="1181"/>
      <c r="QIX190" s="1181"/>
      <c r="QIY190" s="1181"/>
      <c r="QIZ190" s="1181"/>
      <c r="QJA190" s="1181"/>
      <c r="QJB190" s="1181"/>
      <c r="QJC190" s="1181"/>
      <c r="QJD190" s="1181"/>
      <c r="QJE190" s="1181"/>
      <c r="QJF190" s="1181"/>
      <c r="QJG190" s="1181"/>
      <c r="QJH190" s="1181"/>
      <c r="QJI190" s="1181"/>
      <c r="QJJ190" s="1181"/>
      <c r="QJK190" s="1181"/>
      <c r="QJL190" s="1181"/>
      <c r="QJM190" s="1181"/>
      <c r="QJN190" s="1181"/>
      <c r="QJO190" s="1181"/>
      <c r="QJP190" s="1181"/>
      <c r="QJQ190" s="1181"/>
      <c r="QJR190" s="1181"/>
      <c r="QJS190" s="1181"/>
      <c r="QJT190" s="1181"/>
      <c r="QJU190" s="1181"/>
      <c r="QJV190" s="1181"/>
      <c r="QJW190" s="1181"/>
      <c r="QJX190" s="1181"/>
      <c r="QJY190" s="1181"/>
      <c r="QJZ190" s="1181"/>
      <c r="QKA190" s="1181"/>
      <c r="QKB190" s="1181"/>
      <c r="QKC190" s="1181"/>
      <c r="QKD190" s="1181"/>
      <c r="QKE190" s="1181"/>
      <c r="QKF190" s="1181"/>
      <c r="QKG190" s="1181"/>
      <c r="QKH190" s="1181"/>
      <c r="QKI190" s="1181"/>
      <c r="QKJ190" s="1181"/>
      <c r="QKK190" s="1181"/>
      <c r="QKL190" s="1181"/>
      <c r="QKM190" s="1181"/>
      <c r="QKN190" s="1181"/>
      <c r="QKO190" s="1181"/>
      <c r="QKP190" s="1181"/>
      <c r="QKQ190" s="1181"/>
      <c r="QKR190" s="1181"/>
      <c r="QKS190" s="1181"/>
      <c r="QKT190" s="1181"/>
      <c r="QKU190" s="1181"/>
      <c r="QKV190" s="1181"/>
      <c r="QKW190" s="1181"/>
      <c r="QKX190" s="1181"/>
      <c r="QKY190" s="1181"/>
      <c r="QKZ190" s="1181"/>
      <c r="QLA190" s="1181"/>
      <c r="QLB190" s="1181"/>
      <c r="QLC190" s="1181"/>
      <c r="QLD190" s="1181"/>
      <c r="QLE190" s="1181"/>
      <c r="QLF190" s="1181"/>
      <c r="QLG190" s="1181"/>
      <c r="QLH190" s="1181"/>
      <c r="QLI190" s="1181"/>
      <c r="QLJ190" s="1181"/>
      <c r="QLK190" s="1181"/>
      <c r="QLL190" s="1181"/>
      <c r="QLM190" s="1181"/>
      <c r="QLN190" s="1181"/>
      <c r="QLO190" s="1181"/>
      <c r="QLP190" s="1181"/>
      <c r="QLQ190" s="1181"/>
      <c r="QLR190" s="1181"/>
      <c r="QLS190" s="1181"/>
      <c r="QLT190" s="1181"/>
      <c r="QLU190" s="1181"/>
      <c r="QLV190" s="1181"/>
      <c r="QLW190" s="1181"/>
      <c r="QLX190" s="1181"/>
      <c r="QLY190" s="1181"/>
      <c r="QLZ190" s="1181"/>
      <c r="QMA190" s="1181"/>
      <c r="QMB190" s="1181"/>
      <c r="QMC190" s="1181"/>
      <c r="QMD190" s="1181"/>
      <c r="QME190" s="1181"/>
      <c r="QMF190" s="1181"/>
      <c r="QMG190" s="1181"/>
      <c r="QMH190" s="1181"/>
      <c r="QMI190" s="1181"/>
      <c r="QMJ190" s="1181"/>
      <c r="QMK190" s="1181"/>
      <c r="QML190" s="1181"/>
      <c r="QMM190" s="1181"/>
      <c r="QMN190" s="1181"/>
      <c r="QMO190" s="1181"/>
      <c r="QMP190" s="1181"/>
      <c r="QMQ190" s="1181"/>
      <c r="QMR190" s="1181"/>
      <c r="QMS190" s="1181"/>
      <c r="QMT190" s="1181"/>
      <c r="QMU190" s="1181"/>
      <c r="QMV190" s="1181"/>
      <c r="QMW190" s="1181"/>
      <c r="QMX190" s="1181"/>
      <c r="QMY190" s="1181"/>
      <c r="QMZ190" s="1181"/>
      <c r="QNA190" s="1181"/>
      <c r="QNB190" s="1181"/>
      <c r="QNC190" s="1181"/>
      <c r="QND190" s="1181"/>
      <c r="QNE190" s="1181"/>
      <c r="QNF190" s="1181"/>
      <c r="QNG190" s="1181"/>
      <c r="QNH190" s="1181"/>
      <c r="QNI190" s="1181"/>
      <c r="QNJ190" s="1181"/>
      <c r="QNK190" s="1181"/>
      <c r="QNL190" s="1181"/>
      <c r="QNM190" s="1181"/>
      <c r="QNN190" s="1181"/>
      <c r="QNO190" s="1181"/>
      <c r="QNP190" s="1181"/>
      <c r="QNQ190" s="1181"/>
      <c r="QNR190" s="1181"/>
      <c r="QNS190" s="1181"/>
      <c r="QNT190" s="1181"/>
      <c r="QNU190" s="1181"/>
      <c r="QNV190" s="1181"/>
      <c r="QNW190" s="1181"/>
      <c r="QNX190" s="1181"/>
      <c r="QNY190" s="1181"/>
      <c r="QNZ190" s="1181"/>
      <c r="QOA190" s="1181"/>
      <c r="QOB190" s="1181"/>
      <c r="QOC190" s="1181"/>
      <c r="QOD190" s="1181"/>
      <c r="QOE190" s="1181"/>
      <c r="QOF190" s="1181"/>
      <c r="QOG190" s="1181"/>
      <c r="QOH190" s="1181"/>
      <c r="QOI190" s="1181"/>
      <c r="QOJ190" s="1181"/>
      <c r="QOK190" s="1181"/>
      <c r="QOL190" s="1181"/>
      <c r="QOM190" s="1181"/>
      <c r="QON190" s="1181"/>
      <c r="QOO190" s="1181"/>
      <c r="QOP190" s="1181"/>
      <c r="QOQ190" s="1181"/>
      <c r="QOR190" s="1181"/>
      <c r="QOS190" s="1181"/>
      <c r="QOT190" s="1181"/>
      <c r="QOU190" s="1181"/>
      <c r="QOV190" s="1181"/>
      <c r="QOW190" s="1181"/>
      <c r="QOX190" s="1181"/>
      <c r="QOY190" s="1181"/>
      <c r="QOZ190" s="1181"/>
      <c r="QPA190" s="1181"/>
      <c r="QPB190" s="1181"/>
      <c r="QPC190" s="1181"/>
      <c r="QPD190" s="1181"/>
      <c r="QPE190" s="1181"/>
      <c r="QPF190" s="1181"/>
      <c r="QPG190" s="1181"/>
      <c r="QPH190" s="1181"/>
      <c r="QPI190" s="1181"/>
      <c r="QPJ190" s="1181"/>
      <c r="QPK190" s="1181"/>
      <c r="QPL190" s="1181"/>
      <c r="QPM190" s="1181"/>
      <c r="QPN190" s="1181"/>
      <c r="QPO190" s="1181"/>
      <c r="QPP190" s="1181"/>
      <c r="QPQ190" s="1181"/>
      <c r="QPR190" s="1181"/>
      <c r="QPS190" s="1181"/>
      <c r="QPT190" s="1181"/>
      <c r="QPU190" s="1181"/>
      <c r="QPV190" s="1181"/>
      <c r="QPW190" s="1181"/>
      <c r="QPX190" s="1181"/>
      <c r="QPY190" s="1181"/>
      <c r="QPZ190" s="1181"/>
      <c r="QQA190" s="1181"/>
      <c r="QQB190" s="1181"/>
      <c r="QQC190" s="1181"/>
      <c r="QQD190" s="1181"/>
      <c r="QQE190" s="1181"/>
      <c r="QQF190" s="1181"/>
      <c r="QQG190" s="1181"/>
      <c r="QQH190" s="1181"/>
      <c r="QQI190" s="1181"/>
      <c r="QQJ190" s="1181"/>
      <c r="QQK190" s="1181"/>
      <c r="QQL190" s="1181"/>
      <c r="QQM190" s="1181"/>
      <c r="QQN190" s="1181"/>
      <c r="QQO190" s="1181"/>
      <c r="QQP190" s="1181"/>
      <c r="QQQ190" s="1181"/>
      <c r="QQR190" s="1181"/>
      <c r="QQS190" s="1181"/>
      <c r="QQT190" s="1181"/>
      <c r="QQU190" s="1181"/>
      <c r="QQV190" s="1181"/>
      <c r="QQW190" s="1181"/>
      <c r="QQX190" s="1181"/>
      <c r="QQY190" s="1181"/>
      <c r="QQZ190" s="1181"/>
      <c r="QRA190" s="1181"/>
      <c r="QRB190" s="1181"/>
      <c r="QRC190" s="1181"/>
      <c r="QRD190" s="1181"/>
      <c r="QRE190" s="1181"/>
      <c r="QRF190" s="1181"/>
      <c r="QRG190" s="1181"/>
      <c r="QRH190" s="1181"/>
      <c r="QRI190" s="1181"/>
      <c r="QRJ190" s="1181"/>
      <c r="QRK190" s="1181"/>
      <c r="QRL190" s="1181"/>
      <c r="QRM190" s="1181"/>
      <c r="QRN190" s="1181"/>
      <c r="QRO190" s="1181"/>
      <c r="QRP190" s="1181"/>
      <c r="QRQ190" s="1181"/>
      <c r="QRR190" s="1181"/>
      <c r="QRS190" s="1181"/>
      <c r="QRT190" s="1181"/>
      <c r="QRU190" s="1181"/>
      <c r="QRV190" s="1181"/>
      <c r="QRW190" s="1181"/>
      <c r="QRX190" s="1181"/>
      <c r="QRY190" s="1181"/>
      <c r="QRZ190" s="1181"/>
      <c r="QSA190" s="1181"/>
      <c r="QSB190" s="1181"/>
      <c r="QSC190" s="1181"/>
      <c r="QSD190" s="1181"/>
      <c r="QSE190" s="1181"/>
      <c r="QSF190" s="1181"/>
      <c r="QSG190" s="1181"/>
      <c r="QSH190" s="1181"/>
      <c r="QSI190" s="1181"/>
      <c r="QSJ190" s="1181"/>
      <c r="QSK190" s="1181"/>
      <c r="QSL190" s="1181"/>
      <c r="QSM190" s="1181"/>
      <c r="QSN190" s="1181"/>
      <c r="QSO190" s="1181"/>
      <c r="QSP190" s="1181"/>
      <c r="QSQ190" s="1181"/>
      <c r="QSR190" s="1181"/>
      <c r="QSS190" s="1181"/>
      <c r="QST190" s="1181"/>
      <c r="QSU190" s="1181"/>
      <c r="QSV190" s="1181"/>
      <c r="QSW190" s="1181"/>
      <c r="QSX190" s="1181"/>
      <c r="QSY190" s="1181"/>
      <c r="QSZ190" s="1181"/>
      <c r="QTA190" s="1181"/>
      <c r="QTB190" s="1181"/>
      <c r="QTC190" s="1181"/>
      <c r="QTD190" s="1181"/>
      <c r="QTE190" s="1181"/>
      <c r="QTF190" s="1181"/>
      <c r="QTG190" s="1181"/>
      <c r="QTH190" s="1181"/>
      <c r="QTI190" s="1181"/>
      <c r="QTJ190" s="1181"/>
      <c r="QTK190" s="1181"/>
      <c r="QTL190" s="1181"/>
      <c r="QTM190" s="1181"/>
      <c r="QTN190" s="1181"/>
      <c r="QTO190" s="1181"/>
      <c r="QTP190" s="1181"/>
      <c r="QTQ190" s="1181"/>
      <c r="QTR190" s="1181"/>
      <c r="QTS190" s="1181"/>
      <c r="QTT190" s="1181"/>
      <c r="QTU190" s="1181"/>
      <c r="QTV190" s="1181"/>
      <c r="QTW190" s="1181"/>
      <c r="QTX190" s="1181"/>
      <c r="QTY190" s="1181"/>
      <c r="QTZ190" s="1181"/>
      <c r="QUA190" s="1181"/>
      <c r="QUB190" s="1181"/>
      <c r="QUC190" s="1181"/>
      <c r="QUD190" s="1181"/>
      <c r="QUE190" s="1181"/>
      <c r="QUF190" s="1181"/>
      <c r="QUG190" s="1181"/>
      <c r="QUH190" s="1181"/>
      <c r="QUI190" s="1181"/>
      <c r="QUJ190" s="1181"/>
      <c r="QUK190" s="1181"/>
      <c r="QUL190" s="1181"/>
      <c r="QUM190" s="1181"/>
      <c r="QUN190" s="1181"/>
      <c r="QUO190" s="1181"/>
      <c r="QUP190" s="1181"/>
      <c r="QUQ190" s="1181"/>
      <c r="QUR190" s="1181"/>
      <c r="QUS190" s="1181"/>
      <c r="QUT190" s="1181"/>
      <c r="QUU190" s="1181"/>
      <c r="QUV190" s="1181"/>
      <c r="QUW190" s="1181"/>
      <c r="QUX190" s="1181"/>
      <c r="QUY190" s="1181"/>
      <c r="QUZ190" s="1181"/>
      <c r="QVA190" s="1181"/>
      <c r="QVB190" s="1181"/>
      <c r="QVC190" s="1181"/>
      <c r="QVD190" s="1181"/>
      <c r="QVE190" s="1181"/>
      <c r="QVF190" s="1181"/>
      <c r="QVG190" s="1181"/>
      <c r="QVH190" s="1181"/>
      <c r="QVI190" s="1181"/>
      <c r="QVJ190" s="1181"/>
      <c r="QVK190" s="1181"/>
      <c r="QVL190" s="1181"/>
      <c r="QVM190" s="1181"/>
      <c r="QVN190" s="1181"/>
      <c r="QVO190" s="1181"/>
      <c r="QVP190" s="1181"/>
      <c r="QVQ190" s="1181"/>
      <c r="QVR190" s="1181"/>
      <c r="QVS190" s="1181"/>
      <c r="QVT190" s="1181"/>
      <c r="QVU190" s="1181"/>
      <c r="QVV190" s="1181"/>
      <c r="QVW190" s="1181"/>
      <c r="QVX190" s="1181"/>
      <c r="QVY190" s="1181"/>
      <c r="QVZ190" s="1181"/>
      <c r="QWA190" s="1181"/>
      <c r="QWB190" s="1181"/>
      <c r="QWC190" s="1181"/>
      <c r="QWD190" s="1181"/>
      <c r="QWE190" s="1181"/>
      <c r="QWF190" s="1181"/>
      <c r="QWG190" s="1181"/>
      <c r="QWH190" s="1181"/>
      <c r="QWI190" s="1181"/>
      <c r="QWJ190" s="1181"/>
      <c r="QWK190" s="1181"/>
      <c r="QWL190" s="1181"/>
      <c r="QWM190" s="1181"/>
      <c r="QWN190" s="1181"/>
      <c r="QWO190" s="1181"/>
      <c r="QWP190" s="1181"/>
      <c r="QWQ190" s="1181"/>
      <c r="QWR190" s="1181"/>
      <c r="QWS190" s="1181"/>
      <c r="QWT190" s="1181"/>
      <c r="QWU190" s="1181"/>
      <c r="QWV190" s="1181"/>
      <c r="QWW190" s="1181"/>
      <c r="QWX190" s="1181"/>
      <c r="QWY190" s="1181"/>
      <c r="QWZ190" s="1181"/>
      <c r="QXA190" s="1181"/>
      <c r="QXB190" s="1181"/>
      <c r="QXC190" s="1181"/>
      <c r="QXD190" s="1181"/>
      <c r="QXE190" s="1181"/>
      <c r="QXF190" s="1181"/>
      <c r="QXG190" s="1181"/>
      <c r="QXH190" s="1181"/>
      <c r="QXI190" s="1181"/>
      <c r="QXJ190" s="1181"/>
      <c r="QXK190" s="1181"/>
      <c r="QXL190" s="1181"/>
      <c r="QXM190" s="1181"/>
      <c r="QXN190" s="1181"/>
      <c r="QXO190" s="1181"/>
      <c r="QXP190" s="1181"/>
      <c r="QXQ190" s="1181"/>
      <c r="QXR190" s="1181"/>
      <c r="QXS190" s="1181"/>
      <c r="QXT190" s="1181"/>
      <c r="QXU190" s="1181"/>
      <c r="QXV190" s="1181"/>
      <c r="QXW190" s="1181"/>
      <c r="QXX190" s="1181"/>
      <c r="QXY190" s="1181"/>
      <c r="QXZ190" s="1181"/>
      <c r="QYA190" s="1181"/>
      <c r="QYB190" s="1181"/>
      <c r="QYC190" s="1181"/>
      <c r="QYD190" s="1181"/>
      <c r="QYE190" s="1181"/>
      <c r="QYF190" s="1181"/>
      <c r="QYG190" s="1181"/>
      <c r="QYH190" s="1181"/>
      <c r="QYI190" s="1181"/>
      <c r="QYJ190" s="1181"/>
      <c r="QYK190" s="1181"/>
      <c r="QYL190" s="1181"/>
      <c r="QYM190" s="1181"/>
      <c r="QYN190" s="1181"/>
      <c r="QYO190" s="1181"/>
      <c r="QYP190" s="1181"/>
      <c r="QYQ190" s="1181"/>
      <c r="QYR190" s="1181"/>
      <c r="QYS190" s="1181"/>
      <c r="QYT190" s="1181"/>
      <c r="QYU190" s="1181"/>
      <c r="QYV190" s="1181"/>
      <c r="QYW190" s="1181"/>
      <c r="QYX190" s="1181"/>
      <c r="QYY190" s="1181"/>
      <c r="QYZ190" s="1181"/>
      <c r="QZA190" s="1181"/>
      <c r="QZB190" s="1181"/>
      <c r="QZC190" s="1181"/>
      <c r="QZD190" s="1181"/>
      <c r="QZE190" s="1181"/>
      <c r="QZF190" s="1181"/>
      <c r="QZG190" s="1181"/>
      <c r="QZH190" s="1181"/>
      <c r="QZI190" s="1181"/>
      <c r="QZJ190" s="1181"/>
      <c r="QZK190" s="1181"/>
      <c r="QZL190" s="1181"/>
      <c r="QZM190" s="1181"/>
      <c r="QZN190" s="1181"/>
      <c r="QZO190" s="1181"/>
      <c r="QZP190" s="1181"/>
      <c r="QZQ190" s="1181"/>
      <c r="QZR190" s="1181"/>
      <c r="QZS190" s="1181"/>
      <c r="QZT190" s="1181"/>
      <c r="QZU190" s="1181"/>
      <c r="QZV190" s="1181"/>
      <c r="QZW190" s="1181"/>
      <c r="QZX190" s="1181"/>
      <c r="QZY190" s="1181"/>
      <c r="QZZ190" s="1181"/>
      <c r="RAA190" s="1181"/>
      <c r="RAB190" s="1181"/>
      <c r="RAC190" s="1181"/>
      <c r="RAD190" s="1181"/>
      <c r="RAE190" s="1181"/>
      <c r="RAF190" s="1181"/>
      <c r="RAG190" s="1181"/>
      <c r="RAH190" s="1181"/>
      <c r="RAI190" s="1181"/>
      <c r="RAJ190" s="1181"/>
      <c r="RAK190" s="1181"/>
      <c r="RAL190" s="1181"/>
      <c r="RAM190" s="1181"/>
      <c r="RAN190" s="1181"/>
      <c r="RAO190" s="1181"/>
      <c r="RAP190" s="1181"/>
      <c r="RAQ190" s="1181"/>
      <c r="RAR190" s="1181"/>
      <c r="RAS190" s="1181"/>
      <c r="RAT190" s="1181"/>
      <c r="RAU190" s="1181"/>
      <c r="RAV190" s="1181"/>
      <c r="RAW190" s="1181"/>
      <c r="RAX190" s="1181"/>
      <c r="RAY190" s="1181"/>
      <c r="RAZ190" s="1181"/>
      <c r="RBA190" s="1181"/>
      <c r="RBB190" s="1181"/>
      <c r="RBC190" s="1181"/>
      <c r="RBD190" s="1181"/>
      <c r="RBE190" s="1181"/>
      <c r="RBF190" s="1181"/>
      <c r="RBG190" s="1181"/>
      <c r="RBH190" s="1181"/>
      <c r="RBI190" s="1181"/>
      <c r="RBJ190" s="1181"/>
      <c r="RBK190" s="1181"/>
      <c r="RBL190" s="1181"/>
      <c r="RBM190" s="1181"/>
      <c r="RBN190" s="1181"/>
      <c r="RBO190" s="1181"/>
      <c r="RBP190" s="1181"/>
      <c r="RBQ190" s="1181"/>
      <c r="RBR190" s="1181"/>
      <c r="RBS190" s="1181"/>
      <c r="RBT190" s="1181"/>
      <c r="RBU190" s="1181"/>
      <c r="RBV190" s="1181"/>
      <c r="RBW190" s="1181"/>
      <c r="RBX190" s="1181"/>
      <c r="RBY190" s="1181"/>
      <c r="RBZ190" s="1181"/>
      <c r="RCA190" s="1181"/>
      <c r="RCB190" s="1181"/>
      <c r="RCC190" s="1181"/>
      <c r="RCD190" s="1181"/>
      <c r="RCE190" s="1181"/>
      <c r="RCF190" s="1181"/>
      <c r="RCG190" s="1181"/>
      <c r="RCH190" s="1181"/>
      <c r="RCI190" s="1181"/>
      <c r="RCJ190" s="1181"/>
      <c r="RCK190" s="1181"/>
      <c r="RCL190" s="1181"/>
      <c r="RCM190" s="1181"/>
      <c r="RCN190" s="1181"/>
      <c r="RCO190" s="1181"/>
      <c r="RCP190" s="1181"/>
      <c r="RCQ190" s="1181"/>
      <c r="RCR190" s="1181"/>
      <c r="RCS190" s="1181"/>
      <c r="RCT190" s="1181"/>
      <c r="RCU190" s="1181"/>
      <c r="RCV190" s="1181"/>
      <c r="RCW190" s="1181"/>
      <c r="RCX190" s="1181"/>
      <c r="RCY190" s="1181"/>
      <c r="RCZ190" s="1181"/>
      <c r="RDA190" s="1181"/>
      <c r="RDB190" s="1181"/>
      <c r="RDC190" s="1181"/>
      <c r="RDD190" s="1181"/>
      <c r="RDE190" s="1181"/>
      <c r="RDF190" s="1181"/>
      <c r="RDG190" s="1181"/>
      <c r="RDH190" s="1181"/>
      <c r="RDI190" s="1181"/>
      <c r="RDJ190" s="1181"/>
      <c r="RDK190" s="1181"/>
      <c r="RDL190" s="1181"/>
      <c r="RDM190" s="1181"/>
      <c r="RDN190" s="1181"/>
      <c r="RDO190" s="1181"/>
      <c r="RDP190" s="1181"/>
      <c r="RDQ190" s="1181"/>
      <c r="RDR190" s="1181"/>
      <c r="RDS190" s="1181"/>
      <c r="RDT190" s="1181"/>
      <c r="RDU190" s="1181"/>
      <c r="RDV190" s="1181"/>
      <c r="RDW190" s="1181"/>
      <c r="RDX190" s="1181"/>
      <c r="RDY190" s="1181"/>
      <c r="RDZ190" s="1181"/>
      <c r="REA190" s="1181"/>
      <c r="REB190" s="1181"/>
      <c r="REC190" s="1181"/>
      <c r="RED190" s="1181"/>
      <c r="REE190" s="1181"/>
      <c r="REF190" s="1181"/>
      <c r="REG190" s="1181"/>
      <c r="REH190" s="1181"/>
      <c r="REI190" s="1181"/>
      <c r="REJ190" s="1181"/>
      <c r="REK190" s="1181"/>
      <c r="REL190" s="1181"/>
      <c r="REM190" s="1181"/>
      <c r="REN190" s="1181"/>
      <c r="REO190" s="1181"/>
      <c r="REP190" s="1181"/>
      <c r="REQ190" s="1181"/>
      <c r="RER190" s="1181"/>
      <c r="RES190" s="1181"/>
      <c r="RET190" s="1181"/>
      <c r="REU190" s="1181"/>
      <c r="REV190" s="1181"/>
      <c r="REW190" s="1181"/>
      <c r="REX190" s="1181"/>
      <c r="REY190" s="1181"/>
      <c r="REZ190" s="1181"/>
      <c r="RFA190" s="1181"/>
      <c r="RFB190" s="1181"/>
      <c r="RFC190" s="1181"/>
      <c r="RFD190" s="1181"/>
      <c r="RFE190" s="1181"/>
      <c r="RFF190" s="1181"/>
      <c r="RFG190" s="1181"/>
      <c r="RFH190" s="1181"/>
      <c r="RFI190" s="1181"/>
      <c r="RFJ190" s="1181"/>
      <c r="RFK190" s="1181"/>
      <c r="RFL190" s="1181"/>
      <c r="RFM190" s="1181"/>
      <c r="RFN190" s="1181"/>
      <c r="RFO190" s="1181"/>
      <c r="RFP190" s="1181"/>
      <c r="RFQ190" s="1181"/>
      <c r="RFR190" s="1181"/>
      <c r="RFS190" s="1181"/>
      <c r="RFT190" s="1181"/>
      <c r="RFU190" s="1181"/>
      <c r="RFV190" s="1181"/>
      <c r="RFW190" s="1181"/>
      <c r="RFX190" s="1181"/>
      <c r="RFY190" s="1181"/>
      <c r="RFZ190" s="1181"/>
      <c r="RGA190" s="1181"/>
      <c r="RGB190" s="1181"/>
      <c r="RGC190" s="1181"/>
      <c r="RGD190" s="1181"/>
      <c r="RGE190" s="1181"/>
      <c r="RGF190" s="1181"/>
      <c r="RGG190" s="1181"/>
      <c r="RGH190" s="1181"/>
      <c r="RGI190" s="1181"/>
      <c r="RGJ190" s="1181"/>
      <c r="RGK190" s="1181"/>
      <c r="RGL190" s="1181"/>
      <c r="RGM190" s="1181"/>
      <c r="RGN190" s="1181"/>
      <c r="RGO190" s="1181"/>
      <c r="RGP190" s="1181"/>
      <c r="RGQ190" s="1181"/>
      <c r="RGR190" s="1181"/>
      <c r="RGS190" s="1181"/>
      <c r="RGT190" s="1181"/>
      <c r="RGU190" s="1181"/>
      <c r="RGV190" s="1181"/>
      <c r="RGW190" s="1181"/>
      <c r="RGX190" s="1181"/>
      <c r="RGY190" s="1181"/>
      <c r="RGZ190" s="1181"/>
      <c r="RHA190" s="1181"/>
      <c r="RHB190" s="1181"/>
      <c r="RHC190" s="1181"/>
      <c r="RHD190" s="1181"/>
      <c r="RHE190" s="1181"/>
      <c r="RHF190" s="1181"/>
      <c r="RHG190" s="1181"/>
      <c r="RHH190" s="1181"/>
      <c r="RHI190" s="1181"/>
      <c r="RHJ190" s="1181"/>
      <c r="RHK190" s="1181"/>
      <c r="RHL190" s="1181"/>
      <c r="RHM190" s="1181"/>
      <c r="RHN190" s="1181"/>
      <c r="RHO190" s="1181"/>
      <c r="RHP190" s="1181"/>
      <c r="RHQ190" s="1181"/>
      <c r="RHR190" s="1181"/>
      <c r="RHS190" s="1181"/>
      <c r="RHT190" s="1181"/>
      <c r="RHU190" s="1181"/>
      <c r="RHV190" s="1181"/>
      <c r="RHW190" s="1181"/>
      <c r="RHX190" s="1181"/>
      <c r="RHY190" s="1181"/>
      <c r="RHZ190" s="1181"/>
      <c r="RIA190" s="1181"/>
      <c r="RIB190" s="1181"/>
      <c r="RIC190" s="1181"/>
      <c r="RID190" s="1181"/>
      <c r="RIE190" s="1181"/>
      <c r="RIF190" s="1181"/>
      <c r="RIG190" s="1181"/>
      <c r="RIH190" s="1181"/>
      <c r="RII190" s="1181"/>
      <c r="RIJ190" s="1181"/>
      <c r="RIK190" s="1181"/>
      <c r="RIL190" s="1181"/>
      <c r="RIM190" s="1181"/>
      <c r="RIN190" s="1181"/>
      <c r="RIO190" s="1181"/>
      <c r="RIP190" s="1181"/>
      <c r="RIQ190" s="1181"/>
      <c r="RIR190" s="1181"/>
      <c r="RIS190" s="1181"/>
      <c r="RIT190" s="1181"/>
      <c r="RIU190" s="1181"/>
      <c r="RIV190" s="1181"/>
      <c r="RIW190" s="1181"/>
      <c r="RIX190" s="1181"/>
      <c r="RIY190" s="1181"/>
      <c r="RIZ190" s="1181"/>
      <c r="RJA190" s="1181"/>
      <c r="RJB190" s="1181"/>
      <c r="RJC190" s="1181"/>
      <c r="RJD190" s="1181"/>
      <c r="RJE190" s="1181"/>
      <c r="RJF190" s="1181"/>
      <c r="RJG190" s="1181"/>
      <c r="RJH190" s="1181"/>
      <c r="RJI190" s="1181"/>
      <c r="RJJ190" s="1181"/>
      <c r="RJK190" s="1181"/>
      <c r="RJL190" s="1181"/>
      <c r="RJM190" s="1181"/>
      <c r="RJN190" s="1181"/>
      <c r="RJO190" s="1181"/>
      <c r="RJP190" s="1181"/>
      <c r="RJQ190" s="1181"/>
      <c r="RJR190" s="1181"/>
      <c r="RJS190" s="1181"/>
      <c r="RJT190" s="1181"/>
      <c r="RJU190" s="1181"/>
      <c r="RJV190" s="1181"/>
      <c r="RJW190" s="1181"/>
      <c r="RJX190" s="1181"/>
      <c r="RJY190" s="1181"/>
      <c r="RJZ190" s="1181"/>
      <c r="RKA190" s="1181"/>
      <c r="RKB190" s="1181"/>
      <c r="RKC190" s="1181"/>
      <c r="RKD190" s="1181"/>
      <c r="RKE190" s="1181"/>
      <c r="RKF190" s="1181"/>
      <c r="RKG190" s="1181"/>
      <c r="RKH190" s="1181"/>
      <c r="RKI190" s="1181"/>
      <c r="RKJ190" s="1181"/>
      <c r="RKK190" s="1181"/>
      <c r="RKL190" s="1181"/>
      <c r="RKM190" s="1181"/>
      <c r="RKN190" s="1181"/>
      <c r="RKO190" s="1181"/>
      <c r="RKP190" s="1181"/>
      <c r="RKQ190" s="1181"/>
      <c r="RKR190" s="1181"/>
      <c r="RKS190" s="1181"/>
      <c r="RKT190" s="1181"/>
      <c r="RKU190" s="1181"/>
      <c r="RKV190" s="1181"/>
      <c r="RKW190" s="1181"/>
      <c r="RKX190" s="1181"/>
      <c r="RKY190" s="1181"/>
      <c r="RKZ190" s="1181"/>
      <c r="RLA190" s="1181"/>
      <c r="RLB190" s="1181"/>
      <c r="RLC190" s="1181"/>
      <c r="RLD190" s="1181"/>
      <c r="RLE190" s="1181"/>
      <c r="RLF190" s="1181"/>
      <c r="RLG190" s="1181"/>
      <c r="RLH190" s="1181"/>
      <c r="RLI190" s="1181"/>
      <c r="RLJ190" s="1181"/>
      <c r="RLK190" s="1181"/>
      <c r="RLL190" s="1181"/>
      <c r="RLM190" s="1181"/>
      <c r="RLN190" s="1181"/>
      <c r="RLO190" s="1181"/>
      <c r="RLP190" s="1181"/>
      <c r="RLQ190" s="1181"/>
      <c r="RLR190" s="1181"/>
      <c r="RLS190" s="1181"/>
      <c r="RLT190" s="1181"/>
      <c r="RLU190" s="1181"/>
      <c r="RLV190" s="1181"/>
      <c r="RLW190" s="1181"/>
      <c r="RLX190" s="1181"/>
      <c r="RLY190" s="1181"/>
      <c r="RLZ190" s="1181"/>
      <c r="RMA190" s="1181"/>
      <c r="RMB190" s="1181"/>
      <c r="RMC190" s="1181"/>
      <c r="RMD190" s="1181"/>
      <c r="RME190" s="1181"/>
      <c r="RMF190" s="1181"/>
      <c r="RMG190" s="1181"/>
      <c r="RMH190" s="1181"/>
      <c r="RMI190" s="1181"/>
      <c r="RMJ190" s="1181"/>
      <c r="RMK190" s="1181"/>
      <c r="RML190" s="1181"/>
      <c r="RMM190" s="1181"/>
      <c r="RMN190" s="1181"/>
      <c r="RMO190" s="1181"/>
      <c r="RMP190" s="1181"/>
      <c r="RMQ190" s="1181"/>
      <c r="RMR190" s="1181"/>
      <c r="RMS190" s="1181"/>
      <c r="RMT190" s="1181"/>
      <c r="RMU190" s="1181"/>
      <c r="RMV190" s="1181"/>
      <c r="RMW190" s="1181"/>
      <c r="RMX190" s="1181"/>
      <c r="RMY190" s="1181"/>
      <c r="RMZ190" s="1181"/>
      <c r="RNA190" s="1181"/>
      <c r="RNB190" s="1181"/>
      <c r="RNC190" s="1181"/>
      <c r="RND190" s="1181"/>
      <c r="RNE190" s="1181"/>
      <c r="RNF190" s="1181"/>
      <c r="RNG190" s="1181"/>
      <c r="RNH190" s="1181"/>
      <c r="RNI190" s="1181"/>
      <c r="RNJ190" s="1181"/>
      <c r="RNK190" s="1181"/>
      <c r="RNL190" s="1181"/>
      <c r="RNM190" s="1181"/>
      <c r="RNN190" s="1181"/>
      <c r="RNO190" s="1181"/>
      <c r="RNP190" s="1181"/>
      <c r="RNQ190" s="1181"/>
      <c r="RNR190" s="1181"/>
      <c r="RNS190" s="1181"/>
      <c r="RNT190" s="1181"/>
      <c r="RNU190" s="1181"/>
      <c r="RNV190" s="1181"/>
      <c r="RNW190" s="1181"/>
      <c r="RNX190" s="1181"/>
      <c r="RNY190" s="1181"/>
      <c r="RNZ190" s="1181"/>
      <c r="ROA190" s="1181"/>
      <c r="ROB190" s="1181"/>
      <c r="ROC190" s="1181"/>
      <c r="ROD190" s="1181"/>
      <c r="ROE190" s="1181"/>
      <c r="ROF190" s="1181"/>
      <c r="ROG190" s="1181"/>
      <c r="ROH190" s="1181"/>
      <c r="ROI190" s="1181"/>
      <c r="ROJ190" s="1181"/>
      <c r="ROK190" s="1181"/>
      <c r="ROL190" s="1181"/>
      <c r="ROM190" s="1181"/>
      <c r="RON190" s="1181"/>
      <c r="ROO190" s="1181"/>
      <c r="ROP190" s="1181"/>
      <c r="ROQ190" s="1181"/>
      <c r="ROR190" s="1181"/>
      <c r="ROS190" s="1181"/>
      <c r="ROT190" s="1181"/>
      <c r="ROU190" s="1181"/>
      <c r="ROV190" s="1181"/>
      <c r="ROW190" s="1181"/>
      <c r="ROX190" s="1181"/>
      <c r="ROY190" s="1181"/>
      <c r="ROZ190" s="1181"/>
      <c r="RPA190" s="1181"/>
      <c r="RPB190" s="1181"/>
      <c r="RPC190" s="1181"/>
      <c r="RPD190" s="1181"/>
      <c r="RPE190" s="1181"/>
      <c r="RPF190" s="1181"/>
      <c r="RPG190" s="1181"/>
      <c r="RPH190" s="1181"/>
      <c r="RPI190" s="1181"/>
      <c r="RPJ190" s="1181"/>
      <c r="RPK190" s="1181"/>
      <c r="RPL190" s="1181"/>
      <c r="RPM190" s="1181"/>
      <c r="RPN190" s="1181"/>
      <c r="RPO190" s="1181"/>
      <c r="RPP190" s="1181"/>
      <c r="RPQ190" s="1181"/>
      <c r="RPR190" s="1181"/>
      <c r="RPS190" s="1181"/>
      <c r="RPT190" s="1181"/>
      <c r="RPU190" s="1181"/>
      <c r="RPV190" s="1181"/>
      <c r="RPW190" s="1181"/>
      <c r="RPX190" s="1181"/>
      <c r="RPY190" s="1181"/>
      <c r="RPZ190" s="1181"/>
      <c r="RQA190" s="1181"/>
      <c r="RQB190" s="1181"/>
      <c r="RQC190" s="1181"/>
      <c r="RQD190" s="1181"/>
      <c r="RQE190" s="1181"/>
      <c r="RQF190" s="1181"/>
      <c r="RQG190" s="1181"/>
      <c r="RQH190" s="1181"/>
      <c r="RQI190" s="1181"/>
      <c r="RQJ190" s="1181"/>
      <c r="RQK190" s="1181"/>
      <c r="RQL190" s="1181"/>
      <c r="RQM190" s="1181"/>
      <c r="RQN190" s="1181"/>
      <c r="RQO190" s="1181"/>
      <c r="RQP190" s="1181"/>
      <c r="RQQ190" s="1181"/>
      <c r="RQR190" s="1181"/>
      <c r="RQS190" s="1181"/>
      <c r="RQT190" s="1181"/>
      <c r="RQU190" s="1181"/>
      <c r="RQV190" s="1181"/>
      <c r="RQW190" s="1181"/>
      <c r="RQX190" s="1181"/>
      <c r="RQY190" s="1181"/>
      <c r="RQZ190" s="1181"/>
      <c r="RRA190" s="1181"/>
      <c r="RRB190" s="1181"/>
      <c r="RRC190" s="1181"/>
      <c r="RRD190" s="1181"/>
      <c r="RRE190" s="1181"/>
      <c r="RRF190" s="1181"/>
      <c r="RRG190" s="1181"/>
      <c r="RRH190" s="1181"/>
      <c r="RRI190" s="1181"/>
      <c r="RRJ190" s="1181"/>
      <c r="RRK190" s="1181"/>
      <c r="RRL190" s="1181"/>
      <c r="RRM190" s="1181"/>
      <c r="RRN190" s="1181"/>
      <c r="RRO190" s="1181"/>
      <c r="RRP190" s="1181"/>
      <c r="RRQ190" s="1181"/>
      <c r="RRR190" s="1181"/>
      <c r="RRS190" s="1181"/>
      <c r="RRT190" s="1181"/>
      <c r="RRU190" s="1181"/>
      <c r="RRV190" s="1181"/>
      <c r="RRW190" s="1181"/>
      <c r="RRX190" s="1181"/>
      <c r="RRY190" s="1181"/>
      <c r="RRZ190" s="1181"/>
      <c r="RSA190" s="1181"/>
      <c r="RSB190" s="1181"/>
      <c r="RSC190" s="1181"/>
      <c r="RSD190" s="1181"/>
      <c r="RSE190" s="1181"/>
      <c r="RSF190" s="1181"/>
      <c r="RSG190" s="1181"/>
      <c r="RSH190" s="1181"/>
      <c r="RSI190" s="1181"/>
      <c r="RSJ190" s="1181"/>
      <c r="RSK190" s="1181"/>
      <c r="RSL190" s="1181"/>
      <c r="RSM190" s="1181"/>
      <c r="RSN190" s="1181"/>
      <c r="RSO190" s="1181"/>
      <c r="RSP190" s="1181"/>
      <c r="RSQ190" s="1181"/>
      <c r="RSR190" s="1181"/>
      <c r="RSS190" s="1181"/>
      <c r="RST190" s="1181"/>
      <c r="RSU190" s="1181"/>
      <c r="RSV190" s="1181"/>
      <c r="RSW190" s="1181"/>
      <c r="RSX190" s="1181"/>
      <c r="RSY190" s="1181"/>
      <c r="RSZ190" s="1181"/>
      <c r="RTA190" s="1181"/>
      <c r="RTB190" s="1181"/>
      <c r="RTC190" s="1181"/>
      <c r="RTD190" s="1181"/>
      <c r="RTE190" s="1181"/>
      <c r="RTF190" s="1181"/>
      <c r="RTG190" s="1181"/>
      <c r="RTH190" s="1181"/>
      <c r="RTI190" s="1181"/>
      <c r="RTJ190" s="1181"/>
      <c r="RTK190" s="1181"/>
      <c r="RTL190" s="1181"/>
      <c r="RTM190" s="1181"/>
      <c r="RTN190" s="1181"/>
      <c r="RTO190" s="1181"/>
      <c r="RTP190" s="1181"/>
      <c r="RTQ190" s="1181"/>
      <c r="RTR190" s="1181"/>
      <c r="RTS190" s="1181"/>
      <c r="RTT190" s="1181"/>
      <c r="RTU190" s="1181"/>
      <c r="RTV190" s="1181"/>
      <c r="RTW190" s="1181"/>
      <c r="RTX190" s="1181"/>
      <c r="RTY190" s="1181"/>
      <c r="RTZ190" s="1181"/>
      <c r="RUA190" s="1181"/>
      <c r="RUB190" s="1181"/>
      <c r="RUC190" s="1181"/>
      <c r="RUD190" s="1181"/>
      <c r="RUE190" s="1181"/>
      <c r="RUF190" s="1181"/>
      <c r="RUG190" s="1181"/>
      <c r="RUH190" s="1181"/>
      <c r="RUI190" s="1181"/>
      <c r="RUJ190" s="1181"/>
      <c r="RUK190" s="1181"/>
      <c r="RUL190" s="1181"/>
      <c r="RUM190" s="1181"/>
      <c r="RUN190" s="1181"/>
      <c r="RUO190" s="1181"/>
      <c r="RUP190" s="1181"/>
      <c r="RUQ190" s="1181"/>
      <c r="RUR190" s="1181"/>
      <c r="RUS190" s="1181"/>
      <c r="RUT190" s="1181"/>
      <c r="RUU190" s="1181"/>
      <c r="RUV190" s="1181"/>
      <c r="RUW190" s="1181"/>
      <c r="RUX190" s="1181"/>
      <c r="RUY190" s="1181"/>
      <c r="RUZ190" s="1181"/>
      <c r="RVA190" s="1181"/>
      <c r="RVB190" s="1181"/>
      <c r="RVC190" s="1181"/>
      <c r="RVD190" s="1181"/>
      <c r="RVE190" s="1181"/>
      <c r="RVF190" s="1181"/>
      <c r="RVG190" s="1181"/>
      <c r="RVH190" s="1181"/>
      <c r="RVI190" s="1181"/>
      <c r="RVJ190" s="1181"/>
      <c r="RVK190" s="1181"/>
      <c r="RVL190" s="1181"/>
      <c r="RVM190" s="1181"/>
      <c r="RVN190" s="1181"/>
      <c r="RVO190" s="1181"/>
      <c r="RVP190" s="1181"/>
      <c r="RVQ190" s="1181"/>
      <c r="RVR190" s="1181"/>
      <c r="RVS190" s="1181"/>
      <c r="RVT190" s="1181"/>
      <c r="RVU190" s="1181"/>
      <c r="RVV190" s="1181"/>
      <c r="RVW190" s="1181"/>
      <c r="RVX190" s="1181"/>
      <c r="RVY190" s="1181"/>
      <c r="RVZ190" s="1181"/>
      <c r="RWA190" s="1181"/>
      <c r="RWB190" s="1181"/>
      <c r="RWC190" s="1181"/>
      <c r="RWD190" s="1181"/>
      <c r="RWE190" s="1181"/>
      <c r="RWF190" s="1181"/>
      <c r="RWG190" s="1181"/>
      <c r="RWH190" s="1181"/>
      <c r="RWI190" s="1181"/>
      <c r="RWJ190" s="1181"/>
      <c r="RWK190" s="1181"/>
      <c r="RWL190" s="1181"/>
      <c r="RWM190" s="1181"/>
      <c r="RWN190" s="1181"/>
      <c r="RWO190" s="1181"/>
      <c r="RWP190" s="1181"/>
      <c r="RWQ190" s="1181"/>
      <c r="RWR190" s="1181"/>
      <c r="RWS190" s="1181"/>
      <c r="RWT190" s="1181"/>
      <c r="RWU190" s="1181"/>
      <c r="RWV190" s="1181"/>
      <c r="RWW190" s="1181"/>
      <c r="RWX190" s="1181"/>
      <c r="RWY190" s="1181"/>
      <c r="RWZ190" s="1181"/>
      <c r="RXA190" s="1181"/>
      <c r="RXB190" s="1181"/>
      <c r="RXC190" s="1181"/>
      <c r="RXD190" s="1181"/>
      <c r="RXE190" s="1181"/>
      <c r="RXF190" s="1181"/>
      <c r="RXG190" s="1181"/>
      <c r="RXH190" s="1181"/>
      <c r="RXI190" s="1181"/>
      <c r="RXJ190" s="1181"/>
      <c r="RXK190" s="1181"/>
      <c r="RXL190" s="1181"/>
      <c r="RXM190" s="1181"/>
      <c r="RXN190" s="1181"/>
      <c r="RXO190" s="1181"/>
      <c r="RXP190" s="1181"/>
      <c r="RXQ190" s="1181"/>
      <c r="RXR190" s="1181"/>
      <c r="RXS190" s="1181"/>
      <c r="RXT190" s="1181"/>
      <c r="RXU190" s="1181"/>
      <c r="RXV190" s="1181"/>
      <c r="RXW190" s="1181"/>
      <c r="RXX190" s="1181"/>
      <c r="RXY190" s="1181"/>
      <c r="RXZ190" s="1181"/>
      <c r="RYA190" s="1181"/>
      <c r="RYB190" s="1181"/>
      <c r="RYC190" s="1181"/>
      <c r="RYD190" s="1181"/>
      <c r="RYE190" s="1181"/>
      <c r="RYF190" s="1181"/>
      <c r="RYG190" s="1181"/>
      <c r="RYH190" s="1181"/>
      <c r="RYI190" s="1181"/>
      <c r="RYJ190" s="1181"/>
      <c r="RYK190" s="1181"/>
      <c r="RYL190" s="1181"/>
      <c r="RYM190" s="1181"/>
      <c r="RYN190" s="1181"/>
      <c r="RYO190" s="1181"/>
      <c r="RYP190" s="1181"/>
      <c r="RYQ190" s="1181"/>
      <c r="RYR190" s="1181"/>
      <c r="RYS190" s="1181"/>
      <c r="RYT190" s="1181"/>
      <c r="RYU190" s="1181"/>
      <c r="RYV190" s="1181"/>
      <c r="RYW190" s="1181"/>
      <c r="RYX190" s="1181"/>
      <c r="RYY190" s="1181"/>
      <c r="RYZ190" s="1181"/>
      <c r="RZA190" s="1181"/>
      <c r="RZB190" s="1181"/>
      <c r="RZC190" s="1181"/>
      <c r="RZD190" s="1181"/>
      <c r="RZE190" s="1181"/>
      <c r="RZF190" s="1181"/>
      <c r="RZG190" s="1181"/>
      <c r="RZH190" s="1181"/>
      <c r="RZI190" s="1181"/>
      <c r="RZJ190" s="1181"/>
      <c r="RZK190" s="1181"/>
      <c r="RZL190" s="1181"/>
      <c r="RZM190" s="1181"/>
      <c r="RZN190" s="1181"/>
      <c r="RZO190" s="1181"/>
      <c r="RZP190" s="1181"/>
      <c r="RZQ190" s="1181"/>
      <c r="RZR190" s="1181"/>
      <c r="RZS190" s="1181"/>
      <c r="RZT190" s="1181"/>
      <c r="RZU190" s="1181"/>
      <c r="RZV190" s="1181"/>
      <c r="RZW190" s="1181"/>
      <c r="RZX190" s="1181"/>
      <c r="RZY190" s="1181"/>
      <c r="RZZ190" s="1181"/>
      <c r="SAA190" s="1181"/>
      <c r="SAB190" s="1181"/>
      <c r="SAC190" s="1181"/>
      <c r="SAD190" s="1181"/>
      <c r="SAE190" s="1181"/>
      <c r="SAF190" s="1181"/>
      <c r="SAG190" s="1181"/>
      <c r="SAH190" s="1181"/>
      <c r="SAI190" s="1181"/>
      <c r="SAJ190" s="1181"/>
      <c r="SAK190" s="1181"/>
      <c r="SAL190" s="1181"/>
      <c r="SAM190" s="1181"/>
      <c r="SAN190" s="1181"/>
      <c r="SAO190" s="1181"/>
      <c r="SAP190" s="1181"/>
      <c r="SAQ190" s="1181"/>
      <c r="SAR190" s="1181"/>
      <c r="SAS190" s="1181"/>
      <c r="SAT190" s="1181"/>
      <c r="SAU190" s="1181"/>
      <c r="SAV190" s="1181"/>
      <c r="SAW190" s="1181"/>
      <c r="SAX190" s="1181"/>
      <c r="SAY190" s="1181"/>
      <c r="SAZ190" s="1181"/>
      <c r="SBA190" s="1181"/>
      <c r="SBB190" s="1181"/>
      <c r="SBC190" s="1181"/>
      <c r="SBD190" s="1181"/>
      <c r="SBE190" s="1181"/>
      <c r="SBF190" s="1181"/>
      <c r="SBG190" s="1181"/>
      <c r="SBH190" s="1181"/>
      <c r="SBI190" s="1181"/>
      <c r="SBJ190" s="1181"/>
      <c r="SBK190" s="1181"/>
      <c r="SBL190" s="1181"/>
      <c r="SBM190" s="1181"/>
      <c r="SBN190" s="1181"/>
      <c r="SBO190" s="1181"/>
      <c r="SBP190" s="1181"/>
      <c r="SBQ190" s="1181"/>
      <c r="SBR190" s="1181"/>
      <c r="SBS190" s="1181"/>
      <c r="SBT190" s="1181"/>
      <c r="SBU190" s="1181"/>
      <c r="SBV190" s="1181"/>
      <c r="SBW190" s="1181"/>
      <c r="SBX190" s="1181"/>
      <c r="SBY190" s="1181"/>
      <c r="SBZ190" s="1181"/>
      <c r="SCA190" s="1181"/>
      <c r="SCB190" s="1181"/>
      <c r="SCC190" s="1181"/>
      <c r="SCD190" s="1181"/>
      <c r="SCE190" s="1181"/>
      <c r="SCF190" s="1181"/>
      <c r="SCG190" s="1181"/>
      <c r="SCH190" s="1181"/>
      <c r="SCI190" s="1181"/>
      <c r="SCJ190" s="1181"/>
      <c r="SCK190" s="1181"/>
      <c r="SCL190" s="1181"/>
      <c r="SCM190" s="1181"/>
      <c r="SCN190" s="1181"/>
      <c r="SCO190" s="1181"/>
      <c r="SCP190" s="1181"/>
      <c r="SCQ190" s="1181"/>
      <c r="SCR190" s="1181"/>
      <c r="SCS190" s="1181"/>
      <c r="SCT190" s="1181"/>
      <c r="SCU190" s="1181"/>
      <c r="SCV190" s="1181"/>
      <c r="SCW190" s="1181"/>
      <c r="SCX190" s="1181"/>
      <c r="SCY190" s="1181"/>
      <c r="SCZ190" s="1181"/>
      <c r="SDA190" s="1181"/>
      <c r="SDB190" s="1181"/>
      <c r="SDC190" s="1181"/>
      <c r="SDD190" s="1181"/>
      <c r="SDE190" s="1181"/>
      <c r="SDF190" s="1181"/>
      <c r="SDG190" s="1181"/>
      <c r="SDH190" s="1181"/>
      <c r="SDI190" s="1181"/>
      <c r="SDJ190" s="1181"/>
      <c r="SDK190" s="1181"/>
      <c r="SDL190" s="1181"/>
      <c r="SDM190" s="1181"/>
      <c r="SDN190" s="1181"/>
      <c r="SDO190" s="1181"/>
      <c r="SDP190" s="1181"/>
      <c r="SDQ190" s="1181"/>
      <c r="SDR190" s="1181"/>
      <c r="SDS190" s="1181"/>
      <c r="SDT190" s="1181"/>
      <c r="SDU190" s="1181"/>
      <c r="SDV190" s="1181"/>
      <c r="SDW190" s="1181"/>
      <c r="SDX190" s="1181"/>
      <c r="SDY190" s="1181"/>
      <c r="SDZ190" s="1181"/>
      <c r="SEA190" s="1181"/>
      <c r="SEB190" s="1181"/>
      <c r="SEC190" s="1181"/>
      <c r="SED190" s="1181"/>
      <c r="SEE190" s="1181"/>
      <c r="SEF190" s="1181"/>
      <c r="SEG190" s="1181"/>
      <c r="SEH190" s="1181"/>
      <c r="SEI190" s="1181"/>
      <c r="SEJ190" s="1181"/>
      <c r="SEK190" s="1181"/>
      <c r="SEL190" s="1181"/>
      <c r="SEM190" s="1181"/>
      <c r="SEN190" s="1181"/>
      <c r="SEO190" s="1181"/>
      <c r="SEP190" s="1181"/>
      <c r="SEQ190" s="1181"/>
      <c r="SER190" s="1181"/>
      <c r="SES190" s="1181"/>
      <c r="SET190" s="1181"/>
      <c r="SEU190" s="1181"/>
      <c r="SEV190" s="1181"/>
      <c r="SEW190" s="1181"/>
      <c r="SEX190" s="1181"/>
      <c r="SEY190" s="1181"/>
      <c r="SEZ190" s="1181"/>
      <c r="SFA190" s="1181"/>
      <c r="SFB190" s="1181"/>
      <c r="SFC190" s="1181"/>
      <c r="SFD190" s="1181"/>
      <c r="SFE190" s="1181"/>
      <c r="SFF190" s="1181"/>
      <c r="SFG190" s="1181"/>
      <c r="SFH190" s="1181"/>
      <c r="SFI190" s="1181"/>
      <c r="SFJ190" s="1181"/>
      <c r="SFK190" s="1181"/>
      <c r="SFL190" s="1181"/>
      <c r="SFM190" s="1181"/>
      <c r="SFN190" s="1181"/>
      <c r="SFO190" s="1181"/>
      <c r="SFP190" s="1181"/>
      <c r="SFQ190" s="1181"/>
      <c r="SFR190" s="1181"/>
      <c r="SFS190" s="1181"/>
      <c r="SFT190" s="1181"/>
      <c r="SFU190" s="1181"/>
      <c r="SFV190" s="1181"/>
      <c r="SFW190" s="1181"/>
      <c r="SFX190" s="1181"/>
      <c r="SFY190" s="1181"/>
      <c r="SFZ190" s="1181"/>
      <c r="SGA190" s="1181"/>
      <c r="SGB190" s="1181"/>
      <c r="SGC190" s="1181"/>
      <c r="SGD190" s="1181"/>
      <c r="SGE190" s="1181"/>
      <c r="SGF190" s="1181"/>
      <c r="SGG190" s="1181"/>
      <c r="SGH190" s="1181"/>
      <c r="SGI190" s="1181"/>
      <c r="SGJ190" s="1181"/>
      <c r="SGK190" s="1181"/>
      <c r="SGL190" s="1181"/>
      <c r="SGM190" s="1181"/>
      <c r="SGN190" s="1181"/>
      <c r="SGO190" s="1181"/>
      <c r="SGP190" s="1181"/>
      <c r="SGQ190" s="1181"/>
      <c r="SGR190" s="1181"/>
      <c r="SGS190" s="1181"/>
      <c r="SGT190" s="1181"/>
      <c r="SGU190" s="1181"/>
      <c r="SGV190" s="1181"/>
      <c r="SGW190" s="1181"/>
      <c r="SGX190" s="1181"/>
      <c r="SGY190" s="1181"/>
      <c r="SGZ190" s="1181"/>
      <c r="SHA190" s="1181"/>
      <c r="SHB190" s="1181"/>
      <c r="SHC190" s="1181"/>
      <c r="SHD190" s="1181"/>
      <c r="SHE190" s="1181"/>
      <c r="SHF190" s="1181"/>
      <c r="SHG190" s="1181"/>
      <c r="SHH190" s="1181"/>
      <c r="SHI190" s="1181"/>
      <c r="SHJ190" s="1181"/>
      <c r="SHK190" s="1181"/>
      <c r="SHL190" s="1181"/>
      <c r="SHM190" s="1181"/>
      <c r="SHN190" s="1181"/>
      <c r="SHO190" s="1181"/>
      <c r="SHP190" s="1181"/>
      <c r="SHQ190" s="1181"/>
      <c r="SHR190" s="1181"/>
      <c r="SHS190" s="1181"/>
      <c r="SHT190" s="1181"/>
      <c r="SHU190" s="1181"/>
      <c r="SHV190" s="1181"/>
      <c r="SHW190" s="1181"/>
      <c r="SHX190" s="1181"/>
      <c r="SHY190" s="1181"/>
      <c r="SHZ190" s="1181"/>
      <c r="SIA190" s="1181"/>
      <c r="SIB190" s="1181"/>
      <c r="SIC190" s="1181"/>
      <c r="SID190" s="1181"/>
      <c r="SIE190" s="1181"/>
      <c r="SIF190" s="1181"/>
      <c r="SIG190" s="1181"/>
      <c r="SIH190" s="1181"/>
      <c r="SII190" s="1181"/>
      <c r="SIJ190" s="1181"/>
      <c r="SIK190" s="1181"/>
      <c r="SIL190" s="1181"/>
      <c r="SIM190" s="1181"/>
      <c r="SIN190" s="1181"/>
      <c r="SIO190" s="1181"/>
      <c r="SIP190" s="1181"/>
      <c r="SIQ190" s="1181"/>
      <c r="SIR190" s="1181"/>
      <c r="SIS190" s="1181"/>
      <c r="SIT190" s="1181"/>
      <c r="SIU190" s="1181"/>
      <c r="SIV190" s="1181"/>
      <c r="SIW190" s="1181"/>
      <c r="SIX190" s="1181"/>
      <c r="SIY190" s="1181"/>
      <c r="SIZ190" s="1181"/>
      <c r="SJA190" s="1181"/>
      <c r="SJB190" s="1181"/>
      <c r="SJC190" s="1181"/>
      <c r="SJD190" s="1181"/>
      <c r="SJE190" s="1181"/>
      <c r="SJF190" s="1181"/>
      <c r="SJG190" s="1181"/>
      <c r="SJH190" s="1181"/>
      <c r="SJI190" s="1181"/>
      <c r="SJJ190" s="1181"/>
      <c r="SJK190" s="1181"/>
      <c r="SJL190" s="1181"/>
      <c r="SJM190" s="1181"/>
      <c r="SJN190" s="1181"/>
      <c r="SJO190" s="1181"/>
      <c r="SJP190" s="1181"/>
      <c r="SJQ190" s="1181"/>
      <c r="SJR190" s="1181"/>
      <c r="SJS190" s="1181"/>
      <c r="SJT190" s="1181"/>
      <c r="SJU190" s="1181"/>
      <c r="SJV190" s="1181"/>
      <c r="SJW190" s="1181"/>
      <c r="SJX190" s="1181"/>
      <c r="SJY190" s="1181"/>
      <c r="SJZ190" s="1181"/>
      <c r="SKA190" s="1181"/>
      <c r="SKB190" s="1181"/>
      <c r="SKC190" s="1181"/>
      <c r="SKD190" s="1181"/>
      <c r="SKE190" s="1181"/>
      <c r="SKF190" s="1181"/>
      <c r="SKG190" s="1181"/>
      <c r="SKH190" s="1181"/>
      <c r="SKI190" s="1181"/>
      <c r="SKJ190" s="1181"/>
      <c r="SKK190" s="1181"/>
      <c r="SKL190" s="1181"/>
      <c r="SKM190" s="1181"/>
      <c r="SKN190" s="1181"/>
      <c r="SKO190" s="1181"/>
      <c r="SKP190" s="1181"/>
      <c r="SKQ190" s="1181"/>
      <c r="SKR190" s="1181"/>
      <c r="SKS190" s="1181"/>
      <c r="SKT190" s="1181"/>
      <c r="SKU190" s="1181"/>
      <c r="SKV190" s="1181"/>
      <c r="SKW190" s="1181"/>
      <c r="SKX190" s="1181"/>
      <c r="SKY190" s="1181"/>
      <c r="SKZ190" s="1181"/>
      <c r="SLA190" s="1181"/>
      <c r="SLB190" s="1181"/>
      <c r="SLC190" s="1181"/>
      <c r="SLD190" s="1181"/>
      <c r="SLE190" s="1181"/>
      <c r="SLF190" s="1181"/>
      <c r="SLG190" s="1181"/>
      <c r="SLH190" s="1181"/>
      <c r="SLI190" s="1181"/>
      <c r="SLJ190" s="1181"/>
      <c r="SLK190" s="1181"/>
      <c r="SLL190" s="1181"/>
      <c r="SLM190" s="1181"/>
      <c r="SLN190" s="1181"/>
      <c r="SLO190" s="1181"/>
      <c r="SLP190" s="1181"/>
      <c r="SLQ190" s="1181"/>
      <c r="SLR190" s="1181"/>
      <c r="SLS190" s="1181"/>
      <c r="SLT190" s="1181"/>
      <c r="SLU190" s="1181"/>
      <c r="SLV190" s="1181"/>
      <c r="SLW190" s="1181"/>
      <c r="SLX190" s="1181"/>
      <c r="SLY190" s="1181"/>
      <c r="SLZ190" s="1181"/>
      <c r="SMA190" s="1181"/>
      <c r="SMB190" s="1181"/>
      <c r="SMC190" s="1181"/>
      <c r="SMD190" s="1181"/>
      <c r="SME190" s="1181"/>
      <c r="SMF190" s="1181"/>
      <c r="SMG190" s="1181"/>
      <c r="SMH190" s="1181"/>
      <c r="SMI190" s="1181"/>
      <c r="SMJ190" s="1181"/>
      <c r="SMK190" s="1181"/>
      <c r="SML190" s="1181"/>
      <c r="SMM190" s="1181"/>
      <c r="SMN190" s="1181"/>
      <c r="SMO190" s="1181"/>
      <c r="SMP190" s="1181"/>
      <c r="SMQ190" s="1181"/>
      <c r="SMR190" s="1181"/>
      <c r="SMS190" s="1181"/>
      <c r="SMT190" s="1181"/>
      <c r="SMU190" s="1181"/>
      <c r="SMV190" s="1181"/>
      <c r="SMW190" s="1181"/>
      <c r="SMX190" s="1181"/>
      <c r="SMY190" s="1181"/>
      <c r="SMZ190" s="1181"/>
      <c r="SNA190" s="1181"/>
      <c r="SNB190" s="1181"/>
      <c r="SNC190" s="1181"/>
      <c r="SND190" s="1181"/>
      <c r="SNE190" s="1181"/>
      <c r="SNF190" s="1181"/>
      <c r="SNG190" s="1181"/>
      <c r="SNH190" s="1181"/>
      <c r="SNI190" s="1181"/>
      <c r="SNJ190" s="1181"/>
      <c r="SNK190" s="1181"/>
      <c r="SNL190" s="1181"/>
      <c r="SNM190" s="1181"/>
      <c r="SNN190" s="1181"/>
      <c r="SNO190" s="1181"/>
      <c r="SNP190" s="1181"/>
      <c r="SNQ190" s="1181"/>
      <c r="SNR190" s="1181"/>
      <c r="SNS190" s="1181"/>
      <c r="SNT190" s="1181"/>
      <c r="SNU190" s="1181"/>
      <c r="SNV190" s="1181"/>
      <c r="SNW190" s="1181"/>
      <c r="SNX190" s="1181"/>
      <c r="SNY190" s="1181"/>
      <c r="SNZ190" s="1181"/>
      <c r="SOA190" s="1181"/>
      <c r="SOB190" s="1181"/>
      <c r="SOC190" s="1181"/>
      <c r="SOD190" s="1181"/>
      <c r="SOE190" s="1181"/>
      <c r="SOF190" s="1181"/>
      <c r="SOG190" s="1181"/>
      <c r="SOH190" s="1181"/>
      <c r="SOI190" s="1181"/>
      <c r="SOJ190" s="1181"/>
      <c r="SOK190" s="1181"/>
      <c r="SOL190" s="1181"/>
      <c r="SOM190" s="1181"/>
      <c r="SON190" s="1181"/>
      <c r="SOO190" s="1181"/>
      <c r="SOP190" s="1181"/>
      <c r="SOQ190" s="1181"/>
      <c r="SOR190" s="1181"/>
      <c r="SOS190" s="1181"/>
      <c r="SOT190" s="1181"/>
      <c r="SOU190" s="1181"/>
      <c r="SOV190" s="1181"/>
      <c r="SOW190" s="1181"/>
      <c r="SOX190" s="1181"/>
      <c r="SOY190" s="1181"/>
      <c r="SOZ190" s="1181"/>
      <c r="SPA190" s="1181"/>
      <c r="SPB190" s="1181"/>
      <c r="SPC190" s="1181"/>
      <c r="SPD190" s="1181"/>
      <c r="SPE190" s="1181"/>
      <c r="SPF190" s="1181"/>
      <c r="SPG190" s="1181"/>
      <c r="SPH190" s="1181"/>
      <c r="SPI190" s="1181"/>
      <c r="SPJ190" s="1181"/>
      <c r="SPK190" s="1181"/>
      <c r="SPL190" s="1181"/>
      <c r="SPM190" s="1181"/>
      <c r="SPN190" s="1181"/>
      <c r="SPO190" s="1181"/>
      <c r="SPP190" s="1181"/>
      <c r="SPQ190" s="1181"/>
      <c r="SPR190" s="1181"/>
      <c r="SPS190" s="1181"/>
      <c r="SPT190" s="1181"/>
      <c r="SPU190" s="1181"/>
      <c r="SPV190" s="1181"/>
      <c r="SPW190" s="1181"/>
      <c r="SPX190" s="1181"/>
      <c r="SPY190" s="1181"/>
      <c r="SPZ190" s="1181"/>
      <c r="SQA190" s="1181"/>
      <c r="SQB190" s="1181"/>
      <c r="SQC190" s="1181"/>
      <c r="SQD190" s="1181"/>
      <c r="SQE190" s="1181"/>
      <c r="SQF190" s="1181"/>
      <c r="SQG190" s="1181"/>
      <c r="SQH190" s="1181"/>
      <c r="SQI190" s="1181"/>
      <c r="SQJ190" s="1181"/>
      <c r="SQK190" s="1181"/>
      <c r="SQL190" s="1181"/>
      <c r="SQM190" s="1181"/>
      <c r="SQN190" s="1181"/>
      <c r="SQO190" s="1181"/>
      <c r="SQP190" s="1181"/>
      <c r="SQQ190" s="1181"/>
      <c r="SQR190" s="1181"/>
      <c r="SQS190" s="1181"/>
      <c r="SQT190" s="1181"/>
      <c r="SQU190" s="1181"/>
      <c r="SQV190" s="1181"/>
      <c r="SQW190" s="1181"/>
      <c r="SQX190" s="1181"/>
      <c r="SQY190" s="1181"/>
      <c r="SQZ190" s="1181"/>
      <c r="SRA190" s="1181"/>
      <c r="SRB190" s="1181"/>
      <c r="SRC190" s="1181"/>
      <c r="SRD190" s="1181"/>
      <c r="SRE190" s="1181"/>
      <c r="SRF190" s="1181"/>
      <c r="SRG190" s="1181"/>
      <c r="SRH190" s="1181"/>
      <c r="SRI190" s="1181"/>
      <c r="SRJ190" s="1181"/>
      <c r="SRK190" s="1181"/>
      <c r="SRL190" s="1181"/>
      <c r="SRM190" s="1181"/>
      <c r="SRN190" s="1181"/>
      <c r="SRO190" s="1181"/>
      <c r="SRP190" s="1181"/>
      <c r="SRQ190" s="1181"/>
      <c r="SRR190" s="1181"/>
      <c r="SRS190" s="1181"/>
      <c r="SRT190" s="1181"/>
      <c r="SRU190" s="1181"/>
      <c r="SRV190" s="1181"/>
      <c r="SRW190" s="1181"/>
      <c r="SRX190" s="1181"/>
      <c r="SRY190" s="1181"/>
      <c r="SRZ190" s="1181"/>
      <c r="SSA190" s="1181"/>
      <c r="SSB190" s="1181"/>
      <c r="SSC190" s="1181"/>
      <c r="SSD190" s="1181"/>
      <c r="SSE190" s="1181"/>
      <c r="SSF190" s="1181"/>
      <c r="SSG190" s="1181"/>
      <c r="SSH190" s="1181"/>
      <c r="SSI190" s="1181"/>
      <c r="SSJ190" s="1181"/>
      <c r="SSK190" s="1181"/>
      <c r="SSL190" s="1181"/>
      <c r="SSM190" s="1181"/>
      <c r="SSN190" s="1181"/>
      <c r="SSO190" s="1181"/>
      <c r="SSP190" s="1181"/>
      <c r="SSQ190" s="1181"/>
      <c r="SSR190" s="1181"/>
      <c r="SSS190" s="1181"/>
      <c r="SST190" s="1181"/>
      <c r="SSU190" s="1181"/>
      <c r="SSV190" s="1181"/>
      <c r="SSW190" s="1181"/>
      <c r="SSX190" s="1181"/>
      <c r="SSY190" s="1181"/>
      <c r="SSZ190" s="1181"/>
      <c r="STA190" s="1181"/>
      <c r="STB190" s="1181"/>
      <c r="STC190" s="1181"/>
      <c r="STD190" s="1181"/>
      <c r="STE190" s="1181"/>
      <c r="STF190" s="1181"/>
      <c r="STG190" s="1181"/>
      <c r="STH190" s="1181"/>
      <c r="STI190" s="1181"/>
      <c r="STJ190" s="1181"/>
      <c r="STK190" s="1181"/>
      <c r="STL190" s="1181"/>
      <c r="STM190" s="1181"/>
      <c r="STN190" s="1181"/>
      <c r="STO190" s="1181"/>
      <c r="STP190" s="1181"/>
      <c r="STQ190" s="1181"/>
      <c r="STR190" s="1181"/>
      <c r="STS190" s="1181"/>
      <c r="STT190" s="1181"/>
      <c r="STU190" s="1181"/>
      <c r="STV190" s="1181"/>
      <c r="STW190" s="1181"/>
      <c r="STX190" s="1181"/>
      <c r="STY190" s="1181"/>
      <c r="STZ190" s="1181"/>
      <c r="SUA190" s="1181"/>
      <c r="SUB190" s="1181"/>
      <c r="SUC190" s="1181"/>
      <c r="SUD190" s="1181"/>
      <c r="SUE190" s="1181"/>
      <c r="SUF190" s="1181"/>
      <c r="SUG190" s="1181"/>
      <c r="SUH190" s="1181"/>
      <c r="SUI190" s="1181"/>
      <c r="SUJ190" s="1181"/>
      <c r="SUK190" s="1181"/>
      <c r="SUL190" s="1181"/>
      <c r="SUM190" s="1181"/>
      <c r="SUN190" s="1181"/>
      <c r="SUO190" s="1181"/>
      <c r="SUP190" s="1181"/>
      <c r="SUQ190" s="1181"/>
      <c r="SUR190" s="1181"/>
      <c r="SUS190" s="1181"/>
      <c r="SUT190" s="1181"/>
      <c r="SUU190" s="1181"/>
      <c r="SUV190" s="1181"/>
      <c r="SUW190" s="1181"/>
      <c r="SUX190" s="1181"/>
      <c r="SUY190" s="1181"/>
      <c r="SUZ190" s="1181"/>
      <c r="SVA190" s="1181"/>
      <c r="SVB190" s="1181"/>
      <c r="SVC190" s="1181"/>
      <c r="SVD190" s="1181"/>
      <c r="SVE190" s="1181"/>
      <c r="SVF190" s="1181"/>
      <c r="SVG190" s="1181"/>
      <c r="SVH190" s="1181"/>
      <c r="SVI190" s="1181"/>
      <c r="SVJ190" s="1181"/>
      <c r="SVK190" s="1181"/>
      <c r="SVL190" s="1181"/>
      <c r="SVM190" s="1181"/>
      <c r="SVN190" s="1181"/>
      <c r="SVO190" s="1181"/>
      <c r="SVP190" s="1181"/>
      <c r="SVQ190" s="1181"/>
      <c r="SVR190" s="1181"/>
      <c r="SVS190" s="1181"/>
      <c r="SVT190" s="1181"/>
      <c r="SVU190" s="1181"/>
      <c r="SVV190" s="1181"/>
      <c r="SVW190" s="1181"/>
      <c r="SVX190" s="1181"/>
      <c r="SVY190" s="1181"/>
      <c r="SVZ190" s="1181"/>
      <c r="SWA190" s="1181"/>
      <c r="SWB190" s="1181"/>
      <c r="SWC190" s="1181"/>
      <c r="SWD190" s="1181"/>
      <c r="SWE190" s="1181"/>
      <c r="SWF190" s="1181"/>
      <c r="SWG190" s="1181"/>
      <c r="SWH190" s="1181"/>
      <c r="SWI190" s="1181"/>
      <c r="SWJ190" s="1181"/>
      <c r="SWK190" s="1181"/>
      <c r="SWL190" s="1181"/>
      <c r="SWM190" s="1181"/>
      <c r="SWN190" s="1181"/>
      <c r="SWO190" s="1181"/>
      <c r="SWP190" s="1181"/>
      <c r="SWQ190" s="1181"/>
      <c r="SWR190" s="1181"/>
      <c r="SWS190" s="1181"/>
      <c r="SWT190" s="1181"/>
      <c r="SWU190" s="1181"/>
      <c r="SWV190" s="1181"/>
      <c r="SWW190" s="1181"/>
      <c r="SWX190" s="1181"/>
      <c r="SWY190" s="1181"/>
      <c r="SWZ190" s="1181"/>
      <c r="SXA190" s="1181"/>
      <c r="SXB190" s="1181"/>
      <c r="SXC190" s="1181"/>
      <c r="SXD190" s="1181"/>
      <c r="SXE190" s="1181"/>
      <c r="SXF190" s="1181"/>
      <c r="SXG190" s="1181"/>
      <c r="SXH190" s="1181"/>
      <c r="SXI190" s="1181"/>
      <c r="SXJ190" s="1181"/>
      <c r="SXK190" s="1181"/>
      <c r="SXL190" s="1181"/>
      <c r="SXM190" s="1181"/>
      <c r="SXN190" s="1181"/>
      <c r="SXO190" s="1181"/>
      <c r="SXP190" s="1181"/>
      <c r="SXQ190" s="1181"/>
      <c r="SXR190" s="1181"/>
      <c r="SXS190" s="1181"/>
      <c r="SXT190" s="1181"/>
      <c r="SXU190" s="1181"/>
      <c r="SXV190" s="1181"/>
      <c r="SXW190" s="1181"/>
      <c r="SXX190" s="1181"/>
      <c r="SXY190" s="1181"/>
      <c r="SXZ190" s="1181"/>
      <c r="SYA190" s="1181"/>
      <c r="SYB190" s="1181"/>
      <c r="SYC190" s="1181"/>
      <c r="SYD190" s="1181"/>
      <c r="SYE190" s="1181"/>
      <c r="SYF190" s="1181"/>
      <c r="SYG190" s="1181"/>
      <c r="SYH190" s="1181"/>
      <c r="SYI190" s="1181"/>
      <c r="SYJ190" s="1181"/>
      <c r="SYK190" s="1181"/>
      <c r="SYL190" s="1181"/>
      <c r="SYM190" s="1181"/>
      <c r="SYN190" s="1181"/>
      <c r="SYO190" s="1181"/>
      <c r="SYP190" s="1181"/>
      <c r="SYQ190" s="1181"/>
      <c r="SYR190" s="1181"/>
      <c r="SYS190" s="1181"/>
      <c r="SYT190" s="1181"/>
      <c r="SYU190" s="1181"/>
      <c r="SYV190" s="1181"/>
      <c r="SYW190" s="1181"/>
      <c r="SYX190" s="1181"/>
      <c r="SYY190" s="1181"/>
      <c r="SYZ190" s="1181"/>
      <c r="SZA190" s="1181"/>
      <c r="SZB190" s="1181"/>
      <c r="SZC190" s="1181"/>
      <c r="SZD190" s="1181"/>
      <c r="SZE190" s="1181"/>
      <c r="SZF190" s="1181"/>
      <c r="SZG190" s="1181"/>
      <c r="SZH190" s="1181"/>
      <c r="SZI190" s="1181"/>
      <c r="SZJ190" s="1181"/>
      <c r="SZK190" s="1181"/>
      <c r="SZL190" s="1181"/>
      <c r="SZM190" s="1181"/>
      <c r="SZN190" s="1181"/>
      <c r="SZO190" s="1181"/>
      <c r="SZP190" s="1181"/>
      <c r="SZQ190" s="1181"/>
      <c r="SZR190" s="1181"/>
      <c r="SZS190" s="1181"/>
      <c r="SZT190" s="1181"/>
      <c r="SZU190" s="1181"/>
      <c r="SZV190" s="1181"/>
      <c r="SZW190" s="1181"/>
      <c r="SZX190" s="1181"/>
      <c r="SZY190" s="1181"/>
      <c r="SZZ190" s="1181"/>
      <c r="TAA190" s="1181"/>
      <c r="TAB190" s="1181"/>
      <c r="TAC190" s="1181"/>
      <c r="TAD190" s="1181"/>
      <c r="TAE190" s="1181"/>
      <c r="TAF190" s="1181"/>
      <c r="TAG190" s="1181"/>
      <c r="TAH190" s="1181"/>
      <c r="TAI190" s="1181"/>
      <c r="TAJ190" s="1181"/>
      <c r="TAK190" s="1181"/>
      <c r="TAL190" s="1181"/>
      <c r="TAM190" s="1181"/>
      <c r="TAN190" s="1181"/>
      <c r="TAO190" s="1181"/>
      <c r="TAP190" s="1181"/>
      <c r="TAQ190" s="1181"/>
      <c r="TAR190" s="1181"/>
      <c r="TAS190" s="1181"/>
      <c r="TAT190" s="1181"/>
      <c r="TAU190" s="1181"/>
      <c r="TAV190" s="1181"/>
      <c r="TAW190" s="1181"/>
      <c r="TAX190" s="1181"/>
      <c r="TAY190" s="1181"/>
      <c r="TAZ190" s="1181"/>
      <c r="TBA190" s="1181"/>
      <c r="TBB190" s="1181"/>
      <c r="TBC190" s="1181"/>
      <c r="TBD190" s="1181"/>
      <c r="TBE190" s="1181"/>
      <c r="TBF190" s="1181"/>
      <c r="TBG190" s="1181"/>
      <c r="TBH190" s="1181"/>
      <c r="TBI190" s="1181"/>
      <c r="TBJ190" s="1181"/>
      <c r="TBK190" s="1181"/>
      <c r="TBL190" s="1181"/>
      <c r="TBM190" s="1181"/>
      <c r="TBN190" s="1181"/>
      <c r="TBO190" s="1181"/>
      <c r="TBP190" s="1181"/>
      <c r="TBQ190" s="1181"/>
      <c r="TBR190" s="1181"/>
      <c r="TBS190" s="1181"/>
      <c r="TBT190" s="1181"/>
      <c r="TBU190" s="1181"/>
      <c r="TBV190" s="1181"/>
      <c r="TBW190" s="1181"/>
      <c r="TBX190" s="1181"/>
      <c r="TBY190" s="1181"/>
      <c r="TBZ190" s="1181"/>
      <c r="TCA190" s="1181"/>
      <c r="TCB190" s="1181"/>
      <c r="TCC190" s="1181"/>
      <c r="TCD190" s="1181"/>
      <c r="TCE190" s="1181"/>
      <c r="TCF190" s="1181"/>
      <c r="TCG190" s="1181"/>
      <c r="TCH190" s="1181"/>
      <c r="TCI190" s="1181"/>
      <c r="TCJ190" s="1181"/>
      <c r="TCK190" s="1181"/>
      <c r="TCL190" s="1181"/>
      <c r="TCM190" s="1181"/>
      <c r="TCN190" s="1181"/>
      <c r="TCO190" s="1181"/>
      <c r="TCP190" s="1181"/>
      <c r="TCQ190" s="1181"/>
      <c r="TCR190" s="1181"/>
      <c r="TCS190" s="1181"/>
      <c r="TCT190" s="1181"/>
      <c r="TCU190" s="1181"/>
      <c r="TCV190" s="1181"/>
      <c r="TCW190" s="1181"/>
      <c r="TCX190" s="1181"/>
      <c r="TCY190" s="1181"/>
      <c r="TCZ190" s="1181"/>
      <c r="TDA190" s="1181"/>
      <c r="TDB190" s="1181"/>
      <c r="TDC190" s="1181"/>
      <c r="TDD190" s="1181"/>
      <c r="TDE190" s="1181"/>
      <c r="TDF190" s="1181"/>
      <c r="TDG190" s="1181"/>
      <c r="TDH190" s="1181"/>
      <c r="TDI190" s="1181"/>
      <c r="TDJ190" s="1181"/>
      <c r="TDK190" s="1181"/>
      <c r="TDL190" s="1181"/>
      <c r="TDM190" s="1181"/>
      <c r="TDN190" s="1181"/>
      <c r="TDO190" s="1181"/>
      <c r="TDP190" s="1181"/>
      <c r="TDQ190" s="1181"/>
      <c r="TDR190" s="1181"/>
      <c r="TDS190" s="1181"/>
      <c r="TDT190" s="1181"/>
      <c r="TDU190" s="1181"/>
      <c r="TDV190" s="1181"/>
      <c r="TDW190" s="1181"/>
      <c r="TDX190" s="1181"/>
      <c r="TDY190" s="1181"/>
      <c r="TDZ190" s="1181"/>
      <c r="TEA190" s="1181"/>
      <c r="TEB190" s="1181"/>
      <c r="TEC190" s="1181"/>
      <c r="TED190" s="1181"/>
      <c r="TEE190" s="1181"/>
      <c r="TEF190" s="1181"/>
      <c r="TEG190" s="1181"/>
      <c r="TEH190" s="1181"/>
      <c r="TEI190" s="1181"/>
      <c r="TEJ190" s="1181"/>
      <c r="TEK190" s="1181"/>
      <c r="TEL190" s="1181"/>
      <c r="TEM190" s="1181"/>
      <c r="TEN190" s="1181"/>
      <c r="TEO190" s="1181"/>
      <c r="TEP190" s="1181"/>
      <c r="TEQ190" s="1181"/>
      <c r="TER190" s="1181"/>
      <c r="TES190" s="1181"/>
      <c r="TET190" s="1181"/>
      <c r="TEU190" s="1181"/>
      <c r="TEV190" s="1181"/>
      <c r="TEW190" s="1181"/>
      <c r="TEX190" s="1181"/>
      <c r="TEY190" s="1181"/>
      <c r="TEZ190" s="1181"/>
      <c r="TFA190" s="1181"/>
      <c r="TFB190" s="1181"/>
      <c r="TFC190" s="1181"/>
      <c r="TFD190" s="1181"/>
      <c r="TFE190" s="1181"/>
      <c r="TFF190" s="1181"/>
      <c r="TFG190" s="1181"/>
      <c r="TFH190" s="1181"/>
      <c r="TFI190" s="1181"/>
      <c r="TFJ190" s="1181"/>
      <c r="TFK190" s="1181"/>
      <c r="TFL190" s="1181"/>
      <c r="TFM190" s="1181"/>
      <c r="TFN190" s="1181"/>
      <c r="TFO190" s="1181"/>
      <c r="TFP190" s="1181"/>
      <c r="TFQ190" s="1181"/>
      <c r="TFR190" s="1181"/>
      <c r="TFS190" s="1181"/>
      <c r="TFT190" s="1181"/>
      <c r="TFU190" s="1181"/>
      <c r="TFV190" s="1181"/>
      <c r="TFW190" s="1181"/>
      <c r="TFX190" s="1181"/>
      <c r="TFY190" s="1181"/>
      <c r="TFZ190" s="1181"/>
      <c r="TGA190" s="1181"/>
      <c r="TGB190" s="1181"/>
      <c r="TGC190" s="1181"/>
      <c r="TGD190" s="1181"/>
      <c r="TGE190" s="1181"/>
      <c r="TGF190" s="1181"/>
      <c r="TGG190" s="1181"/>
      <c r="TGH190" s="1181"/>
      <c r="TGI190" s="1181"/>
      <c r="TGJ190" s="1181"/>
      <c r="TGK190" s="1181"/>
      <c r="TGL190" s="1181"/>
      <c r="TGM190" s="1181"/>
      <c r="TGN190" s="1181"/>
      <c r="TGO190" s="1181"/>
      <c r="TGP190" s="1181"/>
      <c r="TGQ190" s="1181"/>
      <c r="TGR190" s="1181"/>
      <c r="TGS190" s="1181"/>
      <c r="TGT190" s="1181"/>
      <c r="TGU190" s="1181"/>
      <c r="TGV190" s="1181"/>
      <c r="TGW190" s="1181"/>
      <c r="TGX190" s="1181"/>
      <c r="TGY190" s="1181"/>
      <c r="TGZ190" s="1181"/>
      <c r="THA190" s="1181"/>
      <c r="THB190" s="1181"/>
      <c r="THC190" s="1181"/>
      <c r="THD190" s="1181"/>
      <c r="THE190" s="1181"/>
      <c r="THF190" s="1181"/>
      <c r="THG190" s="1181"/>
      <c r="THH190" s="1181"/>
      <c r="THI190" s="1181"/>
      <c r="THJ190" s="1181"/>
      <c r="THK190" s="1181"/>
      <c r="THL190" s="1181"/>
      <c r="THM190" s="1181"/>
      <c r="THN190" s="1181"/>
      <c r="THO190" s="1181"/>
      <c r="THP190" s="1181"/>
      <c r="THQ190" s="1181"/>
      <c r="THR190" s="1181"/>
      <c r="THS190" s="1181"/>
      <c r="THT190" s="1181"/>
      <c r="THU190" s="1181"/>
      <c r="THV190" s="1181"/>
      <c r="THW190" s="1181"/>
      <c r="THX190" s="1181"/>
      <c r="THY190" s="1181"/>
      <c r="THZ190" s="1181"/>
      <c r="TIA190" s="1181"/>
      <c r="TIB190" s="1181"/>
      <c r="TIC190" s="1181"/>
      <c r="TID190" s="1181"/>
      <c r="TIE190" s="1181"/>
      <c r="TIF190" s="1181"/>
      <c r="TIG190" s="1181"/>
      <c r="TIH190" s="1181"/>
      <c r="TII190" s="1181"/>
      <c r="TIJ190" s="1181"/>
      <c r="TIK190" s="1181"/>
      <c r="TIL190" s="1181"/>
      <c r="TIM190" s="1181"/>
      <c r="TIN190" s="1181"/>
      <c r="TIO190" s="1181"/>
      <c r="TIP190" s="1181"/>
      <c r="TIQ190" s="1181"/>
      <c r="TIR190" s="1181"/>
      <c r="TIS190" s="1181"/>
      <c r="TIT190" s="1181"/>
      <c r="TIU190" s="1181"/>
      <c r="TIV190" s="1181"/>
      <c r="TIW190" s="1181"/>
      <c r="TIX190" s="1181"/>
      <c r="TIY190" s="1181"/>
      <c r="TIZ190" s="1181"/>
      <c r="TJA190" s="1181"/>
      <c r="TJB190" s="1181"/>
      <c r="TJC190" s="1181"/>
      <c r="TJD190" s="1181"/>
      <c r="TJE190" s="1181"/>
      <c r="TJF190" s="1181"/>
      <c r="TJG190" s="1181"/>
      <c r="TJH190" s="1181"/>
      <c r="TJI190" s="1181"/>
      <c r="TJJ190" s="1181"/>
      <c r="TJK190" s="1181"/>
      <c r="TJL190" s="1181"/>
      <c r="TJM190" s="1181"/>
      <c r="TJN190" s="1181"/>
      <c r="TJO190" s="1181"/>
      <c r="TJP190" s="1181"/>
      <c r="TJQ190" s="1181"/>
      <c r="TJR190" s="1181"/>
      <c r="TJS190" s="1181"/>
      <c r="TJT190" s="1181"/>
      <c r="TJU190" s="1181"/>
      <c r="TJV190" s="1181"/>
      <c r="TJW190" s="1181"/>
      <c r="TJX190" s="1181"/>
      <c r="TJY190" s="1181"/>
      <c r="TJZ190" s="1181"/>
      <c r="TKA190" s="1181"/>
      <c r="TKB190" s="1181"/>
      <c r="TKC190" s="1181"/>
      <c r="TKD190" s="1181"/>
      <c r="TKE190" s="1181"/>
      <c r="TKF190" s="1181"/>
      <c r="TKG190" s="1181"/>
      <c r="TKH190" s="1181"/>
      <c r="TKI190" s="1181"/>
      <c r="TKJ190" s="1181"/>
      <c r="TKK190" s="1181"/>
      <c r="TKL190" s="1181"/>
      <c r="TKM190" s="1181"/>
      <c r="TKN190" s="1181"/>
      <c r="TKO190" s="1181"/>
      <c r="TKP190" s="1181"/>
      <c r="TKQ190" s="1181"/>
      <c r="TKR190" s="1181"/>
      <c r="TKS190" s="1181"/>
      <c r="TKT190" s="1181"/>
      <c r="TKU190" s="1181"/>
      <c r="TKV190" s="1181"/>
      <c r="TKW190" s="1181"/>
      <c r="TKX190" s="1181"/>
      <c r="TKY190" s="1181"/>
      <c r="TKZ190" s="1181"/>
      <c r="TLA190" s="1181"/>
      <c r="TLB190" s="1181"/>
      <c r="TLC190" s="1181"/>
      <c r="TLD190" s="1181"/>
      <c r="TLE190" s="1181"/>
      <c r="TLF190" s="1181"/>
      <c r="TLG190" s="1181"/>
      <c r="TLH190" s="1181"/>
      <c r="TLI190" s="1181"/>
      <c r="TLJ190" s="1181"/>
      <c r="TLK190" s="1181"/>
      <c r="TLL190" s="1181"/>
      <c r="TLM190" s="1181"/>
      <c r="TLN190" s="1181"/>
      <c r="TLO190" s="1181"/>
      <c r="TLP190" s="1181"/>
      <c r="TLQ190" s="1181"/>
      <c r="TLR190" s="1181"/>
      <c r="TLS190" s="1181"/>
      <c r="TLT190" s="1181"/>
      <c r="TLU190" s="1181"/>
      <c r="TLV190" s="1181"/>
      <c r="TLW190" s="1181"/>
      <c r="TLX190" s="1181"/>
      <c r="TLY190" s="1181"/>
      <c r="TLZ190" s="1181"/>
      <c r="TMA190" s="1181"/>
      <c r="TMB190" s="1181"/>
      <c r="TMC190" s="1181"/>
      <c r="TMD190" s="1181"/>
      <c r="TME190" s="1181"/>
      <c r="TMF190" s="1181"/>
      <c r="TMG190" s="1181"/>
      <c r="TMH190" s="1181"/>
      <c r="TMI190" s="1181"/>
      <c r="TMJ190" s="1181"/>
      <c r="TMK190" s="1181"/>
      <c r="TML190" s="1181"/>
      <c r="TMM190" s="1181"/>
      <c r="TMN190" s="1181"/>
      <c r="TMO190" s="1181"/>
      <c r="TMP190" s="1181"/>
      <c r="TMQ190" s="1181"/>
      <c r="TMR190" s="1181"/>
      <c r="TMS190" s="1181"/>
      <c r="TMT190" s="1181"/>
      <c r="TMU190" s="1181"/>
      <c r="TMV190" s="1181"/>
      <c r="TMW190" s="1181"/>
      <c r="TMX190" s="1181"/>
      <c r="TMY190" s="1181"/>
      <c r="TMZ190" s="1181"/>
      <c r="TNA190" s="1181"/>
      <c r="TNB190" s="1181"/>
      <c r="TNC190" s="1181"/>
      <c r="TND190" s="1181"/>
      <c r="TNE190" s="1181"/>
      <c r="TNF190" s="1181"/>
      <c r="TNG190" s="1181"/>
      <c r="TNH190" s="1181"/>
      <c r="TNI190" s="1181"/>
      <c r="TNJ190" s="1181"/>
      <c r="TNK190" s="1181"/>
      <c r="TNL190" s="1181"/>
      <c r="TNM190" s="1181"/>
      <c r="TNN190" s="1181"/>
      <c r="TNO190" s="1181"/>
      <c r="TNP190" s="1181"/>
      <c r="TNQ190" s="1181"/>
      <c r="TNR190" s="1181"/>
      <c r="TNS190" s="1181"/>
      <c r="TNT190" s="1181"/>
      <c r="TNU190" s="1181"/>
      <c r="TNV190" s="1181"/>
      <c r="TNW190" s="1181"/>
      <c r="TNX190" s="1181"/>
      <c r="TNY190" s="1181"/>
      <c r="TNZ190" s="1181"/>
      <c r="TOA190" s="1181"/>
      <c r="TOB190" s="1181"/>
      <c r="TOC190" s="1181"/>
      <c r="TOD190" s="1181"/>
      <c r="TOE190" s="1181"/>
      <c r="TOF190" s="1181"/>
      <c r="TOG190" s="1181"/>
      <c r="TOH190" s="1181"/>
      <c r="TOI190" s="1181"/>
      <c r="TOJ190" s="1181"/>
      <c r="TOK190" s="1181"/>
      <c r="TOL190" s="1181"/>
      <c r="TOM190" s="1181"/>
      <c r="TON190" s="1181"/>
      <c r="TOO190" s="1181"/>
      <c r="TOP190" s="1181"/>
      <c r="TOQ190" s="1181"/>
      <c r="TOR190" s="1181"/>
      <c r="TOS190" s="1181"/>
      <c r="TOT190" s="1181"/>
      <c r="TOU190" s="1181"/>
      <c r="TOV190" s="1181"/>
      <c r="TOW190" s="1181"/>
      <c r="TOX190" s="1181"/>
      <c r="TOY190" s="1181"/>
      <c r="TOZ190" s="1181"/>
      <c r="TPA190" s="1181"/>
      <c r="TPB190" s="1181"/>
      <c r="TPC190" s="1181"/>
      <c r="TPD190" s="1181"/>
      <c r="TPE190" s="1181"/>
      <c r="TPF190" s="1181"/>
      <c r="TPG190" s="1181"/>
      <c r="TPH190" s="1181"/>
      <c r="TPI190" s="1181"/>
      <c r="TPJ190" s="1181"/>
      <c r="TPK190" s="1181"/>
      <c r="TPL190" s="1181"/>
      <c r="TPM190" s="1181"/>
      <c r="TPN190" s="1181"/>
      <c r="TPO190" s="1181"/>
      <c r="TPP190" s="1181"/>
      <c r="TPQ190" s="1181"/>
      <c r="TPR190" s="1181"/>
      <c r="TPS190" s="1181"/>
      <c r="TPT190" s="1181"/>
      <c r="TPU190" s="1181"/>
      <c r="TPV190" s="1181"/>
      <c r="TPW190" s="1181"/>
      <c r="TPX190" s="1181"/>
      <c r="TPY190" s="1181"/>
      <c r="TPZ190" s="1181"/>
      <c r="TQA190" s="1181"/>
      <c r="TQB190" s="1181"/>
      <c r="TQC190" s="1181"/>
      <c r="TQD190" s="1181"/>
      <c r="TQE190" s="1181"/>
      <c r="TQF190" s="1181"/>
      <c r="TQG190" s="1181"/>
      <c r="TQH190" s="1181"/>
      <c r="TQI190" s="1181"/>
      <c r="TQJ190" s="1181"/>
      <c r="TQK190" s="1181"/>
      <c r="TQL190" s="1181"/>
      <c r="TQM190" s="1181"/>
      <c r="TQN190" s="1181"/>
      <c r="TQO190" s="1181"/>
      <c r="TQP190" s="1181"/>
      <c r="TQQ190" s="1181"/>
      <c r="TQR190" s="1181"/>
      <c r="TQS190" s="1181"/>
      <c r="TQT190" s="1181"/>
      <c r="TQU190" s="1181"/>
      <c r="TQV190" s="1181"/>
      <c r="TQW190" s="1181"/>
      <c r="TQX190" s="1181"/>
      <c r="TQY190" s="1181"/>
      <c r="TQZ190" s="1181"/>
      <c r="TRA190" s="1181"/>
      <c r="TRB190" s="1181"/>
      <c r="TRC190" s="1181"/>
      <c r="TRD190" s="1181"/>
      <c r="TRE190" s="1181"/>
      <c r="TRF190" s="1181"/>
      <c r="TRG190" s="1181"/>
      <c r="TRH190" s="1181"/>
      <c r="TRI190" s="1181"/>
      <c r="TRJ190" s="1181"/>
      <c r="TRK190" s="1181"/>
      <c r="TRL190" s="1181"/>
      <c r="TRM190" s="1181"/>
      <c r="TRN190" s="1181"/>
      <c r="TRO190" s="1181"/>
      <c r="TRP190" s="1181"/>
      <c r="TRQ190" s="1181"/>
      <c r="TRR190" s="1181"/>
      <c r="TRS190" s="1181"/>
      <c r="TRT190" s="1181"/>
      <c r="TRU190" s="1181"/>
      <c r="TRV190" s="1181"/>
      <c r="TRW190" s="1181"/>
      <c r="TRX190" s="1181"/>
      <c r="TRY190" s="1181"/>
      <c r="TRZ190" s="1181"/>
      <c r="TSA190" s="1181"/>
      <c r="TSB190" s="1181"/>
      <c r="TSC190" s="1181"/>
      <c r="TSD190" s="1181"/>
      <c r="TSE190" s="1181"/>
      <c r="TSF190" s="1181"/>
      <c r="TSG190" s="1181"/>
      <c r="TSH190" s="1181"/>
      <c r="TSI190" s="1181"/>
      <c r="TSJ190" s="1181"/>
      <c r="TSK190" s="1181"/>
      <c r="TSL190" s="1181"/>
      <c r="TSM190" s="1181"/>
      <c r="TSN190" s="1181"/>
      <c r="TSO190" s="1181"/>
      <c r="TSP190" s="1181"/>
      <c r="TSQ190" s="1181"/>
      <c r="TSR190" s="1181"/>
      <c r="TSS190" s="1181"/>
      <c r="TST190" s="1181"/>
      <c r="TSU190" s="1181"/>
      <c r="TSV190" s="1181"/>
      <c r="TSW190" s="1181"/>
      <c r="TSX190" s="1181"/>
      <c r="TSY190" s="1181"/>
      <c r="TSZ190" s="1181"/>
      <c r="TTA190" s="1181"/>
      <c r="TTB190" s="1181"/>
      <c r="TTC190" s="1181"/>
      <c r="TTD190" s="1181"/>
      <c r="TTE190" s="1181"/>
      <c r="TTF190" s="1181"/>
      <c r="TTG190" s="1181"/>
      <c r="TTH190" s="1181"/>
      <c r="TTI190" s="1181"/>
      <c r="TTJ190" s="1181"/>
      <c r="TTK190" s="1181"/>
      <c r="TTL190" s="1181"/>
      <c r="TTM190" s="1181"/>
      <c r="TTN190" s="1181"/>
      <c r="TTO190" s="1181"/>
      <c r="TTP190" s="1181"/>
      <c r="TTQ190" s="1181"/>
      <c r="TTR190" s="1181"/>
      <c r="TTS190" s="1181"/>
      <c r="TTT190" s="1181"/>
      <c r="TTU190" s="1181"/>
      <c r="TTV190" s="1181"/>
      <c r="TTW190" s="1181"/>
      <c r="TTX190" s="1181"/>
      <c r="TTY190" s="1181"/>
      <c r="TTZ190" s="1181"/>
      <c r="TUA190" s="1181"/>
      <c r="TUB190" s="1181"/>
      <c r="TUC190" s="1181"/>
      <c r="TUD190" s="1181"/>
      <c r="TUE190" s="1181"/>
      <c r="TUF190" s="1181"/>
      <c r="TUG190" s="1181"/>
      <c r="TUH190" s="1181"/>
      <c r="TUI190" s="1181"/>
      <c r="TUJ190" s="1181"/>
      <c r="TUK190" s="1181"/>
      <c r="TUL190" s="1181"/>
      <c r="TUM190" s="1181"/>
      <c r="TUN190" s="1181"/>
      <c r="TUO190" s="1181"/>
      <c r="TUP190" s="1181"/>
      <c r="TUQ190" s="1181"/>
      <c r="TUR190" s="1181"/>
      <c r="TUS190" s="1181"/>
      <c r="TUT190" s="1181"/>
      <c r="TUU190" s="1181"/>
      <c r="TUV190" s="1181"/>
      <c r="TUW190" s="1181"/>
      <c r="TUX190" s="1181"/>
      <c r="TUY190" s="1181"/>
      <c r="TUZ190" s="1181"/>
      <c r="TVA190" s="1181"/>
      <c r="TVB190" s="1181"/>
      <c r="TVC190" s="1181"/>
      <c r="TVD190" s="1181"/>
      <c r="TVE190" s="1181"/>
      <c r="TVF190" s="1181"/>
      <c r="TVG190" s="1181"/>
      <c r="TVH190" s="1181"/>
      <c r="TVI190" s="1181"/>
      <c r="TVJ190" s="1181"/>
      <c r="TVK190" s="1181"/>
      <c r="TVL190" s="1181"/>
      <c r="TVM190" s="1181"/>
      <c r="TVN190" s="1181"/>
      <c r="TVO190" s="1181"/>
      <c r="TVP190" s="1181"/>
      <c r="TVQ190" s="1181"/>
      <c r="TVR190" s="1181"/>
      <c r="TVS190" s="1181"/>
      <c r="TVT190" s="1181"/>
      <c r="TVU190" s="1181"/>
      <c r="TVV190" s="1181"/>
      <c r="TVW190" s="1181"/>
      <c r="TVX190" s="1181"/>
      <c r="TVY190" s="1181"/>
      <c r="TVZ190" s="1181"/>
      <c r="TWA190" s="1181"/>
      <c r="TWB190" s="1181"/>
      <c r="TWC190" s="1181"/>
      <c r="TWD190" s="1181"/>
      <c r="TWE190" s="1181"/>
      <c r="TWF190" s="1181"/>
      <c r="TWG190" s="1181"/>
      <c r="TWH190" s="1181"/>
      <c r="TWI190" s="1181"/>
      <c r="TWJ190" s="1181"/>
      <c r="TWK190" s="1181"/>
      <c r="TWL190" s="1181"/>
      <c r="TWM190" s="1181"/>
      <c r="TWN190" s="1181"/>
      <c r="TWO190" s="1181"/>
      <c r="TWP190" s="1181"/>
      <c r="TWQ190" s="1181"/>
      <c r="TWR190" s="1181"/>
      <c r="TWS190" s="1181"/>
      <c r="TWT190" s="1181"/>
      <c r="TWU190" s="1181"/>
      <c r="TWV190" s="1181"/>
      <c r="TWW190" s="1181"/>
      <c r="TWX190" s="1181"/>
      <c r="TWY190" s="1181"/>
      <c r="TWZ190" s="1181"/>
      <c r="TXA190" s="1181"/>
      <c r="TXB190" s="1181"/>
      <c r="TXC190" s="1181"/>
      <c r="TXD190" s="1181"/>
      <c r="TXE190" s="1181"/>
      <c r="TXF190" s="1181"/>
      <c r="TXG190" s="1181"/>
      <c r="TXH190" s="1181"/>
      <c r="TXI190" s="1181"/>
      <c r="TXJ190" s="1181"/>
      <c r="TXK190" s="1181"/>
      <c r="TXL190" s="1181"/>
      <c r="TXM190" s="1181"/>
      <c r="TXN190" s="1181"/>
      <c r="TXO190" s="1181"/>
      <c r="TXP190" s="1181"/>
      <c r="TXQ190" s="1181"/>
      <c r="TXR190" s="1181"/>
      <c r="TXS190" s="1181"/>
      <c r="TXT190" s="1181"/>
      <c r="TXU190" s="1181"/>
      <c r="TXV190" s="1181"/>
      <c r="TXW190" s="1181"/>
      <c r="TXX190" s="1181"/>
      <c r="TXY190" s="1181"/>
      <c r="TXZ190" s="1181"/>
      <c r="TYA190" s="1181"/>
      <c r="TYB190" s="1181"/>
      <c r="TYC190" s="1181"/>
      <c r="TYD190" s="1181"/>
      <c r="TYE190" s="1181"/>
      <c r="TYF190" s="1181"/>
      <c r="TYG190" s="1181"/>
      <c r="TYH190" s="1181"/>
      <c r="TYI190" s="1181"/>
      <c r="TYJ190" s="1181"/>
      <c r="TYK190" s="1181"/>
      <c r="TYL190" s="1181"/>
      <c r="TYM190" s="1181"/>
      <c r="TYN190" s="1181"/>
      <c r="TYO190" s="1181"/>
      <c r="TYP190" s="1181"/>
      <c r="TYQ190" s="1181"/>
      <c r="TYR190" s="1181"/>
      <c r="TYS190" s="1181"/>
      <c r="TYT190" s="1181"/>
      <c r="TYU190" s="1181"/>
      <c r="TYV190" s="1181"/>
      <c r="TYW190" s="1181"/>
      <c r="TYX190" s="1181"/>
      <c r="TYY190" s="1181"/>
      <c r="TYZ190" s="1181"/>
      <c r="TZA190" s="1181"/>
      <c r="TZB190" s="1181"/>
      <c r="TZC190" s="1181"/>
      <c r="TZD190" s="1181"/>
      <c r="TZE190" s="1181"/>
      <c r="TZF190" s="1181"/>
      <c r="TZG190" s="1181"/>
      <c r="TZH190" s="1181"/>
      <c r="TZI190" s="1181"/>
      <c r="TZJ190" s="1181"/>
      <c r="TZK190" s="1181"/>
      <c r="TZL190" s="1181"/>
      <c r="TZM190" s="1181"/>
      <c r="TZN190" s="1181"/>
      <c r="TZO190" s="1181"/>
      <c r="TZP190" s="1181"/>
      <c r="TZQ190" s="1181"/>
      <c r="TZR190" s="1181"/>
      <c r="TZS190" s="1181"/>
      <c r="TZT190" s="1181"/>
      <c r="TZU190" s="1181"/>
      <c r="TZV190" s="1181"/>
      <c r="TZW190" s="1181"/>
      <c r="TZX190" s="1181"/>
      <c r="TZY190" s="1181"/>
      <c r="TZZ190" s="1181"/>
      <c r="UAA190" s="1181"/>
      <c r="UAB190" s="1181"/>
      <c r="UAC190" s="1181"/>
      <c r="UAD190" s="1181"/>
      <c r="UAE190" s="1181"/>
      <c r="UAF190" s="1181"/>
      <c r="UAG190" s="1181"/>
      <c r="UAH190" s="1181"/>
      <c r="UAI190" s="1181"/>
      <c r="UAJ190" s="1181"/>
      <c r="UAK190" s="1181"/>
      <c r="UAL190" s="1181"/>
      <c r="UAM190" s="1181"/>
      <c r="UAN190" s="1181"/>
      <c r="UAO190" s="1181"/>
      <c r="UAP190" s="1181"/>
      <c r="UAQ190" s="1181"/>
      <c r="UAR190" s="1181"/>
      <c r="UAS190" s="1181"/>
      <c r="UAT190" s="1181"/>
      <c r="UAU190" s="1181"/>
      <c r="UAV190" s="1181"/>
      <c r="UAW190" s="1181"/>
      <c r="UAX190" s="1181"/>
      <c r="UAY190" s="1181"/>
      <c r="UAZ190" s="1181"/>
      <c r="UBA190" s="1181"/>
      <c r="UBB190" s="1181"/>
      <c r="UBC190" s="1181"/>
      <c r="UBD190" s="1181"/>
      <c r="UBE190" s="1181"/>
      <c r="UBF190" s="1181"/>
      <c r="UBG190" s="1181"/>
      <c r="UBH190" s="1181"/>
      <c r="UBI190" s="1181"/>
      <c r="UBJ190" s="1181"/>
      <c r="UBK190" s="1181"/>
      <c r="UBL190" s="1181"/>
      <c r="UBM190" s="1181"/>
      <c r="UBN190" s="1181"/>
      <c r="UBO190" s="1181"/>
      <c r="UBP190" s="1181"/>
      <c r="UBQ190" s="1181"/>
      <c r="UBR190" s="1181"/>
      <c r="UBS190" s="1181"/>
      <c r="UBT190" s="1181"/>
      <c r="UBU190" s="1181"/>
      <c r="UBV190" s="1181"/>
      <c r="UBW190" s="1181"/>
      <c r="UBX190" s="1181"/>
      <c r="UBY190" s="1181"/>
      <c r="UBZ190" s="1181"/>
      <c r="UCA190" s="1181"/>
      <c r="UCB190" s="1181"/>
      <c r="UCC190" s="1181"/>
      <c r="UCD190" s="1181"/>
      <c r="UCE190" s="1181"/>
      <c r="UCF190" s="1181"/>
      <c r="UCG190" s="1181"/>
      <c r="UCH190" s="1181"/>
      <c r="UCI190" s="1181"/>
      <c r="UCJ190" s="1181"/>
      <c r="UCK190" s="1181"/>
      <c r="UCL190" s="1181"/>
      <c r="UCM190" s="1181"/>
      <c r="UCN190" s="1181"/>
      <c r="UCO190" s="1181"/>
      <c r="UCP190" s="1181"/>
      <c r="UCQ190" s="1181"/>
      <c r="UCR190" s="1181"/>
      <c r="UCS190" s="1181"/>
      <c r="UCT190" s="1181"/>
      <c r="UCU190" s="1181"/>
      <c r="UCV190" s="1181"/>
      <c r="UCW190" s="1181"/>
      <c r="UCX190" s="1181"/>
      <c r="UCY190" s="1181"/>
      <c r="UCZ190" s="1181"/>
      <c r="UDA190" s="1181"/>
      <c r="UDB190" s="1181"/>
      <c r="UDC190" s="1181"/>
      <c r="UDD190" s="1181"/>
      <c r="UDE190" s="1181"/>
      <c r="UDF190" s="1181"/>
      <c r="UDG190" s="1181"/>
      <c r="UDH190" s="1181"/>
      <c r="UDI190" s="1181"/>
      <c r="UDJ190" s="1181"/>
      <c r="UDK190" s="1181"/>
      <c r="UDL190" s="1181"/>
      <c r="UDM190" s="1181"/>
      <c r="UDN190" s="1181"/>
      <c r="UDO190" s="1181"/>
      <c r="UDP190" s="1181"/>
      <c r="UDQ190" s="1181"/>
      <c r="UDR190" s="1181"/>
      <c r="UDS190" s="1181"/>
      <c r="UDT190" s="1181"/>
      <c r="UDU190" s="1181"/>
      <c r="UDV190" s="1181"/>
      <c r="UDW190" s="1181"/>
      <c r="UDX190" s="1181"/>
      <c r="UDY190" s="1181"/>
      <c r="UDZ190" s="1181"/>
      <c r="UEA190" s="1181"/>
      <c r="UEB190" s="1181"/>
      <c r="UEC190" s="1181"/>
      <c r="UED190" s="1181"/>
      <c r="UEE190" s="1181"/>
      <c r="UEF190" s="1181"/>
      <c r="UEG190" s="1181"/>
      <c r="UEH190" s="1181"/>
      <c r="UEI190" s="1181"/>
      <c r="UEJ190" s="1181"/>
      <c r="UEK190" s="1181"/>
      <c r="UEL190" s="1181"/>
      <c r="UEM190" s="1181"/>
      <c r="UEN190" s="1181"/>
      <c r="UEO190" s="1181"/>
      <c r="UEP190" s="1181"/>
      <c r="UEQ190" s="1181"/>
      <c r="UER190" s="1181"/>
      <c r="UES190" s="1181"/>
      <c r="UET190" s="1181"/>
      <c r="UEU190" s="1181"/>
      <c r="UEV190" s="1181"/>
      <c r="UEW190" s="1181"/>
      <c r="UEX190" s="1181"/>
      <c r="UEY190" s="1181"/>
      <c r="UEZ190" s="1181"/>
      <c r="UFA190" s="1181"/>
      <c r="UFB190" s="1181"/>
      <c r="UFC190" s="1181"/>
      <c r="UFD190" s="1181"/>
      <c r="UFE190" s="1181"/>
      <c r="UFF190" s="1181"/>
      <c r="UFG190" s="1181"/>
      <c r="UFH190" s="1181"/>
      <c r="UFI190" s="1181"/>
      <c r="UFJ190" s="1181"/>
      <c r="UFK190" s="1181"/>
      <c r="UFL190" s="1181"/>
      <c r="UFM190" s="1181"/>
      <c r="UFN190" s="1181"/>
      <c r="UFO190" s="1181"/>
      <c r="UFP190" s="1181"/>
      <c r="UFQ190" s="1181"/>
      <c r="UFR190" s="1181"/>
      <c r="UFS190" s="1181"/>
      <c r="UFT190" s="1181"/>
      <c r="UFU190" s="1181"/>
      <c r="UFV190" s="1181"/>
      <c r="UFW190" s="1181"/>
      <c r="UFX190" s="1181"/>
      <c r="UFY190" s="1181"/>
      <c r="UFZ190" s="1181"/>
      <c r="UGA190" s="1181"/>
      <c r="UGB190" s="1181"/>
      <c r="UGC190" s="1181"/>
      <c r="UGD190" s="1181"/>
      <c r="UGE190" s="1181"/>
      <c r="UGF190" s="1181"/>
      <c r="UGG190" s="1181"/>
      <c r="UGH190" s="1181"/>
      <c r="UGI190" s="1181"/>
      <c r="UGJ190" s="1181"/>
      <c r="UGK190" s="1181"/>
      <c r="UGL190" s="1181"/>
      <c r="UGM190" s="1181"/>
      <c r="UGN190" s="1181"/>
      <c r="UGO190" s="1181"/>
      <c r="UGP190" s="1181"/>
      <c r="UGQ190" s="1181"/>
      <c r="UGR190" s="1181"/>
      <c r="UGS190" s="1181"/>
      <c r="UGT190" s="1181"/>
      <c r="UGU190" s="1181"/>
      <c r="UGV190" s="1181"/>
      <c r="UGW190" s="1181"/>
      <c r="UGX190" s="1181"/>
      <c r="UGY190" s="1181"/>
      <c r="UGZ190" s="1181"/>
      <c r="UHA190" s="1181"/>
      <c r="UHB190" s="1181"/>
      <c r="UHC190" s="1181"/>
      <c r="UHD190" s="1181"/>
      <c r="UHE190" s="1181"/>
      <c r="UHF190" s="1181"/>
      <c r="UHG190" s="1181"/>
      <c r="UHH190" s="1181"/>
      <c r="UHI190" s="1181"/>
      <c r="UHJ190" s="1181"/>
      <c r="UHK190" s="1181"/>
      <c r="UHL190" s="1181"/>
      <c r="UHM190" s="1181"/>
      <c r="UHN190" s="1181"/>
      <c r="UHO190" s="1181"/>
      <c r="UHP190" s="1181"/>
      <c r="UHQ190" s="1181"/>
      <c r="UHR190" s="1181"/>
      <c r="UHS190" s="1181"/>
      <c r="UHT190" s="1181"/>
      <c r="UHU190" s="1181"/>
      <c r="UHV190" s="1181"/>
      <c r="UHW190" s="1181"/>
      <c r="UHX190" s="1181"/>
      <c r="UHY190" s="1181"/>
      <c r="UHZ190" s="1181"/>
      <c r="UIA190" s="1181"/>
      <c r="UIB190" s="1181"/>
      <c r="UIC190" s="1181"/>
      <c r="UID190" s="1181"/>
      <c r="UIE190" s="1181"/>
      <c r="UIF190" s="1181"/>
      <c r="UIG190" s="1181"/>
      <c r="UIH190" s="1181"/>
      <c r="UII190" s="1181"/>
      <c r="UIJ190" s="1181"/>
      <c r="UIK190" s="1181"/>
      <c r="UIL190" s="1181"/>
      <c r="UIM190" s="1181"/>
      <c r="UIN190" s="1181"/>
      <c r="UIO190" s="1181"/>
      <c r="UIP190" s="1181"/>
      <c r="UIQ190" s="1181"/>
      <c r="UIR190" s="1181"/>
      <c r="UIS190" s="1181"/>
      <c r="UIT190" s="1181"/>
      <c r="UIU190" s="1181"/>
      <c r="UIV190" s="1181"/>
      <c r="UIW190" s="1181"/>
      <c r="UIX190" s="1181"/>
      <c r="UIY190" s="1181"/>
      <c r="UIZ190" s="1181"/>
      <c r="UJA190" s="1181"/>
      <c r="UJB190" s="1181"/>
      <c r="UJC190" s="1181"/>
      <c r="UJD190" s="1181"/>
      <c r="UJE190" s="1181"/>
      <c r="UJF190" s="1181"/>
      <c r="UJG190" s="1181"/>
      <c r="UJH190" s="1181"/>
      <c r="UJI190" s="1181"/>
      <c r="UJJ190" s="1181"/>
      <c r="UJK190" s="1181"/>
      <c r="UJL190" s="1181"/>
      <c r="UJM190" s="1181"/>
      <c r="UJN190" s="1181"/>
      <c r="UJO190" s="1181"/>
      <c r="UJP190" s="1181"/>
      <c r="UJQ190" s="1181"/>
      <c r="UJR190" s="1181"/>
      <c r="UJS190" s="1181"/>
      <c r="UJT190" s="1181"/>
      <c r="UJU190" s="1181"/>
      <c r="UJV190" s="1181"/>
      <c r="UJW190" s="1181"/>
      <c r="UJX190" s="1181"/>
      <c r="UJY190" s="1181"/>
      <c r="UJZ190" s="1181"/>
      <c r="UKA190" s="1181"/>
      <c r="UKB190" s="1181"/>
      <c r="UKC190" s="1181"/>
      <c r="UKD190" s="1181"/>
      <c r="UKE190" s="1181"/>
      <c r="UKF190" s="1181"/>
      <c r="UKG190" s="1181"/>
      <c r="UKH190" s="1181"/>
      <c r="UKI190" s="1181"/>
      <c r="UKJ190" s="1181"/>
      <c r="UKK190" s="1181"/>
      <c r="UKL190" s="1181"/>
      <c r="UKM190" s="1181"/>
      <c r="UKN190" s="1181"/>
      <c r="UKO190" s="1181"/>
      <c r="UKP190" s="1181"/>
      <c r="UKQ190" s="1181"/>
      <c r="UKR190" s="1181"/>
      <c r="UKS190" s="1181"/>
      <c r="UKT190" s="1181"/>
      <c r="UKU190" s="1181"/>
      <c r="UKV190" s="1181"/>
      <c r="UKW190" s="1181"/>
      <c r="UKX190" s="1181"/>
      <c r="UKY190" s="1181"/>
      <c r="UKZ190" s="1181"/>
      <c r="ULA190" s="1181"/>
      <c r="ULB190" s="1181"/>
      <c r="ULC190" s="1181"/>
      <c r="ULD190" s="1181"/>
      <c r="ULE190" s="1181"/>
      <c r="ULF190" s="1181"/>
      <c r="ULG190" s="1181"/>
      <c r="ULH190" s="1181"/>
      <c r="ULI190" s="1181"/>
      <c r="ULJ190" s="1181"/>
      <c r="ULK190" s="1181"/>
      <c r="ULL190" s="1181"/>
      <c r="ULM190" s="1181"/>
      <c r="ULN190" s="1181"/>
      <c r="ULO190" s="1181"/>
      <c r="ULP190" s="1181"/>
      <c r="ULQ190" s="1181"/>
      <c r="ULR190" s="1181"/>
      <c r="ULS190" s="1181"/>
      <c r="ULT190" s="1181"/>
      <c r="ULU190" s="1181"/>
      <c r="ULV190" s="1181"/>
      <c r="ULW190" s="1181"/>
      <c r="ULX190" s="1181"/>
      <c r="ULY190" s="1181"/>
      <c r="ULZ190" s="1181"/>
      <c r="UMA190" s="1181"/>
      <c r="UMB190" s="1181"/>
      <c r="UMC190" s="1181"/>
      <c r="UMD190" s="1181"/>
      <c r="UME190" s="1181"/>
      <c r="UMF190" s="1181"/>
      <c r="UMG190" s="1181"/>
      <c r="UMH190" s="1181"/>
      <c r="UMI190" s="1181"/>
      <c r="UMJ190" s="1181"/>
      <c r="UMK190" s="1181"/>
      <c r="UML190" s="1181"/>
      <c r="UMM190" s="1181"/>
      <c r="UMN190" s="1181"/>
      <c r="UMO190" s="1181"/>
      <c r="UMP190" s="1181"/>
      <c r="UMQ190" s="1181"/>
      <c r="UMR190" s="1181"/>
      <c r="UMS190" s="1181"/>
      <c r="UMT190" s="1181"/>
      <c r="UMU190" s="1181"/>
      <c r="UMV190" s="1181"/>
      <c r="UMW190" s="1181"/>
      <c r="UMX190" s="1181"/>
      <c r="UMY190" s="1181"/>
      <c r="UMZ190" s="1181"/>
      <c r="UNA190" s="1181"/>
      <c r="UNB190" s="1181"/>
      <c r="UNC190" s="1181"/>
      <c r="UND190" s="1181"/>
      <c r="UNE190" s="1181"/>
      <c r="UNF190" s="1181"/>
      <c r="UNG190" s="1181"/>
      <c r="UNH190" s="1181"/>
      <c r="UNI190" s="1181"/>
      <c r="UNJ190" s="1181"/>
      <c r="UNK190" s="1181"/>
      <c r="UNL190" s="1181"/>
      <c r="UNM190" s="1181"/>
      <c r="UNN190" s="1181"/>
      <c r="UNO190" s="1181"/>
      <c r="UNP190" s="1181"/>
      <c r="UNQ190" s="1181"/>
      <c r="UNR190" s="1181"/>
      <c r="UNS190" s="1181"/>
      <c r="UNT190" s="1181"/>
      <c r="UNU190" s="1181"/>
      <c r="UNV190" s="1181"/>
      <c r="UNW190" s="1181"/>
      <c r="UNX190" s="1181"/>
      <c r="UNY190" s="1181"/>
      <c r="UNZ190" s="1181"/>
      <c r="UOA190" s="1181"/>
      <c r="UOB190" s="1181"/>
      <c r="UOC190" s="1181"/>
      <c r="UOD190" s="1181"/>
      <c r="UOE190" s="1181"/>
      <c r="UOF190" s="1181"/>
      <c r="UOG190" s="1181"/>
      <c r="UOH190" s="1181"/>
      <c r="UOI190" s="1181"/>
      <c r="UOJ190" s="1181"/>
      <c r="UOK190" s="1181"/>
      <c r="UOL190" s="1181"/>
      <c r="UOM190" s="1181"/>
      <c r="UON190" s="1181"/>
      <c r="UOO190" s="1181"/>
      <c r="UOP190" s="1181"/>
      <c r="UOQ190" s="1181"/>
      <c r="UOR190" s="1181"/>
      <c r="UOS190" s="1181"/>
      <c r="UOT190" s="1181"/>
      <c r="UOU190" s="1181"/>
      <c r="UOV190" s="1181"/>
      <c r="UOW190" s="1181"/>
      <c r="UOX190" s="1181"/>
      <c r="UOY190" s="1181"/>
      <c r="UOZ190" s="1181"/>
      <c r="UPA190" s="1181"/>
      <c r="UPB190" s="1181"/>
      <c r="UPC190" s="1181"/>
      <c r="UPD190" s="1181"/>
      <c r="UPE190" s="1181"/>
      <c r="UPF190" s="1181"/>
      <c r="UPG190" s="1181"/>
      <c r="UPH190" s="1181"/>
      <c r="UPI190" s="1181"/>
      <c r="UPJ190" s="1181"/>
      <c r="UPK190" s="1181"/>
      <c r="UPL190" s="1181"/>
      <c r="UPM190" s="1181"/>
      <c r="UPN190" s="1181"/>
      <c r="UPO190" s="1181"/>
      <c r="UPP190" s="1181"/>
      <c r="UPQ190" s="1181"/>
      <c r="UPR190" s="1181"/>
      <c r="UPS190" s="1181"/>
      <c r="UPT190" s="1181"/>
      <c r="UPU190" s="1181"/>
      <c r="UPV190" s="1181"/>
      <c r="UPW190" s="1181"/>
      <c r="UPX190" s="1181"/>
      <c r="UPY190" s="1181"/>
      <c r="UPZ190" s="1181"/>
      <c r="UQA190" s="1181"/>
      <c r="UQB190" s="1181"/>
      <c r="UQC190" s="1181"/>
      <c r="UQD190" s="1181"/>
      <c r="UQE190" s="1181"/>
      <c r="UQF190" s="1181"/>
      <c r="UQG190" s="1181"/>
      <c r="UQH190" s="1181"/>
      <c r="UQI190" s="1181"/>
      <c r="UQJ190" s="1181"/>
      <c r="UQK190" s="1181"/>
      <c r="UQL190" s="1181"/>
      <c r="UQM190" s="1181"/>
      <c r="UQN190" s="1181"/>
      <c r="UQO190" s="1181"/>
      <c r="UQP190" s="1181"/>
      <c r="UQQ190" s="1181"/>
      <c r="UQR190" s="1181"/>
      <c r="UQS190" s="1181"/>
      <c r="UQT190" s="1181"/>
      <c r="UQU190" s="1181"/>
      <c r="UQV190" s="1181"/>
      <c r="UQW190" s="1181"/>
      <c r="UQX190" s="1181"/>
      <c r="UQY190" s="1181"/>
      <c r="UQZ190" s="1181"/>
      <c r="URA190" s="1181"/>
      <c r="URB190" s="1181"/>
      <c r="URC190" s="1181"/>
      <c r="URD190" s="1181"/>
      <c r="URE190" s="1181"/>
      <c r="URF190" s="1181"/>
      <c r="URG190" s="1181"/>
      <c r="URH190" s="1181"/>
      <c r="URI190" s="1181"/>
      <c r="URJ190" s="1181"/>
      <c r="URK190" s="1181"/>
      <c r="URL190" s="1181"/>
      <c r="URM190" s="1181"/>
      <c r="URN190" s="1181"/>
      <c r="URO190" s="1181"/>
      <c r="URP190" s="1181"/>
      <c r="URQ190" s="1181"/>
      <c r="URR190" s="1181"/>
      <c r="URS190" s="1181"/>
      <c r="URT190" s="1181"/>
      <c r="URU190" s="1181"/>
      <c r="URV190" s="1181"/>
      <c r="URW190" s="1181"/>
      <c r="URX190" s="1181"/>
      <c r="URY190" s="1181"/>
      <c r="URZ190" s="1181"/>
      <c r="USA190" s="1181"/>
      <c r="USB190" s="1181"/>
      <c r="USC190" s="1181"/>
      <c r="USD190" s="1181"/>
      <c r="USE190" s="1181"/>
      <c r="USF190" s="1181"/>
      <c r="USG190" s="1181"/>
      <c r="USH190" s="1181"/>
      <c r="USI190" s="1181"/>
      <c r="USJ190" s="1181"/>
      <c r="USK190" s="1181"/>
      <c r="USL190" s="1181"/>
      <c r="USM190" s="1181"/>
      <c r="USN190" s="1181"/>
      <c r="USO190" s="1181"/>
      <c r="USP190" s="1181"/>
      <c r="USQ190" s="1181"/>
      <c r="USR190" s="1181"/>
      <c r="USS190" s="1181"/>
      <c r="UST190" s="1181"/>
      <c r="USU190" s="1181"/>
      <c r="USV190" s="1181"/>
      <c r="USW190" s="1181"/>
      <c r="USX190" s="1181"/>
      <c r="USY190" s="1181"/>
      <c r="USZ190" s="1181"/>
      <c r="UTA190" s="1181"/>
      <c r="UTB190" s="1181"/>
      <c r="UTC190" s="1181"/>
      <c r="UTD190" s="1181"/>
      <c r="UTE190" s="1181"/>
      <c r="UTF190" s="1181"/>
      <c r="UTG190" s="1181"/>
      <c r="UTH190" s="1181"/>
      <c r="UTI190" s="1181"/>
      <c r="UTJ190" s="1181"/>
      <c r="UTK190" s="1181"/>
      <c r="UTL190" s="1181"/>
      <c r="UTM190" s="1181"/>
      <c r="UTN190" s="1181"/>
      <c r="UTO190" s="1181"/>
      <c r="UTP190" s="1181"/>
      <c r="UTQ190" s="1181"/>
      <c r="UTR190" s="1181"/>
      <c r="UTS190" s="1181"/>
      <c r="UTT190" s="1181"/>
      <c r="UTU190" s="1181"/>
      <c r="UTV190" s="1181"/>
      <c r="UTW190" s="1181"/>
      <c r="UTX190" s="1181"/>
      <c r="UTY190" s="1181"/>
      <c r="UTZ190" s="1181"/>
      <c r="UUA190" s="1181"/>
      <c r="UUB190" s="1181"/>
      <c r="UUC190" s="1181"/>
      <c r="UUD190" s="1181"/>
      <c r="UUE190" s="1181"/>
      <c r="UUF190" s="1181"/>
      <c r="UUG190" s="1181"/>
      <c r="UUH190" s="1181"/>
      <c r="UUI190" s="1181"/>
      <c r="UUJ190" s="1181"/>
      <c r="UUK190" s="1181"/>
      <c r="UUL190" s="1181"/>
      <c r="UUM190" s="1181"/>
      <c r="UUN190" s="1181"/>
      <c r="UUO190" s="1181"/>
      <c r="UUP190" s="1181"/>
      <c r="UUQ190" s="1181"/>
      <c r="UUR190" s="1181"/>
      <c r="UUS190" s="1181"/>
      <c r="UUT190" s="1181"/>
      <c r="UUU190" s="1181"/>
      <c r="UUV190" s="1181"/>
      <c r="UUW190" s="1181"/>
      <c r="UUX190" s="1181"/>
      <c r="UUY190" s="1181"/>
      <c r="UUZ190" s="1181"/>
      <c r="UVA190" s="1181"/>
      <c r="UVB190" s="1181"/>
      <c r="UVC190" s="1181"/>
      <c r="UVD190" s="1181"/>
      <c r="UVE190" s="1181"/>
      <c r="UVF190" s="1181"/>
      <c r="UVG190" s="1181"/>
      <c r="UVH190" s="1181"/>
      <c r="UVI190" s="1181"/>
      <c r="UVJ190" s="1181"/>
      <c r="UVK190" s="1181"/>
      <c r="UVL190" s="1181"/>
      <c r="UVM190" s="1181"/>
      <c r="UVN190" s="1181"/>
      <c r="UVO190" s="1181"/>
      <c r="UVP190" s="1181"/>
      <c r="UVQ190" s="1181"/>
      <c r="UVR190" s="1181"/>
      <c r="UVS190" s="1181"/>
      <c r="UVT190" s="1181"/>
      <c r="UVU190" s="1181"/>
      <c r="UVV190" s="1181"/>
      <c r="UVW190" s="1181"/>
      <c r="UVX190" s="1181"/>
      <c r="UVY190" s="1181"/>
      <c r="UVZ190" s="1181"/>
      <c r="UWA190" s="1181"/>
      <c r="UWB190" s="1181"/>
      <c r="UWC190" s="1181"/>
      <c r="UWD190" s="1181"/>
      <c r="UWE190" s="1181"/>
      <c r="UWF190" s="1181"/>
      <c r="UWG190" s="1181"/>
      <c r="UWH190" s="1181"/>
      <c r="UWI190" s="1181"/>
      <c r="UWJ190" s="1181"/>
      <c r="UWK190" s="1181"/>
      <c r="UWL190" s="1181"/>
      <c r="UWM190" s="1181"/>
      <c r="UWN190" s="1181"/>
      <c r="UWO190" s="1181"/>
      <c r="UWP190" s="1181"/>
      <c r="UWQ190" s="1181"/>
      <c r="UWR190" s="1181"/>
      <c r="UWS190" s="1181"/>
      <c r="UWT190" s="1181"/>
      <c r="UWU190" s="1181"/>
      <c r="UWV190" s="1181"/>
      <c r="UWW190" s="1181"/>
      <c r="UWX190" s="1181"/>
      <c r="UWY190" s="1181"/>
      <c r="UWZ190" s="1181"/>
      <c r="UXA190" s="1181"/>
      <c r="UXB190" s="1181"/>
      <c r="UXC190" s="1181"/>
      <c r="UXD190" s="1181"/>
      <c r="UXE190" s="1181"/>
      <c r="UXF190" s="1181"/>
      <c r="UXG190" s="1181"/>
      <c r="UXH190" s="1181"/>
      <c r="UXI190" s="1181"/>
      <c r="UXJ190" s="1181"/>
      <c r="UXK190" s="1181"/>
      <c r="UXL190" s="1181"/>
      <c r="UXM190" s="1181"/>
      <c r="UXN190" s="1181"/>
      <c r="UXO190" s="1181"/>
      <c r="UXP190" s="1181"/>
      <c r="UXQ190" s="1181"/>
      <c r="UXR190" s="1181"/>
      <c r="UXS190" s="1181"/>
      <c r="UXT190" s="1181"/>
      <c r="UXU190" s="1181"/>
      <c r="UXV190" s="1181"/>
      <c r="UXW190" s="1181"/>
      <c r="UXX190" s="1181"/>
      <c r="UXY190" s="1181"/>
      <c r="UXZ190" s="1181"/>
      <c r="UYA190" s="1181"/>
      <c r="UYB190" s="1181"/>
      <c r="UYC190" s="1181"/>
      <c r="UYD190" s="1181"/>
      <c r="UYE190" s="1181"/>
      <c r="UYF190" s="1181"/>
      <c r="UYG190" s="1181"/>
      <c r="UYH190" s="1181"/>
      <c r="UYI190" s="1181"/>
      <c r="UYJ190" s="1181"/>
      <c r="UYK190" s="1181"/>
      <c r="UYL190" s="1181"/>
      <c r="UYM190" s="1181"/>
      <c r="UYN190" s="1181"/>
      <c r="UYO190" s="1181"/>
      <c r="UYP190" s="1181"/>
      <c r="UYQ190" s="1181"/>
      <c r="UYR190" s="1181"/>
      <c r="UYS190" s="1181"/>
      <c r="UYT190" s="1181"/>
      <c r="UYU190" s="1181"/>
      <c r="UYV190" s="1181"/>
      <c r="UYW190" s="1181"/>
      <c r="UYX190" s="1181"/>
      <c r="UYY190" s="1181"/>
      <c r="UYZ190" s="1181"/>
      <c r="UZA190" s="1181"/>
      <c r="UZB190" s="1181"/>
      <c r="UZC190" s="1181"/>
      <c r="UZD190" s="1181"/>
      <c r="UZE190" s="1181"/>
      <c r="UZF190" s="1181"/>
      <c r="UZG190" s="1181"/>
      <c r="UZH190" s="1181"/>
      <c r="UZI190" s="1181"/>
      <c r="UZJ190" s="1181"/>
      <c r="UZK190" s="1181"/>
      <c r="UZL190" s="1181"/>
      <c r="UZM190" s="1181"/>
      <c r="UZN190" s="1181"/>
      <c r="UZO190" s="1181"/>
      <c r="UZP190" s="1181"/>
      <c r="UZQ190" s="1181"/>
      <c r="UZR190" s="1181"/>
      <c r="UZS190" s="1181"/>
      <c r="UZT190" s="1181"/>
      <c r="UZU190" s="1181"/>
      <c r="UZV190" s="1181"/>
      <c r="UZW190" s="1181"/>
      <c r="UZX190" s="1181"/>
      <c r="UZY190" s="1181"/>
      <c r="UZZ190" s="1181"/>
      <c r="VAA190" s="1181"/>
      <c r="VAB190" s="1181"/>
      <c r="VAC190" s="1181"/>
      <c r="VAD190" s="1181"/>
      <c r="VAE190" s="1181"/>
      <c r="VAF190" s="1181"/>
      <c r="VAG190" s="1181"/>
      <c r="VAH190" s="1181"/>
      <c r="VAI190" s="1181"/>
      <c r="VAJ190" s="1181"/>
      <c r="VAK190" s="1181"/>
      <c r="VAL190" s="1181"/>
      <c r="VAM190" s="1181"/>
      <c r="VAN190" s="1181"/>
      <c r="VAO190" s="1181"/>
      <c r="VAP190" s="1181"/>
      <c r="VAQ190" s="1181"/>
      <c r="VAR190" s="1181"/>
      <c r="VAS190" s="1181"/>
      <c r="VAT190" s="1181"/>
      <c r="VAU190" s="1181"/>
      <c r="VAV190" s="1181"/>
      <c r="VAW190" s="1181"/>
      <c r="VAX190" s="1181"/>
      <c r="VAY190" s="1181"/>
      <c r="VAZ190" s="1181"/>
      <c r="VBA190" s="1181"/>
      <c r="VBB190" s="1181"/>
      <c r="VBC190" s="1181"/>
      <c r="VBD190" s="1181"/>
      <c r="VBE190" s="1181"/>
      <c r="VBF190" s="1181"/>
      <c r="VBG190" s="1181"/>
      <c r="VBH190" s="1181"/>
      <c r="VBI190" s="1181"/>
      <c r="VBJ190" s="1181"/>
      <c r="VBK190" s="1181"/>
      <c r="VBL190" s="1181"/>
      <c r="VBM190" s="1181"/>
      <c r="VBN190" s="1181"/>
      <c r="VBO190" s="1181"/>
      <c r="VBP190" s="1181"/>
      <c r="VBQ190" s="1181"/>
      <c r="VBR190" s="1181"/>
      <c r="VBS190" s="1181"/>
      <c r="VBT190" s="1181"/>
      <c r="VBU190" s="1181"/>
      <c r="VBV190" s="1181"/>
      <c r="VBW190" s="1181"/>
      <c r="VBX190" s="1181"/>
      <c r="VBY190" s="1181"/>
      <c r="VBZ190" s="1181"/>
      <c r="VCA190" s="1181"/>
      <c r="VCB190" s="1181"/>
      <c r="VCC190" s="1181"/>
      <c r="VCD190" s="1181"/>
      <c r="VCE190" s="1181"/>
      <c r="VCF190" s="1181"/>
      <c r="VCG190" s="1181"/>
      <c r="VCH190" s="1181"/>
      <c r="VCI190" s="1181"/>
      <c r="VCJ190" s="1181"/>
      <c r="VCK190" s="1181"/>
      <c r="VCL190" s="1181"/>
      <c r="VCM190" s="1181"/>
      <c r="VCN190" s="1181"/>
      <c r="VCO190" s="1181"/>
      <c r="VCP190" s="1181"/>
      <c r="VCQ190" s="1181"/>
      <c r="VCR190" s="1181"/>
      <c r="VCS190" s="1181"/>
      <c r="VCT190" s="1181"/>
      <c r="VCU190" s="1181"/>
      <c r="VCV190" s="1181"/>
      <c r="VCW190" s="1181"/>
      <c r="VCX190" s="1181"/>
      <c r="VCY190" s="1181"/>
      <c r="VCZ190" s="1181"/>
      <c r="VDA190" s="1181"/>
      <c r="VDB190" s="1181"/>
      <c r="VDC190" s="1181"/>
      <c r="VDD190" s="1181"/>
      <c r="VDE190" s="1181"/>
      <c r="VDF190" s="1181"/>
      <c r="VDG190" s="1181"/>
      <c r="VDH190" s="1181"/>
      <c r="VDI190" s="1181"/>
      <c r="VDJ190" s="1181"/>
      <c r="VDK190" s="1181"/>
      <c r="VDL190" s="1181"/>
      <c r="VDM190" s="1181"/>
      <c r="VDN190" s="1181"/>
      <c r="VDO190" s="1181"/>
      <c r="VDP190" s="1181"/>
      <c r="VDQ190" s="1181"/>
      <c r="VDR190" s="1181"/>
      <c r="VDS190" s="1181"/>
      <c r="VDT190" s="1181"/>
      <c r="VDU190" s="1181"/>
      <c r="VDV190" s="1181"/>
      <c r="VDW190" s="1181"/>
      <c r="VDX190" s="1181"/>
      <c r="VDY190" s="1181"/>
      <c r="VDZ190" s="1181"/>
      <c r="VEA190" s="1181"/>
      <c r="VEB190" s="1181"/>
      <c r="VEC190" s="1181"/>
      <c r="VED190" s="1181"/>
      <c r="VEE190" s="1181"/>
      <c r="VEF190" s="1181"/>
      <c r="VEG190" s="1181"/>
      <c r="VEH190" s="1181"/>
      <c r="VEI190" s="1181"/>
      <c r="VEJ190" s="1181"/>
      <c r="VEK190" s="1181"/>
      <c r="VEL190" s="1181"/>
      <c r="VEM190" s="1181"/>
      <c r="VEN190" s="1181"/>
      <c r="VEO190" s="1181"/>
      <c r="VEP190" s="1181"/>
      <c r="VEQ190" s="1181"/>
      <c r="VER190" s="1181"/>
      <c r="VES190" s="1181"/>
      <c r="VET190" s="1181"/>
      <c r="VEU190" s="1181"/>
      <c r="VEV190" s="1181"/>
      <c r="VEW190" s="1181"/>
      <c r="VEX190" s="1181"/>
      <c r="VEY190" s="1181"/>
      <c r="VEZ190" s="1181"/>
      <c r="VFA190" s="1181"/>
      <c r="VFB190" s="1181"/>
      <c r="VFC190" s="1181"/>
      <c r="VFD190" s="1181"/>
      <c r="VFE190" s="1181"/>
      <c r="VFF190" s="1181"/>
      <c r="VFG190" s="1181"/>
      <c r="VFH190" s="1181"/>
      <c r="VFI190" s="1181"/>
      <c r="VFJ190" s="1181"/>
      <c r="VFK190" s="1181"/>
      <c r="VFL190" s="1181"/>
      <c r="VFM190" s="1181"/>
      <c r="VFN190" s="1181"/>
      <c r="VFO190" s="1181"/>
      <c r="VFP190" s="1181"/>
      <c r="VFQ190" s="1181"/>
      <c r="VFR190" s="1181"/>
      <c r="VFS190" s="1181"/>
      <c r="VFT190" s="1181"/>
      <c r="VFU190" s="1181"/>
      <c r="VFV190" s="1181"/>
      <c r="VFW190" s="1181"/>
      <c r="VFX190" s="1181"/>
      <c r="VFY190" s="1181"/>
      <c r="VFZ190" s="1181"/>
      <c r="VGA190" s="1181"/>
      <c r="VGB190" s="1181"/>
      <c r="VGC190" s="1181"/>
      <c r="VGD190" s="1181"/>
      <c r="VGE190" s="1181"/>
      <c r="VGF190" s="1181"/>
      <c r="VGG190" s="1181"/>
      <c r="VGH190" s="1181"/>
      <c r="VGI190" s="1181"/>
      <c r="VGJ190" s="1181"/>
      <c r="VGK190" s="1181"/>
      <c r="VGL190" s="1181"/>
      <c r="VGM190" s="1181"/>
      <c r="VGN190" s="1181"/>
      <c r="VGO190" s="1181"/>
      <c r="VGP190" s="1181"/>
      <c r="VGQ190" s="1181"/>
      <c r="VGR190" s="1181"/>
      <c r="VGS190" s="1181"/>
      <c r="VGT190" s="1181"/>
      <c r="VGU190" s="1181"/>
      <c r="VGV190" s="1181"/>
      <c r="VGW190" s="1181"/>
      <c r="VGX190" s="1181"/>
      <c r="VGY190" s="1181"/>
      <c r="VGZ190" s="1181"/>
      <c r="VHA190" s="1181"/>
      <c r="VHB190" s="1181"/>
      <c r="VHC190" s="1181"/>
      <c r="VHD190" s="1181"/>
      <c r="VHE190" s="1181"/>
      <c r="VHF190" s="1181"/>
      <c r="VHG190" s="1181"/>
      <c r="VHH190" s="1181"/>
      <c r="VHI190" s="1181"/>
      <c r="VHJ190" s="1181"/>
      <c r="VHK190" s="1181"/>
      <c r="VHL190" s="1181"/>
      <c r="VHM190" s="1181"/>
      <c r="VHN190" s="1181"/>
      <c r="VHO190" s="1181"/>
      <c r="VHP190" s="1181"/>
      <c r="VHQ190" s="1181"/>
      <c r="VHR190" s="1181"/>
      <c r="VHS190" s="1181"/>
      <c r="VHT190" s="1181"/>
      <c r="VHU190" s="1181"/>
      <c r="VHV190" s="1181"/>
      <c r="VHW190" s="1181"/>
      <c r="VHX190" s="1181"/>
      <c r="VHY190" s="1181"/>
      <c r="VHZ190" s="1181"/>
      <c r="VIA190" s="1181"/>
      <c r="VIB190" s="1181"/>
      <c r="VIC190" s="1181"/>
      <c r="VID190" s="1181"/>
      <c r="VIE190" s="1181"/>
      <c r="VIF190" s="1181"/>
      <c r="VIG190" s="1181"/>
      <c r="VIH190" s="1181"/>
      <c r="VII190" s="1181"/>
      <c r="VIJ190" s="1181"/>
      <c r="VIK190" s="1181"/>
      <c r="VIL190" s="1181"/>
      <c r="VIM190" s="1181"/>
      <c r="VIN190" s="1181"/>
      <c r="VIO190" s="1181"/>
      <c r="VIP190" s="1181"/>
      <c r="VIQ190" s="1181"/>
      <c r="VIR190" s="1181"/>
      <c r="VIS190" s="1181"/>
      <c r="VIT190" s="1181"/>
      <c r="VIU190" s="1181"/>
      <c r="VIV190" s="1181"/>
      <c r="VIW190" s="1181"/>
      <c r="VIX190" s="1181"/>
      <c r="VIY190" s="1181"/>
      <c r="VIZ190" s="1181"/>
      <c r="VJA190" s="1181"/>
      <c r="VJB190" s="1181"/>
      <c r="VJC190" s="1181"/>
      <c r="VJD190" s="1181"/>
      <c r="VJE190" s="1181"/>
      <c r="VJF190" s="1181"/>
      <c r="VJG190" s="1181"/>
      <c r="VJH190" s="1181"/>
      <c r="VJI190" s="1181"/>
      <c r="VJJ190" s="1181"/>
      <c r="VJK190" s="1181"/>
      <c r="VJL190" s="1181"/>
      <c r="VJM190" s="1181"/>
      <c r="VJN190" s="1181"/>
      <c r="VJO190" s="1181"/>
      <c r="VJP190" s="1181"/>
      <c r="VJQ190" s="1181"/>
      <c r="VJR190" s="1181"/>
      <c r="VJS190" s="1181"/>
      <c r="VJT190" s="1181"/>
      <c r="VJU190" s="1181"/>
      <c r="VJV190" s="1181"/>
      <c r="VJW190" s="1181"/>
      <c r="VJX190" s="1181"/>
      <c r="VJY190" s="1181"/>
      <c r="VJZ190" s="1181"/>
      <c r="VKA190" s="1181"/>
      <c r="VKB190" s="1181"/>
      <c r="VKC190" s="1181"/>
      <c r="VKD190" s="1181"/>
      <c r="VKE190" s="1181"/>
      <c r="VKF190" s="1181"/>
      <c r="VKG190" s="1181"/>
      <c r="VKH190" s="1181"/>
      <c r="VKI190" s="1181"/>
      <c r="VKJ190" s="1181"/>
      <c r="VKK190" s="1181"/>
      <c r="VKL190" s="1181"/>
      <c r="VKM190" s="1181"/>
      <c r="VKN190" s="1181"/>
      <c r="VKO190" s="1181"/>
      <c r="VKP190" s="1181"/>
      <c r="VKQ190" s="1181"/>
      <c r="VKR190" s="1181"/>
      <c r="VKS190" s="1181"/>
      <c r="VKT190" s="1181"/>
      <c r="VKU190" s="1181"/>
      <c r="VKV190" s="1181"/>
      <c r="VKW190" s="1181"/>
      <c r="VKX190" s="1181"/>
      <c r="VKY190" s="1181"/>
      <c r="VKZ190" s="1181"/>
      <c r="VLA190" s="1181"/>
      <c r="VLB190" s="1181"/>
      <c r="VLC190" s="1181"/>
      <c r="VLD190" s="1181"/>
      <c r="VLE190" s="1181"/>
      <c r="VLF190" s="1181"/>
      <c r="VLG190" s="1181"/>
      <c r="VLH190" s="1181"/>
      <c r="VLI190" s="1181"/>
      <c r="VLJ190" s="1181"/>
      <c r="VLK190" s="1181"/>
      <c r="VLL190" s="1181"/>
      <c r="VLM190" s="1181"/>
      <c r="VLN190" s="1181"/>
      <c r="VLO190" s="1181"/>
      <c r="VLP190" s="1181"/>
      <c r="VLQ190" s="1181"/>
      <c r="VLR190" s="1181"/>
      <c r="VLS190" s="1181"/>
      <c r="VLT190" s="1181"/>
      <c r="VLU190" s="1181"/>
      <c r="VLV190" s="1181"/>
      <c r="VLW190" s="1181"/>
      <c r="VLX190" s="1181"/>
      <c r="VLY190" s="1181"/>
      <c r="VLZ190" s="1181"/>
      <c r="VMA190" s="1181"/>
      <c r="VMB190" s="1181"/>
      <c r="VMC190" s="1181"/>
      <c r="VMD190" s="1181"/>
      <c r="VME190" s="1181"/>
      <c r="VMF190" s="1181"/>
      <c r="VMG190" s="1181"/>
      <c r="VMH190" s="1181"/>
      <c r="VMI190" s="1181"/>
      <c r="VMJ190" s="1181"/>
      <c r="VMK190" s="1181"/>
      <c r="VML190" s="1181"/>
      <c r="VMM190" s="1181"/>
      <c r="VMN190" s="1181"/>
      <c r="VMO190" s="1181"/>
      <c r="VMP190" s="1181"/>
      <c r="VMQ190" s="1181"/>
      <c r="VMR190" s="1181"/>
      <c r="VMS190" s="1181"/>
      <c r="VMT190" s="1181"/>
      <c r="VMU190" s="1181"/>
      <c r="VMV190" s="1181"/>
      <c r="VMW190" s="1181"/>
      <c r="VMX190" s="1181"/>
      <c r="VMY190" s="1181"/>
      <c r="VMZ190" s="1181"/>
      <c r="VNA190" s="1181"/>
      <c r="VNB190" s="1181"/>
      <c r="VNC190" s="1181"/>
      <c r="VND190" s="1181"/>
      <c r="VNE190" s="1181"/>
      <c r="VNF190" s="1181"/>
      <c r="VNG190" s="1181"/>
      <c r="VNH190" s="1181"/>
      <c r="VNI190" s="1181"/>
      <c r="VNJ190" s="1181"/>
      <c r="VNK190" s="1181"/>
      <c r="VNL190" s="1181"/>
      <c r="VNM190" s="1181"/>
      <c r="VNN190" s="1181"/>
      <c r="VNO190" s="1181"/>
      <c r="VNP190" s="1181"/>
      <c r="VNQ190" s="1181"/>
      <c r="VNR190" s="1181"/>
      <c r="VNS190" s="1181"/>
      <c r="VNT190" s="1181"/>
      <c r="VNU190" s="1181"/>
      <c r="VNV190" s="1181"/>
      <c r="VNW190" s="1181"/>
      <c r="VNX190" s="1181"/>
      <c r="VNY190" s="1181"/>
      <c r="VNZ190" s="1181"/>
      <c r="VOA190" s="1181"/>
      <c r="VOB190" s="1181"/>
      <c r="VOC190" s="1181"/>
      <c r="VOD190" s="1181"/>
      <c r="VOE190" s="1181"/>
      <c r="VOF190" s="1181"/>
      <c r="VOG190" s="1181"/>
      <c r="VOH190" s="1181"/>
      <c r="VOI190" s="1181"/>
      <c r="VOJ190" s="1181"/>
      <c r="VOK190" s="1181"/>
      <c r="VOL190" s="1181"/>
      <c r="VOM190" s="1181"/>
      <c r="VON190" s="1181"/>
      <c r="VOO190" s="1181"/>
      <c r="VOP190" s="1181"/>
      <c r="VOQ190" s="1181"/>
      <c r="VOR190" s="1181"/>
      <c r="VOS190" s="1181"/>
      <c r="VOT190" s="1181"/>
      <c r="VOU190" s="1181"/>
      <c r="VOV190" s="1181"/>
      <c r="VOW190" s="1181"/>
      <c r="VOX190" s="1181"/>
      <c r="VOY190" s="1181"/>
      <c r="VOZ190" s="1181"/>
      <c r="VPA190" s="1181"/>
      <c r="VPB190" s="1181"/>
      <c r="VPC190" s="1181"/>
      <c r="VPD190" s="1181"/>
      <c r="VPE190" s="1181"/>
      <c r="VPF190" s="1181"/>
      <c r="VPG190" s="1181"/>
      <c r="VPH190" s="1181"/>
      <c r="VPI190" s="1181"/>
      <c r="VPJ190" s="1181"/>
      <c r="VPK190" s="1181"/>
      <c r="VPL190" s="1181"/>
      <c r="VPM190" s="1181"/>
      <c r="VPN190" s="1181"/>
      <c r="VPO190" s="1181"/>
      <c r="VPP190" s="1181"/>
      <c r="VPQ190" s="1181"/>
      <c r="VPR190" s="1181"/>
      <c r="VPS190" s="1181"/>
      <c r="VPT190" s="1181"/>
      <c r="VPU190" s="1181"/>
      <c r="VPV190" s="1181"/>
      <c r="VPW190" s="1181"/>
      <c r="VPX190" s="1181"/>
      <c r="VPY190" s="1181"/>
      <c r="VPZ190" s="1181"/>
      <c r="VQA190" s="1181"/>
      <c r="VQB190" s="1181"/>
      <c r="VQC190" s="1181"/>
      <c r="VQD190" s="1181"/>
      <c r="VQE190" s="1181"/>
      <c r="VQF190" s="1181"/>
      <c r="VQG190" s="1181"/>
      <c r="VQH190" s="1181"/>
      <c r="VQI190" s="1181"/>
      <c r="VQJ190" s="1181"/>
      <c r="VQK190" s="1181"/>
      <c r="VQL190" s="1181"/>
      <c r="VQM190" s="1181"/>
      <c r="VQN190" s="1181"/>
      <c r="VQO190" s="1181"/>
      <c r="VQP190" s="1181"/>
      <c r="VQQ190" s="1181"/>
      <c r="VQR190" s="1181"/>
      <c r="VQS190" s="1181"/>
      <c r="VQT190" s="1181"/>
      <c r="VQU190" s="1181"/>
      <c r="VQV190" s="1181"/>
      <c r="VQW190" s="1181"/>
      <c r="VQX190" s="1181"/>
      <c r="VQY190" s="1181"/>
      <c r="VQZ190" s="1181"/>
      <c r="VRA190" s="1181"/>
      <c r="VRB190" s="1181"/>
      <c r="VRC190" s="1181"/>
      <c r="VRD190" s="1181"/>
      <c r="VRE190" s="1181"/>
      <c r="VRF190" s="1181"/>
      <c r="VRG190" s="1181"/>
      <c r="VRH190" s="1181"/>
      <c r="VRI190" s="1181"/>
      <c r="VRJ190" s="1181"/>
      <c r="VRK190" s="1181"/>
      <c r="VRL190" s="1181"/>
      <c r="VRM190" s="1181"/>
      <c r="VRN190" s="1181"/>
      <c r="VRO190" s="1181"/>
      <c r="VRP190" s="1181"/>
      <c r="VRQ190" s="1181"/>
      <c r="VRR190" s="1181"/>
      <c r="VRS190" s="1181"/>
      <c r="VRT190" s="1181"/>
      <c r="VRU190" s="1181"/>
      <c r="VRV190" s="1181"/>
      <c r="VRW190" s="1181"/>
      <c r="VRX190" s="1181"/>
      <c r="VRY190" s="1181"/>
      <c r="VRZ190" s="1181"/>
      <c r="VSA190" s="1181"/>
      <c r="VSB190" s="1181"/>
      <c r="VSC190" s="1181"/>
      <c r="VSD190" s="1181"/>
      <c r="VSE190" s="1181"/>
      <c r="VSF190" s="1181"/>
      <c r="VSG190" s="1181"/>
      <c r="VSH190" s="1181"/>
      <c r="VSI190" s="1181"/>
      <c r="VSJ190" s="1181"/>
      <c r="VSK190" s="1181"/>
      <c r="VSL190" s="1181"/>
      <c r="VSM190" s="1181"/>
      <c r="VSN190" s="1181"/>
      <c r="VSO190" s="1181"/>
      <c r="VSP190" s="1181"/>
      <c r="VSQ190" s="1181"/>
      <c r="VSR190" s="1181"/>
      <c r="VSS190" s="1181"/>
      <c r="VST190" s="1181"/>
      <c r="VSU190" s="1181"/>
      <c r="VSV190" s="1181"/>
      <c r="VSW190" s="1181"/>
      <c r="VSX190" s="1181"/>
      <c r="VSY190" s="1181"/>
      <c r="VSZ190" s="1181"/>
      <c r="VTA190" s="1181"/>
      <c r="VTB190" s="1181"/>
      <c r="VTC190" s="1181"/>
      <c r="VTD190" s="1181"/>
      <c r="VTE190" s="1181"/>
      <c r="VTF190" s="1181"/>
      <c r="VTG190" s="1181"/>
      <c r="VTH190" s="1181"/>
      <c r="VTI190" s="1181"/>
      <c r="VTJ190" s="1181"/>
      <c r="VTK190" s="1181"/>
      <c r="VTL190" s="1181"/>
      <c r="VTM190" s="1181"/>
      <c r="VTN190" s="1181"/>
      <c r="VTO190" s="1181"/>
      <c r="VTP190" s="1181"/>
      <c r="VTQ190" s="1181"/>
      <c r="VTR190" s="1181"/>
      <c r="VTS190" s="1181"/>
      <c r="VTT190" s="1181"/>
      <c r="VTU190" s="1181"/>
      <c r="VTV190" s="1181"/>
      <c r="VTW190" s="1181"/>
      <c r="VTX190" s="1181"/>
      <c r="VTY190" s="1181"/>
      <c r="VTZ190" s="1181"/>
      <c r="VUA190" s="1181"/>
      <c r="VUB190" s="1181"/>
      <c r="VUC190" s="1181"/>
      <c r="VUD190" s="1181"/>
      <c r="VUE190" s="1181"/>
      <c r="VUF190" s="1181"/>
      <c r="VUG190" s="1181"/>
      <c r="VUH190" s="1181"/>
      <c r="VUI190" s="1181"/>
      <c r="VUJ190" s="1181"/>
      <c r="VUK190" s="1181"/>
      <c r="VUL190" s="1181"/>
      <c r="VUM190" s="1181"/>
      <c r="VUN190" s="1181"/>
      <c r="VUO190" s="1181"/>
      <c r="VUP190" s="1181"/>
      <c r="VUQ190" s="1181"/>
      <c r="VUR190" s="1181"/>
      <c r="VUS190" s="1181"/>
      <c r="VUT190" s="1181"/>
      <c r="VUU190" s="1181"/>
      <c r="VUV190" s="1181"/>
      <c r="VUW190" s="1181"/>
      <c r="VUX190" s="1181"/>
      <c r="VUY190" s="1181"/>
      <c r="VUZ190" s="1181"/>
      <c r="VVA190" s="1181"/>
      <c r="VVB190" s="1181"/>
      <c r="VVC190" s="1181"/>
      <c r="VVD190" s="1181"/>
      <c r="VVE190" s="1181"/>
      <c r="VVF190" s="1181"/>
      <c r="VVG190" s="1181"/>
      <c r="VVH190" s="1181"/>
      <c r="VVI190" s="1181"/>
      <c r="VVJ190" s="1181"/>
      <c r="VVK190" s="1181"/>
      <c r="VVL190" s="1181"/>
      <c r="VVM190" s="1181"/>
      <c r="VVN190" s="1181"/>
      <c r="VVO190" s="1181"/>
      <c r="VVP190" s="1181"/>
      <c r="VVQ190" s="1181"/>
      <c r="VVR190" s="1181"/>
      <c r="VVS190" s="1181"/>
      <c r="VVT190" s="1181"/>
      <c r="VVU190" s="1181"/>
      <c r="VVV190" s="1181"/>
      <c r="VVW190" s="1181"/>
      <c r="VVX190" s="1181"/>
      <c r="VVY190" s="1181"/>
      <c r="VVZ190" s="1181"/>
      <c r="VWA190" s="1181"/>
      <c r="VWB190" s="1181"/>
      <c r="VWC190" s="1181"/>
      <c r="VWD190" s="1181"/>
      <c r="VWE190" s="1181"/>
      <c r="VWF190" s="1181"/>
      <c r="VWG190" s="1181"/>
      <c r="VWH190" s="1181"/>
      <c r="VWI190" s="1181"/>
      <c r="VWJ190" s="1181"/>
      <c r="VWK190" s="1181"/>
      <c r="VWL190" s="1181"/>
      <c r="VWM190" s="1181"/>
      <c r="VWN190" s="1181"/>
      <c r="VWO190" s="1181"/>
      <c r="VWP190" s="1181"/>
      <c r="VWQ190" s="1181"/>
      <c r="VWR190" s="1181"/>
      <c r="VWS190" s="1181"/>
      <c r="VWT190" s="1181"/>
      <c r="VWU190" s="1181"/>
      <c r="VWV190" s="1181"/>
      <c r="VWW190" s="1181"/>
      <c r="VWX190" s="1181"/>
      <c r="VWY190" s="1181"/>
      <c r="VWZ190" s="1181"/>
      <c r="VXA190" s="1181"/>
      <c r="VXB190" s="1181"/>
      <c r="VXC190" s="1181"/>
      <c r="VXD190" s="1181"/>
      <c r="VXE190" s="1181"/>
      <c r="VXF190" s="1181"/>
      <c r="VXG190" s="1181"/>
      <c r="VXH190" s="1181"/>
      <c r="VXI190" s="1181"/>
      <c r="VXJ190" s="1181"/>
      <c r="VXK190" s="1181"/>
      <c r="VXL190" s="1181"/>
      <c r="VXM190" s="1181"/>
      <c r="VXN190" s="1181"/>
      <c r="VXO190" s="1181"/>
      <c r="VXP190" s="1181"/>
      <c r="VXQ190" s="1181"/>
      <c r="VXR190" s="1181"/>
      <c r="VXS190" s="1181"/>
      <c r="VXT190" s="1181"/>
      <c r="VXU190" s="1181"/>
      <c r="VXV190" s="1181"/>
      <c r="VXW190" s="1181"/>
      <c r="VXX190" s="1181"/>
      <c r="VXY190" s="1181"/>
      <c r="VXZ190" s="1181"/>
      <c r="VYA190" s="1181"/>
      <c r="VYB190" s="1181"/>
      <c r="VYC190" s="1181"/>
      <c r="VYD190" s="1181"/>
      <c r="VYE190" s="1181"/>
      <c r="VYF190" s="1181"/>
      <c r="VYG190" s="1181"/>
      <c r="VYH190" s="1181"/>
      <c r="VYI190" s="1181"/>
      <c r="VYJ190" s="1181"/>
      <c r="VYK190" s="1181"/>
      <c r="VYL190" s="1181"/>
      <c r="VYM190" s="1181"/>
      <c r="VYN190" s="1181"/>
      <c r="VYO190" s="1181"/>
      <c r="VYP190" s="1181"/>
      <c r="VYQ190" s="1181"/>
      <c r="VYR190" s="1181"/>
      <c r="VYS190" s="1181"/>
      <c r="VYT190" s="1181"/>
      <c r="VYU190" s="1181"/>
      <c r="VYV190" s="1181"/>
      <c r="VYW190" s="1181"/>
      <c r="VYX190" s="1181"/>
      <c r="VYY190" s="1181"/>
      <c r="VYZ190" s="1181"/>
      <c r="VZA190" s="1181"/>
      <c r="VZB190" s="1181"/>
      <c r="VZC190" s="1181"/>
      <c r="VZD190" s="1181"/>
      <c r="VZE190" s="1181"/>
      <c r="VZF190" s="1181"/>
      <c r="VZG190" s="1181"/>
      <c r="VZH190" s="1181"/>
      <c r="VZI190" s="1181"/>
      <c r="VZJ190" s="1181"/>
      <c r="VZK190" s="1181"/>
      <c r="VZL190" s="1181"/>
      <c r="VZM190" s="1181"/>
      <c r="VZN190" s="1181"/>
      <c r="VZO190" s="1181"/>
      <c r="VZP190" s="1181"/>
      <c r="VZQ190" s="1181"/>
      <c r="VZR190" s="1181"/>
      <c r="VZS190" s="1181"/>
      <c r="VZT190" s="1181"/>
      <c r="VZU190" s="1181"/>
      <c r="VZV190" s="1181"/>
      <c r="VZW190" s="1181"/>
      <c r="VZX190" s="1181"/>
      <c r="VZY190" s="1181"/>
      <c r="VZZ190" s="1181"/>
      <c r="WAA190" s="1181"/>
      <c r="WAB190" s="1181"/>
      <c r="WAC190" s="1181"/>
      <c r="WAD190" s="1181"/>
      <c r="WAE190" s="1181"/>
      <c r="WAF190" s="1181"/>
      <c r="WAG190" s="1181"/>
      <c r="WAH190" s="1181"/>
      <c r="WAI190" s="1181"/>
      <c r="WAJ190" s="1181"/>
      <c r="WAK190" s="1181"/>
      <c r="WAL190" s="1181"/>
      <c r="WAM190" s="1181"/>
      <c r="WAN190" s="1181"/>
      <c r="WAO190" s="1181"/>
      <c r="WAP190" s="1181"/>
      <c r="WAQ190" s="1181"/>
      <c r="WAR190" s="1181"/>
      <c r="WAS190" s="1181"/>
      <c r="WAT190" s="1181"/>
      <c r="WAU190" s="1181"/>
      <c r="WAV190" s="1181"/>
      <c r="WAW190" s="1181"/>
      <c r="WAX190" s="1181"/>
      <c r="WAY190" s="1181"/>
      <c r="WAZ190" s="1181"/>
      <c r="WBA190" s="1181"/>
      <c r="WBB190" s="1181"/>
      <c r="WBC190" s="1181"/>
      <c r="WBD190" s="1181"/>
      <c r="WBE190" s="1181"/>
      <c r="WBF190" s="1181"/>
      <c r="WBG190" s="1181"/>
      <c r="WBH190" s="1181"/>
      <c r="WBI190" s="1181"/>
      <c r="WBJ190" s="1181"/>
      <c r="WBK190" s="1181"/>
      <c r="WBL190" s="1181"/>
      <c r="WBM190" s="1181"/>
      <c r="WBN190" s="1181"/>
      <c r="WBO190" s="1181"/>
      <c r="WBP190" s="1181"/>
      <c r="WBQ190" s="1181"/>
      <c r="WBR190" s="1181"/>
      <c r="WBS190" s="1181"/>
      <c r="WBT190" s="1181"/>
      <c r="WBU190" s="1181"/>
      <c r="WBV190" s="1181"/>
      <c r="WBW190" s="1181"/>
      <c r="WBX190" s="1181"/>
      <c r="WBY190" s="1181"/>
      <c r="WBZ190" s="1181"/>
      <c r="WCA190" s="1181"/>
      <c r="WCB190" s="1181"/>
      <c r="WCC190" s="1181"/>
      <c r="WCD190" s="1181"/>
      <c r="WCE190" s="1181"/>
      <c r="WCF190" s="1181"/>
      <c r="WCG190" s="1181"/>
      <c r="WCH190" s="1181"/>
      <c r="WCI190" s="1181"/>
      <c r="WCJ190" s="1181"/>
      <c r="WCK190" s="1181"/>
      <c r="WCL190" s="1181"/>
      <c r="WCM190" s="1181"/>
      <c r="WCN190" s="1181"/>
      <c r="WCO190" s="1181"/>
      <c r="WCP190" s="1181"/>
      <c r="WCQ190" s="1181"/>
      <c r="WCR190" s="1181"/>
      <c r="WCS190" s="1181"/>
      <c r="WCT190" s="1181"/>
      <c r="WCU190" s="1181"/>
      <c r="WCV190" s="1181"/>
      <c r="WCW190" s="1181"/>
      <c r="WCX190" s="1181"/>
      <c r="WCY190" s="1181"/>
      <c r="WCZ190" s="1181"/>
      <c r="WDA190" s="1181"/>
      <c r="WDB190" s="1181"/>
      <c r="WDC190" s="1181"/>
      <c r="WDD190" s="1181"/>
      <c r="WDE190" s="1181"/>
      <c r="WDF190" s="1181"/>
      <c r="WDG190" s="1181"/>
      <c r="WDH190" s="1181"/>
      <c r="WDI190" s="1181"/>
      <c r="WDJ190" s="1181"/>
      <c r="WDK190" s="1181"/>
      <c r="WDL190" s="1181"/>
      <c r="WDM190" s="1181"/>
      <c r="WDN190" s="1181"/>
      <c r="WDO190" s="1181"/>
      <c r="WDP190" s="1181"/>
      <c r="WDQ190" s="1181"/>
      <c r="WDR190" s="1181"/>
      <c r="WDS190" s="1181"/>
      <c r="WDT190" s="1181"/>
      <c r="WDU190" s="1181"/>
      <c r="WDV190" s="1181"/>
      <c r="WDW190" s="1181"/>
      <c r="WDX190" s="1181"/>
      <c r="WDY190" s="1181"/>
      <c r="WDZ190" s="1181"/>
      <c r="WEA190" s="1181"/>
      <c r="WEB190" s="1181"/>
      <c r="WEC190" s="1181"/>
      <c r="WED190" s="1181"/>
      <c r="WEE190" s="1181"/>
      <c r="WEF190" s="1181"/>
      <c r="WEG190" s="1181"/>
      <c r="WEH190" s="1181"/>
      <c r="WEI190" s="1181"/>
      <c r="WEJ190" s="1181"/>
      <c r="WEK190" s="1181"/>
      <c r="WEL190" s="1181"/>
      <c r="WEM190" s="1181"/>
      <c r="WEN190" s="1181"/>
      <c r="WEO190" s="1181"/>
      <c r="WEP190" s="1181"/>
      <c r="WEQ190" s="1181"/>
      <c r="WER190" s="1181"/>
      <c r="WES190" s="1181"/>
      <c r="WET190" s="1181"/>
      <c r="WEU190" s="1181"/>
      <c r="WEV190" s="1181"/>
      <c r="WEW190" s="1181"/>
      <c r="WEX190" s="1181"/>
      <c r="WEY190" s="1181"/>
      <c r="WEZ190" s="1181"/>
      <c r="WFA190" s="1181"/>
      <c r="WFB190" s="1181"/>
      <c r="WFC190" s="1181"/>
      <c r="WFD190" s="1181"/>
      <c r="WFE190" s="1181"/>
      <c r="WFF190" s="1181"/>
      <c r="WFG190" s="1181"/>
      <c r="WFH190" s="1181"/>
      <c r="WFI190" s="1181"/>
      <c r="WFJ190" s="1181"/>
      <c r="WFK190" s="1181"/>
      <c r="WFL190" s="1181"/>
      <c r="WFM190" s="1181"/>
      <c r="WFN190" s="1181"/>
      <c r="WFO190" s="1181"/>
      <c r="WFP190" s="1181"/>
      <c r="WFQ190" s="1181"/>
      <c r="WFR190" s="1181"/>
      <c r="WFS190" s="1181"/>
      <c r="WFT190" s="1181"/>
      <c r="WFU190" s="1181"/>
      <c r="WFV190" s="1181"/>
      <c r="WFW190" s="1181"/>
      <c r="WFX190" s="1181"/>
      <c r="WFY190" s="1181"/>
      <c r="WFZ190" s="1181"/>
      <c r="WGA190" s="1181"/>
      <c r="WGB190" s="1181"/>
      <c r="WGC190" s="1181"/>
      <c r="WGD190" s="1181"/>
      <c r="WGE190" s="1181"/>
      <c r="WGF190" s="1181"/>
      <c r="WGG190" s="1181"/>
      <c r="WGH190" s="1181"/>
      <c r="WGI190" s="1181"/>
      <c r="WGJ190" s="1181"/>
      <c r="WGK190" s="1181"/>
      <c r="WGL190" s="1181"/>
      <c r="WGM190" s="1181"/>
      <c r="WGN190" s="1181"/>
      <c r="WGO190" s="1181"/>
      <c r="WGP190" s="1181"/>
      <c r="WGQ190" s="1181"/>
      <c r="WGR190" s="1181"/>
      <c r="WGS190" s="1181"/>
      <c r="WGT190" s="1181"/>
      <c r="WGU190" s="1181"/>
      <c r="WGV190" s="1181"/>
      <c r="WGW190" s="1181"/>
      <c r="WGX190" s="1181"/>
      <c r="WGY190" s="1181"/>
      <c r="WGZ190" s="1181"/>
      <c r="WHA190" s="1181"/>
      <c r="WHB190" s="1181"/>
      <c r="WHC190" s="1181"/>
      <c r="WHD190" s="1181"/>
      <c r="WHE190" s="1181"/>
      <c r="WHF190" s="1181"/>
      <c r="WHG190" s="1181"/>
      <c r="WHH190" s="1181"/>
      <c r="WHI190" s="1181"/>
      <c r="WHJ190" s="1181"/>
      <c r="WHK190" s="1181"/>
      <c r="WHL190" s="1181"/>
      <c r="WHM190" s="1181"/>
      <c r="WHN190" s="1181"/>
      <c r="WHO190" s="1181"/>
      <c r="WHP190" s="1181"/>
      <c r="WHQ190" s="1181"/>
      <c r="WHR190" s="1181"/>
      <c r="WHS190" s="1181"/>
      <c r="WHT190" s="1181"/>
      <c r="WHU190" s="1181"/>
      <c r="WHV190" s="1181"/>
      <c r="WHW190" s="1181"/>
      <c r="WHX190" s="1181"/>
      <c r="WHY190" s="1181"/>
      <c r="WHZ190" s="1181"/>
      <c r="WIA190" s="1181"/>
      <c r="WIB190" s="1181"/>
      <c r="WIC190" s="1181"/>
      <c r="WID190" s="1181"/>
      <c r="WIE190" s="1181"/>
      <c r="WIF190" s="1181"/>
      <c r="WIG190" s="1181"/>
      <c r="WIH190" s="1181"/>
      <c r="WII190" s="1181"/>
      <c r="WIJ190" s="1181"/>
      <c r="WIK190" s="1181"/>
      <c r="WIL190" s="1181"/>
      <c r="WIM190" s="1181"/>
      <c r="WIN190" s="1181"/>
      <c r="WIO190" s="1181"/>
      <c r="WIP190" s="1181"/>
      <c r="WIQ190" s="1181"/>
      <c r="WIR190" s="1181"/>
      <c r="WIS190" s="1181"/>
      <c r="WIT190" s="1181"/>
      <c r="WIU190" s="1181"/>
      <c r="WIV190" s="1181"/>
      <c r="WIW190" s="1181"/>
      <c r="WIX190" s="1181"/>
      <c r="WIY190" s="1181"/>
      <c r="WIZ190" s="1181"/>
      <c r="WJA190" s="1181"/>
      <c r="WJB190" s="1181"/>
      <c r="WJC190" s="1181"/>
      <c r="WJD190" s="1181"/>
      <c r="WJE190" s="1181"/>
      <c r="WJF190" s="1181"/>
      <c r="WJG190" s="1181"/>
      <c r="WJH190" s="1181"/>
      <c r="WJI190" s="1181"/>
      <c r="WJJ190" s="1181"/>
      <c r="WJK190" s="1181"/>
      <c r="WJL190" s="1181"/>
      <c r="WJM190" s="1181"/>
      <c r="WJN190" s="1181"/>
      <c r="WJO190" s="1181"/>
      <c r="WJP190" s="1181"/>
      <c r="WJQ190" s="1181"/>
      <c r="WJR190" s="1181"/>
      <c r="WJS190" s="1181"/>
      <c r="WJT190" s="1181"/>
      <c r="WJU190" s="1181"/>
      <c r="WJV190" s="1181"/>
      <c r="WJW190" s="1181"/>
      <c r="WJX190" s="1181"/>
      <c r="WJY190" s="1181"/>
      <c r="WJZ190" s="1181"/>
      <c r="WKA190" s="1181"/>
      <c r="WKB190" s="1181"/>
      <c r="WKC190" s="1181"/>
      <c r="WKD190" s="1181"/>
      <c r="WKE190" s="1181"/>
      <c r="WKF190" s="1181"/>
      <c r="WKG190" s="1181"/>
      <c r="WKH190" s="1181"/>
      <c r="WKI190" s="1181"/>
      <c r="WKJ190" s="1181"/>
      <c r="WKK190" s="1181"/>
      <c r="WKL190" s="1181"/>
      <c r="WKM190" s="1181"/>
      <c r="WKN190" s="1181"/>
      <c r="WKO190" s="1181"/>
      <c r="WKP190" s="1181"/>
      <c r="WKQ190" s="1181"/>
      <c r="WKR190" s="1181"/>
      <c r="WKS190" s="1181"/>
      <c r="WKT190" s="1181"/>
      <c r="WKU190" s="1181"/>
      <c r="WKV190" s="1181"/>
      <c r="WKW190" s="1181"/>
      <c r="WKX190" s="1181"/>
      <c r="WKY190" s="1181"/>
      <c r="WKZ190" s="1181"/>
      <c r="WLA190" s="1181"/>
      <c r="WLB190" s="1181"/>
      <c r="WLC190" s="1181"/>
      <c r="WLD190" s="1181"/>
      <c r="WLE190" s="1181"/>
      <c r="WLF190" s="1181"/>
      <c r="WLG190" s="1181"/>
      <c r="WLH190" s="1181"/>
      <c r="WLI190" s="1181"/>
      <c r="WLJ190" s="1181"/>
      <c r="WLK190" s="1181"/>
      <c r="WLL190" s="1181"/>
      <c r="WLM190" s="1181"/>
      <c r="WLN190" s="1181"/>
      <c r="WLO190" s="1181"/>
      <c r="WLP190" s="1181"/>
      <c r="WLQ190" s="1181"/>
      <c r="WLR190" s="1181"/>
      <c r="WLS190" s="1181"/>
      <c r="WLT190" s="1181"/>
      <c r="WLU190" s="1181"/>
      <c r="WLV190" s="1181"/>
      <c r="WLW190" s="1181"/>
      <c r="WLX190" s="1181"/>
      <c r="WLY190" s="1181"/>
      <c r="WLZ190" s="1181"/>
      <c r="WMA190" s="1181"/>
      <c r="WMB190" s="1181"/>
      <c r="WMC190" s="1181"/>
      <c r="WMD190" s="1181"/>
      <c r="WME190" s="1181"/>
      <c r="WMF190" s="1181"/>
      <c r="WMG190" s="1181"/>
      <c r="WMH190" s="1181"/>
      <c r="WMI190" s="1181"/>
      <c r="WMJ190" s="1181"/>
      <c r="WMK190" s="1181"/>
      <c r="WML190" s="1181"/>
      <c r="WMM190" s="1181"/>
      <c r="WMN190" s="1181"/>
      <c r="WMO190" s="1181"/>
      <c r="WMP190" s="1181"/>
      <c r="WMQ190" s="1181"/>
      <c r="WMR190" s="1181"/>
      <c r="WMS190" s="1181"/>
      <c r="WMT190" s="1181"/>
      <c r="WMU190" s="1181"/>
      <c r="WMV190" s="1181"/>
      <c r="WMW190" s="1181"/>
      <c r="WMX190" s="1181"/>
      <c r="WMY190" s="1181"/>
      <c r="WMZ190" s="1181"/>
      <c r="WNA190" s="1181"/>
      <c r="WNB190" s="1181"/>
      <c r="WNC190" s="1181"/>
      <c r="WND190" s="1181"/>
      <c r="WNE190" s="1181"/>
      <c r="WNF190" s="1181"/>
      <c r="WNG190" s="1181"/>
      <c r="WNH190" s="1181"/>
      <c r="WNI190" s="1181"/>
      <c r="WNJ190" s="1181"/>
      <c r="WNK190" s="1181"/>
      <c r="WNL190" s="1181"/>
      <c r="WNM190" s="1181"/>
      <c r="WNN190" s="1181"/>
      <c r="WNO190" s="1181"/>
      <c r="WNP190" s="1181"/>
      <c r="WNQ190" s="1181"/>
      <c r="WNR190" s="1181"/>
      <c r="WNS190" s="1181"/>
      <c r="WNT190" s="1181"/>
      <c r="WNU190" s="1181"/>
      <c r="WNV190" s="1181"/>
      <c r="WNW190" s="1181"/>
      <c r="WNX190" s="1181"/>
      <c r="WNY190" s="1181"/>
      <c r="WNZ190" s="1181"/>
      <c r="WOA190" s="1181"/>
      <c r="WOB190" s="1181"/>
      <c r="WOC190" s="1181"/>
      <c r="WOD190" s="1181"/>
      <c r="WOE190" s="1181"/>
      <c r="WOF190" s="1181"/>
      <c r="WOG190" s="1181"/>
      <c r="WOH190" s="1181"/>
      <c r="WOI190" s="1181"/>
      <c r="WOJ190" s="1181"/>
      <c r="WOK190" s="1181"/>
      <c r="WOL190" s="1181"/>
      <c r="WOM190" s="1181"/>
      <c r="WON190" s="1181"/>
      <c r="WOO190" s="1181"/>
      <c r="WOP190" s="1181"/>
      <c r="WOQ190" s="1181"/>
      <c r="WOR190" s="1181"/>
      <c r="WOS190" s="1181"/>
      <c r="WOT190" s="1181"/>
      <c r="WOU190" s="1181"/>
      <c r="WOV190" s="1181"/>
      <c r="WOW190" s="1181"/>
      <c r="WOX190" s="1181"/>
      <c r="WOY190" s="1181"/>
      <c r="WOZ190" s="1181"/>
      <c r="WPA190" s="1181"/>
      <c r="WPB190" s="1181"/>
      <c r="WPC190" s="1181"/>
      <c r="WPD190" s="1181"/>
      <c r="WPE190" s="1181"/>
      <c r="WPF190" s="1181"/>
      <c r="WPG190" s="1181"/>
      <c r="WPH190" s="1181"/>
      <c r="WPI190" s="1181"/>
      <c r="WPJ190" s="1181"/>
      <c r="WPK190" s="1181"/>
      <c r="WPL190" s="1181"/>
      <c r="WPM190" s="1181"/>
      <c r="WPN190" s="1181"/>
      <c r="WPO190" s="1181"/>
      <c r="WPP190" s="1181"/>
      <c r="WPQ190" s="1181"/>
      <c r="WPR190" s="1181"/>
      <c r="WPS190" s="1181"/>
      <c r="WPT190" s="1181"/>
      <c r="WPU190" s="1181"/>
      <c r="WPV190" s="1181"/>
      <c r="WPW190" s="1181"/>
      <c r="WPX190" s="1181"/>
      <c r="WPY190" s="1181"/>
      <c r="WPZ190" s="1181"/>
      <c r="WQA190" s="1181"/>
      <c r="WQB190" s="1181"/>
      <c r="WQC190" s="1181"/>
      <c r="WQD190" s="1181"/>
      <c r="WQE190" s="1181"/>
      <c r="WQF190" s="1181"/>
      <c r="WQG190" s="1181"/>
      <c r="WQH190" s="1181"/>
      <c r="WQI190" s="1181"/>
      <c r="WQJ190" s="1181"/>
      <c r="WQK190" s="1181"/>
      <c r="WQL190" s="1181"/>
      <c r="WQM190" s="1181"/>
      <c r="WQN190" s="1181"/>
      <c r="WQO190" s="1181"/>
      <c r="WQP190" s="1181"/>
      <c r="WQQ190" s="1181"/>
      <c r="WQR190" s="1181"/>
      <c r="WQS190" s="1181"/>
      <c r="WQT190" s="1181"/>
      <c r="WQU190" s="1181"/>
      <c r="WQV190" s="1181"/>
      <c r="WQW190" s="1181"/>
      <c r="WQX190" s="1181"/>
      <c r="WQY190" s="1181"/>
      <c r="WQZ190" s="1181"/>
      <c r="WRA190" s="1181"/>
      <c r="WRB190" s="1181"/>
      <c r="WRC190" s="1181"/>
      <c r="WRD190" s="1181"/>
      <c r="WRE190" s="1181"/>
      <c r="WRF190" s="1181"/>
      <c r="WRG190" s="1181"/>
      <c r="WRH190" s="1181"/>
      <c r="WRI190" s="1181"/>
      <c r="WRJ190" s="1181"/>
      <c r="WRK190" s="1181"/>
      <c r="WRL190" s="1181"/>
      <c r="WRM190" s="1181"/>
      <c r="WRN190" s="1181"/>
      <c r="WRO190" s="1181"/>
      <c r="WRP190" s="1181"/>
      <c r="WRQ190" s="1181"/>
      <c r="WRR190" s="1181"/>
      <c r="WRS190" s="1181"/>
      <c r="WRT190" s="1181"/>
      <c r="WRU190" s="1181"/>
      <c r="WRV190" s="1181"/>
      <c r="WRW190" s="1181"/>
      <c r="WRX190" s="1181"/>
      <c r="WRY190" s="1181"/>
      <c r="WRZ190" s="1181"/>
      <c r="WSA190" s="1181"/>
      <c r="WSB190" s="1181"/>
      <c r="WSC190" s="1181"/>
      <c r="WSD190" s="1181"/>
      <c r="WSE190" s="1181"/>
      <c r="WSF190" s="1181"/>
      <c r="WSG190" s="1181"/>
      <c r="WSH190" s="1181"/>
      <c r="WSI190" s="1181"/>
      <c r="WSJ190" s="1181"/>
      <c r="WSK190" s="1181"/>
      <c r="WSL190" s="1181"/>
      <c r="WSM190" s="1181"/>
      <c r="WSN190" s="1181"/>
      <c r="WSO190" s="1181"/>
      <c r="WSP190" s="1181"/>
      <c r="WSQ190" s="1181"/>
      <c r="WSR190" s="1181"/>
      <c r="WSS190" s="1181"/>
      <c r="WST190" s="1181"/>
      <c r="WSU190" s="1181"/>
      <c r="WSV190" s="1181"/>
      <c r="WSW190" s="1181"/>
      <c r="WSX190" s="1181"/>
      <c r="WSY190" s="1181"/>
      <c r="WSZ190" s="1181"/>
      <c r="WTA190" s="1181"/>
      <c r="WTB190" s="1181"/>
      <c r="WTC190" s="1181"/>
      <c r="WTD190" s="1181"/>
      <c r="WTE190" s="1181"/>
      <c r="WTF190" s="1181"/>
      <c r="WTG190" s="1181"/>
      <c r="WTH190" s="1181"/>
      <c r="WTI190" s="1181"/>
      <c r="WTJ190" s="1181"/>
      <c r="WTK190" s="1181"/>
      <c r="WTL190" s="1181"/>
      <c r="WTM190" s="1181"/>
      <c r="WTN190" s="1181"/>
      <c r="WTO190" s="1181"/>
      <c r="WTP190" s="1181"/>
      <c r="WTQ190" s="1181"/>
      <c r="WTR190" s="1181"/>
      <c r="WTS190" s="1181"/>
      <c r="WTT190" s="1181"/>
      <c r="WTU190" s="1181"/>
      <c r="WTV190" s="1181"/>
      <c r="WTW190" s="1181"/>
      <c r="WTX190" s="1181"/>
      <c r="WTY190" s="1181"/>
      <c r="WTZ190" s="1181"/>
      <c r="WUA190" s="1181"/>
      <c r="WUB190" s="1181"/>
      <c r="WUC190" s="1181"/>
      <c r="WUD190" s="1181"/>
      <c r="WUE190" s="1181"/>
      <c r="WUF190" s="1181"/>
      <c r="WUG190" s="1181"/>
      <c r="WUH190" s="1181"/>
      <c r="WUI190" s="1181"/>
      <c r="WUJ190" s="1181"/>
      <c r="WUK190" s="1181"/>
      <c r="WUL190" s="1181"/>
      <c r="WUM190" s="1181"/>
      <c r="WUN190" s="1181"/>
      <c r="WUO190" s="1181"/>
      <c r="WUP190" s="1181"/>
      <c r="WUQ190" s="1181"/>
      <c r="WUR190" s="1181"/>
      <c r="WUS190" s="1181"/>
      <c r="WUT190" s="1181"/>
      <c r="WUU190" s="1181"/>
      <c r="WUV190" s="1181"/>
      <c r="WUW190" s="1181"/>
      <c r="WUX190" s="1181"/>
      <c r="WUY190" s="1181"/>
      <c r="WUZ190" s="1181"/>
      <c r="WVA190" s="1181"/>
      <c r="WVB190" s="1181"/>
      <c r="WVC190" s="1181"/>
      <c r="WVD190" s="1181"/>
      <c r="WVE190" s="1181"/>
      <c r="WVF190" s="1181"/>
      <c r="WVG190" s="1181"/>
      <c r="WVH190" s="1181"/>
      <c r="WVI190" s="1181"/>
      <c r="WVJ190" s="1181"/>
      <c r="WVK190" s="1181"/>
      <c r="WVL190" s="1181"/>
      <c r="WVM190" s="1181"/>
      <c r="WVN190" s="1181"/>
      <c r="WVO190" s="1181"/>
      <c r="WVP190" s="1181"/>
      <c r="WVQ190" s="1181"/>
      <c r="WVR190" s="1181"/>
      <c r="WVS190" s="1181"/>
      <c r="WVT190" s="1181"/>
      <c r="WVU190" s="1181"/>
      <c r="WVV190" s="1181"/>
      <c r="WVW190" s="1181"/>
      <c r="WVX190" s="1181"/>
      <c r="WVY190" s="1181"/>
      <c r="WVZ190" s="1181"/>
      <c r="WWA190" s="1181"/>
      <c r="WWB190" s="1181"/>
      <c r="WWC190" s="1181"/>
      <c r="WWD190" s="1181"/>
      <c r="WWE190" s="1181"/>
      <c r="WWF190" s="1181"/>
      <c r="WWG190" s="1181"/>
      <c r="WWH190" s="1181"/>
      <c r="WWI190" s="1181"/>
      <c r="WWJ190" s="1181"/>
      <c r="WWK190" s="1181"/>
      <c r="WWL190" s="1181"/>
      <c r="WWM190" s="1181"/>
      <c r="WWN190" s="1181"/>
      <c r="WWO190" s="1181"/>
      <c r="WWP190" s="1181"/>
      <c r="WWQ190" s="1181"/>
      <c r="WWR190" s="1181"/>
      <c r="WWS190" s="1181"/>
      <c r="WWT190" s="1181"/>
      <c r="WWU190" s="1181"/>
      <c r="WWV190" s="1181"/>
      <c r="WWW190" s="1181"/>
      <c r="WWX190" s="1181"/>
      <c r="WWY190" s="1181"/>
      <c r="WWZ190" s="1181"/>
      <c r="WXA190" s="1181"/>
      <c r="WXB190" s="1181"/>
      <c r="WXC190" s="1181"/>
      <c r="WXD190" s="1181"/>
      <c r="WXE190" s="1181"/>
      <c r="WXF190" s="1181"/>
      <c r="WXG190" s="1181"/>
      <c r="WXH190" s="1181"/>
      <c r="WXI190" s="1181"/>
      <c r="WXJ190" s="1181"/>
      <c r="WXK190" s="1181"/>
      <c r="WXL190" s="1181"/>
      <c r="WXM190" s="1181"/>
      <c r="WXN190" s="1181"/>
      <c r="WXO190" s="1181"/>
      <c r="WXP190" s="1181"/>
      <c r="WXQ190" s="1181"/>
      <c r="WXR190" s="1181"/>
      <c r="WXS190" s="1181"/>
      <c r="WXT190" s="1181"/>
      <c r="WXU190" s="1181"/>
      <c r="WXV190" s="1181"/>
      <c r="WXW190" s="1181"/>
      <c r="WXX190" s="1181"/>
      <c r="WXY190" s="1181"/>
      <c r="WXZ190" s="1181"/>
      <c r="WYA190" s="1181"/>
      <c r="WYB190" s="1181"/>
      <c r="WYC190" s="1181"/>
      <c r="WYD190" s="1181"/>
      <c r="WYE190" s="1181"/>
      <c r="WYF190" s="1181"/>
      <c r="WYG190" s="1181"/>
      <c r="WYH190" s="1181"/>
      <c r="WYI190" s="1181"/>
      <c r="WYJ190" s="1181"/>
      <c r="WYK190" s="1181"/>
      <c r="WYL190" s="1181"/>
      <c r="WYM190" s="1181"/>
      <c r="WYN190" s="1181"/>
      <c r="WYO190" s="1181"/>
      <c r="WYP190" s="1181"/>
      <c r="WYQ190" s="1181"/>
      <c r="WYR190" s="1181"/>
      <c r="WYS190" s="1181"/>
      <c r="WYT190" s="1181"/>
      <c r="WYU190" s="1181"/>
      <c r="WYV190" s="1181"/>
      <c r="WYW190" s="1181"/>
      <c r="WYX190" s="1181"/>
      <c r="WYY190" s="1181"/>
      <c r="WYZ190" s="1181"/>
      <c r="WZA190" s="1181"/>
      <c r="WZB190" s="1181"/>
      <c r="WZC190" s="1181"/>
      <c r="WZD190" s="1181"/>
      <c r="WZE190" s="1181"/>
      <c r="WZF190" s="1181"/>
      <c r="WZG190" s="1181"/>
      <c r="WZH190" s="1181"/>
      <c r="WZI190" s="1181"/>
      <c r="WZJ190" s="1181"/>
      <c r="WZK190" s="1181"/>
      <c r="WZL190" s="1181"/>
      <c r="WZM190" s="1181"/>
      <c r="WZN190" s="1181"/>
      <c r="WZO190" s="1181"/>
      <c r="WZP190" s="1181"/>
      <c r="WZQ190" s="1181"/>
      <c r="WZR190" s="1181"/>
      <c r="WZS190" s="1181"/>
      <c r="WZT190" s="1181"/>
      <c r="WZU190" s="1181"/>
      <c r="WZV190" s="1181"/>
      <c r="WZW190" s="1181"/>
      <c r="WZX190" s="1181"/>
      <c r="WZY190" s="1181"/>
      <c r="WZZ190" s="1181"/>
      <c r="XAA190" s="1181"/>
      <c r="XAB190" s="1181"/>
      <c r="XAC190" s="1181"/>
      <c r="XAD190" s="1181"/>
      <c r="XAE190" s="1181"/>
      <c r="XAF190" s="1181"/>
      <c r="XAG190" s="1181"/>
      <c r="XAH190" s="1181"/>
      <c r="XAI190" s="1181"/>
      <c r="XAJ190" s="1181"/>
      <c r="XAK190" s="1181"/>
      <c r="XAL190" s="1181"/>
      <c r="XAM190" s="1181"/>
      <c r="XAN190" s="1181"/>
      <c r="XAO190" s="1181"/>
      <c r="XAP190" s="1181"/>
      <c r="XAQ190" s="1181"/>
      <c r="XAR190" s="1181"/>
      <c r="XAS190" s="1181"/>
      <c r="XAT190" s="1181"/>
      <c r="XAU190" s="1181"/>
      <c r="XAV190" s="1181"/>
      <c r="XAW190" s="1181"/>
      <c r="XAX190" s="1181"/>
      <c r="XAY190" s="1181"/>
      <c r="XAZ190" s="1181"/>
      <c r="XBA190" s="1181"/>
      <c r="XBB190" s="1181"/>
      <c r="XBC190" s="1181"/>
      <c r="XBD190" s="1181"/>
      <c r="XBE190" s="1181"/>
      <c r="XBF190" s="1181"/>
      <c r="XBG190" s="1181"/>
      <c r="XBH190" s="1181"/>
      <c r="XBI190" s="1181"/>
      <c r="XBJ190" s="1181"/>
      <c r="XBK190" s="1181"/>
      <c r="XBL190" s="1181"/>
      <c r="XBM190" s="1181"/>
      <c r="XBN190" s="1181"/>
      <c r="XBO190" s="1181"/>
      <c r="XBP190" s="1181"/>
      <c r="XBQ190" s="1181"/>
      <c r="XBR190" s="1181"/>
      <c r="XBS190" s="1181"/>
      <c r="XBT190" s="1181"/>
      <c r="XBU190" s="1181"/>
      <c r="XBV190" s="1181"/>
      <c r="XBW190" s="1181"/>
      <c r="XBX190" s="1181"/>
      <c r="XBY190" s="1181"/>
      <c r="XBZ190" s="1181"/>
      <c r="XCA190" s="1181"/>
      <c r="XCB190" s="1181"/>
      <c r="XCC190" s="1181"/>
      <c r="XCD190" s="1181"/>
      <c r="XCE190" s="1181"/>
      <c r="XCF190" s="1181"/>
      <c r="XCG190" s="1181"/>
      <c r="XCH190" s="1181"/>
      <c r="XCI190" s="1181"/>
    </row>
  </sheetData>
  <protectedRanges>
    <protectedRange sqref="D27:E27 D17:E22 D24:E25" name="Rango1_3_2_1_1"/>
    <protectedRange sqref="F78" name="Rango1_1_1_1_1_1_2_2"/>
    <protectedRange sqref="E36:E37 E51 E39:E40" name="Rango1_2_1_1_2"/>
    <protectedRange sqref="F74:F77" name="Rango1_1_1_1_1_1_2_2_1_1"/>
  </protectedRanges>
  <mergeCells count="61">
    <mergeCell ref="B75:H75"/>
    <mergeCell ref="B9:H11"/>
    <mergeCell ref="B2:E2"/>
    <mergeCell ref="B5:H5"/>
    <mergeCell ref="B6:H6"/>
    <mergeCell ref="B7:H7"/>
    <mergeCell ref="B8:H8"/>
    <mergeCell ref="B15:H15"/>
    <mergeCell ref="B28:G28"/>
    <mergeCell ref="B12:B13"/>
    <mergeCell ref="C12:C14"/>
    <mergeCell ref="D12:D13"/>
    <mergeCell ref="E12:E13"/>
    <mergeCell ref="F12:F13"/>
    <mergeCell ref="G12:G13"/>
    <mergeCell ref="H12:H13"/>
    <mergeCell ref="B29:G29"/>
    <mergeCell ref="B30:G30"/>
    <mergeCell ref="B31:B32"/>
    <mergeCell ref="C31:C33"/>
    <mergeCell ref="D31:D33"/>
    <mergeCell ref="E31:E32"/>
    <mergeCell ref="F31:F32"/>
    <mergeCell ref="G31:G32"/>
    <mergeCell ref="H31:H32"/>
    <mergeCell ref="B34:H34"/>
    <mergeCell ref="B35:H35"/>
    <mergeCell ref="B38:H38"/>
    <mergeCell ref="B41:B42"/>
    <mergeCell ref="C41:C43"/>
    <mergeCell ref="D41:D43"/>
    <mergeCell ref="B66:C66"/>
    <mergeCell ref="B58:G58"/>
    <mergeCell ref="B44:H44"/>
    <mergeCell ref="B47:B48"/>
    <mergeCell ref="C47:C49"/>
    <mergeCell ref="D47:D49"/>
    <mergeCell ref="E47:E48"/>
    <mergeCell ref="F47:G49"/>
    <mergeCell ref="H47:H48"/>
    <mergeCell ref="B50:H50"/>
    <mergeCell ref="F51:G51"/>
    <mergeCell ref="B52:H52"/>
    <mergeCell ref="B57:G57"/>
    <mergeCell ref="F53:G56"/>
    <mergeCell ref="B67:C67"/>
    <mergeCell ref="B78:H78"/>
    <mergeCell ref="B59:G59"/>
    <mergeCell ref="B60:G60"/>
    <mergeCell ref="B62:C62"/>
    <mergeCell ref="B69:H69"/>
    <mergeCell ref="B70:H70"/>
    <mergeCell ref="B71:H71"/>
    <mergeCell ref="B72:H72"/>
    <mergeCell ref="B73:H73"/>
    <mergeCell ref="B74:H74"/>
    <mergeCell ref="B76:H76"/>
    <mergeCell ref="B77:H77"/>
    <mergeCell ref="B63:C63"/>
    <mergeCell ref="B64:C64"/>
    <mergeCell ref="B65:C65"/>
  </mergeCells>
  <conditionalFormatting sqref="B9 B17:C22 E17:H22 B24:C25 E24:H25 B27:C27 E27:H27 B31:H35 B36:D37 F36:H37 B38:H38 B39:D40 F39:H40 B41:H46">
    <cfRule type="containsBlanks" dxfId="123" priority="10">
      <formula>LEN(TRIM(B9))=0</formula>
    </cfRule>
  </conditionalFormatting>
  <conditionalFormatting sqref="B51:D51 F51">
    <cfRule type="containsBlanks" dxfId="122" priority="7">
      <formula>LEN(TRIM(B51))=0</formula>
    </cfRule>
  </conditionalFormatting>
  <conditionalFormatting sqref="B12:H15 B28:B30 H28:H30 B47:F47 H47:H49 B48:E49 B50:H50 H51 B52:H52">
    <cfRule type="containsBlanks" dxfId="121" priority="12">
      <formula>LEN(TRIM(B12))=0</formula>
    </cfRule>
  </conditionalFormatting>
  <conditionalFormatting sqref="D17:D22 D24:D25 D27 E39:E40">
    <cfRule type="containsBlanks" dxfId="120" priority="9">
      <formula>LEN(TRIM(D17))=0</formula>
    </cfRule>
  </conditionalFormatting>
  <conditionalFormatting sqref="D53:E56 B53:B60 H53:H60">
    <cfRule type="containsBlanks" dxfId="119" priority="1">
      <formula>LEN(TRIM(B53))=0</formula>
    </cfRule>
  </conditionalFormatting>
  <conditionalFormatting sqref="E36:E37">
    <cfRule type="containsBlanks" dxfId="118" priority="4">
      <formula>LEN(TRIM(E36))=0</formula>
    </cfRule>
  </conditionalFormatting>
  <conditionalFormatting sqref="E51">
    <cfRule type="containsBlanks" dxfId="117" priority="2">
      <formula>LEN(TRIM(E51))=0</formula>
    </cfRule>
  </conditionalFormatting>
  <printOptions horizontalCentered="1" verticalCentered="1"/>
  <pageMargins left="0.70866141732283472" right="0.70866141732283472" top="0.74803149606299213" bottom="0.74803149606299213" header="0.31496062992125984" footer="0.31496062992125984"/>
  <pageSetup scale="57" fitToHeight="0" orientation="portrait" r:id="rId1"/>
  <rowBreaks count="1" manualBreakCount="1">
    <brk id="38" max="32" man="1"/>
  </rowBreaks>
  <colBreaks count="1" manualBreakCount="1">
    <brk id="10" max="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XCI162"/>
  <sheetViews>
    <sheetView workbookViewId="0"/>
  </sheetViews>
  <sheetFormatPr baseColWidth="10" defaultColWidth="0" defaultRowHeight="16.5" customHeight="1" zeroHeight="1"/>
  <cols>
    <col min="1" max="1" width="2" style="1181" customWidth="1"/>
    <col min="2" max="2" width="9.42578125" style="1184" customWidth="1"/>
    <col min="3" max="3" width="50" style="1185" customWidth="1"/>
    <col min="4" max="4" width="15.42578125" style="1185" customWidth="1"/>
    <col min="5" max="5" width="16.140625" style="1186" customWidth="1"/>
    <col min="6" max="6" width="13.7109375" style="1180" customWidth="1"/>
    <col min="7" max="7" width="12.7109375" style="1180" customWidth="1"/>
    <col min="8" max="8" width="23.7109375" style="1180" customWidth="1"/>
    <col min="9" max="9" width="2" customWidth="1"/>
    <col min="10" max="183" width="11.28515625" style="1180" hidden="1"/>
    <col min="184" max="223" width="12.28515625" style="1181" hidden="1"/>
    <col min="224" max="224" width="1.7109375" style="1181" hidden="1"/>
    <col min="225" max="225" width="9.42578125" style="1181" hidden="1"/>
    <col min="226" max="226" width="47.42578125" style="1181" hidden="1"/>
    <col min="227" max="227" width="23.7109375" style="1181" hidden="1"/>
    <col min="228" max="228" width="15.42578125" style="1181" hidden="1"/>
    <col min="229" max="229" width="22.28515625" style="1181" hidden="1"/>
    <col min="230" max="230" width="20.42578125" style="1181" hidden="1"/>
    <col min="231" max="231" width="23.28515625" style="1181" hidden="1"/>
    <col min="232" max="237" width="4.7109375" style="1181" hidden="1"/>
    <col min="238" max="239" width="3.7109375" style="1181" hidden="1"/>
    <col min="240" max="247" width="4.42578125" style="1181" hidden="1"/>
    <col min="248" max="439" width="11.28515625" style="1181" hidden="1"/>
    <col min="440" max="479" width="12.28515625" style="1181" hidden="1"/>
    <col min="480" max="480" width="1.7109375" style="1181" hidden="1"/>
    <col min="481" max="481" width="9.42578125" style="1181" hidden="1"/>
    <col min="482" max="482" width="47.42578125" style="1181" hidden="1"/>
    <col min="483" max="483" width="23.7109375" style="1181" hidden="1"/>
    <col min="484" max="484" width="15.42578125" style="1181" hidden="1"/>
    <col min="485" max="485" width="22.28515625" style="1181" hidden="1"/>
    <col min="486" max="486" width="20.42578125" style="1181" hidden="1"/>
    <col min="487" max="487" width="23.28515625" style="1181" hidden="1"/>
    <col min="488" max="493" width="4.7109375" style="1181" hidden="1"/>
    <col min="494" max="495" width="3.7109375" style="1181" hidden="1"/>
    <col min="496" max="503" width="4.42578125" style="1181" hidden="1"/>
    <col min="504" max="695" width="11.28515625" style="1181" hidden="1"/>
    <col min="696" max="735" width="12.28515625" style="1181" hidden="1"/>
    <col min="736" max="736" width="1.7109375" style="1181" hidden="1"/>
    <col min="737" max="737" width="9.42578125" style="1181" hidden="1"/>
    <col min="738" max="738" width="47.42578125" style="1181" hidden="1"/>
    <col min="739" max="739" width="23.7109375" style="1181" hidden="1"/>
    <col min="740" max="740" width="15.42578125" style="1181" hidden="1"/>
    <col min="741" max="741" width="22.28515625" style="1181" hidden="1"/>
    <col min="742" max="742" width="20.42578125" style="1181" hidden="1"/>
    <col min="743" max="743" width="23.28515625" style="1181" hidden="1"/>
    <col min="744" max="749" width="4.7109375" style="1181" hidden="1"/>
    <col min="750" max="751" width="3.7109375" style="1181" hidden="1"/>
    <col min="752" max="759" width="4.42578125" style="1181" hidden="1"/>
    <col min="760" max="951" width="11.28515625" style="1181" hidden="1"/>
    <col min="952" max="991" width="12.28515625" style="1181" hidden="1"/>
    <col min="992" max="992" width="1.7109375" style="1181" hidden="1"/>
    <col min="993" max="993" width="9.42578125" style="1181" hidden="1"/>
    <col min="994" max="994" width="47.42578125" style="1181" hidden="1"/>
    <col min="995" max="995" width="23.7109375" style="1181" hidden="1"/>
    <col min="996" max="996" width="15.42578125" style="1181" hidden="1"/>
    <col min="997" max="997" width="22.28515625" style="1181" hidden="1"/>
    <col min="998" max="998" width="20.42578125" style="1181" hidden="1"/>
    <col min="999" max="999" width="23.28515625" style="1181" hidden="1"/>
    <col min="1000" max="1005" width="4.7109375" style="1181" hidden="1"/>
    <col min="1006" max="1007" width="3.7109375" style="1181" hidden="1"/>
    <col min="1008" max="1015" width="4.42578125" style="1181" hidden="1"/>
    <col min="1016" max="1207" width="11.28515625" style="1181" hidden="1"/>
    <col min="1208" max="1247" width="12.28515625" style="1181" hidden="1"/>
    <col min="1248" max="1248" width="1.7109375" style="1181" hidden="1"/>
    <col min="1249" max="1249" width="9.42578125" style="1181" hidden="1"/>
    <col min="1250" max="1250" width="47.42578125" style="1181" hidden="1"/>
    <col min="1251" max="1251" width="23.7109375" style="1181" hidden="1"/>
    <col min="1252" max="1252" width="15.42578125" style="1181" hidden="1"/>
    <col min="1253" max="1253" width="22.28515625" style="1181" hidden="1"/>
    <col min="1254" max="1254" width="20.42578125" style="1181" hidden="1"/>
    <col min="1255" max="1255" width="23.28515625" style="1181" hidden="1"/>
    <col min="1256" max="1261" width="4.7109375" style="1181" hidden="1"/>
    <col min="1262" max="1263" width="3.7109375" style="1181" hidden="1"/>
    <col min="1264" max="1271" width="4.42578125" style="1181" hidden="1"/>
    <col min="1272" max="1463" width="11.28515625" style="1181" hidden="1"/>
    <col min="1464" max="1503" width="12.28515625" style="1181" hidden="1"/>
    <col min="1504" max="1504" width="1.7109375" style="1181" hidden="1"/>
    <col min="1505" max="1505" width="9.42578125" style="1181" hidden="1"/>
    <col min="1506" max="1506" width="47.42578125" style="1181" hidden="1"/>
    <col min="1507" max="1507" width="23.7109375" style="1181" hidden="1"/>
    <col min="1508" max="1508" width="15.42578125" style="1181" hidden="1"/>
    <col min="1509" max="1509" width="22.28515625" style="1181" hidden="1"/>
    <col min="1510" max="1510" width="20.42578125" style="1181" hidden="1"/>
    <col min="1511" max="1511" width="23.28515625" style="1181" hidden="1"/>
    <col min="1512" max="1517" width="4.7109375" style="1181" hidden="1"/>
    <col min="1518" max="1519" width="3.7109375" style="1181" hidden="1"/>
    <col min="1520" max="1527" width="4.42578125" style="1181" hidden="1"/>
    <col min="1528" max="1719" width="11.28515625" style="1181" hidden="1"/>
    <col min="1720" max="1759" width="12.28515625" style="1181" hidden="1"/>
    <col min="1760" max="1760" width="1.7109375" style="1181" hidden="1"/>
    <col min="1761" max="1761" width="9.42578125" style="1181" hidden="1"/>
    <col min="1762" max="1762" width="47.42578125" style="1181" hidden="1"/>
    <col min="1763" max="1763" width="23.7109375" style="1181" hidden="1"/>
    <col min="1764" max="1764" width="15.42578125" style="1181" hidden="1"/>
    <col min="1765" max="1765" width="22.28515625" style="1181" hidden="1"/>
    <col min="1766" max="1766" width="20.42578125" style="1181" hidden="1"/>
    <col min="1767" max="1767" width="23.28515625" style="1181" hidden="1"/>
    <col min="1768" max="1773" width="4.7109375" style="1181" hidden="1"/>
    <col min="1774" max="1775" width="3.7109375" style="1181" hidden="1"/>
    <col min="1776" max="1783" width="4.42578125" style="1181" hidden="1"/>
    <col min="1784" max="1975" width="11.28515625" style="1181" hidden="1"/>
    <col min="1976" max="2015" width="12.28515625" style="1181" hidden="1"/>
    <col min="2016" max="2016" width="1.7109375" style="1181" hidden="1"/>
    <col min="2017" max="2017" width="9.42578125" style="1181" hidden="1"/>
    <col min="2018" max="2018" width="47.42578125" style="1181" hidden="1"/>
    <col min="2019" max="2019" width="23.7109375" style="1181" hidden="1"/>
    <col min="2020" max="2020" width="15.42578125" style="1181" hidden="1"/>
    <col min="2021" max="2021" width="22.28515625" style="1181" hidden="1"/>
    <col min="2022" max="2022" width="20.42578125" style="1181" hidden="1"/>
    <col min="2023" max="2023" width="23.28515625" style="1181" hidden="1"/>
    <col min="2024" max="2029" width="4.7109375" style="1181" hidden="1"/>
    <col min="2030" max="2031" width="3.7109375" style="1181" hidden="1"/>
    <col min="2032" max="2039" width="4.42578125" style="1181" hidden="1"/>
    <col min="2040" max="2231" width="11.28515625" style="1181" hidden="1"/>
    <col min="2232" max="2271" width="12.28515625" style="1181" hidden="1"/>
    <col min="2272" max="2272" width="1.7109375" style="1181" hidden="1"/>
    <col min="2273" max="2273" width="9.42578125" style="1181" hidden="1"/>
    <col min="2274" max="2274" width="47.42578125" style="1181" hidden="1"/>
    <col min="2275" max="2275" width="23.7109375" style="1181" hidden="1"/>
    <col min="2276" max="2276" width="15.42578125" style="1181" hidden="1"/>
    <col min="2277" max="2277" width="22.28515625" style="1181" hidden="1"/>
    <col min="2278" max="2278" width="20.42578125" style="1181" hidden="1"/>
    <col min="2279" max="2279" width="23.28515625" style="1181" hidden="1"/>
    <col min="2280" max="2285" width="4.7109375" style="1181" hidden="1"/>
    <col min="2286" max="2287" width="3.7109375" style="1181" hidden="1"/>
    <col min="2288" max="2295" width="4.42578125" style="1181" hidden="1"/>
    <col min="2296" max="2487" width="11.28515625" style="1181" hidden="1"/>
    <col min="2488" max="2527" width="12.28515625" style="1181" hidden="1"/>
    <col min="2528" max="2528" width="1.7109375" style="1181" hidden="1"/>
    <col min="2529" max="2529" width="9.42578125" style="1181" hidden="1"/>
    <col min="2530" max="2530" width="47.42578125" style="1181" hidden="1"/>
    <col min="2531" max="2531" width="23.7109375" style="1181" hidden="1"/>
    <col min="2532" max="2532" width="15.42578125" style="1181" hidden="1"/>
    <col min="2533" max="2533" width="22.28515625" style="1181" hidden="1"/>
    <col min="2534" max="2534" width="20.42578125" style="1181" hidden="1"/>
    <col min="2535" max="2535" width="23.28515625" style="1181" hidden="1"/>
    <col min="2536" max="2541" width="4.7109375" style="1181" hidden="1"/>
    <col min="2542" max="2543" width="3.7109375" style="1181" hidden="1"/>
    <col min="2544" max="2551" width="4.42578125" style="1181" hidden="1"/>
    <col min="2552" max="2743" width="11.28515625" style="1181" hidden="1"/>
    <col min="2744" max="2783" width="12.28515625" style="1181" hidden="1"/>
    <col min="2784" max="2784" width="1.7109375" style="1181" hidden="1"/>
    <col min="2785" max="2785" width="9.42578125" style="1181" hidden="1"/>
    <col min="2786" max="2786" width="47.42578125" style="1181" hidden="1"/>
    <col min="2787" max="2787" width="23.7109375" style="1181" hidden="1"/>
    <col min="2788" max="2788" width="15.42578125" style="1181" hidden="1"/>
    <col min="2789" max="2789" width="22.28515625" style="1181" hidden="1"/>
    <col min="2790" max="2790" width="20.42578125" style="1181" hidden="1"/>
    <col min="2791" max="2791" width="23.28515625" style="1181" hidden="1"/>
    <col min="2792" max="2797" width="4.7109375" style="1181" hidden="1"/>
    <col min="2798" max="2799" width="3.7109375" style="1181" hidden="1"/>
    <col min="2800" max="2807" width="4.42578125" style="1181" hidden="1"/>
    <col min="2808" max="2999" width="11.28515625" style="1181" hidden="1"/>
    <col min="3000" max="3039" width="12.28515625" style="1181" hidden="1"/>
    <col min="3040" max="3040" width="1.7109375" style="1181" hidden="1"/>
    <col min="3041" max="3041" width="9.42578125" style="1181" hidden="1"/>
    <col min="3042" max="3042" width="47.42578125" style="1181" hidden="1"/>
    <col min="3043" max="3043" width="23.7109375" style="1181" hidden="1"/>
    <col min="3044" max="3044" width="15.42578125" style="1181" hidden="1"/>
    <col min="3045" max="3045" width="22.28515625" style="1181" hidden="1"/>
    <col min="3046" max="3046" width="20.42578125" style="1181" hidden="1"/>
    <col min="3047" max="3047" width="23.28515625" style="1181" hidden="1"/>
    <col min="3048" max="3053" width="4.7109375" style="1181" hidden="1"/>
    <col min="3054" max="3055" width="3.7109375" style="1181" hidden="1"/>
    <col min="3056" max="3063" width="4.42578125" style="1181" hidden="1"/>
    <col min="3064" max="3255" width="11.28515625" style="1181" hidden="1"/>
    <col min="3256" max="3295" width="12.28515625" style="1181" hidden="1"/>
    <col min="3296" max="3296" width="1.7109375" style="1181" hidden="1"/>
    <col min="3297" max="3297" width="9.42578125" style="1181" hidden="1"/>
    <col min="3298" max="3298" width="47.42578125" style="1181" hidden="1"/>
    <col min="3299" max="3299" width="23.7109375" style="1181" hidden="1"/>
    <col min="3300" max="3300" width="15.42578125" style="1181" hidden="1"/>
    <col min="3301" max="3301" width="22.28515625" style="1181" hidden="1"/>
    <col min="3302" max="3302" width="20.42578125" style="1181" hidden="1"/>
    <col min="3303" max="3303" width="23.28515625" style="1181" hidden="1"/>
    <col min="3304" max="3309" width="4.7109375" style="1181" hidden="1"/>
    <col min="3310" max="3311" width="3.7109375" style="1181" hidden="1"/>
    <col min="3312" max="3319" width="4.42578125" style="1181" hidden="1"/>
    <col min="3320" max="3511" width="11.28515625" style="1181" hidden="1"/>
    <col min="3512" max="3551" width="12.28515625" style="1181" hidden="1"/>
    <col min="3552" max="3552" width="1.7109375" style="1181" hidden="1"/>
    <col min="3553" max="3553" width="9.42578125" style="1181" hidden="1"/>
    <col min="3554" max="3554" width="47.42578125" style="1181" hidden="1"/>
    <col min="3555" max="3555" width="23.7109375" style="1181" hidden="1"/>
    <col min="3556" max="3556" width="15.42578125" style="1181" hidden="1"/>
    <col min="3557" max="3557" width="22.28515625" style="1181" hidden="1"/>
    <col min="3558" max="3558" width="20.42578125" style="1181" hidden="1"/>
    <col min="3559" max="3559" width="23.28515625" style="1181" hidden="1"/>
    <col min="3560" max="3565" width="4.7109375" style="1181" hidden="1"/>
    <col min="3566" max="3567" width="3.7109375" style="1181" hidden="1"/>
    <col min="3568" max="3575" width="4.42578125" style="1181" hidden="1"/>
    <col min="3576" max="3767" width="11.28515625" style="1181" hidden="1"/>
    <col min="3768" max="3807" width="12.28515625" style="1181" hidden="1"/>
    <col min="3808" max="3808" width="1.7109375" style="1181" hidden="1"/>
    <col min="3809" max="3809" width="9.42578125" style="1181" hidden="1"/>
    <col min="3810" max="3810" width="47.42578125" style="1181" hidden="1"/>
    <col min="3811" max="3811" width="23.7109375" style="1181" hidden="1"/>
    <col min="3812" max="3812" width="15.42578125" style="1181" hidden="1"/>
    <col min="3813" max="3813" width="22.28515625" style="1181" hidden="1"/>
    <col min="3814" max="3814" width="20.42578125" style="1181" hidden="1"/>
    <col min="3815" max="3815" width="23.28515625" style="1181" hidden="1"/>
    <col min="3816" max="3821" width="4.7109375" style="1181" hidden="1"/>
    <col min="3822" max="3823" width="3.7109375" style="1181" hidden="1"/>
    <col min="3824" max="3831" width="4.42578125" style="1181" hidden="1"/>
    <col min="3832" max="4023" width="11.28515625" style="1181" hidden="1"/>
    <col min="4024" max="4063" width="12.28515625" style="1181" hidden="1"/>
    <col min="4064" max="4064" width="1.7109375" style="1181" hidden="1"/>
    <col min="4065" max="4065" width="9.42578125" style="1181" hidden="1"/>
    <col min="4066" max="4066" width="47.42578125" style="1181" hidden="1"/>
    <col min="4067" max="4067" width="23.7109375" style="1181" hidden="1"/>
    <col min="4068" max="4068" width="15.42578125" style="1181" hidden="1"/>
    <col min="4069" max="4069" width="22.28515625" style="1181" hidden="1"/>
    <col min="4070" max="4070" width="20.42578125" style="1181" hidden="1"/>
    <col min="4071" max="4071" width="23.28515625" style="1181" hidden="1"/>
    <col min="4072" max="4077" width="4.7109375" style="1181" hidden="1"/>
    <col min="4078" max="4079" width="3.7109375" style="1181" hidden="1"/>
    <col min="4080" max="4087" width="4.42578125" style="1181" hidden="1"/>
    <col min="4088" max="4279" width="11.28515625" style="1181" hidden="1"/>
    <col min="4280" max="4319" width="12.28515625" style="1181" hidden="1"/>
    <col min="4320" max="4320" width="1.7109375" style="1181" hidden="1"/>
    <col min="4321" max="4321" width="9.42578125" style="1181" hidden="1"/>
    <col min="4322" max="4322" width="47.42578125" style="1181" hidden="1"/>
    <col min="4323" max="4323" width="23.7109375" style="1181" hidden="1"/>
    <col min="4324" max="4324" width="15.42578125" style="1181" hidden="1"/>
    <col min="4325" max="4325" width="22.28515625" style="1181" hidden="1"/>
    <col min="4326" max="4326" width="20.42578125" style="1181" hidden="1"/>
    <col min="4327" max="4327" width="23.28515625" style="1181" hidden="1"/>
    <col min="4328" max="4333" width="4.7109375" style="1181" hidden="1"/>
    <col min="4334" max="4335" width="3.7109375" style="1181" hidden="1"/>
    <col min="4336" max="4343" width="4.42578125" style="1181" hidden="1"/>
    <col min="4344" max="4535" width="11.28515625" style="1181" hidden="1"/>
    <col min="4536" max="4575" width="12.28515625" style="1181" hidden="1"/>
    <col min="4576" max="4576" width="1.7109375" style="1181" hidden="1"/>
    <col min="4577" max="4577" width="9.42578125" style="1181" hidden="1"/>
    <col min="4578" max="4578" width="47.42578125" style="1181" hidden="1"/>
    <col min="4579" max="4579" width="23.7109375" style="1181" hidden="1"/>
    <col min="4580" max="4580" width="15.42578125" style="1181" hidden="1"/>
    <col min="4581" max="4581" width="22.28515625" style="1181" hidden="1"/>
    <col min="4582" max="4582" width="20.42578125" style="1181" hidden="1"/>
    <col min="4583" max="4583" width="23.28515625" style="1181" hidden="1"/>
    <col min="4584" max="4589" width="4.7109375" style="1181" hidden="1"/>
    <col min="4590" max="4591" width="3.7109375" style="1181" hidden="1"/>
    <col min="4592" max="4599" width="4.42578125" style="1181" hidden="1"/>
    <col min="4600" max="4791" width="11.28515625" style="1181" hidden="1"/>
    <col min="4792" max="4831" width="12.28515625" style="1181" hidden="1"/>
    <col min="4832" max="4832" width="1.7109375" style="1181" hidden="1"/>
    <col min="4833" max="4833" width="9.42578125" style="1181" hidden="1"/>
    <col min="4834" max="4834" width="47.42578125" style="1181" hidden="1"/>
    <col min="4835" max="4835" width="23.7109375" style="1181" hidden="1"/>
    <col min="4836" max="4836" width="15.42578125" style="1181" hidden="1"/>
    <col min="4837" max="4837" width="22.28515625" style="1181" hidden="1"/>
    <col min="4838" max="4838" width="20.42578125" style="1181" hidden="1"/>
    <col min="4839" max="4839" width="23.28515625" style="1181" hidden="1"/>
    <col min="4840" max="4845" width="4.7109375" style="1181" hidden="1"/>
    <col min="4846" max="4847" width="3.7109375" style="1181" hidden="1"/>
    <col min="4848" max="4855" width="4.42578125" style="1181" hidden="1"/>
    <col min="4856" max="5047" width="11.28515625" style="1181" hidden="1"/>
    <col min="5048" max="5087" width="12.28515625" style="1181" hidden="1"/>
    <col min="5088" max="5088" width="1.7109375" style="1181" hidden="1"/>
    <col min="5089" max="5089" width="9.42578125" style="1181" hidden="1"/>
    <col min="5090" max="5090" width="47.42578125" style="1181" hidden="1"/>
    <col min="5091" max="5091" width="23.7109375" style="1181" hidden="1"/>
    <col min="5092" max="5092" width="15.42578125" style="1181" hidden="1"/>
    <col min="5093" max="5093" width="22.28515625" style="1181" hidden="1"/>
    <col min="5094" max="5094" width="20.42578125" style="1181" hidden="1"/>
    <col min="5095" max="5095" width="23.28515625" style="1181" hidden="1"/>
    <col min="5096" max="5101" width="4.7109375" style="1181" hidden="1"/>
    <col min="5102" max="5103" width="3.7109375" style="1181" hidden="1"/>
    <col min="5104" max="5111" width="4.42578125" style="1181" hidden="1"/>
    <col min="5112" max="5303" width="11.28515625" style="1181" hidden="1"/>
    <col min="5304" max="5343" width="12.28515625" style="1181" hidden="1"/>
    <col min="5344" max="5344" width="1.7109375" style="1181" hidden="1"/>
    <col min="5345" max="5345" width="9.42578125" style="1181" hidden="1"/>
    <col min="5346" max="5346" width="47.42578125" style="1181" hidden="1"/>
    <col min="5347" max="5347" width="23.7109375" style="1181" hidden="1"/>
    <col min="5348" max="5348" width="15.42578125" style="1181" hidden="1"/>
    <col min="5349" max="5349" width="22.28515625" style="1181" hidden="1"/>
    <col min="5350" max="5350" width="20.42578125" style="1181" hidden="1"/>
    <col min="5351" max="5351" width="23.28515625" style="1181" hidden="1"/>
    <col min="5352" max="5357" width="4.7109375" style="1181" hidden="1"/>
    <col min="5358" max="5359" width="3.7109375" style="1181" hidden="1"/>
    <col min="5360" max="5367" width="4.42578125" style="1181" hidden="1"/>
    <col min="5368" max="5559" width="11.28515625" style="1181" hidden="1"/>
    <col min="5560" max="5599" width="12.28515625" style="1181" hidden="1"/>
    <col min="5600" max="5600" width="1.7109375" style="1181" hidden="1"/>
    <col min="5601" max="5601" width="9.42578125" style="1181" hidden="1"/>
    <col min="5602" max="5602" width="47.42578125" style="1181" hidden="1"/>
    <col min="5603" max="5603" width="23.7109375" style="1181" hidden="1"/>
    <col min="5604" max="5604" width="15.42578125" style="1181" hidden="1"/>
    <col min="5605" max="5605" width="22.28515625" style="1181" hidden="1"/>
    <col min="5606" max="5606" width="20.42578125" style="1181" hidden="1"/>
    <col min="5607" max="5607" width="23.28515625" style="1181" hidden="1"/>
    <col min="5608" max="5613" width="4.7109375" style="1181" hidden="1"/>
    <col min="5614" max="5615" width="3.7109375" style="1181" hidden="1"/>
    <col min="5616" max="5623" width="4.42578125" style="1181" hidden="1"/>
    <col min="5624" max="5815" width="11.28515625" style="1181" hidden="1"/>
    <col min="5816" max="5855" width="12.28515625" style="1181" hidden="1"/>
    <col min="5856" max="5856" width="1.7109375" style="1181" hidden="1"/>
    <col min="5857" max="5857" width="9.42578125" style="1181" hidden="1"/>
    <col min="5858" max="5858" width="47.42578125" style="1181" hidden="1"/>
    <col min="5859" max="5859" width="23.7109375" style="1181" hidden="1"/>
    <col min="5860" max="5860" width="15.42578125" style="1181" hidden="1"/>
    <col min="5861" max="5861" width="22.28515625" style="1181" hidden="1"/>
    <col min="5862" max="5862" width="20.42578125" style="1181" hidden="1"/>
    <col min="5863" max="5863" width="23.28515625" style="1181" hidden="1"/>
    <col min="5864" max="5869" width="4.7109375" style="1181" hidden="1"/>
    <col min="5870" max="5871" width="3.7109375" style="1181" hidden="1"/>
    <col min="5872" max="5879" width="4.42578125" style="1181" hidden="1"/>
    <col min="5880" max="6071" width="11.28515625" style="1181" hidden="1"/>
    <col min="6072" max="6111" width="12.28515625" style="1181" hidden="1"/>
    <col min="6112" max="6112" width="1.7109375" style="1181" hidden="1"/>
    <col min="6113" max="6113" width="9.42578125" style="1181" hidden="1"/>
    <col min="6114" max="6114" width="47.42578125" style="1181" hidden="1"/>
    <col min="6115" max="6115" width="23.7109375" style="1181" hidden="1"/>
    <col min="6116" max="6116" width="15.42578125" style="1181" hidden="1"/>
    <col min="6117" max="6117" width="22.28515625" style="1181" hidden="1"/>
    <col min="6118" max="6118" width="20.42578125" style="1181" hidden="1"/>
    <col min="6119" max="6119" width="23.28515625" style="1181" hidden="1"/>
    <col min="6120" max="6125" width="4.7109375" style="1181" hidden="1"/>
    <col min="6126" max="6127" width="3.7109375" style="1181" hidden="1"/>
    <col min="6128" max="6135" width="4.42578125" style="1181" hidden="1"/>
    <col min="6136" max="6327" width="11.28515625" style="1181" hidden="1"/>
    <col min="6328" max="6367" width="12.28515625" style="1181" hidden="1"/>
    <col min="6368" max="6368" width="1.7109375" style="1181" hidden="1"/>
    <col min="6369" max="6369" width="9.42578125" style="1181" hidden="1"/>
    <col min="6370" max="6370" width="47.42578125" style="1181" hidden="1"/>
    <col min="6371" max="6371" width="23.7109375" style="1181" hidden="1"/>
    <col min="6372" max="6372" width="15.42578125" style="1181" hidden="1"/>
    <col min="6373" max="6373" width="22.28515625" style="1181" hidden="1"/>
    <col min="6374" max="6374" width="20.42578125" style="1181" hidden="1"/>
    <col min="6375" max="6375" width="23.28515625" style="1181" hidden="1"/>
    <col min="6376" max="6381" width="4.7109375" style="1181" hidden="1"/>
    <col min="6382" max="6383" width="3.7109375" style="1181" hidden="1"/>
    <col min="6384" max="6391" width="4.42578125" style="1181" hidden="1"/>
    <col min="6392" max="6583" width="11.28515625" style="1181" hidden="1"/>
    <col min="6584" max="6623" width="12.28515625" style="1181" hidden="1"/>
    <col min="6624" max="6624" width="1.7109375" style="1181" hidden="1"/>
    <col min="6625" max="6625" width="9.42578125" style="1181" hidden="1"/>
    <col min="6626" max="6626" width="47.42578125" style="1181" hidden="1"/>
    <col min="6627" max="6627" width="23.7109375" style="1181" hidden="1"/>
    <col min="6628" max="6628" width="15.42578125" style="1181" hidden="1"/>
    <col min="6629" max="6629" width="22.28515625" style="1181" hidden="1"/>
    <col min="6630" max="6630" width="20.42578125" style="1181" hidden="1"/>
    <col min="6631" max="6631" width="23.28515625" style="1181" hidden="1"/>
    <col min="6632" max="6637" width="4.7109375" style="1181" hidden="1"/>
    <col min="6638" max="6639" width="3.7109375" style="1181" hidden="1"/>
    <col min="6640" max="6647" width="4.42578125" style="1181" hidden="1"/>
    <col min="6648" max="6839" width="11.28515625" style="1181" hidden="1"/>
    <col min="6840" max="6879" width="12.28515625" style="1181" hidden="1"/>
    <col min="6880" max="6880" width="1.7109375" style="1181" hidden="1"/>
    <col min="6881" max="6881" width="9.42578125" style="1181" hidden="1"/>
    <col min="6882" max="6882" width="47.42578125" style="1181" hidden="1"/>
    <col min="6883" max="6883" width="23.7109375" style="1181" hidden="1"/>
    <col min="6884" max="6884" width="15.42578125" style="1181" hidden="1"/>
    <col min="6885" max="6885" width="22.28515625" style="1181" hidden="1"/>
    <col min="6886" max="6886" width="20.42578125" style="1181" hidden="1"/>
    <col min="6887" max="6887" width="23.28515625" style="1181" hidden="1"/>
    <col min="6888" max="6893" width="4.7109375" style="1181" hidden="1"/>
    <col min="6894" max="6895" width="3.7109375" style="1181" hidden="1"/>
    <col min="6896" max="6903" width="4.42578125" style="1181" hidden="1"/>
    <col min="6904" max="7095" width="11.28515625" style="1181" hidden="1"/>
    <col min="7096" max="7135" width="12.28515625" style="1181" hidden="1"/>
    <col min="7136" max="7136" width="1.7109375" style="1181" hidden="1"/>
    <col min="7137" max="7137" width="9.42578125" style="1181" hidden="1"/>
    <col min="7138" max="7138" width="47.42578125" style="1181" hidden="1"/>
    <col min="7139" max="7139" width="23.7109375" style="1181" hidden="1"/>
    <col min="7140" max="7140" width="15.42578125" style="1181" hidden="1"/>
    <col min="7141" max="7141" width="22.28515625" style="1181" hidden="1"/>
    <col min="7142" max="7142" width="20.42578125" style="1181" hidden="1"/>
    <col min="7143" max="7143" width="23.28515625" style="1181" hidden="1"/>
    <col min="7144" max="7149" width="4.7109375" style="1181" hidden="1"/>
    <col min="7150" max="7151" width="3.7109375" style="1181" hidden="1"/>
    <col min="7152" max="7159" width="4.42578125" style="1181" hidden="1"/>
    <col min="7160" max="7351" width="11.28515625" style="1181" hidden="1"/>
    <col min="7352" max="7391" width="12.28515625" style="1181" hidden="1"/>
    <col min="7392" max="7392" width="1.7109375" style="1181" hidden="1"/>
    <col min="7393" max="7393" width="9.42578125" style="1181" hidden="1"/>
    <col min="7394" max="7394" width="47.42578125" style="1181" hidden="1"/>
    <col min="7395" max="7395" width="23.7109375" style="1181" hidden="1"/>
    <col min="7396" max="7396" width="15.42578125" style="1181" hidden="1"/>
    <col min="7397" max="7397" width="22.28515625" style="1181" hidden="1"/>
    <col min="7398" max="7398" width="20.42578125" style="1181" hidden="1"/>
    <col min="7399" max="7399" width="23.28515625" style="1181" hidden="1"/>
    <col min="7400" max="7405" width="4.7109375" style="1181" hidden="1"/>
    <col min="7406" max="7407" width="3.7109375" style="1181" hidden="1"/>
    <col min="7408" max="7415" width="4.42578125" style="1181" hidden="1"/>
    <col min="7416" max="7607" width="11.28515625" style="1181" hidden="1"/>
    <col min="7608" max="7647" width="12.28515625" style="1181" hidden="1"/>
    <col min="7648" max="7648" width="1.7109375" style="1181" hidden="1"/>
    <col min="7649" max="7649" width="9.42578125" style="1181" hidden="1"/>
    <col min="7650" max="7650" width="47.42578125" style="1181" hidden="1"/>
    <col min="7651" max="7651" width="23.7109375" style="1181" hidden="1"/>
    <col min="7652" max="7652" width="15.42578125" style="1181" hidden="1"/>
    <col min="7653" max="7653" width="22.28515625" style="1181" hidden="1"/>
    <col min="7654" max="7654" width="20.42578125" style="1181" hidden="1"/>
    <col min="7655" max="7655" width="23.28515625" style="1181" hidden="1"/>
    <col min="7656" max="7661" width="4.7109375" style="1181" hidden="1"/>
    <col min="7662" max="7663" width="3.7109375" style="1181" hidden="1"/>
    <col min="7664" max="7671" width="4.42578125" style="1181" hidden="1"/>
    <col min="7672" max="7863" width="11.28515625" style="1181" hidden="1"/>
    <col min="7864" max="7903" width="12.28515625" style="1181" hidden="1"/>
    <col min="7904" max="7904" width="1.7109375" style="1181" hidden="1"/>
    <col min="7905" max="7905" width="9.42578125" style="1181" hidden="1"/>
    <col min="7906" max="7906" width="47.42578125" style="1181" hidden="1"/>
    <col min="7907" max="7907" width="23.7109375" style="1181" hidden="1"/>
    <col min="7908" max="7908" width="15.42578125" style="1181" hidden="1"/>
    <col min="7909" max="7909" width="22.28515625" style="1181" hidden="1"/>
    <col min="7910" max="7910" width="20.42578125" style="1181" hidden="1"/>
    <col min="7911" max="7911" width="23.28515625" style="1181" hidden="1"/>
    <col min="7912" max="7917" width="4.7109375" style="1181" hidden="1"/>
    <col min="7918" max="7919" width="3.7109375" style="1181" hidden="1"/>
    <col min="7920" max="7927" width="4.42578125" style="1181" hidden="1"/>
    <col min="7928" max="8119" width="11.28515625" style="1181" hidden="1"/>
    <col min="8120" max="8159" width="12.28515625" style="1181" hidden="1"/>
    <col min="8160" max="8160" width="1.7109375" style="1181" hidden="1"/>
    <col min="8161" max="8161" width="9.42578125" style="1181" hidden="1"/>
    <col min="8162" max="8162" width="47.42578125" style="1181" hidden="1"/>
    <col min="8163" max="8163" width="23.7109375" style="1181" hidden="1"/>
    <col min="8164" max="8164" width="15.42578125" style="1181" hidden="1"/>
    <col min="8165" max="8165" width="22.28515625" style="1181" hidden="1"/>
    <col min="8166" max="8166" width="20.42578125" style="1181" hidden="1"/>
    <col min="8167" max="8167" width="23.28515625" style="1181" hidden="1"/>
    <col min="8168" max="8173" width="4.7109375" style="1181" hidden="1"/>
    <col min="8174" max="8175" width="3.7109375" style="1181" hidden="1"/>
    <col min="8176" max="8183" width="4.42578125" style="1181" hidden="1"/>
    <col min="8184" max="8375" width="11.28515625" style="1181" hidden="1"/>
    <col min="8376" max="8415" width="12.28515625" style="1181" hidden="1"/>
    <col min="8416" max="8416" width="1.7109375" style="1181" hidden="1"/>
    <col min="8417" max="8417" width="9.42578125" style="1181" hidden="1"/>
    <col min="8418" max="8418" width="47.42578125" style="1181" hidden="1"/>
    <col min="8419" max="8419" width="23.7109375" style="1181" hidden="1"/>
    <col min="8420" max="8420" width="15.42578125" style="1181" hidden="1"/>
    <col min="8421" max="8421" width="22.28515625" style="1181" hidden="1"/>
    <col min="8422" max="8422" width="20.42578125" style="1181" hidden="1"/>
    <col min="8423" max="8423" width="23.28515625" style="1181" hidden="1"/>
    <col min="8424" max="8429" width="4.7109375" style="1181" hidden="1"/>
    <col min="8430" max="8431" width="3.7109375" style="1181" hidden="1"/>
    <col min="8432" max="8439" width="4.42578125" style="1181" hidden="1"/>
    <col min="8440" max="8631" width="11.28515625" style="1181" hidden="1"/>
    <col min="8632" max="8671" width="12.28515625" style="1181" hidden="1"/>
    <col min="8672" max="8672" width="1.7109375" style="1181" hidden="1"/>
    <col min="8673" max="8673" width="9.42578125" style="1181" hidden="1"/>
    <col min="8674" max="8674" width="47.42578125" style="1181" hidden="1"/>
    <col min="8675" max="8675" width="23.7109375" style="1181" hidden="1"/>
    <col min="8676" max="8676" width="15.42578125" style="1181" hidden="1"/>
    <col min="8677" max="8677" width="22.28515625" style="1181" hidden="1"/>
    <col min="8678" max="8678" width="20.42578125" style="1181" hidden="1"/>
    <col min="8679" max="8679" width="23.28515625" style="1181" hidden="1"/>
    <col min="8680" max="8685" width="4.7109375" style="1181" hidden="1"/>
    <col min="8686" max="8687" width="3.7109375" style="1181" hidden="1"/>
    <col min="8688" max="8695" width="4.42578125" style="1181" hidden="1"/>
    <col min="8696" max="8887" width="11.28515625" style="1181" hidden="1"/>
    <col min="8888" max="8927" width="12.28515625" style="1181" hidden="1"/>
    <col min="8928" max="8928" width="1.7109375" style="1181" hidden="1"/>
    <col min="8929" max="8929" width="9.42578125" style="1181" hidden="1"/>
    <col min="8930" max="8930" width="47.42578125" style="1181" hidden="1"/>
    <col min="8931" max="8931" width="23.7109375" style="1181" hidden="1"/>
    <col min="8932" max="8932" width="15.42578125" style="1181" hidden="1"/>
    <col min="8933" max="8933" width="22.28515625" style="1181" hidden="1"/>
    <col min="8934" max="8934" width="20.42578125" style="1181" hidden="1"/>
    <col min="8935" max="8935" width="23.28515625" style="1181" hidden="1"/>
    <col min="8936" max="8941" width="4.7109375" style="1181" hidden="1"/>
    <col min="8942" max="8943" width="3.7109375" style="1181" hidden="1"/>
    <col min="8944" max="8951" width="4.42578125" style="1181" hidden="1"/>
    <col min="8952" max="9143" width="11.28515625" style="1181" hidden="1"/>
    <col min="9144" max="9183" width="12.28515625" style="1181" hidden="1"/>
    <col min="9184" max="9184" width="1.7109375" style="1181" hidden="1"/>
    <col min="9185" max="9185" width="9.42578125" style="1181" hidden="1"/>
    <col min="9186" max="9186" width="47.42578125" style="1181" hidden="1"/>
    <col min="9187" max="9187" width="23.7109375" style="1181" hidden="1"/>
    <col min="9188" max="9188" width="15.42578125" style="1181" hidden="1"/>
    <col min="9189" max="9189" width="22.28515625" style="1181" hidden="1"/>
    <col min="9190" max="9190" width="20.42578125" style="1181" hidden="1"/>
    <col min="9191" max="9191" width="23.28515625" style="1181" hidden="1"/>
    <col min="9192" max="9197" width="4.7109375" style="1181" hidden="1"/>
    <col min="9198" max="9199" width="3.7109375" style="1181" hidden="1"/>
    <col min="9200" max="9207" width="4.42578125" style="1181" hidden="1"/>
    <col min="9208" max="9399" width="11.28515625" style="1181" hidden="1"/>
    <col min="9400" max="9439" width="12.28515625" style="1181" hidden="1"/>
    <col min="9440" max="9440" width="1.7109375" style="1181" hidden="1"/>
    <col min="9441" max="9441" width="9.42578125" style="1181" hidden="1"/>
    <col min="9442" max="9442" width="47.42578125" style="1181" hidden="1"/>
    <col min="9443" max="9443" width="23.7109375" style="1181" hidden="1"/>
    <col min="9444" max="9444" width="15.42578125" style="1181" hidden="1"/>
    <col min="9445" max="9445" width="22.28515625" style="1181" hidden="1"/>
    <col min="9446" max="9446" width="20.42578125" style="1181" hidden="1"/>
    <col min="9447" max="9447" width="23.28515625" style="1181" hidden="1"/>
    <col min="9448" max="9453" width="4.7109375" style="1181" hidden="1"/>
    <col min="9454" max="9455" width="3.7109375" style="1181" hidden="1"/>
    <col min="9456" max="9463" width="4.42578125" style="1181" hidden="1"/>
    <col min="9464" max="9655" width="11.28515625" style="1181" hidden="1"/>
    <col min="9656" max="9695" width="12.28515625" style="1181" hidden="1"/>
    <col min="9696" max="9696" width="1.7109375" style="1181" hidden="1"/>
    <col min="9697" max="9697" width="9.42578125" style="1181" hidden="1"/>
    <col min="9698" max="9698" width="47.42578125" style="1181" hidden="1"/>
    <col min="9699" max="9699" width="23.7109375" style="1181" hidden="1"/>
    <col min="9700" max="9700" width="15.42578125" style="1181" hidden="1"/>
    <col min="9701" max="9701" width="22.28515625" style="1181" hidden="1"/>
    <col min="9702" max="9702" width="20.42578125" style="1181" hidden="1"/>
    <col min="9703" max="9703" width="23.28515625" style="1181" hidden="1"/>
    <col min="9704" max="9709" width="4.7109375" style="1181" hidden="1"/>
    <col min="9710" max="9711" width="3.7109375" style="1181" hidden="1"/>
    <col min="9712" max="9719" width="4.42578125" style="1181" hidden="1"/>
    <col min="9720" max="9911" width="11.28515625" style="1181" hidden="1"/>
    <col min="9912" max="9951" width="12.28515625" style="1181" hidden="1"/>
    <col min="9952" max="9952" width="1.7109375" style="1181" hidden="1"/>
    <col min="9953" max="9953" width="9.42578125" style="1181" hidden="1"/>
    <col min="9954" max="9954" width="47.42578125" style="1181" hidden="1"/>
    <col min="9955" max="9955" width="23.7109375" style="1181" hidden="1"/>
    <col min="9956" max="9956" width="15.42578125" style="1181" hidden="1"/>
    <col min="9957" max="9957" width="22.28515625" style="1181" hidden="1"/>
    <col min="9958" max="9958" width="20.42578125" style="1181" hidden="1"/>
    <col min="9959" max="9959" width="23.28515625" style="1181" hidden="1"/>
    <col min="9960" max="9965" width="4.7109375" style="1181" hidden="1"/>
    <col min="9966" max="9967" width="3.7109375" style="1181" hidden="1"/>
    <col min="9968" max="9975" width="4.42578125" style="1181" hidden="1"/>
    <col min="9976" max="10167" width="11.28515625" style="1181" hidden="1"/>
    <col min="10168" max="10207" width="12.28515625" style="1181" hidden="1"/>
    <col min="10208" max="10208" width="1.7109375" style="1181" hidden="1"/>
    <col min="10209" max="10209" width="9.42578125" style="1181" hidden="1"/>
    <col min="10210" max="10210" width="47.42578125" style="1181" hidden="1"/>
    <col min="10211" max="10211" width="23.7109375" style="1181" hidden="1"/>
    <col min="10212" max="10212" width="15.42578125" style="1181" hidden="1"/>
    <col min="10213" max="10213" width="22.28515625" style="1181" hidden="1"/>
    <col min="10214" max="10214" width="20.42578125" style="1181" hidden="1"/>
    <col min="10215" max="10215" width="23.28515625" style="1181" hidden="1"/>
    <col min="10216" max="10221" width="4.7109375" style="1181" hidden="1"/>
    <col min="10222" max="10223" width="3.7109375" style="1181" hidden="1"/>
    <col min="10224" max="10231" width="4.42578125" style="1181" hidden="1"/>
    <col min="10232" max="10423" width="11.28515625" style="1181" hidden="1"/>
    <col min="10424" max="10463" width="12.28515625" style="1181" hidden="1"/>
    <col min="10464" max="10464" width="1.7109375" style="1181" hidden="1"/>
    <col min="10465" max="10465" width="9.42578125" style="1181" hidden="1"/>
    <col min="10466" max="10466" width="47.42578125" style="1181" hidden="1"/>
    <col min="10467" max="10467" width="23.7109375" style="1181" hidden="1"/>
    <col min="10468" max="10468" width="15.42578125" style="1181" hidden="1"/>
    <col min="10469" max="10469" width="22.28515625" style="1181" hidden="1"/>
    <col min="10470" max="10470" width="20.42578125" style="1181" hidden="1"/>
    <col min="10471" max="10471" width="23.28515625" style="1181" hidden="1"/>
    <col min="10472" max="10477" width="4.7109375" style="1181" hidden="1"/>
    <col min="10478" max="10479" width="3.7109375" style="1181" hidden="1"/>
    <col min="10480" max="10487" width="4.42578125" style="1181" hidden="1"/>
    <col min="10488" max="10679" width="11.28515625" style="1181" hidden="1"/>
    <col min="10680" max="10719" width="12.28515625" style="1181" hidden="1"/>
    <col min="10720" max="10720" width="1.7109375" style="1181" hidden="1"/>
    <col min="10721" max="10721" width="9.42578125" style="1181" hidden="1"/>
    <col min="10722" max="10722" width="47.42578125" style="1181" hidden="1"/>
    <col min="10723" max="10723" width="23.7109375" style="1181" hidden="1"/>
    <col min="10724" max="10724" width="15.42578125" style="1181" hidden="1"/>
    <col min="10725" max="10725" width="22.28515625" style="1181" hidden="1"/>
    <col min="10726" max="10726" width="20.42578125" style="1181" hidden="1"/>
    <col min="10727" max="10727" width="23.28515625" style="1181" hidden="1"/>
    <col min="10728" max="10733" width="4.7109375" style="1181" hidden="1"/>
    <col min="10734" max="10735" width="3.7109375" style="1181" hidden="1"/>
    <col min="10736" max="10743" width="4.42578125" style="1181" hidden="1"/>
    <col min="10744" max="10935" width="11.28515625" style="1181" hidden="1"/>
    <col min="10936" max="10975" width="12.28515625" style="1181" hidden="1"/>
    <col min="10976" max="10976" width="1.7109375" style="1181" hidden="1"/>
    <col min="10977" max="10977" width="9.42578125" style="1181" hidden="1"/>
    <col min="10978" max="10978" width="47.42578125" style="1181" hidden="1"/>
    <col min="10979" max="10979" width="23.7109375" style="1181" hidden="1"/>
    <col min="10980" max="10980" width="15.42578125" style="1181" hidden="1"/>
    <col min="10981" max="10981" width="22.28515625" style="1181" hidden="1"/>
    <col min="10982" max="10982" width="20.42578125" style="1181" hidden="1"/>
    <col min="10983" max="10983" width="23.28515625" style="1181" hidden="1"/>
    <col min="10984" max="10989" width="4.7109375" style="1181" hidden="1"/>
    <col min="10990" max="10991" width="3.7109375" style="1181" hidden="1"/>
    <col min="10992" max="10999" width="4.42578125" style="1181" hidden="1"/>
    <col min="11000" max="11191" width="11.28515625" style="1181" hidden="1"/>
    <col min="11192" max="11231" width="12.28515625" style="1181" hidden="1"/>
    <col min="11232" max="11232" width="1.7109375" style="1181" hidden="1"/>
    <col min="11233" max="11233" width="9.42578125" style="1181" hidden="1"/>
    <col min="11234" max="11234" width="47.42578125" style="1181" hidden="1"/>
    <col min="11235" max="11235" width="23.7109375" style="1181" hidden="1"/>
    <col min="11236" max="11236" width="15.42578125" style="1181" hidden="1"/>
    <col min="11237" max="11237" width="22.28515625" style="1181" hidden="1"/>
    <col min="11238" max="11238" width="20.42578125" style="1181" hidden="1"/>
    <col min="11239" max="11239" width="23.28515625" style="1181" hidden="1"/>
    <col min="11240" max="11245" width="4.7109375" style="1181" hidden="1"/>
    <col min="11246" max="11247" width="3.7109375" style="1181" hidden="1"/>
    <col min="11248" max="11255" width="4.42578125" style="1181" hidden="1"/>
    <col min="11256" max="11447" width="11.28515625" style="1181" hidden="1"/>
    <col min="11448" max="11487" width="12.28515625" style="1181" hidden="1"/>
    <col min="11488" max="11488" width="1.7109375" style="1181" hidden="1"/>
    <col min="11489" max="11489" width="9.42578125" style="1181" hidden="1"/>
    <col min="11490" max="11490" width="47.42578125" style="1181" hidden="1"/>
    <col min="11491" max="11491" width="23.7109375" style="1181" hidden="1"/>
    <col min="11492" max="11492" width="15.42578125" style="1181" hidden="1"/>
    <col min="11493" max="11493" width="22.28515625" style="1181" hidden="1"/>
    <col min="11494" max="11494" width="20.42578125" style="1181" hidden="1"/>
    <col min="11495" max="11495" width="23.28515625" style="1181" hidden="1"/>
    <col min="11496" max="11501" width="4.7109375" style="1181" hidden="1"/>
    <col min="11502" max="11503" width="3.7109375" style="1181" hidden="1"/>
    <col min="11504" max="11511" width="4.42578125" style="1181" hidden="1"/>
    <col min="11512" max="11703" width="11.28515625" style="1181" hidden="1"/>
    <col min="11704" max="11743" width="12.28515625" style="1181" hidden="1"/>
    <col min="11744" max="11744" width="1.7109375" style="1181" hidden="1"/>
    <col min="11745" max="11745" width="9.42578125" style="1181" hidden="1"/>
    <col min="11746" max="11746" width="47.42578125" style="1181" hidden="1"/>
    <col min="11747" max="11747" width="23.7109375" style="1181" hidden="1"/>
    <col min="11748" max="11748" width="15.42578125" style="1181" hidden="1"/>
    <col min="11749" max="11749" width="22.28515625" style="1181" hidden="1"/>
    <col min="11750" max="11750" width="20.42578125" style="1181" hidden="1"/>
    <col min="11751" max="11751" width="23.28515625" style="1181" hidden="1"/>
    <col min="11752" max="11757" width="4.7109375" style="1181" hidden="1"/>
    <col min="11758" max="11759" width="3.7109375" style="1181" hidden="1"/>
    <col min="11760" max="11767" width="4.42578125" style="1181" hidden="1"/>
    <col min="11768" max="11959" width="11.28515625" style="1181" hidden="1"/>
    <col min="11960" max="11999" width="12.28515625" style="1181" hidden="1"/>
    <col min="12000" max="12000" width="1.7109375" style="1181" hidden="1"/>
    <col min="12001" max="12001" width="9.42578125" style="1181" hidden="1"/>
    <col min="12002" max="12002" width="47.42578125" style="1181" hidden="1"/>
    <col min="12003" max="12003" width="23.7109375" style="1181" hidden="1"/>
    <col min="12004" max="12004" width="15.42578125" style="1181" hidden="1"/>
    <col min="12005" max="12005" width="22.28515625" style="1181" hidden="1"/>
    <col min="12006" max="12006" width="20.42578125" style="1181" hidden="1"/>
    <col min="12007" max="12007" width="23.28515625" style="1181" hidden="1"/>
    <col min="12008" max="12013" width="4.7109375" style="1181" hidden="1"/>
    <col min="12014" max="12015" width="3.7109375" style="1181" hidden="1"/>
    <col min="12016" max="12023" width="4.42578125" style="1181" hidden="1"/>
    <col min="12024" max="12215" width="11.28515625" style="1181" hidden="1"/>
    <col min="12216" max="12255" width="12.28515625" style="1181" hidden="1"/>
    <col min="12256" max="12256" width="1.7109375" style="1181" hidden="1"/>
    <col min="12257" max="12257" width="9.42578125" style="1181" hidden="1"/>
    <col min="12258" max="12258" width="47.42578125" style="1181" hidden="1"/>
    <col min="12259" max="12259" width="23.7109375" style="1181" hidden="1"/>
    <col min="12260" max="12260" width="15.42578125" style="1181" hidden="1"/>
    <col min="12261" max="12261" width="22.28515625" style="1181" hidden="1"/>
    <col min="12262" max="12262" width="20.42578125" style="1181" hidden="1"/>
    <col min="12263" max="12263" width="23.28515625" style="1181" hidden="1"/>
    <col min="12264" max="12269" width="4.7109375" style="1181" hidden="1"/>
    <col min="12270" max="12271" width="3.7109375" style="1181" hidden="1"/>
    <col min="12272" max="12279" width="4.42578125" style="1181" hidden="1"/>
    <col min="12280" max="12471" width="11.28515625" style="1181" hidden="1"/>
    <col min="12472" max="12511" width="12.28515625" style="1181" hidden="1"/>
    <col min="12512" max="12512" width="1.7109375" style="1181" hidden="1"/>
    <col min="12513" max="12513" width="9.42578125" style="1181" hidden="1"/>
    <col min="12514" max="12514" width="47.42578125" style="1181" hidden="1"/>
    <col min="12515" max="12515" width="23.7109375" style="1181" hidden="1"/>
    <col min="12516" max="12516" width="15.42578125" style="1181" hidden="1"/>
    <col min="12517" max="12517" width="22.28515625" style="1181" hidden="1"/>
    <col min="12518" max="12518" width="20.42578125" style="1181" hidden="1"/>
    <col min="12519" max="12519" width="23.28515625" style="1181" hidden="1"/>
    <col min="12520" max="12525" width="4.7109375" style="1181" hidden="1"/>
    <col min="12526" max="12527" width="3.7109375" style="1181" hidden="1"/>
    <col min="12528" max="12535" width="4.42578125" style="1181" hidden="1"/>
    <col min="12536" max="12727" width="11.28515625" style="1181" hidden="1"/>
    <col min="12728" max="12767" width="12.28515625" style="1181" hidden="1"/>
    <col min="12768" max="12768" width="1.7109375" style="1181" hidden="1"/>
    <col min="12769" max="12769" width="9.42578125" style="1181" hidden="1"/>
    <col min="12770" max="12770" width="47.42578125" style="1181" hidden="1"/>
    <col min="12771" max="12771" width="23.7109375" style="1181" hidden="1"/>
    <col min="12772" max="12772" width="15.42578125" style="1181" hidden="1"/>
    <col min="12773" max="12773" width="22.28515625" style="1181" hidden="1"/>
    <col min="12774" max="12774" width="20.42578125" style="1181" hidden="1"/>
    <col min="12775" max="12775" width="23.28515625" style="1181" hidden="1"/>
    <col min="12776" max="12781" width="4.7109375" style="1181" hidden="1"/>
    <col min="12782" max="12783" width="3.7109375" style="1181" hidden="1"/>
    <col min="12784" max="12791" width="4.42578125" style="1181" hidden="1"/>
    <col min="12792" max="12983" width="11.28515625" style="1181" hidden="1"/>
    <col min="12984" max="13023" width="12.28515625" style="1181" hidden="1"/>
    <col min="13024" max="13024" width="1.7109375" style="1181" hidden="1"/>
    <col min="13025" max="13025" width="9.42578125" style="1181" hidden="1"/>
    <col min="13026" max="13026" width="47.42578125" style="1181" hidden="1"/>
    <col min="13027" max="13027" width="23.7109375" style="1181" hidden="1"/>
    <col min="13028" max="13028" width="15.42578125" style="1181" hidden="1"/>
    <col min="13029" max="13029" width="22.28515625" style="1181" hidden="1"/>
    <col min="13030" max="13030" width="20.42578125" style="1181" hidden="1"/>
    <col min="13031" max="13031" width="23.28515625" style="1181" hidden="1"/>
    <col min="13032" max="13037" width="4.7109375" style="1181" hidden="1"/>
    <col min="13038" max="13039" width="3.7109375" style="1181" hidden="1"/>
    <col min="13040" max="13047" width="4.42578125" style="1181" hidden="1"/>
    <col min="13048" max="13239" width="11.28515625" style="1181" hidden="1"/>
    <col min="13240" max="13279" width="12.28515625" style="1181" hidden="1"/>
    <col min="13280" max="13280" width="1.7109375" style="1181" hidden="1"/>
    <col min="13281" max="13281" width="9.42578125" style="1181" hidden="1"/>
    <col min="13282" max="13282" width="47.42578125" style="1181" hidden="1"/>
    <col min="13283" max="13283" width="23.7109375" style="1181" hidden="1"/>
    <col min="13284" max="13284" width="15.42578125" style="1181" hidden="1"/>
    <col min="13285" max="13285" width="22.28515625" style="1181" hidden="1"/>
    <col min="13286" max="13286" width="20.42578125" style="1181" hidden="1"/>
    <col min="13287" max="13287" width="23.28515625" style="1181" hidden="1"/>
    <col min="13288" max="13293" width="4.7109375" style="1181" hidden="1"/>
    <col min="13294" max="13295" width="3.7109375" style="1181" hidden="1"/>
    <col min="13296" max="13303" width="4.42578125" style="1181" hidden="1"/>
    <col min="13304" max="13495" width="11.28515625" style="1181" hidden="1"/>
    <col min="13496" max="13535" width="12.28515625" style="1181" hidden="1"/>
    <col min="13536" max="13536" width="1.7109375" style="1181" hidden="1"/>
    <col min="13537" max="13537" width="9.42578125" style="1181" hidden="1"/>
    <col min="13538" max="13538" width="47.42578125" style="1181" hidden="1"/>
    <col min="13539" max="13539" width="23.7109375" style="1181" hidden="1"/>
    <col min="13540" max="13540" width="15.42578125" style="1181" hidden="1"/>
    <col min="13541" max="13541" width="22.28515625" style="1181" hidden="1"/>
    <col min="13542" max="13542" width="20.42578125" style="1181" hidden="1"/>
    <col min="13543" max="13543" width="23.28515625" style="1181" hidden="1"/>
    <col min="13544" max="13549" width="4.7109375" style="1181" hidden="1"/>
    <col min="13550" max="13551" width="3.7109375" style="1181" hidden="1"/>
    <col min="13552" max="13559" width="4.42578125" style="1181" hidden="1"/>
    <col min="13560" max="13751" width="11.28515625" style="1181" hidden="1"/>
    <col min="13752" max="13791" width="12.28515625" style="1181" hidden="1"/>
    <col min="13792" max="13792" width="1.7109375" style="1181" hidden="1"/>
    <col min="13793" max="13793" width="9.42578125" style="1181" hidden="1"/>
    <col min="13794" max="13794" width="47.42578125" style="1181" hidden="1"/>
    <col min="13795" max="13795" width="23.7109375" style="1181" hidden="1"/>
    <col min="13796" max="13796" width="15.42578125" style="1181" hidden="1"/>
    <col min="13797" max="13797" width="22.28515625" style="1181" hidden="1"/>
    <col min="13798" max="13798" width="20.42578125" style="1181" hidden="1"/>
    <col min="13799" max="13799" width="23.28515625" style="1181" hidden="1"/>
    <col min="13800" max="13805" width="4.7109375" style="1181" hidden="1"/>
    <col min="13806" max="13807" width="3.7109375" style="1181" hidden="1"/>
    <col min="13808" max="13815" width="4.42578125" style="1181" hidden="1"/>
    <col min="13816" max="14007" width="11.28515625" style="1181" hidden="1"/>
    <col min="14008" max="14047" width="12.28515625" style="1181" hidden="1"/>
    <col min="14048" max="14048" width="1.7109375" style="1181" hidden="1"/>
    <col min="14049" max="14049" width="9.42578125" style="1181" hidden="1"/>
    <col min="14050" max="14050" width="47.42578125" style="1181" hidden="1"/>
    <col min="14051" max="14051" width="23.7109375" style="1181" hidden="1"/>
    <col min="14052" max="14052" width="15.42578125" style="1181" hidden="1"/>
    <col min="14053" max="14053" width="22.28515625" style="1181" hidden="1"/>
    <col min="14054" max="14054" width="20.42578125" style="1181" hidden="1"/>
    <col min="14055" max="14055" width="23.28515625" style="1181" hidden="1"/>
    <col min="14056" max="14061" width="4.7109375" style="1181" hidden="1"/>
    <col min="14062" max="14063" width="3.7109375" style="1181" hidden="1"/>
    <col min="14064" max="14071" width="4.42578125" style="1181" hidden="1"/>
    <col min="14072" max="14263" width="11.28515625" style="1181" hidden="1"/>
    <col min="14264" max="14303" width="12.28515625" style="1181" hidden="1"/>
    <col min="14304" max="14304" width="1.7109375" style="1181" hidden="1"/>
    <col min="14305" max="14305" width="9.42578125" style="1181" hidden="1"/>
    <col min="14306" max="14306" width="47.42578125" style="1181" hidden="1"/>
    <col min="14307" max="14307" width="23.7109375" style="1181" hidden="1"/>
    <col min="14308" max="14308" width="15.42578125" style="1181" hidden="1"/>
    <col min="14309" max="14309" width="22.28515625" style="1181" hidden="1"/>
    <col min="14310" max="14310" width="20.42578125" style="1181" hidden="1"/>
    <col min="14311" max="14311" width="23.28515625" style="1181" hidden="1"/>
    <col min="14312" max="14317" width="4.7109375" style="1181" hidden="1"/>
    <col min="14318" max="14319" width="3.7109375" style="1181" hidden="1"/>
    <col min="14320" max="14327" width="4.42578125" style="1181" hidden="1"/>
    <col min="14328" max="14519" width="11.28515625" style="1181" hidden="1"/>
    <col min="14520" max="14559" width="12.28515625" style="1181" hidden="1"/>
    <col min="14560" max="14560" width="1.7109375" style="1181" hidden="1"/>
    <col min="14561" max="14561" width="9.42578125" style="1181" hidden="1"/>
    <col min="14562" max="14562" width="47.42578125" style="1181" hidden="1"/>
    <col min="14563" max="14563" width="23.7109375" style="1181" hidden="1"/>
    <col min="14564" max="14564" width="15.42578125" style="1181" hidden="1"/>
    <col min="14565" max="14565" width="22.28515625" style="1181" hidden="1"/>
    <col min="14566" max="14566" width="20.42578125" style="1181" hidden="1"/>
    <col min="14567" max="14567" width="23.28515625" style="1181" hidden="1"/>
    <col min="14568" max="14573" width="4.7109375" style="1181" hidden="1"/>
    <col min="14574" max="14575" width="3.7109375" style="1181" hidden="1"/>
    <col min="14576" max="14583" width="4.42578125" style="1181" hidden="1"/>
    <col min="14584" max="14775" width="11.28515625" style="1181" hidden="1"/>
    <col min="14776" max="14815" width="12.28515625" style="1181" hidden="1"/>
    <col min="14816" max="14816" width="1.7109375" style="1181" hidden="1"/>
    <col min="14817" max="14817" width="9.42578125" style="1181" hidden="1"/>
    <col min="14818" max="14818" width="47.42578125" style="1181" hidden="1"/>
    <col min="14819" max="14819" width="23.7109375" style="1181" hidden="1"/>
    <col min="14820" max="14820" width="15.42578125" style="1181" hidden="1"/>
    <col min="14821" max="14821" width="22.28515625" style="1181" hidden="1"/>
    <col min="14822" max="14822" width="20.42578125" style="1181" hidden="1"/>
    <col min="14823" max="14823" width="23.28515625" style="1181" hidden="1"/>
    <col min="14824" max="14829" width="4.7109375" style="1181" hidden="1"/>
    <col min="14830" max="14831" width="3.7109375" style="1181" hidden="1"/>
    <col min="14832" max="14839" width="4.42578125" style="1181" hidden="1"/>
    <col min="14840" max="15031" width="11.28515625" style="1181" hidden="1"/>
    <col min="15032" max="15071" width="12.28515625" style="1181" hidden="1"/>
    <col min="15072" max="15072" width="1.7109375" style="1181" hidden="1"/>
    <col min="15073" max="15073" width="9.42578125" style="1181" hidden="1"/>
    <col min="15074" max="15074" width="47.42578125" style="1181" hidden="1"/>
    <col min="15075" max="15075" width="23.7109375" style="1181" hidden="1"/>
    <col min="15076" max="15076" width="15.42578125" style="1181" hidden="1"/>
    <col min="15077" max="15077" width="22.28515625" style="1181" hidden="1"/>
    <col min="15078" max="15078" width="20.42578125" style="1181" hidden="1"/>
    <col min="15079" max="15079" width="23.28515625" style="1181" hidden="1"/>
    <col min="15080" max="15085" width="4.7109375" style="1181" hidden="1"/>
    <col min="15086" max="15087" width="3.7109375" style="1181" hidden="1"/>
    <col min="15088" max="15095" width="4.42578125" style="1181" hidden="1"/>
    <col min="15096" max="15287" width="11.28515625" style="1181" hidden="1"/>
    <col min="15288" max="15327" width="12.28515625" style="1181" hidden="1"/>
    <col min="15328" max="15328" width="1.7109375" style="1181" hidden="1"/>
    <col min="15329" max="15329" width="9.42578125" style="1181" hidden="1"/>
    <col min="15330" max="15330" width="47.42578125" style="1181" hidden="1"/>
    <col min="15331" max="15331" width="23.7109375" style="1181" hidden="1"/>
    <col min="15332" max="15332" width="15.42578125" style="1181" hidden="1"/>
    <col min="15333" max="15333" width="22.28515625" style="1181" hidden="1"/>
    <col min="15334" max="15334" width="20.42578125" style="1181" hidden="1"/>
    <col min="15335" max="15335" width="23.28515625" style="1181" hidden="1"/>
    <col min="15336" max="15341" width="4.7109375" style="1181" hidden="1"/>
    <col min="15342" max="15343" width="3.7109375" style="1181" hidden="1"/>
    <col min="15344" max="15351" width="4.42578125" style="1181" hidden="1"/>
    <col min="15352" max="15543" width="11.28515625" style="1181" hidden="1"/>
    <col min="15544" max="15583" width="12.28515625" style="1181" hidden="1"/>
    <col min="15584" max="15584" width="1.7109375" style="1181" hidden="1"/>
    <col min="15585" max="15585" width="9.42578125" style="1181" hidden="1"/>
    <col min="15586" max="15586" width="47.42578125" style="1181" hidden="1"/>
    <col min="15587" max="15587" width="23.7109375" style="1181" hidden="1"/>
    <col min="15588" max="15588" width="15.42578125" style="1181" hidden="1"/>
    <col min="15589" max="15589" width="22.28515625" style="1181" hidden="1"/>
    <col min="15590" max="15590" width="20.42578125" style="1181" hidden="1"/>
    <col min="15591" max="15591" width="23.28515625" style="1181" hidden="1"/>
    <col min="15592" max="15597" width="4.7109375" style="1181" hidden="1"/>
    <col min="15598" max="15599" width="3.7109375" style="1181" hidden="1"/>
    <col min="15600" max="15607" width="4.42578125" style="1181" hidden="1"/>
    <col min="15608" max="15799" width="11.28515625" style="1181" hidden="1"/>
    <col min="15800" max="15839" width="12.28515625" style="1181" hidden="1"/>
    <col min="15840" max="15840" width="1.7109375" style="1181" hidden="1"/>
    <col min="15841" max="15841" width="9.42578125" style="1181" hidden="1"/>
    <col min="15842" max="15842" width="47.42578125" style="1181" hidden="1"/>
    <col min="15843" max="15843" width="23.7109375" style="1181" hidden="1"/>
    <col min="15844" max="15844" width="15.42578125" style="1181" hidden="1"/>
    <col min="15845" max="15845" width="22.28515625" style="1181" hidden="1"/>
    <col min="15846" max="15846" width="20.42578125" style="1181" hidden="1"/>
    <col min="15847" max="15847" width="23.28515625" style="1181" hidden="1"/>
    <col min="15848" max="15853" width="4.7109375" style="1181" hidden="1"/>
    <col min="15854" max="15855" width="3.7109375" style="1181" hidden="1"/>
    <col min="15856" max="15863" width="4.42578125" style="1181" hidden="1"/>
    <col min="15864" max="16055" width="11.28515625" style="1181" hidden="1"/>
    <col min="16056" max="16095" width="12.28515625" style="1181" hidden="1"/>
    <col min="16096" max="16096" width="1.7109375" style="1181" hidden="1"/>
    <col min="16097" max="16097" width="9.42578125" style="1181" hidden="1"/>
    <col min="16098" max="16098" width="47.42578125" style="1181" hidden="1"/>
    <col min="16099" max="16099" width="23.7109375" style="1181" hidden="1"/>
    <col min="16100" max="16100" width="15.42578125" style="1181" hidden="1"/>
    <col min="16101" max="16101" width="22.28515625" style="1181" hidden="1"/>
    <col min="16102" max="16102" width="20.42578125" style="1181" hidden="1"/>
    <col min="16103" max="16103" width="23.28515625" style="1181" hidden="1"/>
    <col min="16104" max="16109" width="4.7109375" style="1181" hidden="1"/>
    <col min="16110" max="16111" width="3.7109375" style="1181" hidden="1"/>
    <col min="16112" max="16119" width="4.42578125" style="1181" hidden="1"/>
    <col min="16120" max="16311" width="11.28515625" style="1181" hidden="1"/>
    <col min="16312" max="16384" width="12.28515625" style="1181" hidden="1"/>
  </cols>
  <sheetData>
    <row r="1" spans="1:183" ht="9" customHeight="1">
      <c r="A1" s="1114"/>
      <c r="B1" s="1115"/>
      <c r="C1" s="1116"/>
      <c r="D1" s="1116"/>
      <c r="E1" s="1117"/>
      <c r="F1" s="1113"/>
      <c r="G1" s="1113"/>
      <c r="H1" s="1113"/>
    </row>
    <row r="2" spans="1:183" ht="12.6" customHeight="1">
      <c r="A2" s="1114"/>
      <c r="B2" s="1831" t="s">
        <v>1132</v>
      </c>
      <c r="C2" s="1831"/>
      <c r="D2" s="1831"/>
      <c r="E2" s="1831"/>
      <c r="F2" s="1159"/>
      <c r="G2" s="1159"/>
      <c r="H2" s="1159"/>
    </row>
    <row r="3" spans="1:183" ht="14.1" customHeight="1">
      <c r="A3" s="1114"/>
      <c r="B3" s="1160" t="s">
        <v>929</v>
      </c>
      <c r="C3" s="1161" t="s">
        <v>1133</v>
      </c>
      <c r="D3" s="1162" t="s">
        <v>1134</v>
      </c>
      <c r="E3" s="1161">
        <v>1</v>
      </c>
      <c r="F3" s="1159"/>
      <c r="G3" s="1159"/>
      <c r="H3" s="1159"/>
    </row>
    <row r="4" spans="1:183" ht="8.4499999999999993" customHeight="1">
      <c r="A4" s="1114"/>
      <c r="B4" s="1190"/>
      <c r="C4" s="1191"/>
      <c r="D4" s="1191"/>
      <c r="E4" s="1192"/>
      <c r="F4" s="1193"/>
      <c r="G4" s="1193"/>
      <c r="H4" s="1193"/>
    </row>
    <row r="5" spans="1:183" ht="15.6" customHeight="1">
      <c r="A5" s="1114"/>
      <c r="B5" s="1832" t="s">
        <v>1135</v>
      </c>
      <c r="C5" s="1833"/>
      <c r="D5" s="1833"/>
      <c r="E5" s="1833"/>
      <c r="F5" s="1833"/>
      <c r="G5" s="1833"/>
      <c r="H5" s="1834"/>
    </row>
    <row r="6" spans="1:183">
      <c r="A6" s="1114"/>
      <c r="B6" s="1835" t="s">
        <v>1019</v>
      </c>
      <c r="C6" s="1836"/>
      <c r="D6" s="1836"/>
      <c r="E6" s="1836"/>
      <c r="F6" s="1836"/>
      <c r="G6" s="1836"/>
      <c r="H6" s="1837"/>
    </row>
    <row r="7" spans="1:183">
      <c r="A7" s="1114"/>
      <c r="B7" s="1835" t="s">
        <v>1136</v>
      </c>
      <c r="C7" s="1836"/>
      <c r="D7" s="1836"/>
      <c r="E7" s="1836"/>
      <c r="F7" s="1836"/>
      <c r="G7" s="1836"/>
      <c r="H7" s="1837"/>
    </row>
    <row r="8" spans="1:183">
      <c r="A8" s="1114"/>
      <c r="B8" s="1838" t="s">
        <v>1043</v>
      </c>
      <c r="C8" s="1839"/>
      <c r="D8" s="1839"/>
      <c r="E8" s="1839"/>
      <c r="F8" s="1839"/>
      <c r="G8" s="1839"/>
      <c r="H8" s="1840"/>
    </row>
    <row r="9" spans="1:183">
      <c r="A9" s="1114"/>
      <c r="B9" s="1829" t="str">
        <f>_xlfn.CONCAT("INTERVENTORÍA SUMINISTROS - ",PRESUP!B2)</f>
        <v>INTERVENTORÍA SUMINISTROS - CONSTRUCCIÓN DE LA SEGUNDA ETAPA DEL PLAN MAESTRO DE ACUEDUCTO Y ALCANTARILLADO DE LOS SECTORES LA VIEJITA, LOS SAUCES, EL ALTO 2, MALPASO 2 Y ADOQUINADO DEL MUNICIPIO DE SAN CARLOS, ANTIOQUIA</v>
      </c>
      <c r="C9" s="1829"/>
      <c r="D9" s="1829"/>
      <c r="E9" s="1829"/>
      <c r="F9" s="1829"/>
      <c r="G9" s="1829"/>
      <c r="H9" s="1829"/>
    </row>
    <row r="10" spans="1:183">
      <c r="A10" s="1114"/>
      <c r="B10" s="1830"/>
      <c r="C10" s="1830"/>
      <c r="D10" s="1830"/>
      <c r="E10" s="1830"/>
      <c r="F10" s="1830"/>
      <c r="G10" s="1830"/>
      <c r="H10" s="1830"/>
    </row>
    <row r="11" spans="1:183">
      <c r="A11" s="1114"/>
      <c r="B11" s="1830"/>
      <c r="C11" s="1830"/>
      <c r="D11" s="1830"/>
      <c r="E11" s="1830"/>
      <c r="F11" s="1830"/>
      <c r="G11" s="1830"/>
      <c r="H11" s="1830"/>
    </row>
    <row r="12" spans="1:183" s="1182" customFormat="1" ht="15.6" customHeight="1">
      <c r="A12" s="1118"/>
      <c r="B12" s="1816" t="s">
        <v>1137</v>
      </c>
      <c r="C12" s="1816" t="s">
        <v>1138</v>
      </c>
      <c r="D12" s="1817" t="s">
        <v>1139</v>
      </c>
      <c r="E12" s="1817"/>
      <c r="F12" s="1817" t="s">
        <v>1140</v>
      </c>
      <c r="G12" s="1817" t="s">
        <v>1141</v>
      </c>
      <c r="H12" s="1817" t="s">
        <v>1142</v>
      </c>
      <c r="I12"/>
      <c r="J12" s="1180"/>
      <c r="K12" s="1180"/>
      <c r="L12" s="1180"/>
      <c r="M12" s="1180"/>
      <c r="N12" s="1180"/>
      <c r="O12" s="1180"/>
      <c r="P12" s="1180"/>
      <c r="Q12" s="1180"/>
      <c r="R12" s="1180"/>
      <c r="S12" s="1180"/>
      <c r="T12" s="1180"/>
      <c r="U12" s="1180"/>
      <c r="V12" s="1180"/>
      <c r="W12" s="1180"/>
      <c r="X12" s="1180"/>
      <c r="Y12" s="1180"/>
      <c r="Z12" s="1180"/>
      <c r="AA12" s="1180"/>
      <c r="AB12" s="1180"/>
      <c r="AC12" s="1180"/>
      <c r="AD12" s="1180"/>
      <c r="AE12" s="1180"/>
      <c r="AF12" s="1180"/>
      <c r="AG12" s="1180"/>
      <c r="AH12" s="1180"/>
      <c r="AI12" s="1180"/>
      <c r="AJ12" s="1180"/>
      <c r="AK12" s="1180"/>
      <c r="AL12" s="1180"/>
      <c r="AM12" s="1180"/>
      <c r="AN12" s="1180"/>
      <c r="AO12" s="1180"/>
      <c r="AP12" s="1180"/>
      <c r="AQ12" s="1180"/>
      <c r="AR12" s="1180"/>
      <c r="AS12" s="1180"/>
      <c r="AT12" s="1180"/>
      <c r="AU12" s="1180"/>
      <c r="AV12" s="1180"/>
      <c r="AW12" s="1180"/>
      <c r="AX12" s="1180"/>
      <c r="AY12" s="1180"/>
      <c r="AZ12" s="1180"/>
      <c r="BA12" s="1180"/>
      <c r="BB12" s="1180"/>
      <c r="BC12" s="1180"/>
      <c r="BD12" s="1180"/>
      <c r="BE12" s="1180"/>
      <c r="BF12" s="1180"/>
      <c r="BG12" s="1180"/>
      <c r="BH12" s="1180"/>
      <c r="BI12" s="1180"/>
      <c r="BJ12" s="1180"/>
      <c r="BK12" s="1180"/>
      <c r="BL12" s="1180"/>
      <c r="BM12" s="1180"/>
      <c r="BN12" s="1180"/>
      <c r="BO12" s="1180"/>
      <c r="BP12" s="1180"/>
      <c r="BQ12" s="1180"/>
      <c r="BR12" s="1180"/>
      <c r="BS12" s="1180"/>
      <c r="BT12" s="1180"/>
      <c r="BU12" s="1180"/>
      <c r="BV12" s="1180"/>
      <c r="BW12" s="1180"/>
      <c r="BX12" s="1180"/>
      <c r="BY12" s="1180"/>
      <c r="BZ12" s="1180"/>
      <c r="CA12" s="1180"/>
      <c r="CB12" s="1180"/>
      <c r="CC12" s="1180"/>
      <c r="CD12" s="1180"/>
      <c r="CE12" s="1180"/>
      <c r="CF12" s="1180"/>
      <c r="CG12" s="1180"/>
      <c r="CH12" s="1180"/>
      <c r="CI12" s="1180"/>
      <c r="CJ12" s="1180"/>
      <c r="CK12" s="1180"/>
      <c r="CL12" s="1180"/>
      <c r="CM12" s="1180"/>
      <c r="CN12" s="1180"/>
      <c r="CO12" s="1180"/>
      <c r="CP12" s="1180"/>
      <c r="CQ12" s="1180"/>
      <c r="CR12" s="1180"/>
      <c r="CS12" s="1180"/>
      <c r="CT12" s="1180"/>
      <c r="CU12" s="1180"/>
      <c r="CV12" s="1180"/>
      <c r="CW12" s="1180"/>
      <c r="CX12" s="1180"/>
      <c r="CY12" s="1180"/>
      <c r="CZ12" s="1180"/>
      <c r="DA12" s="1180"/>
      <c r="DB12" s="1180"/>
      <c r="DC12" s="1180"/>
      <c r="DD12" s="1180"/>
      <c r="DE12" s="1180"/>
      <c r="DF12" s="1180"/>
      <c r="DG12" s="1180"/>
      <c r="DH12" s="1180"/>
      <c r="DI12" s="1180"/>
      <c r="DJ12" s="1180"/>
      <c r="DK12" s="1180"/>
      <c r="DL12" s="1180"/>
      <c r="DM12" s="1180"/>
      <c r="DN12" s="1180"/>
      <c r="DO12" s="1180"/>
      <c r="DP12" s="1180"/>
      <c r="DQ12" s="1180"/>
      <c r="DR12" s="1180"/>
      <c r="DS12" s="1180"/>
      <c r="DT12" s="1180"/>
      <c r="DU12" s="1180"/>
      <c r="DV12" s="1180"/>
      <c r="DW12" s="1180"/>
      <c r="DX12" s="1180"/>
      <c r="DY12" s="1180"/>
      <c r="DZ12" s="1180"/>
      <c r="EA12" s="1180"/>
      <c r="EB12" s="1180"/>
      <c r="EC12" s="1180"/>
      <c r="ED12" s="1180"/>
      <c r="EE12" s="1180"/>
      <c r="EF12" s="1180"/>
      <c r="EG12" s="1180"/>
      <c r="EH12" s="1180"/>
      <c r="EI12" s="1180"/>
      <c r="EJ12" s="1180"/>
      <c r="EK12" s="1180"/>
      <c r="EL12" s="1180"/>
      <c r="EM12" s="1180"/>
      <c r="EN12" s="1180"/>
      <c r="EO12" s="1180"/>
      <c r="EP12" s="1180"/>
      <c r="EQ12" s="1180"/>
      <c r="ER12" s="1180"/>
      <c r="ES12" s="1180"/>
      <c r="ET12" s="1180"/>
      <c r="EU12" s="1180"/>
      <c r="EV12" s="1180"/>
      <c r="EW12" s="1180"/>
      <c r="EX12" s="1180"/>
      <c r="EY12" s="1180"/>
      <c r="EZ12" s="1180"/>
      <c r="FA12" s="1180"/>
      <c r="FB12" s="1180"/>
      <c r="FC12" s="1180"/>
      <c r="FD12" s="1180"/>
      <c r="FE12" s="1180"/>
      <c r="FF12" s="1180"/>
      <c r="FG12" s="1180"/>
      <c r="FH12" s="1180"/>
      <c r="FI12" s="1180"/>
      <c r="FJ12" s="1180"/>
      <c r="FK12" s="1180"/>
      <c r="FL12" s="1180"/>
      <c r="FM12" s="1180"/>
      <c r="FN12" s="1180"/>
      <c r="FO12" s="1180"/>
      <c r="FP12" s="1180"/>
      <c r="FQ12" s="1180"/>
      <c r="FR12" s="1180"/>
      <c r="FS12" s="1180"/>
      <c r="FT12" s="1180"/>
      <c r="FU12" s="1180"/>
      <c r="FV12" s="1180"/>
      <c r="FW12" s="1180"/>
      <c r="FX12" s="1180"/>
      <c r="FY12" s="1180"/>
      <c r="FZ12" s="1180"/>
      <c r="GA12" s="1180"/>
    </row>
    <row r="13" spans="1:183" s="1182" customFormat="1">
      <c r="A13" s="1118"/>
      <c r="B13" s="1816"/>
      <c r="C13" s="1816"/>
      <c r="D13" s="1817" t="s">
        <v>1143</v>
      </c>
      <c r="E13" s="1817"/>
      <c r="F13" s="1817" t="s">
        <v>295</v>
      </c>
      <c r="G13" s="1817" t="s">
        <v>1144</v>
      </c>
      <c r="H13" s="1817" t="s">
        <v>1145</v>
      </c>
      <c r="I13"/>
      <c r="J13" s="1180"/>
      <c r="K13" s="1180"/>
      <c r="L13" s="1180"/>
      <c r="M13" s="1180"/>
      <c r="N13" s="1180"/>
      <c r="O13" s="1180"/>
      <c r="P13" s="1180"/>
      <c r="Q13" s="1180"/>
      <c r="R13" s="1180"/>
      <c r="S13" s="1180"/>
      <c r="T13" s="1180"/>
      <c r="U13" s="1180"/>
      <c r="V13" s="1180"/>
      <c r="W13" s="1180"/>
      <c r="X13" s="1180"/>
      <c r="Y13" s="1180"/>
      <c r="Z13" s="1180"/>
      <c r="AA13" s="1180"/>
      <c r="AB13" s="1180"/>
      <c r="AC13" s="1180"/>
      <c r="AD13" s="1180"/>
      <c r="AE13" s="1180"/>
      <c r="AF13" s="1180"/>
      <c r="AG13" s="1180"/>
      <c r="AH13" s="1180"/>
      <c r="AI13" s="1180"/>
      <c r="AJ13" s="1180"/>
      <c r="AK13" s="1180"/>
      <c r="AL13" s="1180"/>
      <c r="AM13" s="1180"/>
      <c r="AN13" s="1180"/>
      <c r="AO13" s="1180"/>
      <c r="AP13" s="1180"/>
      <c r="AQ13" s="1180"/>
      <c r="AR13" s="1180"/>
      <c r="AS13" s="1180"/>
      <c r="AT13" s="1180"/>
      <c r="AU13" s="1180"/>
      <c r="AV13" s="1180"/>
      <c r="AW13" s="1180"/>
      <c r="AX13" s="1180"/>
      <c r="AY13" s="1180"/>
      <c r="AZ13" s="1180"/>
      <c r="BA13" s="1180"/>
      <c r="BB13" s="1180"/>
      <c r="BC13" s="1180"/>
      <c r="BD13" s="1180"/>
      <c r="BE13" s="1180"/>
      <c r="BF13" s="1180"/>
      <c r="BG13" s="1180"/>
      <c r="BH13" s="1180"/>
      <c r="BI13" s="1180"/>
      <c r="BJ13" s="1180"/>
      <c r="BK13" s="1180"/>
      <c r="BL13" s="1180"/>
      <c r="BM13" s="1180"/>
      <c r="BN13" s="1180"/>
      <c r="BO13" s="1180"/>
      <c r="BP13" s="1180"/>
      <c r="BQ13" s="1180"/>
      <c r="BR13" s="1180"/>
      <c r="BS13" s="1180"/>
      <c r="BT13" s="1180"/>
      <c r="BU13" s="1180"/>
      <c r="BV13" s="1180"/>
      <c r="BW13" s="1180"/>
      <c r="BX13" s="1180"/>
      <c r="BY13" s="1180"/>
      <c r="BZ13" s="1180"/>
      <c r="CA13" s="1180"/>
      <c r="CB13" s="1180"/>
      <c r="CC13" s="1180"/>
      <c r="CD13" s="1180"/>
      <c r="CE13" s="1180"/>
      <c r="CF13" s="1180"/>
      <c r="CG13" s="1180"/>
      <c r="CH13" s="1180"/>
      <c r="CI13" s="1180"/>
      <c r="CJ13" s="1180"/>
      <c r="CK13" s="1180"/>
      <c r="CL13" s="1180"/>
      <c r="CM13" s="1180"/>
      <c r="CN13" s="1180"/>
      <c r="CO13" s="1180"/>
      <c r="CP13" s="1180"/>
      <c r="CQ13" s="1180"/>
      <c r="CR13" s="1180"/>
      <c r="CS13" s="1180"/>
      <c r="CT13" s="1180"/>
      <c r="CU13" s="1180"/>
      <c r="CV13" s="1180"/>
      <c r="CW13" s="1180"/>
      <c r="CX13" s="1180"/>
      <c r="CY13" s="1180"/>
      <c r="CZ13" s="1180"/>
      <c r="DA13" s="1180"/>
      <c r="DB13" s="1180"/>
      <c r="DC13" s="1180"/>
      <c r="DD13" s="1180"/>
      <c r="DE13" s="1180"/>
      <c r="DF13" s="1180"/>
      <c r="DG13" s="1180"/>
      <c r="DH13" s="1180"/>
      <c r="DI13" s="1180"/>
      <c r="DJ13" s="1180"/>
      <c r="DK13" s="1180"/>
      <c r="DL13" s="1180"/>
      <c r="DM13" s="1180"/>
      <c r="DN13" s="1180"/>
      <c r="DO13" s="1180"/>
      <c r="DP13" s="1180"/>
      <c r="DQ13" s="1180"/>
      <c r="DR13" s="1180"/>
      <c r="DS13" s="1180"/>
      <c r="DT13" s="1180"/>
      <c r="DU13" s="1180"/>
      <c r="DV13" s="1180"/>
      <c r="DW13" s="1180"/>
      <c r="DX13" s="1180"/>
      <c r="DY13" s="1180"/>
      <c r="DZ13" s="1180"/>
      <c r="EA13" s="1180"/>
      <c r="EB13" s="1180"/>
      <c r="EC13" s="1180"/>
      <c r="ED13" s="1180"/>
      <c r="EE13" s="1180"/>
      <c r="EF13" s="1180"/>
      <c r="EG13" s="1180"/>
      <c r="EH13" s="1180"/>
      <c r="EI13" s="1180"/>
      <c r="EJ13" s="1180"/>
      <c r="EK13" s="1180"/>
      <c r="EL13" s="1180"/>
      <c r="EM13" s="1180"/>
      <c r="EN13" s="1180"/>
      <c r="EO13" s="1180"/>
      <c r="EP13" s="1180"/>
      <c r="EQ13" s="1180"/>
      <c r="ER13" s="1180"/>
      <c r="ES13" s="1180"/>
      <c r="ET13" s="1180"/>
      <c r="EU13" s="1180"/>
      <c r="EV13" s="1180"/>
      <c r="EW13" s="1180"/>
      <c r="EX13" s="1180"/>
      <c r="EY13" s="1180"/>
      <c r="EZ13" s="1180"/>
      <c r="FA13" s="1180"/>
      <c r="FB13" s="1180"/>
      <c r="FC13" s="1180"/>
      <c r="FD13" s="1180"/>
      <c r="FE13" s="1180"/>
      <c r="FF13" s="1180"/>
      <c r="FG13" s="1180"/>
      <c r="FH13" s="1180"/>
      <c r="FI13" s="1180"/>
      <c r="FJ13" s="1180"/>
      <c r="FK13" s="1180"/>
      <c r="FL13" s="1180"/>
      <c r="FM13" s="1180"/>
      <c r="FN13" s="1180"/>
      <c r="FO13" s="1180"/>
      <c r="FP13" s="1180"/>
      <c r="FQ13" s="1180"/>
      <c r="FR13" s="1180"/>
      <c r="FS13" s="1180"/>
      <c r="FT13" s="1180"/>
      <c r="FU13" s="1180"/>
      <c r="FV13" s="1180"/>
      <c r="FW13" s="1180"/>
      <c r="FX13" s="1180"/>
      <c r="FY13" s="1180"/>
      <c r="FZ13" s="1180"/>
      <c r="GA13" s="1180"/>
    </row>
    <row r="14" spans="1:183" s="1182" customFormat="1" ht="30">
      <c r="A14" s="1118"/>
      <c r="B14" s="1163" t="s">
        <v>1146</v>
      </c>
      <c r="C14" s="1816"/>
      <c r="D14" s="1132" t="s">
        <v>1147</v>
      </c>
      <c r="E14" s="1132" t="s">
        <v>1148</v>
      </c>
      <c r="F14" s="1132" t="s">
        <v>1149</v>
      </c>
      <c r="G14" s="1132" t="s">
        <v>1150</v>
      </c>
      <c r="H14" s="1164" t="s">
        <v>1151</v>
      </c>
      <c r="I14"/>
      <c r="J14" s="1180"/>
      <c r="K14" s="1180"/>
      <c r="L14" s="1180"/>
      <c r="M14" s="1180"/>
      <c r="N14" s="1180"/>
      <c r="O14" s="1180"/>
      <c r="P14" s="1180"/>
      <c r="Q14" s="1180"/>
      <c r="R14" s="1180"/>
      <c r="S14" s="1180"/>
      <c r="T14" s="1180"/>
      <c r="U14" s="1180"/>
      <c r="V14" s="1180"/>
      <c r="W14" s="1180"/>
      <c r="X14" s="1180"/>
      <c r="Y14" s="1180"/>
      <c r="Z14" s="1180"/>
      <c r="AA14" s="1180"/>
      <c r="AB14" s="1180"/>
      <c r="AC14" s="1180"/>
      <c r="AD14" s="1180"/>
      <c r="AE14" s="1180"/>
      <c r="AF14" s="1180"/>
      <c r="AG14" s="1180"/>
      <c r="AH14" s="1180"/>
      <c r="AI14" s="1180"/>
      <c r="AJ14" s="1180"/>
      <c r="AK14" s="1180"/>
      <c r="AL14" s="1180"/>
      <c r="AM14" s="1180"/>
      <c r="AN14" s="1180"/>
      <c r="AO14" s="1180"/>
      <c r="AP14" s="1180"/>
      <c r="AQ14" s="1180"/>
      <c r="AR14" s="1180"/>
      <c r="AS14" s="1180"/>
      <c r="AT14" s="1180"/>
      <c r="AU14" s="1180"/>
      <c r="AV14" s="1180"/>
      <c r="AW14" s="1180"/>
      <c r="AX14" s="1180"/>
      <c r="AY14" s="1180"/>
      <c r="AZ14" s="1180"/>
      <c r="BA14" s="1180"/>
      <c r="BB14" s="1180"/>
      <c r="BC14" s="1180"/>
      <c r="BD14" s="1180"/>
      <c r="BE14" s="1180"/>
      <c r="BF14" s="1180"/>
      <c r="BG14" s="1180"/>
      <c r="BH14" s="1180"/>
      <c r="BI14" s="1180"/>
      <c r="BJ14" s="1180"/>
      <c r="BK14" s="1180"/>
      <c r="BL14" s="1180"/>
      <c r="BM14" s="1180"/>
      <c r="BN14" s="1180"/>
      <c r="BO14" s="1180"/>
      <c r="BP14" s="1180"/>
      <c r="BQ14" s="1180"/>
      <c r="BR14" s="1180"/>
      <c r="BS14" s="1180"/>
      <c r="BT14" s="1180"/>
      <c r="BU14" s="1180"/>
      <c r="BV14" s="1180"/>
      <c r="BW14" s="1180"/>
      <c r="BX14" s="1180"/>
      <c r="BY14" s="1180"/>
      <c r="BZ14" s="1180"/>
      <c r="CA14" s="1180"/>
      <c r="CB14" s="1180"/>
      <c r="CC14" s="1180"/>
      <c r="CD14" s="1180"/>
      <c r="CE14" s="1180"/>
      <c r="CF14" s="1180"/>
      <c r="CG14" s="1180"/>
      <c r="CH14" s="1180"/>
      <c r="CI14" s="1180"/>
      <c r="CJ14" s="1180"/>
      <c r="CK14" s="1180"/>
      <c r="CL14" s="1180"/>
      <c r="CM14" s="1180"/>
      <c r="CN14" s="1180"/>
      <c r="CO14" s="1180"/>
      <c r="CP14" s="1180"/>
      <c r="CQ14" s="1180"/>
      <c r="CR14" s="1180"/>
      <c r="CS14" s="1180"/>
      <c r="CT14" s="1180"/>
      <c r="CU14" s="1180"/>
      <c r="CV14" s="1180"/>
      <c r="CW14" s="1180"/>
      <c r="CX14" s="1180"/>
      <c r="CY14" s="1180"/>
      <c r="CZ14" s="1180"/>
      <c r="DA14" s="1180"/>
      <c r="DB14" s="1180"/>
      <c r="DC14" s="1180"/>
      <c r="DD14" s="1180"/>
      <c r="DE14" s="1180"/>
      <c r="DF14" s="1180"/>
      <c r="DG14" s="1180"/>
      <c r="DH14" s="1180"/>
      <c r="DI14" s="1180"/>
      <c r="DJ14" s="1180"/>
      <c r="DK14" s="1180"/>
      <c r="DL14" s="1180"/>
      <c r="DM14" s="1180"/>
      <c r="DN14" s="1180"/>
      <c r="DO14" s="1180"/>
      <c r="DP14" s="1180"/>
      <c r="DQ14" s="1180"/>
      <c r="DR14" s="1180"/>
      <c r="DS14" s="1180"/>
      <c r="DT14" s="1180"/>
      <c r="DU14" s="1180"/>
      <c r="DV14" s="1180"/>
      <c r="DW14" s="1180"/>
      <c r="DX14" s="1180"/>
      <c r="DY14" s="1180"/>
      <c r="DZ14" s="1180"/>
      <c r="EA14" s="1180"/>
      <c r="EB14" s="1180"/>
      <c r="EC14" s="1180"/>
      <c r="ED14" s="1180"/>
      <c r="EE14" s="1180"/>
      <c r="EF14" s="1180"/>
      <c r="EG14" s="1180"/>
      <c r="EH14" s="1180"/>
      <c r="EI14" s="1180"/>
      <c r="EJ14" s="1180"/>
      <c r="EK14" s="1180"/>
      <c r="EL14" s="1180"/>
      <c r="EM14" s="1180"/>
      <c r="EN14" s="1180"/>
      <c r="EO14" s="1180"/>
      <c r="EP14" s="1180"/>
      <c r="EQ14" s="1180"/>
      <c r="ER14" s="1180"/>
      <c r="ES14" s="1180"/>
      <c r="ET14" s="1180"/>
      <c r="EU14" s="1180"/>
      <c r="EV14" s="1180"/>
      <c r="EW14" s="1180"/>
      <c r="EX14" s="1180"/>
      <c r="EY14" s="1180"/>
      <c r="EZ14" s="1180"/>
      <c r="FA14" s="1180"/>
      <c r="FB14" s="1180"/>
      <c r="FC14" s="1180"/>
      <c r="FD14" s="1180"/>
      <c r="FE14" s="1180"/>
      <c r="FF14" s="1180"/>
      <c r="FG14" s="1180"/>
      <c r="FH14" s="1180"/>
      <c r="FI14" s="1180"/>
      <c r="FJ14" s="1180"/>
      <c r="FK14" s="1180"/>
      <c r="FL14" s="1180"/>
      <c r="FM14" s="1180"/>
      <c r="FN14" s="1180"/>
      <c r="FO14" s="1180"/>
      <c r="FP14" s="1180"/>
      <c r="FQ14" s="1180"/>
      <c r="FR14" s="1180"/>
      <c r="FS14" s="1180"/>
      <c r="FT14" s="1180"/>
      <c r="FU14" s="1180"/>
      <c r="FV14" s="1180"/>
      <c r="FW14" s="1180"/>
      <c r="FX14" s="1180"/>
      <c r="FY14" s="1180"/>
      <c r="FZ14" s="1180"/>
      <c r="GA14" s="1180"/>
    </row>
    <row r="15" spans="1:183" s="1182" customFormat="1" ht="20.45" customHeight="1">
      <c r="A15" s="1118"/>
      <c r="B15" s="1824" t="s">
        <v>1152</v>
      </c>
      <c r="C15" s="1824"/>
      <c r="D15" s="1824"/>
      <c r="E15" s="1824"/>
      <c r="F15" s="1824"/>
      <c r="G15" s="1824"/>
      <c r="H15" s="1824"/>
      <c r="I15"/>
      <c r="J15" s="1180"/>
      <c r="K15" s="1180"/>
      <c r="L15" s="1180"/>
      <c r="M15" s="1180"/>
      <c r="N15" s="1180"/>
      <c r="O15" s="1180"/>
      <c r="P15" s="1180"/>
      <c r="Q15" s="1180"/>
      <c r="R15" s="1180"/>
      <c r="S15" s="1180"/>
      <c r="T15" s="1180"/>
      <c r="U15" s="1180"/>
      <c r="V15" s="1180"/>
      <c r="W15" s="1180"/>
      <c r="X15" s="1180"/>
      <c r="Y15" s="1180"/>
      <c r="Z15" s="1180"/>
      <c r="AA15" s="1180"/>
      <c r="AB15" s="1180"/>
      <c r="AC15" s="1180"/>
      <c r="AD15" s="1180"/>
      <c r="AE15" s="1180"/>
      <c r="AF15" s="1180"/>
      <c r="AG15" s="1180"/>
      <c r="AH15" s="1180"/>
      <c r="AI15" s="1180"/>
      <c r="AJ15" s="1180"/>
      <c r="AK15" s="1180"/>
      <c r="AL15" s="1180"/>
      <c r="AM15" s="1180"/>
      <c r="AN15" s="1180"/>
      <c r="AO15" s="1180"/>
      <c r="AP15" s="1180"/>
      <c r="AQ15" s="1180"/>
      <c r="AR15" s="1180"/>
      <c r="AS15" s="1180"/>
      <c r="AT15" s="1180"/>
      <c r="AU15" s="1180"/>
      <c r="AV15" s="1180"/>
      <c r="AW15" s="1180"/>
      <c r="AX15" s="1180"/>
      <c r="AY15" s="1180"/>
      <c r="AZ15" s="1180"/>
      <c r="BA15" s="1180"/>
      <c r="BB15" s="1180"/>
      <c r="BC15" s="1180"/>
      <c r="BD15" s="1180"/>
      <c r="BE15" s="1180"/>
      <c r="BF15" s="1180"/>
      <c r="BG15" s="1180"/>
      <c r="BH15" s="1180"/>
      <c r="BI15" s="1180"/>
      <c r="BJ15" s="1180"/>
      <c r="BK15" s="1180"/>
      <c r="BL15" s="1180"/>
      <c r="BM15" s="1180"/>
      <c r="BN15" s="1180"/>
      <c r="BO15" s="1180"/>
      <c r="BP15" s="1180"/>
      <c r="BQ15" s="1180"/>
      <c r="BR15" s="1180"/>
      <c r="BS15" s="1180"/>
      <c r="BT15" s="1180"/>
      <c r="BU15" s="1180"/>
      <c r="BV15" s="1180"/>
      <c r="BW15" s="1180"/>
      <c r="BX15" s="1180"/>
      <c r="BY15" s="1180"/>
      <c r="BZ15" s="1180"/>
      <c r="CA15" s="1180"/>
      <c r="CB15" s="1180"/>
      <c r="CC15" s="1180"/>
      <c r="CD15" s="1180"/>
      <c r="CE15" s="1180"/>
      <c r="CF15" s="1180"/>
      <c r="CG15" s="1180"/>
      <c r="CH15" s="1180"/>
      <c r="CI15" s="1180"/>
      <c r="CJ15" s="1180"/>
      <c r="CK15" s="1180"/>
      <c r="CL15" s="1180"/>
      <c r="CM15" s="1180"/>
      <c r="CN15" s="1180"/>
      <c r="CO15" s="1180"/>
      <c r="CP15" s="1180"/>
      <c r="CQ15" s="1180"/>
      <c r="CR15" s="1180"/>
      <c r="CS15" s="1180"/>
      <c r="CT15" s="1180"/>
      <c r="CU15" s="1180"/>
      <c r="CV15" s="1180"/>
      <c r="CW15" s="1180"/>
      <c r="CX15" s="1180"/>
      <c r="CY15" s="1180"/>
      <c r="CZ15" s="1180"/>
      <c r="DA15" s="1180"/>
      <c r="DB15" s="1180"/>
      <c r="DC15" s="1180"/>
      <c r="DD15" s="1180"/>
      <c r="DE15" s="1180"/>
      <c r="DF15" s="1180"/>
      <c r="DG15" s="1180"/>
      <c r="DH15" s="1180"/>
      <c r="DI15" s="1180"/>
      <c r="DJ15" s="1180"/>
      <c r="DK15" s="1180"/>
      <c r="DL15" s="1180"/>
      <c r="DM15" s="1180"/>
      <c r="DN15" s="1180"/>
      <c r="DO15" s="1180"/>
      <c r="DP15" s="1180"/>
      <c r="DQ15" s="1180"/>
      <c r="DR15" s="1180"/>
      <c r="DS15" s="1180"/>
      <c r="DT15" s="1180"/>
      <c r="DU15" s="1180"/>
      <c r="DV15" s="1180"/>
      <c r="DW15" s="1180"/>
      <c r="DX15" s="1180"/>
      <c r="DY15" s="1180"/>
      <c r="DZ15" s="1180"/>
      <c r="EA15" s="1180"/>
      <c r="EB15" s="1180"/>
      <c r="EC15" s="1180"/>
      <c r="ED15" s="1180"/>
      <c r="EE15" s="1180"/>
      <c r="EF15" s="1180"/>
      <c r="EG15" s="1180"/>
      <c r="EH15" s="1180"/>
      <c r="EI15" s="1180"/>
      <c r="EJ15" s="1180"/>
      <c r="EK15" s="1180"/>
      <c r="EL15" s="1180"/>
      <c r="EM15" s="1180"/>
      <c r="EN15" s="1180"/>
      <c r="EO15" s="1180"/>
      <c r="EP15" s="1180"/>
      <c r="EQ15" s="1180"/>
      <c r="ER15" s="1180"/>
      <c r="ES15" s="1180"/>
      <c r="ET15" s="1180"/>
      <c r="EU15" s="1180"/>
      <c r="EV15" s="1180"/>
      <c r="EW15" s="1180"/>
      <c r="EX15" s="1180"/>
      <c r="EY15" s="1180"/>
      <c r="EZ15" s="1180"/>
      <c r="FA15" s="1180"/>
      <c r="FB15" s="1180"/>
      <c r="FC15" s="1180"/>
      <c r="FD15" s="1180"/>
      <c r="FE15" s="1180"/>
      <c r="FF15" s="1180"/>
      <c r="FG15" s="1180"/>
      <c r="FH15" s="1180"/>
      <c r="FI15" s="1180"/>
      <c r="FJ15" s="1180"/>
      <c r="FK15" s="1180"/>
      <c r="FL15" s="1180"/>
      <c r="FM15" s="1180"/>
      <c r="FN15" s="1180"/>
      <c r="FO15" s="1180"/>
      <c r="FP15" s="1180"/>
      <c r="FQ15" s="1180"/>
      <c r="FR15" s="1180"/>
      <c r="FS15" s="1180"/>
      <c r="FT15" s="1180"/>
      <c r="FU15" s="1180"/>
      <c r="FV15" s="1180"/>
      <c r="FW15" s="1180"/>
      <c r="FX15" s="1180"/>
      <c r="FY15" s="1180"/>
      <c r="FZ15" s="1180"/>
      <c r="GA15" s="1180"/>
    </row>
    <row r="16" spans="1:183" s="1182" customFormat="1" ht="18.75" customHeight="1">
      <c r="A16" s="1118"/>
      <c r="B16" s="1165" t="s">
        <v>1153</v>
      </c>
      <c r="C16" s="1166"/>
      <c r="D16" s="1166"/>
      <c r="E16" s="1166"/>
      <c r="F16" s="1166"/>
      <c r="G16" s="1166"/>
      <c r="H16" s="1166"/>
      <c r="I16"/>
      <c r="J16" s="1180"/>
      <c r="K16" s="1180"/>
      <c r="L16" s="1180"/>
      <c r="M16" s="1180"/>
      <c r="N16" s="1180"/>
      <c r="O16" s="1180"/>
      <c r="P16" s="1180"/>
      <c r="Q16" s="1180"/>
      <c r="R16" s="1180"/>
      <c r="S16" s="1180"/>
      <c r="T16" s="1180"/>
      <c r="U16" s="1180"/>
      <c r="V16" s="1180"/>
      <c r="W16" s="1180"/>
      <c r="X16" s="1180"/>
      <c r="Y16" s="1180"/>
      <c r="Z16" s="1180"/>
      <c r="AA16" s="1180"/>
      <c r="AB16" s="1180"/>
      <c r="AC16" s="1180"/>
      <c r="AD16" s="1180"/>
      <c r="AE16" s="1180"/>
      <c r="AF16" s="1180"/>
      <c r="AG16" s="1180"/>
      <c r="AH16" s="1180"/>
      <c r="AI16" s="1180"/>
      <c r="AJ16" s="1180"/>
      <c r="AK16" s="1180"/>
      <c r="AL16" s="1180"/>
      <c r="AM16" s="1180"/>
      <c r="AN16" s="1180"/>
      <c r="AO16" s="1180"/>
      <c r="AP16" s="1180"/>
      <c r="AQ16" s="1180"/>
      <c r="AR16" s="1180"/>
      <c r="AS16" s="1180"/>
      <c r="AT16" s="1180"/>
      <c r="AU16" s="1180"/>
      <c r="AV16" s="1180"/>
      <c r="AW16" s="1180"/>
      <c r="AX16" s="1180"/>
      <c r="AY16" s="1180"/>
      <c r="AZ16" s="1180"/>
      <c r="BA16" s="1180"/>
      <c r="BB16" s="1180"/>
      <c r="BC16" s="1180"/>
      <c r="BD16" s="1180"/>
      <c r="BE16" s="1180"/>
      <c r="BF16" s="1180"/>
      <c r="BG16" s="1180"/>
      <c r="BH16" s="1180"/>
      <c r="BI16" s="1180"/>
      <c r="BJ16" s="1180"/>
      <c r="BK16" s="1180"/>
      <c r="BL16" s="1180"/>
      <c r="BM16" s="1180"/>
      <c r="BN16" s="1180"/>
      <c r="BO16" s="1180"/>
      <c r="BP16" s="1180"/>
      <c r="BQ16" s="1180"/>
      <c r="BR16" s="1180"/>
      <c r="BS16" s="1180"/>
      <c r="BT16" s="1180"/>
      <c r="BU16" s="1180"/>
      <c r="BV16" s="1180"/>
      <c r="BW16" s="1180"/>
      <c r="BX16" s="1180"/>
      <c r="BY16" s="1180"/>
      <c r="BZ16" s="1180"/>
      <c r="CA16" s="1180"/>
      <c r="CB16" s="1180"/>
      <c r="CC16" s="1180"/>
      <c r="CD16" s="1180"/>
      <c r="CE16" s="1180"/>
      <c r="CF16" s="1180"/>
      <c r="CG16" s="1180"/>
      <c r="CH16" s="1180"/>
      <c r="CI16" s="1180"/>
      <c r="CJ16" s="1180"/>
      <c r="CK16" s="1180"/>
      <c r="CL16" s="1180"/>
      <c r="CM16" s="1180"/>
      <c r="CN16" s="1180"/>
      <c r="CO16" s="1180"/>
      <c r="CP16" s="1180"/>
      <c r="CQ16" s="1180"/>
      <c r="CR16" s="1180"/>
      <c r="CS16" s="1180"/>
      <c r="CT16" s="1180"/>
      <c r="CU16" s="1180"/>
      <c r="CV16" s="1180"/>
      <c r="CW16" s="1180"/>
      <c r="CX16" s="1180"/>
      <c r="CY16" s="1180"/>
      <c r="CZ16" s="1180"/>
      <c r="DA16" s="1180"/>
      <c r="DB16" s="1180"/>
      <c r="DC16" s="1180"/>
      <c r="DD16" s="1180"/>
      <c r="DE16" s="1180"/>
      <c r="DF16" s="1180"/>
      <c r="DG16" s="1180"/>
      <c r="DH16" s="1180"/>
      <c r="DI16" s="1180"/>
      <c r="DJ16" s="1180"/>
      <c r="DK16" s="1180"/>
      <c r="DL16" s="1180"/>
      <c r="DM16" s="1180"/>
      <c r="DN16" s="1180"/>
      <c r="DO16" s="1180"/>
      <c r="DP16" s="1180"/>
      <c r="DQ16" s="1180"/>
      <c r="DR16" s="1180"/>
      <c r="DS16" s="1180"/>
      <c r="DT16" s="1180"/>
      <c r="DU16" s="1180"/>
      <c r="DV16" s="1180"/>
      <c r="DW16" s="1180"/>
      <c r="DX16" s="1180"/>
      <c r="DY16" s="1180"/>
      <c r="DZ16" s="1180"/>
      <c r="EA16" s="1180"/>
      <c r="EB16" s="1180"/>
      <c r="EC16" s="1180"/>
      <c r="ED16" s="1180"/>
      <c r="EE16" s="1180"/>
      <c r="EF16" s="1180"/>
      <c r="EG16" s="1180"/>
      <c r="EH16" s="1180"/>
      <c r="EI16" s="1180"/>
      <c r="EJ16" s="1180"/>
      <c r="EK16" s="1180"/>
      <c r="EL16" s="1180"/>
      <c r="EM16" s="1180"/>
      <c r="EN16" s="1180"/>
      <c r="EO16" s="1180"/>
      <c r="EP16" s="1180"/>
      <c r="EQ16" s="1180"/>
      <c r="ER16" s="1180"/>
      <c r="ES16" s="1180"/>
      <c r="ET16" s="1180"/>
      <c r="EU16" s="1180"/>
      <c r="EV16" s="1180"/>
      <c r="EW16" s="1180"/>
      <c r="EX16" s="1180"/>
      <c r="EY16" s="1180"/>
      <c r="EZ16" s="1180"/>
      <c r="FA16" s="1180"/>
      <c r="FB16" s="1180"/>
      <c r="FC16" s="1180"/>
      <c r="FD16" s="1180"/>
      <c r="FE16" s="1180"/>
      <c r="FF16" s="1180"/>
      <c r="FG16" s="1180"/>
      <c r="FH16" s="1180"/>
      <c r="FI16" s="1180"/>
      <c r="FJ16" s="1180"/>
      <c r="FK16" s="1180"/>
      <c r="FL16" s="1180"/>
      <c r="FM16" s="1180"/>
      <c r="FN16" s="1180"/>
      <c r="FO16" s="1180"/>
      <c r="FP16" s="1180"/>
      <c r="FQ16" s="1180"/>
      <c r="FR16" s="1180"/>
      <c r="FS16" s="1180"/>
      <c r="FT16" s="1180"/>
      <c r="FU16" s="1180"/>
      <c r="FV16" s="1180"/>
      <c r="FW16" s="1180"/>
      <c r="FX16" s="1180"/>
      <c r="FY16" s="1180"/>
      <c r="FZ16" s="1180"/>
      <c r="GA16" s="1180"/>
    </row>
    <row r="17" spans="1:183" s="1182" customFormat="1" ht="18.75" customHeight="1">
      <c r="A17" s="1118"/>
      <c r="B17" s="1125">
        <v>1</v>
      </c>
      <c r="C17" s="1119" t="s">
        <v>1154</v>
      </c>
      <c r="D17" s="1120">
        <v>8000000</v>
      </c>
      <c r="E17" s="1121"/>
      <c r="F17" s="1122">
        <v>0.3</v>
      </c>
      <c r="G17" s="1123">
        <v>6</v>
      </c>
      <c r="H17" s="1167">
        <f>IF(B17="","",ROUND(B17*(D17+E17)*F17*G17,0))</f>
        <v>14400000</v>
      </c>
      <c r="I17"/>
      <c r="J17" s="1180"/>
      <c r="K17" s="1180"/>
      <c r="L17" s="1180"/>
      <c r="M17" s="1180"/>
      <c r="N17" s="1180"/>
      <c r="O17" s="1180"/>
      <c r="P17" s="1180"/>
      <c r="Q17" s="1180"/>
      <c r="R17" s="1180"/>
      <c r="S17" s="1180"/>
      <c r="T17" s="1180"/>
      <c r="U17" s="1180"/>
      <c r="V17" s="1180"/>
      <c r="W17" s="1180"/>
      <c r="X17" s="1180"/>
      <c r="Y17" s="1180"/>
      <c r="Z17" s="1180"/>
      <c r="AA17" s="1180"/>
      <c r="AB17" s="1180"/>
      <c r="AC17" s="1180"/>
      <c r="AD17" s="1180"/>
      <c r="AE17" s="1180"/>
      <c r="AF17" s="1180"/>
      <c r="AG17" s="1180"/>
      <c r="AH17" s="1180"/>
      <c r="AI17" s="1180"/>
      <c r="AJ17" s="1180"/>
      <c r="AK17" s="1180"/>
      <c r="AL17" s="1180"/>
      <c r="AM17" s="1180"/>
      <c r="AN17" s="1180"/>
      <c r="AO17" s="1180"/>
      <c r="AP17" s="1180"/>
      <c r="AQ17" s="1180"/>
      <c r="AR17" s="1180"/>
      <c r="AS17" s="1180"/>
      <c r="AT17" s="1180"/>
      <c r="AU17" s="1180"/>
      <c r="AV17" s="1180"/>
      <c r="AW17" s="1180"/>
      <c r="AX17" s="1180"/>
      <c r="AY17" s="1180"/>
      <c r="AZ17" s="1180"/>
      <c r="BA17" s="1180"/>
      <c r="BB17" s="1180"/>
      <c r="BC17" s="1180"/>
      <c r="BD17" s="1180"/>
      <c r="BE17" s="1180"/>
      <c r="BF17" s="1180"/>
      <c r="BG17" s="1180"/>
      <c r="BH17" s="1180"/>
      <c r="BI17" s="1180"/>
      <c r="BJ17" s="1180"/>
      <c r="BK17" s="1180"/>
      <c r="BL17" s="1180"/>
      <c r="BM17" s="1180"/>
      <c r="BN17" s="1180"/>
      <c r="BO17" s="1180"/>
      <c r="BP17" s="1180"/>
      <c r="BQ17" s="1180"/>
      <c r="BR17" s="1180"/>
      <c r="BS17" s="1180"/>
      <c r="BT17" s="1180"/>
      <c r="BU17" s="1180"/>
      <c r="BV17" s="1180"/>
      <c r="BW17" s="1180"/>
      <c r="BX17" s="1180"/>
      <c r="BY17" s="1180"/>
      <c r="BZ17" s="1180"/>
      <c r="CA17" s="1180"/>
      <c r="CB17" s="1180"/>
      <c r="CC17" s="1180"/>
      <c r="CD17" s="1180"/>
      <c r="CE17" s="1180"/>
      <c r="CF17" s="1180"/>
      <c r="CG17" s="1180"/>
      <c r="CH17" s="1180"/>
      <c r="CI17" s="1180"/>
      <c r="CJ17" s="1180"/>
      <c r="CK17" s="1180"/>
      <c r="CL17" s="1180"/>
      <c r="CM17" s="1180"/>
      <c r="CN17" s="1180"/>
      <c r="CO17" s="1180"/>
      <c r="CP17" s="1180"/>
      <c r="CQ17" s="1180"/>
      <c r="CR17" s="1180"/>
      <c r="CS17" s="1180"/>
      <c r="CT17" s="1180"/>
      <c r="CU17" s="1180"/>
      <c r="CV17" s="1180"/>
      <c r="CW17" s="1180"/>
      <c r="CX17" s="1180"/>
      <c r="CY17" s="1180"/>
      <c r="CZ17" s="1180"/>
      <c r="DA17" s="1180"/>
      <c r="DB17" s="1180"/>
      <c r="DC17" s="1180"/>
      <c r="DD17" s="1180"/>
      <c r="DE17" s="1180"/>
      <c r="DF17" s="1180"/>
      <c r="DG17" s="1180"/>
      <c r="DH17" s="1180"/>
      <c r="DI17" s="1180"/>
      <c r="DJ17" s="1180"/>
      <c r="DK17" s="1180"/>
      <c r="DL17" s="1180"/>
      <c r="DM17" s="1180"/>
      <c r="DN17" s="1180"/>
      <c r="DO17" s="1180"/>
      <c r="DP17" s="1180"/>
      <c r="DQ17" s="1180"/>
      <c r="DR17" s="1180"/>
      <c r="DS17" s="1180"/>
      <c r="DT17" s="1180"/>
      <c r="DU17" s="1180"/>
      <c r="DV17" s="1180"/>
      <c r="DW17" s="1180"/>
      <c r="DX17" s="1180"/>
      <c r="DY17" s="1180"/>
      <c r="DZ17" s="1180"/>
      <c r="EA17" s="1180"/>
      <c r="EB17" s="1180"/>
      <c r="EC17" s="1180"/>
      <c r="ED17" s="1180"/>
      <c r="EE17" s="1180"/>
      <c r="EF17" s="1180"/>
      <c r="EG17" s="1180"/>
      <c r="EH17" s="1180"/>
      <c r="EI17" s="1180"/>
      <c r="EJ17" s="1180"/>
      <c r="EK17" s="1180"/>
      <c r="EL17" s="1180"/>
      <c r="EM17" s="1180"/>
      <c r="EN17" s="1180"/>
      <c r="EO17" s="1180"/>
      <c r="EP17" s="1180"/>
      <c r="EQ17" s="1180"/>
      <c r="ER17" s="1180"/>
      <c r="ES17" s="1180"/>
      <c r="ET17" s="1180"/>
      <c r="EU17" s="1180"/>
      <c r="EV17" s="1180"/>
      <c r="EW17" s="1180"/>
      <c r="EX17" s="1180"/>
      <c r="EY17" s="1180"/>
      <c r="EZ17" s="1180"/>
      <c r="FA17" s="1180"/>
      <c r="FB17" s="1180"/>
      <c r="FC17" s="1180"/>
      <c r="FD17" s="1180"/>
      <c r="FE17" s="1180"/>
      <c r="FF17" s="1180"/>
      <c r="FG17" s="1180"/>
      <c r="FH17" s="1180"/>
      <c r="FI17" s="1180"/>
      <c r="FJ17" s="1180"/>
      <c r="FK17" s="1180"/>
      <c r="FL17" s="1180"/>
      <c r="FM17" s="1180"/>
      <c r="FN17" s="1180"/>
      <c r="FO17" s="1180"/>
      <c r="FP17" s="1180"/>
      <c r="FQ17" s="1180"/>
      <c r="FR17" s="1180"/>
      <c r="FS17" s="1180"/>
      <c r="FT17" s="1180"/>
      <c r="FU17" s="1180"/>
      <c r="FV17" s="1180"/>
      <c r="FW17" s="1180"/>
      <c r="FX17" s="1180"/>
      <c r="FY17" s="1180"/>
      <c r="FZ17" s="1180"/>
      <c r="GA17" s="1180"/>
    </row>
    <row r="18" spans="1:183" s="1182" customFormat="1" ht="18.75" customHeight="1">
      <c r="A18" s="1118"/>
      <c r="B18" s="1165" t="s">
        <v>1159</v>
      </c>
      <c r="C18" s="1166"/>
      <c r="D18" s="1166"/>
      <c r="E18" s="1166"/>
      <c r="F18" s="1166"/>
      <c r="G18" s="1166"/>
      <c r="H18" s="1166"/>
      <c r="I18"/>
      <c r="J18" s="1180"/>
      <c r="K18" s="1180"/>
      <c r="L18" s="1180"/>
      <c r="M18" s="1180"/>
      <c r="N18" s="1180"/>
      <c r="O18" s="1180"/>
      <c r="P18" s="1180"/>
      <c r="Q18" s="1180"/>
      <c r="R18" s="1180"/>
      <c r="S18" s="1180"/>
      <c r="T18" s="1180"/>
      <c r="U18" s="1180"/>
      <c r="V18" s="1180"/>
      <c r="W18" s="1180"/>
      <c r="X18" s="1180"/>
      <c r="Y18" s="1180"/>
      <c r="Z18" s="1180"/>
      <c r="AA18" s="1180"/>
      <c r="AB18" s="1180"/>
      <c r="AC18" s="1180"/>
      <c r="AD18" s="1180"/>
      <c r="AE18" s="1180"/>
      <c r="AF18" s="1180"/>
      <c r="AG18" s="1180"/>
      <c r="AH18" s="1180"/>
      <c r="AI18" s="1180"/>
      <c r="AJ18" s="1180"/>
      <c r="AK18" s="1180"/>
      <c r="AL18" s="1180"/>
      <c r="AM18" s="1180"/>
      <c r="AN18" s="1180"/>
      <c r="AO18" s="1180"/>
      <c r="AP18" s="1180"/>
      <c r="AQ18" s="1180"/>
      <c r="AR18" s="1180"/>
      <c r="AS18" s="1180"/>
      <c r="AT18" s="1180"/>
      <c r="AU18" s="1180"/>
      <c r="AV18" s="1180"/>
      <c r="AW18" s="1180"/>
      <c r="AX18" s="1180"/>
      <c r="AY18" s="1180"/>
      <c r="AZ18" s="1180"/>
      <c r="BA18" s="1180"/>
      <c r="BB18" s="1180"/>
      <c r="BC18" s="1180"/>
      <c r="BD18" s="1180"/>
      <c r="BE18" s="1180"/>
      <c r="BF18" s="1180"/>
      <c r="BG18" s="1180"/>
      <c r="BH18" s="1180"/>
      <c r="BI18" s="1180"/>
      <c r="BJ18" s="1180"/>
      <c r="BK18" s="1180"/>
      <c r="BL18" s="1180"/>
      <c r="BM18" s="1180"/>
      <c r="BN18" s="1180"/>
      <c r="BO18" s="1180"/>
      <c r="BP18" s="1180"/>
      <c r="BQ18" s="1180"/>
      <c r="BR18" s="1180"/>
      <c r="BS18" s="1180"/>
      <c r="BT18" s="1180"/>
      <c r="BU18" s="1180"/>
      <c r="BV18" s="1180"/>
      <c r="BW18" s="1180"/>
      <c r="BX18" s="1180"/>
      <c r="BY18" s="1180"/>
      <c r="BZ18" s="1180"/>
      <c r="CA18" s="1180"/>
      <c r="CB18" s="1180"/>
      <c r="CC18" s="1180"/>
      <c r="CD18" s="1180"/>
      <c r="CE18" s="1180"/>
      <c r="CF18" s="1180"/>
      <c r="CG18" s="1180"/>
      <c r="CH18" s="1180"/>
      <c r="CI18" s="1180"/>
      <c r="CJ18" s="1180"/>
      <c r="CK18" s="1180"/>
      <c r="CL18" s="1180"/>
      <c r="CM18" s="1180"/>
      <c r="CN18" s="1180"/>
      <c r="CO18" s="1180"/>
      <c r="CP18" s="1180"/>
      <c r="CQ18" s="1180"/>
      <c r="CR18" s="1180"/>
      <c r="CS18" s="1180"/>
      <c r="CT18" s="1180"/>
      <c r="CU18" s="1180"/>
      <c r="CV18" s="1180"/>
      <c r="CW18" s="1180"/>
      <c r="CX18" s="1180"/>
      <c r="CY18" s="1180"/>
      <c r="CZ18" s="1180"/>
      <c r="DA18" s="1180"/>
      <c r="DB18" s="1180"/>
      <c r="DC18" s="1180"/>
      <c r="DD18" s="1180"/>
      <c r="DE18" s="1180"/>
      <c r="DF18" s="1180"/>
      <c r="DG18" s="1180"/>
      <c r="DH18" s="1180"/>
      <c r="DI18" s="1180"/>
      <c r="DJ18" s="1180"/>
      <c r="DK18" s="1180"/>
      <c r="DL18" s="1180"/>
      <c r="DM18" s="1180"/>
      <c r="DN18" s="1180"/>
      <c r="DO18" s="1180"/>
      <c r="DP18" s="1180"/>
      <c r="DQ18" s="1180"/>
      <c r="DR18" s="1180"/>
      <c r="DS18" s="1180"/>
      <c r="DT18" s="1180"/>
      <c r="DU18" s="1180"/>
      <c r="DV18" s="1180"/>
      <c r="DW18" s="1180"/>
      <c r="DX18" s="1180"/>
      <c r="DY18" s="1180"/>
      <c r="DZ18" s="1180"/>
      <c r="EA18" s="1180"/>
      <c r="EB18" s="1180"/>
      <c r="EC18" s="1180"/>
      <c r="ED18" s="1180"/>
      <c r="EE18" s="1180"/>
      <c r="EF18" s="1180"/>
      <c r="EG18" s="1180"/>
      <c r="EH18" s="1180"/>
      <c r="EI18" s="1180"/>
      <c r="EJ18" s="1180"/>
      <c r="EK18" s="1180"/>
      <c r="EL18" s="1180"/>
      <c r="EM18" s="1180"/>
      <c r="EN18" s="1180"/>
      <c r="EO18" s="1180"/>
      <c r="EP18" s="1180"/>
      <c r="EQ18" s="1180"/>
      <c r="ER18" s="1180"/>
      <c r="ES18" s="1180"/>
      <c r="ET18" s="1180"/>
      <c r="EU18" s="1180"/>
      <c r="EV18" s="1180"/>
      <c r="EW18" s="1180"/>
      <c r="EX18" s="1180"/>
      <c r="EY18" s="1180"/>
      <c r="EZ18" s="1180"/>
      <c r="FA18" s="1180"/>
      <c r="FB18" s="1180"/>
      <c r="FC18" s="1180"/>
      <c r="FD18" s="1180"/>
      <c r="FE18" s="1180"/>
      <c r="FF18" s="1180"/>
      <c r="FG18" s="1180"/>
      <c r="FH18" s="1180"/>
      <c r="FI18" s="1180"/>
      <c r="FJ18" s="1180"/>
      <c r="FK18" s="1180"/>
      <c r="FL18" s="1180"/>
      <c r="FM18" s="1180"/>
      <c r="FN18" s="1180"/>
      <c r="FO18" s="1180"/>
      <c r="FP18" s="1180"/>
      <c r="FQ18" s="1180"/>
      <c r="FR18" s="1180"/>
      <c r="FS18" s="1180"/>
      <c r="FT18" s="1180"/>
      <c r="FU18" s="1180"/>
      <c r="FV18" s="1180"/>
      <c r="FW18" s="1180"/>
      <c r="FX18" s="1180"/>
      <c r="FY18" s="1180"/>
      <c r="FZ18" s="1180"/>
      <c r="GA18" s="1180"/>
    </row>
    <row r="19" spans="1:183" s="1182" customFormat="1" ht="18.75" customHeight="1">
      <c r="A19" s="1118"/>
      <c r="B19" s="1125">
        <v>1</v>
      </c>
      <c r="C19" s="1119" t="s">
        <v>1160</v>
      </c>
      <c r="D19" s="1120">
        <v>1600000</v>
      </c>
      <c r="E19" s="1121"/>
      <c r="F19" s="1122">
        <v>0.3</v>
      </c>
      <c r="G19" s="1123">
        <v>6</v>
      </c>
      <c r="H19" s="1167">
        <f>IF(B19="","",ROUND(B19*(D19+E19)*F19*G19,0))</f>
        <v>2880000</v>
      </c>
      <c r="I19"/>
      <c r="J19" s="1180"/>
      <c r="K19" s="1180"/>
      <c r="L19" s="1180"/>
      <c r="M19" s="1180"/>
      <c r="N19" s="1180"/>
      <c r="O19" s="1180"/>
      <c r="P19" s="1180"/>
      <c r="Q19" s="1180"/>
      <c r="R19" s="1180"/>
      <c r="S19" s="1180"/>
      <c r="T19" s="1180"/>
      <c r="U19" s="1180"/>
      <c r="V19" s="1180"/>
      <c r="W19" s="1180"/>
      <c r="X19" s="1180"/>
      <c r="Y19" s="1180"/>
      <c r="Z19" s="1180"/>
      <c r="AA19" s="1180"/>
      <c r="AB19" s="1180"/>
      <c r="AC19" s="1180"/>
      <c r="AD19" s="1180"/>
      <c r="AE19" s="1180"/>
      <c r="AF19" s="1180"/>
      <c r="AG19" s="1180"/>
      <c r="AH19" s="1180"/>
      <c r="AI19" s="1180"/>
      <c r="AJ19" s="1180"/>
      <c r="AK19" s="1180"/>
      <c r="AL19" s="1180"/>
      <c r="AM19" s="1180"/>
      <c r="AN19" s="1180"/>
      <c r="AO19" s="1180"/>
      <c r="AP19" s="1180"/>
      <c r="AQ19" s="1180"/>
      <c r="AR19" s="1180"/>
      <c r="AS19" s="1180"/>
      <c r="AT19" s="1180"/>
      <c r="AU19" s="1180"/>
      <c r="AV19" s="1180"/>
      <c r="AW19" s="1180"/>
      <c r="AX19" s="1180"/>
      <c r="AY19" s="1180"/>
      <c r="AZ19" s="1180"/>
      <c r="BA19" s="1180"/>
      <c r="BB19" s="1180"/>
      <c r="BC19" s="1180"/>
      <c r="BD19" s="1180"/>
      <c r="BE19" s="1180"/>
      <c r="BF19" s="1180"/>
      <c r="BG19" s="1180"/>
      <c r="BH19" s="1180"/>
      <c r="BI19" s="1180"/>
      <c r="BJ19" s="1180"/>
      <c r="BK19" s="1180"/>
      <c r="BL19" s="1180"/>
      <c r="BM19" s="1180"/>
      <c r="BN19" s="1180"/>
      <c r="BO19" s="1180"/>
      <c r="BP19" s="1180"/>
      <c r="BQ19" s="1180"/>
      <c r="BR19" s="1180"/>
      <c r="BS19" s="1180"/>
      <c r="BT19" s="1180"/>
      <c r="BU19" s="1180"/>
      <c r="BV19" s="1180"/>
      <c r="BW19" s="1180"/>
      <c r="BX19" s="1180"/>
      <c r="BY19" s="1180"/>
      <c r="BZ19" s="1180"/>
      <c r="CA19" s="1180"/>
      <c r="CB19" s="1180"/>
      <c r="CC19" s="1180"/>
      <c r="CD19" s="1180"/>
      <c r="CE19" s="1180"/>
      <c r="CF19" s="1180"/>
      <c r="CG19" s="1180"/>
      <c r="CH19" s="1180"/>
      <c r="CI19" s="1180"/>
      <c r="CJ19" s="1180"/>
      <c r="CK19" s="1180"/>
      <c r="CL19" s="1180"/>
      <c r="CM19" s="1180"/>
      <c r="CN19" s="1180"/>
      <c r="CO19" s="1180"/>
      <c r="CP19" s="1180"/>
      <c r="CQ19" s="1180"/>
      <c r="CR19" s="1180"/>
      <c r="CS19" s="1180"/>
      <c r="CT19" s="1180"/>
      <c r="CU19" s="1180"/>
      <c r="CV19" s="1180"/>
      <c r="CW19" s="1180"/>
      <c r="CX19" s="1180"/>
      <c r="CY19" s="1180"/>
      <c r="CZ19" s="1180"/>
      <c r="DA19" s="1180"/>
      <c r="DB19" s="1180"/>
      <c r="DC19" s="1180"/>
      <c r="DD19" s="1180"/>
      <c r="DE19" s="1180"/>
      <c r="DF19" s="1180"/>
      <c r="DG19" s="1180"/>
      <c r="DH19" s="1180"/>
      <c r="DI19" s="1180"/>
      <c r="DJ19" s="1180"/>
      <c r="DK19" s="1180"/>
      <c r="DL19" s="1180"/>
      <c r="DM19" s="1180"/>
      <c r="DN19" s="1180"/>
      <c r="DO19" s="1180"/>
      <c r="DP19" s="1180"/>
      <c r="DQ19" s="1180"/>
      <c r="DR19" s="1180"/>
      <c r="DS19" s="1180"/>
      <c r="DT19" s="1180"/>
      <c r="DU19" s="1180"/>
      <c r="DV19" s="1180"/>
      <c r="DW19" s="1180"/>
      <c r="DX19" s="1180"/>
      <c r="DY19" s="1180"/>
      <c r="DZ19" s="1180"/>
      <c r="EA19" s="1180"/>
      <c r="EB19" s="1180"/>
      <c r="EC19" s="1180"/>
      <c r="ED19" s="1180"/>
      <c r="EE19" s="1180"/>
      <c r="EF19" s="1180"/>
      <c r="EG19" s="1180"/>
      <c r="EH19" s="1180"/>
      <c r="EI19" s="1180"/>
      <c r="EJ19" s="1180"/>
      <c r="EK19" s="1180"/>
      <c r="EL19" s="1180"/>
      <c r="EM19" s="1180"/>
      <c r="EN19" s="1180"/>
      <c r="EO19" s="1180"/>
      <c r="EP19" s="1180"/>
      <c r="EQ19" s="1180"/>
      <c r="ER19" s="1180"/>
      <c r="ES19" s="1180"/>
      <c r="ET19" s="1180"/>
      <c r="EU19" s="1180"/>
      <c r="EV19" s="1180"/>
      <c r="EW19" s="1180"/>
      <c r="EX19" s="1180"/>
      <c r="EY19" s="1180"/>
      <c r="EZ19" s="1180"/>
      <c r="FA19" s="1180"/>
      <c r="FB19" s="1180"/>
      <c r="FC19" s="1180"/>
      <c r="FD19" s="1180"/>
      <c r="FE19" s="1180"/>
      <c r="FF19" s="1180"/>
      <c r="FG19" s="1180"/>
      <c r="FH19" s="1180"/>
      <c r="FI19" s="1180"/>
      <c r="FJ19" s="1180"/>
      <c r="FK19" s="1180"/>
      <c r="FL19" s="1180"/>
      <c r="FM19" s="1180"/>
      <c r="FN19" s="1180"/>
      <c r="FO19" s="1180"/>
      <c r="FP19" s="1180"/>
      <c r="FQ19" s="1180"/>
      <c r="FR19" s="1180"/>
      <c r="FS19" s="1180"/>
      <c r="FT19" s="1180"/>
      <c r="FU19" s="1180"/>
      <c r="FV19" s="1180"/>
      <c r="FW19" s="1180"/>
      <c r="FX19" s="1180"/>
      <c r="FY19" s="1180"/>
      <c r="FZ19" s="1180"/>
      <c r="GA19" s="1180"/>
    </row>
    <row r="20" spans="1:183" s="1182" customFormat="1">
      <c r="A20" s="1118"/>
      <c r="B20" s="1825" t="s">
        <v>1161</v>
      </c>
      <c r="C20" s="1825"/>
      <c r="D20" s="1825"/>
      <c r="E20" s="1825"/>
      <c r="F20" s="1825"/>
      <c r="G20" s="1825"/>
      <c r="H20" s="1168">
        <f>+SUM(H17:H17)+SUM(H19:H19)</f>
        <v>17280000</v>
      </c>
      <c r="I20"/>
      <c r="J20" s="1180"/>
      <c r="K20" s="1180"/>
      <c r="L20" s="1180"/>
      <c r="M20" s="1180"/>
      <c r="N20" s="1180"/>
      <c r="O20" s="1180"/>
      <c r="P20" s="1180"/>
      <c r="Q20" s="1180"/>
      <c r="R20" s="1180"/>
      <c r="S20" s="1180"/>
      <c r="T20" s="1180"/>
      <c r="U20" s="1180"/>
      <c r="V20" s="1180"/>
      <c r="W20" s="1180"/>
      <c r="X20" s="1180"/>
      <c r="Y20" s="1180"/>
      <c r="Z20" s="1180"/>
      <c r="AA20" s="1180"/>
      <c r="AB20" s="1180"/>
      <c r="AC20" s="1180"/>
      <c r="AD20" s="1180"/>
      <c r="AE20" s="1180"/>
      <c r="AF20" s="1180"/>
      <c r="AG20" s="1180"/>
      <c r="AH20" s="1180"/>
      <c r="AI20" s="1180"/>
      <c r="AJ20" s="1180"/>
      <c r="AK20" s="1180"/>
      <c r="AL20" s="1180"/>
      <c r="AM20" s="1180"/>
      <c r="AN20" s="1180"/>
      <c r="AO20" s="1180"/>
      <c r="AP20" s="1180"/>
      <c r="AQ20" s="1180"/>
      <c r="AR20" s="1180"/>
      <c r="AS20" s="1180"/>
      <c r="AT20" s="1180"/>
      <c r="AU20" s="1180"/>
      <c r="AV20" s="1180"/>
      <c r="AW20" s="1180"/>
      <c r="AX20" s="1180"/>
      <c r="AY20" s="1180"/>
      <c r="AZ20" s="1180"/>
      <c r="BA20" s="1180"/>
      <c r="BB20" s="1180"/>
      <c r="BC20" s="1180"/>
      <c r="BD20" s="1180"/>
      <c r="BE20" s="1180"/>
      <c r="BF20" s="1180"/>
      <c r="BG20" s="1180"/>
      <c r="BH20" s="1180"/>
      <c r="BI20" s="1180"/>
      <c r="BJ20" s="1180"/>
      <c r="BK20" s="1180"/>
      <c r="BL20" s="1180"/>
      <c r="BM20" s="1180"/>
      <c r="BN20" s="1180"/>
      <c r="BO20" s="1180"/>
      <c r="BP20" s="1180"/>
      <c r="BQ20" s="1180"/>
      <c r="BR20" s="1180"/>
      <c r="BS20" s="1180"/>
      <c r="BT20" s="1180"/>
      <c r="BU20" s="1180"/>
      <c r="BV20" s="1180"/>
      <c r="BW20" s="1180"/>
      <c r="BX20" s="1180"/>
      <c r="BY20" s="1180"/>
      <c r="BZ20" s="1180"/>
      <c r="CA20" s="1180"/>
      <c r="CB20" s="1180"/>
      <c r="CC20" s="1180"/>
      <c r="CD20" s="1180"/>
      <c r="CE20" s="1180"/>
      <c r="CF20" s="1180"/>
      <c r="CG20" s="1180"/>
      <c r="CH20" s="1180"/>
      <c r="CI20" s="1180"/>
      <c r="CJ20" s="1180"/>
      <c r="CK20" s="1180"/>
      <c r="CL20" s="1180"/>
      <c r="CM20" s="1180"/>
      <c r="CN20" s="1180"/>
      <c r="CO20" s="1180"/>
      <c r="CP20" s="1180"/>
      <c r="CQ20" s="1180"/>
      <c r="CR20" s="1180"/>
      <c r="CS20" s="1180"/>
      <c r="CT20" s="1180"/>
      <c r="CU20" s="1180"/>
      <c r="CV20" s="1180"/>
      <c r="CW20" s="1180"/>
      <c r="CX20" s="1180"/>
      <c r="CY20" s="1180"/>
      <c r="CZ20" s="1180"/>
      <c r="DA20" s="1180"/>
      <c r="DB20" s="1180"/>
      <c r="DC20" s="1180"/>
      <c r="DD20" s="1180"/>
      <c r="DE20" s="1180"/>
      <c r="DF20" s="1180"/>
      <c r="DG20" s="1180"/>
      <c r="DH20" s="1180"/>
      <c r="DI20" s="1180"/>
      <c r="DJ20" s="1180"/>
      <c r="DK20" s="1180"/>
      <c r="DL20" s="1180"/>
      <c r="DM20" s="1180"/>
      <c r="DN20" s="1180"/>
      <c r="DO20" s="1180"/>
      <c r="DP20" s="1180"/>
      <c r="DQ20" s="1180"/>
      <c r="DR20" s="1180"/>
      <c r="DS20" s="1180"/>
      <c r="DT20" s="1180"/>
      <c r="DU20" s="1180"/>
      <c r="DV20" s="1180"/>
      <c r="DW20" s="1180"/>
      <c r="DX20" s="1180"/>
      <c r="DY20" s="1180"/>
      <c r="DZ20" s="1180"/>
      <c r="EA20" s="1180"/>
      <c r="EB20" s="1180"/>
      <c r="EC20" s="1180"/>
      <c r="ED20" s="1180"/>
      <c r="EE20" s="1180"/>
      <c r="EF20" s="1180"/>
      <c r="EG20" s="1180"/>
      <c r="EH20" s="1180"/>
      <c r="EI20" s="1180"/>
      <c r="EJ20" s="1180"/>
      <c r="EK20" s="1180"/>
      <c r="EL20" s="1180"/>
      <c r="EM20" s="1180"/>
      <c r="EN20" s="1180"/>
      <c r="EO20" s="1180"/>
      <c r="EP20" s="1180"/>
      <c r="EQ20" s="1180"/>
      <c r="ER20" s="1180"/>
      <c r="ES20" s="1180"/>
      <c r="ET20" s="1180"/>
      <c r="EU20" s="1180"/>
      <c r="EV20" s="1180"/>
      <c r="EW20" s="1180"/>
      <c r="EX20" s="1180"/>
      <c r="EY20" s="1180"/>
      <c r="EZ20" s="1180"/>
      <c r="FA20" s="1180"/>
      <c r="FB20" s="1180"/>
      <c r="FC20" s="1180"/>
      <c r="FD20" s="1180"/>
      <c r="FE20" s="1180"/>
      <c r="FF20" s="1180"/>
      <c r="FG20" s="1180"/>
      <c r="FH20" s="1180"/>
      <c r="FI20" s="1180"/>
      <c r="FJ20" s="1180"/>
      <c r="FK20" s="1180"/>
      <c r="FL20" s="1180"/>
      <c r="FM20" s="1180"/>
      <c r="FN20" s="1180"/>
      <c r="FO20" s="1180"/>
      <c r="FP20" s="1180"/>
      <c r="FQ20" s="1180"/>
      <c r="FR20" s="1180"/>
      <c r="FS20" s="1180"/>
      <c r="FT20" s="1180"/>
      <c r="FU20" s="1180"/>
      <c r="FV20" s="1180"/>
      <c r="FW20" s="1180"/>
      <c r="FX20" s="1180"/>
      <c r="FY20" s="1180"/>
      <c r="FZ20" s="1180"/>
      <c r="GA20" s="1180"/>
    </row>
    <row r="21" spans="1:183" s="1182" customFormat="1">
      <c r="A21" s="1118"/>
      <c r="B21" s="1825" t="s">
        <v>1162</v>
      </c>
      <c r="C21" s="1825"/>
      <c r="D21" s="1825"/>
      <c r="E21" s="1825"/>
      <c r="F21" s="1825"/>
      <c r="G21" s="1825"/>
      <c r="H21" s="1169">
        <v>2.11</v>
      </c>
      <c r="I21"/>
      <c r="J21" s="1180"/>
      <c r="K21" s="1180"/>
      <c r="L21" s="1180"/>
      <c r="M21" s="1180"/>
      <c r="N21" s="1180"/>
      <c r="O21" s="1180"/>
      <c r="P21" s="1180"/>
      <c r="Q21" s="1180"/>
      <c r="R21" s="1180"/>
      <c r="S21" s="1180"/>
      <c r="T21" s="1180"/>
      <c r="U21" s="1180"/>
      <c r="V21" s="1180"/>
      <c r="W21" s="1180"/>
      <c r="X21" s="1180"/>
      <c r="Y21" s="1180"/>
      <c r="Z21" s="1180"/>
      <c r="AA21" s="1180"/>
      <c r="AB21" s="1180"/>
      <c r="AC21" s="1180"/>
      <c r="AD21" s="1180"/>
      <c r="AE21" s="1180"/>
      <c r="AF21" s="1180"/>
      <c r="AG21" s="1180"/>
      <c r="AH21" s="1180"/>
      <c r="AI21" s="1180"/>
      <c r="AJ21" s="1180"/>
      <c r="AK21" s="1180"/>
      <c r="AL21" s="1180"/>
      <c r="AM21" s="1180"/>
      <c r="AN21" s="1180"/>
      <c r="AO21" s="1180"/>
      <c r="AP21" s="1180"/>
      <c r="AQ21" s="1180"/>
      <c r="AR21" s="1180"/>
      <c r="AS21" s="1180"/>
      <c r="AT21" s="1180"/>
      <c r="AU21" s="1180"/>
      <c r="AV21" s="1180"/>
      <c r="AW21" s="1180"/>
      <c r="AX21" s="1180"/>
      <c r="AY21" s="1180"/>
      <c r="AZ21" s="1180"/>
      <c r="BA21" s="1180"/>
      <c r="BB21" s="1180"/>
      <c r="BC21" s="1180"/>
      <c r="BD21" s="1180"/>
      <c r="BE21" s="1180"/>
      <c r="BF21" s="1180"/>
      <c r="BG21" s="1180"/>
      <c r="BH21" s="1180"/>
      <c r="BI21" s="1180"/>
      <c r="BJ21" s="1180"/>
      <c r="BK21" s="1180"/>
      <c r="BL21" s="1180"/>
      <c r="BM21" s="1180"/>
      <c r="BN21" s="1180"/>
      <c r="BO21" s="1180"/>
      <c r="BP21" s="1180"/>
      <c r="BQ21" s="1180"/>
      <c r="BR21" s="1180"/>
      <c r="BS21" s="1180"/>
      <c r="BT21" s="1180"/>
      <c r="BU21" s="1180"/>
      <c r="BV21" s="1180"/>
      <c r="BW21" s="1180"/>
      <c r="BX21" s="1180"/>
      <c r="BY21" s="1180"/>
      <c r="BZ21" s="1180"/>
      <c r="CA21" s="1180"/>
      <c r="CB21" s="1180"/>
      <c r="CC21" s="1180"/>
      <c r="CD21" s="1180"/>
      <c r="CE21" s="1180"/>
      <c r="CF21" s="1180"/>
      <c r="CG21" s="1180"/>
      <c r="CH21" s="1180"/>
      <c r="CI21" s="1180"/>
      <c r="CJ21" s="1180"/>
      <c r="CK21" s="1180"/>
      <c r="CL21" s="1180"/>
      <c r="CM21" s="1180"/>
      <c r="CN21" s="1180"/>
      <c r="CO21" s="1180"/>
      <c r="CP21" s="1180"/>
      <c r="CQ21" s="1180"/>
      <c r="CR21" s="1180"/>
      <c r="CS21" s="1180"/>
      <c r="CT21" s="1180"/>
      <c r="CU21" s="1180"/>
      <c r="CV21" s="1180"/>
      <c r="CW21" s="1180"/>
      <c r="CX21" s="1180"/>
      <c r="CY21" s="1180"/>
      <c r="CZ21" s="1180"/>
      <c r="DA21" s="1180"/>
      <c r="DB21" s="1180"/>
      <c r="DC21" s="1180"/>
      <c r="DD21" s="1180"/>
      <c r="DE21" s="1180"/>
      <c r="DF21" s="1180"/>
      <c r="DG21" s="1180"/>
      <c r="DH21" s="1180"/>
      <c r="DI21" s="1180"/>
      <c r="DJ21" s="1180"/>
      <c r="DK21" s="1180"/>
      <c r="DL21" s="1180"/>
      <c r="DM21" s="1180"/>
      <c r="DN21" s="1180"/>
      <c r="DO21" s="1180"/>
      <c r="DP21" s="1180"/>
      <c r="DQ21" s="1180"/>
      <c r="DR21" s="1180"/>
      <c r="DS21" s="1180"/>
      <c r="DT21" s="1180"/>
      <c r="DU21" s="1180"/>
      <c r="DV21" s="1180"/>
      <c r="DW21" s="1180"/>
      <c r="DX21" s="1180"/>
      <c r="DY21" s="1180"/>
      <c r="DZ21" s="1180"/>
      <c r="EA21" s="1180"/>
      <c r="EB21" s="1180"/>
      <c r="EC21" s="1180"/>
      <c r="ED21" s="1180"/>
      <c r="EE21" s="1180"/>
      <c r="EF21" s="1180"/>
      <c r="EG21" s="1180"/>
      <c r="EH21" s="1180"/>
      <c r="EI21" s="1180"/>
      <c r="EJ21" s="1180"/>
      <c r="EK21" s="1180"/>
      <c r="EL21" s="1180"/>
      <c r="EM21" s="1180"/>
      <c r="EN21" s="1180"/>
      <c r="EO21" s="1180"/>
      <c r="EP21" s="1180"/>
      <c r="EQ21" s="1180"/>
      <c r="ER21" s="1180"/>
      <c r="ES21" s="1180"/>
      <c r="ET21" s="1180"/>
      <c r="EU21" s="1180"/>
      <c r="EV21" s="1180"/>
      <c r="EW21" s="1180"/>
      <c r="EX21" s="1180"/>
      <c r="EY21" s="1180"/>
      <c r="EZ21" s="1180"/>
      <c r="FA21" s="1180"/>
      <c r="FB21" s="1180"/>
      <c r="FC21" s="1180"/>
      <c r="FD21" s="1180"/>
      <c r="FE21" s="1180"/>
      <c r="FF21" s="1180"/>
      <c r="FG21" s="1180"/>
      <c r="FH21" s="1180"/>
      <c r="FI21" s="1180"/>
      <c r="FJ21" s="1180"/>
      <c r="FK21" s="1180"/>
      <c r="FL21" s="1180"/>
      <c r="FM21" s="1180"/>
      <c r="FN21" s="1180"/>
      <c r="FO21" s="1180"/>
      <c r="FP21" s="1180"/>
      <c r="FQ21" s="1180"/>
      <c r="FR21" s="1180"/>
      <c r="FS21" s="1180"/>
      <c r="FT21" s="1180"/>
      <c r="FU21" s="1180"/>
      <c r="FV21" s="1180"/>
      <c r="FW21" s="1180"/>
      <c r="FX21" s="1180"/>
      <c r="FY21" s="1180"/>
      <c r="FZ21" s="1180"/>
      <c r="GA21" s="1180"/>
    </row>
    <row r="22" spans="1:183" s="1182" customFormat="1">
      <c r="A22" s="1118"/>
      <c r="B22" s="1825" t="s">
        <v>1163</v>
      </c>
      <c r="C22" s="1825"/>
      <c r="D22" s="1825"/>
      <c r="E22" s="1825"/>
      <c r="F22" s="1825"/>
      <c r="G22" s="1825"/>
      <c r="H22" s="1170">
        <f>ROUND(H20*H21,0)</f>
        <v>36460800</v>
      </c>
      <c r="I22"/>
      <c r="J22" s="1180"/>
      <c r="K22" s="1180"/>
      <c r="L22" s="1180"/>
      <c r="M22" s="1180"/>
      <c r="N22" s="1180"/>
      <c r="O22" s="1180"/>
      <c r="P22" s="1180"/>
      <c r="Q22" s="1180"/>
      <c r="R22" s="1180"/>
      <c r="S22" s="1180"/>
      <c r="T22" s="1180"/>
      <c r="U22" s="1180"/>
      <c r="V22" s="1180"/>
      <c r="W22" s="1180"/>
      <c r="X22" s="1180"/>
      <c r="Y22" s="1180"/>
      <c r="Z22" s="1180"/>
      <c r="AA22" s="1180"/>
      <c r="AB22" s="1180"/>
      <c r="AC22" s="1180"/>
      <c r="AD22" s="1180"/>
      <c r="AE22" s="1180"/>
      <c r="AF22" s="1180"/>
      <c r="AG22" s="1180"/>
      <c r="AH22" s="1180"/>
      <c r="AI22" s="1180"/>
      <c r="AJ22" s="1180"/>
      <c r="AK22" s="1180"/>
      <c r="AL22" s="1180"/>
      <c r="AM22" s="1180"/>
      <c r="AN22" s="1180"/>
      <c r="AO22" s="1180"/>
      <c r="AP22" s="1180"/>
      <c r="AQ22" s="1180"/>
      <c r="AR22" s="1180"/>
      <c r="AS22" s="1180"/>
      <c r="AT22" s="1180"/>
      <c r="AU22" s="1180"/>
      <c r="AV22" s="1180"/>
      <c r="AW22" s="1180"/>
      <c r="AX22" s="1180"/>
      <c r="AY22" s="1180"/>
      <c r="AZ22" s="1180"/>
      <c r="BA22" s="1180"/>
      <c r="BB22" s="1180"/>
      <c r="BC22" s="1180"/>
      <c r="BD22" s="1180"/>
      <c r="BE22" s="1180"/>
      <c r="BF22" s="1180"/>
      <c r="BG22" s="1180"/>
      <c r="BH22" s="1180"/>
      <c r="BI22" s="1180"/>
      <c r="BJ22" s="1180"/>
      <c r="BK22" s="1180"/>
      <c r="BL22" s="1180"/>
      <c r="BM22" s="1180"/>
      <c r="BN22" s="1180"/>
      <c r="BO22" s="1180"/>
      <c r="BP22" s="1180"/>
      <c r="BQ22" s="1180"/>
      <c r="BR22" s="1180"/>
      <c r="BS22" s="1180"/>
      <c r="BT22" s="1180"/>
      <c r="BU22" s="1180"/>
      <c r="BV22" s="1180"/>
      <c r="BW22" s="1180"/>
      <c r="BX22" s="1180"/>
      <c r="BY22" s="1180"/>
      <c r="BZ22" s="1180"/>
      <c r="CA22" s="1180"/>
      <c r="CB22" s="1180"/>
      <c r="CC22" s="1180"/>
      <c r="CD22" s="1180"/>
      <c r="CE22" s="1180"/>
      <c r="CF22" s="1180"/>
      <c r="CG22" s="1180"/>
      <c r="CH22" s="1180"/>
      <c r="CI22" s="1180"/>
      <c r="CJ22" s="1180"/>
      <c r="CK22" s="1180"/>
      <c r="CL22" s="1180"/>
      <c r="CM22" s="1180"/>
      <c r="CN22" s="1180"/>
      <c r="CO22" s="1180"/>
      <c r="CP22" s="1180"/>
      <c r="CQ22" s="1180"/>
      <c r="CR22" s="1180"/>
      <c r="CS22" s="1180"/>
      <c r="CT22" s="1180"/>
      <c r="CU22" s="1180"/>
      <c r="CV22" s="1180"/>
      <c r="CW22" s="1180"/>
      <c r="CX22" s="1180"/>
      <c r="CY22" s="1180"/>
      <c r="CZ22" s="1180"/>
      <c r="DA22" s="1180"/>
      <c r="DB22" s="1180"/>
      <c r="DC22" s="1180"/>
      <c r="DD22" s="1180"/>
      <c r="DE22" s="1180"/>
      <c r="DF22" s="1180"/>
      <c r="DG22" s="1180"/>
      <c r="DH22" s="1180"/>
      <c r="DI22" s="1180"/>
      <c r="DJ22" s="1180"/>
      <c r="DK22" s="1180"/>
      <c r="DL22" s="1180"/>
      <c r="DM22" s="1180"/>
      <c r="DN22" s="1180"/>
      <c r="DO22" s="1180"/>
      <c r="DP22" s="1180"/>
      <c r="DQ22" s="1180"/>
      <c r="DR22" s="1180"/>
      <c r="DS22" s="1180"/>
      <c r="DT22" s="1180"/>
      <c r="DU22" s="1180"/>
      <c r="DV22" s="1180"/>
      <c r="DW22" s="1180"/>
      <c r="DX22" s="1180"/>
      <c r="DY22" s="1180"/>
      <c r="DZ22" s="1180"/>
      <c r="EA22" s="1180"/>
      <c r="EB22" s="1180"/>
      <c r="EC22" s="1180"/>
      <c r="ED22" s="1180"/>
      <c r="EE22" s="1180"/>
      <c r="EF22" s="1180"/>
      <c r="EG22" s="1180"/>
      <c r="EH22" s="1180"/>
      <c r="EI22" s="1180"/>
      <c r="EJ22" s="1180"/>
      <c r="EK22" s="1180"/>
      <c r="EL22" s="1180"/>
      <c r="EM22" s="1180"/>
      <c r="EN22" s="1180"/>
      <c r="EO22" s="1180"/>
      <c r="EP22" s="1180"/>
      <c r="EQ22" s="1180"/>
      <c r="ER22" s="1180"/>
      <c r="ES22" s="1180"/>
      <c r="ET22" s="1180"/>
      <c r="EU22" s="1180"/>
      <c r="EV22" s="1180"/>
      <c r="EW22" s="1180"/>
      <c r="EX22" s="1180"/>
      <c r="EY22" s="1180"/>
      <c r="EZ22" s="1180"/>
      <c r="FA22" s="1180"/>
      <c r="FB22" s="1180"/>
      <c r="FC22" s="1180"/>
      <c r="FD22" s="1180"/>
      <c r="FE22" s="1180"/>
      <c r="FF22" s="1180"/>
      <c r="FG22" s="1180"/>
      <c r="FH22" s="1180"/>
      <c r="FI22" s="1180"/>
      <c r="FJ22" s="1180"/>
      <c r="FK22" s="1180"/>
      <c r="FL22" s="1180"/>
      <c r="FM22" s="1180"/>
      <c r="FN22" s="1180"/>
      <c r="FO22" s="1180"/>
      <c r="FP22" s="1180"/>
      <c r="FQ22" s="1180"/>
      <c r="FR22" s="1180"/>
      <c r="FS22" s="1180"/>
      <c r="FT22" s="1180"/>
      <c r="FU22" s="1180"/>
      <c r="FV22" s="1180"/>
      <c r="FW22" s="1180"/>
      <c r="FX22" s="1180"/>
      <c r="FY22" s="1180"/>
      <c r="FZ22" s="1180"/>
      <c r="GA22" s="1180"/>
    </row>
    <row r="23" spans="1:183" s="1182" customFormat="1" ht="26.1" customHeight="1">
      <c r="A23" s="1118"/>
      <c r="B23" s="1816" t="s">
        <v>1137</v>
      </c>
      <c r="C23" s="1816" t="s">
        <v>1164</v>
      </c>
      <c r="D23" s="1816" t="s">
        <v>1024</v>
      </c>
      <c r="E23" s="1817" t="s">
        <v>1165</v>
      </c>
      <c r="F23" s="1817" t="s">
        <v>1140</v>
      </c>
      <c r="G23" s="1817" t="s">
        <v>1166</v>
      </c>
      <c r="H23" s="1817" t="s">
        <v>1167</v>
      </c>
      <c r="I23"/>
      <c r="J23" s="1180"/>
      <c r="K23" s="1180"/>
      <c r="L23" s="1180"/>
      <c r="M23" s="1180"/>
      <c r="N23" s="1180"/>
      <c r="O23" s="1180"/>
      <c r="P23" s="1180"/>
      <c r="Q23" s="1180"/>
      <c r="R23" s="1180"/>
      <c r="S23" s="1180"/>
      <c r="T23" s="1180"/>
      <c r="U23" s="1180"/>
      <c r="V23" s="1180"/>
      <c r="W23" s="1180"/>
      <c r="X23" s="1180"/>
      <c r="Y23" s="1180"/>
      <c r="Z23" s="1180"/>
      <c r="AA23" s="1180"/>
      <c r="AB23" s="1180"/>
      <c r="AC23" s="1180"/>
      <c r="AD23" s="1180"/>
      <c r="AE23" s="1180"/>
      <c r="AF23" s="1180"/>
      <c r="AG23" s="1180"/>
      <c r="AH23" s="1180"/>
      <c r="AI23" s="1180"/>
      <c r="AJ23" s="1180"/>
      <c r="AK23" s="1180"/>
      <c r="AL23" s="1180"/>
      <c r="AM23" s="1180"/>
      <c r="AN23" s="1180"/>
      <c r="AO23" s="1180"/>
      <c r="AP23" s="1180"/>
      <c r="AQ23" s="1180"/>
      <c r="AR23" s="1180"/>
      <c r="AS23" s="1180"/>
      <c r="AT23" s="1180"/>
      <c r="AU23" s="1180"/>
      <c r="AV23" s="1180"/>
      <c r="AW23" s="1180"/>
      <c r="AX23" s="1180"/>
      <c r="AY23" s="1180"/>
      <c r="AZ23" s="1180"/>
      <c r="BA23" s="1180"/>
      <c r="BB23" s="1180"/>
      <c r="BC23" s="1180"/>
      <c r="BD23" s="1180"/>
      <c r="BE23" s="1180"/>
      <c r="BF23" s="1180"/>
      <c r="BG23" s="1180"/>
      <c r="BH23" s="1180"/>
      <c r="BI23" s="1180"/>
      <c r="BJ23" s="1180"/>
      <c r="BK23" s="1180"/>
      <c r="BL23" s="1180"/>
      <c r="BM23" s="1180"/>
      <c r="BN23" s="1180"/>
      <c r="BO23" s="1180"/>
      <c r="BP23" s="1180"/>
      <c r="BQ23" s="1180"/>
      <c r="BR23" s="1180"/>
      <c r="BS23" s="1180"/>
      <c r="BT23" s="1180"/>
      <c r="BU23" s="1180"/>
      <c r="BV23" s="1180"/>
      <c r="BW23" s="1180"/>
      <c r="BX23" s="1180"/>
      <c r="BY23" s="1180"/>
      <c r="BZ23" s="1180"/>
      <c r="CA23" s="1180"/>
      <c r="CB23" s="1180"/>
      <c r="CC23" s="1180"/>
      <c r="CD23" s="1180"/>
      <c r="CE23" s="1180"/>
      <c r="CF23" s="1180"/>
      <c r="CG23" s="1180"/>
      <c r="CH23" s="1180"/>
      <c r="CI23" s="1180"/>
      <c r="CJ23" s="1180"/>
      <c r="CK23" s="1180"/>
      <c r="CL23" s="1180"/>
      <c r="CM23" s="1180"/>
      <c r="CN23" s="1180"/>
      <c r="CO23" s="1180"/>
      <c r="CP23" s="1180"/>
      <c r="CQ23" s="1180"/>
      <c r="CR23" s="1180"/>
      <c r="CS23" s="1180"/>
      <c r="CT23" s="1180"/>
      <c r="CU23" s="1180"/>
      <c r="CV23" s="1180"/>
      <c r="CW23" s="1180"/>
      <c r="CX23" s="1180"/>
      <c r="CY23" s="1180"/>
      <c r="CZ23" s="1180"/>
      <c r="DA23" s="1180"/>
      <c r="DB23" s="1180"/>
      <c r="DC23" s="1180"/>
      <c r="DD23" s="1180"/>
      <c r="DE23" s="1180"/>
      <c r="DF23" s="1180"/>
      <c r="DG23" s="1180"/>
      <c r="DH23" s="1180"/>
      <c r="DI23" s="1180"/>
      <c r="DJ23" s="1180"/>
      <c r="DK23" s="1180"/>
      <c r="DL23" s="1180"/>
      <c r="DM23" s="1180"/>
      <c r="DN23" s="1180"/>
      <c r="DO23" s="1180"/>
      <c r="DP23" s="1180"/>
      <c r="DQ23" s="1180"/>
      <c r="DR23" s="1180"/>
      <c r="DS23" s="1180"/>
      <c r="DT23" s="1180"/>
      <c r="DU23" s="1180"/>
      <c r="DV23" s="1180"/>
      <c r="DW23" s="1180"/>
      <c r="DX23" s="1180"/>
      <c r="DY23" s="1180"/>
      <c r="DZ23" s="1180"/>
      <c r="EA23" s="1180"/>
      <c r="EB23" s="1180"/>
      <c r="EC23" s="1180"/>
      <c r="ED23" s="1180"/>
      <c r="EE23" s="1180"/>
      <c r="EF23" s="1180"/>
      <c r="EG23" s="1180"/>
      <c r="EH23" s="1180"/>
      <c r="EI23" s="1180"/>
      <c r="EJ23" s="1180"/>
      <c r="EK23" s="1180"/>
      <c r="EL23" s="1180"/>
      <c r="EM23" s="1180"/>
      <c r="EN23" s="1180"/>
      <c r="EO23" s="1180"/>
      <c r="EP23" s="1180"/>
      <c r="EQ23" s="1180"/>
      <c r="ER23" s="1180"/>
      <c r="ES23" s="1180"/>
      <c r="ET23" s="1180"/>
      <c r="EU23" s="1180"/>
      <c r="EV23" s="1180"/>
      <c r="EW23" s="1180"/>
      <c r="EX23" s="1180"/>
      <c r="EY23" s="1180"/>
      <c r="EZ23" s="1180"/>
      <c r="FA23" s="1180"/>
      <c r="FB23" s="1180"/>
      <c r="FC23" s="1180"/>
      <c r="FD23" s="1180"/>
      <c r="FE23" s="1180"/>
      <c r="FF23" s="1180"/>
      <c r="FG23" s="1180"/>
      <c r="FH23" s="1180"/>
      <c r="FI23" s="1180"/>
      <c r="FJ23" s="1180"/>
      <c r="FK23" s="1180"/>
      <c r="FL23" s="1180"/>
      <c r="FM23" s="1180"/>
      <c r="FN23" s="1180"/>
      <c r="FO23" s="1180"/>
      <c r="FP23" s="1180"/>
      <c r="FQ23" s="1180"/>
      <c r="FR23" s="1180"/>
      <c r="FS23" s="1180"/>
      <c r="FT23" s="1180"/>
      <c r="FU23" s="1180"/>
      <c r="FV23" s="1180"/>
      <c r="FW23" s="1180"/>
      <c r="FX23" s="1180"/>
      <c r="FY23" s="1180"/>
      <c r="FZ23" s="1180"/>
      <c r="GA23" s="1180"/>
    </row>
    <row r="24" spans="1:183" s="1182" customFormat="1" ht="12.2" customHeight="1">
      <c r="A24" s="1118"/>
      <c r="B24" s="1816"/>
      <c r="C24" s="1816"/>
      <c r="D24" s="1816"/>
      <c r="E24" s="1817" t="s">
        <v>1168</v>
      </c>
      <c r="F24" s="1817" t="s">
        <v>295</v>
      </c>
      <c r="G24" s="1817" t="s">
        <v>1144</v>
      </c>
      <c r="H24" s="1817" t="s">
        <v>1145</v>
      </c>
      <c r="I24"/>
      <c r="J24" s="1180"/>
      <c r="K24" s="1180"/>
      <c r="L24" s="1180"/>
      <c r="M24" s="1180"/>
      <c r="N24" s="1180"/>
      <c r="O24" s="1180"/>
      <c r="P24" s="1180"/>
      <c r="Q24" s="1180"/>
      <c r="R24" s="1180"/>
      <c r="S24" s="1180"/>
      <c r="T24" s="1180"/>
      <c r="U24" s="1180"/>
      <c r="V24" s="1180"/>
      <c r="W24" s="1180"/>
      <c r="X24" s="1180"/>
      <c r="Y24" s="1180"/>
      <c r="Z24" s="1180"/>
      <c r="AA24" s="1180"/>
      <c r="AB24" s="1180"/>
      <c r="AC24" s="1180"/>
      <c r="AD24" s="1180"/>
      <c r="AE24" s="1180"/>
      <c r="AF24" s="1180"/>
      <c r="AG24" s="1180"/>
      <c r="AH24" s="1180"/>
      <c r="AI24" s="1180"/>
      <c r="AJ24" s="1180"/>
      <c r="AK24" s="1180"/>
      <c r="AL24" s="1180"/>
      <c r="AM24" s="1180"/>
      <c r="AN24" s="1180"/>
      <c r="AO24" s="1180"/>
      <c r="AP24" s="1180"/>
      <c r="AQ24" s="1180"/>
      <c r="AR24" s="1180"/>
      <c r="AS24" s="1180"/>
      <c r="AT24" s="1180"/>
      <c r="AU24" s="1180"/>
      <c r="AV24" s="1180"/>
      <c r="AW24" s="1180"/>
      <c r="AX24" s="1180"/>
      <c r="AY24" s="1180"/>
      <c r="AZ24" s="1180"/>
      <c r="BA24" s="1180"/>
      <c r="BB24" s="1180"/>
      <c r="BC24" s="1180"/>
      <c r="BD24" s="1180"/>
      <c r="BE24" s="1180"/>
      <c r="BF24" s="1180"/>
      <c r="BG24" s="1180"/>
      <c r="BH24" s="1180"/>
      <c r="BI24" s="1180"/>
      <c r="BJ24" s="1180"/>
      <c r="BK24" s="1180"/>
      <c r="BL24" s="1180"/>
      <c r="BM24" s="1180"/>
      <c r="BN24" s="1180"/>
      <c r="BO24" s="1180"/>
      <c r="BP24" s="1180"/>
      <c r="BQ24" s="1180"/>
      <c r="BR24" s="1180"/>
      <c r="BS24" s="1180"/>
      <c r="BT24" s="1180"/>
      <c r="BU24" s="1180"/>
      <c r="BV24" s="1180"/>
      <c r="BW24" s="1180"/>
      <c r="BX24" s="1180"/>
      <c r="BY24" s="1180"/>
      <c r="BZ24" s="1180"/>
      <c r="CA24" s="1180"/>
      <c r="CB24" s="1180"/>
      <c r="CC24" s="1180"/>
      <c r="CD24" s="1180"/>
      <c r="CE24" s="1180"/>
      <c r="CF24" s="1180"/>
      <c r="CG24" s="1180"/>
      <c r="CH24" s="1180"/>
      <c r="CI24" s="1180"/>
      <c r="CJ24" s="1180"/>
      <c r="CK24" s="1180"/>
      <c r="CL24" s="1180"/>
      <c r="CM24" s="1180"/>
      <c r="CN24" s="1180"/>
      <c r="CO24" s="1180"/>
      <c r="CP24" s="1180"/>
      <c r="CQ24" s="1180"/>
      <c r="CR24" s="1180"/>
      <c r="CS24" s="1180"/>
      <c r="CT24" s="1180"/>
      <c r="CU24" s="1180"/>
      <c r="CV24" s="1180"/>
      <c r="CW24" s="1180"/>
      <c r="CX24" s="1180"/>
      <c r="CY24" s="1180"/>
      <c r="CZ24" s="1180"/>
      <c r="DA24" s="1180"/>
      <c r="DB24" s="1180"/>
      <c r="DC24" s="1180"/>
      <c r="DD24" s="1180"/>
      <c r="DE24" s="1180"/>
      <c r="DF24" s="1180"/>
      <c r="DG24" s="1180"/>
      <c r="DH24" s="1180"/>
      <c r="DI24" s="1180"/>
      <c r="DJ24" s="1180"/>
      <c r="DK24" s="1180"/>
      <c r="DL24" s="1180"/>
      <c r="DM24" s="1180"/>
      <c r="DN24" s="1180"/>
      <c r="DO24" s="1180"/>
      <c r="DP24" s="1180"/>
      <c r="DQ24" s="1180"/>
      <c r="DR24" s="1180"/>
      <c r="DS24" s="1180"/>
      <c r="DT24" s="1180"/>
      <c r="DU24" s="1180"/>
      <c r="DV24" s="1180"/>
      <c r="DW24" s="1180"/>
      <c r="DX24" s="1180"/>
      <c r="DY24" s="1180"/>
      <c r="DZ24" s="1180"/>
      <c r="EA24" s="1180"/>
      <c r="EB24" s="1180"/>
      <c r="EC24" s="1180"/>
      <c r="ED24" s="1180"/>
      <c r="EE24" s="1180"/>
      <c r="EF24" s="1180"/>
      <c r="EG24" s="1180"/>
      <c r="EH24" s="1180"/>
      <c r="EI24" s="1180"/>
      <c r="EJ24" s="1180"/>
      <c r="EK24" s="1180"/>
      <c r="EL24" s="1180"/>
      <c r="EM24" s="1180"/>
      <c r="EN24" s="1180"/>
      <c r="EO24" s="1180"/>
      <c r="EP24" s="1180"/>
      <c r="EQ24" s="1180"/>
      <c r="ER24" s="1180"/>
      <c r="ES24" s="1180"/>
      <c r="ET24" s="1180"/>
      <c r="EU24" s="1180"/>
      <c r="EV24" s="1180"/>
      <c r="EW24" s="1180"/>
      <c r="EX24" s="1180"/>
      <c r="EY24" s="1180"/>
      <c r="EZ24" s="1180"/>
      <c r="FA24" s="1180"/>
      <c r="FB24" s="1180"/>
      <c r="FC24" s="1180"/>
      <c r="FD24" s="1180"/>
      <c r="FE24" s="1180"/>
      <c r="FF24" s="1180"/>
      <c r="FG24" s="1180"/>
      <c r="FH24" s="1180"/>
      <c r="FI24" s="1180"/>
      <c r="FJ24" s="1180"/>
      <c r="FK24" s="1180"/>
      <c r="FL24" s="1180"/>
      <c r="FM24" s="1180"/>
      <c r="FN24" s="1180"/>
      <c r="FO24" s="1180"/>
      <c r="FP24" s="1180"/>
      <c r="FQ24" s="1180"/>
      <c r="FR24" s="1180"/>
      <c r="FS24" s="1180"/>
      <c r="FT24" s="1180"/>
      <c r="FU24" s="1180"/>
      <c r="FV24" s="1180"/>
      <c r="FW24" s="1180"/>
      <c r="FX24" s="1180"/>
      <c r="FY24" s="1180"/>
      <c r="FZ24" s="1180"/>
      <c r="GA24" s="1180"/>
    </row>
    <row r="25" spans="1:183" s="1182" customFormat="1">
      <c r="A25" s="1118"/>
      <c r="B25" s="1163" t="s">
        <v>1169</v>
      </c>
      <c r="C25" s="1816"/>
      <c r="D25" s="1816"/>
      <c r="E25" s="1132" t="s">
        <v>1170</v>
      </c>
      <c r="F25" s="1132" t="s">
        <v>1171</v>
      </c>
      <c r="G25" s="1132" t="s">
        <v>1172</v>
      </c>
      <c r="H25" s="1164" t="s">
        <v>1173</v>
      </c>
      <c r="I25"/>
      <c r="J25" s="1180"/>
      <c r="K25" s="1180"/>
      <c r="L25" s="1180"/>
      <c r="M25" s="1180"/>
      <c r="N25" s="1180"/>
      <c r="O25" s="1180"/>
      <c r="P25" s="1180"/>
      <c r="Q25" s="1180"/>
      <c r="R25" s="1180"/>
      <c r="S25" s="1180"/>
      <c r="T25" s="1180"/>
      <c r="U25" s="1180"/>
      <c r="V25" s="1180"/>
      <c r="W25" s="1180"/>
      <c r="X25" s="1180"/>
      <c r="Y25" s="1180"/>
      <c r="Z25" s="1180"/>
      <c r="AA25" s="1180"/>
      <c r="AB25" s="1180"/>
      <c r="AC25" s="1180"/>
      <c r="AD25" s="1180"/>
      <c r="AE25" s="1180"/>
      <c r="AF25" s="1180"/>
      <c r="AG25" s="1180"/>
      <c r="AH25" s="1180"/>
      <c r="AI25" s="1180"/>
      <c r="AJ25" s="1180"/>
      <c r="AK25" s="1180"/>
      <c r="AL25" s="1180"/>
      <c r="AM25" s="1180"/>
      <c r="AN25" s="1180"/>
      <c r="AO25" s="1180"/>
      <c r="AP25" s="1180"/>
      <c r="AQ25" s="1180"/>
      <c r="AR25" s="1180"/>
      <c r="AS25" s="1180"/>
      <c r="AT25" s="1180"/>
      <c r="AU25" s="1180"/>
      <c r="AV25" s="1180"/>
      <c r="AW25" s="1180"/>
      <c r="AX25" s="1180"/>
      <c r="AY25" s="1180"/>
      <c r="AZ25" s="1180"/>
      <c r="BA25" s="1180"/>
      <c r="BB25" s="1180"/>
      <c r="BC25" s="1180"/>
      <c r="BD25" s="1180"/>
      <c r="BE25" s="1180"/>
      <c r="BF25" s="1180"/>
      <c r="BG25" s="1180"/>
      <c r="BH25" s="1180"/>
      <c r="BI25" s="1180"/>
      <c r="BJ25" s="1180"/>
      <c r="BK25" s="1180"/>
      <c r="BL25" s="1180"/>
      <c r="BM25" s="1180"/>
      <c r="BN25" s="1180"/>
      <c r="BO25" s="1180"/>
      <c r="BP25" s="1180"/>
      <c r="BQ25" s="1180"/>
      <c r="BR25" s="1180"/>
      <c r="BS25" s="1180"/>
      <c r="BT25" s="1180"/>
      <c r="BU25" s="1180"/>
      <c r="BV25" s="1180"/>
      <c r="BW25" s="1180"/>
      <c r="BX25" s="1180"/>
      <c r="BY25" s="1180"/>
      <c r="BZ25" s="1180"/>
      <c r="CA25" s="1180"/>
      <c r="CB25" s="1180"/>
      <c r="CC25" s="1180"/>
      <c r="CD25" s="1180"/>
      <c r="CE25" s="1180"/>
      <c r="CF25" s="1180"/>
      <c r="CG25" s="1180"/>
      <c r="CH25" s="1180"/>
      <c r="CI25" s="1180"/>
      <c r="CJ25" s="1180"/>
      <c r="CK25" s="1180"/>
      <c r="CL25" s="1180"/>
      <c r="CM25" s="1180"/>
      <c r="CN25" s="1180"/>
      <c r="CO25" s="1180"/>
      <c r="CP25" s="1180"/>
      <c r="CQ25" s="1180"/>
      <c r="CR25" s="1180"/>
      <c r="CS25" s="1180"/>
      <c r="CT25" s="1180"/>
      <c r="CU25" s="1180"/>
      <c r="CV25" s="1180"/>
      <c r="CW25" s="1180"/>
      <c r="CX25" s="1180"/>
      <c r="CY25" s="1180"/>
      <c r="CZ25" s="1180"/>
      <c r="DA25" s="1180"/>
      <c r="DB25" s="1180"/>
      <c r="DC25" s="1180"/>
      <c r="DD25" s="1180"/>
      <c r="DE25" s="1180"/>
      <c r="DF25" s="1180"/>
      <c r="DG25" s="1180"/>
      <c r="DH25" s="1180"/>
      <c r="DI25" s="1180"/>
      <c r="DJ25" s="1180"/>
      <c r="DK25" s="1180"/>
      <c r="DL25" s="1180"/>
      <c r="DM25" s="1180"/>
      <c r="DN25" s="1180"/>
      <c r="DO25" s="1180"/>
      <c r="DP25" s="1180"/>
      <c r="DQ25" s="1180"/>
      <c r="DR25" s="1180"/>
      <c r="DS25" s="1180"/>
      <c r="DT25" s="1180"/>
      <c r="DU25" s="1180"/>
      <c r="DV25" s="1180"/>
      <c r="DW25" s="1180"/>
      <c r="DX25" s="1180"/>
      <c r="DY25" s="1180"/>
      <c r="DZ25" s="1180"/>
      <c r="EA25" s="1180"/>
      <c r="EB25" s="1180"/>
      <c r="EC25" s="1180"/>
      <c r="ED25" s="1180"/>
      <c r="EE25" s="1180"/>
      <c r="EF25" s="1180"/>
      <c r="EG25" s="1180"/>
      <c r="EH25" s="1180"/>
      <c r="EI25" s="1180"/>
      <c r="EJ25" s="1180"/>
      <c r="EK25" s="1180"/>
      <c r="EL25" s="1180"/>
      <c r="EM25" s="1180"/>
      <c r="EN25" s="1180"/>
      <c r="EO25" s="1180"/>
      <c r="EP25" s="1180"/>
      <c r="EQ25" s="1180"/>
      <c r="ER25" s="1180"/>
      <c r="ES25" s="1180"/>
      <c r="ET25" s="1180"/>
      <c r="EU25" s="1180"/>
      <c r="EV25" s="1180"/>
      <c r="EW25" s="1180"/>
      <c r="EX25" s="1180"/>
      <c r="EY25" s="1180"/>
      <c r="EZ25" s="1180"/>
      <c r="FA25" s="1180"/>
      <c r="FB25" s="1180"/>
      <c r="FC25" s="1180"/>
      <c r="FD25" s="1180"/>
      <c r="FE25" s="1180"/>
      <c r="FF25" s="1180"/>
      <c r="FG25" s="1180"/>
      <c r="FH25" s="1180"/>
      <c r="FI25" s="1180"/>
      <c r="FJ25" s="1180"/>
      <c r="FK25" s="1180"/>
      <c r="FL25" s="1180"/>
      <c r="FM25" s="1180"/>
      <c r="FN25" s="1180"/>
      <c r="FO25" s="1180"/>
      <c r="FP25" s="1180"/>
      <c r="FQ25" s="1180"/>
      <c r="FR25" s="1180"/>
      <c r="FS25" s="1180"/>
      <c r="FT25" s="1180"/>
      <c r="FU25" s="1180"/>
      <c r="FV25" s="1180"/>
      <c r="FW25" s="1180"/>
      <c r="FX25" s="1180"/>
      <c r="FY25" s="1180"/>
      <c r="FZ25" s="1180"/>
      <c r="GA25" s="1180"/>
    </row>
    <row r="26" spans="1:183" s="1182" customFormat="1" ht="21.6" customHeight="1">
      <c r="A26" s="1118"/>
      <c r="B26" s="1824" t="s">
        <v>1174</v>
      </c>
      <c r="C26" s="1824"/>
      <c r="D26" s="1824"/>
      <c r="E26" s="1824"/>
      <c r="F26" s="1824"/>
      <c r="G26" s="1824"/>
      <c r="H26" s="1824"/>
      <c r="I26"/>
      <c r="J26" s="1180"/>
      <c r="K26" s="1180"/>
      <c r="L26" s="1180"/>
      <c r="M26" s="1180"/>
      <c r="N26" s="1180"/>
      <c r="O26" s="1180"/>
      <c r="P26" s="1180"/>
      <c r="Q26" s="1180"/>
      <c r="R26" s="1180"/>
      <c r="S26" s="1180"/>
      <c r="T26" s="1180"/>
      <c r="U26" s="1180"/>
      <c r="V26" s="1180"/>
      <c r="W26" s="1180"/>
      <c r="X26" s="1180"/>
      <c r="Y26" s="1180"/>
      <c r="Z26" s="1180"/>
      <c r="AA26" s="1180"/>
      <c r="AB26" s="1180"/>
      <c r="AC26" s="1180"/>
      <c r="AD26" s="1180"/>
      <c r="AE26" s="1180"/>
      <c r="AF26" s="1180"/>
      <c r="AG26" s="1180"/>
      <c r="AH26" s="1180"/>
      <c r="AI26" s="1180"/>
      <c r="AJ26" s="1180"/>
      <c r="AK26" s="1180"/>
      <c r="AL26" s="1180"/>
      <c r="AM26" s="1180"/>
      <c r="AN26" s="1180"/>
      <c r="AO26" s="1180"/>
      <c r="AP26" s="1180"/>
      <c r="AQ26" s="1180"/>
      <c r="AR26" s="1180"/>
      <c r="AS26" s="1180"/>
      <c r="AT26" s="1180"/>
      <c r="AU26" s="1180"/>
      <c r="AV26" s="1180"/>
      <c r="AW26" s="1180"/>
      <c r="AX26" s="1180"/>
      <c r="AY26" s="1180"/>
      <c r="AZ26" s="1180"/>
      <c r="BA26" s="1180"/>
      <c r="BB26" s="1180"/>
      <c r="BC26" s="1180"/>
      <c r="BD26" s="1180"/>
      <c r="BE26" s="1180"/>
      <c r="BF26" s="1180"/>
      <c r="BG26" s="1180"/>
      <c r="BH26" s="1180"/>
      <c r="BI26" s="1180"/>
      <c r="BJ26" s="1180"/>
      <c r="BK26" s="1180"/>
      <c r="BL26" s="1180"/>
      <c r="BM26" s="1180"/>
      <c r="BN26" s="1180"/>
      <c r="BO26" s="1180"/>
      <c r="BP26" s="1180"/>
      <c r="BQ26" s="1180"/>
      <c r="BR26" s="1180"/>
      <c r="BS26" s="1180"/>
      <c r="BT26" s="1180"/>
      <c r="BU26" s="1180"/>
      <c r="BV26" s="1180"/>
      <c r="BW26" s="1180"/>
      <c r="BX26" s="1180"/>
      <c r="BY26" s="1180"/>
      <c r="BZ26" s="1180"/>
      <c r="CA26" s="1180"/>
      <c r="CB26" s="1180"/>
      <c r="CC26" s="1180"/>
      <c r="CD26" s="1180"/>
      <c r="CE26" s="1180"/>
      <c r="CF26" s="1180"/>
      <c r="CG26" s="1180"/>
      <c r="CH26" s="1180"/>
      <c r="CI26" s="1180"/>
      <c r="CJ26" s="1180"/>
      <c r="CK26" s="1180"/>
      <c r="CL26" s="1180"/>
      <c r="CM26" s="1180"/>
      <c r="CN26" s="1180"/>
      <c r="CO26" s="1180"/>
      <c r="CP26" s="1180"/>
      <c r="CQ26" s="1180"/>
      <c r="CR26" s="1180"/>
      <c r="CS26" s="1180"/>
      <c r="CT26" s="1180"/>
      <c r="CU26" s="1180"/>
      <c r="CV26" s="1180"/>
      <c r="CW26" s="1180"/>
      <c r="CX26" s="1180"/>
      <c r="CY26" s="1180"/>
      <c r="CZ26" s="1180"/>
      <c r="DA26" s="1180"/>
      <c r="DB26" s="1180"/>
      <c r="DC26" s="1180"/>
      <c r="DD26" s="1180"/>
      <c r="DE26" s="1180"/>
      <c r="DF26" s="1180"/>
      <c r="DG26" s="1180"/>
      <c r="DH26" s="1180"/>
      <c r="DI26" s="1180"/>
      <c r="DJ26" s="1180"/>
      <c r="DK26" s="1180"/>
      <c r="DL26" s="1180"/>
      <c r="DM26" s="1180"/>
      <c r="DN26" s="1180"/>
      <c r="DO26" s="1180"/>
      <c r="DP26" s="1180"/>
      <c r="DQ26" s="1180"/>
      <c r="DR26" s="1180"/>
      <c r="DS26" s="1180"/>
      <c r="DT26" s="1180"/>
      <c r="DU26" s="1180"/>
      <c r="DV26" s="1180"/>
      <c r="DW26" s="1180"/>
      <c r="DX26" s="1180"/>
      <c r="DY26" s="1180"/>
      <c r="DZ26" s="1180"/>
      <c r="EA26" s="1180"/>
      <c r="EB26" s="1180"/>
      <c r="EC26" s="1180"/>
      <c r="ED26" s="1180"/>
      <c r="EE26" s="1180"/>
      <c r="EF26" s="1180"/>
      <c r="EG26" s="1180"/>
      <c r="EH26" s="1180"/>
      <c r="EI26" s="1180"/>
      <c r="EJ26" s="1180"/>
      <c r="EK26" s="1180"/>
      <c r="EL26" s="1180"/>
      <c r="EM26" s="1180"/>
      <c r="EN26" s="1180"/>
      <c r="EO26" s="1180"/>
      <c r="EP26" s="1180"/>
      <c r="EQ26" s="1180"/>
      <c r="ER26" s="1180"/>
      <c r="ES26" s="1180"/>
      <c r="ET26" s="1180"/>
      <c r="EU26" s="1180"/>
      <c r="EV26" s="1180"/>
      <c r="EW26" s="1180"/>
      <c r="EX26" s="1180"/>
      <c r="EY26" s="1180"/>
      <c r="EZ26" s="1180"/>
      <c r="FA26" s="1180"/>
      <c r="FB26" s="1180"/>
      <c r="FC26" s="1180"/>
      <c r="FD26" s="1180"/>
      <c r="FE26" s="1180"/>
      <c r="FF26" s="1180"/>
      <c r="FG26" s="1180"/>
      <c r="FH26" s="1180"/>
      <c r="FI26" s="1180"/>
      <c r="FJ26" s="1180"/>
      <c r="FK26" s="1180"/>
      <c r="FL26" s="1180"/>
      <c r="FM26" s="1180"/>
      <c r="FN26" s="1180"/>
      <c r="FO26" s="1180"/>
      <c r="FP26" s="1180"/>
      <c r="FQ26" s="1180"/>
      <c r="FR26" s="1180"/>
      <c r="FS26" s="1180"/>
      <c r="FT26" s="1180"/>
      <c r="FU26" s="1180"/>
      <c r="FV26" s="1180"/>
      <c r="FW26" s="1180"/>
      <c r="FX26" s="1180"/>
      <c r="FY26" s="1180"/>
      <c r="FZ26" s="1180"/>
      <c r="GA26" s="1180"/>
    </row>
    <row r="27" spans="1:183" s="1182" customFormat="1">
      <c r="A27" s="1118"/>
      <c r="B27" s="1815" t="s">
        <v>1196</v>
      </c>
      <c r="C27" s="1815"/>
      <c r="D27" s="1815"/>
      <c r="E27" s="1815"/>
      <c r="F27" s="1815"/>
      <c r="G27" s="1815"/>
      <c r="H27" s="1815"/>
      <c r="I27"/>
      <c r="J27" s="1180"/>
      <c r="K27" s="1180"/>
      <c r="L27" s="1180"/>
      <c r="M27" s="1180"/>
      <c r="N27" s="1180"/>
      <c r="O27" s="1180"/>
      <c r="P27" s="1180"/>
      <c r="Q27" s="1180"/>
      <c r="R27" s="1180"/>
      <c r="S27" s="1180"/>
      <c r="T27" s="1180"/>
      <c r="U27" s="1180"/>
      <c r="V27" s="1180"/>
      <c r="W27" s="1180"/>
      <c r="X27" s="1180"/>
      <c r="Y27" s="1180"/>
      <c r="Z27" s="1180"/>
      <c r="AA27" s="1180"/>
      <c r="AB27" s="1180"/>
      <c r="AC27" s="1180"/>
      <c r="AD27" s="1180"/>
      <c r="AE27" s="1180"/>
      <c r="AF27" s="1180"/>
      <c r="AG27" s="1180"/>
      <c r="AH27" s="1180"/>
      <c r="AI27" s="1180"/>
      <c r="AJ27" s="1180"/>
      <c r="AK27" s="1180"/>
      <c r="AL27" s="1180"/>
      <c r="AM27" s="1180"/>
      <c r="AN27" s="1180"/>
      <c r="AO27" s="1180"/>
      <c r="AP27" s="1180"/>
      <c r="AQ27" s="1180"/>
      <c r="AR27" s="1180"/>
      <c r="AS27" s="1180"/>
      <c r="AT27" s="1180"/>
      <c r="AU27" s="1180"/>
      <c r="AV27" s="1180"/>
      <c r="AW27" s="1180"/>
      <c r="AX27" s="1180"/>
      <c r="AY27" s="1180"/>
      <c r="AZ27" s="1180"/>
      <c r="BA27" s="1180"/>
      <c r="BB27" s="1180"/>
      <c r="BC27" s="1180"/>
      <c r="BD27" s="1180"/>
      <c r="BE27" s="1180"/>
      <c r="BF27" s="1180"/>
      <c r="BG27" s="1180"/>
      <c r="BH27" s="1180"/>
      <c r="BI27" s="1180"/>
      <c r="BJ27" s="1180"/>
      <c r="BK27" s="1180"/>
      <c r="BL27" s="1180"/>
      <c r="BM27" s="1180"/>
      <c r="BN27" s="1180"/>
      <c r="BO27" s="1180"/>
      <c r="BP27" s="1180"/>
      <c r="BQ27" s="1180"/>
      <c r="BR27" s="1180"/>
      <c r="BS27" s="1180"/>
      <c r="BT27" s="1180"/>
      <c r="BU27" s="1180"/>
      <c r="BV27" s="1180"/>
      <c r="BW27" s="1180"/>
      <c r="BX27" s="1180"/>
      <c r="BY27" s="1180"/>
      <c r="BZ27" s="1180"/>
      <c r="CA27" s="1180"/>
      <c r="CB27" s="1180"/>
      <c r="CC27" s="1180"/>
      <c r="CD27" s="1180"/>
      <c r="CE27" s="1180"/>
      <c r="CF27" s="1180"/>
      <c r="CG27" s="1180"/>
      <c r="CH27" s="1180"/>
      <c r="CI27" s="1180"/>
      <c r="CJ27" s="1180"/>
      <c r="CK27" s="1180"/>
      <c r="CL27" s="1180"/>
      <c r="CM27" s="1180"/>
      <c r="CN27" s="1180"/>
      <c r="CO27" s="1180"/>
      <c r="CP27" s="1180"/>
      <c r="CQ27" s="1180"/>
      <c r="CR27" s="1180"/>
      <c r="CS27" s="1180"/>
      <c r="CT27" s="1180"/>
      <c r="CU27" s="1180"/>
      <c r="CV27" s="1180"/>
      <c r="CW27" s="1180"/>
      <c r="CX27" s="1180"/>
      <c r="CY27" s="1180"/>
      <c r="CZ27" s="1180"/>
      <c r="DA27" s="1180"/>
      <c r="DB27" s="1180"/>
      <c r="DC27" s="1180"/>
      <c r="DD27" s="1180"/>
      <c r="DE27" s="1180"/>
      <c r="DF27" s="1180"/>
      <c r="DG27" s="1180"/>
      <c r="DH27" s="1180"/>
      <c r="DI27" s="1180"/>
      <c r="DJ27" s="1180"/>
      <c r="DK27" s="1180"/>
      <c r="DL27" s="1180"/>
      <c r="DM27" s="1180"/>
      <c r="DN27" s="1180"/>
      <c r="DO27" s="1180"/>
      <c r="DP27" s="1180"/>
      <c r="DQ27" s="1180"/>
      <c r="DR27" s="1180"/>
      <c r="DS27" s="1180"/>
      <c r="DT27" s="1180"/>
      <c r="DU27" s="1180"/>
      <c r="DV27" s="1180"/>
      <c r="DW27" s="1180"/>
      <c r="DX27" s="1180"/>
      <c r="DY27" s="1180"/>
      <c r="DZ27" s="1180"/>
      <c r="EA27" s="1180"/>
      <c r="EB27" s="1180"/>
      <c r="EC27" s="1180"/>
      <c r="ED27" s="1180"/>
      <c r="EE27" s="1180"/>
      <c r="EF27" s="1180"/>
      <c r="EG27" s="1180"/>
      <c r="EH27" s="1180"/>
      <c r="EI27" s="1180"/>
      <c r="EJ27" s="1180"/>
      <c r="EK27" s="1180"/>
      <c r="EL27" s="1180"/>
      <c r="EM27" s="1180"/>
      <c r="EN27" s="1180"/>
      <c r="EO27" s="1180"/>
      <c r="EP27" s="1180"/>
      <c r="EQ27" s="1180"/>
      <c r="ER27" s="1180"/>
      <c r="ES27" s="1180"/>
      <c r="ET27" s="1180"/>
      <c r="EU27" s="1180"/>
      <c r="EV27" s="1180"/>
      <c r="EW27" s="1180"/>
      <c r="EX27" s="1180"/>
      <c r="EY27" s="1180"/>
      <c r="EZ27" s="1180"/>
      <c r="FA27" s="1180"/>
      <c r="FB27" s="1180"/>
      <c r="FC27" s="1180"/>
      <c r="FD27" s="1180"/>
      <c r="FE27" s="1180"/>
      <c r="FF27" s="1180"/>
      <c r="FG27" s="1180"/>
      <c r="FH27" s="1180"/>
      <c r="FI27" s="1180"/>
      <c r="FJ27" s="1180"/>
      <c r="FK27" s="1180"/>
      <c r="FL27" s="1180"/>
      <c r="FM27" s="1180"/>
      <c r="FN27" s="1180"/>
      <c r="FO27" s="1180"/>
      <c r="FP27" s="1180"/>
      <c r="FQ27" s="1180"/>
      <c r="FR27" s="1180"/>
      <c r="FS27" s="1180"/>
      <c r="FT27" s="1180"/>
      <c r="FU27" s="1180"/>
      <c r="FV27" s="1180"/>
      <c r="FW27" s="1180"/>
      <c r="FX27" s="1180"/>
      <c r="FY27" s="1180"/>
      <c r="FZ27" s="1180"/>
      <c r="GA27" s="1180"/>
    </row>
    <row r="28" spans="1:183" s="1182" customFormat="1" ht="37.5" customHeight="1">
      <c r="A28" s="1118"/>
      <c r="B28" s="1125">
        <v>1</v>
      </c>
      <c r="C28" s="1133" t="s">
        <v>1201</v>
      </c>
      <c r="D28" s="1134" t="s">
        <v>1198</v>
      </c>
      <c r="E28" s="1135">
        <v>430982</v>
      </c>
      <c r="F28" s="1841"/>
      <c r="G28" s="1841"/>
      <c r="H28" s="1167">
        <f>+IF(B28="","",ROUND(B28*E28,0))</f>
        <v>430982</v>
      </c>
      <c r="I28"/>
      <c r="J28" s="1180"/>
      <c r="K28" s="1180"/>
      <c r="L28" s="1180"/>
      <c r="M28" s="1180"/>
      <c r="N28" s="1180"/>
      <c r="O28" s="1180"/>
      <c r="P28" s="1180"/>
      <c r="Q28" s="1180"/>
      <c r="R28" s="1180"/>
      <c r="S28" s="1180"/>
      <c r="T28" s="1180"/>
      <c r="U28" s="1180"/>
      <c r="V28" s="1180"/>
      <c r="W28" s="1180"/>
      <c r="X28" s="1180"/>
      <c r="Y28" s="1180"/>
      <c r="Z28" s="1180"/>
      <c r="AA28" s="1180"/>
      <c r="AB28" s="1180"/>
      <c r="AC28" s="1180"/>
      <c r="AD28" s="1180"/>
      <c r="AE28" s="1180"/>
      <c r="AF28" s="1180"/>
      <c r="AG28" s="1180"/>
      <c r="AH28" s="1180"/>
      <c r="AI28" s="1180"/>
      <c r="AJ28" s="1180"/>
      <c r="AK28" s="1180"/>
      <c r="AL28" s="1180"/>
      <c r="AM28" s="1180"/>
      <c r="AN28" s="1180"/>
      <c r="AO28" s="1180"/>
      <c r="AP28" s="1180"/>
      <c r="AQ28" s="1180"/>
      <c r="AR28" s="1180"/>
      <c r="AS28" s="1180"/>
      <c r="AT28" s="1180"/>
      <c r="AU28" s="1180"/>
      <c r="AV28" s="1180"/>
      <c r="AW28" s="1180"/>
      <c r="AX28" s="1180"/>
      <c r="AY28" s="1180"/>
      <c r="AZ28" s="1180"/>
      <c r="BA28" s="1180"/>
      <c r="BB28" s="1180"/>
      <c r="BC28" s="1180"/>
      <c r="BD28" s="1180"/>
      <c r="BE28" s="1180"/>
      <c r="BF28" s="1180"/>
      <c r="BG28" s="1180"/>
      <c r="BH28" s="1180"/>
      <c r="BI28" s="1180"/>
      <c r="BJ28" s="1180"/>
      <c r="BK28" s="1180"/>
      <c r="BL28" s="1180"/>
      <c r="BM28" s="1180"/>
      <c r="BN28" s="1180"/>
      <c r="BO28" s="1180"/>
      <c r="BP28" s="1180"/>
      <c r="BQ28" s="1180"/>
      <c r="BR28" s="1180"/>
      <c r="BS28" s="1180"/>
      <c r="BT28" s="1180"/>
      <c r="BU28" s="1180"/>
      <c r="BV28" s="1180"/>
      <c r="BW28" s="1180"/>
      <c r="BX28" s="1180"/>
      <c r="BY28" s="1180"/>
      <c r="BZ28" s="1180"/>
      <c r="CA28" s="1180"/>
      <c r="CB28" s="1180"/>
      <c r="CC28" s="1180"/>
      <c r="CD28" s="1180"/>
      <c r="CE28" s="1180"/>
      <c r="CF28" s="1180"/>
      <c r="CG28" s="1180"/>
      <c r="CH28" s="1180"/>
      <c r="CI28" s="1180"/>
      <c r="CJ28" s="1180"/>
      <c r="CK28" s="1180"/>
      <c r="CL28" s="1180"/>
      <c r="CM28" s="1180"/>
      <c r="CN28" s="1180"/>
      <c r="CO28" s="1180"/>
      <c r="CP28" s="1180"/>
      <c r="CQ28" s="1180"/>
      <c r="CR28" s="1180"/>
      <c r="CS28" s="1180"/>
      <c r="CT28" s="1180"/>
      <c r="CU28" s="1180"/>
      <c r="CV28" s="1180"/>
      <c r="CW28" s="1180"/>
      <c r="CX28" s="1180"/>
      <c r="CY28" s="1180"/>
      <c r="CZ28" s="1180"/>
      <c r="DA28" s="1180"/>
      <c r="DB28" s="1180"/>
      <c r="DC28" s="1180"/>
      <c r="DD28" s="1180"/>
      <c r="DE28" s="1180"/>
      <c r="DF28" s="1180"/>
      <c r="DG28" s="1180"/>
      <c r="DH28" s="1180"/>
      <c r="DI28" s="1180"/>
      <c r="DJ28" s="1180"/>
      <c r="DK28" s="1180"/>
      <c r="DL28" s="1180"/>
      <c r="DM28" s="1180"/>
      <c r="DN28" s="1180"/>
      <c r="DO28" s="1180"/>
      <c r="DP28" s="1180"/>
      <c r="DQ28" s="1180"/>
      <c r="DR28" s="1180"/>
      <c r="DS28" s="1180"/>
      <c r="DT28" s="1180"/>
      <c r="DU28" s="1180"/>
      <c r="DV28" s="1180"/>
      <c r="DW28" s="1180"/>
      <c r="DX28" s="1180"/>
      <c r="DY28" s="1180"/>
      <c r="DZ28" s="1180"/>
      <c r="EA28" s="1180"/>
      <c r="EB28" s="1180"/>
      <c r="EC28" s="1180"/>
      <c r="ED28" s="1180"/>
      <c r="EE28" s="1180"/>
      <c r="EF28" s="1180"/>
      <c r="EG28" s="1180"/>
      <c r="EH28" s="1180"/>
      <c r="EI28" s="1180"/>
      <c r="EJ28" s="1180"/>
      <c r="EK28" s="1180"/>
      <c r="EL28" s="1180"/>
      <c r="EM28" s="1180"/>
      <c r="EN28" s="1180"/>
      <c r="EO28" s="1180"/>
      <c r="EP28" s="1180"/>
      <c r="EQ28" s="1180"/>
      <c r="ER28" s="1180"/>
      <c r="ES28" s="1180"/>
      <c r="ET28" s="1180"/>
      <c r="EU28" s="1180"/>
      <c r="EV28" s="1180"/>
      <c r="EW28" s="1180"/>
      <c r="EX28" s="1180"/>
      <c r="EY28" s="1180"/>
      <c r="EZ28" s="1180"/>
      <c r="FA28" s="1180"/>
      <c r="FB28" s="1180"/>
      <c r="FC28" s="1180"/>
      <c r="FD28" s="1180"/>
      <c r="FE28" s="1180"/>
      <c r="FF28" s="1180"/>
      <c r="FG28" s="1180"/>
      <c r="FH28" s="1180"/>
      <c r="FI28" s="1180"/>
      <c r="FJ28" s="1180"/>
      <c r="FK28" s="1180"/>
      <c r="FL28" s="1180"/>
      <c r="FM28" s="1180"/>
      <c r="FN28" s="1180"/>
      <c r="FO28" s="1180"/>
      <c r="FP28" s="1180"/>
      <c r="FQ28" s="1180"/>
      <c r="FR28" s="1180"/>
      <c r="FS28" s="1180"/>
      <c r="FT28" s="1180"/>
      <c r="FU28" s="1180"/>
      <c r="FV28" s="1180"/>
      <c r="FW28" s="1180"/>
      <c r="FX28" s="1180"/>
      <c r="FY28" s="1180"/>
      <c r="FZ28" s="1180"/>
      <c r="GA28" s="1180"/>
    </row>
    <row r="29" spans="1:183" s="1182" customFormat="1" ht="33.75" customHeight="1">
      <c r="A29" s="1118"/>
      <c r="B29" s="1806" t="s">
        <v>1202</v>
      </c>
      <c r="C29" s="1806"/>
      <c r="D29" s="1806"/>
      <c r="E29" s="1806"/>
      <c r="F29" s="1806"/>
      <c r="G29" s="1806"/>
      <c r="H29" s="1171">
        <f>+SUM(H28:H28)</f>
        <v>430982</v>
      </c>
      <c r="I29"/>
      <c r="J29" s="1180"/>
      <c r="K29" s="1180"/>
      <c r="L29" s="1180"/>
      <c r="M29" s="1180"/>
      <c r="N29" s="1180"/>
      <c r="O29" s="1180"/>
      <c r="P29" s="1180"/>
      <c r="Q29" s="1180"/>
      <c r="R29" s="1180"/>
      <c r="S29" s="1180"/>
      <c r="T29" s="1180"/>
      <c r="U29" s="1180"/>
      <c r="V29" s="1180"/>
      <c r="W29" s="1180"/>
      <c r="X29" s="1180"/>
      <c r="Y29" s="1180"/>
      <c r="Z29" s="1180"/>
      <c r="AA29" s="1180"/>
      <c r="AB29" s="1180"/>
      <c r="AC29" s="1180"/>
      <c r="AD29" s="1180"/>
      <c r="AE29" s="1180"/>
      <c r="AF29" s="1180"/>
      <c r="AG29" s="1180"/>
      <c r="AH29" s="1180"/>
      <c r="AI29" s="1180"/>
      <c r="AJ29" s="1180"/>
      <c r="AK29" s="1180"/>
      <c r="AL29" s="1180"/>
      <c r="AM29" s="1180"/>
      <c r="AN29" s="1180"/>
      <c r="AO29" s="1180"/>
      <c r="AP29" s="1180"/>
      <c r="AQ29" s="1180"/>
      <c r="AR29" s="1180"/>
      <c r="AS29" s="1180"/>
      <c r="AT29" s="1180"/>
      <c r="AU29" s="1180"/>
      <c r="AV29" s="1180"/>
      <c r="AW29" s="1180"/>
      <c r="AX29" s="1180"/>
      <c r="AY29" s="1180"/>
      <c r="AZ29" s="1180"/>
      <c r="BA29" s="1180"/>
      <c r="BB29" s="1180"/>
      <c r="BC29" s="1180"/>
      <c r="BD29" s="1180"/>
      <c r="BE29" s="1180"/>
      <c r="BF29" s="1180"/>
      <c r="BG29" s="1180"/>
      <c r="BH29" s="1180"/>
      <c r="BI29" s="1180"/>
      <c r="BJ29" s="1180"/>
      <c r="BK29" s="1180"/>
      <c r="BL29" s="1180"/>
      <c r="BM29" s="1180"/>
      <c r="BN29" s="1180"/>
      <c r="BO29" s="1180"/>
      <c r="BP29" s="1180"/>
      <c r="BQ29" s="1180"/>
      <c r="BR29" s="1180"/>
      <c r="BS29" s="1180"/>
      <c r="BT29" s="1180"/>
      <c r="BU29" s="1180"/>
      <c r="BV29" s="1180"/>
      <c r="BW29" s="1180"/>
      <c r="BX29" s="1180"/>
      <c r="BY29" s="1180"/>
      <c r="BZ29" s="1180"/>
      <c r="CA29" s="1180"/>
      <c r="CB29" s="1180"/>
      <c r="CC29" s="1180"/>
      <c r="CD29" s="1180"/>
      <c r="CE29" s="1180"/>
      <c r="CF29" s="1180"/>
      <c r="CG29" s="1180"/>
      <c r="CH29" s="1180"/>
      <c r="CI29" s="1180"/>
      <c r="CJ29" s="1180"/>
      <c r="CK29" s="1180"/>
      <c r="CL29" s="1180"/>
      <c r="CM29" s="1180"/>
      <c r="CN29" s="1180"/>
      <c r="CO29" s="1180"/>
      <c r="CP29" s="1180"/>
      <c r="CQ29" s="1180"/>
      <c r="CR29" s="1180"/>
      <c r="CS29" s="1180"/>
      <c r="CT29" s="1180"/>
      <c r="CU29" s="1180"/>
      <c r="CV29" s="1180"/>
      <c r="CW29" s="1180"/>
      <c r="CX29" s="1180"/>
      <c r="CY29" s="1180"/>
      <c r="CZ29" s="1180"/>
      <c r="DA29" s="1180"/>
      <c r="DB29" s="1180"/>
      <c r="DC29" s="1180"/>
      <c r="DD29" s="1180"/>
      <c r="DE29" s="1180"/>
      <c r="DF29" s="1180"/>
      <c r="DG29" s="1180"/>
      <c r="DH29" s="1180"/>
      <c r="DI29" s="1180"/>
      <c r="DJ29" s="1180"/>
      <c r="DK29" s="1180"/>
      <c r="DL29" s="1180"/>
      <c r="DM29" s="1180"/>
      <c r="DN29" s="1180"/>
      <c r="DO29" s="1180"/>
      <c r="DP29" s="1180"/>
      <c r="DQ29" s="1180"/>
      <c r="DR29" s="1180"/>
      <c r="DS29" s="1180"/>
      <c r="DT29" s="1180"/>
      <c r="DU29" s="1180"/>
      <c r="DV29" s="1180"/>
      <c r="DW29" s="1180"/>
      <c r="DX29" s="1180"/>
      <c r="DY29" s="1180"/>
      <c r="DZ29" s="1180"/>
      <c r="EA29" s="1180"/>
      <c r="EB29" s="1180"/>
      <c r="EC29" s="1180"/>
      <c r="ED29" s="1180"/>
      <c r="EE29" s="1180"/>
      <c r="EF29" s="1180"/>
      <c r="EG29" s="1180"/>
      <c r="EH29" s="1180"/>
      <c r="EI29" s="1180"/>
      <c r="EJ29" s="1180"/>
      <c r="EK29" s="1180"/>
      <c r="EL29" s="1180"/>
      <c r="EM29" s="1180"/>
      <c r="EN29" s="1180"/>
      <c r="EO29" s="1180"/>
      <c r="EP29" s="1180"/>
      <c r="EQ29" s="1180"/>
      <c r="ER29" s="1180"/>
      <c r="ES29" s="1180"/>
      <c r="ET29" s="1180"/>
      <c r="EU29" s="1180"/>
      <c r="EV29" s="1180"/>
      <c r="EW29" s="1180"/>
      <c r="EX29" s="1180"/>
      <c r="EY29" s="1180"/>
      <c r="EZ29" s="1180"/>
      <c r="FA29" s="1180"/>
      <c r="FB29" s="1180"/>
      <c r="FC29" s="1180"/>
      <c r="FD29" s="1180"/>
      <c r="FE29" s="1180"/>
      <c r="FF29" s="1180"/>
      <c r="FG29" s="1180"/>
      <c r="FH29" s="1180"/>
      <c r="FI29" s="1180"/>
      <c r="FJ29" s="1180"/>
      <c r="FK29" s="1180"/>
      <c r="FL29" s="1180"/>
      <c r="FM29" s="1180"/>
      <c r="FN29" s="1180"/>
      <c r="FO29" s="1180"/>
      <c r="FP29" s="1180"/>
      <c r="FQ29" s="1180"/>
      <c r="FR29" s="1180"/>
      <c r="FS29" s="1180"/>
      <c r="FT29" s="1180"/>
      <c r="FU29" s="1180"/>
      <c r="FV29" s="1180"/>
      <c r="FW29" s="1180"/>
      <c r="FX29" s="1180"/>
      <c r="FY29" s="1180"/>
      <c r="FZ29" s="1180"/>
      <c r="GA29" s="1180"/>
    </row>
    <row r="30" spans="1:183" s="1182" customFormat="1" ht="16.5" customHeight="1">
      <c r="A30" s="1118"/>
      <c r="B30" s="1806" t="s">
        <v>1203</v>
      </c>
      <c r="C30" s="1806"/>
      <c r="D30" s="1806"/>
      <c r="E30" s="1806"/>
      <c r="F30" s="1806"/>
      <c r="G30" s="1806"/>
      <c r="H30" s="1171">
        <f>+H22+H29</f>
        <v>36891782</v>
      </c>
      <c r="I30"/>
      <c r="J30" s="1180"/>
      <c r="K30" s="1180"/>
      <c r="L30" s="1180"/>
      <c r="M30" s="1180"/>
      <c r="N30" s="1180"/>
      <c r="O30" s="1180"/>
      <c r="P30" s="1180"/>
      <c r="Q30" s="1180"/>
      <c r="R30" s="1180"/>
      <c r="S30" s="1180"/>
      <c r="T30" s="1180"/>
      <c r="U30" s="1180"/>
      <c r="V30" s="1180"/>
      <c r="W30" s="1180"/>
      <c r="X30" s="1180"/>
      <c r="Y30" s="1180"/>
      <c r="Z30" s="1180"/>
      <c r="AA30" s="1180"/>
      <c r="AB30" s="1180"/>
      <c r="AC30" s="1180"/>
      <c r="AD30" s="1180"/>
      <c r="AE30" s="1180"/>
      <c r="AF30" s="1180"/>
      <c r="AG30" s="1180"/>
      <c r="AH30" s="1180"/>
      <c r="AI30" s="1180"/>
      <c r="AJ30" s="1180"/>
      <c r="AK30" s="1180"/>
      <c r="AL30" s="1180"/>
      <c r="AM30" s="1180"/>
      <c r="AN30" s="1180"/>
      <c r="AO30" s="1180"/>
      <c r="AP30" s="1180"/>
      <c r="AQ30" s="1180"/>
      <c r="AR30" s="1180"/>
      <c r="AS30" s="1180"/>
      <c r="AT30" s="1180"/>
      <c r="AU30" s="1180"/>
      <c r="AV30" s="1180"/>
      <c r="AW30" s="1180"/>
      <c r="AX30" s="1180"/>
      <c r="AY30" s="1180"/>
      <c r="AZ30" s="1180"/>
      <c r="BA30" s="1180"/>
      <c r="BB30" s="1180"/>
      <c r="BC30" s="1180"/>
      <c r="BD30" s="1180"/>
      <c r="BE30" s="1180"/>
      <c r="BF30" s="1180"/>
      <c r="BG30" s="1180"/>
      <c r="BH30" s="1180"/>
      <c r="BI30" s="1180"/>
      <c r="BJ30" s="1180"/>
      <c r="BK30" s="1180"/>
      <c r="BL30" s="1180"/>
      <c r="BM30" s="1180"/>
      <c r="BN30" s="1180"/>
      <c r="BO30" s="1180"/>
      <c r="BP30" s="1180"/>
      <c r="BQ30" s="1180"/>
      <c r="BR30" s="1180"/>
      <c r="BS30" s="1180"/>
      <c r="BT30" s="1180"/>
      <c r="BU30" s="1180"/>
      <c r="BV30" s="1180"/>
      <c r="BW30" s="1180"/>
      <c r="BX30" s="1180"/>
      <c r="BY30" s="1180"/>
      <c r="BZ30" s="1180"/>
      <c r="CA30" s="1180"/>
      <c r="CB30" s="1180"/>
      <c r="CC30" s="1180"/>
      <c r="CD30" s="1180"/>
      <c r="CE30" s="1180"/>
      <c r="CF30" s="1180"/>
      <c r="CG30" s="1180"/>
      <c r="CH30" s="1180"/>
      <c r="CI30" s="1180"/>
      <c r="CJ30" s="1180"/>
      <c r="CK30" s="1180"/>
      <c r="CL30" s="1180"/>
      <c r="CM30" s="1180"/>
      <c r="CN30" s="1180"/>
      <c r="CO30" s="1180"/>
      <c r="CP30" s="1180"/>
      <c r="CQ30" s="1180"/>
      <c r="CR30" s="1180"/>
      <c r="CS30" s="1180"/>
      <c r="CT30" s="1180"/>
      <c r="CU30" s="1180"/>
      <c r="CV30" s="1180"/>
      <c r="CW30" s="1180"/>
      <c r="CX30" s="1180"/>
      <c r="CY30" s="1180"/>
      <c r="CZ30" s="1180"/>
      <c r="DA30" s="1180"/>
      <c r="DB30" s="1180"/>
      <c r="DC30" s="1180"/>
      <c r="DD30" s="1180"/>
      <c r="DE30" s="1180"/>
      <c r="DF30" s="1180"/>
      <c r="DG30" s="1180"/>
      <c r="DH30" s="1180"/>
      <c r="DI30" s="1180"/>
      <c r="DJ30" s="1180"/>
      <c r="DK30" s="1180"/>
      <c r="DL30" s="1180"/>
      <c r="DM30" s="1180"/>
      <c r="DN30" s="1180"/>
      <c r="DO30" s="1180"/>
      <c r="DP30" s="1180"/>
      <c r="DQ30" s="1180"/>
      <c r="DR30" s="1180"/>
      <c r="DS30" s="1180"/>
      <c r="DT30" s="1180"/>
      <c r="DU30" s="1180"/>
      <c r="DV30" s="1180"/>
      <c r="DW30" s="1180"/>
      <c r="DX30" s="1180"/>
      <c r="DY30" s="1180"/>
      <c r="DZ30" s="1180"/>
      <c r="EA30" s="1180"/>
      <c r="EB30" s="1180"/>
      <c r="EC30" s="1180"/>
      <c r="ED30" s="1180"/>
      <c r="EE30" s="1180"/>
      <c r="EF30" s="1180"/>
      <c r="EG30" s="1180"/>
      <c r="EH30" s="1180"/>
      <c r="EI30" s="1180"/>
      <c r="EJ30" s="1180"/>
      <c r="EK30" s="1180"/>
      <c r="EL30" s="1180"/>
      <c r="EM30" s="1180"/>
      <c r="EN30" s="1180"/>
      <c r="EO30" s="1180"/>
      <c r="EP30" s="1180"/>
      <c r="EQ30" s="1180"/>
      <c r="ER30" s="1180"/>
      <c r="ES30" s="1180"/>
      <c r="ET30" s="1180"/>
      <c r="EU30" s="1180"/>
      <c r="EV30" s="1180"/>
      <c r="EW30" s="1180"/>
      <c r="EX30" s="1180"/>
      <c r="EY30" s="1180"/>
      <c r="EZ30" s="1180"/>
      <c r="FA30" s="1180"/>
      <c r="FB30" s="1180"/>
      <c r="FC30" s="1180"/>
      <c r="FD30" s="1180"/>
      <c r="FE30" s="1180"/>
      <c r="FF30" s="1180"/>
      <c r="FG30" s="1180"/>
      <c r="FH30" s="1180"/>
      <c r="FI30" s="1180"/>
      <c r="FJ30" s="1180"/>
      <c r="FK30" s="1180"/>
      <c r="FL30" s="1180"/>
      <c r="FM30" s="1180"/>
      <c r="FN30" s="1180"/>
      <c r="FO30" s="1180"/>
      <c r="FP30" s="1180"/>
      <c r="FQ30" s="1180"/>
      <c r="FR30" s="1180"/>
      <c r="FS30" s="1180"/>
      <c r="FT30" s="1180"/>
      <c r="FU30" s="1180"/>
      <c r="FV30" s="1180"/>
      <c r="FW30" s="1180"/>
      <c r="FX30" s="1180"/>
      <c r="FY30" s="1180"/>
      <c r="FZ30" s="1180"/>
      <c r="GA30" s="1180"/>
    </row>
    <row r="31" spans="1:183" s="1182" customFormat="1" ht="14.1" customHeight="1">
      <c r="A31" s="1118"/>
      <c r="B31" s="1806" t="s">
        <v>1204</v>
      </c>
      <c r="C31" s="1806"/>
      <c r="D31" s="1806"/>
      <c r="E31" s="1806"/>
      <c r="F31" s="1806"/>
      <c r="G31" s="1806"/>
      <c r="H31" s="1172">
        <f>ROUND(H30*19%,0)</f>
        <v>7009439</v>
      </c>
      <c r="I31"/>
      <c r="J31" s="1180"/>
      <c r="K31" s="1180"/>
      <c r="L31" s="1180"/>
      <c r="M31" s="1180"/>
      <c r="N31" s="1180"/>
      <c r="O31" s="1180"/>
      <c r="P31" s="1180"/>
      <c r="Q31" s="1180"/>
      <c r="R31" s="1180"/>
      <c r="S31" s="1180"/>
      <c r="T31" s="1180"/>
      <c r="U31" s="1180"/>
      <c r="V31" s="1180"/>
      <c r="W31" s="1180"/>
      <c r="X31" s="1180"/>
      <c r="Y31" s="1180"/>
      <c r="Z31" s="1180"/>
      <c r="AA31" s="1180"/>
      <c r="AB31" s="1180"/>
      <c r="AC31" s="1180"/>
      <c r="AD31" s="1180"/>
      <c r="AE31" s="1180"/>
      <c r="AF31" s="1180"/>
      <c r="AG31" s="1180"/>
      <c r="AH31" s="1180"/>
      <c r="AI31" s="1180"/>
      <c r="AJ31" s="1180"/>
      <c r="AK31" s="1180"/>
      <c r="AL31" s="1180"/>
      <c r="AM31" s="1180"/>
      <c r="AN31" s="1180"/>
      <c r="AO31" s="1180"/>
      <c r="AP31" s="1180"/>
      <c r="AQ31" s="1180"/>
      <c r="AR31" s="1180"/>
      <c r="AS31" s="1180"/>
      <c r="AT31" s="1180"/>
      <c r="AU31" s="1180"/>
      <c r="AV31" s="1180"/>
      <c r="AW31" s="1180"/>
      <c r="AX31" s="1180"/>
      <c r="AY31" s="1180"/>
      <c r="AZ31" s="1180"/>
      <c r="BA31" s="1180"/>
      <c r="BB31" s="1180"/>
      <c r="BC31" s="1180"/>
      <c r="BD31" s="1180"/>
      <c r="BE31" s="1180"/>
      <c r="BF31" s="1180"/>
      <c r="BG31" s="1180"/>
      <c r="BH31" s="1180"/>
      <c r="BI31" s="1180"/>
      <c r="BJ31" s="1180"/>
      <c r="BK31" s="1180"/>
      <c r="BL31" s="1180"/>
      <c r="BM31" s="1180"/>
      <c r="BN31" s="1180"/>
      <c r="BO31" s="1180"/>
      <c r="BP31" s="1180"/>
      <c r="BQ31" s="1180"/>
      <c r="BR31" s="1180"/>
      <c r="BS31" s="1180"/>
      <c r="BT31" s="1180"/>
      <c r="BU31" s="1180"/>
      <c r="BV31" s="1180"/>
      <c r="BW31" s="1180"/>
      <c r="BX31" s="1180"/>
      <c r="BY31" s="1180"/>
      <c r="BZ31" s="1180"/>
      <c r="CA31" s="1180"/>
      <c r="CB31" s="1180"/>
      <c r="CC31" s="1180"/>
      <c r="CD31" s="1180"/>
      <c r="CE31" s="1180"/>
      <c r="CF31" s="1180"/>
      <c r="CG31" s="1180"/>
      <c r="CH31" s="1180"/>
      <c r="CI31" s="1180"/>
      <c r="CJ31" s="1180"/>
      <c r="CK31" s="1180"/>
      <c r="CL31" s="1180"/>
      <c r="CM31" s="1180"/>
      <c r="CN31" s="1180"/>
      <c r="CO31" s="1180"/>
      <c r="CP31" s="1180"/>
      <c r="CQ31" s="1180"/>
      <c r="CR31" s="1180"/>
      <c r="CS31" s="1180"/>
      <c r="CT31" s="1180"/>
      <c r="CU31" s="1180"/>
      <c r="CV31" s="1180"/>
      <c r="CW31" s="1180"/>
      <c r="CX31" s="1180"/>
      <c r="CY31" s="1180"/>
      <c r="CZ31" s="1180"/>
      <c r="DA31" s="1180"/>
      <c r="DB31" s="1180"/>
      <c r="DC31" s="1180"/>
      <c r="DD31" s="1180"/>
      <c r="DE31" s="1180"/>
      <c r="DF31" s="1180"/>
      <c r="DG31" s="1180"/>
      <c r="DH31" s="1180"/>
      <c r="DI31" s="1180"/>
      <c r="DJ31" s="1180"/>
      <c r="DK31" s="1180"/>
      <c r="DL31" s="1180"/>
      <c r="DM31" s="1180"/>
      <c r="DN31" s="1180"/>
      <c r="DO31" s="1180"/>
      <c r="DP31" s="1180"/>
      <c r="DQ31" s="1180"/>
      <c r="DR31" s="1180"/>
      <c r="DS31" s="1180"/>
      <c r="DT31" s="1180"/>
      <c r="DU31" s="1180"/>
      <c r="DV31" s="1180"/>
      <c r="DW31" s="1180"/>
      <c r="DX31" s="1180"/>
      <c r="DY31" s="1180"/>
      <c r="DZ31" s="1180"/>
      <c r="EA31" s="1180"/>
      <c r="EB31" s="1180"/>
      <c r="EC31" s="1180"/>
      <c r="ED31" s="1180"/>
      <c r="EE31" s="1180"/>
      <c r="EF31" s="1180"/>
      <c r="EG31" s="1180"/>
      <c r="EH31" s="1180"/>
      <c r="EI31" s="1180"/>
      <c r="EJ31" s="1180"/>
      <c r="EK31" s="1180"/>
      <c r="EL31" s="1180"/>
      <c r="EM31" s="1180"/>
      <c r="EN31" s="1180"/>
      <c r="EO31" s="1180"/>
      <c r="EP31" s="1180"/>
      <c r="EQ31" s="1180"/>
      <c r="ER31" s="1180"/>
      <c r="ES31" s="1180"/>
      <c r="ET31" s="1180"/>
      <c r="EU31" s="1180"/>
      <c r="EV31" s="1180"/>
      <c r="EW31" s="1180"/>
      <c r="EX31" s="1180"/>
      <c r="EY31" s="1180"/>
      <c r="EZ31" s="1180"/>
      <c r="FA31" s="1180"/>
      <c r="FB31" s="1180"/>
      <c r="FC31" s="1180"/>
      <c r="FD31" s="1180"/>
      <c r="FE31" s="1180"/>
      <c r="FF31" s="1180"/>
      <c r="FG31" s="1180"/>
      <c r="FH31" s="1180"/>
      <c r="FI31" s="1180"/>
      <c r="FJ31" s="1180"/>
      <c r="FK31" s="1180"/>
      <c r="FL31" s="1180"/>
      <c r="FM31" s="1180"/>
      <c r="FN31" s="1180"/>
      <c r="FO31" s="1180"/>
      <c r="FP31" s="1180"/>
      <c r="FQ31" s="1180"/>
      <c r="FR31" s="1180"/>
      <c r="FS31" s="1180"/>
      <c r="FT31" s="1180"/>
      <c r="FU31" s="1180"/>
      <c r="FV31" s="1180"/>
      <c r="FW31" s="1180"/>
      <c r="FX31" s="1180"/>
      <c r="FY31" s="1180"/>
      <c r="FZ31" s="1180"/>
      <c r="GA31" s="1180"/>
    </row>
    <row r="32" spans="1:183" s="1182" customFormat="1" ht="14.1" customHeight="1">
      <c r="A32" s="1118"/>
      <c r="B32" s="1807" t="s">
        <v>1205</v>
      </c>
      <c r="C32" s="1807"/>
      <c r="D32" s="1807"/>
      <c r="E32" s="1807"/>
      <c r="F32" s="1807"/>
      <c r="G32" s="1807"/>
      <c r="H32" s="1187">
        <f>ROUND(H30+H31,0)</f>
        <v>43901221</v>
      </c>
      <c r="I32"/>
      <c r="J32" s="1180"/>
      <c r="K32" s="1180"/>
      <c r="L32" s="1180"/>
      <c r="M32" s="1180"/>
      <c r="N32" s="1180"/>
      <c r="O32" s="1180"/>
      <c r="P32" s="1180"/>
      <c r="Q32" s="1180"/>
      <c r="R32" s="1180"/>
      <c r="S32" s="1180"/>
      <c r="T32" s="1180"/>
      <c r="U32" s="1180"/>
      <c r="V32" s="1180"/>
      <c r="W32" s="1180"/>
      <c r="X32" s="1180"/>
      <c r="Y32" s="1180"/>
      <c r="Z32" s="1180"/>
      <c r="AA32" s="1180"/>
      <c r="AB32" s="1180"/>
      <c r="AC32" s="1180"/>
      <c r="AD32" s="1180"/>
      <c r="AE32" s="1180"/>
      <c r="AF32" s="1180"/>
      <c r="AG32" s="1180"/>
      <c r="AH32" s="1180"/>
      <c r="AI32" s="1180"/>
      <c r="AJ32" s="1180"/>
      <c r="AK32" s="1180"/>
      <c r="AL32" s="1180"/>
      <c r="AM32" s="1180"/>
      <c r="AN32" s="1180"/>
      <c r="AO32" s="1180"/>
      <c r="AP32" s="1180"/>
      <c r="AQ32" s="1180"/>
      <c r="AR32" s="1180"/>
      <c r="AS32" s="1180"/>
      <c r="AT32" s="1180"/>
      <c r="AU32" s="1180"/>
      <c r="AV32" s="1180"/>
      <c r="AW32" s="1180"/>
      <c r="AX32" s="1180"/>
      <c r="AY32" s="1180"/>
      <c r="AZ32" s="1180"/>
      <c r="BA32" s="1180"/>
      <c r="BB32" s="1180"/>
      <c r="BC32" s="1180"/>
      <c r="BD32" s="1180"/>
      <c r="BE32" s="1180"/>
      <c r="BF32" s="1180"/>
      <c r="BG32" s="1180"/>
      <c r="BH32" s="1180"/>
      <c r="BI32" s="1180"/>
      <c r="BJ32" s="1180"/>
      <c r="BK32" s="1180"/>
      <c r="BL32" s="1180"/>
      <c r="BM32" s="1180"/>
      <c r="BN32" s="1180"/>
      <c r="BO32" s="1180"/>
      <c r="BP32" s="1180"/>
      <c r="BQ32" s="1180"/>
      <c r="BR32" s="1180"/>
      <c r="BS32" s="1180"/>
      <c r="BT32" s="1180"/>
      <c r="BU32" s="1180"/>
      <c r="BV32" s="1180"/>
      <c r="BW32" s="1180"/>
      <c r="BX32" s="1180"/>
      <c r="BY32" s="1180"/>
      <c r="BZ32" s="1180"/>
      <c r="CA32" s="1180"/>
      <c r="CB32" s="1180"/>
      <c r="CC32" s="1180"/>
      <c r="CD32" s="1180"/>
      <c r="CE32" s="1180"/>
      <c r="CF32" s="1180"/>
      <c r="CG32" s="1180"/>
      <c r="CH32" s="1180"/>
      <c r="CI32" s="1180"/>
      <c r="CJ32" s="1180"/>
      <c r="CK32" s="1180"/>
      <c r="CL32" s="1180"/>
      <c r="CM32" s="1180"/>
      <c r="CN32" s="1180"/>
      <c r="CO32" s="1180"/>
      <c r="CP32" s="1180"/>
      <c r="CQ32" s="1180"/>
      <c r="CR32" s="1180"/>
      <c r="CS32" s="1180"/>
      <c r="CT32" s="1180"/>
      <c r="CU32" s="1180"/>
      <c r="CV32" s="1180"/>
      <c r="CW32" s="1180"/>
      <c r="CX32" s="1180"/>
      <c r="CY32" s="1180"/>
      <c r="CZ32" s="1180"/>
      <c r="DA32" s="1180"/>
      <c r="DB32" s="1180"/>
      <c r="DC32" s="1180"/>
      <c r="DD32" s="1180"/>
      <c r="DE32" s="1180"/>
      <c r="DF32" s="1180"/>
      <c r="DG32" s="1180"/>
      <c r="DH32" s="1180"/>
      <c r="DI32" s="1180"/>
      <c r="DJ32" s="1180"/>
      <c r="DK32" s="1180"/>
      <c r="DL32" s="1180"/>
      <c r="DM32" s="1180"/>
      <c r="DN32" s="1180"/>
      <c r="DO32" s="1180"/>
      <c r="DP32" s="1180"/>
      <c r="DQ32" s="1180"/>
      <c r="DR32" s="1180"/>
      <c r="DS32" s="1180"/>
      <c r="DT32" s="1180"/>
      <c r="DU32" s="1180"/>
      <c r="DV32" s="1180"/>
      <c r="DW32" s="1180"/>
      <c r="DX32" s="1180"/>
      <c r="DY32" s="1180"/>
      <c r="DZ32" s="1180"/>
      <c r="EA32" s="1180"/>
      <c r="EB32" s="1180"/>
      <c r="EC32" s="1180"/>
      <c r="ED32" s="1180"/>
      <c r="EE32" s="1180"/>
      <c r="EF32" s="1180"/>
      <c r="EG32" s="1180"/>
      <c r="EH32" s="1180"/>
      <c r="EI32" s="1180"/>
      <c r="EJ32" s="1180"/>
      <c r="EK32" s="1180"/>
      <c r="EL32" s="1180"/>
      <c r="EM32" s="1180"/>
      <c r="EN32" s="1180"/>
      <c r="EO32" s="1180"/>
      <c r="EP32" s="1180"/>
      <c r="EQ32" s="1180"/>
      <c r="ER32" s="1180"/>
      <c r="ES32" s="1180"/>
      <c r="ET32" s="1180"/>
      <c r="EU32" s="1180"/>
      <c r="EV32" s="1180"/>
      <c r="EW32" s="1180"/>
      <c r="EX32" s="1180"/>
      <c r="EY32" s="1180"/>
      <c r="EZ32" s="1180"/>
      <c r="FA32" s="1180"/>
      <c r="FB32" s="1180"/>
      <c r="FC32" s="1180"/>
      <c r="FD32" s="1180"/>
      <c r="FE32" s="1180"/>
      <c r="FF32" s="1180"/>
      <c r="FG32" s="1180"/>
      <c r="FH32" s="1180"/>
      <c r="FI32" s="1180"/>
      <c r="FJ32" s="1180"/>
      <c r="FK32" s="1180"/>
      <c r="FL32" s="1180"/>
      <c r="FM32" s="1180"/>
      <c r="FN32" s="1180"/>
      <c r="FO32" s="1180"/>
      <c r="FP32" s="1180"/>
      <c r="FQ32" s="1180"/>
      <c r="FR32" s="1180"/>
      <c r="FS32" s="1180"/>
      <c r="FT32" s="1180"/>
      <c r="FU32" s="1180"/>
      <c r="FV32" s="1180"/>
      <c r="FW32" s="1180"/>
      <c r="FX32" s="1180"/>
      <c r="FY32" s="1180"/>
      <c r="FZ32" s="1180"/>
      <c r="GA32" s="1180"/>
    </row>
    <row r="33" spans="1:16311" ht="12.6" customHeight="1">
      <c r="A33" s="1114"/>
      <c r="B33" s="1356"/>
      <c r="C33" s="1357"/>
      <c r="D33" s="1357"/>
      <c r="E33" s="1357"/>
      <c r="F33" s="1357"/>
      <c r="G33" s="1357"/>
      <c r="H33" s="1358"/>
    </row>
    <row r="34" spans="1:16311" ht="15.75">
      <c r="A34" s="1114"/>
      <c r="B34" s="1808"/>
      <c r="C34" s="1809"/>
      <c r="D34" s="1359"/>
      <c r="E34" s="1173"/>
      <c r="F34" s="1360"/>
      <c r="G34" s="1174"/>
      <c r="H34" s="1188"/>
      <c r="J34" s="1183"/>
      <c r="K34" s="1183"/>
      <c r="L34" s="1183"/>
      <c r="M34" s="1183"/>
      <c r="N34" s="1183"/>
      <c r="O34" s="1183"/>
      <c r="P34" s="1183"/>
      <c r="Q34" s="1183"/>
      <c r="R34" s="1183"/>
      <c r="S34" s="1183"/>
      <c r="T34" s="1183"/>
      <c r="U34" s="1183"/>
      <c r="V34" s="1183"/>
      <c r="W34" s="1183"/>
      <c r="X34" s="1183"/>
      <c r="Y34" s="1183"/>
      <c r="Z34" s="1183"/>
      <c r="AA34" s="1183"/>
      <c r="AB34" s="1183"/>
      <c r="AC34" s="1183"/>
      <c r="AD34" s="1183"/>
      <c r="AE34" s="1183"/>
      <c r="AF34" s="1183"/>
      <c r="AG34" s="1183"/>
      <c r="AH34" s="1183"/>
      <c r="AI34" s="1183"/>
      <c r="AJ34" s="1183"/>
      <c r="AK34" s="1183"/>
      <c r="AL34" s="1183"/>
      <c r="AM34" s="1183"/>
      <c r="AN34" s="1183"/>
      <c r="AO34" s="1183"/>
      <c r="AP34" s="1183"/>
      <c r="AQ34" s="1183"/>
      <c r="AR34" s="1183"/>
      <c r="AS34" s="1183"/>
      <c r="AT34" s="1183"/>
      <c r="AU34" s="1183"/>
      <c r="AV34" s="1183"/>
      <c r="AW34" s="1183"/>
      <c r="AX34" s="1183"/>
      <c r="AY34" s="1183"/>
      <c r="AZ34" s="1183"/>
      <c r="BA34" s="1183"/>
      <c r="BB34" s="1183"/>
      <c r="BC34" s="1183"/>
      <c r="BD34" s="1183"/>
      <c r="BE34" s="1183"/>
      <c r="BF34" s="1183"/>
      <c r="BG34" s="1183"/>
      <c r="BH34" s="1183"/>
      <c r="BI34" s="1183"/>
      <c r="BJ34" s="1183"/>
      <c r="BK34" s="1183"/>
      <c r="BL34" s="1183"/>
      <c r="BM34" s="1183"/>
      <c r="BN34" s="1183"/>
      <c r="BO34" s="1183"/>
      <c r="BP34" s="1183"/>
      <c r="BQ34" s="1183"/>
      <c r="BR34" s="1183"/>
      <c r="BS34" s="1183"/>
      <c r="BT34" s="1183"/>
      <c r="BU34" s="1183"/>
      <c r="BV34" s="1183"/>
      <c r="BW34" s="1183"/>
      <c r="BX34" s="1183"/>
      <c r="BY34" s="1183"/>
      <c r="BZ34" s="1183"/>
      <c r="CA34" s="1183"/>
      <c r="CB34" s="1183"/>
      <c r="CC34" s="1183"/>
      <c r="CD34" s="1183"/>
      <c r="CE34" s="1183"/>
      <c r="CF34" s="1183"/>
      <c r="CG34" s="1183"/>
      <c r="CH34" s="1183"/>
      <c r="CI34" s="1183"/>
      <c r="CJ34" s="1183"/>
      <c r="CK34" s="1183"/>
      <c r="CL34" s="1183"/>
      <c r="CM34" s="1183"/>
      <c r="CN34" s="1183"/>
      <c r="CO34" s="1183"/>
      <c r="CP34" s="1183"/>
      <c r="CQ34" s="1183"/>
      <c r="CR34" s="1183"/>
      <c r="CS34" s="1183"/>
      <c r="CT34" s="1183"/>
      <c r="CU34" s="1183"/>
      <c r="CV34" s="1183"/>
      <c r="CW34" s="1183"/>
      <c r="CX34" s="1183"/>
      <c r="CY34" s="1183"/>
      <c r="CZ34" s="1183"/>
      <c r="DA34" s="1183"/>
      <c r="DB34" s="1183"/>
      <c r="DC34" s="1183"/>
      <c r="DD34" s="1183"/>
      <c r="DE34" s="1183"/>
      <c r="DF34" s="1183"/>
      <c r="DG34" s="1183"/>
      <c r="DH34" s="1183"/>
      <c r="DI34" s="1183"/>
      <c r="DJ34" s="1183"/>
      <c r="DK34" s="1183"/>
      <c r="DL34" s="1183"/>
      <c r="DM34" s="1183"/>
      <c r="DN34" s="1183"/>
      <c r="DO34" s="1183"/>
      <c r="DP34" s="1183"/>
      <c r="DQ34" s="1183"/>
      <c r="DR34" s="1183"/>
      <c r="DS34" s="1183"/>
      <c r="DT34" s="1183"/>
      <c r="DU34" s="1183"/>
      <c r="DV34" s="1183"/>
      <c r="DW34" s="1183"/>
      <c r="DX34" s="1183"/>
      <c r="DY34" s="1183"/>
      <c r="DZ34" s="1183"/>
      <c r="EA34" s="1183"/>
      <c r="EB34" s="1183"/>
      <c r="EC34" s="1183"/>
      <c r="ED34" s="1183"/>
      <c r="EE34" s="1183"/>
      <c r="EF34" s="1183"/>
      <c r="EG34" s="1183"/>
      <c r="EH34" s="1183"/>
      <c r="EI34" s="1183"/>
      <c r="EJ34" s="1183"/>
      <c r="EK34" s="1183"/>
      <c r="EL34" s="1183"/>
      <c r="EM34" s="1183"/>
      <c r="EN34" s="1183"/>
      <c r="EO34" s="1183"/>
      <c r="EP34" s="1183"/>
      <c r="EQ34" s="1183"/>
      <c r="ER34" s="1183"/>
      <c r="ES34" s="1183"/>
      <c r="ET34" s="1183"/>
      <c r="EU34" s="1183"/>
      <c r="EV34" s="1183"/>
      <c r="EW34" s="1183"/>
      <c r="EX34" s="1183"/>
      <c r="EY34" s="1183"/>
      <c r="EZ34" s="1183"/>
      <c r="FA34" s="1183"/>
      <c r="FB34" s="1183"/>
      <c r="FC34" s="1183"/>
      <c r="FD34" s="1183"/>
      <c r="FE34" s="1183"/>
      <c r="FF34" s="1183"/>
      <c r="FG34" s="1183"/>
      <c r="FH34" s="1183"/>
      <c r="FI34" s="1183"/>
      <c r="FJ34" s="1183"/>
      <c r="FK34" s="1183"/>
      <c r="FL34" s="1183"/>
      <c r="FM34" s="1183"/>
      <c r="FN34" s="1183"/>
      <c r="FO34" s="1183"/>
      <c r="FP34" s="1183"/>
      <c r="FQ34" s="1183"/>
      <c r="FR34" s="1183"/>
      <c r="FS34" s="1183"/>
      <c r="FT34" s="1183"/>
      <c r="FU34" s="1183"/>
      <c r="FV34" s="1183"/>
      <c r="FW34" s="1183"/>
      <c r="FX34" s="1183"/>
      <c r="FY34" s="1183"/>
      <c r="FZ34" s="1183"/>
      <c r="GA34" s="1183"/>
    </row>
    <row r="35" spans="1:16311" ht="30" customHeight="1">
      <c r="A35" s="1114"/>
      <c r="B35" s="1813" t="s">
        <v>22</v>
      </c>
      <c r="C35" s="1551"/>
      <c r="D35" s="1176"/>
      <c r="E35" s="1173"/>
      <c r="F35" s="1177"/>
      <c r="G35" s="1174"/>
      <c r="H35" s="1188"/>
      <c r="J35" s="1183"/>
      <c r="K35" s="1183"/>
      <c r="L35" s="1183"/>
      <c r="M35" s="1183"/>
      <c r="N35" s="1183"/>
      <c r="O35" s="1183"/>
      <c r="P35" s="1183"/>
      <c r="Q35" s="1183"/>
      <c r="R35" s="1183"/>
      <c r="S35" s="1183"/>
      <c r="T35" s="1183"/>
      <c r="U35" s="1183"/>
      <c r="V35" s="1183"/>
      <c r="W35" s="1183"/>
      <c r="X35" s="1183"/>
      <c r="Y35" s="1183"/>
      <c r="Z35" s="1183"/>
      <c r="AA35" s="1183"/>
      <c r="AB35" s="1183"/>
      <c r="AC35" s="1183"/>
      <c r="AD35" s="1183"/>
      <c r="AE35" s="1183"/>
      <c r="AF35" s="1183"/>
      <c r="AG35" s="1183"/>
      <c r="AH35" s="1183"/>
      <c r="AI35" s="1183"/>
      <c r="AJ35" s="1183"/>
      <c r="AK35" s="1183"/>
      <c r="AL35" s="1183"/>
      <c r="AM35" s="1183"/>
      <c r="AN35" s="1183"/>
      <c r="AO35" s="1183"/>
      <c r="AP35" s="1183"/>
      <c r="AQ35" s="1183"/>
      <c r="AR35" s="1183"/>
      <c r="AS35" s="1183"/>
      <c r="AT35" s="1183"/>
      <c r="AU35" s="1183"/>
      <c r="AV35" s="1183"/>
      <c r="AW35" s="1183"/>
      <c r="AX35" s="1183"/>
      <c r="AY35" s="1183"/>
      <c r="AZ35" s="1183"/>
      <c r="BA35" s="1183"/>
      <c r="BB35" s="1183"/>
      <c r="BC35" s="1183"/>
      <c r="BD35" s="1183"/>
      <c r="BE35" s="1183"/>
      <c r="BF35" s="1183"/>
      <c r="BG35" s="1183"/>
      <c r="BH35" s="1183"/>
      <c r="BI35" s="1183"/>
      <c r="BJ35" s="1183"/>
      <c r="BK35" s="1183"/>
      <c r="BL35" s="1183"/>
      <c r="BM35" s="1183"/>
      <c r="BN35" s="1183"/>
      <c r="BO35" s="1183"/>
      <c r="BP35" s="1183"/>
      <c r="BQ35" s="1183"/>
      <c r="BR35" s="1183"/>
      <c r="BS35" s="1183"/>
      <c r="BT35" s="1183"/>
      <c r="BU35" s="1183"/>
      <c r="BV35" s="1183"/>
      <c r="BW35" s="1183"/>
      <c r="BX35" s="1183"/>
      <c r="BY35" s="1183"/>
      <c r="BZ35" s="1183"/>
      <c r="CA35" s="1183"/>
      <c r="CB35" s="1183"/>
      <c r="CC35" s="1183"/>
      <c r="CD35" s="1183"/>
      <c r="CE35" s="1183"/>
      <c r="CF35" s="1183"/>
      <c r="CG35" s="1183"/>
      <c r="CH35" s="1183"/>
      <c r="CI35" s="1183"/>
      <c r="CJ35" s="1183"/>
      <c r="CK35" s="1183"/>
      <c r="CL35" s="1183"/>
      <c r="CM35" s="1183"/>
      <c r="CN35" s="1183"/>
      <c r="CO35" s="1183"/>
      <c r="CP35" s="1183"/>
      <c r="CQ35" s="1183"/>
      <c r="CR35" s="1183"/>
      <c r="CS35" s="1183"/>
      <c r="CT35" s="1183"/>
      <c r="CU35" s="1183"/>
      <c r="CV35" s="1183"/>
      <c r="CW35" s="1183"/>
      <c r="CX35" s="1183"/>
      <c r="CY35" s="1183"/>
      <c r="CZ35" s="1183"/>
      <c r="DA35" s="1183"/>
      <c r="DB35" s="1183"/>
      <c r="DC35" s="1183"/>
      <c r="DD35" s="1183"/>
      <c r="DE35" s="1183"/>
      <c r="DF35" s="1183"/>
      <c r="DG35" s="1183"/>
      <c r="DH35" s="1183"/>
      <c r="DI35" s="1183"/>
      <c r="DJ35" s="1183"/>
      <c r="DK35" s="1183"/>
      <c r="DL35" s="1183"/>
      <c r="DM35" s="1183"/>
      <c r="DN35" s="1183"/>
      <c r="DO35" s="1183"/>
      <c r="DP35" s="1183"/>
      <c r="DQ35" s="1183"/>
      <c r="DR35" s="1183"/>
      <c r="DS35" s="1183"/>
      <c r="DT35" s="1183"/>
      <c r="DU35" s="1183"/>
      <c r="DV35" s="1183"/>
      <c r="DW35" s="1183"/>
      <c r="DX35" s="1183"/>
      <c r="DY35" s="1183"/>
      <c r="DZ35" s="1183"/>
      <c r="EA35" s="1183"/>
      <c r="EB35" s="1183"/>
      <c r="EC35" s="1183"/>
      <c r="ED35" s="1183"/>
      <c r="EE35" s="1183"/>
      <c r="EF35" s="1183"/>
      <c r="EG35" s="1183"/>
      <c r="EH35" s="1183"/>
      <c r="EI35" s="1183"/>
      <c r="EJ35" s="1183"/>
      <c r="EK35" s="1183"/>
      <c r="EL35" s="1183"/>
      <c r="EM35" s="1183"/>
      <c r="EN35" s="1183"/>
      <c r="EO35" s="1183"/>
      <c r="EP35" s="1183"/>
      <c r="EQ35" s="1183"/>
      <c r="ER35" s="1183"/>
      <c r="ES35" s="1183"/>
      <c r="ET35" s="1183"/>
      <c r="EU35" s="1183"/>
      <c r="EV35" s="1183"/>
      <c r="EW35" s="1183"/>
      <c r="EX35" s="1183"/>
      <c r="EY35" s="1183"/>
      <c r="EZ35" s="1183"/>
      <c r="FA35" s="1183"/>
      <c r="FB35" s="1183"/>
      <c r="FC35" s="1183"/>
      <c r="FD35" s="1183"/>
      <c r="FE35" s="1183"/>
      <c r="FF35" s="1183"/>
      <c r="FG35" s="1183"/>
      <c r="FH35" s="1183"/>
      <c r="FI35" s="1183"/>
      <c r="FJ35" s="1183"/>
      <c r="FK35" s="1183"/>
      <c r="FL35" s="1183"/>
      <c r="FM35" s="1183"/>
      <c r="FN35" s="1183"/>
      <c r="FO35" s="1183"/>
      <c r="FP35" s="1183"/>
      <c r="FQ35" s="1183"/>
      <c r="FR35" s="1183"/>
      <c r="FS35" s="1183"/>
      <c r="FT35" s="1183"/>
      <c r="FU35" s="1183"/>
      <c r="FV35" s="1183"/>
      <c r="FW35" s="1183"/>
      <c r="FX35" s="1183"/>
      <c r="FY35" s="1183"/>
      <c r="FZ35" s="1183"/>
      <c r="GA35" s="1183"/>
    </row>
    <row r="36" spans="1:16311" ht="15" customHeight="1">
      <c r="A36" s="1114"/>
      <c r="B36" s="1804" t="s">
        <v>23</v>
      </c>
      <c r="C36" s="1545"/>
      <c r="D36" s="1176"/>
      <c r="E36" s="1173"/>
      <c r="F36" s="1177"/>
      <c r="G36" s="1174"/>
      <c r="H36" s="1188"/>
      <c r="J36" s="1183"/>
      <c r="K36" s="1183"/>
      <c r="L36" s="1183"/>
      <c r="M36" s="1183"/>
      <c r="N36" s="1183"/>
      <c r="O36" s="1183"/>
      <c r="P36" s="1183"/>
      <c r="Q36" s="1183"/>
      <c r="R36" s="1183"/>
      <c r="S36" s="1183"/>
      <c r="T36" s="1183"/>
      <c r="U36" s="1183"/>
      <c r="V36" s="1183"/>
      <c r="W36" s="1183"/>
      <c r="X36" s="1183"/>
      <c r="Y36" s="1183"/>
      <c r="Z36" s="1183"/>
      <c r="AA36" s="1183"/>
      <c r="AB36" s="1183"/>
      <c r="AC36" s="1183"/>
      <c r="AD36" s="1183"/>
      <c r="AE36" s="1183"/>
      <c r="AF36" s="1183"/>
      <c r="AG36" s="1183"/>
      <c r="AH36" s="1183"/>
      <c r="AI36" s="1183"/>
      <c r="AJ36" s="1183"/>
      <c r="AK36" s="1183"/>
      <c r="AL36" s="1183"/>
      <c r="AM36" s="1183"/>
      <c r="AN36" s="1183"/>
      <c r="AO36" s="1183"/>
      <c r="AP36" s="1183"/>
      <c r="AQ36" s="1183"/>
      <c r="AR36" s="1183"/>
      <c r="AS36" s="1183"/>
      <c r="AT36" s="1183"/>
      <c r="AU36" s="1183"/>
      <c r="AV36" s="1183"/>
      <c r="AW36" s="1183"/>
      <c r="AX36" s="1183"/>
      <c r="AY36" s="1183"/>
      <c r="AZ36" s="1183"/>
      <c r="BA36" s="1183"/>
      <c r="BB36" s="1183"/>
      <c r="BC36" s="1183"/>
      <c r="BD36" s="1183"/>
      <c r="BE36" s="1183"/>
      <c r="BF36" s="1183"/>
      <c r="BG36" s="1183"/>
      <c r="BH36" s="1183"/>
      <c r="BI36" s="1183"/>
      <c r="BJ36" s="1183"/>
      <c r="BK36" s="1183"/>
      <c r="BL36" s="1183"/>
      <c r="BM36" s="1183"/>
      <c r="BN36" s="1183"/>
      <c r="BO36" s="1183"/>
      <c r="BP36" s="1183"/>
      <c r="BQ36" s="1183"/>
      <c r="BR36" s="1183"/>
      <c r="BS36" s="1183"/>
      <c r="BT36" s="1183"/>
      <c r="BU36" s="1183"/>
      <c r="BV36" s="1183"/>
      <c r="BW36" s="1183"/>
      <c r="BX36" s="1183"/>
      <c r="BY36" s="1183"/>
      <c r="BZ36" s="1183"/>
      <c r="CA36" s="1183"/>
      <c r="CB36" s="1183"/>
      <c r="CC36" s="1183"/>
      <c r="CD36" s="1183"/>
      <c r="CE36" s="1183"/>
      <c r="CF36" s="1183"/>
      <c r="CG36" s="1183"/>
      <c r="CH36" s="1183"/>
      <c r="CI36" s="1183"/>
      <c r="CJ36" s="1183"/>
      <c r="CK36" s="1183"/>
      <c r="CL36" s="1183"/>
      <c r="CM36" s="1183"/>
      <c r="CN36" s="1183"/>
      <c r="CO36" s="1183"/>
      <c r="CP36" s="1183"/>
      <c r="CQ36" s="1183"/>
      <c r="CR36" s="1183"/>
      <c r="CS36" s="1183"/>
      <c r="CT36" s="1183"/>
      <c r="CU36" s="1183"/>
      <c r="CV36" s="1183"/>
      <c r="CW36" s="1183"/>
      <c r="CX36" s="1183"/>
      <c r="CY36" s="1183"/>
      <c r="CZ36" s="1183"/>
      <c r="DA36" s="1183"/>
      <c r="DB36" s="1183"/>
      <c r="DC36" s="1183"/>
      <c r="DD36" s="1183"/>
      <c r="DE36" s="1183"/>
      <c r="DF36" s="1183"/>
      <c r="DG36" s="1183"/>
      <c r="DH36" s="1183"/>
      <c r="DI36" s="1183"/>
      <c r="DJ36" s="1183"/>
      <c r="DK36" s="1183"/>
      <c r="DL36" s="1183"/>
      <c r="DM36" s="1183"/>
      <c r="DN36" s="1183"/>
      <c r="DO36" s="1183"/>
      <c r="DP36" s="1183"/>
      <c r="DQ36" s="1183"/>
      <c r="DR36" s="1183"/>
      <c r="DS36" s="1183"/>
      <c r="DT36" s="1183"/>
      <c r="DU36" s="1183"/>
      <c r="DV36" s="1183"/>
      <c r="DW36" s="1183"/>
      <c r="DX36" s="1183"/>
      <c r="DY36" s="1183"/>
      <c r="DZ36" s="1183"/>
      <c r="EA36" s="1183"/>
      <c r="EB36" s="1183"/>
      <c r="EC36" s="1183"/>
      <c r="ED36" s="1183"/>
      <c r="EE36" s="1183"/>
      <c r="EF36" s="1183"/>
      <c r="EG36" s="1183"/>
      <c r="EH36" s="1183"/>
      <c r="EI36" s="1183"/>
      <c r="EJ36" s="1183"/>
      <c r="EK36" s="1183"/>
      <c r="EL36" s="1183"/>
      <c r="EM36" s="1183"/>
      <c r="EN36" s="1183"/>
      <c r="EO36" s="1183"/>
      <c r="EP36" s="1183"/>
      <c r="EQ36" s="1183"/>
      <c r="ER36" s="1183"/>
      <c r="ES36" s="1183"/>
      <c r="ET36" s="1183"/>
      <c r="EU36" s="1183"/>
      <c r="EV36" s="1183"/>
      <c r="EW36" s="1183"/>
      <c r="EX36" s="1183"/>
      <c r="EY36" s="1183"/>
      <c r="EZ36" s="1183"/>
      <c r="FA36" s="1183"/>
      <c r="FB36" s="1183"/>
      <c r="FC36" s="1183"/>
      <c r="FD36" s="1183"/>
      <c r="FE36" s="1183"/>
      <c r="FF36" s="1183"/>
      <c r="FG36" s="1183"/>
      <c r="FH36" s="1183"/>
      <c r="FI36" s="1183"/>
      <c r="FJ36" s="1183"/>
      <c r="FK36" s="1183"/>
      <c r="FL36" s="1183"/>
      <c r="FM36" s="1183"/>
      <c r="FN36" s="1183"/>
      <c r="FO36" s="1183"/>
      <c r="FP36" s="1183"/>
      <c r="FQ36" s="1183"/>
      <c r="FR36" s="1183"/>
      <c r="FS36" s="1183"/>
      <c r="FT36" s="1183"/>
      <c r="FU36" s="1183"/>
      <c r="FV36" s="1183"/>
      <c r="FW36" s="1183"/>
      <c r="FX36" s="1183"/>
      <c r="FY36" s="1183"/>
      <c r="FZ36" s="1183"/>
      <c r="GA36" s="1183"/>
    </row>
    <row r="37" spans="1:16311" ht="15" customHeight="1">
      <c r="A37" s="1114"/>
      <c r="B37" s="1814" t="s">
        <v>24</v>
      </c>
      <c r="C37" s="1545"/>
      <c r="D37" s="1176"/>
      <c r="E37" s="1173"/>
      <c r="F37" s="1173"/>
      <c r="G37" s="1174"/>
      <c r="H37" s="1188"/>
      <c r="J37" s="1183"/>
      <c r="K37" s="1183"/>
      <c r="L37" s="1183"/>
      <c r="M37" s="1183"/>
      <c r="N37" s="1183"/>
      <c r="O37" s="1183"/>
      <c r="P37" s="1183"/>
      <c r="Q37" s="1183"/>
      <c r="R37" s="1183"/>
      <c r="S37" s="1183"/>
      <c r="T37" s="1183"/>
      <c r="U37" s="1183"/>
      <c r="V37" s="1183"/>
      <c r="W37" s="1183"/>
      <c r="X37" s="1183"/>
      <c r="Y37" s="1183"/>
      <c r="Z37" s="1183"/>
      <c r="AA37" s="1183"/>
      <c r="AB37" s="1183"/>
      <c r="AC37" s="1183"/>
      <c r="AD37" s="1183"/>
      <c r="AE37" s="1183"/>
      <c r="AF37" s="1183"/>
      <c r="AG37" s="1183"/>
      <c r="AH37" s="1183"/>
      <c r="AI37" s="1183"/>
      <c r="AJ37" s="1183"/>
      <c r="AK37" s="1183"/>
      <c r="AL37" s="1183"/>
      <c r="AM37" s="1183"/>
      <c r="AN37" s="1183"/>
      <c r="AO37" s="1183"/>
      <c r="AP37" s="1183"/>
      <c r="AQ37" s="1183"/>
      <c r="AR37" s="1183"/>
      <c r="AS37" s="1183"/>
      <c r="AT37" s="1183"/>
      <c r="AU37" s="1183"/>
      <c r="AV37" s="1183"/>
      <c r="AW37" s="1183"/>
      <c r="AX37" s="1183"/>
      <c r="AY37" s="1183"/>
      <c r="AZ37" s="1183"/>
      <c r="BA37" s="1183"/>
      <c r="BB37" s="1183"/>
      <c r="BC37" s="1183"/>
      <c r="BD37" s="1183"/>
      <c r="BE37" s="1183"/>
      <c r="BF37" s="1183"/>
      <c r="BG37" s="1183"/>
      <c r="BH37" s="1183"/>
      <c r="BI37" s="1183"/>
      <c r="BJ37" s="1183"/>
      <c r="BK37" s="1183"/>
      <c r="BL37" s="1183"/>
      <c r="BM37" s="1183"/>
      <c r="BN37" s="1183"/>
      <c r="BO37" s="1183"/>
      <c r="BP37" s="1183"/>
      <c r="BQ37" s="1183"/>
      <c r="BR37" s="1183"/>
      <c r="BS37" s="1183"/>
      <c r="BT37" s="1183"/>
      <c r="BU37" s="1183"/>
      <c r="BV37" s="1183"/>
      <c r="BW37" s="1183"/>
      <c r="BX37" s="1183"/>
      <c r="BY37" s="1183"/>
      <c r="BZ37" s="1183"/>
      <c r="CA37" s="1183"/>
      <c r="CB37" s="1183"/>
      <c r="CC37" s="1183"/>
      <c r="CD37" s="1183"/>
      <c r="CE37" s="1183"/>
      <c r="CF37" s="1183"/>
      <c r="CG37" s="1183"/>
      <c r="CH37" s="1183"/>
      <c r="CI37" s="1183"/>
      <c r="CJ37" s="1183"/>
      <c r="CK37" s="1183"/>
      <c r="CL37" s="1183"/>
      <c r="CM37" s="1183"/>
      <c r="CN37" s="1183"/>
      <c r="CO37" s="1183"/>
      <c r="CP37" s="1183"/>
      <c r="CQ37" s="1183"/>
      <c r="CR37" s="1183"/>
      <c r="CS37" s="1183"/>
      <c r="CT37" s="1183"/>
      <c r="CU37" s="1183"/>
      <c r="CV37" s="1183"/>
      <c r="CW37" s="1183"/>
      <c r="CX37" s="1183"/>
      <c r="CY37" s="1183"/>
      <c r="CZ37" s="1183"/>
      <c r="DA37" s="1183"/>
      <c r="DB37" s="1183"/>
      <c r="DC37" s="1183"/>
      <c r="DD37" s="1183"/>
      <c r="DE37" s="1183"/>
      <c r="DF37" s="1183"/>
      <c r="DG37" s="1183"/>
      <c r="DH37" s="1183"/>
      <c r="DI37" s="1183"/>
      <c r="DJ37" s="1183"/>
      <c r="DK37" s="1183"/>
      <c r="DL37" s="1183"/>
      <c r="DM37" s="1183"/>
      <c r="DN37" s="1183"/>
      <c r="DO37" s="1183"/>
      <c r="DP37" s="1183"/>
      <c r="DQ37" s="1183"/>
      <c r="DR37" s="1183"/>
      <c r="DS37" s="1183"/>
      <c r="DT37" s="1183"/>
      <c r="DU37" s="1183"/>
      <c r="DV37" s="1183"/>
      <c r="DW37" s="1183"/>
      <c r="DX37" s="1183"/>
      <c r="DY37" s="1183"/>
      <c r="DZ37" s="1183"/>
      <c r="EA37" s="1183"/>
      <c r="EB37" s="1183"/>
      <c r="EC37" s="1183"/>
      <c r="ED37" s="1183"/>
      <c r="EE37" s="1183"/>
      <c r="EF37" s="1183"/>
      <c r="EG37" s="1183"/>
      <c r="EH37" s="1183"/>
      <c r="EI37" s="1183"/>
      <c r="EJ37" s="1183"/>
      <c r="EK37" s="1183"/>
      <c r="EL37" s="1183"/>
      <c r="EM37" s="1183"/>
      <c r="EN37" s="1183"/>
      <c r="EO37" s="1183"/>
      <c r="EP37" s="1183"/>
      <c r="EQ37" s="1183"/>
      <c r="ER37" s="1183"/>
      <c r="ES37" s="1183"/>
      <c r="ET37" s="1183"/>
      <c r="EU37" s="1183"/>
      <c r="EV37" s="1183"/>
      <c r="EW37" s="1183"/>
      <c r="EX37" s="1183"/>
      <c r="EY37" s="1183"/>
      <c r="EZ37" s="1183"/>
      <c r="FA37" s="1183"/>
      <c r="FB37" s="1183"/>
      <c r="FC37" s="1183"/>
      <c r="FD37" s="1183"/>
      <c r="FE37" s="1183"/>
      <c r="FF37" s="1183"/>
      <c r="FG37" s="1183"/>
      <c r="FH37" s="1183"/>
      <c r="FI37" s="1183"/>
      <c r="FJ37" s="1183"/>
      <c r="FK37" s="1183"/>
      <c r="FL37" s="1183"/>
      <c r="FM37" s="1183"/>
      <c r="FN37" s="1183"/>
      <c r="FO37" s="1183"/>
      <c r="FP37" s="1183"/>
      <c r="FQ37" s="1183"/>
      <c r="FR37" s="1183"/>
      <c r="FS37" s="1183"/>
      <c r="FT37" s="1183"/>
      <c r="FU37" s="1183"/>
      <c r="FV37" s="1183"/>
      <c r="FW37" s="1183"/>
      <c r="FX37" s="1183"/>
      <c r="FY37" s="1183"/>
      <c r="FZ37" s="1183"/>
      <c r="GA37" s="1183"/>
    </row>
    <row r="38" spans="1:16311" ht="15" customHeight="1">
      <c r="A38" s="1114"/>
      <c r="B38" s="1804" t="s">
        <v>25</v>
      </c>
      <c r="C38" s="1545"/>
      <c r="D38" s="1178"/>
      <c r="E38" s="1175"/>
      <c r="F38" s="1178"/>
      <c r="G38" s="1174"/>
      <c r="H38" s="1188"/>
      <c r="J38" s="1183"/>
      <c r="K38" s="1183"/>
      <c r="L38" s="1183"/>
      <c r="M38" s="1183"/>
      <c r="N38" s="1183"/>
      <c r="O38" s="1183"/>
      <c r="P38" s="1183"/>
      <c r="Q38" s="1183"/>
      <c r="R38" s="1183"/>
      <c r="S38" s="1183"/>
      <c r="T38" s="1183"/>
      <c r="U38" s="1183"/>
      <c r="V38" s="1183"/>
      <c r="W38" s="1183"/>
      <c r="X38" s="1183"/>
      <c r="Y38" s="1183"/>
      <c r="Z38" s="1183"/>
      <c r="AA38" s="1183"/>
      <c r="AB38" s="1183"/>
      <c r="AC38" s="1183"/>
      <c r="AD38" s="1183"/>
      <c r="AE38" s="1183"/>
      <c r="AF38" s="1183"/>
      <c r="AG38" s="1183"/>
      <c r="AH38" s="1183"/>
      <c r="AI38" s="1183"/>
      <c r="AJ38" s="1183"/>
      <c r="AK38" s="1183"/>
      <c r="AL38" s="1183"/>
      <c r="AM38" s="1183"/>
      <c r="AN38" s="1183"/>
      <c r="AO38" s="1183"/>
      <c r="AP38" s="1183"/>
      <c r="AQ38" s="1183"/>
      <c r="AR38" s="1183"/>
      <c r="AS38" s="1183"/>
      <c r="AT38" s="1183"/>
      <c r="AU38" s="1183"/>
      <c r="AV38" s="1183"/>
      <c r="AW38" s="1183"/>
      <c r="AX38" s="1183"/>
      <c r="AY38" s="1183"/>
      <c r="AZ38" s="1183"/>
      <c r="BA38" s="1183"/>
      <c r="BB38" s="1183"/>
      <c r="BC38" s="1183"/>
      <c r="BD38" s="1183"/>
      <c r="BE38" s="1183"/>
      <c r="BF38" s="1183"/>
      <c r="BG38" s="1183"/>
      <c r="BH38" s="1183"/>
      <c r="BI38" s="1183"/>
      <c r="BJ38" s="1183"/>
      <c r="BK38" s="1183"/>
      <c r="BL38" s="1183"/>
      <c r="BM38" s="1183"/>
      <c r="BN38" s="1183"/>
      <c r="BO38" s="1183"/>
      <c r="BP38" s="1183"/>
      <c r="BQ38" s="1183"/>
      <c r="BR38" s="1183"/>
      <c r="BS38" s="1183"/>
      <c r="BT38" s="1183"/>
      <c r="BU38" s="1183"/>
      <c r="BV38" s="1183"/>
      <c r="BW38" s="1183"/>
      <c r="BX38" s="1183"/>
      <c r="BY38" s="1183"/>
      <c r="BZ38" s="1183"/>
      <c r="CA38" s="1183"/>
      <c r="CB38" s="1183"/>
      <c r="CC38" s="1183"/>
      <c r="CD38" s="1183"/>
      <c r="CE38" s="1183"/>
      <c r="CF38" s="1183"/>
      <c r="CG38" s="1183"/>
      <c r="CH38" s="1183"/>
      <c r="CI38" s="1183"/>
      <c r="CJ38" s="1183"/>
      <c r="CK38" s="1183"/>
      <c r="CL38" s="1183"/>
      <c r="CM38" s="1183"/>
      <c r="CN38" s="1183"/>
      <c r="CO38" s="1183"/>
      <c r="CP38" s="1183"/>
      <c r="CQ38" s="1183"/>
      <c r="CR38" s="1183"/>
      <c r="CS38" s="1183"/>
      <c r="CT38" s="1183"/>
      <c r="CU38" s="1183"/>
      <c r="CV38" s="1183"/>
      <c r="CW38" s="1183"/>
      <c r="CX38" s="1183"/>
      <c r="CY38" s="1183"/>
      <c r="CZ38" s="1183"/>
      <c r="DA38" s="1183"/>
      <c r="DB38" s="1183"/>
      <c r="DC38" s="1183"/>
      <c r="DD38" s="1183"/>
      <c r="DE38" s="1183"/>
      <c r="DF38" s="1183"/>
      <c r="DG38" s="1183"/>
      <c r="DH38" s="1183"/>
      <c r="DI38" s="1183"/>
      <c r="DJ38" s="1183"/>
      <c r="DK38" s="1183"/>
      <c r="DL38" s="1183"/>
      <c r="DM38" s="1183"/>
      <c r="DN38" s="1183"/>
      <c r="DO38" s="1183"/>
      <c r="DP38" s="1183"/>
      <c r="DQ38" s="1183"/>
      <c r="DR38" s="1183"/>
      <c r="DS38" s="1183"/>
      <c r="DT38" s="1183"/>
      <c r="DU38" s="1183"/>
      <c r="DV38" s="1183"/>
      <c r="DW38" s="1183"/>
      <c r="DX38" s="1183"/>
      <c r="DY38" s="1183"/>
      <c r="DZ38" s="1183"/>
      <c r="EA38" s="1183"/>
      <c r="EB38" s="1183"/>
      <c r="EC38" s="1183"/>
      <c r="ED38" s="1183"/>
      <c r="EE38" s="1183"/>
      <c r="EF38" s="1183"/>
      <c r="EG38" s="1183"/>
      <c r="EH38" s="1183"/>
      <c r="EI38" s="1183"/>
      <c r="EJ38" s="1183"/>
      <c r="EK38" s="1183"/>
      <c r="EL38" s="1183"/>
      <c r="EM38" s="1183"/>
      <c r="EN38" s="1183"/>
      <c r="EO38" s="1183"/>
      <c r="EP38" s="1183"/>
      <c r="EQ38" s="1183"/>
      <c r="ER38" s="1183"/>
      <c r="ES38" s="1183"/>
      <c r="ET38" s="1183"/>
      <c r="EU38" s="1183"/>
      <c r="EV38" s="1183"/>
      <c r="EW38" s="1183"/>
      <c r="EX38" s="1183"/>
      <c r="EY38" s="1183"/>
      <c r="EZ38" s="1183"/>
      <c r="FA38" s="1183"/>
      <c r="FB38" s="1183"/>
      <c r="FC38" s="1183"/>
      <c r="FD38" s="1183"/>
      <c r="FE38" s="1183"/>
      <c r="FF38" s="1183"/>
      <c r="FG38" s="1183"/>
      <c r="FH38" s="1183"/>
      <c r="FI38" s="1183"/>
      <c r="FJ38" s="1183"/>
      <c r="FK38" s="1183"/>
      <c r="FL38" s="1183"/>
      <c r="FM38" s="1183"/>
      <c r="FN38" s="1183"/>
      <c r="FO38" s="1183"/>
      <c r="FP38" s="1183"/>
      <c r="FQ38" s="1183"/>
      <c r="FR38" s="1183"/>
      <c r="FS38" s="1183"/>
      <c r="FT38" s="1183"/>
      <c r="FU38" s="1183"/>
      <c r="FV38" s="1183"/>
      <c r="FW38" s="1183"/>
      <c r="FX38" s="1183"/>
      <c r="FY38" s="1183"/>
      <c r="FZ38" s="1183"/>
      <c r="GA38" s="1183"/>
    </row>
    <row r="39" spans="1:16311" ht="15" customHeight="1">
      <c r="A39" s="1114"/>
      <c r="B39" s="1804" t="s">
        <v>26</v>
      </c>
      <c r="C39" s="1545"/>
      <c r="D39" s="1179"/>
      <c r="E39" s="1175"/>
      <c r="F39" s="1179"/>
      <c r="G39" s="1174"/>
      <c r="H39" s="1188"/>
      <c r="J39" s="1183"/>
      <c r="K39" s="1183"/>
      <c r="L39" s="1183"/>
      <c r="M39" s="1183"/>
      <c r="N39" s="1183"/>
      <c r="O39" s="1183"/>
      <c r="P39" s="1183"/>
      <c r="Q39" s="1183"/>
      <c r="R39" s="1183"/>
      <c r="S39" s="1183"/>
      <c r="T39" s="1183"/>
      <c r="U39" s="1183"/>
      <c r="V39" s="1183"/>
      <c r="W39" s="1183"/>
      <c r="X39" s="1183"/>
      <c r="Y39" s="1183"/>
      <c r="Z39" s="1183"/>
      <c r="AA39" s="1183"/>
      <c r="AB39" s="1183"/>
      <c r="AC39" s="1183"/>
      <c r="AD39" s="1183"/>
      <c r="AE39" s="1183"/>
      <c r="AF39" s="1183"/>
      <c r="AG39" s="1183"/>
      <c r="AH39" s="1183"/>
      <c r="AI39" s="1183"/>
      <c r="AJ39" s="1183"/>
      <c r="AK39" s="1183"/>
      <c r="AL39" s="1183"/>
      <c r="AM39" s="1183"/>
      <c r="AN39" s="1183"/>
      <c r="AO39" s="1183"/>
      <c r="AP39" s="1183"/>
      <c r="AQ39" s="1183"/>
      <c r="AR39" s="1183"/>
      <c r="AS39" s="1183"/>
      <c r="AT39" s="1183"/>
      <c r="AU39" s="1183"/>
      <c r="AV39" s="1183"/>
      <c r="AW39" s="1183"/>
      <c r="AX39" s="1183"/>
      <c r="AY39" s="1183"/>
      <c r="AZ39" s="1183"/>
      <c r="BA39" s="1183"/>
      <c r="BB39" s="1183"/>
      <c r="BC39" s="1183"/>
      <c r="BD39" s="1183"/>
      <c r="BE39" s="1183"/>
      <c r="BF39" s="1183"/>
      <c r="BG39" s="1183"/>
      <c r="BH39" s="1183"/>
      <c r="BI39" s="1183"/>
      <c r="BJ39" s="1183"/>
      <c r="BK39" s="1183"/>
      <c r="BL39" s="1183"/>
      <c r="BM39" s="1183"/>
      <c r="BN39" s="1183"/>
      <c r="BO39" s="1183"/>
      <c r="BP39" s="1183"/>
      <c r="BQ39" s="1183"/>
      <c r="BR39" s="1183"/>
      <c r="BS39" s="1183"/>
      <c r="BT39" s="1183"/>
      <c r="BU39" s="1183"/>
      <c r="BV39" s="1183"/>
      <c r="BW39" s="1183"/>
      <c r="BX39" s="1183"/>
      <c r="BY39" s="1183"/>
      <c r="BZ39" s="1183"/>
      <c r="CA39" s="1183"/>
      <c r="CB39" s="1183"/>
      <c r="CC39" s="1183"/>
      <c r="CD39" s="1183"/>
      <c r="CE39" s="1183"/>
      <c r="CF39" s="1183"/>
      <c r="CG39" s="1183"/>
      <c r="CH39" s="1183"/>
      <c r="CI39" s="1183"/>
      <c r="CJ39" s="1183"/>
      <c r="CK39" s="1183"/>
      <c r="CL39" s="1183"/>
      <c r="CM39" s="1183"/>
      <c r="CN39" s="1183"/>
      <c r="CO39" s="1183"/>
      <c r="CP39" s="1183"/>
      <c r="CQ39" s="1183"/>
      <c r="CR39" s="1183"/>
      <c r="CS39" s="1183"/>
      <c r="CT39" s="1183"/>
      <c r="CU39" s="1183"/>
      <c r="CV39" s="1183"/>
      <c r="CW39" s="1183"/>
      <c r="CX39" s="1183"/>
      <c r="CY39" s="1183"/>
      <c r="CZ39" s="1183"/>
      <c r="DA39" s="1183"/>
      <c r="DB39" s="1183"/>
      <c r="DC39" s="1183"/>
      <c r="DD39" s="1183"/>
      <c r="DE39" s="1183"/>
      <c r="DF39" s="1183"/>
      <c r="DG39" s="1183"/>
      <c r="DH39" s="1183"/>
      <c r="DI39" s="1183"/>
      <c r="DJ39" s="1183"/>
      <c r="DK39" s="1183"/>
      <c r="DL39" s="1183"/>
      <c r="DM39" s="1183"/>
      <c r="DN39" s="1183"/>
      <c r="DO39" s="1183"/>
      <c r="DP39" s="1183"/>
      <c r="DQ39" s="1183"/>
      <c r="DR39" s="1183"/>
      <c r="DS39" s="1183"/>
      <c r="DT39" s="1183"/>
      <c r="DU39" s="1183"/>
      <c r="DV39" s="1183"/>
      <c r="DW39" s="1183"/>
      <c r="DX39" s="1183"/>
      <c r="DY39" s="1183"/>
      <c r="DZ39" s="1183"/>
      <c r="EA39" s="1183"/>
      <c r="EB39" s="1183"/>
      <c r="EC39" s="1183"/>
      <c r="ED39" s="1183"/>
      <c r="EE39" s="1183"/>
      <c r="EF39" s="1183"/>
      <c r="EG39" s="1183"/>
      <c r="EH39" s="1183"/>
      <c r="EI39" s="1183"/>
      <c r="EJ39" s="1183"/>
      <c r="EK39" s="1183"/>
      <c r="EL39" s="1183"/>
      <c r="EM39" s="1183"/>
      <c r="EN39" s="1183"/>
      <c r="EO39" s="1183"/>
      <c r="EP39" s="1183"/>
      <c r="EQ39" s="1183"/>
      <c r="ER39" s="1183"/>
      <c r="ES39" s="1183"/>
      <c r="ET39" s="1183"/>
      <c r="EU39" s="1183"/>
      <c r="EV39" s="1183"/>
      <c r="EW39" s="1183"/>
      <c r="EX39" s="1183"/>
      <c r="EY39" s="1183"/>
      <c r="EZ39" s="1183"/>
      <c r="FA39" s="1183"/>
      <c r="FB39" s="1183"/>
      <c r="FC39" s="1183"/>
      <c r="FD39" s="1183"/>
      <c r="FE39" s="1183"/>
      <c r="FF39" s="1183"/>
      <c r="FG39" s="1183"/>
      <c r="FH39" s="1183"/>
      <c r="FI39" s="1183"/>
      <c r="FJ39" s="1183"/>
      <c r="FK39" s="1183"/>
      <c r="FL39" s="1183"/>
      <c r="FM39" s="1183"/>
      <c r="FN39" s="1183"/>
      <c r="FO39" s="1183"/>
      <c r="FP39" s="1183"/>
      <c r="FQ39" s="1183"/>
      <c r="FR39" s="1183"/>
      <c r="FS39" s="1183"/>
      <c r="FT39" s="1183"/>
      <c r="FU39" s="1183"/>
      <c r="FV39" s="1183"/>
      <c r="FW39" s="1183"/>
      <c r="FX39" s="1183"/>
      <c r="FY39" s="1183"/>
      <c r="FZ39" s="1183"/>
      <c r="GA39" s="1183"/>
    </row>
    <row r="40" spans="1:16311" ht="6.6" customHeight="1">
      <c r="A40" s="1114"/>
      <c r="B40" s="1189"/>
      <c r="C40" s="1179"/>
      <c r="D40" s="1179"/>
      <c r="E40" s="1175"/>
      <c r="F40" s="1179"/>
      <c r="G40" s="1174"/>
      <c r="H40" s="1188"/>
    </row>
    <row r="41" spans="1:16311" ht="15" customHeight="1">
      <c r="A41" s="1114"/>
      <c r="B41" s="1810" t="s">
        <v>1206</v>
      </c>
      <c r="C41" s="1810"/>
      <c r="D41" s="1810"/>
      <c r="E41" s="1810"/>
      <c r="F41" s="1810"/>
      <c r="G41" s="1810"/>
      <c r="H41" s="1810"/>
    </row>
    <row r="42" spans="1:16311" ht="37.35" customHeight="1">
      <c r="A42" s="1114"/>
      <c r="B42" s="1810" t="s">
        <v>1207</v>
      </c>
      <c r="C42" s="1810"/>
      <c r="D42" s="1810"/>
      <c r="E42" s="1810"/>
      <c r="F42" s="1810"/>
      <c r="G42" s="1810"/>
      <c r="H42" s="1810"/>
    </row>
    <row r="43" spans="1:16311" ht="38.1" customHeight="1">
      <c r="A43" s="1114"/>
      <c r="B43" s="1810" t="s">
        <v>1208</v>
      </c>
      <c r="C43" s="1810"/>
      <c r="D43" s="1810"/>
      <c r="E43" s="1810"/>
      <c r="F43" s="1810"/>
      <c r="G43" s="1810"/>
      <c r="H43" s="1810"/>
    </row>
    <row r="44" spans="1:16311" ht="22.35" customHeight="1">
      <c r="A44" s="1114"/>
      <c r="B44" s="1810" t="s">
        <v>1209</v>
      </c>
      <c r="C44" s="1810"/>
      <c r="D44" s="1810"/>
      <c r="E44" s="1810"/>
      <c r="F44" s="1810"/>
      <c r="G44" s="1810"/>
      <c r="H44" s="1810"/>
    </row>
    <row r="45" spans="1:16311" s="1180" customFormat="1" ht="47.25" customHeight="1">
      <c r="A45" s="1113"/>
      <c r="B45" s="1810" t="s">
        <v>1210</v>
      </c>
      <c r="C45" s="1810"/>
      <c r="D45" s="1810"/>
      <c r="E45" s="1810"/>
      <c r="F45" s="1810"/>
      <c r="G45" s="1810"/>
      <c r="H45" s="1810"/>
      <c r="I45"/>
      <c r="GB45" s="1181"/>
      <c r="GC45" s="1181"/>
      <c r="GD45" s="1181"/>
      <c r="GE45" s="1181"/>
      <c r="GF45" s="1181"/>
      <c r="GG45" s="1181"/>
      <c r="GH45" s="1181"/>
      <c r="GI45" s="1181"/>
      <c r="GJ45" s="1181"/>
      <c r="GK45" s="1181"/>
      <c r="GL45" s="1181"/>
      <c r="GM45" s="1181"/>
      <c r="GN45" s="1181"/>
      <c r="GO45" s="1181"/>
      <c r="GP45" s="1181"/>
      <c r="GQ45" s="1181"/>
      <c r="GR45" s="1181"/>
      <c r="GS45" s="1181"/>
      <c r="GT45" s="1181"/>
      <c r="GU45" s="1181"/>
      <c r="GV45" s="1181"/>
      <c r="GW45" s="1181"/>
      <c r="GX45" s="1181"/>
      <c r="GY45" s="1181"/>
      <c r="GZ45" s="1181"/>
      <c r="HA45" s="1181"/>
      <c r="HB45" s="1181"/>
      <c r="HC45" s="1181"/>
      <c r="HD45" s="1181"/>
      <c r="HE45" s="1181"/>
      <c r="HF45" s="1181"/>
      <c r="HG45" s="1181"/>
      <c r="HH45" s="1181"/>
      <c r="HI45" s="1181"/>
      <c r="HJ45" s="1181"/>
      <c r="HK45" s="1181"/>
      <c r="HL45" s="1181"/>
      <c r="HM45" s="1181"/>
      <c r="HN45" s="1181"/>
      <c r="HO45" s="1181"/>
      <c r="HP45" s="1181"/>
      <c r="HQ45" s="1181"/>
      <c r="HR45" s="1181"/>
      <c r="HS45" s="1181"/>
      <c r="HT45" s="1181"/>
      <c r="HU45" s="1181"/>
      <c r="HV45" s="1181"/>
      <c r="HW45" s="1181"/>
      <c r="HX45" s="1181"/>
      <c r="HY45" s="1181"/>
      <c r="HZ45" s="1181"/>
      <c r="IA45" s="1181"/>
      <c r="IB45" s="1181"/>
      <c r="IC45" s="1181"/>
      <c r="ID45" s="1181"/>
      <c r="IE45" s="1181"/>
      <c r="IF45" s="1181"/>
      <c r="IG45" s="1181"/>
      <c r="IH45" s="1181"/>
      <c r="II45" s="1181"/>
      <c r="IJ45" s="1181"/>
      <c r="IK45" s="1181"/>
      <c r="IL45" s="1181"/>
      <c r="IM45" s="1181"/>
      <c r="IN45" s="1181"/>
      <c r="IO45" s="1181"/>
      <c r="IP45" s="1181"/>
      <c r="IQ45" s="1181"/>
      <c r="IR45" s="1181"/>
      <c r="IS45" s="1181"/>
      <c r="IT45" s="1181"/>
      <c r="IU45" s="1181"/>
      <c r="IV45" s="1181"/>
      <c r="IW45" s="1181"/>
      <c r="IX45" s="1181"/>
      <c r="IY45" s="1181"/>
      <c r="IZ45" s="1181"/>
      <c r="JA45" s="1181"/>
      <c r="JB45" s="1181"/>
      <c r="JC45" s="1181"/>
      <c r="JD45" s="1181"/>
      <c r="JE45" s="1181"/>
      <c r="JF45" s="1181"/>
      <c r="JG45" s="1181"/>
      <c r="JH45" s="1181"/>
      <c r="JI45" s="1181"/>
      <c r="JJ45" s="1181"/>
      <c r="JK45" s="1181"/>
      <c r="JL45" s="1181"/>
      <c r="JM45" s="1181"/>
      <c r="JN45" s="1181"/>
      <c r="JO45" s="1181"/>
      <c r="JP45" s="1181"/>
      <c r="JQ45" s="1181"/>
      <c r="JR45" s="1181"/>
      <c r="JS45" s="1181"/>
      <c r="JT45" s="1181"/>
      <c r="JU45" s="1181"/>
      <c r="JV45" s="1181"/>
      <c r="JW45" s="1181"/>
      <c r="JX45" s="1181"/>
      <c r="JY45" s="1181"/>
      <c r="JZ45" s="1181"/>
      <c r="KA45" s="1181"/>
      <c r="KB45" s="1181"/>
      <c r="KC45" s="1181"/>
      <c r="KD45" s="1181"/>
      <c r="KE45" s="1181"/>
      <c r="KF45" s="1181"/>
      <c r="KG45" s="1181"/>
      <c r="KH45" s="1181"/>
      <c r="KI45" s="1181"/>
      <c r="KJ45" s="1181"/>
      <c r="KK45" s="1181"/>
      <c r="KL45" s="1181"/>
      <c r="KM45" s="1181"/>
      <c r="KN45" s="1181"/>
      <c r="KO45" s="1181"/>
      <c r="KP45" s="1181"/>
      <c r="KQ45" s="1181"/>
      <c r="KR45" s="1181"/>
      <c r="KS45" s="1181"/>
      <c r="KT45" s="1181"/>
      <c r="KU45" s="1181"/>
      <c r="KV45" s="1181"/>
      <c r="KW45" s="1181"/>
      <c r="KX45" s="1181"/>
      <c r="KY45" s="1181"/>
      <c r="KZ45" s="1181"/>
      <c r="LA45" s="1181"/>
      <c r="LB45" s="1181"/>
      <c r="LC45" s="1181"/>
      <c r="LD45" s="1181"/>
      <c r="LE45" s="1181"/>
      <c r="LF45" s="1181"/>
      <c r="LG45" s="1181"/>
      <c r="LH45" s="1181"/>
      <c r="LI45" s="1181"/>
      <c r="LJ45" s="1181"/>
      <c r="LK45" s="1181"/>
      <c r="LL45" s="1181"/>
      <c r="LM45" s="1181"/>
      <c r="LN45" s="1181"/>
      <c r="LO45" s="1181"/>
      <c r="LP45" s="1181"/>
      <c r="LQ45" s="1181"/>
      <c r="LR45" s="1181"/>
      <c r="LS45" s="1181"/>
      <c r="LT45" s="1181"/>
      <c r="LU45" s="1181"/>
      <c r="LV45" s="1181"/>
      <c r="LW45" s="1181"/>
      <c r="LX45" s="1181"/>
      <c r="LY45" s="1181"/>
      <c r="LZ45" s="1181"/>
      <c r="MA45" s="1181"/>
      <c r="MB45" s="1181"/>
      <c r="MC45" s="1181"/>
      <c r="MD45" s="1181"/>
      <c r="ME45" s="1181"/>
      <c r="MF45" s="1181"/>
      <c r="MG45" s="1181"/>
      <c r="MH45" s="1181"/>
      <c r="MI45" s="1181"/>
      <c r="MJ45" s="1181"/>
      <c r="MK45" s="1181"/>
      <c r="ML45" s="1181"/>
      <c r="MM45" s="1181"/>
      <c r="MN45" s="1181"/>
      <c r="MO45" s="1181"/>
      <c r="MP45" s="1181"/>
      <c r="MQ45" s="1181"/>
      <c r="MR45" s="1181"/>
      <c r="MS45" s="1181"/>
      <c r="MT45" s="1181"/>
      <c r="MU45" s="1181"/>
      <c r="MV45" s="1181"/>
      <c r="MW45" s="1181"/>
      <c r="MX45" s="1181"/>
      <c r="MY45" s="1181"/>
      <c r="MZ45" s="1181"/>
      <c r="NA45" s="1181"/>
      <c r="NB45" s="1181"/>
      <c r="NC45" s="1181"/>
      <c r="ND45" s="1181"/>
      <c r="NE45" s="1181"/>
      <c r="NF45" s="1181"/>
      <c r="NG45" s="1181"/>
      <c r="NH45" s="1181"/>
      <c r="NI45" s="1181"/>
      <c r="NJ45" s="1181"/>
      <c r="NK45" s="1181"/>
      <c r="NL45" s="1181"/>
      <c r="NM45" s="1181"/>
      <c r="NN45" s="1181"/>
      <c r="NO45" s="1181"/>
      <c r="NP45" s="1181"/>
      <c r="NQ45" s="1181"/>
      <c r="NR45" s="1181"/>
      <c r="NS45" s="1181"/>
      <c r="NT45" s="1181"/>
      <c r="NU45" s="1181"/>
      <c r="NV45" s="1181"/>
      <c r="NW45" s="1181"/>
      <c r="NX45" s="1181"/>
      <c r="NY45" s="1181"/>
      <c r="NZ45" s="1181"/>
      <c r="OA45" s="1181"/>
      <c r="OB45" s="1181"/>
      <c r="OC45" s="1181"/>
      <c r="OD45" s="1181"/>
      <c r="OE45" s="1181"/>
      <c r="OF45" s="1181"/>
      <c r="OG45" s="1181"/>
      <c r="OH45" s="1181"/>
      <c r="OI45" s="1181"/>
      <c r="OJ45" s="1181"/>
      <c r="OK45" s="1181"/>
      <c r="OL45" s="1181"/>
      <c r="OM45" s="1181"/>
      <c r="ON45" s="1181"/>
      <c r="OO45" s="1181"/>
      <c r="OP45" s="1181"/>
      <c r="OQ45" s="1181"/>
      <c r="OR45" s="1181"/>
      <c r="OS45" s="1181"/>
      <c r="OT45" s="1181"/>
      <c r="OU45" s="1181"/>
      <c r="OV45" s="1181"/>
      <c r="OW45" s="1181"/>
      <c r="OX45" s="1181"/>
      <c r="OY45" s="1181"/>
      <c r="OZ45" s="1181"/>
      <c r="PA45" s="1181"/>
      <c r="PB45" s="1181"/>
      <c r="PC45" s="1181"/>
      <c r="PD45" s="1181"/>
      <c r="PE45" s="1181"/>
      <c r="PF45" s="1181"/>
      <c r="PG45" s="1181"/>
      <c r="PH45" s="1181"/>
      <c r="PI45" s="1181"/>
      <c r="PJ45" s="1181"/>
      <c r="PK45" s="1181"/>
      <c r="PL45" s="1181"/>
      <c r="PM45" s="1181"/>
      <c r="PN45" s="1181"/>
      <c r="PO45" s="1181"/>
      <c r="PP45" s="1181"/>
      <c r="PQ45" s="1181"/>
      <c r="PR45" s="1181"/>
      <c r="PS45" s="1181"/>
      <c r="PT45" s="1181"/>
      <c r="PU45" s="1181"/>
      <c r="PV45" s="1181"/>
      <c r="PW45" s="1181"/>
      <c r="PX45" s="1181"/>
      <c r="PY45" s="1181"/>
      <c r="PZ45" s="1181"/>
      <c r="QA45" s="1181"/>
      <c r="QB45" s="1181"/>
      <c r="QC45" s="1181"/>
      <c r="QD45" s="1181"/>
      <c r="QE45" s="1181"/>
      <c r="QF45" s="1181"/>
      <c r="QG45" s="1181"/>
      <c r="QH45" s="1181"/>
      <c r="QI45" s="1181"/>
      <c r="QJ45" s="1181"/>
      <c r="QK45" s="1181"/>
      <c r="QL45" s="1181"/>
      <c r="QM45" s="1181"/>
      <c r="QN45" s="1181"/>
      <c r="QO45" s="1181"/>
      <c r="QP45" s="1181"/>
      <c r="QQ45" s="1181"/>
      <c r="QR45" s="1181"/>
      <c r="QS45" s="1181"/>
      <c r="QT45" s="1181"/>
      <c r="QU45" s="1181"/>
      <c r="QV45" s="1181"/>
      <c r="QW45" s="1181"/>
      <c r="QX45" s="1181"/>
      <c r="QY45" s="1181"/>
      <c r="QZ45" s="1181"/>
      <c r="RA45" s="1181"/>
      <c r="RB45" s="1181"/>
      <c r="RC45" s="1181"/>
      <c r="RD45" s="1181"/>
      <c r="RE45" s="1181"/>
      <c r="RF45" s="1181"/>
      <c r="RG45" s="1181"/>
      <c r="RH45" s="1181"/>
      <c r="RI45" s="1181"/>
      <c r="RJ45" s="1181"/>
      <c r="RK45" s="1181"/>
      <c r="RL45" s="1181"/>
      <c r="RM45" s="1181"/>
      <c r="RN45" s="1181"/>
      <c r="RO45" s="1181"/>
      <c r="RP45" s="1181"/>
      <c r="RQ45" s="1181"/>
      <c r="RR45" s="1181"/>
      <c r="RS45" s="1181"/>
      <c r="RT45" s="1181"/>
      <c r="RU45" s="1181"/>
      <c r="RV45" s="1181"/>
      <c r="RW45" s="1181"/>
      <c r="RX45" s="1181"/>
      <c r="RY45" s="1181"/>
      <c r="RZ45" s="1181"/>
      <c r="SA45" s="1181"/>
      <c r="SB45" s="1181"/>
      <c r="SC45" s="1181"/>
      <c r="SD45" s="1181"/>
      <c r="SE45" s="1181"/>
      <c r="SF45" s="1181"/>
      <c r="SG45" s="1181"/>
      <c r="SH45" s="1181"/>
      <c r="SI45" s="1181"/>
      <c r="SJ45" s="1181"/>
      <c r="SK45" s="1181"/>
      <c r="SL45" s="1181"/>
      <c r="SM45" s="1181"/>
      <c r="SN45" s="1181"/>
      <c r="SO45" s="1181"/>
      <c r="SP45" s="1181"/>
      <c r="SQ45" s="1181"/>
      <c r="SR45" s="1181"/>
      <c r="SS45" s="1181"/>
      <c r="ST45" s="1181"/>
      <c r="SU45" s="1181"/>
      <c r="SV45" s="1181"/>
      <c r="SW45" s="1181"/>
      <c r="SX45" s="1181"/>
      <c r="SY45" s="1181"/>
      <c r="SZ45" s="1181"/>
      <c r="TA45" s="1181"/>
      <c r="TB45" s="1181"/>
      <c r="TC45" s="1181"/>
      <c r="TD45" s="1181"/>
      <c r="TE45" s="1181"/>
      <c r="TF45" s="1181"/>
      <c r="TG45" s="1181"/>
      <c r="TH45" s="1181"/>
      <c r="TI45" s="1181"/>
      <c r="TJ45" s="1181"/>
      <c r="TK45" s="1181"/>
      <c r="TL45" s="1181"/>
      <c r="TM45" s="1181"/>
      <c r="TN45" s="1181"/>
      <c r="TO45" s="1181"/>
      <c r="TP45" s="1181"/>
      <c r="TQ45" s="1181"/>
      <c r="TR45" s="1181"/>
      <c r="TS45" s="1181"/>
      <c r="TT45" s="1181"/>
      <c r="TU45" s="1181"/>
      <c r="TV45" s="1181"/>
      <c r="TW45" s="1181"/>
      <c r="TX45" s="1181"/>
      <c r="TY45" s="1181"/>
      <c r="TZ45" s="1181"/>
      <c r="UA45" s="1181"/>
      <c r="UB45" s="1181"/>
      <c r="UC45" s="1181"/>
      <c r="UD45" s="1181"/>
      <c r="UE45" s="1181"/>
      <c r="UF45" s="1181"/>
      <c r="UG45" s="1181"/>
      <c r="UH45" s="1181"/>
      <c r="UI45" s="1181"/>
      <c r="UJ45" s="1181"/>
      <c r="UK45" s="1181"/>
      <c r="UL45" s="1181"/>
      <c r="UM45" s="1181"/>
      <c r="UN45" s="1181"/>
      <c r="UO45" s="1181"/>
      <c r="UP45" s="1181"/>
      <c r="UQ45" s="1181"/>
      <c r="UR45" s="1181"/>
      <c r="US45" s="1181"/>
      <c r="UT45" s="1181"/>
      <c r="UU45" s="1181"/>
      <c r="UV45" s="1181"/>
      <c r="UW45" s="1181"/>
      <c r="UX45" s="1181"/>
      <c r="UY45" s="1181"/>
      <c r="UZ45" s="1181"/>
      <c r="VA45" s="1181"/>
      <c r="VB45" s="1181"/>
      <c r="VC45" s="1181"/>
      <c r="VD45" s="1181"/>
      <c r="VE45" s="1181"/>
      <c r="VF45" s="1181"/>
      <c r="VG45" s="1181"/>
      <c r="VH45" s="1181"/>
      <c r="VI45" s="1181"/>
      <c r="VJ45" s="1181"/>
      <c r="VK45" s="1181"/>
      <c r="VL45" s="1181"/>
      <c r="VM45" s="1181"/>
      <c r="VN45" s="1181"/>
      <c r="VO45" s="1181"/>
      <c r="VP45" s="1181"/>
      <c r="VQ45" s="1181"/>
      <c r="VR45" s="1181"/>
      <c r="VS45" s="1181"/>
      <c r="VT45" s="1181"/>
      <c r="VU45" s="1181"/>
      <c r="VV45" s="1181"/>
      <c r="VW45" s="1181"/>
      <c r="VX45" s="1181"/>
      <c r="VY45" s="1181"/>
      <c r="VZ45" s="1181"/>
      <c r="WA45" s="1181"/>
      <c r="WB45" s="1181"/>
      <c r="WC45" s="1181"/>
      <c r="WD45" s="1181"/>
      <c r="WE45" s="1181"/>
      <c r="WF45" s="1181"/>
      <c r="WG45" s="1181"/>
      <c r="WH45" s="1181"/>
      <c r="WI45" s="1181"/>
      <c r="WJ45" s="1181"/>
      <c r="WK45" s="1181"/>
      <c r="WL45" s="1181"/>
      <c r="WM45" s="1181"/>
      <c r="WN45" s="1181"/>
      <c r="WO45" s="1181"/>
      <c r="WP45" s="1181"/>
      <c r="WQ45" s="1181"/>
      <c r="WR45" s="1181"/>
      <c r="WS45" s="1181"/>
      <c r="WT45" s="1181"/>
      <c r="WU45" s="1181"/>
      <c r="WV45" s="1181"/>
      <c r="WW45" s="1181"/>
      <c r="WX45" s="1181"/>
      <c r="WY45" s="1181"/>
      <c r="WZ45" s="1181"/>
      <c r="XA45" s="1181"/>
      <c r="XB45" s="1181"/>
      <c r="XC45" s="1181"/>
      <c r="XD45" s="1181"/>
      <c r="XE45" s="1181"/>
      <c r="XF45" s="1181"/>
      <c r="XG45" s="1181"/>
      <c r="XH45" s="1181"/>
      <c r="XI45" s="1181"/>
      <c r="XJ45" s="1181"/>
      <c r="XK45" s="1181"/>
      <c r="XL45" s="1181"/>
      <c r="XM45" s="1181"/>
      <c r="XN45" s="1181"/>
      <c r="XO45" s="1181"/>
      <c r="XP45" s="1181"/>
      <c r="XQ45" s="1181"/>
      <c r="XR45" s="1181"/>
      <c r="XS45" s="1181"/>
      <c r="XT45" s="1181"/>
      <c r="XU45" s="1181"/>
      <c r="XV45" s="1181"/>
      <c r="XW45" s="1181"/>
      <c r="XX45" s="1181"/>
      <c r="XY45" s="1181"/>
      <c r="XZ45" s="1181"/>
      <c r="YA45" s="1181"/>
      <c r="YB45" s="1181"/>
      <c r="YC45" s="1181"/>
      <c r="YD45" s="1181"/>
      <c r="YE45" s="1181"/>
      <c r="YF45" s="1181"/>
      <c r="YG45" s="1181"/>
      <c r="YH45" s="1181"/>
      <c r="YI45" s="1181"/>
      <c r="YJ45" s="1181"/>
      <c r="YK45" s="1181"/>
      <c r="YL45" s="1181"/>
      <c r="YM45" s="1181"/>
      <c r="YN45" s="1181"/>
      <c r="YO45" s="1181"/>
      <c r="YP45" s="1181"/>
      <c r="YQ45" s="1181"/>
      <c r="YR45" s="1181"/>
      <c r="YS45" s="1181"/>
      <c r="YT45" s="1181"/>
      <c r="YU45" s="1181"/>
      <c r="YV45" s="1181"/>
      <c r="YW45" s="1181"/>
      <c r="YX45" s="1181"/>
      <c r="YY45" s="1181"/>
      <c r="YZ45" s="1181"/>
      <c r="ZA45" s="1181"/>
      <c r="ZB45" s="1181"/>
      <c r="ZC45" s="1181"/>
      <c r="ZD45" s="1181"/>
      <c r="ZE45" s="1181"/>
      <c r="ZF45" s="1181"/>
      <c r="ZG45" s="1181"/>
      <c r="ZH45" s="1181"/>
      <c r="ZI45" s="1181"/>
      <c r="ZJ45" s="1181"/>
      <c r="ZK45" s="1181"/>
      <c r="ZL45" s="1181"/>
      <c r="ZM45" s="1181"/>
      <c r="ZN45" s="1181"/>
      <c r="ZO45" s="1181"/>
      <c r="ZP45" s="1181"/>
      <c r="ZQ45" s="1181"/>
      <c r="ZR45" s="1181"/>
      <c r="ZS45" s="1181"/>
      <c r="ZT45" s="1181"/>
      <c r="ZU45" s="1181"/>
      <c r="ZV45" s="1181"/>
      <c r="ZW45" s="1181"/>
      <c r="ZX45" s="1181"/>
      <c r="ZY45" s="1181"/>
      <c r="ZZ45" s="1181"/>
      <c r="AAA45" s="1181"/>
      <c r="AAB45" s="1181"/>
      <c r="AAC45" s="1181"/>
      <c r="AAD45" s="1181"/>
      <c r="AAE45" s="1181"/>
      <c r="AAF45" s="1181"/>
      <c r="AAG45" s="1181"/>
      <c r="AAH45" s="1181"/>
      <c r="AAI45" s="1181"/>
      <c r="AAJ45" s="1181"/>
      <c r="AAK45" s="1181"/>
      <c r="AAL45" s="1181"/>
      <c r="AAM45" s="1181"/>
      <c r="AAN45" s="1181"/>
      <c r="AAO45" s="1181"/>
      <c r="AAP45" s="1181"/>
      <c r="AAQ45" s="1181"/>
      <c r="AAR45" s="1181"/>
      <c r="AAS45" s="1181"/>
      <c r="AAT45" s="1181"/>
      <c r="AAU45" s="1181"/>
      <c r="AAV45" s="1181"/>
      <c r="AAW45" s="1181"/>
      <c r="AAX45" s="1181"/>
      <c r="AAY45" s="1181"/>
      <c r="AAZ45" s="1181"/>
      <c r="ABA45" s="1181"/>
      <c r="ABB45" s="1181"/>
      <c r="ABC45" s="1181"/>
      <c r="ABD45" s="1181"/>
      <c r="ABE45" s="1181"/>
      <c r="ABF45" s="1181"/>
      <c r="ABG45" s="1181"/>
      <c r="ABH45" s="1181"/>
      <c r="ABI45" s="1181"/>
      <c r="ABJ45" s="1181"/>
      <c r="ABK45" s="1181"/>
      <c r="ABL45" s="1181"/>
      <c r="ABM45" s="1181"/>
      <c r="ABN45" s="1181"/>
      <c r="ABO45" s="1181"/>
      <c r="ABP45" s="1181"/>
      <c r="ABQ45" s="1181"/>
      <c r="ABR45" s="1181"/>
      <c r="ABS45" s="1181"/>
      <c r="ABT45" s="1181"/>
      <c r="ABU45" s="1181"/>
      <c r="ABV45" s="1181"/>
      <c r="ABW45" s="1181"/>
      <c r="ABX45" s="1181"/>
      <c r="ABY45" s="1181"/>
      <c r="ABZ45" s="1181"/>
      <c r="ACA45" s="1181"/>
      <c r="ACB45" s="1181"/>
      <c r="ACC45" s="1181"/>
      <c r="ACD45" s="1181"/>
      <c r="ACE45" s="1181"/>
      <c r="ACF45" s="1181"/>
      <c r="ACG45" s="1181"/>
      <c r="ACH45" s="1181"/>
      <c r="ACI45" s="1181"/>
      <c r="ACJ45" s="1181"/>
      <c r="ACK45" s="1181"/>
      <c r="ACL45" s="1181"/>
      <c r="ACM45" s="1181"/>
      <c r="ACN45" s="1181"/>
      <c r="ACO45" s="1181"/>
      <c r="ACP45" s="1181"/>
      <c r="ACQ45" s="1181"/>
      <c r="ACR45" s="1181"/>
      <c r="ACS45" s="1181"/>
      <c r="ACT45" s="1181"/>
      <c r="ACU45" s="1181"/>
      <c r="ACV45" s="1181"/>
      <c r="ACW45" s="1181"/>
      <c r="ACX45" s="1181"/>
      <c r="ACY45" s="1181"/>
      <c r="ACZ45" s="1181"/>
      <c r="ADA45" s="1181"/>
      <c r="ADB45" s="1181"/>
      <c r="ADC45" s="1181"/>
      <c r="ADD45" s="1181"/>
      <c r="ADE45" s="1181"/>
      <c r="ADF45" s="1181"/>
      <c r="ADG45" s="1181"/>
      <c r="ADH45" s="1181"/>
      <c r="ADI45" s="1181"/>
      <c r="ADJ45" s="1181"/>
      <c r="ADK45" s="1181"/>
      <c r="ADL45" s="1181"/>
      <c r="ADM45" s="1181"/>
      <c r="ADN45" s="1181"/>
      <c r="ADO45" s="1181"/>
      <c r="ADP45" s="1181"/>
      <c r="ADQ45" s="1181"/>
      <c r="ADR45" s="1181"/>
      <c r="ADS45" s="1181"/>
      <c r="ADT45" s="1181"/>
      <c r="ADU45" s="1181"/>
      <c r="ADV45" s="1181"/>
      <c r="ADW45" s="1181"/>
      <c r="ADX45" s="1181"/>
      <c r="ADY45" s="1181"/>
      <c r="ADZ45" s="1181"/>
      <c r="AEA45" s="1181"/>
      <c r="AEB45" s="1181"/>
      <c r="AEC45" s="1181"/>
      <c r="AED45" s="1181"/>
      <c r="AEE45" s="1181"/>
      <c r="AEF45" s="1181"/>
      <c r="AEG45" s="1181"/>
      <c r="AEH45" s="1181"/>
      <c r="AEI45" s="1181"/>
      <c r="AEJ45" s="1181"/>
      <c r="AEK45" s="1181"/>
      <c r="AEL45" s="1181"/>
      <c r="AEM45" s="1181"/>
      <c r="AEN45" s="1181"/>
      <c r="AEO45" s="1181"/>
      <c r="AEP45" s="1181"/>
      <c r="AEQ45" s="1181"/>
      <c r="AER45" s="1181"/>
      <c r="AES45" s="1181"/>
      <c r="AET45" s="1181"/>
      <c r="AEU45" s="1181"/>
      <c r="AEV45" s="1181"/>
      <c r="AEW45" s="1181"/>
      <c r="AEX45" s="1181"/>
      <c r="AEY45" s="1181"/>
      <c r="AEZ45" s="1181"/>
      <c r="AFA45" s="1181"/>
      <c r="AFB45" s="1181"/>
      <c r="AFC45" s="1181"/>
      <c r="AFD45" s="1181"/>
      <c r="AFE45" s="1181"/>
      <c r="AFF45" s="1181"/>
      <c r="AFG45" s="1181"/>
      <c r="AFH45" s="1181"/>
      <c r="AFI45" s="1181"/>
      <c r="AFJ45" s="1181"/>
      <c r="AFK45" s="1181"/>
      <c r="AFL45" s="1181"/>
      <c r="AFM45" s="1181"/>
      <c r="AFN45" s="1181"/>
      <c r="AFO45" s="1181"/>
      <c r="AFP45" s="1181"/>
      <c r="AFQ45" s="1181"/>
      <c r="AFR45" s="1181"/>
      <c r="AFS45" s="1181"/>
      <c r="AFT45" s="1181"/>
      <c r="AFU45" s="1181"/>
      <c r="AFV45" s="1181"/>
      <c r="AFW45" s="1181"/>
      <c r="AFX45" s="1181"/>
      <c r="AFY45" s="1181"/>
      <c r="AFZ45" s="1181"/>
      <c r="AGA45" s="1181"/>
      <c r="AGB45" s="1181"/>
      <c r="AGC45" s="1181"/>
      <c r="AGD45" s="1181"/>
      <c r="AGE45" s="1181"/>
      <c r="AGF45" s="1181"/>
      <c r="AGG45" s="1181"/>
      <c r="AGH45" s="1181"/>
      <c r="AGI45" s="1181"/>
      <c r="AGJ45" s="1181"/>
      <c r="AGK45" s="1181"/>
      <c r="AGL45" s="1181"/>
      <c r="AGM45" s="1181"/>
      <c r="AGN45" s="1181"/>
      <c r="AGO45" s="1181"/>
      <c r="AGP45" s="1181"/>
      <c r="AGQ45" s="1181"/>
      <c r="AGR45" s="1181"/>
      <c r="AGS45" s="1181"/>
      <c r="AGT45" s="1181"/>
      <c r="AGU45" s="1181"/>
      <c r="AGV45" s="1181"/>
      <c r="AGW45" s="1181"/>
      <c r="AGX45" s="1181"/>
      <c r="AGY45" s="1181"/>
      <c r="AGZ45" s="1181"/>
      <c r="AHA45" s="1181"/>
      <c r="AHB45" s="1181"/>
      <c r="AHC45" s="1181"/>
      <c r="AHD45" s="1181"/>
      <c r="AHE45" s="1181"/>
      <c r="AHF45" s="1181"/>
      <c r="AHG45" s="1181"/>
      <c r="AHH45" s="1181"/>
      <c r="AHI45" s="1181"/>
      <c r="AHJ45" s="1181"/>
      <c r="AHK45" s="1181"/>
      <c r="AHL45" s="1181"/>
      <c r="AHM45" s="1181"/>
      <c r="AHN45" s="1181"/>
      <c r="AHO45" s="1181"/>
      <c r="AHP45" s="1181"/>
      <c r="AHQ45" s="1181"/>
      <c r="AHR45" s="1181"/>
      <c r="AHS45" s="1181"/>
      <c r="AHT45" s="1181"/>
      <c r="AHU45" s="1181"/>
      <c r="AHV45" s="1181"/>
      <c r="AHW45" s="1181"/>
      <c r="AHX45" s="1181"/>
      <c r="AHY45" s="1181"/>
      <c r="AHZ45" s="1181"/>
      <c r="AIA45" s="1181"/>
      <c r="AIB45" s="1181"/>
      <c r="AIC45" s="1181"/>
      <c r="AID45" s="1181"/>
      <c r="AIE45" s="1181"/>
      <c r="AIF45" s="1181"/>
      <c r="AIG45" s="1181"/>
      <c r="AIH45" s="1181"/>
      <c r="AII45" s="1181"/>
      <c r="AIJ45" s="1181"/>
      <c r="AIK45" s="1181"/>
      <c r="AIL45" s="1181"/>
      <c r="AIM45" s="1181"/>
      <c r="AIN45" s="1181"/>
      <c r="AIO45" s="1181"/>
      <c r="AIP45" s="1181"/>
      <c r="AIQ45" s="1181"/>
      <c r="AIR45" s="1181"/>
      <c r="AIS45" s="1181"/>
      <c r="AIT45" s="1181"/>
      <c r="AIU45" s="1181"/>
      <c r="AIV45" s="1181"/>
      <c r="AIW45" s="1181"/>
      <c r="AIX45" s="1181"/>
      <c r="AIY45" s="1181"/>
      <c r="AIZ45" s="1181"/>
      <c r="AJA45" s="1181"/>
      <c r="AJB45" s="1181"/>
      <c r="AJC45" s="1181"/>
      <c r="AJD45" s="1181"/>
      <c r="AJE45" s="1181"/>
      <c r="AJF45" s="1181"/>
      <c r="AJG45" s="1181"/>
      <c r="AJH45" s="1181"/>
      <c r="AJI45" s="1181"/>
      <c r="AJJ45" s="1181"/>
      <c r="AJK45" s="1181"/>
      <c r="AJL45" s="1181"/>
      <c r="AJM45" s="1181"/>
      <c r="AJN45" s="1181"/>
      <c r="AJO45" s="1181"/>
      <c r="AJP45" s="1181"/>
      <c r="AJQ45" s="1181"/>
      <c r="AJR45" s="1181"/>
      <c r="AJS45" s="1181"/>
      <c r="AJT45" s="1181"/>
      <c r="AJU45" s="1181"/>
      <c r="AJV45" s="1181"/>
      <c r="AJW45" s="1181"/>
      <c r="AJX45" s="1181"/>
      <c r="AJY45" s="1181"/>
      <c r="AJZ45" s="1181"/>
      <c r="AKA45" s="1181"/>
      <c r="AKB45" s="1181"/>
      <c r="AKC45" s="1181"/>
      <c r="AKD45" s="1181"/>
      <c r="AKE45" s="1181"/>
      <c r="AKF45" s="1181"/>
      <c r="AKG45" s="1181"/>
      <c r="AKH45" s="1181"/>
      <c r="AKI45" s="1181"/>
      <c r="AKJ45" s="1181"/>
      <c r="AKK45" s="1181"/>
      <c r="AKL45" s="1181"/>
      <c r="AKM45" s="1181"/>
      <c r="AKN45" s="1181"/>
      <c r="AKO45" s="1181"/>
      <c r="AKP45" s="1181"/>
      <c r="AKQ45" s="1181"/>
      <c r="AKR45" s="1181"/>
      <c r="AKS45" s="1181"/>
      <c r="AKT45" s="1181"/>
      <c r="AKU45" s="1181"/>
      <c r="AKV45" s="1181"/>
      <c r="AKW45" s="1181"/>
      <c r="AKX45" s="1181"/>
      <c r="AKY45" s="1181"/>
      <c r="AKZ45" s="1181"/>
      <c r="ALA45" s="1181"/>
      <c r="ALB45" s="1181"/>
      <c r="ALC45" s="1181"/>
      <c r="ALD45" s="1181"/>
      <c r="ALE45" s="1181"/>
      <c r="ALF45" s="1181"/>
      <c r="ALG45" s="1181"/>
      <c r="ALH45" s="1181"/>
      <c r="ALI45" s="1181"/>
      <c r="ALJ45" s="1181"/>
      <c r="ALK45" s="1181"/>
      <c r="ALL45" s="1181"/>
      <c r="ALM45" s="1181"/>
      <c r="ALN45" s="1181"/>
      <c r="ALO45" s="1181"/>
      <c r="ALP45" s="1181"/>
      <c r="ALQ45" s="1181"/>
      <c r="ALR45" s="1181"/>
      <c r="ALS45" s="1181"/>
      <c r="ALT45" s="1181"/>
      <c r="ALU45" s="1181"/>
      <c r="ALV45" s="1181"/>
      <c r="ALW45" s="1181"/>
      <c r="ALX45" s="1181"/>
      <c r="ALY45" s="1181"/>
      <c r="ALZ45" s="1181"/>
      <c r="AMA45" s="1181"/>
      <c r="AMB45" s="1181"/>
      <c r="AMC45" s="1181"/>
      <c r="AMD45" s="1181"/>
      <c r="AME45" s="1181"/>
      <c r="AMF45" s="1181"/>
      <c r="AMG45" s="1181"/>
      <c r="AMH45" s="1181"/>
      <c r="AMI45" s="1181"/>
      <c r="AMJ45" s="1181"/>
      <c r="AMK45" s="1181"/>
      <c r="AML45" s="1181"/>
      <c r="AMM45" s="1181"/>
      <c r="AMN45" s="1181"/>
      <c r="AMO45" s="1181"/>
      <c r="AMP45" s="1181"/>
      <c r="AMQ45" s="1181"/>
      <c r="AMR45" s="1181"/>
      <c r="AMS45" s="1181"/>
      <c r="AMT45" s="1181"/>
      <c r="AMU45" s="1181"/>
      <c r="AMV45" s="1181"/>
      <c r="AMW45" s="1181"/>
      <c r="AMX45" s="1181"/>
      <c r="AMY45" s="1181"/>
      <c r="AMZ45" s="1181"/>
      <c r="ANA45" s="1181"/>
      <c r="ANB45" s="1181"/>
      <c r="ANC45" s="1181"/>
      <c r="AND45" s="1181"/>
      <c r="ANE45" s="1181"/>
      <c r="ANF45" s="1181"/>
      <c r="ANG45" s="1181"/>
      <c r="ANH45" s="1181"/>
      <c r="ANI45" s="1181"/>
      <c r="ANJ45" s="1181"/>
      <c r="ANK45" s="1181"/>
      <c r="ANL45" s="1181"/>
      <c r="ANM45" s="1181"/>
      <c r="ANN45" s="1181"/>
      <c r="ANO45" s="1181"/>
      <c r="ANP45" s="1181"/>
      <c r="ANQ45" s="1181"/>
      <c r="ANR45" s="1181"/>
      <c r="ANS45" s="1181"/>
      <c r="ANT45" s="1181"/>
      <c r="ANU45" s="1181"/>
      <c r="ANV45" s="1181"/>
      <c r="ANW45" s="1181"/>
      <c r="ANX45" s="1181"/>
      <c r="ANY45" s="1181"/>
      <c r="ANZ45" s="1181"/>
      <c r="AOA45" s="1181"/>
      <c r="AOB45" s="1181"/>
      <c r="AOC45" s="1181"/>
      <c r="AOD45" s="1181"/>
      <c r="AOE45" s="1181"/>
      <c r="AOF45" s="1181"/>
      <c r="AOG45" s="1181"/>
      <c r="AOH45" s="1181"/>
      <c r="AOI45" s="1181"/>
      <c r="AOJ45" s="1181"/>
      <c r="AOK45" s="1181"/>
      <c r="AOL45" s="1181"/>
      <c r="AOM45" s="1181"/>
      <c r="AON45" s="1181"/>
      <c r="AOO45" s="1181"/>
      <c r="AOP45" s="1181"/>
      <c r="AOQ45" s="1181"/>
      <c r="AOR45" s="1181"/>
      <c r="AOS45" s="1181"/>
      <c r="AOT45" s="1181"/>
      <c r="AOU45" s="1181"/>
      <c r="AOV45" s="1181"/>
      <c r="AOW45" s="1181"/>
      <c r="AOX45" s="1181"/>
      <c r="AOY45" s="1181"/>
      <c r="AOZ45" s="1181"/>
      <c r="APA45" s="1181"/>
      <c r="APB45" s="1181"/>
      <c r="APC45" s="1181"/>
      <c r="APD45" s="1181"/>
      <c r="APE45" s="1181"/>
      <c r="APF45" s="1181"/>
      <c r="APG45" s="1181"/>
      <c r="APH45" s="1181"/>
      <c r="API45" s="1181"/>
      <c r="APJ45" s="1181"/>
      <c r="APK45" s="1181"/>
      <c r="APL45" s="1181"/>
      <c r="APM45" s="1181"/>
      <c r="APN45" s="1181"/>
      <c r="APO45" s="1181"/>
      <c r="APP45" s="1181"/>
      <c r="APQ45" s="1181"/>
      <c r="APR45" s="1181"/>
      <c r="APS45" s="1181"/>
      <c r="APT45" s="1181"/>
      <c r="APU45" s="1181"/>
      <c r="APV45" s="1181"/>
      <c r="APW45" s="1181"/>
      <c r="APX45" s="1181"/>
      <c r="APY45" s="1181"/>
      <c r="APZ45" s="1181"/>
      <c r="AQA45" s="1181"/>
      <c r="AQB45" s="1181"/>
      <c r="AQC45" s="1181"/>
      <c r="AQD45" s="1181"/>
      <c r="AQE45" s="1181"/>
      <c r="AQF45" s="1181"/>
      <c r="AQG45" s="1181"/>
      <c r="AQH45" s="1181"/>
      <c r="AQI45" s="1181"/>
      <c r="AQJ45" s="1181"/>
      <c r="AQK45" s="1181"/>
      <c r="AQL45" s="1181"/>
      <c r="AQM45" s="1181"/>
      <c r="AQN45" s="1181"/>
      <c r="AQO45" s="1181"/>
      <c r="AQP45" s="1181"/>
      <c r="AQQ45" s="1181"/>
      <c r="AQR45" s="1181"/>
      <c r="AQS45" s="1181"/>
      <c r="AQT45" s="1181"/>
      <c r="AQU45" s="1181"/>
      <c r="AQV45" s="1181"/>
      <c r="AQW45" s="1181"/>
      <c r="AQX45" s="1181"/>
      <c r="AQY45" s="1181"/>
      <c r="AQZ45" s="1181"/>
      <c r="ARA45" s="1181"/>
      <c r="ARB45" s="1181"/>
      <c r="ARC45" s="1181"/>
      <c r="ARD45" s="1181"/>
      <c r="ARE45" s="1181"/>
      <c r="ARF45" s="1181"/>
      <c r="ARG45" s="1181"/>
      <c r="ARH45" s="1181"/>
      <c r="ARI45" s="1181"/>
      <c r="ARJ45" s="1181"/>
      <c r="ARK45" s="1181"/>
      <c r="ARL45" s="1181"/>
      <c r="ARM45" s="1181"/>
      <c r="ARN45" s="1181"/>
      <c r="ARO45" s="1181"/>
      <c r="ARP45" s="1181"/>
      <c r="ARQ45" s="1181"/>
      <c r="ARR45" s="1181"/>
      <c r="ARS45" s="1181"/>
      <c r="ART45" s="1181"/>
      <c r="ARU45" s="1181"/>
      <c r="ARV45" s="1181"/>
      <c r="ARW45" s="1181"/>
      <c r="ARX45" s="1181"/>
      <c r="ARY45" s="1181"/>
      <c r="ARZ45" s="1181"/>
      <c r="ASA45" s="1181"/>
      <c r="ASB45" s="1181"/>
      <c r="ASC45" s="1181"/>
      <c r="ASD45" s="1181"/>
      <c r="ASE45" s="1181"/>
      <c r="ASF45" s="1181"/>
      <c r="ASG45" s="1181"/>
      <c r="ASH45" s="1181"/>
      <c r="ASI45" s="1181"/>
      <c r="ASJ45" s="1181"/>
      <c r="ASK45" s="1181"/>
      <c r="ASL45" s="1181"/>
      <c r="ASM45" s="1181"/>
      <c r="ASN45" s="1181"/>
      <c r="ASO45" s="1181"/>
      <c r="ASP45" s="1181"/>
      <c r="ASQ45" s="1181"/>
      <c r="ASR45" s="1181"/>
      <c r="ASS45" s="1181"/>
      <c r="AST45" s="1181"/>
      <c r="ASU45" s="1181"/>
      <c r="ASV45" s="1181"/>
      <c r="ASW45" s="1181"/>
      <c r="ASX45" s="1181"/>
      <c r="ASY45" s="1181"/>
      <c r="ASZ45" s="1181"/>
      <c r="ATA45" s="1181"/>
      <c r="ATB45" s="1181"/>
      <c r="ATC45" s="1181"/>
      <c r="ATD45" s="1181"/>
      <c r="ATE45" s="1181"/>
      <c r="ATF45" s="1181"/>
      <c r="ATG45" s="1181"/>
      <c r="ATH45" s="1181"/>
      <c r="ATI45" s="1181"/>
      <c r="ATJ45" s="1181"/>
      <c r="ATK45" s="1181"/>
      <c r="ATL45" s="1181"/>
      <c r="ATM45" s="1181"/>
      <c r="ATN45" s="1181"/>
      <c r="ATO45" s="1181"/>
      <c r="ATP45" s="1181"/>
      <c r="ATQ45" s="1181"/>
      <c r="ATR45" s="1181"/>
      <c r="ATS45" s="1181"/>
      <c r="ATT45" s="1181"/>
      <c r="ATU45" s="1181"/>
      <c r="ATV45" s="1181"/>
      <c r="ATW45" s="1181"/>
      <c r="ATX45" s="1181"/>
      <c r="ATY45" s="1181"/>
      <c r="ATZ45" s="1181"/>
      <c r="AUA45" s="1181"/>
      <c r="AUB45" s="1181"/>
      <c r="AUC45" s="1181"/>
      <c r="AUD45" s="1181"/>
      <c r="AUE45" s="1181"/>
      <c r="AUF45" s="1181"/>
      <c r="AUG45" s="1181"/>
      <c r="AUH45" s="1181"/>
      <c r="AUI45" s="1181"/>
      <c r="AUJ45" s="1181"/>
      <c r="AUK45" s="1181"/>
      <c r="AUL45" s="1181"/>
      <c r="AUM45" s="1181"/>
      <c r="AUN45" s="1181"/>
      <c r="AUO45" s="1181"/>
      <c r="AUP45" s="1181"/>
      <c r="AUQ45" s="1181"/>
      <c r="AUR45" s="1181"/>
      <c r="AUS45" s="1181"/>
      <c r="AUT45" s="1181"/>
      <c r="AUU45" s="1181"/>
      <c r="AUV45" s="1181"/>
      <c r="AUW45" s="1181"/>
      <c r="AUX45" s="1181"/>
      <c r="AUY45" s="1181"/>
      <c r="AUZ45" s="1181"/>
      <c r="AVA45" s="1181"/>
      <c r="AVB45" s="1181"/>
      <c r="AVC45" s="1181"/>
      <c r="AVD45" s="1181"/>
      <c r="AVE45" s="1181"/>
      <c r="AVF45" s="1181"/>
      <c r="AVG45" s="1181"/>
      <c r="AVH45" s="1181"/>
      <c r="AVI45" s="1181"/>
      <c r="AVJ45" s="1181"/>
      <c r="AVK45" s="1181"/>
      <c r="AVL45" s="1181"/>
      <c r="AVM45" s="1181"/>
      <c r="AVN45" s="1181"/>
      <c r="AVO45" s="1181"/>
      <c r="AVP45" s="1181"/>
      <c r="AVQ45" s="1181"/>
      <c r="AVR45" s="1181"/>
      <c r="AVS45" s="1181"/>
      <c r="AVT45" s="1181"/>
      <c r="AVU45" s="1181"/>
      <c r="AVV45" s="1181"/>
      <c r="AVW45" s="1181"/>
      <c r="AVX45" s="1181"/>
      <c r="AVY45" s="1181"/>
      <c r="AVZ45" s="1181"/>
      <c r="AWA45" s="1181"/>
      <c r="AWB45" s="1181"/>
      <c r="AWC45" s="1181"/>
      <c r="AWD45" s="1181"/>
      <c r="AWE45" s="1181"/>
      <c r="AWF45" s="1181"/>
      <c r="AWG45" s="1181"/>
      <c r="AWH45" s="1181"/>
      <c r="AWI45" s="1181"/>
      <c r="AWJ45" s="1181"/>
      <c r="AWK45" s="1181"/>
      <c r="AWL45" s="1181"/>
      <c r="AWM45" s="1181"/>
      <c r="AWN45" s="1181"/>
      <c r="AWO45" s="1181"/>
      <c r="AWP45" s="1181"/>
      <c r="AWQ45" s="1181"/>
      <c r="AWR45" s="1181"/>
      <c r="AWS45" s="1181"/>
      <c r="AWT45" s="1181"/>
      <c r="AWU45" s="1181"/>
      <c r="AWV45" s="1181"/>
      <c r="AWW45" s="1181"/>
      <c r="AWX45" s="1181"/>
      <c r="AWY45" s="1181"/>
      <c r="AWZ45" s="1181"/>
      <c r="AXA45" s="1181"/>
      <c r="AXB45" s="1181"/>
      <c r="AXC45" s="1181"/>
      <c r="AXD45" s="1181"/>
      <c r="AXE45" s="1181"/>
      <c r="AXF45" s="1181"/>
      <c r="AXG45" s="1181"/>
      <c r="AXH45" s="1181"/>
      <c r="AXI45" s="1181"/>
      <c r="AXJ45" s="1181"/>
      <c r="AXK45" s="1181"/>
      <c r="AXL45" s="1181"/>
      <c r="AXM45" s="1181"/>
      <c r="AXN45" s="1181"/>
      <c r="AXO45" s="1181"/>
      <c r="AXP45" s="1181"/>
      <c r="AXQ45" s="1181"/>
      <c r="AXR45" s="1181"/>
      <c r="AXS45" s="1181"/>
      <c r="AXT45" s="1181"/>
      <c r="AXU45" s="1181"/>
      <c r="AXV45" s="1181"/>
      <c r="AXW45" s="1181"/>
      <c r="AXX45" s="1181"/>
      <c r="AXY45" s="1181"/>
      <c r="AXZ45" s="1181"/>
      <c r="AYA45" s="1181"/>
      <c r="AYB45" s="1181"/>
      <c r="AYC45" s="1181"/>
      <c r="AYD45" s="1181"/>
      <c r="AYE45" s="1181"/>
      <c r="AYF45" s="1181"/>
      <c r="AYG45" s="1181"/>
      <c r="AYH45" s="1181"/>
      <c r="AYI45" s="1181"/>
      <c r="AYJ45" s="1181"/>
      <c r="AYK45" s="1181"/>
      <c r="AYL45" s="1181"/>
      <c r="AYM45" s="1181"/>
      <c r="AYN45" s="1181"/>
      <c r="AYO45" s="1181"/>
      <c r="AYP45" s="1181"/>
      <c r="AYQ45" s="1181"/>
      <c r="AYR45" s="1181"/>
      <c r="AYS45" s="1181"/>
      <c r="AYT45" s="1181"/>
      <c r="AYU45" s="1181"/>
      <c r="AYV45" s="1181"/>
      <c r="AYW45" s="1181"/>
      <c r="AYX45" s="1181"/>
      <c r="AYY45" s="1181"/>
      <c r="AYZ45" s="1181"/>
      <c r="AZA45" s="1181"/>
      <c r="AZB45" s="1181"/>
      <c r="AZC45" s="1181"/>
      <c r="AZD45" s="1181"/>
      <c r="AZE45" s="1181"/>
      <c r="AZF45" s="1181"/>
      <c r="AZG45" s="1181"/>
      <c r="AZH45" s="1181"/>
      <c r="AZI45" s="1181"/>
      <c r="AZJ45" s="1181"/>
      <c r="AZK45" s="1181"/>
      <c r="AZL45" s="1181"/>
      <c r="AZM45" s="1181"/>
      <c r="AZN45" s="1181"/>
      <c r="AZO45" s="1181"/>
      <c r="AZP45" s="1181"/>
      <c r="AZQ45" s="1181"/>
      <c r="AZR45" s="1181"/>
      <c r="AZS45" s="1181"/>
      <c r="AZT45" s="1181"/>
      <c r="AZU45" s="1181"/>
      <c r="AZV45" s="1181"/>
      <c r="AZW45" s="1181"/>
      <c r="AZX45" s="1181"/>
      <c r="AZY45" s="1181"/>
      <c r="AZZ45" s="1181"/>
      <c r="BAA45" s="1181"/>
      <c r="BAB45" s="1181"/>
      <c r="BAC45" s="1181"/>
      <c r="BAD45" s="1181"/>
      <c r="BAE45" s="1181"/>
      <c r="BAF45" s="1181"/>
      <c r="BAG45" s="1181"/>
      <c r="BAH45" s="1181"/>
      <c r="BAI45" s="1181"/>
      <c r="BAJ45" s="1181"/>
      <c r="BAK45" s="1181"/>
      <c r="BAL45" s="1181"/>
      <c r="BAM45" s="1181"/>
      <c r="BAN45" s="1181"/>
      <c r="BAO45" s="1181"/>
      <c r="BAP45" s="1181"/>
      <c r="BAQ45" s="1181"/>
      <c r="BAR45" s="1181"/>
      <c r="BAS45" s="1181"/>
      <c r="BAT45" s="1181"/>
      <c r="BAU45" s="1181"/>
      <c r="BAV45" s="1181"/>
      <c r="BAW45" s="1181"/>
      <c r="BAX45" s="1181"/>
      <c r="BAY45" s="1181"/>
      <c r="BAZ45" s="1181"/>
      <c r="BBA45" s="1181"/>
      <c r="BBB45" s="1181"/>
      <c r="BBC45" s="1181"/>
      <c r="BBD45" s="1181"/>
      <c r="BBE45" s="1181"/>
      <c r="BBF45" s="1181"/>
      <c r="BBG45" s="1181"/>
      <c r="BBH45" s="1181"/>
      <c r="BBI45" s="1181"/>
      <c r="BBJ45" s="1181"/>
      <c r="BBK45" s="1181"/>
      <c r="BBL45" s="1181"/>
      <c r="BBM45" s="1181"/>
      <c r="BBN45" s="1181"/>
      <c r="BBO45" s="1181"/>
      <c r="BBP45" s="1181"/>
      <c r="BBQ45" s="1181"/>
      <c r="BBR45" s="1181"/>
      <c r="BBS45" s="1181"/>
      <c r="BBT45" s="1181"/>
      <c r="BBU45" s="1181"/>
      <c r="BBV45" s="1181"/>
      <c r="BBW45" s="1181"/>
      <c r="BBX45" s="1181"/>
      <c r="BBY45" s="1181"/>
      <c r="BBZ45" s="1181"/>
      <c r="BCA45" s="1181"/>
      <c r="BCB45" s="1181"/>
      <c r="BCC45" s="1181"/>
      <c r="BCD45" s="1181"/>
      <c r="BCE45" s="1181"/>
      <c r="BCF45" s="1181"/>
      <c r="BCG45" s="1181"/>
      <c r="BCH45" s="1181"/>
      <c r="BCI45" s="1181"/>
      <c r="BCJ45" s="1181"/>
      <c r="BCK45" s="1181"/>
      <c r="BCL45" s="1181"/>
      <c r="BCM45" s="1181"/>
      <c r="BCN45" s="1181"/>
      <c r="BCO45" s="1181"/>
      <c r="BCP45" s="1181"/>
      <c r="BCQ45" s="1181"/>
      <c r="BCR45" s="1181"/>
      <c r="BCS45" s="1181"/>
      <c r="BCT45" s="1181"/>
      <c r="BCU45" s="1181"/>
      <c r="BCV45" s="1181"/>
      <c r="BCW45" s="1181"/>
      <c r="BCX45" s="1181"/>
      <c r="BCY45" s="1181"/>
      <c r="BCZ45" s="1181"/>
      <c r="BDA45" s="1181"/>
      <c r="BDB45" s="1181"/>
      <c r="BDC45" s="1181"/>
      <c r="BDD45" s="1181"/>
      <c r="BDE45" s="1181"/>
      <c r="BDF45" s="1181"/>
      <c r="BDG45" s="1181"/>
      <c r="BDH45" s="1181"/>
      <c r="BDI45" s="1181"/>
      <c r="BDJ45" s="1181"/>
      <c r="BDK45" s="1181"/>
      <c r="BDL45" s="1181"/>
      <c r="BDM45" s="1181"/>
      <c r="BDN45" s="1181"/>
      <c r="BDO45" s="1181"/>
      <c r="BDP45" s="1181"/>
      <c r="BDQ45" s="1181"/>
      <c r="BDR45" s="1181"/>
      <c r="BDS45" s="1181"/>
      <c r="BDT45" s="1181"/>
      <c r="BDU45" s="1181"/>
      <c r="BDV45" s="1181"/>
      <c r="BDW45" s="1181"/>
      <c r="BDX45" s="1181"/>
      <c r="BDY45" s="1181"/>
      <c r="BDZ45" s="1181"/>
      <c r="BEA45" s="1181"/>
      <c r="BEB45" s="1181"/>
      <c r="BEC45" s="1181"/>
      <c r="BED45" s="1181"/>
      <c r="BEE45" s="1181"/>
      <c r="BEF45" s="1181"/>
      <c r="BEG45" s="1181"/>
      <c r="BEH45" s="1181"/>
      <c r="BEI45" s="1181"/>
      <c r="BEJ45" s="1181"/>
      <c r="BEK45" s="1181"/>
      <c r="BEL45" s="1181"/>
      <c r="BEM45" s="1181"/>
      <c r="BEN45" s="1181"/>
      <c r="BEO45" s="1181"/>
      <c r="BEP45" s="1181"/>
      <c r="BEQ45" s="1181"/>
      <c r="BER45" s="1181"/>
      <c r="BES45" s="1181"/>
      <c r="BET45" s="1181"/>
      <c r="BEU45" s="1181"/>
      <c r="BEV45" s="1181"/>
      <c r="BEW45" s="1181"/>
      <c r="BEX45" s="1181"/>
      <c r="BEY45" s="1181"/>
      <c r="BEZ45" s="1181"/>
      <c r="BFA45" s="1181"/>
      <c r="BFB45" s="1181"/>
      <c r="BFC45" s="1181"/>
      <c r="BFD45" s="1181"/>
      <c r="BFE45" s="1181"/>
      <c r="BFF45" s="1181"/>
      <c r="BFG45" s="1181"/>
      <c r="BFH45" s="1181"/>
      <c r="BFI45" s="1181"/>
      <c r="BFJ45" s="1181"/>
      <c r="BFK45" s="1181"/>
      <c r="BFL45" s="1181"/>
      <c r="BFM45" s="1181"/>
      <c r="BFN45" s="1181"/>
      <c r="BFO45" s="1181"/>
      <c r="BFP45" s="1181"/>
      <c r="BFQ45" s="1181"/>
      <c r="BFR45" s="1181"/>
      <c r="BFS45" s="1181"/>
      <c r="BFT45" s="1181"/>
      <c r="BFU45" s="1181"/>
      <c r="BFV45" s="1181"/>
      <c r="BFW45" s="1181"/>
      <c r="BFX45" s="1181"/>
      <c r="BFY45" s="1181"/>
      <c r="BFZ45" s="1181"/>
      <c r="BGA45" s="1181"/>
      <c r="BGB45" s="1181"/>
      <c r="BGC45" s="1181"/>
      <c r="BGD45" s="1181"/>
      <c r="BGE45" s="1181"/>
      <c r="BGF45" s="1181"/>
      <c r="BGG45" s="1181"/>
      <c r="BGH45" s="1181"/>
      <c r="BGI45" s="1181"/>
      <c r="BGJ45" s="1181"/>
      <c r="BGK45" s="1181"/>
      <c r="BGL45" s="1181"/>
      <c r="BGM45" s="1181"/>
      <c r="BGN45" s="1181"/>
      <c r="BGO45" s="1181"/>
      <c r="BGP45" s="1181"/>
      <c r="BGQ45" s="1181"/>
      <c r="BGR45" s="1181"/>
      <c r="BGS45" s="1181"/>
      <c r="BGT45" s="1181"/>
      <c r="BGU45" s="1181"/>
      <c r="BGV45" s="1181"/>
      <c r="BGW45" s="1181"/>
      <c r="BGX45" s="1181"/>
      <c r="BGY45" s="1181"/>
      <c r="BGZ45" s="1181"/>
      <c r="BHA45" s="1181"/>
      <c r="BHB45" s="1181"/>
      <c r="BHC45" s="1181"/>
      <c r="BHD45" s="1181"/>
      <c r="BHE45" s="1181"/>
      <c r="BHF45" s="1181"/>
      <c r="BHG45" s="1181"/>
      <c r="BHH45" s="1181"/>
      <c r="BHI45" s="1181"/>
      <c r="BHJ45" s="1181"/>
      <c r="BHK45" s="1181"/>
      <c r="BHL45" s="1181"/>
      <c r="BHM45" s="1181"/>
      <c r="BHN45" s="1181"/>
      <c r="BHO45" s="1181"/>
      <c r="BHP45" s="1181"/>
      <c r="BHQ45" s="1181"/>
      <c r="BHR45" s="1181"/>
      <c r="BHS45" s="1181"/>
      <c r="BHT45" s="1181"/>
      <c r="BHU45" s="1181"/>
      <c r="BHV45" s="1181"/>
      <c r="BHW45" s="1181"/>
      <c r="BHX45" s="1181"/>
      <c r="BHY45" s="1181"/>
      <c r="BHZ45" s="1181"/>
      <c r="BIA45" s="1181"/>
      <c r="BIB45" s="1181"/>
      <c r="BIC45" s="1181"/>
      <c r="BID45" s="1181"/>
      <c r="BIE45" s="1181"/>
      <c r="BIF45" s="1181"/>
      <c r="BIG45" s="1181"/>
      <c r="BIH45" s="1181"/>
      <c r="BII45" s="1181"/>
      <c r="BIJ45" s="1181"/>
      <c r="BIK45" s="1181"/>
      <c r="BIL45" s="1181"/>
      <c r="BIM45" s="1181"/>
      <c r="BIN45" s="1181"/>
      <c r="BIO45" s="1181"/>
      <c r="BIP45" s="1181"/>
      <c r="BIQ45" s="1181"/>
      <c r="BIR45" s="1181"/>
      <c r="BIS45" s="1181"/>
      <c r="BIT45" s="1181"/>
      <c r="BIU45" s="1181"/>
      <c r="BIV45" s="1181"/>
      <c r="BIW45" s="1181"/>
      <c r="BIX45" s="1181"/>
      <c r="BIY45" s="1181"/>
      <c r="BIZ45" s="1181"/>
      <c r="BJA45" s="1181"/>
      <c r="BJB45" s="1181"/>
      <c r="BJC45" s="1181"/>
      <c r="BJD45" s="1181"/>
      <c r="BJE45" s="1181"/>
      <c r="BJF45" s="1181"/>
      <c r="BJG45" s="1181"/>
      <c r="BJH45" s="1181"/>
      <c r="BJI45" s="1181"/>
      <c r="BJJ45" s="1181"/>
      <c r="BJK45" s="1181"/>
      <c r="BJL45" s="1181"/>
      <c r="BJM45" s="1181"/>
      <c r="BJN45" s="1181"/>
      <c r="BJO45" s="1181"/>
      <c r="BJP45" s="1181"/>
      <c r="BJQ45" s="1181"/>
      <c r="BJR45" s="1181"/>
      <c r="BJS45" s="1181"/>
      <c r="BJT45" s="1181"/>
      <c r="BJU45" s="1181"/>
      <c r="BJV45" s="1181"/>
      <c r="BJW45" s="1181"/>
      <c r="BJX45" s="1181"/>
      <c r="BJY45" s="1181"/>
      <c r="BJZ45" s="1181"/>
      <c r="BKA45" s="1181"/>
      <c r="BKB45" s="1181"/>
      <c r="BKC45" s="1181"/>
      <c r="BKD45" s="1181"/>
      <c r="BKE45" s="1181"/>
      <c r="BKF45" s="1181"/>
      <c r="BKG45" s="1181"/>
      <c r="BKH45" s="1181"/>
      <c r="BKI45" s="1181"/>
      <c r="BKJ45" s="1181"/>
      <c r="BKK45" s="1181"/>
      <c r="BKL45" s="1181"/>
      <c r="BKM45" s="1181"/>
      <c r="BKN45" s="1181"/>
      <c r="BKO45" s="1181"/>
      <c r="BKP45" s="1181"/>
      <c r="BKQ45" s="1181"/>
      <c r="BKR45" s="1181"/>
      <c r="BKS45" s="1181"/>
      <c r="BKT45" s="1181"/>
      <c r="BKU45" s="1181"/>
      <c r="BKV45" s="1181"/>
      <c r="BKW45" s="1181"/>
      <c r="BKX45" s="1181"/>
      <c r="BKY45" s="1181"/>
      <c r="BKZ45" s="1181"/>
      <c r="BLA45" s="1181"/>
      <c r="BLB45" s="1181"/>
      <c r="BLC45" s="1181"/>
      <c r="BLD45" s="1181"/>
      <c r="BLE45" s="1181"/>
      <c r="BLF45" s="1181"/>
      <c r="BLG45" s="1181"/>
      <c r="BLH45" s="1181"/>
      <c r="BLI45" s="1181"/>
      <c r="BLJ45" s="1181"/>
      <c r="BLK45" s="1181"/>
      <c r="BLL45" s="1181"/>
      <c r="BLM45" s="1181"/>
      <c r="BLN45" s="1181"/>
      <c r="BLO45" s="1181"/>
      <c r="BLP45" s="1181"/>
      <c r="BLQ45" s="1181"/>
      <c r="BLR45" s="1181"/>
      <c r="BLS45" s="1181"/>
      <c r="BLT45" s="1181"/>
      <c r="BLU45" s="1181"/>
      <c r="BLV45" s="1181"/>
      <c r="BLW45" s="1181"/>
      <c r="BLX45" s="1181"/>
      <c r="BLY45" s="1181"/>
      <c r="BLZ45" s="1181"/>
      <c r="BMA45" s="1181"/>
      <c r="BMB45" s="1181"/>
      <c r="BMC45" s="1181"/>
      <c r="BMD45" s="1181"/>
      <c r="BME45" s="1181"/>
      <c r="BMF45" s="1181"/>
      <c r="BMG45" s="1181"/>
      <c r="BMH45" s="1181"/>
      <c r="BMI45" s="1181"/>
      <c r="BMJ45" s="1181"/>
      <c r="BMK45" s="1181"/>
      <c r="BML45" s="1181"/>
      <c r="BMM45" s="1181"/>
      <c r="BMN45" s="1181"/>
      <c r="BMO45" s="1181"/>
      <c r="BMP45" s="1181"/>
      <c r="BMQ45" s="1181"/>
      <c r="BMR45" s="1181"/>
      <c r="BMS45" s="1181"/>
      <c r="BMT45" s="1181"/>
      <c r="BMU45" s="1181"/>
      <c r="BMV45" s="1181"/>
      <c r="BMW45" s="1181"/>
      <c r="BMX45" s="1181"/>
      <c r="BMY45" s="1181"/>
      <c r="BMZ45" s="1181"/>
      <c r="BNA45" s="1181"/>
      <c r="BNB45" s="1181"/>
      <c r="BNC45" s="1181"/>
      <c r="BND45" s="1181"/>
      <c r="BNE45" s="1181"/>
      <c r="BNF45" s="1181"/>
      <c r="BNG45" s="1181"/>
      <c r="BNH45" s="1181"/>
      <c r="BNI45" s="1181"/>
      <c r="BNJ45" s="1181"/>
      <c r="BNK45" s="1181"/>
      <c r="BNL45" s="1181"/>
      <c r="BNM45" s="1181"/>
      <c r="BNN45" s="1181"/>
      <c r="BNO45" s="1181"/>
      <c r="BNP45" s="1181"/>
      <c r="BNQ45" s="1181"/>
      <c r="BNR45" s="1181"/>
      <c r="BNS45" s="1181"/>
      <c r="BNT45" s="1181"/>
      <c r="BNU45" s="1181"/>
      <c r="BNV45" s="1181"/>
      <c r="BNW45" s="1181"/>
      <c r="BNX45" s="1181"/>
      <c r="BNY45" s="1181"/>
      <c r="BNZ45" s="1181"/>
      <c r="BOA45" s="1181"/>
      <c r="BOB45" s="1181"/>
      <c r="BOC45" s="1181"/>
      <c r="BOD45" s="1181"/>
      <c r="BOE45" s="1181"/>
      <c r="BOF45" s="1181"/>
      <c r="BOG45" s="1181"/>
      <c r="BOH45" s="1181"/>
      <c r="BOI45" s="1181"/>
      <c r="BOJ45" s="1181"/>
      <c r="BOK45" s="1181"/>
      <c r="BOL45" s="1181"/>
      <c r="BOM45" s="1181"/>
      <c r="BON45" s="1181"/>
      <c r="BOO45" s="1181"/>
      <c r="BOP45" s="1181"/>
      <c r="BOQ45" s="1181"/>
      <c r="BOR45" s="1181"/>
      <c r="BOS45" s="1181"/>
      <c r="BOT45" s="1181"/>
      <c r="BOU45" s="1181"/>
      <c r="BOV45" s="1181"/>
      <c r="BOW45" s="1181"/>
      <c r="BOX45" s="1181"/>
      <c r="BOY45" s="1181"/>
      <c r="BOZ45" s="1181"/>
      <c r="BPA45" s="1181"/>
      <c r="BPB45" s="1181"/>
      <c r="BPC45" s="1181"/>
      <c r="BPD45" s="1181"/>
      <c r="BPE45" s="1181"/>
      <c r="BPF45" s="1181"/>
      <c r="BPG45" s="1181"/>
      <c r="BPH45" s="1181"/>
      <c r="BPI45" s="1181"/>
      <c r="BPJ45" s="1181"/>
      <c r="BPK45" s="1181"/>
      <c r="BPL45" s="1181"/>
      <c r="BPM45" s="1181"/>
      <c r="BPN45" s="1181"/>
      <c r="BPO45" s="1181"/>
      <c r="BPP45" s="1181"/>
      <c r="BPQ45" s="1181"/>
      <c r="BPR45" s="1181"/>
      <c r="BPS45" s="1181"/>
      <c r="BPT45" s="1181"/>
      <c r="BPU45" s="1181"/>
      <c r="BPV45" s="1181"/>
      <c r="BPW45" s="1181"/>
      <c r="BPX45" s="1181"/>
      <c r="BPY45" s="1181"/>
      <c r="BPZ45" s="1181"/>
      <c r="BQA45" s="1181"/>
      <c r="BQB45" s="1181"/>
      <c r="BQC45" s="1181"/>
      <c r="BQD45" s="1181"/>
      <c r="BQE45" s="1181"/>
      <c r="BQF45" s="1181"/>
      <c r="BQG45" s="1181"/>
      <c r="BQH45" s="1181"/>
      <c r="BQI45" s="1181"/>
      <c r="BQJ45" s="1181"/>
      <c r="BQK45" s="1181"/>
      <c r="BQL45" s="1181"/>
      <c r="BQM45" s="1181"/>
      <c r="BQN45" s="1181"/>
      <c r="BQO45" s="1181"/>
      <c r="BQP45" s="1181"/>
      <c r="BQQ45" s="1181"/>
      <c r="BQR45" s="1181"/>
      <c r="BQS45" s="1181"/>
      <c r="BQT45" s="1181"/>
      <c r="BQU45" s="1181"/>
      <c r="BQV45" s="1181"/>
      <c r="BQW45" s="1181"/>
      <c r="BQX45" s="1181"/>
      <c r="BQY45" s="1181"/>
      <c r="BQZ45" s="1181"/>
      <c r="BRA45" s="1181"/>
      <c r="BRB45" s="1181"/>
      <c r="BRC45" s="1181"/>
      <c r="BRD45" s="1181"/>
      <c r="BRE45" s="1181"/>
      <c r="BRF45" s="1181"/>
      <c r="BRG45" s="1181"/>
      <c r="BRH45" s="1181"/>
      <c r="BRI45" s="1181"/>
      <c r="BRJ45" s="1181"/>
      <c r="BRK45" s="1181"/>
      <c r="BRL45" s="1181"/>
      <c r="BRM45" s="1181"/>
      <c r="BRN45" s="1181"/>
      <c r="BRO45" s="1181"/>
      <c r="BRP45" s="1181"/>
      <c r="BRQ45" s="1181"/>
      <c r="BRR45" s="1181"/>
      <c r="BRS45" s="1181"/>
      <c r="BRT45" s="1181"/>
      <c r="BRU45" s="1181"/>
      <c r="BRV45" s="1181"/>
      <c r="BRW45" s="1181"/>
      <c r="BRX45" s="1181"/>
      <c r="BRY45" s="1181"/>
      <c r="BRZ45" s="1181"/>
      <c r="BSA45" s="1181"/>
      <c r="BSB45" s="1181"/>
      <c r="BSC45" s="1181"/>
      <c r="BSD45" s="1181"/>
      <c r="BSE45" s="1181"/>
      <c r="BSF45" s="1181"/>
      <c r="BSG45" s="1181"/>
      <c r="BSH45" s="1181"/>
      <c r="BSI45" s="1181"/>
      <c r="BSJ45" s="1181"/>
      <c r="BSK45" s="1181"/>
      <c r="BSL45" s="1181"/>
      <c r="BSM45" s="1181"/>
      <c r="BSN45" s="1181"/>
      <c r="BSO45" s="1181"/>
      <c r="BSP45" s="1181"/>
      <c r="BSQ45" s="1181"/>
      <c r="BSR45" s="1181"/>
      <c r="BSS45" s="1181"/>
      <c r="BST45" s="1181"/>
      <c r="BSU45" s="1181"/>
      <c r="BSV45" s="1181"/>
      <c r="BSW45" s="1181"/>
      <c r="BSX45" s="1181"/>
      <c r="BSY45" s="1181"/>
      <c r="BSZ45" s="1181"/>
      <c r="BTA45" s="1181"/>
      <c r="BTB45" s="1181"/>
      <c r="BTC45" s="1181"/>
      <c r="BTD45" s="1181"/>
      <c r="BTE45" s="1181"/>
      <c r="BTF45" s="1181"/>
      <c r="BTG45" s="1181"/>
      <c r="BTH45" s="1181"/>
      <c r="BTI45" s="1181"/>
      <c r="BTJ45" s="1181"/>
      <c r="BTK45" s="1181"/>
      <c r="BTL45" s="1181"/>
      <c r="BTM45" s="1181"/>
      <c r="BTN45" s="1181"/>
      <c r="BTO45" s="1181"/>
      <c r="BTP45" s="1181"/>
      <c r="BTQ45" s="1181"/>
      <c r="BTR45" s="1181"/>
      <c r="BTS45" s="1181"/>
      <c r="BTT45" s="1181"/>
      <c r="BTU45" s="1181"/>
      <c r="BTV45" s="1181"/>
      <c r="BTW45" s="1181"/>
      <c r="BTX45" s="1181"/>
      <c r="BTY45" s="1181"/>
      <c r="BTZ45" s="1181"/>
      <c r="BUA45" s="1181"/>
      <c r="BUB45" s="1181"/>
      <c r="BUC45" s="1181"/>
      <c r="BUD45" s="1181"/>
      <c r="BUE45" s="1181"/>
      <c r="BUF45" s="1181"/>
      <c r="BUG45" s="1181"/>
      <c r="BUH45" s="1181"/>
      <c r="BUI45" s="1181"/>
      <c r="BUJ45" s="1181"/>
      <c r="BUK45" s="1181"/>
      <c r="BUL45" s="1181"/>
      <c r="BUM45" s="1181"/>
      <c r="BUN45" s="1181"/>
      <c r="BUO45" s="1181"/>
      <c r="BUP45" s="1181"/>
      <c r="BUQ45" s="1181"/>
      <c r="BUR45" s="1181"/>
      <c r="BUS45" s="1181"/>
      <c r="BUT45" s="1181"/>
      <c r="BUU45" s="1181"/>
      <c r="BUV45" s="1181"/>
      <c r="BUW45" s="1181"/>
      <c r="BUX45" s="1181"/>
      <c r="BUY45" s="1181"/>
      <c r="BUZ45" s="1181"/>
      <c r="BVA45" s="1181"/>
      <c r="BVB45" s="1181"/>
      <c r="BVC45" s="1181"/>
      <c r="BVD45" s="1181"/>
      <c r="BVE45" s="1181"/>
      <c r="BVF45" s="1181"/>
      <c r="BVG45" s="1181"/>
      <c r="BVH45" s="1181"/>
      <c r="BVI45" s="1181"/>
      <c r="BVJ45" s="1181"/>
      <c r="BVK45" s="1181"/>
      <c r="BVL45" s="1181"/>
      <c r="BVM45" s="1181"/>
      <c r="BVN45" s="1181"/>
      <c r="BVO45" s="1181"/>
      <c r="BVP45" s="1181"/>
      <c r="BVQ45" s="1181"/>
      <c r="BVR45" s="1181"/>
      <c r="BVS45" s="1181"/>
      <c r="BVT45" s="1181"/>
      <c r="BVU45" s="1181"/>
      <c r="BVV45" s="1181"/>
      <c r="BVW45" s="1181"/>
      <c r="BVX45" s="1181"/>
      <c r="BVY45" s="1181"/>
      <c r="BVZ45" s="1181"/>
      <c r="BWA45" s="1181"/>
      <c r="BWB45" s="1181"/>
      <c r="BWC45" s="1181"/>
      <c r="BWD45" s="1181"/>
      <c r="BWE45" s="1181"/>
      <c r="BWF45" s="1181"/>
      <c r="BWG45" s="1181"/>
      <c r="BWH45" s="1181"/>
      <c r="BWI45" s="1181"/>
      <c r="BWJ45" s="1181"/>
      <c r="BWK45" s="1181"/>
      <c r="BWL45" s="1181"/>
      <c r="BWM45" s="1181"/>
      <c r="BWN45" s="1181"/>
      <c r="BWO45" s="1181"/>
      <c r="BWP45" s="1181"/>
      <c r="BWQ45" s="1181"/>
      <c r="BWR45" s="1181"/>
      <c r="BWS45" s="1181"/>
      <c r="BWT45" s="1181"/>
      <c r="BWU45" s="1181"/>
      <c r="BWV45" s="1181"/>
      <c r="BWW45" s="1181"/>
      <c r="BWX45" s="1181"/>
      <c r="BWY45" s="1181"/>
      <c r="BWZ45" s="1181"/>
      <c r="BXA45" s="1181"/>
      <c r="BXB45" s="1181"/>
      <c r="BXC45" s="1181"/>
      <c r="BXD45" s="1181"/>
      <c r="BXE45" s="1181"/>
      <c r="BXF45" s="1181"/>
      <c r="BXG45" s="1181"/>
      <c r="BXH45" s="1181"/>
      <c r="BXI45" s="1181"/>
      <c r="BXJ45" s="1181"/>
      <c r="BXK45" s="1181"/>
      <c r="BXL45" s="1181"/>
      <c r="BXM45" s="1181"/>
      <c r="BXN45" s="1181"/>
      <c r="BXO45" s="1181"/>
      <c r="BXP45" s="1181"/>
      <c r="BXQ45" s="1181"/>
      <c r="BXR45" s="1181"/>
      <c r="BXS45" s="1181"/>
      <c r="BXT45" s="1181"/>
      <c r="BXU45" s="1181"/>
      <c r="BXV45" s="1181"/>
      <c r="BXW45" s="1181"/>
      <c r="BXX45" s="1181"/>
      <c r="BXY45" s="1181"/>
      <c r="BXZ45" s="1181"/>
      <c r="BYA45" s="1181"/>
      <c r="BYB45" s="1181"/>
      <c r="BYC45" s="1181"/>
      <c r="BYD45" s="1181"/>
      <c r="BYE45" s="1181"/>
      <c r="BYF45" s="1181"/>
      <c r="BYG45" s="1181"/>
      <c r="BYH45" s="1181"/>
      <c r="BYI45" s="1181"/>
      <c r="BYJ45" s="1181"/>
      <c r="BYK45" s="1181"/>
      <c r="BYL45" s="1181"/>
      <c r="BYM45" s="1181"/>
      <c r="BYN45" s="1181"/>
      <c r="BYO45" s="1181"/>
      <c r="BYP45" s="1181"/>
      <c r="BYQ45" s="1181"/>
      <c r="BYR45" s="1181"/>
      <c r="BYS45" s="1181"/>
      <c r="BYT45" s="1181"/>
      <c r="BYU45" s="1181"/>
      <c r="BYV45" s="1181"/>
      <c r="BYW45" s="1181"/>
      <c r="BYX45" s="1181"/>
      <c r="BYY45" s="1181"/>
      <c r="BYZ45" s="1181"/>
      <c r="BZA45" s="1181"/>
      <c r="BZB45" s="1181"/>
      <c r="BZC45" s="1181"/>
      <c r="BZD45" s="1181"/>
      <c r="BZE45" s="1181"/>
      <c r="BZF45" s="1181"/>
      <c r="BZG45" s="1181"/>
      <c r="BZH45" s="1181"/>
      <c r="BZI45" s="1181"/>
      <c r="BZJ45" s="1181"/>
      <c r="BZK45" s="1181"/>
      <c r="BZL45" s="1181"/>
      <c r="BZM45" s="1181"/>
      <c r="BZN45" s="1181"/>
      <c r="BZO45" s="1181"/>
      <c r="BZP45" s="1181"/>
      <c r="BZQ45" s="1181"/>
      <c r="BZR45" s="1181"/>
      <c r="BZS45" s="1181"/>
      <c r="BZT45" s="1181"/>
      <c r="BZU45" s="1181"/>
      <c r="BZV45" s="1181"/>
      <c r="BZW45" s="1181"/>
      <c r="BZX45" s="1181"/>
      <c r="BZY45" s="1181"/>
      <c r="BZZ45" s="1181"/>
      <c r="CAA45" s="1181"/>
      <c r="CAB45" s="1181"/>
      <c r="CAC45" s="1181"/>
      <c r="CAD45" s="1181"/>
      <c r="CAE45" s="1181"/>
      <c r="CAF45" s="1181"/>
      <c r="CAG45" s="1181"/>
      <c r="CAH45" s="1181"/>
      <c r="CAI45" s="1181"/>
      <c r="CAJ45" s="1181"/>
      <c r="CAK45" s="1181"/>
      <c r="CAL45" s="1181"/>
      <c r="CAM45" s="1181"/>
      <c r="CAN45" s="1181"/>
      <c r="CAO45" s="1181"/>
      <c r="CAP45" s="1181"/>
      <c r="CAQ45" s="1181"/>
      <c r="CAR45" s="1181"/>
      <c r="CAS45" s="1181"/>
      <c r="CAT45" s="1181"/>
      <c r="CAU45" s="1181"/>
      <c r="CAV45" s="1181"/>
      <c r="CAW45" s="1181"/>
      <c r="CAX45" s="1181"/>
      <c r="CAY45" s="1181"/>
      <c r="CAZ45" s="1181"/>
      <c r="CBA45" s="1181"/>
      <c r="CBB45" s="1181"/>
      <c r="CBC45" s="1181"/>
      <c r="CBD45" s="1181"/>
      <c r="CBE45" s="1181"/>
      <c r="CBF45" s="1181"/>
      <c r="CBG45" s="1181"/>
      <c r="CBH45" s="1181"/>
      <c r="CBI45" s="1181"/>
      <c r="CBJ45" s="1181"/>
      <c r="CBK45" s="1181"/>
      <c r="CBL45" s="1181"/>
      <c r="CBM45" s="1181"/>
      <c r="CBN45" s="1181"/>
      <c r="CBO45" s="1181"/>
      <c r="CBP45" s="1181"/>
      <c r="CBQ45" s="1181"/>
      <c r="CBR45" s="1181"/>
      <c r="CBS45" s="1181"/>
      <c r="CBT45" s="1181"/>
      <c r="CBU45" s="1181"/>
      <c r="CBV45" s="1181"/>
      <c r="CBW45" s="1181"/>
      <c r="CBX45" s="1181"/>
      <c r="CBY45" s="1181"/>
      <c r="CBZ45" s="1181"/>
      <c r="CCA45" s="1181"/>
      <c r="CCB45" s="1181"/>
      <c r="CCC45" s="1181"/>
      <c r="CCD45" s="1181"/>
      <c r="CCE45" s="1181"/>
      <c r="CCF45" s="1181"/>
      <c r="CCG45" s="1181"/>
      <c r="CCH45" s="1181"/>
      <c r="CCI45" s="1181"/>
      <c r="CCJ45" s="1181"/>
      <c r="CCK45" s="1181"/>
      <c r="CCL45" s="1181"/>
      <c r="CCM45" s="1181"/>
      <c r="CCN45" s="1181"/>
      <c r="CCO45" s="1181"/>
      <c r="CCP45" s="1181"/>
      <c r="CCQ45" s="1181"/>
      <c r="CCR45" s="1181"/>
      <c r="CCS45" s="1181"/>
      <c r="CCT45" s="1181"/>
      <c r="CCU45" s="1181"/>
      <c r="CCV45" s="1181"/>
      <c r="CCW45" s="1181"/>
      <c r="CCX45" s="1181"/>
      <c r="CCY45" s="1181"/>
      <c r="CCZ45" s="1181"/>
      <c r="CDA45" s="1181"/>
      <c r="CDB45" s="1181"/>
      <c r="CDC45" s="1181"/>
      <c r="CDD45" s="1181"/>
      <c r="CDE45" s="1181"/>
      <c r="CDF45" s="1181"/>
      <c r="CDG45" s="1181"/>
      <c r="CDH45" s="1181"/>
      <c r="CDI45" s="1181"/>
      <c r="CDJ45" s="1181"/>
      <c r="CDK45" s="1181"/>
      <c r="CDL45" s="1181"/>
      <c r="CDM45" s="1181"/>
      <c r="CDN45" s="1181"/>
      <c r="CDO45" s="1181"/>
      <c r="CDP45" s="1181"/>
      <c r="CDQ45" s="1181"/>
      <c r="CDR45" s="1181"/>
      <c r="CDS45" s="1181"/>
      <c r="CDT45" s="1181"/>
      <c r="CDU45" s="1181"/>
      <c r="CDV45" s="1181"/>
      <c r="CDW45" s="1181"/>
      <c r="CDX45" s="1181"/>
      <c r="CDY45" s="1181"/>
      <c r="CDZ45" s="1181"/>
      <c r="CEA45" s="1181"/>
      <c r="CEB45" s="1181"/>
      <c r="CEC45" s="1181"/>
      <c r="CED45" s="1181"/>
      <c r="CEE45" s="1181"/>
      <c r="CEF45" s="1181"/>
      <c r="CEG45" s="1181"/>
      <c r="CEH45" s="1181"/>
      <c r="CEI45" s="1181"/>
      <c r="CEJ45" s="1181"/>
      <c r="CEK45" s="1181"/>
      <c r="CEL45" s="1181"/>
      <c r="CEM45" s="1181"/>
      <c r="CEN45" s="1181"/>
      <c r="CEO45" s="1181"/>
      <c r="CEP45" s="1181"/>
      <c r="CEQ45" s="1181"/>
      <c r="CER45" s="1181"/>
      <c r="CES45" s="1181"/>
      <c r="CET45" s="1181"/>
      <c r="CEU45" s="1181"/>
      <c r="CEV45" s="1181"/>
      <c r="CEW45" s="1181"/>
      <c r="CEX45" s="1181"/>
      <c r="CEY45" s="1181"/>
      <c r="CEZ45" s="1181"/>
      <c r="CFA45" s="1181"/>
      <c r="CFB45" s="1181"/>
      <c r="CFC45" s="1181"/>
      <c r="CFD45" s="1181"/>
      <c r="CFE45" s="1181"/>
      <c r="CFF45" s="1181"/>
      <c r="CFG45" s="1181"/>
      <c r="CFH45" s="1181"/>
      <c r="CFI45" s="1181"/>
      <c r="CFJ45" s="1181"/>
      <c r="CFK45" s="1181"/>
      <c r="CFL45" s="1181"/>
      <c r="CFM45" s="1181"/>
      <c r="CFN45" s="1181"/>
      <c r="CFO45" s="1181"/>
      <c r="CFP45" s="1181"/>
      <c r="CFQ45" s="1181"/>
      <c r="CFR45" s="1181"/>
      <c r="CFS45" s="1181"/>
      <c r="CFT45" s="1181"/>
      <c r="CFU45" s="1181"/>
      <c r="CFV45" s="1181"/>
      <c r="CFW45" s="1181"/>
      <c r="CFX45" s="1181"/>
      <c r="CFY45" s="1181"/>
      <c r="CFZ45" s="1181"/>
      <c r="CGA45" s="1181"/>
      <c r="CGB45" s="1181"/>
      <c r="CGC45" s="1181"/>
      <c r="CGD45" s="1181"/>
      <c r="CGE45" s="1181"/>
      <c r="CGF45" s="1181"/>
      <c r="CGG45" s="1181"/>
      <c r="CGH45" s="1181"/>
      <c r="CGI45" s="1181"/>
      <c r="CGJ45" s="1181"/>
      <c r="CGK45" s="1181"/>
      <c r="CGL45" s="1181"/>
      <c r="CGM45" s="1181"/>
      <c r="CGN45" s="1181"/>
      <c r="CGO45" s="1181"/>
      <c r="CGP45" s="1181"/>
      <c r="CGQ45" s="1181"/>
      <c r="CGR45" s="1181"/>
      <c r="CGS45" s="1181"/>
      <c r="CGT45" s="1181"/>
      <c r="CGU45" s="1181"/>
      <c r="CGV45" s="1181"/>
      <c r="CGW45" s="1181"/>
      <c r="CGX45" s="1181"/>
      <c r="CGY45" s="1181"/>
      <c r="CGZ45" s="1181"/>
      <c r="CHA45" s="1181"/>
      <c r="CHB45" s="1181"/>
      <c r="CHC45" s="1181"/>
      <c r="CHD45" s="1181"/>
      <c r="CHE45" s="1181"/>
      <c r="CHF45" s="1181"/>
      <c r="CHG45" s="1181"/>
      <c r="CHH45" s="1181"/>
      <c r="CHI45" s="1181"/>
      <c r="CHJ45" s="1181"/>
      <c r="CHK45" s="1181"/>
      <c r="CHL45" s="1181"/>
      <c r="CHM45" s="1181"/>
      <c r="CHN45" s="1181"/>
      <c r="CHO45" s="1181"/>
      <c r="CHP45" s="1181"/>
      <c r="CHQ45" s="1181"/>
      <c r="CHR45" s="1181"/>
      <c r="CHS45" s="1181"/>
      <c r="CHT45" s="1181"/>
      <c r="CHU45" s="1181"/>
      <c r="CHV45" s="1181"/>
      <c r="CHW45" s="1181"/>
      <c r="CHX45" s="1181"/>
      <c r="CHY45" s="1181"/>
      <c r="CHZ45" s="1181"/>
      <c r="CIA45" s="1181"/>
      <c r="CIB45" s="1181"/>
      <c r="CIC45" s="1181"/>
      <c r="CID45" s="1181"/>
      <c r="CIE45" s="1181"/>
      <c r="CIF45" s="1181"/>
      <c r="CIG45" s="1181"/>
      <c r="CIH45" s="1181"/>
      <c r="CII45" s="1181"/>
      <c r="CIJ45" s="1181"/>
      <c r="CIK45" s="1181"/>
      <c r="CIL45" s="1181"/>
      <c r="CIM45" s="1181"/>
      <c r="CIN45" s="1181"/>
      <c r="CIO45" s="1181"/>
      <c r="CIP45" s="1181"/>
      <c r="CIQ45" s="1181"/>
      <c r="CIR45" s="1181"/>
      <c r="CIS45" s="1181"/>
      <c r="CIT45" s="1181"/>
      <c r="CIU45" s="1181"/>
      <c r="CIV45" s="1181"/>
      <c r="CIW45" s="1181"/>
      <c r="CIX45" s="1181"/>
      <c r="CIY45" s="1181"/>
      <c r="CIZ45" s="1181"/>
      <c r="CJA45" s="1181"/>
      <c r="CJB45" s="1181"/>
      <c r="CJC45" s="1181"/>
      <c r="CJD45" s="1181"/>
      <c r="CJE45" s="1181"/>
      <c r="CJF45" s="1181"/>
      <c r="CJG45" s="1181"/>
      <c r="CJH45" s="1181"/>
      <c r="CJI45" s="1181"/>
      <c r="CJJ45" s="1181"/>
      <c r="CJK45" s="1181"/>
      <c r="CJL45" s="1181"/>
      <c r="CJM45" s="1181"/>
      <c r="CJN45" s="1181"/>
      <c r="CJO45" s="1181"/>
      <c r="CJP45" s="1181"/>
      <c r="CJQ45" s="1181"/>
      <c r="CJR45" s="1181"/>
      <c r="CJS45" s="1181"/>
      <c r="CJT45" s="1181"/>
      <c r="CJU45" s="1181"/>
      <c r="CJV45" s="1181"/>
      <c r="CJW45" s="1181"/>
      <c r="CJX45" s="1181"/>
      <c r="CJY45" s="1181"/>
      <c r="CJZ45" s="1181"/>
      <c r="CKA45" s="1181"/>
      <c r="CKB45" s="1181"/>
      <c r="CKC45" s="1181"/>
      <c r="CKD45" s="1181"/>
      <c r="CKE45" s="1181"/>
      <c r="CKF45" s="1181"/>
      <c r="CKG45" s="1181"/>
      <c r="CKH45" s="1181"/>
      <c r="CKI45" s="1181"/>
      <c r="CKJ45" s="1181"/>
      <c r="CKK45" s="1181"/>
      <c r="CKL45" s="1181"/>
      <c r="CKM45" s="1181"/>
      <c r="CKN45" s="1181"/>
      <c r="CKO45" s="1181"/>
      <c r="CKP45" s="1181"/>
      <c r="CKQ45" s="1181"/>
      <c r="CKR45" s="1181"/>
      <c r="CKS45" s="1181"/>
      <c r="CKT45" s="1181"/>
      <c r="CKU45" s="1181"/>
      <c r="CKV45" s="1181"/>
      <c r="CKW45" s="1181"/>
      <c r="CKX45" s="1181"/>
      <c r="CKY45" s="1181"/>
      <c r="CKZ45" s="1181"/>
      <c r="CLA45" s="1181"/>
      <c r="CLB45" s="1181"/>
      <c r="CLC45" s="1181"/>
      <c r="CLD45" s="1181"/>
      <c r="CLE45" s="1181"/>
      <c r="CLF45" s="1181"/>
      <c r="CLG45" s="1181"/>
      <c r="CLH45" s="1181"/>
      <c r="CLI45" s="1181"/>
      <c r="CLJ45" s="1181"/>
      <c r="CLK45" s="1181"/>
      <c r="CLL45" s="1181"/>
      <c r="CLM45" s="1181"/>
      <c r="CLN45" s="1181"/>
      <c r="CLO45" s="1181"/>
      <c r="CLP45" s="1181"/>
      <c r="CLQ45" s="1181"/>
      <c r="CLR45" s="1181"/>
      <c r="CLS45" s="1181"/>
      <c r="CLT45" s="1181"/>
      <c r="CLU45" s="1181"/>
      <c r="CLV45" s="1181"/>
      <c r="CLW45" s="1181"/>
      <c r="CLX45" s="1181"/>
      <c r="CLY45" s="1181"/>
      <c r="CLZ45" s="1181"/>
      <c r="CMA45" s="1181"/>
      <c r="CMB45" s="1181"/>
      <c r="CMC45" s="1181"/>
      <c r="CMD45" s="1181"/>
      <c r="CME45" s="1181"/>
      <c r="CMF45" s="1181"/>
      <c r="CMG45" s="1181"/>
      <c r="CMH45" s="1181"/>
      <c r="CMI45" s="1181"/>
      <c r="CMJ45" s="1181"/>
      <c r="CMK45" s="1181"/>
      <c r="CML45" s="1181"/>
      <c r="CMM45" s="1181"/>
      <c r="CMN45" s="1181"/>
      <c r="CMO45" s="1181"/>
      <c r="CMP45" s="1181"/>
      <c r="CMQ45" s="1181"/>
      <c r="CMR45" s="1181"/>
      <c r="CMS45" s="1181"/>
      <c r="CMT45" s="1181"/>
      <c r="CMU45" s="1181"/>
      <c r="CMV45" s="1181"/>
      <c r="CMW45" s="1181"/>
      <c r="CMX45" s="1181"/>
      <c r="CMY45" s="1181"/>
      <c r="CMZ45" s="1181"/>
      <c r="CNA45" s="1181"/>
      <c r="CNB45" s="1181"/>
      <c r="CNC45" s="1181"/>
      <c r="CND45" s="1181"/>
      <c r="CNE45" s="1181"/>
      <c r="CNF45" s="1181"/>
      <c r="CNG45" s="1181"/>
      <c r="CNH45" s="1181"/>
      <c r="CNI45" s="1181"/>
      <c r="CNJ45" s="1181"/>
      <c r="CNK45" s="1181"/>
      <c r="CNL45" s="1181"/>
      <c r="CNM45" s="1181"/>
      <c r="CNN45" s="1181"/>
      <c r="CNO45" s="1181"/>
      <c r="CNP45" s="1181"/>
      <c r="CNQ45" s="1181"/>
      <c r="CNR45" s="1181"/>
      <c r="CNS45" s="1181"/>
      <c r="CNT45" s="1181"/>
      <c r="CNU45" s="1181"/>
      <c r="CNV45" s="1181"/>
      <c r="CNW45" s="1181"/>
      <c r="CNX45" s="1181"/>
      <c r="CNY45" s="1181"/>
      <c r="CNZ45" s="1181"/>
      <c r="COA45" s="1181"/>
      <c r="COB45" s="1181"/>
      <c r="COC45" s="1181"/>
      <c r="COD45" s="1181"/>
      <c r="COE45" s="1181"/>
      <c r="COF45" s="1181"/>
      <c r="COG45" s="1181"/>
      <c r="COH45" s="1181"/>
      <c r="COI45" s="1181"/>
      <c r="COJ45" s="1181"/>
      <c r="COK45" s="1181"/>
      <c r="COL45" s="1181"/>
      <c r="COM45" s="1181"/>
      <c r="CON45" s="1181"/>
      <c r="COO45" s="1181"/>
      <c r="COP45" s="1181"/>
      <c r="COQ45" s="1181"/>
      <c r="COR45" s="1181"/>
      <c r="COS45" s="1181"/>
      <c r="COT45" s="1181"/>
      <c r="COU45" s="1181"/>
      <c r="COV45" s="1181"/>
      <c r="COW45" s="1181"/>
      <c r="COX45" s="1181"/>
      <c r="COY45" s="1181"/>
      <c r="COZ45" s="1181"/>
      <c r="CPA45" s="1181"/>
      <c r="CPB45" s="1181"/>
      <c r="CPC45" s="1181"/>
      <c r="CPD45" s="1181"/>
      <c r="CPE45" s="1181"/>
      <c r="CPF45" s="1181"/>
      <c r="CPG45" s="1181"/>
      <c r="CPH45" s="1181"/>
      <c r="CPI45" s="1181"/>
      <c r="CPJ45" s="1181"/>
      <c r="CPK45" s="1181"/>
      <c r="CPL45" s="1181"/>
      <c r="CPM45" s="1181"/>
      <c r="CPN45" s="1181"/>
      <c r="CPO45" s="1181"/>
      <c r="CPP45" s="1181"/>
      <c r="CPQ45" s="1181"/>
      <c r="CPR45" s="1181"/>
      <c r="CPS45" s="1181"/>
      <c r="CPT45" s="1181"/>
      <c r="CPU45" s="1181"/>
      <c r="CPV45" s="1181"/>
      <c r="CPW45" s="1181"/>
      <c r="CPX45" s="1181"/>
      <c r="CPY45" s="1181"/>
      <c r="CPZ45" s="1181"/>
      <c r="CQA45" s="1181"/>
      <c r="CQB45" s="1181"/>
      <c r="CQC45" s="1181"/>
      <c r="CQD45" s="1181"/>
      <c r="CQE45" s="1181"/>
      <c r="CQF45" s="1181"/>
      <c r="CQG45" s="1181"/>
      <c r="CQH45" s="1181"/>
      <c r="CQI45" s="1181"/>
      <c r="CQJ45" s="1181"/>
      <c r="CQK45" s="1181"/>
      <c r="CQL45" s="1181"/>
      <c r="CQM45" s="1181"/>
      <c r="CQN45" s="1181"/>
      <c r="CQO45" s="1181"/>
      <c r="CQP45" s="1181"/>
      <c r="CQQ45" s="1181"/>
      <c r="CQR45" s="1181"/>
      <c r="CQS45" s="1181"/>
      <c r="CQT45" s="1181"/>
      <c r="CQU45" s="1181"/>
      <c r="CQV45" s="1181"/>
      <c r="CQW45" s="1181"/>
      <c r="CQX45" s="1181"/>
      <c r="CQY45" s="1181"/>
      <c r="CQZ45" s="1181"/>
      <c r="CRA45" s="1181"/>
      <c r="CRB45" s="1181"/>
      <c r="CRC45" s="1181"/>
      <c r="CRD45" s="1181"/>
      <c r="CRE45" s="1181"/>
      <c r="CRF45" s="1181"/>
      <c r="CRG45" s="1181"/>
      <c r="CRH45" s="1181"/>
      <c r="CRI45" s="1181"/>
      <c r="CRJ45" s="1181"/>
      <c r="CRK45" s="1181"/>
      <c r="CRL45" s="1181"/>
      <c r="CRM45" s="1181"/>
      <c r="CRN45" s="1181"/>
      <c r="CRO45" s="1181"/>
      <c r="CRP45" s="1181"/>
      <c r="CRQ45" s="1181"/>
      <c r="CRR45" s="1181"/>
      <c r="CRS45" s="1181"/>
      <c r="CRT45" s="1181"/>
      <c r="CRU45" s="1181"/>
      <c r="CRV45" s="1181"/>
      <c r="CRW45" s="1181"/>
      <c r="CRX45" s="1181"/>
      <c r="CRY45" s="1181"/>
      <c r="CRZ45" s="1181"/>
      <c r="CSA45" s="1181"/>
      <c r="CSB45" s="1181"/>
      <c r="CSC45" s="1181"/>
      <c r="CSD45" s="1181"/>
      <c r="CSE45" s="1181"/>
      <c r="CSF45" s="1181"/>
      <c r="CSG45" s="1181"/>
      <c r="CSH45" s="1181"/>
      <c r="CSI45" s="1181"/>
      <c r="CSJ45" s="1181"/>
      <c r="CSK45" s="1181"/>
      <c r="CSL45" s="1181"/>
      <c r="CSM45" s="1181"/>
      <c r="CSN45" s="1181"/>
      <c r="CSO45" s="1181"/>
      <c r="CSP45" s="1181"/>
      <c r="CSQ45" s="1181"/>
      <c r="CSR45" s="1181"/>
      <c r="CSS45" s="1181"/>
      <c r="CST45" s="1181"/>
      <c r="CSU45" s="1181"/>
      <c r="CSV45" s="1181"/>
      <c r="CSW45" s="1181"/>
      <c r="CSX45" s="1181"/>
      <c r="CSY45" s="1181"/>
      <c r="CSZ45" s="1181"/>
      <c r="CTA45" s="1181"/>
      <c r="CTB45" s="1181"/>
      <c r="CTC45" s="1181"/>
      <c r="CTD45" s="1181"/>
      <c r="CTE45" s="1181"/>
      <c r="CTF45" s="1181"/>
      <c r="CTG45" s="1181"/>
      <c r="CTH45" s="1181"/>
      <c r="CTI45" s="1181"/>
      <c r="CTJ45" s="1181"/>
      <c r="CTK45" s="1181"/>
      <c r="CTL45" s="1181"/>
      <c r="CTM45" s="1181"/>
      <c r="CTN45" s="1181"/>
      <c r="CTO45" s="1181"/>
      <c r="CTP45" s="1181"/>
      <c r="CTQ45" s="1181"/>
      <c r="CTR45" s="1181"/>
      <c r="CTS45" s="1181"/>
      <c r="CTT45" s="1181"/>
      <c r="CTU45" s="1181"/>
      <c r="CTV45" s="1181"/>
      <c r="CTW45" s="1181"/>
      <c r="CTX45" s="1181"/>
      <c r="CTY45" s="1181"/>
      <c r="CTZ45" s="1181"/>
      <c r="CUA45" s="1181"/>
      <c r="CUB45" s="1181"/>
      <c r="CUC45" s="1181"/>
      <c r="CUD45" s="1181"/>
      <c r="CUE45" s="1181"/>
      <c r="CUF45" s="1181"/>
      <c r="CUG45" s="1181"/>
      <c r="CUH45" s="1181"/>
      <c r="CUI45" s="1181"/>
      <c r="CUJ45" s="1181"/>
      <c r="CUK45" s="1181"/>
      <c r="CUL45" s="1181"/>
      <c r="CUM45" s="1181"/>
      <c r="CUN45" s="1181"/>
      <c r="CUO45" s="1181"/>
      <c r="CUP45" s="1181"/>
      <c r="CUQ45" s="1181"/>
      <c r="CUR45" s="1181"/>
      <c r="CUS45" s="1181"/>
      <c r="CUT45" s="1181"/>
      <c r="CUU45" s="1181"/>
      <c r="CUV45" s="1181"/>
      <c r="CUW45" s="1181"/>
      <c r="CUX45" s="1181"/>
      <c r="CUY45" s="1181"/>
      <c r="CUZ45" s="1181"/>
      <c r="CVA45" s="1181"/>
      <c r="CVB45" s="1181"/>
      <c r="CVC45" s="1181"/>
      <c r="CVD45" s="1181"/>
      <c r="CVE45" s="1181"/>
      <c r="CVF45" s="1181"/>
      <c r="CVG45" s="1181"/>
      <c r="CVH45" s="1181"/>
      <c r="CVI45" s="1181"/>
      <c r="CVJ45" s="1181"/>
      <c r="CVK45" s="1181"/>
      <c r="CVL45" s="1181"/>
      <c r="CVM45" s="1181"/>
      <c r="CVN45" s="1181"/>
      <c r="CVO45" s="1181"/>
      <c r="CVP45" s="1181"/>
      <c r="CVQ45" s="1181"/>
      <c r="CVR45" s="1181"/>
      <c r="CVS45" s="1181"/>
      <c r="CVT45" s="1181"/>
      <c r="CVU45" s="1181"/>
      <c r="CVV45" s="1181"/>
      <c r="CVW45" s="1181"/>
      <c r="CVX45" s="1181"/>
      <c r="CVY45" s="1181"/>
      <c r="CVZ45" s="1181"/>
      <c r="CWA45" s="1181"/>
      <c r="CWB45" s="1181"/>
      <c r="CWC45" s="1181"/>
      <c r="CWD45" s="1181"/>
      <c r="CWE45" s="1181"/>
      <c r="CWF45" s="1181"/>
      <c r="CWG45" s="1181"/>
      <c r="CWH45" s="1181"/>
      <c r="CWI45" s="1181"/>
      <c r="CWJ45" s="1181"/>
      <c r="CWK45" s="1181"/>
      <c r="CWL45" s="1181"/>
      <c r="CWM45" s="1181"/>
      <c r="CWN45" s="1181"/>
      <c r="CWO45" s="1181"/>
      <c r="CWP45" s="1181"/>
      <c r="CWQ45" s="1181"/>
      <c r="CWR45" s="1181"/>
      <c r="CWS45" s="1181"/>
      <c r="CWT45" s="1181"/>
      <c r="CWU45" s="1181"/>
      <c r="CWV45" s="1181"/>
      <c r="CWW45" s="1181"/>
      <c r="CWX45" s="1181"/>
      <c r="CWY45" s="1181"/>
      <c r="CWZ45" s="1181"/>
      <c r="CXA45" s="1181"/>
      <c r="CXB45" s="1181"/>
      <c r="CXC45" s="1181"/>
      <c r="CXD45" s="1181"/>
      <c r="CXE45" s="1181"/>
      <c r="CXF45" s="1181"/>
      <c r="CXG45" s="1181"/>
      <c r="CXH45" s="1181"/>
      <c r="CXI45" s="1181"/>
      <c r="CXJ45" s="1181"/>
      <c r="CXK45" s="1181"/>
      <c r="CXL45" s="1181"/>
      <c r="CXM45" s="1181"/>
      <c r="CXN45" s="1181"/>
      <c r="CXO45" s="1181"/>
      <c r="CXP45" s="1181"/>
      <c r="CXQ45" s="1181"/>
      <c r="CXR45" s="1181"/>
      <c r="CXS45" s="1181"/>
      <c r="CXT45" s="1181"/>
      <c r="CXU45" s="1181"/>
      <c r="CXV45" s="1181"/>
      <c r="CXW45" s="1181"/>
      <c r="CXX45" s="1181"/>
      <c r="CXY45" s="1181"/>
      <c r="CXZ45" s="1181"/>
      <c r="CYA45" s="1181"/>
      <c r="CYB45" s="1181"/>
      <c r="CYC45" s="1181"/>
      <c r="CYD45" s="1181"/>
      <c r="CYE45" s="1181"/>
      <c r="CYF45" s="1181"/>
      <c r="CYG45" s="1181"/>
      <c r="CYH45" s="1181"/>
      <c r="CYI45" s="1181"/>
      <c r="CYJ45" s="1181"/>
      <c r="CYK45" s="1181"/>
      <c r="CYL45" s="1181"/>
      <c r="CYM45" s="1181"/>
      <c r="CYN45" s="1181"/>
      <c r="CYO45" s="1181"/>
      <c r="CYP45" s="1181"/>
      <c r="CYQ45" s="1181"/>
      <c r="CYR45" s="1181"/>
      <c r="CYS45" s="1181"/>
      <c r="CYT45" s="1181"/>
      <c r="CYU45" s="1181"/>
      <c r="CYV45" s="1181"/>
      <c r="CYW45" s="1181"/>
      <c r="CYX45" s="1181"/>
      <c r="CYY45" s="1181"/>
      <c r="CYZ45" s="1181"/>
      <c r="CZA45" s="1181"/>
      <c r="CZB45" s="1181"/>
      <c r="CZC45" s="1181"/>
      <c r="CZD45" s="1181"/>
      <c r="CZE45" s="1181"/>
      <c r="CZF45" s="1181"/>
      <c r="CZG45" s="1181"/>
      <c r="CZH45" s="1181"/>
      <c r="CZI45" s="1181"/>
      <c r="CZJ45" s="1181"/>
      <c r="CZK45" s="1181"/>
      <c r="CZL45" s="1181"/>
      <c r="CZM45" s="1181"/>
      <c r="CZN45" s="1181"/>
      <c r="CZO45" s="1181"/>
      <c r="CZP45" s="1181"/>
      <c r="CZQ45" s="1181"/>
      <c r="CZR45" s="1181"/>
      <c r="CZS45" s="1181"/>
      <c r="CZT45" s="1181"/>
      <c r="CZU45" s="1181"/>
      <c r="CZV45" s="1181"/>
      <c r="CZW45" s="1181"/>
      <c r="CZX45" s="1181"/>
      <c r="CZY45" s="1181"/>
      <c r="CZZ45" s="1181"/>
      <c r="DAA45" s="1181"/>
      <c r="DAB45" s="1181"/>
      <c r="DAC45" s="1181"/>
      <c r="DAD45" s="1181"/>
      <c r="DAE45" s="1181"/>
      <c r="DAF45" s="1181"/>
      <c r="DAG45" s="1181"/>
      <c r="DAH45" s="1181"/>
      <c r="DAI45" s="1181"/>
      <c r="DAJ45" s="1181"/>
      <c r="DAK45" s="1181"/>
      <c r="DAL45" s="1181"/>
      <c r="DAM45" s="1181"/>
      <c r="DAN45" s="1181"/>
      <c r="DAO45" s="1181"/>
      <c r="DAP45" s="1181"/>
      <c r="DAQ45" s="1181"/>
      <c r="DAR45" s="1181"/>
      <c r="DAS45" s="1181"/>
      <c r="DAT45" s="1181"/>
      <c r="DAU45" s="1181"/>
      <c r="DAV45" s="1181"/>
      <c r="DAW45" s="1181"/>
      <c r="DAX45" s="1181"/>
      <c r="DAY45" s="1181"/>
      <c r="DAZ45" s="1181"/>
      <c r="DBA45" s="1181"/>
      <c r="DBB45" s="1181"/>
      <c r="DBC45" s="1181"/>
      <c r="DBD45" s="1181"/>
      <c r="DBE45" s="1181"/>
      <c r="DBF45" s="1181"/>
      <c r="DBG45" s="1181"/>
      <c r="DBH45" s="1181"/>
      <c r="DBI45" s="1181"/>
      <c r="DBJ45" s="1181"/>
      <c r="DBK45" s="1181"/>
      <c r="DBL45" s="1181"/>
      <c r="DBM45" s="1181"/>
      <c r="DBN45" s="1181"/>
      <c r="DBO45" s="1181"/>
      <c r="DBP45" s="1181"/>
      <c r="DBQ45" s="1181"/>
      <c r="DBR45" s="1181"/>
      <c r="DBS45" s="1181"/>
      <c r="DBT45" s="1181"/>
      <c r="DBU45" s="1181"/>
      <c r="DBV45" s="1181"/>
      <c r="DBW45" s="1181"/>
      <c r="DBX45" s="1181"/>
      <c r="DBY45" s="1181"/>
      <c r="DBZ45" s="1181"/>
      <c r="DCA45" s="1181"/>
      <c r="DCB45" s="1181"/>
      <c r="DCC45" s="1181"/>
      <c r="DCD45" s="1181"/>
      <c r="DCE45" s="1181"/>
      <c r="DCF45" s="1181"/>
      <c r="DCG45" s="1181"/>
      <c r="DCH45" s="1181"/>
      <c r="DCI45" s="1181"/>
      <c r="DCJ45" s="1181"/>
      <c r="DCK45" s="1181"/>
      <c r="DCL45" s="1181"/>
      <c r="DCM45" s="1181"/>
      <c r="DCN45" s="1181"/>
      <c r="DCO45" s="1181"/>
      <c r="DCP45" s="1181"/>
      <c r="DCQ45" s="1181"/>
      <c r="DCR45" s="1181"/>
      <c r="DCS45" s="1181"/>
      <c r="DCT45" s="1181"/>
      <c r="DCU45" s="1181"/>
      <c r="DCV45" s="1181"/>
      <c r="DCW45" s="1181"/>
      <c r="DCX45" s="1181"/>
      <c r="DCY45" s="1181"/>
      <c r="DCZ45" s="1181"/>
      <c r="DDA45" s="1181"/>
      <c r="DDB45" s="1181"/>
      <c r="DDC45" s="1181"/>
      <c r="DDD45" s="1181"/>
      <c r="DDE45" s="1181"/>
      <c r="DDF45" s="1181"/>
      <c r="DDG45" s="1181"/>
      <c r="DDH45" s="1181"/>
      <c r="DDI45" s="1181"/>
      <c r="DDJ45" s="1181"/>
      <c r="DDK45" s="1181"/>
      <c r="DDL45" s="1181"/>
      <c r="DDM45" s="1181"/>
      <c r="DDN45" s="1181"/>
      <c r="DDO45" s="1181"/>
      <c r="DDP45" s="1181"/>
      <c r="DDQ45" s="1181"/>
      <c r="DDR45" s="1181"/>
      <c r="DDS45" s="1181"/>
      <c r="DDT45" s="1181"/>
      <c r="DDU45" s="1181"/>
      <c r="DDV45" s="1181"/>
      <c r="DDW45" s="1181"/>
      <c r="DDX45" s="1181"/>
      <c r="DDY45" s="1181"/>
      <c r="DDZ45" s="1181"/>
      <c r="DEA45" s="1181"/>
      <c r="DEB45" s="1181"/>
      <c r="DEC45" s="1181"/>
      <c r="DED45" s="1181"/>
      <c r="DEE45" s="1181"/>
      <c r="DEF45" s="1181"/>
      <c r="DEG45" s="1181"/>
      <c r="DEH45" s="1181"/>
      <c r="DEI45" s="1181"/>
      <c r="DEJ45" s="1181"/>
      <c r="DEK45" s="1181"/>
      <c r="DEL45" s="1181"/>
      <c r="DEM45" s="1181"/>
      <c r="DEN45" s="1181"/>
      <c r="DEO45" s="1181"/>
      <c r="DEP45" s="1181"/>
      <c r="DEQ45" s="1181"/>
      <c r="DER45" s="1181"/>
      <c r="DES45" s="1181"/>
      <c r="DET45" s="1181"/>
      <c r="DEU45" s="1181"/>
      <c r="DEV45" s="1181"/>
      <c r="DEW45" s="1181"/>
      <c r="DEX45" s="1181"/>
      <c r="DEY45" s="1181"/>
      <c r="DEZ45" s="1181"/>
      <c r="DFA45" s="1181"/>
      <c r="DFB45" s="1181"/>
      <c r="DFC45" s="1181"/>
      <c r="DFD45" s="1181"/>
      <c r="DFE45" s="1181"/>
      <c r="DFF45" s="1181"/>
      <c r="DFG45" s="1181"/>
      <c r="DFH45" s="1181"/>
      <c r="DFI45" s="1181"/>
      <c r="DFJ45" s="1181"/>
      <c r="DFK45" s="1181"/>
      <c r="DFL45" s="1181"/>
      <c r="DFM45" s="1181"/>
      <c r="DFN45" s="1181"/>
      <c r="DFO45" s="1181"/>
      <c r="DFP45" s="1181"/>
      <c r="DFQ45" s="1181"/>
      <c r="DFR45" s="1181"/>
      <c r="DFS45" s="1181"/>
      <c r="DFT45" s="1181"/>
      <c r="DFU45" s="1181"/>
      <c r="DFV45" s="1181"/>
      <c r="DFW45" s="1181"/>
      <c r="DFX45" s="1181"/>
      <c r="DFY45" s="1181"/>
      <c r="DFZ45" s="1181"/>
      <c r="DGA45" s="1181"/>
      <c r="DGB45" s="1181"/>
      <c r="DGC45" s="1181"/>
      <c r="DGD45" s="1181"/>
      <c r="DGE45" s="1181"/>
      <c r="DGF45" s="1181"/>
      <c r="DGG45" s="1181"/>
      <c r="DGH45" s="1181"/>
      <c r="DGI45" s="1181"/>
      <c r="DGJ45" s="1181"/>
      <c r="DGK45" s="1181"/>
      <c r="DGL45" s="1181"/>
      <c r="DGM45" s="1181"/>
      <c r="DGN45" s="1181"/>
      <c r="DGO45" s="1181"/>
      <c r="DGP45" s="1181"/>
      <c r="DGQ45" s="1181"/>
      <c r="DGR45" s="1181"/>
      <c r="DGS45" s="1181"/>
      <c r="DGT45" s="1181"/>
      <c r="DGU45" s="1181"/>
      <c r="DGV45" s="1181"/>
      <c r="DGW45" s="1181"/>
      <c r="DGX45" s="1181"/>
      <c r="DGY45" s="1181"/>
      <c r="DGZ45" s="1181"/>
      <c r="DHA45" s="1181"/>
      <c r="DHB45" s="1181"/>
      <c r="DHC45" s="1181"/>
      <c r="DHD45" s="1181"/>
      <c r="DHE45" s="1181"/>
      <c r="DHF45" s="1181"/>
      <c r="DHG45" s="1181"/>
      <c r="DHH45" s="1181"/>
      <c r="DHI45" s="1181"/>
      <c r="DHJ45" s="1181"/>
      <c r="DHK45" s="1181"/>
      <c r="DHL45" s="1181"/>
      <c r="DHM45" s="1181"/>
      <c r="DHN45" s="1181"/>
      <c r="DHO45" s="1181"/>
      <c r="DHP45" s="1181"/>
      <c r="DHQ45" s="1181"/>
      <c r="DHR45" s="1181"/>
      <c r="DHS45" s="1181"/>
      <c r="DHT45" s="1181"/>
      <c r="DHU45" s="1181"/>
      <c r="DHV45" s="1181"/>
      <c r="DHW45" s="1181"/>
      <c r="DHX45" s="1181"/>
      <c r="DHY45" s="1181"/>
      <c r="DHZ45" s="1181"/>
      <c r="DIA45" s="1181"/>
      <c r="DIB45" s="1181"/>
      <c r="DIC45" s="1181"/>
      <c r="DID45" s="1181"/>
      <c r="DIE45" s="1181"/>
      <c r="DIF45" s="1181"/>
      <c r="DIG45" s="1181"/>
      <c r="DIH45" s="1181"/>
      <c r="DII45" s="1181"/>
      <c r="DIJ45" s="1181"/>
      <c r="DIK45" s="1181"/>
      <c r="DIL45" s="1181"/>
      <c r="DIM45" s="1181"/>
      <c r="DIN45" s="1181"/>
      <c r="DIO45" s="1181"/>
      <c r="DIP45" s="1181"/>
      <c r="DIQ45" s="1181"/>
      <c r="DIR45" s="1181"/>
      <c r="DIS45" s="1181"/>
      <c r="DIT45" s="1181"/>
      <c r="DIU45" s="1181"/>
      <c r="DIV45" s="1181"/>
      <c r="DIW45" s="1181"/>
      <c r="DIX45" s="1181"/>
      <c r="DIY45" s="1181"/>
      <c r="DIZ45" s="1181"/>
      <c r="DJA45" s="1181"/>
      <c r="DJB45" s="1181"/>
      <c r="DJC45" s="1181"/>
      <c r="DJD45" s="1181"/>
      <c r="DJE45" s="1181"/>
      <c r="DJF45" s="1181"/>
      <c r="DJG45" s="1181"/>
      <c r="DJH45" s="1181"/>
      <c r="DJI45" s="1181"/>
      <c r="DJJ45" s="1181"/>
      <c r="DJK45" s="1181"/>
      <c r="DJL45" s="1181"/>
      <c r="DJM45" s="1181"/>
      <c r="DJN45" s="1181"/>
      <c r="DJO45" s="1181"/>
      <c r="DJP45" s="1181"/>
      <c r="DJQ45" s="1181"/>
      <c r="DJR45" s="1181"/>
      <c r="DJS45" s="1181"/>
      <c r="DJT45" s="1181"/>
      <c r="DJU45" s="1181"/>
      <c r="DJV45" s="1181"/>
      <c r="DJW45" s="1181"/>
      <c r="DJX45" s="1181"/>
      <c r="DJY45" s="1181"/>
      <c r="DJZ45" s="1181"/>
      <c r="DKA45" s="1181"/>
      <c r="DKB45" s="1181"/>
      <c r="DKC45" s="1181"/>
      <c r="DKD45" s="1181"/>
      <c r="DKE45" s="1181"/>
      <c r="DKF45" s="1181"/>
      <c r="DKG45" s="1181"/>
      <c r="DKH45" s="1181"/>
      <c r="DKI45" s="1181"/>
      <c r="DKJ45" s="1181"/>
      <c r="DKK45" s="1181"/>
      <c r="DKL45" s="1181"/>
      <c r="DKM45" s="1181"/>
      <c r="DKN45" s="1181"/>
      <c r="DKO45" s="1181"/>
      <c r="DKP45" s="1181"/>
      <c r="DKQ45" s="1181"/>
      <c r="DKR45" s="1181"/>
      <c r="DKS45" s="1181"/>
      <c r="DKT45" s="1181"/>
      <c r="DKU45" s="1181"/>
      <c r="DKV45" s="1181"/>
      <c r="DKW45" s="1181"/>
      <c r="DKX45" s="1181"/>
      <c r="DKY45" s="1181"/>
      <c r="DKZ45" s="1181"/>
      <c r="DLA45" s="1181"/>
      <c r="DLB45" s="1181"/>
      <c r="DLC45" s="1181"/>
      <c r="DLD45" s="1181"/>
      <c r="DLE45" s="1181"/>
      <c r="DLF45" s="1181"/>
      <c r="DLG45" s="1181"/>
      <c r="DLH45" s="1181"/>
      <c r="DLI45" s="1181"/>
      <c r="DLJ45" s="1181"/>
      <c r="DLK45" s="1181"/>
      <c r="DLL45" s="1181"/>
      <c r="DLM45" s="1181"/>
      <c r="DLN45" s="1181"/>
      <c r="DLO45" s="1181"/>
      <c r="DLP45" s="1181"/>
      <c r="DLQ45" s="1181"/>
      <c r="DLR45" s="1181"/>
      <c r="DLS45" s="1181"/>
      <c r="DLT45" s="1181"/>
      <c r="DLU45" s="1181"/>
      <c r="DLV45" s="1181"/>
      <c r="DLW45" s="1181"/>
      <c r="DLX45" s="1181"/>
      <c r="DLY45" s="1181"/>
      <c r="DLZ45" s="1181"/>
      <c r="DMA45" s="1181"/>
      <c r="DMB45" s="1181"/>
      <c r="DMC45" s="1181"/>
      <c r="DMD45" s="1181"/>
      <c r="DME45" s="1181"/>
      <c r="DMF45" s="1181"/>
      <c r="DMG45" s="1181"/>
      <c r="DMH45" s="1181"/>
      <c r="DMI45" s="1181"/>
      <c r="DMJ45" s="1181"/>
      <c r="DMK45" s="1181"/>
      <c r="DML45" s="1181"/>
      <c r="DMM45" s="1181"/>
      <c r="DMN45" s="1181"/>
      <c r="DMO45" s="1181"/>
      <c r="DMP45" s="1181"/>
      <c r="DMQ45" s="1181"/>
      <c r="DMR45" s="1181"/>
      <c r="DMS45" s="1181"/>
      <c r="DMT45" s="1181"/>
      <c r="DMU45" s="1181"/>
      <c r="DMV45" s="1181"/>
      <c r="DMW45" s="1181"/>
      <c r="DMX45" s="1181"/>
      <c r="DMY45" s="1181"/>
      <c r="DMZ45" s="1181"/>
      <c r="DNA45" s="1181"/>
      <c r="DNB45" s="1181"/>
      <c r="DNC45" s="1181"/>
      <c r="DND45" s="1181"/>
      <c r="DNE45" s="1181"/>
      <c r="DNF45" s="1181"/>
      <c r="DNG45" s="1181"/>
      <c r="DNH45" s="1181"/>
      <c r="DNI45" s="1181"/>
      <c r="DNJ45" s="1181"/>
      <c r="DNK45" s="1181"/>
      <c r="DNL45" s="1181"/>
      <c r="DNM45" s="1181"/>
      <c r="DNN45" s="1181"/>
      <c r="DNO45" s="1181"/>
      <c r="DNP45" s="1181"/>
      <c r="DNQ45" s="1181"/>
      <c r="DNR45" s="1181"/>
      <c r="DNS45" s="1181"/>
      <c r="DNT45" s="1181"/>
      <c r="DNU45" s="1181"/>
      <c r="DNV45" s="1181"/>
      <c r="DNW45" s="1181"/>
      <c r="DNX45" s="1181"/>
      <c r="DNY45" s="1181"/>
      <c r="DNZ45" s="1181"/>
      <c r="DOA45" s="1181"/>
      <c r="DOB45" s="1181"/>
      <c r="DOC45" s="1181"/>
      <c r="DOD45" s="1181"/>
      <c r="DOE45" s="1181"/>
      <c r="DOF45" s="1181"/>
      <c r="DOG45" s="1181"/>
      <c r="DOH45" s="1181"/>
      <c r="DOI45" s="1181"/>
      <c r="DOJ45" s="1181"/>
      <c r="DOK45" s="1181"/>
      <c r="DOL45" s="1181"/>
      <c r="DOM45" s="1181"/>
      <c r="DON45" s="1181"/>
      <c r="DOO45" s="1181"/>
      <c r="DOP45" s="1181"/>
      <c r="DOQ45" s="1181"/>
      <c r="DOR45" s="1181"/>
      <c r="DOS45" s="1181"/>
      <c r="DOT45" s="1181"/>
      <c r="DOU45" s="1181"/>
      <c r="DOV45" s="1181"/>
      <c r="DOW45" s="1181"/>
      <c r="DOX45" s="1181"/>
      <c r="DOY45" s="1181"/>
      <c r="DOZ45" s="1181"/>
      <c r="DPA45" s="1181"/>
      <c r="DPB45" s="1181"/>
      <c r="DPC45" s="1181"/>
      <c r="DPD45" s="1181"/>
      <c r="DPE45" s="1181"/>
      <c r="DPF45" s="1181"/>
      <c r="DPG45" s="1181"/>
      <c r="DPH45" s="1181"/>
      <c r="DPI45" s="1181"/>
      <c r="DPJ45" s="1181"/>
      <c r="DPK45" s="1181"/>
      <c r="DPL45" s="1181"/>
      <c r="DPM45" s="1181"/>
      <c r="DPN45" s="1181"/>
      <c r="DPO45" s="1181"/>
      <c r="DPP45" s="1181"/>
      <c r="DPQ45" s="1181"/>
      <c r="DPR45" s="1181"/>
      <c r="DPS45" s="1181"/>
      <c r="DPT45" s="1181"/>
      <c r="DPU45" s="1181"/>
      <c r="DPV45" s="1181"/>
      <c r="DPW45" s="1181"/>
      <c r="DPX45" s="1181"/>
      <c r="DPY45" s="1181"/>
      <c r="DPZ45" s="1181"/>
      <c r="DQA45" s="1181"/>
      <c r="DQB45" s="1181"/>
      <c r="DQC45" s="1181"/>
      <c r="DQD45" s="1181"/>
      <c r="DQE45" s="1181"/>
      <c r="DQF45" s="1181"/>
      <c r="DQG45" s="1181"/>
      <c r="DQH45" s="1181"/>
      <c r="DQI45" s="1181"/>
      <c r="DQJ45" s="1181"/>
      <c r="DQK45" s="1181"/>
      <c r="DQL45" s="1181"/>
      <c r="DQM45" s="1181"/>
      <c r="DQN45" s="1181"/>
      <c r="DQO45" s="1181"/>
      <c r="DQP45" s="1181"/>
      <c r="DQQ45" s="1181"/>
      <c r="DQR45" s="1181"/>
      <c r="DQS45" s="1181"/>
      <c r="DQT45" s="1181"/>
      <c r="DQU45" s="1181"/>
      <c r="DQV45" s="1181"/>
      <c r="DQW45" s="1181"/>
      <c r="DQX45" s="1181"/>
      <c r="DQY45" s="1181"/>
      <c r="DQZ45" s="1181"/>
      <c r="DRA45" s="1181"/>
      <c r="DRB45" s="1181"/>
      <c r="DRC45" s="1181"/>
      <c r="DRD45" s="1181"/>
      <c r="DRE45" s="1181"/>
      <c r="DRF45" s="1181"/>
      <c r="DRG45" s="1181"/>
      <c r="DRH45" s="1181"/>
      <c r="DRI45" s="1181"/>
      <c r="DRJ45" s="1181"/>
      <c r="DRK45" s="1181"/>
      <c r="DRL45" s="1181"/>
      <c r="DRM45" s="1181"/>
      <c r="DRN45" s="1181"/>
      <c r="DRO45" s="1181"/>
      <c r="DRP45" s="1181"/>
      <c r="DRQ45" s="1181"/>
      <c r="DRR45" s="1181"/>
      <c r="DRS45" s="1181"/>
      <c r="DRT45" s="1181"/>
      <c r="DRU45" s="1181"/>
      <c r="DRV45" s="1181"/>
      <c r="DRW45" s="1181"/>
      <c r="DRX45" s="1181"/>
      <c r="DRY45" s="1181"/>
      <c r="DRZ45" s="1181"/>
      <c r="DSA45" s="1181"/>
      <c r="DSB45" s="1181"/>
      <c r="DSC45" s="1181"/>
      <c r="DSD45" s="1181"/>
      <c r="DSE45" s="1181"/>
      <c r="DSF45" s="1181"/>
      <c r="DSG45" s="1181"/>
      <c r="DSH45" s="1181"/>
      <c r="DSI45" s="1181"/>
      <c r="DSJ45" s="1181"/>
      <c r="DSK45" s="1181"/>
      <c r="DSL45" s="1181"/>
      <c r="DSM45" s="1181"/>
      <c r="DSN45" s="1181"/>
      <c r="DSO45" s="1181"/>
      <c r="DSP45" s="1181"/>
      <c r="DSQ45" s="1181"/>
      <c r="DSR45" s="1181"/>
      <c r="DSS45" s="1181"/>
      <c r="DST45" s="1181"/>
      <c r="DSU45" s="1181"/>
      <c r="DSV45" s="1181"/>
      <c r="DSW45" s="1181"/>
      <c r="DSX45" s="1181"/>
      <c r="DSY45" s="1181"/>
      <c r="DSZ45" s="1181"/>
      <c r="DTA45" s="1181"/>
      <c r="DTB45" s="1181"/>
      <c r="DTC45" s="1181"/>
      <c r="DTD45" s="1181"/>
      <c r="DTE45" s="1181"/>
      <c r="DTF45" s="1181"/>
      <c r="DTG45" s="1181"/>
      <c r="DTH45" s="1181"/>
      <c r="DTI45" s="1181"/>
      <c r="DTJ45" s="1181"/>
      <c r="DTK45" s="1181"/>
      <c r="DTL45" s="1181"/>
      <c r="DTM45" s="1181"/>
      <c r="DTN45" s="1181"/>
      <c r="DTO45" s="1181"/>
      <c r="DTP45" s="1181"/>
      <c r="DTQ45" s="1181"/>
      <c r="DTR45" s="1181"/>
      <c r="DTS45" s="1181"/>
      <c r="DTT45" s="1181"/>
      <c r="DTU45" s="1181"/>
      <c r="DTV45" s="1181"/>
      <c r="DTW45" s="1181"/>
      <c r="DTX45" s="1181"/>
      <c r="DTY45" s="1181"/>
      <c r="DTZ45" s="1181"/>
      <c r="DUA45" s="1181"/>
      <c r="DUB45" s="1181"/>
      <c r="DUC45" s="1181"/>
      <c r="DUD45" s="1181"/>
      <c r="DUE45" s="1181"/>
      <c r="DUF45" s="1181"/>
      <c r="DUG45" s="1181"/>
      <c r="DUH45" s="1181"/>
      <c r="DUI45" s="1181"/>
      <c r="DUJ45" s="1181"/>
      <c r="DUK45" s="1181"/>
      <c r="DUL45" s="1181"/>
      <c r="DUM45" s="1181"/>
      <c r="DUN45" s="1181"/>
      <c r="DUO45" s="1181"/>
      <c r="DUP45" s="1181"/>
      <c r="DUQ45" s="1181"/>
      <c r="DUR45" s="1181"/>
      <c r="DUS45" s="1181"/>
      <c r="DUT45" s="1181"/>
      <c r="DUU45" s="1181"/>
      <c r="DUV45" s="1181"/>
      <c r="DUW45" s="1181"/>
      <c r="DUX45" s="1181"/>
      <c r="DUY45" s="1181"/>
      <c r="DUZ45" s="1181"/>
      <c r="DVA45" s="1181"/>
      <c r="DVB45" s="1181"/>
      <c r="DVC45" s="1181"/>
      <c r="DVD45" s="1181"/>
      <c r="DVE45" s="1181"/>
      <c r="DVF45" s="1181"/>
      <c r="DVG45" s="1181"/>
      <c r="DVH45" s="1181"/>
      <c r="DVI45" s="1181"/>
      <c r="DVJ45" s="1181"/>
      <c r="DVK45" s="1181"/>
      <c r="DVL45" s="1181"/>
      <c r="DVM45" s="1181"/>
      <c r="DVN45" s="1181"/>
      <c r="DVO45" s="1181"/>
      <c r="DVP45" s="1181"/>
      <c r="DVQ45" s="1181"/>
      <c r="DVR45" s="1181"/>
      <c r="DVS45" s="1181"/>
      <c r="DVT45" s="1181"/>
      <c r="DVU45" s="1181"/>
      <c r="DVV45" s="1181"/>
      <c r="DVW45" s="1181"/>
      <c r="DVX45" s="1181"/>
      <c r="DVY45" s="1181"/>
      <c r="DVZ45" s="1181"/>
      <c r="DWA45" s="1181"/>
      <c r="DWB45" s="1181"/>
      <c r="DWC45" s="1181"/>
      <c r="DWD45" s="1181"/>
      <c r="DWE45" s="1181"/>
      <c r="DWF45" s="1181"/>
      <c r="DWG45" s="1181"/>
      <c r="DWH45" s="1181"/>
      <c r="DWI45" s="1181"/>
      <c r="DWJ45" s="1181"/>
      <c r="DWK45" s="1181"/>
      <c r="DWL45" s="1181"/>
      <c r="DWM45" s="1181"/>
      <c r="DWN45" s="1181"/>
      <c r="DWO45" s="1181"/>
      <c r="DWP45" s="1181"/>
      <c r="DWQ45" s="1181"/>
      <c r="DWR45" s="1181"/>
      <c r="DWS45" s="1181"/>
      <c r="DWT45" s="1181"/>
      <c r="DWU45" s="1181"/>
      <c r="DWV45" s="1181"/>
      <c r="DWW45" s="1181"/>
      <c r="DWX45" s="1181"/>
      <c r="DWY45" s="1181"/>
      <c r="DWZ45" s="1181"/>
      <c r="DXA45" s="1181"/>
      <c r="DXB45" s="1181"/>
      <c r="DXC45" s="1181"/>
      <c r="DXD45" s="1181"/>
      <c r="DXE45" s="1181"/>
      <c r="DXF45" s="1181"/>
      <c r="DXG45" s="1181"/>
      <c r="DXH45" s="1181"/>
      <c r="DXI45" s="1181"/>
      <c r="DXJ45" s="1181"/>
      <c r="DXK45" s="1181"/>
      <c r="DXL45" s="1181"/>
      <c r="DXM45" s="1181"/>
      <c r="DXN45" s="1181"/>
      <c r="DXO45" s="1181"/>
      <c r="DXP45" s="1181"/>
      <c r="DXQ45" s="1181"/>
      <c r="DXR45" s="1181"/>
      <c r="DXS45" s="1181"/>
      <c r="DXT45" s="1181"/>
      <c r="DXU45" s="1181"/>
      <c r="DXV45" s="1181"/>
      <c r="DXW45" s="1181"/>
      <c r="DXX45" s="1181"/>
      <c r="DXY45" s="1181"/>
      <c r="DXZ45" s="1181"/>
      <c r="DYA45" s="1181"/>
      <c r="DYB45" s="1181"/>
      <c r="DYC45" s="1181"/>
      <c r="DYD45" s="1181"/>
      <c r="DYE45" s="1181"/>
      <c r="DYF45" s="1181"/>
      <c r="DYG45" s="1181"/>
      <c r="DYH45" s="1181"/>
      <c r="DYI45" s="1181"/>
      <c r="DYJ45" s="1181"/>
      <c r="DYK45" s="1181"/>
      <c r="DYL45" s="1181"/>
      <c r="DYM45" s="1181"/>
      <c r="DYN45" s="1181"/>
      <c r="DYO45" s="1181"/>
      <c r="DYP45" s="1181"/>
      <c r="DYQ45" s="1181"/>
      <c r="DYR45" s="1181"/>
      <c r="DYS45" s="1181"/>
      <c r="DYT45" s="1181"/>
      <c r="DYU45" s="1181"/>
      <c r="DYV45" s="1181"/>
      <c r="DYW45" s="1181"/>
      <c r="DYX45" s="1181"/>
      <c r="DYY45" s="1181"/>
      <c r="DYZ45" s="1181"/>
      <c r="DZA45" s="1181"/>
      <c r="DZB45" s="1181"/>
      <c r="DZC45" s="1181"/>
      <c r="DZD45" s="1181"/>
      <c r="DZE45" s="1181"/>
      <c r="DZF45" s="1181"/>
      <c r="DZG45" s="1181"/>
      <c r="DZH45" s="1181"/>
      <c r="DZI45" s="1181"/>
      <c r="DZJ45" s="1181"/>
      <c r="DZK45" s="1181"/>
      <c r="DZL45" s="1181"/>
      <c r="DZM45" s="1181"/>
      <c r="DZN45" s="1181"/>
      <c r="DZO45" s="1181"/>
      <c r="DZP45" s="1181"/>
      <c r="DZQ45" s="1181"/>
      <c r="DZR45" s="1181"/>
      <c r="DZS45" s="1181"/>
      <c r="DZT45" s="1181"/>
      <c r="DZU45" s="1181"/>
      <c r="DZV45" s="1181"/>
      <c r="DZW45" s="1181"/>
      <c r="DZX45" s="1181"/>
      <c r="DZY45" s="1181"/>
      <c r="DZZ45" s="1181"/>
      <c r="EAA45" s="1181"/>
      <c r="EAB45" s="1181"/>
      <c r="EAC45" s="1181"/>
      <c r="EAD45" s="1181"/>
      <c r="EAE45" s="1181"/>
      <c r="EAF45" s="1181"/>
      <c r="EAG45" s="1181"/>
      <c r="EAH45" s="1181"/>
      <c r="EAI45" s="1181"/>
      <c r="EAJ45" s="1181"/>
      <c r="EAK45" s="1181"/>
      <c r="EAL45" s="1181"/>
      <c r="EAM45" s="1181"/>
      <c r="EAN45" s="1181"/>
      <c r="EAO45" s="1181"/>
      <c r="EAP45" s="1181"/>
      <c r="EAQ45" s="1181"/>
      <c r="EAR45" s="1181"/>
      <c r="EAS45" s="1181"/>
      <c r="EAT45" s="1181"/>
      <c r="EAU45" s="1181"/>
      <c r="EAV45" s="1181"/>
      <c r="EAW45" s="1181"/>
      <c r="EAX45" s="1181"/>
      <c r="EAY45" s="1181"/>
      <c r="EAZ45" s="1181"/>
      <c r="EBA45" s="1181"/>
      <c r="EBB45" s="1181"/>
      <c r="EBC45" s="1181"/>
      <c r="EBD45" s="1181"/>
      <c r="EBE45" s="1181"/>
      <c r="EBF45" s="1181"/>
      <c r="EBG45" s="1181"/>
      <c r="EBH45" s="1181"/>
      <c r="EBI45" s="1181"/>
      <c r="EBJ45" s="1181"/>
      <c r="EBK45" s="1181"/>
      <c r="EBL45" s="1181"/>
      <c r="EBM45" s="1181"/>
      <c r="EBN45" s="1181"/>
      <c r="EBO45" s="1181"/>
      <c r="EBP45" s="1181"/>
      <c r="EBQ45" s="1181"/>
      <c r="EBR45" s="1181"/>
      <c r="EBS45" s="1181"/>
      <c r="EBT45" s="1181"/>
      <c r="EBU45" s="1181"/>
      <c r="EBV45" s="1181"/>
      <c r="EBW45" s="1181"/>
      <c r="EBX45" s="1181"/>
      <c r="EBY45" s="1181"/>
      <c r="EBZ45" s="1181"/>
      <c r="ECA45" s="1181"/>
      <c r="ECB45" s="1181"/>
      <c r="ECC45" s="1181"/>
      <c r="ECD45" s="1181"/>
      <c r="ECE45" s="1181"/>
      <c r="ECF45" s="1181"/>
      <c r="ECG45" s="1181"/>
      <c r="ECH45" s="1181"/>
      <c r="ECI45" s="1181"/>
      <c r="ECJ45" s="1181"/>
      <c r="ECK45" s="1181"/>
      <c r="ECL45" s="1181"/>
      <c r="ECM45" s="1181"/>
      <c r="ECN45" s="1181"/>
      <c r="ECO45" s="1181"/>
      <c r="ECP45" s="1181"/>
      <c r="ECQ45" s="1181"/>
      <c r="ECR45" s="1181"/>
      <c r="ECS45" s="1181"/>
      <c r="ECT45" s="1181"/>
      <c r="ECU45" s="1181"/>
      <c r="ECV45" s="1181"/>
      <c r="ECW45" s="1181"/>
      <c r="ECX45" s="1181"/>
      <c r="ECY45" s="1181"/>
      <c r="ECZ45" s="1181"/>
      <c r="EDA45" s="1181"/>
      <c r="EDB45" s="1181"/>
      <c r="EDC45" s="1181"/>
      <c r="EDD45" s="1181"/>
      <c r="EDE45" s="1181"/>
      <c r="EDF45" s="1181"/>
      <c r="EDG45" s="1181"/>
      <c r="EDH45" s="1181"/>
      <c r="EDI45" s="1181"/>
      <c r="EDJ45" s="1181"/>
      <c r="EDK45" s="1181"/>
      <c r="EDL45" s="1181"/>
      <c r="EDM45" s="1181"/>
      <c r="EDN45" s="1181"/>
      <c r="EDO45" s="1181"/>
      <c r="EDP45" s="1181"/>
      <c r="EDQ45" s="1181"/>
      <c r="EDR45" s="1181"/>
      <c r="EDS45" s="1181"/>
      <c r="EDT45" s="1181"/>
      <c r="EDU45" s="1181"/>
      <c r="EDV45" s="1181"/>
      <c r="EDW45" s="1181"/>
      <c r="EDX45" s="1181"/>
      <c r="EDY45" s="1181"/>
      <c r="EDZ45" s="1181"/>
      <c r="EEA45" s="1181"/>
      <c r="EEB45" s="1181"/>
      <c r="EEC45" s="1181"/>
      <c r="EED45" s="1181"/>
      <c r="EEE45" s="1181"/>
      <c r="EEF45" s="1181"/>
      <c r="EEG45" s="1181"/>
      <c r="EEH45" s="1181"/>
      <c r="EEI45" s="1181"/>
      <c r="EEJ45" s="1181"/>
      <c r="EEK45" s="1181"/>
      <c r="EEL45" s="1181"/>
      <c r="EEM45" s="1181"/>
      <c r="EEN45" s="1181"/>
      <c r="EEO45" s="1181"/>
      <c r="EEP45" s="1181"/>
      <c r="EEQ45" s="1181"/>
      <c r="EER45" s="1181"/>
      <c r="EES45" s="1181"/>
      <c r="EET45" s="1181"/>
      <c r="EEU45" s="1181"/>
      <c r="EEV45" s="1181"/>
      <c r="EEW45" s="1181"/>
      <c r="EEX45" s="1181"/>
      <c r="EEY45" s="1181"/>
      <c r="EEZ45" s="1181"/>
      <c r="EFA45" s="1181"/>
      <c r="EFB45" s="1181"/>
      <c r="EFC45" s="1181"/>
      <c r="EFD45" s="1181"/>
      <c r="EFE45" s="1181"/>
      <c r="EFF45" s="1181"/>
      <c r="EFG45" s="1181"/>
      <c r="EFH45" s="1181"/>
      <c r="EFI45" s="1181"/>
      <c r="EFJ45" s="1181"/>
      <c r="EFK45" s="1181"/>
      <c r="EFL45" s="1181"/>
      <c r="EFM45" s="1181"/>
      <c r="EFN45" s="1181"/>
      <c r="EFO45" s="1181"/>
      <c r="EFP45" s="1181"/>
      <c r="EFQ45" s="1181"/>
      <c r="EFR45" s="1181"/>
      <c r="EFS45" s="1181"/>
      <c r="EFT45" s="1181"/>
      <c r="EFU45" s="1181"/>
      <c r="EFV45" s="1181"/>
      <c r="EFW45" s="1181"/>
      <c r="EFX45" s="1181"/>
      <c r="EFY45" s="1181"/>
      <c r="EFZ45" s="1181"/>
      <c r="EGA45" s="1181"/>
      <c r="EGB45" s="1181"/>
      <c r="EGC45" s="1181"/>
      <c r="EGD45" s="1181"/>
      <c r="EGE45" s="1181"/>
      <c r="EGF45" s="1181"/>
      <c r="EGG45" s="1181"/>
      <c r="EGH45" s="1181"/>
      <c r="EGI45" s="1181"/>
      <c r="EGJ45" s="1181"/>
      <c r="EGK45" s="1181"/>
      <c r="EGL45" s="1181"/>
      <c r="EGM45" s="1181"/>
      <c r="EGN45" s="1181"/>
      <c r="EGO45" s="1181"/>
      <c r="EGP45" s="1181"/>
      <c r="EGQ45" s="1181"/>
      <c r="EGR45" s="1181"/>
      <c r="EGS45" s="1181"/>
      <c r="EGT45" s="1181"/>
      <c r="EGU45" s="1181"/>
      <c r="EGV45" s="1181"/>
      <c r="EGW45" s="1181"/>
      <c r="EGX45" s="1181"/>
      <c r="EGY45" s="1181"/>
      <c r="EGZ45" s="1181"/>
      <c r="EHA45" s="1181"/>
      <c r="EHB45" s="1181"/>
      <c r="EHC45" s="1181"/>
      <c r="EHD45" s="1181"/>
      <c r="EHE45" s="1181"/>
      <c r="EHF45" s="1181"/>
      <c r="EHG45" s="1181"/>
      <c r="EHH45" s="1181"/>
      <c r="EHI45" s="1181"/>
      <c r="EHJ45" s="1181"/>
      <c r="EHK45" s="1181"/>
      <c r="EHL45" s="1181"/>
      <c r="EHM45" s="1181"/>
      <c r="EHN45" s="1181"/>
      <c r="EHO45" s="1181"/>
      <c r="EHP45" s="1181"/>
      <c r="EHQ45" s="1181"/>
      <c r="EHR45" s="1181"/>
      <c r="EHS45" s="1181"/>
      <c r="EHT45" s="1181"/>
      <c r="EHU45" s="1181"/>
      <c r="EHV45" s="1181"/>
      <c r="EHW45" s="1181"/>
      <c r="EHX45" s="1181"/>
      <c r="EHY45" s="1181"/>
      <c r="EHZ45" s="1181"/>
      <c r="EIA45" s="1181"/>
      <c r="EIB45" s="1181"/>
      <c r="EIC45" s="1181"/>
      <c r="EID45" s="1181"/>
      <c r="EIE45" s="1181"/>
      <c r="EIF45" s="1181"/>
      <c r="EIG45" s="1181"/>
      <c r="EIH45" s="1181"/>
      <c r="EII45" s="1181"/>
      <c r="EIJ45" s="1181"/>
      <c r="EIK45" s="1181"/>
      <c r="EIL45" s="1181"/>
      <c r="EIM45" s="1181"/>
      <c r="EIN45" s="1181"/>
      <c r="EIO45" s="1181"/>
      <c r="EIP45" s="1181"/>
      <c r="EIQ45" s="1181"/>
      <c r="EIR45" s="1181"/>
      <c r="EIS45" s="1181"/>
      <c r="EIT45" s="1181"/>
      <c r="EIU45" s="1181"/>
      <c r="EIV45" s="1181"/>
      <c r="EIW45" s="1181"/>
      <c r="EIX45" s="1181"/>
      <c r="EIY45" s="1181"/>
      <c r="EIZ45" s="1181"/>
      <c r="EJA45" s="1181"/>
      <c r="EJB45" s="1181"/>
      <c r="EJC45" s="1181"/>
      <c r="EJD45" s="1181"/>
      <c r="EJE45" s="1181"/>
      <c r="EJF45" s="1181"/>
      <c r="EJG45" s="1181"/>
      <c r="EJH45" s="1181"/>
      <c r="EJI45" s="1181"/>
      <c r="EJJ45" s="1181"/>
      <c r="EJK45" s="1181"/>
      <c r="EJL45" s="1181"/>
      <c r="EJM45" s="1181"/>
      <c r="EJN45" s="1181"/>
      <c r="EJO45" s="1181"/>
      <c r="EJP45" s="1181"/>
      <c r="EJQ45" s="1181"/>
      <c r="EJR45" s="1181"/>
      <c r="EJS45" s="1181"/>
      <c r="EJT45" s="1181"/>
      <c r="EJU45" s="1181"/>
      <c r="EJV45" s="1181"/>
      <c r="EJW45" s="1181"/>
      <c r="EJX45" s="1181"/>
      <c r="EJY45" s="1181"/>
      <c r="EJZ45" s="1181"/>
      <c r="EKA45" s="1181"/>
      <c r="EKB45" s="1181"/>
      <c r="EKC45" s="1181"/>
      <c r="EKD45" s="1181"/>
      <c r="EKE45" s="1181"/>
      <c r="EKF45" s="1181"/>
      <c r="EKG45" s="1181"/>
      <c r="EKH45" s="1181"/>
      <c r="EKI45" s="1181"/>
      <c r="EKJ45" s="1181"/>
      <c r="EKK45" s="1181"/>
      <c r="EKL45" s="1181"/>
      <c r="EKM45" s="1181"/>
      <c r="EKN45" s="1181"/>
      <c r="EKO45" s="1181"/>
      <c r="EKP45" s="1181"/>
      <c r="EKQ45" s="1181"/>
      <c r="EKR45" s="1181"/>
      <c r="EKS45" s="1181"/>
      <c r="EKT45" s="1181"/>
      <c r="EKU45" s="1181"/>
      <c r="EKV45" s="1181"/>
      <c r="EKW45" s="1181"/>
      <c r="EKX45" s="1181"/>
      <c r="EKY45" s="1181"/>
      <c r="EKZ45" s="1181"/>
      <c r="ELA45" s="1181"/>
      <c r="ELB45" s="1181"/>
      <c r="ELC45" s="1181"/>
      <c r="ELD45" s="1181"/>
      <c r="ELE45" s="1181"/>
      <c r="ELF45" s="1181"/>
      <c r="ELG45" s="1181"/>
      <c r="ELH45" s="1181"/>
      <c r="ELI45" s="1181"/>
      <c r="ELJ45" s="1181"/>
      <c r="ELK45" s="1181"/>
      <c r="ELL45" s="1181"/>
      <c r="ELM45" s="1181"/>
      <c r="ELN45" s="1181"/>
      <c r="ELO45" s="1181"/>
      <c r="ELP45" s="1181"/>
      <c r="ELQ45" s="1181"/>
      <c r="ELR45" s="1181"/>
      <c r="ELS45" s="1181"/>
      <c r="ELT45" s="1181"/>
      <c r="ELU45" s="1181"/>
      <c r="ELV45" s="1181"/>
      <c r="ELW45" s="1181"/>
      <c r="ELX45" s="1181"/>
      <c r="ELY45" s="1181"/>
      <c r="ELZ45" s="1181"/>
      <c r="EMA45" s="1181"/>
      <c r="EMB45" s="1181"/>
      <c r="EMC45" s="1181"/>
      <c r="EMD45" s="1181"/>
      <c r="EME45" s="1181"/>
      <c r="EMF45" s="1181"/>
      <c r="EMG45" s="1181"/>
      <c r="EMH45" s="1181"/>
      <c r="EMI45" s="1181"/>
      <c r="EMJ45" s="1181"/>
      <c r="EMK45" s="1181"/>
      <c r="EML45" s="1181"/>
      <c r="EMM45" s="1181"/>
      <c r="EMN45" s="1181"/>
      <c r="EMO45" s="1181"/>
      <c r="EMP45" s="1181"/>
      <c r="EMQ45" s="1181"/>
      <c r="EMR45" s="1181"/>
      <c r="EMS45" s="1181"/>
      <c r="EMT45" s="1181"/>
      <c r="EMU45" s="1181"/>
      <c r="EMV45" s="1181"/>
      <c r="EMW45" s="1181"/>
      <c r="EMX45" s="1181"/>
      <c r="EMY45" s="1181"/>
      <c r="EMZ45" s="1181"/>
      <c r="ENA45" s="1181"/>
      <c r="ENB45" s="1181"/>
      <c r="ENC45" s="1181"/>
      <c r="END45" s="1181"/>
      <c r="ENE45" s="1181"/>
      <c r="ENF45" s="1181"/>
      <c r="ENG45" s="1181"/>
      <c r="ENH45" s="1181"/>
      <c r="ENI45" s="1181"/>
      <c r="ENJ45" s="1181"/>
      <c r="ENK45" s="1181"/>
      <c r="ENL45" s="1181"/>
      <c r="ENM45" s="1181"/>
      <c r="ENN45" s="1181"/>
      <c r="ENO45" s="1181"/>
      <c r="ENP45" s="1181"/>
      <c r="ENQ45" s="1181"/>
      <c r="ENR45" s="1181"/>
      <c r="ENS45" s="1181"/>
      <c r="ENT45" s="1181"/>
      <c r="ENU45" s="1181"/>
      <c r="ENV45" s="1181"/>
      <c r="ENW45" s="1181"/>
      <c r="ENX45" s="1181"/>
      <c r="ENY45" s="1181"/>
      <c r="ENZ45" s="1181"/>
      <c r="EOA45" s="1181"/>
      <c r="EOB45" s="1181"/>
      <c r="EOC45" s="1181"/>
      <c r="EOD45" s="1181"/>
      <c r="EOE45" s="1181"/>
      <c r="EOF45" s="1181"/>
      <c r="EOG45" s="1181"/>
      <c r="EOH45" s="1181"/>
      <c r="EOI45" s="1181"/>
      <c r="EOJ45" s="1181"/>
      <c r="EOK45" s="1181"/>
      <c r="EOL45" s="1181"/>
      <c r="EOM45" s="1181"/>
      <c r="EON45" s="1181"/>
      <c r="EOO45" s="1181"/>
      <c r="EOP45" s="1181"/>
      <c r="EOQ45" s="1181"/>
      <c r="EOR45" s="1181"/>
      <c r="EOS45" s="1181"/>
      <c r="EOT45" s="1181"/>
      <c r="EOU45" s="1181"/>
      <c r="EOV45" s="1181"/>
      <c r="EOW45" s="1181"/>
      <c r="EOX45" s="1181"/>
      <c r="EOY45" s="1181"/>
      <c r="EOZ45" s="1181"/>
      <c r="EPA45" s="1181"/>
      <c r="EPB45" s="1181"/>
      <c r="EPC45" s="1181"/>
      <c r="EPD45" s="1181"/>
      <c r="EPE45" s="1181"/>
      <c r="EPF45" s="1181"/>
      <c r="EPG45" s="1181"/>
      <c r="EPH45" s="1181"/>
      <c r="EPI45" s="1181"/>
      <c r="EPJ45" s="1181"/>
      <c r="EPK45" s="1181"/>
      <c r="EPL45" s="1181"/>
      <c r="EPM45" s="1181"/>
      <c r="EPN45" s="1181"/>
      <c r="EPO45" s="1181"/>
      <c r="EPP45" s="1181"/>
      <c r="EPQ45" s="1181"/>
      <c r="EPR45" s="1181"/>
      <c r="EPS45" s="1181"/>
      <c r="EPT45" s="1181"/>
      <c r="EPU45" s="1181"/>
      <c r="EPV45" s="1181"/>
      <c r="EPW45" s="1181"/>
      <c r="EPX45" s="1181"/>
      <c r="EPY45" s="1181"/>
      <c r="EPZ45" s="1181"/>
      <c r="EQA45" s="1181"/>
      <c r="EQB45" s="1181"/>
      <c r="EQC45" s="1181"/>
      <c r="EQD45" s="1181"/>
      <c r="EQE45" s="1181"/>
      <c r="EQF45" s="1181"/>
      <c r="EQG45" s="1181"/>
      <c r="EQH45" s="1181"/>
      <c r="EQI45" s="1181"/>
      <c r="EQJ45" s="1181"/>
      <c r="EQK45" s="1181"/>
      <c r="EQL45" s="1181"/>
      <c r="EQM45" s="1181"/>
      <c r="EQN45" s="1181"/>
      <c r="EQO45" s="1181"/>
      <c r="EQP45" s="1181"/>
      <c r="EQQ45" s="1181"/>
      <c r="EQR45" s="1181"/>
      <c r="EQS45" s="1181"/>
      <c r="EQT45" s="1181"/>
      <c r="EQU45" s="1181"/>
      <c r="EQV45" s="1181"/>
      <c r="EQW45" s="1181"/>
      <c r="EQX45" s="1181"/>
      <c r="EQY45" s="1181"/>
      <c r="EQZ45" s="1181"/>
      <c r="ERA45" s="1181"/>
      <c r="ERB45" s="1181"/>
      <c r="ERC45" s="1181"/>
      <c r="ERD45" s="1181"/>
      <c r="ERE45" s="1181"/>
      <c r="ERF45" s="1181"/>
      <c r="ERG45" s="1181"/>
      <c r="ERH45" s="1181"/>
      <c r="ERI45" s="1181"/>
      <c r="ERJ45" s="1181"/>
      <c r="ERK45" s="1181"/>
      <c r="ERL45" s="1181"/>
      <c r="ERM45" s="1181"/>
      <c r="ERN45" s="1181"/>
      <c r="ERO45" s="1181"/>
      <c r="ERP45" s="1181"/>
      <c r="ERQ45" s="1181"/>
      <c r="ERR45" s="1181"/>
      <c r="ERS45" s="1181"/>
      <c r="ERT45" s="1181"/>
      <c r="ERU45" s="1181"/>
      <c r="ERV45" s="1181"/>
      <c r="ERW45" s="1181"/>
      <c r="ERX45" s="1181"/>
      <c r="ERY45" s="1181"/>
      <c r="ERZ45" s="1181"/>
      <c r="ESA45" s="1181"/>
      <c r="ESB45" s="1181"/>
      <c r="ESC45" s="1181"/>
      <c r="ESD45" s="1181"/>
      <c r="ESE45" s="1181"/>
      <c r="ESF45" s="1181"/>
      <c r="ESG45" s="1181"/>
      <c r="ESH45" s="1181"/>
      <c r="ESI45" s="1181"/>
      <c r="ESJ45" s="1181"/>
      <c r="ESK45" s="1181"/>
      <c r="ESL45" s="1181"/>
      <c r="ESM45" s="1181"/>
      <c r="ESN45" s="1181"/>
      <c r="ESO45" s="1181"/>
      <c r="ESP45" s="1181"/>
      <c r="ESQ45" s="1181"/>
      <c r="ESR45" s="1181"/>
      <c r="ESS45" s="1181"/>
      <c r="EST45" s="1181"/>
      <c r="ESU45" s="1181"/>
      <c r="ESV45" s="1181"/>
      <c r="ESW45" s="1181"/>
      <c r="ESX45" s="1181"/>
      <c r="ESY45" s="1181"/>
      <c r="ESZ45" s="1181"/>
      <c r="ETA45" s="1181"/>
      <c r="ETB45" s="1181"/>
      <c r="ETC45" s="1181"/>
      <c r="ETD45" s="1181"/>
      <c r="ETE45" s="1181"/>
      <c r="ETF45" s="1181"/>
      <c r="ETG45" s="1181"/>
      <c r="ETH45" s="1181"/>
      <c r="ETI45" s="1181"/>
      <c r="ETJ45" s="1181"/>
      <c r="ETK45" s="1181"/>
      <c r="ETL45" s="1181"/>
      <c r="ETM45" s="1181"/>
      <c r="ETN45" s="1181"/>
      <c r="ETO45" s="1181"/>
      <c r="ETP45" s="1181"/>
      <c r="ETQ45" s="1181"/>
      <c r="ETR45" s="1181"/>
      <c r="ETS45" s="1181"/>
      <c r="ETT45" s="1181"/>
      <c r="ETU45" s="1181"/>
      <c r="ETV45" s="1181"/>
      <c r="ETW45" s="1181"/>
      <c r="ETX45" s="1181"/>
      <c r="ETY45" s="1181"/>
      <c r="ETZ45" s="1181"/>
      <c r="EUA45" s="1181"/>
      <c r="EUB45" s="1181"/>
      <c r="EUC45" s="1181"/>
      <c r="EUD45" s="1181"/>
      <c r="EUE45" s="1181"/>
      <c r="EUF45" s="1181"/>
      <c r="EUG45" s="1181"/>
      <c r="EUH45" s="1181"/>
      <c r="EUI45" s="1181"/>
      <c r="EUJ45" s="1181"/>
      <c r="EUK45" s="1181"/>
      <c r="EUL45" s="1181"/>
      <c r="EUM45" s="1181"/>
      <c r="EUN45" s="1181"/>
      <c r="EUO45" s="1181"/>
      <c r="EUP45" s="1181"/>
      <c r="EUQ45" s="1181"/>
      <c r="EUR45" s="1181"/>
      <c r="EUS45" s="1181"/>
      <c r="EUT45" s="1181"/>
      <c r="EUU45" s="1181"/>
      <c r="EUV45" s="1181"/>
      <c r="EUW45" s="1181"/>
      <c r="EUX45" s="1181"/>
      <c r="EUY45" s="1181"/>
      <c r="EUZ45" s="1181"/>
      <c r="EVA45" s="1181"/>
      <c r="EVB45" s="1181"/>
      <c r="EVC45" s="1181"/>
      <c r="EVD45" s="1181"/>
      <c r="EVE45" s="1181"/>
      <c r="EVF45" s="1181"/>
      <c r="EVG45" s="1181"/>
      <c r="EVH45" s="1181"/>
      <c r="EVI45" s="1181"/>
      <c r="EVJ45" s="1181"/>
      <c r="EVK45" s="1181"/>
      <c r="EVL45" s="1181"/>
      <c r="EVM45" s="1181"/>
      <c r="EVN45" s="1181"/>
      <c r="EVO45" s="1181"/>
      <c r="EVP45" s="1181"/>
      <c r="EVQ45" s="1181"/>
      <c r="EVR45" s="1181"/>
      <c r="EVS45" s="1181"/>
      <c r="EVT45" s="1181"/>
      <c r="EVU45" s="1181"/>
      <c r="EVV45" s="1181"/>
      <c r="EVW45" s="1181"/>
      <c r="EVX45" s="1181"/>
      <c r="EVY45" s="1181"/>
      <c r="EVZ45" s="1181"/>
      <c r="EWA45" s="1181"/>
      <c r="EWB45" s="1181"/>
      <c r="EWC45" s="1181"/>
      <c r="EWD45" s="1181"/>
      <c r="EWE45" s="1181"/>
      <c r="EWF45" s="1181"/>
      <c r="EWG45" s="1181"/>
      <c r="EWH45" s="1181"/>
      <c r="EWI45" s="1181"/>
      <c r="EWJ45" s="1181"/>
      <c r="EWK45" s="1181"/>
      <c r="EWL45" s="1181"/>
      <c r="EWM45" s="1181"/>
      <c r="EWN45" s="1181"/>
      <c r="EWO45" s="1181"/>
      <c r="EWP45" s="1181"/>
      <c r="EWQ45" s="1181"/>
      <c r="EWR45" s="1181"/>
      <c r="EWS45" s="1181"/>
      <c r="EWT45" s="1181"/>
      <c r="EWU45" s="1181"/>
      <c r="EWV45" s="1181"/>
      <c r="EWW45" s="1181"/>
      <c r="EWX45" s="1181"/>
      <c r="EWY45" s="1181"/>
      <c r="EWZ45" s="1181"/>
      <c r="EXA45" s="1181"/>
      <c r="EXB45" s="1181"/>
      <c r="EXC45" s="1181"/>
      <c r="EXD45" s="1181"/>
      <c r="EXE45" s="1181"/>
      <c r="EXF45" s="1181"/>
      <c r="EXG45" s="1181"/>
      <c r="EXH45" s="1181"/>
      <c r="EXI45" s="1181"/>
      <c r="EXJ45" s="1181"/>
      <c r="EXK45" s="1181"/>
      <c r="EXL45" s="1181"/>
      <c r="EXM45" s="1181"/>
      <c r="EXN45" s="1181"/>
      <c r="EXO45" s="1181"/>
      <c r="EXP45" s="1181"/>
      <c r="EXQ45" s="1181"/>
      <c r="EXR45" s="1181"/>
      <c r="EXS45" s="1181"/>
      <c r="EXT45" s="1181"/>
      <c r="EXU45" s="1181"/>
      <c r="EXV45" s="1181"/>
      <c r="EXW45" s="1181"/>
      <c r="EXX45" s="1181"/>
      <c r="EXY45" s="1181"/>
      <c r="EXZ45" s="1181"/>
      <c r="EYA45" s="1181"/>
      <c r="EYB45" s="1181"/>
      <c r="EYC45" s="1181"/>
      <c r="EYD45" s="1181"/>
      <c r="EYE45" s="1181"/>
      <c r="EYF45" s="1181"/>
      <c r="EYG45" s="1181"/>
      <c r="EYH45" s="1181"/>
      <c r="EYI45" s="1181"/>
      <c r="EYJ45" s="1181"/>
      <c r="EYK45" s="1181"/>
      <c r="EYL45" s="1181"/>
      <c r="EYM45" s="1181"/>
      <c r="EYN45" s="1181"/>
      <c r="EYO45" s="1181"/>
      <c r="EYP45" s="1181"/>
      <c r="EYQ45" s="1181"/>
      <c r="EYR45" s="1181"/>
      <c r="EYS45" s="1181"/>
      <c r="EYT45" s="1181"/>
      <c r="EYU45" s="1181"/>
      <c r="EYV45" s="1181"/>
      <c r="EYW45" s="1181"/>
      <c r="EYX45" s="1181"/>
      <c r="EYY45" s="1181"/>
      <c r="EYZ45" s="1181"/>
      <c r="EZA45" s="1181"/>
      <c r="EZB45" s="1181"/>
      <c r="EZC45" s="1181"/>
      <c r="EZD45" s="1181"/>
      <c r="EZE45" s="1181"/>
      <c r="EZF45" s="1181"/>
      <c r="EZG45" s="1181"/>
      <c r="EZH45" s="1181"/>
      <c r="EZI45" s="1181"/>
      <c r="EZJ45" s="1181"/>
      <c r="EZK45" s="1181"/>
      <c r="EZL45" s="1181"/>
      <c r="EZM45" s="1181"/>
      <c r="EZN45" s="1181"/>
      <c r="EZO45" s="1181"/>
      <c r="EZP45" s="1181"/>
      <c r="EZQ45" s="1181"/>
      <c r="EZR45" s="1181"/>
      <c r="EZS45" s="1181"/>
      <c r="EZT45" s="1181"/>
      <c r="EZU45" s="1181"/>
      <c r="EZV45" s="1181"/>
      <c r="EZW45" s="1181"/>
      <c r="EZX45" s="1181"/>
      <c r="EZY45" s="1181"/>
      <c r="EZZ45" s="1181"/>
      <c r="FAA45" s="1181"/>
      <c r="FAB45" s="1181"/>
      <c r="FAC45" s="1181"/>
      <c r="FAD45" s="1181"/>
      <c r="FAE45" s="1181"/>
      <c r="FAF45" s="1181"/>
      <c r="FAG45" s="1181"/>
      <c r="FAH45" s="1181"/>
      <c r="FAI45" s="1181"/>
      <c r="FAJ45" s="1181"/>
      <c r="FAK45" s="1181"/>
      <c r="FAL45" s="1181"/>
      <c r="FAM45" s="1181"/>
      <c r="FAN45" s="1181"/>
      <c r="FAO45" s="1181"/>
      <c r="FAP45" s="1181"/>
      <c r="FAQ45" s="1181"/>
      <c r="FAR45" s="1181"/>
      <c r="FAS45" s="1181"/>
      <c r="FAT45" s="1181"/>
      <c r="FAU45" s="1181"/>
      <c r="FAV45" s="1181"/>
      <c r="FAW45" s="1181"/>
      <c r="FAX45" s="1181"/>
      <c r="FAY45" s="1181"/>
      <c r="FAZ45" s="1181"/>
      <c r="FBA45" s="1181"/>
      <c r="FBB45" s="1181"/>
      <c r="FBC45" s="1181"/>
      <c r="FBD45" s="1181"/>
      <c r="FBE45" s="1181"/>
      <c r="FBF45" s="1181"/>
      <c r="FBG45" s="1181"/>
      <c r="FBH45" s="1181"/>
      <c r="FBI45" s="1181"/>
      <c r="FBJ45" s="1181"/>
      <c r="FBK45" s="1181"/>
      <c r="FBL45" s="1181"/>
      <c r="FBM45" s="1181"/>
      <c r="FBN45" s="1181"/>
      <c r="FBO45" s="1181"/>
      <c r="FBP45" s="1181"/>
      <c r="FBQ45" s="1181"/>
      <c r="FBR45" s="1181"/>
      <c r="FBS45" s="1181"/>
      <c r="FBT45" s="1181"/>
      <c r="FBU45" s="1181"/>
      <c r="FBV45" s="1181"/>
      <c r="FBW45" s="1181"/>
      <c r="FBX45" s="1181"/>
      <c r="FBY45" s="1181"/>
      <c r="FBZ45" s="1181"/>
      <c r="FCA45" s="1181"/>
      <c r="FCB45" s="1181"/>
      <c r="FCC45" s="1181"/>
      <c r="FCD45" s="1181"/>
      <c r="FCE45" s="1181"/>
      <c r="FCF45" s="1181"/>
      <c r="FCG45" s="1181"/>
      <c r="FCH45" s="1181"/>
      <c r="FCI45" s="1181"/>
      <c r="FCJ45" s="1181"/>
      <c r="FCK45" s="1181"/>
      <c r="FCL45" s="1181"/>
      <c r="FCM45" s="1181"/>
      <c r="FCN45" s="1181"/>
      <c r="FCO45" s="1181"/>
      <c r="FCP45" s="1181"/>
      <c r="FCQ45" s="1181"/>
      <c r="FCR45" s="1181"/>
      <c r="FCS45" s="1181"/>
      <c r="FCT45" s="1181"/>
      <c r="FCU45" s="1181"/>
      <c r="FCV45" s="1181"/>
      <c r="FCW45" s="1181"/>
      <c r="FCX45" s="1181"/>
      <c r="FCY45" s="1181"/>
      <c r="FCZ45" s="1181"/>
      <c r="FDA45" s="1181"/>
      <c r="FDB45" s="1181"/>
      <c r="FDC45" s="1181"/>
      <c r="FDD45" s="1181"/>
      <c r="FDE45" s="1181"/>
      <c r="FDF45" s="1181"/>
      <c r="FDG45" s="1181"/>
      <c r="FDH45" s="1181"/>
      <c r="FDI45" s="1181"/>
      <c r="FDJ45" s="1181"/>
      <c r="FDK45" s="1181"/>
      <c r="FDL45" s="1181"/>
      <c r="FDM45" s="1181"/>
      <c r="FDN45" s="1181"/>
      <c r="FDO45" s="1181"/>
      <c r="FDP45" s="1181"/>
      <c r="FDQ45" s="1181"/>
      <c r="FDR45" s="1181"/>
      <c r="FDS45" s="1181"/>
      <c r="FDT45" s="1181"/>
      <c r="FDU45" s="1181"/>
      <c r="FDV45" s="1181"/>
      <c r="FDW45" s="1181"/>
      <c r="FDX45" s="1181"/>
      <c r="FDY45" s="1181"/>
      <c r="FDZ45" s="1181"/>
      <c r="FEA45" s="1181"/>
      <c r="FEB45" s="1181"/>
      <c r="FEC45" s="1181"/>
      <c r="FED45" s="1181"/>
      <c r="FEE45" s="1181"/>
      <c r="FEF45" s="1181"/>
      <c r="FEG45" s="1181"/>
      <c r="FEH45" s="1181"/>
      <c r="FEI45" s="1181"/>
      <c r="FEJ45" s="1181"/>
      <c r="FEK45" s="1181"/>
      <c r="FEL45" s="1181"/>
      <c r="FEM45" s="1181"/>
      <c r="FEN45" s="1181"/>
      <c r="FEO45" s="1181"/>
      <c r="FEP45" s="1181"/>
      <c r="FEQ45" s="1181"/>
      <c r="FER45" s="1181"/>
      <c r="FES45" s="1181"/>
      <c r="FET45" s="1181"/>
      <c r="FEU45" s="1181"/>
      <c r="FEV45" s="1181"/>
      <c r="FEW45" s="1181"/>
      <c r="FEX45" s="1181"/>
      <c r="FEY45" s="1181"/>
      <c r="FEZ45" s="1181"/>
      <c r="FFA45" s="1181"/>
      <c r="FFB45" s="1181"/>
      <c r="FFC45" s="1181"/>
      <c r="FFD45" s="1181"/>
      <c r="FFE45" s="1181"/>
      <c r="FFF45" s="1181"/>
      <c r="FFG45" s="1181"/>
      <c r="FFH45" s="1181"/>
      <c r="FFI45" s="1181"/>
      <c r="FFJ45" s="1181"/>
      <c r="FFK45" s="1181"/>
      <c r="FFL45" s="1181"/>
      <c r="FFM45" s="1181"/>
      <c r="FFN45" s="1181"/>
      <c r="FFO45" s="1181"/>
      <c r="FFP45" s="1181"/>
      <c r="FFQ45" s="1181"/>
      <c r="FFR45" s="1181"/>
      <c r="FFS45" s="1181"/>
      <c r="FFT45" s="1181"/>
      <c r="FFU45" s="1181"/>
      <c r="FFV45" s="1181"/>
      <c r="FFW45" s="1181"/>
      <c r="FFX45" s="1181"/>
      <c r="FFY45" s="1181"/>
      <c r="FFZ45" s="1181"/>
      <c r="FGA45" s="1181"/>
      <c r="FGB45" s="1181"/>
      <c r="FGC45" s="1181"/>
      <c r="FGD45" s="1181"/>
      <c r="FGE45" s="1181"/>
      <c r="FGF45" s="1181"/>
      <c r="FGG45" s="1181"/>
      <c r="FGH45" s="1181"/>
      <c r="FGI45" s="1181"/>
      <c r="FGJ45" s="1181"/>
      <c r="FGK45" s="1181"/>
      <c r="FGL45" s="1181"/>
      <c r="FGM45" s="1181"/>
      <c r="FGN45" s="1181"/>
      <c r="FGO45" s="1181"/>
      <c r="FGP45" s="1181"/>
      <c r="FGQ45" s="1181"/>
      <c r="FGR45" s="1181"/>
      <c r="FGS45" s="1181"/>
      <c r="FGT45" s="1181"/>
      <c r="FGU45" s="1181"/>
      <c r="FGV45" s="1181"/>
      <c r="FGW45" s="1181"/>
      <c r="FGX45" s="1181"/>
      <c r="FGY45" s="1181"/>
      <c r="FGZ45" s="1181"/>
      <c r="FHA45" s="1181"/>
      <c r="FHB45" s="1181"/>
      <c r="FHC45" s="1181"/>
      <c r="FHD45" s="1181"/>
      <c r="FHE45" s="1181"/>
      <c r="FHF45" s="1181"/>
      <c r="FHG45" s="1181"/>
      <c r="FHH45" s="1181"/>
      <c r="FHI45" s="1181"/>
      <c r="FHJ45" s="1181"/>
      <c r="FHK45" s="1181"/>
      <c r="FHL45" s="1181"/>
      <c r="FHM45" s="1181"/>
      <c r="FHN45" s="1181"/>
      <c r="FHO45" s="1181"/>
      <c r="FHP45" s="1181"/>
      <c r="FHQ45" s="1181"/>
      <c r="FHR45" s="1181"/>
      <c r="FHS45" s="1181"/>
      <c r="FHT45" s="1181"/>
      <c r="FHU45" s="1181"/>
      <c r="FHV45" s="1181"/>
      <c r="FHW45" s="1181"/>
      <c r="FHX45" s="1181"/>
      <c r="FHY45" s="1181"/>
      <c r="FHZ45" s="1181"/>
      <c r="FIA45" s="1181"/>
      <c r="FIB45" s="1181"/>
      <c r="FIC45" s="1181"/>
      <c r="FID45" s="1181"/>
      <c r="FIE45" s="1181"/>
      <c r="FIF45" s="1181"/>
      <c r="FIG45" s="1181"/>
      <c r="FIH45" s="1181"/>
      <c r="FII45" s="1181"/>
      <c r="FIJ45" s="1181"/>
      <c r="FIK45" s="1181"/>
      <c r="FIL45" s="1181"/>
      <c r="FIM45" s="1181"/>
      <c r="FIN45" s="1181"/>
      <c r="FIO45" s="1181"/>
      <c r="FIP45" s="1181"/>
      <c r="FIQ45" s="1181"/>
      <c r="FIR45" s="1181"/>
      <c r="FIS45" s="1181"/>
      <c r="FIT45" s="1181"/>
      <c r="FIU45" s="1181"/>
      <c r="FIV45" s="1181"/>
      <c r="FIW45" s="1181"/>
      <c r="FIX45" s="1181"/>
      <c r="FIY45" s="1181"/>
      <c r="FIZ45" s="1181"/>
      <c r="FJA45" s="1181"/>
      <c r="FJB45" s="1181"/>
      <c r="FJC45" s="1181"/>
      <c r="FJD45" s="1181"/>
      <c r="FJE45" s="1181"/>
      <c r="FJF45" s="1181"/>
      <c r="FJG45" s="1181"/>
      <c r="FJH45" s="1181"/>
      <c r="FJI45" s="1181"/>
      <c r="FJJ45" s="1181"/>
      <c r="FJK45" s="1181"/>
      <c r="FJL45" s="1181"/>
      <c r="FJM45" s="1181"/>
      <c r="FJN45" s="1181"/>
      <c r="FJO45" s="1181"/>
      <c r="FJP45" s="1181"/>
      <c r="FJQ45" s="1181"/>
      <c r="FJR45" s="1181"/>
      <c r="FJS45" s="1181"/>
      <c r="FJT45" s="1181"/>
      <c r="FJU45" s="1181"/>
      <c r="FJV45" s="1181"/>
      <c r="FJW45" s="1181"/>
      <c r="FJX45" s="1181"/>
      <c r="FJY45" s="1181"/>
      <c r="FJZ45" s="1181"/>
      <c r="FKA45" s="1181"/>
      <c r="FKB45" s="1181"/>
      <c r="FKC45" s="1181"/>
      <c r="FKD45" s="1181"/>
      <c r="FKE45" s="1181"/>
      <c r="FKF45" s="1181"/>
      <c r="FKG45" s="1181"/>
      <c r="FKH45" s="1181"/>
      <c r="FKI45" s="1181"/>
      <c r="FKJ45" s="1181"/>
      <c r="FKK45" s="1181"/>
      <c r="FKL45" s="1181"/>
      <c r="FKM45" s="1181"/>
      <c r="FKN45" s="1181"/>
      <c r="FKO45" s="1181"/>
      <c r="FKP45" s="1181"/>
      <c r="FKQ45" s="1181"/>
      <c r="FKR45" s="1181"/>
      <c r="FKS45" s="1181"/>
      <c r="FKT45" s="1181"/>
      <c r="FKU45" s="1181"/>
      <c r="FKV45" s="1181"/>
      <c r="FKW45" s="1181"/>
      <c r="FKX45" s="1181"/>
      <c r="FKY45" s="1181"/>
      <c r="FKZ45" s="1181"/>
      <c r="FLA45" s="1181"/>
      <c r="FLB45" s="1181"/>
      <c r="FLC45" s="1181"/>
      <c r="FLD45" s="1181"/>
      <c r="FLE45" s="1181"/>
      <c r="FLF45" s="1181"/>
      <c r="FLG45" s="1181"/>
      <c r="FLH45" s="1181"/>
      <c r="FLI45" s="1181"/>
      <c r="FLJ45" s="1181"/>
      <c r="FLK45" s="1181"/>
      <c r="FLL45" s="1181"/>
      <c r="FLM45" s="1181"/>
      <c r="FLN45" s="1181"/>
      <c r="FLO45" s="1181"/>
      <c r="FLP45" s="1181"/>
      <c r="FLQ45" s="1181"/>
      <c r="FLR45" s="1181"/>
      <c r="FLS45" s="1181"/>
      <c r="FLT45" s="1181"/>
      <c r="FLU45" s="1181"/>
      <c r="FLV45" s="1181"/>
      <c r="FLW45" s="1181"/>
      <c r="FLX45" s="1181"/>
      <c r="FLY45" s="1181"/>
      <c r="FLZ45" s="1181"/>
      <c r="FMA45" s="1181"/>
      <c r="FMB45" s="1181"/>
      <c r="FMC45" s="1181"/>
      <c r="FMD45" s="1181"/>
      <c r="FME45" s="1181"/>
      <c r="FMF45" s="1181"/>
      <c r="FMG45" s="1181"/>
      <c r="FMH45" s="1181"/>
      <c r="FMI45" s="1181"/>
      <c r="FMJ45" s="1181"/>
      <c r="FMK45" s="1181"/>
      <c r="FML45" s="1181"/>
      <c r="FMM45" s="1181"/>
      <c r="FMN45" s="1181"/>
      <c r="FMO45" s="1181"/>
      <c r="FMP45" s="1181"/>
      <c r="FMQ45" s="1181"/>
      <c r="FMR45" s="1181"/>
      <c r="FMS45" s="1181"/>
      <c r="FMT45" s="1181"/>
      <c r="FMU45" s="1181"/>
      <c r="FMV45" s="1181"/>
      <c r="FMW45" s="1181"/>
      <c r="FMX45" s="1181"/>
      <c r="FMY45" s="1181"/>
      <c r="FMZ45" s="1181"/>
      <c r="FNA45" s="1181"/>
      <c r="FNB45" s="1181"/>
      <c r="FNC45" s="1181"/>
      <c r="FND45" s="1181"/>
      <c r="FNE45" s="1181"/>
      <c r="FNF45" s="1181"/>
      <c r="FNG45" s="1181"/>
      <c r="FNH45" s="1181"/>
      <c r="FNI45" s="1181"/>
      <c r="FNJ45" s="1181"/>
      <c r="FNK45" s="1181"/>
      <c r="FNL45" s="1181"/>
      <c r="FNM45" s="1181"/>
      <c r="FNN45" s="1181"/>
      <c r="FNO45" s="1181"/>
      <c r="FNP45" s="1181"/>
      <c r="FNQ45" s="1181"/>
      <c r="FNR45" s="1181"/>
      <c r="FNS45" s="1181"/>
      <c r="FNT45" s="1181"/>
      <c r="FNU45" s="1181"/>
      <c r="FNV45" s="1181"/>
      <c r="FNW45" s="1181"/>
      <c r="FNX45" s="1181"/>
      <c r="FNY45" s="1181"/>
      <c r="FNZ45" s="1181"/>
      <c r="FOA45" s="1181"/>
      <c r="FOB45" s="1181"/>
      <c r="FOC45" s="1181"/>
      <c r="FOD45" s="1181"/>
      <c r="FOE45" s="1181"/>
      <c r="FOF45" s="1181"/>
      <c r="FOG45" s="1181"/>
      <c r="FOH45" s="1181"/>
      <c r="FOI45" s="1181"/>
      <c r="FOJ45" s="1181"/>
      <c r="FOK45" s="1181"/>
      <c r="FOL45" s="1181"/>
      <c r="FOM45" s="1181"/>
      <c r="FON45" s="1181"/>
      <c r="FOO45" s="1181"/>
      <c r="FOP45" s="1181"/>
      <c r="FOQ45" s="1181"/>
      <c r="FOR45" s="1181"/>
      <c r="FOS45" s="1181"/>
      <c r="FOT45" s="1181"/>
      <c r="FOU45" s="1181"/>
      <c r="FOV45" s="1181"/>
      <c r="FOW45" s="1181"/>
      <c r="FOX45" s="1181"/>
      <c r="FOY45" s="1181"/>
      <c r="FOZ45" s="1181"/>
      <c r="FPA45" s="1181"/>
      <c r="FPB45" s="1181"/>
      <c r="FPC45" s="1181"/>
      <c r="FPD45" s="1181"/>
      <c r="FPE45" s="1181"/>
      <c r="FPF45" s="1181"/>
      <c r="FPG45" s="1181"/>
      <c r="FPH45" s="1181"/>
      <c r="FPI45" s="1181"/>
      <c r="FPJ45" s="1181"/>
      <c r="FPK45" s="1181"/>
      <c r="FPL45" s="1181"/>
      <c r="FPM45" s="1181"/>
      <c r="FPN45" s="1181"/>
      <c r="FPO45" s="1181"/>
      <c r="FPP45" s="1181"/>
      <c r="FPQ45" s="1181"/>
      <c r="FPR45" s="1181"/>
      <c r="FPS45" s="1181"/>
      <c r="FPT45" s="1181"/>
      <c r="FPU45" s="1181"/>
      <c r="FPV45" s="1181"/>
      <c r="FPW45" s="1181"/>
      <c r="FPX45" s="1181"/>
      <c r="FPY45" s="1181"/>
      <c r="FPZ45" s="1181"/>
      <c r="FQA45" s="1181"/>
      <c r="FQB45" s="1181"/>
      <c r="FQC45" s="1181"/>
      <c r="FQD45" s="1181"/>
      <c r="FQE45" s="1181"/>
      <c r="FQF45" s="1181"/>
      <c r="FQG45" s="1181"/>
      <c r="FQH45" s="1181"/>
      <c r="FQI45" s="1181"/>
      <c r="FQJ45" s="1181"/>
      <c r="FQK45" s="1181"/>
      <c r="FQL45" s="1181"/>
      <c r="FQM45" s="1181"/>
      <c r="FQN45" s="1181"/>
      <c r="FQO45" s="1181"/>
      <c r="FQP45" s="1181"/>
      <c r="FQQ45" s="1181"/>
      <c r="FQR45" s="1181"/>
      <c r="FQS45" s="1181"/>
      <c r="FQT45" s="1181"/>
      <c r="FQU45" s="1181"/>
      <c r="FQV45" s="1181"/>
      <c r="FQW45" s="1181"/>
      <c r="FQX45" s="1181"/>
      <c r="FQY45" s="1181"/>
      <c r="FQZ45" s="1181"/>
      <c r="FRA45" s="1181"/>
      <c r="FRB45" s="1181"/>
      <c r="FRC45" s="1181"/>
      <c r="FRD45" s="1181"/>
      <c r="FRE45" s="1181"/>
      <c r="FRF45" s="1181"/>
      <c r="FRG45" s="1181"/>
      <c r="FRH45" s="1181"/>
      <c r="FRI45" s="1181"/>
      <c r="FRJ45" s="1181"/>
      <c r="FRK45" s="1181"/>
      <c r="FRL45" s="1181"/>
      <c r="FRM45" s="1181"/>
      <c r="FRN45" s="1181"/>
      <c r="FRO45" s="1181"/>
      <c r="FRP45" s="1181"/>
      <c r="FRQ45" s="1181"/>
      <c r="FRR45" s="1181"/>
      <c r="FRS45" s="1181"/>
      <c r="FRT45" s="1181"/>
      <c r="FRU45" s="1181"/>
      <c r="FRV45" s="1181"/>
      <c r="FRW45" s="1181"/>
      <c r="FRX45" s="1181"/>
      <c r="FRY45" s="1181"/>
      <c r="FRZ45" s="1181"/>
      <c r="FSA45" s="1181"/>
      <c r="FSB45" s="1181"/>
      <c r="FSC45" s="1181"/>
      <c r="FSD45" s="1181"/>
      <c r="FSE45" s="1181"/>
      <c r="FSF45" s="1181"/>
      <c r="FSG45" s="1181"/>
      <c r="FSH45" s="1181"/>
      <c r="FSI45" s="1181"/>
      <c r="FSJ45" s="1181"/>
      <c r="FSK45" s="1181"/>
      <c r="FSL45" s="1181"/>
      <c r="FSM45" s="1181"/>
      <c r="FSN45" s="1181"/>
      <c r="FSO45" s="1181"/>
      <c r="FSP45" s="1181"/>
      <c r="FSQ45" s="1181"/>
      <c r="FSR45" s="1181"/>
      <c r="FSS45" s="1181"/>
      <c r="FST45" s="1181"/>
      <c r="FSU45" s="1181"/>
      <c r="FSV45" s="1181"/>
      <c r="FSW45" s="1181"/>
      <c r="FSX45" s="1181"/>
      <c r="FSY45" s="1181"/>
      <c r="FSZ45" s="1181"/>
      <c r="FTA45" s="1181"/>
      <c r="FTB45" s="1181"/>
      <c r="FTC45" s="1181"/>
      <c r="FTD45" s="1181"/>
      <c r="FTE45" s="1181"/>
      <c r="FTF45" s="1181"/>
      <c r="FTG45" s="1181"/>
      <c r="FTH45" s="1181"/>
      <c r="FTI45" s="1181"/>
      <c r="FTJ45" s="1181"/>
      <c r="FTK45" s="1181"/>
      <c r="FTL45" s="1181"/>
      <c r="FTM45" s="1181"/>
      <c r="FTN45" s="1181"/>
      <c r="FTO45" s="1181"/>
      <c r="FTP45" s="1181"/>
      <c r="FTQ45" s="1181"/>
      <c r="FTR45" s="1181"/>
      <c r="FTS45" s="1181"/>
      <c r="FTT45" s="1181"/>
      <c r="FTU45" s="1181"/>
      <c r="FTV45" s="1181"/>
      <c r="FTW45" s="1181"/>
      <c r="FTX45" s="1181"/>
      <c r="FTY45" s="1181"/>
      <c r="FTZ45" s="1181"/>
      <c r="FUA45" s="1181"/>
      <c r="FUB45" s="1181"/>
      <c r="FUC45" s="1181"/>
      <c r="FUD45" s="1181"/>
      <c r="FUE45" s="1181"/>
      <c r="FUF45" s="1181"/>
      <c r="FUG45" s="1181"/>
      <c r="FUH45" s="1181"/>
      <c r="FUI45" s="1181"/>
      <c r="FUJ45" s="1181"/>
      <c r="FUK45" s="1181"/>
      <c r="FUL45" s="1181"/>
      <c r="FUM45" s="1181"/>
      <c r="FUN45" s="1181"/>
      <c r="FUO45" s="1181"/>
      <c r="FUP45" s="1181"/>
      <c r="FUQ45" s="1181"/>
      <c r="FUR45" s="1181"/>
      <c r="FUS45" s="1181"/>
      <c r="FUT45" s="1181"/>
      <c r="FUU45" s="1181"/>
      <c r="FUV45" s="1181"/>
      <c r="FUW45" s="1181"/>
      <c r="FUX45" s="1181"/>
      <c r="FUY45" s="1181"/>
      <c r="FUZ45" s="1181"/>
      <c r="FVA45" s="1181"/>
      <c r="FVB45" s="1181"/>
      <c r="FVC45" s="1181"/>
      <c r="FVD45" s="1181"/>
      <c r="FVE45" s="1181"/>
      <c r="FVF45" s="1181"/>
      <c r="FVG45" s="1181"/>
      <c r="FVH45" s="1181"/>
      <c r="FVI45" s="1181"/>
      <c r="FVJ45" s="1181"/>
      <c r="FVK45" s="1181"/>
      <c r="FVL45" s="1181"/>
      <c r="FVM45" s="1181"/>
      <c r="FVN45" s="1181"/>
      <c r="FVO45" s="1181"/>
      <c r="FVP45" s="1181"/>
      <c r="FVQ45" s="1181"/>
      <c r="FVR45" s="1181"/>
      <c r="FVS45" s="1181"/>
      <c r="FVT45" s="1181"/>
      <c r="FVU45" s="1181"/>
      <c r="FVV45" s="1181"/>
      <c r="FVW45" s="1181"/>
      <c r="FVX45" s="1181"/>
      <c r="FVY45" s="1181"/>
      <c r="FVZ45" s="1181"/>
      <c r="FWA45" s="1181"/>
      <c r="FWB45" s="1181"/>
      <c r="FWC45" s="1181"/>
      <c r="FWD45" s="1181"/>
      <c r="FWE45" s="1181"/>
      <c r="FWF45" s="1181"/>
      <c r="FWG45" s="1181"/>
      <c r="FWH45" s="1181"/>
      <c r="FWI45" s="1181"/>
      <c r="FWJ45" s="1181"/>
      <c r="FWK45" s="1181"/>
      <c r="FWL45" s="1181"/>
      <c r="FWM45" s="1181"/>
      <c r="FWN45" s="1181"/>
      <c r="FWO45" s="1181"/>
      <c r="FWP45" s="1181"/>
      <c r="FWQ45" s="1181"/>
      <c r="FWR45" s="1181"/>
      <c r="FWS45" s="1181"/>
      <c r="FWT45" s="1181"/>
      <c r="FWU45" s="1181"/>
      <c r="FWV45" s="1181"/>
      <c r="FWW45" s="1181"/>
      <c r="FWX45" s="1181"/>
      <c r="FWY45" s="1181"/>
      <c r="FWZ45" s="1181"/>
      <c r="FXA45" s="1181"/>
      <c r="FXB45" s="1181"/>
      <c r="FXC45" s="1181"/>
      <c r="FXD45" s="1181"/>
      <c r="FXE45" s="1181"/>
      <c r="FXF45" s="1181"/>
      <c r="FXG45" s="1181"/>
      <c r="FXH45" s="1181"/>
      <c r="FXI45" s="1181"/>
      <c r="FXJ45" s="1181"/>
      <c r="FXK45" s="1181"/>
      <c r="FXL45" s="1181"/>
      <c r="FXM45" s="1181"/>
      <c r="FXN45" s="1181"/>
      <c r="FXO45" s="1181"/>
      <c r="FXP45" s="1181"/>
      <c r="FXQ45" s="1181"/>
      <c r="FXR45" s="1181"/>
      <c r="FXS45" s="1181"/>
      <c r="FXT45" s="1181"/>
      <c r="FXU45" s="1181"/>
      <c r="FXV45" s="1181"/>
      <c r="FXW45" s="1181"/>
      <c r="FXX45" s="1181"/>
      <c r="FXY45" s="1181"/>
      <c r="FXZ45" s="1181"/>
      <c r="FYA45" s="1181"/>
      <c r="FYB45" s="1181"/>
      <c r="FYC45" s="1181"/>
      <c r="FYD45" s="1181"/>
      <c r="FYE45" s="1181"/>
      <c r="FYF45" s="1181"/>
      <c r="FYG45" s="1181"/>
      <c r="FYH45" s="1181"/>
      <c r="FYI45" s="1181"/>
      <c r="FYJ45" s="1181"/>
      <c r="FYK45" s="1181"/>
      <c r="FYL45" s="1181"/>
      <c r="FYM45" s="1181"/>
      <c r="FYN45" s="1181"/>
      <c r="FYO45" s="1181"/>
      <c r="FYP45" s="1181"/>
      <c r="FYQ45" s="1181"/>
      <c r="FYR45" s="1181"/>
      <c r="FYS45" s="1181"/>
      <c r="FYT45" s="1181"/>
      <c r="FYU45" s="1181"/>
      <c r="FYV45" s="1181"/>
      <c r="FYW45" s="1181"/>
      <c r="FYX45" s="1181"/>
      <c r="FYY45" s="1181"/>
      <c r="FYZ45" s="1181"/>
      <c r="FZA45" s="1181"/>
      <c r="FZB45" s="1181"/>
      <c r="FZC45" s="1181"/>
      <c r="FZD45" s="1181"/>
      <c r="FZE45" s="1181"/>
      <c r="FZF45" s="1181"/>
      <c r="FZG45" s="1181"/>
      <c r="FZH45" s="1181"/>
      <c r="FZI45" s="1181"/>
      <c r="FZJ45" s="1181"/>
      <c r="FZK45" s="1181"/>
      <c r="FZL45" s="1181"/>
      <c r="FZM45" s="1181"/>
      <c r="FZN45" s="1181"/>
      <c r="FZO45" s="1181"/>
      <c r="FZP45" s="1181"/>
      <c r="FZQ45" s="1181"/>
      <c r="FZR45" s="1181"/>
      <c r="FZS45" s="1181"/>
      <c r="FZT45" s="1181"/>
      <c r="FZU45" s="1181"/>
      <c r="FZV45" s="1181"/>
      <c r="FZW45" s="1181"/>
      <c r="FZX45" s="1181"/>
      <c r="FZY45" s="1181"/>
      <c r="FZZ45" s="1181"/>
      <c r="GAA45" s="1181"/>
      <c r="GAB45" s="1181"/>
      <c r="GAC45" s="1181"/>
      <c r="GAD45" s="1181"/>
      <c r="GAE45" s="1181"/>
      <c r="GAF45" s="1181"/>
      <c r="GAG45" s="1181"/>
      <c r="GAH45" s="1181"/>
      <c r="GAI45" s="1181"/>
      <c r="GAJ45" s="1181"/>
      <c r="GAK45" s="1181"/>
      <c r="GAL45" s="1181"/>
      <c r="GAM45" s="1181"/>
      <c r="GAN45" s="1181"/>
      <c r="GAO45" s="1181"/>
      <c r="GAP45" s="1181"/>
      <c r="GAQ45" s="1181"/>
      <c r="GAR45" s="1181"/>
      <c r="GAS45" s="1181"/>
      <c r="GAT45" s="1181"/>
      <c r="GAU45" s="1181"/>
      <c r="GAV45" s="1181"/>
      <c r="GAW45" s="1181"/>
      <c r="GAX45" s="1181"/>
      <c r="GAY45" s="1181"/>
      <c r="GAZ45" s="1181"/>
      <c r="GBA45" s="1181"/>
      <c r="GBB45" s="1181"/>
      <c r="GBC45" s="1181"/>
      <c r="GBD45" s="1181"/>
      <c r="GBE45" s="1181"/>
      <c r="GBF45" s="1181"/>
      <c r="GBG45" s="1181"/>
      <c r="GBH45" s="1181"/>
      <c r="GBI45" s="1181"/>
      <c r="GBJ45" s="1181"/>
      <c r="GBK45" s="1181"/>
      <c r="GBL45" s="1181"/>
      <c r="GBM45" s="1181"/>
      <c r="GBN45" s="1181"/>
      <c r="GBO45" s="1181"/>
      <c r="GBP45" s="1181"/>
      <c r="GBQ45" s="1181"/>
      <c r="GBR45" s="1181"/>
      <c r="GBS45" s="1181"/>
      <c r="GBT45" s="1181"/>
      <c r="GBU45" s="1181"/>
      <c r="GBV45" s="1181"/>
      <c r="GBW45" s="1181"/>
      <c r="GBX45" s="1181"/>
      <c r="GBY45" s="1181"/>
      <c r="GBZ45" s="1181"/>
      <c r="GCA45" s="1181"/>
      <c r="GCB45" s="1181"/>
      <c r="GCC45" s="1181"/>
      <c r="GCD45" s="1181"/>
      <c r="GCE45" s="1181"/>
      <c r="GCF45" s="1181"/>
      <c r="GCG45" s="1181"/>
      <c r="GCH45" s="1181"/>
      <c r="GCI45" s="1181"/>
      <c r="GCJ45" s="1181"/>
      <c r="GCK45" s="1181"/>
      <c r="GCL45" s="1181"/>
      <c r="GCM45" s="1181"/>
      <c r="GCN45" s="1181"/>
      <c r="GCO45" s="1181"/>
      <c r="GCP45" s="1181"/>
      <c r="GCQ45" s="1181"/>
      <c r="GCR45" s="1181"/>
      <c r="GCS45" s="1181"/>
      <c r="GCT45" s="1181"/>
      <c r="GCU45" s="1181"/>
      <c r="GCV45" s="1181"/>
      <c r="GCW45" s="1181"/>
      <c r="GCX45" s="1181"/>
      <c r="GCY45" s="1181"/>
      <c r="GCZ45" s="1181"/>
      <c r="GDA45" s="1181"/>
      <c r="GDB45" s="1181"/>
      <c r="GDC45" s="1181"/>
      <c r="GDD45" s="1181"/>
      <c r="GDE45" s="1181"/>
      <c r="GDF45" s="1181"/>
      <c r="GDG45" s="1181"/>
      <c r="GDH45" s="1181"/>
      <c r="GDI45" s="1181"/>
      <c r="GDJ45" s="1181"/>
      <c r="GDK45" s="1181"/>
      <c r="GDL45" s="1181"/>
      <c r="GDM45" s="1181"/>
      <c r="GDN45" s="1181"/>
      <c r="GDO45" s="1181"/>
      <c r="GDP45" s="1181"/>
      <c r="GDQ45" s="1181"/>
      <c r="GDR45" s="1181"/>
      <c r="GDS45" s="1181"/>
      <c r="GDT45" s="1181"/>
      <c r="GDU45" s="1181"/>
      <c r="GDV45" s="1181"/>
      <c r="GDW45" s="1181"/>
      <c r="GDX45" s="1181"/>
      <c r="GDY45" s="1181"/>
      <c r="GDZ45" s="1181"/>
      <c r="GEA45" s="1181"/>
      <c r="GEB45" s="1181"/>
      <c r="GEC45" s="1181"/>
      <c r="GED45" s="1181"/>
      <c r="GEE45" s="1181"/>
      <c r="GEF45" s="1181"/>
      <c r="GEG45" s="1181"/>
      <c r="GEH45" s="1181"/>
      <c r="GEI45" s="1181"/>
      <c r="GEJ45" s="1181"/>
      <c r="GEK45" s="1181"/>
      <c r="GEL45" s="1181"/>
      <c r="GEM45" s="1181"/>
      <c r="GEN45" s="1181"/>
      <c r="GEO45" s="1181"/>
      <c r="GEP45" s="1181"/>
      <c r="GEQ45" s="1181"/>
      <c r="GER45" s="1181"/>
      <c r="GES45" s="1181"/>
      <c r="GET45" s="1181"/>
      <c r="GEU45" s="1181"/>
      <c r="GEV45" s="1181"/>
      <c r="GEW45" s="1181"/>
      <c r="GEX45" s="1181"/>
      <c r="GEY45" s="1181"/>
      <c r="GEZ45" s="1181"/>
      <c r="GFA45" s="1181"/>
      <c r="GFB45" s="1181"/>
      <c r="GFC45" s="1181"/>
      <c r="GFD45" s="1181"/>
      <c r="GFE45" s="1181"/>
      <c r="GFF45" s="1181"/>
      <c r="GFG45" s="1181"/>
      <c r="GFH45" s="1181"/>
      <c r="GFI45" s="1181"/>
      <c r="GFJ45" s="1181"/>
      <c r="GFK45" s="1181"/>
      <c r="GFL45" s="1181"/>
      <c r="GFM45" s="1181"/>
      <c r="GFN45" s="1181"/>
      <c r="GFO45" s="1181"/>
      <c r="GFP45" s="1181"/>
      <c r="GFQ45" s="1181"/>
      <c r="GFR45" s="1181"/>
      <c r="GFS45" s="1181"/>
      <c r="GFT45" s="1181"/>
      <c r="GFU45" s="1181"/>
      <c r="GFV45" s="1181"/>
      <c r="GFW45" s="1181"/>
      <c r="GFX45" s="1181"/>
      <c r="GFY45" s="1181"/>
      <c r="GFZ45" s="1181"/>
      <c r="GGA45" s="1181"/>
      <c r="GGB45" s="1181"/>
      <c r="GGC45" s="1181"/>
      <c r="GGD45" s="1181"/>
      <c r="GGE45" s="1181"/>
      <c r="GGF45" s="1181"/>
      <c r="GGG45" s="1181"/>
      <c r="GGH45" s="1181"/>
      <c r="GGI45" s="1181"/>
      <c r="GGJ45" s="1181"/>
      <c r="GGK45" s="1181"/>
      <c r="GGL45" s="1181"/>
      <c r="GGM45" s="1181"/>
      <c r="GGN45" s="1181"/>
      <c r="GGO45" s="1181"/>
      <c r="GGP45" s="1181"/>
      <c r="GGQ45" s="1181"/>
      <c r="GGR45" s="1181"/>
      <c r="GGS45" s="1181"/>
      <c r="GGT45" s="1181"/>
      <c r="GGU45" s="1181"/>
      <c r="GGV45" s="1181"/>
      <c r="GGW45" s="1181"/>
      <c r="GGX45" s="1181"/>
      <c r="GGY45" s="1181"/>
      <c r="GGZ45" s="1181"/>
      <c r="GHA45" s="1181"/>
      <c r="GHB45" s="1181"/>
      <c r="GHC45" s="1181"/>
      <c r="GHD45" s="1181"/>
      <c r="GHE45" s="1181"/>
      <c r="GHF45" s="1181"/>
      <c r="GHG45" s="1181"/>
      <c r="GHH45" s="1181"/>
      <c r="GHI45" s="1181"/>
      <c r="GHJ45" s="1181"/>
      <c r="GHK45" s="1181"/>
      <c r="GHL45" s="1181"/>
      <c r="GHM45" s="1181"/>
      <c r="GHN45" s="1181"/>
      <c r="GHO45" s="1181"/>
      <c r="GHP45" s="1181"/>
      <c r="GHQ45" s="1181"/>
      <c r="GHR45" s="1181"/>
      <c r="GHS45" s="1181"/>
      <c r="GHT45" s="1181"/>
      <c r="GHU45" s="1181"/>
      <c r="GHV45" s="1181"/>
      <c r="GHW45" s="1181"/>
      <c r="GHX45" s="1181"/>
      <c r="GHY45" s="1181"/>
      <c r="GHZ45" s="1181"/>
      <c r="GIA45" s="1181"/>
      <c r="GIB45" s="1181"/>
      <c r="GIC45" s="1181"/>
      <c r="GID45" s="1181"/>
      <c r="GIE45" s="1181"/>
      <c r="GIF45" s="1181"/>
      <c r="GIG45" s="1181"/>
      <c r="GIH45" s="1181"/>
      <c r="GII45" s="1181"/>
      <c r="GIJ45" s="1181"/>
      <c r="GIK45" s="1181"/>
      <c r="GIL45" s="1181"/>
      <c r="GIM45" s="1181"/>
      <c r="GIN45" s="1181"/>
      <c r="GIO45" s="1181"/>
      <c r="GIP45" s="1181"/>
      <c r="GIQ45" s="1181"/>
      <c r="GIR45" s="1181"/>
      <c r="GIS45" s="1181"/>
      <c r="GIT45" s="1181"/>
      <c r="GIU45" s="1181"/>
      <c r="GIV45" s="1181"/>
      <c r="GIW45" s="1181"/>
      <c r="GIX45" s="1181"/>
      <c r="GIY45" s="1181"/>
      <c r="GIZ45" s="1181"/>
      <c r="GJA45" s="1181"/>
      <c r="GJB45" s="1181"/>
      <c r="GJC45" s="1181"/>
      <c r="GJD45" s="1181"/>
      <c r="GJE45" s="1181"/>
      <c r="GJF45" s="1181"/>
      <c r="GJG45" s="1181"/>
      <c r="GJH45" s="1181"/>
      <c r="GJI45" s="1181"/>
      <c r="GJJ45" s="1181"/>
      <c r="GJK45" s="1181"/>
      <c r="GJL45" s="1181"/>
      <c r="GJM45" s="1181"/>
      <c r="GJN45" s="1181"/>
      <c r="GJO45" s="1181"/>
      <c r="GJP45" s="1181"/>
      <c r="GJQ45" s="1181"/>
      <c r="GJR45" s="1181"/>
      <c r="GJS45" s="1181"/>
      <c r="GJT45" s="1181"/>
      <c r="GJU45" s="1181"/>
      <c r="GJV45" s="1181"/>
      <c r="GJW45" s="1181"/>
      <c r="GJX45" s="1181"/>
      <c r="GJY45" s="1181"/>
      <c r="GJZ45" s="1181"/>
      <c r="GKA45" s="1181"/>
      <c r="GKB45" s="1181"/>
      <c r="GKC45" s="1181"/>
      <c r="GKD45" s="1181"/>
      <c r="GKE45" s="1181"/>
      <c r="GKF45" s="1181"/>
      <c r="GKG45" s="1181"/>
      <c r="GKH45" s="1181"/>
      <c r="GKI45" s="1181"/>
      <c r="GKJ45" s="1181"/>
      <c r="GKK45" s="1181"/>
      <c r="GKL45" s="1181"/>
      <c r="GKM45" s="1181"/>
      <c r="GKN45" s="1181"/>
      <c r="GKO45" s="1181"/>
      <c r="GKP45" s="1181"/>
      <c r="GKQ45" s="1181"/>
      <c r="GKR45" s="1181"/>
      <c r="GKS45" s="1181"/>
      <c r="GKT45" s="1181"/>
      <c r="GKU45" s="1181"/>
      <c r="GKV45" s="1181"/>
      <c r="GKW45" s="1181"/>
      <c r="GKX45" s="1181"/>
      <c r="GKY45" s="1181"/>
      <c r="GKZ45" s="1181"/>
      <c r="GLA45" s="1181"/>
      <c r="GLB45" s="1181"/>
      <c r="GLC45" s="1181"/>
      <c r="GLD45" s="1181"/>
      <c r="GLE45" s="1181"/>
      <c r="GLF45" s="1181"/>
      <c r="GLG45" s="1181"/>
      <c r="GLH45" s="1181"/>
      <c r="GLI45" s="1181"/>
      <c r="GLJ45" s="1181"/>
      <c r="GLK45" s="1181"/>
      <c r="GLL45" s="1181"/>
      <c r="GLM45" s="1181"/>
      <c r="GLN45" s="1181"/>
      <c r="GLO45" s="1181"/>
      <c r="GLP45" s="1181"/>
      <c r="GLQ45" s="1181"/>
      <c r="GLR45" s="1181"/>
      <c r="GLS45" s="1181"/>
      <c r="GLT45" s="1181"/>
      <c r="GLU45" s="1181"/>
      <c r="GLV45" s="1181"/>
      <c r="GLW45" s="1181"/>
      <c r="GLX45" s="1181"/>
      <c r="GLY45" s="1181"/>
      <c r="GLZ45" s="1181"/>
      <c r="GMA45" s="1181"/>
      <c r="GMB45" s="1181"/>
      <c r="GMC45" s="1181"/>
      <c r="GMD45" s="1181"/>
      <c r="GME45" s="1181"/>
      <c r="GMF45" s="1181"/>
      <c r="GMG45" s="1181"/>
      <c r="GMH45" s="1181"/>
      <c r="GMI45" s="1181"/>
      <c r="GMJ45" s="1181"/>
      <c r="GMK45" s="1181"/>
      <c r="GML45" s="1181"/>
      <c r="GMM45" s="1181"/>
      <c r="GMN45" s="1181"/>
      <c r="GMO45" s="1181"/>
      <c r="GMP45" s="1181"/>
      <c r="GMQ45" s="1181"/>
      <c r="GMR45" s="1181"/>
      <c r="GMS45" s="1181"/>
      <c r="GMT45" s="1181"/>
      <c r="GMU45" s="1181"/>
      <c r="GMV45" s="1181"/>
      <c r="GMW45" s="1181"/>
      <c r="GMX45" s="1181"/>
      <c r="GMY45" s="1181"/>
      <c r="GMZ45" s="1181"/>
      <c r="GNA45" s="1181"/>
      <c r="GNB45" s="1181"/>
      <c r="GNC45" s="1181"/>
      <c r="GND45" s="1181"/>
      <c r="GNE45" s="1181"/>
      <c r="GNF45" s="1181"/>
      <c r="GNG45" s="1181"/>
      <c r="GNH45" s="1181"/>
      <c r="GNI45" s="1181"/>
      <c r="GNJ45" s="1181"/>
      <c r="GNK45" s="1181"/>
      <c r="GNL45" s="1181"/>
      <c r="GNM45" s="1181"/>
      <c r="GNN45" s="1181"/>
      <c r="GNO45" s="1181"/>
      <c r="GNP45" s="1181"/>
      <c r="GNQ45" s="1181"/>
      <c r="GNR45" s="1181"/>
      <c r="GNS45" s="1181"/>
      <c r="GNT45" s="1181"/>
      <c r="GNU45" s="1181"/>
      <c r="GNV45" s="1181"/>
      <c r="GNW45" s="1181"/>
      <c r="GNX45" s="1181"/>
      <c r="GNY45" s="1181"/>
      <c r="GNZ45" s="1181"/>
      <c r="GOA45" s="1181"/>
      <c r="GOB45" s="1181"/>
      <c r="GOC45" s="1181"/>
      <c r="GOD45" s="1181"/>
      <c r="GOE45" s="1181"/>
      <c r="GOF45" s="1181"/>
      <c r="GOG45" s="1181"/>
      <c r="GOH45" s="1181"/>
      <c r="GOI45" s="1181"/>
      <c r="GOJ45" s="1181"/>
      <c r="GOK45" s="1181"/>
      <c r="GOL45" s="1181"/>
      <c r="GOM45" s="1181"/>
      <c r="GON45" s="1181"/>
      <c r="GOO45" s="1181"/>
      <c r="GOP45" s="1181"/>
      <c r="GOQ45" s="1181"/>
      <c r="GOR45" s="1181"/>
      <c r="GOS45" s="1181"/>
      <c r="GOT45" s="1181"/>
      <c r="GOU45" s="1181"/>
      <c r="GOV45" s="1181"/>
      <c r="GOW45" s="1181"/>
      <c r="GOX45" s="1181"/>
      <c r="GOY45" s="1181"/>
      <c r="GOZ45" s="1181"/>
      <c r="GPA45" s="1181"/>
      <c r="GPB45" s="1181"/>
      <c r="GPC45" s="1181"/>
      <c r="GPD45" s="1181"/>
      <c r="GPE45" s="1181"/>
      <c r="GPF45" s="1181"/>
      <c r="GPG45" s="1181"/>
      <c r="GPH45" s="1181"/>
      <c r="GPI45" s="1181"/>
      <c r="GPJ45" s="1181"/>
      <c r="GPK45" s="1181"/>
      <c r="GPL45" s="1181"/>
      <c r="GPM45" s="1181"/>
      <c r="GPN45" s="1181"/>
      <c r="GPO45" s="1181"/>
      <c r="GPP45" s="1181"/>
      <c r="GPQ45" s="1181"/>
      <c r="GPR45" s="1181"/>
      <c r="GPS45" s="1181"/>
      <c r="GPT45" s="1181"/>
      <c r="GPU45" s="1181"/>
      <c r="GPV45" s="1181"/>
      <c r="GPW45" s="1181"/>
      <c r="GPX45" s="1181"/>
      <c r="GPY45" s="1181"/>
      <c r="GPZ45" s="1181"/>
      <c r="GQA45" s="1181"/>
      <c r="GQB45" s="1181"/>
      <c r="GQC45" s="1181"/>
      <c r="GQD45" s="1181"/>
      <c r="GQE45" s="1181"/>
      <c r="GQF45" s="1181"/>
      <c r="GQG45" s="1181"/>
      <c r="GQH45" s="1181"/>
      <c r="GQI45" s="1181"/>
      <c r="GQJ45" s="1181"/>
      <c r="GQK45" s="1181"/>
      <c r="GQL45" s="1181"/>
      <c r="GQM45" s="1181"/>
      <c r="GQN45" s="1181"/>
      <c r="GQO45" s="1181"/>
      <c r="GQP45" s="1181"/>
      <c r="GQQ45" s="1181"/>
      <c r="GQR45" s="1181"/>
      <c r="GQS45" s="1181"/>
      <c r="GQT45" s="1181"/>
      <c r="GQU45" s="1181"/>
      <c r="GQV45" s="1181"/>
      <c r="GQW45" s="1181"/>
      <c r="GQX45" s="1181"/>
      <c r="GQY45" s="1181"/>
      <c r="GQZ45" s="1181"/>
      <c r="GRA45" s="1181"/>
      <c r="GRB45" s="1181"/>
      <c r="GRC45" s="1181"/>
      <c r="GRD45" s="1181"/>
      <c r="GRE45" s="1181"/>
      <c r="GRF45" s="1181"/>
      <c r="GRG45" s="1181"/>
      <c r="GRH45" s="1181"/>
      <c r="GRI45" s="1181"/>
      <c r="GRJ45" s="1181"/>
      <c r="GRK45" s="1181"/>
      <c r="GRL45" s="1181"/>
      <c r="GRM45" s="1181"/>
      <c r="GRN45" s="1181"/>
      <c r="GRO45" s="1181"/>
      <c r="GRP45" s="1181"/>
      <c r="GRQ45" s="1181"/>
      <c r="GRR45" s="1181"/>
      <c r="GRS45" s="1181"/>
      <c r="GRT45" s="1181"/>
      <c r="GRU45" s="1181"/>
      <c r="GRV45" s="1181"/>
      <c r="GRW45" s="1181"/>
      <c r="GRX45" s="1181"/>
      <c r="GRY45" s="1181"/>
      <c r="GRZ45" s="1181"/>
      <c r="GSA45" s="1181"/>
      <c r="GSB45" s="1181"/>
      <c r="GSC45" s="1181"/>
      <c r="GSD45" s="1181"/>
      <c r="GSE45" s="1181"/>
      <c r="GSF45" s="1181"/>
      <c r="GSG45" s="1181"/>
      <c r="GSH45" s="1181"/>
      <c r="GSI45" s="1181"/>
      <c r="GSJ45" s="1181"/>
      <c r="GSK45" s="1181"/>
      <c r="GSL45" s="1181"/>
      <c r="GSM45" s="1181"/>
      <c r="GSN45" s="1181"/>
      <c r="GSO45" s="1181"/>
      <c r="GSP45" s="1181"/>
      <c r="GSQ45" s="1181"/>
      <c r="GSR45" s="1181"/>
      <c r="GSS45" s="1181"/>
      <c r="GST45" s="1181"/>
      <c r="GSU45" s="1181"/>
      <c r="GSV45" s="1181"/>
      <c r="GSW45" s="1181"/>
      <c r="GSX45" s="1181"/>
      <c r="GSY45" s="1181"/>
      <c r="GSZ45" s="1181"/>
      <c r="GTA45" s="1181"/>
      <c r="GTB45" s="1181"/>
      <c r="GTC45" s="1181"/>
      <c r="GTD45" s="1181"/>
      <c r="GTE45" s="1181"/>
      <c r="GTF45" s="1181"/>
      <c r="GTG45" s="1181"/>
      <c r="GTH45" s="1181"/>
      <c r="GTI45" s="1181"/>
      <c r="GTJ45" s="1181"/>
      <c r="GTK45" s="1181"/>
      <c r="GTL45" s="1181"/>
      <c r="GTM45" s="1181"/>
      <c r="GTN45" s="1181"/>
      <c r="GTO45" s="1181"/>
      <c r="GTP45" s="1181"/>
      <c r="GTQ45" s="1181"/>
      <c r="GTR45" s="1181"/>
      <c r="GTS45" s="1181"/>
      <c r="GTT45" s="1181"/>
      <c r="GTU45" s="1181"/>
      <c r="GTV45" s="1181"/>
      <c r="GTW45" s="1181"/>
      <c r="GTX45" s="1181"/>
      <c r="GTY45" s="1181"/>
      <c r="GTZ45" s="1181"/>
      <c r="GUA45" s="1181"/>
      <c r="GUB45" s="1181"/>
      <c r="GUC45" s="1181"/>
      <c r="GUD45" s="1181"/>
      <c r="GUE45" s="1181"/>
      <c r="GUF45" s="1181"/>
      <c r="GUG45" s="1181"/>
      <c r="GUH45" s="1181"/>
      <c r="GUI45" s="1181"/>
      <c r="GUJ45" s="1181"/>
      <c r="GUK45" s="1181"/>
      <c r="GUL45" s="1181"/>
      <c r="GUM45" s="1181"/>
      <c r="GUN45" s="1181"/>
      <c r="GUO45" s="1181"/>
      <c r="GUP45" s="1181"/>
      <c r="GUQ45" s="1181"/>
      <c r="GUR45" s="1181"/>
      <c r="GUS45" s="1181"/>
      <c r="GUT45" s="1181"/>
      <c r="GUU45" s="1181"/>
      <c r="GUV45" s="1181"/>
      <c r="GUW45" s="1181"/>
      <c r="GUX45" s="1181"/>
      <c r="GUY45" s="1181"/>
      <c r="GUZ45" s="1181"/>
      <c r="GVA45" s="1181"/>
      <c r="GVB45" s="1181"/>
      <c r="GVC45" s="1181"/>
      <c r="GVD45" s="1181"/>
      <c r="GVE45" s="1181"/>
      <c r="GVF45" s="1181"/>
      <c r="GVG45" s="1181"/>
      <c r="GVH45" s="1181"/>
      <c r="GVI45" s="1181"/>
      <c r="GVJ45" s="1181"/>
      <c r="GVK45" s="1181"/>
      <c r="GVL45" s="1181"/>
      <c r="GVM45" s="1181"/>
      <c r="GVN45" s="1181"/>
      <c r="GVO45" s="1181"/>
      <c r="GVP45" s="1181"/>
      <c r="GVQ45" s="1181"/>
      <c r="GVR45" s="1181"/>
      <c r="GVS45" s="1181"/>
      <c r="GVT45" s="1181"/>
      <c r="GVU45" s="1181"/>
      <c r="GVV45" s="1181"/>
      <c r="GVW45" s="1181"/>
      <c r="GVX45" s="1181"/>
      <c r="GVY45" s="1181"/>
      <c r="GVZ45" s="1181"/>
      <c r="GWA45" s="1181"/>
      <c r="GWB45" s="1181"/>
      <c r="GWC45" s="1181"/>
      <c r="GWD45" s="1181"/>
      <c r="GWE45" s="1181"/>
      <c r="GWF45" s="1181"/>
      <c r="GWG45" s="1181"/>
      <c r="GWH45" s="1181"/>
      <c r="GWI45" s="1181"/>
      <c r="GWJ45" s="1181"/>
      <c r="GWK45" s="1181"/>
      <c r="GWL45" s="1181"/>
      <c r="GWM45" s="1181"/>
      <c r="GWN45" s="1181"/>
      <c r="GWO45" s="1181"/>
      <c r="GWP45" s="1181"/>
      <c r="GWQ45" s="1181"/>
      <c r="GWR45" s="1181"/>
      <c r="GWS45" s="1181"/>
      <c r="GWT45" s="1181"/>
      <c r="GWU45" s="1181"/>
      <c r="GWV45" s="1181"/>
      <c r="GWW45" s="1181"/>
      <c r="GWX45" s="1181"/>
      <c r="GWY45" s="1181"/>
      <c r="GWZ45" s="1181"/>
      <c r="GXA45" s="1181"/>
      <c r="GXB45" s="1181"/>
      <c r="GXC45" s="1181"/>
      <c r="GXD45" s="1181"/>
      <c r="GXE45" s="1181"/>
      <c r="GXF45" s="1181"/>
      <c r="GXG45" s="1181"/>
      <c r="GXH45" s="1181"/>
      <c r="GXI45" s="1181"/>
      <c r="GXJ45" s="1181"/>
      <c r="GXK45" s="1181"/>
      <c r="GXL45" s="1181"/>
      <c r="GXM45" s="1181"/>
      <c r="GXN45" s="1181"/>
      <c r="GXO45" s="1181"/>
      <c r="GXP45" s="1181"/>
      <c r="GXQ45" s="1181"/>
      <c r="GXR45" s="1181"/>
      <c r="GXS45" s="1181"/>
      <c r="GXT45" s="1181"/>
      <c r="GXU45" s="1181"/>
      <c r="GXV45" s="1181"/>
      <c r="GXW45" s="1181"/>
      <c r="GXX45" s="1181"/>
      <c r="GXY45" s="1181"/>
      <c r="GXZ45" s="1181"/>
      <c r="GYA45" s="1181"/>
      <c r="GYB45" s="1181"/>
      <c r="GYC45" s="1181"/>
      <c r="GYD45" s="1181"/>
      <c r="GYE45" s="1181"/>
      <c r="GYF45" s="1181"/>
      <c r="GYG45" s="1181"/>
      <c r="GYH45" s="1181"/>
      <c r="GYI45" s="1181"/>
      <c r="GYJ45" s="1181"/>
      <c r="GYK45" s="1181"/>
      <c r="GYL45" s="1181"/>
      <c r="GYM45" s="1181"/>
      <c r="GYN45" s="1181"/>
      <c r="GYO45" s="1181"/>
      <c r="GYP45" s="1181"/>
      <c r="GYQ45" s="1181"/>
      <c r="GYR45" s="1181"/>
      <c r="GYS45" s="1181"/>
      <c r="GYT45" s="1181"/>
      <c r="GYU45" s="1181"/>
      <c r="GYV45" s="1181"/>
      <c r="GYW45" s="1181"/>
      <c r="GYX45" s="1181"/>
      <c r="GYY45" s="1181"/>
      <c r="GYZ45" s="1181"/>
      <c r="GZA45" s="1181"/>
      <c r="GZB45" s="1181"/>
      <c r="GZC45" s="1181"/>
      <c r="GZD45" s="1181"/>
      <c r="GZE45" s="1181"/>
      <c r="GZF45" s="1181"/>
      <c r="GZG45" s="1181"/>
      <c r="GZH45" s="1181"/>
      <c r="GZI45" s="1181"/>
      <c r="GZJ45" s="1181"/>
      <c r="GZK45" s="1181"/>
      <c r="GZL45" s="1181"/>
      <c r="GZM45" s="1181"/>
      <c r="GZN45" s="1181"/>
      <c r="GZO45" s="1181"/>
      <c r="GZP45" s="1181"/>
      <c r="GZQ45" s="1181"/>
      <c r="GZR45" s="1181"/>
      <c r="GZS45" s="1181"/>
      <c r="GZT45" s="1181"/>
      <c r="GZU45" s="1181"/>
      <c r="GZV45" s="1181"/>
      <c r="GZW45" s="1181"/>
      <c r="GZX45" s="1181"/>
      <c r="GZY45" s="1181"/>
      <c r="GZZ45" s="1181"/>
      <c r="HAA45" s="1181"/>
      <c r="HAB45" s="1181"/>
      <c r="HAC45" s="1181"/>
      <c r="HAD45" s="1181"/>
      <c r="HAE45" s="1181"/>
      <c r="HAF45" s="1181"/>
      <c r="HAG45" s="1181"/>
      <c r="HAH45" s="1181"/>
      <c r="HAI45" s="1181"/>
      <c r="HAJ45" s="1181"/>
      <c r="HAK45" s="1181"/>
      <c r="HAL45" s="1181"/>
      <c r="HAM45" s="1181"/>
      <c r="HAN45" s="1181"/>
      <c r="HAO45" s="1181"/>
      <c r="HAP45" s="1181"/>
      <c r="HAQ45" s="1181"/>
      <c r="HAR45" s="1181"/>
      <c r="HAS45" s="1181"/>
      <c r="HAT45" s="1181"/>
      <c r="HAU45" s="1181"/>
      <c r="HAV45" s="1181"/>
      <c r="HAW45" s="1181"/>
      <c r="HAX45" s="1181"/>
      <c r="HAY45" s="1181"/>
      <c r="HAZ45" s="1181"/>
      <c r="HBA45" s="1181"/>
      <c r="HBB45" s="1181"/>
      <c r="HBC45" s="1181"/>
      <c r="HBD45" s="1181"/>
      <c r="HBE45" s="1181"/>
      <c r="HBF45" s="1181"/>
      <c r="HBG45" s="1181"/>
      <c r="HBH45" s="1181"/>
      <c r="HBI45" s="1181"/>
      <c r="HBJ45" s="1181"/>
      <c r="HBK45" s="1181"/>
      <c r="HBL45" s="1181"/>
      <c r="HBM45" s="1181"/>
      <c r="HBN45" s="1181"/>
      <c r="HBO45" s="1181"/>
      <c r="HBP45" s="1181"/>
      <c r="HBQ45" s="1181"/>
      <c r="HBR45" s="1181"/>
      <c r="HBS45" s="1181"/>
      <c r="HBT45" s="1181"/>
      <c r="HBU45" s="1181"/>
      <c r="HBV45" s="1181"/>
      <c r="HBW45" s="1181"/>
      <c r="HBX45" s="1181"/>
      <c r="HBY45" s="1181"/>
      <c r="HBZ45" s="1181"/>
      <c r="HCA45" s="1181"/>
      <c r="HCB45" s="1181"/>
      <c r="HCC45" s="1181"/>
      <c r="HCD45" s="1181"/>
      <c r="HCE45" s="1181"/>
      <c r="HCF45" s="1181"/>
      <c r="HCG45" s="1181"/>
      <c r="HCH45" s="1181"/>
      <c r="HCI45" s="1181"/>
      <c r="HCJ45" s="1181"/>
      <c r="HCK45" s="1181"/>
      <c r="HCL45" s="1181"/>
      <c r="HCM45" s="1181"/>
      <c r="HCN45" s="1181"/>
      <c r="HCO45" s="1181"/>
      <c r="HCP45" s="1181"/>
      <c r="HCQ45" s="1181"/>
      <c r="HCR45" s="1181"/>
      <c r="HCS45" s="1181"/>
      <c r="HCT45" s="1181"/>
      <c r="HCU45" s="1181"/>
      <c r="HCV45" s="1181"/>
      <c r="HCW45" s="1181"/>
      <c r="HCX45" s="1181"/>
      <c r="HCY45" s="1181"/>
      <c r="HCZ45" s="1181"/>
      <c r="HDA45" s="1181"/>
      <c r="HDB45" s="1181"/>
      <c r="HDC45" s="1181"/>
      <c r="HDD45" s="1181"/>
      <c r="HDE45" s="1181"/>
      <c r="HDF45" s="1181"/>
      <c r="HDG45" s="1181"/>
      <c r="HDH45" s="1181"/>
      <c r="HDI45" s="1181"/>
      <c r="HDJ45" s="1181"/>
      <c r="HDK45" s="1181"/>
      <c r="HDL45" s="1181"/>
      <c r="HDM45" s="1181"/>
      <c r="HDN45" s="1181"/>
      <c r="HDO45" s="1181"/>
      <c r="HDP45" s="1181"/>
      <c r="HDQ45" s="1181"/>
      <c r="HDR45" s="1181"/>
      <c r="HDS45" s="1181"/>
      <c r="HDT45" s="1181"/>
      <c r="HDU45" s="1181"/>
      <c r="HDV45" s="1181"/>
      <c r="HDW45" s="1181"/>
      <c r="HDX45" s="1181"/>
      <c r="HDY45" s="1181"/>
      <c r="HDZ45" s="1181"/>
      <c r="HEA45" s="1181"/>
      <c r="HEB45" s="1181"/>
      <c r="HEC45" s="1181"/>
      <c r="HED45" s="1181"/>
      <c r="HEE45" s="1181"/>
      <c r="HEF45" s="1181"/>
      <c r="HEG45" s="1181"/>
      <c r="HEH45" s="1181"/>
      <c r="HEI45" s="1181"/>
      <c r="HEJ45" s="1181"/>
      <c r="HEK45" s="1181"/>
      <c r="HEL45" s="1181"/>
      <c r="HEM45" s="1181"/>
      <c r="HEN45" s="1181"/>
      <c r="HEO45" s="1181"/>
      <c r="HEP45" s="1181"/>
      <c r="HEQ45" s="1181"/>
      <c r="HER45" s="1181"/>
      <c r="HES45" s="1181"/>
      <c r="HET45" s="1181"/>
      <c r="HEU45" s="1181"/>
      <c r="HEV45" s="1181"/>
      <c r="HEW45" s="1181"/>
      <c r="HEX45" s="1181"/>
      <c r="HEY45" s="1181"/>
      <c r="HEZ45" s="1181"/>
      <c r="HFA45" s="1181"/>
      <c r="HFB45" s="1181"/>
      <c r="HFC45" s="1181"/>
      <c r="HFD45" s="1181"/>
      <c r="HFE45" s="1181"/>
      <c r="HFF45" s="1181"/>
      <c r="HFG45" s="1181"/>
      <c r="HFH45" s="1181"/>
      <c r="HFI45" s="1181"/>
      <c r="HFJ45" s="1181"/>
      <c r="HFK45" s="1181"/>
      <c r="HFL45" s="1181"/>
      <c r="HFM45" s="1181"/>
      <c r="HFN45" s="1181"/>
      <c r="HFO45" s="1181"/>
      <c r="HFP45" s="1181"/>
      <c r="HFQ45" s="1181"/>
      <c r="HFR45" s="1181"/>
      <c r="HFS45" s="1181"/>
      <c r="HFT45" s="1181"/>
      <c r="HFU45" s="1181"/>
      <c r="HFV45" s="1181"/>
      <c r="HFW45" s="1181"/>
      <c r="HFX45" s="1181"/>
      <c r="HFY45" s="1181"/>
      <c r="HFZ45" s="1181"/>
      <c r="HGA45" s="1181"/>
      <c r="HGB45" s="1181"/>
      <c r="HGC45" s="1181"/>
      <c r="HGD45" s="1181"/>
      <c r="HGE45" s="1181"/>
      <c r="HGF45" s="1181"/>
      <c r="HGG45" s="1181"/>
      <c r="HGH45" s="1181"/>
      <c r="HGI45" s="1181"/>
      <c r="HGJ45" s="1181"/>
      <c r="HGK45" s="1181"/>
      <c r="HGL45" s="1181"/>
      <c r="HGM45" s="1181"/>
      <c r="HGN45" s="1181"/>
      <c r="HGO45" s="1181"/>
      <c r="HGP45" s="1181"/>
      <c r="HGQ45" s="1181"/>
      <c r="HGR45" s="1181"/>
      <c r="HGS45" s="1181"/>
      <c r="HGT45" s="1181"/>
      <c r="HGU45" s="1181"/>
      <c r="HGV45" s="1181"/>
      <c r="HGW45" s="1181"/>
      <c r="HGX45" s="1181"/>
      <c r="HGY45" s="1181"/>
      <c r="HGZ45" s="1181"/>
      <c r="HHA45" s="1181"/>
      <c r="HHB45" s="1181"/>
      <c r="HHC45" s="1181"/>
      <c r="HHD45" s="1181"/>
      <c r="HHE45" s="1181"/>
      <c r="HHF45" s="1181"/>
      <c r="HHG45" s="1181"/>
      <c r="HHH45" s="1181"/>
      <c r="HHI45" s="1181"/>
      <c r="HHJ45" s="1181"/>
      <c r="HHK45" s="1181"/>
      <c r="HHL45" s="1181"/>
      <c r="HHM45" s="1181"/>
      <c r="HHN45" s="1181"/>
      <c r="HHO45" s="1181"/>
      <c r="HHP45" s="1181"/>
      <c r="HHQ45" s="1181"/>
      <c r="HHR45" s="1181"/>
      <c r="HHS45" s="1181"/>
      <c r="HHT45" s="1181"/>
      <c r="HHU45" s="1181"/>
      <c r="HHV45" s="1181"/>
      <c r="HHW45" s="1181"/>
      <c r="HHX45" s="1181"/>
      <c r="HHY45" s="1181"/>
      <c r="HHZ45" s="1181"/>
      <c r="HIA45" s="1181"/>
      <c r="HIB45" s="1181"/>
      <c r="HIC45" s="1181"/>
      <c r="HID45" s="1181"/>
      <c r="HIE45" s="1181"/>
      <c r="HIF45" s="1181"/>
      <c r="HIG45" s="1181"/>
      <c r="HIH45" s="1181"/>
      <c r="HII45" s="1181"/>
      <c r="HIJ45" s="1181"/>
      <c r="HIK45" s="1181"/>
      <c r="HIL45" s="1181"/>
      <c r="HIM45" s="1181"/>
      <c r="HIN45" s="1181"/>
      <c r="HIO45" s="1181"/>
      <c r="HIP45" s="1181"/>
      <c r="HIQ45" s="1181"/>
      <c r="HIR45" s="1181"/>
      <c r="HIS45" s="1181"/>
      <c r="HIT45" s="1181"/>
      <c r="HIU45" s="1181"/>
      <c r="HIV45" s="1181"/>
      <c r="HIW45" s="1181"/>
      <c r="HIX45" s="1181"/>
      <c r="HIY45" s="1181"/>
      <c r="HIZ45" s="1181"/>
      <c r="HJA45" s="1181"/>
      <c r="HJB45" s="1181"/>
      <c r="HJC45" s="1181"/>
      <c r="HJD45" s="1181"/>
      <c r="HJE45" s="1181"/>
      <c r="HJF45" s="1181"/>
      <c r="HJG45" s="1181"/>
      <c r="HJH45" s="1181"/>
      <c r="HJI45" s="1181"/>
      <c r="HJJ45" s="1181"/>
      <c r="HJK45" s="1181"/>
      <c r="HJL45" s="1181"/>
      <c r="HJM45" s="1181"/>
      <c r="HJN45" s="1181"/>
      <c r="HJO45" s="1181"/>
      <c r="HJP45" s="1181"/>
      <c r="HJQ45" s="1181"/>
      <c r="HJR45" s="1181"/>
      <c r="HJS45" s="1181"/>
      <c r="HJT45" s="1181"/>
      <c r="HJU45" s="1181"/>
      <c r="HJV45" s="1181"/>
      <c r="HJW45" s="1181"/>
      <c r="HJX45" s="1181"/>
      <c r="HJY45" s="1181"/>
      <c r="HJZ45" s="1181"/>
      <c r="HKA45" s="1181"/>
      <c r="HKB45" s="1181"/>
      <c r="HKC45" s="1181"/>
      <c r="HKD45" s="1181"/>
      <c r="HKE45" s="1181"/>
      <c r="HKF45" s="1181"/>
      <c r="HKG45" s="1181"/>
      <c r="HKH45" s="1181"/>
      <c r="HKI45" s="1181"/>
      <c r="HKJ45" s="1181"/>
      <c r="HKK45" s="1181"/>
      <c r="HKL45" s="1181"/>
      <c r="HKM45" s="1181"/>
      <c r="HKN45" s="1181"/>
      <c r="HKO45" s="1181"/>
      <c r="HKP45" s="1181"/>
      <c r="HKQ45" s="1181"/>
      <c r="HKR45" s="1181"/>
      <c r="HKS45" s="1181"/>
      <c r="HKT45" s="1181"/>
      <c r="HKU45" s="1181"/>
      <c r="HKV45" s="1181"/>
      <c r="HKW45" s="1181"/>
      <c r="HKX45" s="1181"/>
      <c r="HKY45" s="1181"/>
      <c r="HKZ45" s="1181"/>
      <c r="HLA45" s="1181"/>
      <c r="HLB45" s="1181"/>
      <c r="HLC45" s="1181"/>
      <c r="HLD45" s="1181"/>
      <c r="HLE45" s="1181"/>
      <c r="HLF45" s="1181"/>
      <c r="HLG45" s="1181"/>
      <c r="HLH45" s="1181"/>
      <c r="HLI45" s="1181"/>
      <c r="HLJ45" s="1181"/>
      <c r="HLK45" s="1181"/>
      <c r="HLL45" s="1181"/>
      <c r="HLM45" s="1181"/>
      <c r="HLN45" s="1181"/>
      <c r="HLO45" s="1181"/>
      <c r="HLP45" s="1181"/>
      <c r="HLQ45" s="1181"/>
      <c r="HLR45" s="1181"/>
      <c r="HLS45" s="1181"/>
      <c r="HLT45" s="1181"/>
      <c r="HLU45" s="1181"/>
      <c r="HLV45" s="1181"/>
      <c r="HLW45" s="1181"/>
      <c r="HLX45" s="1181"/>
      <c r="HLY45" s="1181"/>
      <c r="HLZ45" s="1181"/>
      <c r="HMA45" s="1181"/>
      <c r="HMB45" s="1181"/>
      <c r="HMC45" s="1181"/>
      <c r="HMD45" s="1181"/>
      <c r="HME45" s="1181"/>
      <c r="HMF45" s="1181"/>
      <c r="HMG45" s="1181"/>
      <c r="HMH45" s="1181"/>
      <c r="HMI45" s="1181"/>
      <c r="HMJ45" s="1181"/>
      <c r="HMK45" s="1181"/>
      <c r="HML45" s="1181"/>
      <c r="HMM45" s="1181"/>
      <c r="HMN45" s="1181"/>
      <c r="HMO45" s="1181"/>
      <c r="HMP45" s="1181"/>
      <c r="HMQ45" s="1181"/>
      <c r="HMR45" s="1181"/>
      <c r="HMS45" s="1181"/>
      <c r="HMT45" s="1181"/>
      <c r="HMU45" s="1181"/>
      <c r="HMV45" s="1181"/>
      <c r="HMW45" s="1181"/>
      <c r="HMX45" s="1181"/>
      <c r="HMY45" s="1181"/>
      <c r="HMZ45" s="1181"/>
      <c r="HNA45" s="1181"/>
      <c r="HNB45" s="1181"/>
      <c r="HNC45" s="1181"/>
      <c r="HND45" s="1181"/>
      <c r="HNE45" s="1181"/>
      <c r="HNF45" s="1181"/>
      <c r="HNG45" s="1181"/>
      <c r="HNH45" s="1181"/>
      <c r="HNI45" s="1181"/>
      <c r="HNJ45" s="1181"/>
      <c r="HNK45" s="1181"/>
      <c r="HNL45" s="1181"/>
      <c r="HNM45" s="1181"/>
      <c r="HNN45" s="1181"/>
      <c r="HNO45" s="1181"/>
      <c r="HNP45" s="1181"/>
      <c r="HNQ45" s="1181"/>
      <c r="HNR45" s="1181"/>
      <c r="HNS45" s="1181"/>
      <c r="HNT45" s="1181"/>
      <c r="HNU45" s="1181"/>
      <c r="HNV45" s="1181"/>
      <c r="HNW45" s="1181"/>
      <c r="HNX45" s="1181"/>
      <c r="HNY45" s="1181"/>
      <c r="HNZ45" s="1181"/>
      <c r="HOA45" s="1181"/>
      <c r="HOB45" s="1181"/>
      <c r="HOC45" s="1181"/>
      <c r="HOD45" s="1181"/>
      <c r="HOE45" s="1181"/>
      <c r="HOF45" s="1181"/>
      <c r="HOG45" s="1181"/>
      <c r="HOH45" s="1181"/>
      <c r="HOI45" s="1181"/>
      <c r="HOJ45" s="1181"/>
      <c r="HOK45" s="1181"/>
      <c r="HOL45" s="1181"/>
      <c r="HOM45" s="1181"/>
      <c r="HON45" s="1181"/>
      <c r="HOO45" s="1181"/>
      <c r="HOP45" s="1181"/>
      <c r="HOQ45" s="1181"/>
      <c r="HOR45" s="1181"/>
      <c r="HOS45" s="1181"/>
      <c r="HOT45" s="1181"/>
      <c r="HOU45" s="1181"/>
      <c r="HOV45" s="1181"/>
      <c r="HOW45" s="1181"/>
      <c r="HOX45" s="1181"/>
      <c r="HOY45" s="1181"/>
      <c r="HOZ45" s="1181"/>
      <c r="HPA45" s="1181"/>
      <c r="HPB45" s="1181"/>
      <c r="HPC45" s="1181"/>
      <c r="HPD45" s="1181"/>
      <c r="HPE45" s="1181"/>
      <c r="HPF45" s="1181"/>
      <c r="HPG45" s="1181"/>
      <c r="HPH45" s="1181"/>
      <c r="HPI45" s="1181"/>
      <c r="HPJ45" s="1181"/>
      <c r="HPK45" s="1181"/>
      <c r="HPL45" s="1181"/>
      <c r="HPM45" s="1181"/>
      <c r="HPN45" s="1181"/>
      <c r="HPO45" s="1181"/>
      <c r="HPP45" s="1181"/>
      <c r="HPQ45" s="1181"/>
      <c r="HPR45" s="1181"/>
      <c r="HPS45" s="1181"/>
      <c r="HPT45" s="1181"/>
      <c r="HPU45" s="1181"/>
      <c r="HPV45" s="1181"/>
      <c r="HPW45" s="1181"/>
      <c r="HPX45" s="1181"/>
      <c r="HPY45" s="1181"/>
      <c r="HPZ45" s="1181"/>
      <c r="HQA45" s="1181"/>
      <c r="HQB45" s="1181"/>
      <c r="HQC45" s="1181"/>
      <c r="HQD45" s="1181"/>
      <c r="HQE45" s="1181"/>
      <c r="HQF45" s="1181"/>
      <c r="HQG45" s="1181"/>
      <c r="HQH45" s="1181"/>
      <c r="HQI45" s="1181"/>
      <c r="HQJ45" s="1181"/>
      <c r="HQK45" s="1181"/>
      <c r="HQL45" s="1181"/>
      <c r="HQM45" s="1181"/>
      <c r="HQN45" s="1181"/>
      <c r="HQO45" s="1181"/>
      <c r="HQP45" s="1181"/>
      <c r="HQQ45" s="1181"/>
      <c r="HQR45" s="1181"/>
      <c r="HQS45" s="1181"/>
      <c r="HQT45" s="1181"/>
      <c r="HQU45" s="1181"/>
      <c r="HQV45" s="1181"/>
      <c r="HQW45" s="1181"/>
      <c r="HQX45" s="1181"/>
      <c r="HQY45" s="1181"/>
      <c r="HQZ45" s="1181"/>
      <c r="HRA45" s="1181"/>
      <c r="HRB45" s="1181"/>
      <c r="HRC45" s="1181"/>
      <c r="HRD45" s="1181"/>
      <c r="HRE45" s="1181"/>
      <c r="HRF45" s="1181"/>
      <c r="HRG45" s="1181"/>
      <c r="HRH45" s="1181"/>
      <c r="HRI45" s="1181"/>
      <c r="HRJ45" s="1181"/>
      <c r="HRK45" s="1181"/>
      <c r="HRL45" s="1181"/>
      <c r="HRM45" s="1181"/>
      <c r="HRN45" s="1181"/>
      <c r="HRO45" s="1181"/>
      <c r="HRP45" s="1181"/>
      <c r="HRQ45" s="1181"/>
      <c r="HRR45" s="1181"/>
      <c r="HRS45" s="1181"/>
      <c r="HRT45" s="1181"/>
      <c r="HRU45" s="1181"/>
      <c r="HRV45" s="1181"/>
      <c r="HRW45" s="1181"/>
      <c r="HRX45" s="1181"/>
      <c r="HRY45" s="1181"/>
      <c r="HRZ45" s="1181"/>
      <c r="HSA45" s="1181"/>
      <c r="HSB45" s="1181"/>
      <c r="HSC45" s="1181"/>
      <c r="HSD45" s="1181"/>
      <c r="HSE45" s="1181"/>
      <c r="HSF45" s="1181"/>
      <c r="HSG45" s="1181"/>
      <c r="HSH45" s="1181"/>
      <c r="HSI45" s="1181"/>
      <c r="HSJ45" s="1181"/>
      <c r="HSK45" s="1181"/>
      <c r="HSL45" s="1181"/>
      <c r="HSM45" s="1181"/>
      <c r="HSN45" s="1181"/>
      <c r="HSO45" s="1181"/>
      <c r="HSP45" s="1181"/>
      <c r="HSQ45" s="1181"/>
      <c r="HSR45" s="1181"/>
      <c r="HSS45" s="1181"/>
      <c r="HST45" s="1181"/>
      <c r="HSU45" s="1181"/>
      <c r="HSV45" s="1181"/>
      <c r="HSW45" s="1181"/>
      <c r="HSX45" s="1181"/>
      <c r="HSY45" s="1181"/>
      <c r="HSZ45" s="1181"/>
      <c r="HTA45" s="1181"/>
      <c r="HTB45" s="1181"/>
      <c r="HTC45" s="1181"/>
      <c r="HTD45" s="1181"/>
      <c r="HTE45" s="1181"/>
      <c r="HTF45" s="1181"/>
      <c r="HTG45" s="1181"/>
      <c r="HTH45" s="1181"/>
      <c r="HTI45" s="1181"/>
      <c r="HTJ45" s="1181"/>
      <c r="HTK45" s="1181"/>
      <c r="HTL45" s="1181"/>
      <c r="HTM45" s="1181"/>
      <c r="HTN45" s="1181"/>
      <c r="HTO45" s="1181"/>
      <c r="HTP45" s="1181"/>
      <c r="HTQ45" s="1181"/>
      <c r="HTR45" s="1181"/>
      <c r="HTS45" s="1181"/>
      <c r="HTT45" s="1181"/>
      <c r="HTU45" s="1181"/>
      <c r="HTV45" s="1181"/>
      <c r="HTW45" s="1181"/>
      <c r="HTX45" s="1181"/>
      <c r="HTY45" s="1181"/>
      <c r="HTZ45" s="1181"/>
      <c r="HUA45" s="1181"/>
      <c r="HUB45" s="1181"/>
      <c r="HUC45" s="1181"/>
      <c r="HUD45" s="1181"/>
      <c r="HUE45" s="1181"/>
      <c r="HUF45" s="1181"/>
      <c r="HUG45" s="1181"/>
      <c r="HUH45" s="1181"/>
      <c r="HUI45" s="1181"/>
      <c r="HUJ45" s="1181"/>
      <c r="HUK45" s="1181"/>
      <c r="HUL45" s="1181"/>
      <c r="HUM45" s="1181"/>
      <c r="HUN45" s="1181"/>
      <c r="HUO45" s="1181"/>
      <c r="HUP45" s="1181"/>
      <c r="HUQ45" s="1181"/>
      <c r="HUR45" s="1181"/>
      <c r="HUS45" s="1181"/>
      <c r="HUT45" s="1181"/>
      <c r="HUU45" s="1181"/>
      <c r="HUV45" s="1181"/>
      <c r="HUW45" s="1181"/>
      <c r="HUX45" s="1181"/>
      <c r="HUY45" s="1181"/>
      <c r="HUZ45" s="1181"/>
      <c r="HVA45" s="1181"/>
      <c r="HVB45" s="1181"/>
      <c r="HVC45" s="1181"/>
      <c r="HVD45" s="1181"/>
      <c r="HVE45" s="1181"/>
      <c r="HVF45" s="1181"/>
      <c r="HVG45" s="1181"/>
      <c r="HVH45" s="1181"/>
      <c r="HVI45" s="1181"/>
      <c r="HVJ45" s="1181"/>
      <c r="HVK45" s="1181"/>
      <c r="HVL45" s="1181"/>
      <c r="HVM45" s="1181"/>
      <c r="HVN45" s="1181"/>
      <c r="HVO45" s="1181"/>
      <c r="HVP45" s="1181"/>
      <c r="HVQ45" s="1181"/>
      <c r="HVR45" s="1181"/>
      <c r="HVS45" s="1181"/>
      <c r="HVT45" s="1181"/>
      <c r="HVU45" s="1181"/>
      <c r="HVV45" s="1181"/>
      <c r="HVW45" s="1181"/>
      <c r="HVX45" s="1181"/>
      <c r="HVY45" s="1181"/>
      <c r="HVZ45" s="1181"/>
      <c r="HWA45" s="1181"/>
      <c r="HWB45" s="1181"/>
      <c r="HWC45" s="1181"/>
      <c r="HWD45" s="1181"/>
      <c r="HWE45" s="1181"/>
      <c r="HWF45" s="1181"/>
      <c r="HWG45" s="1181"/>
      <c r="HWH45" s="1181"/>
      <c r="HWI45" s="1181"/>
      <c r="HWJ45" s="1181"/>
      <c r="HWK45" s="1181"/>
      <c r="HWL45" s="1181"/>
      <c r="HWM45" s="1181"/>
      <c r="HWN45" s="1181"/>
      <c r="HWO45" s="1181"/>
      <c r="HWP45" s="1181"/>
      <c r="HWQ45" s="1181"/>
      <c r="HWR45" s="1181"/>
      <c r="HWS45" s="1181"/>
      <c r="HWT45" s="1181"/>
      <c r="HWU45" s="1181"/>
      <c r="HWV45" s="1181"/>
      <c r="HWW45" s="1181"/>
      <c r="HWX45" s="1181"/>
      <c r="HWY45" s="1181"/>
      <c r="HWZ45" s="1181"/>
      <c r="HXA45" s="1181"/>
      <c r="HXB45" s="1181"/>
      <c r="HXC45" s="1181"/>
      <c r="HXD45" s="1181"/>
      <c r="HXE45" s="1181"/>
      <c r="HXF45" s="1181"/>
      <c r="HXG45" s="1181"/>
      <c r="HXH45" s="1181"/>
      <c r="HXI45" s="1181"/>
      <c r="HXJ45" s="1181"/>
      <c r="HXK45" s="1181"/>
      <c r="HXL45" s="1181"/>
      <c r="HXM45" s="1181"/>
      <c r="HXN45" s="1181"/>
      <c r="HXO45" s="1181"/>
      <c r="HXP45" s="1181"/>
      <c r="HXQ45" s="1181"/>
      <c r="HXR45" s="1181"/>
      <c r="HXS45" s="1181"/>
      <c r="HXT45" s="1181"/>
      <c r="HXU45" s="1181"/>
      <c r="HXV45" s="1181"/>
      <c r="HXW45" s="1181"/>
      <c r="HXX45" s="1181"/>
      <c r="HXY45" s="1181"/>
      <c r="HXZ45" s="1181"/>
      <c r="HYA45" s="1181"/>
      <c r="HYB45" s="1181"/>
      <c r="HYC45" s="1181"/>
      <c r="HYD45" s="1181"/>
      <c r="HYE45" s="1181"/>
      <c r="HYF45" s="1181"/>
      <c r="HYG45" s="1181"/>
      <c r="HYH45" s="1181"/>
      <c r="HYI45" s="1181"/>
      <c r="HYJ45" s="1181"/>
      <c r="HYK45" s="1181"/>
      <c r="HYL45" s="1181"/>
      <c r="HYM45" s="1181"/>
      <c r="HYN45" s="1181"/>
      <c r="HYO45" s="1181"/>
      <c r="HYP45" s="1181"/>
      <c r="HYQ45" s="1181"/>
      <c r="HYR45" s="1181"/>
      <c r="HYS45" s="1181"/>
      <c r="HYT45" s="1181"/>
      <c r="HYU45" s="1181"/>
      <c r="HYV45" s="1181"/>
      <c r="HYW45" s="1181"/>
      <c r="HYX45" s="1181"/>
      <c r="HYY45" s="1181"/>
      <c r="HYZ45" s="1181"/>
      <c r="HZA45" s="1181"/>
      <c r="HZB45" s="1181"/>
      <c r="HZC45" s="1181"/>
      <c r="HZD45" s="1181"/>
      <c r="HZE45" s="1181"/>
      <c r="HZF45" s="1181"/>
      <c r="HZG45" s="1181"/>
      <c r="HZH45" s="1181"/>
      <c r="HZI45" s="1181"/>
      <c r="HZJ45" s="1181"/>
      <c r="HZK45" s="1181"/>
      <c r="HZL45" s="1181"/>
      <c r="HZM45" s="1181"/>
      <c r="HZN45" s="1181"/>
      <c r="HZO45" s="1181"/>
      <c r="HZP45" s="1181"/>
      <c r="HZQ45" s="1181"/>
      <c r="HZR45" s="1181"/>
      <c r="HZS45" s="1181"/>
      <c r="HZT45" s="1181"/>
      <c r="HZU45" s="1181"/>
      <c r="HZV45" s="1181"/>
      <c r="HZW45" s="1181"/>
      <c r="HZX45" s="1181"/>
      <c r="HZY45" s="1181"/>
      <c r="HZZ45" s="1181"/>
      <c r="IAA45" s="1181"/>
      <c r="IAB45" s="1181"/>
      <c r="IAC45" s="1181"/>
      <c r="IAD45" s="1181"/>
      <c r="IAE45" s="1181"/>
      <c r="IAF45" s="1181"/>
      <c r="IAG45" s="1181"/>
      <c r="IAH45" s="1181"/>
      <c r="IAI45" s="1181"/>
      <c r="IAJ45" s="1181"/>
      <c r="IAK45" s="1181"/>
      <c r="IAL45" s="1181"/>
      <c r="IAM45" s="1181"/>
      <c r="IAN45" s="1181"/>
      <c r="IAO45" s="1181"/>
      <c r="IAP45" s="1181"/>
      <c r="IAQ45" s="1181"/>
      <c r="IAR45" s="1181"/>
      <c r="IAS45" s="1181"/>
      <c r="IAT45" s="1181"/>
      <c r="IAU45" s="1181"/>
      <c r="IAV45" s="1181"/>
      <c r="IAW45" s="1181"/>
      <c r="IAX45" s="1181"/>
      <c r="IAY45" s="1181"/>
      <c r="IAZ45" s="1181"/>
      <c r="IBA45" s="1181"/>
      <c r="IBB45" s="1181"/>
      <c r="IBC45" s="1181"/>
      <c r="IBD45" s="1181"/>
      <c r="IBE45" s="1181"/>
      <c r="IBF45" s="1181"/>
      <c r="IBG45" s="1181"/>
      <c r="IBH45" s="1181"/>
      <c r="IBI45" s="1181"/>
      <c r="IBJ45" s="1181"/>
      <c r="IBK45" s="1181"/>
      <c r="IBL45" s="1181"/>
      <c r="IBM45" s="1181"/>
      <c r="IBN45" s="1181"/>
      <c r="IBO45" s="1181"/>
      <c r="IBP45" s="1181"/>
      <c r="IBQ45" s="1181"/>
      <c r="IBR45" s="1181"/>
      <c r="IBS45" s="1181"/>
      <c r="IBT45" s="1181"/>
      <c r="IBU45" s="1181"/>
      <c r="IBV45" s="1181"/>
      <c r="IBW45" s="1181"/>
      <c r="IBX45" s="1181"/>
      <c r="IBY45" s="1181"/>
      <c r="IBZ45" s="1181"/>
      <c r="ICA45" s="1181"/>
      <c r="ICB45" s="1181"/>
      <c r="ICC45" s="1181"/>
      <c r="ICD45" s="1181"/>
      <c r="ICE45" s="1181"/>
      <c r="ICF45" s="1181"/>
      <c r="ICG45" s="1181"/>
      <c r="ICH45" s="1181"/>
      <c r="ICI45" s="1181"/>
      <c r="ICJ45" s="1181"/>
      <c r="ICK45" s="1181"/>
      <c r="ICL45" s="1181"/>
      <c r="ICM45" s="1181"/>
      <c r="ICN45" s="1181"/>
      <c r="ICO45" s="1181"/>
      <c r="ICP45" s="1181"/>
      <c r="ICQ45" s="1181"/>
      <c r="ICR45" s="1181"/>
      <c r="ICS45" s="1181"/>
      <c r="ICT45" s="1181"/>
      <c r="ICU45" s="1181"/>
      <c r="ICV45" s="1181"/>
      <c r="ICW45" s="1181"/>
      <c r="ICX45" s="1181"/>
      <c r="ICY45" s="1181"/>
      <c r="ICZ45" s="1181"/>
      <c r="IDA45" s="1181"/>
      <c r="IDB45" s="1181"/>
      <c r="IDC45" s="1181"/>
      <c r="IDD45" s="1181"/>
      <c r="IDE45" s="1181"/>
      <c r="IDF45" s="1181"/>
      <c r="IDG45" s="1181"/>
      <c r="IDH45" s="1181"/>
      <c r="IDI45" s="1181"/>
      <c r="IDJ45" s="1181"/>
      <c r="IDK45" s="1181"/>
      <c r="IDL45" s="1181"/>
      <c r="IDM45" s="1181"/>
      <c r="IDN45" s="1181"/>
      <c r="IDO45" s="1181"/>
      <c r="IDP45" s="1181"/>
      <c r="IDQ45" s="1181"/>
      <c r="IDR45" s="1181"/>
      <c r="IDS45" s="1181"/>
      <c r="IDT45" s="1181"/>
      <c r="IDU45" s="1181"/>
      <c r="IDV45" s="1181"/>
      <c r="IDW45" s="1181"/>
      <c r="IDX45" s="1181"/>
      <c r="IDY45" s="1181"/>
      <c r="IDZ45" s="1181"/>
      <c r="IEA45" s="1181"/>
      <c r="IEB45" s="1181"/>
      <c r="IEC45" s="1181"/>
      <c r="IED45" s="1181"/>
      <c r="IEE45" s="1181"/>
      <c r="IEF45" s="1181"/>
      <c r="IEG45" s="1181"/>
      <c r="IEH45" s="1181"/>
      <c r="IEI45" s="1181"/>
      <c r="IEJ45" s="1181"/>
      <c r="IEK45" s="1181"/>
      <c r="IEL45" s="1181"/>
      <c r="IEM45" s="1181"/>
      <c r="IEN45" s="1181"/>
      <c r="IEO45" s="1181"/>
      <c r="IEP45" s="1181"/>
      <c r="IEQ45" s="1181"/>
      <c r="IER45" s="1181"/>
      <c r="IES45" s="1181"/>
      <c r="IET45" s="1181"/>
      <c r="IEU45" s="1181"/>
      <c r="IEV45" s="1181"/>
      <c r="IEW45" s="1181"/>
      <c r="IEX45" s="1181"/>
      <c r="IEY45" s="1181"/>
      <c r="IEZ45" s="1181"/>
      <c r="IFA45" s="1181"/>
      <c r="IFB45" s="1181"/>
      <c r="IFC45" s="1181"/>
      <c r="IFD45" s="1181"/>
      <c r="IFE45" s="1181"/>
      <c r="IFF45" s="1181"/>
      <c r="IFG45" s="1181"/>
      <c r="IFH45" s="1181"/>
      <c r="IFI45" s="1181"/>
      <c r="IFJ45" s="1181"/>
      <c r="IFK45" s="1181"/>
      <c r="IFL45" s="1181"/>
      <c r="IFM45" s="1181"/>
      <c r="IFN45" s="1181"/>
      <c r="IFO45" s="1181"/>
      <c r="IFP45" s="1181"/>
      <c r="IFQ45" s="1181"/>
      <c r="IFR45" s="1181"/>
      <c r="IFS45" s="1181"/>
      <c r="IFT45" s="1181"/>
      <c r="IFU45" s="1181"/>
      <c r="IFV45" s="1181"/>
      <c r="IFW45" s="1181"/>
      <c r="IFX45" s="1181"/>
      <c r="IFY45" s="1181"/>
      <c r="IFZ45" s="1181"/>
      <c r="IGA45" s="1181"/>
      <c r="IGB45" s="1181"/>
      <c r="IGC45" s="1181"/>
      <c r="IGD45" s="1181"/>
      <c r="IGE45" s="1181"/>
      <c r="IGF45" s="1181"/>
      <c r="IGG45" s="1181"/>
      <c r="IGH45" s="1181"/>
      <c r="IGI45" s="1181"/>
      <c r="IGJ45" s="1181"/>
      <c r="IGK45" s="1181"/>
      <c r="IGL45" s="1181"/>
      <c r="IGM45" s="1181"/>
      <c r="IGN45" s="1181"/>
      <c r="IGO45" s="1181"/>
      <c r="IGP45" s="1181"/>
      <c r="IGQ45" s="1181"/>
      <c r="IGR45" s="1181"/>
      <c r="IGS45" s="1181"/>
      <c r="IGT45" s="1181"/>
      <c r="IGU45" s="1181"/>
      <c r="IGV45" s="1181"/>
      <c r="IGW45" s="1181"/>
      <c r="IGX45" s="1181"/>
      <c r="IGY45" s="1181"/>
      <c r="IGZ45" s="1181"/>
      <c r="IHA45" s="1181"/>
      <c r="IHB45" s="1181"/>
      <c r="IHC45" s="1181"/>
      <c r="IHD45" s="1181"/>
      <c r="IHE45" s="1181"/>
      <c r="IHF45" s="1181"/>
      <c r="IHG45" s="1181"/>
      <c r="IHH45" s="1181"/>
      <c r="IHI45" s="1181"/>
      <c r="IHJ45" s="1181"/>
      <c r="IHK45" s="1181"/>
      <c r="IHL45" s="1181"/>
      <c r="IHM45" s="1181"/>
      <c r="IHN45" s="1181"/>
      <c r="IHO45" s="1181"/>
      <c r="IHP45" s="1181"/>
      <c r="IHQ45" s="1181"/>
      <c r="IHR45" s="1181"/>
      <c r="IHS45" s="1181"/>
      <c r="IHT45" s="1181"/>
      <c r="IHU45" s="1181"/>
      <c r="IHV45" s="1181"/>
      <c r="IHW45" s="1181"/>
      <c r="IHX45" s="1181"/>
      <c r="IHY45" s="1181"/>
      <c r="IHZ45" s="1181"/>
      <c r="IIA45" s="1181"/>
      <c r="IIB45" s="1181"/>
      <c r="IIC45" s="1181"/>
      <c r="IID45" s="1181"/>
      <c r="IIE45" s="1181"/>
      <c r="IIF45" s="1181"/>
      <c r="IIG45" s="1181"/>
      <c r="IIH45" s="1181"/>
      <c r="III45" s="1181"/>
      <c r="IIJ45" s="1181"/>
      <c r="IIK45" s="1181"/>
      <c r="IIL45" s="1181"/>
      <c r="IIM45" s="1181"/>
      <c r="IIN45" s="1181"/>
      <c r="IIO45" s="1181"/>
      <c r="IIP45" s="1181"/>
      <c r="IIQ45" s="1181"/>
      <c r="IIR45" s="1181"/>
      <c r="IIS45" s="1181"/>
      <c r="IIT45" s="1181"/>
      <c r="IIU45" s="1181"/>
      <c r="IIV45" s="1181"/>
      <c r="IIW45" s="1181"/>
      <c r="IIX45" s="1181"/>
      <c r="IIY45" s="1181"/>
      <c r="IIZ45" s="1181"/>
      <c r="IJA45" s="1181"/>
      <c r="IJB45" s="1181"/>
      <c r="IJC45" s="1181"/>
      <c r="IJD45" s="1181"/>
      <c r="IJE45" s="1181"/>
      <c r="IJF45" s="1181"/>
      <c r="IJG45" s="1181"/>
      <c r="IJH45" s="1181"/>
      <c r="IJI45" s="1181"/>
      <c r="IJJ45" s="1181"/>
      <c r="IJK45" s="1181"/>
      <c r="IJL45" s="1181"/>
      <c r="IJM45" s="1181"/>
      <c r="IJN45" s="1181"/>
      <c r="IJO45" s="1181"/>
      <c r="IJP45" s="1181"/>
      <c r="IJQ45" s="1181"/>
      <c r="IJR45" s="1181"/>
      <c r="IJS45" s="1181"/>
      <c r="IJT45" s="1181"/>
      <c r="IJU45" s="1181"/>
      <c r="IJV45" s="1181"/>
      <c r="IJW45" s="1181"/>
      <c r="IJX45" s="1181"/>
      <c r="IJY45" s="1181"/>
      <c r="IJZ45" s="1181"/>
      <c r="IKA45" s="1181"/>
      <c r="IKB45" s="1181"/>
      <c r="IKC45" s="1181"/>
      <c r="IKD45" s="1181"/>
      <c r="IKE45" s="1181"/>
      <c r="IKF45" s="1181"/>
      <c r="IKG45" s="1181"/>
      <c r="IKH45" s="1181"/>
      <c r="IKI45" s="1181"/>
      <c r="IKJ45" s="1181"/>
      <c r="IKK45" s="1181"/>
      <c r="IKL45" s="1181"/>
      <c r="IKM45" s="1181"/>
      <c r="IKN45" s="1181"/>
      <c r="IKO45" s="1181"/>
      <c r="IKP45" s="1181"/>
      <c r="IKQ45" s="1181"/>
      <c r="IKR45" s="1181"/>
      <c r="IKS45" s="1181"/>
      <c r="IKT45" s="1181"/>
      <c r="IKU45" s="1181"/>
      <c r="IKV45" s="1181"/>
      <c r="IKW45" s="1181"/>
      <c r="IKX45" s="1181"/>
      <c r="IKY45" s="1181"/>
      <c r="IKZ45" s="1181"/>
      <c r="ILA45" s="1181"/>
      <c r="ILB45" s="1181"/>
      <c r="ILC45" s="1181"/>
      <c r="ILD45" s="1181"/>
      <c r="ILE45" s="1181"/>
      <c r="ILF45" s="1181"/>
      <c r="ILG45" s="1181"/>
      <c r="ILH45" s="1181"/>
      <c r="ILI45" s="1181"/>
      <c r="ILJ45" s="1181"/>
      <c r="ILK45" s="1181"/>
      <c r="ILL45" s="1181"/>
      <c r="ILM45" s="1181"/>
      <c r="ILN45" s="1181"/>
      <c r="ILO45" s="1181"/>
      <c r="ILP45" s="1181"/>
      <c r="ILQ45" s="1181"/>
      <c r="ILR45" s="1181"/>
      <c r="ILS45" s="1181"/>
      <c r="ILT45" s="1181"/>
      <c r="ILU45" s="1181"/>
      <c r="ILV45" s="1181"/>
      <c r="ILW45" s="1181"/>
      <c r="ILX45" s="1181"/>
      <c r="ILY45" s="1181"/>
      <c r="ILZ45" s="1181"/>
      <c r="IMA45" s="1181"/>
      <c r="IMB45" s="1181"/>
      <c r="IMC45" s="1181"/>
      <c r="IMD45" s="1181"/>
      <c r="IME45" s="1181"/>
      <c r="IMF45" s="1181"/>
      <c r="IMG45" s="1181"/>
      <c r="IMH45" s="1181"/>
      <c r="IMI45" s="1181"/>
      <c r="IMJ45" s="1181"/>
      <c r="IMK45" s="1181"/>
      <c r="IML45" s="1181"/>
      <c r="IMM45" s="1181"/>
      <c r="IMN45" s="1181"/>
      <c r="IMO45" s="1181"/>
      <c r="IMP45" s="1181"/>
      <c r="IMQ45" s="1181"/>
      <c r="IMR45" s="1181"/>
      <c r="IMS45" s="1181"/>
      <c r="IMT45" s="1181"/>
      <c r="IMU45" s="1181"/>
      <c r="IMV45" s="1181"/>
      <c r="IMW45" s="1181"/>
      <c r="IMX45" s="1181"/>
      <c r="IMY45" s="1181"/>
      <c r="IMZ45" s="1181"/>
      <c r="INA45" s="1181"/>
      <c r="INB45" s="1181"/>
      <c r="INC45" s="1181"/>
      <c r="IND45" s="1181"/>
      <c r="INE45" s="1181"/>
      <c r="INF45" s="1181"/>
      <c r="ING45" s="1181"/>
      <c r="INH45" s="1181"/>
      <c r="INI45" s="1181"/>
      <c r="INJ45" s="1181"/>
      <c r="INK45" s="1181"/>
      <c r="INL45" s="1181"/>
      <c r="INM45" s="1181"/>
      <c r="INN45" s="1181"/>
      <c r="INO45" s="1181"/>
      <c r="INP45" s="1181"/>
      <c r="INQ45" s="1181"/>
      <c r="INR45" s="1181"/>
      <c r="INS45" s="1181"/>
      <c r="INT45" s="1181"/>
      <c r="INU45" s="1181"/>
      <c r="INV45" s="1181"/>
      <c r="INW45" s="1181"/>
      <c r="INX45" s="1181"/>
      <c r="INY45" s="1181"/>
      <c r="INZ45" s="1181"/>
      <c r="IOA45" s="1181"/>
      <c r="IOB45" s="1181"/>
      <c r="IOC45" s="1181"/>
      <c r="IOD45" s="1181"/>
      <c r="IOE45" s="1181"/>
      <c r="IOF45" s="1181"/>
      <c r="IOG45" s="1181"/>
      <c r="IOH45" s="1181"/>
      <c r="IOI45" s="1181"/>
      <c r="IOJ45" s="1181"/>
      <c r="IOK45" s="1181"/>
      <c r="IOL45" s="1181"/>
      <c r="IOM45" s="1181"/>
      <c r="ION45" s="1181"/>
      <c r="IOO45" s="1181"/>
      <c r="IOP45" s="1181"/>
      <c r="IOQ45" s="1181"/>
      <c r="IOR45" s="1181"/>
      <c r="IOS45" s="1181"/>
      <c r="IOT45" s="1181"/>
      <c r="IOU45" s="1181"/>
      <c r="IOV45" s="1181"/>
      <c r="IOW45" s="1181"/>
      <c r="IOX45" s="1181"/>
      <c r="IOY45" s="1181"/>
      <c r="IOZ45" s="1181"/>
      <c r="IPA45" s="1181"/>
      <c r="IPB45" s="1181"/>
      <c r="IPC45" s="1181"/>
      <c r="IPD45" s="1181"/>
      <c r="IPE45" s="1181"/>
      <c r="IPF45" s="1181"/>
      <c r="IPG45" s="1181"/>
      <c r="IPH45" s="1181"/>
      <c r="IPI45" s="1181"/>
      <c r="IPJ45" s="1181"/>
      <c r="IPK45" s="1181"/>
      <c r="IPL45" s="1181"/>
      <c r="IPM45" s="1181"/>
      <c r="IPN45" s="1181"/>
      <c r="IPO45" s="1181"/>
      <c r="IPP45" s="1181"/>
      <c r="IPQ45" s="1181"/>
      <c r="IPR45" s="1181"/>
      <c r="IPS45" s="1181"/>
      <c r="IPT45" s="1181"/>
      <c r="IPU45" s="1181"/>
      <c r="IPV45" s="1181"/>
      <c r="IPW45" s="1181"/>
      <c r="IPX45" s="1181"/>
      <c r="IPY45" s="1181"/>
      <c r="IPZ45" s="1181"/>
      <c r="IQA45" s="1181"/>
      <c r="IQB45" s="1181"/>
      <c r="IQC45" s="1181"/>
      <c r="IQD45" s="1181"/>
      <c r="IQE45" s="1181"/>
      <c r="IQF45" s="1181"/>
      <c r="IQG45" s="1181"/>
      <c r="IQH45" s="1181"/>
      <c r="IQI45" s="1181"/>
      <c r="IQJ45" s="1181"/>
      <c r="IQK45" s="1181"/>
      <c r="IQL45" s="1181"/>
      <c r="IQM45" s="1181"/>
      <c r="IQN45" s="1181"/>
      <c r="IQO45" s="1181"/>
      <c r="IQP45" s="1181"/>
      <c r="IQQ45" s="1181"/>
      <c r="IQR45" s="1181"/>
      <c r="IQS45" s="1181"/>
      <c r="IQT45" s="1181"/>
      <c r="IQU45" s="1181"/>
      <c r="IQV45" s="1181"/>
      <c r="IQW45" s="1181"/>
      <c r="IQX45" s="1181"/>
      <c r="IQY45" s="1181"/>
      <c r="IQZ45" s="1181"/>
      <c r="IRA45" s="1181"/>
      <c r="IRB45" s="1181"/>
      <c r="IRC45" s="1181"/>
      <c r="IRD45" s="1181"/>
      <c r="IRE45" s="1181"/>
      <c r="IRF45" s="1181"/>
      <c r="IRG45" s="1181"/>
      <c r="IRH45" s="1181"/>
      <c r="IRI45" s="1181"/>
      <c r="IRJ45" s="1181"/>
      <c r="IRK45" s="1181"/>
      <c r="IRL45" s="1181"/>
      <c r="IRM45" s="1181"/>
      <c r="IRN45" s="1181"/>
      <c r="IRO45" s="1181"/>
      <c r="IRP45" s="1181"/>
      <c r="IRQ45" s="1181"/>
      <c r="IRR45" s="1181"/>
      <c r="IRS45" s="1181"/>
      <c r="IRT45" s="1181"/>
      <c r="IRU45" s="1181"/>
      <c r="IRV45" s="1181"/>
      <c r="IRW45" s="1181"/>
      <c r="IRX45" s="1181"/>
      <c r="IRY45" s="1181"/>
      <c r="IRZ45" s="1181"/>
      <c r="ISA45" s="1181"/>
      <c r="ISB45" s="1181"/>
      <c r="ISC45" s="1181"/>
      <c r="ISD45" s="1181"/>
      <c r="ISE45" s="1181"/>
      <c r="ISF45" s="1181"/>
      <c r="ISG45" s="1181"/>
      <c r="ISH45" s="1181"/>
      <c r="ISI45" s="1181"/>
      <c r="ISJ45" s="1181"/>
      <c r="ISK45" s="1181"/>
      <c r="ISL45" s="1181"/>
      <c r="ISM45" s="1181"/>
      <c r="ISN45" s="1181"/>
      <c r="ISO45" s="1181"/>
      <c r="ISP45" s="1181"/>
      <c r="ISQ45" s="1181"/>
      <c r="ISR45" s="1181"/>
      <c r="ISS45" s="1181"/>
      <c r="IST45" s="1181"/>
      <c r="ISU45" s="1181"/>
      <c r="ISV45" s="1181"/>
      <c r="ISW45" s="1181"/>
      <c r="ISX45" s="1181"/>
      <c r="ISY45" s="1181"/>
      <c r="ISZ45" s="1181"/>
      <c r="ITA45" s="1181"/>
      <c r="ITB45" s="1181"/>
      <c r="ITC45" s="1181"/>
      <c r="ITD45" s="1181"/>
      <c r="ITE45" s="1181"/>
      <c r="ITF45" s="1181"/>
      <c r="ITG45" s="1181"/>
      <c r="ITH45" s="1181"/>
      <c r="ITI45" s="1181"/>
      <c r="ITJ45" s="1181"/>
      <c r="ITK45" s="1181"/>
      <c r="ITL45" s="1181"/>
      <c r="ITM45" s="1181"/>
      <c r="ITN45" s="1181"/>
      <c r="ITO45" s="1181"/>
      <c r="ITP45" s="1181"/>
      <c r="ITQ45" s="1181"/>
      <c r="ITR45" s="1181"/>
      <c r="ITS45" s="1181"/>
      <c r="ITT45" s="1181"/>
      <c r="ITU45" s="1181"/>
      <c r="ITV45" s="1181"/>
      <c r="ITW45" s="1181"/>
      <c r="ITX45" s="1181"/>
      <c r="ITY45" s="1181"/>
      <c r="ITZ45" s="1181"/>
      <c r="IUA45" s="1181"/>
      <c r="IUB45" s="1181"/>
      <c r="IUC45" s="1181"/>
      <c r="IUD45" s="1181"/>
      <c r="IUE45" s="1181"/>
      <c r="IUF45" s="1181"/>
      <c r="IUG45" s="1181"/>
      <c r="IUH45" s="1181"/>
      <c r="IUI45" s="1181"/>
      <c r="IUJ45" s="1181"/>
      <c r="IUK45" s="1181"/>
      <c r="IUL45" s="1181"/>
      <c r="IUM45" s="1181"/>
      <c r="IUN45" s="1181"/>
      <c r="IUO45" s="1181"/>
      <c r="IUP45" s="1181"/>
      <c r="IUQ45" s="1181"/>
      <c r="IUR45" s="1181"/>
      <c r="IUS45" s="1181"/>
      <c r="IUT45" s="1181"/>
      <c r="IUU45" s="1181"/>
      <c r="IUV45" s="1181"/>
      <c r="IUW45" s="1181"/>
      <c r="IUX45" s="1181"/>
      <c r="IUY45" s="1181"/>
      <c r="IUZ45" s="1181"/>
      <c r="IVA45" s="1181"/>
      <c r="IVB45" s="1181"/>
      <c r="IVC45" s="1181"/>
      <c r="IVD45" s="1181"/>
      <c r="IVE45" s="1181"/>
      <c r="IVF45" s="1181"/>
      <c r="IVG45" s="1181"/>
      <c r="IVH45" s="1181"/>
      <c r="IVI45" s="1181"/>
      <c r="IVJ45" s="1181"/>
      <c r="IVK45" s="1181"/>
      <c r="IVL45" s="1181"/>
      <c r="IVM45" s="1181"/>
      <c r="IVN45" s="1181"/>
      <c r="IVO45" s="1181"/>
      <c r="IVP45" s="1181"/>
      <c r="IVQ45" s="1181"/>
      <c r="IVR45" s="1181"/>
      <c r="IVS45" s="1181"/>
      <c r="IVT45" s="1181"/>
      <c r="IVU45" s="1181"/>
      <c r="IVV45" s="1181"/>
      <c r="IVW45" s="1181"/>
      <c r="IVX45" s="1181"/>
      <c r="IVY45" s="1181"/>
      <c r="IVZ45" s="1181"/>
      <c r="IWA45" s="1181"/>
      <c r="IWB45" s="1181"/>
      <c r="IWC45" s="1181"/>
      <c r="IWD45" s="1181"/>
      <c r="IWE45" s="1181"/>
      <c r="IWF45" s="1181"/>
      <c r="IWG45" s="1181"/>
      <c r="IWH45" s="1181"/>
      <c r="IWI45" s="1181"/>
      <c r="IWJ45" s="1181"/>
      <c r="IWK45" s="1181"/>
      <c r="IWL45" s="1181"/>
      <c r="IWM45" s="1181"/>
      <c r="IWN45" s="1181"/>
      <c r="IWO45" s="1181"/>
      <c r="IWP45" s="1181"/>
      <c r="IWQ45" s="1181"/>
      <c r="IWR45" s="1181"/>
      <c r="IWS45" s="1181"/>
      <c r="IWT45" s="1181"/>
      <c r="IWU45" s="1181"/>
      <c r="IWV45" s="1181"/>
      <c r="IWW45" s="1181"/>
      <c r="IWX45" s="1181"/>
      <c r="IWY45" s="1181"/>
      <c r="IWZ45" s="1181"/>
      <c r="IXA45" s="1181"/>
      <c r="IXB45" s="1181"/>
      <c r="IXC45" s="1181"/>
      <c r="IXD45" s="1181"/>
      <c r="IXE45" s="1181"/>
      <c r="IXF45" s="1181"/>
      <c r="IXG45" s="1181"/>
      <c r="IXH45" s="1181"/>
      <c r="IXI45" s="1181"/>
      <c r="IXJ45" s="1181"/>
      <c r="IXK45" s="1181"/>
      <c r="IXL45" s="1181"/>
      <c r="IXM45" s="1181"/>
      <c r="IXN45" s="1181"/>
      <c r="IXO45" s="1181"/>
      <c r="IXP45" s="1181"/>
      <c r="IXQ45" s="1181"/>
      <c r="IXR45" s="1181"/>
      <c r="IXS45" s="1181"/>
      <c r="IXT45" s="1181"/>
      <c r="IXU45" s="1181"/>
      <c r="IXV45" s="1181"/>
      <c r="IXW45" s="1181"/>
      <c r="IXX45" s="1181"/>
      <c r="IXY45" s="1181"/>
      <c r="IXZ45" s="1181"/>
      <c r="IYA45" s="1181"/>
      <c r="IYB45" s="1181"/>
      <c r="IYC45" s="1181"/>
      <c r="IYD45" s="1181"/>
      <c r="IYE45" s="1181"/>
      <c r="IYF45" s="1181"/>
      <c r="IYG45" s="1181"/>
      <c r="IYH45" s="1181"/>
      <c r="IYI45" s="1181"/>
      <c r="IYJ45" s="1181"/>
      <c r="IYK45" s="1181"/>
      <c r="IYL45" s="1181"/>
      <c r="IYM45" s="1181"/>
      <c r="IYN45" s="1181"/>
      <c r="IYO45" s="1181"/>
      <c r="IYP45" s="1181"/>
      <c r="IYQ45" s="1181"/>
      <c r="IYR45" s="1181"/>
      <c r="IYS45" s="1181"/>
      <c r="IYT45" s="1181"/>
      <c r="IYU45" s="1181"/>
      <c r="IYV45" s="1181"/>
      <c r="IYW45" s="1181"/>
      <c r="IYX45" s="1181"/>
      <c r="IYY45" s="1181"/>
      <c r="IYZ45" s="1181"/>
      <c r="IZA45" s="1181"/>
      <c r="IZB45" s="1181"/>
      <c r="IZC45" s="1181"/>
      <c r="IZD45" s="1181"/>
      <c r="IZE45" s="1181"/>
      <c r="IZF45" s="1181"/>
      <c r="IZG45" s="1181"/>
      <c r="IZH45" s="1181"/>
      <c r="IZI45" s="1181"/>
      <c r="IZJ45" s="1181"/>
      <c r="IZK45" s="1181"/>
      <c r="IZL45" s="1181"/>
      <c r="IZM45" s="1181"/>
      <c r="IZN45" s="1181"/>
      <c r="IZO45" s="1181"/>
      <c r="IZP45" s="1181"/>
      <c r="IZQ45" s="1181"/>
      <c r="IZR45" s="1181"/>
      <c r="IZS45" s="1181"/>
      <c r="IZT45" s="1181"/>
      <c r="IZU45" s="1181"/>
      <c r="IZV45" s="1181"/>
      <c r="IZW45" s="1181"/>
      <c r="IZX45" s="1181"/>
      <c r="IZY45" s="1181"/>
      <c r="IZZ45" s="1181"/>
      <c r="JAA45" s="1181"/>
      <c r="JAB45" s="1181"/>
      <c r="JAC45" s="1181"/>
      <c r="JAD45" s="1181"/>
      <c r="JAE45" s="1181"/>
      <c r="JAF45" s="1181"/>
      <c r="JAG45" s="1181"/>
      <c r="JAH45" s="1181"/>
      <c r="JAI45" s="1181"/>
      <c r="JAJ45" s="1181"/>
      <c r="JAK45" s="1181"/>
      <c r="JAL45" s="1181"/>
      <c r="JAM45" s="1181"/>
      <c r="JAN45" s="1181"/>
      <c r="JAO45" s="1181"/>
      <c r="JAP45" s="1181"/>
      <c r="JAQ45" s="1181"/>
      <c r="JAR45" s="1181"/>
      <c r="JAS45" s="1181"/>
      <c r="JAT45" s="1181"/>
      <c r="JAU45" s="1181"/>
      <c r="JAV45" s="1181"/>
      <c r="JAW45" s="1181"/>
      <c r="JAX45" s="1181"/>
      <c r="JAY45" s="1181"/>
      <c r="JAZ45" s="1181"/>
      <c r="JBA45" s="1181"/>
      <c r="JBB45" s="1181"/>
      <c r="JBC45" s="1181"/>
      <c r="JBD45" s="1181"/>
      <c r="JBE45" s="1181"/>
      <c r="JBF45" s="1181"/>
      <c r="JBG45" s="1181"/>
      <c r="JBH45" s="1181"/>
      <c r="JBI45" s="1181"/>
      <c r="JBJ45" s="1181"/>
      <c r="JBK45" s="1181"/>
      <c r="JBL45" s="1181"/>
      <c r="JBM45" s="1181"/>
      <c r="JBN45" s="1181"/>
      <c r="JBO45" s="1181"/>
      <c r="JBP45" s="1181"/>
      <c r="JBQ45" s="1181"/>
      <c r="JBR45" s="1181"/>
      <c r="JBS45" s="1181"/>
      <c r="JBT45" s="1181"/>
      <c r="JBU45" s="1181"/>
      <c r="JBV45" s="1181"/>
      <c r="JBW45" s="1181"/>
      <c r="JBX45" s="1181"/>
      <c r="JBY45" s="1181"/>
      <c r="JBZ45" s="1181"/>
      <c r="JCA45" s="1181"/>
      <c r="JCB45" s="1181"/>
      <c r="JCC45" s="1181"/>
      <c r="JCD45" s="1181"/>
      <c r="JCE45" s="1181"/>
      <c r="JCF45" s="1181"/>
      <c r="JCG45" s="1181"/>
      <c r="JCH45" s="1181"/>
      <c r="JCI45" s="1181"/>
      <c r="JCJ45" s="1181"/>
      <c r="JCK45" s="1181"/>
      <c r="JCL45" s="1181"/>
      <c r="JCM45" s="1181"/>
      <c r="JCN45" s="1181"/>
      <c r="JCO45" s="1181"/>
      <c r="JCP45" s="1181"/>
      <c r="JCQ45" s="1181"/>
      <c r="JCR45" s="1181"/>
      <c r="JCS45" s="1181"/>
      <c r="JCT45" s="1181"/>
      <c r="JCU45" s="1181"/>
      <c r="JCV45" s="1181"/>
      <c r="JCW45" s="1181"/>
      <c r="JCX45" s="1181"/>
      <c r="JCY45" s="1181"/>
      <c r="JCZ45" s="1181"/>
      <c r="JDA45" s="1181"/>
      <c r="JDB45" s="1181"/>
      <c r="JDC45" s="1181"/>
      <c r="JDD45" s="1181"/>
      <c r="JDE45" s="1181"/>
      <c r="JDF45" s="1181"/>
      <c r="JDG45" s="1181"/>
      <c r="JDH45" s="1181"/>
      <c r="JDI45" s="1181"/>
      <c r="JDJ45" s="1181"/>
      <c r="JDK45" s="1181"/>
      <c r="JDL45" s="1181"/>
      <c r="JDM45" s="1181"/>
      <c r="JDN45" s="1181"/>
      <c r="JDO45" s="1181"/>
      <c r="JDP45" s="1181"/>
      <c r="JDQ45" s="1181"/>
      <c r="JDR45" s="1181"/>
      <c r="JDS45" s="1181"/>
      <c r="JDT45" s="1181"/>
      <c r="JDU45" s="1181"/>
      <c r="JDV45" s="1181"/>
      <c r="JDW45" s="1181"/>
      <c r="JDX45" s="1181"/>
      <c r="JDY45" s="1181"/>
      <c r="JDZ45" s="1181"/>
      <c r="JEA45" s="1181"/>
      <c r="JEB45" s="1181"/>
      <c r="JEC45" s="1181"/>
      <c r="JED45" s="1181"/>
      <c r="JEE45" s="1181"/>
      <c r="JEF45" s="1181"/>
      <c r="JEG45" s="1181"/>
      <c r="JEH45" s="1181"/>
      <c r="JEI45" s="1181"/>
      <c r="JEJ45" s="1181"/>
      <c r="JEK45" s="1181"/>
      <c r="JEL45" s="1181"/>
      <c r="JEM45" s="1181"/>
      <c r="JEN45" s="1181"/>
      <c r="JEO45" s="1181"/>
      <c r="JEP45" s="1181"/>
      <c r="JEQ45" s="1181"/>
      <c r="JER45" s="1181"/>
      <c r="JES45" s="1181"/>
      <c r="JET45" s="1181"/>
      <c r="JEU45" s="1181"/>
      <c r="JEV45" s="1181"/>
      <c r="JEW45" s="1181"/>
      <c r="JEX45" s="1181"/>
      <c r="JEY45" s="1181"/>
      <c r="JEZ45" s="1181"/>
      <c r="JFA45" s="1181"/>
      <c r="JFB45" s="1181"/>
      <c r="JFC45" s="1181"/>
      <c r="JFD45" s="1181"/>
      <c r="JFE45" s="1181"/>
      <c r="JFF45" s="1181"/>
      <c r="JFG45" s="1181"/>
      <c r="JFH45" s="1181"/>
      <c r="JFI45" s="1181"/>
      <c r="JFJ45" s="1181"/>
      <c r="JFK45" s="1181"/>
      <c r="JFL45" s="1181"/>
      <c r="JFM45" s="1181"/>
      <c r="JFN45" s="1181"/>
      <c r="JFO45" s="1181"/>
      <c r="JFP45" s="1181"/>
      <c r="JFQ45" s="1181"/>
      <c r="JFR45" s="1181"/>
      <c r="JFS45" s="1181"/>
      <c r="JFT45" s="1181"/>
      <c r="JFU45" s="1181"/>
      <c r="JFV45" s="1181"/>
      <c r="JFW45" s="1181"/>
      <c r="JFX45" s="1181"/>
      <c r="JFY45" s="1181"/>
      <c r="JFZ45" s="1181"/>
      <c r="JGA45" s="1181"/>
      <c r="JGB45" s="1181"/>
      <c r="JGC45" s="1181"/>
      <c r="JGD45" s="1181"/>
      <c r="JGE45" s="1181"/>
      <c r="JGF45" s="1181"/>
      <c r="JGG45" s="1181"/>
      <c r="JGH45" s="1181"/>
      <c r="JGI45" s="1181"/>
      <c r="JGJ45" s="1181"/>
      <c r="JGK45" s="1181"/>
      <c r="JGL45" s="1181"/>
      <c r="JGM45" s="1181"/>
      <c r="JGN45" s="1181"/>
      <c r="JGO45" s="1181"/>
      <c r="JGP45" s="1181"/>
      <c r="JGQ45" s="1181"/>
      <c r="JGR45" s="1181"/>
      <c r="JGS45" s="1181"/>
      <c r="JGT45" s="1181"/>
      <c r="JGU45" s="1181"/>
      <c r="JGV45" s="1181"/>
      <c r="JGW45" s="1181"/>
      <c r="JGX45" s="1181"/>
      <c r="JGY45" s="1181"/>
      <c r="JGZ45" s="1181"/>
      <c r="JHA45" s="1181"/>
      <c r="JHB45" s="1181"/>
      <c r="JHC45" s="1181"/>
      <c r="JHD45" s="1181"/>
      <c r="JHE45" s="1181"/>
      <c r="JHF45" s="1181"/>
      <c r="JHG45" s="1181"/>
      <c r="JHH45" s="1181"/>
      <c r="JHI45" s="1181"/>
      <c r="JHJ45" s="1181"/>
      <c r="JHK45" s="1181"/>
      <c r="JHL45" s="1181"/>
      <c r="JHM45" s="1181"/>
      <c r="JHN45" s="1181"/>
      <c r="JHO45" s="1181"/>
      <c r="JHP45" s="1181"/>
      <c r="JHQ45" s="1181"/>
      <c r="JHR45" s="1181"/>
      <c r="JHS45" s="1181"/>
      <c r="JHT45" s="1181"/>
      <c r="JHU45" s="1181"/>
      <c r="JHV45" s="1181"/>
      <c r="JHW45" s="1181"/>
      <c r="JHX45" s="1181"/>
      <c r="JHY45" s="1181"/>
      <c r="JHZ45" s="1181"/>
      <c r="JIA45" s="1181"/>
      <c r="JIB45" s="1181"/>
      <c r="JIC45" s="1181"/>
      <c r="JID45" s="1181"/>
      <c r="JIE45" s="1181"/>
      <c r="JIF45" s="1181"/>
      <c r="JIG45" s="1181"/>
      <c r="JIH45" s="1181"/>
      <c r="JII45" s="1181"/>
      <c r="JIJ45" s="1181"/>
      <c r="JIK45" s="1181"/>
      <c r="JIL45" s="1181"/>
      <c r="JIM45" s="1181"/>
      <c r="JIN45" s="1181"/>
      <c r="JIO45" s="1181"/>
      <c r="JIP45" s="1181"/>
      <c r="JIQ45" s="1181"/>
      <c r="JIR45" s="1181"/>
      <c r="JIS45" s="1181"/>
      <c r="JIT45" s="1181"/>
      <c r="JIU45" s="1181"/>
      <c r="JIV45" s="1181"/>
      <c r="JIW45" s="1181"/>
      <c r="JIX45" s="1181"/>
      <c r="JIY45" s="1181"/>
      <c r="JIZ45" s="1181"/>
      <c r="JJA45" s="1181"/>
      <c r="JJB45" s="1181"/>
      <c r="JJC45" s="1181"/>
      <c r="JJD45" s="1181"/>
      <c r="JJE45" s="1181"/>
      <c r="JJF45" s="1181"/>
      <c r="JJG45" s="1181"/>
      <c r="JJH45" s="1181"/>
      <c r="JJI45" s="1181"/>
      <c r="JJJ45" s="1181"/>
      <c r="JJK45" s="1181"/>
      <c r="JJL45" s="1181"/>
      <c r="JJM45" s="1181"/>
      <c r="JJN45" s="1181"/>
      <c r="JJO45" s="1181"/>
      <c r="JJP45" s="1181"/>
      <c r="JJQ45" s="1181"/>
      <c r="JJR45" s="1181"/>
      <c r="JJS45" s="1181"/>
      <c r="JJT45" s="1181"/>
      <c r="JJU45" s="1181"/>
      <c r="JJV45" s="1181"/>
      <c r="JJW45" s="1181"/>
      <c r="JJX45" s="1181"/>
      <c r="JJY45" s="1181"/>
      <c r="JJZ45" s="1181"/>
      <c r="JKA45" s="1181"/>
      <c r="JKB45" s="1181"/>
      <c r="JKC45" s="1181"/>
      <c r="JKD45" s="1181"/>
      <c r="JKE45" s="1181"/>
      <c r="JKF45" s="1181"/>
      <c r="JKG45" s="1181"/>
      <c r="JKH45" s="1181"/>
      <c r="JKI45" s="1181"/>
      <c r="JKJ45" s="1181"/>
      <c r="JKK45" s="1181"/>
      <c r="JKL45" s="1181"/>
      <c r="JKM45" s="1181"/>
      <c r="JKN45" s="1181"/>
      <c r="JKO45" s="1181"/>
      <c r="JKP45" s="1181"/>
      <c r="JKQ45" s="1181"/>
      <c r="JKR45" s="1181"/>
      <c r="JKS45" s="1181"/>
      <c r="JKT45" s="1181"/>
      <c r="JKU45" s="1181"/>
      <c r="JKV45" s="1181"/>
      <c r="JKW45" s="1181"/>
      <c r="JKX45" s="1181"/>
      <c r="JKY45" s="1181"/>
      <c r="JKZ45" s="1181"/>
      <c r="JLA45" s="1181"/>
      <c r="JLB45" s="1181"/>
      <c r="JLC45" s="1181"/>
      <c r="JLD45" s="1181"/>
      <c r="JLE45" s="1181"/>
      <c r="JLF45" s="1181"/>
      <c r="JLG45" s="1181"/>
      <c r="JLH45" s="1181"/>
      <c r="JLI45" s="1181"/>
      <c r="JLJ45" s="1181"/>
      <c r="JLK45" s="1181"/>
      <c r="JLL45" s="1181"/>
      <c r="JLM45" s="1181"/>
      <c r="JLN45" s="1181"/>
      <c r="JLO45" s="1181"/>
      <c r="JLP45" s="1181"/>
      <c r="JLQ45" s="1181"/>
      <c r="JLR45" s="1181"/>
      <c r="JLS45" s="1181"/>
      <c r="JLT45" s="1181"/>
      <c r="JLU45" s="1181"/>
      <c r="JLV45" s="1181"/>
      <c r="JLW45" s="1181"/>
      <c r="JLX45" s="1181"/>
      <c r="JLY45" s="1181"/>
      <c r="JLZ45" s="1181"/>
      <c r="JMA45" s="1181"/>
      <c r="JMB45" s="1181"/>
      <c r="JMC45" s="1181"/>
      <c r="JMD45" s="1181"/>
      <c r="JME45" s="1181"/>
      <c r="JMF45" s="1181"/>
      <c r="JMG45" s="1181"/>
      <c r="JMH45" s="1181"/>
      <c r="JMI45" s="1181"/>
      <c r="JMJ45" s="1181"/>
      <c r="JMK45" s="1181"/>
      <c r="JML45" s="1181"/>
      <c r="JMM45" s="1181"/>
      <c r="JMN45" s="1181"/>
      <c r="JMO45" s="1181"/>
      <c r="JMP45" s="1181"/>
      <c r="JMQ45" s="1181"/>
      <c r="JMR45" s="1181"/>
      <c r="JMS45" s="1181"/>
      <c r="JMT45" s="1181"/>
      <c r="JMU45" s="1181"/>
      <c r="JMV45" s="1181"/>
      <c r="JMW45" s="1181"/>
      <c r="JMX45" s="1181"/>
      <c r="JMY45" s="1181"/>
      <c r="JMZ45" s="1181"/>
      <c r="JNA45" s="1181"/>
      <c r="JNB45" s="1181"/>
      <c r="JNC45" s="1181"/>
      <c r="JND45" s="1181"/>
      <c r="JNE45" s="1181"/>
      <c r="JNF45" s="1181"/>
      <c r="JNG45" s="1181"/>
      <c r="JNH45" s="1181"/>
      <c r="JNI45" s="1181"/>
      <c r="JNJ45" s="1181"/>
      <c r="JNK45" s="1181"/>
      <c r="JNL45" s="1181"/>
      <c r="JNM45" s="1181"/>
      <c r="JNN45" s="1181"/>
      <c r="JNO45" s="1181"/>
      <c r="JNP45" s="1181"/>
      <c r="JNQ45" s="1181"/>
      <c r="JNR45" s="1181"/>
      <c r="JNS45" s="1181"/>
      <c r="JNT45" s="1181"/>
      <c r="JNU45" s="1181"/>
      <c r="JNV45" s="1181"/>
      <c r="JNW45" s="1181"/>
      <c r="JNX45" s="1181"/>
      <c r="JNY45" s="1181"/>
      <c r="JNZ45" s="1181"/>
      <c r="JOA45" s="1181"/>
      <c r="JOB45" s="1181"/>
      <c r="JOC45" s="1181"/>
      <c r="JOD45" s="1181"/>
      <c r="JOE45" s="1181"/>
      <c r="JOF45" s="1181"/>
      <c r="JOG45" s="1181"/>
      <c r="JOH45" s="1181"/>
      <c r="JOI45" s="1181"/>
      <c r="JOJ45" s="1181"/>
      <c r="JOK45" s="1181"/>
      <c r="JOL45" s="1181"/>
      <c r="JOM45" s="1181"/>
      <c r="JON45" s="1181"/>
      <c r="JOO45" s="1181"/>
      <c r="JOP45" s="1181"/>
      <c r="JOQ45" s="1181"/>
      <c r="JOR45" s="1181"/>
      <c r="JOS45" s="1181"/>
      <c r="JOT45" s="1181"/>
      <c r="JOU45" s="1181"/>
      <c r="JOV45" s="1181"/>
      <c r="JOW45" s="1181"/>
      <c r="JOX45" s="1181"/>
      <c r="JOY45" s="1181"/>
      <c r="JOZ45" s="1181"/>
      <c r="JPA45" s="1181"/>
      <c r="JPB45" s="1181"/>
      <c r="JPC45" s="1181"/>
      <c r="JPD45" s="1181"/>
      <c r="JPE45" s="1181"/>
      <c r="JPF45" s="1181"/>
      <c r="JPG45" s="1181"/>
      <c r="JPH45" s="1181"/>
      <c r="JPI45" s="1181"/>
      <c r="JPJ45" s="1181"/>
      <c r="JPK45" s="1181"/>
      <c r="JPL45" s="1181"/>
      <c r="JPM45" s="1181"/>
      <c r="JPN45" s="1181"/>
      <c r="JPO45" s="1181"/>
      <c r="JPP45" s="1181"/>
      <c r="JPQ45" s="1181"/>
      <c r="JPR45" s="1181"/>
      <c r="JPS45" s="1181"/>
      <c r="JPT45" s="1181"/>
      <c r="JPU45" s="1181"/>
      <c r="JPV45" s="1181"/>
      <c r="JPW45" s="1181"/>
      <c r="JPX45" s="1181"/>
      <c r="JPY45" s="1181"/>
      <c r="JPZ45" s="1181"/>
      <c r="JQA45" s="1181"/>
      <c r="JQB45" s="1181"/>
      <c r="JQC45" s="1181"/>
      <c r="JQD45" s="1181"/>
      <c r="JQE45" s="1181"/>
      <c r="JQF45" s="1181"/>
      <c r="JQG45" s="1181"/>
      <c r="JQH45" s="1181"/>
      <c r="JQI45" s="1181"/>
      <c r="JQJ45" s="1181"/>
      <c r="JQK45" s="1181"/>
      <c r="JQL45" s="1181"/>
      <c r="JQM45" s="1181"/>
      <c r="JQN45" s="1181"/>
      <c r="JQO45" s="1181"/>
      <c r="JQP45" s="1181"/>
      <c r="JQQ45" s="1181"/>
      <c r="JQR45" s="1181"/>
      <c r="JQS45" s="1181"/>
      <c r="JQT45" s="1181"/>
      <c r="JQU45" s="1181"/>
      <c r="JQV45" s="1181"/>
      <c r="JQW45" s="1181"/>
      <c r="JQX45" s="1181"/>
      <c r="JQY45" s="1181"/>
      <c r="JQZ45" s="1181"/>
      <c r="JRA45" s="1181"/>
      <c r="JRB45" s="1181"/>
      <c r="JRC45" s="1181"/>
      <c r="JRD45" s="1181"/>
      <c r="JRE45" s="1181"/>
      <c r="JRF45" s="1181"/>
      <c r="JRG45" s="1181"/>
      <c r="JRH45" s="1181"/>
      <c r="JRI45" s="1181"/>
      <c r="JRJ45" s="1181"/>
      <c r="JRK45" s="1181"/>
      <c r="JRL45" s="1181"/>
      <c r="JRM45" s="1181"/>
      <c r="JRN45" s="1181"/>
      <c r="JRO45" s="1181"/>
      <c r="JRP45" s="1181"/>
      <c r="JRQ45" s="1181"/>
      <c r="JRR45" s="1181"/>
      <c r="JRS45" s="1181"/>
      <c r="JRT45" s="1181"/>
      <c r="JRU45" s="1181"/>
      <c r="JRV45" s="1181"/>
      <c r="JRW45" s="1181"/>
      <c r="JRX45" s="1181"/>
      <c r="JRY45" s="1181"/>
      <c r="JRZ45" s="1181"/>
      <c r="JSA45" s="1181"/>
      <c r="JSB45" s="1181"/>
      <c r="JSC45" s="1181"/>
      <c r="JSD45" s="1181"/>
      <c r="JSE45" s="1181"/>
      <c r="JSF45" s="1181"/>
      <c r="JSG45" s="1181"/>
      <c r="JSH45" s="1181"/>
      <c r="JSI45" s="1181"/>
      <c r="JSJ45" s="1181"/>
      <c r="JSK45" s="1181"/>
      <c r="JSL45" s="1181"/>
      <c r="JSM45" s="1181"/>
      <c r="JSN45" s="1181"/>
      <c r="JSO45" s="1181"/>
      <c r="JSP45" s="1181"/>
      <c r="JSQ45" s="1181"/>
      <c r="JSR45" s="1181"/>
      <c r="JSS45" s="1181"/>
      <c r="JST45" s="1181"/>
      <c r="JSU45" s="1181"/>
      <c r="JSV45" s="1181"/>
      <c r="JSW45" s="1181"/>
      <c r="JSX45" s="1181"/>
      <c r="JSY45" s="1181"/>
      <c r="JSZ45" s="1181"/>
      <c r="JTA45" s="1181"/>
      <c r="JTB45" s="1181"/>
      <c r="JTC45" s="1181"/>
      <c r="JTD45" s="1181"/>
      <c r="JTE45" s="1181"/>
      <c r="JTF45" s="1181"/>
      <c r="JTG45" s="1181"/>
      <c r="JTH45" s="1181"/>
      <c r="JTI45" s="1181"/>
      <c r="JTJ45" s="1181"/>
      <c r="JTK45" s="1181"/>
      <c r="JTL45" s="1181"/>
      <c r="JTM45" s="1181"/>
      <c r="JTN45" s="1181"/>
      <c r="JTO45" s="1181"/>
      <c r="JTP45" s="1181"/>
      <c r="JTQ45" s="1181"/>
      <c r="JTR45" s="1181"/>
      <c r="JTS45" s="1181"/>
      <c r="JTT45" s="1181"/>
      <c r="JTU45" s="1181"/>
      <c r="JTV45" s="1181"/>
      <c r="JTW45" s="1181"/>
      <c r="JTX45" s="1181"/>
      <c r="JTY45" s="1181"/>
      <c r="JTZ45" s="1181"/>
      <c r="JUA45" s="1181"/>
      <c r="JUB45" s="1181"/>
      <c r="JUC45" s="1181"/>
      <c r="JUD45" s="1181"/>
      <c r="JUE45" s="1181"/>
      <c r="JUF45" s="1181"/>
      <c r="JUG45" s="1181"/>
      <c r="JUH45" s="1181"/>
      <c r="JUI45" s="1181"/>
      <c r="JUJ45" s="1181"/>
      <c r="JUK45" s="1181"/>
      <c r="JUL45" s="1181"/>
      <c r="JUM45" s="1181"/>
      <c r="JUN45" s="1181"/>
      <c r="JUO45" s="1181"/>
      <c r="JUP45" s="1181"/>
      <c r="JUQ45" s="1181"/>
      <c r="JUR45" s="1181"/>
      <c r="JUS45" s="1181"/>
      <c r="JUT45" s="1181"/>
      <c r="JUU45" s="1181"/>
      <c r="JUV45" s="1181"/>
      <c r="JUW45" s="1181"/>
      <c r="JUX45" s="1181"/>
      <c r="JUY45" s="1181"/>
      <c r="JUZ45" s="1181"/>
      <c r="JVA45" s="1181"/>
      <c r="JVB45" s="1181"/>
      <c r="JVC45" s="1181"/>
      <c r="JVD45" s="1181"/>
      <c r="JVE45" s="1181"/>
      <c r="JVF45" s="1181"/>
      <c r="JVG45" s="1181"/>
      <c r="JVH45" s="1181"/>
      <c r="JVI45" s="1181"/>
      <c r="JVJ45" s="1181"/>
      <c r="JVK45" s="1181"/>
      <c r="JVL45" s="1181"/>
      <c r="JVM45" s="1181"/>
      <c r="JVN45" s="1181"/>
      <c r="JVO45" s="1181"/>
      <c r="JVP45" s="1181"/>
      <c r="JVQ45" s="1181"/>
      <c r="JVR45" s="1181"/>
      <c r="JVS45" s="1181"/>
      <c r="JVT45" s="1181"/>
      <c r="JVU45" s="1181"/>
      <c r="JVV45" s="1181"/>
      <c r="JVW45" s="1181"/>
      <c r="JVX45" s="1181"/>
      <c r="JVY45" s="1181"/>
      <c r="JVZ45" s="1181"/>
      <c r="JWA45" s="1181"/>
      <c r="JWB45" s="1181"/>
      <c r="JWC45" s="1181"/>
      <c r="JWD45" s="1181"/>
      <c r="JWE45" s="1181"/>
      <c r="JWF45" s="1181"/>
      <c r="JWG45" s="1181"/>
      <c r="JWH45" s="1181"/>
      <c r="JWI45" s="1181"/>
      <c r="JWJ45" s="1181"/>
      <c r="JWK45" s="1181"/>
      <c r="JWL45" s="1181"/>
      <c r="JWM45" s="1181"/>
      <c r="JWN45" s="1181"/>
      <c r="JWO45" s="1181"/>
      <c r="JWP45" s="1181"/>
      <c r="JWQ45" s="1181"/>
      <c r="JWR45" s="1181"/>
      <c r="JWS45" s="1181"/>
      <c r="JWT45" s="1181"/>
      <c r="JWU45" s="1181"/>
      <c r="JWV45" s="1181"/>
      <c r="JWW45" s="1181"/>
      <c r="JWX45" s="1181"/>
      <c r="JWY45" s="1181"/>
      <c r="JWZ45" s="1181"/>
      <c r="JXA45" s="1181"/>
      <c r="JXB45" s="1181"/>
      <c r="JXC45" s="1181"/>
      <c r="JXD45" s="1181"/>
      <c r="JXE45" s="1181"/>
      <c r="JXF45" s="1181"/>
      <c r="JXG45" s="1181"/>
      <c r="JXH45" s="1181"/>
      <c r="JXI45" s="1181"/>
      <c r="JXJ45" s="1181"/>
      <c r="JXK45" s="1181"/>
      <c r="JXL45" s="1181"/>
      <c r="JXM45" s="1181"/>
      <c r="JXN45" s="1181"/>
      <c r="JXO45" s="1181"/>
      <c r="JXP45" s="1181"/>
      <c r="JXQ45" s="1181"/>
      <c r="JXR45" s="1181"/>
      <c r="JXS45" s="1181"/>
      <c r="JXT45" s="1181"/>
      <c r="JXU45" s="1181"/>
      <c r="JXV45" s="1181"/>
      <c r="JXW45" s="1181"/>
      <c r="JXX45" s="1181"/>
      <c r="JXY45" s="1181"/>
      <c r="JXZ45" s="1181"/>
      <c r="JYA45" s="1181"/>
      <c r="JYB45" s="1181"/>
      <c r="JYC45" s="1181"/>
      <c r="JYD45" s="1181"/>
      <c r="JYE45" s="1181"/>
      <c r="JYF45" s="1181"/>
      <c r="JYG45" s="1181"/>
      <c r="JYH45" s="1181"/>
      <c r="JYI45" s="1181"/>
      <c r="JYJ45" s="1181"/>
      <c r="JYK45" s="1181"/>
      <c r="JYL45" s="1181"/>
      <c r="JYM45" s="1181"/>
      <c r="JYN45" s="1181"/>
      <c r="JYO45" s="1181"/>
      <c r="JYP45" s="1181"/>
      <c r="JYQ45" s="1181"/>
      <c r="JYR45" s="1181"/>
      <c r="JYS45" s="1181"/>
      <c r="JYT45" s="1181"/>
      <c r="JYU45" s="1181"/>
      <c r="JYV45" s="1181"/>
      <c r="JYW45" s="1181"/>
      <c r="JYX45" s="1181"/>
      <c r="JYY45" s="1181"/>
      <c r="JYZ45" s="1181"/>
      <c r="JZA45" s="1181"/>
      <c r="JZB45" s="1181"/>
      <c r="JZC45" s="1181"/>
      <c r="JZD45" s="1181"/>
      <c r="JZE45" s="1181"/>
      <c r="JZF45" s="1181"/>
      <c r="JZG45" s="1181"/>
      <c r="JZH45" s="1181"/>
      <c r="JZI45" s="1181"/>
      <c r="JZJ45" s="1181"/>
      <c r="JZK45" s="1181"/>
      <c r="JZL45" s="1181"/>
      <c r="JZM45" s="1181"/>
      <c r="JZN45" s="1181"/>
      <c r="JZO45" s="1181"/>
      <c r="JZP45" s="1181"/>
      <c r="JZQ45" s="1181"/>
      <c r="JZR45" s="1181"/>
      <c r="JZS45" s="1181"/>
      <c r="JZT45" s="1181"/>
      <c r="JZU45" s="1181"/>
      <c r="JZV45" s="1181"/>
      <c r="JZW45" s="1181"/>
      <c r="JZX45" s="1181"/>
      <c r="JZY45" s="1181"/>
      <c r="JZZ45" s="1181"/>
      <c r="KAA45" s="1181"/>
      <c r="KAB45" s="1181"/>
      <c r="KAC45" s="1181"/>
      <c r="KAD45" s="1181"/>
      <c r="KAE45" s="1181"/>
      <c r="KAF45" s="1181"/>
      <c r="KAG45" s="1181"/>
      <c r="KAH45" s="1181"/>
      <c r="KAI45" s="1181"/>
      <c r="KAJ45" s="1181"/>
      <c r="KAK45" s="1181"/>
      <c r="KAL45" s="1181"/>
      <c r="KAM45" s="1181"/>
      <c r="KAN45" s="1181"/>
      <c r="KAO45" s="1181"/>
      <c r="KAP45" s="1181"/>
      <c r="KAQ45" s="1181"/>
      <c r="KAR45" s="1181"/>
      <c r="KAS45" s="1181"/>
      <c r="KAT45" s="1181"/>
      <c r="KAU45" s="1181"/>
      <c r="KAV45" s="1181"/>
      <c r="KAW45" s="1181"/>
      <c r="KAX45" s="1181"/>
      <c r="KAY45" s="1181"/>
      <c r="KAZ45" s="1181"/>
      <c r="KBA45" s="1181"/>
      <c r="KBB45" s="1181"/>
      <c r="KBC45" s="1181"/>
      <c r="KBD45" s="1181"/>
      <c r="KBE45" s="1181"/>
      <c r="KBF45" s="1181"/>
      <c r="KBG45" s="1181"/>
      <c r="KBH45" s="1181"/>
      <c r="KBI45" s="1181"/>
      <c r="KBJ45" s="1181"/>
      <c r="KBK45" s="1181"/>
      <c r="KBL45" s="1181"/>
      <c r="KBM45" s="1181"/>
      <c r="KBN45" s="1181"/>
      <c r="KBO45" s="1181"/>
      <c r="KBP45" s="1181"/>
      <c r="KBQ45" s="1181"/>
      <c r="KBR45" s="1181"/>
      <c r="KBS45" s="1181"/>
      <c r="KBT45" s="1181"/>
      <c r="KBU45" s="1181"/>
      <c r="KBV45" s="1181"/>
      <c r="KBW45" s="1181"/>
      <c r="KBX45" s="1181"/>
      <c r="KBY45" s="1181"/>
      <c r="KBZ45" s="1181"/>
      <c r="KCA45" s="1181"/>
      <c r="KCB45" s="1181"/>
      <c r="KCC45" s="1181"/>
      <c r="KCD45" s="1181"/>
      <c r="KCE45" s="1181"/>
      <c r="KCF45" s="1181"/>
      <c r="KCG45" s="1181"/>
      <c r="KCH45" s="1181"/>
      <c r="KCI45" s="1181"/>
      <c r="KCJ45" s="1181"/>
      <c r="KCK45" s="1181"/>
      <c r="KCL45" s="1181"/>
      <c r="KCM45" s="1181"/>
      <c r="KCN45" s="1181"/>
      <c r="KCO45" s="1181"/>
      <c r="KCP45" s="1181"/>
      <c r="KCQ45" s="1181"/>
      <c r="KCR45" s="1181"/>
      <c r="KCS45" s="1181"/>
      <c r="KCT45" s="1181"/>
      <c r="KCU45" s="1181"/>
      <c r="KCV45" s="1181"/>
      <c r="KCW45" s="1181"/>
      <c r="KCX45" s="1181"/>
      <c r="KCY45" s="1181"/>
      <c r="KCZ45" s="1181"/>
      <c r="KDA45" s="1181"/>
      <c r="KDB45" s="1181"/>
      <c r="KDC45" s="1181"/>
      <c r="KDD45" s="1181"/>
      <c r="KDE45" s="1181"/>
      <c r="KDF45" s="1181"/>
      <c r="KDG45" s="1181"/>
      <c r="KDH45" s="1181"/>
      <c r="KDI45" s="1181"/>
      <c r="KDJ45" s="1181"/>
      <c r="KDK45" s="1181"/>
      <c r="KDL45" s="1181"/>
      <c r="KDM45" s="1181"/>
      <c r="KDN45" s="1181"/>
      <c r="KDO45" s="1181"/>
      <c r="KDP45" s="1181"/>
      <c r="KDQ45" s="1181"/>
      <c r="KDR45" s="1181"/>
      <c r="KDS45" s="1181"/>
      <c r="KDT45" s="1181"/>
      <c r="KDU45" s="1181"/>
      <c r="KDV45" s="1181"/>
      <c r="KDW45" s="1181"/>
      <c r="KDX45" s="1181"/>
      <c r="KDY45" s="1181"/>
      <c r="KDZ45" s="1181"/>
      <c r="KEA45" s="1181"/>
      <c r="KEB45" s="1181"/>
      <c r="KEC45" s="1181"/>
      <c r="KED45" s="1181"/>
      <c r="KEE45" s="1181"/>
      <c r="KEF45" s="1181"/>
      <c r="KEG45" s="1181"/>
      <c r="KEH45" s="1181"/>
      <c r="KEI45" s="1181"/>
      <c r="KEJ45" s="1181"/>
      <c r="KEK45" s="1181"/>
      <c r="KEL45" s="1181"/>
      <c r="KEM45" s="1181"/>
      <c r="KEN45" s="1181"/>
      <c r="KEO45" s="1181"/>
      <c r="KEP45" s="1181"/>
      <c r="KEQ45" s="1181"/>
      <c r="KER45" s="1181"/>
      <c r="KES45" s="1181"/>
      <c r="KET45" s="1181"/>
      <c r="KEU45" s="1181"/>
      <c r="KEV45" s="1181"/>
      <c r="KEW45" s="1181"/>
      <c r="KEX45" s="1181"/>
      <c r="KEY45" s="1181"/>
      <c r="KEZ45" s="1181"/>
      <c r="KFA45" s="1181"/>
      <c r="KFB45" s="1181"/>
      <c r="KFC45" s="1181"/>
      <c r="KFD45" s="1181"/>
      <c r="KFE45" s="1181"/>
      <c r="KFF45" s="1181"/>
      <c r="KFG45" s="1181"/>
      <c r="KFH45" s="1181"/>
      <c r="KFI45" s="1181"/>
      <c r="KFJ45" s="1181"/>
      <c r="KFK45" s="1181"/>
      <c r="KFL45" s="1181"/>
      <c r="KFM45" s="1181"/>
      <c r="KFN45" s="1181"/>
      <c r="KFO45" s="1181"/>
      <c r="KFP45" s="1181"/>
      <c r="KFQ45" s="1181"/>
      <c r="KFR45" s="1181"/>
      <c r="KFS45" s="1181"/>
      <c r="KFT45" s="1181"/>
      <c r="KFU45" s="1181"/>
      <c r="KFV45" s="1181"/>
      <c r="KFW45" s="1181"/>
      <c r="KFX45" s="1181"/>
      <c r="KFY45" s="1181"/>
      <c r="KFZ45" s="1181"/>
      <c r="KGA45" s="1181"/>
      <c r="KGB45" s="1181"/>
      <c r="KGC45" s="1181"/>
      <c r="KGD45" s="1181"/>
      <c r="KGE45" s="1181"/>
      <c r="KGF45" s="1181"/>
      <c r="KGG45" s="1181"/>
      <c r="KGH45" s="1181"/>
      <c r="KGI45" s="1181"/>
      <c r="KGJ45" s="1181"/>
      <c r="KGK45" s="1181"/>
      <c r="KGL45" s="1181"/>
      <c r="KGM45" s="1181"/>
      <c r="KGN45" s="1181"/>
      <c r="KGO45" s="1181"/>
      <c r="KGP45" s="1181"/>
      <c r="KGQ45" s="1181"/>
      <c r="KGR45" s="1181"/>
      <c r="KGS45" s="1181"/>
      <c r="KGT45" s="1181"/>
      <c r="KGU45" s="1181"/>
      <c r="KGV45" s="1181"/>
      <c r="KGW45" s="1181"/>
      <c r="KGX45" s="1181"/>
      <c r="KGY45" s="1181"/>
      <c r="KGZ45" s="1181"/>
      <c r="KHA45" s="1181"/>
      <c r="KHB45" s="1181"/>
      <c r="KHC45" s="1181"/>
      <c r="KHD45" s="1181"/>
      <c r="KHE45" s="1181"/>
      <c r="KHF45" s="1181"/>
      <c r="KHG45" s="1181"/>
      <c r="KHH45" s="1181"/>
      <c r="KHI45" s="1181"/>
      <c r="KHJ45" s="1181"/>
      <c r="KHK45" s="1181"/>
      <c r="KHL45" s="1181"/>
      <c r="KHM45" s="1181"/>
      <c r="KHN45" s="1181"/>
      <c r="KHO45" s="1181"/>
      <c r="KHP45" s="1181"/>
      <c r="KHQ45" s="1181"/>
      <c r="KHR45" s="1181"/>
      <c r="KHS45" s="1181"/>
      <c r="KHT45" s="1181"/>
      <c r="KHU45" s="1181"/>
      <c r="KHV45" s="1181"/>
      <c r="KHW45" s="1181"/>
      <c r="KHX45" s="1181"/>
      <c r="KHY45" s="1181"/>
      <c r="KHZ45" s="1181"/>
      <c r="KIA45" s="1181"/>
      <c r="KIB45" s="1181"/>
      <c r="KIC45" s="1181"/>
      <c r="KID45" s="1181"/>
      <c r="KIE45" s="1181"/>
      <c r="KIF45" s="1181"/>
      <c r="KIG45" s="1181"/>
      <c r="KIH45" s="1181"/>
      <c r="KII45" s="1181"/>
      <c r="KIJ45" s="1181"/>
      <c r="KIK45" s="1181"/>
      <c r="KIL45" s="1181"/>
      <c r="KIM45" s="1181"/>
      <c r="KIN45" s="1181"/>
      <c r="KIO45" s="1181"/>
      <c r="KIP45" s="1181"/>
      <c r="KIQ45" s="1181"/>
      <c r="KIR45" s="1181"/>
      <c r="KIS45" s="1181"/>
      <c r="KIT45" s="1181"/>
      <c r="KIU45" s="1181"/>
      <c r="KIV45" s="1181"/>
      <c r="KIW45" s="1181"/>
      <c r="KIX45" s="1181"/>
      <c r="KIY45" s="1181"/>
      <c r="KIZ45" s="1181"/>
      <c r="KJA45" s="1181"/>
      <c r="KJB45" s="1181"/>
      <c r="KJC45" s="1181"/>
      <c r="KJD45" s="1181"/>
      <c r="KJE45" s="1181"/>
      <c r="KJF45" s="1181"/>
      <c r="KJG45" s="1181"/>
      <c r="KJH45" s="1181"/>
      <c r="KJI45" s="1181"/>
      <c r="KJJ45" s="1181"/>
      <c r="KJK45" s="1181"/>
      <c r="KJL45" s="1181"/>
      <c r="KJM45" s="1181"/>
      <c r="KJN45" s="1181"/>
      <c r="KJO45" s="1181"/>
      <c r="KJP45" s="1181"/>
      <c r="KJQ45" s="1181"/>
      <c r="KJR45" s="1181"/>
      <c r="KJS45" s="1181"/>
      <c r="KJT45" s="1181"/>
      <c r="KJU45" s="1181"/>
      <c r="KJV45" s="1181"/>
      <c r="KJW45" s="1181"/>
      <c r="KJX45" s="1181"/>
      <c r="KJY45" s="1181"/>
      <c r="KJZ45" s="1181"/>
      <c r="KKA45" s="1181"/>
      <c r="KKB45" s="1181"/>
      <c r="KKC45" s="1181"/>
      <c r="KKD45" s="1181"/>
      <c r="KKE45" s="1181"/>
      <c r="KKF45" s="1181"/>
      <c r="KKG45" s="1181"/>
      <c r="KKH45" s="1181"/>
      <c r="KKI45" s="1181"/>
      <c r="KKJ45" s="1181"/>
      <c r="KKK45" s="1181"/>
      <c r="KKL45" s="1181"/>
      <c r="KKM45" s="1181"/>
      <c r="KKN45" s="1181"/>
      <c r="KKO45" s="1181"/>
      <c r="KKP45" s="1181"/>
      <c r="KKQ45" s="1181"/>
      <c r="KKR45" s="1181"/>
      <c r="KKS45" s="1181"/>
      <c r="KKT45" s="1181"/>
      <c r="KKU45" s="1181"/>
      <c r="KKV45" s="1181"/>
      <c r="KKW45" s="1181"/>
      <c r="KKX45" s="1181"/>
      <c r="KKY45" s="1181"/>
      <c r="KKZ45" s="1181"/>
      <c r="KLA45" s="1181"/>
      <c r="KLB45" s="1181"/>
      <c r="KLC45" s="1181"/>
      <c r="KLD45" s="1181"/>
      <c r="KLE45" s="1181"/>
      <c r="KLF45" s="1181"/>
      <c r="KLG45" s="1181"/>
      <c r="KLH45" s="1181"/>
      <c r="KLI45" s="1181"/>
      <c r="KLJ45" s="1181"/>
      <c r="KLK45" s="1181"/>
      <c r="KLL45" s="1181"/>
      <c r="KLM45" s="1181"/>
      <c r="KLN45" s="1181"/>
      <c r="KLO45" s="1181"/>
      <c r="KLP45" s="1181"/>
      <c r="KLQ45" s="1181"/>
      <c r="KLR45" s="1181"/>
      <c r="KLS45" s="1181"/>
      <c r="KLT45" s="1181"/>
      <c r="KLU45" s="1181"/>
      <c r="KLV45" s="1181"/>
      <c r="KLW45" s="1181"/>
      <c r="KLX45" s="1181"/>
      <c r="KLY45" s="1181"/>
      <c r="KLZ45" s="1181"/>
      <c r="KMA45" s="1181"/>
      <c r="KMB45" s="1181"/>
      <c r="KMC45" s="1181"/>
      <c r="KMD45" s="1181"/>
      <c r="KME45" s="1181"/>
      <c r="KMF45" s="1181"/>
      <c r="KMG45" s="1181"/>
      <c r="KMH45" s="1181"/>
      <c r="KMI45" s="1181"/>
      <c r="KMJ45" s="1181"/>
      <c r="KMK45" s="1181"/>
      <c r="KML45" s="1181"/>
      <c r="KMM45" s="1181"/>
      <c r="KMN45" s="1181"/>
      <c r="KMO45" s="1181"/>
      <c r="KMP45" s="1181"/>
      <c r="KMQ45" s="1181"/>
      <c r="KMR45" s="1181"/>
      <c r="KMS45" s="1181"/>
      <c r="KMT45" s="1181"/>
      <c r="KMU45" s="1181"/>
      <c r="KMV45" s="1181"/>
      <c r="KMW45" s="1181"/>
      <c r="KMX45" s="1181"/>
      <c r="KMY45" s="1181"/>
      <c r="KMZ45" s="1181"/>
      <c r="KNA45" s="1181"/>
      <c r="KNB45" s="1181"/>
      <c r="KNC45" s="1181"/>
      <c r="KND45" s="1181"/>
      <c r="KNE45" s="1181"/>
      <c r="KNF45" s="1181"/>
      <c r="KNG45" s="1181"/>
      <c r="KNH45" s="1181"/>
      <c r="KNI45" s="1181"/>
      <c r="KNJ45" s="1181"/>
      <c r="KNK45" s="1181"/>
      <c r="KNL45" s="1181"/>
      <c r="KNM45" s="1181"/>
      <c r="KNN45" s="1181"/>
      <c r="KNO45" s="1181"/>
      <c r="KNP45" s="1181"/>
      <c r="KNQ45" s="1181"/>
      <c r="KNR45" s="1181"/>
      <c r="KNS45" s="1181"/>
      <c r="KNT45" s="1181"/>
      <c r="KNU45" s="1181"/>
      <c r="KNV45" s="1181"/>
      <c r="KNW45" s="1181"/>
      <c r="KNX45" s="1181"/>
      <c r="KNY45" s="1181"/>
      <c r="KNZ45" s="1181"/>
      <c r="KOA45" s="1181"/>
      <c r="KOB45" s="1181"/>
      <c r="KOC45" s="1181"/>
      <c r="KOD45" s="1181"/>
      <c r="KOE45" s="1181"/>
      <c r="KOF45" s="1181"/>
      <c r="KOG45" s="1181"/>
      <c r="KOH45" s="1181"/>
      <c r="KOI45" s="1181"/>
      <c r="KOJ45" s="1181"/>
      <c r="KOK45" s="1181"/>
      <c r="KOL45" s="1181"/>
      <c r="KOM45" s="1181"/>
      <c r="KON45" s="1181"/>
      <c r="KOO45" s="1181"/>
      <c r="KOP45" s="1181"/>
      <c r="KOQ45" s="1181"/>
      <c r="KOR45" s="1181"/>
      <c r="KOS45" s="1181"/>
      <c r="KOT45" s="1181"/>
      <c r="KOU45" s="1181"/>
      <c r="KOV45" s="1181"/>
      <c r="KOW45" s="1181"/>
      <c r="KOX45" s="1181"/>
      <c r="KOY45" s="1181"/>
      <c r="KOZ45" s="1181"/>
      <c r="KPA45" s="1181"/>
      <c r="KPB45" s="1181"/>
      <c r="KPC45" s="1181"/>
      <c r="KPD45" s="1181"/>
      <c r="KPE45" s="1181"/>
      <c r="KPF45" s="1181"/>
      <c r="KPG45" s="1181"/>
      <c r="KPH45" s="1181"/>
      <c r="KPI45" s="1181"/>
      <c r="KPJ45" s="1181"/>
      <c r="KPK45" s="1181"/>
      <c r="KPL45" s="1181"/>
      <c r="KPM45" s="1181"/>
      <c r="KPN45" s="1181"/>
      <c r="KPO45" s="1181"/>
      <c r="KPP45" s="1181"/>
      <c r="KPQ45" s="1181"/>
      <c r="KPR45" s="1181"/>
      <c r="KPS45" s="1181"/>
      <c r="KPT45" s="1181"/>
      <c r="KPU45" s="1181"/>
      <c r="KPV45" s="1181"/>
      <c r="KPW45" s="1181"/>
      <c r="KPX45" s="1181"/>
      <c r="KPY45" s="1181"/>
      <c r="KPZ45" s="1181"/>
      <c r="KQA45" s="1181"/>
      <c r="KQB45" s="1181"/>
      <c r="KQC45" s="1181"/>
      <c r="KQD45" s="1181"/>
      <c r="KQE45" s="1181"/>
      <c r="KQF45" s="1181"/>
      <c r="KQG45" s="1181"/>
      <c r="KQH45" s="1181"/>
      <c r="KQI45" s="1181"/>
      <c r="KQJ45" s="1181"/>
      <c r="KQK45" s="1181"/>
      <c r="KQL45" s="1181"/>
      <c r="KQM45" s="1181"/>
      <c r="KQN45" s="1181"/>
      <c r="KQO45" s="1181"/>
      <c r="KQP45" s="1181"/>
      <c r="KQQ45" s="1181"/>
      <c r="KQR45" s="1181"/>
      <c r="KQS45" s="1181"/>
      <c r="KQT45" s="1181"/>
      <c r="KQU45" s="1181"/>
      <c r="KQV45" s="1181"/>
      <c r="KQW45" s="1181"/>
      <c r="KQX45" s="1181"/>
      <c r="KQY45" s="1181"/>
      <c r="KQZ45" s="1181"/>
      <c r="KRA45" s="1181"/>
      <c r="KRB45" s="1181"/>
      <c r="KRC45" s="1181"/>
      <c r="KRD45" s="1181"/>
      <c r="KRE45" s="1181"/>
      <c r="KRF45" s="1181"/>
      <c r="KRG45" s="1181"/>
      <c r="KRH45" s="1181"/>
      <c r="KRI45" s="1181"/>
      <c r="KRJ45" s="1181"/>
      <c r="KRK45" s="1181"/>
      <c r="KRL45" s="1181"/>
      <c r="KRM45" s="1181"/>
      <c r="KRN45" s="1181"/>
      <c r="KRO45" s="1181"/>
      <c r="KRP45" s="1181"/>
      <c r="KRQ45" s="1181"/>
      <c r="KRR45" s="1181"/>
      <c r="KRS45" s="1181"/>
      <c r="KRT45" s="1181"/>
      <c r="KRU45" s="1181"/>
      <c r="KRV45" s="1181"/>
      <c r="KRW45" s="1181"/>
      <c r="KRX45" s="1181"/>
      <c r="KRY45" s="1181"/>
      <c r="KRZ45" s="1181"/>
      <c r="KSA45" s="1181"/>
      <c r="KSB45" s="1181"/>
      <c r="KSC45" s="1181"/>
      <c r="KSD45" s="1181"/>
      <c r="KSE45" s="1181"/>
      <c r="KSF45" s="1181"/>
      <c r="KSG45" s="1181"/>
      <c r="KSH45" s="1181"/>
      <c r="KSI45" s="1181"/>
      <c r="KSJ45" s="1181"/>
      <c r="KSK45" s="1181"/>
      <c r="KSL45" s="1181"/>
      <c r="KSM45" s="1181"/>
      <c r="KSN45" s="1181"/>
      <c r="KSO45" s="1181"/>
      <c r="KSP45" s="1181"/>
      <c r="KSQ45" s="1181"/>
      <c r="KSR45" s="1181"/>
      <c r="KSS45" s="1181"/>
      <c r="KST45" s="1181"/>
      <c r="KSU45" s="1181"/>
      <c r="KSV45" s="1181"/>
      <c r="KSW45" s="1181"/>
      <c r="KSX45" s="1181"/>
      <c r="KSY45" s="1181"/>
      <c r="KSZ45" s="1181"/>
      <c r="KTA45" s="1181"/>
      <c r="KTB45" s="1181"/>
      <c r="KTC45" s="1181"/>
      <c r="KTD45" s="1181"/>
      <c r="KTE45" s="1181"/>
      <c r="KTF45" s="1181"/>
      <c r="KTG45" s="1181"/>
      <c r="KTH45" s="1181"/>
      <c r="KTI45" s="1181"/>
      <c r="KTJ45" s="1181"/>
      <c r="KTK45" s="1181"/>
      <c r="KTL45" s="1181"/>
      <c r="KTM45" s="1181"/>
      <c r="KTN45" s="1181"/>
      <c r="KTO45" s="1181"/>
      <c r="KTP45" s="1181"/>
      <c r="KTQ45" s="1181"/>
      <c r="KTR45" s="1181"/>
      <c r="KTS45" s="1181"/>
      <c r="KTT45" s="1181"/>
      <c r="KTU45" s="1181"/>
      <c r="KTV45" s="1181"/>
      <c r="KTW45" s="1181"/>
      <c r="KTX45" s="1181"/>
      <c r="KTY45" s="1181"/>
      <c r="KTZ45" s="1181"/>
      <c r="KUA45" s="1181"/>
      <c r="KUB45" s="1181"/>
      <c r="KUC45" s="1181"/>
      <c r="KUD45" s="1181"/>
      <c r="KUE45" s="1181"/>
      <c r="KUF45" s="1181"/>
      <c r="KUG45" s="1181"/>
      <c r="KUH45" s="1181"/>
      <c r="KUI45" s="1181"/>
      <c r="KUJ45" s="1181"/>
      <c r="KUK45" s="1181"/>
      <c r="KUL45" s="1181"/>
      <c r="KUM45" s="1181"/>
      <c r="KUN45" s="1181"/>
      <c r="KUO45" s="1181"/>
      <c r="KUP45" s="1181"/>
      <c r="KUQ45" s="1181"/>
      <c r="KUR45" s="1181"/>
      <c r="KUS45" s="1181"/>
      <c r="KUT45" s="1181"/>
      <c r="KUU45" s="1181"/>
      <c r="KUV45" s="1181"/>
      <c r="KUW45" s="1181"/>
      <c r="KUX45" s="1181"/>
      <c r="KUY45" s="1181"/>
      <c r="KUZ45" s="1181"/>
      <c r="KVA45" s="1181"/>
      <c r="KVB45" s="1181"/>
      <c r="KVC45" s="1181"/>
      <c r="KVD45" s="1181"/>
      <c r="KVE45" s="1181"/>
      <c r="KVF45" s="1181"/>
      <c r="KVG45" s="1181"/>
      <c r="KVH45" s="1181"/>
      <c r="KVI45" s="1181"/>
      <c r="KVJ45" s="1181"/>
      <c r="KVK45" s="1181"/>
      <c r="KVL45" s="1181"/>
      <c r="KVM45" s="1181"/>
      <c r="KVN45" s="1181"/>
      <c r="KVO45" s="1181"/>
      <c r="KVP45" s="1181"/>
      <c r="KVQ45" s="1181"/>
      <c r="KVR45" s="1181"/>
      <c r="KVS45" s="1181"/>
      <c r="KVT45" s="1181"/>
      <c r="KVU45" s="1181"/>
      <c r="KVV45" s="1181"/>
      <c r="KVW45" s="1181"/>
      <c r="KVX45" s="1181"/>
      <c r="KVY45" s="1181"/>
      <c r="KVZ45" s="1181"/>
      <c r="KWA45" s="1181"/>
      <c r="KWB45" s="1181"/>
      <c r="KWC45" s="1181"/>
      <c r="KWD45" s="1181"/>
      <c r="KWE45" s="1181"/>
      <c r="KWF45" s="1181"/>
      <c r="KWG45" s="1181"/>
      <c r="KWH45" s="1181"/>
      <c r="KWI45" s="1181"/>
      <c r="KWJ45" s="1181"/>
      <c r="KWK45" s="1181"/>
      <c r="KWL45" s="1181"/>
      <c r="KWM45" s="1181"/>
      <c r="KWN45" s="1181"/>
      <c r="KWO45" s="1181"/>
      <c r="KWP45" s="1181"/>
      <c r="KWQ45" s="1181"/>
      <c r="KWR45" s="1181"/>
      <c r="KWS45" s="1181"/>
      <c r="KWT45" s="1181"/>
      <c r="KWU45" s="1181"/>
      <c r="KWV45" s="1181"/>
      <c r="KWW45" s="1181"/>
      <c r="KWX45" s="1181"/>
      <c r="KWY45" s="1181"/>
      <c r="KWZ45" s="1181"/>
      <c r="KXA45" s="1181"/>
      <c r="KXB45" s="1181"/>
      <c r="KXC45" s="1181"/>
      <c r="KXD45" s="1181"/>
      <c r="KXE45" s="1181"/>
      <c r="KXF45" s="1181"/>
      <c r="KXG45" s="1181"/>
      <c r="KXH45" s="1181"/>
      <c r="KXI45" s="1181"/>
      <c r="KXJ45" s="1181"/>
      <c r="KXK45" s="1181"/>
      <c r="KXL45" s="1181"/>
      <c r="KXM45" s="1181"/>
      <c r="KXN45" s="1181"/>
      <c r="KXO45" s="1181"/>
      <c r="KXP45" s="1181"/>
      <c r="KXQ45" s="1181"/>
      <c r="KXR45" s="1181"/>
      <c r="KXS45" s="1181"/>
      <c r="KXT45" s="1181"/>
      <c r="KXU45" s="1181"/>
      <c r="KXV45" s="1181"/>
      <c r="KXW45" s="1181"/>
      <c r="KXX45" s="1181"/>
      <c r="KXY45" s="1181"/>
      <c r="KXZ45" s="1181"/>
      <c r="KYA45" s="1181"/>
      <c r="KYB45" s="1181"/>
      <c r="KYC45" s="1181"/>
      <c r="KYD45" s="1181"/>
      <c r="KYE45" s="1181"/>
      <c r="KYF45" s="1181"/>
      <c r="KYG45" s="1181"/>
      <c r="KYH45" s="1181"/>
      <c r="KYI45" s="1181"/>
      <c r="KYJ45" s="1181"/>
      <c r="KYK45" s="1181"/>
      <c r="KYL45" s="1181"/>
      <c r="KYM45" s="1181"/>
      <c r="KYN45" s="1181"/>
      <c r="KYO45" s="1181"/>
      <c r="KYP45" s="1181"/>
      <c r="KYQ45" s="1181"/>
      <c r="KYR45" s="1181"/>
      <c r="KYS45" s="1181"/>
      <c r="KYT45" s="1181"/>
      <c r="KYU45" s="1181"/>
      <c r="KYV45" s="1181"/>
      <c r="KYW45" s="1181"/>
      <c r="KYX45" s="1181"/>
      <c r="KYY45" s="1181"/>
      <c r="KYZ45" s="1181"/>
      <c r="KZA45" s="1181"/>
      <c r="KZB45" s="1181"/>
      <c r="KZC45" s="1181"/>
      <c r="KZD45" s="1181"/>
      <c r="KZE45" s="1181"/>
      <c r="KZF45" s="1181"/>
      <c r="KZG45" s="1181"/>
      <c r="KZH45" s="1181"/>
      <c r="KZI45" s="1181"/>
      <c r="KZJ45" s="1181"/>
      <c r="KZK45" s="1181"/>
      <c r="KZL45" s="1181"/>
      <c r="KZM45" s="1181"/>
      <c r="KZN45" s="1181"/>
      <c r="KZO45" s="1181"/>
      <c r="KZP45" s="1181"/>
      <c r="KZQ45" s="1181"/>
      <c r="KZR45" s="1181"/>
      <c r="KZS45" s="1181"/>
      <c r="KZT45" s="1181"/>
      <c r="KZU45" s="1181"/>
      <c r="KZV45" s="1181"/>
      <c r="KZW45" s="1181"/>
      <c r="KZX45" s="1181"/>
      <c r="KZY45" s="1181"/>
      <c r="KZZ45" s="1181"/>
      <c r="LAA45" s="1181"/>
      <c r="LAB45" s="1181"/>
      <c r="LAC45" s="1181"/>
      <c r="LAD45" s="1181"/>
      <c r="LAE45" s="1181"/>
      <c r="LAF45" s="1181"/>
      <c r="LAG45" s="1181"/>
      <c r="LAH45" s="1181"/>
      <c r="LAI45" s="1181"/>
      <c r="LAJ45" s="1181"/>
      <c r="LAK45" s="1181"/>
      <c r="LAL45" s="1181"/>
      <c r="LAM45" s="1181"/>
      <c r="LAN45" s="1181"/>
      <c r="LAO45" s="1181"/>
      <c r="LAP45" s="1181"/>
      <c r="LAQ45" s="1181"/>
      <c r="LAR45" s="1181"/>
      <c r="LAS45" s="1181"/>
      <c r="LAT45" s="1181"/>
      <c r="LAU45" s="1181"/>
      <c r="LAV45" s="1181"/>
      <c r="LAW45" s="1181"/>
      <c r="LAX45" s="1181"/>
      <c r="LAY45" s="1181"/>
      <c r="LAZ45" s="1181"/>
      <c r="LBA45" s="1181"/>
      <c r="LBB45" s="1181"/>
      <c r="LBC45" s="1181"/>
      <c r="LBD45" s="1181"/>
      <c r="LBE45" s="1181"/>
      <c r="LBF45" s="1181"/>
      <c r="LBG45" s="1181"/>
      <c r="LBH45" s="1181"/>
      <c r="LBI45" s="1181"/>
      <c r="LBJ45" s="1181"/>
      <c r="LBK45" s="1181"/>
      <c r="LBL45" s="1181"/>
      <c r="LBM45" s="1181"/>
      <c r="LBN45" s="1181"/>
      <c r="LBO45" s="1181"/>
      <c r="LBP45" s="1181"/>
      <c r="LBQ45" s="1181"/>
      <c r="LBR45" s="1181"/>
      <c r="LBS45" s="1181"/>
      <c r="LBT45" s="1181"/>
      <c r="LBU45" s="1181"/>
      <c r="LBV45" s="1181"/>
      <c r="LBW45" s="1181"/>
      <c r="LBX45" s="1181"/>
      <c r="LBY45" s="1181"/>
      <c r="LBZ45" s="1181"/>
      <c r="LCA45" s="1181"/>
      <c r="LCB45" s="1181"/>
      <c r="LCC45" s="1181"/>
      <c r="LCD45" s="1181"/>
      <c r="LCE45" s="1181"/>
      <c r="LCF45" s="1181"/>
      <c r="LCG45" s="1181"/>
      <c r="LCH45" s="1181"/>
      <c r="LCI45" s="1181"/>
      <c r="LCJ45" s="1181"/>
      <c r="LCK45" s="1181"/>
      <c r="LCL45" s="1181"/>
      <c r="LCM45" s="1181"/>
      <c r="LCN45" s="1181"/>
      <c r="LCO45" s="1181"/>
      <c r="LCP45" s="1181"/>
      <c r="LCQ45" s="1181"/>
      <c r="LCR45" s="1181"/>
      <c r="LCS45" s="1181"/>
      <c r="LCT45" s="1181"/>
      <c r="LCU45" s="1181"/>
      <c r="LCV45" s="1181"/>
      <c r="LCW45" s="1181"/>
      <c r="LCX45" s="1181"/>
      <c r="LCY45" s="1181"/>
      <c r="LCZ45" s="1181"/>
      <c r="LDA45" s="1181"/>
      <c r="LDB45" s="1181"/>
      <c r="LDC45" s="1181"/>
      <c r="LDD45" s="1181"/>
      <c r="LDE45" s="1181"/>
      <c r="LDF45" s="1181"/>
      <c r="LDG45" s="1181"/>
      <c r="LDH45" s="1181"/>
      <c r="LDI45" s="1181"/>
      <c r="LDJ45" s="1181"/>
      <c r="LDK45" s="1181"/>
      <c r="LDL45" s="1181"/>
      <c r="LDM45" s="1181"/>
      <c r="LDN45" s="1181"/>
      <c r="LDO45" s="1181"/>
      <c r="LDP45" s="1181"/>
      <c r="LDQ45" s="1181"/>
      <c r="LDR45" s="1181"/>
      <c r="LDS45" s="1181"/>
      <c r="LDT45" s="1181"/>
      <c r="LDU45" s="1181"/>
      <c r="LDV45" s="1181"/>
      <c r="LDW45" s="1181"/>
      <c r="LDX45" s="1181"/>
      <c r="LDY45" s="1181"/>
      <c r="LDZ45" s="1181"/>
      <c r="LEA45" s="1181"/>
      <c r="LEB45" s="1181"/>
      <c r="LEC45" s="1181"/>
      <c r="LED45" s="1181"/>
      <c r="LEE45" s="1181"/>
      <c r="LEF45" s="1181"/>
      <c r="LEG45" s="1181"/>
      <c r="LEH45" s="1181"/>
      <c r="LEI45" s="1181"/>
      <c r="LEJ45" s="1181"/>
      <c r="LEK45" s="1181"/>
      <c r="LEL45" s="1181"/>
      <c r="LEM45" s="1181"/>
      <c r="LEN45" s="1181"/>
      <c r="LEO45" s="1181"/>
      <c r="LEP45" s="1181"/>
      <c r="LEQ45" s="1181"/>
      <c r="LER45" s="1181"/>
      <c r="LES45" s="1181"/>
      <c r="LET45" s="1181"/>
      <c r="LEU45" s="1181"/>
      <c r="LEV45" s="1181"/>
      <c r="LEW45" s="1181"/>
      <c r="LEX45" s="1181"/>
      <c r="LEY45" s="1181"/>
      <c r="LEZ45" s="1181"/>
      <c r="LFA45" s="1181"/>
      <c r="LFB45" s="1181"/>
      <c r="LFC45" s="1181"/>
      <c r="LFD45" s="1181"/>
      <c r="LFE45" s="1181"/>
      <c r="LFF45" s="1181"/>
      <c r="LFG45" s="1181"/>
      <c r="LFH45" s="1181"/>
      <c r="LFI45" s="1181"/>
      <c r="LFJ45" s="1181"/>
      <c r="LFK45" s="1181"/>
      <c r="LFL45" s="1181"/>
      <c r="LFM45" s="1181"/>
      <c r="LFN45" s="1181"/>
      <c r="LFO45" s="1181"/>
      <c r="LFP45" s="1181"/>
      <c r="LFQ45" s="1181"/>
      <c r="LFR45" s="1181"/>
      <c r="LFS45" s="1181"/>
      <c r="LFT45" s="1181"/>
      <c r="LFU45" s="1181"/>
      <c r="LFV45" s="1181"/>
      <c r="LFW45" s="1181"/>
      <c r="LFX45" s="1181"/>
      <c r="LFY45" s="1181"/>
      <c r="LFZ45" s="1181"/>
      <c r="LGA45" s="1181"/>
      <c r="LGB45" s="1181"/>
      <c r="LGC45" s="1181"/>
      <c r="LGD45" s="1181"/>
      <c r="LGE45" s="1181"/>
      <c r="LGF45" s="1181"/>
      <c r="LGG45" s="1181"/>
      <c r="LGH45" s="1181"/>
      <c r="LGI45" s="1181"/>
      <c r="LGJ45" s="1181"/>
      <c r="LGK45" s="1181"/>
      <c r="LGL45" s="1181"/>
      <c r="LGM45" s="1181"/>
      <c r="LGN45" s="1181"/>
      <c r="LGO45" s="1181"/>
      <c r="LGP45" s="1181"/>
      <c r="LGQ45" s="1181"/>
      <c r="LGR45" s="1181"/>
      <c r="LGS45" s="1181"/>
      <c r="LGT45" s="1181"/>
      <c r="LGU45" s="1181"/>
      <c r="LGV45" s="1181"/>
      <c r="LGW45" s="1181"/>
      <c r="LGX45" s="1181"/>
      <c r="LGY45" s="1181"/>
      <c r="LGZ45" s="1181"/>
      <c r="LHA45" s="1181"/>
      <c r="LHB45" s="1181"/>
      <c r="LHC45" s="1181"/>
      <c r="LHD45" s="1181"/>
      <c r="LHE45" s="1181"/>
      <c r="LHF45" s="1181"/>
      <c r="LHG45" s="1181"/>
      <c r="LHH45" s="1181"/>
      <c r="LHI45" s="1181"/>
      <c r="LHJ45" s="1181"/>
      <c r="LHK45" s="1181"/>
      <c r="LHL45" s="1181"/>
      <c r="LHM45" s="1181"/>
      <c r="LHN45" s="1181"/>
      <c r="LHO45" s="1181"/>
      <c r="LHP45" s="1181"/>
      <c r="LHQ45" s="1181"/>
      <c r="LHR45" s="1181"/>
      <c r="LHS45" s="1181"/>
      <c r="LHT45" s="1181"/>
      <c r="LHU45" s="1181"/>
      <c r="LHV45" s="1181"/>
      <c r="LHW45" s="1181"/>
      <c r="LHX45" s="1181"/>
      <c r="LHY45" s="1181"/>
      <c r="LHZ45" s="1181"/>
      <c r="LIA45" s="1181"/>
      <c r="LIB45" s="1181"/>
      <c r="LIC45" s="1181"/>
      <c r="LID45" s="1181"/>
      <c r="LIE45" s="1181"/>
      <c r="LIF45" s="1181"/>
      <c r="LIG45" s="1181"/>
      <c r="LIH45" s="1181"/>
      <c r="LII45" s="1181"/>
      <c r="LIJ45" s="1181"/>
      <c r="LIK45" s="1181"/>
      <c r="LIL45" s="1181"/>
      <c r="LIM45" s="1181"/>
      <c r="LIN45" s="1181"/>
      <c r="LIO45" s="1181"/>
      <c r="LIP45" s="1181"/>
      <c r="LIQ45" s="1181"/>
      <c r="LIR45" s="1181"/>
      <c r="LIS45" s="1181"/>
      <c r="LIT45" s="1181"/>
      <c r="LIU45" s="1181"/>
      <c r="LIV45" s="1181"/>
      <c r="LIW45" s="1181"/>
      <c r="LIX45" s="1181"/>
      <c r="LIY45" s="1181"/>
      <c r="LIZ45" s="1181"/>
      <c r="LJA45" s="1181"/>
      <c r="LJB45" s="1181"/>
      <c r="LJC45" s="1181"/>
      <c r="LJD45" s="1181"/>
      <c r="LJE45" s="1181"/>
      <c r="LJF45" s="1181"/>
      <c r="LJG45" s="1181"/>
      <c r="LJH45" s="1181"/>
      <c r="LJI45" s="1181"/>
      <c r="LJJ45" s="1181"/>
      <c r="LJK45" s="1181"/>
      <c r="LJL45" s="1181"/>
      <c r="LJM45" s="1181"/>
      <c r="LJN45" s="1181"/>
      <c r="LJO45" s="1181"/>
      <c r="LJP45" s="1181"/>
      <c r="LJQ45" s="1181"/>
      <c r="LJR45" s="1181"/>
      <c r="LJS45" s="1181"/>
      <c r="LJT45" s="1181"/>
      <c r="LJU45" s="1181"/>
      <c r="LJV45" s="1181"/>
      <c r="LJW45" s="1181"/>
      <c r="LJX45" s="1181"/>
      <c r="LJY45" s="1181"/>
      <c r="LJZ45" s="1181"/>
      <c r="LKA45" s="1181"/>
      <c r="LKB45" s="1181"/>
      <c r="LKC45" s="1181"/>
      <c r="LKD45" s="1181"/>
      <c r="LKE45" s="1181"/>
      <c r="LKF45" s="1181"/>
      <c r="LKG45" s="1181"/>
      <c r="LKH45" s="1181"/>
      <c r="LKI45" s="1181"/>
      <c r="LKJ45" s="1181"/>
      <c r="LKK45" s="1181"/>
      <c r="LKL45" s="1181"/>
      <c r="LKM45" s="1181"/>
      <c r="LKN45" s="1181"/>
      <c r="LKO45" s="1181"/>
      <c r="LKP45" s="1181"/>
      <c r="LKQ45" s="1181"/>
      <c r="LKR45" s="1181"/>
      <c r="LKS45" s="1181"/>
      <c r="LKT45" s="1181"/>
      <c r="LKU45" s="1181"/>
      <c r="LKV45" s="1181"/>
      <c r="LKW45" s="1181"/>
      <c r="LKX45" s="1181"/>
      <c r="LKY45" s="1181"/>
      <c r="LKZ45" s="1181"/>
      <c r="LLA45" s="1181"/>
      <c r="LLB45" s="1181"/>
      <c r="LLC45" s="1181"/>
      <c r="LLD45" s="1181"/>
      <c r="LLE45" s="1181"/>
      <c r="LLF45" s="1181"/>
      <c r="LLG45" s="1181"/>
      <c r="LLH45" s="1181"/>
      <c r="LLI45" s="1181"/>
      <c r="LLJ45" s="1181"/>
      <c r="LLK45" s="1181"/>
      <c r="LLL45" s="1181"/>
      <c r="LLM45" s="1181"/>
      <c r="LLN45" s="1181"/>
      <c r="LLO45" s="1181"/>
      <c r="LLP45" s="1181"/>
      <c r="LLQ45" s="1181"/>
      <c r="LLR45" s="1181"/>
      <c r="LLS45" s="1181"/>
      <c r="LLT45" s="1181"/>
      <c r="LLU45" s="1181"/>
      <c r="LLV45" s="1181"/>
      <c r="LLW45" s="1181"/>
      <c r="LLX45" s="1181"/>
      <c r="LLY45" s="1181"/>
      <c r="LLZ45" s="1181"/>
      <c r="LMA45" s="1181"/>
      <c r="LMB45" s="1181"/>
      <c r="LMC45" s="1181"/>
      <c r="LMD45" s="1181"/>
      <c r="LME45" s="1181"/>
      <c r="LMF45" s="1181"/>
      <c r="LMG45" s="1181"/>
      <c r="LMH45" s="1181"/>
      <c r="LMI45" s="1181"/>
      <c r="LMJ45" s="1181"/>
      <c r="LMK45" s="1181"/>
      <c r="LML45" s="1181"/>
      <c r="LMM45" s="1181"/>
      <c r="LMN45" s="1181"/>
      <c r="LMO45" s="1181"/>
      <c r="LMP45" s="1181"/>
      <c r="LMQ45" s="1181"/>
      <c r="LMR45" s="1181"/>
      <c r="LMS45" s="1181"/>
      <c r="LMT45" s="1181"/>
      <c r="LMU45" s="1181"/>
      <c r="LMV45" s="1181"/>
      <c r="LMW45" s="1181"/>
      <c r="LMX45" s="1181"/>
      <c r="LMY45" s="1181"/>
      <c r="LMZ45" s="1181"/>
      <c r="LNA45" s="1181"/>
      <c r="LNB45" s="1181"/>
      <c r="LNC45" s="1181"/>
      <c r="LND45" s="1181"/>
      <c r="LNE45" s="1181"/>
      <c r="LNF45" s="1181"/>
      <c r="LNG45" s="1181"/>
      <c r="LNH45" s="1181"/>
      <c r="LNI45" s="1181"/>
      <c r="LNJ45" s="1181"/>
      <c r="LNK45" s="1181"/>
      <c r="LNL45" s="1181"/>
      <c r="LNM45" s="1181"/>
      <c r="LNN45" s="1181"/>
      <c r="LNO45" s="1181"/>
      <c r="LNP45" s="1181"/>
      <c r="LNQ45" s="1181"/>
      <c r="LNR45" s="1181"/>
      <c r="LNS45" s="1181"/>
      <c r="LNT45" s="1181"/>
      <c r="LNU45" s="1181"/>
      <c r="LNV45" s="1181"/>
      <c r="LNW45" s="1181"/>
      <c r="LNX45" s="1181"/>
      <c r="LNY45" s="1181"/>
      <c r="LNZ45" s="1181"/>
      <c r="LOA45" s="1181"/>
      <c r="LOB45" s="1181"/>
      <c r="LOC45" s="1181"/>
      <c r="LOD45" s="1181"/>
      <c r="LOE45" s="1181"/>
      <c r="LOF45" s="1181"/>
      <c r="LOG45" s="1181"/>
      <c r="LOH45" s="1181"/>
      <c r="LOI45" s="1181"/>
      <c r="LOJ45" s="1181"/>
      <c r="LOK45" s="1181"/>
      <c r="LOL45" s="1181"/>
      <c r="LOM45" s="1181"/>
      <c r="LON45" s="1181"/>
      <c r="LOO45" s="1181"/>
      <c r="LOP45" s="1181"/>
      <c r="LOQ45" s="1181"/>
      <c r="LOR45" s="1181"/>
      <c r="LOS45" s="1181"/>
      <c r="LOT45" s="1181"/>
      <c r="LOU45" s="1181"/>
      <c r="LOV45" s="1181"/>
      <c r="LOW45" s="1181"/>
      <c r="LOX45" s="1181"/>
      <c r="LOY45" s="1181"/>
      <c r="LOZ45" s="1181"/>
      <c r="LPA45" s="1181"/>
      <c r="LPB45" s="1181"/>
      <c r="LPC45" s="1181"/>
      <c r="LPD45" s="1181"/>
      <c r="LPE45" s="1181"/>
      <c r="LPF45" s="1181"/>
      <c r="LPG45" s="1181"/>
      <c r="LPH45" s="1181"/>
      <c r="LPI45" s="1181"/>
      <c r="LPJ45" s="1181"/>
      <c r="LPK45" s="1181"/>
      <c r="LPL45" s="1181"/>
      <c r="LPM45" s="1181"/>
      <c r="LPN45" s="1181"/>
      <c r="LPO45" s="1181"/>
      <c r="LPP45" s="1181"/>
      <c r="LPQ45" s="1181"/>
      <c r="LPR45" s="1181"/>
      <c r="LPS45" s="1181"/>
      <c r="LPT45" s="1181"/>
      <c r="LPU45" s="1181"/>
      <c r="LPV45" s="1181"/>
      <c r="LPW45" s="1181"/>
      <c r="LPX45" s="1181"/>
      <c r="LPY45" s="1181"/>
      <c r="LPZ45" s="1181"/>
      <c r="LQA45" s="1181"/>
      <c r="LQB45" s="1181"/>
      <c r="LQC45" s="1181"/>
      <c r="LQD45" s="1181"/>
      <c r="LQE45" s="1181"/>
      <c r="LQF45" s="1181"/>
      <c r="LQG45" s="1181"/>
      <c r="LQH45" s="1181"/>
      <c r="LQI45" s="1181"/>
      <c r="LQJ45" s="1181"/>
      <c r="LQK45" s="1181"/>
      <c r="LQL45" s="1181"/>
      <c r="LQM45" s="1181"/>
      <c r="LQN45" s="1181"/>
      <c r="LQO45" s="1181"/>
      <c r="LQP45" s="1181"/>
      <c r="LQQ45" s="1181"/>
      <c r="LQR45" s="1181"/>
      <c r="LQS45" s="1181"/>
      <c r="LQT45" s="1181"/>
      <c r="LQU45" s="1181"/>
      <c r="LQV45" s="1181"/>
      <c r="LQW45" s="1181"/>
      <c r="LQX45" s="1181"/>
      <c r="LQY45" s="1181"/>
      <c r="LQZ45" s="1181"/>
      <c r="LRA45" s="1181"/>
      <c r="LRB45" s="1181"/>
      <c r="LRC45" s="1181"/>
      <c r="LRD45" s="1181"/>
      <c r="LRE45" s="1181"/>
      <c r="LRF45" s="1181"/>
      <c r="LRG45" s="1181"/>
      <c r="LRH45" s="1181"/>
      <c r="LRI45" s="1181"/>
      <c r="LRJ45" s="1181"/>
      <c r="LRK45" s="1181"/>
      <c r="LRL45" s="1181"/>
      <c r="LRM45" s="1181"/>
      <c r="LRN45" s="1181"/>
      <c r="LRO45" s="1181"/>
      <c r="LRP45" s="1181"/>
      <c r="LRQ45" s="1181"/>
      <c r="LRR45" s="1181"/>
      <c r="LRS45" s="1181"/>
      <c r="LRT45" s="1181"/>
      <c r="LRU45" s="1181"/>
      <c r="LRV45" s="1181"/>
      <c r="LRW45" s="1181"/>
      <c r="LRX45" s="1181"/>
      <c r="LRY45" s="1181"/>
      <c r="LRZ45" s="1181"/>
      <c r="LSA45" s="1181"/>
      <c r="LSB45" s="1181"/>
      <c r="LSC45" s="1181"/>
      <c r="LSD45" s="1181"/>
      <c r="LSE45" s="1181"/>
      <c r="LSF45" s="1181"/>
      <c r="LSG45" s="1181"/>
      <c r="LSH45" s="1181"/>
      <c r="LSI45" s="1181"/>
      <c r="LSJ45" s="1181"/>
      <c r="LSK45" s="1181"/>
      <c r="LSL45" s="1181"/>
      <c r="LSM45" s="1181"/>
      <c r="LSN45" s="1181"/>
      <c r="LSO45" s="1181"/>
      <c r="LSP45" s="1181"/>
      <c r="LSQ45" s="1181"/>
      <c r="LSR45" s="1181"/>
      <c r="LSS45" s="1181"/>
      <c r="LST45" s="1181"/>
      <c r="LSU45" s="1181"/>
      <c r="LSV45" s="1181"/>
      <c r="LSW45" s="1181"/>
      <c r="LSX45" s="1181"/>
      <c r="LSY45" s="1181"/>
      <c r="LSZ45" s="1181"/>
      <c r="LTA45" s="1181"/>
      <c r="LTB45" s="1181"/>
      <c r="LTC45" s="1181"/>
      <c r="LTD45" s="1181"/>
      <c r="LTE45" s="1181"/>
      <c r="LTF45" s="1181"/>
      <c r="LTG45" s="1181"/>
      <c r="LTH45" s="1181"/>
      <c r="LTI45" s="1181"/>
      <c r="LTJ45" s="1181"/>
      <c r="LTK45" s="1181"/>
      <c r="LTL45" s="1181"/>
      <c r="LTM45" s="1181"/>
      <c r="LTN45" s="1181"/>
      <c r="LTO45" s="1181"/>
      <c r="LTP45" s="1181"/>
      <c r="LTQ45" s="1181"/>
      <c r="LTR45" s="1181"/>
      <c r="LTS45" s="1181"/>
      <c r="LTT45" s="1181"/>
      <c r="LTU45" s="1181"/>
      <c r="LTV45" s="1181"/>
      <c r="LTW45" s="1181"/>
      <c r="LTX45" s="1181"/>
      <c r="LTY45" s="1181"/>
      <c r="LTZ45" s="1181"/>
      <c r="LUA45" s="1181"/>
      <c r="LUB45" s="1181"/>
      <c r="LUC45" s="1181"/>
      <c r="LUD45" s="1181"/>
      <c r="LUE45" s="1181"/>
      <c r="LUF45" s="1181"/>
      <c r="LUG45" s="1181"/>
      <c r="LUH45" s="1181"/>
      <c r="LUI45" s="1181"/>
      <c r="LUJ45" s="1181"/>
      <c r="LUK45" s="1181"/>
      <c r="LUL45" s="1181"/>
      <c r="LUM45" s="1181"/>
      <c r="LUN45" s="1181"/>
      <c r="LUO45" s="1181"/>
      <c r="LUP45" s="1181"/>
      <c r="LUQ45" s="1181"/>
      <c r="LUR45" s="1181"/>
      <c r="LUS45" s="1181"/>
      <c r="LUT45" s="1181"/>
      <c r="LUU45" s="1181"/>
      <c r="LUV45" s="1181"/>
      <c r="LUW45" s="1181"/>
      <c r="LUX45" s="1181"/>
      <c r="LUY45" s="1181"/>
      <c r="LUZ45" s="1181"/>
      <c r="LVA45" s="1181"/>
      <c r="LVB45" s="1181"/>
      <c r="LVC45" s="1181"/>
      <c r="LVD45" s="1181"/>
      <c r="LVE45" s="1181"/>
      <c r="LVF45" s="1181"/>
      <c r="LVG45" s="1181"/>
      <c r="LVH45" s="1181"/>
      <c r="LVI45" s="1181"/>
      <c r="LVJ45" s="1181"/>
      <c r="LVK45" s="1181"/>
      <c r="LVL45" s="1181"/>
      <c r="LVM45" s="1181"/>
      <c r="LVN45" s="1181"/>
      <c r="LVO45" s="1181"/>
      <c r="LVP45" s="1181"/>
      <c r="LVQ45" s="1181"/>
      <c r="LVR45" s="1181"/>
      <c r="LVS45" s="1181"/>
      <c r="LVT45" s="1181"/>
      <c r="LVU45" s="1181"/>
      <c r="LVV45" s="1181"/>
      <c r="LVW45" s="1181"/>
      <c r="LVX45" s="1181"/>
      <c r="LVY45" s="1181"/>
      <c r="LVZ45" s="1181"/>
      <c r="LWA45" s="1181"/>
      <c r="LWB45" s="1181"/>
      <c r="LWC45" s="1181"/>
      <c r="LWD45" s="1181"/>
      <c r="LWE45" s="1181"/>
      <c r="LWF45" s="1181"/>
      <c r="LWG45" s="1181"/>
      <c r="LWH45" s="1181"/>
      <c r="LWI45" s="1181"/>
      <c r="LWJ45" s="1181"/>
      <c r="LWK45" s="1181"/>
      <c r="LWL45" s="1181"/>
      <c r="LWM45" s="1181"/>
      <c r="LWN45" s="1181"/>
      <c r="LWO45" s="1181"/>
      <c r="LWP45" s="1181"/>
      <c r="LWQ45" s="1181"/>
      <c r="LWR45" s="1181"/>
      <c r="LWS45" s="1181"/>
      <c r="LWT45" s="1181"/>
      <c r="LWU45" s="1181"/>
      <c r="LWV45" s="1181"/>
      <c r="LWW45" s="1181"/>
      <c r="LWX45" s="1181"/>
      <c r="LWY45" s="1181"/>
      <c r="LWZ45" s="1181"/>
      <c r="LXA45" s="1181"/>
      <c r="LXB45" s="1181"/>
      <c r="LXC45" s="1181"/>
      <c r="LXD45" s="1181"/>
      <c r="LXE45" s="1181"/>
      <c r="LXF45" s="1181"/>
      <c r="LXG45" s="1181"/>
      <c r="LXH45" s="1181"/>
      <c r="LXI45" s="1181"/>
      <c r="LXJ45" s="1181"/>
      <c r="LXK45" s="1181"/>
      <c r="LXL45" s="1181"/>
      <c r="LXM45" s="1181"/>
      <c r="LXN45" s="1181"/>
      <c r="LXO45" s="1181"/>
      <c r="LXP45" s="1181"/>
      <c r="LXQ45" s="1181"/>
      <c r="LXR45" s="1181"/>
      <c r="LXS45" s="1181"/>
      <c r="LXT45" s="1181"/>
      <c r="LXU45" s="1181"/>
      <c r="LXV45" s="1181"/>
      <c r="LXW45" s="1181"/>
      <c r="LXX45" s="1181"/>
      <c r="LXY45" s="1181"/>
      <c r="LXZ45" s="1181"/>
      <c r="LYA45" s="1181"/>
      <c r="LYB45" s="1181"/>
      <c r="LYC45" s="1181"/>
      <c r="LYD45" s="1181"/>
      <c r="LYE45" s="1181"/>
      <c r="LYF45" s="1181"/>
      <c r="LYG45" s="1181"/>
      <c r="LYH45" s="1181"/>
      <c r="LYI45" s="1181"/>
      <c r="LYJ45" s="1181"/>
      <c r="LYK45" s="1181"/>
      <c r="LYL45" s="1181"/>
      <c r="LYM45" s="1181"/>
      <c r="LYN45" s="1181"/>
      <c r="LYO45" s="1181"/>
      <c r="LYP45" s="1181"/>
      <c r="LYQ45" s="1181"/>
      <c r="LYR45" s="1181"/>
      <c r="LYS45" s="1181"/>
      <c r="LYT45" s="1181"/>
      <c r="LYU45" s="1181"/>
      <c r="LYV45" s="1181"/>
      <c r="LYW45" s="1181"/>
      <c r="LYX45" s="1181"/>
      <c r="LYY45" s="1181"/>
      <c r="LYZ45" s="1181"/>
      <c r="LZA45" s="1181"/>
      <c r="LZB45" s="1181"/>
      <c r="LZC45" s="1181"/>
      <c r="LZD45" s="1181"/>
      <c r="LZE45" s="1181"/>
      <c r="LZF45" s="1181"/>
      <c r="LZG45" s="1181"/>
      <c r="LZH45" s="1181"/>
      <c r="LZI45" s="1181"/>
      <c r="LZJ45" s="1181"/>
      <c r="LZK45" s="1181"/>
      <c r="LZL45" s="1181"/>
      <c r="LZM45" s="1181"/>
      <c r="LZN45" s="1181"/>
      <c r="LZO45" s="1181"/>
      <c r="LZP45" s="1181"/>
      <c r="LZQ45" s="1181"/>
      <c r="LZR45" s="1181"/>
      <c r="LZS45" s="1181"/>
      <c r="LZT45" s="1181"/>
      <c r="LZU45" s="1181"/>
      <c r="LZV45" s="1181"/>
      <c r="LZW45" s="1181"/>
      <c r="LZX45" s="1181"/>
      <c r="LZY45" s="1181"/>
      <c r="LZZ45" s="1181"/>
      <c r="MAA45" s="1181"/>
      <c r="MAB45" s="1181"/>
      <c r="MAC45" s="1181"/>
      <c r="MAD45" s="1181"/>
      <c r="MAE45" s="1181"/>
      <c r="MAF45" s="1181"/>
      <c r="MAG45" s="1181"/>
      <c r="MAH45" s="1181"/>
      <c r="MAI45" s="1181"/>
      <c r="MAJ45" s="1181"/>
      <c r="MAK45" s="1181"/>
      <c r="MAL45" s="1181"/>
      <c r="MAM45" s="1181"/>
      <c r="MAN45" s="1181"/>
      <c r="MAO45" s="1181"/>
      <c r="MAP45" s="1181"/>
      <c r="MAQ45" s="1181"/>
      <c r="MAR45" s="1181"/>
      <c r="MAS45" s="1181"/>
      <c r="MAT45" s="1181"/>
      <c r="MAU45" s="1181"/>
      <c r="MAV45" s="1181"/>
      <c r="MAW45" s="1181"/>
      <c r="MAX45" s="1181"/>
      <c r="MAY45" s="1181"/>
      <c r="MAZ45" s="1181"/>
      <c r="MBA45" s="1181"/>
      <c r="MBB45" s="1181"/>
      <c r="MBC45" s="1181"/>
      <c r="MBD45" s="1181"/>
      <c r="MBE45" s="1181"/>
      <c r="MBF45" s="1181"/>
      <c r="MBG45" s="1181"/>
      <c r="MBH45" s="1181"/>
      <c r="MBI45" s="1181"/>
      <c r="MBJ45" s="1181"/>
      <c r="MBK45" s="1181"/>
      <c r="MBL45" s="1181"/>
      <c r="MBM45" s="1181"/>
      <c r="MBN45" s="1181"/>
      <c r="MBO45" s="1181"/>
      <c r="MBP45" s="1181"/>
      <c r="MBQ45" s="1181"/>
      <c r="MBR45" s="1181"/>
      <c r="MBS45" s="1181"/>
      <c r="MBT45" s="1181"/>
      <c r="MBU45" s="1181"/>
      <c r="MBV45" s="1181"/>
      <c r="MBW45" s="1181"/>
      <c r="MBX45" s="1181"/>
      <c r="MBY45" s="1181"/>
      <c r="MBZ45" s="1181"/>
      <c r="MCA45" s="1181"/>
      <c r="MCB45" s="1181"/>
      <c r="MCC45" s="1181"/>
      <c r="MCD45" s="1181"/>
      <c r="MCE45" s="1181"/>
      <c r="MCF45" s="1181"/>
      <c r="MCG45" s="1181"/>
      <c r="MCH45" s="1181"/>
      <c r="MCI45" s="1181"/>
      <c r="MCJ45" s="1181"/>
      <c r="MCK45" s="1181"/>
      <c r="MCL45" s="1181"/>
      <c r="MCM45" s="1181"/>
      <c r="MCN45" s="1181"/>
      <c r="MCO45" s="1181"/>
      <c r="MCP45" s="1181"/>
      <c r="MCQ45" s="1181"/>
      <c r="MCR45" s="1181"/>
      <c r="MCS45" s="1181"/>
      <c r="MCT45" s="1181"/>
      <c r="MCU45" s="1181"/>
      <c r="MCV45" s="1181"/>
      <c r="MCW45" s="1181"/>
      <c r="MCX45" s="1181"/>
      <c r="MCY45" s="1181"/>
      <c r="MCZ45" s="1181"/>
      <c r="MDA45" s="1181"/>
      <c r="MDB45" s="1181"/>
      <c r="MDC45" s="1181"/>
      <c r="MDD45" s="1181"/>
      <c r="MDE45" s="1181"/>
      <c r="MDF45" s="1181"/>
      <c r="MDG45" s="1181"/>
      <c r="MDH45" s="1181"/>
      <c r="MDI45" s="1181"/>
      <c r="MDJ45" s="1181"/>
      <c r="MDK45" s="1181"/>
      <c r="MDL45" s="1181"/>
      <c r="MDM45" s="1181"/>
      <c r="MDN45" s="1181"/>
      <c r="MDO45" s="1181"/>
      <c r="MDP45" s="1181"/>
      <c r="MDQ45" s="1181"/>
      <c r="MDR45" s="1181"/>
      <c r="MDS45" s="1181"/>
      <c r="MDT45" s="1181"/>
      <c r="MDU45" s="1181"/>
      <c r="MDV45" s="1181"/>
      <c r="MDW45" s="1181"/>
      <c r="MDX45" s="1181"/>
      <c r="MDY45" s="1181"/>
      <c r="MDZ45" s="1181"/>
      <c r="MEA45" s="1181"/>
      <c r="MEB45" s="1181"/>
      <c r="MEC45" s="1181"/>
      <c r="MED45" s="1181"/>
      <c r="MEE45" s="1181"/>
      <c r="MEF45" s="1181"/>
      <c r="MEG45" s="1181"/>
      <c r="MEH45" s="1181"/>
      <c r="MEI45" s="1181"/>
      <c r="MEJ45" s="1181"/>
      <c r="MEK45" s="1181"/>
      <c r="MEL45" s="1181"/>
      <c r="MEM45" s="1181"/>
      <c r="MEN45" s="1181"/>
      <c r="MEO45" s="1181"/>
      <c r="MEP45" s="1181"/>
      <c r="MEQ45" s="1181"/>
      <c r="MER45" s="1181"/>
      <c r="MES45" s="1181"/>
      <c r="MET45" s="1181"/>
      <c r="MEU45" s="1181"/>
      <c r="MEV45" s="1181"/>
      <c r="MEW45" s="1181"/>
      <c r="MEX45" s="1181"/>
      <c r="MEY45" s="1181"/>
      <c r="MEZ45" s="1181"/>
      <c r="MFA45" s="1181"/>
      <c r="MFB45" s="1181"/>
      <c r="MFC45" s="1181"/>
      <c r="MFD45" s="1181"/>
      <c r="MFE45" s="1181"/>
      <c r="MFF45" s="1181"/>
      <c r="MFG45" s="1181"/>
      <c r="MFH45" s="1181"/>
      <c r="MFI45" s="1181"/>
      <c r="MFJ45" s="1181"/>
      <c r="MFK45" s="1181"/>
      <c r="MFL45" s="1181"/>
      <c r="MFM45" s="1181"/>
      <c r="MFN45" s="1181"/>
      <c r="MFO45" s="1181"/>
      <c r="MFP45" s="1181"/>
      <c r="MFQ45" s="1181"/>
      <c r="MFR45" s="1181"/>
      <c r="MFS45" s="1181"/>
      <c r="MFT45" s="1181"/>
      <c r="MFU45" s="1181"/>
      <c r="MFV45" s="1181"/>
      <c r="MFW45" s="1181"/>
      <c r="MFX45" s="1181"/>
      <c r="MFY45" s="1181"/>
      <c r="MFZ45" s="1181"/>
      <c r="MGA45" s="1181"/>
      <c r="MGB45" s="1181"/>
      <c r="MGC45" s="1181"/>
      <c r="MGD45" s="1181"/>
      <c r="MGE45" s="1181"/>
      <c r="MGF45" s="1181"/>
      <c r="MGG45" s="1181"/>
      <c r="MGH45" s="1181"/>
      <c r="MGI45" s="1181"/>
      <c r="MGJ45" s="1181"/>
      <c r="MGK45" s="1181"/>
      <c r="MGL45" s="1181"/>
      <c r="MGM45" s="1181"/>
      <c r="MGN45" s="1181"/>
      <c r="MGO45" s="1181"/>
      <c r="MGP45" s="1181"/>
      <c r="MGQ45" s="1181"/>
      <c r="MGR45" s="1181"/>
      <c r="MGS45" s="1181"/>
      <c r="MGT45" s="1181"/>
      <c r="MGU45" s="1181"/>
      <c r="MGV45" s="1181"/>
      <c r="MGW45" s="1181"/>
      <c r="MGX45" s="1181"/>
      <c r="MGY45" s="1181"/>
      <c r="MGZ45" s="1181"/>
      <c r="MHA45" s="1181"/>
      <c r="MHB45" s="1181"/>
      <c r="MHC45" s="1181"/>
      <c r="MHD45" s="1181"/>
      <c r="MHE45" s="1181"/>
      <c r="MHF45" s="1181"/>
      <c r="MHG45" s="1181"/>
      <c r="MHH45" s="1181"/>
      <c r="MHI45" s="1181"/>
      <c r="MHJ45" s="1181"/>
      <c r="MHK45" s="1181"/>
      <c r="MHL45" s="1181"/>
      <c r="MHM45" s="1181"/>
      <c r="MHN45" s="1181"/>
      <c r="MHO45" s="1181"/>
      <c r="MHP45" s="1181"/>
      <c r="MHQ45" s="1181"/>
      <c r="MHR45" s="1181"/>
      <c r="MHS45" s="1181"/>
      <c r="MHT45" s="1181"/>
      <c r="MHU45" s="1181"/>
      <c r="MHV45" s="1181"/>
      <c r="MHW45" s="1181"/>
      <c r="MHX45" s="1181"/>
      <c r="MHY45" s="1181"/>
      <c r="MHZ45" s="1181"/>
      <c r="MIA45" s="1181"/>
      <c r="MIB45" s="1181"/>
      <c r="MIC45" s="1181"/>
      <c r="MID45" s="1181"/>
      <c r="MIE45" s="1181"/>
      <c r="MIF45" s="1181"/>
      <c r="MIG45" s="1181"/>
      <c r="MIH45" s="1181"/>
      <c r="MII45" s="1181"/>
      <c r="MIJ45" s="1181"/>
      <c r="MIK45" s="1181"/>
      <c r="MIL45" s="1181"/>
      <c r="MIM45" s="1181"/>
      <c r="MIN45" s="1181"/>
      <c r="MIO45" s="1181"/>
      <c r="MIP45" s="1181"/>
      <c r="MIQ45" s="1181"/>
      <c r="MIR45" s="1181"/>
      <c r="MIS45" s="1181"/>
      <c r="MIT45" s="1181"/>
      <c r="MIU45" s="1181"/>
      <c r="MIV45" s="1181"/>
      <c r="MIW45" s="1181"/>
      <c r="MIX45" s="1181"/>
      <c r="MIY45" s="1181"/>
      <c r="MIZ45" s="1181"/>
      <c r="MJA45" s="1181"/>
      <c r="MJB45" s="1181"/>
      <c r="MJC45" s="1181"/>
      <c r="MJD45" s="1181"/>
      <c r="MJE45" s="1181"/>
      <c r="MJF45" s="1181"/>
      <c r="MJG45" s="1181"/>
      <c r="MJH45" s="1181"/>
      <c r="MJI45" s="1181"/>
      <c r="MJJ45" s="1181"/>
      <c r="MJK45" s="1181"/>
      <c r="MJL45" s="1181"/>
      <c r="MJM45" s="1181"/>
      <c r="MJN45" s="1181"/>
      <c r="MJO45" s="1181"/>
      <c r="MJP45" s="1181"/>
      <c r="MJQ45" s="1181"/>
      <c r="MJR45" s="1181"/>
      <c r="MJS45" s="1181"/>
      <c r="MJT45" s="1181"/>
      <c r="MJU45" s="1181"/>
      <c r="MJV45" s="1181"/>
      <c r="MJW45" s="1181"/>
      <c r="MJX45" s="1181"/>
      <c r="MJY45" s="1181"/>
      <c r="MJZ45" s="1181"/>
      <c r="MKA45" s="1181"/>
      <c r="MKB45" s="1181"/>
      <c r="MKC45" s="1181"/>
      <c r="MKD45" s="1181"/>
      <c r="MKE45" s="1181"/>
      <c r="MKF45" s="1181"/>
      <c r="MKG45" s="1181"/>
      <c r="MKH45" s="1181"/>
      <c r="MKI45" s="1181"/>
      <c r="MKJ45" s="1181"/>
      <c r="MKK45" s="1181"/>
      <c r="MKL45" s="1181"/>
      <c r="MKM45" s="1181"/>
      <c r="MKN45" s="1181"/>
      <c r="MKO45" s="1181"/>
      <c r="MKP45" s="1181"/>
      <c r="MKQ45" s="1181"/>
      <c r="MKR45" s="1181"/>
      <c r="MKS45" s="1181"/>
      <c r="MKT45" s="1181"/>
      <c r="MKU45" s="1181"/>
      <c r="MKV45" s="1181"/>
      <c r="MKW45" s="1181"/>
      <c r="MKX45" s="1181"/>
      <c r="MKY45" s="1181"/>
      <c r="MKZ45" s="1181"/>
      <c r="MLA45" s="1181"/>
      <c r="MLB45" s="1181"/>
      <c r="MLC45" s="1181"/>
      <c r="MLD45" s="1181"/>
      <c r="MLE45" s="1181"/>
      <c r="MLF45" s="1181"/>
      <c r="MLG45" s="1181"/>
      <c r="MLH45" s="1181"/>
      <c r="MLI45" s="1181"/>
      <c r="MLJ45" s="1181"/>
      <c r="MLK45" s="1181"/>
      <c r="MLL45" s="1181"/>
      <c r="MLM45" s="1181"/>
      <c r="MLN45" s="1181"/>
      <c r="MLO45" s="1181"/>
      <c r="MLP45" s="1181"/>
      <c r="MLQ45" s="1181"/>
      <c r="MLR45" s="1181"/>
      <c r="MLS45" s="1181"/>
      <c r="MLT45" s="1181"/>
      <c r="MLU45" s="1181"/>
      <c r="MLV45" s="1181"/>
      <c r="MLW45" s="1181"/>
      <c r="MLX45" s="1181"/>
      <c r="MLY45" s="1181"/>
      <c r="MLZ45" s="1181"/>
      <c r="MMA45" s="1181"/>
      <c r="MMB45" s="1181"/>
      <c r="MMC45" s="1181"/>
      <c r="MMD45" s="1181"/>
      <c r="MME45" s="1181"/>
      <c r="MMF45" s="1181"/>
      <c r="MMG45" s="1181"/>
      <c r="MMH45" s="1181"/>
      <c r="MMI45" s="1181"/>
      <c r="MMJ45" s="1181"/>
      <c r="MMK45" s="1181"/>
      <c r="MML45" s="1181"/>
      <c r="MMM45" s="1181"/>
      <c r="MMN45" s="1181"/>
      <c r="MMO45" s="1181"/>
      <c r="MMP45" s="1181"/>
      <c r="MMQ45" s="1181"/>
      <c r="MMR45" s="1181"/>
      <c r="MMS45" s="1181"/>
      <c r="MMT45" s="1181"/>
      <c r="MMU45" s="1181"/>
      <c r="MMV45" s="1181"/>
      <c r="MMW45" s="1181"/>
      <c r="MMX45" s="1181"/>
      <c r="MMY45" s="1181"/>
      <c r="MMZ45" s="1181"/>
      <c r="MNA45" s="1181"/>
      <c r="MNB45" s="1181"/>
      <c r="MNC45" s="1181"/>
      <c r="MND45" s="1181"/>
      <c r="MNE45" s="1181"/>
      <c r="MNF45" s="1181"/>
      <c r="MNG45" s="1181"/>
      <c r="MNH45" s="1181"/>
      <c r="MNI45" s="1181"/>
      <c r="MNJ45" s="1181"/>
      <c r="MNK45" s="1181"/>
      <c r="MNL45" s="1181"/>
      <c r="MNM45" s="1181"/>
      <c r="MNN45" s="1181"/>
      <c r="MNO45" s="1181"/>
      <c r="MNP45" s="1181"/>
      <c r="MNQ45" s="1181"/>
      <c r="MNR45" s="1181"/>
      <c r="MNS45" s="1181"/>
      <c r="MNT45" s="1181"/>
      <c r="MNU45" s="1181"/>
      <c r="MNV45" s="1181"/>
      <c r="MNW45" s="1181"/>
      <c r="MNX45" s="1181"/>
      <c r="MNY45" s="1181"/>
      <c r="MNZ45" s="1181"/>
      <c r="MOA45" s="1181"/>
      <c r="MOB45" s="1181"/>
      <c r="MOC45" s="1181"/>
      <c r="MOD45" s="1181"/>
      <c r="MOE45" s="1181"/>
      <c r="MOF45" s="1181"/>
      <c r="MOG45" s="1181"/>
      <c r="MOH45" s="1181"/>
      <c r="MOI45" s="1181"/>
      <c r="MOJ45" s="1181"/>
      <c r="MOK45" s="1181"/>
      <c r="MOL45" s="1181"/>
      <c r="MOM45" s="1181"/>
      <c r="MON45" s="1181"/>
      <c r="MOO45" s="1181"/>
      <c r="MOP45" s="1181"/>
      <c r="MOQ45" s="1181"/>
      <c r="MOR45" s="1181"/>
      <c r="MOS45" s="1181"/>
      <c r="MOT45" s="1181"/>
      <c r="MOU45" s="1181"/>
      <c r="MOV45" s="1181"/>
      <c r="MOW45" s="1181"/>
      <c r="MOX45" s="1181"/>
      <c r="MOY45" s="1181"/>
      <c r="MOZ45" s="1181"/>
      <c r="MPA45" s="1181"/>
      <c r="MPB45" s="1181"/>
      <c r="MPC45" s="1181"/>
      <c r="MPD45" s="1181"/>
      <c r="MPE45" s="1181"/>
      <c r="MPF45" s="1181"/>
      <c r="MPG45" s="1181"/>
      <c r="MPH45" s="1181"/>
      <c r="MPI45" s="1181"/>
      <c r="MPJ45" s="1181"/>
      <c r="MPK45" s="1181"/>
      <c r="MPL45" s="1181"/>
      <c r="MPM45" s="1181"/>
      <c r="MPN45" s="1181"/>
      <c r="MPO45" s="1181"/>
      <c r="MPP45" s="1181"/>
      <c r="MPQ45" s="1181"/>
      <c r="MPR45" s="1181"/>
      <c r="MPS45" s="1181"/>
      <c r="MPT45" s="1181"/>
      <c r="MPU45" s="1181"/>
      <c r="MPV45" s="1181"/>
      <c r="MPW45" s="1181"/>
      <c r="MPX45" s="1181"/>
      <c r="MPY45" s="1181"/>
      <c r="MPZ45" s="1181"/>
      <c r="MQA45" s="1181"/>
      <c r="MQB45" s="1181"/>
      <c r="MQC45" s="1181"/>
      <c r="MQD45" s="1181"/>
      <c r="MQE45" s="1181"/>
      <c r="MQF45" s="1181"/>
      <c r="MQG45" s="1181"/>
      <c r="MQH45" s="1181"/>
      <c r="MQI45" s="1181"/>
      <c r="MQJ45" s="1181"/>
      <c r="MQK45" s="1181"/>
      <c r="MQL45" s="1181"/>
      <c r="MQM45" s="1181"/>
      <c r="MQN45" s="1181"/>
      <c r="MQO45" s="1181"/>
      <c r="MQP45" s="1181"/>
      <c r="MQQ45" s="1181"/>
      <c r="MQR45" s="1181"/>
      <c r="MQS45" s="1181"/>
      <c r="MQT45" s="1181"/>
      <c r="MQU45" s="1181"/>
      <c r="MQV45" s="1181"/>
      <c r="MQW45" s="1181"/>
      <c r="MQX45" s="1181"/>
      <c r="MQY45" s="1181"/>
      <c r="MQZ45" s="1181"/>
      <c r="MRA45" s="1181"/>
      <c r="MRB45" s="1181"/>
      <c r="MRC45" s="1181"/>
      <c r="MRD45" s="1181"/>
      <c r="MRE45" s="1181"/>
      <c r="MRF45" s="1181"/>
      <c r="MRG45" s="1181"/>
      <c r="MRH45" s="1181"/>
      <c r="MRI45" s="1181"/>
      <c r="MRJ45" s="1181"/>
      <c r="MRK45" s="1181"/>
      <c r="MRL45" s="1181"/>
      <c r="MRM45" s="1181"/>
      <c r="MRN45" s="1181"/>
      <c r="MRO45" s="1181"/>
      <c r="MRP45" s="1181"/>
      <c r="MRQ45" s="1181"/>
      <c r="MRR45" s="1181"/>
      <c r="MRS45" s="1181"/>
      <c r="MRT45" s="1181"/>
      <c r="MRU45" s="1181"/>
      <c r="MRV45" s="1181"/>
      <c r="MRW45" s="1181"/>
      <c r="MRX45" s="1181"/>
      <c r="MRY45" s="1181"/>
      <c r="MRZ45" s="1181"/>
      <c r="MSA45" s="1181"/>
      <c r="MSB45" s="1181"/>
      <c r="MSC45" s="1181"/>
      <c r="MSD45" s="1181"/>
      <c r="MSE45" s="1181"/>
      <c r="MSF45" s="1181"/>
      <c r="MSG45" s="1181"/>
      <c r="MSH45" s="1181"/>
      <c r="MSI45" s="1181"/>
      <c r="MSJ45" s="1181"/>
      <c r="MSK45" s="1181"/>
      <c r="MSL45" s="1181"/>
      <c r="MSM45" s="1181"/>
      <c r="MSN45" s="1181"/>
      <c r="MSO45" s="1181"/>
      <c r="MSP45" s="1181"/>
      <c r="MSQ45" s="1181"/>
      <c r="MSR45" s="1181"/>
      <c r="MSS45" s="1181"/>
      <c r="MST45" s="1181"/>
      <c r="MSU45" s="1181"/>
      <c r="MSV45" s="1181"/>
      <c r="MSW45" s="1181"/>
      <c r="MSX45" s="1181"/>
      <c r="MSY45" s="1181"/>
      <c r="MSZ45" s="1181"/>
      <c r="MTA45" s="1181"/>
      <c r="MTB45" s="1181"/>
      <c r="MTC45" s="1181"/>
      <c r="MTD45" s="1181"/>
      <c r="MTE45" s="1181"/>
      <c r="MTF45" s="1181"/>
      <c r="MTG45" s="1181"/>
      <c r="MTH45" s="1181"/>
      <c r="MTI45" s="1181"/>
      <c r="MTJ45" s="1181"/>
      <c r="MTK45" s="1181"/>
      <c r="MTL45" s="1181"/>
      <c r="MTM45" s="1181"/>
      <c r="MTN45" s="1181"/>
      <c r="MTO45" s="1181"/>
      <c r="MTP45" s="1181"/>
      <c r="MTQ45" s="1181"/>
      <c r="MTR45" s="1181"/>
      <c r="MTS45" s="1181"/>
      <c r="MTT45" s="1181"/>
      <c r="MTU45" s="1181"/>
      <c r="MTV45" s="1181"/>
      <c r="MTW45" s="1181"/>
      <c r="MTX45" s="1181"/>
      <c r="MTY45" s="1181"/>
      <c r="MTZ45" s="1181"/>
      <c r="MUA45" s="1181"/>
      <c r="MUB45" s="1181"/>
      <c r="MUC45" s="1181"/>
      <c r="MUD45" s="1181"/>
      <c r="MUE45" s="1181"/>
      <c r="MUF45" s="1181"/>
      <c r="MUG45" s="1181"/>
      <c r="MUH45" s="1181"/>
      <c r="MUI45" s="1181"/>
      <c r="MUJ45" s="1181"/>
      <c r="MUK45" s="1181"/>
      <c r="MUL45" s="1181"/>
      <c r="MUM45" s="1181"/>
      <c r="MUN45" s="1181"/>
      <c r="MUO45" s="1181"/>
      <c r="MUP45" s="1181"/>
      <c r="MUQ45" s="1181"/>
      <c r="MUR45" s="1181"/>
      <c r="MUS45" s="1181"/>
      <c r="MUT45" s="1181"/>
      <c r="MUU45" s="1181"/>
      <c r="MUV45" s="1181"/>
      <c r="MUW45" s="1181"/>
      <c r="MUX45" s="1181"/>
      <c r="MUY45" s="1181"/>
      <c r="MUZ45" s="1181"/>
      <c r="MVA45" s="1181"/>
      <c r="MVB45" s="1181"/>
      <c r="MVC45" s="1181"/>
      <c r="MVD45" s="1181"/>
      <c r="MVE45" s="1181"/>
      <c r="MVF45" s="1181"/>
      <c r="MVG45" s="1181"/>
      <c r="MVH45" s="1181"/>
      <c r="MVI45" s="1181"/>
      <c r="MVJ45" s="1181"/>
      <c r="MVK45" s="1181"/>
      <c r="MVL45" s="1181"/>
      <c r="MVM45" s="1181"/>
      <c r="MVN45" s="1181"/>
      <c r="MVO45" s="1181"/>
      <c r="MVP45" s="1181"/>
      <c r="MVQ45" s="1181"/>
      <c r="MVR45" s="1181"/>
      <c r="MVS45" s="1181"/>
      <c r="MVT45" s="1181"/>
      <c r="MVU45" s="1181"/>
      <c r="MVV45" s="1181"/>
      <c r="MVW45" s="1181"/>
      <c r="MVX45" s="1181"/>
      <c r="MVY45" s="1181"/>
      <c r="MVZ45" s="1181"/>
      <c r="MWA45" s="1181"/>
      <c r="MWB45" s="1181"/>
      <c r="MWC45" s="1181"/>
      <c r="MWD45" s="1181"/>
      <c r="MWE45" s="1181"/>
      <c r="MWF45" s="1181"/>
      <c r="MWG45" s="1181"/>
      <c r="MWH45" s="1181"/>
      <c r="MWI45" s="1181"/>
      <c r="MWJ45" s="1181"/>
      <c r="MWK45" s="1181"/>
      <c r="MWL45" s="1181"/>
      <c r="MWM45" s="1181"/>
      <c r="MWN45" s="1181"/>
      <c r="MWO45" s="1181"/>
      <c r="MWP45" s="1181"/>
      <c r="MWQ45" s="1181"/>
      <c r="MWR45" s="1181"/>
      <c r="MWS45" s="1181"/>
      <c r="MWT45" s="1181"/>
      <c r="MWU45" s="1181"/>
      <c r="MWV45" s="1181"/>
      <c r="MWW45" s="1181"/>
      <c r="MWX45" s="1181"/>
      <c r="MWY45" s="1181"/>
      <c r="MWZ45" s="1181"/>
      <c r="MXA45" s="1181"/>
      <c r="MXB45" s="1181"/>
      <c r="MXC45" s="1181"/>
      <c r="MXD45" s="1181"/>
      <c r="MXE45" s="1181"/>
      <c r="MXF45" s="1181"/>
      <c r="MXG45" s="1181"/>
      <c r="MXH45" s="1181"/>
      <c r="MXI45" s="1181"/>
      <c r="MXJ45" s="1181"/>
      <c r="MXK45" s="1181"/>
      <c r="MXL45" s="1181"/>
      <c r="MXM45" s="1181"/>
      <c r="MXN45" s="1181"/>
      <c r="MXO45" s="1181"/>
      <c r="MXP45" s="1181"/>
      <c r="MXQ45" s="1181"/>
      <c r="MXR45" s="1181"/>
      <c r="MXS45" s="1181"/>
      <c r="MXT45" s="1181"/>
      <c r="MXU45" s="1181"/>
      <c r="MXV45" s="1181"/>
      <c r="MXW45" s="1181"/>
      <c r="MXX45" s="1181"/>
      <c r="MXY45" s="1181"/>
      <c r="MXZ45" s="1181"/>
      <c r="MYA45" s="1181"/>
      <c r="MYB45" s="1181"/>
      <c r="MYC45" s="1181"/>
      <c r="MYD45" s="1181"/>
      <c r="MYE45" s="1181"/>
      <c r="MYF45" s="1181"/>
      <c r="MYG45" s="1181"/>
      <c r="MYH45" s="1181"/>
      <c r="MYI45" s="1181"/>
      <c r="MYJ45" s="1181"/>
      <c r="MYK45" s="1181"/>
      <c r="MYL45" s="1181"/>
      <c r="MYM45" s="1181"/>
      <c r="MYN45" s="1181"/>
      <c r="MYO45" s="1181"/>
      <c r="MYP45" s="1181"/>
      <c r="MYQ45" s="1181"/>
      <c r="MYR45" s="1181"/>
      <c r="MYS45" s="1181"/>
      <c r="MYT45" s="1181"/>
      <c r="MYU45" s="1181"/>
      <c r="MYV45" s="1181"/>
      <c r="MYW45" s="1181"/>
      <c r="MYX45" s="1181"/>
      <c r="MYY45" s="1181"/>
      <c r="MYZ45" s="1181"/>
      <c r="MZA45" s="1181"/>
      <c r="MZB45" s="1181"/>
      <c r="MZC45" s="1181"/>
      <c r="MZD45" s="1181"/>
      <c r="MZE45" s="1181"/>
      <c r="MZF45" s="1181"/>
      <c r="MZG45" s="1181"/>
      <c r="MZH45" s="1181"/>
      <c r="MZI45" s="1181"/>
      <c r="MZJ45" s="1181"/>
      <c r="MZK45" s="1181"/>
      <c r="MZL45" s="1181"/>
      <c r="MZM45" s="1181"/>
      <c r="MZN45" s="1181"/>
      <c r="MZO45" s="1181"/>
      <c r="MZP45" s="1181"/>
      <c r="MZQ45" s="1181"/>
      <c r="MZR45" s="1181"/>
      <c r="MZS45" s="1181"/>
      <c r="MZT45" s="1181"/>
      <c r="MZU45" s="1181"/>
      <c r="MZV45" s="1181"/>
      <c r="MZW45" s="1181"/>
      <c r="MZX45" s="1181"/>
      <c r="MZY45" s="1181"/>
      <c r="MZZ45" s="1181"/>
      <c r="NAA45" s="1181"/>
      <c r="NAB45" s="1181"/>
      <c r="NAC45" s="1181"/>
      <c r="NAD45" s="1181"/>
      <c r="NAE45" s="1181"/>
      <c r="NAF45" s="1181"/>
      <c r="NAG45" s="1181"/>
      <c r="NAH45" s="1181"/>
      <c r="NAI45" s="1181"/>
      <c r="NAJ45" s="1181"/>
      <c r="NAK45" s="1181"/>
      <c r="NAL45" s="1181"/>
      <c r="NAM45" s="1181"/>
      <c r="NAN45" s="1181"/>
      <c r="NAO45" s="1181"/>
      <c r="NAP45" s="1181"/>
      <c r="NAQ45" s="1181"/>
      <c r="NAR45" s="1181"/>
      <c r="NAS45" s="1181"/>
      <c r="NAT45" s="1181"/>
      <c r="NAU45" s="1181"/>
      <c r="NAV45" s="1181"/>
      <c r="NAW45" s="1181"/>
      <c r="NAX45" s="1181"/>
      <c r="NAY45" s="1181"/>
      <c r="NAZ45" s="1181"/>
      <c r="NBA45" s="1181"/>
      <c r="NBB45" s="1181"/>
      <c r="NBC45" s="1181"/>
      <c r="NBD45" s="1181"/>
      <c r="NBE45" s="1181"/>
      <c r="NBF45" s="1181"/>
      <c r="NBG45" s="1181"/>
      <c r="NBH45" s="1181"/>
      <c r="NBI45" s="1181"/>
      <c r="NBJ45" s="1181"/>
      <c r="NBK45" s="1181"/>
      <c r="NBL45" s="1181"/>
      <c r="NBM45" s="1181"/>
      <c r="NBN45" s="1181"/>
      <c r="NBO45" s="1181"/>
      <c r="NBP45" s="1181"/>
      <c r="NBQ45" s="1181"/>
      <c r="NBR45" s="1181"/>
      <c r="NBS45" s="1181"/>
      <c r="NBT45" s="1181"/>
      <c r="NBU45" s="1181"/>
      <c r="NBV45" s="1181"/>
      <c r="NBW45" s="1181"/>
      <c r="NBX45" s="1181"/>
      <c r="NBY45" s="1181"/>
      <c r="NBZ45" s="1181"/>
      <c r="NCA45" s="1181"/>
      <c r="NCB45" s="1181"/>
      <c r="NCC45" s="1181"/>
      <c r="NCD45" s="1181"/>
      <c r="NCE45" s="1181"/>
      <c r="NCF45" s="1181"/>
      <c r="NCG45" s="1181"/>
      <c r="NCH45" s="1181"/>
      <c r="NCI45" s="1181"/>
      <c r="NCJ45" s="1181"/>
      <c r="NCK45" s="1181"/>
      <c r="NCL45" s="1181"/>
      <c r="NCM45" s="1181"/>
      <c r="NCN45" s="1181"/>
      <c r="NCO45" s="1181"/>
      <c r="NCP45" s="1181"/>
      <c r="NCQ45" s="1181"/>
      <c r="NCR45" s="1181"/>
      <c r="NCS45" s="1181"/>
      <c r="NCT45" s="1181"/>
      <c r="NCU45" s="1181"/>
      <c r="NCV45" s="1181"/>
      <c r="NCW45" s="1181"/>
      <c r="NCX45" s="1181"/>
      <c r="NCY45" s="1181"/>
      <c r="NCZ45" s="1181"/>
      <c r="NDA45" s="1181"/>
      <c r="NDB45" s="1181"/>
      <c r="NDC45" s="1181"/>
      <c r="NDD45" s="1181"/>
      <c r="NDE45" s="1181"/>
      <c r="NDF45" s="1181"/>
      <c r="NDG45" s="1181"/>
      <c r="NDH45" s="1181"/>
      <c r="NDI45" s="1181"/>
      <c r="NDJ45" s="1181"/>
      <c r="NDK45" s="1181"/>
      <c r="NDL45" s="1181"/>
      <c r="NDM45" s="1181"/>
      <c r="NDN45" s="1181"/>
      <c r="NDO45" s="1181"/>
      <c r="NDP45" s="1181"/>
      <c r="NDQ45" s="1181"/>
      <c r="NDR45" s="1181"/>
      <c r="NDS45" s="1181"/>
      <c r="NDT45" s="1181"/>
      <c r="NDU45" s="1181"/>
      <c r="NDV45" s="1181"/>
      <c r="NDW45" s="1181"/>
      <c r="NDX45" s="1181"/>
      <c r="NDY45" s="1181"/>
      <c r="NDZ45" s="1181"/>
      <c r="NEA45" s="1181"/>
      <c r="NEB45" s="1181"/>
      <c r="NEC45" s="1181"/>
      <c r="NED45" s="1181"/>
      <c r="NEE45" s="1181"/>
      <c r="NEF45" s="1181"/>
      <c r="NEG45" s="1181"/>
      <c r="NEH45" s="1181"/>
      <c r="NEI45" s="1181"/>
      <c r="NEJ45" s="1181"/>
      <c r="NEK45" s="1181"/>
      <c r="NEL45" s="1181"/>
      <c r="NEM45" s="1181"/>
      <c r="NEN45" s="1181"/>
      <c r="NEO45" s="1181"/>
      <c r="NEP45" s="1181"/>
      <c r="NEQ45" s="1181"/>
      <c r="NER45" s="1181"/>
      <c r="NES45" s="1181"/>
      <c r="NET45" s="1181"/>
      <c r="NEU45" s="1181"/>
      <c r="NEV45" s="1181"/>
      <c r="NEW45" s="1181"/>
      <c r="NEX45" s="1181"/>
      <c r="NEY45" s="1181"/>
      <c r="NEZ45" s="1181"/>
      <c r="NFA45" s="1181"/>
      <c r="NFB45" s="1181"/>
      <c r="NFC45" s="1181"/>
      <c r="NFD45" s="1181"/>
      <c r="NFE45" s="1181"/>
      <c r="NFF45" s="1181"/>
      <c r="NFG45" s="1181"/>
      <c r="NFH45" s="1181"/>
      <c r="NFI45" s="1181"/>
      <c r="NFJ45" s="1181"/>
      <c r="NFK45" s="1181"/>
      <c r="NFL45" s="1181"/>
      <c r="NFM45" s="1181"/>
      <c r="NFN45" s="1181"/>
      <c r="NFO45" s="1181"/>
      <c r="NFP45" s="1181"/>
      <c r="NFQ45" s="1181"/>
      <c r="NFR45" s="1181"/>
      <c r="NFS45" s="1181"/>
      <c r="NFT45" s="1181"/>
      <c r="NFU45" s="1181"/>
      <c r="NFV45" s="1181"/>
      <c r="NFW45" s="1181"/>
      <c r="NFX45" s="1181"/>
      <c r="NFY45" s="1181"/>
      <c r="NFZ45" s="1181"/>
      <c r="NGA45" s="1181"/>
      <c r="NGB45" s="1181"/>
      <c r="NGC45" s="1181"/>
      <c r="NGD45" s="1181"/>
      <c r="NGE45" s="1181"/>
      <c r="NGF45" s="1181"/>
      <c r="NGG45" s="1181"/>
      <c r="NGH45" s="1181"/>
      <c r="NGI45" s="1181"/>
      <c r="NGJ45" s="1181"/>
      <c r="NGK45" s="1181"/>
      <c r="NGL45" s="1181"/>
      <c r="NGM45" s="1181"/>
      <c r="NGN45" s="1181"/>
      <c r="NGO45" s="1181"/>
      <c r="NGP45" s="1181"/>
      <c r="NGQ45" s="1181"/>
      <c r="NGR45" s="1181"/>
      <c r="NGS45" s="1181"/>
      <c r="NGT45" s="1181"/>
      <c r="NGU45" s="1181"/>
      <c r="NGV45" s="1181"/>
      <c r="NGW45" s="1181"/>
      <c r="NGX45" s="1181"/>
      <c r="NGY45" s="1181"/>
      <c r="NGZ45" s="1181"/>
      <c r="NHA45" s="1181"/>
      <c r="NHB45" s="1181"/>
      <c r="NHC45" s="1181"/>
      <c r="NHD45" s="1181"/>
      <c r="NHE45" s="1181"/>
      <c r="NHF45" s="1181"/>
      <c r="NHG45" s="1181"/>
      <c r="NHH45" s="1181"/>
      <c r="NHI45" s="1181"/>
      <c r="NHJ45" s="1181"/>
      <c r="NHK45" s="1181"/>
      <c r="NHL45" s="1181"/>
      <c r="NHM45" s="1181"/>
      <c r="NHN45" s="1181"/>
      <c r="NHO45" s="1181"/>
      <c r="NHP45" s="1181"/>
      <c r="NHQ45" s="1181"/>
      <c r="NHR45" s="1181"/>
      <c r="NHS45" s="1181"/>
      <c r="NHT45" s="1181"/>
      <c r="NHU45" s="1181"/>
      <c r="NHV45" s="1181"/>
      <c r="NHW45" s="1181"/>
      <c r="NHX45" s="1181"/>
      <c r="NHY45" s="1181"/>
      <c r="NHZ45" s="1181"/>
      <c r="NIA45" s="1181"/>
      <c r="NIB45" s="1181"/>
      <c r="NIC45" s="1181"/>
      <c r="NID45" s="1181"/>
      <c r="NIE45" s="1181"/>
      <c r="NIF45" s="1181"/>
      <c r="NIG45" s="1181"/>
      <c r="NIH45" s="1181"/>
      <c r="NII45" s="1181"/>
      <c r="NIJ45" s="1181"/>
      <c r="NIK45" s="1181"/>
      <c r="NIL45" s="1181"/>
      <c r="NIM45" s="1181"/>
      <c r="NIN45" s="1181"/>
      <c r="NIO45" s="1181"/>
      <c r="NIP45" s="1181"/>
      <c r="NIQ45" s="1181"/>
      <c r="NIR45" s="1181"/>
      <c r="NIS45" s="1181"/>
      <c r="NIT45" s="1181"/>
      <c r="NIU45" s="1181"/>
      <c r="NIV45" s="1181"/>
      <c r="NIW45" s="1181"/>
      <c r="NIX45" s="1181"/>
      <c r="NIY45" s="1181"/>
      <c r="NIZ45" s="1181"/>
      <c r="NJA45" s="1181"/>
      <c r="NJB45" s="1181"/>
      <c r="NJC45" s="1181"/>
      <c r="NJD45" s="1181"/>
      <c r="NJE45" s="1181"/>
      <c r="NJF45" s="1181"/>
      <c r="NJG45" s="1181"/>
      <c r="NJH45" s="1181"/>
      <c r="NJI45" s="1181"/>
      <c r="NJJ45" s="1181"/>
      <c r="NJK45" s="1181"/>
      <c r="NJL45" s="1181"/>
      <c r="NJM45" s="1181"/>
      <c r="NJN45" s="1181"/>
      <c r="NJO45" s="1181"/>
      <c r="NJP45" s="1181"/>
      <c r="NJQ45" s="1181"/>
      <c r="NJR45" s="1181"/>
      <c r="NJS45" s="1181"/>
      <c r="NJT45" s="1181"/>
      <c r="NJU45" s="1181"/>
      <c r="NJV45" s="1181"/>
      <c r="NJW45" s="1181"/>
      <c r="NJX45" s="1181"/>
      <c r="NJY45" s="1181"/>
      <c r="NJZ45" s="1181"/>
      <c r="NKA45" s="1181"/>
      <c r="NKB45" s="1181"/>
      <c r="NKC45" s="1181"/>
      <c r="NKD45" s="1181"/>
      <c r="NKE45" s="1181"/>
      <c r="NKF45" s="1181"/>
      <c r="NKG45" s="1181"/>
      <c r="NKH45" s="1181"/>
      <c r="NKI45" s="1181"/>
      <c r="NKJ45" s="1181"/>
      <c r="NKK45" s="1181"/>
      <c r="NKL45" s="1181"/>
      <c r="NKM45" s="1181"/>
      <c r="NKN45" s="1181"/>
      <c r="NKO45" s="1181"/>
      <c r="NKP45" s="1181"/>
      <c r="NKQ45" s="1181"/>
      <c r="NKR45" s="1181"/>
      <c r="NKS45" s="1181"/>
      <c r="NKT45" s="1181"/>
      <c r="NKU45" s="1181"/>
      <c r="NKV45" s="1181"/>
      <c r="NKW45" s="1181"/>
      <c r="NKX45" s="1181"/>
      <c r="NKY45" s="1181"/>
      <c r="NKZ45" s="1181"/>
      <c r="NLA45" s="1181"/>
      <c r="NLB45" s="1181"/>
      <c r="NLC45" s="1181"/>
      <c r="NLD45" s="1181"/>
      <c r="NLE45" s="1181"/>
      <c r="NLF45" s="1181"/>
      <c r="NLG45" s="1181"/>
      <c r="NLH45" s="1181"/>
      <c r="NLI45" s="1181"/>
      <c r="NLJ45" s="1181"/>
      <c r="NLK45" s="1181"/>
      <c r="NLL45" s="1181"/>
      <c r="NLM45" s="1181"/>
      <c r="NLN45" s="1181"/>
      <c r="NLO45" s="1181"/>
      <c r="NLP45" s="1181"/>
      <c r="NLQ45" s="1181"/>
      <c r="NLR45" s="1181"/>
      <c r="NLS45" s="1181"/>
      <c r="NLT45" s="1181"/>
      <c r="NLU45" s="1181"/>
      <c r="NLV45" s="1181"/>
      <c r="NLW45" s="1181"/>
      <c r="NLX45" s="1181"/>
      <c r="NLY45" s="1181"/>
      <c r="NLZ45" s="1181"/>
      <c r="NMA45" s="1181"/>
      <c r="NMB45" s="1181"/>
      <c r="NMC45" s="1181"/>
      <c r="NMD45" s="1181"/>
      <c r="NME45" s="1181"/>
      <c r="NMF45" s="1181"/>
      <c r="NMG45" s="1181"/>
      <c r="NMH45" s="1181"/>
      <c r="NMI45" s="1181"/>
      <c r="NMJ45" s="1181"/>
      <c r="NMK45" s="1181"/>
      <c r="NML45" s="1181"/>
      <c r="NMM45" s="1181"/>
      <c r="NMN45" s="1181"/>
      <c r="NMO45" s="1181"/>
      <c r="NMP45" s="1181"/>
      <c r="NMQ45" s="1181"/>
      <c r="NMR45" s="1181"/>
      <c r="NMS45" s="1181"/>
      <c r="NMT45" s="1181"/>
      <c r="NMU45" s="1181"/>
      <c r="NMV45" s="1181"/>
      <c r="NMW45" s="1181"/>
      <c r="NMX45" s="1181"/>
      <c r="NMY45" s="1181"/>
      <c r="NMZ45" s="1181"/>
      <c r="NNA45" s="1181"/>
      <c r="NNB45" s="1181"/>
      <c r="NNC45" s="1181"/>
      <c r="NND45" s="1181"/>
      <c r="NNE45" s="1181"/>
      <c r="NNF45" s="1181"/>
      <c r="NNG45" s="1181"/>
      <c r="NNH45" s="1181"/>
      <c r="NNI45" s="1181"/>
      <c r="NNJ45" s="1181"/>
      <c r="NNK45" s="1181"/>
      <c r="NNL45" s="1181"/>
      <c r="NNM45" s="1181"/>
      <c r="NNN45" s="1181"/>
      <c r="NNO45" s="1181"/>
      <c r="NNP45" s="1181"/>
      <c r="NNQ45" s="1181"/>
      <c r="NNR45" s="1181"/>
      <c r="NNS45" s="1181"/>
      <c r="NNT45" s="1181"/>
      <c r="NNU45" s="1181"/>
      <c r="NNV45" s="1181"/>
      <c r="NNW45" s="1181"/>
      <c r="NNX45" s="1181"/>
      <c r="NNY45" s="1181"/>
      <c r="NNZ45" s="1181"/>
      <c r="NOA45" s="1181"/>
      <c r="NOB45" s="1181"/>
      <c r="NOC45" s="1181"/>
      <c r="NOD45" s="1181"/>
      <c r="NOE45" s="1181"/>
      <c r="NOF45" s="1181"/>
      <c r="NOG45" s="1181"/>
      <c r="NOH45" s="1181"/>
      <c r="NOI45" s="1181"/>
      <c r="NOJ45" s="1181"/>
      <c r="NOK45" s="1181"/>
      <c r="NOL45" s="1181"/>
      <c r="NOM45" s="1181"/>
      <c r="NON45" s="1181"/>
      <c r="NOO45" s="1181"/>
      <c r="NOP45" s="1181"/>
      <c r="NOQ45" s="1181"/>
      <c r="NOR45" s="1181"/>
      <c r="NOS45" s="1181"/>
      <c r="NOT45" s="1181"/>
      <c r="NOU45" s="1181"/>
      <c r="NOV45" s="1181"/>
      <c r="NOW45" s="1181"/>
      <c r="NOX45" s="1181"/>
      <c r="NOY45" s="1181"/>
      <c r="NOZ45" s="1181"/>
      <c r="NPA45" s="1181"/>
      <c r="NPB45" s="1181"/>
      <c r="NPC45" s="1181"/>
      <c r="NPD45" s="1181"/>
      <c r="NPE45" s="1181"/>
      <c r="NPF45" s="1181"/>
      <c r="NPG45" s="1181"/>
      <c r="NPH45" s="1181"/>
      <c r="NPI45" s="1181"/>
      <c r="NPJ45" s="1181"/>
      <c r="NPK45" s="1181"/>
      <c r="NPL45" s="1181"/>
      <c r="NPM45" s="1181"/>
      <c r="NPN45" s="1181"/>
      <c r="NPO45" s="1181"/>
      <c r="NPP45" s="1181"/>
      <c r="NPQ45" s="1181"/>
      <c r="NPR45" s="1181"/>
      <c r="NPS45" s="1181"/>
      <c r="NPT45" s="1181"/>
      <c r="NPU45" s="1181"/>
      <c r="NPV45" s="1181"/>
      <c r="NPW45" s="1181"/>
      <c r="NPX45" s="1181"/>
      <c r="NPY45" s="1181"/>
      <c r="NPZ45" s="1181"/>
      <c r="NQA45" s="1181"/>
      <c r="NQB45" s="1181"/>
      <c r="NQC45" s="1181"/>
      <c r="NQD45" s="1181"/>
      <c r="NQE45" s="1181"/>
      <c r="NQF45" s="1181"/>
      <c r="NQG45" s="1181"/>
      <c r="NQH45" s="1181"/>
      <c r="NQI45" s="1181"/>
      <c r="NQJ45" s="1181"/>
      <c r="NQK45" s="1181"/>
      <c r="NQL45" s="1181"/>
      <c r="NQM45" s="1181"/>
      <c r="NQN45" s="1181"/>
      <c r="NQO45" s="1181"/>
      <c r="NQP45" s="1181"/>
      <c r="NQQ45" s="1181"/>
      <c r="NQR45" s="1181"/>
      <c r="NQS45" s="1181"/>
      <c r="NQT45" s="1181"/>
      <c r="NQU45" s="1181"/>
      <c r="NQV45" s="1181"/>
      <c r="NQW45" s="1181"/>
      <c r="NQX45" s="1181"/>
      <c r="NQY45" s="1181"/>
      <c r="NQZ45" s="1181"/>
      <c r="NRA45" s="1181"/>
      <c r="NRB45" s="1181"/>
      <c r="NRC45" s="1181"/>
      <c r="NRD45" s="1181"/>
      <c r="NRE45" s="1181"/>
      <c r="NRF45" s="1181"/>
      <c r="NRG45" s="1181"/>
      <c r="NRH45" s="1181"/>
      <c r="NRI45" s="1181"/>
      <c r="NRJ45" s="1181"/>
      <c r="NRK45" s="1181"/>
      <c r="NRL45" s="1181"/>
      <c r="NRM45" s="1181"/>
      <c r="NRN45" s="1181"/>
      <c r="NRO45" s="1181"/>
      <c r="NRP45" s="1181"/>
      <c r="NRQ45" s="1181"/>
      <c r="NRR45" s="1181"/>
      <c r="NRS45" s="1181"/>
      <c r="NRT45" s="1181"/>
      <c r="NRU45" s="1181"/>
      <c r="NRV45" s="1181"/>
      <c r="NRW45" s="1181"/>
      <c r="NRX45" s="1181"/>
      <c r="NRY45" s="1181"/>
      <c r="NRZ45" s="1181"/>
      <c r="NSA45" s="1181"/>
      <c r="NSB45" s="1181"/>
      <c r="NSC45" s="1181"/>
      <c r="NSD45" s="1181"/>
      <c r="NSE45" s="1181"/>
      <c r="NSF45" s="1181"/>
      <c r="NSG45" s="1181"/>
      <c r="NSH45" s="1181"/>
      <c r="NSI45" s="1181"/>
      <c r="NSJ45" s="1181"/>
      <c r="NSK45" s="1181"/>
      <c r="NSL45" s="1181"/>
      <c r="NSM45" s="1181"/>
      <c r="NSN45" s="1181"/>
      <c r="NSO45" s="1181"/>
      <c r="NSP45" s="1181"/>
      <c r="NSQ45" s="1181"/>
      <c r="NSR45" s="1181"/>
      <c r="NSS45" s="1181"/>
      <c r="NST45" s="1181"/>
      <c r="NSU45" s="1181"/>
      <c r="NSV45" s="1181"/>
      <c r="NSW45" s="1181"/>
      <c r="NSX45" s="1181"/>
      <c r="NSY45" s="1181"/>
      <c r="NSZ45" s="1181"/>
      <c r="NTA45" s="1181"/>
      <c r="NTB45" s="1181"/>
      <c r="NTC45" s="1181"/>
      <c r="NTD45" s="1181"/>
      <c r="NTE45" s="1181"/>
      <c r="NTF45" s="1181"/>
      <c r="NTG45" s="1181"/>
      <c r="NTH45" s="1181"/>
      <c r="NTI45" s="1181"/>
      <c r="NTJ45" s="1181"/>
      <c r="NTK45" s="1181"/>
      <c r="NTL45" s="1181"/>
      <c r="NTM45" s="1181"/>
      <c r="NTN45" s="1181"/>
      <c r="NTO45" s="1181"/>
      <c r="NTP45" s="1181"/>
      <c r="NTQ45" s="1181"/>
      <c r="NTR45" s="1181"/>
      <c r="NTS45" s="1181"/>
      <c r="NTT45" s="1181"/>
      <c r="NTU45" s="1181"/>
      <c r="NTV45" s="1181"/>
      <c r="NTW45" s="1181"/>
      <c r="NTX45" s="1181"/>
      <c r="NTY45" s="1181"/>
      <c r="NTZ45" s="1181"/>
      <c r="NUA45" s="1181"/>
      <c r="NUB45" s="1181"/>
      <c r="NUC45" s="1181"/>
      <c r="NUD45" s="1181"/>
      <c r="NUE45" s="1181"/>
      <c r="NUF45" s="1181"/>
      <c r="NUG45" s="1181"/>
      <c r="NUH45" s="1181"/>
      <c r="NUI45" s="1181"/>
      <c r="NUJ45" s="1181"/>
      <c r="NUK45" s="1181"/>
      <c r="NUL45" s="1181"/>
      <c r="NUM45" s="1181"/>
      <c r="NUN45" s="1181"/>
      <c r="NUO45" s="1181"/>
      <c r="NUP45" s="1181"/>
      <c r="NUQ45" s="1181"/>
      <c r="NUR45" s="1181"/>
      <c r="NUS45" s="1181"/>
      <c r="NUT45" s="1181"/>
      <c r="NUU45" s="1181"/>
      <c r="NUV45" s="1181"/>
      <c r="NUW45" s="1181"/>
      <c r="NUX45" s="1181"/>
      <c r="NUY45" s="1181"/>
      <c r="NUZ45" s="1181"/>
      <c r="NVA45" s="1181"/>
      <c r="NVB45" s="1181"/>
      <c r="NVC45" s="1181"/>
      <c r="NVD45" s="1181"/>
      <c r="NVE45" s="1181"/>
      <c r="NVF45" s="1181"/>
      <c r="NVG45" s="1181"/>
      <c r="NVH45" s="1181"/>
      <c r="NVI45" s="1181"/>
      <c r="NVJ45" s="1181"/>
      <c r="NVK45" s="1181"/>
      <c r="NVL45" s="1181"/>
      <c r="NVM45" s="1181"/>
      <c r="NVN45" s="1181"/>
      <c r="NVO45" s="1181"/>
      <c r="NVP45" s="1181"/>
      <c r="NVQ45" s="1181"/>
      <c r="NVR45" s="1181"/>
      <c r="NVS45" s="1181"/>
      <c r="NVT45" s="1181"/>
      <c r="NVU45" s="1181"/>
      <c r="NVV45" s="1181"/>
      <c r="NVW45" s="1181"/>
      <c r="NVX45" s="1181"/>
      <c r="NVY45" s="1181"/>
      <c r="NVZ45" s="1181"/>
      <c r="NWA45" s="1181"/>
      <c r="NWB45" s="1181"/>
      <c r="NWC45" s="1181"/>
      <c r="NWD45" s="1181"/>
      <c r="NWE45" s="1181"/>
      <c r="NWF45" s="1181"/>
      <c r="NWG45" s="1181"/>
      <c r="NWH45" s="1181"/>
      <c r="NWI45" s="1181"/>
      <c r="NWJ45" s="1181"/>
      <c r="NWK45" s="1181"/>
      <c r="NWL45" s="1181"/>
      <c r="NWM45" s="1181"/>
      <c r="NWN45" s="1181"/>
      <c r="NWO45" s="1181"/>
      <c r="NWP45" s="1181"/>
      <c r="NWQ45" s="1181"/>
      <c r="NWR45" s="1181"/>
      <c r="NWS45" s="1181"/>
      <c r="NWT45" s="1181"/>
      <c r="NWU45" s="1181"/>
      <c r="NWV45" s="1181"/>
      <c r="NWW45" s="1181"/>
      <c r="NWX45" s="1181"/>
      <c r="NWY45" s="1181"/>
      <c r="NWZ45" s="1181"/>
      <c r="NXA45" s="1181"/>
      <c r="NXB45" s="1181"/>
      <c r="NXC45" s="1181"/>
      <c r="NXD45" s="1181"/>
      <c r="NXE45" s="1181"/>
      <c r="NXF45" s="1181"/>
      <c r="NXG45" s="1181"/>
      <c r="NXH45" s="1181"/>
      <c r="NXI45" s="1181"/>
      <c r="NXJ45" s="1181"/>
      <c r="NXK45" s="1181"/>
      <c r="NXL45" s="1181"/>
      <c r="NXM45" s="1181"/>
      <c r="NXN45" s="1181"/>
      <c r="NXO45" s="1181"/>
      <c r="NXP45" s="1181"/>
      <c r="NXQ45" s="1181"/>
      <c r="NXR45" s="1181"/>
      <c r="NXS45" s="1181"/>
      <c r="NXT45" s="1181"/>
      <c r="NXU45" s="1181"/>
      <c r="NXV45" s="1181"/>
      <c r="NXW45" s="1181"/>
      <c r="NXX45" s="1181"/>
      <c r="NXY45" s="1181"/>
      <c r="NXZ45" s="1181"/>
      <c r="NYA45" s="1181"/>
      <c r="NYB45" s="1181"/>
      <c r="NYC45" s="1181"/>
      <c r="NYD45" s="1181"/>
      <c r="NYE45" s="1181"/>
      <c r="NYF45" s="1181"/>
      <c r="NYG45" s="1181"/>
      <c r="NYH45" s="1181"/>
      <c r="NYI45" s="1181"/>
      <c r="NYJ45" s="1181"/>
      <c r="NYK45" s="1181"/>
      <c r="NYL45" s="1181"/>
      <c r="NYM45" s="1181"/>
      <c r="NYN45" s="1181"/>
      <c r="NYO45" s="1181"/>
      <c r="NYP45" s="1181"/>
      <c r="NYQ45" s="1181"/>
      <c r="NYR45" s="1181"/>
      <c r="NYS45" s="1181"/>
      <c r="NYT45" s="1181"/>
      <c r="NYU45" s="1181"/>
      <c r="NYV45" s="1181"/>
      <c r="NYW45" s="1181"/>
      <c r="NYX45" s="1181"/>
      <c r="NYY45" s="1181"/>
      <c r="NYZ45" s="1181"/>
      <c r="NZA45" s="1181"/>
      <c r="NZB45" s="1181"/>
      <c r="NZC45" s="1181"/>
      <c r="NZD45" s="1181"/>
      <c r="NZE45" s="1181"/>
      <c r="NZF45" s="1181"/>
      <c r="NZG45" s="1181"/>
      <c r="NZH45" s="1181"/>
      <c r="NZI45" s="1181"/>
      <c r="NZJ45" s="1181"/>
      <c r="NZK45" s="1181"/>
      <c r="NZL45" s="1181"/>
      <c r="NZM45" s="1181"/>
      <c r="NZN45" s="1181"/>
      <c r="NZO45" s="1181"/>
      <c r="NZP45" s="1181"/>
      <c r="NZQ45" s="1181"/>
      <c r="NZR45" s="1181"/>
      <c r="NZS45" s="1181"/>
      <c r="NZT45" s="1181"/>
      <c r="NZU45" s="1181"/>
      <c r="NZV45" s="1181"/>
      <c r="NZW45" s="1181"/>
      <c r="NZX45" s="1181"/>
      <c r="NZY45" s="1181"/>
      <c r="NZZ45" s="1181"/>
      <c r="OAA45" s="1181"/>
      <c r="OAB45" s="1181"/>
      <c r="OAC45" s="1181"/>
      <c r="OAD45" s="1181"/>
      <c r="OAE45" s="1181"/>
      <c r="OAF45" s="1181"/>
      <c r="OAG45" s="1181"/>
      <c r="OAH45" s="1181"/>
      <c r="OAI45" s="1181"/>
      <c r="OAJ45" s="1181"/>
      <c r="OAK45" s="1181"/>
      <c r="OAL45" s="1181"/>
      <c r="OAM45" s="1181"/>
      <c r="OAN45" s="1181"/>
      <c r="OAO45" s="1181"/>
      <c r="OAP45" s="1181"/>
      <c r="OAQ45" s="1181"/>
      <c r="OAR45" s="1181"/>
      <c r="OAS45" s="1181"/>
      <c r="OAT45" s="1181"/>
      <c r="OAU45" s="1181"/>
      <c r="OAV45" s="1181"/>
      <c r="OAW45" s="1181"/>
      <c r="OAX45" s="1181"/>
      <c r="OAY45" s="1181"/>
      <c r="OAZ45" s="1181"/>
      <c r="OBA45" s="1181"/>
      <c r="OBB45" s="1181"/>
      <c r="OBC45" s="1181"/>
      <c r="OBD45" s="1181"/>
      <c r="OBE45" s="1181"/>
      <c r="OBF45" s="1181"/>
      <c r="OBG45" s="1181"/>
      <c r="OBH45" s="1181"/>
      <c r="OBI45" s="1181"/>
      <c r="OBJ45" s="1181"/>
      <c r="OBK45" s="1181"/>
      <c r="OBL45" s="1181"/>
      <c r="OBM45" s="1181"/>
      <c r="OBN45" s="1181"/>
      <c r="OBO45" s="1181"/>
      <c r="OBP45" s="1181"/>
      <c r="OBQ45" s="1181"/>
      <c r="OBR45" s="1181"/>
      <c r="OBS45" s="1181"/>
      <c r="OBT45" s="1181"/>
      <c r="OBU45" s="1181"/>
      <c r="OBV45" s="1181"/>
      <c r="OBW45" s="1181"/>
      <c r="OBX45" s="1181"/>
      <c r="OBY45" s="1181"/>
      <c r="OBZ45" s="1181"/>
      <c r="OCA45" s="1181"/>
      <c r="OCB45" s="1181"/>
      <c r="OCC45" s="1181"/>
      <c r="OCD45" s="1181"/>
      <c r="OCE45" s="1181"/>
      <c r="OCF45" s="1181"/>
      <c r="OCG45" s="1181"/>
      <c r="OCH45" s="1181"/>
      <c r="OCI45" s="1181"/>
      <c r="OCJ45" s="1181"/>
      <c r="OCK45" s="1181"/>
      <c r="OCL45" s="1181"/>
      <c r="OCM45" s="1181"/>
      <c r="OCN45" s="1181"/>
      <c r="OCO45" s="1181"/>
      <c r="OCP45" s="1181"/>
      <c r="OCQ45" s="1181"/>
      <c r="OCR45" s="1181"/>
      <c r="OCS45" s="1181"/>
      <c r="OCT45" s="1181"/>
      <c r="OCU45" s="1181"/>
      <c r="OCV45" s="1181"/>
      <c r="OCW45" s="1181"/>
      <c r="OCX45" s="1181"/>
      <c r="OCY45" s="1181"/>
      <c r="OCZ45" s="1181"/>
      <c r="ODA45" s="1181"/>
      <c r="ODB45" s="1181"/>
      <c r="ODC45" s="1181"/>
      <c r="ODD45" s="1181"/>
      <c r="ODE45" s="1181"/>
      <c r="ODF45" s="1181"/>
      <c r="ODG45" s="1181"/>
      <c r="ODH45" s="1181"/>
      <c r="ODI45" s="1181"/>
      <c r="ODJ45" s="1181"/>
      <c r="ODK45" s="1181"/>
      <c r="ODL45" s="1181"/>
      <c r="ODM45" s="1181"/>
      <c r="ODN45" s="1181"/>
      <c r="ODO45" s="1181"/>
      <c r="ODP45" s="1181"/>
      <c r="ODQ45" s="1181"/>
      <c r="ODR45" s="1181"/>
      <c r="ODS45" s="1181"/>
      <c r="ODT45" s="1181"/>
      <c r="ODU45" s="1181"/>
      <c r="ODV45" s="1181"/>
      <c r="ODW45" s="1181"/>
      <c r="ODX45" s="1181"/>
      <c r="ODY45" s="1181"/>
      <c r="ODZ45" s="1181"/>
      <c r="OEA45" s="1181"/>
      <c r="OEB45" s="1181"/>
      <c r="OEC45" s="1181"/>
      <c r="OED45" s="1181"/>
      <c r="OEE45" s="1181"/>
      <c r="OEF45" s="1181"/>
      <c r="OEG45" s="1181"/>
      <c r="OEH45" s="1181"/>
      <c r="OEI45" s="1181"/>
      <c r="OEJ45" s="1181"/>
      <c r="OEK45" s="1181"/>
      <c r="OEL45" s="1181"/>
      <c r="OEM45" s="1181"/>
      <c r="OEN45" s="1181"/>
      <c r="OEO45" s="1181"/>
      <c r="OEP45" s="1181"/>
      <c r="OEQ45" s="1181"/>
      <c r="OER45" s="1181"/>
      <c r="OES45" s="1181"/>
      <c r="OET45" s="1181"/>
      <c r="OEU45" s="1181"/>
      <c r="OEV45" s="1181"/>
      <c r="OEW45" s="1181"/>
      <c r="OEX45" s="1181"/>
      <c r="OEY45" s="1181"/>
      <c r="OEZ45" s="1181"/>
      <c r="OFA45" s="1181"/>
      <c r="OFB45" s="1181"/>
      <c r="OFC45" s="1181"/>
      <c r="OFD45" s="1181"/>
      <c r="OFE45" s="1181"/>
      <c r="OFF45" s="1181"/>
      <c r="OFG45" s="1181"/>
      <c r="OFH45" s="1181"/>
      <c r="OFI45" s="1181"/>
      <c r="OFJ45" s="1181"/>
      <c r="OFK45" s="1181"/>
      <c r="OFL45" s="1181"/>
      <c r="OFM45" s="1181"/>
      <c r="OFN45" s="1181"/>
      <c r="OFO45" s="1181"/>
      <c r="OFP45" s="1181"/>
      <c r="OFQ45" s="1181"/>
      <c r="OFR45" s="1181"/>
      <c r="OFS45" s="1181"/>
      <c r="OFT45" s="1181"/>
      <c r="OFU45" s="1181"/>
      <c r="OFV45" s="1181"/>
      <c r="OFW45" s="1181"/>
      <c r="OFX45" s="1181"/>
      <c r="OFY45" s="1181"/>
      <c r="OFZ45" s="1181"/>
      <c r="OGA45" s="1181"/>
      <c r="OGB45" s="1181"/>
      <c r="OGC45" s="1181"/>
      <c r="OGD45" s="1181"/>
      <c r="OGE45" s="1181"/>
      <c r="OGF45" s="1181"/>
      <c r="OGG45" s="1181"/>
      <c r="OGH45" s="1181"/>
      <c r="OGI45" s="1181"/>
      <c r="OGJ45" s="1181"/>
      <c r="OGK45" s="1181"/>
      <c r="OGL45" s="1181"/>
      <c r="OGM45" s="1181"/>
      <c r="OGN45" s="1181"/>
      <c r="OGO45" s="1181"/>
      <c r="OGP45" s="1181"/>
      <c r="OGQ45" s="1181"/>
      <c r="OGR45" s="1181"/>
      <c r="OGS45" s="1181"/>
      <c r="OGT45" s="1181"/>
      <c r="OGU45" s="1181"/>
      <c r="OGV45" s="1181"/>
      <c r="OGW45" s="1181"/>
      <c r="OGX45" s="1181"/>
      <c r="OGY45" s="1181"/>
      <c r="OGZ45" s="1181"/>
      <c r="OHA45" s="1181"/>
      <c r="OHB45" s="1181"/>
      <c r="OHC45" s="1181"/>
      <c r="OHD45" s="1181"/>
      <c r="OHE45" s="1181"/>
      <c r="OHF45" s="1181"/>
      <c r="OHG45" s="1181"/>
      <c r="OHH45" s="1181"/>
      <c r="OHI45" s="1181"/>
      <c r="OHJ45" s="1181"/>
      <c r="OHK45" s="1181"/>
      <c r="OHL45" s="1181"/>
      <c r="OHM45" s="1181"/>
      <c r="OHN45" s="1181"/>
      <c r="OHO45" s="1181"/>
      <c r="OHP45" s="1181"/>
      <c r="OHQ45" s="1181"/>
      <c r="OHR45" s="1181"/>
      <c r="OHS45" s="1181"/>
      <c r="OHT45" s="1181"/>
      <c r="OHU45" s="1181"/>
      <c r="OHV45" s="1181"/>
      <c r="OHW45" s="1181"/>
      <c r="OHX45" s="1181"/>
      <c r="OHY45" s="1181"/>
      <c r="OHZ45" s="1181"/>
      <c r="OIA45" s="1181"/>
      <c r="OIB45" s="1181"/>
      <c r="OIC45" s="1181"/>
      <c r="OID45" s="1181"/>
      <c r="OIE45" s="1181"/>
      <c r="OIF45" s="1181"/>
      <c r="OIG45" s="1181"/>
      <c r="OIH45" s="1181"/>
      <c r="OII45" s="1181"/>
      <c r="OIJ45" s="1181"/>
      <c r="OIK45" s="1181"/>
      <c r="OIL45" s="1181"/>
      <c r="OIM45" s="1181"/>
      <c r="OIN45" s="1181"/>
      <c r="OIO45" s="1181"/>
      <c r="OIP45" s="1181"/>
      <c r="OIQ45" s="1181"/>
      <c r="OIR45" s="1181"/>
      <c r="OIS45" s="1181"/>
      <c r="OIT45" s="1181"/>
      <c r="OIU45" s="1181"/>
      <c r="OIV45" s="1181"/>
      <c r="OIW45" s="1181"/>
      <c r="OIX45" s="1181"/>
      <c r="OIY45" s="1181"/>
      <c r="OIZ45" s="1181"/>
      <c r="OJA45" s="1181"/>
      <c r="OJB45" s="1181"/>
      <c r="OJC45" s="1181"/>
      <c r="OJD45" s="1181"/>
      <c r="OJE45" s="1181"/>
      <c r="OJF45" s="1181"/>
      <c r="OJG45" s="1181"/>
      <c r="OJH45" s="1181"/>
      <c r="OJI45" s="1181"/>
      <c r="OJJ45" s="1181"/>
      <c r="OJK45" s="1181"/>
      <c r="OJL45" s="1181"/>
      <c r="OJM45" s="1181"/>
      <c r="OJN45" s="1181"/>
      <c r="OJO45" s="1181"/>
      <c r="OJP45" s="1181"/>
      <c r="OJQ45" s="1181"/>
      <c r="OJR45" s="1181"/>
      <c r="OJS45" s="1181"/>
      <c r="OJT45" s="1181"/>
      <c r="OJU45" s="1181"/>
      <c r="OJV45" s="1181"/>
      <c r="OJW45" s="1181"/>
      <c r="OJX45" s="1181"/>
      <c r="OJY45" s="1181"/>
      <c r="OJZ45" s="1181"/>
      <c r="OKA45" s="1181"/>
      <c r="OKB45" s="1181"/>
      <c r="OKC45" s="1181"/>
      <c r="OKD45" s="1181"/>
      <c r="OKE45" s="1181"/>
      <c r="OKF45" s="1181"/>
      <c r="OKG45" s="1181"/>
      <c r="OKH45" s="1181"/>
      <c r="OKI45" s="1181"/>
      <c r="OKJ45" s="1181"/>
      <c r="OKK45" s="1181"/>
      <c r="OKL45" s="1181"/>
      <c r="OKM45" s="1181"/>
      <c r="OKN45" s="1181"/>
      <c r="OKO45" s="1181"/>
      <c r="OKP45" s="1181"/>
      <c r="OKQ45" s="1181"/>
      <c r="OKR45" s="1181"/>
      <c r="OKS45" s="1181"/>
      <c r="OKT45" s="1181"/>
      <c r="OKU45" s="1181"/>
      <c r="OKV45" s="1181"/>
      <c r="OKW45" s="1181"/>
      <c r="OKX45" s="1181"/>
      <c r="OKY45" s="1181"/>
      <c r="OKZ45" s="1181"/>
      <c r="OLA45" s="1181"/>
      <c r="OLB45" s="1181"/>
      <c r="OLC45" s="1181"/>
      <c r="OLD45" s="1181"/>
      <c r="OLE45" s="1181"/>
      <c r="OLF45" s="1181"/>
      <c r="OLG45" s="1181"/>
      <c r="OLH45" s="1181"/>
      <c r="OLI45" s="1181"/>
      <c r="OLJ45" s="1181"/>
      <c r="OLK45" s="1181"/>
      <c r="OLL45" s="1181"/>
      <c r="OLM45" s="1181"/>
      <c r="OLN45" s="1181"/>
      <c r="OLO45" s="1181"/>
      <c r="OLP45" s="1181"/>
      <c r="OLQ45" s="1181"/>
      <c r="OLR45" s="1181"/>
      <c r="OLS45" s="1181"/>
      <c r="OLT45" s="1181"/>
      <c r="OLU45" s="1181"/>
      <c r="OLV45" s="1181"/>
      <c r="OLW45" s="1181"/>
      <c r="OLX45" s="1181"/>
      <c r="OLY45" s="1181"/>
      <c r="OLZ45" s="1181"/>
      <c r="OMA45" s="1181"/>
      <c r="OMB45" s="1181"/>
      <c r="OMC45" s="1181"/>
      <c r="OMD45" s="1181"/>
      <c r="OME45" s="1181"/>
      <c r="OMF45" s="1181"/>
      <c r="OMG45" s="1181"/>
      <c r="OMH45" s="1181"/>
      <c r="OMI45" s="1181"/>
      <c r="OMJ45" s="1181"/>
      <c r="OMK45" s="1181"/>
      <c r="OML45" s="1181"/>
      <c r="OMM45" s="1181"/>
      <c r="OMN45" s="1181"/>
      <c r="OMO45" s="1181"/>
      <c r="OMP45" s="1181"/>
      <c r="OMQ45" s="1181"/>
      <c r="OMR45" s="1181"/>
      <c r="OMS45" s="1181"/>
      <c r="OMT45" s="1181"/>
      <c r="OMU45" s="1181"/>
      <c r="OMV45" s="1181"/>
      <c r="OMW45" s="1181"/>
      <c r="OMX45" s="1181"/>
      <c r="OMY45" s="1181"/>
      <c r="OMZ45" s="1181"/>
      <c r="ONA45" s="1181"/>
      <c r="ONB45" s="1181"/>
      <c r="ONC45" s="1181"/>
      <c r="OND45" s="1181"/>
      <c r="ONE45" s="1181"/>
      <c r="ONF45" s="1181"/>
      <c r="ONG45" s="1181"/>
      <c r="ONH45" s="1181"/>
      <c r="ONI45" s="1181"/>
      <c r="ONJ45" s="1181"/>
      <c r="ONK45" s="1181"/>
      <c r="ONL45" s="1181"/>
      <c r="ONM45" s="1181"/>
      <c r="ONN45" s="1181"/>
      <c r="ONO45" s="1181"/>
      <c r="ONP45" s="1181"/>
      <c r="ONQ45" s="1181"/>
      <c r="ONR45" s="1181"/>
      <c r="ONS45" s="1181"/>
      <c r="ONT45" s="1181"/>
      <c r="ONU45" s="1181"/>
      <c r="ONV45" s="1181"/>
      <c r="ONW45" s="1181"/>
      <c r="ONX45" s="1181"/>
      <c r="ONY45" s="1181"/>
      <c r="ONZ45" s="1181"/>
      <c r="OOA45" s="1181"/>
      <c r="OOB45" s="1181"/>
      <c r="OOC45" s="1181"/>
      <c r="OOD45" s="1181"/>
      <c r="OOE45" s="1181"/>
      <c r="OOF45" s="1181"/>
      <c r="OOG45" s="1181"/>
      <c r="OOH45" s="1181"/>
      <c r="OOI45" s="1181"/>
      <c r="OOJ45" s="1181"/>
      <c r="OOK45" s="1181"/>
      <c r="OOL45" s="1181"/>
      <c r="OOM45" s="1181"/>
      <c r="OON45" s="1181"/>
      <c r="OOO45" s="1181"/>
      <c r="OOP45" s="1181"/>
      <c r="OOQ45" s="1181"/>
      <c r="OOR45" s="1181"/>
      <c r="OOS45" s="1181"/>
      <c r="OOT45" s="1181"/>
      <c r="OOU45" s="1181"/>
      <c r="OOV45" s="1181"/>
      <c r="OOW45" s="1181"/>
      <c r="OOX45" s="1181"/>
      <c r="OOY45" s="1181"/>
      <c r="OOZ45" s="1181"/>
      <c r="OPA45" s="1181"/>
      <c r="OPB45" s="1181"/>
      <c r="OPC45" s="1181"/>
      <c r="OPD45" s="1181"/>
      <c r="OPE45" s="1181"/>
      <c r="OPF45" s="1181"/>
      <c r="OPG45" s="1181"/>
      <c r="OPH45" s="1181"/>
      <c r="OPI45" s="1181"/>
      <c r="OPJ45" s="1181"/>
      <c r="OPK45" s="1181"/>
      <c r="OPL45" s="1181"/>
      <c r="OPM45" s="1181"/>
      <c r="OPN45" s="1181"/>
      <c r="OPO45" s="1181"/>
      <c r="OPP45" s="1181"/>
      <c r="OPQ45" s="1181"/>
      <c r="OPR45" s="1181"/>
      <c r="OPS45" s="1181"/>
      <c r="OPT45" s="1181"/>
      <c r="OPU45" s="1181"/>
      <c r="OPV45" s="1181"/>
      <c r="OPW45" s="1181"/>
      <c r="OPX45" s="1181"/>
      <c r="OPY45" s="1181"/>
      <c r="OPZ45" s="1181"/>
      <c r="OQA45" s="1181"/>
      <c r="OQB45" s="1181"/>
      <c r="OQC45" s="1181"/>
      <c r="OQD45" s="1181"/>
      <c r="OQE45" s="1181"/>
      <c r="OQF45" s="1181"/>
      <c r="OQG45" s="1181"/>
      <c r="OQH45" s="1181"/>
      <c r="OQI45" s="1181"/>
      <c r="OQJ45" s="1181"/>
      <c r="OQK45" s="1181"/>
      <c r="OQL45" s="1181"/>
      <c r="OQM45" s="1181"/>
      <c r="OQN45" s="1181"/>
      <c r="OQO45" s="1181"/>
      <c r="OQP45" s="1181"/>
      <c r="OQQ45" s="1181"/>
      <c r="OQR45" s="1181"/>
      <c r="OQS45" s="1181"/>
      <c r="OQT45" s="1181"/>
      <c r="OQU45" s="1181"/>
      <c r="OQV45" s="1181"/>
      <c r="OQW45" s="1181"/>
      <c r="OQX45" s="1181"/>
      <c r="OQY45" s="1181"/>
      <c r="OQZ45" s="1181"/>
      <c r="ORA45" s="1181"/>
      <c r="ORB45" s="1181"/>
      <c r="ORC45" s="1181"/>
      <c r="ORD45" s="1181"/>
      <c r="ORE45" s="1181"/>
      <c r="ORF45" s="1181"/>
      <c r="ORG45" s="1181"/>
      <c r="ORH45" s="1181"/>
      <c r="ORI45" s="1181"/>
      <c r="ORJ45" s="1181"/>
      <c r="ORK45" s="1181"/>
      <c r="ORL45" s="1181"/>
      <c r="ORM45" s="1181"/>
      <c r="ORN45" s="1181"/>
      <c r="ORO45" s="1181"/>
      <c r="ORP45" s="1181"/>
      <c r="ORQ45" s="1181"/>
      <c r="ORR45" s="1181"/>
      <c r="ORS45" s="1181"/>
      <c r="ORT45" s="1181"/>
      <c r="ORU45" s="1181"/>
      <c r="ORV45" s="1181"/>
      <c r="ORW45" s="1181"/>
      <c r="ORX45" s="1181"/>
      <c r="ORY45" s="1181"/>
      <c r="ORZ45" s="1181"/>
      <c r="OSA45" s="1181"/>
      <c r="OSB45" s="1181"/>
      <c r="OSC45" s="1181"/>
      <c r="OSD45" s="1181"/>
      <c r="OSE45" s="1181"/>
      <c r="OSF45" s="1181"/>
      <c r="OSG45" s="1181"/>
      <c r="OSH45" s="1181"/>
      <c r="OSI45" s="1181"/>
      <c r="OSJ45" s="1181"/>
      <c r="OSK45" s="1181"/>
      <c r="OSL45" s="1181"/>
      <c r="OSM45" s="1181"/>
      <c r="OSN45" s="1181"/>
      <c r="OSO45" s="1181"/>
      <c r="OSP45" s="1181"/>
      <c r="OSQ45" s="1181"/>
      <c r="OSR45" s="1181"/>
      <c r="OSS45" s="1181"/>
      <c r="OST45" s="1181"/>
      <c r="OSU45" s="1181"/>
      <c r="OSV45" s="1181"/>
      <c r="OSW45" s="1181"/>
      <c r="OSX45" s="1181"/>
      <c r="OSY45" s="1181"/>
      <c r="OSZ45" s="1181"/>
      <c r="OTA45" s="1181"/>
      <c r="OTB45" s="1181"/>
      <c r="OTC45" s="1181"/>
      <c r="OTD45" s="1181"/>
      <c r="OTE45" s="1181"/>
      <c r="OTF45" s="1181"/>
      <c r="OTG45" s="1181"/>
      <c r="OTH45" s="1181"/>
      <c r="OTI45" s="1181"/>
      <c r="OTJ45" s="1181"/>
      <c r="OTK45" s="1181"/>
      <c r="OTL45" s="1181"/>
      <c r="OTM45" s="1181"/>
      <c r="OTN45" s="1181"/>
      <c r="OTO45" s="1181"/>
      <c r="OTP45" s="1181"/>
      <c r="OTQ45" s="1181"/>
      <c r="OTR45" s="1181"/>
      <c r="OTS45" s="1181"/>
      <c r="OTT45" s="1181"/>
      <c r="OTU45" s="1181"/>
      <c r="OTV45" s="1181"/>
      <c r="OTW45" s="1181"/>
      <c r="OTX45" s="1181"/>
      <c r="OTY45" s="1181"/>
      <c r="OTZ45" s="1181"/>
      <c r="OUA45" s="1181"/>
      <c r="OUB45" s="1181"/>
      <c r="OUC45" s="1181"/>
      <c r="OUD45" s="1181"/>
      <c r="OUE45" s="1181"/>
      <c r="OUF45" s="1181"/>
      <c r="OUG45" s="1181"/>
      <c r="OUH45" s="1181"/>
      <c r="OUI45" s="1181"/>
      <c r="OUJ45" s="1181"/>
      <c r="OUK45" s="1181"/>
      <c r="OUL45" s="1181"/>
      <c r="OUM45" s="1181"/>
      <c r="OUN45" s="1181"/>
      <c r="OUO45" s="1181"/>
      <c r="OUP45" s="1181"/>
      <c r="OUQ45" s="1181"/>
      <c r="OUR45" s="1181"/>
      <c r="OUS45" s="1181"/>
      <c r="OUT45" s="1181"/>
      <c r="OUU45" s="1181"/>
      <c r="OUV45" s="1181"/>
      <c r="OUW45" s="1181"/>
      <c r="OUX45" s="1181"/>
      <c r="OUY45" s="1181"/>
      <c r="OUZ45" s="1181"/>
      <c r="OVA45" s="1181"/>
      <c r="OVB45" s="1181"/>
      <c r="OVC45" s="1181"/>
      <c r="OVD45" s="1181"/>
      <c r="OVE45" s="1181"/>
      <c r="OVF45" s="1181"/>
      <c r="OVG45" s="1181"/>
      <c r="OVH45" s="1181"/>
      <c r="OVI45" s="1181"/>
      <c r="OVJ45" s="1181"/>
      <c r="OVK45" s="1181"/>
      <c r="OVL45" s="1181"/>
      <c r="OVM45" s="1181"/>
      <c r="OVN45" s="1181"/>
      <c r="OVO45" s="1181"/>
      <c r="OVP45" s="1181"/>
      <c r="OVQ45" s="1181"/>
      <c r="OVR45" s="1181"/>
      <c r="OVS45" s="1181"/>
      <c r="OVT45" s="1181"/>
      <c r="OVU45" s="1181"/>
      <c r="OVV45" s="1181"/>
      <c r="OVW45" s="1181"/>
      <c r="OVX45" s="1181"/>
      <c r="OVY45" s="1181"/>
      <c r="OVZ45" s="1181"/>
      <c r="OWA45" s="1181"/>
      <c r="OWB45" s="1181"/>
      <c r="OWC45" s="1181"/>
      <c r="OWD45" s="1181"/>
      <c r="OWE45" s="1181"/>
      <c r="OWF45" s="1181"/>
      <c r="OWG45" s="1181"/>
      <c r="OWH45" s="1181"/>
      <c r="OWI45" s="1181"/>
      <c r="OWJ45" s="1181"/>
      <c r="OWK45" s="1181"/>
      <c r="OWL45" s="1181"/>
      <c r="OWM45" s="1181"/>
      <c r="OWN45" s="1181"/>
      <c r="OWO45" s="1181"/>
      <c r="OWP45" s="1181"/>
      <c r="OWQ45" s="1181"/>
      <c r="OWR45" s="1181"/>
      <c r="OWS45" s="1181"/>
      <c r="OWT45" s="1181"/>
      <c r="OWU45" s="1181"/>
      <c r="OWV45" s="1181"/>
      <c r="OWW45" s="1181"/>
      <c r="OWX45" s="1181"/>
      <c r="OWY45" s="1181"/>
      <c r="OWZ45" s="1181"/>
      <c r="OXA45" s="1181"/>
      <c r="OXB45" s="1181"/>
      <c r="OXC45" s="1181"/>
      <c r="OXD45" s="1181"/>
      <c r="OXE45" s="1181"/>
      <c r="OXF45" s="1181"/>
      <c r="OXG45" s="1181"/>
      <c r="OXH45" s="1181"/>
      <c r="OXI45" s="1181"/>
      <c r="OXJ45" s="1181"/>
      <c r="OXK45" s="1181"/>
      <c r="OXL45" s="1181"/>
      <c r="OXM45" s="1181"/>
      <c r="OXN45" s="1181"/>
      <c r="OXO45" s="1181"/>
      <c r="OXP45" s="1181"/>
      <c r="OXQ45" s="1181"/>
      <c r="OXR45" s="1181"/>
      <c r="OXS45" s="1181"/>
      <c r="OXT45" s="1181"/>
      <c r="OXU45" s="1181"/>
      <c r="OXV45" s="1181"/>
      <c r="OXW45" s="1181"/>
      <c r="OXX45" s="1181"/>
      <c r="OXY45" s="1181"/>
      <c r="OXZ45" s="1181"/>
      <c r="OYA45" s="1181"/>
      <c r="OYB45" s="1181"/>
      <c r="OYC45" s="1181"/>
      <c r="OYD45" s="1181"/>
      <c r="OYE45" s="1181"/>
      <c r="OYF45" s="1181"/>
      <c r="OYG45" s="1181"/>
      <c r="OYH45" s="1181"/>
      <c r="OYI45" s="1181"/>
      <c r="OYJ45" s="1181"/>
      <c r="OYK45" s="1181"/>
      <c r="OYL45" s="1181"/>
      <c r="OYM45" s="1181"/>
      <c r="OYN45" s="1181"/>
      <c r="OYO45" s="1181"/>
      <c r="OYP45" s="1181"/>
      <c r="OYQ45" s="1181"/>
      <c r="OYR45" s="1181"/>
      <c r="OYS45" s="1181"/>
      <c r="OYT45" s="1181"/>
      <c r="OYU45" s="1181"/>
      <c r="OYV45" s="1181"/>
      <c r="OYW45" s="1181"/>
      <c r="OYX45" s="1181"/>
      <c r="OYY45" s="1181"/>
      <c r="OYZ45" s="1181"/>
      <c r="OZA45" s="1181"/>
      <c r="OZB45" s="1181"/>
      <c r="OZC45" s="1181"/>
      <c r="OZD45" s="1181"/>
      <c r="OZE45" s="1181"/>
      <c r="OZF45" s="1181"/>
      <c r="OZG45" s="1181"/>
      <c r="OZH45" s="1181"/>
      <c r="OZI45" s="1181"/>
      <c r="OZJ45" s="1181"/>
      <c r="OZK45" s="1181"/>
      <c r="OZL45" s="1181"/>
      <c r="OZM45" s="1181"/>
      <c r="OZN45" s="1181"/>
      <c r="OZO45" s="1181"/>
      <c r="OZP45" s="1181"/>
      <c r="OZQ45" s="1181"/>
      <c r="OZR45" s="1181"/>
      <c r="OZS45" s="1181"/>
      <c r="OZT45" s="1181"/>
      <c r="OZU45" s="1181"/>
      <c r="OZV45" s="1181"/>
      <c r="OZW45" s="1181"/>
      <c r="OZX45" s="1181"/>
      <c r="OZY45" s="1181"/>
      <c r="OZZ45" s="1181"/>
      <c r="PAA45" s="1181"/>
      <c r="PAB45" s="1181"/>
      <c r="PAC45" s="1181"/>
      <c r="PAD45" s="1181"/>
      <c r="PAE45" s="1181"/>
      <c r="PAF45" s="1181"/>
      <c r="PAG45" s="1181"/>
      <c r="PAH45" s="1181"/>
      <c r="PAI45" s="1181"/>
      <c r="PAJ45" s="1181"/>
      <c r="PAK45" s="1181"/>
      <c r="PAL45" s="1181"/>
      <c r="PAM45" s="1181"/>
      <c r="PAN45" s="1181"/>
      <c r="PAO45" s="1181"/>
      <c r="PAP45" s="1181"/>
      <c r="PAQ45" s="1181"/>
      <c r="PAR45" s="1181"/>
      <c r="PAS45" s="1181"/>
      <c r="PAT45" s="1181"/>
      <c r="PAU45" s="1181"/>
      <c r="PAV45" s="1181"/>
      <c r="PAW45" s="1181"/>
      <c r="PAX45" s="1181"/>
      <c r="PAY45" s="1181"/>
      <c r="PAZ45" s="1181"/>
      <c r="PBA45" s="1181"/>
      <c r="PBB45" s="1181"/>
      <c r="PBC45" s="1181"/>
      <c r="PBD45" s="1181"/>
      <c r="PBE45" s="1181"/>
      <c r="PBF45" s="1181"/>
      <c r="PBG45" s="1181"/>
      <c r="PBH45" s="1181"/>
      <c r="PBI45" s="1181"/>
      <c r="PBJ45" s="1181"/>
      <c r="PBK45" s="1181"/>
      <c r="PBL45" s="1181"/>
      <c r="PBM45" s="1181"/>
      <c r="PBN45" s="1181"/>
      <c r="PBO45" s="1181"/>
      <c r="PBP45" s="1181"/>
      <c r="PBQ45" s="1181"/>
      <c r="PBR45" s="1181"/>
      <c r="PBS45" s="1181"/>
      <c r="PBT45" s="1181"/>
      <c r="PBU45" s="1181"/>
      <c r="PBV45" s="1181"/>
      <c r="PBW45" s="1181"/>
      <c r="PBX45" s="1181"/>
      <c r="PBY45" s="1181"/>
      <c r="PBZ45" s="1181"/>
      <c r="PCA45" s="1181"/>
      <c r="PCB45" s="1181"/>
      <c r="PCC45" s="1181"/>
      <c r="PCD45" s="1181"/>
      <c r="PCE45" s="1181"/>
      <c r="PCF45" s="1181"/>
      <c r="PCG45" s="1181"/>
      <c r="PCH45" s="1181"/>
      <c r="PCI45" s="1181"/>
      <c r="PCJ45" s="1181"/>
      <c r="PCK45" s="1181"/>
      <c r="PCL45" s="1181"/>
      <c r="PCM45" s="1181"/>
      <c r="PCN45" s="1181"/>
      <c r="PCO45" s="1181"/>
      <c r="PCP45" s="1181"/>
      <c r="PCQ45" s="1181"/>
      <c r="PCR45" s="1181"/>
      <c r="PCS45" s="1181"/>
      <c r="PCT45" s="1181"/>
      <c r="PCU45" s="1181"/>
      <c r="PCV45" s="1181"/>
      <c r="PCW45" s="1181"/>
      <c r="PCX45" s="1181"/>
      <c r="PCY45" s="1181"/>
      <c r="PCZ45" s="1181"/>
      <c r="PDA45" s="1181"/>
      <c r="PDB45" s="1181"/>
      <c r="PDC45" s="1181"/>
      <c r="PDD45" s="1181"/>
      <c r="PDE45" s="1181"/>
      <c r="PDF45" s="1181"/>
      <c r="PDG45" s="1181"/>
      <c r="PDH45" s="1181"/>
      <c r="PDI45" s="1181"/>
      <c r="PDJ45" s="1181"/>
      <c r="PDK45" s="1181"/>
      <c r="PDL45" s="1181"/>
      <c r="PDM45" s="1181"/>
      <c r="PDN45" s="1181"/>
      <c r="PDO45" s="1181"/>
      <c r="PDP45" s="1181"/>
      <c r="PDQ45" s="1181"/>
      <c r="PDR45" s="1181"/>
      <c r="PDS45" s="1181"/>
      <c r="PDT45" s="1181"/>
      <c r="PDU45" s="1181"/>
      <c r="PDV45" s="1181"/>
      <c r="PDW45" s="1181"/>
      <c r="PDX45" s="1181"/>
      <c r="PDY45" s="1181"/>
      <c r="PDZ45" s="1181"/>
      <c r="PEA45" s="1181"/>
      <c r="PEB45" s="1181"/>
      <c r="PEC45" s="1181"/>
      <c r="PED45" s="1181"/>
      <c r="PEE45" s="1181"/>
      <c r="PEF45" s="1181"/>
      <c r="PEG45" s="1181"/>
      <c r="PEH45" s="1181"/>
      <c r="PEI45" s="1181"/>
      <c r="PEJ45" s="1181"/>
      <c r="PEK45" s="1181"/>
      <c r="PEL45" s="1181"/>
      <c r="PEM45" s="1181"/>
      <c r="PEN45" s="1181"/>
      <c r="PEO45" s="1181"/>
      <c r="PEP45" s="1181"/>
      <c r="PEQ45" s="1181"/>
      <c r="PER45" s="1181"/>
      <c r="PES45" s="1181"/>
      <c r="PET45" s="1181"/>
      <c r="PEU45" s="1181"/>
      <c r="PEV45" s="1181"/>
      <c r="PEW45" s="1181"/>
      <c r="PEX45" s="1181"/>
      <c r="PEY45" s="1181"/>
      <c r="PEZ45" s="1181"/>
      <c r="PFA45" s="1181"/>
      <c r="PFB45" s="1181"/>
      <c r="PFC45" s="1181"/>
      <c r="PFD45" s="1181"/>
      <c r="PFE45" s="1181"/>
      <c r="PFF45" s="1181"/>
      <c r="PFG45" s="1181"/>
      <c r="PFH45" s="1181"/>
      <c r="PFI45" s="1181"/>
      <c r="PFJ45" s="1181"/>
      <c r="PFK45" s="1181"/>
      <c r="PFL45" s="1181"/>
      <c r="PFM45" s="1181"/>
      <c r="PFN45" s="1181"/>
      <c r="PFO45" s="1181"/>
      <c r="PFP45" s="1181"/>
      <c r="PFQ45" s="1181"/>
      <c r="PFR45" s="1181"/>
      <c r="PFS45" s="1181"/>
      <c r="PFT45" s="1181"/>
      <c r="PFU45" s="1181"/>
      <c r="PFV45" s="1181"/>
      <c r="PFW45" s="1181"/>
      <c r="PFX45" s="1181"/>
      <c r="PFY45" s="1181"/>
      <c r="PFZ45" s="1181"/>
      <c r="PGA45" s="1181"/>
      <c r="PGB45" s="1181"/>
      <c r="PGC45" s="1181"/>
      <c r="PGD45" s="1181"/>
      <c r="PGE45" s="1181"/>
      <c r="PGF45" s="1181"/>
      <c r="PGG45" s="1181"/>
      <c r="PGH45" s="1181"/>
      <c r="PGI45" s="1181"/>
      <c r="PGJ45" s="1181"/>
      <c r="PGK45" s="1181"/>
      <c r="PGL45" s="1181"/>
      <c r="PGM45" s="1181"/>
      <c r="PGN45" s="1181"/>
      <c r="PGO45" s="1181"/>
      <c r="PGP45" s="1181"/>
      <c r="PGQ45" s="1181"/>
      <c r="PGR45" s="1181"/>
      <c r="PGS45" s="1181"/>
      <c r="PGT45" s="1181"/>
      <c r="PGU45" s="1181"/>
      <c r="PGV45" s="1181"/>
      <c r="PGW45" s="1181"/>
      <c r="PGX45" s="1181"/>
      <c r="PGY45" s="1181"/>
      <c r="PGZ45" s="1181"/>
      <c r="PHA45" s="1181"/>
      <c r="PHB45" s="1181"/>
      <c r="PHC45" s="1181"/>
      <c r="PHD45" s="1181"/>
      <c r="PHE45" s="1181"/>
      <c r="PHF45" s="1181"/>
      <c r="PHG45" s="1181"/>
      <c r="PHH45" s="1181"/>
      <c r="PHI45" s="1181"/>
      <c r="PHJ45" s="1181"/>
      <c r="PHK45" s="1181"/>
      <c r="PHL45" s="1181"/>
      <c r="PHM45" s="1181"/>
      <c r="PHN45" s="1181"/>
      <c r="PHO45" s="1181"/>
      <c r="PHP45" s="1181"/>
      <c r="PHQ45" s="1181"/>
      <c r="PHR45" s="1181"/>
      <c r="PHS45" s="1181"/>
      <c r="PHT45" s="1181"/>
      <c r="PHU45" s="1181"/>
      <c r="PHV45" s="1181"/>
      <c r="PHW45" s="1181"/>
      <c r="PHX45" s="1181"/>
      <c r="PHY45" s="1181"/>
      <c r="PHZ45" s="1181"/>
      <c r="PIA45" s="1181"/>
      <c r="PIB45" s="1181"/>
      <c r="PIC45" s="1181"/>
      <c r="PID45" s="1181"/>
      <c r="PIE45" s="1181"/>
      <c r="PIF45" s="1181"/>
      <c r="PIG45" s="1181"/>
      <c r="PIH45" s="1181"/>
      <c r="PII45" s="1181"/>
      <c r="PIJ45" s="1181"/>
      <c r="PIK45" s="1181"/>
      <c r="PIL45" s="1181"/>
      <c r="PIM45" s="1181"/>
      <c r="PIN45" s="1181"/>
      <c r="PIO45" s="1181"/>
      <c r="PIP45" s="1181"/>
      <c r="PIQ45" s="1181"/>
      <c r="PIR45" s="1181"/>
      <c r="PIS45" s="1181"/>
      <c r="PIT45" s="1181"/>
      <c r="PIU45" s="1181"/>
      <c r="PIV45" s="1181"/>
      <c r="PIW45" s="1181"/>
      <c r="PIX45" s="1181"/>
      <c r="PIY45" s="1181"/>
      <c r="PIZ45" s="1181"/>
      <c r="PJA45" s="1181"/>
      <c r="PJB45" s="1181"/>
      <c r="PJC45" s="1181"/>
      <c r="PJD45" s="1181"/>
      <c r="PJE45" s="1181"/>
      <c r="PJF45" s="1181"/>
      <c r="PJG45" s="1181"/>
      <c r="PJH45" s="1181"/>
      <c r="PJI45" s="1181"/>
      <c r="PJJ45" s="1181"/>
      <c r="PJK45" s="1181"/>
      <c r="PJL45" s="1181"/>
      <c r="PJM45" s="1181"/>
      <c r="PJN45" s="1181"/>
      <c r="PJO45" s="1181"/>
      <c r="PJP45" s="1181"/>
      <c r="PJQ45" s="1181"/>
      <c r="PJR45" s="1181"/>
      <c r="PJS45" s="1181"/>
      <c r="PJT45" s="1181"/>
      <c r="PJU45" s="1181"/>
      <c r="PJV45" s="1181"/>
      <c r="PJW45" s="1181"/>
      <c r="PJX45" s="1181"/>
      <c r="PJY45" s="1181"/>
      <c r="PJZ45" s="1181"/>
      <c r="PKA45" s="1181"/>
      <c r="PKB45" s="1181"/>
      <c r="PKC45" s="1181"/>
      <c r="PKD45" s="1181"/>
      <c r="PKE45" s="1181"/>
      <c r="PKF45" s="1181"/>
      <c r="PKG45" s="1181"/>
      <c r="PKH45" s="1181"/>
      <c r="PKI45" s="1181"/>
      <c r="PKJ45" s="1181"/>
      <c r="PKK45" s="1181"/>
      <c r="PKL45" s="1181"/>
      <c r="PKM45" s="1181"/>
      <c r="PKN45" s="1181"/>
      <c r="PKO45" s="1181"/>
      <c r="PKP45" s="1181"/>
      <c r="PKQ45" s="1181"/>
      <c r="PKR45" s="1181"/>
      <c r="PKS45" s="1181"/>
      <c r="PKT45" s="1181"/>
      <c r="PKU45" s="1181"/>
      <c r="PKV45" s="1181"/>
      <c r="PKW45" s="1181"/>
      <c r="PKX45" s="1181"/>
      <c r="PKY45" s="1181"/>
      <c r="PKZ45" s="1181"/>
      <c r="PLA45" s="1181"/>
      <c r="PLB45" s="1181"/>
      <c r="PLC45" s="1181"/>
      <c r="PLD45" s="1181"/>
      <c r="PLE45" s="1181"/>
      <c r="PLF45" s="1181"/>
      <c r="PLG45" s="1181"/>
      <c r="PLH45" s="1181"/>
      <c r="PLI45" s="1181"/>
      <c r="PLJ45" s="1181"/>
      <c r="PLK45" s="1181"/>
      <c r="PLL45" s="1181"/>
      <c r="PLM45" s="1181"/>
      <c r="PLN45" s="1181"/>
      <c r="PLO45" s="1181"/>
      <c r="PLP45" s="1181"/>
      <c r="PLQ45" s="1181"/>
      <c r="PLR45" s="1181"/>
      <c r="PLS45" s="1181"/>
      <c r="PLT45" s="1181"/>
      <c r="PLU45" s="1181"/>
      <c r="PLV45" s="1181"/>
      <c r="PLW45" s="1181"/>
      <c r="PLX45" s="1181"/>
      <c r="PLY45" s="1181"/>
      <c r="PLZ45" s="1181"/>
      <c r="PMA45" s="1181"/>
      <c r="PMB45" s="1181"/>
      <c r="PMC45" s="1181"/>
      <c r="PMD45" s="1181"/>
      <c r="PME45" s="1181"/>
      <c r="PMF45" s="1181"/>
      <c r="PMG45" s="1181"/>
      <c r="PMH45" s="1181"/>
      <c r="PMI45" s="1181"/>
      <c r="PMJ45" s="1181"/>
      <c r="PMK45" s="1181"/>
      <c r="PML45" s="1181"/>
      <c r="PMM45" s="1181"/>
      <c r="PMN45" s="1181"/>
      <c r="PMO45" s="1181"/>
      <c r="PMP45" s="1181"/>
      <c r="PMQ45" s="1181"/>
      <c r="PMR45" s="1181"/>
      <c r="PMS45" s="1181"/>
      <c r="PMT45" s="1181"/>
      <c r="PMU45" s="1181"/>
      <c r="PMV45" s="1181"/>
      <c r="PMW45" s="1181"/>
      <c r="PMX45" s="1181"/>
      <c r="PMY45" s="1181"/>
      <c r="PMZ45" s="1181"/>
      <c r="PNA45" s="1181"/>
      <c r="PNB45" s="1181"/>
      <c r="PNC45" s="1181"/>
      <c r="PND45" s="1181"/>
      <c r="PNE45" s="1181"/>
      <c r="PNF45" s="1181"/>
      <c r="PNG45" s="1181"/>
      <c r="PNH45" s="1181"/>
      <c r="PNI45" s="1181"/>
      <c r="PNJ45" s="1181"/>
      <c r="PNK45" s="1181"/>
      <c r="PNL45" s="1181"/>
      <c r="PNM45" s="1181"/>
      <c r="PNN45" s="1181"/>
      <c r="PNO45" s="1181"/>
      <c r="PNP45" s="1181"/>
      <c r="PNQ45" s="1181"/>
      <c r="PNR45" s="1181"/>
      <c r="PNS45" s="1181"/>
      <c r="PNT45" s="1181"/>
      <c r="PNU45" s="1181"/>
      <c r="PNV45" s="1181"/>
      <c r="PNW45" s="1181"/>
      <c r="PNX45" s="1181"/>
      <c r="PNY45" s="1181"/>
      <c r="PNZ45" s="1181"/>
      <c r="POA45" s="1181"/>
      <c r="POB45" s="1181"/>
      <c r="POC45" s="1181"/>
      <c r="POD45" s="1181"/>
      <c r="POE45" s="1181"/>
      <c r="POF45" s="1181"/>
      <c r="POG45" s="1181"/>
      <c r="POH45" s="1181"/>
      <c r="POI45" s="1181"/>
      <c r="POJ45" s="1181"/>
      <c r="POK45" s="1181"/>
      <c r="POL45" s="1181"/>
      <c r="POM45" s="1181"/>
      <c r="PON45" s="1181"/>
      <c r="POO45" s="1181"/>
      <c r="POP45" s="1181"/>
      <c r="POQ45" s="1181"/>
      <c r="POR45" s="1181"/>
      <c r="POS45" s="1181"/>
      <c r="POT45" s="1181"/>
      <c r="POU45" s="1181"/>
      <c r="POV45" s="1181"/>
      <c r="POW45" s="1181"/>
      <c r="POX45" s="1181"/>
      <c r="POY45" s="1181"/>
      <c r="POZ45" s="1181"/>
      <c r="PPA45" s="1181"/>
      <c r="PPB45" s="1181"/>
      <c r="PPC45" s="1181"/>
      <c r="PPD45" s="1181"/>
      <c r="PPE45" s="1181"/>
      <c r="PPF45" s="1181"/>
      <c r="PPG45" s="1181"/>
      <c r="PPH45" s="1181"/>
      <c r="PPI45" s="1181"/>
      <c r="PPJ45" s="1181"/>
      <c r="PPK45" s="1181"/>
      <c r="PPL45" s="1181"/>
      <c r="PPM45" s="1181"/>
      <c r="PPN45" s="1181"/>
      <c r="PPO45" s="1181"/>
      <c r="PPP45" s="1181"/>
      <c r="PPQ45" s="1181"/>
      <c r="PPR45" s="1181"/>
      <c r="PPS45" s="1181"/>
      <c r="PPT45" s="1181"/>
      <c r="PPU45" s="1181"/>
      <c r="PPV45" s="1181"/>
      <c r="PPW45" s="1181"/>
      <c r="PPX45" s="1181"/>
      <c r="PPY45" s="1181"/>
      <c r="PPZ45" s="1181"/>
      <c r="PQA45" s="1181"/>
      <c r="PQB45" s="1181"/>
      <c r="PQC45" s="1181"/>
      <c r="PQD45" s="1181"/>
      <c r="PQE45" s="1181"/>
      <c r="PQF45" s="1181"/>
      <c r="PQG45" s="1181"/>
      <c r="PQH45" s="1181"/>
      <c r="PQI45" s="1181"/>
      <c r="PQJ45" s="1181"/>
      <c r="PQK45" s="1181"/>
      <c r="PQL45" s="1181"/>
      <c r="PQM45" s="1181"/>
      <c r="PQN45" s="1181"/>
      <c r="PQO45" s="1181"/>
      <c r="PQP45" s="1181"/>
      <c r="PQQ45" s="1181"/>
      <c r="PQR45" s="1181"/>
      <c r="PQS45" s="1181"/>
      <c r="PQT45" s="1181"/>
      <c r="PQU45" s="1181"/>
      <c r="PQV45" s="1181"/>
      <c r="PQW45" s="1181"/>
      <c r="PQX45" s="1181"/>
      <c r="PQY45" s="1181"/>
      <c r="PQZ45" s="1181"/>
      <c r="PRA45" s="1181"/>
      <c r="PRB45" s="1181"/>
      <c r="PRC45" s="1181"/>
      <c r="PRD45" s="1181"/>
      <c r="PRE45" s="1181"/>
      <c r="PRF45" s="1181"/>
      <c r="PRG45" s="1181"/>
      <c r="PRH45" s="1181"/>
      <c r="PRI45" s="1181"/>
      <c r="PRJ45" s="1181"/>
      <c r="PRK45" s="1181"/>
      <c r="PRL45" s="1181"/>
      <c r="PRM45" s="1181"/>
      <c r="PRN45" s="1181"/>
      <c r="PRO45" s="1181"/>
      <c r="PRP45" s="1181"/>
      <c r="PRQ45" s="1181"/>
      <c r="PRR45" s="1181"/>
      <c r="PRS45" s="1181"/>
      <c r="PRT45" s="1181"/>
      <c r="PRU45" s="1181"/>
      <c r="PRV45" s="1181"/>
      <c r="PRW45" s="1181"/>
      <c r="PRX45" s="1181"/>
      <c r="PRY45" s="1181"/>
      <c r="PRZ45" s="1181"/>
      <c r="PSA45" s="1181"/>
      <c r="PSB45" s="1181"/>
      <c r="PSC45" s="1181"/>
      <c r="PSD45" s="1181"/>
      <c r="PSE45" s="1181"/>
      <c r="PSF45" s="1181"/>
      <c r="PSG45" s="1181"/>
      <c r="PSH45" s="1181"/>
      <c r="PSI45" s="1181"/>
      <c r="PSJ45" s="1181"/>
      <c r="PSK45" s="1181"/>
      <c r="PSL45" s="1181"/>
      <c r="PSM45" s="1181"/>
      <c r="PSN45" s="1181"/>
      <c r="PSO45" s="1181"/>
      <c r="PSP45" s="1181"/>
      <c r="PSQ45" s="1181"/>
      <c r="PSR45" s="1181"/>
      <c r="PSS45" s="1181"/>
      <c r="PST45" s="1181"/>
      <c r="PSU45" s="1181"/>
      <c r="PSV45" s="1181"/>
      <c r="PSW45" s="1181"/>
      <c r="PSX45" s="1181"/>
      <c r="PSY45" s="1181"/>
      <c r="PSZ45" s="1181"/>
      <c r="PTA45" s="1181"/>
      <c r="PTB45" s="1181"/>
      <c r="PTC45" s="1181"/>
      <c r="PTD45" s="1181"/>
      <c r="PTE45" s="1181"/>
      <c r="PTF45" s="1181"/>
      <c r="PTG45" s="1181"/>
      <c r="PTH45" s="1181"/>
      <c r="PTI45" s="1181"/>
      <c r="PTJ45" s="1181"/>
      <c r="PTK45" s="1181"/>
      <c r="PTL45" s="1181"/>
      <c r="PTM45" s="1181"/>
      <c r="PTN45" s="1181"/>
      <c r="PTO45" s="1181"/>
      <c r="PTP45" s="1181"/>
      <c r="PTQ45" s="1181"/>
      <c r="PTR45" s="1181"/>
      <c r="PTS45" s="1181"/>
      <c r="PTT45" s="1181"/>
      <c r="PTU45" s="1181"/>
      <c r="PTV45" s="1181"/>
      <c r="PTW45" s="1181"/>
      <c r="PTX45" s="1181"/>
      <c r="PTY45" s="1181"/>
      <c r="PTZ45" s="1181"/>
      <c r="PUA45" s="1181"/>
      <c r="PUB45" s="1181"/>
      <c r="PUC45" s="1181"/>
      <c r="PUD45" s="1181"/>
      <c r="PUE45" s="1181"/>
      <c r="PUF45" s="1181"/>
      <c r="PUG45" s="1181"/>
      <c r="PUH45" s="1181"/>
      <c r="PUI45" s="1181"/>
      <c r="PUJ45" s="1181"/>
      <c r="PUK45" s="1181"/>
      <c r="PUL45" s="1181"/>
      <c r="PUM45" s="1181"/>
      <c r="PUN45" s="1181"/>
      <c r="PUO45" s="1181"/>
      <c r="PUP45" s="1181"/>
      <c r="PUQ45" s="1181"/>
      <c r="PUR45" s="1181"/>
      <c r="PUS45" s="1181"/>
      <c r="PUT45" s="1181"/>
      <c r="PUU45" s="1181"/>
      <c r="PUV45" s="1181"/>
      <c r="PUW45" s="1181"/>
      <c r="PUX45" s="1181"/>
      <c r="PUY45" s="1181"/>
      <c r="PUZ45" s="1181"/>
      <c r="PVA45" s="1181"/>
      <c r="PVB45" s="1181"/>
      <c r="PVC45" s="1181"/>
      <c r="PVD45" s="1181"/>
      <c r="PVE45" s="1181"/>
      <c r="PVF45" s="1181"/>
      <c r="PVG45" s="1181"/>
      <c r="PVH45" s="1181"/>
      <c r="PVI45" s="1181"/>
      <c r="PVJ45" s="1181"/>
      <c r="PVK45" s="1181"/>
      <c r="PVL45" s="1181"/>
      <c r="PVM45" s="1181"/>
      <c r="PVN45" s="1181"/>
      <c r="PVO45" s="1181"/>
      <c r="PVP45" s="1181"/>
      <c r="PVQ45" s="1181"/>
      <c r="PVR45" s="1181"/>
      <c r="PVS45" s="1181"/>
      <c r="PVT45" s="1181"/>
      <c r="PVU45" s="1181"/>
      <c r="PVV45" s="1181"/>
      <c r="PVW45" s="1181"/>
      <c r="PVX45" s="1181"/>
      <c r="PVY45" s="1181"/>
      <c r="PVZ45" s="1181"/>
      <c r="PWA45" s="1181"/>
      <c r="PWB45" s="1181"/>
      <c r="PWC45" s="1181"/>
      <c r="PWD45" s="1181"/>
      <c r="PWE45" s="1181"/>
      <c r="PWF45" s="1181"/>
      <c r="PWG45" s="1181"/>
      <c r="PWH45" s="1181"/>
      <c r="PWI45" s="1181"/>
      <c r="PWJ45" s="1181"/>
      <c r="PWK45" s="1181"/>
      <c r="PWL45" s="1181"/>
      <c r="PWM45" s="1181"/>
      <c r="PWN45" s="1181"/>
      <c r="PWO45" s="1181"/>
      <c r="PWP45" s="1181"/>
      <c r="PWQ45" s="1181"/>
      <c r="PWR45" s="1181"/>
      <c r="PWS45" s="1181"/>
      <c r="PWT45" s="1181"/>
      <c r="PWU45" s="1181"/>
      <c r="PWV45" s="1181"/>
      <c r="PWW45" s="1181"/>
      <c r="PWX45" s="1181"/>
      <c r="PWY45" s="1181"/>
      <c r="PWZ45" s="1181"/>
      <c r="PXA45" s="1181"/>
      <c r="PXB45" s="1181"/>
      <c r="PXC45" s="1181"/>
      <c r="PXD45" s="1181"/>
      <c r="PXE45" s="1181"/>
      <c r="PXF45" s="1181"/>
      <c r="PXG45" s="1181"/>
      <c r="PXH45" s="1181"/>
      <c r="PXI45" s="1181"/>
      <c r="PXJ45" s="1181"/>
      <c r="PXK45" s="1181"/>
      <c r="PXL45" s="1181"/>
      <c r="PXM45" s="1181"/>
      <c r="PXN45" s="1181"/>
      <c r="PXO45" s="1181"/>
      <c r="PXP45" s="1181"/>
      <c r="PXQ45" s="1181"/>
      <c r="PXR45" s="1181"/>
      <c r="PXS45" s="1181"/>
      <c r="PXT45" s="1181"/>
      <c r="PXU45" s="1181"/>
      <c r="PXV45" s="1181"/>
      <c r="PXW45" s="1181"/>
      <c r="PXX45" s="1181"/>
      <c r="PXY45" s="1181"/>
      <c r="PXZ45" s="1181"/>
      <c r="PYA45" s="1181"/>
      <c r="PYB45" s="1181"/>
      <c r="PYC45" s="1181"/>
      <c r="PYD45" s="1181"/>
      <c r="PYE45" s="1181"/>
      <c r="PYF45" s="1181"/>
      <c r="PYG45" s="1181"/>
      <c r="PYH45" s="1181"/>
      <c r="PYI45" s="1181"/>
      <c r="PYJ45" s="1181"/>
      <c r="PYK45" s="1181"/>
      <c r="PYL45" s="1181"/>
      <c r="PYM45" s="1181"/>
      <c r="PYN45" s="1181"/>
      <c r="PYO45" s="1181"/>
      <c r="PYP45" s="1181"/>
      <c r="PYQ45" s="1181"/>
      <c r="PYR45" s="1181"/>
      <c r="PYS45" s="1181"/>
      <c r="PYT45" s="1181"/>
      <c r="PYU45" s="1181"/>
      <c r="PYV45" s="1181"/>
      <c r="PYW45" s="1181"/>
      <c r="PYX45" s="1181"/>
      <c r="PYY45" s="1181"/>
      <c r="PYZ45" s="1181"/>
      <c r="PZA45" s="1181"/>
      <c r="PZB45" s="1181"/>
      <c r="PZC45" s="1181"/>
      <c r="PZD45" s="1181"/>
      <c r="PZE45" s="1181"/>
      <c r="PZF45" s="1181"/>
      <c r="PZG45" s="1181"/>
      <c r="PZH45" s="1181"/>
      <c r="PZI45" s="1181"/>
      <c r="PZJ45" s="1181"/>
      <c r="PZK45" s="1181"/>
      <c r="PZL45" s="1181"/>
      <c r="PZM45" s="1181"/>
      <c r="PZN45" s="1181"/>
      <c r="PZO45" s="1181"/>
      <c r="PZP45" s="1181"/>
      <c r="PZQ45" s="1181"/>
      <c r="PZR45" s="1181"/>
      <c r="PZS45" s="1181"/>
      <c r="PZT45" s="1181"/>
      <c r="PZU45" s="1181"/>
      <c r="PZV45" s="1181"/>
      <c r="PZW45" s="1181"/>
      <c r="PZX45" s="1181"/>
      <c r="PZY45" s="1181"/>
      <c r="PZZ45" s="1181"/>
      <c r="QAA45" s="1181"/>
      <c r="QAB45" s="1181"/>
      <c r="QAC45" s="1181"/>
      <c r="QAD45" s="1181"/>
      <c r="QAE45" s="1181"/>
      <c r="QAF45" s="1181"/>
      <c r="QAG45" s="1181"/>
      <c r="QAH45" s="1181"/>
      <c r="QAI45" s="1181"/>
      <c r="QAJ45" s="1181"/>
      <c r="QAK45" s="1181"/>
      <c r="QAL45" s="1181"/>
      <c r="QAM45" s="1181"/>
      <c r="QAN45" s="1181"/>
      <c r="QAO45" s="1181"/>
      <c r="QAP45" s="1181"/>
      <c r="QAQ45" s="1181"/>
      <c r="QAR45" s="1181"/>
      <c r="QAS45" s="1181"/>
      <c r="QAT45" s="1181"/>
      <c r="QAU45" s="1181"/>
      <c r="QAV45" s="1181"/>
      <c r="QAW45" s="1181"/>
      <c r="QAX45" s="1181"/>
      <c r="QAY45" s="1181"/>
      <c r="QAZ45" s="1181"/>
      <c r="QBA45" s="1181"/>
      <c r="QBB45" s="1181"/>
      <c r="QBC45" s="1181"/>
      <c r="QBD45" s="1181"/>
      <c r="QBE45" s="1181"/>
      <c r="QBF45" s="1181"/>
      <c r="QBG45" s="1181"/>
      <c r="QBH45" s="1181"/>
      <c r="QBI45" s="1181"/>
      <c r="QBJ45" s="1181"/>
      <c r="QBK45" s="1181"/>
      <c r="QBL45" s="1181"/>
      <c r="QBM45" s="1181"/>
      <c r="QBN45" s="1181"/>
      <c r="QBO45" s="1181"/>
      <c r="QBP45" s="1181"/>
      <c r="QBQ45" s="1181"/>
      <c r="QBR45" s="1181"/>
      <c r="QBS45" s="1181"/>
      <c r="QBT45" s="1181"/>
      <c r="QBU45" s="1181"/>
      <c r="QBV45" s="1181"/>
      <c r="QBW45" s="1181"/>
      <c r="QBX45" s="1181"/>
      <c r="QBY45" s="1181"/>
      <c r="QBZ45" s="1181"/>
      <c r="QCA45" s="1181"/>
      <c r="QCB45" s="1181"/>
      <c r="QCC45" s="1181"/>
      <c r="QCD45" s="1181"/>
      <c r="QCE45" s="1181"/>
      <c r="QCF45" s="1181"/>
      <c r="QCG45" s="1181"/>
      <c r="QCH45" s="1181"/>
      <c r="QCI45" s="1181"/>
      <c r="QCJ45" s="1181"/>
      <c r="QCK45" s="1181"/>
      <c r="QCL45" s="1181"/>
      <c r="QCM45" s="1181"/>
      <c r="QCN45" s="1181"/>
      <c r="QCO45" s="1181"/>
      <c r="QCP45" s="1181"/>
      <c r="QCQ45" s="1181"/>
      <c r="QCR45" s="1181"/>
      <c r="QCS45" s="1181"/>
      <c r="QCT45" s="1181"/>
      <c r="QCU45" s="1181"/>
      <c r="QCV45" s="1181"/>
      <c r="QCW45" s="1181"/>
      <c r="QCX45" s="1181"/>
      <c r="QCY45" s="1181"/>
      <c r="QCZ45" s="1181"/>
      <c r="QDA45" s="1181"/>
      <c r="QDB45" s="1181"/>
      <c r="QDC45" s="1181"/>
      <c r="QDD45" s="1181"/>
      <c r="QDE45" s="1181"/>
      <c r="QDF45" s="1181"/>
      <c r="QDG45" s="1181"/>
      <c r="QDH45" s="1181"/>
      <c r="QDI45" s="1181"/>
      <c r="QDJ45" s="1181"/>
      <c r="QDK45" s="1181"/>
      <c r="QDL45" s="1181"/>
      <c r="QDM45" s="1181"/>
      <c r="QDN45" s="1181"/>
      <c r="QDO45" s="1181"/>
      <c r="QDP45" s="1181"/>
      <c r="QDQ45" s="1181"/>
      <c r="QDR45" s="1181"/>
      <c r="QDS45" s="1181"/>
      <c r="QDT45" s="1181"/>
      <c r="QDU45" s="1181"/>
      <c r="QDV45" s="1181"/>
      <c r="QDW45" s="1181"/>
      <c r="QDX45" s="1181"/>
      <c r="QDY45" s="1181"/>
      <c r="QDZ45" s="1181"/>
      <c r="QEA45" s="1181"/>
      <c r="QEB45" s="1181"/>
      <c r="QEC45" s="1181"/>
      <c r="QED45" s="1181"/>
      <c r="QEE45" s="1181"/>
      <c r="QEF45" s="1181"/>
      <c r="QEG45" s="1181"/>
      <c r="QEH45" s="1181"/>
      <c r="QEI45" s="1181"/>
      <c r="QEJ45" s="1181"/>
      <c r="QEK45" s="1181"/>
      <c r="QEL45" s="1181"/>
      <c r="QEM45" s="1181"/>
      <c r="QEN45" s="1181"/>
      <c r="QEO45" s="1181"/>
      <c r="QEP45" s="1181"/>
      <c r="QEQ45" s="1181"/>
      <c r="QER45" s="1181"/>
      <c r="QES45" s="1181"/>
      <c r="QET45" s="1181"/>
      <c r="QEU45" s="1181"/>
      <c r="QEV45" s="1181"/>
      <c r="QEW45" s="1181"/>
      <c r="QEX45" s="1181"/>
      <c r="QEY45" s="1181"/>
      <c r="QEZ45" s="1181"/>
      <c r="QFA45" s="1181"/>
      <c r="QFB45" s="1181"/>
      <c r="QFC45" s="1181"/>
      <c r="QFD45" s="1181"/>
      <c r="QFE45" s="1181"/>
      <c r="QFF45" s="1181"/>
      <c r="QFG45" s="1181"/>
      <c r="QFH45" s="1181"/>
      <c r="QFI45" s="1181"/>
      <c r="QFJ45" s="1181"/>
      <c r="QFK45" s="1181"/>
      <c r="QFL45" s="1181"/>
      <c r="QFM45" s="1181"/>
      <c r="QFN45" s="1181"/>
      <c r="QFO45" s="1181"/>
      <c r="QFP45" s="1181"/>
      <c r="QFQ45" s="1181"/>
      <c r="QFR45" s="1181"/>
      <c r="QFS45" s="1181"/>
      <c r="QFT45" s="1181"/>
      <c r="QFU45" s="1181"/>
      <c r="QFV45" s="1181"/>
      <c r="QFW45" s="1181"/>
      <c r="QFX45" s="1181"/>
      <c r="QFY45" s="1181"/>
      <c r="QFZ45" s="1181"/>
      <c r="QGA45" s="1181"/>
      <c r="QGB45" s="1181"/>
      <c r="QGC45" s="1181"/>
      <c r="QGD45" s="1181"/>
      <c r="QGE45" s="1181"/>
      <c r="QGF45" s="1181"/>
      <c r="QGG45" s="1181"/>
      <c r="QGH45" s="1181"/>
      <c r="QGI45" s="1181"/>
      <c r="QGJ45" s="1181"/>
      <c r="QGK45" s="1181"/>
      <c r="QGL45" s="1181"/>
      <c r="QGM45" s="1181"/>
      <c r="QGN45" s="1181"/>
      <c r="QGO45" s="1181"/>
      <c r="QGP45" s="1181"/>
      <c r="QGQ45" s="1181"/>
      <c r="QGR45" s="1181"/>
      <c r="QGS45" s="1181"/>
      <c r="QGT45" s="1181"/>
      <c r="QGU45" s="1181"/>
      <c r="QGV45" s="1181"/>
      <c r="QGW45" s="1181"/>
      <c r="QGX45" s="1181"/>
      <c r="QGY45" s="1181"/>
      <c r="QGZ45" s="1181"/>
      <c r="QHA45" s="1181"/>
      <c r="QHB45" s="1181"/>
      <c r="QHC45" s="1181"/>
      <c r="QHD45" s="1181"/>
      <c r="QHE45" s="1181"/>
      <c r="QHF45" s="1181"/>
      <c r="QHG45" s="1181"/>
      <c r="QHH45" s="1181"/>
      <c r="QHI45" s="1181"/>
      <c r="QHJ45" s="1181"/>
      <c r="QHK45" s="1181"/>
      <c r="QHL45" s="1181"/>
      <c r="QHM45" s="1181"/>
      <c r="QHN45" s="1181"/>
      <c r="QHO45" s="1181"/>
      <c r="QHP45" s="1181"/>
      <c r="QHQ45" s="1181"/>
      <c r="QHR45" s="1181"/>
      <c r="QHS45" s="1181"/>
      <c r="QHT45" s="1181"/>
      <c r="QHU45" s="1181"/>
      <c r="QHV45" s="1181"/>
      <c r="QHW45" s="1181"/>
      <c r="QHX45" s="1181"/>
      <c r="QHY45" s="1181"/>
      <c r="QHZ45" s="1181"/>
      <c r="QIA45" s="1181"/>
      <c r="QIB45" s="1181"/>
      <c r="QIC45" s="1181"/>
      <c r="QID45" s="1181"/>
      <c r="QIE45" s="1181"/>
      <c r="QIF45" s="1181"/>
      <c r="QIG45" s="1181"/>
      <c r="QIH45" s="1181"/>
      <c r="QII45" s="1181"/>
      <c r="QIJ45" s="1181"/>
      <c r="QIK45" s="1181"/>
      <c r="QIL45" s="1181"/>
      <c r="QIM45" s="1181"/>
      <c r="QIN45" s="1181"/>
      <c r="QIO45" s="1181"/>
      <c r="QIP45" s="1181"/>
      <c r="QIQ45" s="1181"/>
      <c r="QIR45" s="1181"/>
      <c r="QIS45" s="1181"/>
      <c r="QIT45" s="1181"/>
      <c r="QIU45" s="1181"/>
      <c r="QIV45" s="1181"/>
      <c r="QIW45" s="1181"/>
      <c r="QIX45" s="1181"/>
      <c r="QIY45" s="1181"/>
      <c r="QIZ45" s="1181"/>
      <c r="QJA45" s="1181"/>
      <c r="QJB45" s="1181"/>
      <c r="QJC45" s="1181"/>
      <c r="QJD45" s="1181"/>
      <c r="QJE45" s="1181"/>
      <c r="QJF45" s="1181"/>
      <c r="QJG45" s="1181"/>
      <c r="QJH45" s="1181"/>
      <c r="QJI45" s="1181"/>
      <c r="QJJ45" s="1181"/>
      <c r="QJK45" s="1181"/>
      <c r="QJL45" s="1181"/>
      <c r="QJM45" s="1181"/>
      <c r="QJN45" s="1181"/>
      <c r="QJO45" s="1181"/>
      <c r="QJP45" s="1181"/>
      <c r="QJQ45" s="1181"/>
      <c r="QJR45" s="1181"/>
      <c r="QJS45" s="1181"/>
      <c r="QJT45" s="1181"/>
      <c r="QJU45" s="1181"/>
      <c r="QJV45" s="1181"/>
      <c r="QJW45" s="1181"/>
      <c r="QJX45" s="1181"/>
      <c r="QJY45" s="1181"/>
      <c r="QJZ45" s="1181"/>
      <c r="QKA45" s="1181"/>
      <c r="QKB45" s="1181"/>
      <c r="QKC45" s="1181"/>
      <c r="QKD45" s="1181"/>
      <c r="QKE45" s="1181"/>
      <c r="QKF45" s="1181"/>
      <c r="QKG45" s="1181"/>
      <c r="QKH45" s="1181"/>
      <c r="QKI45" s="1181"/>
      <c r="QKJ45" s="1181"/>
      <c r="QKK45" s="1181"/>
      <c r="QKL45" s="1181"/>
      <c r="QKM45" s="1181"/>
      <c r="QKN45" s="1181"/>
      <c r="QKO45" s="1181"/>
      <c r="QKP45" s="1181"/>
      <c r="QKQ45" s="1181"/>
      <c r="QKR45" s="1181"/>
      <c r="QKS45" s="1181"/>
      <c r="QKT45" s="1181"/>
      <c r="QKU45" s="1181"/>
      <c r="QKV45" s="1181"/>
      <c r="QKW45" s="1181"/>
      <c r="QKX45" s="1181"/>
      <c r="QKY45" s="1181"/>
      <c r="QKZ45" s="1181"/>
      <c r="QLA45" s="1181"/>
      <c r="QLB45" s="1181"/>
      <c r="QLC45" s="1181"/>
      <c r="QLD45" s="1181"/>
      <c r="QLE45" s="1181"/>
      <c r="QLF45" s="1181"/>
      <c r="QLG45" s="1181"/>
      <c r="QLH45" s="1181"/>
      <c r="QLI45" s="1181"/>
      <c r="QLJ45" s="1181"/>
      <c r="QLK45" s="1181"/>
      <c r="QLL45" s="1181"/>
      <c r="QLM45" s="1181"/>
      <c r="QLN45" s="1181"/>
      <c r="QLO45" s="1181"/>
      <c r="QLP45" s="1181"/>
      <c r="QLQ45" s="1181"/>
      <c r="QLR45" s="1181"/>
      <c r="QLS45" s="1181"/>
      <c r="QLT45" s="1181"/>
      <c r="QLU45" s="1181"/>
      <c r="QLV45" s="1181"/>
      <c r="QLW45" s="1181"/>
      <c r="QLX45" s="1181"/>
      <c r="QLY45" s="1181"/>
      <c r="QLZ45" s="1181"/>
      <c r="QMA45" s="1181"/>
      <c r="QMB45" s="1181"/>
      <c r="QMC45" s="1181"/>
      <c r="QMD45" s="1181"/>
      <c r="QME45" s="1181"/>
      <c r="QMF45" s="1181"/>
      <c r="QMG45" s="1181"/>
      <c r="QMH45" s="1181"/>
      <c r="QMI45" s="1181"/>
      <c r="QMJ45" s="1181"/>
      <c r="QMK45" s="1181"/>
      <c r="QML45" s="1181"/>
      <c r="QMM45" s="1181"/>
      <c r="QMN45" s="1181"/>
      <c r="QMO45" s="1181"/>
      <c r="QMP45" s="1181"/>
      <c r="QMQ45" s="1181"/>
      <c r="QMR45" s="1181"/>
      <c r="QMS45" s="1181"/>
      <c r="QMT45" s="1181"/>
      <c r="QMU45" s="1181"/>
      <c r="QMV45" s="1181"/>
      <c r="QMW45" s="1181"/>
      <c r="QMX45" s="1181"/>
      <c r="QMY45" s="1181"/>
      <c r="QMZ45" s="1181"/>
      <c r="QNA45" s="1181"/>
      <c r="QNB45" s="1181"/>
      <c r="QNC45" s="1181"/>
      <c r="QND45" s="1181"/>
      <c r="QNE45" s="1181"/>
      <c r="QNF45" s="1181"/>
      <c r="QNG45" s="1181"/>
      <c r="QNH45" s="1181"/>
      <c r="QNI45" s="1181"/>
      <c r="QNJ45" s="1181"/>
      <c r="QNK45" s="1181"/>
      <c r="QNL45" s="1181"/>
      <c r="QNM45" s="1181"/>
      <c r="QNN45" s="1181"/>
      <c r="QNO45" s="1181"/>
      <c r="QNP45" s="1181"/>
      <c r="QNQ45" s="1181"/>
      <c r="QNR45" s="1181"/>
      <c r="QNS45" s="1181"/>
      <c r="QNT45" s="1181"/>
      <c r="QNU45" s="1181"/>
      <c r="QNV45" s="1181"/>
      <c r="QNW45" s="1181"/>
      <c r="QNX45" s="1181"/>
      <c r="QNY45" s="1181"/>
      <c r="QNZ45" s="1181"/>
      <c r="QOA45" s="1181"/>
      <c r="QOB45" s="1181"/>
      <c r="QOC45" s="1181"/>
      <c r="QOD45" s="1181"/>
      <c r="QOE45" s="1181"/>
      <c r="QOF45" s="1181"/>
      <c r="QOG45" s="1181"/>
      <c r="QOH45" s="1181"/>
      <c r="QOI45" s="1181"/>
      <c r="QOJ45" s="1181"/>
      <c r="QOK45" s="1181"/>
      <c r="QOL45" s="1181"/>
      <c r="QOM45" s="1181"/>
      <c r="QON45" s="1181"/>
      <c r="QOO45" s="1181"/>
      <c r="QOP45" s="1181"/>
      <c r="QOQ45" s="1181"/>
      <c r="QOR45" s="1181"/>
      <c r="QOS45" s="1181"/>
      <c r="QOT45" s="1181"/>
      <c r="QOU45" s="1181"/>
      <c r="QOV45" s="1181"/>
      <c r="QOW45" s="1181"/>
      <c r="QOX45" s="1181"/>
      <c r="QOY45" s="1181"/>
      <c r="QOZ45" s="1181"/>
      <c r="QPA45" s="1181"/>
      <c r="QPB45" s="1181"/>
      <c r="QPC45" s="1181"/>
      <c r="QPD45" s="1181"/>
      <c r="QPE45" s="1181"/>
      <c r="QPF45" s="1181"/>
      <c r="QPG45" s="1181"/>
      <c r="QPH45" s="1181"/>
      <c r="QPI45" s="1181"/>
      <c r="QPJ45" s="1181"/>
      <c r="QPK45" s="1181"/>
      <c r="QPL45" s="1181"/>
      <c r="QPM45" s="1181"/>
      <c r="QPN45" s="1181"/>
      <c r="QPO45" s="1181"/>
      <c r="QPP45" s="1181"/>
      <c r="QPQ45" s="1181"/>
      <c r="QPR45" s="1181"/>
      <c r="QPS45" s="1181"/>
      <c r="QPT45" s="1181"/>
      <c r="QPU45" s="1181"/>
      <c r="QPV45" s="1181"/>
      <c r="QPW45" s="1181"/>
      <c r="QPX45" s="1181"/>
      <c r="QPY45" s="1181"/>
      <c r="QPZ45" s="1181"/>
      <c r="QQA45" s="1181"/>
      <c r="QQB45" s="1181"/>
      <c r="QQC45" s="1181"/>
      <c r="QQD45" s="1181"/>
      <c r="QQE45" s="1181"/>
      <c r="QQF45" s="1181"/>
      <c r="QQG45" s="1181"/>
      <c r="QQH45" s="1181"/>
      <c r="QQI45" s="1181"/>
      <c r="QQJ45" s="1181"/>
      <c r="QQK45" s="1181"/>
      <c r="QQL45" s="1181"/>
      <c r="QQM45" s="1181"/>
      <c r="QQN45" s="1181"/>
      <c r="QQO45" s="1181"/>
      <c r="QQP45" s="1181"/>
      <c r="QQQ45" s="1181"/>
      <c r="QQR45" s="1181"/>
      <c r="QQS45" s="1181"/>
      <c r="QQT45" s="1181"/>
      <c r="QQU45" s="1181"/>
      <c r="QQV45" s="1181"/>
      <c r="QQW45" s="1181"/>
      <c r="QQX45" s="1181"/>
      <c r="QQY45" s="1181"/>
      <c r="QQZ45" s="1181"/>
      <c r="QRA45" s="1181"/>
      <c r="QRB45" s="1181"/>
      <c r="QRC45" s="1181"/>
      <c r="QRD45" s="1181"/>
      <c r="QRE45" s="1181"/>
      <c r="QRF45" s="1181"/>
      <c r="QRG45" s="1181"/>
      <c r="QRH45" s="1181"/>
      <c r="QRI45" s="1181"/>
      <c r="QRJ45" s="1181"/>
      <c r="QRK45" s="1181"/>
      <c r="QRL45" s="1181"/>
      <c r="QRM45" s="1181"/>
      <c r="QRN45" s="1181"/>
      <c r="QRO45" s="1181"/>
      <c r="QRP45" s="1181"/>
      <c r="QRQ45" s="1181"/>
      <c r="QRR45" s="1181"/>
      <c r="QRS45" s="1181"/>
      <c r="QRT45" s="1181"/>
      <c r="QRU45" s="1181"/>
      <c r="QRV45" s="1181"/>
      <c r="QRW45" s="1181"/>
      <c r="QRX45" s="1181"/>
      <c r="QRY45" s="1181"/>
      <c r="QRZ45" s="1181"/>
      <c r="QSA45" s="1181"/>
      <c r="QSB45" s="1181"/>
      <c r="QSC45" s="1181"/>
      <c r="QSD45" s="1181"/>
      <c r="QSE45" s="1181"/>
      <c r="QSF45" s="1181"/>
      <c r="QSG45" s="1181"/>
      <c r="QSH45" s="1181"/>
      <c r="QSI45" s="1181"/>
      <c r="QSJ45" s="1181"/>
      <c r="QSK45" s="1181"/>
      <c r="QSL45" s="1181"/>
      <c r="QSM45" s="1181"/>
      <c r="QSN45" s="1181"/>
      <c r="QSO45" s="1181"/>
      <c r="QSP45" s="1181"/>
      <c r="QSQ45" s="1181"/>
      <c r="QSR45" s="1181"/>
      <c r="QSS45" s="1181"/>
      <c r="QST45" s="1181"/>
      <c r="QSU45" s="1181"/>
      <c r="QSV45" s="1181"/>
      <c r="QSW45" s="1181"/>
      <c r="QSX45" s="1181"/>
      <c r="QSY45" s="1181"/>
      <c r="QSZ45" s="1181"/>
      <c r="QTA45" s="1181"/>
      <c r="QTB45" s="1181"/>
      <c r="QTC45" s="1181"/>
      <c r="QTD45" s="1181"/>
      <c r="QTE45" s="1181"/>
      <c r="QTF45" s="1181"/>
      <c r="QTG45" s="1181"/>
      <c r="QTH45" s="1181"/>
      <c r="QTI45" s="1181"/>
      <c r="QTJ45" s="1181"/>
      <c r="QTK45" s="1181"/>
      <c r="QTL45" s="1181"/>
      <c r="QTM45" s="1181"/>
      <c r="QTN45" s="1181"/>
      <c r="QTO45" s="1181"/>
      <c r="QTP45" s="1181"/>
      <c r="QTQ45" s="1181"/>
      <c r="QTR45" s="1181"/>
      <c r="QTS45" s="1181"/>
      <c r="QTT45" s="1181"/>
      <c r="QTU45" s="1181"/>
      <c r="QTV45" s="1181"/>
      <c r="QTW45" s="1181"/>
      <c r="QTX45" s="1181"/>
      <c r="QTY45" s="1181"/>
      <c r="QTZ45" s="1181"/>
      <c r="QUA45" s="1181"/>
      <c r="QUB45" s="1181"/>
      <c r="QUC45" s="1181"/>
      <c r="QUD45" s="1181"/>
      <c r="QUE45" s="1181"/>
      <c r="QUF45" s="1181"/>
      <c r="QUG45" s="1181"/>
      <c r="QUH45" s="1181"/>
      <c r="QUI45" s="1181"/>
      <c r="QUJ45" s="1181"/>
      <c r="QUK45" s="1181"/>
      <c r="QUL45" s="1181"/>
      <c r="QUM45" s="1181"/>
      <c r="QUN45" s="1181"/>
      <c r="QUO45" s="1181"/>
      <c r="QUP45" s="1181"/>
      <c r="QUQ45" s="1181"/>
      <c r="QUR45" s="1181"/>
      <c r="QUS45" s="1181"/>
      <c r="QUT45" s="1181"/>
      <c r="QUU45" s="1181"/>
      <c r="QUV45" s="1181"/>
      <c r="QUW45" s="1181"/>
      <c r="QUX45" s="1181"/>
      <c r="QUY45" s="1181"/>
      <c r="QUZ45" s="1181"/>
      <c r="QVA45" s="1181"/>
      <c r="QVB45" s="1181"/>
      <c r="QVC45" s="1181"/>
      <c r="QVD45" s="1181"/>
      <c r="QVE45" s="1181"/>
      <c r="QVF45" s="1181"/>
      <c r="QVG45" s="1181"/>
      <c r="QVH45" s="1181"/>
      <c r="QVI45" s="1181"/>
      <c r="QVJ45" s="1181"/>
      <c r="QVK45" s="1181"/>
      <c r="QVL45" s="1181"/>
      <c r="QVM45" s="1181"/>
      <c r="QVN45" s="1181"/>
      <c r="QVO45" s="1181"/>
      <c r="QVP45" s="1181"/>
      <c r="QVQ45" s="1181"/>
      <c r="QVR45" s="1181"/>
      <c r="QVS45" s="1181"/>
      <c r="QVT45" s="1181"/>
      <c r="QVU45" s="1181"/>
      <c r="QVV45" s="1181"/>
      <c r="QVW45" s="1181"/>
      <c r="QVX45" s="1181"/>
      <c r="QVY45" s="1181"/>
      <c r="QVZ45" s="1181"/>
      <c r="QWA45" s="1181"/>
      <c r="QWB45" s="1181"/>
      <c r="QWC45" s="1181"/>
      <c r="QWD45" s="1181"/>
      <c r="QWE45" s="1181"/>
      <c r="QWF45" s="1181"/>
      <c r="QWG45" s="1181"/>
      <c r="QWH45" s="1181"/>
      <c r="QWI45" s="1181"/>
      <c r="QWJ45" s="1181"/>
      <c r="QWK45" s="1181"/>
      <c r="QWL45" s="1181"/>
      <c r="QWM45" s="1181"/>
      <c r="QWN45" s="1181"/>
      <c r="QWO45" s="1181"/>
      <c r="QWP45" s="1181"/>
      <c r="QWQ45" s="1181"/>
      <c r="QWR45" s="1181"/>
      <c r="QWS45" s="1181"/>
      <c r="QWT45" s="1181"/>
      <c r="QWU45" s="1181"/>
      <c r="QWV45" s="1181"/>
      <c r="QWW45" s="1181"/>
      <c r="QWX45" s="1181"/>
      <c r="QWY45" s="1181"/>
      <c r="QWZ45" s="1181"/>
      <c r="QXA45" s="1181"/>
      <c r="QXB45" s="1181"/>
      <c r="QXC45" s="1181"/>
      <c r="QXD45" s="1181"/>
      <c r="QXE45" s="1181"/>
      <c r="QXF45" s="1181"/>
      <c r="QXG45" s="1181"/>
      <c r="QXH45" s="1181"/>
      <c r="QXI45" s="1181"/>
      <c r="QXJ45" s="1181"/>
      <c r="QXK45" s="1181"/>
      <c r="QXL45" s="1181"/>
      <c r="QXM45" s="1181"/>
      <c r="QXN45" s="1181"/>
      <c r="QXO45" s="1181"/>
      <c r="QXP45" s="1181"/>
      <c r="QXQ45" s="1181"/>
      <c r="QXR45" s="1181"/>
      <c r="QXS45" s="1181"/>
      <c r="QXT45" s="1181"/>
      <c r="QXU45" s="1181"/>
      <c r="QXV45" s="1181"/>
      <c r="QXW45" s="1181"/>
      <c r="QXX45" s="1181"/>
      <c r="QXY45" s="1181"/>
      <c r="QXZ45" s="1181"/>
      <c r="QYA45" s="1181"/>
      <c r="QYB45" s="1181"/>
      <c r="QYC45" s="1181"/>
      <c r="QYD45" s="1181"/>
      <c r="QYE45" s="1181"/>
      <c r="QYF45" s="1181"/>
      <c r="QYG45" s="1181"/>
      <c r="QYH45" s="1181"/>
      <c r="QYI45" s="1181"/>
      <c r="QYJ45" s="1181"/>
      <c r="QYK45" s="1181"/>
      <c r="QYL45" s="1181"/>
      <c r="QYM45" s="1181"/>
      <c r="QYN45" s="1181"/>
      <c r="QYO45" s="1181"/>
      <c r="QYP45" s="1181"/>
      <c r="QYQ45" s="1181"/>
      <c r="QYR45" s="1181"/>
      <c r="QYS45" s="1181"/>
      <c r="QYT45" s="1181"/>
      <c r="QYU45" s="1181"/>
      <c r="QYV45" s="1181"/>
      <c r="QYW45" s="1181"/>
      <c r="QYX45" s="1181"/>
      <c r="QYY45" s="1181"/>
      <c r="QYZ45" s="1181"/>
      <c r="QZA45" s="1181"/>
      <c r="QZB45" s="1181"/>
      <c r="QZC45" s="1181"/>
      <c r="QZD45" s="1181"/>
      <c r="QZE45" s="1181"/>
      <c r="QZF45" s="1181"/>
      <c r="QZG45" s="1181"/>
      <c r="QZH45" s="1181"/>
      <c r="QZI45" s="1181"/>
      <c r="QZJ45" s="1181"/>
      <c r="QZK45" s="1181"/>
      <c r="QZL45" s="1181"/>
      <c r="QZM45" s="1181"/>
      <c r="QZN45" s="1181"/>
      <c r="QZO45" s="1181"/>
      <c r="QZP45" s="1181"/>
      <c r="QZQ45" s="1181"/>
      <c r="QZR45" s="1181"/>
      <c r="QZS45" s="1181"/>
      <c r="QZT45" s="1181"/>
      <c r="QZU45" s="1181"/>
      <c r="QZV45" s="1181"/>
      <c r="QZW45" s="1181"/>
      <c r="QZX45" s="1181"/>
      <c r="QZY45" s="1181"/>
      <c r="QZZ45" s="1181"/>
      <c r="RAA45" s="1181"/>
      <c r="RAB45" s="1181"/>
      <c r="RAC45" s="1181"/>
      <c r="RAD45" s="1181"/>
      <c r="RAE45" s="1181"/>
      <c r="RAF45" s="1181"/>
      <c r="RAG45" s="1181"/>
      <c r="RAH45" s="1181"/>
      <c r="RAI45" s="1181"/>
      <c r="RAJ45" s="1181"/>
      <c r="RAK45" s="1181"/>
      <c r="RAL45" s="1181"/>
      <c r="RAM45" s="1181"/>
      <c r="RAN45" s="1181"/>
      <c r="RAO45" s="1181"/>
      <c r="RAP45" s="1181"/>
      <c r="RAQ45" s="1181"/>
      <c r="RAR45" s="1181"/>
      <c r="RAS45" s="1181"/>
      <c r="RAT45" s="1181"/>
      <c r="RAU45" s="1181"/>
      <c r="RAV45" s="1181"/>
      <c r="RAW45" s="1181"/>
      <c r="RAX45" s="1181"/>
      <c r="RAY45" s="1181"/>
      <c r="RAZ45" s="1181"/>
      <c r="RBA45" s="1181"/>
      <c r="RBB45" s="1181"/>
      <c r="RBC45" s="1181"/>
      <c r="RBD45" s="1181"/>
      <c r="RBE45" s="1181"/>
      <c r="RBF45" s="1181"/>
      <c r="RBG45" s="1181"/>
      <c r="RBH45" s="1181"/>
      <c r="RBI45" s="1181"/>
      <c r="RBJ45" s="1181"/>
      <c r="RBK45" s="1181"/>
      <c r="RBL45" s="1181"/>
      <c r="RBM45" s="1181"/>
      <c r="RBN45" s="1181"/>
      <c r="RBO45" s="1181"/>
      <c r="RBP45" s="1181"/>
      <c r="RBQ45" s="1181"/>
      <c r="RBR45" s="1181"/>
      <c r="RBS45" s="1181"/>
      <c r="RBT45" s="1181"/>
      <c r="RBU45" s="1181"/>
      <c r="RBV45" s="1181"/>
      <c r="RBW45" s="1181"/>
      <c r="RBX45" s="1181"/>
      <c r="RBY45" s="1181"/>
      <c r="RBZ45" s="1181"/>
      <c r="RCA45" s="1181"/>
      <c r="RCB45" s="1181"/>
      <c r="RCC45" s="1181"/>
      <c r="RCD45" s="1181"/>
      <c r="RCE45" s="1181"/>
      <c r="RCF45" s="1181"/>
      <c r="RCG45" s="1181"/>
      <c r="RCH45" s="1181"/>
      <c r="RCI45" s="1181"/>
      <c r="RCJ45" s="1181"/>
      <c r="RCK45" s="1181"/>
      <c r="RCL45" s="1181"/>
      <c r="RCM45" s="1181"/>
      <c r="RCN45" s="1181"/>
      <c r="RCO45" s="1181"/>
      <c r="RCP45" s="1181"/>
      <c r="RCQ45" s="1181"/>
      <c r="RCR45" s="1181"/>
      <c r="RCS45" s="1181"/>
      <c r="RCT45" s="1181"/>
      <c r="RCU45" s="1181"/>
      <c r="RCV45" s="1181"/>
      <c r="RCW45" s="1181"/>
      <c r="RCX45" s="1181"/>
      <c r="RCY45" s="1181"/>
      <c r="RCZ45" s="1181"/>
      <c r="RDA45" s="1181"/>
      <c r="RDB45" s="1181"/>
      <c r="RDC45" s="1181"/>
      <c r="RDD45" s="1181"/>
      <c r="RDE45" s="1181"/>
      <c r="RDF45" s="1181"/>
      <c r="RDG45" s="1181"/>
      <c r="RDH45" s="1181"/>
      <c r="RDI45" s="1181"/>
      <c r="RDJ45" s="1181"/>
      <c r="RDK45" s="1181"/>
      <c r="RDL45" s="1181"/>
      <c r="RDM45" s="1181"/>
      <c r="RDN45" s="1181"/>
      <c r="RDO45" s="1181"/>
      <c r="RDP45" s="1181"/>
      <c r="RDQ45" s="1181"/>
      <c r="RDR45" s="1181"/>
      <c r="RDS45" s="1181"/>
      <c r="RDT45" s="1181"/>
      <c r="RDU45" s="1181"/>
      <c r="RDV45" s="1181"/>
      <c r="RDW45" s="1181"/>
      <c r="RDX45" s="1181"/>
      <c r="RDY45" s="1181"/>
      <c r="RDZ45" s="1181"/>
      <c r="REA45" s="1181"/>
      <c r="REB45" s="1181"/>
      <c r="REC45" s="1181"/>
      <c r="RED45" s="1181"/>
      <c r="REE45" s="1181"/>
      <c r="REF45" s="1181"/>
      <c r="REG45" s="1181"/>
      <c r="REH45" s="1181"/>
      <c r="REI45" s="1181"/>
      <c r="REJ45" s="1181"/>
      <c r="REK45" s="1181"/>
      <c r="REL45" s="1181"/>
      <c r="REM45" s="1181"/>
      <c r="REN45" s="1181"/>
      <c r="REO45" s="1181"/>
      <c r="REP45" s="1181"/>
      <c r="REQ45" s="1181"/>
      <c r="RER45" s="1181"/>
      <c r="RES45" s="1181"/>
      <c r="RET45" s="1181"/>
      <c r="REU45" s="1181"/>
      <c r="REV45" s="1181"/>
      <c r="REW45" s="1181"/>
      <c r="REX45" s="1181"/>
      <c r="REY45" s="1181"/>
      <c r="REZ45" s="1181"/>
      <c r="RFA45" s="1181"/>
      <c r="RFB45" s="1181"/>
      <c r="RFC45" s="1181"/>
      <c r="RFD45" s="1181"/>
      <c r="RFE45" s="1181"/>
      <c r="RFF45" s="1181"/>
      <c r="RFG45" s="1181"/>
      <c r="RFH45" s="1181"/>
      <c r="RFI45" s="1181"/>
      <c r="RFJ45" s="1181"/>
      <c r="RFK45" s="1181"/>
      <c r="RFL45" s="1181"/>
      <c r="RFM45" s="1181"/>
      <c r="RFN45" s="1181"/>
      <c r="RFO45" s="1181"/>
      <c r="RFP45" s="1181"/>
      <c r="RFQ45" s="1181"/>
      <c r="RFR45" s="1181"/>
      <c r="RFS45" s="1181"/>
      <c r="RFT45" s="1181"/>
      <c r="RFU45" s="1181"/>
      <c r="RFV45" s="1181"/>
      <c r="RFW45" s="1181"/>
      <c r="RFX45" s="1181"/>
      <c r="RFY45" s="1181"/>
      <c r="RFZ45" s="1181"/>
      <c r="RGA45" s="1181"/>
      <c r="RGB45" s="1181"/>
      <c r="RGC45" s="1181"/>
      <c r="RGD45" s="1181"/>
      <c r="RGE45" s="1181"/>
      <c r="RGF45" s="1181"/>
      <c r="RGG45" s="1181"/>
      <c r="RGH45" s="1181"/>
      <c r="RGI45" s="1181"/>
      <c r="RGJ45" s="1181"/>
      <c r="RGK45" s="1181"/>
      <c r="RGL45" s="1181"/>
      <c r="RGM45" s="1181"/>
      <c r="RGN45" s="1181"/>
      <c r="RGO45" s="1181"/>
      <c r="RGP45" s="1181"/>
      <c r="RGQ45" s="1181"/>
      <c r="RGR45" s="1181"/>
      <c r="RGS45" s="1181"/>
      <c r="RGT45" s="1181"/>
      <c r="RGU45" s="1181"/>
      <c r="RGV45" s="1181"/>
      <c r="RGW45" s="1181"/>
      <c r="RGX45" s="1181"/>
      <c r="RGY45" s="1181"/>
      <c r="RGZ45" s="1181"/>
      <c r="RHA45" s="1181"/>
      <c r="RHB45" s="1181"/>
      <c r="RHC45" s="1181"/>
      <c r="RHD45" s="1181"/>
      <c r="RHE45" s="1181"/>
      <c r="RHF45" s="1181"/>
      <c r="RHG45" s="1181"/>
      <c r="RHH45" s="1181"/>
      <c r="RHI45" s="1181"/>
      <c r="RHJ45" s="1181"/>
      <c r="RHK45" s="1181"/>
      <c r="RHL45" s="1181"/>
      <c r="RHM45" s="1181"/>
      <c r="RHN45" s="1181"/>
      <c r="RHO45" s="1181"/>
      <c r="RHP45" s="1181"/>
      <c r="RHQ45" s="1181"/>
      <c r="RHR45" s="1181"/>
      <c r="RHS45" s="1181"/>
      <c r="RHT45" s="1181"/>
      <c r="RHU45" s="1181"/>
      <c r="RHV45" s="1181"/>
      <c r="RHW45" s="1181"/>
      <c r="RHX45" s="1181"/>
      <c r="RHY45" s="1181"/>
      <c r="RHZ45" s="1181"/>
      <c r="RIA45" s="1181"/>
      <c r="RIB45" s="1181"/>
      <c r="RIC45" s="1181"/>
      <c r="RID45" s="1181"/>
      <c r="RIE45" s="1181"/>
      <c r="RIF45" s="1181"/>
      <c r="RIG45" s="1181"/>
      <c r="RIH45" s="1181"/>
      <c r="RII45" s="1181"/>
      <c r="RIJ45" s="1181"/>
      <c r="RIK45" s="1181"/>
      <c r="RIL45" s="1181"/>
      <c r="RIM45" s="1181"/>
      <c r="RIN45" s="1181"/>
      <c r="RIO45" s="1181"/>
      <c r="RIP45" s="1181"/>
      <c r="RIQ45" s="1181"/>
      <c r="RIR45" s="1181"/>
      <c r="RIS45" s="1181"/>
      <c r="RIT45" s="1181"/>
      <c r="RIU45" s="1181"/>
      <c r="RIV45" s="1181"/>
      <c r="RIW45" s="1181"/>
      <c r="RIX45" s="1181"/>
      <c r="RIY45" s="1181"/>
      <c r="RIZ45" s="1181"/>
      <c r="RJA45" s="1181"/>
      <c r="RJB45" s="1181"/>
      <c r="RJC45" s="1181"/>
      <c r="RJD45" s="1181"/>
      <c r="RJE45" s="1181"/>
      <c r="RJF45" s="1181"/>
      <c r="RJG45" s="1181"/>
      <c r="RJH45" s="1181"/>
      <c r="RJI45" s="1181"/>
      <c r="RJJ45" s="1181"/>
      <c r="RJK45" s="1181"/>
      <c r="RJL45" s="1181"/>
      <c r="RJM45" s="1181"/>
      <c r="RJN45" s="1181"/>
      <c r="RJO45" s="1181"/>
      <c r="RJP45" s="1181"/>
      <c r="RJQ45" s="1181"/>
      <c r="RJR45" s="1181"/>
      <c r="RJS45" s="1181"/>
      <c r="RJT45" s="1181"/>
      <c r="RJU45" s="1181"/>
      <c r="RJV45" s="1181"/>
      <c r="RJW45" s="1181"/>
      <c r="RJX45" s="1181"/>
      <c r="RJY45" s="1181"/>
      <c r="RJZ45" s="1181"/>
      <c r="RKA45" s="1181"/>
      <c r="RKB45" s="1181"/>
      <c r="RKC45" s="1181"/>
      <c r="RKD45" s="1181"/>
      <c r="RKE45" s="1181"/>
      <c r="RKF45" s="1181"/>
      <c r="RKG45" s="1181"/>
      <c r="RKH45" s="1181"/>
      <c r="RKI45" s="1181"/>
      <c r="RKJ45" s="1181"/>
      <c r="RKK45" s="1181"/>
      <c r="RKL45" s="1181"/>
      <c r="RKM45" s="1181"/>
      <c r="RKN45" s="1181"/>
      <c r="RKO45" s="1181"/>
      <c r="RKP45" s="1181"/>
      <c r="RKQ45" s="1181"/>
      <c r="RKR45" s="1181"/>
      <c r="RKS45" s="1181"/>
      <c r="RKT45" s="1181"/>
      <c r="RKU45" s="1181"/>
      <c r="RKV45" s="1181"/>
      <c r="RKW45" s="1181"/>
      <c r="RKX45" s="1181"/>
      <c r="RKY45" s="1181"/>
      <c r="RKZ45" s="1181"/>
      <c r="RLA45" s="1181"/>
      <c r="RLB45" s="1181"/>
      <c r="RLC45" s="1181"/>
      <c r="RLD45" s="1181"/>
      <c r="RLE45" s="1181"/>
      <c r="RLF45" s="1181"/>
      <c r="RLG45" s="1181"/>
      <c r="RLH45" s="1181"/>
      <c r="RLI45" s="1181"/>
      <c r="RLJ45" s="1181"/>
      <c r="RLK45" s="1181"/>
      <c r="RLL45" s="1181"/>
      <c r="RLM45" s="1181"/>
      <c r="RLN45" s="1181"/>
      <c r="RLO45" s="1181"/>
      <c r="RLP45" s="1181"/>
      <c r="RLQ45" s="1181"/>
      <c r="RLR45" s="1181"/>
      <c r="RLS45" s="1181"/>
      <c r="RLT45" s="1181"/>
      <c r="RLU45" s="1181"/>
      <c r="RLV45" s="1181"/>
      <c r="RLW45" s="1181"/>
      <c r="RLX45" s="1181"/>
      <c r="RLY45" s="1181"/>
      <c r="RLZ45" s="1181"/>
      <c r="RMA45" s="1181"/>
      <c r="RMB45" s="1181"/>
      <c r="RMC45" s="1181"/>
      <c r="RMD45" s="1181"/>
      <c r="RME45" s="1181"/>
      <c r="RMF45" s="1181"/>
      <c r="RMG45" s="1181"/>
      <c r="RMH45" s="1181"/>
      <c r="RMI45" s="1181"/>
      <c r="RMJ45" s="1181"/>
      <c r="RMK45" s="1181"/>
      <c r="RML45" s="1181"/>
      <c r="RMM45" s="1181"/>
      <c r="RMN45" s="1181"/>
      <c r="RMO45" s="1181"/>
      <c r="RMP45" s="1181"/>
      <c r="RMQ45" s="1181"/>
      <c r="RMR45" s="1181"/>
      <c r="RMS45" s="1181"/>
      <c r="RMT45" s="1181"/>
      <c r="RMU45" s="1181"/>
      <c r="RMV45" s="1181"/>
      <c r="RMW45" s="1181"/>
      <c r="RMX45" s="1181"/>
      <c r="RMY45" s="1181"/>
      <c r="RMZ45" s="1181"/>
      <c r="RNA45" s="1181"/>
      <c r="RNB45" s="1181"/>
      <c r="RNC45" s="1181"/>
      <c r="RND45" s="1181"/>
      <c r="RNE45" s="1181"/>
      <c r="RNF45" s="1181"/>
      <c r="RNG45" s="1181"/>
      <c r="RNH45" s="1181"/>
      <c r="RNI45" s="1181"/>
      <c r="RNJ45" s="1181"/>
      <c r="RNK45" s="1181"/>
      <c r="RNL45" s="1181"/>
      <c r="RNM45" s="1181"/>
      <c r="RNN45" s="1181"/>
      <c r="RNO45" s="1181"/>
      <c r="RNP45" s="1181"/>
      <c r="RNQ45" s="1181"/>
      <c r="RNR45" s="1181"/>
      <c r="RNS45" s="1181"/>
      <c r="RNT45" s="1181"/>
      <c r="RNU45" s="1181"/>
      <c r="RNV45" s="1181"/>
      <c r="RNW45" s="1181"/>
      <c r="RNX45" s="1181"/>
      <c r="RNY45" s="1181"/>
      <c r="RNZ45" s="1181"/>
      <c r="ROA45" s="1181"/>
      <c r="ROB45" s="1181"/>
      <c r="ROC45" s="1181"/>
      <c r="ROD45" s="1181"/>
      <c r="ROE45" s="1181"/>
      <c r="ROF45" s="1181"/>
      <c r="ROG45" s="1181"/>
      <c r="ROH45" s="1181"/>
      <c r="ROI45" s="1181"/>
      <c r="ROJ45" s="1181"/>
      <c r="ROK45" s="1181"/>
      <c r="ROL45" s="1181"/>
      <c r="ROM45" s="1181"/>
      <c r="RON45" s="1181"/>
      <c r="ROO45" s="1181"/>
      <c r="ROP45" s="1181"/>
      <c r="ROQ45" s="1181"/>
      <c r="ROR45" s="1181"/>
      <c r="ROS45" s="1181"/>
      <c r="ROT45" s="1181"/>
      <c r="ROU45" s="1181"/>
      <c r="ROV45" s="1181"/>
      <c r="ROW45" s="1181"/>
      <c r="ROX45" s="1181"/>
      <c r="ROY45" s="1181"/>
      <c r="ROZ45" s="1181"/>
      <c r="RPA45" s="1181"/>
      <c r="RPB45" s="1181"/>
      <c r="RPC45" s="1181"/>
      <c r="RPD45" s="1181"/>
      <c r="RPE45" s="1181"/>
      <c r="RPF45" s="1181"/>
      <c r="RPG45" s="1181"/>
      <c r="RPH45" s="1181"/>
      <c r="RPI45" s="1181"/>
      <c r="RPJ45" s="1181"/>
      <c r="RPK45" s="1181"/>
      <c r="RPL45" s="1181"/>
      <c r="RPM45" s="1181"/>
      <c r="RPN45" s="1181"/>
      <c r="RPO45" s="1181"/>
      <c r="RPP45" s="1181"/>
      <c r="RPQ45" s="1181"/>
      <c r="RPR45" s="1181"/>
      <c r="RPS45" s="1181"/>
      <c r="RPT45" s="1181"/>
      <c r="RPU45" s="1181"/>
      <c r="RPV45" s="1181"/>
      <c r="RPW45" s="1181"/>
      <c r="RPX45" s="1181"/>
      <c r="RPY45" s="1181"/>
      <c r="RPZ45" s="1181"/>
      <c r="RQA45" s="1181"/>
      <c r="RQB45" s="1181"/>
      <c r="RQC45" s="1181"/>
      <c r="RQD45" s="1181"/>
      <c r="RQE45" s="1181"/>
      <c r="RQF45" s="1181"/>
      <c r="RQG45" s="1181"/>
      <c r="RQH45" s="1181"/>
      <c r="RQI45" s="1181"/>
      <c r="RQJ45" s="1181"/>
      <c r="RQK45" s="1181"/>
      <c r="RQL45" s="1181"/>
      <c r="RQM45" s="1181"/>
      <c r="RQN45" s="1181"/>
      <c r="RQO45" s="1181"/>
      <c r="RQP45" s="1181"/>
      <c r="RQQ45" s="1181"/>
      <c r="RQR45" s="1181"/>
      <c r="RQS45" s="1181"/>
      <c r="RQT45" s="1181"/>
      <c r="RQU45" s="1181"/>
      <c r="RQV45" s="1181"/>
      <c r="RQW45" s="1181"/>
      <c r="RQX45" s="1181"/>
      <c r="RQY45" s="1181"/>
      <c r="RQZ45" s="1181"/>
      <c r="RRA45" s="1181"/>
      <c r="RRB45" s="1181"/>
      <c r="RRC45" s="1181"/>
      <c r="RRD45" s="1181"/>
      <c r="RRE45" s="1181"/>
      <c r="RRF45" s="1181"/>
      <c r="RRG45" s="1181"/>
      <c r="RRH45" s="1181"/>
      <c r="RRI45" s="1181"/>
      <c r="RRJ45" s="1181"/>
      <c r="RRK45" s="1181"/>
      <c r="RRL45" s="1181"/>
      <c r="RRM45" s="1181"/>
      <c r="RRN45" s="1181"/>
      <c r="RRO45" s="1181"/>
      <c r="RRP45" s="1181"/>
      <c r="RRQ45" s="1181"/>
      <c r="RRR45" s="1181"/>
      <c r="RRS45" s="1181"/>
      <c r="RRT45" s="1181"/>
      <c r="RRU45" s="1181"/>
      <c r="RRV45" s="1181"/>
      <c r="RRW45" s="1181"/>
      <c r="RRX45" s="1181"/>
      <c r="RRY45" s="1181"/>
      <c r="RRZ45" s="1181"/>
      <c r="RSA45" s="1181"/>
      <c r="RSB45" s="1181"/>
      <c r="RSC45" s="1181"/>
      <c r="RSD45" s="1181"/>
      <c r="RSE45" s="1181"/>
      <c r="RSF45" s="1181"/>
      <c r="RSG45" s="1181"/>
      <c r="RSH45" s="1181"/>
      <c r="RSI45" s="1181"/>
      <c r="RSJ45" s="1181"/>
      <c r="RSK45" s="1181"/>
      <c r="RSL45" s="1181"/>
      <c r="RSM45" s="1181"/>
      <c r="RSN45" s="1181"/>
      <c r="RSO45" s="1181"/>
      <c r="RSP45" s="1181"/>
      <c r="RSQ45" s="1181"/>
      <c r="RSR45" s="1181"/>
      <c r="RSS45" s="1181"/>
      <c r="RST45" s="1181"/>
      <c r="RSU45" s="1181"/>
      <c r="RSV45" s="1181"/>
      <c r="RSW45" s="1181"/>
      <c r="RSX45" s="1181"/>
      <c r="RSY45" s="1181"/>
      <c r="RSZ45" s="1181"/>
      <c r="RTA45" s="1181"/>
      <c r="RTB45" s="1181"/>
      <c r="RTC45" s="1181"/>
      <c r="RTD45" s="1181"/>
      <c r="RTE45" s="1181"/>
      <c r="RTF45" s="1181"/>
      <c r="RTG45" s="1181"/>
      <c r="RTH45" s="1181"/>
      <c r="RTI45" s="1181"/>
      <c r="RTJ45" s="1181"/>
      <c r="RTK45" s="1181"/>
      <c r="RTL45" s="1181"/>
      <c r="RTM45" s="1181"/>
      <c r="RTN45" s="1181"/>
      <c r="RTO45" s="1181"/>
      <c r="RTP45" s="1181"/>
      <c r="RTQ45" s="1181"/>
      <c r="RTR45" s="1181"/>
      <c r="RTS45" s="1181"/>
      <c r="RTT45" s="1181"/>
      <c r="RTU45" s="1181"/>
      <c r="RTV45" s="1181"/>
      <c r="RTW45" s="1181"/>
      <c r="RTX45" s="1181"/>
      <c r="RTY45" s="1181"/>
      <c r="RTZ45" s="1181"/>
      <c r="RUA45" s="1181"/>
      <c r="RUB45" s="1181"/>
      <c r="RUC45" s="1181"/>
      <c r="RUD45" s="1181"/>
      <c r="RUE45" s="1181"/>
      <c r="RUF45" s="1181"/>
      <c r="RUG45" s="1181"/>
      <c r="RUH45" s="1181"/>
      <c r="RUI45" s="1181"/>
      <c r="RUJ45" s="1181"/>
      <c r="RUK45" s="1181"/>
      <c r="RUL45" s="1181"/>
      <c r="RUM45" s="1181"/>
      <c r="RUN45" s="1181"/>
      <c r="RUO45" s="1181"/>
      <c r="RUP45" s="1181"/>
      <c r="RUQ45" s="1181"/>
      <c r="RUR45" s="1181"/>
      <c r="RUS45" s="1181"/>
      <c r="RUT45" s="1181"/>
      <c r="RUU45" s="1181"/>
      <c r="RUV45" s="1181"/>
      <c r="RUW45" s="1181"/>
      <c r="RUX45" s="1181"/>
      <c r="RUY45" s="1181"/>
      <c r="RUZ45" s="1181"/>
      <c r="RVA45" s="1181"/>
      <c r="RVB45" s="1181"/>
      <c r="RVC45" s="1181"/>
      <c r="RVD45" s="1181"/>
      <c r="RVE45" s="1181"/>
      <c r="RVF45" s="1181"/>
      <c r="RVG45" s="1181"/>
      <c r="RVH45" s="1181"/>
      <c r="RVI45" s="1181"/>
      <c r="RVJ45" s="1181"/>
      <c r="RVK45" s="1181"/>
      <c r="RVL45" s="1181"/>
      <c r="RVM45" s="1181"/>
      <c r="RVN45" s="1181"/>
      <c r="RVO45" s="1181"/>
      <c r="RVP45" s="1181"/>
      <c r="RVQ45" s="1181"/>
      <c r="RVR45" s="1181"/>
      <c r="RVS45" s="1181"/>
      <c r="RVT45" s="1181"/>
      <c r="RVU45" s="1181"/>
      <c r="RVV45" s="1181"/>
      <c r="RVW45" s="1181"/>
      <c r="RVX45" s="1181"/>
      <c r="RVY45" s="1181"/>
      <c r="RVZ45" s="1181"/>
      <c r="RWA45" s="1181"/>
      <c r="RWB45" s="1181"/>
      <c r="RWC45" s="1181"/>
      <c r="RWD45" s="1181"/>
      <c r="RWE45" s="1181"/>
      <c r="RWF45" s="1181"/>
      <c r="RWG45" s="1181"/>
      <c r="RWH45" s="1181"/>
      <c r="RWI45" s="1181"/>
      <c r="RWJ45" s="1181"/>
      <c r="RWK45" s="1181"/>
      <c r="RWL45" s="1181"/>
      <c r="RWM45" s="1181"/>
      <c r="RWN45" s="1181"/>
      <c r="RWO45" s="1181"/>
      <c r="RWP45" s="1181"/>
      <c r="RWQ45" s="1181"/>
      <c r="RWR45" s="1181"/>
      <c r="RWS45" s="1181"/>
      <c r="RWT45" s="1181"/>
      <c r="RWU45" s="1181"/>
      <c r="RWV45" s="1181"/>
      <c r="RWW45" s="1181"/>
      <c r="RWX45" s="1181"/>
      <c r="RWY45" s="1181"/>
      <c r="RWZ45" s="1181"/>
      <c r="RXA45" s="1181"/>
      <c r="RXB45" s="1181"/>
      <c r="RXC45" s="1181"/>
      <c r="RXD45" s="1181"/>
      <c r="RXE45" s="1181"/>
      <c r="RXF45" s="1181"/>
      <c r="RXG45" s="1181"/>
      <c r="RXH45" s="1181"/>
      <c r="RXI45" s="1181"/>
      <c r="RXJ45" s="1181"/>
      <c r="RXK45" s="1181"/>
      <c r="RXL45" s="1181"/>
      <c r="RXM45" s="1181"/>
      <c r="RXN45" s="1181"/>
      <c r="RXO45" s="1181"/>
      <c r="RXP45" s="1181"/>
      <c r="RXQ45" s="1181"/>
      <c r="RXR45" s="1181"/>
      <c r="RXS45" s="1181"/>
      <c r="RXT45" s="1181"/>
      <c r="RXU45" s="1181"/>
      <c r="RXV45" s="1181"/>
      <c r="RXW45" s="1181"/>
      <c r="RXX45" s="1181"/>
      <c r="RXY45" s="1181"/>
      <c r="RXZ45" s="1181"/>
      <c r="RYA45" s="1181"/>
      <c r="RYB45" s="1181"/>
      <c r="RYC45" s="1181"/>
      <c r="RYD45" s="1181"/>
      <c r="RYE45" s="1181"/>
      <c r="RYF45" s="1181"/>
      <c r="RYG45" s="1181"/>
      <c r="RYH45" s="1181"/>
      <c r="RYI45" s="1181"/>
      <c r="RYJ45" s="1181"/>
      <c r="RYK45" s="1181"/>
      <c r="RYL45" s="1181"/>
      <c r="RYM45" s="1181"/>
      <c r="RYN45" s="1181"/>
      <c r="RYO45" s="1181"/>
      <c r="RYP45" s="1181"/>
      <c r="RYQ45" s="1181"/>
      <c r="RYR45" s="1181"/>
      <c r="RYS45" s="1181"/>
      <c r="RYT45" s="1181"/>
      <c r="RYU45" s="1181"/>
      <c r="RYV45" s="1181"/>
      <c r="RYW45" s="1181"/>
      <c r="RYX45" s="1181"/>
      <c r="RYY45" s="1181"/>
      <c r="RYZ45" s="1181"/>
      <c r="RZA45" s="1181"/>
      <c r="RZB45" s="1181"/>
      <c r="RZC45" s="1181"/>
      <c r="RZD45" s="1181"/>
      <c r="RZE45" s="1181"/>
      <c r="RZF45" s="1181"/>
      <c r="RZG45" s="1181"/>
      <c r="RZH45" s="1181"/>
      <c r="RZI45" s="1181"/>
      <c r="RZJ45" s="1181"/>
      <c r="RZK45" s="1181"/>
      <c r="RZL45" s="1181"/>
      <c r="RZM45" s="1181"/>
      <c r="RZN45" s="1181"/>
      <c r="RZO45" s="1181"/>
      <c r="RZP45" s="1181"/>
      <c r="RZQ45" s="1181"/>
      <c r="RZR45" s="1181"/>
      <c r="RZS45" s="1181"/>
      <c r="RZT45" s="1181"/>
      <c r="RZU45" s="1181"/>
      <c r="RZV45" s="1181"/>
      <c r="RZW45" s="1181"/>
      <c r="RZX45" s="1181"/>
      <c r="RZY45" s="1181"/>
      <c r="RZZ45" s="1181"/>
      <c r="SAA45" s="1181"/>
      <c r="SAB45" s="1181"/>
      <c r="SAC45" s="1181"/>
      <c r="SAD45" s="1181"/>
      <c r="SAE45" s="1181"/>
      <c r="SAF45" s="1181"/>
      <c r="SAG45" s="1181"/>
      <c r="SAH45" s="1181"/>
      <c r="SAI45" s="1181"/>
      <c r="SAJ45" s="1181"/>
      <c r="SAK45" s="1181"/>
      <c r="SAL45" s="1181"/>
      <c r="SAM45" s="1181"/>
      <c r="SAN45" s="1181"/>
      <c r="SAO45" s="1181"/>
      <c r="SAP45" s="1181"/>
      <c r="SAQ45" s="1181"/>
      <c r="SAR45" s="1181"/>
      <c r="SAS45" s="1181"/>
      <c r="SAT45" s="1181"/>
      <c r="SAU45" s="1181"/>
      <c r="SAV45" s="1181"/>
      <c r="SAW45" s="1181"/>
      <c r="SAX45" s="1181"/>
      <c r="SAY45" s="1181"/>
      <c r="SAZ45" s="1181"/>
      <c r="SBA45" s="1181"/>
      <c r="SBB45" s="1181"/>
      <c r="SBC45" s="1181"/>
      <c r="SBD45" s="1181"/>
      <c r="SBE45" s="1181"/>
      <c r="SBF45" s="1181"/>
      <c r="SBG45" s="1181"/>
      <c r="SBH45" s="1181"/>
      <c r="SBI45" s="1181"/>
      <c r="SBJ45" s="1181"/>
      <c r="SBK45" s="1181"/>
      <c r="SBL45" s="1181"/>
      <c r="SBM45" s="1181"/>
      <c r="SBN45" s="1181"/>
      <c r="SBO45" s="1181"/>
      <c r="SBP45" s="1181"/>
      <c r="SBQ45" s="1181"/>
      <c r="SBR45" s="1181"/>
      <c r="SBS45" s="1181"/>
      <c r="SBT45" s="1181"/>
      <c r="SBU45" s="1181"/>
      <c r="SBV45" s="1181"/>
      <c r="SBW45" s="1181"/>
      <c r="SBX45" s="1181"/>
      <c r="SBY45" s="1181"/>
      <c r="SBZ45" s="1181"/>
      <c r="SCA45" s="1181"/>
      <c r="SCB45" s="1181"/>
      <c r="SCC45" s="1181"/>
      <c r="SCD45" s="1181"/>
      <c r="SCE45" s="1181"/>
      <c r="SCF45" s="1181"/>
      <c r="SCG45" s="1181"/>
      <c r="SCH45" s="1181"/>
      <c r="SCI45" s="1181"/>
      <c r="SCJ45" s="1181"/>
      <c r="SCK45" s="1181"/>
      <c r="SCL45" s="1181"/>
      <c r="SCM45" s="1181"/>
      <c r="SCN45" s="1181"/>
      <c r="SCO45" s="1181"/>
      <c r="SCP45" s="1181"/>
      <c r="SCQ45" s="1181"/>
      <c r="SCR45" s="1181"/>
      <c r="SCS45" s="1181"/>
      <c r="SCT45" s="1181"/>
      <c r="SCU45" s="1181"/>
      <c r="SCV45" s="1181"/>
      <c r="SCW45" s="1181"/>
      <c r="SCX45" s="1181"/>
      <c r="SCY45" s="1181"/>
      <c r="SCZ45" s="1181"/>
      <c r="SDA45" s="1181"/>
      <c r="SDB45" s="1181"/>
      <c r="SDC45" s="1181"/>
      <c r="SDD45" s="1181"/>
      <c r="SDE45" s="1181"/>
      <c r="SDF45" s="1181"/>
      <c r="SDG45" s="1181"/>
      <c r="SDH45" s="1181"/>
      <c r="SDI45" s="1181"/>
      <c r="SDJ45" s="1181"/>
      <c r="SDK45" s="1181"/>
      <c r="SDL45" s="1181"/>
      <c r="SDM45" s="1181"/>
      <c r="SDN45" s="1181"/>
      <c r="SDO45" s="1181"/>
      <c r="SDP45" s="1181"/>
      <c r="SDQ45" s="1181"/>
      <c r="SDR45" s="1181"/>
      <c r="SDS45" s="1181"/>
      <c r="SDT45" s="1181"/>
      <c r="SDU45" s="1181"/>
      <c r="SDV45" s="1181"/>
      <c r="SDW45" s="1181"/>
      <c r="SDX45" s="1181"/>
      <c r="SDY45" s="1181"/>
      <c r="SDZ45" s="1181"/>
      <c r="SEA45" s="1181"/>
      <c r="SEB45" s="1181"/>
      <c r="SEC45" s="1181"/>
      <c r="SED45" s="1181"/>
      <c r="SEE45" s="1181"/>
      <c r="SEF45" s="1181"/>
      <c r="SEG45" s="1181"/>
      <c r="SEH45" s="1181"/>
      <c r="SEI45" s="1181"/>
      <c r="SEJ45" s="1181"/>
      <c r="SEK45" s="1181"/>
      <c r="SEL45" s="1181"/>
      <c r="SEM45" s="1181"/>
      <c r="SEN45" s="1181"/>
      <c r="SEO45" s="1181"/>
      <c r="SEP45" s="1181"/>
      <c r="SEQ45" s="1181"/>
      <c r="SER45" s="1181"/>
      <c r="SES45" s="1181"/>
      <c r="SET45" s="1181"/>
      <c r="SEU45" s="1181"/>
      <c r="SEV45" s="1181"/>
      <c r="SEW45" s="1181"/>
      <c r="SEX45" s="1181"/>
      <c r="SEY45" s="1181"/>
      <c r="SEZ45" s="1181"/>
      <c r="SFA45" s="1181"/>
      <c r="SFB45" s="1181"/>
      <c r="SFC45" s="1181"/>
      <c r="SFD45" s="1181"/>
      <c r="SFE45" s="1181"/>
      <c r="SFF45" s="1181"/>
      <c r="SFG45" s="1181"/>
      <c r="SFH45" s="1181"/>
      <c r="SFI45" s="1181"/>
      <c r="SFJ45" s="1181"/>
      <c r="SFK45" s="1181"/>
      <c r="SFL45" s="1181"/>
      <c r="SFM45" s="1181"/>
      <c r="SFN45" s="1181"/>
      <c r="SFO45" s="1181"/>
      <c r="SFP45" s="1181"/>
      <c r="SFQ45" s="1181"/>
      <c r="SFR45" s="1181"/>
      <c r="SFS45" s="1181"/>
      <c r="SFT45" s="1181"/>
      <c r="SFU45" s="1181"/>
      <c r="SFV45" s="1181"/>
      <c r="SFW45" s="1181"/>
      <c r="SFX45" s="1181"/>
      <c r="SFY45" s="1181"/>
      <c r="SFZ45" s="1181"/>
      <c r="SGA45" s="1181"/>
      <c r="SGB45" s="1181"/>
      <c r="SGC45" s="1181"/>
      <c r="SGD45" s="1181"/>
      <c r="SGE45" s="1181"/>
      <c r="SGF45" s="1181"/>
      <c r="SGG45" s="1181"/>
      <c r="SGH45" s="1181"/>
      <c r="SGI45" s="1181"/>
      <c r="SGJ45" s="1181"/>
      <c r="SGK45" s="1181"/>
      <c r="SGL45" s="1181"/>
      <c r="SGM45" s="1181"/>
      <c r="SGN45" s="1181"/>
      <c r="SGO45" s="1181"/>
      <c r="SGP45" s="1181"/>
      <c r="SGQ45" s="1181"/>
      <c r="SGR45" s="1181"/>
      <c r="SGS45" s="1181"/>
      <c r="SGT45" s="1181"/>
      <c r="SGU45" s="1181"/>
      <c r="SGV45" s="1181"/>
      <c r="SGW45" s="1181"/>
      <c r="SGX45" s="1181"/>
      <c r="SGY45" s="1181"/>
      <c r="SGZ45" s="1181"/>
      <c r="SHA45" s="1181"/>
      <c r="SHB45" s="1181"/>
      <c r="SHC45" s="1181"/>
      <c r="SHD45" s="1181"/>
      <c r="SHE45" s="1181"/>
      <c r="SHF45" s="1181"/>
      <c r="SHG45" s="1181"/>
      <c r="SHH45" s="1181"/>
      <c r="SHI45" s="1181"/>
      <c r="SHJ45" s="1181"/>
      <c r="SHK45" s="1181"/>
      <c r="SHL45" s="1181"/>
      <c r="SHM45" s="1181"/>
      <c r="SHN45" s="1181"/>
      <c r="SHO45" s="1181"/>
      <c r="SHP45" s="1181"/>
      <c r="SHQ45" s="1181"/>
      <c r="SHR45" s="1181"/>
      <c r="SHS45" s="1181"/>
      <c r="SHT45" s="1181"/>
      <c r="SHU45" s="1181"/>
      <c r="SHV45" s="1181"/>
      <c r="SHW45" s="1181"/>
      <c r="SHX45" s="1181"/>
      <c r="SHY45" s="1181"/>
      <c r="SHZ45" s="1181"/>
      <c r="SIA45" s="1181"/>
      <c r="SIB45" s="1181"/>
      <c r="SIC45" s="1181"/>
      <c r="SID45" s="1181"/>
      <c r="SIE45" s="1181"/>
      <c r="SIF45" s="1181"/>
      <c r="SIG45" s="1181"/>
      <c r="SIH45" s="1181"/>
      <c r="SII45" s="1181"/>
      <c r="SIJ45" s="1181"/>
      <c r="SIK45" s="1181"/>
      <c r="SIL45" s="1181"/>
      <c r="SIM45" s="1181"/>
      <c r="SIN45" s="1181"/>
      <c r="SIO45" s="1181"/>
      <c r="SIP45" s="1181"/>
      <c r="SIQ45" s="1181"/>
      <c r="SIR45" s="1181"/>
      <c r="SIS45" s="1181"/>
      <c r="SIT45" s="1181"/>
      <c r="SIU45" s="1181"/>
      <c r="SIV45" s="1181"/>
      <c r="SIW45" s="1181"/>
      <c r="SIX45" s="1181"/>
      <c r="SIY45" s="1181"/>
      <c r="SIZ45" s="1181"/>
      <c r="SJA45" s="1181"/>
      <c r="SJB45" s="1181"/>
      <c r="SJC45" s="1181"/>
      <c r="SJD45" s="1181"/>
      <c r="SJE45" s="1181"/>
      <c r="SJF45" s="1181"/>
      <c r="SJG45" s="1181"/>
      <c r="SJH45" s="1181"/>
      <c r="SJI45" s="1181"/>
      <c r="SJJ45" s="1181"/>
      <c r="SJK45" s="1181"/>
      <c r="SJL45" s="1181"/>
      <c r="SJM45" s="1181"/>
      <c r="SJN45" s="1181"/>
      <c r="SJO45" s="1181"/>
      <c r="SJP45" s="1181"/>
      <c r="SJQ45" s="1181"/>
      <c r="SJR45" s="1181"/>
      <c r="SJS45" s="1181"/>
      <c r="SJT45" s="1181"/>
      <c r="SJU45" s="1181"/>
      <c r="SJV45" s="1181"/>
      <c r="SJW45" s="1181"/>
      <c r="SJX45" s="1181"/>
      <c r="SJY45" s="1181"/>
      <c r="SJZ45" s="1181"/>
      <c r="SKA45" s="1181"/>
      <c r="SKB45" s="1181"/>
      <c r="SKC45" s="1181"/>
      <c r="SKD45" s="1181"/>
      <c r="SKE45" s="1181"/>
      <c r="SKF45" s="1181"/>
      <c r="SKG45" s="1181"/>
      <c r="SKH45" s="1181"/>
      <c r="SKI45" s="1181"/>
      <c r="SKJ45" s="1181"/>
      <c r="SKK45" s="1181"/>
      <c r="SKL45" s="1181"/>
      <c r="SKM45" s="1181"/>
      <c r="SKN45" s="1181"/>
      <c r="SKO45" s="1181"/>
      <c r="SKP45" s="1181"/>
      <c r="SKQ45" s="1181"/>
      <c r="SKR45" s="1181"/>
      <c r="SKS45" s="1181"/>
      <c r="SKT45" s="1181"/>
      <c r="SKU45" s="1181"/>
      <c r="SKV45" s="1181"/>
      <c r="SKW45" s="1181"/>
      <c r="SKX45" s="1181"/>
      <c r="SKY45" s="1181"/>
      <c r="SKZ45" s="1181"/>
      <c r="SLA45" s="1181"/>
      <c r="SLB45" s="1181"/>
      <c r="SLC45" s="1181"/>
      <c r="SLD45" s="1181"/>
      <c r="SLE45" s="1181"/>
      <c r="SLF45" s="1181"/>
      <c r="SLG45" s="1181"/>
      <c r="SLH45" s="1181"/>
      <c r="SLI45" s="1181"/>
      <c r="SLJ45" s="1181"/>
      <c r="SLK45" s="1181"/>
      <c r="SLL45" s="1181"/>
      <c r="SLM45" s="1181"/>
      <c r="SLN45" s="1181"/>
      <c r="SLO45" s="1181"/>
      <c r="SLP45" s="1181"/>
      <c r="SLQ45" s="1181"/>
      <c r="SLR45" s="1181"/>
      <c r="SLS45" s="1181"/>
      <c r="SLT45" s="1181"/>
      <c r="SLU45" s="1181"/>
      <c r="SLV45" s="1181"/>
      <c r="SLW45" s="1181"/>
      <c r="SLX45" s="1181"/>
      <c r="SLY45" s="1181"/>
      <c r="SLZ45" s="1181"/>
      <c r="SMA45" s="1181"/>
      <c r="SMB45" s="1181"/>
      <c r="SMC45" s="1181"/>
      <c r="SMD45" s="1181"/>
      <c r="SME45" s="1181"/>
      <c r="SMF45" s="1181"/>
      <c r="SMG45" s="1181"/>
      <c r="SMH45" s="1181"/>
      <c r="SMI45" s="1181"/>
      <c r="SMJ45" s="1181"/>
      <c r="SMK45" s="1181"/>
      <c r="SML45" s="1181"/>
      <c r="SMM45" s="1181"/>
      <c r="SMN45" s="1181"/>
      <c r="SMO45" s="1181"/>
      <c r="SMP45" s="1181"/>
      <c r="SMQ45" s="1181"/>
      <c r="SMR45" s="1181"/>
      <c r="SMS45" s="1181"/>
      <c r="SMT45" s="1181"/>
      <c r="SMU45" s="1181"/>
      <c r="SMV45" s="1181"/>
      <c r="SMW45" s="1181"/>
      <c r="SMX45" s="1181"/>
      <c r="SMY45" s="1181"/>
      <c r="SMZ45" s="1181"/>
      <c r="SNA45" s="1181"/>
      <c r="SNB45" s="1181"/>
      <c r="SNC45" s="1181"/>
      <c r="SND45" s="1181"/>
      <c r="SNE45" s="1181"/>
      <c r="SNF45" s="1181"/>
      <c r="SNG45" s="1181"/>
      <c r="SNH45" s="1181"/>
      <c r="SNI45" s="1181"/>
      <c r="SNJ45" s="1181"/>
      <c r="SNK45" s="1181"/>
      <c r="SNL45" s="1181"/>
      <c r="SNM45" s="1181"/>
      <c r="SNN45" s="1181"/>
      <c r="SNO45" s="1181"/>
      <c r="SNP45" s="1181"/>
      <c r="SNQ45" s="1181"/>
      <c r="SNR45" s="1181"/>
      <c r="SNS45" s="1181"/>
      <c r="SNT45" s="1181"/>
      <c r="SNU45" s="1181"/>
      <c r="SNV45" s="1181"/>
      <c r="SNW45" s="1181"/>
      <c r="SNX45" s="1181"/>
      <c r="SNY45" s="1181"/>
      <c r="SNZ45" s="1181"/>
      <c r="SOA45" s="1181"/>
      <c r="SOB45" s="1181"/>
      <c r="SOC45" s="1181"/>
      <c r="SOD45" s="1181"/>
      <c r="SOE45" s="1181"/>
      <c r="SOF45" s="1181"/>
      <c r="SOG45" s="1181"/>
      <c r="SOH45" s="1181"/>
      <c r="SOI45" s="1181"/>
      <c r="SOJ45" s="1181"/>
      <c r="SOK45" s="1181"/>
      <c r="SOL45" s="1181"/>
      <c r="SOM45" s="1181"/>
      <c r="SON45" s="1181"/>
      <c r="SOO45" s="1181"/>
      <c r="SOP45" s="1181"/>
      <c r="SOQ45" s="1181"/>
      <c r="SOR45" s="1181"/>
      <c r="SOS45" s="1181"/>
      <c r="SOT45" s="1181"/>
      <c r="SOU45" s="1181"/>
      <c r="SOV45" s="1181"/>
      <c r="SOW45" s="1181"/>
      <c r="SOX45" s="1181"/>
      <c r="SOY45" s="1181"/>
      <c r="SOZ45" s="1181"/>
      <c r="SPA45" s="1181"/>
      <c r="SPB45" s="1181"/>
      <c r="SPC45" s="1181"/>
      <c r="SPD45" s="1181"/>
      <c r="SPE45" s="1181"/>
      <c r="SPF45" s="1181"/>
      <c r="SPG45" s="1181"/>
      <c r="SPH45" s="1181"/>
      <c r="SPI45" s="1181"/>
      <c r="SPJ45" s="1181"/>
      <c r="SPK45" s="1181"/>
      <c r="SPL45" s="1181"/>
      <c r="SPM45" s="1181"/>
      <c r="SPN45" s="1181"/>
      <c r="SPO45" s="1181"/>
      <c r="SPP45" s="1181"/>
      <c r="SPQ45" s="1181"/>
      <c r="SPR45" s="1181"/>
      <c r="SPS45" s="1181"/>
      <c r="SPT45" s="1181"/>
      <c r="SPU45" s="1181"/>
      <c r="SPV45" s="1181"/>
      <c r="SPW45" s="1181"/>
      <c r="SPX45" s="1181"/>
      <c r="SPY45" s="1181"/>
      <c r="SPZ45" s="1181"/>
      <c r="SQA45" s="1181"/>
      <c r="SQB45" s="1181"/>
      <c r="SQC45" s="1181"/>
      <c r="SQD45" s="1181"/>
      <c r="SQE45" s="1181"/>
      <c r="SQF45" s="1181"/>
      <c r="SQG45" s="1181"/>
      <c r="SQH45" s="1181"/>
      <c r="SQI45" s="1181"/>
      <c r="SQJ45" s="1181"/>
      <c r="SQK45" s="1181"/>
      <c r="SQL45" s="1181"/>
      <c r="SQM45" s="1181"/>
      <c r="SQN45" s="1181"/>
      <c r="SQO45" s="1181"/>
      <c r="SQP45" s="1181"/>
      <c r="SQQ45" s="1181"/>
      <c r="SQR45" s="1181"/>
      <c r="SQS45" s="1181"/>
      <c r="SQT45" s="1181"/>
      <c r="SQU45" s="1181"/>
      <c r="SQV45" s="1181"/>
      <c r="SQW45" s="1181"/>
      <c r="SQX45" s="1181"/>
      <c r="SQY45" s="1181"/>
      <c r="SQZ45" s="1181"/>
      <c r="SRA45" s="1181"/>
      <c r="SRB45" s="1181"/>
      <c r="SRC45" s="1181"/>
      <c r="SRD45" s="1181"/>
      <c r="SRE45" s="1181"/>
      <c r="SRF45" s="1181"/>
      <c r="SRG45" s="1181"/>
      <c r="SRH45" s="1181"/>
      <c r="SRI45" s="1181"/>
      <c r="SRJ45" s="1181"/>
      <c r="SRK45" s="1181"/>
      <c r="SRL45" s="1181"/>
      <c r="SRM45" s="1181"/>
      <c r="SRN45" s="1181"/>
      <c r="SRO45" s="1181"/>
      <c r="SRP45" s="1181"/>
      <c r="SRQ45" s="1181"/>
      <c r="SRR45" s="1181"/>
      <c r="SRS45" s="1181"/>
      <c r="SRT45" s="1181"/>
      <c r="SRU45" s="1181"/>
      <c r="SRV45" s="1181"/>
      <c r="SRW45" s="1181"/>
      <c r="SRX45" s="1181"/>
      <c r="SRY45" s="1181"/>
      <c r="SRZ45" s="1181"/>
      <c r="SSA45" s="1181"/>
      <c r="SSB45" s="1181"/>
      <c r="SSC45" s="1181"/>
      <c r="SSD45" s="1181"/>
      <c r="SSE45" s="1181"/>
      <c r="SSF45" s="1181"/>
      <c r="SSG45" s="1181"/>
      <c r="SSH45" s="1181"/>
      <c r="SSI45" s="1181"/>
      <c r="SSJ45" s="1181"/>
      <c r="SSK45" s="1181"/>
      <c r="SSL45" s="1181"/>
      <c r="SSM45" s="1181"/>
      <c r="SSN45" s="1181"/>
      <c r="SSO45" s="1181"/>
      <c r="SSP45" s="1181"/>
      <c r="SSQ45" s="1181"/>
      <c r="SSR45" s="1181"/>
      <c r="SSS45" s="1181"/>
      <c r="SST45" s="1181"/>
      <c r="SSU45" s="1181"/>
      <c r="SSV45" s="1181"/>
      <c r="SSW45" s="1181"/>
      <c r="SSX45" s="1181"/>
      <c r="SSY45" s="1181"/>
      <c r="SSZ45" s="1181"/>
      <c r="STA45" s="1181"/>
      <c r="STB45" s="1181"/>
      <c r="STC45" s="1181"/>
      <c r="STD45" s="1181"/>
      <c r="STE45" s="1181"/>
      <c r="STF45" s="1181"/>
      <c r="STG45" s="1181"/>
      <c r="STH45" s="1181"/>
      <c r="STI45" s="1181"/>
      <c r="STJ45" s="1181"/>
      <c r="STK45" s="1181"/>
      <c r="STL45" s="1181"/>
      <c r="STM45" s="1181"/>
      <c r="STN45" s="1181"/>
      <c r="STO45" s="1181"/>
      <c r="STP45" s="1181"/>
      <c r="STQ45" s="1181"/>
      <c r="STR45" s="1181"/>
      <c r="STS45" s="1181"/>
      <c r="STT45" s="1181"/>
      <c r="STU45" s="1181"/>
      <c r="STV45" s="1181"/>
      <c r="STW45" s="1181"/>
      <c r="STX45" s="1181"/>
      <c r="STY45" s="1181"/>
      <c r="STZ45" s="1181"/>
      <c r="SUA45" s="1181"/>
      <c r="SUB45" s="1181"/>
      <c r="SUC45" s="1181"/>
      <c r="SUD45" s="1181"/>
      <c r="SUE45" s="1181"/>
      <c r="SUF45" s="1181"/>
      <c r="SUG45" s="1181"/>
      <c r="SUH45" s="1181"/>
      <c r="SUI45" s="1181"/>
      <c r="SUJ45" s="1181"/>
      <c r="SUK45" s="1181"/>
      <c r="SUL45" s="1181"/>
      <c r="SUM45" s="1181"/>
      <c r="SUN45" s="1181"/>
      <c r="SUO45" s="1181"/>
      <c r="SUP45" s="1181"/>
      <c r="SUQ45" s="1181"/>
      <c r="SUR45" s="1181"/>
      <c r="SUS45" s="1181"/>
      <c r="SUT45" s="1181"/>
      <c r="SUU45" s="1181"/>
      <c r="SUV45" s="1181"/>
      <c r="SUW45" s="1181"/>
      <c r="SUX45" s="1181"/>
      <c r="SUY45" s="1181"/>
      <c r="SUZ45" s="1181"/>
      <c r="SVA45" s="1181"/>
      <c r="SVB45" s="1181"/>
      <c r="SVC45" s="1181"/>
      <c r="SVD45" s="1181"/>
      <c r="SVE45" s="1181"/>
      <c r="SVF45" s="1181"/>
      <c r="SVG45" s="1181"/>
      <c r="SVH45" s="1181"/>
      <c r="SVI45" s="1181"/>
      <c r="SVJ45" s="1181"/>
      <c r="SVK45" s="1181"/>
      <c r="SVL45" s="1181"/>
      <c r="SVM45" s="1181"/>
      <c r="SVN45" s="1181"/>
      <c r="SVO45" s="1181"/>
      <c r="SVP45" s="1181"/>
      <c r="SVQ45" s="1181"/>
      <c r="SVR45" s="1181"/>
      <c r="SVS45" s="1181"/>
      <c r="SVT45" s="1181"/>
      <c r="SVU45" s="1181"/>
      <c r="SVV45" s="1181"/>
      <c r="SVW45" s="1181"/>
      <c r="SVX45" s="1181"/>
      <c r="SVY45" s="1181"/>
      <c r="SVZ45" s="1181"/>
      <c r="SWA45" s="1181"/>
      <c r="SWB45" s="1181"/>
      <c r="SWC45" s="1181"/>
      <c r="SWD45" s="1181"/>
      <c r="SWE45" s="1181"/>
      <c r="SWF45" s="1181"/>
      <c r="SWG45" s="1181"/>
      <c r="SWH45" s="1181"/>
      <c r="SWI45" s="1181"/>
      <c r="SWJ45" s="1181"/>
      <c r="SWK45" s="1181"/>
      <c r="SWL45" s="1181"/>
      <c r="SWM45" s="1181"/>
      <c r="SWN45" s="1181"/>
      <c r="SWO45" s="1181"/>
      <c r="SWP45" s="1181"/>
      <c r="SWQ45" s="1181"/>
      <c r="SWR45" s="1181"/>
      <c r="SWS45" s="1181"/>
      <c r="SWT45" s="1181"/>
      <c r="SWU45" s="1181"/>
      <c r="SWV45" s="1181"/>
      <c r="SWW45" s="1181"/>
      <c r="SWX45" s="1181"/>
      <c r="SWY45" s="1181"/>
      <c r="SWZ45" s="1181"/>
      <c r="SXA45" s="1181"/>
      <c r="SXB45" s="1181"/>
      <c r="SXC45" s="1181"/>
      <c r="SXD45" s="1181"/>
      <c r="SXE45" s="1181"/>
      <c r="SXF45" s="1181"/>
      <c r="SXG45" s="1181"/>
      <c r="SXH45" s="1181"/>
      <c r="SXI45" s="1181"/>
      <c r="SXJ45" s="1181"/>
      <c r="SXK45" s="1181"/>
      <c r="SXL45" s="1181"/>
      <c r="SXM45" s="1181"/>
      <c r="SXN45" s="1181"/>
      <c r="SXO45" s="1181"/>
      <c r="SXP45" s="1181"/>
      <c r="SXQ45" s="1181"/>
      <c r="SXR45" s="1181"/>
      <c r="SXS45" s="1181"/>
      <c r="SXT45" s="1181"/>
      <c r="SXU45" s="1181"/>
      <c r="SXV45" s="1181"/>
      <c r="SXW45" s="1181"/>
      <c r="SXX45" s="1181"/>
      <c r="SXY45" s="1181"/>
      <c r="SXZ45" s="1181"/>
      <c r="SYA45" s="1181"/>
      <c r="SYB45" s="1181"/>
      <c r="SYC45" s="1181"/>
      <c r="SYD45" s="1181"/>
      <c r="SYE45" s="1181"/>
      <c r="SYF45" s="1181"/>
      <c r="SYG45" s="1181"/>
      <c r="SYH45" s="1181"/>
      <c r="SYI45" s="1181"/>
      <c r="SYJ45" s="1181"/>
      <c r="SYK45" s="1181"/>
      <c r="SYL45" s="1181"/>
      <c r="SYM45" s="1181"/>
      <c r="SYN45" s="1181"/>
      <c r="SYO45" s="1181"/>
      <c r="SYP45" s="1181"/>
      <c r="SYQ45" s="1181"/>
      <c r="SYR45" s="1181"/>
      <c r="SYS45" s="1181"/>
      <c r="SYT45" s="1181"/>
      <c r="SYU45" s="1181"/>
      <c r="SYV45" s="1181"/>
      <c r="SYW45" s="1181"/>
      <c r="SYX45" s="1181"/>
      <c r="SYY45" s="1181"/>
      <c r="SYZ45" s="1181"/>
      <c r="SZA45" s="1181"/>
      <c r="SZB45" s="1181"/>
      <c r="SZC45" s="1181"/>
      <c r="SZD45" s="1181"/>
      <c r="SZE45" s="1181"/>
      <c r="SZF45" s="1181"/>
      <c r="SZG45" s="1181"/>
      <c r="SZH45" s="1181"/>
      <c r="SZI45" s="1181"/>
      <c r="SZJ45" s="1181"/>
      <c r="SZK45" s="1181"/>
      <c r="SZL45" s="1181"/>
      <c r="SZM45" s="1181"/>
      <c r="SZN45" s="1181"/>
      <c r="SZO45" s="1181"/>
      <c r="SZP45" s="1181"/>
      <c r="SZQ45" s="1181"/>
      <c r="SZR45" s="1181"/>
      <c r="SZS45" s="1181"/>
      <c r="SZT45" s="1181"/>
      <c r="SZU45" s="1181"/>
      <c r="SZV45" s="1181"/>
      <c r="SZW45" s="1181"/>
      <c r="SZX45" s="1181"/>
      <c r="SZY45" s="1181"/>
      <c r="SZZ45" s="1181"/>
      <c r="TAA45" s="1181"/>
      <c r="TAB45" s="1181"/>
      <c r="TAC45" s="1181"/>
      <c r="TAD45" s="1181"/>
      <c r="TAE45" s="1181"/>
      <c r="TAF45" s="1181"/>
      <c r="TAG45" s="1181"/>
      <c r="TAH45" s="1181"/>
      <c r="TAI45" s="1181"/>
      <c r="TAJ45" s="1181"/>
      <c r="TAK45" s="1181"/>
      <c r="TAL45" s="1181"/>
      <c r="TAM45" s="1181"/>
      <c r="TAN45" s="1181"/>
      <c r="TAO45" s="1181"/>
      <c r="TAP45" s="1181"/>
      <c r="TAQ45" s="1181"/>
      <c r="TAR45" s="1181"/>
      <c r="TAS45" s="1181"/>
      <c r="TAT45" s="1181"/>
      <c r="TAU45" s="1181"/>
      <c r="TAV45" s="1181"/>
      <c r="TAW45" s="1181"/>
      <c r="TAX45" s="1181"/>
      <c r="TAY45" s="1181"/>
      <c r="TAZ45" s="1181"/>
      <c r="TBA45" s="1181"/>
      <c r="TBB45" s="1181"/>
      <c r="TBC45" s="1181"/>
      <c r="TBD45" s="1181"/>
      <c r="TBE45" s="1181"/>
      <c r="TBF45" s="1181"/>
      <c r="TBG45" s="1181"/>
      <c r="TBH45" s="1181"/>
      <c r="TBI45" s="1181"/>
      <c r="TBJ45" s="1181"/>
      <c r="TBK45" s="1181"/>
      <c r="TBL45" s="1181"/>
      <c r="TBM45" s="1181"/>
      <c r="TBN45" s="1181"/>
      <c r="TBO45" s="1181"/>
      <c r="TBP45" s="1181"/>
      <c r="TBQ45" s="1181"/>
      <c r="TBR45" s="1181"/>
      <c r="TBS45" s="1181"/>
      <c r="TBT45" s="1181"/>
      <c r="TBU45" s="1181"/>
      <c r="TBV45" s="1181"/>
      <c r="TBW45" s="1181"/>
      <c r="TBX45" s="1181"/>
      <c r="TBY45" s="1181"/>
      <c r="TBZ45" s="1181"/>
      <c r="TCA45" s="1181"/>
      <c r="TCB45" s="1181"/>
      <c r="TCC45" s="1181"/>
      <c r="TCD45" s="1181"/>
      <c r="TCE45" s="1181"/>
      <c r="TCF45" s="1181"/>
      <c r="TCG45" s="1181"/>
      <c r="TCH45" s="1181"/>
      <c r="TCI45" s="1181"/>
      <c r="TCJ45" s="1181"/>
      <c r="TCK45" s="1181"/>
      <c r="TCL45" s="1181"/>
      <c r="TCM45" s="1181"/>
      <c r="TCN45" s="1181"/>
      <c r="TCO45" s="1181"/>
      <c r="TCP45" s="1181"/>
      <c r="TCQ45" s="1181"/>
      <c r="TCR45" s="1181"/>
      <c r="TCS45" s="1181"/>
      <c r="TCT45" s="1181"/>
      <c r="TCU45" s="1181"/>
      <c r="TCV45" s="1181"/>
      <c r="TCW45" s="1181"/>
      <c r="TCX45" s="1181"/>
      <c r="TCY45" s="1181"/>
      <c r="TCZ45" s="1181"/>
      <c r="TDA45" s="1181"/>
      <c r="TDB45" s="1181"/>
      <c r="TDC45" s="1181"/>
      <c r="TDD45" s="1181"/>
      <c r="TDE45" s="1181"/>
      <c r="TDF45" s="1181"/>
      <c r="TDG45" s="1181"/>
      <c r="TDH45" s="1181"/>
      <c r="TDI45" s="1181"/>
      <c r="TDJ45" s="1181"/>
      <c r="TDK45" s="1181"/>
      <c r="TDL45" s="1181"/>
      <c r="TDM45" s="1181"/>
      <c r="TDN45" s="1181"/>
      <c r="TDO45" s="1181"/>
      <c r="TDP45" s="1181"/>
      <c r="TDQ45" s="1181"/>
      <c r="TDR45" s="1181"/>
      <c r="TDS45" s="1181"/>
      <c r="TDT45" s="1181"/>
      <c r="TDU45" s="1181"/>
      <c r="TDV45" s="1181"/>
      <c r="TDW45" s="1181"/>
      <c r="TDX45" s="1181"/>
      <c r="TDY45" s="1181"/>
      <c r="TDZ45" s="1181"/>
      <c r="TEA45" s="1181"/>
      <c r="TEB45" s="1181"/>
      <c r="TEC45" s="1181"/>
      <c r="TED45" s="1181"/>
      <c r="TEE45" s="1181"/>
      <c r="TEF45" s="1181"/>
      <c r="TEG45" s="1181"/>
      <c r="TEH45" s="1181"/>
      <c r="TEI45" s="1181"/>
      <c r="TEJ45" s="1181"/>
      <c r="TEK45" s="1181"/>
      <c r="TEL45" s="1181"/>
      <c r="TEM45" s="1181"/>
      <c r="TEN45" s="1181"/>
      <c r="TEO45" s="1181"/>
      <c r="TEP45" s="1181"/>
      <c r="TEQ45" s="1181"/>
      <c r="TER45" s="1181"/>
      <c r="TES45" s="1181"/>
      <c r="TET45" s="1181"/>
      <c r="TEU45" s="1181"/>
      <c r="TEV45" s="1181"/>
      <c r="TEW45" s="1181"/>
      <c r="TEX45" s="1181"/>
      <c r="TEY45" s="1181"/>
      <c r="TEZ45" s="1181"/>
      <c r="TFA45" s="1181"/>
      <c r="TFB45" s="1181"/>
      <c r="TFC45" s="1181"/>
      <c r="TFD45" s="1181"/>
      <c r="TFE45" s="1181"/>
      <c r="TFF45" s="1181"/>
      <c r="TFG45" s="1181"/>
      <c r="TFH45" s="1181"/>
      <c r="TFI45" s="1181"/>
      <c r="TFJ45" s="1181"/>
      <c r="TFK45" s="1181"/>
      <c r="TFL45" s="1181"/>
      <c r="TFM45" s="1181"/>
      <c r="TFN45" s="1181"/>
      <c r="TFO45" s="1181"/>
      <c r="TFP45" s="1181"/>
      <c r="TFQ45" s="1181"/>
      <c r="TFR45" s="1181"/>
      <c r="TFS45" s="1181"/>
      <c r="TFT45" s="1181"/>
      <c r="TFU45" s="1181"/>
      <c r="TFV45" s="1181"/>
      <c r="TFW45" s="1181"/>
      <c r="TFX45" s="1181"/>
      <c r="TFY45" s="1181"/>
      <c r="TFZ45" s="1181"/>
      <c r="TGA45" s="1181"/>
      <c r="TGB45" s="1181"/>
      <c r="TGC45" s="1181"/>
      <c r="TGD45" s="1181"/>
      <c r="TGE45" s="1181"/>
      <c r="TGF45" s="1181"/>
      <c r="TGG45" s="1181"/>
      <c r="TGH45" s="1181"/>
      <c r="TGI45" s="1181"/>
      <c r="TGJ45" s="1181"/>
      <c r="TGK45" s="1181"/>
      <c r="TGL45" s="1181"/>
      <c r="TGM45" s="1181"/>
      <c r="TGN45" s="1181"/>
      <c r="TGO45" s="1181"/>
      <c r="TGP45" s="1181"/>
      <c r="TGQ45" s="1181"/>
      <c r="TGR45" s="1181"/>
      <c r="TGS45" s="1181"/>
      <c r="TGT45" s="1181"/>
      <c r="TGU45" s="1181"/>
      <c r="TGV45" s="1181"/>
      <c r="TGW45" s="1181"/>
      <c r="TGX45" s="1181"/>
      <c r="TGY45" s="1181"/>
      <c r="TGZ45" s="1181"/>
      <c r="THA45" s="1181"/>
      <c r="THB45" s="1181"/>
      <c r="THC45" s="1181"/>
      <c r="THD45" s="1181"/>
      <c r="THE45" s="1181"/>
      <c r="THF45" s="1181"/>
      <c r="THG45" s="1181"/>
      <c r="THH45" s="1181"/>
      <c r="THI45" s="1181"/>
      <c r="THJ45" s="1181"/>
      <c r="THK45" s="1181"/>
      <c r="THL45" s="1181"/>
      <c r="THM45" s="1181"/>
      <c r="THN45" s="1181"/>
      <c r="THO45" s="1181"/>
      <c r="THP45" s="1181"/>
      <c r="THQ45" s="1181"/>
      <c r="THR45" s="1181"/>
      <c r="THS45" s="1181"/>
      <c r="THT45" s="1181"/>
      <c r="THU45" s="1181"/>
      <c r="THV45" s="1181"/>
      <c r="THW45" s="1181"/>
      <c r="THX45" s="1181"/>
      <c r="THY45" s="1181"/>
      <c r="THZ45" s="1181"/>
      <c r="TIA45" s="1181"/>
      <c r="TIB45" s="1181"/>
      <c r="TIC45" s="1181"/>
      <c r="TID45" s="1181"/>
      <c r="TIE45" s="1181"/>
      <c r="TIF45" s="1181"/>
      <c r="TIG45" s="1181"/>
      <c r="TIH45" s="1181"/>
      <c r="TII45" s="1181"/>
      <c r="TIJ45" s="1181"/>
      <c r="TIK45" s="1181"/>
      <c r="TIL45" s="1181"/>
      <c r="TIM45" s="1181"/>
      <c r="TIN45" s="1181"/>
      <c r="TIO45" s="1181"/>
      <c r="TIP45" s="1181"/>
      <c r="TIQ45" s="1181"/>
      <c r="TIR45" s="1181"/>
      <c r="TIS45" s="1181"/>
      <c r="TIT45" s="1181"/>
      <c r="TIU45" s="1181"/>
      <c r="TIV45" s="1181"/>
      <c r="TIW45" s="1181"/>
      <c r="TIX45" s="1181"/>
      <c r="TIY45" s="1181"/>
      <c r="TIZ45" s="1181"/>
      <c r="TJA45" s="1181"/>
      <c r="TJB45" s="1181"/>
      <c r="TJC45" s="1181"/>
      <c r="TJD45" s="1181"/>
      <c r="TJE45" s="1181"/>
      <c r="TJF45" s="1181"/>
      <c r="TJG45" s="1181"/>
      <c r="TJH45" s="1181"/>
      <c r="TJI45" s="1181"/>
      <c r="TJJ45" s="1181"/>
      <c r="TJK45" s="1181"/>
      <c r="TJL45" s="1181"/>
      <c r="TJM45" s="1181"/>
      <c r="TJN45" s="1181"/>
      <c r="TJO45" s="1181"/>
      <c r="TJP45" s="1181"/>
      <c r="TJQ45" s="1181"/>
      <c r="TJR45" s="1181"/>
      <c r="TJS45" s="1181"/>
      <c r="TJT45" s="1181"/>
      <c r="TJU45" s="1181"/>
      <c r="TJV45" s="1181"/>
      <c r="TJW45" s="1181"/>
      <c r="TJX45" s="1181"/>
      <c r="TJY45" s="1181"/>
      <c r="TJZ45" s="1181"/>
      <c r="TKA45" s="1181"/>
      <c r="TKB45" s="1181"/>
      <c r="TKC45" s="1181"/>
      <c r="TKD45" s="1181"/>
      <c r="TKE45" s="1181"/>
      <c r="TKF45" s="1181"/>
      <c r="TKG45" s="1181"/>
      <c r="TKH45" s="1181"/>
      <c r="TKI45" s="1181"/>
      <c r="TKJ45" s="1181"/>
      <c r="TKK45" s="1181"/>
      <c r="TKL45" s="1181"/>
      <c r="TKM45" s="1181"/>
      <c r="TKN45" s="1181"/>
      <c r="TKO45" s="1181"/>
      <c r="TKP45" s="1181"/>
      <c r="TKQ45" s="1181"/>
      <c r="TKR45" s="1181"/>
      <c r="TKS45" s="1181"/>
      <c r="TKT45" s="1181"/>
      <c r="TKU45" s="1181"/>
      <c r="TKV45" s="1181"/>
      <c r="TKW45" s="1181"/>
      <c r="TKX45" s="1181"/>
      <c r="TKY45" s="1181"/>
      <c r="TKZ45" s="1181"/>
      <c r="TLA45" s="1181"/>
      <c r="TLB45" s="1181"/>
      <c r="TLC45" s="1181"/>
      <c r="TLD45" s="1181"/>
      <c r="TLE45" s="1181"/>
      <c r="TLF45" s="1181"/>
      <c r="TLG45" s="1181"/>
      <c r="TLH45" s="1181"/>
      <c r="TLI45" s="1181"/>
      <c r="TLJ45" s="1181"/>
      <c r="TLK45" s="1181"/>
      <c r="TLL45" s="1181"/>
      <c r="TLM45" s="1181"/>
      <c r="TLN45" s="1181"/>
      <c r="TLO45" s="1181"/>
      <c r="TLP45" s="1181"/>
      <c r="TLQ45" s="1181"/>
      <c r="TLR45" s="1181"/>
      <c r="TLS45" s="1181"/>
      <c r="TLT45" s="1181"/>
      <c r="TLU45" s="1181"/>
      <c r="TLV45" s="1181"/>
      <c r="TLW45" s="1181"/>
      <c r="TLX45" s="1181"/>
      <c r="TLY45" s="1181"/>
      <c r="TLZ45" s="1181"/>
      <c r="TMA45" s="1181"/>
      <c r="TMB45" s="1181"/>
      <c r="TMC45" s="1181"/>
      <c r="TMD45" s="1181"/>
      <c r="TME45" s="1181"/>
      <c r="TMF45" s="1181"/>
      <c r="TMG45" s="1181"/>
      <c r="TMH45" s="1181"/>
      <c r="TMI45" s="1181"/>
      <c r="TMJ45" s="1181"/>
      <c r="TMK45" s="1181"/>
      <c r="TML45" s="1181"/>
      <c r="TMM45" s="1181"/>
      <c r="TMN45" s="1181"/>
      <c r="TMO45" s="1181"/>
      <c r="TMP45" s="1181"/>
      <c r="TMQ45" s="1181"/>
      <c r="TMR45" s="1181"/>
      <c r="TMS45" s="1181"/>
      <c r="TMT45" s="1181"/>
      <c r="TMU45" s="1181"/>
      <c r="TMV45" s="1181"/>
      <c r="TMW45" s="1181"/>
      <c r="TMX45" s="1181"/>
      <c r="TMY45" s="1181"/>
      <c r="TMZ45" s="1181"/>
      <c r="TNA45" s="1181"/>
      <c r="TNB45" s="1181"/>
      <c r="TNC45" s="1181"/>
      <c r="TND45" s="1181"/>
      <c r="TNE45" s="1181"/>
      <c r="TNF45" s="1181"/>
      <c r="TNG45" s="1181"/>
      <c r="TNH45" s="1181"/>
      <c r="TNI45" s="1181"/>
      <c r="TNJ45" s="1181"/>
      <c r="TNK45" s="1181"/>
      <c r="TNL45" s="1181"/>
      <c r="TNM45" s="1181"/>
      <c r="TNN45" s="1181"/>
      <c r="TNO45" s="1181"/>
      <c r="TNP45" s="1181"/>
      <c r="TNQ45" s="1181"/>
      <c r="TNR45" s="1181"/>
      <c r="TNS45" s="1181"/>
      <c r="TNT45" s="1181"/>
      <c r="TNU45" s="1181"/>
      <c r="TNV45" s="1181"/>
      <c r="TNW45" s="1181"/>
      <c r="TNX45" s="1181"/>
      <c r="TNY45" s="1181"/>
      <c r="TNZ45" s="1181"/>
      <c r="TOA45" s="1181"/>
      <c r="TOB45" s="1181"/>
      <c r="TOC45" s="1181"/>
      <c r="TOD45" s="1181"/>
      <c r="TOE45" s="1181"/>
      <c r="TOF45" s="1181"/>
      <c r="TOG45" s="1181"/>
      <c r="TOH45" s="1181"/>
      <c r="TOI45" s="1181"/>
      <c r="TOJ45" s="1181"/>
      <c r="TOK45" s="1181"/>
      <c r="TOL45" s="1181"/>
      <c r="TOM45" s="1181"/>
      <c r="TON45" s="1181"/>
      <c r="TOO45" s="1181"/>
      <c r="TOP45" s="1181"/>
      <c r="TOQ45" s="1181"/>
      <c r="TOR45" s="1181"/>
      <c r="TOS45" s="1181"/>
      <c r="TOT45" s="1181"/>
      <c r="TOU45" s="1181"/>
      <c r="TOV45" s="1181"/>
      <c r="TOW45" s="1181"/>
      <c r="TOX45" s="1181"/>
      <c r="TOY45" s="1181"/>
      <c r="TOZ45" s="1181"/>
      <c r="TPA45" s="1181"/>
      <c r="TPB45" s="1181"/>
      <c r="TPC45" s="1181"/>
      <c r="TPD45" s="1181"/>
      <c r="TPE45" s="1181"/>
      <c r="TPF45" s="1181"/>
      <c r="TPG45" s="1181"/>
      <c r="TPH45" s="1181"/>
      <c r="TPI45" s="1181"/>
      <c r="TPJ45" s="1181"/>
      <c r="TPK45" s="1181"/>
      <c r="TPL45" s="1181"/>
      <c r="TPM45" s="1181"/>
      <c r="TPN45" s="1181"/>
      <c r="TPO45" s="1181"/>
      <c r="TPP45" s="1181"/>
      <c r="TPQ45" s="1181"/>
      <c r="TPR45" s="1181"/>
      <c r="TPS45" s="1181"/>
      <c r="TPT45" s="1181"/>
      <c r="TPU45" s="1181"/>
      <c r="TPV45" s="1181"/>
      <c r="TPW45" s="1181"/>
      <c r="TPX45" s="1181"/>
      <c r="TPY45" s="1181"/>
      <c r="TPZ45" s="1181"/>
      <c r="TQA45" s="1181"/>
      <c r="TQB45" s="1181"/>
      <c r="TQC45" s="1181"/>
      <c r="TQD45" s="1181"/>
      <c r="TQE45" s="1181"/>
      <c r="TQF45" s="1181"/>
      <c r="TQG45" s="1181"/>
      <c r="TQH45" s="1181"/>
      <c r="TQI45" s="1181"/>
      <c r="TQJ45" s="1181"/>
      <c r="TQK45" s="1181"/>
      <c r="TQL45" s="1181"/>
      <c r="TQM45" s="1181"/>
      <c r="TQN45" s="1181"/>
      <c r="TQO45" s="1181"/>
      <c r="TQP45" s="1181"/>
      <c r="TQQ45" s="1181"/>
      <c r="TQR45" s="1181"/>
      <c r="TQS45" s="1181"/>
      <c r="TQT45" s="1181"/>
      <c r="TQU45" s="1181"/>
      <c r="TQV45" s="1181"/>
      <c r="TQW45" s="1181"/>
      <c r="TQX45" s="1181"/>
      <c r="TQY45" s="1181"/>
      <c r="TQZ45" s="1181"/>
      <c r="TRA45" s="1181"/>
      <c r="TRB45" s="1181"/>
      <c r="TRC45" s="1181"/>
      <c r="TRD45" s="1181"/>
      <c r="TRE45" s="1181"/>
      <c r="TRF45" s="1181"/>
      <c r="TRG45" s="1181"/>
      <c r="TRH45" s="1181"/>
      <c r="TRI45" s="1181"/>
      <c r="TRJ45" s="1181"/>
      <c r="TRK45" s="1181"/>
      <c r="TRL45" s="1181"/>
      <c r="TRM45" s="1181"/>
      <c r="TRN45" s="1181"/>
      <c r="TRO45" s="1181"/>
      <c r="TRP45" s="1181"/>
      <c r="TRQ45" s="1181"/>
      <c r="TRR45" s="1181"/>
      <c r="TRS45" s="1181"/>
      <c r="TRT45" s="1181"/>
      <c r="TRU45" s="1181"/>
      <c r="TRV45" s="1181"/>
      <c r="TRW45" s="1181"/>
      <c r="TRX45" s="1181"/>
      <c r="TRY45" s="1181"/>
      <c r="TRZ45" s="1181"/>
      <c r="TSA45" s="1181"/>
      <c r="TSB45" s="1181"/>
      <c r="TSC45" s="1181"/>
      <c r="TSD45" s="1181"/>
      <c r="TSE45" s="1181"/>
      <c r="TSF45" s="1181"/>
      <c r="TSG45" s="1181"/>
      <c r="TSH45" s="1181"/>
      <c r="TSI45" s="1181"/>
      <c r="TSJ45" s="1181"/>
      <c r="TSK45" s="1181"/>
      <c r="TSL45" s="1181"/>
      <c r="TSM45" s="1181"/>
      <c r="TSN45" s="1181"/>
      <c r="TSO45" s="1181"/>
      <c r="TSP45" s="1181"/>
      <c r="TSQ45" s="1181"/>
      <c r="TSR45" s="1181"/>
      <c r="TSS45" s="1181"/>
      <c r="TST45" s="1181"/>
      <c r="TSU45" s="1181"/>
      <c r="TSV45" s="1181"/>
      <c r="TSW45" s="1181"/>
      <c r="TSX45" s="1181"/>
      <c r="TSY45" s="1181"/>
      <c r="TSZ45" s="1181"/>
      <c r="TTA45" s="1181"/>
      <c r="TTB45" s="1181"/>
      <c r="TTC45" s="1181"/>
      <c r="TTD45" s="1181"/>
      <c r="TTE45" s="1181"/>
      <c r="TTF45" s="1181"/>
      <c r="TTG45" s="1181"/>
      <c r="TTH45" s="1181"/>
      <c r="TTI45" s="1181"/>
      <c r="TTJ45" s="1181"/>
      <c r="TTK45" s="1181"/>
      <c r="TTL45" s="1181"/>
      <c r="TTM45" s="1181"/>
      <c r="TTN45" s="1181"/>
      <c r="TTO45" s="1181"/>
      <c r="TTP45" s="1181"/>
      <c r="TTQ45" s="1181"/>
      <c r="TTR45" s="1181"/>
      <c r="TTS45" s="1181"/>
      <c r="TTT45" s="1181"/>
      <c r="TTU45" s="1181"/>
      <c r="TTV45" s="1181"/>
      <c r="TTW45" s="1181"/>
      <c r="TTX45" s="1181"/>
      <c r="TTY45" s="1181"/>
      <c r="TTZ45" s="1181"/>
      <c r="TUA45" s="1181"/>
      <c r="TUB45" s="1181"/>
      <c r="TUC45" s="1181"/>
      <c r="TUD45" s="1181"/>
      <c r="TUE45" s="1181"/>
      <c r="TUF45" s="1181"/>
      <c r="TUG45" s="1181"/>
      <c r="TUH45" s="1181"/>
      <c r="TUI45" s="1181"/>
      <c r="TUJ45" s="1181"/>
      <c r="TUK45" s="1181"/>
      <c r="TUL45" s="1181"/>
      <c r="TUM45" s="1181"/>
      <c r="TUN45" s="1181"/>
      <c r="TUO45" s="1181"/>
      <c r="TUP45" s="1181"/>
      <c r="TUQ45" s="1181"/>
      <c r="TUR45" s="1181"/>
      <c r="TUS45" s="1181"/>
      <c r="TUT45" s="1181"/>
      <c r="TUU45" s="1181"/>
      <c r="TUV45" s="1181"/>
      <c r="TUW45" s="1181"/>
      <c r="TUX45" s="1181"/>
      <c r="TUY45" s="1181"/>
      <c r="TUZ45" s="1181"/>
      <c r="TVA45" s="1181"/>
      <c r="TVB45" s="1181"/>
      <c r="TVC45" s="1181"/>
      <c r="TVD45" s="1181"/>
      <c r="TVE45" s="1181"/>
      <c r="TVF45" s="1181"/>
      <c r="TVG45" s="1181"/>
      <c r="TVH45" s="1181"/>
      <c r="TVI45" s="1181"/>
      <c r="TVJ45" s="1181"/>
      <c r="TVK45" s="1181"/>
      <c r="TVL45" s="1181"/>
      <c r="TVM45" s="1181"/>
      <c r="TVN45" s="1181"/>
      <c r="TVO45" s="1181"/>
      <c r="TVP45" s="1181"/>
      <c r="TVQ45" s="1181"/>
      <c r="TVR45" s="1181"/>
      <c r="TVS45" s="1181"/>
      <c r="TVT45" s="1181"/>
      <c r="TVU45" s="1181"/>
      <c r="TVV45" s="1181"/>
      <c r="TVW45" s="1181"/>
      <c r="TVX45" s="1181"/>
      <c r="TVY45" s="1181"/>
      <c r="TVZ45" s="1181"/>
      <c r="TWA45" s="1181"/>
      <c r="TWB45" s="1181"/>
      <c r="TWC45" s="1181"/>
      <c r="TWD45" s="1181"/>
      <c r="TWE45" s="1181"/>
      <c r="TWF45" s="1181"/>
      <c r="TWG45" s="1181"/>
      <c r="TWH45" s="1181"/>
      <c r="TWI45" s="1181"/>
      <c r="TWJ45" s="1181"/>
      <c r="TWK45" s="1181"/>
      <c r="TWL45" s="1181"/>
      <c r="TWM45" s="1181"/>
      <c r="TWN45" s="1181"/>
      <c r="TWO45" s="1181"/>
      <c r="TWP45" s="1181"/>
      <c r="TWQ45" s="1181"/>
      <c r="TWR45" s="1181"/>
      <c r="TWS45" s="1181"/>
      <c r="TWT45" s="1181"/>
      <c r="TWU45" s="1181"/>
      <c r="TWV45" s="1181"/>
      <c r="TWW45" s="1181"/>
      <c r="TWX45" s="1181"/>
      <c r="TWY45" s="1181"/>
      <c r="TWZ45" s="1181"/>
      <c r="TXA45" s="1181"/>
      <c r="TXB45" s="1181"/>
      <c r="TXC45" s="1181"/>
      <c r="TXD45" s="1181"/>
      <c r="TXE45" s="1181"/>
      <c r="TXF45" s="1181"/>
      <c r="TXG45" s="1181"/>
      <c r="TXH45" s="1181"/>
      <c r="TXI45" s="1181"/>
      <c r="TXJ45" s="1181"/>
      <c r="TXK45" s="1181"/>
      <c r="TXL45" s="1181"/>
      <c r="TXM45" s="1181"/>
      <c r="TXN45" s="1181"/>
      <c r="TXO45" s="1181"/>
      <c r="TXP45" s="1181"/>
      <c r="TXQ45" s="1181"/>
      <c r="TXR45" s="1181"/>
      <c r="TXS45" s="1181"/>
      <c r="TXT45" s="1181"/>
      <c r="TXU45" s="1181"/>
      <c r="TXV45" s="1181"/>
      <c r="TXW45" s="1181"/>
      <c r="TXX45" s="1181"/>
      <c r="TXY45" s="1181"/>
      <c r="TXZ45" s="1181"/>
      <c r="TYA45" s="1181"/>
      <c r="TYB45" s="1181"/>
      <c r="TYC45" s="1181"/>
      <c r="TYD45" s="1181"/>
      <c r="TYE45" s="1181"/>
      <c r="TYF45" s="1181"/>
      <c r="TYG45" s="1181"/>
      <c r="TYH45" s="1181"/>
      <c r="TYI45" s="1181"/>
      <c r="TYJ45" s="1181"/>
      <c r="TYK45" s="1181"/>
      <c r="TYL45" s="1181"/>
      <c r="TYM45" s="1181"/>
      <c r="TYN45" s="1181"/>
      <c r="TYO45" s="1181"/>
      <c r="TYP45" s="1181"/>
      <c r="TYQ45" s="1181"/>
      <c r="TYR45" s="1181"/>
      <c r="TYS45" s="1181"/>
      <c r="TYT45" s="1181"/>
      <c r="TYU45" s="1181"/>
      <c r="TYV45" s="1181"/>
      <c r="TYW45" s="1181"/>
      <c r="TYX45" s="1181"/>
      <c r="TYY45" s="1181"/>
      <c r="TYZ45" s="1181"/>
      <c r="TZA45" s="1181"/>
      <c r="TZB45" s="1181"/>
      <c r="TZC45" s="1181"/>
      <c r="TZD45" s="1181"/>
      <c r="TZE45" s="1181"/>
      <c r="TZF45" s="1181"/>
      <c r="TZG45" s="1181"/>
      <c r="TZH45" s="1181"/>
      <c r="TZI45" s="1181"/>
      <c r="TZJ45" s="1181"/>
      <c r="TZK45" s="1181"/>
      <c r="TZL45" s="1181"/>
      <c r="TZM45" s="1181"/>
      <c r="TZN45" s="1181"/>
      <c r="TZO45" s="1181"/>
      <c r="TZP45" s="1181"/>
      <c r="TZQ45" s="1181"/>
      <c r="TZR45" s="1181"/>
      <c r="TZS45" s="1181"/>
      <c r="TZT45" s="1181"/>
      <c r="TZU45" s="1181"/>
      <c r="TZV45" s="1181"/>
      <c r="TZW45" s="1181"/>
      <c r="TZX45" s="1181"/>
      <c r="TZY45" s="1181"/>
      <c r="TZZ45" s="1181"/>
      <c r="UAA45" s="1181"/>
      <c r="UAB45" s="1181"/>
      <c r="UAC45" s="1181"/>
      <c r="UAD45" s="1181"/>
      <c r="UAE45" s="1181"/>
      <c r="UAF45" s="1181"/>
      <c r="UAG45" s="1181"/>
      <c r="UAH45" s="1181"/>
      <c r="UAI45" s="1181"/>
      <c r="UAJ45" s="1181"/>
      <c r="UAK45" s="1181"/>
      <c r="UAL45" s="1181"/>
      <c r="UAM45" s="1181"/>
      <c r="UAN45" s="1181"/>
      <c r="UAO45" s="1181"/>
      <c r="UAP45" s="1181"/>
      <c r="UAQ45" s="1181"/>
      <c r="UAR45" s="1181"/>
      <c r="UAS45" s="1181"/>
      <c r="UAT45" s="1181"/>
      <c r="UAU45" s="1181"/>
      <c r="UAV45" s="1181"/>
      <c r="UAW45" s="1181"/>
      <c r="UAX45" s="1181"/>
      <c r="UAY45" s="1181"/>
      <c r="UAZ45" s="1181"/>
      <c r="UBA45" s="1181"/>
      <c r="UBB45" s="1181"/>
      <c r="UBC45" s="1181"/>
      <c r="UBD45" s="1181"/>
      <c r="UBE45" s="1181"/>
      <c r="UBF45" s="1181"/>
      <c r="UBG45" s="1181"/>
      <c r="UBH45" s="1181"/>
      <c r="UBI45" s="1181"/>
      <c r="UBJ45" s="1181"/>
      <c r="UBK45" s="1181"/>
      <c r="UBL45" s="1181"/>
      <c r="UBM45" s="1181"/>
      <c r="UBN45" s="1181"/>
      <c r="UBO45" s="1181"/>
      <c r="UBP45" s="1181"/>
      <c r="UBQ45" s="1181"/>
      <c r="UBR45" s="1181"/>
      <c r="UBS45" s="1181"/>
      <c r="UBT45" s="1181"/>
      <c r="UBU45" s="1181"/>
      <c r="UBV45" s="1181"/>
      <c r="UBW45" s="1181"/>
      <c r="UBX45" s="1181"/>
      <c r="UBY45" s="1181"/>
      <c r="UBZ45" s="1181"/>
      <c r="UCA45" s="1181"/>
      <c r="UCB45" s="1181"/>
      <c r="UCC45" s="1181"/>
      <c r="UCD45" s="1181"/>
      <c r="UCE45" s="1181"/>
      <c r="UCF45" s="1181"/>
      <c r="UCG45" s="1181"/>
      <c r="UCH45" s="1181"/>
      <c r="UCI45" s="1181"/>
      <c r="UCJ45" s="1181"/>
      <c r="UCK45" s="1181"/>
      <c r="UCL45" s="1181"/>
      <c r="UCM45" s="1181"/>
      <c r="UCN45" s="1181"/>
      <c r="UCO45" s="1181"/>
      <c r="UCP45" s="1181"/>
      <c r="UCQ45" s="1181"/>
      <c r="UCR45" s="1181"/>
      <c r="UCS45" s="1181"/>
      <c r="UCT45" s="1181"/>
      <c r="UCU45" s="1181"/>
      <c r="UCV45" s="1181"/>
      <c r="UCW45" s="1181"/>
      <c r="UCX45" s="1181"/>
      <c r="UCY45" s="1181"/>
      <c r="UCZ45" s="1181"/>
      <c r="UDA45" s="1181"/>
      <c r="UDB45" s="1181"/>
      <c r="UDC45" s="1181"/>
      <c r="UDD45" s="1181"/>
      <c r="UDE45" s="1181"/>
      <c r="UDF45" s="1181"/>
      <c r="UDG45" s="1181"/>
      <c r="UDH45" s="1181"/>
      <c r="UDI45" s="1181"/>
      <c r="UDJ45" s="1181"/>
      <c r="UDK45" s="1181"/>
      <c r="UDL45" s="1181"/>
      <c r="UDM45" s="1181"/>
      <c r="UDN45" s="1181"/>
      <c r="UDO45" s="1181"/>
      <c r="UDP45" s="1181"/>
      <c r="UDQ45" s="1181"/>
      <c r="UDR45" s="1181"/>
      <c r="UDS45" s="1181"/>
      <c r="UDT45" s="1181"/>
      <c r="UDU45" s="1181"/>
      <c r="UDV45" s="1181"/>
      <c r="UDW45" s="1181"/>
      <c r="UDX45" s="1181"/>
      <c r="UDY45" s="1181"/>
      <c r="UDZ45" s="1181"/>
      <c r="UEA45" s="1181"/>
      <c r="UEB45" s="1181"/>
      <c r="UEC45" s="1181"/>
      <c r="UED45" s="1181"/>
      <c r="UEE45" s="1181"/>
      <c r="UEF45" s="1181"/>
      <c r="UEG45" s="1181"/>
      <c r="UEH45" s="1181"/>
      <c r="UEI45" s="1181"/>
      <c r="UEJ45" s="1181"/>
      <c r="UEK45" s="1181"/>
      <c r="UEL45" s="1181"/>
      <c r="UEM45" s="1181"/>
      <c r="UEN45" s="1181"/>
      <c r="UEO45" s="1181"/>
      <c r="UEP45" s="1181"/>
      <c r="UEQ45" s="1181"/>
      <c r="UER45" s="1181"/>
      <c r="UES45" s="1181"/>
      <c r="UET45" s="1181"/>
      <c r="UEU45" s="1181"/>
      <c r="UEV45" s="1181"/>
      <c r="UEW45" s="1181"/>
      <c r="UEX45" s="1181"/>
      <c r="UEY45" s="1181"/>
      <c r="UEZ45" s="1181"/>
      <c r="UFA45" s="1181"/>
      <c r="UFB45" s="1181"/>
      <c r="UFC45" s="1181"/>
      <c r="UFD45" s="1181"/>
      <c r="UFE45" s="1181"/>
      <c r="UFF45" s="1181"/>
      <c r="UFG45" s="1181"/>
      <c r="UFH45" s="1181"/>
      <c r="UFI45" s="1181"/>
      <c r="UFJ45" s="1181"/>
      <c r="UFK45" s="1181"/>
      <c r="UFL45" s="1181"/>
      <c r="UFM45" s="1181"/>
      <c r="UFN45" s="1181"/>
      <c r="UFO45" s="1181"/>
      <c r="UFP45" s="1181"/>
      <c r="UFQ45" s="1181"/>
      <c r="UFR45" s="1181"/>
      <c r="UFS45" s="1181"/>
      <c r="UFT45" s="1181"/>
      <c r="UFU45" s="1181"/>
      <c r="UFV45" s="1181"/>
      <c r="UFW45" s="1181"/>
      <c r="UFX45" s="1181"/>
      <c r="UFY45" s="1181"/>
      <c r="UFZ45" s="1181"/>
      <c r="UGA45" s="1181"/>
      <c r="UGB45" s="1181"/>
      <c r="UGC45" s="1181"/>
      <c r="UGD45" s="1181"/>
      <c r="UGE45" s="1181"/>
      <c r="UGF45" s="1181"/>
      <c r="UGG45" s="1181"/>
      <c r="UGH45" s="1181"/>
      <c r="UGI45" s="1181"/>
      <c r="UGJ45" s="1181"/>
      <c r="UGK45" s="1181"/>
      <c r="UGL45" s="1181"/>
      <c r="UGM45" s="1181"/>
      <c r="UGN45" s="1181"/>
      <c r="UGO45" s="1181"/>
      <c r="UGP45" s="1181"/>
      <c r="UGQ45" s="1181"/>
      <c r="UGR45" s="1181"/>
      <c r="UGS45" s="1181"/>
      <c r="UGT45" s="1181"/>
      <c r="UGU45" s="1181"/>
      <c r="UGV45" s="1181"/>
      <c r="UGW45" s="1181"/>
      <c r="UGX45" s="1181"/>
      <c r="UGY45" s="1181"/>
      <c r="UGZ45" s="1181"/>
      <c r="UHA45" s="1181"/>
      <c r="UHB45" s="1181"/>
      <c r="UHC45" s="1181"/>
      <c r="UHD45" s="1181"/>
      <c r="UHE45" s="1181"/>
      <c r="UHF45" s="1181"/>
      <c r="UHG45" s="1181"/>
      <c r="UHH45" s="1181"/>
      <c r="UHI45" s="1181"/>
      <c r="UHJ45" s="1181"/>
      <c r="UHK45" s="1181"/>
      <c r="UHL45" s="1181"/>
      <c r="UHM45" s="1181"/>
      <c r="UHN45" s="1181"/>
      <c r="UHO45" s="1181"/>
      <c r="UHP45" s="1181"/>
      <c r="UHQ45" s="1181"/>
      <c r="UHR45" s="1181"/>
      <c r="UHS45" s="1181"/>
      <c r="UHT45" s="1181"/>
      <c r="UHU45" s="1181"/>
      <c r="UHV45" s="1181"/>
      <c r="UHW45" s="1181"/>
      <c r="UHX45" s="1181"/>
      <c r="UHY45" s="1181"/>
      <c r="UHZ45" s="1181"/>
      <c r="UIA45" s="1181"/>
      <c r="UIB45" s="1181"/>
      <c r="UIC45" s="1181"/>
      <c r="UID45" s="1181"/>
      <c r="UIE45" s="1181"/>
      <c r="UIF45" s="1181"/>
      <c r="UIG45" s="1181"/>
      <c r="UIH45" s="1181"/>
      <c r="UII45" s="1181"/>
      <c r="UIJ45" s="1181"/>
      <c r="UIK45" s="1181"/>
      <c r="UIL45" s="1181"/>
      <c r="UIM45" s="1181"/>
      <c r="UIN45" s="1181"/>
      <c r="UIO45" s="1181"/>
      <c r="UIP45" s="1181"/>
      <c r="UIQ45" s="1181"/>
      <c r="UIR45" s="1181"/>
      <c r="UIS45" s="1181"/>
      <c r="UIT45" s="1181"/>
      <c r="UIU45" s="1181"/>
      <c r="UIV45" s="1181"/>
      <c r="UIW45" s="1181"/>
      <c r="UIX45" s="1181"/>
      <c r="UIY45" s="1181"/>
      <c r="UIZ45" s="1181"/>
      <c r="UJA45" s="1181"/>
      <c r="UJB45" s="1181"/>
      <c r="UJC45" s="1181"/>
      <c r="UJD45" s="1181"/>
      <c r="UJE45" s="1181"/>
      <c r="UJF45" s="1181"/>
      <c r="UJG45" s="1181"/>
      <c r="UJH45" s="1181"/>
      <c r="UJI45" s="1181"/>
      <c r="UJJ45" s="1181"/>
      <c r="UJK45" s="1181"/>
      <c r="UJL45" s="1181"/>
      <c r="UJM45" s="1181"/>
      <c r="UJN45" s="1181"/>
      <c r="UJO45" s="1181"/>
      <c r="UJP45" s="1181"/>
      <c r="UJQ45" s="1181"/>
      <c r="UJR45" s="1181"/>
      <c r="UJS45" s="1181"/>
      <c r="UJT45" s="1181"/>
      <c r="UJU45" s="1181"/>
      <c r="UJV45" s="1181"/>
      <c r="UJW45" s="1181"/>
      <c r="UJX45" s="1181"/>
      <c r="UJY45" s="1181"/>
      <c r="UJZ45" s="1181"/>
      <c r="UKA45" s="1181"/>
      <c r="UKB45" s="1181"/>
      <c r="UKC45" s="1181"/>
      <c r="UKD45" s="1181"/>
      <c r="UKE45" s="1181"/>
      <c r="UKF45" s="1181"/>
      <c r="UKG45" s="1181"/>
      <c r="UKH45" s="1181"/>
      <c r="UKI45" s="1181"/>
      <c r="UKJ45" s="1181"/>
      <c r="UKK45" s="1181"/>
      <c r="UKL45" s="1181"/>
      <c r="UKM45" s="1181"/>
      <c r="UKN45" s="1181"/>
      <c r="UKO45" s="1181"/>
      <c r="UKP45" s="1181"/>
      <c r="UKQ45" s="1181"/>
      <c r="UKR45" s="1181"/>
      <c r="UKS45" s="1181"/>
      <c r="UKT45" s="1181"/>
      <c r="UKU45" s="1181"/>
      <c r="UKV45" s="1181"/>
      <c r="UKW45" s="1181"/>
      <c r="UKX45" s="1181"/>
      <c r="UKY45" s="1181"/>
      <c r="UKZ45" s="1181"/>
      <c r="ULA45" s="1181"/>
      <c r="ULB45" s="1181"/>
      <c r="ULC45" s="1181"/>
      <c r="ULD45" s="1181"/>
      <c r="ULE45" s="1181"/>
      <c r="ULF45" s="1181"/>
      <c r="ULG45" s="1181"/>
      <c r="ULH45" s="1181"/>
      <c r="ULI45" s="1181"/>
      <c r="ULJ45" s="1181"/>
      <c r="ULK45" s="1181"/>
      <c r="ULL45" s="1181"/>
      <c r="ULM45" s="1181"/>
      <c r="ULN45" s="1181"/>
      <c r="ULO45" s="1181"/>
      <c r="ULP45" s="1181"/>
      <c r="ULQ45" s="1181"/>
      <c r="ULR45" s="1181"/>
      <c r="ULS45" s="1181"/>
      <c r="ULT45" s="1181"/>
      <c r="ULU45" s="1181"/>
      <c r="ULV45" s="1181"/>
      <c r="ULW45" s="1181"/>
      <c r="ULX45" s="1181"/>
      <c r="ULY45" s="1181"/>
      <c r="ULZ45" s="1181"/>
      <c r="UMA45" s="1181"/>
      <c r="UMB45" s="1181"/>
      <c r="UMC45" s="1181"/>
      <c r="UMD45" s="1181"/>
      <c r="UME45" s="1181"/>
      <c r="UMF45" s="1181"/>
      <c r="UMG45" s="1181"/>
      <c r="UMH45" s="1181"/>
      <c r="UMI45" s="1181"/>
      <c r="UMJ45" s="1181"/>
      <c r="UMK45" s="1181"/>
      <c r="UML45" s="1181"/>
      <c r="UMM45" s="1181"/>
      <c r="UMN45" s="1181"/>
      <c r="UMO45" s="1181"/>
      <c r="UMP45" s="1181"/>
      <c r="UMQ45" s="1181"/>
      <c r="UMR45" s="1181"/>
      <c r="UMS45" s="1181"/>
      <c r="UMT45" s="1181"/>
      <c r="UMU45" s="1181"/>
      <c r="UMV45" s="1181"/>
      <c r="UMW45" s="1181"/>
      <c r="UMX45" s="1181"/>
      <c r="UMY45" s="1181"/>
      <c r="UMZ45" s="1181"/>
      <c r="UNA45" s="1181"/>
      <c r="UNB45" s="1181"/>
      <c r="UNC45" s="1181"/>
      <c r="UND45" s="1181"/>
      <c r="UNE45" s="1181"/>
      <c r="UNF45" s="1181"/>
      <c r="UNG45" s="1181"/>
      <c r="UNH45" s="1181"/>
      <c r="UNI45" s="1181"/>
      <c r="UNJ45" s="1181"/>
      <c r="UNK45" s="1181"/>
      <c r="UNL45" s="1181"/>
      <c r="UNM45" s="1181"/>
      <c r="UNN45" s="1181"/>
      <c r="UNO45" s="1181"/>
      <c r="UNP45" s="1181"/>
      <c r="UNQ45" s="1181"/>
      <c r="UNR45" s="1181"/>
      <c r="UNS45" s="1181"/>
      <c r="UNT45" s="1181"/>
      <c r="UNU45" s="1181"/>
      <c r="UNV45" s="1181"/>
      <c r="UNW45" s="1181"/>
      <c r="UNX45" s="1181"/>
      <c r="UNY45" s="1181"/>
      <c r="UNZ45" s="1181"/>
      <c r="UOA45" s="1181"/>
      <c r="UOB45" s="1181"/>
      <c r="UOC45" s="1181"/>
      <c r="UOD45" s="1181"/>
      <c r="UOE45" s="1181"/>
      <c r="UOF45" s="1181"/>
      <c r="UOG45" s="1181"/>
      <c r="UOH45" s="1181"/>
      <c r="UOI45" s="1181"/>
      <c r="UOJ45" s="1181"/>
      <c r="UOK45" s="1181"/>
      <c r="UOL45" s="1181"/>
      <c r="UOM45" s="1181"/>
      <c r="UON45" s="1181"/>
      <c r="UOO45" s="1181"/>
      <c r="UOP45" s="1181"/>
      <c r="UOQ45" s="1181"/>
      <c r="UOR45" s="1181"/>
      <c r="UOS45" s="1181"/>
      <c r="UOT45" s="1181"/>
      <c r="UOU45" s="1181"/>
      <c r="UOV45" s="1181"/>
      <c r="UOW45" s="1181"/>
      <c r="UOX45" s="1181"/>
      <c r="UOY45" s="1181"/>
      <c r="UOZ45" s="1181"/>
      <c r="UPA45" s="1181"/>
      <c r="UPB45" s="1181"/>
      <c r="UPC45" s="1181"/>
      <c r="UPD45" s="1181"/>
      <c r="UPE45" s="1181"/>
      <c r="UPF45" s="1181"/>
      <c r="UPG45" s="1181"/>
      <c r="UPH45" s="1181"/>
      <c r="UPI45" s="1181"/>
      <c r="UPJ45" s="1181"/>
      <c r="UPK45" s="1181"/>
      <c r="UPL45" s="1181"/>
      <c r="UPM45" s="1181"/>
      <c r="UPN45" s="1181"/>
      <c r="UPO45" s="1181"/>
      <c r="UPP45" s="1181"/>
      <c r="UPQ45" s="1181"/>
      <c r="UPR45" s="1181"/>
      <c r="UPS45" s="1181"/>
      <c r="UPT45" s="1181"/>
      <c r="UPU45" s="1181"/>
      <c r="UPV45" s="1181"/>
      <c r="UPW45" s="1181"/>
      <c r="UPX45" s="1181"/>
      <c r="UPY45" s="1181"/>
      <c r="UPZ45" s="1181"/>
      <c r="UQA45" s="1181"/>
      <c r="UQB45" s="1181"/>
      <c r="UQC45" s="1181"/>
      <c r="UQD45" s="1181"/>
      <c r="UQE45" s="1181"/>
      <c r="UQF45" s="1181"/>
      <c r="UQG45" s="1181"/>
      <c r="UQH45" s="1181"/>
      <c r="UQI45" s="1181"/>
      <c r="UQJ45" s="1181"/>
      <c r="UQK45" s="1181"/>
      <c r="UQL45" s="1181"/>
      <c r="UQM45" s="1181"/>
      <c r="UQN45" s="1181"/>
      <c r="UQO45" s="1181"/>
      <c r="UQP45" s="1181"/>
      <c r="UQQ45" s="1181"/>
      <c r="UQR45" s="1181"/>
      <c r="UQS45" s="1181"/>
      <c r="UQT45" s="1181"/>
      <c r="UQU45" s="1181"/>
      <c r="UQV45" s="1181"/>
      <c r="UQW45" s="1181"/>
      <c r="UQX45" s="1181"/>
      <c r="UQY45" s="1181"/>
      <c r="UQZ45" s="1181"/>
      <c r="URA45" s="1181"/>
      <c r="URB45" s="1181"/>
      <c r="URC45" s="1181"/>
      <c r="URD45" s="1181"/>
      <c r="URE45" s="1181"/>
      <c r="URF45" s="1181"/>
      <c r="URG45" s="1181"/>
      <c r="URH45" s="1181"/>
      <c r="URI45" s="1181"/>
      <c r="URJ45" s="1181"/>
      <c r="URK45" s="1181"/>
      <c r="URL45" s="1181"/>
      <c r="URM45" s="1181"/>
      <c r="URN45" s="1181"/>
      <c r="URO45" s="1181"/>
      <c r="URP45" s="1181"/>
      <c r="URQ45" s="1181"/>
      <c r="URR45" s="1181"/>
      <c r="URS45" s="1181"/>
      <c r="URT45" s="1181"/>
      <c r="URU45" s="1181"/>
      <c r="URV45" s="1181"/>
      <c r="URW45" s="1181"/>
      <c r="URX45" s="1181"/>
      <c r="URY45" s="1181"/>
      <c r="URZ45" s="1181"/>
      <c r="USA45" s="1181"/>
      <c r="USB45" s="1181"/>
      <c r="USC45" s="1181"/>
      <c r="USD45" s="1181"/>
      <c r="USE45" s="1181"/>
      <c r="USF45" s="1181"/>
      <c r="USG45" s="1181"/>
      <c r="USH45" s="1181"/>
      <c r="USI45" s="1181"/>
      <c r="USJ45" s="1181"/>
      <c r="USK45" s="1181"/>
      <c r="USL45" s="1181"/>
      <c r="USM45" s="1181"/>
      <c r="USN45" s="1181"/>
      <c r="USO45" s="1181"/>
      <c r="USP45" s="1181"/>
      <c r="USQ45" s="1181"/>
      <c r="USR45" s="1181"/>
      <c r="USS45" s="1181"/>
      <c r="UST45" s="1181"/>
      <c r="USU45" s="1181"/>
      <c r="USV45" s="1181"/>
      <c r="USW45" s="1181"/>
      <c r="USX45" s="1181"/>
      <c r="USY45" s="1181"/>
      <c r="USZ45" s="1181"/>
      <c r="UTA45" s="1181"/>
      <c r="UTB45" s="1181"/>
      <c r="UTC45" s="1181"/>
      <c r="UTD45" s="1181"/>
      <c r="UTE45" s="1181"/>
      <c r="UTF45" s="1181"/>
      <c r="UTG45" s="1181"/>
      <c r="UTH45" s="1181"/>
      <c r="UTI45" s="1181"/>
      <c r="UTJ45" s="1181"/>
      <c r="UTK45" s="1181"/>
      <c r="UTL45" s="1181"/>
      <c r="UTM45" s="1181"/>
      <c r="UTN45" s="1181"/>
      <c r="UTO45" s="1181"/>
      <c r="UTP45" s="1181"/>
      <c r="UTQ45" s="1181"/>
      <c r="UTR45" s="1181"/>
      <c r="UTS45" s="1181"/>
      <c r="UTT45" s="1181"/>
      <c r="UTU45" s="1181"/>
      <c r="UTV45" s="1181"/>
      <c r="UTW45" s="1181"/>
      <c r="UTX45" s="1181"/>
      <c r="UTY45" s="1181"/>
      <c r="UTZ45" s="1181"/>
      <c r="UUA45" s="1181"/>
      <c r="UUB45" s="1181"/>
      <c r="UUC45" s="1181"/>
      <c r="UUD45" s="1181"/>
      <c r="UUE45" s="1181"/>
      <c r="UUF45" s="1181"/>
      <c r="UUG45" s="1181"/>
      <c r="UUH45" s="1181"/>
      <c r="UUI45" s="1181"/>
      <c r="UUJ45" s="1181"/>
      <c r="UUK45" s="1181"/>
      <c r="UUL45" s="1181"/>
      <c r="UUM45" s="1181"/>
      <c r="UUN45" s="1181"/>
      <c r="UUO45" s="1181"/>
      <c r="UUP45" s="1181"/>
      <c r="UUQ45" s="1181"/>
      <c r="UUR45" s="1181"/>
      <c r="UUS45" s="1181"/>
      <c r="UUT45" s="1181"/>
      <c r="UUU45" s="1181"/>
      <c r="UUV45" s="1181"/>
      <c r="UUW45" s="1181"/>
      <c r="UUX45" s="1181"/>
      <c r="UUY45" s="1181"/>
      <c r="UUZ45" s="1181"/>
      <c r="UVA45" s="1181"/>
      <c r="UVB45" s="1181"/>
      <c r="UVC45" s="1181"/>
      <c r="UVD45" s="1181"/>
      <c r="UVE45" s="1181"/>
      <c r="UVF45" s="1181"/>
      <c r="UVG45" s="1181"/>
      <c r="UVH45" s="1181"/>
      <c r="UVI45" s="1181"/>
      <c r="UVJ45" s="1181"/>
      <c r="UVK45" s="1181"/>
      <c r="UVL45" s="1181"/>
      <c r="UVM45" s="1181"/>
      <c r="UVN45" s="1181"/>
      <c r="UVO45" s="1181"/>
      <c r="UVP45" s="1181"/>
      <c r="UVQ45" s="1181"/>
      <c r="UVR45" s="1181"/>
      <c r="UVS45" s="1181"/>
      <c r="UVT45" s="1181"/>
      <c r="UVU45" s="1181"/>
      <c r="UVV45" s="1181"/>
      <c r="UVW45" s="1181"/>
      <c r="UVX45" s="1181"/>
      <c r="UVY45" s="1181"/>
      <c r="UVZ45" s="1181"/>
      <c r="UWA45" s="1181"/>
      <c r="UWB45" s="1181"/>
      <c r="UWC45" s="1181"/>
      <c r="UWD45" s="1181"/>
      <c r="UWE45" s="1181"/>
      <c r="UWF45" s="1181"/>
      <c r="UWG45" s="1181"/>
      <c r="UWH45" s="1181"/>
      <c r="UWI45" s="1181"/>
      <c r="UWJ45" s="1181"/>
      <c r="UWK45" s="1181"/>
      <c r="UWL45" s="1181"/>
      <c r="UWM45" s="1181"/>
      <c r="UWN45" s="1181"/>
      <c r="UWO45" s="1181"/>
      <c r="UWP45" s="1181"/>
      <c r="UWQ45" s="1181"/>
      <c r="UWR45" s="1181"/>
      <c r="UWS45" s="1181"/>
      <c r="UWT45" s="1181"/>
      <c r="UWU45" s="1181"/>
      <c r="UWV45" s="1181"/>
      <c r="UWW45" s="1181"/>
      <c r="UWX45" s="1181"/>
      <c r="UWY45" s="1181"/>
      <c r="UWZ45" s="1181"/>
      <c r="UXA45" s="1181"/>
      <c r="UXB45" s="1181"/>
      <c r="UXC45" s="1181"/>
      <c r="UXD45" s="1181"/>
      <c r="UXE45" s="1181"/>
      <c r="UXF45" s="1181"/>
      <c r="UXG45" s="1181"/>
      <c r="UXH45" s="1181"/>
      <c r="UXI45" s="1181"/>
      <c r="UXJ45" s="1181"/>
      <c r="UXK45" s="1181"/>
      <c r="UXL45" s="1181"/>
      <c r="UXM45" s="1181"/>
      <c r="UXN45" s="1181"/>
      <c r="UXO45" s="1181"/>
      <c r="UXP45" s="1181"/>
      <c r="UXQ45" s="1181"/>
      <c r="UXR45" s="1181"/>
      <c r="UXS45" s="1181"/>
      <c r="UXT45" s="1181"/>
      <c r="UXU45" s="1181"/>
      <c r="UXV45" s="1181"/>
      <c r="UXW45" s="1181"/>
      <c r="UXX45" s="1181"/>
      <c r="UXY45" s="1181"/>
      <c r="UXZ45" s="1181"/>
      <c r="UYA45" s="1181"/>
      <c r="UYB45" s="1181"/>
      <c r="UYC45" s="1181"/>
      <c r="UYD45" s="1181"/>
      <c r="UYE45" s="1181"/>
      <c r="UYF45" s="1181"/>
      <c r="UYG45" s="1181"/>
      <c r="UYH45" s="1181"/>
      <c r="UYI45" s="1181"/>
      <c r="UYJ45" s="1181"/>
      <c r="UYK45" s="1181"/>
      <c r="UYL45" s="1181"/>
      <c r="UYM45" s="1181"/>
      <c r="UYN45" s="1181"/>
      <c r="UYO45" s="1181"/>
      <c r="UYP45" s="1181"/>
      <c r="UYQ45" s="1181"/>
      <c r="UYR45" s="1181"/>
      <c r="UYS45" s="1181"/>
      <c r="UYT45" s="1181"/>
      <c r="UYU45" s="1181"/>
      <c r="UYV45" s="1181"/>
      <c r="UYW45" s="1181"/>
      <c r="UYX45" s="1181"/>
      <c r="UYY45" s="1181"/>
      <c r="UYZ45" s="1181"/>
      <c r="UZA45" s="1181"/>
      <c r="UZB45" s="1181"/>
      <c r="UZC45" s="1181"/>
      <c r="UZD45" s="1181"/>
      <c r="UZE45" s="1181"/>
      <c r="UZF45" s="1181"/>
      <c r="UZG45" s="1181"/>
      <c r="UZH45" s="1181"/>
      <c r="UZI45" s="1181"/>
      <c r="UZJ45" s="1181"/>
      <c r="UZK45" s="1181"/>
      <c r="UZL45" s="1181"/>
      <c r="UZM45" s="1181"/>
      <c r="UZN45" s="1181"/>
      <c r="UZO45" s="1181"/>
      <c r="UZP45" s="1181"/>
      <c r="UZQ45" s="1181"/>
      <c r="UZR45" s="1181"/>
      <c r="UZS45" s="1181"/>
      <c r="UZT45" s="1181"/>
      <c r="UZU45" s="1181"/>
      <c r="UZV45" s="1181"/>
      <c r="UZW45" s="1181"/>
      <c r="UZX45" s="1181"/>
      <c r="UZY45" s="1181"/>
      <c r="UZZ45" s="1181"/>
      <c r="VAA45" s="1181"/>
      <c r="VAB45" s="1181"/>
      <c r="VAC45" s="1181"/>
      <c r="VAD45" s="1181"/>
      <c r="VAE45" s="1181"/>
      <c r="VAF45" s="1181"/>
      <c r="VAG45" s="1181"/>
      <c r="VAH45" s="1181"/>
      <c r="VAI45" s="1181"/>
      <c r="VAJ45" s="1181"/>
      <c r="VAK45" s="1181"/>
      <c r="VAL45" s="1181"/>
      <c r="VAM45" s="1181"/>
      <c r="VAN45" s="1181"/>
      <c r="VAO45" s="1181"/>
      <c r="VAP45" s="1181"/>
      <c r="VAQ45" s="1181"/>
      <c r="VAR45" s="1181"/>
      <c r="VAS45" s="1181"/>
      <c r="VAT45" s="1181"/>
      <c r="VAU45" s="1181"/>
      <c r="VAV45" s="1181"/>
      <c r="VAW45" s="1181"/>
      <c r="VAX45" s="1181"/>
      <c r="VAY45" s="1181"/>
      <c r="VAZ45" s="1181"/>
      <c r="VBA45" s="1181"/>
      <c r="VBB45" s="1181"/>
      <c r="VBC45" s="1181"/>
      <c r="VBD45" s="1181"/>
      <c r="VBE45" s="1181"/>
      <c r="VBF45" s="1181"/>
      <c r="VBG45" s="1181"/>
      <c r="VBH45" s="1181"/>
      <c r="VBI45" s="1181"/>
      <c r="VBJ45" s="1181"/>
      <c r="VBK45" s="1181"/>
      <c r="VBL45" s="1181"/>
      <c r="VBM45" s="1181"/>
      <c r="VBN45" s="1181"/>
      <c r="VBO45" s="1181"/>
      <c r="VBP45" s="1181"/>
      <c r="VBQ45" s="1181"/>
      <c r="VBR45" s="1181"/>
      <c r="VBS45" s="1181"/>
      <c r="VBT45" s="1181"/>
      <c r="VBU45" s="1181"/>
      <c r="VBV45" s="1181"/>
      <c r="VBW45" s="1181"/>
      <c r="VBX45" s="1181"/>
      <c r="VBY45" s="1181"/>
      <c r="VBZ45" s="1181"/>
      <c r="VCA45" s="1181"/>
      <c r="VCB45" s="1181"/>
      <c r="VCC45" s="1181"/>
      <c r="VCD45" s="1181"/>
      <c r="VCE45" s="1181"/>
      <c r="VCF45" s="1181"/>
      <c r="VCG45" s="1181"/>
      <c r="VCH45" s="1181"/>
      <c r="VCI45" s="1181"/>
      <c r="VCJ45" s="1181"/>
      <c r="VCK45" s="1181"/>
      <c r="VCL45" s="1181"/>
      <c r="VCM45" s="1181"/>
      <c r="VCN45" s="1181"/>
      <c r="VCO45" s="1181"/>
      <c r="VCP45" s="1181"/>
      <c r="VCQ45" s="1181"/>
      <c r="VCR45" s="1181"/>
      <c r="VCS45" s="1181"/>
      <c r="VCT45" s="1181"/>
      <c r="VCU45" s="1181"/>
      <c r="VCV45" s="1181"/>
      <c r="VCW45" s="1181"/>
      <c r="VCX45" s="1181"/>
      <c r="VCY45" s="1181"/>
      <c r="VCZ45" s="1181"/>
      <c r="VDA45" s="1181"/>
      <c r="VDB45" s="1181"/>
      <c r="VDC45" s="1181"/>
      <c r="VDD45" s="1181"/>
      <c r="VDE45" s="1181"/>
      <c r="VDF45" s="1181"/>
      <c r="VDG45" s="1181"/>
      <c r="VDH45" s="1181"/>
      <c r="VDI45" s="1181"/>
      <c r="VDJ45" s="1181"/>
      <c r="VDK45" s="1181"/>
      <c r="VDL45" s="1181"/>
      <c r="VDM45" s="1181"/>
      <c r="VDN45" s="1181"/>
      <c r="VDO45" s="1181"/>
      <c r="VDP45" s="1181"/>
      <c r="VDQ45" s="1181"/>
      <c r="VDR45" s="1181"/>
      <c r="VDS45" s="1181"/>
      <c r="VDT45" s="1181"/>
      <c r="VDU45" s="1181"/>
      <c r="VDV45" s="1181"/>
      <c r="VDW45" s="1181"/>
      <c r="VDX45" s="1181"/>
      <c r="VDY45" s="1181"/>
      <c r="VDZ45" s="1181"/>
      <c r="VEA45" s="1181"/>
      <c r="VEB45" s="1181"/>
      <c r="VEC45" s="1181"/>
      <c r="VED45" s="1181"/>
      <c r="VEE45" s="1181"/>
      <c r="VEF45" s="1181"/>
      <c r="VEG45" s="1181"/>
      <c r="VEH45" s="1181"/>
      <c r="VEI45" s="1181"/>
      <c r="VEJ45" s="1181"/>
      <c r="VEK45" s="1181"/>
      <c r="VEL45" s="1181"/>
      <c r="VEM45" s="1181"/>
      <c r="VEN45" s="1181"/>
      <c r="VEO45" s="1181"/>
      <c r="VEP45" s="1181"/>
      <c r="VEQ45" s="1181"/>
      <c r="VER45" s="1181"/>
      <c r="VES45" s="1181"/>
      <c r="VET45" s="1181"/>
      <c r="VEU45" s="1181"/>
      <c r="VEV45" s="1181"/>
      <c r="VEW45" s="1181"/>
      <c r="VEX45" s="1181"/>
      <c r="VEY45" s="1181"/>
      <c r="VEZ45" s="1181"/>
      <c r="VFA45" s="1181"/>
      <c r="VFB45" s="1181"/>
      <c r="VFC45" s="1181"/>
      <c r="VFD45" s="1181"/>
      <c r="VFE45" s="1181"/>
      <c r="VFF45" s="1181"/>
      <c r="VFG45" s="1181"/>
      <c r="VFH45" s="1181"/>
      <c r="VFI45" s="1181"/>
      <c r="VFJ45" s="1181"/>
      <c r="VFK45" s="1181"/>
      <c r="VFL45" s="1181"/>
      <c r="VFM45" s="1181"/>
      <c r="VFN45" s="1181"/>
      <c r="VFO45" s="1181"/>
      <c r="VFP45" s="1181"/>
      <c r="VFQ45" s="1181"/>
      <c r="VFR45" s="1181"/>
      <c r="VFS45" s="1181"/>
      <c r="VFT45" s="1181"/>
      <c r="VFU45" s="1181"/>
      <c r="VFV45" s="1181"/>
      <c r="VFW45" s="1181"/>
      <c r="VFX45" s="1181"/>
      <c r="VFY45" s="1181"/>
      <c r="VFZ45" s="1181"/>
      <c r="VGA45" s="1181"/>
      <c r="VGB45" s="1181"/>
      <c r="VGC45" s="1181"/>
      <c r="VGD45" s="1181"/>
      <c r="VGE45" s="1181"/>
      <c r="VGF45" s="1181"/>
      <c r="VGG45" s="1181"/>
      <c r="VGH45" s="1181"/>
      <c r="VGI45" s="1181"/>
      <c r="VGJ45" s="1181"/>
      <c r="VGK45" s="1181"/>
      <c r="VGL45" s="1181"/>
      <c r="VGM45" s="1181"/>
      <c r="VGN45" s="1181"/>
      <c r="VGO45" s="1181"/>
      <c r="VGP45" s="1181"/>
      <c r="VGQ45" s="1181"/>
      <c r="VGR45" s="1181"/>
      <c r="VGS45" s="1181"/>
      <c r="VGT45" s="1181"/>
      <c r="VGU45" s="1181"/>
      <c r="VGV45" s="1181"/>
      <c r="VGW45" s="1181"/>
      <c r="VGX45" s="1181"/>
      <c r="VGY45" s="1181"/>
      <c r="VGZ45" s="1181"/>
      <c r="VHA45" s="1181"/>
      <c r="VHB45" s="1181"/>
      <c r="VHC45" s="1181"/>
      <c r="VHD45" s="1181"/>
      <c r="VHE45" s="1181"/>
      <c r="VHF45" s="1181"/>
      <c r="VHG45" s="1181"/>
      <c r="VHH45" s="1181"/>
      <c r="VHI45" s="1181"/>
      <c r="VHJ45" s="1181"/>
      <c r="VHK45" s="1181"/>
      <c r="VHL45" s="1181"/>
      <c r="VHM45" s="1181"/>
      <c r="VHN45" s="1181"/>
      <c r="VHO45" s="1181"/>
      <c r="VHP45" s="1181"/>
      <c r="VHQ45" s="1181"/>
      <c r="VHR45" s="1181"/>
      <c r="VHS45" s="1181"/>
      <c r="VHT45" s="1181"/>
      <c r="VHU45" s="1181"/>
      <c r="VHV45" s="1181"/>
      <c r="VHW45" s="1181"/>
      <c r="VHX45" s="1181"/>
      <c r="VHY45" s="1181"/>
      <c r="VHZ45" s="1181"/>
      <c r="VIA45" s="1181"/>
      <c r="VIB45" s="1181"/>
      <c r="VIC45" s="1181"/>
      <c r="VID45" s="1181"/>
      <c r="VIE45" s="1181"/>
      <c r="VIF45" s="1181"/>
      <c r="VIG45" s="1181"/>
      <c r="VIH45" s="1181"/>
      <c r="VII45" s="1181"/>
      <c r="VIJ45" s="1181"/>
      <c r="VIK45" s="1181"/>
      <c r="VIL45" s="1181"/>
      <c r="VIM45" s="1181"/>
      <c r="VIN45" s="1181"/>
      <c r="VIO45" s="1181"/>
      <c r="VIP45" s="1181"/>
      <c r="VIQ45" s="1181"/>
      <c r="VIR45" s="1181"/>
      <c r="VIS45" s="1181"/>
      <c r="VIT45" s="1181"/>
      <c r="VIU45" s="1181"/>
      <c r="VIV45" s="1181"/>
      <c r="VIW45" s="1181"/>
      <c r="VIX45" s="1181"/>
      <c r="VIY45" s="1181"/>
      <c r="VIZ45" s="1181"/>
      <c r="VJA45" s="1181"/>
      <c r="VJB45" s="1181"/>
      <c r="VJC45" s="1181"/>
      <c r="VJD45" s="1181"/>
      <c r="VJE45" s="1181"/>
      <c r="VJF45" s="1181"/>
      <c r="VJG45" s="1181"/>
      <c r="VJH45" s="1181"/>
      <c r="VJI45" s="1181"/>
      <c r="VJJ45" s="1181"/>
      <c r="VJK45" s="1181"/>
      <c r="VJL45" s="1181"/>
      <c r="VJM45" s="1181"/>
      <c r="VJN45" s="1181"/>
      <c r="VJO45" s="1181"/>
      <c r="VJP45" s="1181"/>
      <c r="VJQ45" s="1181"/>
      <c r="VJR45" s="1181"/>
      <c r="VJS45" s="1181"/>
      <c r="VJT45" s="1181"/>
      <c r="VJU45" s="1181"/>
      <c r="VJV45" s="1181"/>
      <c r="VJW45" s="1181"/>
      <c r="VJX45" s="1181"/>
      <c r="VJY45" s="1181"/>
      <c r="VJZ45" s="1181"/>
      <c r="VKA45" s="1181"/>
      <c r="VKB45" s="1181"/>
      <c r="VKC45" s="1181"/>
      <c r="VKD45" s="1181"/>
      <c r="VKE45" s="1181"/>
      <c r="VKF45" s="1181"/>
      <c r="VKG45" s="1181"/>
      <c r="VKH45" s="1181"/>
      <c r="VKI45" s="1181"/>
      <c r="VKJ45" s="1181"/>
      <c r="VKK45" s="1181"/>
      <c r="VKL45" s="1181"/>
      <c r="VKM45" s="1181"/>
      <c r="VKN45" s="1181"/>
      <c r="VKO45" s="1181"/>
      <c r="VKP45" s="1181"/>
      <c r="VKQ45" s="1181"/>
      <c r="VKR45" s="1181"/>
      <c r="VKS45" s="1181"/>
      <c r="VKT45" s="1181"/>
      <c r="VKU45" s="1181"/>
      <c r="VKV45" s="1181"/>
      <c r="VKW45" s="1181"/>
      <c r="VKX45" s="1181"/>
      <c r="VKY45" s="1181"/>
      <c r="VKZ45" s="1181"/>
      <c r="VLA45" s="1181"/>
      <c r="VLB45" s="1181"/>
      <c r="VLC45" s="1181"/>
      <c r="VLD45" s="1181"/>
      <c r="VLE45" s="1181"/>
      <c r="VLF45" s="1181"/>
      <c r="VLG45" s="1181"/>
      <c r="VLH45" s="1181"/>
      <c r="VLI45" s="1181"/>
      <c r="VLJ45" s="1181"/>
      <c r="VLK45" s="1181"/>
      <c r="VLL45" s="1181"/>
      <c r="VLM45" s="1181"/>
      <c r="VLN45" s="1181"/>
      <c r="VLO45" s="1181"/>
      <c r="VLP45" s="1181"/>
      <c r="VLQ45" s="1181"/>
      <c r="VLR45" s="1181"/>
      <c r="VLS45" s="1181"/>
      <c r="VLT45" s="1181"/>
      <c r="VLU45" s="1181"/>
      <c r="VLV45" s="1181"/>
      <c r="VLW45" s="1181"/>
      <c r="VLX45" s="1181"/>
      <c r="VLY45" s="1181"/>
      <c r="VLZ45" s="1181"/>
      <c r="VMA45" s="1181"/>
      <c r="VMB45" s="1181"/>
      <c r="VMC45" s="1181"/>
      <c r="VMD45" s="1181"/>
      <c r="VME45" s="1181"/>
      <c r="VMF45" s="1181"/>
      <c r="VMG45" s="1181"/>
      <c r="VMH45" s="1181"/>
      <c r="VMI45" s="1181"/>
      <c r="VMJ45" s="1181"/>
      <c r="VMK45" s="1181"/>
      <c r="VML45" s="1181"/>
      <c r="VMM45" s="1181"/>
      <c r="VMN45" s="1181"/>
      <c r="VMO45" s="1181"/>
      <c r="VMP45" s="1181"/>
      <c r="VMQ45" s="1181"/>
      <c r="VMR45" s="1181"/>
      <c r="VMS45" s="1181"/>
      <c r="VMT45" s="1181"/>
      <c r="VMU45" s="1181"/>
      <c r="VMV45" s="1181"/>
      <c r="VMW45" s="1181"/>
      <c r="VMX45" s="1181"/>
      <c r="VMY45" s="1181"/>
      <c r="VMZ45" s="1181"/>
      <c r="VNA45" s="1181"/>
      <c r="VNB45" s="1181"/>
      <c r="VNC45" s="1181"/>
      <c r="VND45" s="1181"/>
      <c r="VNE45" s="1181"/>
      <c r="VNF45" s="1181"/>
      <c r="VNG45" s="1181"/>
      <c r="VNH45" s="1181"/>
      <c r="VNI45" s="1181"/>
      <c r="VNJ45" s="1181"/>
      <c r="VNK45" s="1181"/>
      <c r="VNL45" s="1181"/>
      <c r="VNM45" s="1181"/>
      <c r="VNN45" s="1181"/>
      <c r="VNO45" s="1181"/>
      <c r="VNP45" s="1181"/>
      <c r="VNQ45" s="1181"/>
      <c r="VNR45" s="1181"/>
      <c r="VNS45" s="1181"/>
      <c r="VNT45" s="1181"/>
      <c r="VNU45" s="1181"/>
      <c r="VNV45" s="1181"/>
      <c r="VNW45" s="1181"/>
      <c r="VNX45" s="1181"/>
      <c r="VNY45" s="1181"/>
      <c r="VNZ45" s="1181"/>
      <c r="VOA45" s="1181"/>
      <c r="VOB45" s="1181"/>
      <c r="VOC45" s="1181"/>
      <c r="VOD45" s="1181"/>
      <c r="VOE45" s="1181"/>
      <c r="VOF45" s="1181"/>
      <c r="VOG45" s="1181"/>
      <c r="VOH45" s="1181"/>
      <c r="VOI45" s="1181"/>
      <c r="VOJ45" s="1181"/>
      <c r="VOK45" s="1181"/>
      <c r="VOL45" s="1181"/>
      <c r="VOM45" s="1181"/>
      <c r="VON45" s="1181"/>
      <c r="VOO45" s="1181"/>
      <c r="VOP45" s="1181"/>
      <c r="VOQ45" s="1181"/>
      <c r="VOR45" s="1181"/>
      <c r="VOS45" s="1181"/>
      <c r="VOT45" s="1181"/>
      <c r="VOU45" s="1181"/>
      <c r="VOV45" s="1181"/>
      <c r="VOW45" s="1181"/>
      <c r="VOX45" s="1181"/>
      <c r="VOY45" s="1181"/>
      <c r="VOZ45" s="1181"/>
      <c r="VPA45" s="1181"/>
      <c r="VPB45" s="1181"/>
      <c r="VPC45" s="1181"/>
      <c r="VPD45" s="1181"/>
      <c r="VPE45" s="1181"/>
      <c r="VPF45" s="1181"/>
      <c r="VPG45" s="1181"/>
      <c r="VPH45" s="1181"/>
      <c r="VPI45" s="1181"/>
      <c r="VPJ45" s="1181"/>
      <c r="VPK45" s="1181"/>
      <c r="VPL45" s="1181"/>
      <c r="VPM45" s="1181"/>
      <c r="VPN45" s="1181"/>
      <c r="VPO45" s="1181"/>
      <c r="VPP45" s="1181"/>
      <c r="VPQ45" s="1181"/>
      <c r="VPR45" s="1181"/>
      <c r="VPS45" s="1181"/>
      <c r="VPT45" s="1181"/>
      <c r="VPU45" s="1181"/>
      <c r="VPV45" s="1181"/>
      <c r="VPW45" s="1181"/>
      <c r="VPX45" s="1181"/>
      <c r="VPY45" s="1181"/>
      <c r="VPZ45" s="1181"/>
      <c r="VQA45" s="1181"/>
      <c r="VQB45" s="1181"/>
      <c r="VQC45" s="1181"/>
      <c r="VQD45" s="1181"/>
      <c r="VQE45" s="1181"/>
      <c r="VQF45" s="1181"/>
      <c r="VQG45" s="1181"/>
      <c r="VQH45" s="1181"/>
      <c r="VQI45" s="1181"/>
      <c r="VQJ45" s="1181"/>
      <c r="VQK45" s="1181"/>
      <c r="VQL45" s="1181"/>
      <c r="VQM45" s="1181"/>
      <c r="VQN45" s="1181"/>
      <c r="VQO45" s="1181"/>
      <c r="VQP45" s="1181"/>
      <c r="VQQ45" s="1181"/>
      <c r="VQR45" s="1181"/>
      <c r="VQS45" s="1181"/>
      <c r="VQT45" s="1181"/>
      <c r="VQU45" s="1181"/>
      <c r="VQV45" s="1181"/>
      <c r="VQW45" s="1181"/>
      <c r="VQX45" s="1181"/>
      <c r="VQY45" s="1181"/>
      <c r="VQZ45" s="1181"/>
      <c r="VRA45" s="1181"/>
      <c r="VRB45" s="1181"/>
      <c r="VRC45" s="1181"/>
      <c r="VRD45" s="1181"/>
      <c r="VRE45" s="1181"/>
      <c r="VRF45" s="1181"/>
      <c r="VRG45" s="1181"/>
      <c r="VRH45" s="1181"/>
      <c r="VRI45" s="1181"/>
      <c r="VRJ45" s="1181"/>
      <c r="VRK45" s="1181"/>
      <c r="VRL45" s="1181"/>
      <c r="VRM45" s="1181"/>
      <c r="VRN45" s="1181"/>
      <c r="VRO45" s="1181"/>
      <c r="VRP45" s="1181"/>
      <c r="VRQ45" s="1181"/>
      <c r="VRR45" s="1181"/>
      <c r="VRS45" s="1181"/>
      <c r="VRT45" s="1181"/>
      <c r="VRU45" s="1181"/>
      <c r="VRV45" s="1181"/>
      <c r="VRW45" s="1181"/>
      <c r="VRX45" s="1181"/>
      <c r="VRY45" s="1181"/>
      <c r="VRZ45" s="1181"/>
      <c r="VSA45" s="1181"/>
      <c r="VSB45" s="1181"/>
      <c r="VSC45" s="1181"/>
      <c r="VSD45" s="1181"/>
      <c r="VSE45" s="1181"/>
      <c r="VSF45" s="1181"/>
      <c r="VSG45" s="1181"/>
      <c r="VSH45" s="1181"/>
      <c r="VSI45" s="1181"/>
      <c r="VSJ45" s="1181"/>
      <c r="VSK45" s="1181"/>
      <c r="VSL45" s="1181"/>
      <c r="VSM45" s="1181"/>
      <c r="VSN45" s="1181"/>
      <c r="VSO45" s="1181"/>
      <c r="VSP45" s="1181"/>
      <c r="VSQ45" s="1181"/>
      <c r="VSR45" s="1181"/>
      <c r="VSS45" s="1181"/>
      <c r="VST45" s="1181"/>
      <c r="VSU45" s="1181"/>
      <c r="VSV45" s="1181"/>
      <c r="VSW45" s="1181"/>
      <c r="VSX45" s="1181"/>
      <c r="VSY45" s="1181"/>
      <c r="VSZ45" s="1181"/>
      <c r="VTA45" s="1181"/>
      <c r="VTB45" s="1181"/>
      <c r="VTC45" s="1181"/>
      <c r="VTD45" s="1181"/>
      <c r="VTE45" s="1181"/>
      <c r="VTF45" s="1181"/>
      <c r="VTG45" s="1181"/>
      <c r="VTH45" s="1181"/>
      <c r="VTI45" s="1181"/>
      <c r="VTJ45" s="1181"/>
      <c r="VTK45" s="1181"/>
      <c r="VTL45" s="1181"/>
      <c r="VTM45" s="1181"/>
      <c r="VTN45" s="1181"/>
      <c r="VTO45" s="1181"/>
      <c r="VTP45" s="1181"/>
      <c r="VTQ45" s="1181"/>
      <c r="VTR45" s="1181"/>
      <c r="VTS45" s="1181"/>
      <c r="VTT45" s="1181"/>
      <c r="VTU45" s="1181"/>
      <c r="VTV45" s="1181"/>
      <c r="VTW45" s="1181"/>
      <c r="VTX45" s="1181"/>
      <c r="VTY45" s="1181"/>
      <c r="VTZ45" s="1181"/>
      <c r="VUA45" s="1181"/>
      <c r="VUB45" s="1181"/>
      <c r="VUC45" s="1181"/>
      <c r="VUD45" s="1181"/>
      <c r="VUE45" s="1181"/>
      <c r="VUF45" s="1181"/>
      <c r="VUG45" s="1181"/>
      <c r="VUH45" s="1181"/>
      <c r="VUI45" s="1181"/>
      <c r="VUJ45" s="1181"/>
      <c r="VUK45" s="1181"/>
      <c r="VUL45" s="1181"/>
      <c r="VUM45" s="1181"/>
      <c r="VUN45" s="1181"/>
      <c r="VUO45" s="1181"/>
      <c r="VUP45" s="1181"/>
      <c r="VUQ45" s="1181"/>
      <c r="VUR45" s="1181"/>
      <c r="VUS45" s="1181"/>
      <c r="VUT45" s="1181"/>
      <c r="VUU45" s="1181"/>
      <c r="VUV45" s="1181"/>
      <c r="VUW45" s="1181"/>
      <c r="VUX45" s="1181"/>
      <c r="VUY45" s="1181"/>
      <c r="VUZ45" s="1181"/>
      <c r="VVA45" s="1181"/>
      <c r="VVB45" s="1181"/>
      <c r="VVC45" s="1181"/>
      <c r="VVD45" s="1181"/>
      <c r="VVE45" s="1181"/>
      <c r="VVF45" s="1181"/>
      <c r="VVG45" s="1181"/>
      <c r="VVH45" s="1181"/>
      <c r="VVI45" s="1181"/>
      <c r="VVJ45" s="1181"/>
      <c r="VVK45" s="1181"/>
      <c r="VVL45" s="1181"/>
      <c r="VVM45" s="1181"/>
      <c r="VVN45" s="1181"/>
      <c r="VVO45" s="1181"/>
      <c r="VVP45" s="1181"/>
      <c r="VVQ45" s="1181"/>
      <c r="VVR45" s="1181"/>
      <c r="VVS45" s="1181"/>
      <c r="VVT45" s="1181"/>
      <c r="VVU45" s="1181"/>
      <c r="VVV45" s="1181"/>
      <c r="VVW45" s="1181"/>
      <c r="VVX45" s="1181"/>
      <c r="VVY45" s="1181"/>
      <c r="VVZ45" s="1181"/>
      <c r="VWA45" s="1181"/>
      <c r="VWB45" s="1181"/>
      <c r="VWC45" s="1181"/>
      <c r="VWD45" s="1181"/>
      <c r="VWE45" s="1181"/>
      <c r="VWF45" s="1181"/>
      <c r="VWG45" s="1181"/>
      <c r="VWH45" s="1181"/>
      <c r="VWI45" s="1181"/>
      <c r="VWJ45" s="1181"/>
      <c r="VWK45" s="1181"/>
      <c r="VWL45" s="1181"/>
      <c r="VWM45" s="1181"/>
      <c r="VWN45" s="1181"/>
      <c r="VWO45" s="1181"/>
      <c r="VWP45" s="1181"/>
      <c r="VWQ45" s="1181"/>
      <c r="VWR45" s="1181"/>
      <c r="VWS45" s="1181"/>
      <c r="VWT45" s="1181"/>
      <c r="VWU45" s="1181"/>
      <c r="VWV45" s="1181"/>
      <c r="VWW45" s="1181"/>
      <c r="VWX45" s="1181"/>
      <c r="VWY45" s="1181"/>
      <c r="VWZ45" s="1181"/>
      <c r="VXA45" s="1181"/>
      <c r="VXB45" s="1181"/>
      <c r="VXC45" s="1181"/>
      <c r="VXD45" s="1181"/>
      <c r="VXE45" s="1181"/>
      <c r="VXF45" s="1181"/>
      <c r="VXG45" s="1181"/>
      <c r="VXH45" s="1181"/>
      <c r="VXI45" s="1181"/>
      <c r="VXJ45" s="1181"/>
      <c r="VXK45" s="1181"/>
      <c r="VXL45" s="1181"/>
      <c r="VXM45" s="1181"/>
      <c r="VXN45" s="1181"/>
      <c r="VXO45" s="1181"/>
      <c r="VXP45" s="1181"/>
      <c r="VXQ45" s="1181"/>
      <c r="VXR45" s="1181"/>
      <c r="VXS45" s="1181"/>
      <c r="VXT45" s="1181"/>
      <c r="VXU45" s="1181"/>
      <c r="VXV45" s="1181"/>
      <c r="VXW45" s="1181"/>
      <c r="VXX45" s="1181"/>
      <c r="VXY45" s="1181"/>
      <c r="VXZ45" s="1181"/>
      <c r="VYA45" s="1181"/>
      <c r="VYB45" s="1181"/>
      <c r="VYC45" s="1181"/>
      <c r="VYD45" s="1181"/>
      <c r="VYE45" s="1181"/>
      <c r="VYF45" s="1181"/>
      <c r="VYG45" s="1181"/>
      <c r="VYH45" s="1181"/>
      <c r="VYI45" s="1181"/>
      <c r="VYJ45" s="1181"/>
      <c r="VYK45" s="1181"/>
      <c r="VYL45" s="1181"/>
      <c r="VYM45" s="1181"/>
      <c r="VYN45" s="1181"/>
      <c r="VYO45" s="1181"/>
      <c r="VYP45" s="1181"/>
      <c r="VYQ45" s="1181"/>
      <c r="VYR45" s="1181"/>
      <c r="VYS45" s="1181"/>
      <c r="VYT45" s="1181"/>
      <c r="VYU45" s="1181"/>
      <c r="VYV45" s="1181"/>
      <c r="VYW45" s="1181"/>
      <c r="VYX45" s="1181"/>
      <c r="VYY45" s="1181"/>
      <c r="VYZ45" s="1181"/>
      <c r="VZA45" s="1181"/>
      <c r="VZB45" s="1181"/>
      <c r="VZC45" s="1181"/>
      <c r="VZD45" s="1181"/>
      <c r="VZE45" s="1181"/>
      <c r="VZF45" s="1181"/>
      <c r="VZG45" s="1181"/>
      <c r="VZH45" s="1181"/>
      <c r="VZI45" s="1181"/>
      <c r="VZJ45" s="1181"/>
      <c r="VZK45" s="1181"/>
      <c r="VZL45" s="1181"/>
      <c r="VZM45" s="1181"/>
      <c r="VZN45" s="1181"/>
      <c r="VZO45" s="1181"/>
      <c r="VZP45" s="1181"/>
      <c r="VZQ45" s="1181"/>
      <c r="VZR45" s="1181"/>
      <c r="VZS45" s="1181"/>
      <c r="VZT45" s="1181"/>
      <c r="VZU45" s="1181"/>
      <c r="VZV45" s="1181"/>
      <c r="VZW45" s="1181"/>
      <c r="VZX45" s="1181"/>
      <c r="VZY45" s="1181"/>
      <c r="VZZ45" s="1181"/>
      <c r="WAA45" s="1181"/>
      <c r="WAB45" s="1181"/>
      <c r="WAC45" s="1181"/>
      <c r="WAD45" s="1181"/>
      <c r="WAE45" s="1181"/>
      <c r="WAF45" s="1181"/>
      <c r="WAG45" s="1181"/>
      <c r="WAH45" s="1181"/>
      <c r="WAI45" s="1181"/>
      <c r="WAJ45" s="1181"/>
      <c r="WAK45" s="1181"/>
      <c r="WAL45" s="1181"/>
      <c r="WAM45" s="1181"/>
      <c r="WAN45" s="1181"/>
      <c r="WAO45" s="1181"/>
      <c r="WAP45" s="1181"/>
      <c r="WAQ45" s="1181"/>
      <c r="WAR45" s="1181"/>
      <c r="WAS45" s="1181"/>
      <c r="WAT45" s="1181"/>
      <c r="WAU45" s="1181"/>
      <c r="WAV45" s="1181"/>
      <c r="WAW45" s="1181"/>
      <c r="WAX45" s="1181"/>
      <c r="WAY45" s="1181"/>
      <c r="WAZ45" s="1181"/>
      <c r="WBA45" s="1181"/>
      <c r="WBB45" s="1181"/>
      <c r="WBC45" s="1181"/>
      <c r="WBD45" s="1181"/>
      <c r="WBE45" s="1181"/>
      <c r="WBF45" s="1181"/>
      <c r="WBG45" s="1181"/>
      <c r="WBH45" s="1181"/>
      <c r="WBI45" s="1181"/>
      <c r="WBJ45" s="1181"/>
      <c r="WBK45" s="1181"/>
      <c r="WBL45" s="1181"/>
      <c r="WBM45" s="1181"/>
      <c r="WBN45" s="1181"/>
      <c r="WBO45" s="1181"/>
      <c r="WBP45" s="1181"/>
      <c r="WBQ45" s="1181"/>
      <c r="WBR45" s="1181"/>
      <c r="WBS45" s="1181"/>
      <c r="WBT45" s="1181"/>
      <c r="WBU45" s="1181"/>
      <c r="WBV45" s="1181"/>
      <c r="WBW45" s="1181"/>
      <c r="WBX45" s="1181"/>
      <c r="WBY45" s="1181"/>
      <c r="WBZ45" s="1181"/>
      <c r="WCA45" s="1181"/>
      <c r="WCB45" s="1181"/>
      <c r="WCC45" s="1181"/>
      <c r="WCD45" s="1181"/>
      <c r="WCE45" s="1181"/>
      <c r="WCF45" s="1181"/>
      <c r="WCG45" s="1181"/>
      <c r="WCH45" s="1181"/>
      <c r="WCI45" s="1181"/>
      <c r="WCJ45" s="1181"/>
      <c r="WCK45" s="1181"/>
      <c r="WCL45" s="1181"/>
      <c r="WCM45" s="1181"/>
      <c r="WCN45" s="1181"/>
      <c r="WCO45" s="1181"/>
      <c r="WCP45" s="1181"/>
      <c r="WCQ45" s="1181"/>
      <c r="WCR45" s="1181"/>
      <c r="WCS45" s="1181"/>
      <c r="WCT45" s="1181"/>
      <c r="WCU45" s="1181"/>
      <c r="WCV45" s="1181"/>
      <c r="WCW45" s="1181"/>
      <c r="WCX45" s="1181"/>
      <c r="WCY45" s="1181"/>
      <c r="WCZ45" s="1181"/>
      <c r="WDA45" s="1181"/>
      <c r="WDB45" s="1181"/>
      <c r="WDC45" s="1181"/>
      <c r="WDD45" s="1181"/>
      <c r="WDE45" s="1181"/>
      <c r="WDF45" s="1181"/>
      <c r="WDG45" s="1181"/>
      <c r="WDH45" s="1181"/>
      <c r="WDI45" s="1181"/>
      <c r="WDJ45" s="1181"/>
      <c r="WDK45" s="1181"/>
      <c r="WDL45" s="1181"/>
      <c r="WDM45" s="1181"/>
      <c r="WDN45" s="1181"/>
      <c r="WDO45" s="1181"/>
      <c r="WDP45" s="1181"/>
      <c r="WDQ45" s="1181"/>
      <c r="WDR45" s="1181"/>
      <c r="WDS45" s="1181"/>
      <c r="WDT45" s="1181"/>
      <c r="WDU45" s="1181"/>
      <c r="WDV45" s="1181"/>
      <c r="WDW45" s="1181"/>
      <c r="WDX45" s="1181"/>
      <c r="WDY45" s="1181"/>
      <c r="WDZ45" s="1181"/>
      <c r="WEA45" s="1181"/>
      <c r="WEB45" s="1181"/>
      <c r="WEC45" s="1181"/>
      <c r="WED45" s="1181"/>
      <c r="WEE45" s="1181"/>
      <c r="WEF45" s="1181"/>
      <c r="WEG45" s="1181"/>
      <c r="WEH45" s="1181"/>
      <c r="WEI45" s="1181"/>
      <c r="WEJ45" s="1181"/>
      <c r="WEK45" s="1181"/>
      <c r="WEL45" s="1181"/>
      <c r="WEM45" s="1181"/>
      <c r="WEN45" s="1181"/>
      <c r="WEO45" s="1181"/>
      <c r="WEP45" s="1181"/>
      <c r="WEQ45" s="1181"/>
      <c r="WER45" s="1181"/>
      <c r="WES45" s="1181"/>
      <c r="WET45" s="1181"/>
      <c r="WEU45" s="1181"/>
      <c r="WEV45" s="1181"/>
      <c r="WEW45" s="1181"/>
      <c r="WEX45" s="1181"/>
      <c r="WEY45" s="1181"/>
      <c r="WEZ45" s="1181"/>
      <c r="WFA45" s="1181"/>
      <c r="WFB45" s="1181"/>
      <c r="WFC45" s="1181"/>
      <c r="WFD45" s="1181"/>
      <c r="WFE45" s="1181"/>
      <c r="WFF45" s="1181"/>
      <c r="WFG45" s="1181"/>
      <c r="WFH45" s="1181"/>
      <c r="WFI45" s="1181"/>
      <c r="WFJ45" s="1181"/>
      <c r="WFK45" s="1181"/>
      <c r="WFL45" s="1181"/>
      <c r="WFM45" s="1181"/>
      <c r="WFN45" s="1181"/>
      <c r="WFO45" s="1181"/>
      <c r="WFP45" s="1181"/>
      <c r="WFQ45" s="1181"/>
      <c r="WFR45" s="1181"/>
      <c r="WFS45" s="1181"/>
      <c r="WFT45" s="1181"/>
      <c r="WFU45" s="1181"/>
      <c r="WFV45" s="1181"/>
      <c r="WFW45" s="1181"/>
      <c r="WFX45" s="1181"/>
      <c r="WFY45" s="1181"/>
      <c r="WFZ45" s="1181"/>
      <c r="WGA45" s="1181"/>
      <c r="WGB45" s="1181"/>
      <c r="WGC45" s="1181"/>
      <c r="WGD45" s="1181"/>
      <c r="WGE45" s="1181"/>
      <c r="WGF45" s="1181"/>
      <c r="WGG45" s="1181"/>
      <c r="WGH45" s="1181"/>
      <c r="WGI45" s="1181"/>
      <c r="WGJ45" s="1181"/>
      <c r="WGK45" s="1181"/>
      <c r="WGL45" s="1181"/>
      <c r="WGM45" s="1181"/>
      <c r="WGN45" s="1181"/>
      <c r="WGO45" s="1181"/>
      <c r="WGP45" s="1181"/>
      <c r="WGQ45" s="1181"/>
      <c r="WGR45" s="1181"/>
      <c r="WGS45" s="1181"/>
      <c r="WGT45" s="1181"/>
      <c r="WGU45" s="1181"/>
      <c r="WGV45" s="1181"/>
      <c r="WGW45" s="1181"/>
      <c r="WGX45" s="1181"/>
      <c r="WGY45" s="1181"/>
      <c r="WGZ45" s="1181"/>
      <c r="WHA45" s="1181"/>
      <c r="WHB45" s="1181"/>
      <c r="WHC45" s="1181"/>
      <c r="WHD45" s="1181"/>
      <c r="WHE45" s="1181"/>
      <c r="WHF45" s="1181"/>
      <c r="WHG45" s="1181"/>
      <c r="WHH45" s="1181"/>
      <c r="WHI45" s="1181"/>
      <c r="WHJ45" s="1181"/>
      <c r="WHK45" s="1181"/>
      <c r="WHL45" s="1181"/>
      <c r="WHM45" s="1181"/>
      <c r="WHN45" s="1181"/>
      <c r="WHO45" s="1181"/>
      <c r="WHP45" s="1181"/>
      <c r="WHQ45" s="1181"/>
      <c r="WHR45" s="1181"/>
      <c r="WHS45" s="1181"/>
      <c r="WHT45" s="1181"/>
      <c r="WHU45" s="1181"/>
      <c r="WHV45" s="1181"/>
      <c r="WHW45" s="1181"/>
      <c r="WHX45" s="1181"/>
      <c r="WHY45" s="1181"/>
      <c r="WHZ45" s="1181"/>
      <c r="WIA45" s="1181"/>
      <c r="WIB45" s="1181"/>
      <c r="WIC45" s="1181"/>
      <c r="WID45" s="1181"/>
      <c r="WIE45" s="1181"/>
      <c r="WIF45" s="1181"/>
      <c r="WIG45" s="1181"/>
      <c r="WIH45" s="1181"/>
      <c r="WII45" s="1181"/>
      <c r="WIJ45" s="1181"/>
      <c r="WIK45" s="1181"/>
      <c r="WIL45" s="1181"/>
      <c r="WIM45" s="1181"/>
      <c r="WIN45" s="1181"/>
      <c r="WIO45" s="1181"/>
      <c r="WIP45" s="1181"/>
      <c r="WIQ45" s="1181"/>
      <c r="WIR45" s="1181"/>
      <c r="WIS45" s="1181"/>
      <c r="WIT45" s="1181"/>
      <c r="WIU45" s="1181"/>
      <c r="WIV45" s="1181"/>
      <c r="WIW45" s="1181"/>
      <c r="WIX45" s="1181"/>
      <c r="WIY45" s="1181"/>
      <c r="WIZ45" s="1181"/>
      <c r="WJA45" s="1181"/>
      <c r="WJB45" s="1181"/>
      <c r="WJC45" s="1181"/>
      <c r="WJD45" s="1181"/>
      <c r="WJE45" s="1181"/>
      <c r="WJF45" s="1181"/>
      <c r="WJG45" s="1181"/>
      <c r="WJH45" s="1181"/>
      <c r="WJI45" s="1181"/>
      <c r="WJJ45" s="1181"/>
      <c r="WJK45" s="1181"/>
      <c r="WJL45" s="1181"/>
      <c r="WJM45" s="1181"/>
      <c r="WJN45" s="1181"/>
      <c r="WJO45" s="1181"/>
      <c r="WJP45" s="1181"/>
      <c r="WJQ45" s="1181"/>
      <c r="WJR45" s="1181"/>
      <c r="WJS45" s="1181"/>
      <c r="WJT45" s="1181"/>
      <c r="WJU45" s="1181"/>
      <c r="WJV45" s="1181"/>
      <c r="WJW45" s="1181"/>
      <c r="WJX45" s="1181"/>
      <c r="WJY45" s="1181"/>
      <c r="WJZ45" s="1181"/>
      <c r="WKA45" s="1181"/>
      <c r="WKB45" s="1181"/>
      <c r="WKC45" s="1181"/>
      <c r="WKD45" s="1181"/>
      <c r="WKE45" s="1181"/>
      <c r="WKF45" s="1181"/>
      <c r="WKG45" s="1181"/>
      <c r="WKH45" s="1181"/>
      <c r="WKI45" s="1181"/>
      <c r="WKJ45" s="1181"/>
      <c r="WKK45" s="1181"/>
      <c r="WKL45" s="1181"/>
      <c r="WKM45" s="1181"/>
      <c r="WKN45" s="1181"/>
      <c r="WKO45" s="1181"/>
      <c r="WKP45" s="1181"/>
      <c r="WKQ45" s="1181"/>
      <c r="WKR45" s="1181"/>
      <c r="WKS45" s="1181"/>
      <c r="WKT45" s="1181"/>
      <c r="WKU45" s="1181"/>
      <c r="WKV45" s="1181"/>
      <c r="WKW45" s="1181"/>
      <c r="WKX45" s="1181"/>
      <c r="WKY45" s="1181"/>
      <c r="WKZ45" s="1181"/>
      <c r="WLA45" s="1181"/>
      <c r="WLB45" s="1181"/>
      <c r="WLC45" s="1181"/>
      <c r="WLD45" s="1181"/>
      <c r="WLE45" s="1181"/>
      <c r="WLF45" s="1181"/>
      <c r="WLG45" s="1181"/>
      <c r="WLH45" s="1181"/>
      <c r="WLI45" s="1181"/>
      <c r="WLJ45" s="1181"/>
      <c r="WLK45" s="1181"/>
      <c r="WLL45" s="1181"/>
      <c r="WLM45" s="1181"/>
      <c r="WLN45" s="1181"/>
      <c r="WLO45" s="1181"/>
      <c r="WLP45" s="1181"/>
      <c r="WLQ45" s="1181"/>
      <c r="WLR45" s="1181"/>
      <c r="WLS45" s="1181"/>
      <c r="WLT45" s="1181"/>
      <c r="WLU45" s="1181"/>
      <c r="WLV45" s="1181"/>
      <c r="WLW45" s="1181"/>
      <c r="WLX45" s="1181"/>
      <c r="WLY45" s="1181"/>
      <c r="WLZ45" s="1181"/>
      <c r="WMA45" s="1181"/>
      <c r="WMB45" s="1181"/>
      <c r="WMC45" s="1181"/>
      <c r="WMD45" s="1181"/>
      <c r="WME45" s="1181"/>
      <c r="WMF45" s="1181"/>
      <c r="WMG45" s="1181"/>
      <c r="WMH45" s="1181"/>
      <c r="WMI45" s="1181"/>
      <c r="WMJ45" s="1181"/>
      <c r="WMK45" s="1181"/>
      <c r="WML45" s="1181"/>
      <c r="WMM45" s="1181"/>
      <c r="WMN45" s="1181"/>
      <c r="WMO45" s="1181"/>
      <c r="WMP45" s="1181"/>
      <c r="WMQ45" s="1181"/>
      <c r="WMR45" s="1181"/>
      <c r="WMS45" s="1181"/>
      <c r="WMT45" s="1181"/>
      <c r="WMU45" s="1181"/>
      <c r="WMV45" s="1181"/>
      <c r="WMW45" s="1181"/>
      <c r="WMX45" s="1181"/>
      <c r="WMY45" s="1181"/>
      <c r="WMZ45" s="1181"/>
      <c r="WNA45" s="1181"/>
      <c r="WNB45" s="1181"/>
      <c r="WNC45" s="1181"/>
      <c r="WND45" s="1181"/>
      <c r="WNE45" s="1181"/>
      <c r="WNF45" s="1181"/>
      <c r="WNG45" s="1181"/>
      <c r="WNH45" s="1181"/>
      <c r="WNI45" s="1181"/>
      <c r="WNJ45" s="1181"/>
      <c r="WNK45" s="1181"/>
      <c r="WNL45" s="1181"/>
      <c r="WNM45" s="1181"/>
      <c r="WNN45" s="1181"/>
      <c r="WNO45" s="1181"/>
      <c r="WNP45" s="1181"/>
      <c r="WNQ45" s="1181"/>
      <c r="WNR45" s="1181"/>
      <c r="WNS45" s="1181"/>
      <c r="WNT45" s="1181"/>
      <c r="WNU45" s="1181"/>
      <c r="WNV45" s="1181"/>
      <c r="WNW45" s="1181"/>
      <c r="WNX45" s="1181"/>
      <c r="WNY45" s="1181"/>
      <c r="WNZ45" s="1181"/>
      <c r="WOA45" s="1181"/>
      <c r="WOB45" s="1181"/>
      <c r="WOC45" s="1181"/>
      <c r="WOD45" s="1181"/>
      <c r="WOE45" s="1181"/>
      <c r="WOF45" s="1181"/>
      <c r="WOG45" s="1181"/>
      <c r="WOH45" s="1181"/>
      <c r="WOI45" s="1181"/>
      <c r="WOJ45" s="1181"/>
      <c r="WOK45" s="1181"/>
      <c r="WOL45" s="1181"/>
      <c r="WOM45" s="1181"/>
      <c r="WON45" s="1181"/>
      <c r="WOO45" s="1181"/>
      <c r="WOP45" s="1181"/>
      <c r="WOQ45" s="1181"/>
      <c r="WOR45" s="1181"/>
      <c r="WOS45" s="1181"/>
      <c r="WOT45" s="1181"/>
      <c r="WOU45" s="1181"/>
      <c r="WOV45" s="1181"/>
      <c r="WOW45" s="1181"/>
      <c r="WOX45" s="1181"/>
      <c r="WOY45" s="1181"/>
      <c r="WOZ45" s="1181"/>
      <c r="WPA45" s="1181"/>
      <c r="WPB45" s="1181"/>
      <c r="WPC45" s="1181"/>
      <c r="WPD45" s="1181"/>
      <c r="WPE45" s="1181"/>
      <c r="WPF45" s="1181"/>
      <c r="WPG45" s="1181"/>
      <c r="WPH45" s="1181"/>
      <c r="WPI45" s="1181"/>
      <c r="WPJ45" s="1181"/>
      <c r="WPK45" s="1181"/>
      <c r="WPL45" s="1181"/>
      <c r="WPM45" s="1181"/>
      <c r="WPN45" s="1181"/>
      <c r="WPO45" s="1181"/>
      <c r="WPP45" s="1181"/>
      <c r="WPQ45" s="1181"/>
      <c r="WPR45" s="1181"/>
      <c r="WPS45" s="1181"/>
      <c r="WPT45" s="1181"/>
      <c r="WPU45" s="1181"/>
      <c r="WPV45" s="1181"/>
      <c r="WPW45" s="1181"/>
      <c r="WPX45" s="1181"/>
      <c r="WPY45" s="1181"/>
      <c r="WPZ45" s="1181"/>
      <c r="WQA45" s="1181"/>
      <c r="WQB45" s="1181"/>
      <c r="WQC45" s="1181"/>
      <c r="WQD45" s="1181"/>
      <c r="WQE45" s="1181"/>
      <c r="WQF45" s="1181"/>
      <c r="WQG45" s="1181"/>
      <c r="WQH45" s="1181"/>
      <c r="WQI45" s="1181"/>
      <c r="WQJ45" s="1181"/>
      <c r="WQK45" s="1181"/>
      <c r="WQL45" s="1181"/>
      <c r="WQM45" s="1181"/>
      <c r="WQN45" s="1181"/>
      <c r="WQO45" s="1181"/>
      <c r="WQP45" s="1181"/>
      <c r="WQQ45" s="1181"/>
      <c r="WQR45" s="1181"/>
      <c r="WQS45" s="1181"/>
      <c r="WQT45" s="1181"/>
      <c r="WQU45" s="1181"/>
      <c r="WQV45" s="1181"/>
      <c r="WQW45" s="1181"/>
      <c r="WQX45" s="1181"/>
      <c r="WQY45" s="1181"/>
      <c r="WQZ45" s="1181"/>
      <c r="WRA45" s="1181"/>
      <c r="WRB45" s="1181"/>
      <c r="WRC45" s="1181"/>
      <c r="WRD45" s="1181"/>
      <c r="WRE45" s="1181"/>
      <c r="WRF45" s="1181"/>
      <c r="WRG45" s="1181"/>
      <c r="WRH45" s="1181"/>
      <c r="WRI45" s="1181"/>
      <c r="WRJ45" s="1181"/>
      <c r="WRK45" s="1181"/>
      <c r="WRL45" s="1181"/>
      <c r="WRM45" s="1181"/>
      <c r="WRN45" s="1181"/>
      <c r="WRO45" s="1181"/>
      <c r="WRP45" s="1181"/>
      <c r="WRQ45" s="1181"/>
      <c r="WRR45" s="1181"/>
      <c r="WRS45" s="1181"/>
      <c r="WRT45" s="1181"/>
      <c r="WRU45" s="1181"/>
      <c r="WRV45" s="1181"/>
      <c r="WRW45" s="1181"/>
      <c r="WRX45" s="1181"/>
      <c r="WRY45" s="1181"/>
      <c r="WRZ45" s="1181"/>
      <c r="WSA45" s="1181"/>
      <c r="WSB45" s="1181"/>
      <c r="WSC45" s="1181"/>
      <c r="WSD45" s="1181"/>
      <c r="WSE45" s="1181"/>
      <c r="WSF45" s="1181"/>
      <c r="WSG45" s="1181"/>
      <c r="WSH45" s="1181"/>
      <c r="WSI45" s="1181"/>
      <c r="WSJ45" s="1181"/>
      <c r="WSK45" s="1181"/>
      <c r="WSL45" s="1181"/>
      <c r="WSM45" s="1181"/>
      <c r="WSN45" s="1181"/>
      <c r="WSO45" s="1181"/>
      <c r="WSP45" s="1181"/>
      <c r="WSQ45" s="1181"/>
      <c r="WSR45" s="1181"/>
      <c r="WSS45" s="1181"/>
      <c r="WST45" s="1181"/>
      <c r="WSU45" s="1181"/>
      <c r="WSV45" s="1181"/>
      <c r="WSW45" s="1181"/>
      <c r="WSX45" s="1181"/>
      <c r="WSY45" s="1181"/>
      <c r="WSZ45" s="1181"/>
      <c r="WTA45" s="1181"/>
      <c r="WTB45" s="1181"/>
      <c r="WTC45" s="1181"/>
      <c r="WTD45" s="1181"/>
      <c r="WTE45" s="1181"/>
      <c r="WTF45" s="1181"/>
      <c r="WTG45" s="1181"/>
      <c r="WTH45" s="1181"/>
      <c r="WTI45" s="1181"/>
      <c r="WTJ45" s="1181"/>
      <c r="WTK45" s="1181"/>
      <c r="WTL45" s="1181"/>
      <c r="WTM45" s="1181"/>
      <c r="WTN45" s="1181"/>
      <c r="WTO45" s="1181"/>
      <c r="WTP45" s="1181"/>
      <c r="WTQ45" s="1181"/>
      <c r="WTR45" s="1181"/>
      <c r="WTS45" s="1181"/>
      <c r="WTT45" s="1181"/>
      <c r="WTU45" s="1181"/>
      <c r="WTV45" s="1181"/>
      <c r="WTW45" s="1181"/>
      <c r="WTX45" s="1181"/>
      <c r="WTY45" s="1181"/>
      <c r="WTZ45" s="1181"/>
      <c r="WUA45" s="1181"/>
      <c r="WUB45" s="1181"/>
      <c r="WUC45" s="1181"/>
      <c r="WUD45" s="1181"/>
      <c r="WUE45" s="1181"/>
      <c r="WUF45" s="1181"/>
      <c r="WUG45" s="1181"/>
      <c r="WUH45" s="1181"/>
      <c r="WUI45" s="1181"/>
      <c r="WUJ45" s="1181"/>
      <c r="WUK45" s="1181"/>
      <c r="WUL45" s="1181"/>
      <c r="WUM45" s="1181"/>
      <c r="WUN45" s="1181"/>
      <c r="WUO45" s="1181"/>
      <c r="WUP45" s="1181"/>
      <c r="WUQ45" s="1181"/>
      <c r="WUR45" s="1181"/>
      <c r="WUS45" s="1181"/>
      <c r="WUT45" s="1181"/>
      <c r="WUU45" s="1181"/>
      <c r="WUV45" s="1181"/>
      <c r="WUW45" s="1181"/>
      <c r="WUX45" s="1181"/>
      <c r="WUY45" s="1181"/>
      <c r="WUZ45" s="1181"/>
      <c r="WVA45" s="1181"/>
      <c r="WVB45" s="1181"/>
      <c r="WVC45" s="1181"/>
      <c r="WVD45" s="1181"/>
      <c r="WVE45" s="1181"/>
      <c r="WVF45" s="1181"/>
      <c r="WVG45" s="1181"/>
      <c r="WVH45" s="1181"/>
      <c r="WVI45" s="1181"/>
      <c r="WVJ45" s="1181"/>
      <c r="WVK45" s="1181"/>
      <c r="WVL45" s="1181"/>
      <c r="WVM45" s="1181"/>
      <c r="WVN45" s="1181"/>
      <c r="WVO45" s="1181"/>
      <c r="WVP45" s="1181"/>
      <c r="WVQ45" s="1181"/>
      <c r="WVR45" s="1181"/>
      <c r="WVS45" s="1181"/>
      <c r="WVT45" s="1181"/>
      <c r="WVU45" s="1181"/>
      <c r="WVV45" s="1181"/>
      <c r="WVW45" s="1181"/>
      <c r="WVX45" s="1181"/>
      <c r="WVY45" s="1181"/>
      <c r="WVZ45" s="1181"/>
      <c r="WWA45" s="1181"/>
      <c r="WWB45" s="1181"/>
      <c r="WWC45" s="1181"/>
      <c r="WWD45" s="1181"/>
      <c r="WWE45" s="1181"/>
      <c r="WWF45" s="1181"/>
      <c r="WWG45" s="1181"/>
      <c r="WWH45" s="1181"/>
      <c r="WWI45" s="1181"/>
      <c r="WWJ45" s="1181"/>
      <c r="WWK45" s="1181"/>
      <c r="WWL45" s="1181"/>
      <c r="WWM45" s="1181"/>
      <c r="WWN45" s="1181"/>
      <c r="WWO45" s="1181"/>
      <c r="WWP45" s="1181"/>
      <c r="WWQ45" s="1181"/>
      <c r="WWR45" s="1181"/>
      <c r="WWS45" s="1181"/>
      <c r="WWT45" s="1181"/>
      <c r="WWU45" s="1181"/>
      <c r="WWV45" s="1181"/>
      <c r="WWW45" s="1181"/>
      <c r="WWX45" s="1181"/>
      <c r="WWY45" s="1181"/>
      <c r="WWZ45" s="1181"/>
      <c r="WXA45" s="1181"/>
      <c r="WXB45" s="1181"/>
      <c r="WXC45" s="1181"/>
      <c r="WXD45" s="1181"/>
      <c r="WXE45" s="1181"/>
      <c r="WXF45" s="1181"/>
      <c r="WXG45" s="1181"/>
      <c r="WXH45" s="1181"/>
      <c r="WXI45" s="1181"/>
      <c r="WXJ45" s="1181"/>
      <c r="WXK45" s="1181"/>
      <c r="WXL45" s="1181"/>
      <c r="WXM45" s="1181"/>
      <c r="WXN45" s="1181"/>
      <c r="WXO45" s="1181"/>
      <c r="WXP45" s="1181"/>
      <c r="WXQ45" s="1181"/>
      <c r="WXR45" s="1181"/>
      <c r="WXS45" s="1181"/>
      <c r="WXT45" s="1181"/>
      <c r="WXU45" s="1181"/>
      <c r="WXV45" s="1181"/>
      <c r="WXW45" s="1181"/>
      <c r="WXX45" s="1181"/>
      <c r="WXY45" s="1181"/>
      <c r="WXZ45" s="1181"/>
      <c r="WYA45" s="1181"/>
      <c r="WYB45" s="1181"/>
      <c r="WYC45" s="1181"/>
      <c r="WYD45" s="1181"/>
      <c r="WYE45" s="1181"/>
      <c r="WYF45" s="1181"/>
      <c r="WYG45" s="1181"/>
      <c r="WYH45" s="1181"/>
      <c r="WYI45" s="1181"/>
      <c r="WYJ45" s="1181"/>
      <c r="WYK45" s="1181"/>
      <c r="WYL45" s="1181"/>
      <c r="WYM45" s="1181"/>
      <c r="WYN45" s="1181"/>
      <c r="WYO45" s="1181"/>
      <c r="WYP45" s="1181"/>
      <c r="WYQ45" s="1181"/>
      <c r="WYR45" s="1181"/>
      <c r="WYS45" s="1181"/>
      <c r="WYT45" s="1181"/>
      <c r="WYU45" s="1181"/>
      <c r="WYV45" s="1181"/>
      <c r="WYW45" s="1181"/>
      <c r="WYX45" s="1181"/>
      <c r="WYY45" s="1181"/>
      <c r="WYZ45" s="1181"/>
      <c r="WZA45" s="1181"/>
      <c r="WZB45" s="1181"/>
      <c r="WZC45" s="1181"/>
      <c r="WZD45" s="1181"/>
      <c r="WZE45" s="1181"/>
      <c r="WZF45" s="1181"/>
      <c r="WZG45" s="1181"/>
      <c r="WZH45" s="1181"/>
      <c r="WZI45" s="1181"/>
      <c r="WZJ45" s="1181"/>
      <c r="WZK45" s="1181"/>
      <c r="WZL45" s="1181"/>
      <c r="WZM45" s="1181"/>
      <c r="WZN45" s="1181"/>
      <c r="WZO45" s="1181"/>
      <c r="WZP45" s="1181"/>
      <c r="WZQ45" s="1181"/>
      <c r="WZR45" s="1181"/>
      <c r="WZS45" s="1181"/>
      <c r="WZT45" s="1181"/>
      <c r="WZU45" s="1181"/>
      <c r="WZV45" s="1181"/>
      <c r="WZW45" s="1181"/>
      <c r="WZX45" s="1181"/>
      <c r="WZY45" s="1181"/>
      <c r="WZZ45" s="1181"/>
      <c r="XAA45" s="1181"/>
      <c r="XAB45" s="1181"/>
      <c r="XAC45" s="1181"/>
      <c r="XAD45" s="1181"/>
      <c r="XAE45" s="1181"/>
      <c r="XAF45" s="1181"/>
      <c r="XAG45" s="1181"/>
      <c r="XAH45" s="1181"/>
      <c r="XAI45" s="1181"/>
      <c r="XAJ45" s="1181"/>
      <c r="XAK45" s="1181"/>
      <c r="XAL45" s="1181"/>
      <c r="XAM45" s="1181"/>
      <c r="XAN45" s="1181"/>
      <c r="XAO45" s="1181"/>
      <c r="XAP45" s="1181"/>
      <c r="XAQ45" s="1181"/>
      <c r="XAR45" s="1181"/>
      <c r="XAS45" s="1181"/>
      <c r="XAT45" s="1181"/>
      <c r="XAU45" s="1181"/>
      <c r="XAV45" s="1181"/>
      <c r="XAW45" s="1181"/>
      <c r="XAX45" s="1181"/>
      <c r="XAY45" s="1181"/>
      <c r="XAZ45" s="1181"/>
      <c r="XBA45" s="1181"/>
      <c r="XBB45" s="1181"/>
      <c r="XBC45" s="1181"/>
      <c r="XBD45" s="1181"/>
      <c r="XBE45" s="1181"/>
      <c r="XBF45" s="1181"/>
      <c r="XBG45" s="1181"/>
      <c r="XBH45" s="1181"/>
      <c r="XBI45" s="1181"/>
      <c r="XBJ45" s="1181"/>
      <c r="XBK45" s="1181"/>
      <c r="XBL45" s="1181"/>
      <c r="XBM45" s="1181"/>
      <c r="XBN45" s="1181"/>
      <c r="XBO45" s="1181"/>
      <c r="XBP45" s="1181"/>
      <c r="XBQ45" s="1181"/>
      <c r="XBR45" s="1181"/>
      <c r="XBS45" s="1181"/>
      <c r="XBT45" s="1181"/>
      <c r="XBU45" s="1181"/>
      <c r="XBV45" s="1181"/>
      <c r="XBW45" s="1181"/>
      <c r="XBX45" s="1181"/>
      <c r="XBY45" s="1181"/>
      <c r="XBZ45" s="1181"/>
      <c r="XCA45" s="1181"/>
      <c r="XCB45" s="1181"/>
      <c r="XCC45" s="1181"/>
      <c r="XCD45" s="1181"/>
      <c r="XCE45" s="1181"/>
      <c r="XCF45" s="1181"/>
      <c r="XCG45" s="1181"/>
      <c r="XCH45" s="1181"/>
      <c r="XCI45" s="1181"/>
    </row>
    <row r="46" spans="1:16311" s="1180" customFormat="1" ht="23.1" customHeight="1">
      <c r="A46" s="1113"/>
      <c r="B46" s="1810" t="s">
        <v>1211</v>
      </c>
      <c r="C46" s="1810"/>
      <c r="D46" s="1810"/>
      <c r="E46" s="1810"/>
      <c r="F46" s="1810"/>
      <c r="G46" s="1810"/>
      <c r="H46" s="1810"/>
      <c r="I46"/>
    </row>
    <row r="47" spans="1:16311" s="1180" customFormat="1" ht="23.1" customHeight="1">
      <c r="A47" s="1113"/>
      <c r="B47" s="1826" t="s">
        <v>1212</v>
      </c>
      <c r="C47" s="1827"/>
      <c r="D47" s="1827"/>
      <c r="E47" s="1827"/>
      <c r="F47" s="1827"/>
      <c r="G47" s="1827"/>
      <c r="H47" s="1828"/>
      <c r="I47"/>
    </row>
    <row r="48" spans="1:16311" s="1180" customFormat="1" ht="35.25" customHeight="1">
      <c r="A48" s="1113"/>
      <c r="B48" s="1811" t="s">
        <v>1213</v>
      </c>
      <c r="C48" s="1811"/>
      <c r="D48" s="1811"/>
      <c r="E48" s="1811"/>
      <c r="F48" s="1811"/>
      <c r="G48" s="1811"/>
      <c r="H48" s="1811"/>
      <c r="I48"/>
    </row>
    <row r="49" spans="1:9" s="1180" customFormat="1" ht="23.1" customHeight="1">
      <c r="A49" s="1113"/>
      <c r="B49" s="1812" t="s">
        <v>1214</v>
      </c>
      <c r="C49" s="1812"/>
      <c r="D49" s="1812"/>
      <c r="E49" s="1812"/>
      <c r="F49" s="1812"/>
      <c r="G49" s="1812"/>
      <c r="H49" s="1812"/>
      <c r="I49"/>
    </row>
    <row r="50" spans="1:9" s="1180" customFormat="1" ht="9" customHeight="1">
      <c r="A50" s="1113"/>
      <c r="B50" s="1805"/>
      <c r="C50" s="1805"/>
      <c r="D50" s="1805"/>
      <c r="E50" s="1805"/>
      <c r="F50" s="1805"/>
      <c r="G50" s="1805"/>
      <c r="H50" s="1805"/>
      <c r="I50"/>
    </row>
    <row r="51" spans="1:9" s="1180" customFormat="1" hidden="1">
      <c r="B51" s="1184"/>
      <c r="C51" s="1185"/>
      <c r="D51" s="1185"/>
      <c r="E51" s="1186"/>
      <c r="I51"/>
    </row>
    <row r="52" spans="1:9" s="1180" customFormat="1" hidden="1">
      <c r="B52" s="1184"/>
      <c r="C52" s="1185"/>
      <c r="D52" s="1185"/>
      <c r="E52" s="1186"/>
      <c r="I52"/>
    </row>
    <row r="53" spans="1:9" s="1180" customFormat="1" hidden="1">
      <c r="B53" s="1184"/>
      <c r="C53" s="1185"/>
      <c r="D53" s="1185"/>
      <c r="E53" s="1186"/>
      <c r="I53"/>
    </row>
    <row r="54" spans="1:9" s="1180" customFormat="1" hidden="1">
      <c r="B54" s="1184"/>
      <c r="C54" s="1185"/>
      <c r="D54" s="1185"/>
      <c r="E54" s="1186"/>
      <c r="I54"/>
    </row>
    <row r="55" spans="1:9" s="1180" customFormat="1" hidden="1">
      <c r="B55" s="1184"/>
      <c r="C55" s="1185"/>
      <c r="D55" s="1185"/>
      <c r="E55" s="1186"/>
      <c r="I55"/>
    </row>
    <row r="56" spans="1:9" s="1180" customFormat="1" hidden="1">
      <c r="B56" s="1184"/>
      <c r="C56" s="1185"/>
      <c r="D56" s="1185"/>
      <c r="E56" s="1186"/>
      <c r="I56"/>
    </row>
    <row r="57" spans="1:9" s="1180" customFormat="1" hidden="1">
      <c r="B57" s="1184"/>
      <c r="C57" s="1185"/>
      <c r="D57" s="1185"/>
      <c r="E57" s="1186"/>
      <c r="I57"/>
    </row>
    <row r="58" spans="1:9" s="1180" customFormat="1" hidden="1">
      <c r="B58" s="1184"/>
      <c r="C58" s="1185"/>
      <c r="D58" s="1185"/>
      <c r="E58" s="1186"/>
      <c r="I58"/>
    </row>
    <row r="59" spans="1:9" s="1180" customFormat="1" hidden="1">
      <c r="B59" s="1184"/>
      <c r="C59" s="1185"/>
      <c r="D59" s="1185"/>
      <c r="E59" s="1186"/>
      <c r="I59"/>
    </row>
    <row r="60" spans="1:9" s="1180" customFormat="1" hidden="1">
      <c r="B60" s="1184"/>
      <c r="C60" s="1185"/>
      <c r="D60" s="1185"/>
      <c r="E60" s="1186"/>
      <c r="I60"/>
    </row>
    <row r="61" spans="1:9" s="1180" customFormat="1" hidden="1">
      <c r="B61" s="1184"/>
      <c r="C61" s="1185"/>
      <c r="D61" s="1185"/>
      <c r="E61" s="1186"/>
      <c r="I61"/>
    </row>
    <row r="62" spans="1:9" s="1180" customFormat="1" hidden="1">
      <c r="B62" s="1184"/>
      <c r="C62" s="1185"/>
      <c r="D62" s="1185"/>
      <c r="E62" s="1186"/>
      <c r="I62"/>
    </row>
    <row r="63" spans="1:9" s="1180" customFormat="1" hidden="1">
      <c r="B63" s="1184"/>
      <c r="C63" s="1185"/>
      <c r="D63" s="1185"/>
      <c r="E63" s="1186"/>
      <c r="I63"/>
    </row>
    <row r="64" spans="1:9" s="1180" customFormat="1" hidden="1">
      <c r="B64" s="1184"/>
      <c r="C64" s="1185"/>
      <c r="D64" s="1185"/>
      <c r="E64" s="1186"/>
      <c r="I64"/>
    </row>
    <row r="65" spans="2:9" s="1180" customFormat="1" hidden="1">
      <c r="B65" s="1184"/>
      <c r="C65" s="1185"/>
      <c r="D65" s="1185"/>
      <c r="E65" s="1186"/>
      <c r="I65"/>
    </row>
    <row r="66" spans="2:9" s="1180" customFormat="1" hidden="1">
      <c r="B66" s="1184"/>
      <c r="C66" s="1185"/>
      <c r="D66" s="1185"/>
      <c r="E66" s="1186"/>
      <c r="I66"/>
    </row>
    <row r="67" spans="2:9" s="1180" customFormat="1" hidden="1">
      <c r="B67" s="1184"/>
      <c r="C67" s="1185"/>
      <c r="D67" s="1185"/>
      <c r="E67" s="1186"/>
      <c r="I67"/>
    </row>
    <row r="68" spans="2:9" s="1180" customFormat="1" hidden="1">
      <c r="B68" s="1184"/>
      <c r="C68" s="1185"/>
      <c r="D68" s="1185"/>
      <c r="E68" s="1186"/>
      <c r="I68"/>
    </row>
    <row r="69" spans="2:9" s="1180" customFormat="1" hidden="1">
      <c r="B69" s="1184"/>
      <c r="C69" s="1185"/>
      <c r="D69" s="1185"/>
      <c r="E69" s="1186"/>
      <c r="I69"/>
    </row>
    <row r="70" spans="2:9" s="1180" customFormat="1" hidden="1">
      <c r="B70" s="1184"/>
      <c r="C70" s="1185"/>
      <c r="D70" s="1185"/>
      <c r="E70" s="1186"/>
      <c r="I70"/>
    </row>
    <row r="71" spans="2:9" s="1180" customFormat="1" hidden="1">
      <c r="B71" s="1184"/>
      <c r="C71" s="1185"/>
      <c r="D71" s="1185"/>
      <c r="E71" s="1186"/>
      <c r="I71"/>
    </row>
    <row r="72" spans="2:9" s="1180" customFormat="1" hidden="1">
      <c r="B72" s="1184"/>
      <c r="C72" s="1185"/>
      <c r="D72" s="1185"/>
      <c r="E72" s="1186"/>
      <c r="I72"/>
    </row>
    <row r="73" spans="2:9" s="1180" customFormat="1" hidden="1">
      <c r="B73" s="1184"/>
      <c r="C73" s="1185"/>
      <c r="D73" s="1185"/>
      <c r="E73" s="1186"/>
      <c r="I73"/>
    </row>
    <row r="74" spans="2:9" s="1180" customFormat="1" hidden="1">
      <c r="B74" s="1184"/>
      <c r="C74" s="1185"/>
      <c r="D74" s="1185"/>
      <c r="E74" s="1186"/>
      <c r="I74"/>
    </row>
    <row r="75" spans="2:9" s="1180" customFormat="1" hidden="1">
      <c r="B75" s="1184"/>
      <c r="C75" s="1185"/>
      <c r="D75" s="1185"/>
      <c r="E75" s="1186"/>
      <c r="I75"/>
    </row>
    <row r="76" spans="2:9" s="1180" customFormat="1" hidden="1">
      <c r="B76" s="1184"/>
      <c r="C76" s="1185"/>
      <c r="D76" s="1185"/>
      <c r="E76" s="1186"/>
      <c r="I76"/>
    </row>
    <row r="77" spans="2:9" s="1180" customFormat="1" hidden="1">
      <c r="B77" s="1184"/>
      <c r="C77" s="1185"/>
      <c r="D77" s="1185"/>
      <c r="E77" s="1186"/>
      <c r="I77"/>
    </row>
    <row r="78" spans="2:9" s="1180" customFormat="1" hidden="1">
      <c r="B78" s="1184"/>
      <c r="C78" s="1185"/>
      <c r="D78" s="1185"/>
      <c r="E78" s="1186"/>
      <c r="I78"/>
    </row>
    <row r="79" spans="2:9" s="1180" customFormat="1" hidden="1">
      <c r="B79" s="1184"/>
      <c r="C79" s="1185"/>
      <c r="D79" s="1185"/>
      <c r="E79" s="1186"/>
      <c r="I79"/>
    </row>
    <row r="80" spans="2:9" s="1180" customFormat="1" hidden="1">
      <c r="B80" s="1184"/>
      <c r="C80" s="1185"/>
      <c r="D80" s="1185"/>
      <c r="E80" s="1186"/>
      <c r="I80"/>
    </row>
    <row r="81" spans="2:9" s="1180" customFormat="1" hidden="1">
      <c r="B81" s="1184"/>
      <c r="C81" s="1185"/>
      <c r="D81" s="1185"/>
      <c r="E81" s="1186"/>
      <c r="I81"/>
    </row>
    <row r="82" spans="2:9" s="1180" customFormat="1" hidden="1">
      <c r="B82" s="1184"/>
      <c r="C82" s="1185"/>
      <c r="D82" s="1185"/>
      <c r="E82" s="1186"/>
      <c r="I82"/>
    </row>
    <row r="83" spans="2:9" s="1180" customFormat="1" hidden="1">
      <c r="B83" s="1184"/>
      <c r="C83" s="1185"/>
      <c r="D83" s="1185"/>
      <c r="E83" s="1186"/>
      <c r="I83"/>
    </row>
    <row r="84" spans="2:9" s="1180" customFormat="1" hidden="1">
      <c r="B84" s="1184"/>
      <c r="C84" s="1185"/>
      <c r="D84" s="1185"/>
      <c r="E84" s="1186"/>
      <c r="I84"/>
    </row>
    <row r="85" spans="2:9" s="1180" customFormat="1" hidden="1">
      <c r="B85" s="1184"/>
      <c r="C85" s="1185"/>
      <c r="D85" s="1185"/>
      <c r="E85" s="1186"/>
      <c r="I85"/>
    </row>
    <row r="86" spans="2:9" s="1180" customFormat="1" hidden="1">
      <c r="B86" s="1184"/>
      <c r="C86" s="1185"/>
      <c r="D86" s="1185"/>
      <c r="E86" s="1186"/>
      <c r="I86"/>
    </row>
    <row r="87" spans="2:9" s="1180" customFormat="1" hidden="1">
      <c r="B87" s="1184"/>
      <c r="C87" s="1185"/>
      <c r="D87" s="1185"/>
      <c r="E87" s="1186"/>
      <c r="I87"/>
    </row>
    <row r="88" spans="2:9" s="1180" customFormat="1" hidden="1">
      <c r="B88" s="1184"/>
      <c r="C88" s="1185"/>
      <c r="D88" s="1185"/>
      <c r="E88" s="1186"/>
      <c r="I88"/>
    </row>
    <row r="89" spans="2:9" s="1180" customFormat="1" hidden="1">
      <c r="B89" s="1184"/>
      <c r="C89" s="1185"/>
      <c r="D89" s="1185"/>
      <c r="E89" s="1186"/>
      <c r="I89"/>
    </row>
    <row r="90" spans="2:9" s="1180" customFormat="1" hidden="1">
      <c r="B90" s="1184"/>
      <c r="C90" s="1185"/>
      <c r="D90" s="1185"/>
      <c r="E90" s="1186"/>
      <c r="I90"/>
    </row>
    <row r="91" spans="2:9" s="1180" customFormat="1" hidden="1">
      <c r="B91" s="1184"/>
      <c r="C91" s="1185"/>
      <c r="D91" s="1185"/>
      <c r="E91" s="1186"/>
      <c r="I91"/>
    </row>
    <row r="92" spans="2:9" s="1180" customFormat="1" hidden="1">
      <c r="B92" s="1184"/>
      <c r="C92" s="1185"/>
      <c r="D92" s="1185"/>
      <c r="E92" s="1186"/>
      <c r="I92"/>
    </row>
    <row r="93" spans="2:9" s="1180" customFormat="1" hidden="1">
      <c r="B93" s="1184"/>
      <c r="C93" s="1185"/>
      <c r="D93" s="1185"/>
      <c r="E93" s="1186"/>
      <c r="I93"/>
    </row>
    <row r="94" spans="2:9" s="1180" customFormat="1" hidden="1">
      <c r="B94" s="1184"/>
      <c r="C94" s="1185"/>
      <c r="D94" s="1185"/>
      <c r="E94" s="1186"/>
      <c r="I94"/>
    </row>
    <row r="95" spans="2:9" s="1180" customFormat="1" hidden="1">
      <c r="B95" s="1184"/>
      <c r="C95" s="1185"/>
      <c r="D95" s="1185"/>
      <c r="E95" s="1186"/>
      <c r="I95"/>
    </row>
    <row r="96" spans="2:9" s="1180" customFormat="1" hidden="1">
      <c r="B96" s="1184"/>
      <c r="C96" s="1185"/>
      <c r="D96" s="1185"/>
      <c r="E96" s="1186"/>
      <c r="I96"/>
    </row>
    <row r="97" spans="2:9" s="1180" customFormat="1" hidden="1">
      <c r="B97" s="1184"/>
      <c r="C97" s="1185"/>
      <c r="D97" s="1185"/>
      <c r="E97" s="1186"/>
      <c r="I97"/>
    </row>
    <row r="98" spans="2:9" s="1180" customFormat="1" hidden="1">
      <c r="B98" s="1184"/>
      <c r="C98" s="1185"/>
      <c r="D98" s="1185"/>
      <c r="E98" s="1186"/>
      <c r="I98"/>
    </row>
    <row r="99" spans="2:9" s="1180" customFormat="1" hidden="1">
      <c r="B99" s="1184"/>
      <c r="C99" s="1185"/>
      <c r="D99" s="1185"/>
      <c r="E99" s="1186"/>
      <c r="I99"/>
    </row>
    <row r="100" spans="2:9" s="1180" customFormat="1" hidden="1">
      <c r="B100" s="1184"/>
      <c r="C100" s="1185"/>
      <c r="D100" s="1185"/>
      <c r="E100" s="1186"/>
      <c r="I100"/>
    </row>
    <row r="101" spans="2:9" s="1180" customFormat="1" hidden="1">
      <c r="B101" s="1184"/>
      <c r="C101" s="1185"/>
      <c r="D101" s="1185"/>
      <c r="E101" s="1186"/>
      <c r="I101"/>
    </row>
    <row r="102" spans="2:9" s="1180" customFormat="1" hidden="1">
      <c r="B102" s="1184"/>
      <c r="C102" s="1185"/>
      <c r="D102" s="1185"/>
      <c r="E102" s="1186"/>
      <c r="I102"/>
    </row>
    <row r="103" spans="2:9" s="1180" customFormat="1" hidden="1">
      <c r="B103" s="1184"/>
      <c r="C103" s="1185"/>
      <c r="D103" s="1185"/>
      <c r="E103" s="1186"/>
      <c r="I103"/>
    </row>
    <row r="104" spans="2:9" s="1180" customFormat="1" hidden="1">
      <c r="B104" s="1184"/>
      <c r="C104" s="1185"/>
      <c r="D104" s="1185"/>
      <c r="E104" s="1186"/>
      <c r="I104"/>
    </row>
    <row r="105" spans="2:9" s="1180" customFormat="1" hidden="1">
      <c r="B105" s="1184"/>
      <c r="C105" s="1185"/>
      <c r="D105" s="1185"/>
      <c r="E105" s="1186"/>
      <c r="I105"/>
    </row>
    <row r="106" spans="2:9" s="1180" customFormat="1" hidden="1">
      <c r="B106" s="1184"/>
      <c r="C106" s="1185"/>
      <c r="D106" s="1185"/>
      <c r="E106" s="1186"/>
      <c r="I106"/>
    </row>
    <row r="107" spans="2:9" s="1180" customFormat="1" hidden="1">
      <c r="B107" s="1184"/>
      <c r="C107" s="1185"/>
      <c r="D107" s="1185"/>
      <c r="E107" s="1186"/>
      <c r="I107"/>
    </row>
    <row r="108" spans="2:9" s="1180" customFormat="1" hidden="1">
      <c r="B108" s="1184"/>
      <c r="C108" s="1185"/>
      <c r="D108" s="1185"/>
      <c r="E108" s="1186"/>
      <c r="I108"/>
    </row>
    <row r="109" spans="2:9" s="1180" customFormat="1" hidden="1">
      <c r="B109" s="1184"/>
      <c r="C109" s="1185"/>
      <c r="D109" s="1185"/>
      <c r="E109" s="1186"/>
      <c r="I109"/>
    </row>
    <row r="110" spans="2:9" s="1180" customFormat="1" hidden="1">
      <c r="B110" s="1184"/>
      <c r="C110" s="1185"/>
      <c r="D110" s="1185"/>
      <c r="E110" s="1186"/>
      <c r="I110"/>
    </row>
    <row r="111" spans="2:9" s="1180" customFormat="1" hidden="1">
      <c r="B111" s="1184"/>
      <c r="C111" s="1185"/>
      <c r="D111" s="1185"/>
      <c r="E111" s="1186"/>
      <c r="I111"/>
    </row>
    <row r="112" spans="2:9" s="1180" customFormat="1" hidden="1">
      <c r="B112" s="1184"/>
      <c r="C112" s="1185"/>
      <c r="D112" s="1185"/>
      <c r="E112" s="1186"/>
      <c r="I112"/>
    </row>
    <row r="113" spans="2:9" s="1180" customFormat="1" hidden="1">
      <c r="B113" s="1184"/>
      <c r="C113" s="1185"/>
      <c r="D113" s="1185"/>
      <c r="E113" s="1186"/>
      <c r="I113"/>
    </row>
    <row r="114" spans="2:9" s="1180" customFormat="1" hidden="1">
      <c r="B114" s="1184"/>
      <c r="C114" s="1185"/>
      <c r="D114" s="1185"/>
      <c r="E114" s="1186"/>
      <c r="I114"/>
    </row>
    <row r="115" spans="2:9" s="1180" customFormat="1" hidden="1">
      <c r="B115" s="1184"/>
      <c r="C115" s="1185"/>
      <c r="D115" s="1185"/>
      <c r="E115" s="1186"/>
      <c r="I115"/>
    </row>
    <row r="116" spans="2:9" s="1180" customFormat="1" hidden="1">
      <c r="B116" s="1184"/>
      <c r="C116" s="1185"/>
      <c r="D116" s="1185"/>
      <c r="E116" s="1186"/>
      <c r="I116"/>
    </row>
    <row r="117" spans="2:9" s="1180" customFormat="1" hidden="1">
      <c r="B117" s="1184"/>
      <c r="C117" s="1185"/>
      <c r="D117" s="1185"/>
      <c r="E117" s="1186"/>
      <c r="I117"/>
    </row>
    <row r="118" spans="2:9" s="1180" customFormat="1" hidden="1">
      <c r="B118" s="1184"/>
      <c r="C118" s="1185"/>
      <c r="D118" s="1185"/>
      <c r="E118" s="1186"/>
      <c r="I118"/>
    </row>
    <row r="119" spans="2:9" s="1180" customFormat="1" hidden="1">
      <c r="B119" s="1184"/>
      <c r="C119" s="1185"/>
      <c r="D119" s="1185"/>
      <c r="E119" s="1186"/>
      <c r="I119"/>
    </row>
    <row r="120" spans="2:9" s="1180" customFormat="1" hidden="1">
      <c r="B120" s="1184"/>
      <c r="C120" s="1185"/>
      <c r="D120" s="1185"/>
      <c r="E120" s="1186"/>
      <c r="I120"/>
    </row>
    <row r="121" spans="2:9" s="1180" customFormat="1" hidden="1">
      <c r="B121" s="1184"/>
      <c r="C121" s="1185"/>
      <c r="D121" s="1185"/>
      <c r="E121" s="1186"/>
      <c r="I121"/>
    </row>
    <row r="122" spans="2:9" s="1180" customFormat="1" hidden="1">
      <c r="B122" s="1184"/>
      <c r="C122" s="1185"/>
      <c r="D122" s="1185"/>
      <c r="E122" s="1186"/>
      <c r="I122"/>
    </row>
    <row r="123" spans="2:9" s="1180" customFormat="1" hidden="1">
      <c r="B123" s="1184"/>
      <c r="C123" s="1185"/>
      <c r="D123" s="1185"/>
      <c r="E123" s="1186"/>
      <c r="I123"/>
    </row>
    <row r="124" spans="2:9" s="1180" customFormat="1" hidden="1">
      <c r="B124" s="1184"/>
      <c r="C124" s="1185"/>
      <c r="D124" s="1185"/>
      <c r="E124" s="1186"/>
      <c r="I124"/>
    </row>
    <row r="125" spans="2:9" s="1180" customFormat="1" hidden="1">
      <c r="B125" s="1184"/>
      <c r="C125" s="1185"/>
      <c r="D125" s="1185"/>
      <c r="E125" s="1186"/>
      <c r="I125"/>
    </row>
    <row r="126" spans="2:9" s="1180" customFormat="1" hidden="1">
      <c r="B126" s="1184"/>
      <c r="C126" s="1185"/>
      <c r="D126" s="1185"/>
      <c r="E126" s="1186"/>
      <c r="I126"/>
    </row>
    <row r="127" spans="2:9" s="1180" customFormat="1" hidden="1">
      <c r="B127" s="1184"/>
      <c r="C127" s="1185"/>
      <c r="D127" s="1185"/>
      <c r="E127" s="1186"/>
      <c r="I127"/>
    </row>
    <row r="128" spans="2:9" s="1180" customFormat="1" hidden="1">
      <c r="B128" s="1184"/>
      <c r="C128" s="1185"/>
      <c r="D128" s="1185"/>
      <c r="E128" s="1186"/>
      <c r="I128"/>
    </row>
    <row r="129" spans="2:9" s="1180" customFormat="1" hidden="1">
      <c r="B129" s="1184"/>
      <c r="C129" s="1185"/>
      <c r="D129" s="1185"/>
      <c r="E129" s="1186"/>
      <c r="I129"/>
    </row>
    <row r="130" spans="2:9" s="1180" customFormat="1" hidden="1">
      <c r="B130" s="1184"/>
      <c r="C130" s="1185"/>
      <c r="D130" s="1185"/>
      <c r="E130" s="1186"/>
      <c r="I130"/>
    </row>
    <row r="131" spans="2:9" s="1180" customFormat="1" hidden="1">
      <c r="B131" s="1184"/>
      <c r="C131" s="1185"/>
      <c r="D131" s="1185"/>
      <c r="E131" s="1186"/>
      <c r="I131"/>
    </row>
    <row r="132" spans="2:9" s="1180" customFormat="1" hidden="1">
      <c r="B132" s="1184"/>
      <c r="C132" s="1185"/>
      <c r="D132" s="1185"/>
      <c r="E132" s="1186"/>
      <c r="I132"/>
    </row>
    <row r="133" spans="2:9" s="1180" customFormat="1" hidden="1">
      <c r="B133" s="1184"/>
      <c r="C133" s="1185"/>
      <c r="D133" s="1185"/>
      <c r="E133" s="1186"/>
      <c r="I133"/>
    </row>
    <row r="134" spans="2:9" s="1180" customFormat="1" hidden="1">
      <c r="B134" s="1184"/>
      <c r="C134" s="1185"/>
      <c r="D134" s="1185"/>
      <c r="E134" s="1186"/>
      <c r="I134"/>
    </row>
    <row r="135" spans="2:9" s="1180" customFormat="1" hidden="1">
      <c r="B135" s="1184"/>
      <c r="C135" s="1185"/>
      <c r="D135" s="1185"/>
      <c r="E135" s="1186"/>
      <c r="I135"/>
    </row>
    <row r="136" spans="2:9" s="1180" customFormat="1" hidden="1">
      <c r="B136" s="1184"/>
      <c r="C136" s="1185"/>
      <c r="D136" s="1185"/>
      <c r="E136" s="1186"/>
      <c r="I136"/>
    </row>
    <row r="137" spans="2:9" s="1180" customFormat="1" hidden="1">
      <c r="B137" s="1184"/>
      <c r="C137" s="1185"/>
      <c r="D137" s="1185"/>
      <c r="E137" s="1186"/>
      <c r="I137"/>
    </row>
    <row r="138" spans="2:9" s="1180" customFormat="1" hidden="1">
      <c r="B138" s="1184"/>
      <c r="C138" s="1185"/>
      <c r="D138" s="1185"/>
      <c r="E138" s="1186"/>
      <c r="I138"/>
    </row>
    <row r="139" spans="2:9" s="1180" customFormat="1" hidden="1">
      <c r="B139" s="1184"/>
      <c r="C139" s="1185"/>
      <c r="D139" s="1185"/>
      <c r="E139" s="1186"/>
      <c r="I139"/>
    </row>
    <row r="140" spans="2:9" s="1180" customFormat="1" hidden="1">
      <c r="B140" s="1184"/>
      <c r="C140" s="1185"/>
      <c r="D140" s="1185"/>
      <c r="E140" s="1186"/>
      <c r="I140"/>
    </row>
    <row r="141" spans="2:9" s="1180" customFormat="1" hidden="1">
      <c r="B141" s="1184"/>
      <c r="C141" s="1185"/>
      <c r="D141" s="1185"/>
      <c r="E141" s="1186"/>
      <c r="I141"/>
    </row>
    <row r="142" spans="2:9" s="1180" customFormat="1" hidden="1">
      <c r="B142" s="1184"/>
      <c r="C142" s="1185"/>
      <c r="D142" s="1185"/>
      <c r="E142" s="1186"/>
      <c r="I142"/>
    </row>
    <row r="143" spans="2:9" s="1180" customFormat="1" hidden="1">
      <c r="B143" s="1184"/>
      <c r="C143" s="1185"/>
      <c r="D143" s="1185"/>
      <c r="E143" s="1186"/>
      <c r="I143"/>
    </row>
    <row r="144" spans="2:9" s="1180" customFormat="1" hidden="1">
      <c r="B144" s="1184"/>
      <c r="C144" s="1185"/>
      <c r="D144" s="1185"/>
      <c r="E144" s="1186"/>
      <c r="I144"/>
    </row>
    <row r="145" spans="2:9" s="1180" customFormat="1" hidden="1">
      <c r="B145" s="1184"/>
      <c r="C145" s="1185"/>
      <c r="D145" s="1185"/>
      <c r="E145" s="1186"/>
      <c r="I145"/>
    </row>
    <row r="146" spans="2:9" s="1180" customFormat="1" hidden="1">
      <c r="B146" s="1184"/>
      <c r="C146" s="1185"/>
      <c r="D146" s="1185"/>
      <c r="E146" s="1186"/>
      <c r="I146"/>
    </row>
    <row r="147" spans="2:9" s="1180" customFormat="1" hidden="1">
      <c r="B147" s="1184"/>
      <c r="C147" s="1185"/>
      <c r="D147" s="1185"/>
      <c r="E147" s="1186"/>
      <c r="I147"/>
    </row>
    <row r="148" spans="2:9" s="1180" customFormat="1" hidden="1">
      <c r="B148" s="1184"/>
      <c r="C148" s="1185"/>
      <c r="D148" s="1185"/>
      <c r="E148" s="1186"/>
      <c r="I148"/>
    </row>
    <row r="149" spans="2:9" s="1180" customFormat="1" hidden="1">
      <c r="B149" s="1184"/>
      <c r="C149" s="1185"/>
      <c r="D149" s="1185"/>
      <c r="E149" s="1186"/>
      <c r="I149"/>
    </row>
    <row r="150" spans="2:9" s="1180" customFormat="1" hidden="1">
      <c r="B150" s="1184"/>
      <c r="C150" s="1185"/>
      <c r="D150" s="1185"/>
      <c r="E150" s="1186"/>
      <c r="I150"/>
    </row>
    <row r="151" spans="2:9" s="1180" customFormat="1" hidden="1">
      <c r="B151" s="1184"/>
      <c r="C151" s="1185"/>
      <c r="D151" s="1185"/>
      <c r="E151" s="1186"/>
      <c r="I151"/>
    </row>
    <row r="152" spans="2:9" s="1180" customFormat="1" hidden="1">
      <c r="B152" s="1184"/>
      <c r="C152" s="1185"/>
      <c r="D152" s="1185"/>
      <c r="E152" s="1186"/>
      <c r="I152"/>
    </row>
    <row r="153" spans="2:9" s="1180" customFormat="1" hidden="1">
      <c r="B153" s="1184"/>
      <c r="C153" s="1185"/>
      <c r="D153" s="1185"/>
      <c r="E153" s="1186"/>
      <c r="I153"/>
    </row>
    <row r="154" spans="2:9" s="1180" customFormat="1" hidden="1">
      <c r="B154" s="1184"/>
      <c r="C154" s="1185"/>
      <c r="D154" s="1185"/>
      <c r="E154" s="1186"/>
      <c r="I154"/>
    </row>
    <row r="155" spans="2:9" s="1180" customFormat="1" hidden="1">
      <c r="B155" s="1184"/>
      <c r="C155" s="1185"/>
      <c r="D155" s="1185"/>
      <c r="E155" s="1186"/>
      <c r="I155"/>
    </row>
    <row r="156" spans="2:9" s="1180" customFormat="1" hidden="1">
      <c r="B156" s="1184"/>
      <c r="C156" s="1185"/>
      <c r="D156" s="1185"/>
      <c r="E156" s="1186"/>
      <c r="I156"/>
    </row>
    <row r="157" spans="2:9" s="1180" customFormat="1" hidden="1">
      <c r="B157" s="1184"/>
      <c r="C157" s="1185"/>
      <c r="D157" s="1185"/>
      <c r="E157" s="1186"/>
      <c r="I157"/>
    </row>
    <row r="158" spans="2:9" s="1180" customFormat="1" hidden="1">
      <c r="B158" s="1184"/>
      <c r="C158" s="1185"/>
      <c r="D158" s="1185"/>
      <c r="E158" s="1186"/>
      <c r="I158"/>
    </row>
    <row r="159" spans="2:9" s="1180" customFormat="1" hidden="1">
      <c r="B159" s="1184"/>
      <c r="C159" s="1185"/>
      <c r="D159" s="1185"/>
      <c r="E159" s="1186"/>
      <c r="I159"/>
    </row>
    <row r="160" spans="2:9" s="1180" customFormat="1" hidden="1">
      <c r="B160" s="1184"/>
      <c r="C160" s="1185"/>
      <c r="D160" s="1185"/>
      <c r="E160" s="1186"/>
      <c r="I160"/>
    </row>
    <row r="161" spans="2:16311" s="1180" customFormat="1" hidden="1">
      <c r="B161" s="1184"/>
      <c r="C161" s="1185"/>
      <c r="D161" s="1185"/>
      <c r="E161" s="1186"/>
      <c r="I161"/>
    </row>
    <row r="162" spans="2:16311" s="1180" customFormat="1" hidden="1">
      <c r="B162" s="1184"/>
      <c r="C162" s="1185"/>
      <c r="D162" s="1185"/>
      <c r="E162" s="1186"/>
      <c r="I162"/>
      <c r="GB162" s="1181"/>
      <c r="GC162" s="1181"/>
      <c r="GD162" s="1181"/>
      <c r="GE162" s="1181"/>
      <c r="GF162" s="1181"/>
      <c r="GG162" s="1181"/>
      <c r="GH162" s="1181"/>
      <c r="GI162" s="1181"/>
      <c r="GJ162" s="1181"/>
      <c r="GK162" s="1181"/>
      <c r="GL162" s="1181"/>
      <c r="GM162" s="1181"/>
      <c r="GN162" s="1181"/>
      <c r="GO162" s="1181"/>
      <c r="GP162" s="1181"/>
      <c r="GQ162" s="1181"/>
      <c r="GR162" s="1181"/>
      <c r="GS162" s="1181"/>
      <c r="GT162" s="1181"/>
      <c r="GU162" s="1181"/>
      <c r="GV162" s="1181"/>
      <c r="GW162" s="1181"/>
      <c r="GX162" s="1181"/>
      <c r="GY162" s="1181"/>
      <c r="GZ162" s="1181"/>
      <c r="HA162" s="1181"/>
      <c r="HB162" s="1181"/>
      <c r="HC162" s="1181"/>
      <c r="HD162" s="1181"/>
      <c r="HE162" s="1181"/>
      <c r="HF162" s="1181"/>
      <c r="HG162" s="1181"/>
      <c r="HH162" s="1181"/>
      <c r="HI162" s="1181"/>
      <c r="HJ162" s="1181"/>
      <c r="HK162" s="1181"/>
      <c r="HL162" s="1181"/>
      <c r="HM162" s="1181"/>
      <c r="HN162" s="1181"/>
      <c r="HO162" s="1181"/>
      <c r="HP162" s="1181"/>
      <c r="HQ162" s="1181"/>
      <c r="HR162" s="1181"/>
      <c r="HS162" s="1181"/>
      <c r="HT162" s="1181"/>
      <c r="HU162" s="1181"/>
      <c r="HV162" s="1181"/>
      <c r="HW162" s="1181"/>
      <c r="HX162" s="1181"/>
      <c r="HY162" s="1181"/>
      <c r="HZ162" s="1181"/>
      <c r="IA162" s="1181"/>
      <c r="IB162" s="1181"/>
      <c r="IC162" s="1181"/>
      <c r="ID162" s="1181"/>
      <c r="IE162" s="1181"/>
      <c r="IF162" s="1181"/>
      <c r="IG162" s="1181"/>
      <c r="IH162" s="1181"/>
      <c r="II162" s="1181"/>
      <c r="IJ162" s="1181"/>
      <c r="IK162" s="1181"/>
      <c r="IL162" s="1181"/>
      <c r="IM162" s="1181"/>
      <c r="IN162" s="1181"/>
      <c r="IO162" s="1181"/>
      <c r="IP162" s="1181"/>
      <c r="IQ162" s="1181"/>
      <c r="IR162" s="1181"/>
      <c r="IS162" s="1181"/>
      <c r="IT162" s="1181"/>
      <c r="IU162" s="1181"/>
      <c r="IV162" s="1181"/>
      <c r="IW162" s="1181"/>
      <c r="IX162" s="1181"/>
      <c r="IY162" s="1181"/>
      <c r="IZ162" s="1181"/>
      <c r="JA162" s="1181"/>
      <c r="JB162" s="1181"/>
      <c r="JC162" s="1181"/>
      <c r="JD162" s="1181"/>
      <c r="JE162" s="1181"/>
      <c r="JF162" s="1181"/>
      <c r="JG162" s="1181"/>
      <c r="JH162" s="1181"/>
      <c r="JI162" s="1181"/>
      <c r="JJ162" s="1181"/>
      <c r="JK162" s="1181"/>
      <c r="JL162" s="1181"/>
      <c r="JM162" s="1181"/>
      <c r="JN162" s="1181"/>
      <c r="JO162" s="1181"/>
      <c r="JP162" s="1181"/>
      <c r="JQ162" s="1181"/>
      <c r="JR162" s="1181"/>
      <c r="JS162" s="1181"/>
      <c r="JT162" s="1181"/>
      <c r="JU162" s="1181"/>
      <c r="JV162" s="1181"/>
      <c r="JW162" s="1181"/>
      <c r="JX162" s="1181"/>
      <c r="JY162" s="1181"/>
      <c r="JZ162" s="1181"/>
      <c r="KA162" s="1181"/>
      <c r="KB162" s="1181"/>
      <c r="KC162" s="1181"/>
      <c r="KD162" s="1181"/>
      <c r="KE162" s="1181"/>
      <c r="KF162" s="1181"/>
      <c r="KG162" s="1181"/>
      <c r="KH162" s="1181"/>
      <c r="KI162" s="1181"/>
      <c r="KJ162" s="1181"/>
      <c r="KK162" s="1181"/>
      <c r="KL162" s="1181"/>
      <c r="KM162" s="1181"/>
      <c r="KN162" s="1181"/>
      <c r="KO162" s="1181"/>
      <c r="KP162" s="1181"/>
      <c r="KQ162" s="1181"/>
      <c r="KR162" s="1181"/>
      <c r="KS162" s="1181"/>
      <c r="KT162" s="1181"/>
      <c r="KU162" s="1181"/>
      <c r="KV162" s="1181"/>
      <c r="KW162" s="1181"/>
      <c r="KX162" s="1181"/>
      <c r="KY162" s="1181"/>
      <c r="KZ162" s="1181"/>
      <c r="LA162" s="1181"/>
      <c r="LB162" s="1181"/>
      <c r="LC162" s="1181"/>
      <c r="LD162" s="1181"/>
      <c r="LE162" s="1181"/>
      <c r="LF162" s="1181"/>
      <c r="LG162" s="1181"/>
      <c r="LH162" s="1181"/>
      <c r="LI162" s="1181"/>
      <c r="LJ162" s="1181"/>
      <c r="LK162" s="1181"/>
      <c r="LL162" s="1181"/>
      <c r="LM162" s="1181"/>
      <c r="LN162" s="1181"/>
      <c r="LO162" s="1181"/>
      <c r="LP162" s="1181"/>
      <c r="LQ162" s="1181"/>
      <c r="LR162" s="1181"/>
      <c r="LS162" s="1181"/>
      <c r="LT162" s="1181"/>
      <c r="LU162" s="1181"/>
      <c r="LV162" s="1181"/>
      <c r="LW162" s="1181"/>
      <c r="LX162" s="1181"/>
      <c r="LY162" s="1181"/>
      <c r="LZ162" s="1181"/>
      <c r="MA162" s="1181"/>
      <c r="MB162" s="1181"/>
      <c r="MC162" s="1181"/>
      <c r="MD162" s="1181"/>
      <c r="ME162" s="1181"/>
      <c r="MF162" s="1181"/>
      <c r="MG162" s="1181"/>
      <c r="MH162" s="1181"/>
      <c r="MI162" s="1181"/>
      <c r="MJ162" s="1181"/>
      <c r="MK162" s="1181"/>
      <c r="ML162" s="1181"/>
      <c r="MM162" s="1181"/>
      <c r="MN162" s="1181"/>
      <c r="MO162" s="1181"/>
      <c r="MP162" s="1181"/>
      <c r="MQ162" s="1181"/>
      <c r="MR162" s="1181"/>
      <c r="MS162" s="1181"/>
      <c r="MT162" s="1181"/>
      <c r="MU162" s="1181"/>
      <c r="MV162" s="1181"/>
      <c r="MW162" s="1181"/>
      <c r="MX162" s="1181"/>
      <c r="MY162" s="1181"/>
      <c r="MZ162" s="1181"/>
      <c r="NA162" s="1181"/>
      <c r="NB162" s="1181"/>
      <c r="NC162" s="1181"/>
      <c r="ND162" s="1181"/>
      <c r="NE162" s="1181"/>
      <c r="NF162" s="1181"/>
      <c r="NG162" s="1181"/>
      <c r="NH162" s="1181"/>
      <c r="NI162" s="1181"/>
      <c r="NJ162" s="1181"/>
      <c r="NK162" s="1181"/>
      <c r="NL162" s="1181"/>
      <c r="NM162" s="1181"/>
      <c r="NN162" s="1181"/>
      <c r="NO162" s="1181"/>
      <c r="NP162" s="1181"/>
      <c r="NQ162" s="1181"/>
      <c r="NR162" s="1181"/>
      <c r="NS162" s="1181"/>
      <c r="NT162" s="1181"/>
      <c r="NU162" s="1181"/>
      <c r="NV162" s="1181"/>
      <c r="NW162" s="1181"/>
      <c r="NX162" s="1181"/>
      <c r="NY162" s="1181"/>
      <c r="NZ162" s="1181"/>
      <c r="OA162" s="1181"/>
      <c r="OB162" s="1181"/>
      <c r="OC162" s="1181"/>
      <c r="OD162" s="1181"/>
      <c r="OE162" s="1181"/>
      <c r="OF162" s="1181"/>
      <c r="OG162" s="1181"/>
      <c r="OH162" s="1181"/>
      <c r="OI162" s="1181"/>
      <c r="OJ162" s="1181"/>
      <c r="OK162" s="1181"/>
      <c r="OL162" s="1181"/>
      <c r="OM162" s="1181"/>
      <c r="ON162" s="1181"/>
      <c r="OO162" s="1181"/>
      <c r="OP162" s="1181"/>
      <c r="OQ162" s="1181"/>
      <c r="OR162" s="1181"/>
      <c r="OS162" s="1181"/>
      <c r="OT162" s="1181"/>
      <c r="OU162" s="1181"/>
      <c r="OV162" s="1181"/>
      <c r="OW162" s="1181"/>
      <c r="OX162" s="1181"/>
      <c r="OY162" s="1181"/>
      <c r="OZ162" s="1181"/>
      <c r="PA162" s="1181"/>
      <c r="PB162" s="1181"/>
      <c r="PC162" s="1181"/>
      <c r="PD162" s="1181"/>
      <c r="PE162" s="1181"/>
      <c r="PF162" s="1181"/>
      <c r="PG162" s="1181"/>
      <c r="PH162" s="1181"/>
      <c r="PI162" s="1181"/>
      <c r="PJ162" s="1181"/>
      <c r="PK162" s="1181"/>
      <c r="PL162" s="1181"/>
      <c r="PM162" s="1181"/>
      <c r="PN162" s="1181"/>
      <c r="PO162" s="1181"/>
      <c r="PP162" s="1181"/>
      <c r="PQ162" s="1181"/>
      <c r="PR162" s="1181"/>
      <c r="PS162" s="1181"/>
      <c r="PT162" s="1181"/>
      <c r="PU162" s="1181"/>
      <c r="PV162" s="1181"/>
      <c r="PW162" s="1181"/>
      <c r="PX162" s="1181"/>
      <c r="PY162" s="1181"/>
      <c r="PZ162" s="1181"/>
      <c r="QA162" s="1181"/>
      <c r="QB162" s="1181"/>
      <c r="QC162" s="1181"/>
      <c r="QD162" s="1181"/>
      <c r="QE162" s="1181"/>
      <c r="QF162" s="1181"/>
      <c r="QG162" s="1181"/>
      <c r="QH162" s="1181"/>
      <c r="QI162" s="1181"/>
      <c r="QJ162" s="1181"/>
      <c r="QK162" s="1181"/>
      <c r="QL162" s="1181"/>
      <c r="QM162" s="1181"/>
      <c r="QN162" s="1181"/>
      <c r="QO162" s="1181"/>
      <c r="QP162" s="1181"/>
      <c r="QQ162" s="1181"/>
      <c r="QR162" s="1181"/>
      <c r="QS162" s="1181"/>
      <c r="QT162" s="1181"/>
      <c r="QU162" s="1181"/>
      <c r="QV162" s="1181"/>
      <c r="QW162" s="1181"/>
      <c r="QX162" s="1181"/>
      <c r="QY162" s="1181"/>
      <c r="QZ162" s="1181"/>
      <c r="RA162" s="1181"/>
      <c r="RB162" s="1181"/>
      <c r="RC162" s="1181"/>
      <c r="RD162" s="1181"/>
      <c r="RE162" s="1181"/>
      <c r="RF162" s="1181"/>
      <c r="RG162" s="1181"/>
      <c r="RH162" s="1181"/>
      <c r="RI162" s="1181"/>
      <c r="RJ162" s="1181"/>
      <c r="RK162" s="1181"/>
      <c r="RL162" s="1181"/>
      <c r="RM162" s="1181"/>
      <c r="RN162" s="1181"/>
      <c r="RO162" s="1181"/>
      <c r="RP162" s="1181"/>
      <c r="RQ162" s="1181"/>
      <c r="RR162" s="1181"/>
      <c r="RS162" s="1181"/>
      <c r="RT162" s="1181"/>
      <c r="RU162" s="1181"/>
      <c r="RV162" s="1181"/>
      <c r="RW162" s="1181"/>
      <c r="RX162" s="1181"/>
      <c r="RY162" s="1181"/>
      <c r="RZ162" s="1181"/>
      <c r="SA162" s="1181"/>
      <c r="SB162" s="1181"/>
      <c r="SC162" s="1181"/>
      <c r="SD162" s="1181"/>
      <c r="SE162" s="1181"/>
      <c r="SF162" s="1181"/>
      <c r="SG162" s="1181"/>
      <c r="SH162" s="1181"/>
      <c r="SI162" s="1181"/>
      <c r="SJ162" s="1181"/>
      <c r="SK162" s="1181"/>
      <c r="SL162" s="1181"/>
      <c r="SM162" s="1181"/>
      <c r="SN162" s="1181"/>
      <c r="SO162" s="1181"/>
      <c r="SP162" s="1181"/>
      <c r="SQ162" s="1181"/>
      <c r="SR162" s="1181"/>
      <c r="SS162" s="1181"/>
      <c r="ST162" s="1181"/>
      <c r="SU162" s="1181"/>
      <c r="SV162" s="1181"/>
      <c r="SW162" s="1181"/>
      <c r="SX162" s="1181"/>
      <c r="SY162" s="1181"/>
      <c r="SZ162" s="1181"/>
      <c r="TA162" s="1181"/>
      <c r="TB162" s="1181"/>
      <c r="TC162" s="1181"/>
      <c r="TD162" s="1181"/>
      <c r="TE162" s="1181"/>
      <c r="TF162" s="1181"/>
      <c r="TG162" s="1181"/>
      <c r="TH162" s="1181"/>
      <c r="TI162" s="1181"/>
      <c r="TJ162" s="1181"/>
      <c r="TK162" s="1181"/>
      <c r="TL162" s="1181"/>
      <c r="TM162" s="1181"/>
      <c r="TN162" s="1181"/>
      <c r="TO162" s="1181"/>
      <c r="TP162" s="1181"/>
      <c r="TQ162" s="1181"/>
      <c r="TR162" s="1181"/>
      <c r="TS162" s="1181"/>
      <c r="TT162" s="1181"/>
      <c r="TU162" s="1181"/>
      <c r="TV162" s="1181"/>
      <c r="TW162" s="1181"/>
      <c r="TX162" s="1181"/>
      <c r="TY162" s="1181"/>
      <c r="TZ162" s="1181"/>
      <c r="UA162" s="1181"/>
      <c r="UB162" s="1181"/>
      <c r="UC162" s="1181"/>
      <c r="UD162" s="1181"/>
      <c r="UE162" s="1181"/>
      <c r="UF162" s="1181"/>
      <c r="UG162" s="1181"/>
      <c r="UH162" s="1181"/>
      <c r="UI162" s="1181"/>
      <c r="UJ162" s="1181"/>
      <c r="UK162" s="1181"/>
      <c r="UL162" s="1181"/>
      <c r="UM162" s="1181"/>
      <c r="UN162" s="1181"/>
      <c r="UO162" s="1181"/>
      <c r="UP162" s="1181"/>
      <c r="UQ162" s="1181"/>
      <c r="UR162" s="1181"/>
      <c r="US162" s="1181"/>
      <c r="UT162" s="1181"/>
      <c r="UU162" s="1181"/>
      <c r="UV162" s="1181"/>
      <c r="UW162" s="1181"/>
      <c r="UX162" s="1181"/>
      <c r="UY162" s="1181"/>
      <c r="UZ162" s="1181"/>
      <c r="VA162" s="1181"/>
      <c r="VB162" s="1181"/>
      <c r="VC162" s="1181"/>
      <c r="VD162" s="1181"/>
      <c r="VE162" s="1181"/>
      <c r="VF162" s="1181"/>
      <c r="VG162" s="1181"/>
      <c r="VH162" s="1181"/>
      <c r="VI162" s="1181"/>
      <c r="VJ162" s="1181"/>
      <c r="VK162" s="1181"/>
      <c r="VL162" s="1181"/>
      <c r="VM162" s="1181"/>
      <c r="VN162" s="1181"/>
      <c r="VO162" s="1181"/>
      <c r="VP162" s="1181"/>
      <c r="VQ162" s="1181"/>
      <c r="VR162" s="1181"/>
      <c r="VS162" s="1181"/>
      <c r="VT162" s="1181"/>
      <c r="VU162" s="1181"/>
      <c r="VV162" s="1181"/>
      <c r="VW162" s="1181"/>
      <c r="VX162" s="1181"/>
      <c r="VY162" s="1181"/>
      <c r="VZ162" s="1181"/>
      <c r="WA162" s="1181"/>
      <c r="WB162" s="1181"/>
      <c r="WC162" s="1181"/>
      <c r="WD162" s="1181"/>
      <c r="WE162" s="1181"/>
      <c r="WF162" s="1181"/>
      <c r="WG162" s="1181"/>
      <c r="WH162" s="1181"/>
      <c r="WI162" s="1181"/>
      <c r="WJ162" s="1181"/>
      <c r="WK162" s="1181"/>
      <c r="WL162" s="1181"/>
      <c r="WM162" s="1181"/>
      <c r="WN162" s="1181"/>
      <c r="WO162" s="1181"/>
      <c r="WP162" s="1181"/>
      <c r="WQ162" s="1181"/>
      <c r="WR162" s="1181"/>
      <c r="WS162" s="1181"/>
      <c r="WT162" s="1181"/>
      <c r="WU162" s="1181"/>
      <c r="WV162" s="1181"/>
      <c r="WW162" s="1181"/>
      <c r="WX162" s="1181"/>
      <c r="WY162" s="1181"/>
      <c r="WZ162" s="1181"/>
      <c r="XA162" s="1181"/>
      <c r="XB162" s="1181"/>
      <c r="XC162" s="1181"/>
      <c r="XD162" s="1181"/>
      <c r="XE162" s="1181"/>
      <c r="XF162" s="1181"/>
      <c r="XG162" s="1181"/>
      <c r="XH162" s="1181"/>
      <c r="XI162" s="1181"/>
      <c r="XJ162" s="1181"/>
      <c r="XK162" s="1181"/>
      <c r="XL162" s="1181"/>
      <c r="XM162" s="1181"/>
      <c r="XN162" s="1181"/>
      <c r="XO162" s="1181"/>
      <c r="XP162" s="1181"/>
      <c r="XQ162" s="1181"/>
      <c r="XR162" s="1181"/>
      <c r="XS162" s="1181"/>
      <c r="XT162" s="1181"/>
      <c r="XU162" s="1181"/>
      <c r="XV162" s="1181"/>
      <c r="XW162" s="1181"/>
      <c r="XX162" s="1181"/>
      <c r="XY162" s="1181"/>
      <c r="XZ162" s="1181"/>
      <c r="YA162" s="1181"/>
      <c r="YB162" s="1181"/>
      <c r="YC162" s="1181"/>
      <c r="YD162" s="1181"/>
      <c r="YE162" s="1181"/>
      <c r="YF162" s="1181"/>
      <c r="YG162" s="1181"/>
      <c r="YH162" s="1181"/>
      <c r="YI162" s="1181"/>
      <c r="YJ162" s="1181"/>
      <c r="YK162" s="1181"/>
      <c r="YL162" s="1181"/>
      <c r="YM162" s="1181"/>
      <c r="YN162" s="1181"/>
      <c r="YO162" s="1181"/>
      <c r="YP162" s="1181"/>
      <c r="YQ162" s="1181"/>
      <c r="YR162" s="1181"/>
      <c r="YS162" s="1181"/>
      <c r="YT162" s="1181"/>
      <c r="YU162" s="1181"/>
      <c r="YV162" s="1181"/>
      <c r="YW162" s="1181"/>
      <c r="YX162" s="1181"/>
      <c r="YY162" s="1181"/>
      <c r="YZ162" s="1181"/>
      <c r="ZA162" s="1181"/>
      <c r="ZB162" s="1181"/>
      <c r="ZC162" s="1181"/>
      <c r="ZD162" s="1181"/>
      <c r="ZE162" s="1181"/>
      <c r="ZF162" s="1181"/>
      <c r="ZG162" s="1181"/>
      <c r="ZH162" s="1181"/>
      <c r="ZI162" s="1181"/>
      <c r="ZJ162" s="1181"/>
      <c r="ZK162" s="1181"/>
      <c r="ZL162" s="1181"/>
      <c r="ZM162" s="1181"/>
      <c r="ZN162" s="1181"/>
      <c r="ZO162" s="1181"/>
      <c r="ZP162" s="1181"/>
      <c r="ZQ162" s="1181"/>
      <c r="ZR162" s="1181"/>
      <c r="ZS162" s="1181"/>
      <c r="ZT162" s="1181"/>
      <c r="ZU162" s="1181"/>
      <c r="ZV162" s="1181"/>
      <c r="ZW162" s="1181"/>
      <c r="ZX162" s="1181"/>
      <c r="ZY162" s="1181"/>
      <c r="ZZ162" s="1181"/>
      <c r="AAA162" s="1181"/>
      <c r="AAB162" s="1181"/>
      <c r="AAC162" s="1181"/>
      <c r="AAD162" s="1181"/>
      <c r="AAE162" s="1181"/>
      <c r="AAF162" s="1181"/>
      <c r="AAG162" s="1181"/>
      <c r="AAH162" s="1181"/>
      <c r="AAI162" s="1181"/>
      <c r="AAJ162" s="1181"/>
      <c r="AAK162" s="1181"/>
      <c r="AAL162" s="1181"/>
      <c r="AAM162" s="1181"/>
      <c r="AAN162" s="1181"/>
      <c r="AAO162" s="1181"/>
      <c r="AAP162" s="1181"/>
      <c r="AAQ162" s="1181"/>
      <c r="AAR162" s="1181"/>
      <c r="AAS162" s="1181"/>
      <c r="AAT162" s="1181"/>
      <c r="AAU162" s="1181"/>
      <c r="AAV162" s="1181"/>
      <c r="AAW162" s="1181"/>
      <c r="AAX162" s="1181"/>
      <c r="AAY162" s="1181"/>
      <c r="AAZ162" s="1181"/>
      <c r="ABA162" s="1181"/>
      <c r="ABB162" s="1181"/>
      <c r="ABC162" s="1181"/>
      <c r="ABD162" s="1181"/>
      <c r="ABE162" s="1181"/>
      <c r="ABF162" s="1181"/>
      <c r="ABG162" s="1181"/>
      <c r="ABH162" s="1181"/>
      <c r="ABI162" s="1181"/>
      <c r="ABJ162" s="1181"/>
      <c r="ABK162" s="1181"/>
      <c r="ABL162" s="1181"/>
      <c r="ABM162" s="1181"/>
      <c r="ABN162" s="1181"/>
      <c r="ABO162" s="1181"/>
      <c r="ABP162" s="1181"/>
      <c r="ABQ162" s="1181"/>
      <c r="ABR162" s="1181"/>
      <c r="ABS162" s="1181"/>
      <c r="ABT162" s="1181"/>
      <c r="ABU162" s="1181"/>
      <c r="ABV162" s="1181"/>
      <c r="ABW162" s="1181"/>
      <c r="ABX162" s="1181"/>
      <c r="ABY162" s="1181"/>
      <c r="ABZ162" s="1181"/>
      <c r="ACA162" s="1181"/>
      <c r="ACB162" s="1181"/>
      <c r="ACC162" s="1181"/>
      <c r="ACD162" s="1181"/>
      <c r="ACE162" s="1181"/>
      <c r="ACF162" s="1181"/>
      <c r="ACG162" s="1181"/>
      <c r="ACH162" s="1181"/>
      <c r="ACI162" s="1181"/>
      <c r="ACJ162" s="1181"/>
      <c r="ACK162" s="1181"/>
      <c r="ACL162" s="1181"/>
      <c r="ACM162" s="1181"/>
      <c r="ACN162" s="1181"/>
      <c r="ACO162" s="1181"/>
      <c r="ACP162" s="1181"/>
      <c r="ACQ162" s="1181"/>
      <c r="ACR162" s="1181"/>
      <c r="ACS162" s="1181"/>
      <c r="ACT162" s="1181"/>
      <c r="ACU162" s="1181"/>
      <c r="ACV162" s="1181"/>
      <c r="ACW162" s="1181"/>
      <c r="ACX162" s="1181"/>
      <c r="ACY162" s="1181"/>
      <c r="ACZ162" s="1181"/>
      <c r="ADA162" s="1181"/>
      <c r="ADB162" s="1181"/>
      <c r="ADC162" s="1181"/>
      <c r="ADD162" s="1181"/>
      <c r="ADE162" s="1181"/>
      <c r="ADF162" s="1181"/>
      <c r="ADG162" s="1181"/>
      <c r="ADH162" s="1181"/>
      <c r="ADI162" s="1181"/>
      <c r="ADJ162" s="1181"/>
      <c r="ADK162" s="1181"/>
      <c r="ADL162" s="1181"/>
      <c r="ADM162" s="1181"/>
      <c r="ADN162" s="1181"/>
      <c r="ADO162" s="1181"/>
      <c r="ADP162" s="1181"/>
      <c r="ADQ162" s="1181"/>
      <c r="ADR162" s="1181"/>
      <c r="ADS162" s="1181"/>
      <c r="ADT162" s="1181"/>
      <c r="ADU162" s="1181"/>
      <c r="ADV162" s="1181"/>
      <c r="ADW162" s="1181"/>
      <c r="ADX162" s="1181"/>
      <c r="ADY162" s="1181"/>
      <c r="ADZ162" s="1181"/>
      <c r="AEA162" s="1181"/>
      <c r="AEB162" s="1181"/>
      <c r="AEC162" s="1181"/>
      <c r="AED162" s="1181"/>
      <c r="AEE162" s="1181"/>
      <c r="AEF162" s="1181"/>
      <c r="AEG162" s="1181"/>
      <c r="AEH162" s="1181"/>
      <c r="AEI162" s="1181"/>
      <c r="AEJ162" s="1181"/>
      <c r="AEK162" s="1181"/>
      <c r="AEL162" s="1181"/>
      <c r="AEM162" s="1181"/>
      <c r="AEN162" s="1181"/>
      <c r="AEO162" s="1181"/>
      <c r="AEP162" s="1181"/>
      <c r="AEQ162" s="1181"/>
      <c r="AER162" s="1181"/>
      <c r="AES162" s="1181"/>
      <c r="AET162" s="1181"/>
      <c r="AEU162" s="1181"/>
      <c r="AEV162" s="1181"/>
      <c r="AEW162" s="1181"/>
      <c r="AEX162" s="1181"/>
      <c r="AEY162" s="1181"/>
      <c r="AEZ162" s="1181"/>
      <c r="AFA162" s="1181"/>
      <c r="AFB162" s="1181"/>
      <c r="AFC162" s="1181"/>
      <c r="AFD162" s="1181"/>
      <c r="AFE162" s="1181"/>
      <c r="AFF162" s="1181"/>
      <c r="AFG162" s="1181"/>
      <c r="AFH162" s="1181"/>
      <c r="AFI162" s="1181"/>
      <c r="AFJ162" s="1181"/>
      <c r="AFK162" s="1181"/>
      <c r="AFL162" s="1181"/>
      <c r="AFM162" s="1181"/>
      <c r="AFN162" s="1181"/>
      <c r="AFO162" s="1181"/>
      <c r="AFP162" s="1181"/>
      <c r="AFQ162" s="1181"/>
      <c r="AFR162" s="1181"/>
      <c r="AFS162" s="1181"/>
      <c r="AFT162" s="1181"/>
      <c r="AFU162" s="1181"/>
      <c r="AFV162" s="1181"/>
      <c r="AFW162" s="1181"/>
      <c r="AFX162" s="1181"/>
      <c r="AFY162" s="1181"/>
      <c r="AFZ162" s="1181"/>
      <c r="AGA162" s="1181"/>
      <c r="AGB162" s="1181"/>
      <c r="AGC162" s="1181"/>
      <c r="AGD162" s="1181"/>
      <c r="AGE162" s="1181"/>
      <c r="AGF162" s="1181"/>
      <c r="AGG162" s="1181"/>
      <c r="AGH162" s="1181"/>
      <c r="AGI162" s="1181"/>
      <c r="AGJ162" s="1181"/>
      <c r="AGK162" s="1181"/>
      <c r="AGL162" s="1181"/>
      <c r="AGM162" s="1181"/>
      <c r="AGN162" s="1181"/>
      <c r="AGO162" s="1181"/>
      <c r="AGP162" s="1181"/>
      <c r="AGQ162" s="1181"/>
      <c r="AGR162" s="1181"/>
      <c r="AGS162" s="1181"/>
      <c r="AGT162" s="1181"/>
      <c r="AGU162" s="1181"/>
      <c r="AGV162" s="1181"/>
      <c r="AGW162" s="1181"/>
      <c r="AGX162" s="1181"/>
      <c r="AGY162" s="1181"/>
      <c r="AGZ162" s="1181"/>
      <c r="AHA162" s="1181"/>
      <c r="AHB162" s="1181"/>
      <c r="AHC162" s="1181"/>
      <c r="AHD162" s="1181"/>
      <c r="AHE162" s="1181"/>
      <c r="AHF162" s="1181"/>
      <c r="AHG162" s="1181"/>
      <c r="AHH162" s="1181"/>
      <c r="AHI162" s="1181"/>
      <c r="AHJ162" s="1181"/>
      <c r="AHK162" s="1181"/>
      <c r="AHL162" s="1181"/>
      <c r="AHM162" s="1181"/>
      <c r="AHN162" s="1181"/>
      <c r="AHO162" s="1181"/>
      <c r="AHP162" s="1181"/>
      <c r="AHQ162" s="1181"/>
      <c r="AHR162" s="1181"/>
      <c r="AHS162" s="1181"/>
      <c r="AHT162" s="1181"/>
      <c r="AHU162" s="1181"/>
      <c r="AHV162" s="1181"/>
      <c r="AHW162" s="1181"/>
      <c r="AHX162" s="1181"/>
      <c r="AHY162" s="1181"/>
      <c r="AHZ162" s="1181"/>
      <c r="AIA162" s="1181"/>
      <c r="AIB162" s="1181"/>
      <c r="AIC162" s="1181"/>
      <c r="AID162" s="1181"/>
      <c r="AIE162" s="1181"/>
      <c r="AIF162" s="1181"/>
      <c r="AIG162" s="1181"/>
      <c r="AIH162" s="1181"/>
      <c r="AII162" s="1181"/>
      <c r="AIJ162" s="1181"/>
      <c r="AIK162" s="1181"/>
      <c r="AIL162" s="1181"/>
      <c r="AIM162" s="1181"/>
      <c r="AIN162" s="1181"/>
      <c r="AIO162" s="1181"/>
      <c r="AIP162" s="1181"/>
      <c r="AIQ162" s="1181"/>
      <c r="AIR162" s="1181"/>
      <c r="AIS162" s="1181"/>
      <c r="AIT162" s="1181"/>
      <c r="AIU162" s="1181"/>
      <c r="AIV162" s="1181"/>
      <c r="AIW162" s="1181"/>
      <c r="AIX162" s="1181"/>
      <c r="AIY162" s="1181"/>
      <c r="AIZ162" s="1181"/>
      <c r="AJA162" s="1181"/>
      <c r="AJB162" s="1181"/>
      <c r="AJC162" s="1181"/>
      <c r="AJD162" s="1181"/>
      <c r="AJE162" s="1181"/>
      <c r="AJF162" s="1181"/>
      <c r="AJG162" s="1181"/>
      <c r="AJH162" s="1181"/>
      <c r="AJI162" s="1181"/>
      <c r="AJJ162" s="1181"/>
      <c r="AJK162" s="1181"/>
      <c r="AJL162" s="1181"/>
      <c r="AJM162" s="1181"/>
      <c r="AJN162" s="1181"/>
      <c r="AJO162" s="1181"/>
      <c r="AJP162" s="1181"/>
      <c r="AJQ162" s="1181"/>
      <c r="AJR162" s="1181"/>
      <c r="AJS162" s="1181"/>
      <c r="AJT162" s="1181"/>
      <c r="AJU162" s="1181"/>
      <c r="AJV162" s="1181"/>
      <c r="AJW162" s="1181"/>
      <c r="AJX162" s="1181"/>
      <c r="AJY162" s="1181"/>
      <c r="AJZ162" s="1181"/>
      <c r="AKA162" s="1181"/>
      <c r="AKB162" s="1181"/>
      <c r="AKC162" s="1181"/>
      <c r="AKD162" s="1181"/>
      <c r="AKE162" s="1181"/>
      <c r="AKF162" s="1181"/>
      <c r="AKG162" s="1181"/>
      <c r="AKH162" s="1181"/>
      <c r="AKI162" s="1181"/>
      <c r="AKJ162" s="1181"/>
      <c r="AKK162" s="1181"/>
      <c r="AKL162" s="1181"/>
      <c r="AKM162" s="1181"/>
      <c r="AKN162" s="1181"/>
      <c r="AKO162" s="1181"/>
      <c r="AKP162" s="1181"/>
      <c r="AKQ162" s="1181"/>
      <c r="AKR162" s="1181"/>
      <c r="AKS162" s="1181"/>
      <c r="AKT162" s="1181"/>
      <c r="AKU162" s="1181"/>
      <c r="AKV162" s="1181"/>
      <c r="AKW162" s="1181"/>
      <c r="AKX162" s="1181"/>
      <c r="AKY162" s="1181"/>
      <c r="AKZ162" s="1181"/>
      <c r="ALA162" s="1181"/>
      <c r="ALB162" s="1181"/>
      <c r="ALC162" s="1181"/>
      <c r="ALD162" s="1181"/>
      <c r="ALE162" s="1181"/>
      <c r="ALF162" s="1181"/>
      <c r="ALG162" s="1181"/>
      <c r="ALH162" s="1181"/>
      <c r="ALI162" s="1181"/>
      <c r="ALJ162" s="1181"/>
      <c r="ALK162" s="1181"/>
      <c r="ALL162" s="1181"/>
      <c r="ALM162" s="1181"/>
      <c r="ALN162" s="1181"/>
      <c r="ALO162" s="1181"/>
      <c r="ALP162" s="1181"/>
      <c r="ALQ162" s="1181"/>
      <c r="ALR162" s="1181"/>
      <c r="ALS162" s="1181"/>
      <c r="ALT162" s="1181"/>
      <c r="ALU162" s="1181"/>
      <c r="ALV162" s="1181"/>
      <c r="ALW162" s="1181"/>
      <c r="ALX162" s="1181"/>
      <c r="ALY162" s="1181"/>
      <c r="ALZ162" s="1181"/>
      <c r="AMA162" s="1181"/>
      <c r="AMB162" s="1181"/>
      <c r="AMC162" s="1181"/>
      <c r="AMD162" s="1181"/>
      <c r="AME162" s="1181"/>
      <c r="AMF162" s="1181"/>
      <c r="AMG162" s="1181"/>
      <c r="AMH162" s="1181"/>
      <c r="AMI162" s="1181"/>
      <c r="AMJ162" s="1181"/>
      <c r="AMK162" s="1181"/>
      <c r="AML162" s="1181"/>
      <c r="AMM162" s="1181"/>
      <c r="AMN162" s="1181"/>
      <c r="AMO162" s="1181"/>
      <c r="AMP162" s="1181"/>
      <c r="AMQ162" s="1181"/>
      <c r="AMR162" s="1181"/>
      <c r="AMS162" s="1181"/>
      <c r="AMT162" s="1181"/>
      <c r="AMU162" s="1181"/>
      <c r="AMV162" s="1181"/>
      <c r="AMW162" s="1181"/>
      <c r="AMX162" s="1181"/>
      <c r="AMY162" s="1181"/>
      <c r="AMZ162" s="1181"/>
      <c r="ANA162" s="1181"/>
      <c r="ANB162" s="1181"/>
      <c r="ANC162" s="1181"/>
      <c r="AND162" s="1181"/>
      <c r="ANE162" s="1181"/>
      <c r="ANF162" s="1181"/>
      <c r="ANG162" s="1181"/>
      <c r="ANH162" s="1181"/>
      <c r="ANI162" s="1181"/>
      <c r="ANJ162" s="1181"/>
      <c r="ANK162" s="1181"/>
      <c r="ANL162" s="1181"/>
      <c r="ANM162" s="1181"/>
      <c r="ANN162" s="1181"/>
      <c r="ANO162" s="1181"/>
      <c r="ANP162" s="1181"/>
      <c r="ANQ162" s="1181"/>
      <c r="ANR162" s="1181"/>
      <c r="ANS162" s="1181"/>
      <c r="ANT162" s="1181"/>
      <c r="ANU162" s="1181"/>
      <c r="ANV162" s="1181"/>
      <c r="ANW162" s="1181"/>
      <c r="ANX162" s="1181"/>
      <c r="ANY162" s="1181"/>
      <c r="ANZ162" s="1181"/>
      <c r="AOA162" s="1181"/>
      <c r="AOB162" s="1181"/>
      <c r="AOC162" s="1181"/>
      <c r="AOD162" s="1181"/>
      <c r="AOE162" s="1181"/>
      <c r="AOF162" s="1181"/>
      <c r="AOG162" s="1181"/>
      <c r="AOH162" s="1181"/>
      <c r="AOI162" s="1181"/>
      <c r="AOJ162" s="1181"/>
      <c r="AOK162" s="1181"/>
      <c r="AOL162" s="1181"/>
      <c r="AOM162" s="1181"/>
      <c r="AON162" s="1181"/>
      <c r="AOO162" s="1181"/>
      <c r="AOP162" s="1181"/>
      <c r="AOQ162" s="1181"/>
      <c r="AOR162" s="1181"/>
      <c r="AOS162" s="1181"/>
      <c r="AOT162" s="1181"/>
      <c r="AOU162" s="1181"/>
      <c r="AOV162" s="1181"/>
      <c r="AOW162" s="1181"/>
      <c r="AOX162" s="1181"/>
      <c r="AOY162" s="1181"/>
      <c r="AOZ162" s="1181"/>
      <c r="APA162" s="1181"/>
      <c r="APB162" s="1181"/>
      <c r="APC162" s="1181"/>
      <c r="APD162" s="1181"/>
      <c r="APE162" s="1181"/>
      <c r="APF162" s="1181"/>
      <c r="APG162" s="1181"/>
      <c r="APH162" s="1181"/>
      <c r="API162" s="1181"/>
      <c r="APJ162" s="1181"/>
      <c r="APK162" s="1181"/>
      <c r="APL162" s="1181"/>
      <c r="APM162" s="1181"/>
      <c r="APN162" s="1181"/>
      <c r="APO162" s="1181"/>
      <c r="APP162" s="1181"/>
      <c r="APQ162" s="1181"/>
      <c r="APR162" s="1181"/>
      <c r="APS162" s="1181"/>
      <c r="APT162" s="1181"/>
      <c r="APU162" s="1181"/>
      <c r="APV162" s="1181"/>
      <c r="APW162" s="1181"/>
      <c r="APX162" s="1181"/>
      <c r="APY162" s="1181"/>
      <c r="APZ162" s="1181"/>
      <c r="AQA162" s="1181"/>
      <c r="AQB162" s="1181"/>
      <c r="AQC162" s="1181"/>
      <c r="AQD162" s="1181"/>
      <c r="AQE162" s="1181"/>
      <c r="AQF162" s="1181"/>
      <c r="AQG162" s="1181"/>
      <c r="AQH162" s="1181"/>
      <c r="AQI162" s="1181"/>
      <c r="AQJ162" s="1181"/>
      <c r="AQK162" s="1181"/>
      <c r="AQL162" s="1181"/>
      <c r="AQM162" s="1181"/>
      <c r="AQN162" s="1181"/>
      <c r="AQO162" s="1181"/>
      <c r="AQP162" s="1181"/>
      <c r="AQQ162" s="1181"/>
      <c r="AQR162" s="1181"/>
      <c r="AQS162" s="1181"/>
      <c r="AQT162" s="1181"/>
      <c r="AQU162" s="1181"/>
      <c r="AQV162" s="1181"/>
      <c r="AQW162" s="1181"/>
      <c r="AQX162" s="1181"/>
      <c r="AQY162" s="1181"/>
      <c r="AQZ162" s="1181"/>
      <c r="ARA162" s="1181"/>
      <c r="ARB162" s="1181"/>
      <c r="ARC162" s="1181"/>
      <c r="ARD162" s="1181"/>
      <c r="ARE162" s="1181"/>
      <c r="ARF162" s="1181"/>
      <c r="ARG162" s="1181"/>
      <c r="ARH162" s="1181"/>
      <c r="ARI162" s="1181"/>
      <c r="ARJ162" s="1181"/>
      <c r="ARK162" s="1181"/>
      <c r="ARL162" s="1181"/>
      <c r="ARM162" s="1181"/>
      <c r="ARN162" s="1181"/>
      <c r="ARO162" s="1181"/>
      <c r="ARP162" s="1181"/>
      <c r="ARQ162" s="1181"/>
      <c r="ARR162" s="1181"/>
      <c r="ARS162" s="1181"/>
      <c r="ART162" s="1181"/>
      <c r="ARU162" s="1181"/>
      <c r="ARV162" s="1181"/>
      <c r="ARW162" s="1181"/>
      <c r="ARX162" s="1181"/>
      <c r="ARY162" s="1181"/>
      <c r="ARZ162" s="1181"/>
      <c r="ASA162" s="1181"/>
      <c r="ASB162" s="1181"/>
      <c r="ASC162" s="1181"/>
      <c r="ASD162" s="1181"/>
      <c r="ASE162" s="1181"/>
      <c r="ASF162" s="1181"/>
      <c r="ASG162" s="1181"/>
      <c r="ASH162" s="1181"/>
      <c r="ASI162" s="1181"/>
      <c r="ASJ162" s="1181"/>
      <c r="ASK162" s="1181"/>
      <c r="ASL162" s="1181"/>
      <c r="ASM162" s="1181"/>
      <c r="ASN162" s="1181"/>
      <c r="ASO162" s="1181"/>
      <c r="ASP162" s="1181"/>
      <c r="ASQ162" s="1181"/>
      <c r="ASR162" s="1181"/>
      <c r="ASS162" s="1181"/>
      <c r="AST162" s="1181"/>
      <c r="ASU162" s="1181"/>
      <c r="ASV162" s="1181"/>
      <c r="ASW162" s="1181"/>
      <c r="ASX162" s="1181"/>
      <c r="ASY162" s="1181"/>
      <c r="ASZ162" s="1181"/>
      <c r="ATA162" s="1181"/>
      <c r="ATB162" s="1181"/>
      <c r="ATC162" s="1181"/>
      <c r="ATD162" s="1181"/>
      <c r="ATE162" s="1181"/>
      <c r="ATF162" s="1181"/>
      <c r="ATG162" s="1181"/>
      <c r="ATH162" s="1181"/>
      <c r="ATI162" s="1181"/>
      <c r="ATJ162" s="1181"/>
      <c r="ATK162" s="1181"/>
      <c r="ATL162" s="1181"/>
      <c r="ATM162" s="1181"/>
      <c r="ATN162" s="1181"/>
      <c r="ATO162" s="1181"/>
      <c r="ATP162" s="1181"/>
      <c r="ATQ162" s="1181"/>
      <c r="ATR162" s="1181"/>
      <c r="ATS162" s="1181"/>
      <c r="ATT162" s="1181"/>
      <c r="ATU162" s="1181"/>
      <c r="ATV162" s="1181"/>
      <c r="ATW162" s="1181"/>
      <c r="ATX162" s="1181"/>
      <c r="ATY162" s="1181"/>
      <c r="ATZ162" s="1181"/>
      <c r="AUA162" s="1181"/>
      <c r="AUB162" s="1181"/>
      <c r="AUC162" s="1181"/>
      <c r="AUD162" s="1181"/>
      <c r="AUE162" s="1181"/>
      <c r="AUF162" s="1181"/>
      <c r="AUG162" s="1181"/>
      <c r="AUH162" s="1181"/>
      <c r="AUI162" s="1181"/>
      <c r="AUJ162" s="1181"/>
      <c r="AUK162" s="1181"/>
      <c r="AUL162" s="1181"/>
      <c r="AUM162" s="1181"/>
      <c r="AUN162" s="1181"/>
      <c r="AUO162" s="1181"/>
      <c r="AUP162" s="1181"/>
      <c r="AUQ162" s="1181"/>
      <c r="AUR162" s="1181"/>
      <c r="AUS162" s="1181"/>
      <c r="AUT162" s="1181"/>
      <c r="AUU162" s="1181"/>
      <c r="AUV162" s="1181"/>
      <c r="AUW162" s="1181"/>
      <c r="AUX162" s="1181"/>
      <c r="AUY162" s="1181"/>
      <c r="AUZ162" s="1181"/>
      <c r="AVA162" s="1181"/>
      <c r="AVB162" s="1181"/>
      <c r="AVC162" s="1181"/>
      <c r="AVD162" s="1181"/>
      <c r="AVE162" s="1181"/>
      <c r="AVF162" s="1181"/>
      <c r="AVG162" s="1181"/>
      <c r="AVH162" s="1181"/>
      <c r="AVI162" s="1181"/>
      <c r="AVJ162" s="1181"/>
      <c r="AVK162" s="1181"/>
      <c r="AVL162" s="1181"/>
      <c r="AVM162" s="1181"/>
      <c r="AVN162" s="1181"/>
      <c r="AVO162" s="1181"/>
      <c r="AVP162" s="1181"/>
      <c r="AVQ162" s="1181"/>
      <c r="AVR162" s="1181"/>
      <c r="AVS162" s="1181"/>
      <c r="AVT162" s="1181"/>
      <c r="AVU162" s="1181"/>
      <c r="AVV162" s="1181"/>
      <c r="AVW162" s="1181"/>
      <c r="AVX162" s="1181"/>
      <c r="AVY162" s="1181"/>
      <c r="AVZ162" s="1181"/>
      <c r="AWA162" s="1181"/>
      <c r="AWB162" s="1181"/>
      <c r="AWC162" s="1181"/>
      <c r="AWD162" s="1181"/>
      <c r="AWE162" s="1181"/>
      <c r="AWF162" s="1181"/>
      <c r="AWG162" s="1181"/>
      <c r="AWH162" s="1181"/>
      <c r="AWI162" s="1181"/>
      <c r="AWJ162" s="1181"/>
      <c r="AWK162" s="1181"/>
      <c r="AWL162" s="1181"/>
      <c r="AWM162" s="1181"/>
      <c r="AWN162" s="1181"/>
      <c r="AWO162" s="1181"/>
      <c r="AWP162" s="1181"/>
      <c r="AWQ162" s="1181"/>
      <c r="AWR162" s="1181"/>
      <c r="AWS162" s="1181"/>
      <c r="AWT162" s="1181"/>
      <c r="AWU162" s="1181"/>
      <c r="AWV162" s="1181"/>
      <c r="AWW162" s="1181"/>
      <c r="AWX162" s="1181"/>
      <c r="AWY162" s="1181"/>
      <c r="AWZ162" s="1181"/>
      <c r="AXA162" s="1181"/>
      <c r="AXB162" s="1181"/>
      <c r="AXC162" s="1181"/>
      <c r="AXD162" s="1181"/>
      <c r="AXE162" s="1181"/>
      <c r="AXF162" s="1181"/>
      <c r="AXG162" s="1181"/>
      <c r="AXH162" s="1181"/>
      <c r="AXI162" s="1181"/>
      <c r="AXJ162" s="1181"/>
      <c r="AXK162" s="1181"/>
      <c r="AXL162" s="1181"/>
      <c r="AXM162" s="1181"/>
      <c r="AXN162" s="1181"/>
      <c r="AXO162" s="1181"/>
      <c r="AXP162" s="1181"/>
      <c r="AXQ162" s="1181"/>
      <c r="AXR162" s="1181"/>
      <c r="AXS162" s="1181"/>
      <c r="AXT162" s="1181"/>
      <c r="AXU162" s="1181"/>
      <c r="AXV162" s="1181"/>
      <c r="AXW162" s="1181"/>
      <c r="AXX162" s="1181"/>
      <c r="AXY162" s="1181"/>
      <c r="AXZ162" s="1181"/>
      <c r="AYA162" s="1181"/>
      <c r="AYB162" s="1181"/>
      <c r="AYC162" s="1181"/>
      <c r="AYD162" s="1181"/>
      <c r="AYE162" s="1181"/>
      <c r="AYF162" s="1181"/>
      <c r="AYG162" s="1181"/>
      <c r="AYH162" s="1181"/>
      <c r="AYI162" s="1181"/>
      <c r="AYJ162" s="1181"/>
      <c r="AYK162" s="1181"/>
      <c r="AYL162" s="1181"/>
      <c r="AYM162" s="1181"/>
      <c r="AYN162" s="1181"/>
      <c r="AYO162" s="1181"/>
      <c r="AYP162" s="1181"/>
      <c r="AYQ162" s="1181"/>
      <c r="AYR162" s="1181"/>
      <c r="AYS162" s="1181"/>
      <c r="AYT162" s="1181"/>
      <c r="AYU162" s="1181"/>
      <c r="AYV162" s="1181"/>
      <c r="AYW162" s="1181"/>
      <c r="AYX162" s="1181"/>
      <c r="AYY162" s="1181"/>
      <c r="AYZ162" s="1181"/>
      <c r="AZA162" s="1181"/>
      <c r="AZB162" s="1181"/>
      <c r="AZC162" s="1181"/>
      <c r="AZD162" s="1181"/>
      <c r="AZE162" s="1181"/>
      <c r="AZF162" s="1181"/>
      <c r="AZG162" s="1181"/>
      <c r="AZH162" s="1181"/>
      <c r="AZI162" s="1181"/>
      <c r="AZJ162" s="1181"/>
      <c r="AZK162" s="1181"/>
      <c r="AZL162" s="1181"/>
      <c r="AZM162" s="1181"/>
      <c r="AZN162" s="1181"/>
      <c r="AZO162" s="1181"/>
      <c r="AZP162" s="1181"/>
      <c r="AZQ162" s="1181"/>
      <c r="AZR162" s="1181"/>
      <c r="AZS162" s="1181"/>
      <c r="AZT162" s="1181"/>
      <c r="AZU162" s="1181"/>
      <c r="AZV162" s="1181"/>
      <c r="AZW162" s="1181"/>
      <c r="AZX162" s="1181"/>
      <c r="AZY162" s="1181"/>
      <c r="AZZ162" s="1181"/>
      <c r="BAA162" s="1181"/>
      <c r="BAB162" s="1181"/>
      <c r="BAC162" s="1181"/>
      <c r="BAD162" s="1181"/>
      <c r="BAE162" s="1181"/>
      <c r="BAF162" s="1181"/>
      <c r="BAG162" s="1181"/>
      <c r="BAH162" s="1181"/>
      <c r="BAI162" s="1181"/>
      <c r="BAJ162" s="1181"/>
      <c r="BAK162" s="1181"/>
      <c r="BAL162" s="1181"/>
      <c r="BAM162" s="1181"/>
      <c r="BAN162" s="1181"/>
      <c r="BAO162" s="1181"/>
      <c r="BAP162" s="1181"/>
      <c r="BAQ162" s="1181"/>
      <c r="BAR162" s="1181"/>
      <c r="BAS162" s="1181"/>
      <c r="BAT162" s="1181"/>
      <c r="BAU162" s="1181"/>
      <c r="BAV162" s="1181"/>
      <c r="BAW162" s="1181"/>
      <c r="BAX162" s="1181"/>
      <c r="BAY162" s="1181"/>
      <c r="BAZ162" s="1181"/>
      <c r="BBA162" s="1181"/>
      <c r="BBB162" s="1181"/>
      <c r="BBC162" s="1181"/>
      <c r="BBD162" s="1181"/>
      <c r="BBE162" s="1181"/>
      <c r="BBF162" s="1181"/>
      <c r="BBG162" s="1181"/>
      <c r="BBH162" s="1181"/>
      <c r="BBI162" s="1181"/>
      <c r="BBJ162" s="1181"/>
      <c r="BBK162" s="1181"/>
      <c r="BBL162" s="1181"/>
      <c r="BBM162" s="1181"/>
      <c r="BBN162" s="1181"/>
      <c r="BBO162" s="1181"/>
      <c r="BBP162" s="1181"/>
      <c r="BBQ162" s="1181"/>
      <c r="BBR162" s="1181"/>
      <c r="BBS162" s="1181"/>
      <c r="BBT162" s="1181"/>
      <c r="BBU162" s="1181"/>
      <c r="BBV162" s="1181"/>
      <c r="BBW162" s="1181"/>
      <c r="BBX162" s="1181"/>
      <c r="BBY162" s="1181"/>
      <c r="BBZ162" s="1181"/>
      <c r="BCA162" s="1181"/>
      <c r="BCB162" s="1181"/>
      <c r="BCC162" s="1181"/>
      <c r="BCD162" s="1181"/>
      <c r="BCE162" s="1181"/>
      <c r="BCF162" s="1181"/>
      <c r="BCG162" s="1181"/>
      <c r="BCH162" s="1181"/>
      <c r="BCI162" s="1181"/>
      <c r="BCJ162" s="1181"/>
      <c r="BCK162" s="1181"/>
      <c r="BCL162" s="1181"/>
      <c r="BCM162" s="1181"/>
      <c r="BCN162" s="1181"/>
      <c r="BCO162" s="1181"/>
      <c r="BCP162" s="1181"/>
      <c r="BCQ162" s="1181"/>
      <c r="BCR162" s="1181"/>
      <c r="BCS162" s="1181"/>
      <c r="BCT162" s="1181"/>
      <c r="BCU162" s="1181"/>
      <c r="BCV162" s="1181"/>
      <c r="BCW162" s="1181"/>
      <c r="BCX162" s="1181"/>
      <c r="BCY162" s="1181"/>
      <c r="BCZ162" s="1181"/>
      <c r="BDA162" s="1181"/>
      <c r="BDB162" s="1181"/>
      <c r="BDC162" s="1181"/>
      <c r="BDD162" s="1181"/>
      <c r="BDE162" s="1181"/>
      <c r="BDF162" s="1181"/>
      <c r="BDG162" s="1181"/>
      <c r="BDH162" s="1181"/>
      <c r="BDI162" s="1181"/>
      <c r="BDJ162" s="1181"/>
      <c r="BDK162" s="1181"/>
      <c r="BDL162" s="1181"/>
      <c r="BDM162" s="1181"/>
      <c r="BDN162" s="1181"/>
      <c r="BDO162" s="1181"/>
      <c r="BDP162" s="1181"/>
      <c r="BDQ162" s="1181"/>
      <c r="BDR162" s="1181"/>
      <c r="BDS162" s="1181"/>
      <c r="BDT162" s="1181"/>
      <c r="BDU162" s="1181"/>
      <c r="BDV162" s="1181"/>
      <c r="BDW162" s="1181"/>
      <c r="BDX162" s="1181"/>
      <c r="BDY162" s="1181"/>
      <c r="BDZ162" s="1181"/>
      <c r="BEA162" s="1181"/>
      <c r="BEB162" s="1181"/>
      <c r="BEC162" s="1181"/>
      <c r="BED162" s="1181"/>
      <c r="BEE162" s="1181"/>
      <c r="BEF162" s="1181"/>
      <c r="BEG162" s="1181"/>
      <c r="BEH162" s="1181"/>
      <c r="BEI162" s="1181"/>
      <c r="BEJ162" s="1181"/>
      <c r="BEK162" s="1181"/>
      <c r="BEL162" s="1181"/>
      <c r="BEM162" s="1181"/>
      <c r="BEN162" s="1181"/>
      <c r="BEO162" s="1181"/>
      <c r="BEP162" s="1181"/>
      <c r="BEQ162" s="1181"/>
      <c r="BER162" s="1181"/>
      <c r="BES162" s="1181"/>
      <c r="BET162" s="1181"/>
      <c r="BEU162" s="1181"/>
      <c r="BEV162" s="1181"/>
      <c r="BEW162" s="1181"/>
      <c r="BEX162" s="1181"/>
      <c r="BEY162" s="1181"/>
      <c r="BEZ162" s="1181"/>
      <c r="BFA162" s="1181"/>
      <c r="BFB162" s="1181"/>
      <c r="BFC162" s="1181"/>
      <c r="BFD162" s="1181"/>
      <c r="BFE162" s="1181"/>
      <c r="BFF162" s="1181"/>
      <c r="BFG162" s="1181"/>
      <c r="BFH162" s="1181"/>
      <c r="BFI162" s="1181"/>
      <c r="BFJ162" s="1181"/>
      <c r="BFK162" s="1181"/>
      <c r="BFL162" s="1181"/>
      <c r="BFM162" s="1181"/>
      <c r="BFN162" s="1181"/>
      <c r="BFO162" s="1181"/>
      <c r="BFP162" s="1181"/>
      <c r="BFQ162" s="1181"/>
      <c r="BFR162" s="1181"/>
      <c r="BFS162" s="1181"/>
      <c r="BFT162" s="1181"/>
      <c r="BFU162" s="1181"/>
      <c r="BFV162" s="1181"/>
      <c r="BFW162" s="1181"/>
      <c r="BFX162" s="1181"/>
      <c r="BFY162" s="1181"/>
      <c r="BFZ162" s="1181"/>
      <c r="BGA162" s="1181"/>
      <c r="BGB162" s="1181"/>
      <c r="BGC162" s="1181"/>
      <c r="BGD162" s="1181"/>
      <c r="BGE162" s="1181"/>
      <c r="BGF162" s="1181"/>
      <c r="BGG162" s="1181"/>
      <c r="BGH162" s="1181"/>
      <c r="BGI162" s="1181"/>
      <c r="BGJ162" s="1181"/>
      <c r="BGK162" s="1181"/>
      <c r="BGL162" s="1181"/>
      <c r="BGM162" s="1181"/>
      <c r="BGN162" s="1181"/>
      <c r="BGO162" s="1181"/>
      <c r="BGP162" s="1181"/>
      <c r="BGQ162" s="1181"/>
      <c r="BGR162" s="1181"/>
      <c r="BGS162" s="1181"/>
      <c r="BGT162" s="1181"/>
      <c r="BGU162" s="1181"/>
      <c r="BGV162" s="1181"/>
      <c r="BGW162" s="1181"/>
      <c r="BGX162" s="1181"/>
      <c r="BGY162" s="1181"/>
      <c r="BGZ162" s="1181"/>
      <c r="BHA162" s="1181"/>
      <c r="BHB162" s="1181"/>
      <c r="BHC162" s="1181"/>
      <c r="BHD162" s="1181"/>
      <c r="BHE162" s="1181"/>
      <c r="BHF162" s="1181"/>
      <c r="BHG162" s="1181"/>
      <c r="BHH162" s="1181"/>
      <c r="BHI162" s="1181"/>
      <c r="BHJ162" s="1181"/>
      <c r="BHK162" s="1181"/>
      <c r="BHL162" s="1181"/>
      <c r="BHM162" s="1181"/>
      <c r="BHN162" s="1181"/>
      <c r="BHO162" s="1181"/>
      <c r="BHP162" s="1181"/>
      <c r="BHQ162" s="1181"/>
      <c r="BHR162" s="1181"/>
      <c r="BHS162" s="1181"/>
      <c r="BHT162" s="1181"/>
      <c r="BHU162" s="1181"/>
      <c r="BHV162" s="1181"/>
      <c r="BHW162" s="1181"/>
      <c r="BHX162" s="1181"/>
      <c r="BHY162" s="1181"/>
      <c r="BHZ162" s="1181"/>
      <c r="BIA162" s="1181"/>
      <c r="BIB162" s="1181"/>
      <c r="BIC162" s="1181"/>
      <c r="BID162" s="1181"/>
      <c r="BIE162" s="1181"/>
      <c r="BIF162" s="1181"/>
      <c r="BIG162" s="1181"/>
      <c r="BIH162" s="1181"/>
      <c r="BII162" s="1181"/>
      <c r="BIJ162" s="1181"/>
      <c r="BIK162" s="1181"/>
      <c r="BIL162" s="1181"/>
      <c r="BIM162" s="1181"/>
      <c r="BIN162" s="1181"/>
      <c r="BIO162" s="1181"/>
      <c r="BIP162" s="1181"/>
      <c r="BIQ162" s="1181"/>
      <c r="BIR162" s="1181"/>
      <c r="BIS162" s="1181"/>
      <c r="BIT162" s="1181"/>
      <c r="BIU162" s="1181"/>
      <c r="BIV162" s="1181"/>
      <c r="BIW162" s="1181"/>
      <c r="BIX162" s="1181"/>
      <c r="BIY162" s="1181"/>
      <c r="BIZ162" s="1181"/>
      <c r="BJA162" s="1181"/>
      <c r="BJB162" s="1181"/>
      <c r="BJC162" s="1181"/>
      <c r="BJD162" s="1181"/>
      <c r="BJE162" s="1181"/>
      <c r="BJF162" s="1181"/>
      <c r="BJG162" s="1181"/>
      <c r="BJH162" s="1181"/>
      <c r="BJI162" s="1181"/>
      <c r="BJJ162" s="1181"/>
      <c r="BJK162" s="1181"/>
      <c r="BJL162" s="1181"/>
      <c r="BJM162" s="1181"/>
      <c r="BJN162" s="1181"/>
      <c r="BJO162" s="1181"/>
      <c r="BJP162" s="1181"/>
      <c r="BJQ162" s="1181"/>
      <c r="BJR162" s="1181"/>
      <c r="BJS162" s="1181"/>
      <c r="BJT162" s="1181"/>
      <c r="BJU162" s="1181"/>
      <c r="BJV162" s="1181"/>
      <c r="BJW162" s="1181"/>
      <c r="BJX162" s="1181"/>
      <c r="BJY162" s="1181"/>
      <c r="BJZ162" s="1181"/>
      <c r="BKA162" s="1181"/>
      <c r="BKB162" s="1181"/>
      <c r="BKC162" s="1181"/>
      <c r="BKD162" s="1181"/>
      <c r="BKE162" s="1181"/>
      <c r="BKF162" s="1181"/>
      <c r="BKG162" s="1181"/>
      <c r="BKH162" s="1181"/>
      <c r="BKI162" s="1181"/>
      <c r="BKJ162" s="1181"/>
      <c r="BKK162" s="1181"/>
      <c r="BKL162" s="1181"/>
      <c r="BKM162" s="1181"/>
      <c r="BKN162" s="1181"/>
      <c r="BKO162" s="1181"/>
      <c r="BKP162" s="1181"/>
      <c r="BKQ162" s="1181"/>
      <c r="BKR162" s="1181"/>
      <c r="BKS162" s="1181"/>
      <c r="BKT162" s="1181"/>
      <c r="BKU162" s="1181"/>
      <c r="BKV162" s="1181"/>
      <c r="BKW162" s="1181"/>
      <c r="BKX162" s="1181"/>
      <c r="BKY162" s="1181"/>
      <c r="BKZ162" s="1181"/>
      <c r="BLA162" s="1181"/>
      <c r="BLB162" s="1181"/>
      <c r="BLC162" s="1181"/>
      <c r="BLD162" s="1181"/>
      <c r="BLE162" s="1181"/>
      <c r="BLF162" s="1181"/>
      <c r="BLG162" s="1181"/>
      <c r="BLH162" s="1181"/>
      <c r="BLI162" s="1181"/>
      <c r="BLJ162" s="1181"/>
      <c r="BLK162" s="1181"/>
      <c r="BLL162" s="1181"/>
      <c r="BLM162" s="1181"/>
      <c r="BLN162" s="1181"/>
      <c r="BLO162" s="1181"/>
      <c r="BLP162" s="1181"/>
      <c r="BLQ162" s="1181"/>
      <c r="BLR162" s="1181"/>
      <c r="BLS162" s="1181"/>
      <c r="BLT162" s="1181"/>
      <c r="BLU162" s="1181"/>
      <c r="BLV162" s="1181"/>
      <c r="BLW162" s="1181"/>
      <c r="BLX162" s="1181"/>
      <c r="BLY162" s="1181"/>
      <c r="BLZ162" s="1181"/>
      <c r="BMA162" s="1181"/>
      <c r="BMB162" s="1181"/>
      <c r="BMC162" s="1181"/>
      <c r="BMD162" s="1181"/>
      <c r="BME162" s="1181"/>
      <c r="BMF162" s="1181"/>
      <c r="BMG162" s="1181"/>
      <c r="BMH162" s="1181"/>
      <c r="BMI162" s="1181"/>
      <c r="BMJ162" s="1181"/>
      <c r="BMK162" s="1181"/>
      <c r="BML162" s="1181"/>
      <c r="BMM162" s="1181"/>
      <c r="BMN162" s="1181"/>
      <c r="BMO162" s="1181"/>
      <c r="BMP162" s="1181"/>
      <c r="BMQ162" s="1181"/>
      <c r="BMR162" s="1181"/>
      <c r="BMS162" s="1181"/>
      <c r="BMT162" s="1181"/>
      <c r="BMU162" s="1181"/>
      <c r="BMV162" s="1181"/>
      <c r="BMW162" s="1181"/>
      <c r="BMX162" s="1181"/>
      <c r="BMY162" s="1181"/>
      <c r="BMZ162" s="1181"/>
      <c r="BNA162" s="1181"/>
      <c r="BNB162" s="1181"/>
      <c r="BNC162" s="1181"/>
      <c r="BND162" s="1181"/>
      <c r="BNE162" s="1181"/>
      <c r="BNF162" s="1181"/>
      <c r="BNG162" s="1181"/>
      <c r="BNH162" s="1181"/>
      <c r="BNI162" s="1181"/>
      <c r="BNJ162" s="1181"/>
      <c r="BNK162" s="1181"/>
      <c r="BNL162" s="1181"/>
      <c r="BNM162" s="1181"/>
      <c r="BNN162" s="1181"/>
      <c r="BNO162" s="1181"/>
      <c r="BNP162" s="1181"/>
      <c r="BNQ162" s="1181"/>
      <c r="BNR162" s="1181"/>
      <c r="BNS162" s="1181"/>
      <c r="BNT162" s="1181"/>
      <c r="BNU162" s="1181"/>
      <c r="BNV162" s="1181"/>
      <c r="BNW162" s="1181"/>
      <c r="BNX162" s="1181"/>
      <c r="BNY162" s="1181"/>
      <c r="BNZ162" s="1181"/>
      <c r="BOA162" s="1181"/>
      <c r="BOB162" s="1181"/>
      <c r="BOC162" s="1181"/>
      <c r="BOD162" s="1181"/>
      <c r="BOE162" s="1181"/>
      <c r="BOF162" s="1181"/>
      <c r="BOG162" s="1181"/>
      <c r="BOH162" s="1181"/>
      <c r="BOI162" s="1181"/>
      <c r="BOJ162" s="1181"/>
      <c r="BOK162" s="1181"/>
      <c r="BOL162" s="1181"/>
      <c r="BOM162" s="1181"/>
      <c r="BON162" s="1181"/>
      <c r="BOO162" s="1181"/>
      <c r="BOP162" s="1181"/>
      <c r="BOQ162" s="1181"/>
      <c r="BOR162" s="1181"/>
      <c r="BOS162" s="1181"/>
      <c r="BOT162" s="1181"/>
      <c r="BOU162" s="1181"/>
      <c r="BOV162" s="1181"/>
      <c r="BOW162" s="1181"/>
      <c r="BOX162" s="1181"/>
      <c r="BOY162" s="1181"/>
      <c r="BOZ162" s="1181"/>
      <c r="BPA162" s="1181"/>
      <c r="BPB162" s="1181"/>
      <c r="BPC162" s="1181"/>
      <c r="BPD162" s="1181"/>
      <c r="BPE162" s="1181"/>
      <c r="BPF162" s="1181"/>
      <c r="BPG162" s="1181"/>
      <c r="BPH162" s="1181"/>
      <c r="BPI162" s="1181"/>
      <c r="BPJ162" s="1181"/>
      <c r="BPK162" s="1181"/>
      <c r="BPL162" s="1181"/>
      <c r="BPM162" s="1181"/>
      <c r="BPN162" s="1181"/>
      <c r="BPO162" s="1181"/>
      <c r="BPP162" s="1181"/>
      <c r="BPQ162" s="1181"/>
      <c r="BPR162" s="1181"/>
      <c r="BPS162" s="1181"/>
      <c r="BPT162" s="1181"/>
      <c r="BPU162" s="1181"/>
      <c r="BPV162" s="1181"/>
      <c r="BPW162" s="1181"/>
      <c r="BPX162" s="1181"/>
      <c r="BPY162" s="1181"/>
      <c r="BPZ162" s="1181"/>
      <c r="BQA162" s="1181"/>
      <c r="BQB162" s="1181"/>
      <c r="BQC162" s="1181"/>
      <c r="BQD162" s="1181"/>
      <c r="BQE162" s="1181"/>
      <c r="BQF162" s="1181"/>
      <c r="BQG162" s="1181"/>
      <c r="BQH162" s="1181"/>
      <c r="BQI162" s="1181"/>
      <c r="BQJ162" s="1181"/>
      <c r="BQK162" s="1181"/>
      <c r="BQL162" s="1181"/>
      <c r="BQM162" s="1181"/>
      <c r="BQN162" s="1181"/>
      <c r="BQO162" s="1181"/>
      <c r="BQP162" s="1181"/>
      <c r="BQQ162" s="1181"/>
      <c r="BQR162" s="1181"/>
      <c r="BQS162" s="1181"/>
      <c r="BQT162" s="1181"/>
      <c r="BQU162" s="1181"/>
      <c r="BQV162" s="1181"/>
      <c r="BQW162" s="1181"/>
      <c r="BQX162" s="1181"/>
      <c r="BQY162" s="1181"/>
      <c r="BQZ162" s="1181"/>
      <c r="BRA162" s="1181"/>
      <c r="BRB162" s="1181"/>
      <c r="BRC162" s="1181"/>
      <c r="BRD162" s="1181"/>
      <c r="BRE162" s="1181"/>
      <c r="BRF162" s="1181"/>
      <c r="BRG162" s="1181"/>
      <c r="BRH162" s="1181"/>
      <c r="BRI162" s="1181"/>
      <c r="BRJ162" s="1181"/>
      <c r="BRK162" s="1181"/>
      <c r="BRL162" s="1181"/>
      <c r="BRM162" s="1181"/>
      <c r="BRN162" s="1181"/>
      <c r="BRO162" s="1181"/>
      <c r="BRP162" s="1181"/>
      <c r="BRQ162" s="1181"/>
      <c r="BRR162" s="1181"/>
      <c r="BRS162" s="1181"/>
      <c r="BRT162" s="1181"/>
      <c r="BRU162" s="1181"/>
      <c r="BRV162" s="1181"/>
      <c r="BRW162" s="1181"/>
      <c r="BRX162" s="1181"/>
      <c r="BRY162" s="1181"/>
      <c r="BRZ162" s="1181"/>
      <c r="BSA162" s="1181"/>
      <c r="BSB162" s="1181"/>
      <c r="BSC162" s="1181"/>
      <c r="BSD162" s="1181"/>
      <c r="BSE162" s="1181"/>
      <c r="BSF162" s="1181"/>
      <c r="BSG162" s="1181"/>
      <c r="BSH162" s="1181"/>
      <c r="BSI162" s="1181"/>
      <c r="BSJ162" s="1181"/>
      <c r="BSK162" s="1181"/>
      <c r="BSL162" s="1181"/>
      <c r="BSM162" s="1181"/>
      <c r="BSN162" s="1181"/>
      <c r="BSO162" s="1181"/>
      <c r="BSP162" s="1181"/>
      <c r="BSQ162" s="1181"/>
      <c r="BSR162" s="1181"/>
      <c r="BSS162" s="1181"/>
      <c r="BST162" s="1181"/>
      <c r="BSU162" s="1181"/>
      <c r="BSV162" s="1181"/>
      <c r="BSW162" s="1181"/>
      <c r="BSX162" s="1181"/>
      <c r="BSY162" s="1181"/>
      <c r="BSZ162" s="1181"/>
      <c r="BTA162" s="1181"/>
      <c r="BTB162" s="1181"/>
      <c r="BTC162" s="1181"/>
      <c r="BTD162" s="1181"/>
      <c r="BTE162" s="1181"/>
      <c r="BTF162" s="1181"/>
      <c r="BTG162" s="1181"/>
      <c r="BTH162" s="1181"/>
      <c r="BTI162" s="1181"/>
      <c r="BTJ162" s="1181"/>
      <c r="BTK162" s="1181"/>
      <c r="BTL162" s="1181"/>
      <c r="BTM162" s="1181"/>
      <c r="BTN162" s="1181"/>
      <c r="BTO162" s="1181"/>
      <c r="BTP162" s="1181"/>
      <c r="BTQ162" s="1181"/>
      <c r="BTR162" s="1181"/>
      <c r="BTS162" s="1181"/>
      <c r="BTT162" s="1181"/>
      <c r="BTU162" s="1181"/>
      <c r="BTV162" s="1181"/>
      <c r="BTW162" s="1181"/>
      <c r="BTX162" s="1181"/>
      <c r="BTY162" s="1181"/>
      <c r="BTZ162" s="1181"/>
      <c r="BUA162" s="1181"/>
      <c r="BUB162" s="1181"/>
      <c r="BUC162" s="1181"/>
      <c r="BUD162" s="1181"/>
      <c r="BUE162" s="1181"/>
      <c r="BUF162" s="1181"/>
      <c r="BUG162" s="1181"/>
      <c r="BUH162" s="1181"/>
      <c r="BUI162" s="1181"/>
      <c r="BUJ162" s="1181"/>
      <c r="BUK162" s="1181"/>
      <c r="BUL162" s="1181"/>
      <c r="BUM162" s="1181"/>
      <c r="BUN162" s="1181"/>
      <c r="BUO162" s="1181"/>
      <c r="BUP162" s="1181"/>
      <c r="BUQ162" s="1181"/>
      <c r="BUR162" s="1181"/>
      <c r="BUS162" s="1181"/>
      <c r="BUT162" s="1181"/>
      <c r="BUU162" s="1181"/>
      <c r="BUV162" s="1181"/>
      <c r="BUW162" s="1181"/>
      <c r="BUX162" s="1181"/>
      <c r="BUY162" s="1181"/>
      <c r="BUZ162" s="1181"/>
      <c r="BVA162" s="1181"/>
      <c r="BVB162" s="1181"/>
      <c r="BVC162" s="1181"/>
      <c r="BVD162" s="1181"/>
      <c r="BVE162" s="1181"/>
      <c r="BVF162" s="1181"/>
      <c r="BVG162" s="1181"/>
      <c r="BVH162" s="1181"/>
      <c r="BVI162" s="1181"/>
      <c r="BVJ162" s="1181"/>
      <c r="BVK162" s="1181"/>
      <c r="BVL162" s="1181"/>
      <c r="BVM162" s="1181"/>
      <c r="BVN162" s="1181"/>
      <c r="BVO162" s="1181"/>
      <c r="BVP162" s="1181"/>
      <c r="BVQ162" s="1181"/>
      <c r="BVR162" s="1181"/>
      <c r="BVS162" s="1181"/>
      <c r="BVT162" s="1181"/>
      <c r="BVU162" s="1181"/>
      <c r="BVV162" s="1181"/>
      <c r="BVW162" s="1181"/>
      <c r="BVX162" s="1181"/>
      <c r="BVY162" s="1181"/>
      <c r="BVZ162" s="1181"/>
      <c r="BWA162" s="1181"/>
      <c r="BWB162" s="1181"/>
      <c r="BWC162" s="1181"/>
      <c r="BWD162" s="1181"/>
      <c r="BWE162" s="1181"/>
      <c r="BWF162" s="1181"/>
      <c r="BWG162" s="1181"/>
      <c r="BWH162" s="1181"/>
      <c r="BWI162" s="1181"/>
      <c r="BWJ162" s="1181"/>
      <c r="BWK162" s="1181"/>
      <c r="BWL162" s="1181"/>
      <c r="BWM162" s="1181"/>
      <c r="BWN162" s="1181"/>
      <c r="BWO162" s="1181"/>
      <c r="BWP162" s="1181"/>
      <c r="BWQ162" s="1181"/>
      <c r="BWR162" s="1181"/>
      <c r="BWS162" s="1181"/>
      <c r="BWT162" s="1181"/>
      <c r="BWU162" s="1181"/>
      <c r="BWV162" s="1181"/>
      <c r="BWW162" s="1181"/>
      <c r="BWX162" s="1181"/>
      <c r="BWY162" s="1181"/>
      <c r="BWZ162" s="1181"/>
      <c r="BXA162" s="1181"/>
      <c r="BXB162" s="1181"/>
      <c r="BXC162" s="1181"/>
      <c r="BXD162" s="1181"/>
      <c r="BXE162" s="1181"/>
      <c r="BXF162" s="1181"/>
      <c r="BXG162" s="1181"/>
      <c r="BXH162" s="1181"/>
      <c r="BXI162" s="1181"/>
      <c r="BXJ162" s="1181"/>
      <c r="BXK162" s="1181"/>
      <c r="BXL162" s="1181"/>
      <c r="BXM162" s="1181"/>
      <c r="BXN162" s="1181"/>
      <c r="BXO162" s="1181"/>
      <c r="BXP162" s="1181"/>
      <c r="BXQ162" s="1181"/>
      <c r="BXR162" s="1181"/>
      <c r="BXS162" s="1181"/>
      <c r="BXT162" s="1181"/>
      <c r="BXU162" s="1181"/>
      <c r="BXV162" s="1181"/>
      <c r="BXW162" s="1181"/>
      <c r="BXX162" s="1181"/>
      <c r="BXY162" s="1181"/>
      <c r="BXZ162" s="1181"/>
      <c r="BYA162" s="1181"/>
      <c r="BYB162" s="1181"/>
      <c r="BYC162" s="1181"/>
      <c r="BYD162" s="1181"/>
      <c r="BYE162" s="1181"/>
      <c r="BYF162" s="1181"/>
      <c r="BYG162" s="1181"/>
      <c r="BYH162" s="1181"/>
      <c r="BYI162" s="1181"/>
      <c r="BYJ162" s="1181"/>
      <c r="BYK162" s="1181"/>
      <c r="BYL162" s="1181"/>
      <c r="BYM162" s="1181"/>
      <c r="BYN162" s="1181"/>
      <c r="BYO162" s="1181"/>
      <c r="BYP162" s="1181"/>
      <c r="BYQ162" s="1181"/>
      <c r="BYR162" s="1181"/>
      <c r="BYS162" s="1181"/>
      <c r="BYT162" s="1181"/>
      <c r="BYU162" s="1181"/>
      <c r="BYV162" s="1181"/>
      <c r="BYW162" s="1181"/>
      <c r="BYX162" s="1181"/>
      <c r="BYY162" s="1181"/>
      <c r="BYZ162" s="1181"/>
      <c r="BZA162" s="1181"/>
      <c r="BZB162" s="1181"/>
      <c r="BZC162" s="1181"/>
      <c r="BZD162" s="1181"/>
      <c r="BZE162" s="1181"/>
      <c r="BZF162" s="1181"/>
      <c r="BZG162" s="1181"/>
      <c r="BZH162" s="1181"/>
      <c r="BZI162" s="1181"/>
      <c r="BZJ162" s="1181"/>
      <c r="BZK162" s="1181"/>
      <c r="BZL162" s="1181"/>
      <c r="BZM162" s="1181"/>
      <c r="BZN162" s="1181"/>
      <c r="BZO162" s="1181"/>
      <c r="BZP162" s="1181"/>
      <c r="BZQ162" s="1181"/>
      <c r="BZR162" s="1181"/>
      <c r="BZS162" s="1181"/>
      <c r="BZT162" s="1181"/>
      <c r="BZU162" s="1181"/>
      <c r="BZV162" s="1181"/>
      <c r="BZW162" s="1181"/>
      <c r="BZX162" s="1181"/>
      <c r="BZY162" s="1181"/>
      <c r="BZZ162" s="1181"/>
      <c r="CAA162" s="1181"/>
      <c r="CAB162" s="1181"/>
      <c r="CAC162" s="1181"/>
      <c r="CAD162" s="1181"/>
      <c r="CAE162" s="1181"/>
      <c r="CAF162" s="1181"/>
      <c r="CAG162" s="1181"/>
      <c r="CAH162" s="1181"/>
      <c r="CAI162" s="1181"/>
      <c r="CAJ162" s="1181"/>
      <c r="CAK162" s="1181"/>
      <c r="CAL162" s="1181"/>
      <c r="CAM162" s="1181"/>
      <c r="CAN162" s="1181"/>
      <c r="CAO162" s="1181"/>
      <c r="CAP162" s="1181"/>
      <c r="CAQ162" s="1181"/>
      <c r="CAR162" s="1181"/>
      <c r="CAS162" s="1181"/>
      <c r="CAT162" s="1181"/>
      <c r="CAU162" s="1181"/>
      <c r="CAV162" s="1181"/>
      <c r="CAW162" s="1181"/>
      <c r="CAX162" s="1181"/>
      <c r="CAY162" s="1181"/>
      <c r="CAZ162" s="1181"/>
      <c r="CBA162" s="1181"/>
      <c r="CBB162" s="1181"/>
      <c r="CBC162" s="1181"/>
      <c r="CBD162" s="1181"/>
      <c r="CBE162" s="1181"/>
      <c r="CBF162" s="1181"/>
      <c r="CBG162" s="1181"/>
      <c r="CBH162" s="1181"/>
      <c r="CBI162" s="1181"/>
      <c r="CBJ162" s="1181"/>
      <c r="CBK162" s="1181"/>
      <c r="CBL162" s="1181"/>
      <c r="CBM162" s="1181"/>
      <c r="CBN162" s="1181"/>
      <c r="CBO162" s="1181"/>
      <c r="CBP162" s="1181"/>
      <c r="CBQ162" s="1181"/>
      <c r="CBR162" s="1181"/>
      <c r="CBS162" s="1181"/>
      <c r="CBT162" s="1181"/>
      <c r="CBU162" s="1181"/>
      <c r="CBV162" s="1181"/>
      <c r="CBW162" s="1181"/>
      <c r="CBX162" s="1181"/>
      <c r="CBY162" s="1181"/>
      <c r="CBZ162" s="1181"/>
      <c r="CCA162" s="1181"/>
      <c r="CCB162" s="1181"/>
      <c r="CCC162" s="1181"/>
      <c r="CCD162" s="1181"/>
      <c r="CCE162" s="1181"/>
      <c r="CCF162" s="1181"/>
      <c r="CCG162" s="1181"/>
      <c r="CCH162" s="1181"/>
      <c r="CCI162" s="1181"/>
      <c r="CCJ162" s="1181"/>
      <c r="CCK162" s="1181"/>
      <c r="CCL162" s="1181"/>
      <c r="CCM162" s="1181"/>
      <c r="CCN162" s="1181"/>
      <c r="CCO162" s="1181"/>
      <c r="CCP162" s="1181"/>
      <c r="CCQ162" s="1181"/>
      <c r="CCR162" s="1181"/>
      <c r="CCS162" s="1181"/>
      <c r="CCT162" s="1181"/>
      <c r="CCU162" s="1181"/>
      <c r="CCV162" s="1181"/>
      <c r="CCW162" s="1181"/>
      <c r="CCX162" s="1181"/>
      <c r="CCY162" s="1181"/>
      <c r="CCZ162" s="1181"/>
      <c r="CDA162" s="1181"/>
      <c r="CDB162" s="1181"/>
      <c r="CDC162" s="1181"/>
      <c r="CDD162" s="1181"/>
      <c r="CDE162" s="1181"/>
      <c r="CDF162" s="1181"/>
      <c r="CDG162" s="1181"/>
      <c r="CDH162" s="1181"/>
      <c r="CDI162" s="1181"/>
      <c r="CDJ162" s="1181"/>
      <c r="CDK162" s="1181"/>
      <c r="CDL162" s="1181"/>
      <c r="CDM162" s="1181"/>
      <c r="CDN162" s="1181"/>
      <c r="CDO162" s="1181"/>
      <c r="CDP162" s="1181"/>
      <c r="CDQ162" s="1181"/>
      <c r="CDR162" s="1181"/>
      <c r="CDS162" s="1181"/>
      <c r="CDT162" s="1181"/>
      <c r="CDU162" s="1181"/>
      <c r="CDV162" s="1181"/>
      <c r="CDW162" s="1181"/>
      <c r="CDX162" s="1181"/>
      <c r="CDY162" s="1181"/>
      <c r="CDZ162" s="1181"/>
      <c r="CEA162" s="1181"/>
      <c r="CEB162" s="1181"/>
      <c r="CEC162" s="1181"/>
      <c r="CED162" s="1181"/>
      <c r="CEE162" s="1181"/>
      <c r="CEF162" s="1181"/>
      <c r="CEG162" s="1181"/>
      <c r="CEH162" s="1181"/>
      <c r="CEI162" s="1181"/>
      <c r="CEJ162" s="1181"/>
      <c r="CEK162" s="1181"/>
      <c r="CEL162" s="1181"/>
      <c r="CEM162" s="1181"/>
      <c r="CEN162" s="1181"/>
      <c r="CEO162" s="1181"/>
      <c r="CEP162" s="1181"/>
      <c r="CEQ162" s="1181"/>
      <c r="CER162" s="1181"/>
      <c r="CES162" s="1181"/>
      <c r="CET162" s="1181"/>
      <c r="CEU162" s="1181"/>
      <c r="CEV162" s="1181"/>
      <c r="CEW162" s="1181"/>
      <c r="CEX162" s="1181"/>
      <c r="CEY162" s="1181"/>
      <c r="CEZ162" s="1181"/>
      <c r="CFA162" s="1181"/>
      <c r="CFB162" s="1181"/>
      <c r="CFC162" s="1181"/>
      <c r="CFD162" s="1181"/>
      <c r="CFE162" s="1181"/>
      <c r="CFF162" s="1181"/>
      <c r="CFG162" s="1181"/>
      <c r="CFH162" s="1181"/>
      <c r="CFI162" s="1181"/>
      <c r="CFJ162" s="1181"/>
      <c r="CFK162" s="1181"/>
      <c r="CFL162" s="1181"/>
      <c r="CFM162" s="1181"/>
      <c r="CFN162" s="1181"/>
      <c r="CFO162" s="1181"/>
      <c r="CFP162" s="1181"/>
      <c r="CFQ162" s="1181"/>
      <c r="CFR162" s="1181"/>
      <c r="CFS162" s="1181"/>
      <c r="CFT162" s="1181"/>
      <c r="CFU162" s="1181"/>
      <c r="CFV162" s="1181"/>
      <c r="CFW162" s="1181"/>
      <c r="CFX162" s="1181"/>
      <c r="CFY162" s="1181"/>
      <c r="CFZ162" s="1181"/>
      <c r="CGA162" s="1181"/>
      <c r="CGB162" s="1181"/>
      <c r="CGC162" s="1181"/>
      <c r="CGD162" s="1181"/>
      <c r="CGE162" s="1181"/>
      <c r="CGF162" s="1181"/>
      <c r="CGG162" s="1181"/>
      <c r="CGH162" s="1181"/>
      <c r="CGI162" s="1181"/>
      <c r="CGJ162" s="1181"/>
      <c r="CGK162" s="1181"/>
      <c r="CGL162" s="1181"/>
      <c r="CGM162" s="1181"/>
      <c r="CGN162" s="1181"/>
      <c r="CGO162" s="1181"/>
      <c r="CGP162" s="1181"/>
      <c r="CGQ162" s="1181"/>
      <c r="CGR162" s="1181"/>
      <c r="CGS162" s="1181"/>
      <c r="CGT162" s="1181"/>
      <c r="CGU162" s="1181"/>
      <c r="CGV162" s="1181"/>
      <c r="CGW162" s="1181"/>
      <c r="CGX162" s="1181"/>
      <c r="CGY162" s="1181"/>
      <c r="CGZ162" s="1181"/>
      <c r="CHA162" s="1181"/>
      <c r="CHB162" s="1181"/>
      <c r="CHC162" s="1181"/>
      <c r="CHD162" s="1181"/>
      <c r="CHE162" s="1181"/>
      <c r="CHF162" s="1181"/>
      <c r="CHG162" s="1181"/>
      <c r="CHH162" s="1181"/>
      <c r="CHI162" s="1181"/>
      <c r="CHJ162" s="1181"/>
      <c r="CHK162" s="1181"/>
      <c r="CHL162" s="1181"/>
      <c r="CHM162" s="1181"/>
      <c r="CHN162" s="1181"/>
      <c r="CHO162" s="1181"/>
      <c r="CHP162" s="1181"/>
      <c r="CHQ162" s="1181"/>
      <c r="CHR162" s="1181"/>
      <c r="CHS162" s="1181"/>
      <c r="CHT162" s="1181"/>
      <c r="CHU162" s="1181"/>
      <c r="CHV162" s="1181"/>
      <c r="CHW162" s="1181"/>
      <c r="CHX162" s="1181"/>
      <c r="CHY162" s="1181"/>
      <c r="CHZ162" s="1181"/>
      <c r="CIA162" s="1181"/>
      <c r="CIB162" s="1181"/>
      <c r="CIC162" s="1181"/>
      <c r="CID162" s="1181"/>
      <c r="CIE162" s="1181"/>
      <c r="CIF162" s="1181"/>
      <c r="CIG162" s="1181"/>
      <c r="CIH162" s="1181"/>
      <c r="CII162" s="1181"/>
      <c r="CIJ162" s="1181"/>
      <c r="CIK162" s="1181"/>
      <c r="CIL162" s="1181"/>
      <c r="CIM162" s="1181"/>
      <c r="CIN162" s="1181"/>
      <c r="CIO162" s="1181"/>
      <c r="CIP162" s="1181"/>
      <c r="CIQ162" s="1181"/>
      <c r="CIR162" s="1181"/>
      <c r="CIS162" s="1181"/>
      <c r="CIT162" s="1181"/>
      <c r="CIU162" s="1181"/>
      <c r="CIV162" s="1181"/>
      <c r="CIW162" s="1181"/>
      <c r="CIX162" s="1181"/>
      <c r="CIY162" s="1181"/>
      <c r="CIZ162" s="1181"/>
      <c r="CJA162" s="1181"/>
      <c r="CJB162" s="1181"/>
      <c r="CJC162" s="1181"/>
      <c r="CJD162" s="1181"/>
      <c r="CJE162" s="1181"/>
      <c r="CJF162" s="1181"/>
      <c r="CJG162" s="1181"/>
      <c r="CJH162" s="1181"/>
      <c r="CJI162" s="1181"/>
      <c r="CJJ162" s="1181"/>
      <c r="CJK162" s="1181"/>
      <c r="CJL162" s="1181"/>
      <c r="CJM162" s="1181"/>
      <c r="CJN162" s="1181"/>
      <c r="CJO162" s="1181"/>
      <c r="CJP162" s="1181"/>
      <c r="CJQ162" s="1181"/>
      <c r="CJR162" s="1181"/>
      <c r="CJS162" s="1181"/>
      <c r="CJT162" s="1181"/>
      <c r="CJU162" s="1181"/>
      <c r="CJV162" s="1181"/>
      <c r="CJW162" s="1181"/>
      <c r="CJX162" s="1181"/>
      <c r="CJY162" s="1181"/>
      <c r="CJZ162" s="1181"/>
      <c r="CKA162" s="1181"/>
      <c r="CKB162" s="1181"/>
      <c r="CKC162" s="1181"/>
      <c r="CKD162" s="1181"/>
      <c r="CKE162" s="1181"/>
      <c r="CKF162" s="1181"/>
      <c r="CKG162" s="1181"/>
      <c r="CKH162" s="1181"/>
      <c r="CKI162" s="1181"/>
      <c r="CKJ162" s="1181"/>
      <c r="CKK162" s="1181"/>
      <c r="CKL162" s="1181"/>
      <c r="CKM162" s="1181"/>
      <c r="CKN162" s="1181"/>
      <c r="CKO162" s="1181"/>
      <c r="CKP162" s="1181"/>
      <c r="CKQ162" s="1181"/>
      <c r="CKR162" s="1181"/>
      <c r="CKS162" s="1181"/>
      <c r="CKT162" s="1181"/>
      <c r="CKU162" s="1181"/>
      <c r="CKV162" s="1181"/>
      <c r="CKW162" s="1181"/>
      <c r="CKX162" s="1181"/>
      <c r="CKY162" s="1181"/>
      <c r="CKZ162" s="1181"/>
      <c r="CLA162" s="1181"/>
      <c r="CLB162" s="1181"/>
      <c r="CLC162" s="1181"/>
      <c r="CLD162" s="1181"/>
      <c r="CLE162" s="1181"/>
      <c r="CLF162" s="1181"/>
      <c r="CLG162" s="1181"/>
      <c r="CLH162" s="1181"/>
      <c r="CLI162" s="1181"/>
      <c r="CLJ162" s="1181"/>
      <c r="CLK162" s="1181"/>
      <c r="CLL162" s="1181"/>
      <c r="CLM162" s="1181"/>
      <c r="CLN162" s="1181"/>
      <c r="CLO162" s="1181"/>
      <c r="CLP162" s="1181"/>
      <c r="CLQ162" s="1181"/>
      <c r="CLR162" s="1181"/>
      <c r="CLS162" s="1181"/>
      <c r="CLT162" s="1181"/>
      <c r="CLU162" s="1181"/>
      <c r="CLV162" s="1181"/>
      <c r="CLW162" s="1181"/>
      <c r="CLX162" s="1181"/>
      <c r="CLY162" s="1181"/>
      <c r="CLZ162" s="1181"/>
      <c r="CMA162" s="1181"/>
      <c r="CMB162" s="1181"/>
      <c r="CMC162" s="1181"/>
      <c r="CMD162" s="1181"/>
      <c r="CME162" s="1181"/>
      <c r="CMF162" s="1181"/>
      <c r="CMG162" s="1181"/>
      <c r="CMH162" s="1181"/>
      <c r="CMI162" s="1181"/>
      <c r="CMJ162" s="1181"/>
      <c r="CMK162" s="1181"/>
      <c r="CML162" s="1181"/>
      <c r="CMM162" s="1181"/>
      <c r="CMN162" s="1181"/>
      <c r="CMO162" s="1181"/>
      <c r="CMP162" s="1181"/>
      <c r="CMQ162" s="1181"/>
      <c r="CMR162" s="1181"/>
      <c r="CMS162" s="1181"/>
      <c r="CMT162" s="1181"/>
      <c r="CMU162" s="1181"/>
      <c r="CMV162" s="1181"/>
      <c r="CMW162" s="1181"/>
      <c r="CMX162" s="1181"/>
      <c r="CMY162" s="1181"/>
      <c r="CMZ162" s="1181"/>
      <c r="CNA162" s="1181"/>
      <c r="CNB162" s="1181"/>
      <c r="CNC162" s="1181"/>
      <c r="CND162" s="1181"/>
      <c r="CNE162" s="1181"/>
      <c r="CNF162" s="1181"/>
      <c r="CNG162" s="1181"/>
      <c r="CNH162" s="1181"/>
      <c r="CNI162" s="1181"/>
      <c r="CNJ162" s="1181"/>
      <c r="CNK162" s="1181"/>
      <c r="CNL162" s="1181"/>
      <c r="CNM162" s="1181"/>
      <c r="CNN162" s="1181"/>
      <c r="CNO162" s="1181"/>
      <c r="CNP162" s="1181"/>
      <c r="CNQ162" s="1181"/>
      <c r="CNR162" s="1181"/>
      <c r="CNS162" s="1181"/>
      <c r="CNT162" s="1181"/>
      <c r="CNU162" s="1181"/>
      <c r="CNV162" s="1181"/>
      <c r="CNW162" s="1181"/>
      <c r="CNX162" s="1181"/>
      <c r="CNY162" s="1181"/>
      <c r="CNZ162" s="1181"/>
      <c r="COA162" s="1181"/>
      <c r="COB162" s="1181"/>
      <c r="COC162" s="1181"/>
      <c r="COD162" s="1181"/>
      <c r="COE162" s="1181"/>
      <c r="COF162" s="1181"/>
      <c r="COG162" s="1181"/>
      <c r="COH162" s="1181"/>
      <c r="COI162" s="1181"/>
      <c r="COJ162" s="1181"/>
      <c r="COK162" s="1181"/>
      <c r="COL162" s="1181"/>
      <c r="COM162" s="1181"/>
      <c r="CON162" s="1181"/>
      <c r="COO162" s="1181"/>
      <c r="COP162" s="1181"/>
      <c r="COQ162" s="1181"/>
      <c r="COR162" s="1181"/>
      <c r="COS162" s="1181"/>
      <c r="COT162" s="1181"/>
      <c r="COU162" s="1181"/>
      <c r="COV162" s="1181"/>
      <c r="COW162" s="1181"/>
      <c r="COX162" s="1181"/>
      <c r="COY162" s="1181"/>
      <c r="COZ162" s="1181"/>
      <c r="CPA162" s="1181"/>
      <c r="CPB162" s="1181"/>
      <c r="CPC162" s="1181"/>
      <c r="CPD162" s="1181"/>
      <c r="CPE162" s="1181"/>
      <c r="CPF162" s="1181"/>
      <c r="CPG162" s="1181"/>
      <c r="CPH162" s="1181"/>
      <c r="CPI162" s="1181"/>
      <c r="CPJ162" s="1181"/>
      <c r="CPK162" s="1181"/>
      <c r="CPL162" s="1181"/>
      <c r="CPM162" s="1181"/>
      <c r="CPN162" s="1181"/>
      <c r="CPO162" s="1181"/>
      <c r="CPP162" s="1181"/>
      <c r="CPQ162" s="1181"/>
      <c r="CPR162" s="1181"/>
      <c r="CPS162" s="1181"/>
      <c r="CPT162" s="1181"/>
      <c r="CPU162" s="1181"/>
      <c r="CPV162" s="1181"/>
      <c r="CPW162" s="1181"/>
      <c r="CPX162" s="1181"/>
      <c r="CPY162" s="1181"/>
      <c r="CPZ162" s="1181"/>
      <c r="CQA162" s="1181"/>
      <c r="CQB162" s="1181"/>
      <c r="CQC162" s="1181"/>
      <c r="CQD162" s="1181"/>
      <c r="CQE162" s="1181"/>
      <c r="CQF162" s="1181"/>
      <c r="CQG162" s="1181"/>
      <c r="CQH162" s="1181"/>
      <c r="CQI162" s="1181"/>
      <c r="CQJ162" s="1181"/>
      <c r="CQK162" s="1181"/>
      <c r="CQL162" s="1181"/>
      <c r="CQM162" s="1181"/>
      <c r="CQN162" s="1181"/>
      <c r="CQO162" s="1181"/>
      <c r="CQP162" s="1181"/>
      <c r="CQQ162" s="1181"/>
      <c r="CQR162" s="1181"/>
      <c r="CQS162" s="1181"/>
      <c r="CQT162" s="1181"/>
      <c r="CQU162" s="1181"/>
      <c r="CQV162" s="1181"/>
      <c r="CQW162" s="1181"/>
      <c r="CQX162" s="1181"/>
      <c r="CQY162" s="1181"/>
      <c r="CQZ162" s="1181"/>
      <c r="CRA162" s="1181"/>
      <c r="CRB162" s="1181"/>
      <c r="CRC162" s="1181"/>
      <c r="CRD162" s="1181"/>
      <c r="CRE162" s="1181"/>
      <c r="CRF162" s="1181"/>
      <c r="CRG162" s="1181"/>
      <c r="CRH162" s="1181"/>
      <c r="CRI162" s="1181"/>
      <c r="CRJ162" s="1181"/>
      <c r="CRK162" s="1181"/>
      <c r="CRL162" s="1181"/>
      <c r="CRM162" s="1181"/>
      <c r="CRN162" s="1181"/>
      <c r="CRO162" s="1181"/>
      <c r="CRP162" s="1181"/>
      <c r="CRQ162" s="1181"/>
      <c r="CRR162" s="1181"/>
      <c r="CRS162" s="1181"/>
      <c r="CRT162" s="1181"/>
      <c r="CRU162" s="1181"/>
      <c r="CRV162" s="1181"/>
      <c r="CRW162" s="1181"/>
      <c r="CRX162" s="1181"/>
      <c r="CRY162" s="1181"/>
      <c r="CRZ162" s="1181"/>
      <c r="CSA162" s="1181"/>
      <c r="CSB162" s="1181"/>
      <c r="CSC162" s="1181"/>
      <c r="CSD162" s="1181"/>
      <c r="CSE162" s="1181"/>
      <c r="CSF162" s="1181"/>
      <c r="CSG162" s="1181"/>
      <c r="CSH162" s="1181"/>
      <c r="CSI162" s="1181"/>
      <c r="CSJ162" s="1181"/>
      <c r="CSK162" s="1181"/>
      <c r="CSL162" s="1181"/>
      <c r="CSM162" s="1181"/>
      <c r="CSN162" s="1181"/>
      <c r="CSO162" s="1181"/>
      <c r="CSP162" s="1181"/>
      <c r="CSQ162" s="1181"/>
      <c r="CSR162" s="1181"/>
      <c r="CSS162" s="1181"/>
      <c r="CST162" s="1181"/>
      <c r="CSU162" s="1181"/>
      <c r="CSV162" s="1181"/>
      <c r="CSW162" s="1181"/>
      <c r="CSX162" s="1181"/>
      <c r="CSY162" s="1181"/>
      <c r="CSZ162" s="1181"/>
      <c r="CTA162" s="1181"/>
      <c r="CTB162" s="1181"/>
      <c r="CTC162" s="1181"/>
      <c r="CTD162" s="1181"/>
      <c r="CTE162" s="1181"/>
      <c r="CTF162" s="1181"/>
      <c r="CTG162" s="1181"/>
      <c r="CTH162" s="1181"/>
      <c r="CTI162" s="1181"/>
      <c r="CTJ162" s="1181"/>
      <c r="CTK162" s="1181"/>
      <c r="CTL162" s="1181"/>
      <c r="CTM162" s="1181"/>
      <c r="CTN162" s="1181"/>
      <c r="CTO162" s="1181"/>
      <c r="CTP162" s="1181"/>
      <c r="CTQ162" s="1181"/>
      <c r="CTR162" s="1181"/>
      <c r="CTS162" s="1181"/>
      <c r="CTT162" s="1181"/>
      <c r="CTU162" s="1181"/>
      <c r="CTV162" s="1181"/>
      <c r="CTW162" s="1181"/>
      <c r="CTX162" s="1181"/>
      <c r="CTY162" s="1181"/>
      <c r="CTZ162" s="1181"/>
      <c r="CUA162" s="1181"/>
      <c r="CUB162" s="1181"/>
      <c r="CUC162" s="1181"/>
      <c r="CUD162" s="1181"/>
      <c r="CUE162" s="1181"/>
      <c r="CUF162" s="1181"/>
      <c r="CUG162" s="1181"/>
      <c r="CUH162" s="1181"/>
      <c r="CUI162" s="1181"/>
      <c r="CUJ162" s="1181"/>
      <c r="CUK162" s="1181"/>
      <c r="CUL162" s="1181"/>
      <c r="CUM162" s="1181"/>
      <c r="CUN162" s="1181"/>
      <c r="CUO162" s="1181"/>
      <c r="CUP162" s="1181"/>
      <c r="CUQ162" s="1181"/>
      <c r="CUR162" s="1181"/>
      <c r="CUS162" s="1181"/>
      <c r="CUT162" s="1181"/>
      <c r="CUU162" s="1181"/>
      <c r="CUV162" s="1181"/>
      <c r="CUW162" s="1181"/>
      <c r="CUX162" s="1181"/>
      <c r="CUY162" s="1181"/>
      <c r="CUZ162" s="1181"/>
      <c r="CVA162" s="1181"/>
      <c r="CVB162" s="1181"/>
      <c r="CVC162" s="1181"/>
      <c r="CVD162" s="1181"/>
      <c r="CVE162" s="1181"/>
      <c r="CVF162" s="1181"/>
      <c r="CVG162" s="1181"/>
      <c r="CVH162" s="1181"/>
      <c r="CVI162" s="1181"/>
      <c r="CVJ162" s="1181"/>
      <c r="CVK162" s="1181"/>
      <c r="CVL162" s="1181"/>
      <c r="CVM162" s="1181"/>
      <c r="CVN162" s="1181"/>
      <c r="CVO162" s="1181"/>
      <c r="CVP162" s="1181"/>
      <c r="CVQ162" s="1181"/>
      <c r="CVR162" s="1181"/>
      <c r="CVS162" s="1181"/>
      <c r="CVT162" s="1181"/>
      <c r="CVU162" s="1181"/>
      <c r="CVV162" s="1181"/>
      <c r="CVW162" s="1181"/>
      <c r="CVX162" s="1181"/>
      <c r="CVY162" s="1181"/>
      <c r="CVZ162" s="1181"/>
      <c r="CWA162" s="1181"/>
      <c r="CWB162" s="1181"/>
      <c r="CWC162" s="1181"/>
      <c r="CWD162" s="1181"/>
      <c r="CWE162" s="1181"/>
      <c r="CWF162" s="1181"/>
      <c r="CWG162" s="1181"/>
      <c r="CWH162" s="1181"/>
      <c r="CWI162" s="1181"/>
      <c r="CWJ162" s="1181"/>
      <c r="CWK162" s="1181"/>
      <c r="CWL162" s="1181"/>
      <c r="CWM162" s="1181"/>
      <c r="CWN162" s="1181"/>
      <c r="CWO162" s="1181"/>
      <c r="CWP162" s="1181"/>
      <c r="CWQ162" s="1181"/>
      <c r="CWR162" s="1181"/>
      <c r="CWS162" s="1181"/>
      <c r="CWT162" s="1181"/>
      <c r="CWU162" s="1181"/>
      <c r="CWV162" s="1181"/>
      <c r="CWW162" s="1181"/>
      <c r="CWX162" s="1181"/>
      <c r="CWY162" s="1181"/>
      <c r="CWZ162" s="1181"/>
      <c r="CXA162" s="1181"/>
      <c r="CXB162" s="1181"/>
      <c r="CXC162" s="1181"/>
      <c r="CXD162" s="1181"/>
      <c r="CXE162" s="1181"/>
      <c r="CXF162" s="1181"/>
      <c r="CXG162" s="1181"/>
      <c r="CXH162" s="1181"/>
      <c r="CXI162" s="1181"/>
      <c r="CXJ162" s="1181"/>
      <c r="CXK162" s="1181"/>
      <c r="CXL162" s="1181"/>
      <c r="CXM162" s="1181"/>
      <c r="CXN162" s="1181"/>
      <c r="CXO162" s="1181"/>
      <c r="CXP162" s="1181"/>
      <c r="CXQ162" s="1181"/>
      <c r="CXR162" s="1181"/>
      <c r="CXS162" s="1181"/>
      <c r="CXT162" s="1181"/>
      <c r="CXU162" s="1181"/>
      <c r="CXV162" s="1181"/>
      <c r="CXW162" s="1181"/>
      <c r="CXX162" s="1181"/>
      <c r="CXY162" s="1181"/>
      <c r="CXZ162" s="1181"/>
      <c r="CYA162" s="1181"/>
      <c r="CYB162" s="1181"/>
      <c r="CYC162" s="1181"/>
      <c r="CYD162" s="1181"/>
      <c r="CYE162" s="1181"/>
      <c r="CYF162" s="1181"/>
      <c r="CYG162" s="1181"/>
      <c r="CYH162" s="1181"/>
      <c r="CYI162" s="1181"/>
      <c r="CYJ162" s="1181"/>
      <c r="CYK162" s="1181"/>
      <c r="CYL162" s="1181"/>
      <c r="CYM162" s="1181"/>
      <c r="CYN162" s="1181"/>
      <c r="CYO162" s="1181"/>
      <c r="CYP162" s="1181"/>
      <c r="CYQ162" s="1181"/>
      <c r="CYR162" s="1181"/>
      <c r="CYS162" s="1181"/>
      <c r="CYT162" s="1181"/>
      <c r="CYU162" s="1181"/>
      <c r="CYV162" s="1181"/>
      <c r="CYW162" s="1181"/>
      <c r="CYX162" s="1181"/>
      <c r="CYY162" s="1181"/>
      <c r="CYZ162" s="1181"/>
      <c r="CZA162" s="1181"/>
      <c r="CZB162" s="1181"/>
      <c r="CZC162" s="1181"/>
      <c r="CZD162" s="1181"/>
      <c r="CZE162" s="1181"/>
      <c r="CZF162" s="1181"/>
      <c r="CZG162" s="1181"/>
      <c r="CZH162" s="1181"/>
      <c r="CZI162" s="1181"/>
      <c r="CZJ162" s="1181"/>
      <c r="CZK162" s="1181"/>
      <c r="CZL162" s="1181"/>
      <c r="CZM162" s="1181"/>
      <c r="CZN162" s="1181"/>
      <c r="CZO162" s="1181"/>
      <c r="CZP162" s="1181"/>
      <c r="CZQ162" s="1181"/>
      <c r="CZR162" s="1181"/>
      <c r="CZS162" s="1181"/>
      <c r="CZT162" s="1181"/>
      <c r="CZU162" s="1181"/>
      <c r="CZV162" s="1181"/>
      <c r="CZW162" s="1181"/>
      <c r="CZX162" s="1181"/>
      <c r="CZY162" s="1181"/>
      <c r="CZZ162" s="1181"/>
      <c r="DAA162" s="1181"/>
      <c r="DAB162" s="1181"/>
      <c r="DAC162" s="1181"/>
      <c r="DAD162" s="1181"/>
      <c r="DAE162" s="1181"/>
      <c r="DAF162" s="1181"/>
      <c r="DAG162" s="1181"/>
      <c r="DAH162" s="1181"/>
      <c r="DAI162" s="1181"/>
      <c r="DAJ162" s="1181"/>
      <c r="DAK162" s="1181"/>
      <c r="DAL162" s="1181"/>
      <c r="DAM162" s="1181"/>
      <c r="DAN162" s="1181"/>
      <c r="DAO162" s="1181"/>
      <c r="DAP162" s="1181"/>
      <c r="DAQ162" s="1181"/>
      <c r="DAR162" s="1181"/>
      <c r="DAS162" s="1181"/>
      <c r="DAT162" s="1181"/>
      <c r="DAU162" s="1181"/>
      <c r="DAV162" s="1181"/>
      <c r="DAW162" s="1181"/>
      <c r="DAX162" s="1181"/>
      <c r="DAY162" s="1181"/>
      <c r="DAZ162" s="1181"/>
      <c r="DBA162" s="1181"/>
      <c r="DBB162" s="1181"/>
      <c r="DBC162" s="1181"/>
      <c r="DBD162" s="1181"/>
      <c r="DBE162" s="1181"/>
      <c r="DBF162" s="1181"/>
      <c r="DBG162" s="1181"/>
      <c r="DBH162" s="1181"/>
      <c r="DBI162" s="1181"/>
      <c r="DBJ162" s="1181"/>
      <c r="DBK162" s="1181"/>
      <c r="DBL162" s="1181"/>
      <c r="DBM162" s="1181"/>
      <c r="DBN162" s="1181"/>
      <c r="DBO162" s="1181"/>
      <c r="DBP162" s="1181"/>
      <c r="DBQ162" s="1181"/>
      <c r="DBR162" s="1181"/>
      <c r="DBS162" s="1181"/>
      <c r="DBT162" s="1181"/>
      <c r="DBU162" s="1181"/>
      <c r="DBV162" s="1181"/>
      <c r="DBW162" s="1181"/>
      <c r="DBX162" s="1181"/>
      <c r="DBY162" s="1181"/>
      <c r="DBZ162" s="1181"/>
      <c r="DCA162" s="1181"/>
      <c r="DCB162" s="1181"/>
      <c r="DCC162" s="1181"/>
      <c r="DCD162" s="1181"/>
      <c r="DCE162" s="1181"/>
      <c r="DCF162" s="1181"/>
      <c r="DCG162" s="1181"/>
      <c r="DCH162" s="1181"/>
      <c r="DCI162" s="1181"/>
      <c r="DCJ162" s="1181"/>
      <c r="DCK162" s="1181"/>
      <c r="DCL162" s="1181"/>
      <c r="DCM162" s="1181"/>
      <c r="DCN162" s="1181"/>
      <c r="DCO162" s="1181"/>
      <c r="DCP162" s="1181"/>
      <c r="DCQ162" s="1181"/>
      <c r="DCR162" s="1181"/>
      <c r="DCS162" s="1181"/>
      <c r="DCT162" s="1181"/>
      <c r="DCU162" s="1181"/>
      <c r="DCV162" s="1181"/>
      <c r="DCW162" s="1181"/>
      <c r="DCX162" s="1181"/>
      <c r="DCY162" s="1181"/>
      <c r="DCZ162" s="1181"/>
      <c r="DDA162" s="1181"/>
      <c r="DDB162" s="1181"/>
      <c r="DDC162" s="1181"/>
      <c r="DDD162" s="1181"/>
      <c r="DDE162" s="1181"/>
      <c r="DDF162" s="1181"/>
      <c r="DDG162" s="1181"/>
      <c r="DDH162" s="1181"/>
      <c r="DDI162" s="1181"/>
      <c r="DDJ162" s="1181"/>
      <c r="DDK162" s="1181"/>
      <c r="DDL162" s="1181"/>
      <c r="DDM162" s="1181"/>
      <c r="DDN162" s="1181"/>
      <c r="DDO162" s="1181"/>
      <c r="DDP162" s="1181"/>
      <c r="DDQ162" s="1181"/>
      <c r="DDR162" s="1181"/>
      <c r="DDS162" s="1181"/>
      <c r="DDT162" s="1181"/>
      <c r="DDU162" s="1181"/>
      <c r="DDV162" s="1181"/>
      <c r="DDW162" s="1181"/>
      <c r="DDX162" s="1181"/>
      <c r="DDY162" s="1181"/>
      <c r="DDZ162" s="1181"/>
      <c r="DEA162" s="1181"/>
      <c r="DEB162" s="1181"/>
      <c r="DEC162" s="1181"/>
      <c r="DED162" s="1181"/>
      <c r="DEE162" s="1181"/>
      <c r="DEF162" s="1181"/>
      <c r="DEG162" s="1181"/>
      <c r="DEH162" s="1181"/>
      <c r="DEI162" s="1181"/>
      <c r="DEJ162" s="1181"/>
      <c r="DEK162" s="1181"/>
      <c r="DEL162" s="1181"/>
      <c r="DEM162" s="1181"/>
      <c r="DEN162" s="1181"/>
      <c r="DEO162" s="1181"/>
      <c r="DEP162" s="1181"/>
      <c r="DEQ162" s="1181"/>
      <c r="DER162" s="1181"/>
      <c r="DES162" s="1181"/>
      <c r="DET162" s="1181"/>
      <c r="DEU162" s="1181"/>
      <c r="DEV162" s="1181"/>
      <c r="DEW162" s="1181"/>
      <c r="DEX162" s="1181"/>
      <c r="DEY162" s="1181"/>
      <c r="DEZ162" s="1181"/>
      <c r="DFA162" s="1181"/>
      <c r="DFB162" s="1181"/>
      <c r="DFC162" s="1181"/>
      <c r="DFD162" s="1181"/>
      <c r="DFE162" s="1181"/>
      <c r="DFF162" s="1181"/>
      <c r="DFG162" s="1181"/>
      <c r="DFH162" s="1181"/>
      <c r="DFI162" s="1181"/>
      <c r="DFJ162" s="1181"/>
      <c r="DFK162" s="1181"/>
      <c r="DFL162" s="1181"/>
      <c r="DFM162" s="1181"/>
      <c r="DFN162" s="1181"/>
      <c r="DFO162" s="1181"/>
      <c r="DFP162" s="1181"/>
      <c r="DFQ162" s="1181"/>
      <c r="DFR162" s="1181"/>
      <c r="DFS162" s="1181"/>
      <c r="DFT162" s="1181"/>
      <c r="DFU162" s="1181"/>
      <c r="DFV162" s="1181"/>
      <c r="DFW162" s="1181"/>
      <c r="DFX162" s="1181"/>
      <c r="DFY162" s="1181"/>
      <c r="DFZ162" s="1181"/>
      <c r="DGA162" s="1181"/>
      <c r="DGB162" s="1181"/>
      <c r="DGC162" s="1181"/>
      <c r="DGD162" s="1181"/>
      <c r="DGE162" s="1181"/>
      <c r="DGF162" s="1181"/>
      <c r="DGG162" s="1181"/>
      <c r="DGH162" s="1181"/>
      <c r="DGI162" s="1181"/>
      <c r="DGJ162" s="1181"/>
      <c r="DGK162" s="1181"/>
      <c r="DGL162" s="1181"/>
      <c r="DGM162" s="1181"/>
      <c r="DGN162" s="1181"/>
      <c r="DGO162" s="1181"/>
      <c r="DGP162" s="1181"/>
      <c r="DGQ162" s="1181"/>
      <c r="DGR162" s="1181"/>
      <c r="DGS162" s="1181"/>
      <c r="DGT162" s="1181"/>
      <c r="DGU162" s="1181"/>
      <c r="DGV162" s="1181"/>
      <c r="DGW162" s="1181"/>
      <c r="DGX162" s="1181"/>
      <c r="DGY162" s="1181"/>
      <c r="DGZ162" s="1181"/>
      <c r="DHA162" s="1181"/>
      <c r="DHB162" s="1181"/>
      <c r="DHC162" s="1181"/>
      <c r="DHD162" s="1181"/>
      <c r="DHE162" s="1181"/>
      <c r="DHF162" s="1181"/>
      <c r="DHG162" s="1181"/>
      <c r="DHH162" s="1181"/>
      <c r="DHI162" s="1181"/>
      <c r="DHJ162" s="1181"/>
      <c r="DHK162" s="1181"/>
      <c r="DHL162" s="1181"/>
      <c r="DHM162" s="1181"/>
      <c r="DHN162" s="1181"/>
      <c r="DHO162" s="1181"/>
      <c r="DHP162" s="1181"/>
      <c r="DHQ162" s="1181"/>
      <c r="DHR162" s="1181"/>
      <c r="DHS162" s="1181"/>
      <c r="DHT162" s="1181"/>
      <c r="DHU162" s="1181"/>
      <c r="DHV162" s="1181"/>
      <c r="DHW162" s="1181"/>
      <c r="DHX162" s="1181"/>
      <c r="DHY162" s="1181"/>
      <c r="DHZ162" s="1181"/>
      <c r="DIA162" s="1181"/>
      <c r="DIB162" s="1181"/>
      <c r="DIC162" s="1181"/>
      <c r="DID162" s="1181"/>
      <c r="DIE162" s="1181"/>
      <c r="DIF162" s="1181"/>
      <c r="DIG162" s="1181"/>
      <c r="DIH162" s="1181"/>
      <c r="DII162" s="1181"/>
      <c r="DIJ162" s="1181"/>
      <c r="DIK162" s="1181"/>
      <c r="DIL162" s="1181"/>
      <c r="DIM162" s="1181"/>
      <c r="DIN162" s="1181"/>
      <c r="DIO162" s="1181"/>
      <c r="DIP162" s="1181"/>
      <c r="DIQ162" s="1181"/>
      <c r="DIR162" s="1181"/>
      <c r="DIS162" s="1181"/>
      <c r="DIT162" s="1181"/>
      <c r="DIU162" s="1181"/>
      <c r="DIV162" s="1181"/>
      <c r="DIW162" s="1181"/>
      <c r="DIX162" s="1181"/>
      <c r="DIY162" s="1181"/>
      <c r="DIZ162" s="1181"/>
      <c r="DJA162" s="1181"/>
      <c r="DJB162" s="1181"/>
      <c r="DJC162" s="1181"/>
      <c r="DJD162" s="1181"/>
      <c r="DJE162" s="1181"/>
      <c r="DJF162" s="1181"/>
      <c r="DJG162" s="1181"/>
      <c r="DJH162" s="1181"/>
      <c r="DJI162" s="1181"/>
      <c r="DJJ162" s="1181"/>
      <c r="DJK162" s="1181"/>
      <c r="DJL162" s="1181"/>
      <c r="DJM162" s="1181"/>
      <c r="DJN162" s="1181"/>
      <c r="DJO162" s="1181"/>
      <c r="DJP162" s="1181"/>
      <c r="DJQ162" s="1181"/>
      <c r="DJR162" s="1181"/>
      <c r="DJS162" s="1181"/>
      <c r="DJT162" s="1181"/>
      <c r="DJU162" s="1181"/>
      <c r="DJV162" s="1181"/>
      <c r="DJW162" s="1181"/>
      <c r="DJX162" s="1181"/>
      <c r="DJY162" s="1181"/>
      <c r="DJZ162" s="1181"/>
      <c r="DKA162" s="1181"/>
      <c r="DKB162" s="1181"/>
      <c r="DKC162" s="1181"/>
      <c r="DKD162" s="1181"/>
      <c r="DKE162" s="1181"/>
      <c r="DKF162" s="1181"/>
      <c r="DKG162" s="1181"/>
      <c r="DKH162" s="1181"/>
      <c r="DKI162" s="1181"/>
      <c r="DKJ162" s="1181"/>
      <c r="DKK162" s="1181"/>
      <c r="DKL162" s="1181"/>
      <c r="DKM162" s="1181"/>
      <c r="DKN162" s="1181"/>
      <c r="DKO162" s="1181"/>
      <c r="DKP162" s="1181"/>
      <c r="DKQ162" s="1181"/>
      <c r="DKR162" s="1181"/>
      <c r="DKS162" s="1181"/>
      <c r="DKT162" s="1181"/>
      <c r="DKU162" s="1181"/>
      <c r="DKV162" s="1181"/>
      <c r="DKW162" s="1181"/>
      <c r="DKX162" s="1181"/>
      <c r="DKY162" s="1181"/>
      <c r="DKZ162" s="1181"/>
      <c r="DLA162" s="1181"/>
      <c r="DLB162" s="1181"/>
      <c r="DLC162" s="1181"/>
      <c r="DLD162" s="1181"/>
      <c r="DLE162" s="1181"/>
      <c r="DLF162" s="1181"/>
      <c r="DLG162" s="1181"/>
      <c r="DLH162" s="1181"/>
      <c r="DLI162" s="1181"/>
      <c r="DLJ162" s="1181"/>
      <c r="DLK162" s="1181"/>
      <c r="DLL162" s="1181"/>
      <c r="DLM162" s="1181"/>
      <c r="DLN162" s="1181"/>
      <c r="DLO162" s="1181"/>
      <c r="DLP162" s="1181"/>
      <c r="DLQ162" s="1181"/>
      <c r="DLR162" s="1181"/>
      <c r="DLS162" s="1181"/>
      <c r="DLT162" s="1181"/>
      <c r="DLU162" s="1181"/>
      <c r="DLV162" s="1181"/>
      <c r="DLW162" s="1181"/>
      <c r="DLX162" s="1181"/>
      <c r="DLY162" s="1181"/>
      <c r="DLZ162" s="1181"/>
      <c r="DMA162" s="1181"/>
      <c r="DMB162" s="1181"/>
      <c r="DMC162" s="1181"/>
      <c r="DMD162" s="1181"/>
      <c r="DME162" s="1181"/>
      <c r="DMF162" s="1181"/>
      <c r="DMG162" s="1181"/>
      <c r="DMH162" s="1181"/>
      <c r="DMI162" s="1181"/>
      <c r="DMJ162" s="1181"/>
      <c r="DMK162" s="1181"/>
      <c r="DML162" s="1181"/>
      <c r="DMM162" s="1181"/>
      <c r="DMN162" s="1181"/>
      <c r="DMO162" s="1181"/>
      <c r="DMP162" s="1181"/>
      <c r="DMQ162" s="1181"/>
      <c r="DMR162" s="1181"/>
      <c r="DMS162" s="1181"/>
      <c r="DMT162" s="1181"/>
      <c r="DMU162" s="1181"/>
      <c r="DMV162" s="1181"/>
      <c r="DMW162" s="1181"/>
      <c r="DMX162" s="1181"/>
      <c r="DMY162" s="1181"/>
      <c r="DMZ162" s="1181"/>
      <c r="DNA162" s="1181"/>
      <c r="DNB162" s="1181"/>
      <c r="DNC162" s="1181"/>
      <c r="DND162" s="1181"/>
      <c r="DNE162" s="1181"/>
      <c r="DNF162" s="1181"/>
      <c r="DNG162" s="1181"/>
      <c r="DNH162" s="1181"/>
      <c r="DNI162" s="1181"/>
      <c r="DNJ162" s="1181"/>
      <c r="DNK162" s="1181"/>
      <c r="DNL162" s="1181"/>
      <c r="DNM162" s="1181"/>
      <c r="DNN162" s="1181"/>
      <c r="DNO162" s="1181"/>
      <c r="DNP162" s="1181"/>
      <c r="DNQ162" s="1181"/>
      <c r="DNR162" s="1181"/>
      <c r="DNS162" s="1181"/>
      <c r="DNT162" s="1181"/>
      <c r="DNU162" s="1181"/>
      <c r="DNV162" s="1181"/>
      <c r="DNW162" s="1181"/>
      <c r="DNX162" s="1181"/>
      <c r="DNY162" s="1181"/>
      <c r="DNZ162" s="1181"/>
      <c r="DOA162" s="1181"/>
      <c r="DOB162" s="1181"/>
      <c r="DOC162" s="1181"/>
      <c r="DOD162" s="1181"/>
      <c r="DOE162" s="1181"/>
      <c r="DOF162" s="1181"/>
      <c r="DOG162" s="1181"/>
      <c r="DOH162" s="1181"/>
      <c r="DOI162" s="1181"/>
      <c r="DOJ162" s="1181"/>
      <c r="DOK162" s="1181"/>
      <c r="DOL162" s="1181"/>
      <c r="DOM162" s="1181"/>
      <c r="DON162" s="1181"/>
      <c r="DOO162" s="1181"/>
      <c r="DOP162" s="1181"/>
      <c r="DOQ162" s="1181"/>
      <c r="DOR162" s="1181"/>
      <c r="DOS162" s="1181"/>
      <c r="DOT162" s="1181"/>
      <c r="DOU162" s="1181"/>
      <c r="DOV162" s="1181"/>
      <c r="DOW162" s="1181"/>
      <c r="DOX162" s="1181"/>
      <c r="DOY162" s="1181"/>
      <c r="DOZ162" s="1181"/>
      <c r="DPA162" s="1181"/>
      <c r="DPB162" s="1181"/>
      <c r="DPC162" s="1181"/>
      <c r="DPD162" s="1181"/>
      <c r="DPE162" s="1181"/>
      <c r="DPF162" s="1181"/>
      <c r="DPG162" s="1181"/>
      <c r="DPH162" s="1181"/>
      <c r="DPI162" s="1181"/>
      <c r="DPJ162" s="1181"/>
      <c r="DPK162" s="1181"/>
      <c r="DPL162" s="1181"/>
      <c r="DPM162" s="1181"/>
      <c r="DPN162" s="1181"/>
      <c r="DPO162" s="1181"/>
      <c r="DPP162" s="1181"/>
      <c r="DPQ162" s="1181"/>
      <c r="DPR162" s="1181"/>
      <c r="DPS162" s="1181"/>
      <c r="DPT162" s="1181"/>
      <c r="DPU162" s="1181"/>
      <c r="DPV162" s="1181"/>
      <c r="DPW162" s="1181"/>
      <c r="DPX162" s="1181"/>
      <c r="DPY162" s="1181"/>
      <c r="DPZ162" s="1181"/>
      <c r="DQA162" s="1181"/>
      <c r="DQB162" s="1181"/>
      <c r="DQC162" s="1181"/>
      <c r="DQD162" s="1181"/>
      <c r="DQE162" s="1181"/>
      <c r="DQF162" s="1181"/>
      <c r="DQG162" s="1181"/>
      <c r="DQH162" s="1181"/>
      <c r="DQI162" s="1181"/>
      <c r="DQJ162" s="1181"/>
      <c r="DQK162" s="1181"/>
      <c r="DQL162" s="1181"/>
      <c r="DQM162" s="1181"/>
      <c r="DQN162" s="1181"/>
      <c r="DQO162" s="1181"/>
      <c r="DQP162" s="1181"/>
      <c r="DQQ162" s="1181"/>
      <c r="DQR162" s="1181"/>
      <c r="DQS162" s="1181"/>
      <c r="DQT162" s="1181"/>
      <c r="DQU162" s="1181"/>
      <c r="DQV162" s="1181"/>
      <c r="DQW162" s="1181"/>
      <c r="DQX162" s="1181"/>
      <c r="DQY162" s="1181"/>
      <c r="DQZ162" s="1181"/>
      <c r="DRA162" s="1181"/>
      <c r="DRB162" s="1181"/>
      <c r="DRC162" s="1181"/>
      <c r="DRD162" s="1181"/>
      <c r="DRE162" s="1181"/>
      <c r="DRF162" s="1181"/>
      <c r="DRG162" s="1181"/>
      <c r="DRH162" s="1181"/>
      <c r="DRI162" s="1181"/>
      <c r="DRJ162" s="1181"/>
      <c r="DRK162" s="1181"/>
      <c r="DRL162" s="1181"/>
      <c r="DRM162" s="1181"/>
      <c r="DRN162" s="1181"/>
      <c r="DRO162" s="1181"/>
      <c r="DRP162" s="1181"/>
      <c r="DRQ162" s="1181"/>
      <c r="DRR162" s="1181"/>
      <c r="DRS162" s="1181"/>
      <c r="DRT162" s="1181"/>
      <c r="DRU162" s="1181"/>
      <c r="DRV162" s="1181"/>
      <c r="DRW162" s="1181"/>
      <c r="DRX162" s="1181"/>
      <c r="DRY162" s="1181"/>
      <c r="DRZ162" s="1181"/>
      <c r="DSA162" s="1181"/>
      <c r="DSB162" s="1181"/>
      <c r="DSC162" s="1181"/>
      <c r="DSD162" s="1181"/>
      <c r="DSE162" s="1181"/>
      <c r="DSF162" s="1181"/>
      <c r="DSG162" s="1181"/>
      <c r="DSH162" s="1181"/>
      <c r="DSI162" s="1181"/>
      <c r="DSJ162" s="1181"/>
      <c r="DSK162" s="1181"/>
      <c r="DSL162" s="1181"/>
      <c r="DSM162" s="1181"/>
      <c r="DSN162" s="1181"/>
      <c r="DSO162" s="1181"/>
      <c r="DSP162" s="1181"/>
      <c r="DSQ162" s="1181"/>
      <c r="DSR162" s="1181"/>
      <c r="DSS162" s="1181"/>
      <c r="DST162" s="1181"/>
      <c r="DSU162" s="1181"/>
      <c r="DSV162" s="1181"/>
      <c r="DSW162" s="1181"/>
      <c r="DSX162" s="1181"/>
      <c r="DSY162" s="1181"/>
      <c r="DSZ162" s="1181"/>
      <c r="DTA162" s="1181"/>
      <c r="DTB162" s="1181"/>
      <c r="DTC162" s="1181"/>
      <c r="DTD162" s="1181"/>
      <c r="DTE162" s="1181"/>
      <c r="DTF162" s="1181"/>
      <c r="DTG162" s="1181"/>
      <c r="DTH162" s="1181"/>
      <c r="DTI162" s="1181"/>
      <c r="DTJ162" s="1181"/>
      <c r="DTK162" s="1181"/>
      <c r="DTL162" s="1181"/>
      <c r="DTM162" s="1181"/>
      <c r="DTN162" s="1181"/>
      <c r="DTO162" s="1181"/>
      <c r="DTP162" s="1181"/>
      <c r="DTQ162" s="1181"/>
      <c r="DTR162" s="1181"/>
      <c r="DTS162" s="1181"/>
      <c r="DTT162" s="1181"/>
      <c r="DTU162" s="1181"/>
      <c r="DTV162" s="1181"/>
      <c r="DTW162" s="1181"/>
      <c r="DTX162" s="1181"/>
      <c r="DTY162" s="1181"/>
      <c r="DTZ162" s="1181"/>
      <c r="DUA162" s="1181"/>
      <c r="DUB162" s="1181"/>
      <c r="DUC162" s="1181"/>
      <c r="DUD162" s="1181"/>
      <c r="DUE162" s="1181"/>
      <c r="DUF162" s="1181"/>
      <c r="DUG162" s="1181"/>
      <c r="DUH162" s="1181"/>
      <c r="DUI162" s="1181"/>
      <c r="DUJ162" s="1181"/>
      <c r="DUK162" s="1181"/>
      <c r="DUL162" s="1181"/>
      <c r="DUM162" s="1181"/>
      <c r="DUN162" s="1181"/>
      <c r="DUO162" s="1181"/>
      <c r="DUP162" s="1181"/>
      <c r="DUQ162" s="1181"/>
      <c r="DUR162" s="1181"/>
      <c r="DUS162" s="1181"/>
      <c r="DUT162" s="1181"/>
      <c r="DUU162" s="1181"/>
      <c r="DUV162" s="1181"/>
      <c r="DUW162" s="1181"/>
      <c r="DUX162" s="1181"/>
      <c r="DUY162" s="1181"/>
      <c r="DUZ162" s="1181"/>
      <c r="DVA162" s="1181"/>
      <c r="DVB162" s="1181"/>
      <c r="DVC162" s="1181"/>
      <c r="DVD162" s="1181"/>
      <c r="DVE162" s="1181"/>
      <c r="DVF162" s="1181"/>
      <c r="DVG162" s="1181"/>
      <c r="DVH162" s="1181"/>
      <c r="DVI162" s="1181"/>
      <c r="DVJ162" s="1181"/>
      <c r="DVK162" s="1181"/>
      <c r="DVL162" s="1181"/>
      <c r="DVM162" s="1181"/>
      <c r="DVN162" s="1181"/>
      <c r="DVO162" s="1181"/>
      <c r="DVP162" s="1181"/>
      <c r="DVQ162" s="1181"/>
      <c r="DVR162" s="1181"/>
      <c r="DVS162" s="1181"/>
      <c r="DVT162" s="1181"/>
      <c r="DVU162" s="1181"/>
      <c r="DVV162" s="1181"/>
      <c r="DVW162" s="1181"/>
      <c r="DVX162" s="1181"/>
      <c r="DVY162" s="1181"/>
      <c r="DVZ162" s="1181"/>
      <c r="DWA162" s="1181"/>
      <c r="DWB162" s="1181"/>
      <c r="DWC162" s="1181"/>
      <c r="DWD162" s="1181"/>
      <c r="DWE162" s="1181"/>
      <c r="DWF162" s="1181"/>
      <c r="DWG162" s="1181"/>
      <c r="DWH162" s="1181"/>
      <c r="DWI162" s="1181"/>
      <c r="DWJ162" s="1181"/>
      <c r="DWK162" s="1181"/>
      <c r="DWL162" s="1181"/>
      <c r="DWM162" s="1181"/>
      <c r="DWN162" s="1181"/>
      <c r="DWO162" s="1181"/>
      <c r="DWP162" s="1181"/>
      <c r="DWQ162" s="1181"/>
      <c r="DWR162" s="1181"/>
      <c r="DWS162" s="1181"/>
      <c r="DWT162" s="1181"/>
      <c r="DWU162" s="1181"/>
      <c r="DWV162" s="1181"/>
      <c r="DWW162" s="1181"/>
      <c r="DWX162" s="1181"/>
      <c r="DWY162" s="1181"/>
      <c r="DWZ162" s="1181"/>
      <c r="DXA162" s="1181"/>
      <c r="DXB162" s="1181"/>
      <c r="DXC162" s="1181"/>
      <c r="DXD162" s="1181"/>
      <c r="DXE162" s="1181"/>
      <c r="DXF162" s="1181"/>
      <c r="DXG162" s="1181"/>
      <c r="DXH162" s="1181"/>
      <c r="DXI162" s="1181"/>
      <c r="DXJ162" s="1181"/>
      <c r="DXK162" s="1181"/>
      <c r="DXL162" s="1181"/>
      <c r="DXM162" s="1181"/>
      <c r="DXN162" s="1181"/>
      <c r="DXO162" s="1181"/>
      <c r="DXP162" s="1181"/>
      <c r="DXQ162" s="1181"/>
      <c r="DXR162" s="1181"/>
      <c r="DXS162" s="1181"/>
      <c r="DXT162" s="1181"/>
      <c r="DXU162" s="1181"/>
      <c r="DXV162" s="1181"/>
      <c r="DXW162" s="1181"/>
      <c r="DXX162" s="1181"/>
      <c r="DXY162" s="1181"/>
      <c r="DXZ162" s="1181"/>
      <c r="DYA162" s="1181"/>
      <c r="DYB162" s="1181"/>
      <c r="DYC162" s="1181"/>
      <c r="DYD162" s="1181"/>
      <c r="DYE162" s="1181"/>
      <c r="DYF162" s="1181"/>
      <c r="DYG162" s="1181"/>
      <c r="DYH162" s="1181"/>
      <c r="DYI162" s="1181"/>
      <c r="DYJ162" s="1181"/>
      <c r="DYK162" s="1181"/>
      <c r="DYL162" s="1181"/>
      <c r="DYM162" s="1181"/>
      <c r="DYN162" s="1181"/>
      <c r="DYO162" s="1181"/>
      <c r="DYP162" s="1181"/>
      <c r="DYQ162" s="1181"/>
      <c r="DYR162" s="1181"/>
      <c r="DYS162" s="1181"/>
      <c r="DYT162" s="1181"/>
      <c r="DYU162" s="1181"/>
      <c r="DYV162" s="1181"/>
      <c r="DYW162" s="1181"/>
      <c r="DYX162" s="1181"/>
      <c r="DYY162" s="1181"/>
      <c r="DYZ162" s="1181"/>
      <c r="DZA162" s="1181"/>
      <c r="DZB162" s="1181"/>
      <c r="DZC162" s="1181"/>
      <c r="DZD162" s="1181"/>
      <c r="DZE162" s="1181"/>
      <c r="DZF162" s="1181"/>
      <c r="DZG162" s="1181"/>
      <c r="DZH162" s="1181"/>
      <c r="DZI162" s="1181"/>
      <c r="DZJ162" s="1181"/>
      <c r="DZK162" s="1181"/>
      <c r="DZL162" s="1181"/>
      <c r="DZM162" s="1181"/>
      <c r="DZN162" s="1181"/>
      <c r="DZO162" s="1181"/>
      <c r="DZP162" s="1181"/>
      <c r="DZQ162" s="1181"/>
      <c r="DZR162" s="1181"/>
      <c r="DZS162" s="1181"/>
      <c r="DZT162" s="1181"/>
      <c r="DZU162" s="1181"/>
      <c r="DZV162" s="1181"/>
      <c r="DZW162" s="1181"/>
      <c r="DZX162" s="1181"/>
      <c r="DZY162" s="1181"/>
      <c r="DZZ162" s="1181"/>
      <c r="EAA162" s="1181"/>
      <c r="EAB162" s="1181"/>
      <c r="EAC162" s="1181"/>
      <c r="EAD162" s="1181"/>
      <c r="EAE162" s="1181"/>
      <c r="EAF162" s="1181"/>
      <c r="EAG162" s="1181"/>
      <c r="EAH162" s="1181"/>
      <c r="EAI162" s="1181"/>
      <c r="EAJ162" s="1181"/>
      <c r="EAK162" s="1181"/>
      <c r="EAL162" s="1181"/>
      <c r="EAM162" s="1181"/>
      <c r="EAN162" s="1181"/>
      <c r="EAO162" s="1181"/>
      <c r="EAP162" s="1181"/>
      <c r="EAQ162" s="1181"/>
      <c r="EAR162" s="1181"/>
      <c r="EAS162" s="1181"/>
      <c r="EAT162" s="1181"/>
      <c r="EAU162" s="1181"/>
      <c r="EAV162" s="1181"/>
      <c r="EAW162" s="1181"/>
      <c r="EAX162" s="1181"/>
      <c r="EAY162" s="1181"/>
      <c r="EAZ162" s="1181"/>
      <c r="EBA162" s="1181"/>
      <c r="EBB162" s="1181"/>
      <c r="EBC162" s="1181"/>
      <c r="EBD162" s="1181"/>
      <c r="EBE162" s="1181"/>
      <c r="EBF162" s="1181"/>
      <c r="EBG162" s="1181"/>
      <c r="EBH162" s="1181"/>
      <c r="EBI162" s="1181"/>
      <c r="EBJ162" s="1181"/>
      <c r="EBK162" s="1181"/>
      <c r="EBL162" s="1181"/>
      <c r="EBM162" s="1181"/>
      <c r="EBN162" s="1181"/>
      <c r="EBO162" s="1181"/>
      <c r="EBP162" s="1181"/>
      <c r="EBQ162" s="1181"/>
      <c r="EBR162" s="1181"/>
      <c r="EBS162" s="1181"/>
      <c r="EBT162" s="1181"/>
      <c r="EBU162" s="1181"/>
      <c r="EBV162" s="1181"/>
      <c r="EBW162" s="1181"/>
      <c r="EBX162" s="1181"/>
      <c r="EBY162" s="1181"/>
      <c r="EBZ162" s="1181"/>
      <c r="ECA162" s="1181"/>
      <c r="ECB162" s="1181"/>
      <c r="ECC162" s="1181"/>
      <c r="ECD162" s="1181"/>
      <c r="ECE162" s="1181"/>
      <c r="ECF162" s="1181"/>
      <c r="ECG162" s="1181"/>
      <c r="ECH162" s="1181"/>
      <c r="ECI162" s="1181"/>
      <c r="ECJ162" s="1181"/>
      <c r="ECK162" s="1181"/>
      <c r="ECL162" s="1181"/>
      <c r="ECM162" s="1181"/>
      <c r="ECN162" s="1181"/>
      <c r="ECO162" s="1181"/>
      <c r="ECP162" s="1181"/>
      <c r="ECQ162" s="1181"/>
      <c r="ECR162" s="1181"/>
      <c r="ECS162" s="1181"/>
      <c r="ECT162" s="1181"/>
      <c r="ECU162" s="1181"/>
      <c r="ECV162" s="1181"/>
      <c r="ECW162" s="1181"/>
      <c r="ECX162" s="1181"/>
      <c r="ECY162" s="1181"/>
      <c r="ECZ162" s="1181"/>
      <c r="EDA162" s="1181"/>
      <c r="EDB162" s="1181"/>
      <c r="EDC162" s="1181"/>
      <c r="EDD162" s="1181"/>
      <c r="EDE162" s="1181"/>
      <c r="EDF162" s="1181"/>
      <c r="EDG162" s="1181"/>
      <c r="EDH162" s="1181"/>
      <c r="EDI162" s="1181"/>
      <c r="EDJ162" s="1181"/>
      <c r="EDK162" s="1181"/>
      <c r="EDL162" s="1181"/>
      <c r="EDM162" s="1181"/>
      <c r="EDN162" s="1181"/>
      <c r="EDO162" s="1181"/>
      <c r="EDP162" s="1181"/>
      <c r="EDQ162" s="1181"/>
      <c r="EDR162" s="1181"/>
      <c r="EDS162" s="1181"/>
      <c r="EDT162" s="1181"/>
      <c r="EDU162" s="1181"/>
      <c r="EDV162" s="1181"/>
      <c r="EDW162" s="1181"/>
      <c r="EDX162" s="1181"/>
      <c r="EDY162" s="1181"/>
      <c r="EDZ162" s="1181"/>
      <c r="EEA162" s="1181"/>
      <c r="EEB162" s="1181"/>
      <c r="EEC162" s="1181"/>
      <c r="EED162" s="1181"/>
      <c r="EEE162" s="1181"/>
      <c r="EEF162" s="1181"/>
      <c r="EEG162" s="1181"/>
      <c r="EEH162" s="1181"/>
      <c r="EEI162" s="1181"/>
      <c r="EEJ162" s="1181"/>
      <c r="EEK162" s="1181"/>
      <c r="EEL162" s="1181"/>
      <c r="EEM162" s="1181"/>
      <c r="EEN162" s="1181"/>
      <c r="EEO162" s="1181"/>
      <c r="EEP162" s="1181"/>
      <c r="EEQ162" s="1181"/>
      <c r="EER162" s="1181"/>
      <c r="EES162" s="1181"/>
      <c r="EET162" s="1181"/>
      <c r="EEU162" s="1181"/>
      <c r="EEV162" s="1181"/>
      <c r="EEW162" s="1181"/>
      <c r="EEX162" s="1181"/>
      <c r="EEY162" s="1181"/>
      <c r="EEZ162" s="1181"/>
      <c r="EFA162" s="1181"/>
      <c r="EFB162" s="1181"/>
      <c r="EFC162" s="1181"/>
      <c r="EFD162" s="1181"/>
      <c r="EFE162" s="1181"/>
      <c r="EFF162" s="1181"/>
      <c r="EFG162" s="1181"/>
      <c r="EFH162" s="1181"/>
      <c r="EFI162" s="1181"/>
      <c r="EFJ162" s="1181"/>
      <c r="EFK162" s="1181"/>
      <c r="EFL162" s="1181"/>
      <c r="EFM162" s="1181"/>
      <c r="EFN162" s="1181"/>
      <c r="EFO162" s="1181"/>
      <c r="EFP162" s="1181"/>
      <c r="EFQ162" s="1181"/>
      <c r="EFR162" s="1181"/>
      <c r="EFS162" s="1181"/>
      <c r="EFT162" s="1181"/>
      <c r="EFU162" s="1181"/>
      <c r="EFV162" s="1181"/>
      <c r="EFW162" s="1181"/>
      <c r="EFX162" s="1181"/>
      <c r="EFY162" s="1181"/>
      <c r="EFZ162" s="1181"/>
      <c r="EGA162" s="1181"/>
      <c r="EGB162" s="1181"/>
      <c r="EGC162" s="1181"/>
      <c r="EGD162" s="1181"/>
      <c r="EGE162" s="1181"/>
      <c r="EGF162" s="1181"/>
      <c r="EGG162" s="1181"/>
      <c r="EGH162" s="1181"/>
      <c r="EGI162" s="1181"/>
      <c r="EGJ162" s="1181"/>
      <c r="EGK162" s="1181"/>
      <c r="EGL162" s="1181"/>
      <c r="EGM162" s="1181"/>
      <c r="EGN162" s="1181"/>
      <c r="EGO162" s="1181"/>
      <c r="EGP162" s="1181"/>
      <c r="EGQ162" s="1181"/>
      <c r="EGR162" s="1181"/>
      <c r="EGS162" s="1181"/>
      <c r="EGT162" s="1181"/>
      <c r="EGU162" s="1181"/>
      <c r="EGV162" s="1181"/>
      <c r="EGW162" s="1181"/>
      <c r="EGX162" s="1181"/>
      <c r="EGY162" s="1181"/>
      <c r="EGZ162" s="1181"/>
      <c r="EHA162" s="1181"/>
      <c r="EHB162" s="1181"/>
      <c r="EHC162" s="1181"/>
      <c r="EHD162" s="1181"/>
      <c r="EHE162" s="1181"/>
      <c r="EHF162" s="1181"/>
      <c r="EHG162" s="1181"/>
      <c r="EHH162" s="1181"/>
      <c r="EHI162" s="1181"/>
      <c r="EHJ162" s="1181"/>
      <c r="EHK162" s="1181"/>
      <c r="EHL162" s="1181"/>
      <c r="EHM162" s="1181"/>
      <c r="EHN162" s="1181"/>
      <c r="EHO162" s="1181"/>
      <c r="EHP162" s="1181"/>
      <c r="EHQ162" s="1181"/>
      <c r="EHR162" s="1181"/>
      <c r="EHS162" s="1181"/>
      <c r="EHT162" s="1181"/>
      <c r="EHU162" s="1181"/>
      <c r="EHV162" s="1181"/>
      <c r="EHW162" s="1181"/>
      <c r="EHX162" s="1181"/>
      <c r="EHY162" s="1181"/>
      <c r="EHZ162" s="1181"/>
      <c r="EIA162" s="1181"/>
      <c r="EIB162" s="1181"/>
      <c r="EIC162" s="1181"/>
      <c r="EID162" s="1181"/>
      <c r="EIE162" s="1181"/>
      <c r="EIF162" s="1181"/>
      <c r="EIG162" s="1181"/>
      <c r="EIH162" s="1181"/>
      <c r="EII162" s="1181"/>
      <c r="EIJ162" s="1181"/>
      <c r="EIK162" s="1181"/>
      <c r="EIL162" s="1181"/>
      <c r="EIM162" s="1181"/>
      <c r="EIN162" s="1181"/>
      <c r="EIO162" s="1181"/>
      <c r="EIP162" s="1181"/>
      <c r="EIQ162" s="1181"/>
      <c r="EIR162" s="1181"/>
      <c r="EIS162" s="1181"/>
      <c r="EIT162" s="1181"/>
      <c r="EIU162" s="1181"/>
      <c r="EIV162" s="1181"/>
      <c r="EIW162" s="1181"/>
      <c r="EIX162" s="1181"/>
      <c r="EIY162" s="1181"/>
      <c r="EIZ162" s="1181"/>
      <c r="EJA162" s="1181"/>
      <c r="EJB162" s="1181"/>
      <c r="EJC162" s="1181"/>
      <c r="EJD162" s="1181"/>
      <c r="EJE162" s="1181"/>
      <c r="EJF162" s="1181"/>
      <c r="EJG162" s="1181"/>
      <c r="EJH162" s="1181"/>
      <c r="EJI162" s="1181"/>
      <c r="EJJ162" s="1181"/>
      <c r="EJK162" s="1181"/>
      <c r="EJL162" s="1181"/>
      <c r="EJM162" s="1181"/>
      <c r="EJN162" s="1181"/>
      <c r="EJO162" s="1181"/>
      <c r="EJP162" s="1181"/>
      <c r="EJQ162" s="1181"/>
      <c r="EJR162" s="1181"/>
      <c r="EJS162" s="1181"/>
      <c r="EJT162" s="1181"/>
      <c r="EJU162" s="1181"/>
      <c r="EJV162" s="1181"/>
      <c r="EJW162" s="1181"/>
      <c r="EJX162" s="1181"/>
      <c r="EJY162" s="1181"/>
      <c r="EJZ162" s="1181"/>
      <c r="EKA162" s="1181"/>
      <c r="EKB162" s="1181"/>
      <c r="EKC162" s="1181"/>
      <c r="EKD162" s="1181"/>
      <c r="EKE162" s="1181"/>
      <c r="EKF162" s="1181"/>
      <c r="EKG162" s="1181"/>
      <c r="EKH162" s="1181"/>
      <c r="EKI162" s="1181"/>
      <c r="EKJ162" s="1181"/>
      <c r="EKK162" s="1181"/>
      <c r="EKL162" s="1181"/>
      <c r="EKM162" s="1181"/>
      <c r="EKN162" s="1181"/>
      <c r="EKO162" s="1181"/>
      <c r="EKP162" s="1181"/>
      <c r="EKQ162" s="1181"/>
      <c r="EKR162" s="1181"/>
      <c r="EKS162" s="1181"/>
      <c r="EKT162" s="1181"/>
      <c r="EKU162" s="1181"/>
      <c r="EKV162" s="1181"/>
      <c r="EKW162" s="1181"/>
      <c r="EKX162" s="1181"/>
      <c r="EKY162" s="1181"/>
      <c r="EKZ162" s="1181"/>
      <c r="ELA162" s="1181"/>
      <c r="ELB162" s="1181"/>
      <c r="ELC162" s="1181"/>
      <c r="ELD162" s="1181"/>
      <c r="ELE162" s="1181"/>
      <c r="ELF162" s="1181"/>
      <c r="ELG162" s="1181"/>
      <c r="ELH162" s="1181"/>
      <c r="ELI162" s="1181"/>
      <c r="ELJ162" s="1181"/>
      <c r="ELK162" s="1181"/>
      <c r="ELL162" s="1181"/>
      <c r="ELM162" s="1181"/>
      <c r="ELN162" s="1181"/>
      <c r="ELO162" s="1181"/>
      <c r="ELP162" s="1181"/>
      <c r="ELQ162" s="1181"/>
      <c r="ELR162" s="1181"/>
      <c r="ELS162" s="1181"/>
      <c r="ELT162" s="1181"/>
      <c r="ELU162" s="1181"/>
      <c r="ELV162" s="1181"/>
      <c r="ELW162" s="1181"/>
      <c r="ELX162" s="1181"/>
      <c r="ELY162" s="1181"/>
      <c r="ELZ162" s="1181"/>
      <c r="EMA162" s="1181"/>
      <c r="EMB162" s="1181"/>
      <c r="EMC162" s="1181"/>
      <c r="EMD162" s="1181"/>
      <c r="EME162" s="1181"/>
      <c r="EMF162" s="1181"/>
      <c r="EMG162" s="1181"/>
      <c r="EMH162" s="1181"/>
      <c r="EMI162" s="1181"/>
      <c r="EMJ162" s="1181"/>
      <c r="EMK162" s="1181"/>
      <c r="EML162" s="1181"/>
      <c r="EMM162" s="1181"/>
      <c r="EMN162" s="1181"/>
      <c r="EMO162" s="1181"/>
      <c r="EMP162" s="1181"/>
      <c r="EMQ162" s="1181"/>
      <c r="EMR162" s="1181"/>
      <c r="EMS162" s="1181"/>
      <c r="EMT162" s="1181"/>
      <c r="EMU162" s="1181"/>
      <c r="EMV162" s="1181"/>
      <c r="EMW162" s="1181"/>
      <c r="EMX162" s="1181"/>
      <c r="EMY162" s="1181"/>
      <c r="EMZ162" s="1181"/>
      <c r="ENA162" s="1181"/>
      <c r="ENB162" s="1181"/>
      <c r="ENC162" s="1181"/>
      <c r="END162" s="1181"/>
      <c r="ENE162" s="1181"/>
      <c r="ENF162" s="1181"/>
      <c r="ENG162" s="1181"/>
      <c r="ENH162" s="1181"/>
      <c r="ENI162" s="1181"/>
      <c r="ENJ162" s="1181"/>
      <c r="ENK162" s="1181"/>
      <c r="ENL162" s="1181"/>
      <c r="ENM162" s="1181"/>
      <c r="ENN162" s="1181"/>
      <c r="ENO162" s="1181"/>
      <c r="ENP162" s="1181"/>
      <c r="ENQ162" s="1181"/>
      <c r="ENR162" s="1181"/>
      <c r="ENS162" s="1181"/>
      <c r="ENT162" s="1181"/>
      <c r="ENU162" s="1181"/>
      <c r="ENV162" s="1181"/>
      <c r="ENW162" s="1181"/>
      <c r="ENX162" s="1181"/>
      <c r="ENY162" s="1181"/>
      <c r="ENZ162" s="1181"/>
      <c r="EOA162" s="1181"/>
      <c r="EOB162" s="1181"/>
      <c r="EOC162" s="1181"/>
      <c r="EOD162" s="1181"/>
      <c r="EOE162" s="1181"/>
      <c r="EOF162" s="1181"/>
      <c r="EOG162" s="1181"/>
      <c r="EOH162" s="1181"/>
      <c r="EOI162" s="1181"/>
      <c r="EOJ162" s="1181"/>
      <c r="EOK162" s="1181"/>
      <c r="EOL162" s="1181"/>
      <c r="EOM162" s="1181"/>
      <c r="EON162" s="1181"/>
      <c r="EOO162" s="1181"/>
      <c r="EOP162" s="1181"/>
      <c r="EOQ162" s="1181"/>
      <c r="EOR162" s="1181"/>
      <c r="EOS162" s="1181"/>
      <c r="EOT162" s="1181"/>
      <c r="EOU162" s="1181"/>
      <c r="EOV162" s="1181"/>
      <c r="EOW162" s="1181"/>
      <c r="EOX162" s="1181"/>
      <c r="EOY162" s="1181"/>
      <c r="EOZ162" s="1181"/>
      <c r="EPA162" s="1181"/>
      <c r="EPB162" s="1181"/>
      <c r="EPC162" s="1181"/>
      <c r="EPD162" s="1181"/>
      <c r="EPE162" s="1181"/>
      <c r="EPF162" s="1181"/>
      <c r="EPG162" s="1181"/>
      <c r="EPH162" s="1181"/>
      <c r="EPI162" s="1181"/>
      <c r="EPJ162" s="1181"/>
      <c r="EPK162" s="1181"/>
      <c r="EPL162" s="1181"/>
      <c r="EPM162" s="1181"/>
      <c r="EPN162" s="1181"/>
      <c r="EPO162" s="1181"/>
      <c r="EPP162" s="1181"/>
      <c r="EPQ162" s="1181"/>
      <c r="EPR162" s="1181"/>
      <c r="EPS162" s="1181"/>
      <c r="EPT162" s="1181"/>
      <c r="EPU162" s="1181"/>
      <c r="EPV162" s="1181"/>
      <c r="EPW162" s="1181"/>
      <c r="EPX162" s="1181"/>
      <c r="EPY162" s="1181"/>
      <c r="EPZ162" s="1181"/>
      <c r="EQA162" s="1181"/>
      <c r="EQB162" s="1181"/>
      <c r="EQC162" s="1181"/>
      <c r="EQD162" s="1181"/>
      <c r="EQE162" s="1181"/>
      <c r="EQF162" s="1181"/>
      <c r="EQG162" s="1181"/>
      <c r="EQH162" s="1181"/>
      <c r="EQI162" s="1181"/>
      <c r="EQJ162" s="1181"/>
      <c r="EQK162" s="1181"/>
      <c r="EQL162" s="1181"/>
      <c r="EQM162" s="1181"/>
      <c r="EQN162" s="1181"/>
      <c r="EQO162" s="1181"/>
      <c r="EQP162" s="1181"/>
      <c r="EQQ162" s="1181"/>
      <c r="EQR162" s="1181"/>
      <c r="EQS162" s="1181"/>
      <c r="EQT162" s="1181"/>
      <c r="EQU162" s="1181"/>
      <c r="EQV162" s="1181"/>
      <c r="EQW162" s="1181"/>
      <c r="EQX162" s="1181"/>
      <c r="EQY162" s="1181"/>
      <c r="EQZ162" s="1181"/>
      <c r="ERA162" s="1181"/>
      <c r="ERB162" s="1181"/>
      <c r="ERC162" s="1181"/>
      <c r="ERD162" s="1181"/>
      <c r="ERE162" s="1181"/>
      <c r="ERF162" s="1181"/>
      <c r="ERG162" s="1181"/>
      <c r="ERH162" s="1181"/>
      <c r="ERI162" s="1181"/>
      <c r="ERJ162" s="1181"/>
      <c r="ERK162" s="1181"/>
      <c r="ERL162" s="1181"/>
      <c r="ERM162" s="1181"/>
      <c r="ERN162" s="1181"/>
      <c r="ERO162" s="1181"/>
      <c r="ERP162" s="1181"/>
      <c r="ERQ162" s="1181"/>
      <c r="ERR162" s="1181"/>
      <c r="ERS162" s="1181"/>
      <c r="ERT162" s="1181"/>
      <c r="ERU162" s="1181"/>
      <c r="ERV162" s="1181"/>
      <c r="ERW162" s="1181"/>
      <c r="ERX162" s="1181"/>
      <c r="ERY162" s="1181"/>
      <c r="ERZ162" s="1181"/>
      <c r="ESA162" s="1181"/>
      <c r="ESB162" s="1181"/>
      <c r="ESC162" s="1181"/>
      <c r="ESD162" s="1181"/>
      <c r="ESE162" s="1181"/>
      <c r="ESF162" s="1181"/>
      <c r="ESG162" s="1181"/>
      <c r="ESH162" s="1181"/>
      <c r="ESI162" s="1181"/>
      <c r="ESJ162" s="1181"/>
      <c r="ESK162" s="1181"/>
      <c r="ESL162" s="1181"/>
      <c r="ESM162" s="1181"/>
      <c r="ESN162" s="1181"/>
      <c r="ESO162" s="1181"/>
      <c r="ESP162" s="1181"/>
      <c r="ESQ162" s="1181"/>
      <c r="ESR162" s="1181"/>
      <c r="ESS162" s="1181"/>
      <c r="EST162" s="1181"/>
      <c r="ESU162" s="1181"/>
      <c r="ESV162" s="1181"/>
      <c r="ESW162" s="1181"/>
      <c r="ESX162" s="1181"/>
      <c r="ESY162" s="1181"/>
      <c r="ESZ162" s="1181"/>
      <c r="ETA162" s="1181"/>
      <c r="ETB162" s="1181"/>
      <c r="ETC162" s="1181"/>
      <c r="ETD162" s="1181"/>
      <c r="ETE162" s="1181"/>
      <c r="ETF162" s="1181"/>
      <c r="ETG162" s="1181"/>
      <c r="ETH162" s="1181"/>
      <c r="ETI162" s="1181"/>
      <c r="ETJ162" s="1181"/>
      <c r="ETK162" s="1181"/>
      <c r="ETL162" s="1181"/>
      <c r="ETM162" s="1181"/>
      <c r="ETN162" s="1181"/>
      <c r="ETO162" s="1181"/>
      <c r="ETP162" s="1181"/>
      <c r="ETQ162" s="1181"/>
      <c r="ETR162" s="1181"/>
      <c r="ETS162" s="1181"/>
      <c r="ETT162" s="1181"/>
      <c r="ETU162" s="1181"/>
      <c r="ETV162" s="1181"/>
      <c r="ETW162" s="1181"/>
      <c r="ETX162" s="1181"/>
      <c r="ETY162" s="1181"/>
      <c r="ETZ162" s="1181"/>
      <c r="EUA162" s="1181"/>
      <c r="EUB162" s="1181"/>
      <c r="EUC162" s="1181"/>
      <c r="EUD162" s="1181"/>
      <c r="EUE162" s="1181"/>
      <c r="EUF162" s="1181"/>
      <c r="EUG162" s="1181"/>
      <c r="EUH162" s="1181"/>
      <c r="EUI162" s="1181"/>
      <c r="EUJ162" s="1181"/>
      <c r="EUK162" s="1181"/>
      <c r="EUL162" s="1181"/>
      <c r="EUM162" s="1181"/>
      <c r="EUN162" s="1181"/>
      <c r="EUO162" s="1181"/>
      <c r="EUP162" s="1181"/>
      <c r="EUQ162" s="1181"/>
      <c r="EUR162" s="1181"/>
      <c r="EUS162" s="1181"/>
      <c r="EUT162" s="1181"/>
      <c r="EUU162" s="1181"/>
      <c r="EUV162" s="1181"/>
      <c r="EUW162" s="1181"/>
      <c r="EUX162" s="1181"/>
      <c r="EUY162" s="1181"/>
      <c r="EUZ162" s="1181"/>
      <c r="EVA162" s="1181"/>
      <c r="EVB162" s="1181"/>
      <c r="EVC162" s="1181"/>
      <c r="EVD162" s="1181"/>
      <c r="EVE162" s="1181"/>
      <c r="EVF162" s="1181"/>
      <c r="EVG162" s="1181"/>
      <c r="EVH162" s="1181"/>
      <c r="EVI162" s="1181"/>
      <c r="EVJ162" s="1181"/>
      <c r="EVK162" s="1181"/>
      <c r="EVL162" s="1181"/>
      <c r="EVM162" s="1181"/>
      <c r="EVN162" s="1181"/>
      <c r="EVO162" s="1181"/>
      <c r="EVP162" s="1181"/>
      <c r="EVQ162" s="1181"/>
      <c r="EVR162" s="1181"/>
      <c r="EVS162" s="1181"/>
      <c r="EVT162" s="1181"/>
      <c r="EVU162" s="1181"/>
      <c r="EVV162" s="1181"/>
      <c r="EVW162" s="1181"/>
      <c r="EVX162" s="1181"/>
      <c r="EVY162" s="1181"/>
      <c r="EVZ162" s="1181"/>
      <c r="EWA162" s="1181"/>
      <c r="EWB162" s="1181"/>
      <c r="EWC162" s="1181"/>
      <c r="EWD162" s="1181"/>
      <c r="EWE162" s="1181"/>
      <c r="EWF162" s="1181"/>
      <c r="EWG162" s="1181"/>
      <c r="EWH162" s="1181"/>
      <c r="EWI162" s="1181"/>
      <c r="EWJ162" s="1181"/>
      <c r="EWK162" s="1181"/>
      <c r="EWL162" s="1181"/>
      <c r="EWM162" s="1181"/>
      <c r="EWN162" s="1181"/>
      <c r="EWO162" s="1181"/>
      <c r="EWP162" s="1181"/>
      <c r="EWQ162" s="1181"/>
      <c r="EWR162" s="1181"/>
      <c r="EWS162" s="1181"/>
      <c r="EWT162" s="1181"/>
      <c r="EWU162" s="1181"/>
      <c r="EWV162" s="1181"/>
      <c r="EWW162" s="1181"/>
      <c r="EWX162" s="1181"/>
      <c r="EWY162" s="1181"/>
      <c r="EWZ162" s="1181"/>
      <c r="EXA162" s="1181"/>
      <c r="EXB162" s="1181"/>
      <c r="EXC162" s="1181"/>
      <c r="EXD162" s="1181"/>
      <c r="EXE162" s="1181"/>
      <c r="EXF162" s="1181"/>
      <c r="EXG162" s="1181"/>
      <c r="EXH162" s="1181"/>
      <c r="EXI162" s="1181"/>
      <c r="EXJ162" s="1181"/>
      <c r="EXK162" s="1181"/>
      <c r="EXL162" s="1181"/>
      <c r="EXM162" s="1181"/>
      <c r="EXN162" s="1181"/>
      <c r="EXO162" s="1181"/>
      <c r="EXP162" s="1181"/>
      <c r="EXQ162" s="1181"/>
      <c r="EXR162" s="1181"/>
      <c r="EXS162" s="1181"/>
      <c r="EXT162" s="1181"/>
      <c r="EXU162" s="1181"/>
      <c r="EXV162" s="1181"/>
      <c r="EXW162" s="1181"/>
      <c r="EXX162" s="1181"/>
      <c r="EXY162" s="1181"/>
      <c r="EXZ162" s="1181"/>
      <c r="EYA162" s="1181"/>
      <c r="EYB162" s="1181"/>
      <c r="EYC162" s="1181"/>
      <c r="EYD162" s="1181"/>
      <c r="EYE162" s="1181"/>
      <c r="EYF162" s="1181"/>
      <c r="EYG162" s="1181"/>
      <c r="EYH162" s="1181"/>
      <c r="EYI162" s="1181"/>
      <c r="EYJ162" s="1181"/>
      <c r="EYK162" s="1181"/>
      <c r="EYL162" s="1181"/>
      <c r="EYM162" s="1181"/>
      <c r="EYN162" s="1181"/>
      <c r="EYO162" s="1181"/>
      <c r="EYP162" s="1181"/>
      <c r="EYQ162" s="1181"/>
      <c r="EYR162" s="1181"/>
      <c r="EYS162" s="1181"/>
      <c r="EYT162" s="1181"/>
      <c r="EYU162" s="1181"/>
      <c r="EYV162" s="1181"/>
      <c r="EYW162" s="1181"/>
      <c r="EYX162" s="1181"/>
      <c r="EYY162" s="1181"/>
      <c r="EYZ162" s="1181"/>
      <c r="EZA162" s="1181"/>
      <c r="EZB162" s="1181"/>
      <c r="EZC162" s="1181"/>
      <c r="EZD162" s="1181"/>
      <c r="EZE162" s="1181"/>
      <c r="EZF162" s="1181"/>
      <c r="EZG162" s="1181"/>
      <c r="EZH162" s="1181"/>
      <c r="EZI162" s="1181"/>
      <c r="EZJ162" s="1181"/>
      <c r="EZK162" s="1181"/>
      <c r="EZL162" s="1181"/>
      <c r="EZM162" s="1181"/>
      <c r="EZN162" s="1181"/>
      <c r="EZO162" s="1181"/>
      <c r="EZP162" s="1181"/>
      <c r="EZQ162" s="1181"/>
      <c r="EZR162" s="1181"/>
      <c r="EZS162" s="1181"/>
      <c r="EZT162" s="1181"/>
      <c r="EZU162" s="1181"/>
      <c r="EZV162" s="1181"/>
      <c r="EZW162" s="1181"/>
      <c r="EZX162" s="1181"/>
      <c r="EZY162" s="1181"/>
      <c r="EZZ162" s="1181"/>
      <c r="FAA162" s="1181"/>
      <c r="FAB162" s="1181"/>
      <c r="FAC162" s="1181"/>
      <c r="FAD162" s="1181"/>
      <c r="FAE162" s="1181"/>
      <c r="FAF162" s="1181"/>
      <c r="FAG162" s="1181"/>
      <c r="FAH162" s="1181"/>
      <c r="FAI162" s="1181"/>
      <c r="FAJ162" s="1181"/>
      <c r="FAK162" s="1181"/>
      <c r="FAL162" s="1181"/>
      <c r="FAM162" s="1181"/>
      <c r="FAN162" s="1181"/>
      <c r="FAO162" s="1181"/>
      <c r="FAP162" s="1181"/>
      <c r="FAQ162" s="1181"/>
      <c r="FAR162" s="1181"/>
      <c r="FAS162" s="1181"/>
      <c r="FAT162" s="1181"/>
      <c r="FAU162" s="1181"/>
      <c r="FAV162" s="1181"/>
      <c r="FAW162" s="1181"/>
      <c r="FAX162" s="1181"/>
      <c r="FAY162" s="1181"/>
      <c r="FAZ162" s="1181"/>
      <c r="FBA162" s="1181"/>
      <c r="FBB162" s="1181"/>
      <c r="FBC162" s="1181"/>
      <c r="FBD162" s="1181"/>
      <c r="FBE162" s="1181"/>
      <c r="FBF162" s="1181"/>
      <c r="FBG162" s="1181"/>
      <c r="FBH162" s="1181"/>
      <c r="FBI162" s="1181"/>
      <c r="FBJ162" s="1181"/>
      <c r="FBK162" s="1181"/>
      <c r="FBL162" s="1181"/>
      <c r="FBM162" s="1181"/>
      <c r="FBN162" s="1181"/>
      <c r="FBO162" s="1181"/>
      <c r="FBP162" s="1181"/>
      <c r="FBQ162" s="1181"/>
      <c r="FBR162" s="1181"/>
      <c r="FBS162" s="1181"/>
      <c r="FBT162" s="1181"/>
      <c r="FBU162" s="1181"/>
      <c r="FBV162" s="1181"/>
      <c r="FBW162" s="1181"/>
      <c r="FBX162" s="1181"/>
      <c r="FBY162" s="1181"/>
      <c r="FBZ162" s="1181"/>
      <c r="FCA162" s="1181"/>
      <c r="FCB162" s="1181"/>
      <c r="FCC162" s="1181"/>
      <c r="FCD162" s="1181"/>
      <c r="FCE162" s="1181"/>
      <c r="FCF162" s="1181"/>
      <c r="FCG162" s="1181"/>
      <c r="FCH162" s="1181"/>
      <c r="FCI162" s="1181"/>
      <c r="FCJ162" s="1181"/>
      <c r="FCK162" s="1181"/>
      <c r="FCL162" s="1181"/>
      <c r="FCM162" s="1181"/>
      <c r="FCN162" s="1181"/>
      <c r="FCO162" s="1181"/>
      <c r="FCP162" s="1181"/>
      <c r="FCQ162" s="1181"/>
      <c r="FCR162" s="1181"/>
      <c r="FCS162" s="1181"/>
      <c r="FCT162" s="1181"/>
      <c r="FCU162" s="1181"/>
      <c r="FCV162" s="1181"/>
      <c r="FCW162" s="1181"/>
      <c r="FCX162" s="1181"/>
      <c r="FCY162" s="1181"/>
      <c r="FCZ162" s="1181"/>
      <c r="FDA162" s="1181"/>
      <c r="FDB162" s="1181"/>
      <c r="FDC162" s="1181"/>
      <c r="FDD162" s="1181"/>
      <c r="FDE162" s="1181"/>
      <c r="FDF162" s="1181"/>
      <c r="FDG162" s="1181"/>
      <c r="FDH162" s="1181"/>
      <c r="FDI162" s="1181"/>
      <c r="FDJ162" s="1181"/>
      <c r="FDK162" s="1181"/>
      <c r="FDL162" s="1181"/>
      <c r="FDM162" s="1181"/>
      <c r="FDN162" s="1181"/>
      <c r="FDO162" s="1181"/>
      <c r="FDP162" s="1181"/>
      <c r="FDQ162" s="1181"/>
      <c r="FDR162" s="1181"/>
      <c r="FDS162" s="1181"/>
      <c r="FDT162" s="1181"/>
      <c r="FDU162" s="1181"/>
      <c r="FDV162" s="1181"/>
      <c r="FDW162" s="1181"/>
      <c r="FDX162" s="1181"/>
      <c r="FDY162" s="1181"/>
      <c r="FDZ162" s="1181"/>
      <c r="FEA162" s="1181"/>
      <c r="FEB162" s="1181"/>
      <c r="FEC162" s="1181"/>
      <c r="FED162" s="1181"/>
      <c r="FEE162" s="1181"/>
      <c r="FEF162" s="1181"/>
      <c r="FEG162" s="1181"/>
      <c r="FEH162" s="1181"/>
      <c r="FEI162" s="1181"/>
      <c r="FEJ162" s="1181"/>
      <c r="FEK162" s="1181"/>
      <c r="FEL162" s="1181"/>
      <c r="FEM162" s="1181"/>
      <c r="FEN162" s="1181"/>
      <c r="FEO162" s="1181"/>
      <c r="FEP162" s="1181"/>
      <c r="FEQ162" s="1181"/>
      <c r="FER162" s="1181"/>
      <c r="FES162" s="1181"/>
      <c r="FET162" s="1181"/>
      <c r="FEU162" s="1181"/>
      <c r="FEV162" s="1181"/>
      <c r="FEW162" s="1181"/>
      <c r="FEX162" s="1181"/>
      <c r="FEY162" s="1181"/>
      <c r="FEZ162" s="1181"/>
      <c r="FFA162" s="1181"/>
      <c r="FFB162" s="1181"/>
      <c r="FFC162" s="1181"/>
      <c r="FFD162" s="1181"/>
      <c r="FFE162" s="1181"/>
      <c r="FFF162" s="1181"/>
      <c r="FFG162" s="1181"/>
      <c r="FFH162" s="1181"/>
      <c r="FFI162" s="1181"/>
      <c r="FFJ162" s="1181"/>
      <c r="FFK162" s="1181"/>
      <c r="FFL162" s="1181"/>
      <c r="FFM162" s="1181"/>
      <c r="FFN162" s="1181"/>
      <c r="FFO162" s="1181"/>
      <c r="FFP162" s="1181"/>
      <c r="FFQ162" s="1181"/>
      <c r="FFR162" s="1181"/>
      <c r="FFS162" s="1181"/>
      <c r="FFT162" s="1181"/>
      <c r="FFU162" s="1181"/>
      <c r="FFV162" s="1181"/>
      <c r="FFW162" s="1181"/>
      <c r="FFX162" s="1181"/>
      <c r="FFY162" s="1181"/>
      <c r="FFZ162" s="1181"/>
      <c r="FGA162" s="1181"/>
      <c r="FGB162" s="1181"/>
      <c r="FGC162" s="1181"/>
      <c r="FGD162" s="1181"/>
      <c r="FGE162" s="1181"/>
      <c r="FGF162" s="1181"/>
      <c r="FGG162" s="1181"/>
      <c r="FGH162" s="1181"/>
      <c r="FGI162" s="1181"/>
      <c r="FGJ162" s="1181"/>
      <c r="FGK162" s="1181"/>
      <c r="FGL162" s="1181"/>
      <c r="FGM162" s="1181"/>
      <c r="FGN162" s="1181"/>
      <c r="FGO162" s="1181"/>
      <c r="FGP162" s="1181"/>
      <c r="FGQ162" s="1181"/>
      <c r="FGR162" s="1181"/>
      <c r="FGS162" s="1181"/>
      <c r="FGT162" s="1181"/>
      <c r="FGU162" s="1181"/>
      <c r="FGV162" s="1181"/>
      <c r="FGW162" s="1181"/>
      <c r="FGX162" s="1181"/>
      <c r="FGY162" s="1181"/>
      <c r="FGZ162" s="1181"/>
      <c r="FHA162" s="1181"/>
      <c r="FHB162" s="1181"/>
      <c r="FHC162" s="1181"/>
      <c r="FHD162" s="1181"/>
      <c r="FHE162" s="1181"/>
      <c r="FHF162" s="1181"/>
      <c r="FHG162" s="1181"/>
      <c r="FHH162" s="1181"/>
      <c r="FHI162" s="1181"/>
      <c r="FHJ162" s="1181"/>
      <c r="FHK162" s="1181"/>
      <c r="FHL162" s="1181"/>
      <c r="FHM162" s="1181"/>
      <c r="FHN162" s="1181"/>
      <c r="FHO162" s="1181"/>
      <c r="FHP162" s="1181"/>
      <c r="FHQ162" s="1181"/>
      <c r="FHR162" s="1181"/>
      <c r="FHS162" s="1181"/>
      <c r="FHT162" s="1181"/>
      <c r="FHU162" s="1181"/>
      <c r="FHV162" s="1181"/>
      <c r="FHW162" s="1181"/>
      <c r="FHX162" s="1181"/>
      <c r="FHY162" s="1181"/>
      <c r="FHZ162" s="1181"/>
      <c r="FIA162" s="1181"/>
      <c r="FIB162" s="1181"/>
      <c r="FIC162" s="1181"/>
      <c r="FID162" s="1181"/>
      <c r="FIE162" s="1181"/>
      <c r="FIF162" s="1181"/>
      <c r="FIG162" s="1181"/>
      <c r="FIH162" s="1181"/>
      <c r="FII162" s="1181"/>
      <c r="FIJ162" s="1181"/>
      <c r="FIK162" s="1181"/>
      <c r="FIL162" s="1181"/>
      <c r="FIM162" s="1181"/>
      <c r="FIN162" s="1181"/>
      <c r="FIO162" s="1181"/>
      <c r="FIP162" s="1181"/>
      <c r="FIQ162" s="1181"/>
      <c r="FIR162" s="1181"/>
      <c r="FIS162" s="1181"/>
      <c r="FIT162" s="1181"/>
      <c r="FIU162" s="1181"/>
      <c r="FIV162" s="1181"/>
      <c r="FIW162" s="1181"/>
      <c r="FIX162" s="1181"/>
      <c r="FIY162" s="1181"/>
      <c r="FIZ162" s="1181"/>
      <c r="FJA162" s="1181"/>
      <c r="FJB162" s="1181"/>
      <c r="FJC162" s="1181"/>
      <c r="FJD162" s="1181"/>
      <c r="FJE162" s="1181"/>
      <c r="FJF162" s="1181"/>
      <c r="FJG162" s="1181"/>
      <c r="FJH162" s="1181"/>
      <c r="FJI162" s="1181"/>
      <c r="FJJ162" s="1181"/>
      <c r="FJK162" s="1181"/>
      <c r="FJL162" s="1181"/>
      <c r="FJM162" s="1181"/>
      <c r="FJN162" s="1181"/>
      <c r="FJO162" s="1181"/>
      <c r="FJP162" s="1181"/>
      <c r="FJQ162" s="1181"/>
      <c r="FJR162" s="1181"/>
      <c r="FJS162" s="1181"/>
      <c r="FJT162" s="1181"/>
      <c r="FJU162" s="1181"/>
      <c r="FJV162" s="1181"/>
      <c r="FJW162" s="1181"/>
      <c r="FJX162" s="1181"/>
      <c r="FJY162" s="1181"/>
      <c r="FJZ162" s="1181"/>
      <c r="FKA162" s="1181"/>
      <c r="FKB162" s="1181"/>
      <c r="FKC162" s="1181"/>
      <c r="FKD162" s="1181"/>
      <c r="FKE162" s="1181"/>
      <c r="FKF162" s="1181"/>
      <c r="FKG162" s="1181"/>
      <c r="FKH162" s="1181"/>
      <c r="FKI162" s="1181"/>
      <c r="FKJ162" s="1181"/>
      <c r="FKK162" s="1181"/>
      <c r="FKL162" s="1181"/>
      <c r="FKM162" s="1181"/>
      <c r="FKN162" s="1181"/>
      <c r="FKO162" s="1181"/>
      <c r="FKP162" s="1181"/>
      <c r="FKQ162" s="1181"/>
      <c r="FKR162" s="1181"/>
      <c r="FKS162" s="1181"/>
      <c r="FKT162" s="1181"/>
      <c r="FKU162" s="1181"/>
      <c r="FKV162" s="1181"/>
      <c r="FKW162" s="1181"/>
      <c r="FKX162" s="1181"/>
      <c r="FKY162" s="1181"/>
      <c r="FKZ162" s="1181"/>
      <c r="FLA162" s="1181"/>
      <c r="FLB162" s="1181"/>
      <c r="FLC162" s="1181"/>
      <c r="FLD162" s="1181"/>
      <c r="FLE162" s="1181"/>
      <c r="FLF162" s="1181"/>
      <c r="FLG162" s="1181"/>
      <c r="FLH162" s="1181"/>
      <c r="FLI162" s="1181"/>
      <c r="FLJ162" s="1181"/>
      <c r="FLK162" s="1181"/>
      <c r="FLL162" s="1181"/>
      <c r="FLM162" s="1181"/>
      <c r="FLN162" s="1181"/>
      <c r="FLO162" s="1181"/>
      <c r="FLP162" s="1181"/>
      <c r="FLQ162" s="1181"/>
      <c r="FLR162" s="1181"/>
      <c r="FLS162" s="1181"/>
      <c r="FLT162" s="1181"/>
      <c r="FLU162" s="1181"/>
      <c r="FLV162" s="1181"/>
      <c r="FLW162" s="1181"/>
      <c r="FLX162" s="1181"/>
      <c r="FLY162" s="1181"/>
      <c r="FLZ162" s="1181"/>
      <c r="FMA162" s="1181"/>
      <c r="FMB162" s="1181"/>
      <c r="FMC162" s="1181"/>
      <c r="FMD162" s="1181"/>
      <c r="FME162" s="1181"/>
      <c r="FMF162" s="1181"/>
      <c r="FMG162" s="1181"/>
      <c r="FMH162" s="1181"/>
      <c r="FMI162" s="1181"/>
      <c r="FMJ162" s="1181"/>
      <c r="FMK162" s="1181"/>
      <c r="FML162" s="1181"/>
      <c r="FMM162" s="1181"/>
      <c r="FMN162" s="1181"/>
      <c r="FMO162" s="1181"/>
      <c r="FMP162" s="1181"/>
      <c r="FMQ162" s="1181"/>
      <c r="FMR162" s="1181"/>
      <c r="FMS162" s="1181"/>
      <c r="FMT162" s="1181"/>
      <c r="FMU162" s="1181"/>
      <c r="FMV162" s="1181"/>
      <c r="FMW162" s="1181"/>
      <c r="FMX162" s="1181"/>
      <c r="FMY162" s="1181"/>
      <c r="FMZ162" s="1181"/>
      <c r="FNA162" s="1181"/>
      <c r="FNB162" s="1181"/>
      <c r="FNC162" s="1181"/>
      <c r="FND162" s="1181"/>
      <c r="FNE162" s="1181"/>
      <c r="FNF162" s="1181"/>
      <c r="FNG162" s="1181"/>
      <c r="FNH162" s="1181"/>
      <c r="FNI162" s="1181"/>
      <c r="FNJ162" s="1181"/>
      <c r="FNK162" s="1181"/>
      <c r="FNL162" s="1181"/>
      <c r="FNM162" s="1181"/>
      <c r="FNN162" s="1181"/>
      <c r="FNO162" s="1181"/>
      <c r="FNP162" s="1181"/>
      <c r="FNQ162" s="1181"/>
      <c r="FNR162" s="1181"/>
      <c r="FNS162" s="1181"/>
      <c r="FNT162" s="1181"/>
      <c r="FNU162" s="1181"/>
      <c r="FNV162" s="1181"/>
      <c r="FNW162" s="1181"/>
      <c r="FNX162" s="1181"/>
      <c r="FNY162" s="1181"/>
      <c r="FNZ162" s="1181"/>
      <c r="FOA162" s="1181"/>
      <c r="FOB162" s="1181"/>
      <c r="FOC162" s="1181"/>
      <c r="FOD162" s="1181"/>
      <c r="FOE162" s="1181"/>
      <c r="FOF162" s="1181"/>
      <c r="FOG162" s="1181"/>
      <c r="FOH162" s="1181"/>
      <c r="FOI162" s="1181"/>
      <c r="FOJ162" s="1181"/>
      <c r="FOK162" s="1181"/>
      <c r="FOL162" s="1181"/>
      <c r="FOM162" s="1181"/>
      <c r="FON162" s="1181"/>
      <c r="FOO162" s="1181"/>
      <c r="FOP162" s="1181"/>
      <c r="FOQ162" s="1181"/>
      <c r="FOR162" s="1181"/>
      <c r="FOS162" s="1181"/>
      <c r="FOT162" s="1181"/>
      <c r="FOU162" s="1181"/>
      <c r="FOV162" s="1181"/>
      <c r="FOW162" s="1181"/>
      <c r="FOX162" s="1181"/>
      <c r="FOY162" s="1181"/>
      <c r="FOZ162" s="1181"/>
      <c r="FPA162" s="1181"/>
      <c r="FPB162" s="1181"/>
      <c r="FPC162" s="1181"/>
      <c r="FPD162" s="1181"/>
      <c r="FPE162" s="1181"/>
      <c r="FPF162" s="1181"/>
      <c r="FPG162" s="1181"/>
      <c r="FPH162" s="1181"/>
      <c r="FPI162" s="1181"/>
      <c r="FPJ162" s="1181"/>
      <c r="FPK162" s="1181"/>
      <c r="FPL162" s="1181"/>
      <c r="FPM162" s="1181"/>
      <c r="FPN162" s="1181"/>
      <c r="FPO162" s="1181"/>
      <c r="FPP162" s="1181"/>
      <c r="FPQ162" s="1181"/>
      <c r="FPR162" s="1181"/>
      <c r="FPS162" s="1181"/>
      <c r="FPT162" s="1181"/>
      <c r="FPU162" s="1181"/>
      <c r="FPV162" s="1181"/>
      <c r="FPW162" s="1181"/>
      <c r="FPX162" s="1181"/>
      <c r="FPY162" s="1181"/>
      <c r="FPZ162" s="1181"/>
      <c r="FQA162" s="1181"/>
      <c r="FQB162" s="1181"/>
      <c r="FQC162" s="1181"/>
      <c r="FQD162" s="1181"/>
      <c r="FQE162" s="1181"/>
      <c r="FQF162" s="1181"/>
      <c r="FQG162" s="1181"/>
      <c r="FQH162" s="1181"/>
      <c r="FQI162" s="1181"/>
      <c r="FQJ162" s="1181"/>
      <c r="FQK162" s="1181"/>
      <c r="FQL162" s="1181"/>
      <c r="FQM162" s="1181"/>
      <c r="FQN162" s="1181"/>
      <c r="FQO162" s="1181"/>
      <c r="FQP162" s="1181"/>
      <c r="FQQ162" s="1181"/>
      <c r="FQR162" s="1181"/>
      <c r="FQS162" s="1181"/>
      <c r="FQT162" s="1181"/>
      <c r="FQU162" s="1181"/>
      <c r="FQV162" s="1181"/>
      <c r="FQW162" s="1181"/>
      <c r="FQX162" s="1181"/>
      <c r="FQY162" s="1181"/>
      <c r="FQZ162" s="1181"/>
      <c r="FRA162" s="1181"/>
      <c r="FRB162" s="1181"/>
      <c r="FRC162" s="1181"/>
      <c r="FRD162" s="1181"/>
      <c r="FRE162" s="1181"/>
      <c r="FRF162" s="1181"/>
      <c r="FRG162" s="1181"/>
      <c r="FRH162" s="1181"/>
      <c r="FRI162" s="1181"/>
      <c r="FRJ162" s="1181"/>
      <c r="FRK162" s="1181"/>
      <c r="FRL162" s="1181"/>
      <c r="FRM162" s="1181"/>
      <c r="FRN162" s="1181"/>
      <c r="FRO162" s="1181"/>
      <c r="FRP162" s="1181"/>
      <c r="FRQ162" s="1181"/>
      <c r="FRR162" s="1181"/>
      <c r="FRS162" s="1181"/>
      <c r="FRT162" s="1181"/>
      <c r="FRU162" s="1181"/>
      <c r="FRV162" s="1181"/>
      <c r="FRW162" s="1181"/>
      <c r="FRX162" s="1181"/>
      <c r="FRY162" s="1181"/>
      <c r="FRZ162" s="1181"/>
      <c r="FSA162" s="1181"/>
      <c r="FSB162" s="1181"/>
      <c r="FSC162" s="1181"/>
      <c r="FSD162" s="1181"/>
      <c r="FSE162" s="1181"/>
      <c r="FSF162" s="1181"/>
      <c r="FSG162" s="1181"/>
      <c r="FSH162" s="1181"/>
      <c r="FSI162" s="1181"/>
      <c r="FSJ162" s="1181"/>
      <c r="FSK162" s="1181"/>
      <c r="FSL162" s="1181"/>
      <c r="FSM162" s="1181"/>
      <c r="FSN162" s="1181"/>
      <c r="FSO162" s="1181"/>
      <c r="FSP162" s="1181"/>
      <c r="FSQ162" s="1181"/>
      <c r="FSR162" s="1181"/>
      <c r="FSS162" s="1181"/>
      <c r="FST162" s="1181"/>
      <c r="FSU162" s="1181"/>
      <c r="FSV162" s="1181"/>
      <c r="FSW162" s="1181"/>
      <c r="FSX162" s="1181"/>
      <c r="FSY162" s="1181"/>
      <c r="FSZ162" s="1181"/>
      <c r="FTA162" s="1181"/>
      <c r="FTB162" s="1181"/>
      <c r="FTC162" s="1181"/>
      <c r="FTD162" s="1181"/>
      <c r="FTE162" s="1181"/>
      <c r="FTF162" s="1181"/>
      <c r="FTG162" s="1181"/>
      <c r="FTH162" s="1181"/>
      <c r="FTI162" s="1181"/>
      <c r="FTJ162" s="1181"/>
      <c r="FTK162" s="1181"/>
      <c r="FTL162" s="1181"/>
      <c r="FTM162" s="1181"/>
      <c r="FTN162" s="1181"/>
      <c r="FTO162" s="1181"/>
      <c r="FTP162" s="1181"/>
      <c r="FTQ162" s="1181"/>
      <c r="FTR162" s="1181"/>
      <c r="FTS162" s="1181"/>
      <c r="FTT162" s="1181"/>
      <c r="FTU162" s="1181"/>
      <c r="FTV162" s="1181"/>
      <c r="FTW162" s="1181"/>
      <c r="FTX162" s="1181"/>
      <c r="FTY162" s="1181"/>
      <c r="FTZ162" s="1181"/>
      <c r="FUA162" s="1181"/>
      <c r="FUB162" s="1181"/>
      <c r="FUC162" s="1181"/>
      <c r="FUD162" s="1181"/>
      <c r="FUE162" s="1181"/>
      <c r="FUF162" s="1181"/>
      <c r="FUG162" s="1181"/>
      <c r="FUH162" s="1181"/>
      <c r="FUI162" s="1181"/>
      <c r="FUJ162" s="1181"/>
      <c r="FUK162" s="1181"/>
      <c r="FUL162" s="1181"/>
      <c r="FUM162" s="1181"/>
      <c r="FUN162" s="1181"/>
      <c r="FUO162" s="1181"/>
      <c r="FUP162" s="1181"/>
      <c r="FUQ162" s="1181"/>
      <c r="FUR162" s="1181"/>
      <c r="FUS162" s="1181"/>
      <c r="FUT162" s="1181"/>
      <c r="FUU162" s="1181"/>
      <c r="FUV162" s="1181"/>
      <c r="FUW162" s="1181"/>
      <c r="FUX162" s="1181"/>
      <c r="FUY162" s="1181"/>
      <c r="FUZ162" s="1181"/>
      <c r="FVA162" s="1181"/>
      <c r="FVB162" s="1181"/>
      <c r="FVC162" s="1181"/>
      <c r="FVD162" s="1181"/>
      <c r="FVE162" s="1181"/>
      <c r="FVF162" s="1181"/>
      <c r="FVG162" s="1181"/>
      <c r="FVH162" s="1181"/>
      <c r="FVI162" s="1181"/>
      <c r="FVJ162" s="1181"/>
      <c r="FVK162" s="1181"/>
      <c r="FVL162" s="1181"/>
      <c r="FVM162" s="1181"/>
      <c r="FVN162" s="1181"/>
      <c r="FVO162" s="1181"/>
      <c r="FVP162" s="1181"/>
      <c r="FVQ162" s="1181"/>
      <c r="FVR162" s="1181"/>
      <c r="FVS162" s="1181"/>
      <c r="FVT162" s="1181"/>
      <c r="FVU162" s="1181"/>
      <c r="FVV162" s="1181"/>
      <c r="FVW162" s="1181"/>
      <c r="FVX162" s="1181"/>
      <c r="FVY162" s="1181"/>
      <c r="FVZ162" s="1181"/>
      <c r="FWA162" s="1181"/>
      <c r="FWB162" s="1181"/>
      <c r="FWC162" s="1181"/>
      <c r="FWD162" s="1181"/>
      <c r="FWE162" s="1181"/>
      <c r="FWF162" s="1181"/>
      <c r="FWG162" s="1181"/>
      <c r="FWH162" s="1181"/>
      <c r="FWI162" s="1181"/>
      <c r="FWJ162" s="1181"/>
      <c r="FWK162" s="1181"/>
      <c r="FWL162" s="1181"/>
      <c r="FWM162" s="1181"/>
      <c r="FWN162" s="1181"/>
      <c r="FWO162" s="1181"/>
      <c r="FWP162" s="1181"/>
      <c r="FWQ162" s="1181"/>
      <c r="FWR162" s="1181"/>
      <c r="FWS162" s="1181"/>
      <c r="FWT162" s="1181"/>
      <c r="FWU162" s="1181"/>
      <c r="FWV162" s="1181"/>
      <c r="FWW162" s="1181"/>
      <c r="FWX162" s="1181"/>
      <c r="FWY162" s="1181"/>
      <c r="FWZ162" s="1181"/>
      <c r="FXA162" s="1181"/>
      <c r="FXB162" s="1181"/>
      <c r="FXC162" s="1181"/>
      <c r="FXD162" s="1181"/>
      <c r="FXE162" s="1181"/>
      <c r="FXF162" s="1181"/>
      <c r="FXG162" s="1181"/>
      <c r="FXH162" s="1181"/>
      <c r="FXI162" s="1181"/>
      <c r="FXJ162" s="1181"/>
      <c r="FXK162" s="1181"/>
      <c r="FXL162" s="1181"/>
      <c r="FXM162" s="1181"/>
      <c r="FXN162" s="1181"/>
      <c r="FXO162" s="1181"/>
      <c r="FXP162" s="1181"/>
      <c r="FXQ162" s="1181"/>
      <c r="FXR162" s="1181"/>
      <c r="FXS162" s="1181"/>
      <c r="FXT162" s="1181"/>
      <c r="FXU162" s="1181"/>
      <c r="FXV162" s="1181"/>
      <c r="FXW162" s="1181"/>
      <c r="FXX162" s="1181"/>
      <c r="FXY162" s="1181"/>
      <c r="FXZ162" s="1181"/>
      <c r="FYA162" s="1181"/>
      <c r="FYB162" s="1181"/>
      <c r="FYC162" s="1181"/>
      <c r="FYD162" s="1181"/>
      <c r="FYE162" s="1181"/>
      <c r="FYF162" s="1181"/>
      <c r="FYG162" s="1181"/>
      <c r="FYH162" s="1181"/>
      <c r="FYI162" s="1181"/>
      <c r="FYJ162" s="1181"/>
      <c r="FYK162" s="1181"/>
      <c r="FYL162" s="1181"/>
      <c r="FYM162" s="1181"/>
      <c r="FYN162" s="1181"/>
      <c r="FYO162" s="1181"/>
      <c r="FYP162" s="1181"/>
      <c r="FYQ162" s="1181"/>
      <c r="FYR162" s="1181"/>
      <c r="FYS162" s="1181"/>
      <c r="FYT162" s="1181"/>
      <c r="FYU162" s="1181"/>
      <c r="FYV162" s="1181"/>
      <c r="FYW162" s="1181"/>
      <c r="FYX162" s="1181"/>
      <c r="FYY162" s="1181"/>
      <c r="FYZ162" s="1181"/>
      <c r="FZA162" s="1181"/>
      <c r="FZB162" s="1181"/>
      <c r="FZC162" s="1181"/>
      <c r="FZD162" s="1181"/>
      <c r="FZE162" s="1181"/>
      <c r="FZF162" s="1181"/>
      <c r="FZG162" s="1181"/>
      <c r="FZH162" s="1181"/>
      <c r="FZI162" s="1181"/>
      <c r="FZJ162" s="1181"/>
      <c r="FZK162" s="1181"/>
      <c r="FZL162" s="1181"/>
      <c r="FZM162" s="1181"/>
      <c r="FZN162" s="1181"/>
      <c r="FZO162" s="1181"/>
      <c r="FZP162" s="1181"/>
      <c r="FZQ162" s="1181"/>
      <c r="FZR162" s="1181"/>
      <c r="FZS162" s="1181"/>
      <c r="FZT162" s="1181"/>
      <c r="FZU162" s="1181"/>
      <c r="FZV162" s="1181"/>
      <c r="FZW162" s="1181"/>
      <c r="FZX162" s="1181"/>
      <c r="FZY162" s="1181"/>
      <c r="FZZ162" s="1181"/>
      <c r="GAA162" s="1181"/>
      <c r="GAB162" s="1181"/>
      <c r="GAC162" s="1181"/>
      <c r="GAD162" s="1181"/>
      <c r="GAE162" s="1181"/>
      <c r="GAF162" s="1181"/>
      <c r="GAG162" s="1181"/>
      <c r="GAH162" s="1181"/>
      <c r="GAI162" s="1181"/>
      <c r="GAJ162" s="1181"/>
      <c r="GAK162" s="1181"/>
      <c r="GAL162" s="1181"/>
      <c r="GAM162" s="1181"/>
      <c r="GAN162" s="1181"/>
      <c r="GAO162" s="1181"/>
      <c r="GAP162" s="1181"/>
      <c r="GAQ162" s="1181"/>
      <c r="GAR162" s="1181"/>
      <c r="GAS162" s="1181"/>
      <c r="GAT162" s="1181"/>
      <c r="GAU162" s="1181"/>
      <c r="GAV162" s="1181"/>
      <c r="GAW162" s="1181"/>
      <c r="GAX162" s="1181"/>
      <c r="GAY162" s="1181"/>
      <c r="GAZ162" s="1181"/>
      <c r="GBA162" s="1181"/>
      <c r="GBB162" s="1181"/>
      <c r="GBC162" s="1181"/>
      <c r="GBD162" s="1181"/>
      <c r="GBE162" s="1181"/>
      <c r="GBF162" s="1181"/>
      <c r="GBG162" s="1181"/>
      <c r="GBH162" s="1181"/>
      <c r="GBI162" s="1181"/>
      <c r="GBJ162" s="1181"/>
      <c r="GBK162" s="1181"/>
      <c r="GBL162" s="1181"/>
      <c r="GBM162" s="1181"/>
      <c r="GBN162" s="1181"/>
      <c r="GBO162" s="1181"/>
      <c r="GBP162" s="1181"/>
      <c r="GBQ162" s="1181"/>
      <c r="GBR162" s="1181"/>
      <c r="GBS162" s="1181"/>
      <c r="GBT162" s="1181"/>
      <c r="GBU162" s="1181"/>
      <c r="GBV162" s="1181"/>
      <c r="GBW162" s="1181"/>
      <c r="GBX162" s="1181"/>
      <c r="GBY162" s="1181"/>
      <c r="GBZ162" s="1181"/>
      <c r="GCA162" s="1181"/>
      <c r="GCB162" s="1181"/>
      <c r="GCC162" s="1181"/>
      <c r="GCD162" s="1181"/>
      <c r="GCE162" s="1181"/>
      <c r="GCF162" s="1181"/>
      <c r="GCG162" s="1181"/>
      <c r="GCH162" s="1181"/>
      <c r="GCI162" s="1181"/>
      <c r="GCJ162" s="1181"/>
      <c r="GCK162" s="1181"/>
      <c r="GCL162" s="1181"/>
      <c r="GCM162" s="1181"/>
      <c r="GCN162" s="1181"/>
      <c r="GCO162" s="1181"/>
      <c r="GCP162" s="1181"/>
      <c r="GCQ162" s="1181"/>
      <c r="GCR162" s="1181"/>
      <c r="GCS162" s="1181"/>
      <c r="GCT162" s="1181"/>
      <c r="GCU162" s="1181"/>
      <c r="GCV162" s="1181"/>
      <c r="GCW162" s="1181"/>
      <c r="GCX162" s="1181"/>
      <c r="GCY162" s="1181"/>
      <c r="GCZ162" s="1181"/>
      <c r="GDA162" s="1181"/>
      <c r="GDB162" s="1181"/>
      <c r="GDC162" s="1181"/>
      <c r="GDD162" s="1181"/>
      <c r="GDE162" s="1181"/>
      <c r="GDF162" s="1181"/>
      <c r="GDG162" s="1181"/>
      <c r="GDH162" s="1181"/>
      <c r="GDI162" s="1181"/>
      <c r="GDJ162" s="1181"/>
      <c r="GDK162" s="1181"/>
      <c r="GDL162" s="1181"/>
      <c r="GDM162" s="1181"/>
      <c r="GDN162" s="1181"/>
      <c r="GDO162" s="1181"/>
      <c r="GDP162" s="1181"/>
      <c r="GDQ162" s="1181"/>
      <c r="GDR162" s="1181"/>
      <c r="GDS162" s="1181"/>
      <c r="GDT162" s="1181"/>
      <c r="GDU162" s="1181"/>
      <c r="GDV162" s="1181"/>
      <c r="GDW162" s="1181"/>
      <c r="GDX162" s="1181"/>
      <c r="GDY162" s="1181"/>
      <c r="GDZ162" s="1181"/>
      <c r="GEA162" s="1181"/>
      <c r="GEB162" s="1181"/>
      <c r="GEC162" s="1181"/>
      <c r="GED162" s="1181"/>
      <c r="GEE162" s="1181"/>
      <c r="GEF162" s="1181"/>
      <c r="GEG162" s="1181"/>
      <c r="GEH162" s="1181"/>
      <c r="GEI162" s="1181"/>
      <c r="GEJ162" s="1181"/>
      <c r="GEK162" s="1181"/>
      <c r="GEL162" s="1181"/>
      <c r="GEM162" s="1181"/>
      <c r="GEN162" s="1181"/>
      <c r="GEO162" s="1181"/>
      <c r="GEP162" s="1181"/>
      <c r="GEQ162" s="1181"/>
      <c r="GER162" s="1181"/>
      <c r="GES162" s="1181"/>
      <c r="GET162" s="1181"/>
      <c r="GEU162" s="1181"/>
      <c r="GEV162" s="1181"/>
      <c r="GEW162" s="1181"/>
      <c r="GEX162" s="1181"/>
      <c r="GEY162" s="1181"/>
      <c r="GEZ162" s="1181"/>
      <c r="GFA162" s="1181"/>
      <c r="GFB162" s="1181"/>
      <c r="GFC162" s="1181"/>
      <c r="GFD162" s="1181"/>
      <c r="GFE162" s="1181"/>
      <c r="GFF162" s="1181"/>
      <c r="GFG162" s="1181"/>
      <c r="GFH162" s="1181"/>
      <c r="GFI162" s="1181"/>
      <c r="GFJ162" s="1181"/>
      <c r="GFK162" s="1181"/>
      <c r="GFL162" s="1181"/>
      <c r="GFM162" s="1181"/>
      <c r="GFN162" s="1181"/>
      <c r="GFO162" s="1181"/>
      <c r="GFP162" s="1181"/>
      <c r="GFQ162" s="1181"/>
      <c r="GFR162" s="1181"/>
      <c r="GFS162" s="1181"/>
      <c r="GFT162" s="1181"/>
      <c r="GFU162" s="1181"/>
      <c r="GFV162" s="1181"/>
      <c r="GFW162" s="1181"/>
      <c r="GFX162" s="1181"/>
      <c r="GFY162" s="1181"/>
      <c r="GFZ162" s="1181"/>
      <c r="GGA162" s="1181"/>
      <c r="GGB162" s="1181"/>
      <c r="GGC162" s="1181"/>
      <c r="GGD162" s="1181"/>
      <c r="GGE162" s="1181"/>
      <c r="GGF162" s="1181"/>
      <c r="GGG162" s="1181"/>
      <c r="GGH162" s="1181"/>
      <c r="GGI162" s="1181"/>
      <c r="GGJ162" s="1181"/>
      <c r="GGK162" s="1181"/>
      <c r="GGL162" s="1181"/>
      <c r="GGM162" s="1181"/>
      <c r="GGN162" s="1181"/>
      <c r="GGO162" s="1181"/>
      <c r="GGP162" s="1181"/>
      <c r="GGQ162" s="1181"/>
      <c r="GGR162" s="1181"/>
      <c r="GGS162" s="1181"/>
      <c r="GGT162" s="1181"/>
      <c r="GGU162" s="1181"/>
      <c r="GGV162" s="1181"/>
      <c r="GGW162" s="1181"/>
      <c r="GGX162" s="1181"/>
      <c r="GGY162" s="1181"/>
      <c r="GGZ162" s="1181"/>
      <c r="GHA162" s="1181"/>
      <c r="GHB162" s="1181"/>
      <c r="GHC162" s="1181"/>
      <c r="GHD162" s="1181"/>
      <c r="GHE162" s="1181"/>
      <c r="GHF162" s="1181"/>
      <c r="GHG162" s="1181"/>
      <c r="GHH162" s="1181"/>
      <c r="GHI162" s="1181"/>
      <c r="GHJ162" s="1181"/>
      <c r="GHK162" s="1181"/>
      <c r="GHL162" s="1181"/>
      <c r="GHM162" s="1181"/>
      <c r="GHN162" s="1181"/>
      <c r="GHO162" s="1181"/>
      <c r="GHP162" s="1181"/>
      <c r="GHQ162" s="1181"/>
      <c r="GHR162" s="1181"/>
      <c r="GHS162" s="1181"/>
      <c r="GHT162" s="1181"/>
      <c r="GHU162" s="1181"/>
      <c r="GHV162" s="1181"/>
      <c r="GHW162" s="1181"/>
      <c r="GHX162" s="1181"/>
      <c r="GHY162" s="1181"/>
      <c r="GHZ162" s="1181"/>
      <c r="GIA162" s="1181"/>
      <c r="GIB162" s="1181"/>
      <c r="GIC162" s="1181"/>
      <c r="GID162" s="1181"/>
      <c r="GIE162" s="1181"/>
      <c r="GIF162" s="1181"/>
      <c r="GIG162" s="1181"/>
      <c r="GIH162" s="1181"/>
      <c r="GII162" s="1181"/>
      <c r="GIJ162" s="1181"/>
      <c r="GIK162" s="1181"/>
      <c r="GIL162" s="1181"/>
      <c r="GIM162" s="1181"/>
      <c r="GIN162" s="1181"/>
      <c r="GIO162" s="1181"/>
      <c r="GIP162" s="1181"/>
      <c r="GIQ162" s="1181"/>
      <c r="GIR162" s="1181"/>
      <c r="GIS162" s="1181"/>
      <c r="GIT162" s="1181"/>
      <c r="GIU162" s="1181"/>
      <c r="GIV162" s="1181"/>
      <c r="GIW162" s="1181"/>
      <c r="GIX162" s="1181"/>
      <c r="GIY162" s="1181"/>
      <c r="GIZ162" s="1181"/>
      <c r="GJA162" s="1181"/>
      <c r="GJB162" s="1181"/>
      <c r="GJC162" s="1181"/>
      <c r="GJD162" s="1181"/>
      <c r="GJE162" s="1181"/>
      <c r="GJF162" s="1181"/>
      <c r="GJG162" s="1181"/>
      <c r="GJH162" s="1181"/>
      <c r="GJI162" s="1181"/>
      <c r="GJJ162" s="1181"/>
      <c r="GJK162" s="1181"/>
      <c r="GJL162" s="1181"/>
      <c r="GJM162" s="1181"/>
      <c r="GJN162" s="1181"/>
      <c r="GJO162" s="1181"/>
      <c r="GJP162" s="1181"/>
      <c r="GJQ162" s="1181"/>
      <c r="GJR162" s="1181"/>
      <c r="GJS162" s="1181"/>
      <c r="GJT162" s="1181"/>
      <c r="GJU162" s="1181"/>
      <c r="GJV162" s="1181"/>
      <c r="GJW162" s="1181"/>
      <c r="GJX162" s="1181"/>
      <c r="GJY162" s="1181"/>
      <c r="GJZ162" s="1181"/>
      <c r="GKA162" s="1181"/>
      <c r="GKB162" s="1181"/>
      <c r="GKC162" s="1181"/>
      <c r="GKD162" s="1181"/>
      <c r="GKE162" s="1181"/>
      <c r="GKF162" s="1181"/>
      <c r="GKG162" s="1181"/>
      <c r="GKH162" s="1181"/>
      <c r="GKI162" s="1181"/>
      <c r="GKJ162" s="1181"/>
      <c r="GKK162" s="1181"/>
      <c r="GKL162" s="1181"/>
      <c r="GKM162" s="1181"/>
      <c r="GKN162" s="1181"/>
      <c r="GKO162" s="1181"/>
      <c r="GKP162" s="1181"/>
      <c r="GKQ162" s="1181"/>
      <c r="GKR162" s="1181"/>
      <c r="GKS162" s="1181"/>
      <c r="GKT162" s="1181"/>
      <c r="GKU162" s="1181"/>
      <c r="GKV162" s="1181"/>
      <c r="GKW162" s="1181"/>
      <c r="GKX162" s="1181"/>
      <c r="GKY162" s="1181"/>
      <c r="GKZ162" s="1181"/>
      <c r="GLA162" s="1181"/>
      <c r="GLB162" s="1181"/>
      <c r="GLC162" s="1181"/>
      <c r="GLD162" s="1181"/>
      <c r="GLE162" s="1181"/>
      <c r="GLF162" s="1181"/>
      <c r="GLG162" s="1181"/>
      <c r="GLH162" s="1181"/>
      <c r="GLI162" s="1181"/>
      <c r="GLJ162" s="1181"/>
      <c r="GLK162" s="1181"/>
      <c r="GLL162" s="1181"/>
      <c r="GLM162" s="1181"/>
      <c r="GLN162" s="1181"/>
      <c r="GLO162" s="1181"/>
      <c r="GLP162" s="1181"/>
      <c r="GLQ162" s="1181"/>
      <c r="GLR162" s="1181"/>
      <c r="GLS162" s="1181"/>
      <c r="GLT162" s="1181"/>
      <c r="GLU162" s="1181"/>
      <c r="GLV162" s="1181"/>
      <c r="GLW162" s="1181"/>
      <c r="GLX162" s="1181"/>
      <c r="GLY162" s="1181"/>
      <c r="GLZ162" s="1181"/>
      <c r="GMA162" s="1181"/>
      <c r="GMB162" s="1181"/>
      <c r="GMC162" s="1181"/>
      <c r="GMD162" s="1181"/>
      <c r="GME162" s="1181"/>
      <c r="GMF162" s="1181"/>
      <c r="GMG162" s="1181"/>
      <c r="GMH162" s="1181"/>
      <c r="GMI162" s="1181"/>
      <c r="GMJ162" s="1181"/>
      <c r="GMK162" s="1181"/>
      <c r="GML162" s="1181"/>
      <c r="GMM162" s="1181"/>
      <c r="GMN162" s="1181"/>
      <c r="GMO162" s="1181"/>
      <c r="GMP162" s="1181"/>
      <c r="GMQ162" s="1181"/>
      <c r="GMR162" s="1181"/>
      <c r="GMS162" s="1181"/>
      <c r="GMT162" s="1181"/>
      <c r="GMU162" s="1181"/>
      <c r="GMV162" s="1181"/>
      <c r="GMW162" s="1181"/>
      <c r="GMX162" s="1181"/>
      <c r="GMY162" s="1181"/>
      <c r="GMZ162" s="1181"/>
      <c r="GNA162" s="1181"/>
      <c r="GNB162" s="1181"/>
      <c r="GNC162" s="1181"/>
      <c r="GND162" s="1181"/>
      <c r="GNE162" s="1181"/>
      <c r="GNF162" s="1181"/>
      <c r="GNG162" s="1181"/>
      <c r="GNH162" s="1181"/>
      <c r="GNI162" s="1181"/>
      <c r="GNJ162" s="1181"/>
      <c r="GNK162" s="1181"/>
      <c r="GNL162" s="1181"/>
      <c r="GNM162" s="1181"/>
      <c r="GNN162" s="1181"/>
      <c r="GNO162" s="1181"/>
      <c r="GNP162" s="1181"/>
      <c r="GNQ162" s="1181"/>
      <c r="GNR162" s="1181"/>
      <c r="GNS162" s="1181"/>
      <c r="GNT162" s="1181"/>
      <c r="GNU162" s="1181"/>
      <c r="GNV162" s="1181"/>
      <c r="GNW162" s="1181"/>
      <c r="GNX162" s="1181"/>
      <c r="GNY162" s="1181"/>
      <c r="GNZ162" s="1181"/>
      <c r="GOA162" s="1181"/>
      <c r="GOB162" s="1181"/>
      <c r="GOC162" s="1181"/>
      <c r="GOD162" s="1181"/>
      <c r="GOE162" s="1181"/>
      <c r="GOF162" s="1181"/>
      <c r="GOG162" s="1181"/>
      <c r="GOH162" s="1181"/>
      <c r="GOI162" s="1181"/>
      <c r="GOJ162" s="1181"/>
      <c r="GOK162" s="1181"/>
      <c r="GOL162" s="1181"/>
      <c r="GOM162" s="1181"/>
      <c r="GON162" s="1181"/>
      <c r="GOO162" s="1181"/>
      <c r="GOP162" s="1181"/>
      <c r="GOQ162" s="1181"/>
      <c r="GOR162" s="1181"/>
      <c r="GOS162" s="1181"/>
      <c r="GOT162" s="1181"/>
      <c r="GOU162" s="1181"/>
      <c r="GOV162" s="1181"/>
      <c r="GOW162" s="1181"/>
      <c r="GOX162" s="1181"/>
      <c r="GOY162" s="1181"/>
      <c r="GOZ162" s="1181"/>
      <c r="GPA162" s="1181"/>
      <c r="GPB162" s="1181"/>
      <c r="GPC162" s="1181"/>
      <c r="GPD162" s="1181"/>
      <c r="GPE162" s="1181"/>
      <c r="GPF162" s="1181"/>
      <c r="GPG162" s="1181"/>
      <c r="GPH162" s="1181"/>
      <c r="GPI162" s="1181"/>
      <c r="GPJ162" s="1181"/>
      <c r="GPK162" s="1181"/>
      <c r="GPL162" s="1181"/>
      <c r="GPM162" s="1181"/>
      <c r="GPN162" s="1181"/>
      <c r="GPO162" s="1181"/>
      <c r="GPP162" s="1181"/>
      <c r="GPQ162" s="1181"/>
      <c r="GPR162" s="1181"/>
      <c r="GPS162" s="1181"/>
      <c r="GPT162" s="1181"/>
      <c r="GPU162" s="1181"/>
      <c r="GPV162" s="1181"/>
      <c r="GPW162" s="1181"/>
      <c r="GPX162" s="1181"/>
      <c r="GPY162" s="1181"/>
      <c r="GPZ162" s="1181"/>
      <c r="GQA162" s="1181"/>
      <c r="GQB162" s="1181"/>
      <c r="GQC162" s="1181"/>
      <c r="GQD162" s="1181"/>
      <c r="GQE162" s="1181"/>
      <c r="GQF162" s="1181"/>
      <c r="GQG162" s="1181"/>
      <c r="GQH162" s="1181"/>
      <c r="GQI162" s="1181"/>
      <c r="GQJ162" s="1181"/>
      <c r="GQK162" s="1181"/>
      <c r="GQL162" s="1181"/>
      <c r="GQM162" s="1181"/>
      <c r="GQN162" s="1181"/>
      <c r="GQO162" s="1181"/>
      <c r="GQP162" s="1181"/>
      <c r="GQQ162" s="1181"/>
      <c r="GQR162" s="1181"/>
      <c r="GQS162" s="1181"/>
      <c r="GQT162" s="1181"/>
      <c r="GQU162" s="1181"/>
      <c r="GQV162" s="1181"/>
      <c r="GQW162" s="1181"/>
      <c r="GQX162" s="1181"/>
      <c r="GQY162" s="1181"/>
      <c r="GQZ162" s="1181"/>
      <c r="GRA162" s="1181"/>
      <c r="GRB162" s="1181"/>
      <c r="GRC162" s="1181"/>
      <c r="GRD162" s="1181"/>
      <c r="GRE162" s="1181"/>
      <c r="GRF162" s="1181"/>
      <c r="GRG162" s="1181"/>
      <c r="GRH162" s="1181"/>
      <c r="GRI162" s="1181"/>
      <c r="GRJ162" s="1181"/>
      <c r="GRK162" s="1181"/>
      <c r="GRL162" s="1181"/>
      <c r="GRM162" s="1181"/>
      <c r="GRN162" s="1181"/>
      <c r="GRO162" s="1181"/>
      <c r="GRP162" s="1181"/>
      <c r="GRQ162" s="1181"/>
      <c r="GRR162" s="1181"/>
      <c r="GRS162" s="1181"/>
      <c r="GRT162" s="1181"/>
      <c r="GRU162" s="1181"/>
      <c r="GRV162" s="1181"/>
      <c r="GRW162" s="1181"/>
      <c r="GRX162" s="1181"/>
      <c r="GRY162" s="1181"/>
      <c r="GRZ162" s="1181"/>
      <c r="GSA162" s="1181"/>
      <c r="GSB162" s="1181"/>
      <c r="GSC162" s="1181"/>
      <c r="GSD162" s="1181"/>
      <c r="GSE162" s="1181"/>
      <c r="GSF162" s="1181"/>
      <c r="GSG162" s="1181"/>
      <c r="GSH162" s="1181"/>
      <c r="GSI162" s="1181"/>
      <c r="GSJ162" s="1181"/>
      <c r="GSK162" s="1181"/>
      <c r="GSL162" s="1181"/>
      <c r="GSM162" s="1181"/>
      <c r="GSN162" s="1181"/>
      <c r="GSO162" s="1181"/>
      <c r="GSP162" s="1181"/>
      <c r="GSQ162" s="1181"/>
      <c r="GSR162" s="1181"/>
      <c r="GSS162" s="1181"/>
      <c r="GST162" s="1181"/>
      <c r="GSU162" s="1181"/>
      <c r="GSV162" s="1181"/>
      <c r="GSW162" s="1181"/>
      <c r="GSX162" s="1181"/>
      <c r="GSY162" s="1181"/>
      <c r="GSZ162" s="1181"/>
      <c r="GTA162" s="1181"/>
      <c r="GTB162" s="1181"/>
      <c r="GTC162" s="1181"/>
      <c r="GTD162" s="1181"/>
      <c r="GTE162" s="1181"/>
      <c r="GTF162" s="1181"/>
      <c r="GTG162" s="1181"/>
      <c r="GTH162" s="1181"/>
      <c r="GTI162" s="1181"/>
      <c r="GTJ162" s="1181"/>
      <c r="GTK162" s="1181"/>
      <c r="GTL162" s="1181"/>
      <c r="GTM162" s="1181"/>
      <c r="GTN162" s="1181"/>
      <c r="GTO162" s="1181"/>
      <c r="GTP162" s="1181"/>
      <c r="GTQ162" s="1181"/>
      <c r="GTR162" s="1181"/>
      <c r="GTS162" s="1181"/>
      <c r="GTT162" s="1181"/>
      <c r="GTU162" s="1181"/>
      <c r="GTV162" s="1181"/>
      <c r="GTW162" s="1181"/>
      <c r="GTX162" s="1181"/>
      <c r="GTY162" s="1181"/>
      <c r="GTZ162" s="1181"/>
      <c r="GUA162" s="1181"/>
      <c r="GUB162" s="1181"/>
      <c r="GUC162" s="1181"/>
      <c r="GUD162" s="1181"/>
      <c r="GUE162" s="1181"/>
      <c r="GUF162" s="1181"/>
      <c r="GUG162" s="1181"/>
      <c r="GUH162" s="1181"/>
      <c r="GUI162" s="1181"/>
      <c r="GUJ162" s="1181"/>
      <c r="GUK162" s="1181"/>
      <c r="GUL162" s="1181"/>
      <c r="GUM162" s="1181"/>
      <c r="GUN162" s="1181"/>
      <c r="GUO162" s="1181"/>
      <c r="GUP162" s="1181"/>
      <c r="GUQ162" s="1181"/>
      <c r="GUR162" s="1181"/>
      <c r="GUS162" s="1181"/>
      <c r="GUT162" s="1181"/>
      <c r="GUU162" s="1181"/>
      <c r="GUV162" s="1181"/>
      <c r="GUW162" s="1181"/>
      <c r="GUX162" s="1181"/>
      <c r="GUY162" s="1181"/>
      <c r="GUZ162" s="1181"/>
      <c r="GVA162" s="1181"/>
      <c r="GVB162" s="1181"/>
      <c r="GVC162" s="1181"/>
      <c r="GVD162" s="1181"/>
      <c r="GVE162" s="1181"/>
      <c r="GVF162" s="1181"/>
      <c r="GVG162" s="1181"/>
      <c r="GVH162" s="1181"/>
      <c r="GVI162" s="1181"/>
      <c r="GVJ162" s="1181"/>
      <c r="GVK162" s="1181"/>
      <c r="GVL162" s="1181"/>
      <c r="GVM162" s="1181"/>
      <c r="GVN162" s="1181"/>
      <c r="GVO162" s="1181"/>
      <c r="GVP162" s="1181"/>
      <c r="GVQ162" s="1181"/>
      <c r="GVR162" s="1181"/>
      <c r="GVS162" s="1181"/>
      <c r="GVT162" s="1181"/>
      <c r="GVU162" s="1181"/>
      <c r="GVV162" s="1181"/>
      <c r="GVW162" s="1181"/>
      <c r="GVX162" s="1181"/>
      <c r="GVY162" s="1181"/>
      <c r="GVZ162" s="1181"/>
      <c r="GWA162" s="1181"/>
      <c r="GWB162" s="1181"/>
      <c r="GWC162" s="1181"/>
      <c r="GWD162" s="1181"/>
      <c r="GWE162" s="1181"/>
      <c r="GWF162" s="1181"/>
      <c r="GWG162" s="1181"/>
      <c r="GWH162" s="1181"/>
      <c r="GWI162" s="1181"/>
      <c r="GWJ162" s="1181"/>
      <c r="GWK162" s="1181"/>
      <c r="GWL162" s="1181"/>
      <c r="GWM162" s="1181"/>
      <c r="GWN162" s="1181"/>
      <c r="GWO162" s="1181"/>
      <c r="GWP162" s="1181"/>
      <c r="GWQ162" s="1181"/>
      <c r="GWR162" s="1181"/>
      <c r="GWS162" s="1181"/>
      <c r="GWT162" s="1181"/>
      <c r="GWU162" s="1181"/>
      <c r="GWV162" s="1181"/>
      <c r="GWW162" s="1181"/>
      <c r="GWX162" s="1181"/>
      <c r="GWY162" s="1181"/>
      <c r="GWZ162" s="1181"/>
      <c r="GXA162" s="1181"/>
      <c r="GXB162" s="1181"/>
      <c r="GXC162" s="1181"/>
      <c r="GXD162" s="1181"/>
      <c r="GXE162" s="1181"/>
      <c r="GXF162" s="1181"/>
      <c r="GXG162" s="1181"/>
      <c r="GXH162" s="1181"/>
      <c r="GXI162" s="1181"/>
      <c r="GXJ162" s="1181"/>
      <c r="GXK162" s="1181"/>
      <c r="GXL162" s="1181"/>
      <c r="GXM162" s="1181"/>
      <c r="GXN162" s="1181"/>
      <c r="GXO162" s="1181"/>
      <c r="GXP162" s="1181"/>
      <c r="GXQ162" s="1181"/>
      <c r="GXR162" s="1181"/>
      <c r="GXS162" s="1181"/>
      <c r="GXT162" s="1181"/>
      <c r="GXU162" s="1181"/>
      <c r="GXV162" s="1181"/>
      <c r="GXW162" s="1181"/>
      <c r="GXX162" s="1181"/>
      <c r="GXY162" s="1181"/>
      <c r="GXZ162" s="1181"/>
      <c r="GYA162" s="1181"/>
      <c r="GYB162" s="1181"/>
      <c r="GYC162" s="1181"/>
      <c r="GYD162" s="1181"/>
      <c r="GYE162" s="1181"/>
      <c r="GYF162" s="1181"/>
      <c r="GYG162" s="1181"/>
      <c r="GYH162" s="1181"/>
      <c r="GYI162" s="1181"/>
      <c r="GYJ162" s="1181"/>
      <c r="GYK162" s="1181"/>
      <c r="GYL162" s="1181"/>
      <c r="GYM162" s="1181"/>
      <c r="GYN162" s="1181"/>
      <c r="GYO162" s="1181"/>
      <c r="GYP162" s="1181"/>
      <c r="GYQ162" s="1181"/>
      <c r="GYR162" s="1181"/>
      <c r="GYS162" s="1181"/>
      <c r="GYT162" s="1181"/>
      <c r="GYU162" s="1181"/>
      <c r="GYV162" s="1181"/>
      <c r="GYW162" s="1181"/>
      <c r="GYX162" s="1181"/>
      <c r="GYY162" s="1181"/>
      <c r="GYZ162" s="1181"/>
      <c r="GZA162" s="1181"/>
      <c r="GZB162" s="1181"/>
      <c r="GZC162" s="1181"/>
      <c r="GZD162" s="1181"/>
      <c r="GZE162" s="1181"/>
      <c r="GZF162" s="1181"/>
      <c r="GZG162" s="1181"/>
      <c r="GZH162" s="1181"/>
      <c r="GZI162" s="1181"/>
      <c r="GZJ162" s="1181"/>
      <c r="GZK162" s="1181"/>
      <c r="GZL162" s="1181"/>
      <c r="GZM162" s="1181"/>
      <c r="GZN162" s="1181"/>
      <c r="GZO162" s="1181"/>
      <c r="GZP162" s="1181"/>
      <c r="GZQ162" s="1181"/>
      <c r="GZR162" s="1181"/>
      <c r="GZS162" s="1181"/>
      <c r="GZT162" s="1181"/>
      <c r="GZU162" s="1181"/>
      <c r="GZV162" s="1181"/>
      <c r="GZW162" s="1181"/>
      <c r="GZX162" s="1181"/>
      <c r="GZY162" s="1181"/>
      <c r="GZZ162" s="1181"/>
      <c r="HAA162" s="1181"/>
      <c r="HAB162" s="1181"/>
      <c r="HAC162" s="1181"/>
      <c r="HAD162" s="1181"/>
      <c r="HAE162" s="1181"/>
      <c r="HAF162" s="1181"/>
      <c r="HAG162" s="1181"/>
      <c r="HAH162" s="1181"/>
      <c r="HAI162" s="1181"/>
      <c r="HAJ162" s="1181"/>
      <c r="HAK162" s="1181"/>
      <c r="HAL162" s="1181"/>
      <c r="HAM162" s="1181"/>
      <c r="HAN162" s="1181"/>
      <c r="HAO162" s="1181"/>
      <c r="HAP162" s="1181"/>
      <c r="HAQ162" s="1181"/>
      <c r="HAR162" s="1181"/>
      <c r="HAS162" s="1181"/>
      <c r="HAT162" s="1181"/>
      <c r="HAU162" s="1181"/>
      <c r="HAV162" s="1181"/>
      <c r="HAW162" s="1181"/>
      <c r="HAX162" s="1181"/>
      <c r="HAY162" s="1181"/>
      <c r="HAZ162" s="1181"/>
      <c r="HBA162" s="1181"/>
      <c r="HBB162" s="1181"/>
      <c r="HBC162" s="1181"/>
      <c r="HBD162" s="1181"/>
      <c r="HBE162" s="1181"/>
      <c r="HBF162" s="1181"/>
      <c r="HBG162" s="1181"/>
      <c r="HBH162" s="1181"/>
      <c r="HBI162" s="1181"/>
      <c r="HBJ162" s="1181"/>
      <c r="HBK162" s="1181"/>
      <c r="HBL162" s="1181"/>
      <c r="HBM162" s="1181"/>
      <c r="HBN162" s="1181"/>
      <c r="HBO162" s="1181"/>
      <c r="HBP162" s="1181"/>
      <c r="HBQ162" s="1181"/>
      <c r="HBR162" s="1181"/>
      <c r="HBS162" s="1181"/>
      <c r="HBT162" s="1181"/>
      <c r="HBU162" s="1181"/>
      <c r="HBV162" s="1181"/>
      <c r="HBW162" s="1181"/>
      <c r="HBX162" s="1181"/>
      <c r="HBY162" s="1181"/>
      <c r="HBZ162" s="1181"/>
      <c r="HCA162" s="1181"/>
      <c r="HCB162" s="1181"/>
      <c r="HCC162" s="1181"/>
      <c r="HCD162" s="1181"/>
      <c r="HCE162" s="1181"/>
      <c r="HCF162" s="1181"/>
      <c r="HCG162" s="1181"/>
      <c r="HCH162" s="1181"/>
      <c r="HCI162" s="1181"/>
      <c r="HCJ162" s="1181"/>
      <c r="HCK162" s="1181"/>
      <c r="HCL162" s="1181"/>
      <c r="HCM162" s="1181"/>
      <c r="HCN162" s="1181"/>
      <c r="HCO162" s="1181"/>
      <c r="HCP162" s="1181"/>
      <c r="HCQ162" s="1181"/>
      <c r="HCR162" s="1181"/>
      <c r="HCS162" s="1181"/>
      <c r="HCT162" s="1181"/>
      <c r="HCU162" s="1181"/>
      <c r="HCV162" s="1181"/>
      <c r="HCW162" s="1181"/>
      <c r="HCX162" s="1181"/>
      <c r="HCY162" s="1181"/>
      <c r="HCZ162" s="1181"/>
      <c r="HDA162" s="1181"/>
      <c r="HDB162" s="1181"/>
      <c r="HDC162" s="1181"/>
      <c r="HDD162" s="1181"/>
      <c r="HDE162" s="1181"/>
      <c r="HDF162" s="1181"/>
      <c r="HDG162" s="1181"/>
      <c r="HDH162" s="1181"/>
      <c r="HDI162" s="1181"/>
      <c r="HDJ162" s="1181"/>
      <c r="HDK162" s="1181"/>
      <c r="HDL162" s="1181"/>
      <c r="HDM162" s="1181"/>
      <c r="HDN162" s="1181"/>
      <c r="HDO162" s="1181"/>
      <c r="HDP162" s="1181"/>
      <c r="HDQ162" s="1181"/>
      <c r="HDR162" s="1181"/>
      <c r="HDS162" s="1181"/>
      <c r="HDT162" s="1181"/>
      <c r="HDU162" s="1181"/>
      <c r="HDV162" s="1181"/>
      <c r="HDW162" s="1181"/>
      <c r="HDX162" s="1181"/>
      <c r="HDY162" s="1181"/>
      <c r="HDZ162" s="1181"/>
      <c r="HEA162" s="1181"/>
      <c r="HEB162" s="1181"/>
      <c r="HEC162" s="1181"/>
      <c r="HED162" s="1181"/>
      <c r="HEE162" s="1181"/>
      <c r="HEF162" s="1181"/>
      <c r="HEG162" s="1181"/>
      <c r="HEH162" s="1181"/>
      <c r="HEI162" s="1181"/>
      <c r="HEJ162" s="1181"/>
      <c r="HEK162" s="1181"/>
      <c r="HEL162" s="1181"/>
      <c r="HEM162" s="1181"/>
      <c r="HEN162" s="1181"/>
      <c r="HEO162" s="1181"/>
      <c r="HEP162" s="1181"/>
      <c r="HEQ162" s="1181"/>
      <c r="HER162" s="1181"/>
      <c r="HES162" s="1181"/>
      <c r="HET162" s="1181"/>
      <c r="HEU162" s="1181"/>
      <c r="HEV162" s="1181"/>
      <c r="HEW162" s="1181"/>
      <c r="HEX162" s="1181"/>
      <c r="HEY162" s="1181"/>
      <c r="HEZ162" s="1181"/>
      <c r="HFA162" s="1181"/>
      <c r="HFB162" s="1181"/>
      <c r="HFC162" s="1181"/>
      <c r="HFD162" s="1181"/>
      <c r="HFE162" s="1181"/>
      <c r="HFF162" s="1181"/>
      <c r="HFG162" s="1181"/>
      <c r="HFH162" s="1181"/>
      <c r="HFI162" s="1181"/>
      <c r="HFJ162" s="1181"/>
      <c r="HFK162" s="1181"/>
      <c r="HFL162" s="1181"/>
      <c r="HFM162" s="1181"/>
      <c r="HFN162" s="1181"/>
      <c r="HFO162" s="1181"/>
      <c r="HFP162" s="1181"/>
      <c r="HFQ162" s="1181"/>
      <c r="HFR162" s="1181"/>
      <c r="HFS162" s="1181"/>
      <c r="HFT162" s="1181"/>
      <c r="HFU162" s="1181"/>
      <c r="HFV162" s="1181"/>
      <c r="HFW162" s="1181"/>
      <c r="HFX162" s="1181"/>
      <c r="HFY162" s="1181"/>
      <c r="HFZ162" s="1181"/>
      <c r="HGA162" s="1181"/>
      <c r="HGB162" s="1181"/>
      <c r="HGC162" s="1181"/>
      <c r="HGD162" s="1181"/>
      <c r="HGE162" s="1181"/>
      <c r="HGF162" s="1181"/>
      <c r="HGG162" s="1181"/>
      <c r="HGH162" s="1181"/>
      <c r="HGI162" s="1181"/>
      <c r="HGJ162" s="1181"/>
      <c r="HGK162" s="1181"/>
      <c r="HGL162" s="1181"/>
      <c r="HGM162" s="1181"/>
      <c r="HGN162" s="1181"/>
      <c r="HGO162" s="1181"/>
      <c r="HGP162" s="1181"/>
      <c r="HGQ162" s="1181"/>
      <c r="HGR162" s="1181"/>
      <c r="HGS162" s="1181"/>
      <c r="HGT162" s="1181"/>
      <c r="HGU162" s="1181"/>
      <c r="HGV162" s="1181"/>
      <c r="HGW162" s="1181"/>
      <c r="HGX162" s="1181"/>
      <c r="HGY162" s="1181"/>
      <c r="HGZ162" s="1181"/>
      <c r="HHA162" s="1181"/>
      <c r="HHB162" s="1181"/>
      <c r="HHC162" s="1181"/>
      <c r="HHD162" s="1181"/>
      <c r="HHE162" s="1181"/>
      <c r="HHF162" s="1181"/>
      <c r="HHG162" s="1181"/>
      <c r="HHH162" s="1181"/>
      <c r="HHI162" s="1181"/>
      <c r="HHJ162" s="1181"/>
      <c r="HHK162" s="1181"/>
      <c r="HHL162" s="1181"/>
      <c r="HHM162" s="1181"/>
      <c r="HHN162" s="1181"/>
      <c r="HHO162" s="1181"/>
      <c r="HHP162" s="1181"/>
      <c r="HHQ162" s="1181"/>
      <c r="HHR162" s="1181"/>
      <c r="HHS162" s="1181"/>
      <c r="HHT162" s="1181"/>
      <c r="HHU162" s="1181"/>
      <c r="HHV162" s="1181"/>
      <c r="HHW162" s="1181"/>
      <c r="HHX162" s="1181"/>
      <c r="HHY162" s="1181"/>
      <c r="HHZ162" s="1181"/>
      <c r="HIA162" s="1181"/>
      <c r="HIB162" s="1181"/>
      <c r="HIC162" s="1181"/>
      <c r="HID162" s="1181"/>
      <c r="HIE162" s="1181"/>
      <c r="HIF162" s="1181"/>
      <c r="HIG162" s="1181"/>
      <c r="HIH162" s="1181"/>
      <c r="HII162" s="1181"/>
      <c r="HIJ162" s="1181"/>
      <c r="HIK162" s="1181"/>
      <c r="HIL162" s="1181"/>
      <c r="HIM162" s="1181"/>
      <c r="HIN162" s="1181"/>
      <c r="HIO162" s="1181"/>
      <c r="HIP162" s="1181"/>
      <c r="HIQ162" s="1181"/>
      <c r="HIR162" s="1181"/>
      <c r="HIS162" s="1181"/>
      <c r="HIT162" s="1181"/>
      <c r="HIU162" s="1181"/>
      <c r="HIV162" s="1181"/>
      <c r="HIW162" s="1181"/>
      <c r="HIX162" s="1181"/>
      <c r="HIY162" s="1181"/>
      <c r="HIZ162" s="1181"/>
      <c r="HJA162" s="1181"/>
      <c r="HJB162" s="1181"/>
      <c r="HJC162" s="1181"/>
      <c r="HJD162" s="1181"/>
      <c r="HJE162" s="1181"/>
      <c r="HJF162" s="1181"/>
      <c r="HJG162" s="1181"/>
      <c r="HJH162" s="1181"/>
      <c r="HJI162" s="1181"/>
      <c r="HJJ162" s="1181"/>
      <c r="HJK162" s="1181"/>
      <c r="HJL162" s="1181"/>
      <c r="HJM162" s="1181"/>
      <c r="HJN162" s="1181"/>
      <c r="HJO162" s="1181"/>
      <c r="HJP162" s="1181"/>
      <c r="HJQ162" s="1181"/>
      <c r="HJR162" s="1181"/>
      <c r="HJS162" s="1181"/>
      <c r="HJT162" s="1181"/>
      <c r="HJU162" s="1181"/>
      <c r="HJV162" s="1181"/>
      <c r="HJW162" s="1181"/>
      <c r="HJX162" s="1181"/>
      <c r="HJY162" s="1181"/>
      <c r="HJZ162" s="1181"/>
      <c r="HKA162" s="1181"/>
      <c r="HKB162" s="1181"/>
      <c r="HKC162" s="1181"/>
      <c r="HKD162" s="1181"/>
      <c r="HKE162" s="1181"/>
      <c r="HKF162" s="1181"/>
      <c r="HKG162" s="1181"/>
      <c r="HKH162" s="1181"/>
      <c r="HKI162" s="1181"/>
      <c r="HKJ162" s="1181"/>
      <c r="HKK162" s="1181"/>
      <c r="HKL162" s="1181"/>
      <c r="HKM162" s="1181"/>
      <c r="HKN162" s="1181"/>
      <c r="HKO162" s="1181"/>
      <c r="HKP162" s="1181"/>
      <c r="HKQ162" s="1181"/>
      <c r="HKR162" s="1181"/>
      <c r="HKS162" s="1181"/>
      <c r="HKT162" s="1181"/>
      <c r="HKU162" s="1181"/>
      <c r="HKV162" s="1181"/>
      <c r="HKW162" s="1181"/>
      <c r="HKX162" s="1181"/>
      <c r="HKY162" s="1181"/>
      <c r="HKZ162" s="1181"/>
      <c r="HLA162" s="1181"/>
      <c r="HLB162" s="1181"/>
      <c r="HLC162" s="1181"/>
      <c r="HLD162" s="1181"/>
      <c r="HLE162" s="1181"/>
      <c r="HLF162" s="1181"/>
      <c r="HLG162" s="1181"/>
      <c r="HLH162" s="1181"/>
      <c r="HLI162" s="1181"/>
      <c r="HLJ162" s="1181"/>
      <c r="HLK162" s="1181"/>
      <c r="HLL162" s="1181"/>
      <c r="HLM162" s="1181"/>
      <c r="HLN162" s="1181"/>
      <c r="HLO162" s="1181"/>
      <c r="HLP162" s="1181"/>
      <c r="HLQ162" s="1181"/>
      <c r="HLR162" s="1181"/>
      <c r="HLS162" s="1181"/>
      <c r="HLT162" s="1181"/>
      <c r="HLU162" s="1181"/>
      <c r="HLV162" s="1181"/>
      <c r="HLW162" s="1181"/>
      <c r="HLX162" s="1181"/>
      <c r="HLY162" s="1181"/>
      <c r="HLZ162" s="1181"/>
      <c r="HMA162" s="1181"/>
      <c r="HMB162" s="1181"/>
      <c r="HMC162" s="1181"/>
      <c r="HMD162" s="1181"/>
      <c r="HME162" s="1181"/>
      <c r="HMF162" s="1181"/>
      <c r="HMG162" s="1181"/>
      <c r="HMH162" s="1181"/>
      <c r="HMI162" s="1181"/>
      <c r="HMJ162" s="1181"/>
      <c r="HMK162" s="1181"/>
      <c r="HML162" s="1181"/>
      <c r="HMM162" s="1181"/>
      <c r="HMN162" s="1181"/>
      <c r="HMO162" s="1181"/>
      <c r="HMP162" s="1181"/>
      <c r="HMQ162" s="1181"/>
      <c r="HMR162" s="1181"/>
      <c r="HMS162" s="1181"/>
      <c r="HMT162" s="1181"/>
      <c r="HMU162" s="1181"/>
      <c r="HMV162" s="1181"/>
      <c r="HMW162" s="1181"/>
      <c r="HMX162" s="1181"/>
      <c r="HMY162" s="1181"/>
      <c r="HMZ162" s="1181"/>
      <c r="HNA162" s="1181"/>
      <c r="HNB162" s="1181"/>
      <c r="HNC162" s="1181"/>
      <c r="HND162" s="1181"/>
      <c r="HNE162" s="1181"/>
      <c r="HNF162" s="1181"/>
      <c r="HNG162" s="1181"/>
      <c r="HNH162" s="1181"/>
      <c r="HNI162" s="1181"/>
      <c r="HNJ162" s="1181"/>
      <c r="HNK162" s="1181"/>
      <c r="HNL162" s="1181"/>
      <c r="HNM162" s="1181"/>
      <c r="HNN162" s="1181"/>
      <c r="HNO162" s="1181"/>
      <c r="HNP162" s="1181"/>
      <c r="HNQ162" s="1181"/>
      <c r="HNR162" s="1181"/>
      <c r="HNS162" s="1181"/>
      <c r="HNT162" s="1181"/>
      <c r="HNU162" s="1181"/>
      <c r="HNV162" s="1181"/>
      <c r="HNW162" s="1181"/>
      <c r="HNX162" s="1181"/>
      <c r="HNY162" s="1181"/>
      <c r="HNZ162" s="1181"/>
      <c r="HOA162" s="1181"/>
      <c r="HOB162" s="1181"/>
      <c r="HOC162" s="1181"/>
      <c r="HOD162" s="1181"/>
      <c r="HOE162" s="1181"/>
      <c r="HOF162" s="1181"/>
      <c r="HOG162" s="1181"/>
      <c r="HOH162" s="1181"/>
      <c r="HOI162" s="1181"/>
      <c r="HOJ162" s="1181"/>
      <c r="HOK162" s="1181"/>
      <c r="HOL162" s="1181"/>
      <c r="HOM162" s="1181"/>
      <c r="HON162" s="1181"/>
      <c r="HOO162" s="1181"/>
      <c r="HOP162" s="1181"/>
      <c r="HOQ162" s="1181"/>
      <c r="HOR162" s="1181"/>
      <c r="HOS162" s="1181"/>
      <c r="HOT162" s="1181"/>
      <c r="HOU162" s="1181"/>
      <c r="HOV162" s="1181"/>
      <c r="HOW162" s="1181"/>
      <c r="HOX162" s="1181"/>
      <c r="HOY162" s="1181"/>
      <c r="HOZ162" s="1181"/>
      <c r="HPA162" s="1181"/>
      <c r="HPB162" s="1181"/>
      <c r="HPC162" s="1181"/>
      <c r="HPD162" s="1181"/>
      <c r="HPE162" s="1181"/>
      <c r="HPF162" s="1181"/>
      <c r="HPG162" s="1181"/>
      <c r="HPH162" s="1181"/>
      <c r="HPI162" s="1181"/>
      <c r="HPJ162" s="1181"/>
      <c r="HPK162" s="1181"/>
      <c r="HPL162" s="1181"/>
      <c r="HPM162" s="1181"/>
      <c r="HPN162" s="1181"/>
      <c r="HPO162" s="1181"/>
      <c r="HPP162" s="1181"/>
      <c r="HPQ162" s="1181"/>
      <c r="HPR162" s="1181"/>
      <c r="HPS162" s="1181"/>
      <c r="HPT162" s="1181"/>
      <c r="HPU162" s="1181"/>
      <c r="HPV162" s="1181"/>
      <c r="HPW162" s="1181"/>
      <c r="HPX162" s="1181"/>
      <c r="HPY162" s="1181"/>
      <c r="HPZ162" s="1181"/>
      <c r="HQA162" s="1181"/>
      <c r="HQB162" s="1181"/>
      <c r="HQC162" s="1181"/>
      <c r="HQD162" s="1181"/>
      <c r="HQE162" s="1181"/>
      <c r="HQF162" s="1181"/>
      <c r="HQG162" s="1181"/>
      <c r="HQH162" s="1181"/>
      <c r="HQI162" s="1181"/>
      <c r="HQJ162" s="1181"/>
      <c r="HQK162" s="1181"/>
      <c r="HQL162" s="1181"/>
      <c r="HQM162" s="1181"/>
      <c r="HQN162" s="1181"/>
      <c r="HQO162" s="1181"/>
      <c r="HQP162" s="1181"/>
      <c r="HQQ162" s="1181"/>
      <c r="HQR162" s="1181"/>
      <c r="HQS162" s="1181"/>
      <c r="HQT162" s="1181"/>
      <c r="HQU162" s="1181"/>
      <c r="HQV162" s="1181"/>
      <c r="HQW162" s="1181"/>
      <c r="HQX162" s="1181"/>
      <c r="HQY162" s="1181"/>
      <c r="HQZ162" s="1181"/>
      <c r="HRA162" s="1181"/>
      <c r="HRB162" s="1181"/>
      <c r="HRC162" s="1181"/>
      <c r="HRD162" s="1181"/>
      <c r="HRE162" s="1181"/>
      <c r="HRF162" s="1181"/>
      <c r="HRG162" s="1181"/>
      <c r="HRH162" s="1181"/>
      <c r="HRI162" s="1181"/>
      <c r="HRJ162" s="1181"/>
      <c r="HRK162" s="1181"/>
      <c r="HRL162" s="1181"/>
      <c r="HRM162" s="1181"/>
      <c r="HRN162" s="1181"/>
      <c r="HRO162" s="1181"/>
      <c r="HRP162" s="1181"/>
      <c r="HRQ162" s="1181"/>
      <c r="HRR162" s="1181"/>
      <c r="HRS162" s="1181"/>
      <c r="HRT162" s="1181"/>
      <c r="HRU162" s="1181"/>
      <c r="HRV162" s="1181"/>
      <c r="HRW162" s="1181"/>
      <c r="HRX162" s="1181"/>
      <c r="HRY162" s="1181"/>
      <c r="HRZ162" s="1181"/>
      <c r="HSA162" s="1181"/>
      <c r="HSB162" s="1181"/>
      <c r="HSC162" s="1181"/>
      <c r="HSD162" s="1181"/>
      <c r="HSE162" s="1181"/>
      <c r="HSF162" s="1181"/>
      <c r="HSG162" s="1181"/>
      <c r="HSH162" s="1181"/>
      <c r="HSI162" s="1181"/>
      <c r="HSJ162" s="1181"/>
      <c r="HSK162" s="1181"/>
      <c r="HSL162" s="1181"/>
      <c r="HSM162" s="1181"/>
      <c r="HSN162" s="1181"/>
      <c r="HSO162" s="1181"/>
      <c r="HSP162" s="1181"/>
      <c r="HSQ162" s="1181"/>
      <c r="HSR162" s="1181"/>
      <c r="HSS162" s="1181"/>
      <c r="HST162" s="1181"/>
      <c r="HSU162" s="1181"/>
      <c r="HSV162" s="1181"/>
      <c r="HSW162" s="1181"/>
      <c r="HSX162" s="1181"/>
      <c r="HSY162" s="1181"/>
      <c r="HSZ162" s="1181"/>
      <c r="HTA162" s="1181"/>
      <c r="HTB162" s="1181"/>
      <c r="HTC162" s="1181"/>
      <c r="HTD162" s="1181"/>
      <c r="HTE162" s="1181"/>
      <c r="HTF162" s="1181"/>
      <c r="HTG162" s="1181"/>
      <c r="HTH162" s="1181"/>
      <c r="HTI162" s="1181"/>
      <c r="HTJ162" s="1181"/>
      <c r="HTK162" s="1181"/>
      <c r="HTL162" s="1181"/>
      <c r="HTM162" s="1181"/>
      <c r="HTN162" s="1181"/>
      <c r="HTO162" s="1181"/>
      <c r="HTP162" s="1181"/>
      <c r="HTQ162" s="1181"/>
      <c r="HTR162" s="1181"/>
      <c r="HTS162" s="1181"/>
      <c r="HTT162" s="1181"/>
      <c r="HTU162" s="1181"/>
      <c r="HTV162" s="1181"/>
      <c r="HTW162" s="1181"/>
      <c r="HTX162" s="1181"/>
      <c r="HTY162" s="1181"/>
      <c r="HTZ162" s="1181"/>
      <c r="HUA162" s="1181"/>
      <c r="HUB162" s="1181"/>
      <c r="HUC162" s="1181"/>
      <c r="HUD162" s="1181"/>
      <c r="HUE162" s="1181"/>
      <c r="HUF162" s="1181"/>
      <c r="HUG162" s="1181"/>
      <c r="HUH162" s="1181"/>
      <c r="HUI162" s="1181"/>
      <c r="HUJ162" s="1181"/>
      <c r="HUK162" s="1181"/>
      <c r="HUL162" s="1181"/>
      <c r="HUM162" s="1181"/>
      <c r="HUN162" s="1181"/>
      <c r="HUO162" s="1181"/>
      <c r="HUP162" s="1181"/>
      <c r="HUQ162" s="1181"/>
      <c r="HUR162" s="1181"/>
      <c r="HUS162" s="1181"/>
      <c r="HUT162" s="1181"/>
      <c r="HUU162" s="1181"/>
      <c r="HUV162" s="1181"/>
      <c r="HUW162" s="1181"/>
      <c r="HUX162" s="1181"/>
      <c r="HUY162" s="1181"/>
      <c r="HUZ162" s="1181"/>
      <c r="HVA162" s="1181"/>
      <c r="HVB162" s="1181"/>
      <c r="HVC162" s="1181"/>
      <c r="HVD162" s="1181"/>
      <c r="HVE162" s="1181"/>
      <c r="HVF162" s="1181"/>
      <c r="HVG162" s="1181"/>
      <c r="HVH162" s="1181"/>
      <c r="HVI162" s="1181"/>
      <c r="HVJ162" s="1181"/>
      <c r="HVK162" s="1181"/>
      <c r="HVL162" s="1181"/>
      <c r="HVM162" s="1181"/>
      <c r="HVN162" s="1181"/>
      <c r="HVO162" s="1181"/>
      <c r="HVP162" s="1181"/>
      <c r="HVQ162" s="1181"/>
      <c r="HVR162" s="1181"/>
      <c r="HVS162" s="1181"/>
      <c r="HVT162" s="1181"/>
      <c r="HVU162" s="1181"/>
      <c r="HVV162" s="1181"/>
      <c r="HVW162" s="1181"/>
      <c r="HVX162" s="1181"/>
      <c r="HVY162" s="1181"/>
      <c r="HVZ162" s="1181"/>
      <c r="HWA162" s="1181"/>
      <c r="HWB162" s="1181"/>
      <c r="HWC162" s="1181"/>
      <c r="HWD162" s="1181"/>
      <c r="HWE162" s="1181"/>
      <c r="HWF162" s="1181"/>
      <c r="HWG162" s="1181"/>
      <c r="HWH162" s="1181"/>
      <c r="HWI162" s="1181"/>
      <c r="HWJ162" s="1181"/>
      <c r="HWK162" s="1181"/>
      <c r="HWL162" s="1181"/>
      <c r="HWM162" s="1181"/>
      <c r="HWN162" s="1181"/>
      <c r="HWO162" s="1181"/>
      <c r="HWP162" s="1181"/>
      <c r="HWQ162" s="1181"/>
      <c r="HWR162" s="1181"/>
      <c r="HWS162" s="1181"/>
      <c r="HWT162" s="1181"/>
      <c r="HWU162" s="1181"/>
      <c r="HWV162" s="1181"/>
      <c r="HWW162" s="1181"/>
      <c r="HWX162" s="1181"/>
      <c r="HWY162" s="1181"/>
      <c r="HWZ162" s="1181"/>
      <c r="HXA162" s="1181"/>
      <c r="HXB162" s="1181"/>
      <c r="HXC162" s="1181"/>
      <c r="HXD162" s="1181"/>
      <c r="HXE162" s="1181"/>
      <c r="HXF162" s="1181"/>
      <c r="HXG162" s="1181"/>
      <c r="HXH162" s="1181"/>
      <c r="HXI162" s="1181"/>
      <c r="HXJ162" s="1181"/>
      <c r="HXK162" s="1181"/>
      <c r="HXL162" s="1181"/>
      <c r="HXM162" s="1181"/>
      <c r="HXN162" s="1181"/>
      <c r="HXO162" s="1181"/>
      <c r="HXP162" s="1181"/>
      <c r="HXQ162" s="1181"/>
      <c r="HXR162" s="1181"/>
      <c r="HXS162" s="1181"/>
      <c r="HXT162" s="1181"/>
      <c r="HXU162" s="1181"/>
      <c r="HXV162" s="1181"/>
      <c r="HXW162" s="1181"/>
      <c r="HXX162" s="1181"/>
      <c r="HXY162" s="1181"/>
      <c r="HXZ162" s="1181"/>
      <c r="HYA162" s="1181"/>
      <c r="HYB162" s="1181"/>
      <c r="HYC162" s="1181"/>
      <c r="HYD162" s="1181"/>
      <c r="HYE162" s="1181"/>
      <c r="HYF162" s="1181"/>
      <c r="HYG162" s="1181"/>
      <c r="HYH162" s="1181"/>
      <c r="HYI162" s="1181"/>
      <c r="HYJ162" s="1181"/>
      <c r="HYK162" s="1181"/>
      <c r="HYL162" s="1181"/>
      <c r="HYM162" s="1181"/>
      <c r="HYN162" s="1181"/>
      <c r="HYO162" s="1181"/>
      <c r="HYP162" s="1181"/>
      <c r="HYQ162" s="1181"/>
      <c r="HYR162" s="1181"/>
      <c r="HYS162" s="1181"/>
      <c r="HYT162" s="1181"/>
      <c r="HYU162" s="1181"/>
      <c r="HYV162" s="1181"/>
      <c r="HYW162" s="1181"/>
      <c r="HYX162" s="1181"/>
      <c r="HYY162" s="1181"/>
      <c r="HYZ162" s="1181"/>
      <c r="HZA162" s="1181"/>
      <c r="HZB162" s="1181"/>
      <c r="HZC162" s="1181"/>
      <c r="HZD162" s="1181"/>
      <c r="HZE162" s="1181"/>
      <c r="HZF162" s="1181"/>
      <c r="HZG162" s="1181"/>
      <c r="HZH162" s="1181"/>
      <c r="HZI162" s="1181"/>
      <c r="HZJ162" s="1181"/>
      <c r="HZK162" s="1181"/>
      <c r="HZL162" s="1181"/>
      <c r="HZM162" s="1181"/>
      <c r="HZN162" s="1181"/>
      <c r="HZO162" s="1181"/>
      <c r="HZP162" s="1181"/>
      <c r="HZQ162" s="1181"/>
      <c r="HZR162" s="1181"/>
      <c r="HZS162" s="1181"/>
      <c r="HZT162" s="1181"/>
      <c r="HZU162" s="1181"/>
      <c r="HZV162" s="1181"/>
      <c r="HZW162" s="1181"/>
      <c r="HZX162" s="1181"/>
      <c r="HZY162" s="1181"/>
      <c r="HZZ162" s="1181"/>
      <c r="IAA162" s="1181"/>
      <c r="IAB162" s="1181"/>
      <c r="IAC162" s="1181"/>
      <c r="IAD162" s="1181"/>
      <c r="IAE162" s="1181"/>
      <c r="IAF162" s="1181"/>
      <c r="IAG162" s="1181"/>
      <c r="IAH162" s="1181"/>
      <c r="IAI162" s="1181"/>
      <c r="IAJ162" s="1181"/>
      <c r="IAK162" s="1181"/>
      <c r="IAL162" s="1181"/>
      <c r="IAM162" s="1181"/>
      <c r="IAN162" s="1181"/>
      <c r="IAO162" s="1181"/>
      <c r="IAP162" s="1181"/>
      <c r="IAQ162" s="1181"/>
      <c r="IAR162" s="1181"/>
      <c r="IAS162" s="1181"/>
      <c r="IAT162" s="1181"/>
      <c r="IAU162" s="1181"/>
      <c r="IAV162" s="1181"/>
      <c r="IAW162" s="1181"/>
      <c r="IAX162" s="1181"/>
      <c r="IAY162" s="1181"/>
      <c r="IAZ162" s="1181"/>
      <c r="IBA162" s="1181"/>
      <c r="IBB162" s="1181"/>
      <c r="IBC162" s="1181"/>
      <c r="IBD162" s="1181"/>
      <c r="IBE162" s="1181"/>
      <c r="IBF162" s="1181"/>
      <c r="IBG162" s="1181"/>
      <c r="IBH162" s="1181"/>
      <c r="IBI162" s="1181"/>
      <c r="IBJ162" s="1181"/>
      <c r="IBK162" s="1181"/>
      <c r="IBL162" s="1181"/>
      <c r="IBM162" s="1181"/>
      <c r="IBN162" s="1181"/>
      <c r="IBO162" s="1181"/>
      <c r="IBP162" s="1181"/>
      <c r="IBQ162" s="1181"/>
      <c r="IBR162" s="1181"/>
      <c r="IBS162" s="1181"/>
      <c r="IBT162" s="1181"/>
      <c r="IBU162" s="1181"/>
      <c r="IBV162" s="1181"/>
      <c r="IBW162" s="1181"/>
      <c r="IBX162" s="1181"/>
      <c r="IBY162" s="1181"/>
      <c r="IBZ162" s="1181"/>
      <c r="ICA162" s="1181"/>
      <c r="ICB162" s="1181"/>
      <c r="ICC162" s="1181"/>
      <c r="ICD162" s="1181"/>
      <c r="ICE162" s="1181"/>
      <c r="ICF162" s="1181"/>
      <c r="ICG162" s="1181"/>
      <c r="ICH162" s="1181"/>
      <c r="ICI162" s="1181"/>
      <c r="ICJ162" s="1181"/>
      <c r="ICK162" s="1181"/>
      <c r="ICL162" s="1181"/>
      <c r="ICM162" s="1181"/>
      <c r="ICN162" s="1181"/>
      <c r="ICO162" s="1181"/>
      <c r="ICP162" s="1181"/>
      <c r="ICQ162" s="1181"/>
      <c r="ICR162" s="1181"/>
      <c r="ICS162" s="1181"/>
      <c r="ICT162" s="1181"/>
      <c r="ICU162" s="1181"/>
      <c r="ICV162" s="1181"/>
      <c r="ICW162" s="1181"/>
      <c r="ICX162" s="1181"/>
      <c r="ICY162" s="1181"/>
      <c r="ICZ162" s="1181"/>
      <c r="IDA162" s="1181"/>
      <c r="IDB162" s="1181"/>
      <c r="IDC162" s="1181"/>
      <c r="IDD162" s="1181"/>
      <c r="IDE162" s="1181"/>
      <c r="IDF162" s="1181"/>
      <c r="IDG162" s="1181"/>
      <c r="IDH162" s="1181"/>
      <c r="IDI162" s="1181"/>
      <c r="IDJ162" s="1181"/>
      <c r="IDK162" s="1181"/>
      <c r="IDL162" s="1181"/>
      <c r="IDM162" s="1181"/>
      <c r="IDN162" s="1181"/>
      <c r="IDO162" s="1181"/>
      <c r="IDP162" s="1181"/>
      <c r="IDQ162" s="1181"/>
      <c r="IDR162" s="1181"/>
      <c r="IDS162" s="1181"/>
      <c r="IDT162" s="1181"/>
      <c r="IDU162" s="1181"/>
      <c r="IDV162" s="1181"/>
      <c r="IDW162" s="1181"/>
      <c r="IDX162" s="1181"/>
      <c r="IDY162" s="1181"/>
      <c r="IDZ162" s="1181"/>
      <c r="IEA162" s="1181"/>
      <c r="IEB162" s="1181"/>
      <c r="IEC162" s="1181"/>
      <c r="IED162" s="1181"/>
      <c r="IEE162" s="1181"/>
      <c r="IEF162" s="1181"/>
      <c r="IEG162" s="1181"/>
      <c r="IEH162" s="1181"/>
      <c r="IEI162" s="1181"/>
      <c r="IEJ162" s="1181"/>
      <c r="IEK162" s="1181"/>
      <c r="IEL162" s="1181"/>
      <c r="IEM162" s="1181"/>
      <c r="IEN162" s="1181"/>
      <c r="IEO162" s="1181"/>
      <c r="IEP162" s="1181"/>
      <c r="IEQ162" s="1181"/>
      <c r="IER162" s="1181"/>
      <c r="IES162" s="1181"/>
      <c r="IET162" s="1181"/>
      <c r="IEU162" s="1181"/>
      <c r="IEV162" s="1181"/>
      <c r="IEW162" s="1181"/>
      <c r="IEX162" s="1181"/>
      <c r="IEY162" s="1181"/>
      <c r="IEZ162" s="1181"/>
      <c r="IFA162" s="1181"/>
      <c r="IFB162" s="1181"/>
      <c r="IFC162" s="1181"/>
      <c r="IFD162" s="1181"/>
      <c r="IFE162" s="1181"/>
      <c r="IFF162" s="1181"/>
      <c r="IFG162" s="1181"/>
      <c r="IFH162" s="1181"/>
      <c r="IFI162" s="1181"/>
      <c r="IFJ162" s="1181"/>
      <c r="IFK162" s="1181"/>
      <c r="IFL162" s="1181"/>
      <c r="IFM162" s="1181"/>
      <c r="IFN162" s="1181"/>
      <c r="IFO162" s="1181"/>
      <c r="IFP162" s="1181"/>
      <c r="IFQ162" s="1181"/>
      <c r="IFR162" s="1181"/>
      <c r="IFS162" s="1181"/>
      <c r="IFT162" s="1181"/>
      <c r="IFU162" s="1181"/>
      <c r="IFV162" s="1181"/>
      <c r="IFW162" s="1181"/>
      <c r="IFX162" s="1181"/>
      <c r="IFY162" s="1181"/>
      <c r="IFZ162" s="1181"/>
      <c r="IGA162" s="1181"/>
      <c r="IGB162" s="1181"/>
      <c r="IGC162" s="1181"/>
      <c r="IGD162" s="1181"/>
      <c r="IGE162" s="1181"/>
      <c r="IGF162" s="1181"/>
      <c r="IGG162" s="1181"/>
      <c r="IGH162" s="1181"/>
      <c r="IGI162" s="1181"/>
      <c r="IGJ162" s="1181"/>
      <c r="IGK162" s="1181"/>
      <c r="IGL162" s="1181"/>
      <c r="IGM162" s="1181"/>
      <c r="IGN162" s="1181"/>
      <c r="IGO162" s="1181"/>
      <c r="IGP162" s="1181"/>
      <c r="IGQ162" s="1181"/>
      <c r="IGR162" s="1181"/>
      <c r="IGS162" s="1181"/>
      <c r="IGT162" s="1181"/>
      <c r="IGU162" s="1181"/>
      <c r="IGV162" s="1181"/>
      <c r="IGW162" s="1181"/>
      <c r="IGX162" s="1181"/>
      <c r="IGY162" s="1181"/>
      <c r="IGZ162" s="1181"/>
      <c r="IHA162" s="1181"/>
      <c r="IHB162" s="1181"/>
      <c r="IHC162" s="1181"/>
      <c r="IHD162" s="1181"/>
      <c r="IHE162" s="1181"/>
      <c r="IHF162" s="1181"/>
      <c r="IHG162" s="1181"/>
      <c r="IHH162" s="1181"/>
      <c r="IHI162" s="1181"/>
      <c r="IHJ162" s="1181"/>
      <c r="IHK162" s="1181"/>
      <c r="IHL162" s="1181"/>
      <c r="IHM162" s="1181"/>
      <c r="IHN162" s="1181"/>
      <c r="IHO162" s="1181"/>
      <c r="IHP162" s="1181"/>
      <c r="IHQ162" s="1181"/>
      <c r="IHR162" s="1181"/>
      <c r="IHS162" s="1181"/>
      <c r="IHT162" s="1181"/>
      <c r="IHU162" s="1181"/>
      <c r="IHV162" s="1181"/>
      <c r="IHW162" s="1181"/>
      <c r="IHX162" s="1181"/>
      <c r="IHY162" s="1181"/>
      <c r="IHZ162" s="1181"/>
      <c r="IIA162" s="1181"/>
      <c r="IIB162" s="1181"/>
      <c r="IIC162" s="1181"/>
      <c r="IID162" s="1181"/>
      <c r="IIE162" s="1181"/>
      <c r="IIF162" s="1181"/>
      <c r="IIG162" s="1181"/>
      <c r="IIH162" s="1181"/>
      <c r="III162" s="1181"/>
      <c r="IIJ162" s="1181"/>
      <c r="IIK162" s="1181"/>
      <c r="IIL162" s="1181"/>
      <c r="IIM162" s="1181"/>
      <c r="IIN162" s="1181"/>
      <c r="IIO162" s="1181"/>
      <c r="IIP162" s="1181"/>
      <c r="IIQ162" s="1181"/>
      <c r="IIR162" s="1181"/>
      <c r="IIS162" s="1181"/>
      <c r="IIT162" s="1181"/>
      <c r="IIU162" s="1181"/>
      <c r="IIV162" s="1181"/>
      <c r="IIW162" s="1181"/>
      <c r="IIX162" s="1181"/>
      <c r="IIY162" s="1181"/>
      <c r="IIZ162" s="1181"/>
      <c r="IJA162" s="1181"/>
      <c r="IJB162" s="1181"/>
      <c r="IJC162" s="1181"/>
      <c r="IJD162" s="1181"/>
      <c r="IJE162" s="1181"/>
      <c r="IJF162" s="1181"/>
      <c r="IJG162" s="1181"/>
      <c r="IJH162" s="1181"/>
      <c r="IJI162" s="1181"/>
      <c r="IJJ162" s="1181"/>
      <c r="IJK162" s="1181"/>
      <c r="IJL162" s="1181"/>
      <c r="IJM162" s="1181"/>
      <c r="IJN162" s="1181"/>
      <c r="IJO162" s="1181"/>
      <c r="IJP162" s="1181"/>
      <c r="IJQ162" s="1181"/>
      <c r="IJR162" s="1181"/>
      <c r="IJS162" s="1181"/>
      <c r="IJT162" s="1181"/>
      <c r="IJU162" s="1181"/>
      <c r="IJV162" s="1181"/>
      <c r="IJW162" s="1181"/>
      <c r="IJX162" s="1181"/>
      <c r="IJY162" s="1181"/>
      <c r="IJZ162" s="1181"/>
      <c r="IKA162" s="1181"/>
      <c r="IKB162" s="1181"/>
      <c r="IKC162" s="1181"/>
      <c r="IKD162" s="1181"/>
      <c r="IKE162" s="1181"/>
      <c r="IKF162" s="1181"/>
      <c r="IKG162" s="1181"/>
      <c r="IKH162" s="1181"/>
      <c r="IKI162" s="1181"/>
      <c r="IKJ162" s="1181"/>
      <c r="IKK162" s="1181"/>
      <c r="IKL162" s="1181"/>
      <c r="IKM162" s="1181"/>
      <c r="IKN162" s="1181"/>
      <c r="IKO162" s="1181"/>
      <c r="IKP162" s="1181"/>
      <c r="IKQ162" s="1181"/>
      <c r="IKR162" s="1181"/>
      <c r="IKS162" s="1181"/>
      <c r="IKT162" s="1181"/>
      <c r="IKU162" s="1181"/>
      <c r="IKV162" s="1181"/>
      <c r="IKW162" s="1181"/>
      <c r="IKX162" s="1181"/>
      <c r="IKY162" s="1181"/>
      <c r="IKZ162" s="1181"/>
      <c r="ILA162" s="1181"/>
      <c r="ILB162" s="1181"/>
      <c r="ILC162" s="1181"/>
      <c r="ILD162" s="1181"/>
      <c r="ILE162" s="1181"/>
      <c r="ILF162" s="1181"/>
      <c r="ILG162" s="1181"/>
      <c r="ILH162" s="1181"/>
      <c r="ILI162" s="1181"/>
      <c r="ILJ162" s="1181"/>
      <c r="ILK162" s="1181"/>
      <c r="ILL162" s="1181"/>
      <c r="ILM162" s="1181"/>
      <c r="ILN162" s="1181"/>
      <c r="ILO162" s="1181"/>
      <c r="ILP162" s="1181"/>
      <c r="ILQ162" s="1181"/>
      <c r="ILR162" s="1181"/>
      <c r="ILS162" s="1181"/>
      <c r="ILT162" s="1181"/>
      <c r="ILU162" s="1181"/>
      <c r="ILV162" s="1181"/>
      <c r="ILW162" s="1181"/>
      <c r="ILX162" s="1181"/>
      <c r="ILY162" s="1181"/>
      <c r="ILZ162" s="1181"/>
      <c r="IMA162" s="1181"/>
      <c r="IMB162" s="1181"/>
      <c r="IMC162" s="1181"/>
      <c r="IMD162" s="1181"/>
      <c r="IME162" s="1181"/>
      <c r="IMF162" s="1181"/>
      <c r="IMG162" s="1181"/>
      <c r="IMH162" s="1181"/>
      <c r="IMI162" s="1181"/>
      <c r="IMJ162" s="1181"/>
      <c r="IMK162" s="1181"/>
      <c r="IML162" s="1181"/>
      <c r="IMM162" s="1181"/>
      <c r="IMN162" s="1181"/>
      <c r="IMO162" s="1181"/>
      <c r="IMP162" s="1181"/>
      <c r="IMQ162" s="1181"/>
      <c r="IMR162" s="1181"/>
      <c r="IMS162" s="1181"/>
      <c r="IMT162" s="1181"/>
      <c r="IMU162" s="1181"/>
      <c r="IMV162" s="1181"/>
      <c r="IMW162" s="1181"/>
      <c r="IMX162" s="1181"/>
      <c r="IMY162" s="1181"/>
      <c r="IMZ162" s="1181"/>
      <c r="INA162" s="1181"/>
      <c r="INB162" s="1181"/>
      <c r="INC162" s="1181"/>
      <c r="IND162" s="1181"/>
      <c r="INE162" s="1181"/>
      <c r="INF162" s="1181"/>
      <c r="ING162" s="1181"/>
      <c r="INH162" s="1181"/>
      <c r="INI162" s="1181"/>
      <c r="INJ162" s="1181"/>
      <c r="INK162" s="1181"/>
      <c r="INL162" s="1181"/>
      <c r="INM162" s="1181"/>
      <c r="INN162" s="1181"/>
      <c r="INO162" s="1181"/>
      <c r="INP162" s="1181"/>
      <c r="INQ162" s="1181"/>
      <c r="INR162" s="1181"/>
      <c r="INS162" s="1181"/>
      <c r="INT162" s="1181"/>
      <c r="INU162" s="1181"/>
      <c r="INV162" s="1181"/>
      <c r="INW162" s="1181"/>
      <c r="INX162" s="1181"/>
      <c r="INY162" s="1181"/>
      <c r="INZ162" s="1181"/>
      <c r="IOA162" s="1181"/>
      <c r="IOB162" s="1181"/>
      <c r="IOC162" s="1181"/>
      <c r="IOD162" s="1181"/>
      <c r="IOE162" s="1181"/>
      <c r="IOF162" s="1181"/>
      <c r="IOG162" s="1181"/>
      <c r="IOH162" s="1181"/>
      <c r="IOI162" s="1181"/>
      <c r="IOJ162" s="1181"/>
      <c r="IOK162" s="1181"/>
      <c r="IOL162" s="1181"/>
      <c r="IOM162" s="1181"/>
      <c r="ION162" s="1181"/>
      <c r="IOO162" s="1181"/>
      <c r="IOP162" s="1181"/>
      <c r="IOQ162" s="1181"/>
      <c r="IOR162" s="1181"/>
      <c r="IOS162" s="1181"/>
      <c r="IOT162" s="1181"/>
      <c r="IOU162" s="1181"/>
      <c r="IOV162" s="1181"/>
      <c r="IOW162" s="1181"/>
      <c r="IOX162" s="1181"/>
      <c r="IOY162" s="1181"/>
      <c r="IOZ162" s="1181"/>
      <c r="IPA162" s="1181"/>
      <c r="IPB162" s="1181"/>
      <c r="IPC162" s="1181"/>
      <c r="IPD162" s="1181"/>
      <c r="IPE162" s="1181"/>
      <c r="IPF162" s="1181"/>
      <c r="IPG162" s="1181"/>
      <c r="IPH162" s="1181"/>
      <c r="IPI162" s="1181"/>
      <c r="IPJ162" s="1181"/>
      <c r="IPK162" s="1181"/>
      <c r="IPL162" s="1181"/>
      <c r="IPM162" s="1181"/>
      <c r="IPN162" s="1181"/>
      <c r="IPO162" s="1181"/>
      <c r="IPP162" s="1181"/>
      <c r="IPQ162" s="1181"/>
      <c r="IPR162" s="1181"/>
      <c r="IPS162" s="1181"/>
      <c r="IPT162" s="1181"/>
      <c r="IPU162" s="1181"/>
      <c r="IPV162" s="1181"/>
      <c r="IPW162" s="1181"/>
      <c r="IPX162" s="1181"/>
      <c r="IPY162" s="1181"/>
      <c r="IPZ162" s="1181"/>
      <c r="IQA162" s="1181"/>
      <c r="IQB162" s="1181"/>
      <c r="IQC162" s="1181"/>
      <c r="IQD162" s="1181"/>
      <c r="IQE162" s="1181"/>
      <c r="IQF162" s="1181"/>
      <c r="IQG162" s="1181"/>
      <c r="IQH162" s="1181"/>
      <c r="IQI162" s="1181"/>
      <c r="IQJ162" s="1181"/>
      <c r="IQK162" s="1181"/>
      <c r="IQL162" s="1181"/>
      <c r="IQM162" s="1181"/>
      <c r="IQN162" s="1181"/>
      <c r="IQO162" s="1181"/>
      <c r="IQP162" s="1181"/>
      <c r="IQQ162" s="1181"/>
      <c r="IQR162" s="1181"/>
      <c r="IQS162" s="1181"/>
      <c r="IQT162" s="1181"/>
      <c r="IQU162" s="1181"/>
      <c r="IQV162" s="1181"/>
      <c r="IQW162" s="1181"/>
      <c r="IQX162" s="1181"/>
      <c r="IQY162" s="1181"/>
      <c r="IQZ162" s="1181"/>
      <c r="IRA162" s="1181"/>
      <c r="IRB162" s="1181"/>
      <c r="IRC162" s="1181"/>
      <c r="IRD162" s="1181"/>
      <c r="IRE162" s="1181"/>
      <c r="IRF162" s="1181"/>
      <c r="IRG162" s="1181"/>
      <c r="IRH162" s="1181"/>
      <c r="IRI162" s="1181"/>
      <c r="IRJ162" s="1181"/>
      <c r="IRK162" s="1181"/>
      <c r="IRL162" s="1181"/>
      <c r="IRM162" s="1181"/>
      <c r="IRN162" s="1181"/>
      <c r="IRO162" s="1181"/>
      <c r="IRP162" s="1181"/>
      <c r="IRQ162" s="1181"/>
      <c r="IRR162" s="1181"/>
      <c r="IRS162" s="1181"/>
      <c r="IRT162" s="1181"/>
      <c r="IRU162" s="1181"/>
      <c r="IRV162" s="1181"/>
      <c r="IRW162" s="1181"/>
      <c r="IRX162" s="1181"/>
      <c r="IRY162" s="1181"/>
      <c r="IRZ162" s="1181"/>
      <c r="ISA162" s="1181"/>
      <c r="ISB162" s="1181"/>
      <c r="ISC162" s="1181"/>
      <c r="ISD162" s="1181"/>
      <c r="ISE162" s="1181"/>
      <c r="ISF162" s="1181"/>
      <c r="ISG162" s="1181"/>
      <c r="ISH162" s="1181"/>
      <c r="ISI162" s="1181"/>
      <c r="ISJ162" s="1181"/>
      <c r="ISK162" s="1181"/>
      <c r="ISL162" s="1181"/>
      <c r="ISM162" s="1181"/>
      <c r="ISN162" s="1181"/>
      <c r="ISO162" s="1181"/>
      <c r="ISP162" s="1181"/>
      <c r="ISQ162" s="1181"/>
      <c r="ISR162" s="1181"/>
      <c r="ISS162" s="1181"/>
      <c r="IST162" s="1181"/>
      <c r="ISU162" s="1181"/>
      <c r="ISV162" s="1181"/>
      <c r="ISW162" s="1181"/>
      <c r="ISX162" s="1181"/>
      <c r="ISY162" s="1181"/>
      <c r="ISZ162" s="1181"/>
      <c r="ITA162" s="1181"/>
      <c r="ITB162" s="1181"/>
      <c r="ITC162" s="1181"/>
      <c r="ITD162" s="1181"/>
      <c r="ITE162" s="1181"/>
      <c r="ITF162" s="1181"/>
      <c r="ITG162" s="1181"/>
      <c r="ITH162" s="1181"/>
      <c r="ITI162" s="1181"/>
      <c r="ITJ162" s="1181"/>
      <c r="ITK162" s="1181"/>
      <c r="ITL162" s="1181"/>
      <c r="ITM162" s="1181"/>
      <c r="ITN162" s="1181"/>
      <c r="ITO162" s="1181"/>
      <c r="ITP162" s="1181"/>
      <c r="ITQ162" s="1181"/>
      <c r="ITR162" s="1181"/>
      <c r="ITS162" s="1181"/>
      <c r="ITT162" s="1181"/>
      <c r="ITU162" s="1181"/>
      <c r="ITV162" s="1181"/>
      <c r="ITW162" s="1181"/>
      <c r="ITX162" s="1181"/>
      <c r="ITY162" s="1181"/>
      <c r="ITZ162" s="1181"/>
      <c r="IUA162" s="1181"/>
      <c r="IUB162" s="1181"/>
      <c r="IUC162" s="1181"/>
      <c r="IUD162" s="1181"/>
      <c r="IUE162" s="1181"/>
      <c r="IUF162" s="1181"/>
      <c r="IUG162" s="1181"/>
      <c r="IUH162" s="1181"/>
      <c r="IUI162" s="1181"/>
      <c r="IUJ162" s="1181"/>
      <c r="IUK162" s="1181"/>
      <c r="IUL162" s="1181"/>
      <c r="IUM162" s="1181"/>
      <c r="IUN162" s="1181"/>
      <c r="IUO162" s="1181"/>
      <c r="IUP162" s="1181"/>
      <c r="IUQ162" s="1181"/>
      <c r="IUR162" s="1181"/>
      <c r="IUS162" s="1181"/>
      <c r="IUT162" s="1181"/>
      <c r="IUU162" s="1181"/>
      <c r="IUV162" s="1181"/>
      <c r="IUW162" s="1181"/>
      <c r="IUX162" s="1181"/>
      <c r="IUY162" s="1181"/>
      <c r="IUZ162" s="1181"/>
      <c r="IVA162" s="1181"/>
      <c r="IVB162" s="1181"/>
      <c r="IVC162" s="1181"/>
      <c r="IVD162" s="1181"/>
      <c r="IVE162" s="1181"/>
      <c r="IVF162" s="1181"/>
      <c r="IVG162" s="1181"/>
      <c r="IVH162" s="1181"/>
      <c r="IVI162" s="1181"/>
      <c r="IVJ162" s="1181"/>
      <c r="IVK162" s="1181"/>
      <c r="IVL162" s="1181"/>
      <c r="IVM162" s="1181"/>
      <c r="IVN162" s="1181"/>
      <c r="IVO162" s="1181"/>
      <c r="IVP162" s="1181"/>
      <c r="IVQ162" s="1181"/>
      <c r="IVR162" s="1181"/>
      <c r="IVS162" s="1181"/>
      <c r="IVT162" s="1181"/>
      <c r="IVU162" s="1181"/>
      <c r="IVV162" s="1181"/>
      <c r="IVW162" s="1181"/>
      <c r="IVX162" s="1181"/>
      <c r="IVY162" s="1181"/>
      <c r="IVZ162" s="1181"/>
      <c r="IWA162" s="1181"/>
      <c r="IWB162" s="1181"/>
      <c r="IWC162" s="1181"/>
      <c r="IWD162" s="1181"/>
      <c r="IWE162" s="1181"/>
      <c r="IWF162" s="1181"/>
      <c r="IWG162" s="1181"/>
      <c r="IWH162" s="1181"/>
      <c r="IWI162" s="1181"/>
      <c r="IWJ162" s="1181"/>
      <c r="IWK162" s="1181"/>
      <c r="IWL162" s="1181"/>
      <c r="IWM162" s="1181"/>
      <c r="IWN162" s="1181"/>
      <c r="IWO162" s="1181"/>
      <c r="IWP162" s="1181"/>
      <c r="IWQ162" s="1181"/>
      <c r="IWR162" s="1181"/>
      <c r="IWS162" s="1181"/>
      <c r="IWT162" s="1181"/>
      <c r="IWU162" s="1181"/>
      <c r="IWV162" s="1181"/>
      <c r="IWW162" s="1181"/>
      <c r="IWX162" s="1181"/>
      <c r="IWY162" s="1181"/>
      <c r="IWZ162" s="1181"/>
      <c r="IXA162" s="1181"/>
      <c r="IXB162" s="1181"/>
      <c r="IXC162" s="1181"/>
      <c r="IXD162" s="1181"/>
      <c r="IXE162" s="1181"/>
      <c r="IXF162" s="1181"/>
      <c r="IXG162" s="1181"/>
      <c r="IXH162" s="1181"/>
      <c r="IXI162" s="1181"/>
      <c r="IXJ162" s="1181"/>
      <c r="IXK162" s="1181"/>
      <c r="IXL162" s="1181"/>
      <c r="IXM162" s="1181"/>
      <c r="IXN162" s="1181"/>
      <c r="IXO162" s="1181"/>
      <c r="IXP162" s="1181"/>
      <c r="IXQ162" s="1181"/>
      <c r="IXR162" s="1181"/>
      <c r="IXS162" s="1181"/>
      <c r="IXT162" s="1181"/>
      <c r="IXU162" s="1181"/>
      <c r="IXV162" s="1181"/>
      <c r="IXW162" s="1181"/>
      <c r="IXX162" s="1181"/>
      <c r="IXY162" s="1181"/>
      <c r="IXZ162" s="1181"/>
      <c r="IYA162" s="1181"/>
      <c r="IYB162" s="1181"/>
      <c r="IYC162" s="1181"/>
      <c r="IYD162" s="1181"/>
      <c r="IYE162" s="1181"/>
      <c r="IYF162" s="1181"/>
      <c r="IYG162" s="1181"/>
      <c r="IYH162" s="1181"/>
      <c r="IYI162" s="1181"/>
      <c r="IYJ162" s="1181"/>
      <c r="IYK162" s="1181"/>
      <c r="IYL162" s="1181"/>
      <c r="IYM162" s="1181"/>
      <c r="IYN162" s="1181"/>
      <c r="IYO162" s="1181"/>
      <c r="IYP162" s="1181"/>
      <c r="IYQ162" s="1181"/>
      <c r="IYR162" s="1181"/>
      <c r="IYS162" s="1181"/>
      <c r="IYT162" s="1181"/>
      <c r="IYU162" s="1181"/>
      <c r="IYV162" s="1181"/>
      <c r="IYW162" s="1181"/>
      <c r="IYX162" s="1181"/>
      <c r="IYY162" s="1181"/>
      <c r="IYZ162" s="1181"/>
      <c r="IZA162" s="1181"/>
      <c r="IZB162" s="1181"/>
      <c r="IZC162" s="1181"/>
      <c r="IZD162" s="1181"/>
      <c r="IZE162" s="1181"/>
      <c r="IZF162" s="1181"/>
      <c r="IZG162" s="1181"/>
      <c r="IZH162" s="1181"/>
      <c r="IZI162" s="1181"/>
      <c r="IZJ162" s="1181"/>
      <c r="IZK162" s="1181"/>
      <c r="IZL162" s="1181"/>
      <c r="IZM162" s="1181"/>
      <c r="IZN162" s="1181"/>
      <c r="IZO162" s="1181"/>
      <c r="IZP162" s="1181"/>
      <c r="IZQ162" s="1181"/>
      <c r="IZR162" s="1181"/>
      <c r="IZS162" s="1181"/>
      <c r="IZT162" s="1181"/>
      <c r="IZU162" s="1181"/>
      <c r="IZV162" s="1181"/>
      <c r="IZW162" s="1181"/>
      <c r="IZX162" s="1181"/>
      <c r="IZY162" s="1181"/>
      <c r="IZZ162" s="1181"/>
      <c r="JAA162" s="1181"/>
      <c r="JAB162" s="1181"/>
      <c r="JAC162" s="1181"/>
      <c r="JAD162" s="1181"/>
      <c r="JAE162" s="1181"/>
      <c r="JAF162" s="1181"/>
      <c r="JAG162" s="1181"/>
      <c r="JAH162" s="1181"/>
      <c r="JAI162" s="1181"/>
      <c r="JAJ162" s="1181"/>
      <c r="JAK162" s="1181"/>
      <c r="JAL162" s="1181"/>
      <c r="JAM162" s="1181"/>
      <c r="JAN162" s="1181"/>
      <c r="JAO162" s="1181"/>
      <c r="JAP162" s="1181"/>
      <c r="JAQ162" s="1181"/>
      <c r="JAR162" s="1181"/>
      <c r="JAS162" s="1181"/>
      <c r="JAT162" s="1181"/>
      <c r="JAU162" s="1181"/>
      <c r="JAV162" s="1181"/>
      <c r="JAW162" s="1181"/>
      <c r="JAX162" s="1181"/>
      <c r="JAY162" s="1181"/>
      <c r="JAZ162" s="1181"/>
      <c r="JBA162" s="1181"/>
      <c r="JBB162" s="1181"/>
      <c r="JBC162" s="1181"/>
      <c r="JBD162" s="1181"/>
      <c r="JBE162" s="1181"/>
      <c r="JBF162" s="1181"/>
      <c r="JBG162" s="1181"/>
      <c r="JBH162" s="1181"/>
      <c r="JBI162" s="1181"/>
      <c r="JBJ162" s="1181"/>
      <c r="JBK162" s="1181"/>
      <c r="JBL162" s="1181"/>
      <c r="JBM162" s="1181"/>
      <c r="JBN162" s="1181"/>
      <c r="JBO162" s="1181"/>
      <c r="JBP162" s="1181"/>
      <c r="JBQ162" s="1181"/>
      <c r="JBR162" s="1181"/>
      <c r="JBS162" s="1181"/>
      <c r="JBT162" s="1181"/>
      <c r="JBU162" s="1181"/>
      <c r="JBV162" s="1181"/>
      <c r="JBW162" s="1181"/>
      <c r="JBX162" s="1181"/>
      <c r="JBY162" s="1181"/>
      <c r="JBZ162" s="1181"/>
      <c r="JCA162" s="1181"/>
      <c r="JCB162" s="1181"/>
      <c r="JCC162" s="1181"/>
      <c r="JCD162" s="1181"/>
      <c r="JCE162" s="1181"/>
      <c r="JCF162" s="1181"/>
      <c r="JCG162" s="1181"/>
      <c r="JCH162" s="1181"/>
      <c r="JCI162" s="1181"/>
      <c r="JCJ162" s="1181"/>
      <c r="JCK162" s="1181"/>
      <c r="JCL162" s="1181"/>
      <c r="JCM162" s="1181"/>
      <c r="JCN162" s="1181"/>
      <c r="JCO162" s="1181"/>
      <c r="JCP162" s="1181"/>
      <c r="JCQ162" s="1181"/>
      <c r="JCR162" s="1181"/>
      <c r="JCS162" s="1181"/>
      <c r="JCT162" s="1181"/>
      <c r="JCU162" s="1181"/>
      <c r="JCV162" s="1181"/>
      <c r="JCW162" s="1181"/>
      <c r="JCX162" s="1181"/>
      <c r="JCY162" s="1181"/>
      <c r="JCZ162" s="1181"/>
      <c r="JDA162" s="1181"/>
      <c r="JDB162" s="1181"/>
      <c r="JDC162" s="1181"/>
      <c r="JDD162" s="1181"/>
      <c r="JDE162" s="1181"/>
      <c r="JDF162" s="1181"/>
      <c r="JDG162" s="1181"/>
      <c r="JDH162" s="1181"/>
      <c r="JDI162" s="1181"/>
      <c r="JDJ162" s="1181"/>
      <c r="JDK162" s="1181"/>
      <c r="JDL162" s="1181"/>
      <c r="JDM162" s="1181"/>
      <c r="JDN162" s="1181"/>
      <c r="JDO162" s="1181"/>
      <c r="JDP162" s="1181"/>
      <c r="JDQ162" s="1181"/>
      <c r="JDR162" s="1181"/>
      <c r="JDS162" s="1181"/>
      <c r="JDT162" s="1181"/>
      <c r="JDU162" s="1181"/>
      <c r="JDV162" s="1181"/>
      <c r="JDW162" s="1181"/>
      <c r="JDX162" s="1181"/>
      <c r="JDY162" s="1181"/>
      <c r="JDZ162" s="1181"/>
      <c r="JEA162" s="1181"/>
      <c r="JEB162" s="1181"/>
      <c r="JEC162" s="1181"/>
      <c r="JED162" s="1181"/>
      <c r="JEE162" s="1181"/>
      <c r="JEF162" s="1181"/>
      <c r="JEG162" s="1181"/>
      <c r="JEH162" s="1181"/>
      <c r="JEI162" s="1181"/>
      <c r="JEJ162" s="1181"/>
      <c r="JEK162" s="1181"/>
      <c r="JEL162" s="1181"/>
      <c r="JEM162" s="1181"/>
      <c r="JEN162" s="1181"/>
      <c r="JEO162" s="1181"/>
      <c r="JEP162" s="1181"/>
      <c r="JEQ162" s="1181"/>
      <c r="JER162" s="1181"/>
      <c r="JES162" s="1181"/>
      <c r="JET162" s="1181"/>
      <c r="JEU162" s="1181"/>
      <c r="JEV162" s="1181"/>
      <c r="JEW162" s="1181"/>
      <c r="JEX162" s="1181"/>
      <c r="JEY162" s="1181"/>
      <c r="JEZ162" s="1181"/>
      <c r="JFA162" s="1181"/>
      <c r="JFB162" s="1181"/>
      <c r="JFC162" s="1181"/>
      <c r="JFD162" s="1181"/>
      <c r="JFE162" s="1181"/>
      <c r="JFF162" s="1181"/>
      <c r="JFG162" s="1181"/>
      <c r="JFH162" s="1181"/>
      <c r="JFI162" s="1181"/>
      <c r="JFJ162" s="1181"/>
      <c r="JFK162" s="1181"/>
      <c r="JFL162" s="1181"/>
      <c r="JFM162" s="1181"/>
      <c r="JFN162" s="1181"/>
      <c r="JFO162" s="1181"/>
      <c r="JFP162" s="1181"/>
      <c r="JFQ162" s="1181"/>
      <c r="JFR162" s="1181"/>
      <c r="JFS162" s="1181"/>
      <c r="JFT162" s="1181"/>
      <c r="JFU162" s="1181"/>
      <c r="JFV162" s="1181"/>
      <c r="JFW162" s="1181"/>
      <c r="JFX162" s="1181"/>
      <c r="JFY162" s="1181"/>
      <c r="JFZ162" s="1181"/>
      <c r="JGA162" s="1181"/>
      <c r="JGB162" s="1181"/>
      <c r="JGC162" s="1181"/>
      <c r="JGD162" s="1181"/>
      <c r="JGE162" s="1181"/>
      <c r="JGF162" s="1181"/>
      <c r="JGG162" s="1181"/>
      <c r="JGH162" s="1181"/>
      <c r="JGI162" s="1181"/>
      <c r="JGJ162" s="1181"/>
      <c r="JGK162" s="1181"/>
      <c r="JGL162" s="1181"/>
      <c r="JGM162" s="1181"/>
      <c r="JGN162" s="1181"/>
      <c r="JGO162" s="1181"/>
      <c r="JGP162" s="1181"/>
      <c r="JGQ162" s="1181"/>
      <c r="JGR162" s="1181"/>
      <c r="JGS162" s="1181"/>
      <c r="JGT162" s="1181"/>
      <c r="JGU162" s="1181"/>
      <c r="JGV162" s="1181"/>
      <c r="JGW162" s="1181"/>
      <c r="JGX162" s="1181"/>
      <c r="JGY162" s="1181"/>
      <c r="JGZ162" s="1181"/>
      <c r="JHA162" s="1181"/>
      <c r="JHB162" s="1181"/>
      <c r="JHC162" s="1181"/>
      <c r="JHD162" s="1181"/>
      <c r="JHE162" s="1181"/>
      <c r="JHF162" s="1181"/>
      <c r="JHG162" s="1181"/>
      <c r="JHH162" s="1181"/>
      <c r="JHI162" s="1181"/>
      <c r="JHJ162" s="1181"/>
      <c r="JHK162" s="1181"/>
      <c r="JHL162" s="1181"/>
      <c r="JHM162" s="1181"/>
      <c r="JHN162" s="1181"/>
      <c r="JHO162" s="1181"/>
      <c r="JHP162" s="1181"/>
      <c r="JHQ162" s="1181"/>
      <c r="JHR162" s="1181"/>
      <c r="JHS162" s="1181"/>
      <c r="JHT162" s="1181"/>
      <c r="JHU162" s="1181"/>
      <c r="JHV162" s="1181"/>
      <c r="JHW162" s="1181"/>
      <c r="JHX162" s="1181"/>
      <c r="JHY162" s="1181"/>
      <c r="JHZ162" s="1181"/>
      <c r="JIA162" s="1181"/>
      <c r="JIB162" s="1181"/>
      <c r="JIC162" s="1181"/>
      <c r="JID162" s="1181"/>
      <c r="JIE162" s="1181"/>
      <c r="JIF162" s="1181"/>
      <c r="JIG162" s="1181"/>
      <c r="JIH162" s="1181"/>
      <c r="JII162" s="1181"/>
      <c r="JIJ162" s="1181"/>
      <c r="JIK162" s="1181"/>
      <c r="JIL162" s="1181"/>
      <c r="JIM162" s="1181"/>
      <c r="JIN162" s="1181"/>
      <c r="JIO162" s="1181"/>
      <c r="JIP162" s="1181"/>
      <c r="JIQ162" s="1181"/>
      <c r="JIR162" s="1181"/>
      <c r="JIS162" s="1181"/>
      <c r="JIT162" s="1181"/>
      <c r="JIU162" s="1181"/>
      <c r="JIV162" s="1181"/>
      <c r="JIW162" s="1181"/>
      <c r="JIX162" s="1181"/>
      <c r="JIY162" s="1181"/>
      <c r="JIZ162" s="1181"/>
      <c r="JJA162" s="1181"/>
      <c r="JJB162" s="1181"/>
      <c r="JJC162" s="1181"/>
      <c r="JJD162" s="1181"/>
      <c r="JJE162" s="1181"/>
      <c r="JJF162" s="1181"/>
      <c r="JJG162" s="1181"/>
      <c r="JJH162" s="1181"/>
      <c r="JJI162" s="1181"/>
      <c r="JJJ162" s="1181"/>
      <c r="JJK162" s="1181"/>
      <c r="JJL162" s="1181"/>
      <c r="JJM162" s="1181"/>
      <c r="JJN162" s="1181"/>
      <c r="JJO162" s="1181"/>
      <c r="JJP162" s="1181"/>
      <c r="JJQ162" s="1181"/>
      <c r="JJR162" s="1181"/>
      <c r="JJS162" s="1181"/>
      <c r="JJT162" s="1181"/>
      <c r="JJU162" s="1181"/>
      <c r="JJV162" s="1181"/>
      <c r="JJW162" s="1181"/>
      <c r="JJX162" s="1181"/>
      <c r="JJY162" s="1181"/>
      <c r="JJZ162" s="1181"/>
      <c r="JKA162" s="1181"/>
      <c r="JKB162" s="1181"/>
      <c r="JKC162" s="1181"/>
      <c r="JKD162" s="1181"/>
      <c r="JKE162" s="1181"/>
      <c r="JKF162" s="1181"/>
      <c r="JKG162" s="1181"/>
      <c r="JKH162" s="1181"/>
      <c r="JKI162" s="1181"/>
      <c r="JKJ162" s="1181"/>
      <c r="JKK162" s="1181"/>
      <c r="JKL162" s="1181"/>
      <c r="JKM162" s="1181"/>
      <c r="JKN162" s="1181"/>
      <c r="JKO162" s="1181"/>
      <c r="JKP162" s="1181"/>
      <c r="JKQ162" s="1181"/>
      <c r="JKR162" s="1181"/>
      <c r="JKS162" s="1181"/>
      <c r="JKT162" s="1181"/>
      <c r="JKU162" s="1181"/>
      <c r="JKV162" s="1181"/>
      <c r="JKW162" s="1181"/>
      <c r="JKX162" s="1181"/>
      <c r="JKY162" s="1181"/>
      <c r="JKZ162" s="1181"/>
      <c r="JLA162" s="1181"/>
      <c r="JLB162" s="1181"/>
      <c r="JLC162" s="1181"/>
      <c r="JLD162" s="1181"/>
      <c r="JLE162" s="1181"/>
      <c r="JLF162" s="1181"/>
      <c r="JLG162" s="1181"/>
      <c r="JLH162" s="1181"/>
      <c r="JLI162" s="1181"/>
      <c r="JLJ162" s="1181"/>
      <c r="JLK162" s="1181"/>
      <c r="JLL162" s="1181"/>
      <c r="JLM162" s="1181"/>
      <c r="JLN162" s="1181"/>
      <c r="JLO162" s="1181"/>
      <c r="JLP162" s="1181"/>
      <c r="JLQ162" s="1181"/>
      <c r="JLR162" s="1181"/>
      <c r="JLS162" s="1181"/>
      <c r="JLT162" s="1181"/>
      <c r="JLU162" s="1181"/>
      <c r="JLV162" s="1181"/>
      <c r="JLW162" s="1181"/>
      <c r="JLX162" s="1181"/>
      <c r="JLY162" s="1181"/>
      <c r="JLZ162" s="1181"/>
      <c r="JMA162" s="1181"/>
      <c r="JMB162" s="1181"/>
      <c r="JMC162" s="1181"/>
      <c r="JMD162" s="1181"/>
      <c r="JME162" s="1181"/>
      <c r="JMF162" s="1181"/>
      <c r="JMG162" s="1181"/>
      <c r="JMH162" s="1181"/>
      <c r="JMI162" s="1181"/>
      <c r="JMJ162" s="1181"/>
      <c r="JMK162" s="1181"/>
      <c r="JML162" s="1181"/>
      <c r="JMM162" s="1181"/>
      <c r="JMN162" s="1181"/>
      <c r="JMO162" s="1181"/>
      <c r="JMP162" s="1181"/>
      <c r="JMQ162" s="1181"/>
      <c r="JMR162" s="1181"/>
      <c r="JMS162" s="1181"/>
      <c r="JMT162" s="1181"/>
      <c r="JMU162" s="1181"/>
      <c r="JMV162" s="1181"/>
      <c r="JMW162" s="1181"/>
      <c r="JMX162" s="1181"/>
      <c r="JMY162" s="1181"/>
      <c r="JMZ162" s="1181"/>
      <c r="JNA162" s="1181"/>
      <c r="JNB162" s="1181"/>
      <c r="JNC162" s="1181"/>
      <c r="JND162" s="1181"/>
      <c r="JNE162" s="1181"/>
      <c r="JNF162" s="1181"/>
      <c r="JNG162" s="1181"/>
      <c r="JNH162" s="1181"/>
      <c r="JNI162" s="1181"/>
      <c r="JNJ162" s="1181"/>
      <c r="JNK162" s="1181"/>
      <c r="JNL162" s="1181"/>
      <c r="JNM162" s="1181"/>
      <c r="JNN162" s="1181"/>
      <c r="JNO162" s="1181"/>
      <c r="JNP162" s="1181"/>
      <c r="JNQ162" s="1181"/>
      <c r="JNR162" s="1181"/>
      <c r="JNS162" s="1181"/>
      <c r="JNT162" s="1181"/>
      <c r="JNU162" s="1181"/>
      <c r="JNV162" s="1181"/>
      <c r="JNW162" s="1181"/>
      <c r="JNX162" s="1181"/>
      <c r="JNY162" s="1181"/>
      <c r="JNZ162" s="1181"/>
      <c r="JOA162" s="1181"/>
      <c r="JOB162" s="1181"/>
      <c r="JOC162" s="1181"/>
      <c r="JOD162" s="1181"/>
      <c r="JOE162" s="1181"/>
      <c r="JOF162" s="1181"/>
      <c r="JOG162" s="1181"/>
      <c r="JOH162" s="1181"/>
      <c r="JOI162" s="1181"/>
      <c r="JOJ162" s="1181"/>
      <c r="JOK162" s="1181"/>
      <c r="JOL162" s="1181"/>
      <c r="JOM162" s="1181"/>
      <c r="JON162" s="1181"/>
      <c r="JOO162" s="1181"/>
      <c r="JOP162" s="1181"/>
      <c r="JOQ162" s="1181"/>
      <c r="JOR162" s="1181"/>
      <c r="JOS162" s="1181"/>
      <c r="JOT162" s="1181"/>
      <c r="JOU162" s="1181"/>
      <c r="JOV162" s="1181"/>
      <c r="JOW162" s="1181"/>
      <c r="JOX162" s="1181"/>
      <c r="JOY162" s="1181"/>
      <c r="JOZ162" s="1181"/>
      <c r="JPA162" s="1181"/>
      <c r="JPB162" s="1181"/>
      <c r="JPC162" s="1181"/>
      <c r="JPD162" s="1181"/>
      <c r="JPE162" s="1181"/>
      <c r="JPF162" s="1181"/>
      <c r="JPG162" s="1181"/>
      <c r="JPH162" s="1181"/>
      <c r="JPI162" s="1181"/>
      <c r="JPJ162" s="1181"/>
      <c r="JPK162" s="1181"/>
      <c r="JPL162" s="1181"/>
      <c r="JPM162" s="1181"/>
      <c r="JPN162" s="1181"/>
      <c r="JPO162" s="1181"/>
      <c r="JPP162" s="1181"/>
      <c r="JPQ162" s="1181"/>
      <c r="JPR162" s="1181"/>
      <c r="JPS162" s="1181"/>
      <c r="JPT162" s="1181"/>
      <c r="JPU162" s="1181"/>
      <c r="JPV162" s="1181"/>
      <c r="JPW162" s="1181"/>
      <c r="JPX162" s="1181"/>
      <c r="JPY162" s="1181"/>
      <c r="JPZ162" s="1181"/>
      <c r="JQA162" s="1181"/>
      <c r="JQB162" s="1181"/>
      <c r="JQC162" s="1181"/>
      <c r="JQD162" s="1181"/>
      <c r="JQE162" s="1181"/>
      <c r="JQF162" s="1181"/>
      <c r="JQG162" s="1181"/>
      <c r="JQH162" s="1181"/>
      <c r="JQI162" s="1181"/>
      <c r="JQJ162" s="1181"/>
      <c r="JQK162" s="1181"/>
      <c r="JQL162" s="1181"/>
      <c r="JQM162" s="1181"/>
      <c r="JQN162" s="1181"/>
      <c r="JQO162" s="1181"/>
      <c r="JQP162" s="1181"/>
      <c r="JQQ162" s="1181"/>
      <c r="JQR162" s="1181"/>
      <c r="JQS162" s="1181"/>
      <c r="JQT162" s="1181"/>
      <c r="JQU162" s="1181"/>
      <c r="JQV162" s="1181"/>
      <c r="JQW162" s="1181"/>
      <c r="JQX162" s="1181"/>
      <c r="JQY162" s="1181"/>
      <c r="JQZ162" s="1181"/>
      <c r="JRA162" s="1181"/>
      <c r="JRB162" s="1181"/>
      <c r="JRC162" s="1181"/>
      <c r="JRD162" s="1181"/>
      <c r="JRE162" s="1181"/>
      <c r="JRF162" s="1181"/>
      <c r="JRG162" s="1181"/>
      <c r="JRH162" s="1181"/>
      <c r="JRI162" s="1181"/>
      <c r="JRJ162" s="1181"/>
      <c r="JRK162" s="1181"/>
      <c r="JRL162" s="1181"/>
      <c r="JRM162" s="1181"/>
      <c r="JRN162" s="1181"/>
      <c r="JRO162" s="1181"/>
      <c r="JRP162" s="1181"/>
      <c r="JRQ162" s="1181"/>
      <c r="JRR162" s="1181"/>
      <c r="JRS162" s="1181"/>
      <c r="JRT162" s="1181"/>
      <c r="JRU162" s="1181"/>
      <c r="JRV162" s="1181"/>
      <c r="JRW162" s="1181"/>
      <c r="JRX162" s="1181"/>
      <c r="JRY162" s="1181"/>
      <c r="JRZ162" s="1181"/>
      <c r="JSA162" s="1181"/>
      <c r="JSB162" s="1181"/>
      <c r="JSC162" s="1181"/>
      <c r="JSD162" s="1181"/>
      <c r="JSE162" s="1181"/>
      <c r="JSF162" s="1181"/>
      <c r="JSG162" s="1181"/>
      <c r="JSH162" s="1181"/>
      <c r="JSI162" s="1181"/>
      <c r="JSJ162" s="1181"/>
      <c r="JSK162" s="1181"/>
      <c r="JSL162" s="1181"/>
      <c r="JSM162" s="1181"/>
      <c r="JSN162" s="1181"/>
      <c r="JSO162" s="1181"/>
      <c r="JSP162" s="1181"/>
      <c r="JSQ162" s="1181"/>
      <c r="JSR162" s="1181"/>
      <c r="JSS162" s="1181"/>
      <c r="JST162" s="1181"/>
      <c r="JSU162" s="1181"/>
      <c r="JSV162" s="1181"/>
      <c r="JSW162" s="1181"/>
      <c r="JSX162" s="1181"/>
      <c r="JSY162" s="1181"/>
      <c r="JSZ162" s="1181"/>
      <c r="JTA162" s="1181"/>
      <c r="JTB162" s="1181"/>
      <c r="JTC162" s="1181"/>
      <c r="JTD162" s="1181"/>
      <c r="JTE162" s="1181"/>
      <c r="JTF162" s="1181"/>
      <c r="JTG162" s="1181"/>
      <c r="JTH162" s="1181"/>
      <c r="JTI162" s="1181"/>
      <c r="JTJ162" s="1181"/>
      <c r="JTK162" s="1181"/>
      <c r="JTL162" s="1181"/>
      <c r="JTM162" s="1181"/>
      <c r="JTN162" s="1181"/>
      <c r="JTO162" s="1181"/>
      <c r="JTP162" s="1181"/>
      <c r="JTQ162" s="1181"/>
      <c r="JTR162" s="1181"/>
      <c r="JTS162" s="1181"/>
      <c r="JTT162" s="1181"/>
      <c r="JTU162" s="1181"/>
      <c r="JTV162" s="1181"/>
      <c r="JTW162" s="1181"/>
      <c r="JTX162" s="1181"/>
      <c r="JTY162" s="1181"/>
      <c r="JTZ162" s="1181"/>
      <c r="JUA162" s="1181"/>
      <c r="JUB162" s="1181"/>
      <c r="JUC162" s="1181"/>
      <c r="JUD162" s="1181"/>
      <c r="JUE162" s="1181"/>
      <c r="JUF162" s="1181"/>
      <c r="JUG162" s="1181"/>
      <c r="JUH162" s="1181"/>
      <c r="JUI162" s="1181"/>
      <c r="JUJ162" s="1181"/>
      <c r="JUK162" s="1181"/>
      <c r="JUL162" s="1181"/>
      <c r="JUM162" s="1181"/>
      <c r="JUN162" s="1181"/>
      <c r="JUO162" s="1181"/>
      <c r="JUP162" s="1181"/>
      <c r="JUQ162" s="1181"/>
      <c r="JUR162" s="1181"/>
      <c r="JUS162" s="1181"/>
      <c r="JUT162" s="1181"/>
      <c r="JUU162" s="1181"/>
      <c r="JUV162" s="1181"/>
      <c r="JUW162" s="1181"/>
      <c r="JUX162" s="1181"/>
      <c r="JUY162" s="1181"/>
      <c r="JUZ162" s="1181"/>
      <c r="JVA162" s="1181"/>
      <c r="JVB162" s="1181"/>
      <c r="JVC162" s="1181"/>
      <c r="JVD162" s="1181"/>
      <c r="JVE162" s="1181"/>
      <c r="JVF162" s="1181"/>
      <c r="JVG162" s="1181"/>
      <c r="JVH162" s="1181"/>
      <c r="JVI162" s="1181"/>
      <c r="JVJ162" s="1181"/>
      <c r="JVK162" s="1181"/>
      <c r="JVL162" s="1181"/>
      <c r="JVM162" s="1181"/>
      <c r="JVN162" s="1181"/>
      <c r="JVO162" s="1181"/>
      <c r="JVP162" s="1181"/>
      <c r="JVQ162" s="1181"/>
      <c r="JVR162" s="1181"/>
      <c r="JVS162" s="1181"/>
      <c r="JVT162" s="1181"/>
      <c r="JVU162" s="1181"/>
      <c r="JVV162" s="1181"/>
      <c r="JVW162" s="1181"/>
      <c r="JVX162" s="1181"/>
      <c r="JVY162" s="1181"/>
      <c r="JVZ162" s="1181"/>
      <c r="JWA162" s="1181"/>
      <c r="JWB162" s="1181"/>
      <c r="JWC162" s="1181"/>
      <c r="JWD162" s="1181"/>
      <c r="JWE162" s="1181"/>
      <c r="JWF162" s="1181"/>
      <c r="JWG162" s="1181"/>
      <c r="JWH162" s="1181"/>
      <c r="JWI162" s="1181"/>
      <c r="JWJ162" s="1181"/>
      <c r="JWK162" s="1181"/>
      <c r="JWL162" s="1181"/>
      <c r="JWM162" s="1181"/>
      <c r="JWN162" s="1181"/>
      <c r="JWO162" s="1181"/>
      <c r="JWP162" s="1181"/>
      <c r="JWQ162" s="1181"/>
      <c r="JWR162" s="1181"/>
      <c r="JWS162" s="1181"/>
      <c r="JWT162" s="1181"/>
      <c r="JWU162" s="1181"/>
      <c r="JWV162" s="1181"/>
      <c r="JWW162" s="1181"/>
      <c r="JWX162" s="1181"/>
      <c r="JWY162" s="1181"/>
      <c r="JWZ162" s="1181"/>
      <c r="JXA162" s="1181"/>
      <c r="JXB162" s="1181"/>
      <c r="JXC162" s="1181"/>
      <c r="JXD162" s="1181"/>
      <c r="JXE162" s="1181"/>
      <c r="JXF162" s="1181"/>
      <c r="JXG162" s="1181"/>
      <c r="JXH162" s="1181"/>
      <c r="JXI162" s="1181"/>
      <c r="JXJ162" s="1181"/>
      <c r="JXK162" s="1181"/>
      <c r="JXL162" s="1181"/>
      <c r="JXM162" s="1181"/>
      <c r="JXN162" s="1181"/>
      <c r="JXO162" s="1181"/>
      <c r="JXP162" s="1181"/>
      <c r="JXQ162" s="1181"/>
      <c r="JXR162" s="1181"/>
      <c r="JXS162" s="1181"/>
      <c r="JXT162" s="1181"/>
      <c r="JXU162" s="1181"/>
      <c r="JXV162" s="1181"/>
      <c r="JXW162" s="1181"/>
      <c r="JXX162" s="1181"/>
      <c r="JXY162" s="1181"/>
      <c r="JXZ162" s="1181"/>
      <c r="JYA162" s="1181"/>
      <c r="JYB162" s="1181"/>
      <c r="JYC162" s="1181"/>
      <c r="JYD162" s="1181"/>
      <c r="JYE162" s="1181"/>
      <c r="JYF162" s="1181"/>
      <c r="JYG162" s="1181"/>
      <c r="JYH162" s="1181"/>
      <c r="JYI162" s="1181"/>
      <c r="JYJ162" s="1181"/>
      <c r="JYK162" s="1181"/>
      <c r="JYL162" s="1181"/>
      <c r="JYM162" s="1181"/>
      <c r="JYN162" s="1181"/>
      <c r="JYO162" s="1181"/>
      <c r="JYP162" s="1181"/>
      <c r="JYQ162" s="1181"/>
      <c r="JYR162" s="1181"/>
      <c r="JYS162" s="1181"/>
      <c r="JYT162" s="1181"/>
      <c r="JYU162" s="1181"/>
      <c r="JYV162" s="1181"/>
      <c r="JYW162" s="1181"/>
      <c r="JYX162" s="1181"/>
      <c r="JYY162" s="1181"/>
      <c r="JYZ162" s="1181"/>
      <c r="JZA162" s="1181"/>
      <c r="JZB162" s="1181"/>
      <c r="JZC162" s="1181"/>
      <c r="JZD162" s="1181"/>
      <c r="JZE162" s="1181"/>
      <c r="JZF162" s="1181"/>
      <c r="JZG162" s="1181"/>
      <c r="JZH162" s="1181"/>
      <c r="JZI162" s="1181"/>
      <c r="JZJ162" s="1181"/>
      <c r="JZK162" s="1181"/>
      <c r="JZL162" s="1181"/>
      <c r="JZM162" s="1181"/>
      <c r="JZN162" s="1181"/>
      <c r="JZO162" s="1181"/>
      <c r="JZP162" s="1181"/>
      <c r="JZQ162" s="1181"/>
      <c r="JZR162" s="1181"/>
      <c r="JZS162" s="1181"/>
      <c r="JZT162" s="1181"/>
      <c r="JZU162" s="1181"/>
      <c r="JZV162" s="1181"/>
      <c r="JZW162" s="1181"/>
      <c r="JZX162" s="1181"/>
      <c r="JZY162" s="1181"/>
      <c r="JZZ162" s="1181"/>
      <c r="KAA162" s="1181"/>
      <c r="KAB162" s="1181"/>
      <c r="KAC162" s="1181"/>
      <c r="KAD162" s="1181"/>
      <c r="KAE162" s="1181"/>
      <c r="KAF162" s="1181"/>
      <c r="KAG162" s="1181"/>
      <c r="KAH162" s="1181"/>
      <c r="KAI162" s="1181"/>
      <c r="KAJ162" s="1181"/>
      <c r="KAK162" s="1181"/>
      <c r="KAL162" s="1181"/>
      <c r="KAM162" s="1181"/>
      <c r="KAN162" s="1181"/>
      <c r="KAO162" s="1181"/>
      <c r="KAP162" s="1181"/>
      <c r="KAQ162" s="1181"/>
      <c r="KAR162" s="1181"/>
      <c r="KAS162" s="1181"/>
      <c r="KAT162" s="1181"/>
      <c r="KAU162" s="1181"/>
      <c r="KAV162" s="1181"/>
      <c r="KAW162" s="1181"/>
      <c r="KAX162" s="1181"/>
      <c r="KAY162" s="1181"/>
      <c r="KAZ162" s="1181"/>
      <c r="KBA162" s="1181"/>
      <c r="KBB162" s="1181"/>
      <c r="KBC162" s="1181"/>
      <c r="KBD162" s="1181"/>
      <c r="KBE162" s="1181"/>
      <c r="KBF162" s="1181"/>
      <c r="KBG162" s="1181"/>
      <c r="KBH162" s="1181"/>
      <c r="KBI162" s="1181"/>
      <c r="KBJ162" s="1181"/>
      <c r="KBK162" s="1181"/>
      <c r="KBL162" s="1181"/>
      <c r="KBM162" s="1181"/>
      <c r="KBN162" s="1181"/>
      <c r="KBO162" s="1181"/>
      <c r="KBP162" s="1181"/>
      <c r="KBQ162" s="1181"/>
      <c r="KBR162" s="1181"/>
      <c r="KBS162" s="1181"/>
      <c r="KBT162" s="1181"/>
      <c r="KBU162" s="1181"/>
      <c r="KBV162" s="1181"/>
      <c r="KBW162" s="1181"/>
      <c r="KBX162" s="1181"/>
      <c r="KBY162" s="1181"/>
      <c r="KBZ162" s="1181"/>
      <c r="KCA162" s="1181"/>
      <c r="KCB162" s="1181"/>
      <c r="KCC162" s="1181"/>
      <c r="KCD162" s="1181"/>
      <c r="KCE162" s="1181"/>
      <c r="KCF162" s="1181"/>
      <c r="KCG162" s="1181"/>
      <c r="KCH162" s="1181"/>
      <c r="KCI162" s="1181"/>
      <c r="KCJ162" s="1181"/>
      <c r="KCK162" s="1181"/>
      <c r="KCL162" s="1181"/>
      <c r="KCM162" s="1181"/>
      <c r="KCN162" s="1181"/>
      <c r="KCO162" s="1181"/>
      <c r="KCP162" s="1181"/>
      <c r="KCQ162" s="1181"/>
      <c r="KCR162" s="1181"/>
      <c r="KCS162" s="1181"/>
      <c r="KCT162" s="1181"/>
      <c r="KCU162" s="1181"/>
      <c r="KCV162" s="1181"/>
      <c r="KCW162" s="1181"/>
      <c r="KCX162" s="1181"/>
      <c r="KCY162" s="1181"/>
      <c r="KCZ162" s="1181"/>
      <c r="KDA162" s="1181"/>
      <c r="KDB162" s="1181"/>
      <c r="KDC162" s="1181"/>
      <c r="KDD162" s="1181"/>
      <c r="KDE162" s="1181"/>
      <c r="KDF162" s="1181"/>
      <c r="KDG162" s="1181"/>
      <c r="KDH162" s="1181"/>
      <c r="KDI162" s="1181"/>
      <c r="KDJ162" s="1181"/>
      <c r="KDK162" s="1181"/>
      <c r="KDL162" s="1181"/>
      <c r="KDM162" s="1181"/>
      <c r="KDN162" s="1181"/>
      <c r="KDO162" s="1181"/>
      <c r="KDP162" s="1181"/>
      <c r="KDQ162" s="1181"/>
      <c r="KDR162" s="1181"/>
      <c r="KDS162" s="1181"/>
      <c r="KDT162" s="1181"/>
      <c r="KDU162" s="1181"/>
      <c r="KDV162" s="1181"/>
      <c r="KDW162" s="1181"/>
      <c r="KDX162" s="1181"/>
      <c r="KDY162" s="1181"/>
      <c r="KDZ162" s="1181"/>
      <c r="KEA162" s="1181"/>
      <c r="KEB162" s="1181"/>
      <c r="KEC162" s="1181"/>
      <c r="KED162" s="1181"/>
      <c r="KEE162" s="1181"/>
      <c r="KEF162" s="1181"/>
      <c r="KEG162" s="1181"/>
      <c r="KEH162" s="1181"/>
      <c r="KEI162" s="1181"/>
      <c r="KEJ162" s="1181"/>
      <c r="KEK162" s="1181"/>
      <c r="KEL162" s="1181"/>
      <c r="KEM162" s="1181"/>
      <c r="KEN162" s="1181"/>
      <c r="KEO162" s="1181"/>
      <c r="KEP162" s="1181"/>
      <c r="KEQ162" s="1181"/>
      <c r="KER162" s="1181"/>
      <c r="KES162" s="1181"/>
      <c r="KET162" s="1181"/>
      <c r="KEU162" s="1181"/>
      <c r="KEV162" s="1181"/>
      <c r="KEW162" s="1181"/>
      <c r="KEX162" s="1181"/>
      <c r="KEY162" s="1181"/>
      <c r="KEZ162" s="1181"/>
      <c r="KFA162" s="1181"/>
      <c r="KFB162" s="1181"/>
      <c r="KFC162" s="1181"/>
      <c r="KFD162" s="1181"/>
      <c r="KFE162" s="1181"/>
      <c r="KFF162" s="1181"/>
      <c r="KFG162" s="1181"/>
      <c r="KFH162" s="1181"/>
      <c r="KFI162" s="1181"/>
      <c r="KFJ162" s="1181"/>
      <c r="KFK162" s="1181"/>
      <c r="KFL162" s="1181"/>
      <c r="KFM162" s="1181"/>
      <c r="KFN162" s="1181"/>
      <c r="KFO162" s="1181"/>
      <c r="KFP162" s="1181"/>
      <c r="KFQ162" s="1181"/>
      <c r="KFR162" s="1181"/>
      <c r="KFS162" s="1181"/>
      <c r="KFT162" s="1181"/>
      <c r="KFU162" s="1181"/>
      <c r="KFV162" s="1181"/>
      <c r="KFW162" s="1181"/>
      <c r="KFX162" s="1181"/>
      <c r="KFY162" s="1181"/>
      <c r="KFZ162" s="1181"/>
      <c r="KGA162" s="1181"/>
      <c r="KGB162" s="1181"/>
      <c r="KGC162" s="1181"/>
      <c r="KGD162" s="1181"/>
      <c r="KGE162" s="1181"/>
      <c r="KGF162" s="1181"/>
      <c r="KGG162" s="1181"/>
      <c r="KGH162" s="1181"/>
      <c r="KGI162" s="1181"/>
      <c r="KGJ162" s="1181"/>
      <c r="KGK162" s="1181"/>
      <c r="KGL162" s="1181"/>
      <c r="KGM162" s="1181"/>
      <c r="KGN162" s="1181"/>
      <c r="KGO162" s="1181"/>
      <c r="KGP162" s="1181"/>
      <c r="KGQ162" s="1181"/>
      <c r="KGR162" s="1181"/>
      <c r="KGS162" s="1181"/>
      <c r="KGT162" s="1181"/>
      <c r="KGU162" s="1181"/>
      <c r="KGV162" s="1181"/>
      <c r="KGW162" s="1181"/>
      <c r="KGX162" s="1181"/>
      <c r="KGY162" s="1181"/>
      <c r="KGZ162" s="1181"/>
      <c r="KHA162" s="1181"/>
      <c r="KHB162" s="1181"/>
      <c r="KHC162" s="1181"/>
      <c r="KHD162" s="1181"/>
      <c r="KHE162" s="1181"/>
      <c r="KHF162" s="1181"/>
      <c r="KHG162" s="1181"/>
      <c r="KHH162" s="1181"/>
      <c r="KHI162" s="1181"/>
      <c r="KHJ162" s="1181"/>
      <c r="KHK162" s="1181"/>
      <c r="KHL162" s="1181"/>
      <c r="KHM162" s="1181"/>
      <c r="KHN162" s="1181"/>
      <c r="KHO162" s="1181"/>
      <c r="KHP162" s="1181"/>
      <c r="KHQ162" s="1181"/>
      <c r="KHR162" s="1181"/>
      <c r="KHS162" s="1181"/>
      <c r="KHT162" s="1181"/>
      <c r="KHU162" s="1181"/>
      <c r="KHV162" s="1181"/>
      <c r="KHW162" s="1181"/>
      <c r="KHX162" s="1181"/>
      <c r="KHY162" s="1181"/>
      <c r="KHZ162" s="1181"/>
      <c r="KIA162" s="1181"/>
      <c r="KIB162" s="1181"/>
      <c r="KIC162" s="1181"/>
      <c r="KID162" s="1181"/>
      <c r="KIE162" s="1181"/>
      <c r="KIF162" s="1181"/>
      <c r="KIG162" s="1181"/>
      <c r="KIH162" s="1181"/>
      <c r="KII162" s="1181"/>
      <c r="KIJ162" s="1181"/>
      <c r="KIK162" s="1181"/>
      <c r="KIL162" s="1181"/>
      <c r="KIM162" s="1181"/>
      <c r="KIN162" s="1181"/>
      <c r="KIO162" s="1181"/>
      <c r="KIP162" s="1181"/>
      <c r="KIQ162" s="1181"/>
      <c r="KIR162" s="1181"/>
      <c r="KIS162" s="1181"/>
      <c r="KIT162" s="1181"/>
      <c r="KIU162" s="1181"/>
      <c r="KIV162" s="1181"/>
      <c r="KIW162" s="1181"/>
      <c r="KIX162" s="1181"/>
      <c r="KIY162" s="1181"/>
      <c r="KIZ162" s="1181"/>
      <c r="KJA162" s="1181"/>
      <c r="KJB162" s="1181"/>
      <c r="KJC162" s="1181"/>
      <c r="KJD162" s="1181"/>
      <c r="KJE162" s="1181"/>
      <c r="KJF162" s="1181"/>
      <c r="KJG162" s="1181"/>
      <c r="KJH162" s="1181"/>
      <c r="KJI162" s="1181"/>
      <c r="KJJ162" s="1181"/>
      <c r="KJK162" s="1181"/>
      <c r="KJL162" s="1181"/>
      <c r="KJM162" s="1181"/>
      <c r="KJN162" s="1181"/>
      <c r="KJO162" s="1181"/>
      <c r="KJP162" s="1181"/>
      <c r="KJQ162" s="1181"/>
      <c r="KJR162" s="1181"/>
      <c r="KJS162" s="1181"/>
      <c r="KJT162" s="1181"/>
      <c r="KJU162" s="1181"/>
      <c r="KJV162" s="1181"/>
      <c r="KJW162" s="1181"/>
      <c r="KJX162" s="1181"/>
      <c r="KJY162" s="1181"/>
      <c r="KJZ162" s="1181"/>
      <c r="KKA162" s="1181"/>
      <c r="KKB162" s="1181"/>
      <c r="KKC162" s="1181"/>
      <c r="KKD162" s="1181"/>
      <c r="KKE162" s="1181"/>
      <c r="KKF162" s="1181"/>
      <c r="KKG162" s="1181"/>
      <c r="KKH162" s="1181"/>
      <c r="KKI162" s="1181"/>
      <c r="KKJ162" s="1181"/>
      <c r="KKK162" s="1181"/>
      <c r="KKL162" s="1181"/>
      <c r="KKM162" s="1181"/>
      <c r="KKN162" s="1181"/>
      <c r="KKO162" s="1181"/>
      <c r="KKP162" s="1181"/>
      <c r="KKQ162" s="1181"/>
      <c r="KKR162" s="1181"/>
      <c r="KKS162" s="1181"/>
      <c r="KKT162" s="1181"/>
      <c r="KKU162" s="1181"/>
      <c r="KKV162" s="1181"/>
      <c r="KKW162" s="1181"/>
      <c r="KKX162" s="1181"/>
      <c r="KKY162" s="1181"/>
      <c r="KKZ162" s="1181"/>
      <c r="KLA162" s="1181"/>
      <c r="KLB162" s="1181"/>
      <c r="KLC162" s="1181"/>
      <c r="KLD162" s="1181"/>
      <c r="KLE162" s="1181"/>
      <c r="KLF162" s="1181"/>
      <c r="KLG162" s="1181"/>
      <c r="KLH162" s="1181"/>
      <c r="KLI162" s="1181"/>
      <c r="KLJ162" s="1181"/>
      <c r="KLK162" s="1181"/>
      <c r="KLL162" s="1181"/>
      <c r="KLM162" s="1181"/>
      <c r="KLN162" s="1181"/>
      <c r="KLO162" s="1181"/>
      <c r="KLP162" s="1181"/>
      <c r="KLQ162" s="1181"/>
      <c r="KLR162" s="1181"/>
      <c r="KLS162" s="1181"/>
      <c r="KLT162" s="1181"/>
      <c r="KLU162" s="1181"/>
      <c r="KLV162" s="1181"/>
      <c r="KLW162" s="1181"/>
      <c r="KLX162" s="1181"/>
      <c r="KLY162" s="1181"/>
      <c r="KLZ162" s="1181"/>
      <c r="KMA162" s="1181"/>
      <c r="KMB162" s="1181"/>
      <c r="KMC162" s="1181"/>
      <c r="KMD162" s="1181"/>
      <c r="KME162" s="1181"/>
      <c r="KMF162" s="1181"/>
      <c r="KMG162" s="1181"/>
      <c r="KMH162" s="1181"/>
      <c r="KMI162" s="1181"/>
      <c r="KMJ162" s="1181"/>
      <c r="KMK162" s="1181"/>
      <c r="KML162" s="1181"/>
      <c r="KMM162" s="1181"/>
      <c r="KMN162" s="1181"/>
      <c r="KMO162" s="1181"/>
      <c r="KMP162" s="1181"/>
      <c r="KMQ162" s="1181"/>
      <c r="KMR162" s="1181"/>
      <c r="KMS162" s="1181"/>
      <c r="KMT162" s="1181"/>
      <c r="KMU162" s="1181"/>
      <c r="KMV162" s="1181"/>
      <c r="KMW162" s="1181"/>
      <c r="KMX162" s="1181"/>
      <c r="KMY162" s="1181"/>
      <c r="KMZ162" s="1181"/>
      <c r="KNA162" s="1181"/>
      <c r="KNB162" s="1181"/>
      <c r="KNC162" s="1181"/>
      <c r="KND162" s="1181"/>
      <c r="KNE162" s="1181"/>
      <c r="KNF162" s="1181"/>
      <c r="KNG162" s="1181"/>
      <c r="KNH162" s="1181"/>
      <c r="KNI162" s="1181"/>
      <c r="KNJ162" s="1181"/>
      <c r="KNK162" s="1181"/>
      <c r="KNL162" s="1181"/>
      <c r="KNM162" s="1181"/>
      <c r="KNN162" s="1181"/>
      <c r="KNO162" s="1181"/>
      <c r="KNP162" s="1181"/>
      <c r="KNQ162" s="1181"/>
      <c r="KNR162" s="1181"/>
      <c r="KNS162" s="1181"/>
      <c r="KNT162" s="1181"/>
      <c r="KNU162" s="1181"/>
      <c r="KNV162" s="1181"/>
      <c r="KNW162" s="1181"/>
      <c r="KNX162" s="1181"/>
      <c r="KNY162" s="1181"/>
      <c r="KNZ162" s="1181"/>
      <c r="KOA162" s="1181"/>
      <c r="KOB162" s="1181"/>
      <c r="KOC162" s="1181"/>
      <c r="KOD162" s="1181"/>
      <c r="KOE162" s="1181"/>
      <c r="KOF162" s="1181"/>
      <c r="KOG162" s="1181"/>
      <c r="KOH162" s="1181"/>
      <c r="KOI162" s="1181"/>
      <c r="KOJ162" s="1181"/>
      <c r="KOK162" s="1181"/>
      <c r="KOL162" s="1181"/>
      <c r="KOM162" s="1181"/>
      <c r="KON162" s="1181"/>
      <c r="KOO162" s="1181"/>
      <c r="KOP162" s="1181"/>
      <c r="KOQ162" s="1181"/>
      <c r="KOR162" s="1181"/>
      <c r="KOS162" s="1181"/>
      <c r="KOT162" s="1181"/>
      <c r="KOU162" s="1181"/>
      <c r="KOV162" s="1181"/>
      <c r="KOW162" s="1181"/>
      <c r="KOX162" s="1181"/>
      <c r="KOY162" s="1181"/>
      <c r="KOZ162" s="1181"/>
      <c r="KPA162" s="1181"/>
      <c r="KPB162" s="1181"/>
      <c r="KPC162" s="1181"/>
      <c r="KPD162" s="1181"/>
      <c r="KPE162" s="1181"/>
      <c r="KPF162" s="1181"/>
      <c r="KPG162" s="1181"/>
      <c r="KPH162" s="1181"/>
      <c r="KPI162" s="1181"/>
      <c r="KPJ162" s="1181"/>
      <c r="KPK162" s="1181"/>
      <c r="KPL162" s="1181"/>
      <c r="KPM162" s="1181"/>
      <c r="KPN162" s="1181"/>
      <c r="KPO162" s="1181"/>
      <c r="KPP162" s="1181"/>
      <c r="KPQ162" s="1181"/>
      <c r="KPR162" s="1181"/>
      <c r="KPS162" s="1181"/>
      <c r="KPT162" s="1181"/>
      <c r="KPU162" s="1181"/>
      <c r="KPV162" s="1181"/>
      <c r="KPW162" s="1181"/>
      <c r="KPX162" s="1181"/>
      <c r="KPY162" s="1181"/>
      <c r="KPZ162" s="1181"/>
      <c r="KQA162" s="1181"/>
      <c r="KQB162" s="1181"/>
      <c r="KQC162" s="1181"/>
      <c r="KQD162" s="1181"/>
      <c r="KQE162" s="1181"/>
      <c r="KQF162" s="1181"/>
      <c r="KQG162" s="1181"/>
      <c r="KQH162" s="1181"/>
      <c r="KQI162" s="1181"/>
      <c r="KQJ162" s="1181"/>
      <c r="KQK162" s="1181"/>
      <c r="KQL162" s="1181"/>
      <c r="KQM162" s="1181"/>
      <c r="KQN162" s="1181"/>
      <c r="KQO162" s="1181"/>
      <c r="KQP162" s="1181"/>
      <c r="KQQ162" s="1181"/>
      <c r="KQR162" s="1181"/>
      <c r="KQS162" s="1181"/>
      <c r="KQT162" s="1181"/>
      <c r="KQU162" s="1181"/>
      <c r="KQV162" s="1181"/>
      <c r="KQW162" s="1181"/>
      <c r="KQX162" s="1181"/>
      <c r="KQY162" s="1181"/>
      <c r="KQZ162" s="1181"/>
      <c r="KRA162" s="1181"/>
      <c r="KRB162" s="1181"/>
      <c r="KRC162" s="1181"/>
      <c r="KRD162" s="1181"/>
      <c r="KRE162" s="1181"/>
      <c r="KRF162" s="1181"/>
      <c r="KRG162" s="1181"/>
      <c r="KRH162" s="1181"/>
      <c r="KRI162" s="1181"/>
      <c r="KRJ162" s="1181"/>
      <c r="KRK162" s="1181"/>
      <c r="KRL162" s="1181"/>
      <c r="KRM162" s="1181"/>
      <c r="KRN162" s="1181"/>
      <c r="KRO162" s="1181"/>
      <c r="KRP162" s="1181"/>
      <c r="KRQ162" s="1181"/>
      <c r="KRR162" s="1181"/>
      <c r="KRS162" s="1181"/>
      <c r="KRT162" s="1181"/>
      <c r="KRU162" s="1181"/>
      <c r="KRV162" s="1181"/>
      <c r="KRW162" s="1181"/>
      <c r="KRX162" s="1181"/>
      <c r="KRY162" s="1181"/>
      <c r="KRZ162" s="1181"/>
      <c r="KSA162" s="1181"/>
      <c r="KSB162" s="1181"/>
      <c r="KSC162" s="1181"/>
      <c r="KSD162" s="1181"/>
      <c r="KSE162" s="1181"/>
      <c r="KSF162" s="1181"/>
      <c r="KSG162" s="1181"/>
      <c r="KSH162" s="1181"/>
      <c r="KSI162" s="1181"/>
      <c r="KSJ162" s="1181"/>
      <c r="KSK162" s="1181"/>
      <c r="KSL162" s="1181"/>
      <c r="KSM162" s="1181"/>
      <c r="KSN162" s="1181"/>
      <c r="KSO162" s="1181"/>
      <c r="KSP162" s="1181"/>
      <c r="KSQ162" s="1181"/>
      <c r="KSR162" s="1181"/>
      <c r="KSS162" s="1181"/>
      <c r="KST162" s="1181"/>
      <c r="KSU162" s="1181"/>
      <c r="KSV162" s="1181"/>
      <c r="KSW162" s="1181"/>
      <c r="KSX162" s="1181"/>
      <c r="KSY162" s="1181"/>
      <c r="KSZ162" s="1181"/>
      <c r="KTA162" s="1181"/>
      <c r="KTB162" s="1181"/>
      <c r="KTC162" s="1181"/>
      <c r="KTD162" s="1181"/>
      <c r="KTE162" s="1181"/>
      <c r="KTF162" s="1181"/>
      <c r="KTG162" s="1181"/>
      <c r="KTH162" s="1181"/>
      <c r="KTI162" s="1181"/>
      <c r="KTJ162" s="1181"/>
      <c r="KTK162" s="1181"/>
      <c r="KTL162" s="1181"/>
      <c r="KTM162" s="1181"/>
      <c r="KTN162" s="1181"/>
      <c r="KTO162" s="1181"/>
      <c r="KTP162" s="1181"/>
      <c r="KTQ162" s="1181"/>
      <c r="KTR162" s="1181"/>
      <c r="KTS162" s="1181"/>
      <c r="KTT162" s="1181"/>
      <c r="KTU162" s="1181"/>
      <c r="KTV162" s="1181"/>
      <c r="KTW162" s="1181"/>
      <c r="KTX162" s="1181"/>
      <c r="KTY162" s="1181"/>
      <c r="KTZ162" s="1181"/>
      <c r="KUA162" s="1181"/>
      <c r="KUB162" s="1181"/>
      <c r="KUC162" s="1181"/>
      <c r="KUD162" s="1181"/>
      <c r="KUE162" s="1181"/>
      <c r="KUF162" s="1181"/>
      <c r="KUG162" s="1181"/>
      <c r="KUH162" s="1181"/>
      <c r="KUI162" s="1181"/>
      <c r="KUJ162" s="1181"/>
      <c r="KUK162" s="1181"/>
      <c r="KUL162" s="1181"/>
      <c r="KUM162" s="1181"/>
      <c r="KUN162" s="1181"/>
      <c r="KUO162" s="1181"/>
      <c r="KUP162" s="1181"/>
      <c r="KUQ162" s="1181"/>
      <c r="KUR162" s="1181"/>
      <c r="KUS162" s="1181"/>
      <c r="KUT162" s="1181"/>
      <c r="KUU162" s="1181"/>
      <c r="KUV162" s="1181"/>
      <c r="KUW162" s="1181"/>
      <c r="KUX162" s="1181"/>
      <c r="KUY162" s="1181"/>
      <c r="KUZ162" s="1181"/>
      <c r="KVA162" s="1181"/>
      <c r="KVB162" s="1181"/>
      <c r="KVC162" s="1181"/>
      <c r="KVD162" s="1181"/>
      <c r="KVE162" s="1181"/>
      <c r="KVF162" s="1181"/>
      <c r="KVG162" s="1181"/>
      <c r="KVH162" s="1181"/>
      <c r="KVI162" s="1181"/>
      <c r="KVJ162" s="1181"/>
      <c r="KVK162" s="1181"/>
      <c r="KVL162" s="1181"/>
      <c r="KVM162" s="1181"/>
      <c r="KVN162" s="1181"/>
      <c r="KVO162" s="1181"/>
      <c r="KVP162" s="1181"/>
      <c r="KVQ162" s="1181"/>
      <c r="KVR162" s="1181"/>
      <c r="KVS162" s="1181"/>
      <c r="KVT162" s="1181"/>
      <c r="KVU162" s="1181"/>
      <c r="KVV162" s="1181"/>
      <c r="KVW162" s="1181"/>
      <c r="KVX162" s="1181"/>
      <c r="KVY162" s="1181"/>
      <c r="KVZ162" s="1181"/>
      <c r="KWA162" s="1181"/>
      <c r="KWB162" s="1181"/>
      <c r="KWC162" s="1181"/>
      <c r="KWD162" s="1181"/>
      <c r="KWE162" s="1181"/>
      <c r="KWF162" s="1181"/>
      <c r="KWG162" s="1181"/>
      <c r="KWH162" s="1181"/>
      <c r="KWI162" s="1181"/>
      <c r="KWJ162" s="1181"/>
      <c r="KWK162" s="1181"/>
      <c r="KWL162" s="1181"/>
      <c r="KWM162" s="1181"/>
      <c r="KWN162" s="1181"/>
      <c r="KWO162" s="1181"/>
      <c r="KWP162" s="1181"/>
      <c r="KWQ162" s="1181"/>
      <c r="KWR162" s="1181"/>
      <c r="KWS162" s="1181"/>
      <c r="KWT162" s="1181"/>
      <c r="KWU162" s="1181"/>
      <c r="KWV162" s="1181"/>
      <c r="KWW162" s="1181"/>
      <c r="KWX162" s="1181"/>
      <c r="KWY162" s="1181"/>
      <c r="KWZ162" s="1181"/>
      <c r="KXA162" s="1181"/>
      <c r="KXB162" s="1181"/>
      <c r="KXC162" s="1181"/>
      <c r="KXD162" s="1181"/>
      <c r="KXE162" s="1181"/>
      <c r="KXF162" s="1181"/>
      <c r="KXG162" s="1181"/>
      <c r="KXH162" s="1181"/>
      <c r="KXI162" s="1181"/>
      <c r="KXJ162" s="1181"/>
      <c r="KXK162" s="1181"/>
      <c r="KXL162" s="1181"/>
      <c r="KXM162" s="1181"/>
      <c r="KXN162" s="1181"/>
      <c r="KXO162" s="1181"/>
      <c r="KXP162" s="1181"/>
      <c r="KXQ162" s="1181"/>
      <c r="KXR162" s="1181"/>
      <c r="KXS162" s="1181"/>
      <c r="KXT162" s="1181"/>
      <c r="KXU162" s="1181"/>
      <c r="KXV162" s="1181"/>
      <c r="KXW162" s="1181"/>
      <c r="KXX162" s="1181"/>
      <c r="KXY162" s="1181"/>
      <c r="KXZ162" s="1181"/>
      <c r="KYA162" s="1181"/>
      <c r="KYB162" s="1181"/>
      <c r="KYC162" s="1181"/>
      <c r="KYD162" s="1181"/>
      <c r="KYE162" s="1181"/>
      <c r="KYF162" s="1181"/>
      <c r="KYG162" s="1181"/>
      <c r="KYH162" s="1181"/>
      <c r="KYI162" s="1181"/>
      <c r="KYJ162" s="1181"/>
      <c r="KYK162" s="1181"/>
      <c r="KYL162" s="1181"/>
      <c r="KYM162" s="1181"/>
      <c r="KYN162" s="1181"/>
      <c r="KYO162" s="1181"/>
      <c r="KYP162" s="1181"/>
      <c r="KYQ162" s="1181"/>
      <c r="KYR162" s="1181"/>
      <c r="KYS162" s="1181"/>
      <c r="KYT162" s="1181"/>
      <c r="KYU162" s="1181"/>
      <c r="KYV162" s="1181"/>
      <c r="KYW162" s="1181"/>
      <c r="KYX162" s="1181"/>
      <c r="KYY162" s="1181"/>
      <c r="KYZ162" s="1181"/>
      <c r="KZA162" s="1181"/>
      <c r="KZB162" s="1181"/>
      <c r="KZC162" s="1181"/>
      <c r="KZD162" s="1181"/>
      <c r="KZE162" s="1181"/>
      <c r="KZF162" s="1181"/>
      <c r="KZG162" s="1181"/>
      <c r="KZH162" s="1181"/>
      <c r="KZI162" s="1181"/>
      <c r="KZJ162" s="1181"/>
      <c r="KZK162" s="1181"/>
      <c r="KZL162" s="1181"/>
      <c r="KZM162" s="1181"/>
      <c r="KZN162" s="1181"/>
      <c r="KZO162" s="1181"/>
      <c r="KZP162" s="1181"/>
      <c r="KZQ162" s="1181"/>
      <c r="KZR162" s="1181"/>
      <c r="KZS162" s="1181"/>
      <c r="KZT162" s="1181"/>
      <c r="KZU162" s="1181"/>
      <c r="KZV162" s="1181"/>
      <c r="KZW162" s="1181"/>
      <c r="KZX162" s="1181"/>
      <c r="KZY162" s="1181"/>
      <c r="KZZ162" s="1181"/>
      <c r="LAA162" s="1181"/>
      <c r="LAB162" s="1181"/>
      <c r="LAC162" s="1181"/>
      <c r="LAD162" s="1181"/>
      <c r="LAE162" s="1181"/>
      <c r="LAF162" s="1181"/>
      <c r="LAG162" s="1181"/>
      <c r="LAH162" s="1181"/>
      <c r="LAI162" s="1181"/>
      <c r="LAJ162" s="1181"/>
      <c r="LAK162" s="1181"/>
      <c r="LAL162" s="1181"/>
      <c r="LAM162" s="1181"/>
      <c r="LAN162" s="1181"/>
      <c r="LAO162" s="1181"/>
      <c r="LAP162" s="1181"/>
      <c r="LAQ162" s="1181"/>
      <c r="LAR162" s="1181"/>
      <c r="LAS162" s="1181"/>
      <c r="LAT162" s="1181"/>
      <c r="LAU162" s="1181"/>
      <c r="LAV162" s="1181"/>
      <c r="LAW162" s="1181"/>
      <c r="LAX162" s="1181"/>
      <c r="LAY162" s="1181"/>
      <c r="LAZ162" s="1181"/>
      <c r="LBA162" s="1181"/>
      <c r="LBB162" s="1181"/>
      <c r="LBC162" s="1181"/>
      <c r="LBD162" s="1181"/>
      <c r="LBE162" s="1181"/>
      <c r="LBF162" s="1181"/>
      <c r="LBG162" s="1181"/>
      <c r="LBH162" s="1181"/>
      <c r="LBI162" s="1181"/>
      <c r="LBJ162" s="1181"/>
      <c r="LBK162" s="1181"/>
      <c r="LBL162" s="1181"/>
      <c r="LBM162" s="1181"/>
      <c r="LBN162" s="1181"/>
      <c r="LBO162" s="1181"/>
      <c r="LBP162" s="1181"/>
      <c r="LBQ162" s="1181"/>
      <c r="LBR162" s="1181"/>
      <c r="LBS162" s="1181"/>
      <c r="LBT162" s="1181"/>
      <c r="LBU162" s="1181"/>
      <c r="LBV162" s="1181"/>
      <c r="LBW162" s="1181"/>
      <c r="LBX162" s="1181"/>
      <c r="LBY162" s="1181"/>
      <c r="LBZ162" s="1181"/>
      <c r="LCA162" s="1181"/>
      <c r="LCB162" s="1181"/>
      <c r="LCC162" s="1181"/>
      <c r="LCD162" s="1181"/>
      <c r="LCE162" s="1181"/>
      <c r="LCF162" s="1181"/>
      <c r="LCG162" s="1181"/>
      <c r="LCH162" s="1181"/>
      <c r="LCI162" s="1181"/>
      <c r="LCJ162" s="1181"/>
      <c r="LCK162" s="1181"/>
      <c r="LCL162" s="1181"/>
      <c r="LCM162" s="1181"/>
      <c r="LCN162" s="1181"/>
      <c r="LCO162" s="1181"/>
      <c r="LCP162" s="1181"/>
      <c r="LCQ162" s="1181"/>
      <c r="LCR162" s="1181"/>
      <c r="LCS162" s="1181"/>
      <c r="LCT162" s="1181"/>
      <c r="LCU162" s="1181"/>
      <c r="LCV162" s="1181"/>
      <c r="LCW162" s="1181"/>
      <c r="LCX162" s="1181"/>
      <c r="LCY162" s="1181"/>
      <c r="LCZ162" s="1181"/>
      <c r="LDA162" s="1181"/>
      <c r="LDB162" s="1181"/>
      <c r="LDC162" s="1181"/>
      <c r="LDD162" s="1181"/>
      <c r="LDE162" s="1181"/>
      <c r="LDF162" s="1181"/>
      <c r="LDG162" s="1181"/>
      <c r="LDH162" s="1181"/>
      <c r="LDI162" s="1181"/>
      <c r="LDJ162" s="1181"/>
      <c r="LDK162" s="1181"/>
      <c r="LDL162" s="1181"/>
      <c r="LDM162" s="1181"/>
      <c r="LDN162" s="1181"/>
      <c r="LDO162" s="1181"/>
      <c r="LDP162" s="1181"/>
      <c r="LDQ162" s="1181"/>
      <c r="LDR162" s="1181"/>
      <c r="LDS162" s="1181"/>
      <c r="LDT162" s="1181"/>
      <c r="LDU162" s="1181"/>
      <c r="LDV162" s="1181"/>
      <c r="LDW162" s="1181"/>
      <c r="LDX162" s="1181"/>
      <c r="LDY162" s="1181"/>
      <c r="LDZ162" s="1181"/>
      <c r="LEA162" s="1181"/>
      <c r="LEB162" s="1181"/>
      <c r="LEC162" s="1181"/>
      <c r="LED162" s="1181"/>
      <c r="LEE162" s="1181"/>
      <c r="LEF162" s="1181"/>
      <c r="LEG162" s="1181"/>
      <c r="LEH162" s="1181"/>
      <c r="LEI162" s="1181"/>
      <c r="LEJ162" s="1181"/>
      <c r="LEK162" s="1181"/>
      <c r="LEL162" s="1181"/>
      <c r="LEM162" s="1181"/>
      <c r="LEN162" s="1181"/>
      <c r="LEO162" s="1181"/>
      <c r="LEP162" s="1181"/>
      <c r="LEQ162" s="1181"/>
      <c r="LER162" s="1181"/>
      <c r="LES162" s="1181"/>
      <c r="LET162" s="1181"/>
      <c r="LEU162" s="1181"/>
      <c r="LEV162" s="1181"/>
      <c r="LEW162" s="1181"/>
      <c r="LEX162" s="1181"/>
      <c r="LEY162" s="1181"/>
      <c r="LEZ162" s="1181"/>
      <c r="LFA162" s="1181"/>
      <c r="LFB162" s="1181"/>
      <c r="LFC162" s="1181"/>
      <c r="LFD162" s="1181"/>
      <c r="LFE162" s="1181"/>
      <c r="LFF162" s="1181"/>
      <c r="LFG162" s="1181"/>
      <c r="LFH162" s="1181"/>
      <c r="LFI162" s="1181"/>
      <c r="LFJ162" s="1181"/>
      <c r="LFK162" s="1181"/>
      <c r="LFL162" s="1181"/>
      <c r="LFM162" s="1181"/>
      <c r="LFN162" s="1181"/>
      <c r="LFO162" s="1181"/>
      <c r="LFP162" s="1181"/>
      <c r="LFQ162" s="1181"/>
      <c r="LFR162" s="1181"/>
      <c r="LFS162" s="1181"/>
      <c r="LFT162" s="1181"/>
      <c r="LFU162" s="1181"/>
      <c r="LFV162" s="1181"/>
      <c r="LFW162" s="1181"/>
      <c r="LFX162" s="1181"/>
      <c r="LFY162" s="1181"/>
      <c r="LFZ162" s="1181"/>
      <c r="LGA162" s="1181"/>
      <c r="LGB162" s="1181"/>
      <c r="LGC162" s="1181"/>
      <c r="LGD162" s="1181"/>
      <c r="LGE162" s="1181"/>
      <c r="LGF162" s="1181"/>
      <c r="LGG162" s="1181"/>
      <c r="LGH162" s="1181"/>
      <c r="LGI162" s="1181"/>
      <c r="LGJ162" s="1181"/>
      <c r="LGK162" s="1181"/>
      <c r="LGL162" s="1181"/>
      <c r="LGM162" s="1181"/>
      <c r="LGN162" s="1181"/>
      <c r="LGO162" s="1181"/>
      <c r="LGP162" s="1181"/>
      <c r="LGQ162" s="1181"/>
      <c r="LGR162" s="1181"/>
      <c r="LGS162" s="1181"/>
      <c r="LGT162" s="1181"/>
      <c r="LGU162" s="1181"/>
      <c r="LGV162" s="1181"/>
      <c r="LGW162" s="1181"/>
      <c r="LGX162" s="1181"/>
      <c r="LGY162" s="1181"/>
      <c r="LGZ162" s="1181"/>
      <c r="LHA162" s="1181"/>
      <c r="LHB162" s="1181"/>
      <c r="LHC162" s="1181"/>
      <c r="LHD162" s="1181"/>
      <c r="LHE162" s="1181"/>
      <c r="LHF162" s="1181"/>
      <c r="LHG162" s="1181"/>
      <c r="LHH162" s="1181"/>
      <c r="LHI162" s="1181"/>
      <c r="LHJ162" s="1181"/>
      <c r="LHK162" s="1181"/>
      <c r="LHL162" s="1181"/>
      <c r="LHM162" s="1181"/>
      <c r="LHN162" s="1181"/>
      <c r="LHO162" s="1181"/>
      <c r="LHP162" s="1181"/>
      <c r="LHQ162" s="1181"/>
      <c r="LHR162" s="1181"/>
      <c r="LHS162" s="1181"/>
      <c r="LHT162" s="1181"/>
      <c r="LHU162" s="1181"/>
      <c r="LHV162" s="1181"/>
      <c r="LHW162" s="1181"/>
      <c r="LHX162" s="1181"/>
      <c r="LHY162" s="1181"/>
      <c r="LHZ162" s="1181"/>
      <c r="LIA162" s="1181"/>
      <c r="LIB162" s="1181"/>
      <c r="LIC162" s="1181"/>
      <c r="LID162" s="1181"/>
      <c r="LIE162" s="1181"/>
      <c r="LIF162" s="1181"/>
      <c r="LIG162" s="1181"/>
      <c r="LIH162" s="1181"/>
      <c r="LII162" s="1181"/>
      <c r="LIJ162" s="1181"/>
      <c r="LIK162" s="1181"/>
      <c r="LIL162" s="1181"/>
      <c r="LIM162" s="1181"/>
      <c r="LIN162" s="1181"/>
      <c r="LIO162" s="1181"/>
      <c r="LIP162" s="1181"/>
      <c r="LIQ162" s="1181"/>
      <c r="LIR162" s="1181"/>
      <c r="LIS162" s="1181"/>
      <c r="LIT162" s="1181"/>
      <c r="LIU162" s="1181"/>
      <c r="LIV162" s="1181"/>
      <c r="LIW162" s="1181"/>
      <c r="LIX162" s="1181"/>
      <c r="LIY162" s="1181"/>
      <c r="LIZ162" s="1181"/>
      <c r="LJA162" s="1181"/>
      <c r="LJB162" s="1181"/>
      <c r="LJC162" s="1181"/>
      <c r="LJD162" s="1181"/>
      <c r="LJE162" s="1181"/>
      <c r="LJF162" s="1181"/>
      <c r="LJG162" s="1181"/>
      <c r="LJH162" s="1181"/>
      <c r="LJI162" s="1181"/>
      <c r="LJJ162" s="1181"/>
      <c r="LJK162" s="1181"/>
      <c r="LJL162" s="1181"/>
      <c r="LJM162" s="1181"/>
      <c r="LJN162" s="1181"/>
      <c r="LJO162" s="1181"/>
      <c r="LJP162" s="1181"/>
      <c r="LJQ162" s="1181"/>
      <c r="LJR162" s="1181"/>
      <c r="LJS162" s="1181"/>
      <c r="LJT162" s="1181"/>
      <c r="LJU162" s="1181"/>
      <c r="LJV162" s="1181"/>
      <c r="LJW162" s="1181"/>
      <c r="LJX162" s="1181"/>
      <c r="LJY162" s="1181"/>
      <c r="LJZ162" s="1181"/>
      <c r="LKA162" s="1181"/>
      <c r="LKB162" s="1181"/>
      <c r="LKC162" s="1181"/>
      <c r="LKD162" s="1181"/>
      <c r="LKE162" s="1181"/>
      <c r="LKF162" s="1181"/>
      <c r="LKG162" s="1181"/>
      <c r="LKH162" s="1181"/>
      <c r="LKI162" s="1181"/>
      <c r="LKJ162" s="1181"/>
      <c r="LKK162" s="1181"/>
      <c r="LKL162" s="1181"/>
      <c r="LKM162" s="1181"/>
      <c r="LKN162" s="1181"/>
      <c r="LKO162" s="1181"/>
      <c r="LKP162" s="1181"/>
      <c r="LKQ162" s="1181"/>
      <c r="LKR162" s="1181"/>
      <c r="LKS162" s="1181"/>
      <c r="LKT162" s="1181"/>
      <c r="LKU162" s="1181"/>
      <c r="LKV162" s="1181"/>
      <c r="LKW162" s="1181"/>
      <c r="LKX162" s="1181"/>
      <c r="LKY162" s="1181"/>
      <c r="LKZ162" s="1181"/>
      <c r="LLA162" s="1181"/>
      <c r="LLB162" s="1181"/>
      <c r="LLC162" s="1181"/>
      <c r="LLD162" s="1181"/>
      <c r="LLE162" s="1181"/>
      <c r="LLF162" s="1181"/>
      <c r="LLG162" s="1181"/>
      <c r="LLH162" s="1181"/>
      <c r="LLI162" s="1181"/>
      <c r="LLJ162" s="1181"/>
      <c r="LLK162" s="1181"/>
      <c r="LLL162" s="1181"/>
      <c r="LLM162" s="1181"/>
      <c r="LLN162" s="1181"/>
      <c r="LLO162" s="1181"/>
      <c r="LLP162" s="1181"/>
      <c r="LLQ162" s="1181"/>
      <c r="LLR162" s="1181"/>
      <c r="LLS162" s="1181"/>
      <c r="LLT162" s="1181"/>
      <c r="LLU162" s="1181"/>
      <c r="LLV162" s="1181"/>
      <c r="LLW162" s="1181"/>
      <c r="LLX162" s="1181"/>
      <c r="LLY162" s="1181"/>
      <c r="LLZ162" s="1181"/>
      <c r="LMA162" s="1181"/>
      <c r="LMB162" s="1181"/>
      <c r="LMC162" s="1181"/>
      <c r="LMD162" s="1181"/>
      <c r="LME162" s="1181"/>
      <c r="LMF162" s="1181"/>
      <c r="LMG162" s="1181"/>
      <c r="LMH162" s="1181"/>
      <c r="LMI162" s="1181"/>
      <c r="LMJ162" s="1181"/>
      <c r="LMK162" s="1181"/>
      <c r="LML162" s="1181"/>
      <c r="LMM162" s="1181"/>
      <c r="LMN162" s="1181"/>
      <c r="LMO162" s="1181"/>
      <c r="LMP162" s="1181"/>
      <c r="LMQ162" s="1181"/>
      <c r="LMR162" s="1181"/>
      <c r="LMS162" s="1181"/>
      <c r="LMT162" s="1181"/>
      <c r="LMU162" s="1181"/>
      <c r="LMV162" s="1181"/>
      <c r="LMW162" s="1181"/>
      <c r="LMX162" s="1181"/>
      <c r="LMY162" s="1181"/>
      <c r="LMZ162" s="1181"/>
      <c r="LNA162" s="1181"/>
      <c r="LNB162" s="1181"/>
      <c r="LNC162" s="1181"/>
      <c r="LND162" s="1181"/>
      <c r="LNE162" s="1181"/>
      <c r="LNF162" s="1181"/>
      <c r="LNG162" s="1181"/>
      <c r="LNH162" s="1181"/>
      <c r="LNI162" s="1181"/>
      <c r="LNJ162" s="1181"/>
      <c r="LNK162" s="1181"/>
      <c r="LNL162" s="1181"/>
      <c r="LNM162" s="1181"/>
      <c r="LNN162" s="1181"/>
      <c r="LNO162" s="1181"/>
      <c r="LNP162" s="1181"/>
      <c r="LNQ162" s="1181"/>
      <c r="LNR162" s="1181"/>
      <c r="LNS162" s="1181"/>
      <c r="LNT162" s="1181"/>
      <c r="LNU162" s="1181"/>
      <c r="LNV162" s="1181"/>
      <c r="LNW162" s="1181"/>
      <c r="LNX162" s="1181"/>
      <c r="LNY162" s="1181"/>
      <c r="LNZ162" s="1181"/>
      <c r="LOA162" s="1181"/>
      <c r="LOB162" s="1181"/>
      <c r="LOC162" s="1181"/>
      <c r="LOD162" s="1181"/>
      <c r="LOE162" s="1181"/>
      <c r="LOF162" s="1181"/>
      <c r="LOG162" s="1181"/>
      <c r="LOH162" s="1181"/>
      <c r="LOI162" s="1181"/>
      <c r="LOJ162" s="1181"/>
      <c r="LOK162" s="1181"/>
      <c r="LOL162" s="1181"/>
      <c r="LOM162" s="1181"/>
      <c r="LON162" s="1181"/>
      <c r="LOO162" s="1181"/>
      <c r="LOP162" s="1181"/>
      <c r="LOQ162" s="1181"/>
      <c r="LOR162" s="1181"/>
      <c r="LOS162" s="1181"/>
      <c r="LOT162" s="1181"/>
      <c r="LOU162" s="1181"/>
      <c r="LOV162" s="1181"/>
      <c r="LOW162" s="1181"/>
      <c r="LOX162" s="1181"/>
      <c r="LOY162" s="1181"/>
      <c r="LOZ162" s="1181"/>
      <c r="LPA162" s="1181"/>
      <c r="LPB162" s="1181"/>
      <c r="LPC162" s="1181"/>
      <c r="LPD162" s="1181"/>
      <c r="LPE162" s="1181"/>
      <c r="LPF162" s="1181"/>
      <c r="LPG162" s="1181"/>
      <c r="LPH162" s="1181"/>
      <c r="LPI162" s="1181"/>
      <c r="LPJ162" s="1181"/>
      <c r="LPK162" s="1181"/>
      <c r="LPL162" s="1181"/>
      <c r="LPM162" s="1181"/>
      <c r="LPN162" s="1181"/>
      <c r="LPO162" s="1181"/>
      <c r="LPP162" s="1181"/>
      <c r="LPQ162" s="1181"/>
      <c r="LPR162" s="1181"/>
      <c r="LPS162" s="1181"/>
      <c r="LPT162" s="1181"/>
      <c r="LPU162" s="1181"/>
      <c r="LPV162" s="1181"/>
      <c r="LPW162" s="1181"/>
      <c r="LPX162" s="1181"/>
      <c r="LPY162" s="1181"/>
      <c r="LPZ162" s="1181"/>
      <c r="LQA162" s="1181"/>
      <c r="LQB162" s="1181"/>
      <c r="LQC162" s="1181"/>
      <c r="LQD162" s="1181"/>
      <c r="LQE162" s="1181"/>
      <c r="LQF162" s="1181"/>
      <c r="LQG162" s="1181"/>
      <c r="LQH162" s="1181"/>
      <c r="LQI162" s="1181"/>
      <c r="LQJ162" s="1181"/>
      <c r="LQK162" s="1181"/>
      <c r="LQL162" s="1181"/>
      <c r="LQM162" s="1181"/>
      <c r="LQN162" s="1181"/>
      <c r="LQO162" s="1181"/>
      <c r="LQP162" s="1181"/>
      <c r="LQQ162" s="1181"/>
      <c r="LQR162" s="1181"/>
      <c r="LQS162" s="1181"/>
      <c r="LQT162" s="1181"/>
      <c r="LQU162" s="1181"/>
      <c r="LQV162" s="1181"/>
      <c r="LQW162" s="1181"/>
      <c r="LQX162" s="1181"/>
      <c r="LQY162" s="1181"/>
      <c r="LQZ162" s="1181"/>
      <c r="LRA162" s="1181"/>
      <c r="LRB162" s="1181"/>
      <c r="LRC162" s="1181"/>
      <c r="LRD162" s="1181"/>
      <c r="LRE162" s="1181"/>
      <c r="LRF162" s="1181"/>
      <c r="LRG162" s="1181"/>
      <c r="LRH162" s="1181"/>
      <c r="LRI162" s="1181"/>
      <c r="LRJ162" s="1181"/>
      <c r="LRK162" s="1181"/>
      <c r="LRL162" s="1181"/>
      <c r="LRM162" s="1181"/>
      <c r="LRN162" s="1181"/>
      <c r="LRO162" s="1181"/>
      <c r="LRP162" s="1181"/>
      <c r="LRQ162" s="1181"/>
      <c r="LRR162" s="1181"/>
      <c r="LRS162" s="1181"/>
      <c r="LRT162" s="1181"/>
      <c r="LRU162" s="1181"/>
      <c r="LRV162" s="1181"/>
      <c r="LRW162" s="1181"/>
      <c r="LRX162" s="1181"/>
      <c r="LRY162" s="1181"/>
      <c r="LRZ162" s="1181"/>
      <c r="LSA162" s="1181"/>
      <c r="LSB162" s="1181"/>
      <c r="LSC162" s="1181"/>
      <c r="LSD162" s="1181"/>
      <c r="LSE162" s="1181"/>
      <c r="LSF162" s="1181"/>
      <c r="LSG162" s="1181"/>
      <c r="LSH162" s="1181"/>
      <c r="LSI162" s="1181"/>
      <c r="LSJ162" s="1181"/>
      <c r="LSK162" s="1181"/>
      <c r="LSL162" s="1181"/>
      <c r="LSM162" s="1181"/>
      <c r="LSN162" s="1181"/>
      <c r="LSO162" s="1181"/>
      <c r="LSP162" s="1181"/>
      <c r="LSQ162" s="1181"/>
      <c r="LSR162" s="1181"/>
      <c r="LSS162" s="1181"/>
      <c r="LST162" s="1181"/>
      <c r="LSU162" s="1181"/>
      <c r="LSV162" s="1181"/>
      <c r="LSW162" s="1181"/>
      <c r="LSX162" s="1181"/>
      <c r="LSY162" s="1181"/>
      <c r="LSZ162" s="1181"/>
      <c r="LTA162" s="1181"/>
      <c r="LTB162" s="1181"/>
      <c r="LTC162" s="1181"/>
      <c r="LTD162" s="1181"/>
      <c r="LTE162" s="1181"/>
      <c r="LTF162" s="1181"/>
      <c r="LTG162" s="1181"/>
      <c r="LTH162" s="1181"/>
      <c r="LTI162" s="1181"/>
      <c r="LTJ162" s="1181"/>
      <c r="LTK162" s="1181"/>
      <c r="LTL162" s="1181"/>
      <c r="LTM162" s="1181"/>
      <c r="LTN162" s="1181"/>
      <c r="LTO162" s="1181"/>
      <c r="LTP162" s="1181"/>
      <c r="LTQ162" s="1181"/>
      <c r="LTR162" s="1181"/>
      <c r="LTS162" s="1181"/>
      <c r="LTT162" s="1181"/>
      <c r="LTU162" s="1181"/>
      <c r="LTV162" s="1181"/>
      <c r="LTW162" s="1181"/>
      <c r="LTX162" s="1181"/>
      <c r="LTY162" s="1181"/>
      <c r="LTZ162" s="1181"/>
      <c r="LUA162" s="1181"/>
      <c r="LUB162" s="1181"/>
      <c r="LUC162" s="1181"/>
      <c r="LUD162" s="1181"/>
      <c r="LUE162" s="1181"/>
      <c r="LUF162" s="1181"/>
      <c r="LUG162" s="1181"/>
      <c r="LUH162" s="1181"/>
      <c r="LUI162" s="1181"/>
      <c r="LUJ162" s="1181"/>
      <c r="LUK162" s="1181"/>
      <c r="LUL162" s="1181"/>
      <c r="LUM162" s="1181"/>
      <c r="LUN162" s="1181"/>
      <c r="LUO162" s="1181"/>
      <c r="LUP162" s="1181"/>
      <c r="LUQ162" s="1181"/>
      <c r="LUR162" s="1181"/>
      <c r="LUS162" s="1181"/>
      <c r="LUT162" s="1181"/>
      <c r="LUU162" s="1181"/>
      <c r="LUV162" s="1181"/>
      <c r="LUW162" s="1181"/>
      <c r="LUX162" s="1181"/>
      <c r="LUY162" s="1181"/>
      <c r="LUZ162" s="1181"/>
      <c r="LVA162" s="1181"/>
      <c r="LVB162" s="1181"/>
      <c r="LVC162" s="1181"/>
      <c r="LVD162" s="1181"/>
      <c r="LVE162" s="1181"/>
      <c r="LVF162" s="1181"/>
      <c r="LVG162" s="1181"/>
      <c r="LVH162" s="1181"/>
      <c r="LVI162" s="1181"/>
      <c r="LVJ162" s="1181"/>
      <c r="LVK162" s="1181"/>
      <c r="LVL162" s="1181"/>
      <c r="LVM162" s="1181"/>
      <c r="LVN162" s="1181"/>
      <c r="LVO162" s="1181"/>
      <c r="LVP162" s="1181"/>
      <c r="LVQ162" s="1181"/>
      <c r="LVR162" s="1181"/>
      <c r="LVS162" s="1181"/>
      <c r="LVT162" s="1181"/>
      <c r="LVU162" s="1181"/>
      <c r="LVV162" s="1181"/>
      <c r="LVW162" s="1181"/>
      <c r="LVX162" s="1181"/>
      <c r="LVY162" s="1181"/>
      <c r="LVZ162" s="1181"/>
      <c r="LWA162" s="1181"/>
      <c r="LWB162" s="1181"/>
      <c r="LWC162" s="1181"/>
      <c r="LWD162" s="1181"/>
      <c r="LWE162" s="1181"/>
      <c r="LWF162" s="1181"/>
      <c r="LWG162" s="1181"/>
      <c r="LWH162" s="1181"/>
      <c r="LWI162" s="1181"/>
      <c r="LWJ162" s="1181"/>
      <c r="LWK162" s="1181"/>
      <c r="LWL162" s="1181"/>
      <c r="LWM162" s="1181"/>
      <c r="LWN162" s="1181"/>
      <c r="LWO162" s="1181"/>
      <c r="LWP162" s="1181"/>
      <c r="LWQ162" s="1181"/>
      <c r="LWR162" s="1181"/>
      <c r="LWS162" s="1181"/>
      <c r="LWT162" s="1181"/>
      <c r="LWU162" s="1181"/>
      <c r="LWV162" s="1181"/>
      <c r="LWW162" s="1181"/>
      <c r="LWX162" s="1181"/>
      <c r="LWY162" s="1181"/>
      <c r="LWZ162" s="1181"/>
      <c r="LXA162" s="1181"/>
      <c r="LXB162" s="1181"/>
      <c r="LXC162" s="1181"/>
      <c r="LXD162" s="1181"/>
      <c r="LXE162" s="1181"/>
      <c r="LXF162" s="1181"/>
      <c r="LXG162" s="1181"/>
      <c r="LXH162" s="1181"/>
      <c r="LXI162" s="1181"/>
      <c r="LXJ162" s="1181"/>
      <c r="LXK162" s="1181"/>
      <c r="LXL162" s="1181"/>
      <c r="LXM162" s="1181"/>
      <c r="LXN162" s="1181"/>
      <c r="LXO162" s="1181"/>
      <c r="LXP162" s="1181"/>
      <c r="LXQ162" s="1181"/>
      <c r="LXR162" s="1181"/>
      <c r="LXS162" s="1181"/>
      <c r="LXT162" s="1181"/>
      <c r="LXU162" s="1181"/>
      <c r="LXV162" s="1181"/>
      <c r="LXW162" s="1181"/>
      <c r="LXX162" s="1181"/>
      <c r="LXY162" s="1181"/>
      <c r="LXZ162" s="1181"/>
      <c r="LYA162" s="1181"/>
      <c r="LYB162" s="1181"/>
      <c r="LYC162" s="1181"/>
      <c r="LYD162" s="1181"/>
      <c r="LYE162" s="1181"/>
      <c r="LYF162" s="1181"/>
      <c r="LYG162" s="1181"/>
      <c r="LYH162" s="1181"/>
      <c r="LYI162" s="1181"/>
      <c r="LYJ162" s="1181"/>
      <c r="LYK162" s="1181"/>
      <c r="LYL162" s="1181"/>
      <c r="LYM162" s="1181"/>
      <c r="LYN162" s="1181"/>
      <c r="LYO162" s="1181"/>
      <c r="LYP162" s="1181"/>
      <c r="LYQ162" s="1181"/>
      <c r="LYR162" s="1181"/>
      <c r="LYS162" s="1181"/>
      <c r="LYT162" s="1181"/>
      <c r="LYU162" s="1181"/>
      <c r="LYV162" s="1181"/>
      <c r="LYW162" s="1181"/>
      <c r="LYX162" s="1181"/>
      <c r="LYY162" s="1181"/>
      <c r="LYZ162" s="1181"/>
      <c r="LZA162" s="1181"/>
      <c r="LZB162" s="1181"/>
      <c r="LZC162" s="1181"/>
      <c r="LZD162" s="1181"/>
      <c r="LZE162" s="1181"/>
      <c r="LZF162" s="1181"/>
      <c r="LZG162" s="1181"/>
      <c r="LZH162" s="1181"/>
      <c r="LZI162" s="1181"/>
      <c r="LZJ162" s="1181"/>
      <c r="LZK162" s="1181"/>
      <c r="LZL162" s="1181"/>
      <c r="LZM162" s="1181"/>
      <c r="LZN162" s="1181"/>
      <c r="LZO162" s="1181"/>
      <c r="LZP162" s="1181"/>
      <c r="LZQ162" s="1181"/>
      <c r="LZR162" s="1181"/>
      <c r="LZS162" s="1181"/>
      <c r="LZT162" s="1181"/>
      <c r="LZU162" s="1181"/>
      <c r="LZV162" s="1181"/>
      <c r="LZW162" s="1181"/>
      <c r="LZX162" s="1181"/>
      <c r="LZY162" s="1181"/>
      <c r="LZZ162" s="1181"/>
      <c r="MAA162" s="1181"/>
      <c r="MAB162" s="1181"/>
      <c r="MAC162" s="1181"/>
      <c r="MAD162" s="1181"/>
      <c r="MAE162" s="1181"/>
      <c r="MAF162" s="1181"/>
      <c r="MAG162" s="1181"/>
      <c r="MAH162" s="1181"/>
      <c r="MAI162" s="1181"/>
      <c r="MAJ162" s="1181"/>
      <c r="MAK162" s="1181"/>
      <c r="MAL162" s="1181"/>
      <c r="MAM162" s="1181"/>
      <c r="MAN162" s="1181"/>
      <c r="MAO162" s="1181"/>
      <c r="MAP162" s="1181"/>
      <c r="MAQ162" s="1181"/>
      <c r="MAR162" s="1181"/>
      <c r="MAS162" s="1181"/>
      <c r="MAT162" s="1181"/>
      <c r="MAU162" s="1181"/>
      <c r="MAV162" s="1181"/>
      <c r="MAW162" s="1181"/>
      <c r="MAX162" s="1181"/>
      <c r="MAY162" s="1181"/>
      <c r="MAZ162" s="1181"/>
      <c r="MBA162" s="1181"/>
      <c r="MBB162" s="1181"/>
      <c r="MBC162" s="1181"/>
      <c r="MBD162" s="1181"/>
      <c r="MBE162" s="1181"/>
      <c r="MBF162" s="1181"/>
      <c r="MBG162" s="1181"/>
      <c r="MBH162" s="1181"/>
      <c r="MBI162" s="1181"/>
      <c r="MBJ162" s="1181"/>
      <c r="MBK162" s="1181"/>
      <c r="MBL162" s="1181"/>
      <c r="MBM162" s="1181"/>
      <c r="MBN162" s="1181"/>
      <c r="MBO162" s="1181"/>
      <c r="MBP162" s="1181"/>
      <c r="MBQ162" s="1181"/>
      <c r="MBR162" s="1181"/>
      <c r="MBS162" s="1181"/>
      <c r="MBT162" s="1181"/>
      <c r="MBU162" s="1181"/>
      <c r="MBV162" s="1181"/>
      <c r="MBW162" s="1181"/>
      <c r="MBX162" s="1181"/>
      <c r="MBY162" s="1181"/>
      <c r="MBZ162" s="1181"/>
      <c r="MCA162" s="1181"/>
      <c r="MCB162" s="1181"/>
      <c r="MCC162" s="1181"/>
      <c r="MCD162" s="1181"/>
      <c r="MCE162" s="1181"/>
      <c r="MCF162" s="1181"/>
      <c r="MCG162" s="1181"/>
      <c r="MCH162" s="1181"/>
      <c r="MCI162" s="1181"/>
      <c r="MCJ162" s="1181"/>
      <c r="MCK162" s="1181"/>
      <c r="MCL162" s="1181"/>
      <c r="MCM162" s="1181"/>
      <c r="MCN162" s="1181"/>
      <c r="MCO162" s="1181"/>
      <c r="MCP162" s="1181"/>
      <c r="MCQ162" s="1181"/>
      <c r="MCR162" s="1181"/>
      <c r="MCS162" s="1181"/>
      <c r="MCT162" s="1181"/>
      <c r="MCU162" s="1181"/>
      <c r="MCV162" s="1181"/>
      <c r="MCW162" s="1181"/>
      <c r="MCX162" s="1181"/>
      <c r="MCY162" s="1181"/>
      <c r="MCZ162" s="1181"/>
      <c r="MDA162" s="1181"/>
      <c r="MDB162" s="1181"/>
      <c r="MDC162" s="1181"/>
      <c r="MDD162" s="1181"/>
      <c r="MDE162" s="1181"/>
      <c r="MDF162" s="1181"/>
      <c r="MDG162" s="1181"/>
      <c r="MDH162" s="1181"/>
      <c r="MDI162" s="1181"/>
      <c r="MDJ162" s="1181"/>
      <c r="MDK162" s="1181"/>
      <c r="MDL162" s="1181"/>
      <c r="MDM162" s="1181"/>
      <c r="MDN162" s="1181"/>
      <c r="MDO162" s="1181"/>
      <c r="MDP162" s="1181"/>
      <c r="MDQ162" s="1181"/>
      <c r="MDR162" s="1181"/>
      <c r="MDS162" s="1181"/>
      <c r="MDT162" s="1181"/>
      <c r="MDU162" s="1181"/>
      <c r="MDV162" s="1181"/>
      <c r="MDW162" s="1181"/>
      <c r="MDX162" s="1181"/>
      <c r="MDY162" s="1181"/>
      <c r="MDZ162" s="1181"/>
      <c r="MEA162" s="1181"/>
      <c r="MEB162" s="1181"/>
      <c r="MEC162" s="1181"/>
      <c r="MED162" s="1181"/>
      <c r="MEE162" s="1181"/>
      <c r="MEF162" s="1181"/>
      <c r="MEG162" s="1181"/>
      <c r="MEH162" s="1181"/>
      <c r="MEI162" s="1181"/>
      <c r="MEJ162" s="1181"/>
      <c r="MEK162" s="1181"/>
      <c r="MEL162" s="1181"/>
      <c r="MEM162" s="1181"/>
      <c r="MEN162" s="1181"/>
      <c r="MEO162" s="1181"/>
      <c r="MEP162" s="1181"/>
      <c r="MEQ162" s="1181"/>
      <c r="MER162" s="1181"/>
      <c r="MES162" s="1181"/>
      <c r="MET162" s="1181"/>
      <c r="MEU162" s="1181"/>
      <c r="MEV162" s="1181"/>
      <c r="MEW162" s="1181"/>
      <c r="MEX162" s="1181"/>
      <c r="MEY162" s="1181"/>
      <c r="MEZ162" s="1181"/>
      <c r="MFA162" s="1181"/>
      <c r="MFB162" s="1181"/>
      <c r="MFC162" s="1181"/>
      <c r="MFD162" s="1181"/>
      <c r="MFE162" s="1181"/>
      <c r="MFF162" s="1181"/>
      <c r="MFG162" s="1181"/>
      <c r="MFH162" s="1181"/>
      <c r="MFI162" s="1181"/>
      <c r="MFJ162" s="1181"/>
      <c r="MFK162" s="1181"/>
      <c r="MFL162" s="1181"/>
      <c r="MFM162" s="1181"/>
      <c r="MFN162" s="1181"/>
      <c r="MFO162" s="1181"/>
      <c r="MFP162" s="1181"/>
      <c r="MFQ162" s="1181"/>
      <c r="MFR162" s="1181"/>
      <c r="MFS162" s="1181"/>
      <c r="MFT162" s="1181"/>
      <c r="MFU162" s="1181"/>
      <c r="MFV162" s="1181"/>
      <c r="MFW162" s="1181"/>
      <c r="MFX162" s="1181"/>
      <c r="MFY162" s="1181"/>
      <c r="MFZ162" s="1181"/>
      <c r="MGA162" s="1181"/>
      <c r="MGB162" s="1181"/>
      <c r="MGC162" s="1181"/>
      <c r="MGD162" s="1181"/>
      <c r="MGE162" s="1181"/>
      <c r="MGF162" s="1181"/>
      <c r="MGG162" s="1181"/>
      <c r="MGH162" s="1181"/>
      <c r="MGI162" s="1181"/>
      <c r="MGJ162" s="1181"/>
      <c r="MGK162" s="1181"/>
      <c r="MGL162" s="1181"/>
      <c r="MGM162" s="1181"/>
      <c r="MGN162" s="1181"/>
      <c r="MGO162" s="1181"/>
      <c r="MGP162" s="1181"/>
      <c r="MGQ162" s="1181"/>
      <c r="MGR162" s="1181"/>
      <c r="MGS162" s="1181"/>
      <c r="MGT162" s="1181"/>
      <c r="MGU162" s="1181"/>
      <c r="MGV162" s="1181"/>
      <c r="MGW162" s="1181"/>
      <c r="MGX162" s="1181"/>
      <c r="MGY162" s="1181"/>
      <c r="MGZ162" s="1181"/>
      <c r="MHA162" s="1181"/>
      <c r="MHB162" s="1181"/>
      <c r="MHC162" s="1181"/>
      <c r="MHD162" s="1181"/>
      <c r="MHE162" s="1181"/>
      <c r="MHF162" s="1181"/>
      <c r="MHG162" s="1181"/>
      <c r="MHH162" s="1181"/>
      <c r="MHI162" s="1181"/>
      <c r="MHJ162" s="1181"/>
      <c r="MHK162" s="1181"/>
      <c r="MHL162" s="1181"/>
      <c r="MHM162" s="1181"/>
      <c r="MHN162" s="1181"/>
      <c r="MHO162" s="1181"/>
      <c r="MHP162" s="1181"/>
      <c r="MHQ162" s="1181"/>
      <c r="MHR162" s="1181"/>
      <c r="MHS162" s="1181"/>
      <c r="MHT162" s="1181"/>
      <c r="MHU162" s="1181"/>
      <c r="MHV162" s="1181"/>
      <c r="MHW162" s="1181"/>
      <c r="MHX162" s="1181"/>
      <c r="MHY162" s="1181"/>
      <c r="MHZ162" s="1181"/>
      <c r="MIA162" s="1181"/>
      <c r="MIB162" s="1181"/>
      <c r="MIC162" s="1181"/>
      <c r="MID162" s="1181"/>
      <c r="MIE162" s="1181"/>
      <c r="MIF162" s="1181"/>
      <c r="MIG162" s="1181"/>
      <c r="MIH162" s="1181"/>
      <c r="MII162" s="1181"/>
      <c r="MIJ162" s="1181"/>
      <c r="MIK162" s="1181"/>
      <c r="MIL162" s="1181"/>
      <c r="MIM162" s="1181"/>
      <c r="MIN162" s="1181"/>
      <c r="MIO162" s="1181"/>
      <c r="MIP162" s="1181"/>
      <c r="MIQ162" s="1181"/>
      <c r="MIR162" s="1181"/>
      <c r="MIS162" s="1181"/>
      <c r="MIT162" s="1181"/>
      <c r="MIU162" s="1181"/>
      <c r="MIV162" s="1181"/>
      <c r="MIW162" s="1181"/>
      <c r="MIX162" s="1181"/>
      <c r="MIY162" s="1181"/>
      <c r="MIZ162" s="1181"/>
      <c r="MJA162" s="1181"/>
      <c r="MJB162" s="1181"/>
      <c r="MJC162" s="1181"/>
      <c r="MJD162" s="1181"/>
      <c r="MJE162" s="1181"/>
      <c r="MJF162" s="1181"/>
      <c r="MJG162" s="1181"/>
      <c r="MJH162" s="1181"/>
      <c r="MJI162" s="1181"/>
      <c r="MJJ162" s="1181"/>
      <c r="MJK162" s="1181"/>
      <c r="MJL162" s="1181"/>
      <c r="MJM162" s="1181"/>
      <c r="MJN162" s="1181"/>
      <c r="MJO162" s="1181"/>
      <c r="MJP162" s="1181"/>
      <c r="MJQ162" s="1181"/>
      <c r="MJR162" s="1181"/>
      <c r="MJS162" s="1181"/>
      <c r="MJT162" s="1181"/>
      <c r="MJU162" s="1181"/>
      <c r="MJV162" s="1181"/>
      <c r="MJW162" s="1181"/>
      <c r="MJX162" s="1181"/>
      <c r="MJY162" s="1181"/>
      <c r="MJZ162" s="1181"/>
      <c r="MKA162" s="1181"/>
      <c r="MKB162" s="1181"/>
      <c r="MKC162" s="1181"/>
      <c r="MKD162" s="1181"/>
      <c r="MKE162" s="1181"/>
      <c r="MKF162" s="1181"/>
      <c r="MKG162" s="1181"/>
      <c r="MKH162" s="1181"/>
      <c r="MKI162" s="1181"/>
      <c r="MKJ162" s="1181"/>
      <c r="MKK162" s="1181"/>
      <c r="MKL162" s="1181"/>
      <c r="MKM162" s="1181"/>
      <c r="MKN162" s="1181"/>
      <c r="MKO162" s="1181"/>
      <c r="MKP162" s="1181"/>
      <c r="MKQ162" s="1181"/>
      <c r="MKR162" s="1181"/>
      <c r="MKS162" s="1181"/>
      <c r="MKT162" s="1181"/>
      <c r="MKU162" s="1181"/>
      <c r="MKV162" s="1181"/>
      <c r="MKW162" s="1181"/>
      <c r="MKX162" s="1181"/>
      <c r="MKY162" s="1181"/>
      <c r="MKZ162" s="1181"/>
      <c r="MLA162" s="1181"/>
      <c r="MLB162" s="1181"/>
      <c r="MLC162" s="1181"/>
      <c r="MLD162" s="1181"/>
      <c r="MLE162" s="1181"/>
      <c r="MLF162" s="1181"/>
      <c r="MLG162" s="1181"/>
      <c r="MLH162" s="1181"/>
      <c r="MLI162" s="1181"/>
      <c r="MLJ162" s="1181"/>
      <c r="MLK162" s="1181"/>
      <c r="MLL162" s="1181"/>
      <c r="MLM162" s="1181"/>
      <c r="MLN162" s="1181"/>
      <c r="MLO162" s="1181"/>
      <c r="MLP162" s="1181"/>
      <c r="MLQ162" s="1181"/>
      <c r="MLR162" s="1181"/>
      <c r="MLS162" s="1181"/>
      <c r="MLT162" s="1181"/>
      <c r="MLU162" s="1181"/>
      <c r="MLV162" s="1181"/>
      <c r="MLW162" s="1181"/>
      <c r="MLX162" s="1181"/>
      <c r="MLY162" s="1181"/>
      <c r="MLZ162" s="1181"/>
      <c r="MMA162" s="1181"/>
      <c r="MMB162" s="1181"/>
      <c r="MMC162" s="1181"/>
      <c r="MMD162" s="1181"/>
      <c r="MME162" s="1181"/>
      <c r="MMF162" s="1181"/>
      <c r="MMG162" s="1181"/>
      <c r="MMH162" s="1181"/>
      <c r="MMI162" s="1181"/>
      <c r="MMJ162" s="1181"/>
      <c r="MMK162" s="1181"/>
      <c r="MML162" s="1181"/>
      <c r="MMM162" s="1181"/>
      <c r="MMN162" s="1181"/>
      <c r="MMO162" s="1181"/>
      <c r="MMP162" s="1181"/>
      <c r="MMQ162" s="1181"/>
      <c r="MMR162" s="1181"/>
      <c r="MMS162" s="1181"/>
      <c r="MMT162" s="1181"/>
      <c r="MMU162" s="1181"/>
      <c r="MMV162" s="1181"/>
      <c r="MMW162" s="1181"/>
      <c r="MMX162" s="1181"/>
      <c r="MMY162" s="1181"/>
      <c r="MMZ162" s="1181"/>
      <c r="MNA162" s="1181"/>
      <c r="MNB162" s="1181"/>
      <c r="MNC162" s="1181"/>
      <c r="MND162" s="1181"/>
      <c r="MNE162" s="1181"/>
      <c r="MNF162" s="1181"/>
      <c r="MNG162" s="1181"/>
      <c r="MNH162" s="1181"/>
      <c r="MNI162" s="1181"/>
      <c r="MNJ162" s="1181"/>
      <c r="MNK162" s="1181"/>
      <c r="MNL162" s="1181"/>
      <c r="MNM162" s="1181"/>
      <c r="MNN162" s="1181"/>
      <c r="MNO162" s="1181"/>
      <c r="MNP162" s="1181"/>
      <c r="MNQ162" s="1181"/>
      <c r="MNR162" s="1181"/>
      <c r="MNS162" s="1181"/>
      <c r="MNT162" s="1181"/>
      <c r="MNU162" s="1181"/>
      <c r="MNV162" s="1181"/>
      <c r="MNW162" s="1181"/>
      <c r="MNX162" s="1181"/>
      <c r="MNY162" s="1181"/>
      <c r="MNZ162" s="1181"/>
      <c r="MOA162" s="1181"/>
      <c r="MOB162" s="1181"/>
      <c r="MOC162" s="1181"/>
      <c r="MOD162" s="1181"/>
      <c r="MOE162" s="1181"/>
      <c r="MOF162" s="1181"/>
      <c r="MOG162" s="1181"/>
      <c r="MOH162" s="1181"/>
      <c r="MOI162" s="1181"/>
      <c r="MOJ162" s="1181"/>
      <c r="MOK162" s="1181"/>
      <c r="MOL162" s="1181"/>
      <c r="MOM162" s="1181"/>
      <c r="MON162" s="1181"/>
      <c r="MOO162" s="1181"/>
      <c r="MOP162" s="1181"/>
      <c r="MOQ162" s="1181"/>
      <c r="MOR162" s="1181"/>
      <c r="MOS162" s="1181"/>
      <c r="MOT162" s="1181"/>
      <c r="MOU162" s="1181"/>
      <c r="MOV162" s="1181"/>
      <c r="MOW162" s="1181"/>
      <c r="MOX162" s="1181"/>
      <c r="MOY162" s="1181"/>
      <c r="MOZ162" s="1181"/>
      <c r="MPA162" s="1181"/>
      <c r="MPB162" s="1181"/>
      <c r="MPC162" s="1181"/>
      <c r="MPD162" s="1181"/>
      <c r="MPE162" s="1181"/>
      <c r="MPF162" s="1181"/>
      <c r="MPG162" s="1181"/>
      <c r="MPH162" s="1181"/>
      <c r="MPI162" s="1181"/>
      <c r="MPJ162" s="1181"/>
      <c r="MPK162" s="1181"/>
      <c r="MPL162" s="1181"/>
      <c r="MPM162" s="1181"/>
      <c r="MPN162" s="1181"/>
      <c r="MPO162" s="1181"/>
      <c r="MPP162" s="1181"/>
      <c r="MPQ162" s="1181"/>
      <c r="MPR162" s="1181"/>
      <c r="MPS162" s="1181"/>
      <c r="MPT162" s="1181"/>
      <c r="MPU162" s="1181"/>
      <c r="MPV162" s="1181"/>
      <c r="MPW162" s="1181"/>
      <c r="MPX162" s="1181"/>
      <c r="MPY162" s="1181"/>
      <c r="MPZ162" s="1181"/>
      <c r="MQA162" s="1181"/>
      <c r="MQB162" s="1181"/>
      <c r="MQC162" s="1181"/>
      <c r="MQD162" s="1181"/>
      <c r="MQE162" s="1181"/>
      <c r="MQF162" s="1181"/>
      <c r="MQG162" s="1181"/>
      <c r="MQH162" s="1181"/>
      <c r="MQI162" s="1181"/>
      <c r="MQJ162" s="1181"/>
      <c r="MQK162" s="1181"/>
      <c r="MQL162" s="1181"/>
      <c r="MQM162" s="1181"/>
      <c r="MQN162" s="1181"/>
      <c r="MQO162" s="1181"/>
      <c r="MQP162" s="1181"/>
      <c r="MQQ162" s="1181"/>
      <c r="MQR162" s="1181"/>
      <c r="MQS162" s="1181"/>
      <c r="MQT162" s="1181"/>
      <c r="MQU162" s="1181"/>
      <c r="MQV162" s="1181"/>
      <c r="MQW162" s="1181"/>
      <c r="MQX162" s="1181"/>
      <c r="MQY162" s="1181"/>
      <c r="MQZ162" s="1181"/>
      <c r="MRA162" s="1181"/>
      <c r="MRB162" s="1181"/>
      <c r="MRC162" s="1181"/>
      <c r="MRD162" s="1181"/>
      <c r="MRE162" s="1181"/>
      <c r="MRF162" s="1181"/>
      <c r="MRG162" s="1181"/>
      <c r="MRH162" s="1181"/>
      <c r="MRI162" s="1181"/>
      <c r="MRJ162" s="1181"/>
      <c r="MRK162" s="1181"/>
      <c r="MRL162" s="1181"/>
      <c r="MRM162" s="1181"/>
      <c r="MRN162" s="1181"/>
      <c r="MRO162" s="1181"/>
      <c r="MRP162" s="1181"/>
      <c r="MRQ162" s="1181"/>
      <c r="MRR162" s="1181"/>
      <c r="MRS162" s="1181"/>
      <c r="MRT162" s="1181"/>
      <c r="MRU162" s="1181"/>
      <c r="MRV162" s="1181"/>
      <c r="MRW162" s="1181"/>
      <c r="MRX162" s="1181"/>
      <c r="MRY162" s="1181"/>
      <c r="MRZ162" s="1181"/>
      <c r="MSA162" s="1181"/>
      <c r="MSB162" s="1181"/>
      <c r="MSC162" s="1181"/>
      <c r="MSD162" s="1181"/>
      <c r="MSE162" s="1181"/>
      <c r="MSF162" s="1181"/>
      <c r="MSG162" s="1181"/>
      <c r="MSH162" s="1181"/>
      <c r="MSI162" s="1181"/>
      <c r="MSJ162" s="1181"/>
      <c r="MSK162" s="1181"/>
      <c r="MSL162" s="1181"/>
      <c r="MSM162" s="1181"/>
      <c r="MSN162" s="1181"/>
      <c r="MSO162" s="1181"/>
      <c r="MSP162" s="1181"/>
      <c r="MSQ162" s="1181"/>
      <c r="MSR162" s="1181"/>
      <c r="MSS162" s="1181"/>
      <c r="MST162" s="1181"/>
      <c r="MSU162" s="1181"/>
      <c r="MSV162" s="1181"/>
      <c r="MSW162" s="1181"/>
      <c r="MSX162" s="1181"/>
      <c r="MSY162" s="1181"/>
      <c r="MSZ162" s="1181"/>
      <c r="MTA162" s="1181"/>
      <c r="MTB162" s="1181"/>
      <c r="MTC162" s="1181"/>
      <c r="MTD162" s="1181"/>
      <c r="MTE162" s="1181"/>
      <c r="MTF162" s="1181"/>
      <c r="MTG162" s="1181"/>
      <c r="MTH162" s="1181"/>
      <c r="MTI162" s="1181"/>
      <c r="MTJ162" s="1181"/>
      <c r="MTK162" s="1181"/>
      <c r="MTL162" s="1181"/>
      <c r="MTM162" s="1181"/>
      <c r="MTN162" s="1181"/>
      <c r="MTO162" s="1181"/>
      <c r="MTP162" s="1181"/>
      <c r="MTQ162" s="1181"/>
      <c r="MTR162" s="1181"/>
      <c r="MTS162" s="1181"/>
      <c r="MTT162" s="1181"/>
      <c r="MTU162" s="1181"/>
      <c r="MTV162" s="1181"/>
      <c r="MTW162" s="1181"/>
      <c r="MTX162" s="1181"/>
      <c r="MTY162" s="1181"/>
      <c r="MTZ162" s="1181"/>
      <c r="MUA162" s="1181"/>
      <c r="MUB162" s="1181"/>
      <c r="MUC162" s="1181"/>
      <c r="MUD162" s="1181"/>
      <c r="MUE162" s="1181"/>
      <c r="MUF162" s="1181"/>
      <c r="MUG162" s="1181"/>
      <c r="MUH162" s="1181"/>
      <c r="MUI162" s="1181"/>
      <c r="MUJ162" s="1181"/>
      <c r="MUK162" s="1181"/>
      <c r="MUL162" s="1181"/>
      <c r="MUM162" s="1181"/>
      <c r="MUN162" s="1181"/>
      <c r="MUO162" s="1181"/>
      <c r="MUP162" s="1181"/>
      <c r="MUQ162" s="1181"/>
      <c r="MUR162" s="1181"/>
      <c r="MUS162" s="1181"/>
      <c r="MUT162" s="1181"/>
      <c r="MUU162" s="1181"/>
      <c r="MUV162" s="1181"/>
      <c r="MUW162" s="1181"/>
      <c r="MUX162" s="1181"/>
      <c r="MUY162" s="1181"/>
      <c r="MUZ162" s="1181"/>
      <c r="MVA162" s="1181"/>
      <c r="MVB162" s="1181"/>
      <c r="MVC162" s="1181"/>
      <c r="MVD162" s="1181"/>
      <c r="MVE162" s="1181"/>
      <c r="MVF162" s="1181"/>
      <c r="MVG162" s="1181"/>
      <c r="MVH162" s="1181"/>
      <c r="MVI162" s="1181"/>
      <c r="MVJ162" s="1181"/>
      <c r="MVK162" s="1181"/>
      <c r="MVL162" s="1181"/>
      <c r="MVM162" s="1181"/>
      <c r="MVN162" s="1181"/>
      <c r="MVO162" s="1181"/>
      <c r="MVP162" s="1181"/>
      <c r="MVQ162" s="1181"/>
      <c r="MVR162" s="1181"/>
      <c r="MVS162" s="1181"/>
      <c r="MVT162" s="1181"/>
      <c r="MVU162" s="1181"/>
      <c r="MVV162" s="1181"/>
      <c r="MVW162" s="1181"/>
      <c r="MVX162" s="1181"/>
      <c r="MVY162" s="1181"/>
      <c r="MVZ162" s="1181"/>
      <c r="MWA162" s="1181"/>
      <c r="MWB162" s="1181"/>
      <c r="MWC162" s="1181"/>
      <c r="MWD162" s="1181"/>
      <c r="MWE162" s="1181"/>
      <c r="MWF162" s="1181"/>
      <c r="MWG162" s="1181"/>
      <c r="MWH162" s="1181"/>
      <c r="MWI162" s="1181"/>
      <c r="MWJ162" s="1181"/>
      <c r="MWK162" s="1181"/>
      <c r="MWL162" s="1181"/>
      <c r="MWM162" s="1181"/>
      <c r="MWN162" s="1181"/>
      <c r="MWO162" s="1181"/>
      <c r="MWP162" s="1181"/>
      <c r="MWQ162" s="1181"/>
      <c r="MWR162" s="1181"/>
      <c r="MWS162" s="1181"/>
      <c r="MWT162" s="1181"/>
      <c r="MWU162" s="1181"/>
      <c r="MWV162" s="1181"/>
      <c r="MWW162" s="1181"/>
      <c r="MWX162" s="1181"/>
      <c r="MWY162" s="1181"/>
      <c r="MWZ162" s="1181"/>
      <c r="MXA162" s="1181"/>
      <c r="MXB162" s="1181"/>
      <c r="MXC162" s="1181"/>
      <c r="MXD162" s="1181"/>
      <c r="MXE162" s="1181"/>
      <c r="MXF162" s="1181"/>
      <c r="MXG162" s="1181"/>
      <c r="MXH162" s="1181"/>
      <c r="MXI162" s="1181"/>
      <c r="MXJ162" s="1181"/>
      <c r="MXK162" s="1181"/>
      <c r="MXL162" s="1181"/>
      <c r="MXM162" s="1181"/>
      <c r="MXN162" s="1181"/>
      <c r="MXO162" s="1181"/>
      <c r="MXP162" s="1181"/>
      <c r="MXQ162" s="1181"/>
      <c r="MXR162" s="1181"/>
      <c r="MXS162" s="1181"/>
      <c r="MXT162" s="1181"/>
      <c r="MXU162" s="1181"/>
      <c r="MXV162" s="1181"/>
      <c r="MXW162" s="1181"/>
      <c r="MXX162" s="1181"/>
      <c r="MXY162" s="1181"/>
      <c r="MXZ162" s="1181"/>
      <c r="MYA162" s="1181"/>
      <c r="MYB162" s="1181"/>
      <c r="MYC162" s="1181"/>
      <c r="MYD162" s="1181"/>
      <c r="MYE162" s="1181"/>
      <c r="MYF162" s="1181"/>
      <c r="MYG162" s="1181"/>
      <c r="MYH162" s="1181"/>
      <c r="MYI162" s="1181"/>
      <c r="MYJ162" s="1181"/>
      <c r="MYK162" s="1181"/>
      <c r="MYL162" s="1181"/>
      <c r="MYM162" s="1181"/>
      <c r="MYN162" s="1181"/>
      <c r="MYO162" s="1181"/>
      <c r="MYP162" s="1181"/>
      <c r="MYQ162" s="1181"/>
      <c r="MYR162" s="1181"/>
      <c r="MYS162" s="1181"/>
      <c r="MYT162" s="1181"/>
      <c r="MYU162" s="1181"/>
      <c r="MYV162" s="1181"/>
      <c r="MYW162" s="1181"/>
      <c r="MYX162" s="1181"/>
      <c r="MYY162" s="1181"/>
      <c r="MYZ162" s="1181"/>
      <c r="MZA162" s="1181"/>
      <c r="MZB162" s="1181"/>
      <c r="MZC162" s="1181"/>
      <c r="MZD162" s="1181"/>
      <c r="MZE162" s="1181"/>
      <c r="MZF162" s="1181"/>
      <c r="MZG162" s="1181"/>
      <c r="MZH162" s="1181"/>
      <c r="MZI162" s="1181"/>
      <c r="MZJ162" s="1181"/>
      <c r="MZK162" s="1181"/>
      <c r="MZL162" s="1181"/>
      <c r="MZM162" s="1181"/>
      <c r="MZN162" s="1181"/>
      <c r="MZO162" s="1181"/>
      <c r="MZP162" s="1181"/>
      <c r="MZQ162" s="1181"/>
      <c r="MZR162" s="1181"/>
      <c r="MZS162" s="1181"/>
      <c r="MZT162" s="1181"/>
      <c r="MZU162" s="1181"/>
      <c r="MZV162" s="1181"/>
      <c r="MZW162" s="1181"/>
      <c r="MZX162" s="1181"/>
      <c r="MZY162" s="1181"/>
      <c r="MZZ162" s="1181"/>
      <c r="NAA162" s="1181"/>
      <c r="NAB162" s="1181"/>
      <c r="NAC162" s="1181"/>
      <c r="NAD162" s="1181"/>
      <c r="NAE162" s="1181"/>
      <c r="NAF162" s="1181"/>
      <c r="NAG162" s="1181"/>
      <c r="NAH162" s="1181"/>
      <c r="NAI162" s="1181"/>
      <c r="NAJ162" s="1181"/>
      <c r="NAK162" s="1181"/>
      <c r="NAL162" s="1181"/>
      <c r="NAM162" s="1181"/>
      <c r="NAN162" s="1181"/>
      <c r="NAO162" s="1181"/>
      <c r="NAP162" s="1181"/>
      <c r="NAQ162" s="1181"/>
      <c r="NAR162" s="1181"/>
      <c r="NAS162" s="1181"/>
      <c r="NAT162" s="1181"/>
      <c r="NAU162" s="1181"/>
      <c r="NAV162" s="1181"/>
      <c r="NAW162" s="1181"/>
      <c r="NAX162" s="1181"/>
      <c r="NAY162" s="1181"/>
      <c r="NAZ162" s="1181"/>
      <c r="NBA162" s="1181"/>
      <c r="NBB162" s="1181"/>
      <c r="NBC162" s="1181"/>
      <c r="NBD162" s="1181"/>
      <c r="NBE162" s="1181"/>
      <c r="NBF162" s="1181"/>
      <c r="NBG162" s="1181"/>
      <c r="NBH162" s="1181"/>
      <c r="NBI162" s="1181"/>
      <c r="NBJ162" s="1181"/>
      <c r="NBK162" s="1181"/>
      <c r="NBL162" s="1181"/>
      <c r="NBM162" s="1181"/>
      <c r="NBN162" s="1181"/>
      <c r="NBO162" s="1181"/>
      <c r="NBP162" s="1181"/>
      <c r="NBQ162" s="1181"/>
      <c r="NBR162" s="1181"/>
      <c r="NBS162" s="1181"/>
      <c r="NBT162" s="1181"/>
      <c r="NBU162" s="1181"/>
      <c r="NBV162" s="1181"/>
      <c r="NBW162" s="1181"/>
      <c r="NBX162" s="1181"/>
      <c r="NBY162" s="1181"/>
      <c r="NBZ162" s="1181"/>
      <c r="NCA162" s="1181"/>
      <c r="NCB162" s="1181"/>
      <c r="NCC162" s="1181"/>
      <c r="NCD162" s="1181"/>
      <c r="NCE162" s="1181"/>
      <c r="NCF162" s="1181"/>
      <c r="NCG162" s="1181"/>
      <c r="NCH162" s="1181"/>
      <c r="NCI162" s="1181"/>
      <c r="NCJ162" s="1181"/>
      <c r="NCK162" s="1181"/>
      <c r="NCL162" s="1181"/>
      <c r="NCM162" s="1181"/>
      <c r="NCN162" s="1181"/>
      <c r="NCO162" s="1181"/>
      <c r="NCP162" s="1181"/>
      <c r="NCQ162" s="1181"/>
      <c r="NCR162" s="1181"/>
      <c r="NCS162" s="1181"/>
      <c r="NCT162" s="1181"/>
      <c r="NCU162" s="1181"/>
      <c r="NCV162" s="1181"/>
      <c r="NCW162" s="1181"/>
      <c r="NCX162" s="1181"/>
      <c r="NCY162" s="1181"/>
      <c r="NCZ162" s="1181"/>
      <c r="NDA162" s="1181"/>
      <c r="NDB162" s="1181"/>
      <c r="NDC162" s="1181"/>
      <c r="NDD162" s="1181"/>
      <c r="NDE162" s="1181"/>
      <c r="NDF162" s="1181"/>
      <c r="NDG162" s="1181"/>
      <c r="NDH162" s="1181"/>
      <c r="NDI162" s="1181"/>
      <c r="NDJ162" s="1181"/>
      <c r="NDK162" s="1181"/>
      <c r="NDL162" s="1181"/>
      <c r="NDM162" s="1181"/>
      <c r="NDN162" s="1181"/>
      <c r="NDO162" s="1181"/>
      <c r="NDP162" s="1181"/>
      <c r="NDQ162" s="1181"/>
      <c r="NDR162" s="1181"/>
      <c r="NDS162" s="1181"/>
      <c r="NDT162" s="1181"/>
      <c r="NDU162" s="1181"/>
      <c r="NDV162" s="1181"/>
      <c r="NDW162" s="1181"/>
      <c r="NDX162" s="1181"/>
      <c r="NDY162" s="1181"/>
      <c r="NDZ162" s="1181"/>
      <c r="NEA162" s="1181"/>
      <c r="NEB162" s="1181"/>
      <c r="NEC162" s="1181"/>
      <c r="NED162" s="1181"/>
      <c r="NEE162" s="1181"/>
      <c r="NEF162" s="1181"/>
      <c r="NEG162" s="1181"/>
      <c r="NEH162" s="1181"/>
      <c r="NEI162" s="1181"/>
      <c r="NEJ162" s="1181"/>
      <c r="NEK162" s="1181"/>
      <c r="NEL162" s="1181"/>
      <c r="NEM162" s="1181"/>
      <c r="NEN162" s="1181"/>
      <c r="NEO162" s="1181"/>
      <c r="NEP162" s="1181"/>
      <c r="NEQ162" s="1181"/>
      <c r="NER162" s="1181"/>
      <c r="NES162" s="1181"/>
      <c r="NET162" s="1181"/>
      <c r="NEU162" s="1181"/>
      <c r="NEV162" s="1181"/>
      <c r="NEW162" s="1181"/>
      <c r="NEX162" s="1181"/>
      <c r="NEY162" s="1181"/>
      <c r="NEZ162" s="1181"/>
      <c r="NFA162" s="1181"/>
      <c r="NFB162" s="1181"/>
      <c r="NFC162" s="1181"/>
      <c r="NFD162" s="1181"/>
      <c r="NFE162" s="1181"/>
      <c r="NFF162" s="1181"/>
      <c r="NFG162" s="1181"/>
      <c r="NFH162" s="1181"/>
      <c r="NFI162" s="1181"/>
      <c r="NFJ162" s="1181"/>
      <c r="NFK162" s="1181"/>
      <c r="NFL162" s="1181"/>
      <c r="NFM162" s="1181"/>
      <c r="NFN162" s="1181"/>
      <c r="NFO162" s="1181"/>
      <c r="NFP162" s="1181"/>
      <c r="NFQ162" s="1181"/>
      <c r="NFR162" s="1181"/>
      <c r="NFS162" s="1181"/>
      <c r="NFT162" s="1181"/>
      <c r="NFU162" s="1181"/>
      <c r="NFV162" s="1181"/>
      <c r="NFW162" s="1181"/>
      <c r="NFX162" s="1181"/>
      <c r="NFY162" s="1181"/>
      <c r="NFZ162" s="1181"/>
      <c r="NGA162" s="1181"/>
      <c r="NGB162" s="1181"/>
      <c r="NGC162" s="1181"/>
      <c r="NGD162" s="1181"/>
      <c r="NGE162" s="1181"/>
      <c r="NGF162" s="1181"/>
      <c r="NGG162" s="1181"/>
      <c r="NGH162" s="1181"/>
      <c r="NGI162" s="1181"/>
      <c r="NGJ162" s="1181"/>
      <c r="NGK162" s="1181"/>
      <c r="NGL162" s="1181"/>
      <c r="NGM162" s="1181"/>
      <c r="NGN162" s="1181"/>
      <c r="NGO162" s="1181"/>
      <c r="NGP162" s="1181"/>
      <c r="NGQ162" s="1181"/>
      <c r="NGR162" s="1181"/>
      <c r="NGS162" s="1181"/>
      <c r="NGT162" s="1181"/>
      <c r="NGU162" s="1181"/>
      <c r="NGV162" s="1181"/>
      <c r="NGW162" s="1181"/>
      <c r="NGX162" s="1181"/>
      <c r="NGY162" s="1181"/>
      <c r="NGZ162" s="1181"/>
      <c r="NHA162" s="1181"/>
      <c r="NHB162" s="1181"/>
      <c r="NHC162" s="1181"/>
      <c r="NHD162" s="1181"/>
      <c r="NHE162" s="1181"/>
      <c r="NHF162" s="1181"/>
      <c r="NHG162" s="1181"/>
      <c r="NHH162" s="1181"/>
      <c r="NHI162" s="1181"/>
      <c r="NHJ162" s="1181"/>
      <c r="NHK162" s="1181"/>
      <c r="NHL162" s="1181"/>
      <c r="NHM162" s="1181"/>
      <c r="NHN162" s="1181"/>
      <c r="NHO162" s="1181"/>
      <c r="NHP162" s="1181"/>
      <c r="NHQ162" s="1181"/>
      <c r="NHR162" s="1181"/>
      <c r="NHS162" s="1181"/>
      <c r="NHT162" s="1181"/>
      <c r="NHU162" s="1181"/>
      <c r="NHV162" s="1181"/>
      <c r="NHW162" s="1181"/>
      <c r="NHX162" s="1181"/>
      <c r="NHY162" s="1181"/>
      <c r="NHZ162" s="1181"/>
      <c r="NIA162" s="1181"/>
      <c r="NIB162" s="1181"/>
      <c r="NIC162" s="1181"/>
      <c r="NID162" s="1181"/>
      <c r="NIE162" s="1181"/>
      <c r="NIF162" s="1181"/>
      <c r="NIG162" s="1181"/>
      <c r="NIH162" s="1181"/>
      <c r="NII162" s="1181"/>
      <c r="NIJ162" s="1181"/>
      <c r="NIK162" s="1181"/>
      <c r="NIL162" s="1181"/>
      <c r="NIM162" s="1181"/>
      <c r="NIN162" s="1181"/>
      <c r="NIO162" s="1181"/>
      <c r="NIP162" s="1181"/>
      <c r="NIQ162" s="1181"/>
      <c r="NIR162" s="1181"/>
      <c r="NIS162" s="1181"/>
      <c r="NIT162" s="1181"/>
      <c r="NIU162" s="1181"/>
      <c r="NIV162" s="1181"/>
      <c r="NIW162" s="1181"/>
      <c r="NIX162" s="1181"/>
      <c r="NIY162" s="1181"/>
      <c r="NIZ162" s="1181"/>
      <c r="NJA162" s="1181"/>
      <c r="NJB162" s="1181"/>
      <c r="NJC162" s="1181"/>
      <c r="NJD162" s="1181"/>
      <c r="NJE162" s="1181"/>
      <c r="NJF162" s="1181"/>
      <c r="NJG162" s="1181"/>
      <c r="NJH162" s="1181"/>
      <c r="NJI162" s="1181"/>
      <c r="NJJ162" s="1181"/>
      <c r="NJK162" s="1181"/>
      <c r="NJL162" s="1181"/>
      <c r="NJM162" s="1181"/>
      <c r="NJN162" s="1181"/>
      <c r="NJO162" s="1181"/>
      <c r="NJP162" s="1181"/>
      <c r="NJQ162" s="1181"/>
      <c r="NJR162" s="1181"/>
      <c r="NJS162" s="1181"/>
      <c r="NJT162" s="1181"/>
      <c r="NJU162" s="1181"/>
      <c r="NJV162" s="1181"/>
      <c r="NJW162" s="1181"/>
      <c r="NJX162" s="1181"/>
      <c r="NJY162" s="1181"/>
      <c r="NJZ162" s="1181"/>
      <c r="NKA162" s="1181"/>
      <c r="NKB162" s="1181"/>
      <c r="NKC162" s="1181"/>
      <c r="NKD162" s="1181"/>
      <c r="NKE162" s="1181"/>
      <c r="NKF162" s="1181"/>
      <c r="NKG162" s="1181"/>
      <c r="NKH162" s="1181"/>
      <c r="NKI162" s="1181"/>
      <c r="NKJ162" s="1181"/>
      <c r="NKK162" s="1181"/>
      <c r="NKL162" s="1181"/>
      <c r="NKM162" s="1181"/>
      <c r="NKN162" s="1181"/>
      <c r="NKO162" s="1181"/>
      <c r="NKP162" s="1181"/>
      <c r="NKQ162" s="1181"/>
      <c r="NKR162" s="1181"/>
      <c r="NKS162" s="1181"/>
      <c r="NKT162" s="1181"/>
      <c r="NKU162" s="1181"/>
      <c r="NKV162" s="1181"/>
      <c r="NKW162" s="1181"/>
      <c r="NKX162" s="1181"/>
      <c r="NKY162" s="1181"/>
      <c r="NKZ162" s="1181"/>
      <c r="NLA162" s="1181"/>
      <c r="NLB162" s="1181"/>
      <c r="NLC162" s="1181"/>
      <c r="NLD162" s="1181"/>
      <c r="NLE162" s="1181"/>
      <c r="NLF162" s="1181"/>
      <c r="NLG162" s="1181"/>
      <c r="NLH162" s="1181"/>
      <c r="NLI162" s="1181"/>
      <c r="NLJ162" s="1181"/>
      <c r="NLK162" s="1181"/>
      <c r="NLL162" s="1181"/>
      <c r="NLM162" s="1181"/>
      <c r="NLN162" s="1181"/>
      <c r="NLO162" s="1181"/>
      <c r="NLP162" s="1181"/>
      <c r="NLQ162" s="1181"/>
      <c r="NLR162" s="1181"/>
      <c r="NLS162" s="1181"/>
      <c r="NLT162" s="1181"/>
      <c r="NLU162" s="1181"/>
      <c r="NLV162" s="1181"/>
      <c r="NLW162" s="1181"/>
      <c r="NLX162" s="1181"/>
      <c r="NLY162" s="1181"/>
      <c r="NLZ162" s="1181"/>
      <c r="NMA162" s="1181"/>
      <c r="NMB162" s="1181"/>
      <c r="NMC162" s="1181"/>
      <c r="NMD162" s="1181"/>
      <c r="NME162" s="1181"/>
      <c r="NMF162" s="1181"/>
      <c r="NMG162" s="1181"/>
      <c r="NMH162" s="1181"/>
      <c r="NMI162" s="1181"/>
      <c r="NMJ162" s="1181"/>
      <c r="NMK162" s="1181"/>
      <c r="NML162" s="1181"/>
      <c r="NMM162" s="1181"/>
      <c r="NMN162" s="1181"/>
      <c r="NMO162" s="1181"/>
      <c r="NMP162" s="1181"/>
      <c r="NMQ162" s="1181"/>
      <c r="NMR162" s="1181"/>
      <c r="NMS162" s="1181"/>
      <c r="NMT162" s="1181"/>
      <c r="NMU162" s="1181"/>
      <c r="NMV162" s="1181"/>
      <c r="NMW162" s="1181"/>
      <c r="NMX162" s="1181"/>
      <c r="NMY162" s="1181"/>
      <c r="NMZ162" s="1181"/>
      <c r="NNA162" s="1181"/>
      <c r="NNB162" s="1181"/>
      <c r="NNC162" s="1181"/>
      <c r="NND162" s="1181"/>
      <c r="NNE162" s="1181"/>
      <c r="NNF162" s="1181"/>
      <c r="NNG162" s="1181"/>
      <c r="NNH162" s="1181"/>
      <c r="NNI162" s="1181"/>
      <c r="NNJ162" s="1181"/>
      <c r="NNK162" s="1181"/>
      <c r="NNL162" s="1181"/>
      <c r="NNM162" s="1181"/>
      <c r="NNN162" s="1181"/>
      <c r="NNO162" s="1181"/>
      <c r="NNP162" s="1181"/>
      <c r="NNQ162" s="1181"/>
      <c r="NNR162" s="1181"/>
      <c r="NNS162" s="1181"/>
      <c r="NNT162" s="1181"/>
      <c r="NNU162" s="1181"/>
      <c r="NNV162" s="1181"/>
      <c r="NNW162" s="1181"/>
      <c r="NNX162" s="1181"/>
      <c r="NNY162" s="1181"/>
      <c r="NNZ162" s="1181"/>
      <c r="NOA162" s="1181"/>
      <c r="NOB162" s="1181"/>
      <c r="NOC162" s="1181"/>
      <c r="NOD162" s="1181"/>
      <c r="NOE162" s="1181"/>
      <c r="NOF162" s="1181"/>
      <c r="NOG162" s="1181"/>
      <c r="NOH162" s="1181"/>
      <c r="NOI162" s="1181"/>
      <c r="NOJ162" s="1181"/>
      <c r="NOK162" s="1181"/>
      <c r="NOL162" s="1181"/>
      <c r="NOM162" s="1181"/>
      <c r="NON162" s="1181"/>
      <c r="NOO162" s="1181"/>
      <c r="NOP162" s="1181"/>
      <c r="NOQ162" s="1181"/>
      <c r="NOR162" s="1181"/>
      <c r="NOS162" s="1181"/>
      <c r="NOT162" s="1181"/>
      <c r="NOU162" s="1181"/>
      <c r="NOV162" s="1181"/>
      <c r="NOW162" s="1181"/>
      <c r="NOX162" s="1181"/>
      <c r="NOY162" s="1181"/>
      <c r="NOZ162" s="1181"/>
      <c r="NPA162" s="1181"/>
      <c r="NPB162" s="1181"/>
      <c r="NPC162" s="1181"/>
      <c r="NPD162" s="1181"/>
      <c r="NPE162" s="1181"/>
      <c r="NPF162" s="1181"/>
      <c r="NPG162" s="1181"/>
      <c r="NPH162" s="1181"/>
      <c r="NPI162" s="1181"/>
      <c r="NPJ162" s="1181"/>
      <c r="NPK162" s="1181"/>
      <c r="NPL162" s="1181"/>
      <c r="NPM162" s="1181"/>
      <c r="NPN162" s="1181"/>
      <c r="NPO162" s="1181"/>
      <c r="NPP162" s="1181"/>
      <c r="NPQ162" s="1181"/>
      <c r="NPR162" s="1181"/>
      <c r="NPS162" s="1181"/>
      <c r="NPT162" s="1181"/>
      <c r="NPU162" s="1181"/>
      <c r="NPV162" s="1181"/>
      <c r="NPW162" s="1181"/>
      <c r="NPX162" s="1181"/>
      <c r="NPY162" s="1181"/>
      <c r="NPZ162" s="1181"/>
      <c r="NQA162" s="1181"/>
      <c r="NQB162" s="1181"/>
      <c r="NQC162" s="1181"/>
      <c r="NQD162" s="1181"/>
      <c r="NQE162" s="1181"/>
      <c r="NQF162" s="1181"/>
      <c r="NQG162" s="1181"/>
      <c r="NQH162" s="1181"/>
      <c r="NQI162" s="1181"/>
      <c r="NQJ162" s="1181"/>
      <c r="NQK162" s="1181"/>
      <c r="NQL162" s="1181"/>
      <c r="NQM162" s="1181"/>
      <c r="NQN162" s="1181"/>
      <c r="NQO162" s="1181"/>
      <c r="NQP162" s="1181"/>
      <c r="NQQ162" s="1181"/>
      <c r="NQR162" s="1181"/>
      <c r="NQS162" s="1181"/>
      <c r="NQT162" s="1181"/>
      <c r="NQU162" s="1181"/>
      <c r="NQV162" s="1181"/>
      <c r="NQW162" s="1181"/>
      <c r="NQX162" s="1181"/>
      <c r="NQY162" s="1181"/>
      <c r="NQZ162" s="1181"/>
      <c r="NRA162" s="1181"/>
      <c r="NRB162" s="1181"/>
      <c r="NRC162" s="1181"/>
      <c r="NRD162" s="1181"/>
      <c r="NRE162" s="1181"/>
      <c r="NRF162" s="1181"/>
      <c r="NRG162" s="1181"/>
      <c r="NRH162" s="1181"/>
      <c r="NRI162" s="1181"/>
      <c r="NRJ162" s="1181"/>
      <c r="NRK162" s="1181"/>
      <c r="NRL162" s="1181"/>
      <c r="NRM162" s="1181"/>
      <c r="NRN162" s="1181"/>
      <c r="NRO162" s="1181"/>
      <c r="NRP162" s="1181"/>
      <c r="NRQ162" s="1181"/>
      <c r="NRR162" s="1181"/>
      <c r="NRS162" s="1181"/>
      <c r="NRT162" s="1181"/>
      <c r="NRU162" s="1181"/>
      <c r="NRV162" s="1181"/>
      <c r="NRW162" s="1181"/>
      <c r="NRX162" s="1181"/>
      <c r="NRY162" s="1181"/>
      <c r="NRZ162" s="1181"/>
      <c r="NSA162" s="1181"/>
      <c r="NSB162" s="1181"/>
      <c r="NSC162" s="1181"/>
      <c r="NSD162" s="1181"/>
      <c r="NSE162" s="1181"/>
      <c r="NSF162" s="1181"/>
      <c r="NSG162" s="1181"/>
      <c r="NSH162" s="1181"/>
      <c r="NSI162" s="1181"/>
      <c r="NSJ162" s="1181"/>
      <c r="NSK162" s="1181"/>
      <c r="NSL162" s="1181"/>
      <c r="NSM162" s="1181"/>
      <c r="NSN162" s="1181"/>
      <c r="NSO162" s="1181"/>
      <c r="NSP162" s="1181"/>
      <c r="NSQ162" s="1181"/>
      <c r="NSR162" s="1181"/>
      <c r="NSS162" s="1181"/>
      <c r="NST162" s="1181"/>
      <c r="NSU162" s="1181"/>
      <c r="NSV162" s="1181"/>
      <c r="NSW162" s="1181"/>
      <c r="NSX162" s="1181"/>
      <c r="NSY162" s="1181"/>
      <c r="NSZ162" s="1181"/>
      <c r="NTA162" s="1181"/>
      <c r="NTB162" s="1181"/>
      <c r="NTC162" s="1181"/>
      <c r="NTD162" s="1181"/>
      <c r="NTE162" s="1181"/>
      <c r="NTF162" s="1181"/>
      <c r="NTG162" s="1181"/>
      <c r="NTH162" s="1181"/>
      <c r="NTI162" s="1181"/>
      <c r="NTJ162" s="1181"/>
      <c r="NTK162" s="1181"/>
      <c r="NTL162" s="1181"/>
      <c r="NTM162" s="1181"/>
      <c r="NTN162" s="1181"/>
      <c r="NTO162" s="1181"/>
      <c r="NTP162" s="1181"/>
      <c r="NTQ162" s="1181"/>
      <c r="NTR162" s="1181"/>
      <c r="NTS162" s="1181"/>
      <c r="NTT162" s="1181"/>
      <c r="NTU162" s="1181"/>
      <c r="NTV162" s="1181"/>
      <c r="NTW162" s="1181"/>
      <c r="NTX162" s="1181"/>
      <c r="NTY162" s="1181"/>
      <c r="NTZ162" s="1181"/>
      <c r="NUA162" s="1181"/>
      <c r="NUB162" s="1181"/>
      <c r="NUC162" s="1181"/>
      <c r="NUD162" s="1181"/>
      <c r="NUE162" s="1181"/>
      <c r="NUF162" s="1181"/>
      <c r="NUG162" s="1181"/>
      <c r="NUH162" s="1181"/>
      <c r="NUI162" s="1181"/>
      <c r="NUJ162" s="1181"/>
      <c r="NUK162" s="1181"/>
      <c r="NUL162" s="1181"/>
      <c r="NUM162" s="1181"/>
      <c r="NUN162" s="1181"/>
      <c r="NUO162" s="1181"/>
      <c r="NUP162" s="1181"/>
      <c r="NUQ162" s="1181"/>
      <c r="NUR162" s="1181"/>
      <c r="NUS162" s="1181"/>
      <c r="NUT162" s="1181"/>
      <c r="NUU162" s="1181"/>
      <c r="NUV162" s="1181"/>
      <c r="NUW162" s="1181"/>
      <c r="NUX162" s="1181"/>
      <c r="NUY162" s="1181"/>
      <c r="NUZ162" s="1181"/>
      <c r="NVA162" s="1181"/>
      <c r="NVB162" s="1181"/>
      <c r="NVC162" s="1181"/>
      <c r="NVD162" s="1181"/>
      <c r="NVE162" s="1181"/>
      <c r="NVF162" s="1181"/>
      <c r="NVG162" s="1181"/>
      <c r="NVH162" s="1181"/>
      <c r="NVI162" s="1181"/>
      <c r="NVJ162" s="1181"/>
      <c r="NVK162" s="1181"/>
      <c r="NVL162" s="1181"/>
      <c r="NVM162" s="1181"/>
      <c r="NVN162" s="1181"/>
      <c r="NVO162" s="1181"/>
      <c r="NVP162" s="1181"/>
      <c r="NVQ162" s="1181"/>
      <c r="NVR162" s="1181"/>
      <c r="NVS162" s="1181"/>
      <c r="NVT162" s="1181"/>
      <c r="NVU162" s="1181"/>
      <c r="NVV162" s="1181"/>
      <c r="NVW162" s="1181"/>
      <c r="NVX162" s="1181"/>
      <c r="NVY162" s="1181"/>
      <c r="NVZ162" s="1181"/>
      <c r="NWA162" s="1181"/>
      <c r="NWB162" s="1181"/>
      <c r="NWC162" s="1181"/>
      <c r="NWD162" s="1181"/>
      <c r="NWE162" s="1181"/>
      <c r="NWF162" s="1181"/>
      <c r="NWG162" s="1181"/>
      <c r="NWH162" s="1181"/>
      <c r="NWI162" s="1181"/>
      <c r="NWJ162" s="1181"/>
      <c r="NWK162" s="1181"/>
      <c r="NWL162" s="1181"/>
      <c r="NWM162" s="1181"/>
      <c r="NWN162" s="1181"/>
      <c r="NWO162" s="1181"/>
      <c r="NWP162" s="1181"/>
      <c r="NWQ162" s="1181"/>
      <c r="NWR162" s="1181"/>
      <c r="NWS162" s="1181"/>
      <c r="NWT162" s="1181"/>
      <c r="NWU162" s="1181"/>
      <c r="NWV162" s="1181"/>
      <c r="NWW162" s="1181"/>
      <c r="NWX162" s="1181"/>
      <c r="NWY162" s="1181"/>
      <c r="NWZ162" s="1181"/>
      <c r="NXA162" s="1181"/>
      <c r="NXB162" s="1181"/>
      <c r="NXC162" s="1181"/>
      <c r="NXD162" s="1181"/>
      <c r="NXE162" s="1181"/>
      <c r="NXF162" s="1181"/>
      <c r="NXG162" s="1181"/>
      <c r="NXH162" s="1181"/>
      <c r="NXI162" s="1181"/>
      <c r="NXJ162" s="1181"/>
      <c r="NXK162" s="1181"/>
      <c r="NXL162" s="1181"/>
      <c r="NXM162" s="1181"/>
      <c r="NXN162" s="1181"/>
      <c r="NXO162" s="1181"/>
      <c r="NXP162" s="1181"/>
      <c r="NXQ162" s="1181"/>
      <c r="NXR162" s="1181"/>
      <c r="NXS162" s="1181"/>
      <c r="NXT162" s="1181"/>
      <c r="NXU162" s="1181"/>
      <c r="NXV162" s="1181"/>
      <c r="NXW162" s="1181"/>
      <c r="NXX162" s="1181"/>
      <c r="NXY162" s="1181"/>
      <c r="NXZ162" s="1181"/>
      <c r="NYA162" s="1181"/>
      <c r="NYB162" s="1181"/>
      <c r="NYC162" s="1181"/>
      <c r="NYD162" s="1181"/>
      <c r="NYE162" s="1181"/>
      <c r="NYF162" s="1181"/>
      <c r="NYG162" s="1181"/>
      <c r="NYH162" s="1181"/>
      <c r="NYI162" s="1181"/>
      <c r="NYJ162" s="1181"/>
      <c r="NYK162" s="1181"/>
      <c r="NYL162" s="1181"/>
      <c r="NYM162" s="1181"/>
      <c r="NYN162" s="1181"/>
      <c r="NYO162" s="1181"/>
      <c r="NYP162" s="1181"/>
      <c r="NYQ162" s="1181"/>
      <c r="NYR162" s="1181"/>
      <c r="NYS162" s="1181"/>
      <c r="NYT162" s="1181"/>
      <c r="NYU162" s="1181"/>
      <c r="NYV162" s="1181"/>
      <c r="NYW162" s="1181"/>
      <c r="NYX162" s="1181"/>
      <c r="NYY162" s="1181"/>
      <c r="NYZ162" s="1181"/>
      <c r="NZA162" s="1181"/>
      <c r="NZB162" s="1181"/>
      <c r="NZC162" s="1181"/>
      <c r="NZD162" s="1181"/>
      <c r="NZE162" s="1181"/>
      <c r="NZF162" s="1181"/>
      <c r="NZG162" s="1181"/>
      <c r="NZH162" s="1181"/>
      <c r="NZI162" s="1181"/>
      <c r="NZJ162" s="1181"/>
      <c r="NZK162" s="1181"/>
      <c r="NZL162" s="1181"/>
      <c r="NZM162" s="1181"/>
      <c r="NZN162" s="1181"/>
      <c r="NZO162" s="1181"/>
      <c r="NZP162" s="1181"/>
      <c r="NZQ162" s="1181"/>
      <c r="NZR162" s="1181"/>
      <c r="NZS162" s="1181"/>
      <c r="NZT162" s="1181"/>
      <c r="NZU162" s="1181"/>
      <c r="NZV162" s="1181"/>
      <c r="NZW162" s="1181"/>
      <c r="NZX162" s="1181"/>
      <c r="NZY162" s="1181"/>
      <c r="NZZ162" s="1181"/>
      <c r="OAA162" s="1181"/>
      <c r="OAB162" s="1181"/>
      <c r="OAC162" s="1181"/>
      <c r="OAD162" s="1181"/>
      <c r="OAE162" s="1181"/>
      <c r="OAF162" s="1181"/>
      <c r="OAG162" s="1181"/>
      <c r="OAH162" s="1181"/>
      <c r="OAI162" s="1181"/>
      <c r="OAJ162" s="1181"/>
      <c r="OAK162" s="1181"/>
      <c r="OAL162" s="1181"/>
      <c r="OAM162" s="1181"/>
      <c r="OAN162" s="1181"/>
      <c r="OAO162" s="1181"/>
      <c r="OAP162" s="1181"/>
      <c r="OAQ162" s="1181"/>
      <c r="OAR162" s="1181"/>
      <c r="OAS162" s="1181"/>
      <c r="OAT162" s="1181"/>
      <c r="OAU162" s="1181"/>
      <c r="OAV162" s="1181"/>
      <c r="OAW162" s="1181"/>
      <c r="OAX162" s="1181"/>
      <c r="OAY162" s="1181"/>
      <c r="OAZ162" s="1181"/>
      <c r="OBA162" s="1181"/>
      <c r="OBB162" s="1181"/>
      <c r="OBC162" s="1181"/>
      <c r="OBD162" s="1181"/>
      <c r="OBE162" s="1181"/>
      <c r="OBF162" s="1181"/>
      <c r="OBG162" s="1181"/>
      <c r="OBH162" s="1181"/>
      <c r="OBI162" s="1181"/>
      <c r="OBJ162" s="1181"/>
      <c r="OBK162" s="1181"/>
      <c r="OBL162" s="1181"/>
      <c r="OBM162" s="1181"/>
      <c r="OBN162" s="1181"/>
      <c r="OBO162" s="1181"/>
      <c r="OBP162" s="1181"/>
      <c r="OBQ162" s="1181"/>
      <c r="OBR162" s="1181"/>
      <c r="OBS162" s="1181"/>
      <c r="OBT162" s="1181"/>
      <c r="OBU162" s="1181"/>
      <c r="OBV162" s="1181"/>
      <c r="OBW162" s="1181"/>
      <c r="OBX162" s="1181"/>
      <c r="OBY162" s="1181"/>
      <c r="OBZ162" s="1181"/>
      <c r="OCA162" s="1181"/>
      <c r="OCB162" s="1181"/>
      <c r="OCC162" s="1181"/>
      <c r="OCD162" s="1181"/>
      <c r="OCE162" s="1181"/>
      <c r="OCF162" s="1181"/>
      <c r="OCG162" s="1181"/>
      <c r="OCH162" s="1181"/>
      <c r="OCI162" s="1181"/>
      <c r="OCJ162" s="1181"/>
      <c r="OCK162" s="1181"/>
      <c r="OCL162" s="1181"/>
      <c r="OCM162" s="1181"/>
      <c r="OCN162" s="1181"/>
      <c r="OCO162" s="1181"/>
      <c r="OCP162" s="1181"/>
      <c r="OCQ162" s="1181"/>
      <c r="OCR162" s="1181"/>
      <c r="OCS162" s="1181"/>
      <c r="OCT162" s="1181"/>
      <c r="OCU162" s="1181"/>
      <c r="OCV162" s="1181"/>
      <c r="OCW162" s="1181"/>
      <c r="OCX162" s="1181"/>
      <c r="OCY162" s="1181"/>
      <c r="OCZ162" s="1181"/>
      <c r="ODA162" s="1181"/>
      <c r="ODB162" s="1181"/>
      <c r="ODC162" s="1181"/>
      <c r="ODD162" s="1181"/>
      <c r="ODE162" s="1181"/>
      <c r="ODF162" s="1181"/>
      <c r="ODG162" s="1181"/>
      <c r="ODH162" s="1181"/>
      <c r="ODI162" s="1181"/>
      <c r="ODJ162" s="1181"/>
      <c r="ODK162" s="1181"/>
      <c r="ODL162" s="1181"/>
      <c r="ODM162" s="1181"/>
      <c r="ODN162" s="1181"/>
      <c r="ODO162" s="1181"/>
      <c r="ODP162" s="1181"/>
      <c r="ODQ162" s="1181"/>
      <c r="ODR162" s="1181"/>
      <c r="ODS162" s="1181"/>
      <c r="ODT162" s="1181"/>
      <c r="ODU162" s="1181"/>
      <c r="ODV162" s="1181"/>
      <c r="ODW162" s="1181"/>
      <c r="ODX162" s="1181"/>
      <c r="ODY162" s="1181"/>
      <c r="ODZ162" s="1181"/>
      <c r="OEA162" s="1181"/>
      <c r="OEB162" s="1181"/>
      <c r="OEC162" s="1181"/>
      <c r="OED162" s="1181"/>
      <c r="OEE162" s="1181"/>
      <c r="OEF162" s="1181"/>
      <c r="OEG162" s="1181"/>
      <c r="OEH162" s="1181"/>
      <c r="OEI162" s="1181"/>
      <c r="OEJ162" s="1181"/>
      <c r="OEK162" s="1181"/>
      <c r="OEL162" s="1181"/>
      <c r="OEM162" s="1181"/>
      <c r="OEN162" s="1181"/>
      <c r="OEO162" s="1181"/>
      <c r="OEP162" s="1181"/>
      <c r="OEQ162" s="1181"/>
      <c r="OER162" s="1181"/>
      <c r="OES162" s="1181"/>
      <c r="OET162" s="1181"/>
      <c r="OEU162" s="1181"/>
      <c r="OEV162" s="1181"/>
      <c r="OEW162" s="1181"/>
      <c r="OEX162" s="1181"/>
      <c r="OEY162" s="1181"/>
      <c r="OEZ162" s="1181"/>
      <c r="OFA162" s="1181"/>
      <c r="OFB162" s="1181"/>
      <c r="OFC162" s="1181"/>
      <c r="OFD162" s="1181"/>
      <c r="OFE162" s="1181"/>
      <c r="OFF162" s="1181"/>
      <c r="OFG162" s="1181"/>
      <c r="OFH162" s="1181"/>
      <c r="OFI162" s="1181"/>
      <c r="OFJ162" s="1181"/>
      <c r="OFK162" s="1181"/>
      <c r="OFL162" s="1181"/>
      <c r="OFM162" s="1181"/>
      <c r="OFN162" s="1181"/>
      <c r="OFO162" s="1181"/>
      <c r="OFP162" s="1181"/>
      <c r="OFQ162" s="1181"/>
      <c r="OFR162" s="1181"/>
      <c r="OFS162" s="1181"/>
      <c r="OFT162" s="1181"/>
      <c r="OFU162" s="1181"/>
      <c r="OFV162" s="1181"/>
      <c r="OFW162" s="1181"/>
      <c r="OFX162" s="1181"/>
      <c r="OFY162" s="1181"/>
      <c r="OFZ162" s="1181"/>
      <c r="OGA162" s="1181"/>
      <c r="OGB162" s="1181"/>
      <c r="OGC162" s="1181"/>
      <c r="OGD162" s="1181"/>
      <c r="OGE162" s="1181"/>
      <c r="OGF162" s="1181"/>
      <c r="OGG162" s="1181"/>
      <c r="OGH162" s="1181"/>
      <c r="OGI162" s="1181"/>
      <c r="OGJ162" s="1181"/>
      <c r="OGK162" s="1181"/>
      <c r="OGL162" s="1181"/>
      <c r="OGM162" s="1181"/>
      <c r="OGN162" s="1181"/>
      <c r="OGO162" s="1181"/>
      <c r="OGP162" s="1181"/>
      <c r="OGQ162" s="1181"/>
      <c r="OGR162" s="1181"/>
      <c r="OGS162" s="1181"/>
      <c r="OGT162" s="1181"/>
      <c r="OGU162" s="1181"/>
      <c r="OGV162" s="1181"/>
      <c r="OGW162" s="1181"/>
      <c r="OGX162" s="1181"/>
      <c r="OGY162" s="1181"/>
      <c r="OGZ162" s="1181"/>
      <c r="OHA162" s="1181"/>
      <c r="OHB162" s="1181"/>
      <c r="OHC162" s="1181"/>
      <c r="OHD162" s="1181"/>
      <c r="OHE162" s="1181"/>
      <c r="OHF162" s="1181"/>
      <c r="OHG162" s="1181"/>
      <c r="OHH162" s="1181"/>
      <c r="OHI162" s="1181"/>
      <c r="OHJ162" s="1181"/>
      <c r="OHK162" s="1181"/>
      <c r="OHL162" s="1181"/>
      <c r="OHM162" s="1181"/>
      <c r="OHN162" s="1181"/>
      <c r="OHO162" s="1181"/>
      <c r="OHP162" s="1181"/>
      <c r="OHQ162" s="1181"/>
      <c r="OHR162" s="1181"/>
      <c r="OHS162" s="1181"/>
      <c r="OHT162" s="1181"/>
      <c r="OHU162" s="1181"/>
      <c r="OHV162" s="1181"/>
      <c r="OHW162" s="1181"/>
      <c r="OHX162" s="1181"/>
      <c r="OHY162" s="1181"/>
      <c r="OHZ162" s="1181"/>
      <c r="OIA162" s="1181"/>
      <c r="OIB162" s="1181"/>
      <c r="OIC162" s="1181"/>
      <c r="OID162" s="1181"/>
      <c r="OIE162" s="1181"/>
      <c r="OIF162" s="1181"/>
      <c r="OIG162" s="1181"/>
      <c r="OIH162" s="1181"/>
      <c r="OII162" s="1181"/>
      <c r="OIJ162" s="1181"/>
      <c r="OIK162" s="1181"/>
      <c r="OIL162" s="1181"/>
      <c r="OIM162" s="1181"/>
      <c r="OIN162" s="1181"/>
      <c r="OIO162" s="1181"/>
      <c r="OIP162" s="1181"/>
      <c r="OIQ162" s="1181"/>
      <c r="OIR162" s="1181"/>
      <c r="OIS162" s="1181"/>
      <c r="OIT162" s="1181"/>
      <c r="OIU162" s="1181"/>
      <c r="OIV162" s="1181"/>
      <c r="OIW162" s="1181"/>
      <c r="OIX162" s="1181"/>
      <c r="OIY162" s="1181"/>
      <c r="OIZ162" s="1181"/>
      <c r="OJA162" s="1181"/>
      <c r="OJB162" s="1181"/>
      <c r="OJC162" s="1181"/>
      <c r="OJD162" s="1181"/>
      <c r="OJE162" s="1181"/>
      <c r="OJF162" s="1181"/>
      <c r="OJG162" s="1181"/>
      <c r="OJH162" s="1181"/>
      <c r="OJI162" s="1181"/>
      <c r="OJJ162" s="1181"/>
      <c r="OJK162" s="1181"/>
      <c r="OJL162" s="1181"/>
      <c r="OJM162" s="1181"/>
      <c r="OJN162" s="1181"/>
      <c r="OJO162" s="1181"/>
      <c r="OJP162" s="1181"/>
      <c r="OJQ162" s="1181"/>
      <c r="OJR162" s="1181"/>
      <c r="OJS162" s="1181"/>
      <c r="OJT162" s="1181"/>
      <c r="OJU162" s="1181"/>
      <c r="OJV162" s="1181"/>
      <c r="OJW162" s="1181"/>
      <c r="OJX162" s="1181"/>
      <c r="OJY162" s="1181"/>
      <c r="OJZ162" s="1181"/>
      <c r="OKA162" s="1181"/>
      <c r="OKB162" s="1181"/>
      <c r="OKC162" s="1181"/>
      <c r="OKD162" s="1181"/>
      <c r="OKE162" s="1181"/>
      <c r="OKF162" s="1181"/>
      <c r="OKG162" s="1181"/>
      <c r="OKH162" s="1181"/>
      <c r="OKI162" s="1181"/>
      <c r="OKJ162" s="1181"/>
      <c r="OKK162" s="1181"/>
      <c r="OKL162" s="1181"/>
      <c r="OKM162" s="1181"/>
      <c r="OKN162" s="1181"/>
      <c r="OKO162" s="1181"/>
      <c r="OKP162" s="1181"/>
      <c r="OKQ162" s="1181"/>
      <c r="OKR162" s="1181"/>
      <c r="OKS162" s="1181"/>
      <c r="OKT162" s="1181"/>
      <c r="OKU162" s="1181"/>
      <c r="OKV162" s="1181"/>
      <c r="OKW162" s="1181"/>
      <c r="OKX162" s="1181"/>
      <c r="OKY162" s="1181"/>
      <c r="OKZ162" s="1181"/>
      <c r="OLA162" s="1181"/>
      <c r="OLB162" s="1181"/>
      <c r="OLC162" s="1181"/>
      <c r="OLD162" s="1181"/>
      <c r="OLE162" s="1181"/>
      <c r="OLF162" s="1181"/>
      <c r="OLG162" s="1181"/>
      <c r="OLH162" s="1181"/>
      <c r="OLI162" s="1181"/>
      <c r="OLJ162" s="1181"/>
      <c r="OLK162" s="1181"/>
      <c r="OLL162" s="1181"/>
      <c r="OLM162" s="1181"/>
      <c r="OLN162" s="1181"/>
      <c r="OLO162" s="1181"/>
      <c r="OLP162" s="1181"/>
      <c r="OLQ162" s="1181"/>
      <c r="OLR162" s="1181"/>
      <c r="OLS162" s="1181"/>
      <c r="OLT162" s="1181"/>
      <c r="OLU162" s="1181"/>
      <c r="OLV162" s="1181"/>
      <c r="OLW162" s="1181"/>
      <c r="OLX162" s="1181"/>
      <c r="OLY162" s="1181"/>
      <c r="OLZ162" s="1181"/>
      <c r="OMA162" s="1181"/>
      <c r="OMB162" s="1181"/>
      <c r="OMC162" s="1181"/>
      <c r="OMD162" s="1181"/>
      <c r="OME162" s="1181"/>
      <c r="OMF162" s="1181"/>
      <c r="OMG162" s="1181"/>
      <c r="OMH162" s="1181"/>
      <c r="OMI162" s="1181"/>
      <c r="OMJ162" s="1181"/>
      <c r="OMK162" s="1181"/>
      <c r="OML162" s="1181"/>
      <c r="OMM162" s="1181"/>
      <c r="OMN162" s="1181"/>
      <c r="OMO162" s="1181"/>
      <c r="OMP162" s="1181"/>
      <c r="OMQ162" s="1181"/>
      <c r="OMR162" s="1181"/>
      <c r="OMS162" s="1181"/>
      <c r="OMT162" s="1181"/>
      <c r="OMU162" s="1181"/>
      <c r="OMV162" s="1181"/>
      <c r="OMW162" s="1181"/>
      <c r="OMX162" s="1181"/>
      <c r="OMY162" s="1181"/>
      <c r="OMZ162" s="1181"/>
      <c r="ONA162" s="1181"/>
      <c r="ONB162" s="1181"/>
      <c r="ONC162" s="1181"/>
      <c r="OND162" s="1181"/>
      <c r="ONE162" s="1181"/>
      <c r="ONF162" s="1181"/>
      <c r="ONG162" s="1181"/>
      <c r="ONH162" s="1181"/>
      <c r="ONI162" s="1181"/>
      <c r="ONJ162" s="1181"/>
      <c r="ONK162" s="1181"/>
      <c r="ONL162" s="1181"/>
      <c r="ONM162" s="1181"/>
      <c r="ONN162" s="1181"/>
      <c r="ONO162" s="1181"/>
      <c r="ONP162" s="1181"/>
      <c r="ONQ162" s="1181"/>
      <c r="ONR162" s="1181"/>
      <c r="ONS162" s="1181"/>
      <c r="ONT162" s="1181"/>
      <c r="ONU162" s="1181"/>
      <c r="ONV162" s="1181"/>
      <c r="ONW162" s="1181"/>
      <c r="ONX162" s="1181"/>
      <c r="ONY162" s="1181"/>
      <c r="ONZ162" s="1181"/>
      <c r="OOA162" s="1181"/>
      <c r="OOB162" s="1181"/>
      <c r="OOC162" s="1181"/>
      <c r="OOD162" s="1181"/>
      <c r="OOE162" s="1181"/>
      <c r="OOF162" s="1181"/>
      <c r="OOG162" s="1181"/>
      <c r="OOH162" s="1181"/>
      <c r="OOI162" s="1181"/>
      <c r="OOJ162" s="1181"/>
      <c r="OOK162" s="1181"/>
      <c r="OOL162" s="1181"/>
      <c r="OOM162" s="1181"/>
      <c r="OON162" s="1181"/>
      <c r="OOO162" s="1181"/>
      <c r="OOP162" s="1181"/>
      <c r="OOQ162" s="1181"/>
      <c r="OOR162" s="1181"/>
      <c r="OOS162" s="1181"/>
      <c r="OOT162" s="1181"/>
      <c r="OOU162" s="1181"/>
      <c r="OOV162" s="1181"/>
      <c r="OOW162" s="1181"/>
      <c r="OOX162" s="1181"/>
      <c r="OOY162" s="1181"/>
      <c r="OOZ162" s="1181"/>
      <c r="OPA162" s="1181"/>
      <c r="OPB162" s="1181"/>
      <c r="OPC162" s="1181"/>
      <c r="OPD162" s="1181"/>
      <c r="OPE162" s="1181"/>
      <c r="OPF162" s="1181"/>
      <c r="OPG162" s="1181"/>
      <c r="OPH162" s="1181"/>
      <c r="OPI162" s="1181"/>
      <c r="OPJ162" s="1181"/>
      <c r="OPK162" s="1181"/>
      <c r="OPL162" s="1181"/>
      <c r="OPM162" s="1181"/>
      <c r="OPN162" s="1181"/>
      <c r="OPO162" s="1181"/>
      <c r="OPP162" s="1181"/>
      <c r="OPQ162" s="1181"/>
      <c r="OPR162" s="1181"/>
      <c r="OPS162" s="1181"/>
      <c r="OPT162" s="1181"/>
      <c r="OPU162" s="1181"/>
      <c r="OPV162" s="1181"/>
      <c r="OPW162" s="1181"/>
      <c r="OPX162" s="1181"/>
      <c r="OPY162" s="1181"/>
      <c r="OPZ162" s="1181"/>
      <c r="OQA162" s="1181"/>
      <c r="OQB162" s="1181"/>
      <c r="OQC162" s="1181"/>
      <c r="OQD162" s="1181"/>
      <c r="OQE162" s="1181"/>
      <c r="OQF162" s="1181"/>
      <c r="OQG162" s="1181"/>
      <c r="OQH162" s="1181"/>
      <c r="OQI162" s="1181"/>
      <c r="OQJ162" s="1181"/>
      <c r="OQK162" s="1181"/>
      <c r="OQL162" s="1181"/>
      <c r="OQM162" s="1181"/>
      <c r="OQN162" s="1181"/>
      <c r="OQO162" s="1181"/>
      <c r="OQP162" s="1181"/>
      <c r="OQQ162" s="1181"/>
      <c r="OQR162" s="1181"/>
      <c r="OQS162" s="1181"/>
      <c r="OQT162" s="1181"/>
      <c r="OQU162" s="1181"/>
      <c r="OQV162" s="1181"/>
      <c r="OQW162" s="1181"/>
      <c r="OQX162" s="1181"/>
      <c r="OQY162" s="1181"/>
      <c r="OQZ162" s="1181"/>
      <c r="ORA162" s="1181"/>
      <c r="ORB162" s="1181"/>
      <c r="ORC162" s="1181"/>
      <c r="ORD162" s="1181"/>
      <c r="ORE162" s="1181"/>
      <c r="ORF162" s="1181"/>
      <c r="ORG162" s="1181"/>
      <c r="ORH162" s="1181"/>
      <c r="ORI162" s="1181"/>
      <c r="ORJ162" s="1181"/>
      <c r="ORK162" s="1181"/>
      <c r="ORL162" s="1181"/>
      <c r="ORM162" s="1181"/>
      <c r="ORN162" s="1181"/>
      <c r="ORO162" s="1181"/>
      <c r="ORP162" s="1181"/>
      <c r="ORQ162" s="1181"/>
      <c r="ORR162" s="1181"/>
      <c r="ORS162" s="1181"/>
      <c r="ORT162" s="1181"/>
      <c r="ORU162" s="1181"/>
      <c r="ORV162" s="1181"/>
      <c r="ORW162" s="1181"/>
      <c r="ORX162" s="1181"/>
      <c r="ORY162" s="1181"/>
      <c r="ORZ162" s="1181"/>
      <c r="OSA162" s="1181"/>
      <c r="OSB162" s="1181"/>
      <c r="OSC162" s="1181"/>
      <c r="OSD162" s="1181"/>
      <c r="OSE162" s="1181"/>
      <c r="OSF162" s="1181"/>
      <c r="OSG162" s="1181"/>
      <c r="OSH162" s="1181"/>
      <c r="OSI162" s="1181"/>
      <c r="OSJ162" s="1181"/>
      <c r="OSK162" s="1181"/>
      <c r="OSL162" s="1181"/>
      <c r="OSM162" s="1181"/>
      <c r="OSN162" s="1181"/>
      <c r="OSO162" s="1181"/>
      <c r="OSP162" s="1181"/>
      <c r="OSQ162" s="1181"/>
      <c r="OSR162" s="1181"/>
      <c r="OSS162" s="1181"/>
      <c r="OST162" s="1181"/>
      <c r="OSU162" s="1181"/>
      <c r="OSV162" s="1181"/>
      <c r="OSW162" s="1181"/>
      <c r="OSX162" s="1181"/>
      <c r="OSY162" s="1181"/>
      <c r="OSZ162" s="1181"/>
      <c r="OTA162" s="1181"/>
      <c r="OTB162" s="1181"/>
      <c r="OTC162" s="1181"/>
      <c r="OTD162" s="1181"/>
      <c r="OTE162" s="1181"/>
      <c r="OTF162" s="1181"/>
      <c r="OTG162" s="1181"/>
      <c r="OTH162" s="1181"/>
      <c r="OTI162" s="1181"/>
      <c r="OTJ162" s="1181"/>
      <c r="OTK162" s="1181"/>
      <c r="OTL162" s="1181"/>
      <c r="OTM162" s="1181"/>
      <c r="OTN162" s="1181"/>
      <c r="OTO162" s="1181"/>
      <c r="OTP162" s="1181"/>
      <c r="OTQ162" s="1181"/>
      <c r="OTR162" s="1181"/>
      <c r="OTS162" s="1181"/>
      <c r="OTT162" s="1181"/>
      <c r="OTU162" s="1181"/>
      <c r="OTV162" s="1181"/>
      <c r="OTW162" s="1181"/>
      <c r="OTX162" s="1181"/>
      <c r="OTY162" s="1181"/>
      <c r="OTZ162" s="1181"/>
      <c r="OUA162" s="1181"/>
      <c r="OUB162" s="1181"/>
      <c r="OUC162" s="1181"/>
      <c r="OUD162" s="1181"/>
      <c r="OUE162" s="1181"/>
      <c r="OUF162" s="1181"/>
      <c r="OUG162" s="1181"/>
      <c r="OUH162" s="1181"/>
      <c r="OUI162" s="1181"/>
      <c r="OUJ162" s="1181"/>
      <c r="OUK162" s="1181"/>
      <c r="OUL162" s="1181"/>
      <c r="OUM162" s="1181"/>
      <c r="OUN162" s="1181"/>
      <c r="OUO162" s="1181"/>
      <c r="OUP162" s="1181"/>
      <c r="OUQ162" s="1181"/>
      <c r="OUR162" s="1181"/>
      <c r="OUS162" s="1181"/>
      <c r="OUT162" s="1181"/>
      <c r="OUU162" s="1181"/>
      <c r="OUV162" s="1181"/>
      <c r="OUW162" s="1181"/>
      <c r="OUX162" s="1181"/>
      <c r="OUY162" s="1181"/>
      <c r="OUZ162" s="1181"/>
      <c r="OVA162" s="1181"/>
      <c r="OVB162" s="1181"/>
      <c r="OVC162" s="1181"/>
      <c r="OVD162" s="1181"/>
      <c r="OVE162" s="1181"/>
      <c r="OVF162" s="1181"/>
      <c r="OVG162" s="1181"/>
      <c r="OVH162" s="1181"/>
      <c r="OVI162" s="1181"/>
      <c r="OVJ162" s="1181"/>
      <c r="OVK162" s="1181"/>
      <c r="OVL162" s="1181"/>
      <c r="OVM162" s="1181"/>
      <c r="OVN162" s="1181"/>
      <c r="OVO162" s="1181"/>
      <c r="OVP162" s="1181"/>
      <c r="OVQ162" s="1181"/>
      <c r="OVR162" s="1181"/>
      <c r="OVS162" s="1181"/>
      <c r="OVT162" s="1181"/>
      <c r="OVU162" s="1181"/>
      <c r="OVV162" s="1181"/>
      <c r="OVW162" s="1181"/>
      <c r="OVX162" s="1181"/>
      <c r="OVY162" s="1181"/>
      <c r="OVZ162" s="1181"/>
      <c r="OWA162" s="1181"/>
      <c r="OWB162" s="1181"/>
      <c r="OWC162" s="1181"/>
      <c r="OWD162" s="1181"/>
      <c r="OWE162" s="1181"/>
      <c r="OWF162" s="1181"/>
      <c r="OWG162" s="1181"/>
      <c r="OWH162" s="1181"/>
      <c r="OWI162" s="1181"/>
      <c r="OWJ162" s="1181"/>
      <c r="OWK162" s="1181"/>
      <c r="OWL162" s="1181"/>
      <c r="OWM162" s="1181"/>
      <c r="OWN162" s="1181"/>
      <c r="OWO162" s="1181"/>
      <c r="OWP162" s="1181"/>
      <c r="OWQ162" s="1181"/>
      <c r="OWR162" s="1181"/>
      <c r="OWS162" s="1181"/>
      <c r="OWT162" s="1181"/>
      <c r="OWU162" s="1181"/>
      <c r="OWV162" s="1181"/>
      <c r="OWW162" s="1181"/>
      <c r="OWX162" s="1181"/>
      <c r="OWY162" s="1181"/>
      <c r="OWZ162" s="1181"/>
      <c r="OXA162" s="1181"/>
      <c r="OXB162" s="1181"/>
      <c r="OXC162" s="1181"/>
      <c r="OXD162" s="1181"/>
      <c r="OXE162" s="1181"/>
      <c r="OXF162" s="1181"/>
      <c r="OXG162" s="1181"/>
      <c r="OXH162" s="1181"/>
      <c r="OXI162" s="1181"/>
      <c r="OXJ162" s="1181"/>
      <c r="OXK162" s="1181"/>
      <c r="OXL162" s="1181"/>
      <c r="OXM162" s="1181"/>
      <c r="OXN162" s="1181"/>
      <c r="OXO162" s="1181"/>
      <c r="OXP162" s="1181"/>
      <c r="OXQ162" s="1181"/>
      <c r="OXR162" s="1181"/>
      <c r="OXS162" s="1181"/>
      <c r="OXT162" s="1181"/>
      <c r="OXU162" s="1181"/>
      <c r="OXV162" s="1181"/>
      <c r="OXW162" s="1181"/>
      <c r="OXX162" s="1181"/>
      <c r="OXY162" s="1181"/>
      <c r="OXZ162" s="1181"/>
      <c r="OYA162" s="1181"/>
      <c r="OYB162" s="1181"/>
      <c r="OYC162" s="1181"/>
      <c r="OYD162" s="1181"/>
      <c r="OYE162" s="1181"/>
      <c r="OYF162" s="1181"/>
      <c r="OYG162" s="1181"/>
      <c r="OYH162" s="1181"/>
      <c r="OYI162" s="1181"/>
      <c r="OYJ162" s="1181"/>
      <c r="OYK162" s="1181"/>
      <c r="OYL162" s="1181"/>
      <c r="OYM162" s="1181"/>
      <c r="OYN162" s="1181"/>
      <c r="OYO162" s="1181"/>
      <c r="OYP162" s="1181"/>
      <c r="OYQ162" s="1181"/>
      <c r="OYR162" s="1181"/>
      <c r="OYS162" s="1181"/>
      <c r="OYT162" s="1181"/>
      <c r="OYU162" s="1181"/>
      <c r="OYV162" s="1181"/>
      <c r="OYW162" s="1181"/>
      <c r="OYX162" s="1181"/>
      <c r="OYY162" s="1181"/>
      <c r="OYZ162" s="1181"/>
      <c r="OZA162" s="1181"/>
      <c r="OZB162" s="1181"/>
      <c r="OZC162" s="1181"/>
      <c r="OZD162" s="1181"/>
      <c r="OZE162" s="1181"/>
      <c r="OZF162" s="1181"/>
      <c r="OZG162" s="1181"/>
      <c r="OZH162" s="1181"/>
      <c r="OZI162" s="1181"/>
      <c r="OZJ162" s="1181"/>
      <c r="OZK162" s="1181"/>
      <c r="OZL162" s="1181"/>
      <c r="OZM162" s="1181"/>
      <c r="OZN162" s="1181"/>
      <c r="OZO162" s="1181"/>
      <c r="OZP162" s="1181"/>
      <c r="OZQ162" s="1181"/>
      <c r="OZR162" s="1181"/>
      <c r="OZS162" s="1181"/>
      <c r="OZT162" s="1181"/>
      <c r="OZU162" s="1181"/>
      <c r="OZV162" s="1181"/>
      <c r="OZW162" s="1181"/>
      <c r="OZX162" s="1181"/>
      <c r="OZY162" s="1181"/>
      <c r="OZZ162" s="1181"/>
      <c r="PAA162" s="1181"/>
      <c r="PAB162" s="1181"/>
      <c r="PAC162" s="1181"/>
      <c r="PAD162" s="1181"/>
      <c r="PAE162" s="1181"/>
      <c r="PAF162" s="1181"/>
      <c r="PAG162" s="1181"/>
      <c r="PAH162" s="1181"/>
      <c r="PAI162" s="1181"/>
      <c r="PAJ162" s="1181"/>
      <c r="PAK162" s="1181"/>
      <c r="PAL162" s="1181"/>
      <c r="PAM162" s="1181"/>
      <c r="PAN162" s="1181"/>
      <c r="PAO162" s="1181"/>
      <c r="PAP162" s="1181"/>
      <c r="PAQ162" s="1181"/>
      <c r="PAR162" s="1181"/>
      <c r="PAS162" s="1181"/>
      <c r="PAT162" s="1181"/>
      <c r="PAU162" s="1181"/>
      <c r="PAV162" s="1181"/>
      <c r="PAW162" s="1181"/>
      <c r="PAX162" s="1181"/>
      <c r="PAY162" s="1181"/>
      <c r="PAZ162" s="1181"/>
      <c r="PBA162" s="1181"/>
      <c r="PBB162" s="1181"/>
      <c r="PBC162" s="1181"/>
      <c r="PBD162" s="1181"/>
      <c r="PBE162" s="1181"/>
      <c r="PBF162" s="1181"/>
      <c r="PBG162" s="1181"/>
      <c r="PBH162" s="1181"/>
      <c r="PBI162" s="1181"/>
      <c r="PBJ162" s="1181"/>
      <c r="PBK162" s="1181"/>
      <c r="PBL162" s="1181"/>
      <c r="PBM162" s="1181"/>
      <c r="PBN162" s="1181"/>
      <c r="PBO162" s="1181"/>
      <c r="PBP162" s="1181"/>
      <c r="PBQ162" s="1181"/>
      <c r="PBR162" s="1181"/>
      <c r="PBS162" s="1181"/>
      <c r="PBT162" s="1181"/>
      <c r="PBU162" s="1181"/>
      <c r="PBV162" s="1181"/>
      <c r="PBW162" s="1181"/>
      <c r="PBX162" s="1181"/>
      <c r="PBY162" s="1181"/>
      <c r="PBZ162" s="1181"/>
      <c r="PCA162" s="1181"/>
      <c r="PCB162" s="1181"/>
      <c r="PCC162" s="1181"/>
      <c r="PCD162" s="1181"/>
      <c r="PCE162" s="1181"/>
      <c r="PCF162" s="1181"/>
      <c r="PCG162" s="1181"/>
      <c r="PCH162" s="1181"/>
      <c r="PCI162" s="1181"/>
      <c r="PCJ162" s="1181"/>
      <c r="PCK162" s="1181"/>
      <c r="PCL162" s="1181"/>
      <c r="PCM162" s="1181"/>
      <c r="PCN162" s="1181"/>
      <c r="PCO162" s="1181"/>
      <c r="PCP162" s="1181"/>
      <c r="PCQ162" s="1181"/>
      <c r="PCR162" s="1181"/>
      <c r="PCS162" s="1181"/>
      <c r="PCT162" s="1181"/>
      <c r="PCU162" s="1181"/>
      <c r="PCV162" s="1181"/>
      <c r="PCW162" s="1181"/>
      <c r="PCX162" s="1181"/>
      <c r="PCY162" s="1181"/>
      <c r="PCZ162" s="1181"/>
      <c r="PDA162" s="1181"/>
      <c r="PDB162" s="1181"/>
      <c r="PDC162" s="1181"/>
      <c r="PDD162" s="1181"/>
      <c r="PDE162" s="1181"/>
      <c r="PDF162" s="1181"/>
      <c r="PDG162" s="1181"/>
      <c r="PDH162" s="1181"/>
      <c r="PDI162" s="1181"/>
      <c r="PDJ162" s="1181"/>
      <c r="PDK162" s="1181"/>
      <c r="PDL162" s="1181"/>
      <c r="PDM162" s="1181"/>
      <c r="PDN162" s="1181"/>
      <c r="PDO162" s="1181"/>
      <c r="PDP162" s="1181"/>
      <c r="PDQ162" s="1181"/>
      <c r="PDR162" s="1181"/>
      <c r="PDS162" s="1181"/>
      <c r="PDT162" s="1181"/>
      <c r="PDU162" s="1181"/>
      <c r="PDV162" s="1181"/>
      <c r="PDW162" s="1181"/>
      <c r="PDX162" s="1181"/>
      <c r="PDY162" s="1181"/>
      <c r="PDZ162" s="1181"/>
      <c r="PEA162" s="1181"/>
      <c r="PEB162" s="1181"/>
      <c r="PEC162" s="1181"/>
      <c r="PED162" s="1181"/>
      <c r="PEE162" s="1181"/>
      <c r="PEF162" s="1181"/>
      <c r="PEG162" s="1181"/>
      <c r="PEH162" s="1181"/>
      <c r="PEI162" s="1181"/>
      <c r="PEJ162" s="1181"/>
      <c r="PEK162" s="1181"/>
      <c r="PEL162" s="1181"/>
      <c r="PEM162" s="1181"/>
      <c r="PEN162" s="1181"/>
      <c r="PEO162" s="1181"/>
      <c r="PEP162" s="1181"/>
      <c r="PEQ162" s="1181"/>
      <c r="PER162" s="1181"/>
      <c r="PES162" s="1181"/>
      <c r="PET162" s="1181"/>
      <c r="PEU162" s="1181"/>
      <c r="PEV162" s="1181"/>
      <c r="PEW162" s="1181"/>
      <c r="PEX162" s="1181"/>
      <c r="PEY162" s="1181"/>
      <c r="PEZ162" s="1181"/>
      <c r="PFA162" s="1181"/>
      <c r="PFB162" s="1181"/>
      <c r="PFC162" s="1181"/>
      <c r="PFD162" s="1181"/>
      <c r="PFE162" s="1181"/>
      <c r="PFF162" s="1181"/>
      <c r="PFG162" s="1181"/>
      <c r="PFH162" s="1181"/>
      <c r="PFI162" s="1181"/>
      <c r="PFJ162" s="1181"/>
      <c r="PFK162" s="1181"/>
      <c r="PFL162" s="1181"/>
      <c r="PFM162" s="1181"/>
      <c r="PFN162" s="1181"/>
      <c r="PFO162" s="1181"/>
      <c r="PFP162" s="1181"/>
      <c r="PFQ162" s="1181"/>
      <c r="PFR162" s="1181"/>
      <c r="PFS162" s="1181"/>
      <c r="PFT162" s="1181"/>
      <c r="PFU162" s="1181"/>
      <c r="PFV162" s="1181"/>
      <c r="PFW162" s="1181"/>
      <c r="PFX162" s="1181"/>
      <c r="PFY162" s="1181"/>
      <c r="PFZ162" s="1181"/>
      <c r="PGA162" s="1181"/>
      <c r="PGB162" s="1181"/>
      <c r="PGC162" s="1181"/>
      <c r="PGD162" s="1181"/>
      <c r="PGE162" s="1181"/>
      <c r="PGF162" s="1181"/>
      <c r="PGG162" s="1181"/>
      <c r="PGH162" s="1181"/>
      <c r="PGI162" s="1181"/>
      <c r="PGJ162" s="1181"/>
      <c r="PGK162" s="1181"/>
      <c r="PGL162" s="1181"/>
      <c r="PGM162" s="1181"/>
      <c r="PGN162" s="1181"/>
      <c r="PGO162" s="1181"/>
      <c r="PGP162" s="1181"/>
      <c r="PGQ162" s="1181"/>
      <c r="PGR162" s="1181"/>
      <c r="PGS162" s="1181"/>
      <c r="PGT162" s="1181"/>
      <c r="PGU162" s="1181"/>
      <c r="PGV162" s="1181"/>
      <c r="PGW162" s="1181"/>
      <c r="PGX162" s="1181"/>
      <c r="PGY162" s="1181"/>
      <c r="PGZ162" s="1181"/>
      <c r="PHA162" s="1181"/>
      <c r="PHB162" s="1181"/>
      <c r="PHC162" s="1181"/>
      <c r="PHD162" s="1181"/>
      <c r="PHE162" s="1181"/>
      <c r="PHF162" s="1181"/>
      <c r="PHG162" s="1181"/>
      <c r="PHH162" s="1181"/>
      <c r="PHI162" s="1181"/>
      <c r="PHJ162" s="1181"/>
      <c r="PHK162" s="1181"/>
      <c r="PHL162" s="1181"/>
      <c r="PHM162" s="1181"/>
      <c r="PHN162" s="1181"/>
      <c r="PHO162" s="1181"/>
      <c r="PHP162" s="1181"/>
      <c r="PHQ162" s="1181"/>
      <c r="PHR162" s="1181"/>
      <c r="PHS162" s="1181"/>
      <c r="PHT162" s="1181"/>
      <c r="PHU162" s="1181"/>
      <c r="PHV162" s="1181"/>
      <c r="PHW162" s="1181"/>
      <c r="PHX162" s="1181"/>
      <c r="PHY162" s="1181"/>
      <c r="PHZ162" s="1181"/>
      <c r="PIA162" s="1181"/>
      <c r="PIB162" s="1181"/>
      <c r="PIC162" s="1181"/>
      <c r="PID162" s="1181"/>
      <c r="PIE162" s="1181"/>
      <c r="PIF162" s="1181"/>
      <c r="PIG162" s="1181"/>
      <c r="PIH162" s="1181"/>
      <c r="PII162" s="1181"/>
      <c r="PIJ162" s="1181"/>
      <c r="PIK162" s="1181"/>
      <c r="PIL162" s="1181"/>
      <c r="PIM162" s="1181"/>
      <c r="PIN162" s="1181"/>
      <c r="PIO162" s="1181"/>
      <c r="PIP162" s="1181"/>
      <c r="PIQ162" s="1181"/>
      <c r="PIR162" s="1181"/>
      <c r="PIS162" s="1181"/>
      <c r="PIT162" s="1181"/>
      <c r="PIU162" s="1181"/>
      <c r="PIV162" s="1181"/>
      <c r="PIW162" s="1181"/>
      <c r="PIX162" s="1181"/>
      <c r="PIY162" s="1181"/>
      <c r="PIZ162" s="1181"/>
      <c r="PJA162" s="1181"/>
      <c r="PJB162" s="1181"/>
      <c r="PJC162" s="1181"/>
      <c r="PJD162" s="1181"/>
      <c r="PJE162" s="1181"/>
      <c r="PJF162" s="1181"/>
      <c r="PJG162" s="1181"/>
      <c r="PJH162" s="1181"/>
      <c r="PJI162" s="1181"/>
      <c r="PJJ162" s="1181"/>
      <c r="PJK162" s="1181"/>
      <c r="PJL162" s="1181"/>
      <c r="PJM162" s="1181"/>
      <c r="PJN162" s="1181"/>
      <c r="PJO162" s="1181"/>
      <c r="PJP162" s="1181"/>
      <c r="PJQ162" s="1181"/>
      <c r="PJR162" s="1181"/>
      <c r="PJS162" s="1181"/>
      <c r="PJT162" s="1181"/>
      <c r="PJU162" s="1181"/>
      <c r="PJV162" s="1181"/>
      <c r="PJW162" s="1181"/>
      <c r="PJX162" s="1181"/>
      <c r="PJY162" s="1181"/>
      <c r="PJZ162" s="1181"/>
      <c r="PKA162" s="1181"/>
      <c r="PKB162" s="1181"/>
      <c r="PKC162" s="1181"/>
      <c r="PKD162" s="1181"/>
      <c r="PKE162" s="1181"/>
      <c r="PKF162" s="1181"/>
      <c r="PKG162" s="1181"/>
      <c r="PKH162" s="1181"/>
      <c r="PKI162" s="1181"/>
      <c r="PKJ162" s="1181"/>
      <c r="PKK162" s="1181"/>
      <c r="PKL162" s="1181"/>
      <c r="PKM162" s="1181"/>
      <c r="PKN162" s="1181"/>
      <c r="PKO162" s="1181"/>
      <c r="PKP162" s="1181"/>
      <c r="PKQ162" s="1181"/>
      <c r="PKR162" s="1181"/>
      <c r="PKS162" s="1181"/>
      <c r="PKT162" s="1181"/>
      <c r="PKU162" s="1181"/>
      <c r="PKV162" s="1181"/>
      <c r="PKW162" s="1181"/>
      <c r="PKX162" s="1181"/>
      <c r="PKY162" s="1181"/>
      <c r="PKZ162" s="1181"/>
      <c r="PLA162" s="1181"/>
      <c r="PLB162" s="1181"/>
      <c r="PLC162" s="1181"/>
      <c r="PLD162" s="1181"/>
      <c r="PLE162" s="1181"/>
      <c r="PLF162" s="1181"/>
      <c r="PLG162" s="1181"/>
      <c r="PLH162" s="1181"/>
      <c r="PLI162" s="1181"/>
      <c r="PLJ162" s="1181"/>
      <c r="PLK162" s="1181"/>
      <c r="PLL162" s="1181"/>
      <c r="PLM162" s="1181"/>
      <c r="PLN162" s="1181"/>
      <c r="PLO162" s="1181"/>
      <c r="PLP162" s="1181"/>
      <c r="PLQ162" s="1181"/>
      <c r="PLR162" s="1181"/>
      <c r="PLS162" s="1181"/>
      <c r="PLT162" s="1181"/>
      <c r="PLU162" s="1181"/>
      <c r="PLV162" s="1181"/>
      <c r="PLW162" s="1181"/>
      <c r="PLX162" s="1181"/>
      <c r="PLY162" s="1181"/>
      <c r="PLZ162" s="1181"/>
      <c r="PMA162" s="1181"/>
      <c r="PMB162" s="1181"/>
      <c r="PMC162" s="1181"/>
      <c r="PMD162" s="1181"/>
      <c r="PME162" s="1181"/>
      <c r="PMF162" s="1181"/>
      <c r="PMG162" s="1181"/>
      <c r="PMH162" s="1181"/>
      <c r="PMI162" s="1181"/>
      <c r="PMJ162" s="1181"/>
      <c r="PMK162" s="1181"/>
      <c r="PML162" s="1181"/>
      <c r="PMM162" s="1181"/>
      <c r="PMN162" s="1181"/>
      <c r="PMO162" s="1181"/>
      <c r="PMP162" s="1181"/>
      <c r="PMQ162" s="1181"/>
      <c r="PMR162" s="1181"/>
      <c r="PMS162" s="1181"/>
      <c r="PMT162" s="1181"/>
      <c r="PMU162" s="1181"/>
      <c r="PMV162" s="1181"/>
      <c r="PMW162" s="1181"/>
      <c r="PMX162" s="1181"/>
      <c r="PMY162" s="1181"/>
      <c r="PMZ162" s="1181"/>
      <c r="PNA162" s="1181"/>
      <c r="PNB162" s="1181"/>
      <c r="PNC162" s="1181"/>
      <c r="PND162" s="1181"/>
      <c r="PNE162" s="1181"/>
      <c r="PNF162" s="1181"/>
      <c r="PNG162" s="1181"/>
      <c r="PNH162" s="1181"/>
      <c r="PNI162" s="1181"/>
      <c r="PNJ162" s="1181"/>
      <c r="PNK162" s="1181"/>
      <c r="PNL162" s="1181"/>
      <c r="PNM162" s="1181"/>
      <c r="PNN162" s="1181"/>
      <c r="PNO162" s="1181"/>
      <c r="PNP162" s="1181"/>
      <c r="PNQ162" s="1181"/>
      <c r="PNR162" s="1181"/>
      <c r="PNS162" s="1181"/>
      <c r="PNT162" s="1181"/>
      <c r="PNU162" s="1181"/>
      <c r="PNV162" s="1181"/>
      <c r="PNW162" s="1181"/>
      <c r="PNX162" s="1181"/>
      <c r="PNY162" s="1181"/>
      <c r="PNZ162" s="1181"/>
      <c r="POA162" s="1181"/>
      <c r="POB162" s="1181"/>
      <c r="POC162" s="1181"/>
      <c r="POD162" s="1181"/>
      <c r="POE162" s="1181"/>
      <c r="POF162" s="1181"/>
      <c r="POG162" s="1181"/>
      <c r="POH162" s="1181"/>
      <c r="POI162" s="1181"/>
      <c r="POJ162" s="1181"/>
      <c r="POK162" s="1181"/>
      <c r="POL162" s="1181"/>
      <c r="POM162" s="1181"/>
      <c r="PON162" s="1181"/>
      <c r="POO162" s="1181"/>
      <c r="POP162" s="1181"/>
      <c r="POQ162" s="1181"/>
      <c r="POR162" s="1181"/>
      <c r="POS162" s="1181"/>
      <c r="POT162" s="1181"/>
      <c r="POU162" s="1181"/>
      <c r="POV162" s="1181"/>
      <c r="POW162" s="1181"/>
      <c r="POX162" s="1181"/>
      <c r="POY162" s="1181"/>
      <c r="POZ162" s="1181"/>
      <c r="PPA162" s="1181"/>
      <c r="PPB162" s="1181"/>
      <c r="PPC162" s="1181"/>
      <c r="PPD162" s="1181"/>
      <c r="PPE162" s="1181"/>
      <c r="PPF162" s="1181"/>
      <c r="PPG162" s="1181"/>
      <c r="PPH162" s="1181"/>
      <c r="PPI162" s="1181"/>
      <c r="PPJ162" s="1181"/>
      <c r="PPK162" s="1181"/>
      <c r="PPL162" s="1181"/>
      <c r="PPM162" s="1181"/>
      <c r="PPN162" s="1181"/>
      <c r="PPO162" s="1181"/>
      <c r="PPP162" s="1181"/>
      <c r="PPQ162" s="1181"/>
      <c r="PPR162" s="1181"/>
      <c r="PPS162" s="1181"/>
      <c r="PPT162" s="1181"/>
      <c r="PPU162" s="1181"/>
      <c r="PPV162" s="1181"/>
      <c r="PPW162" s="1181"/>
      <c r="PPX162" s="1181"/>
      <c r="PPY162" s="1181"/>
      <c r="PPZ162" s="1181"/>
      <c r="PQA162" s="1181"/>
      <c r="PQB162" s="1181"/>
      <c r="PQC162" s="1181"/>
      <c r="PQD162" s="1181"/>
      <c r="PQE162" s="1181"/>
      <c r="PQF162" s="1181"/>
      <c r="PQG162" s="1181"/>
      <c r="PQH162" s="1181"/>
      <c r="PQI162" s="1181"/>
      <c r="PQJ162" s="1181"/>
      <c r="PQK162" s="1181"/>
      <c r="PQL162" s="1181"/>
      <c r="PQM162" s="1181"/>
      <c r="PQN162" s="1181"/>
      <c r="PQO162" s="1181"/>
      <c r="PQP162" s="1181"/>
      <c r="PQQ162" s="1181"/>
      <c r="PQR162" s="1181"/>
      <c r="PQS162" s="1181"/>
      <c r="PQT162" s="1181"/>
      <c r="PQU162" s="1181"/>
      <c r="PQV162" s="1181"/>
      <c r="PQW162" s="1181"/>
      <c r="PQX162" s="1181"/>
      <c r="PQY162" s="1181"/>
      <c r="PQZ162" s="1181"/>
      <c r="PRA162" s="1181"/>
      <c r="PRB162" s="1181"/>
      <c r="PRC162" s="1181"/>
      <c r="PRD162" s="1181"/>
      <c r="PRE162" s="1181"/>
      <c r="PRF162" s="1181"/>
      <c r="PRG162" s="1181"/>
      <c r="PRH162" s="1181"/>
      <c r="PRI162" s="1181"/>
      <c r="PRJ162" s="1181"/>
      <c r="PRK162" s="1181"/>
      <c r="PRL162" s="1181"/>
      <c r="PRM162" s="1181"/>
      <c r="PRN162" s="1181"/>
      <c r="PRO162" s="1181"/>
      <c r="PRP162" s="1181"/>
      <c r="PRQ162" s="1181"/>
      <c r="PRR162" s="1181"/>
      <c r="PRS162" s="1181"/>
      <c r="PRT162" s="1181"/>
      <c r="PRU162" s="1181"/>
      <c r="PRV162" s="1181"/>
      <c r="PRW162" s="1181"/>
      <c r="PRX162" s="1181"/>
      <c r="PRY162" s="1181"/>
      <c r="PRZ162" s="1181"/>
      <c r="PSA162" s="1181"/>
      <c r="PSB162" s="1181"/>
      <c r="PSC162" s="1181"/>
      <c r="PSD162" s="1181"/>
      <c r="PSE162" s="1181"/>
      <c r="PSF162" s="1181"/>
      <c r="PSG162" s="1181"/>
      <c r="PSH162" s="1181"/>
      <c r="PSI162" s="1181"/>
      <c r="PSJ162" s="1181"/>
      <c r="PSK162" s="1181"/>
      <c r="PSL162" s="1181"/>
      <c r="PSM162" s="1181"/>
      <c r="PSN162" s="1181"/>
      <c r="PSO162" s="1181"/>
      <c r="PSP162" s="1181"/>
      <c r="PSQ162" s="1181"/>
      <c r="PSR162" s="1181"/>
      <c r="PSS162" s="1181"/>
      <c r="PST162" s="1181"/>
      <c r="PSU162" s="1181"/>
      <c r="PSV162" s="1181"/>
      <c r="PSW162" s="1181"/>
      <c r="PSX162" s="1181"/>
      <c r="PSY162" s="1181"/>
      <c r="PSZ162" s="1181"/>
      <c r="PTA162" s="1181"/>
      <c r="PTB162" s="1181"/>
      <c r="PTC162" s="1181"/>
      <c r="PTD162" s="1181"/>
      <c r="PTE162" s="1181"/>
      <c r="PTF162" s="1181"/>
      <c r="PTG162" s="1181"/>
      <c r="PTH162" s="1181"/>
      <c r="PTI162" s="1181"/>
      <c r="PTJ162" s="1181"/>
      <c r="PTK162" s="1181"/>
      <c r="PTL162" s="1181"/>
      <c r="PTM162" s="1181"/>
      <c r="PTN162" s="1181"/>
      <c r="PTO162" s="1181"/>
      <c r="PTP162" s="1181"/>
      <c r="PTQ162" s="1181"/>
      <c r="PTR162" s="1181"/>
      <c r="PTS162" s="1181"/>
      <c r="PTT162" s="1181"/>
      <c r="PTU162" s="1181"/>
      <c r="PTV162" s="1181"/>
      <c r="PTW162" s="1181"/>
      <c r="PTX162" s="1181"/>
      <c r="PTY162" s="1181"/>
      <c r="PTZ162" s="1181"/>
      <c r="PUA162" s="1181"/>
      <c r="PUB162" s="1181"/>
      <c r="PUC162" s="1181"/>
      <c r="PUD162" s="1181"/>
      <c r="PUE162" s="1181"/>
      <c r="PUF162" s="1181"/>
      <c r="PUG162" s="1181"/>
      <c r="PUH162" s="1181"/>
      <c r="PUI162" s="1181"/>
      <c r="PUJ162" s="1181"/>
      <c r="PUK162" s="1181"/>
      <c r="PUL162" s="1181"/>
      <c r="PUM162" s="1181"/>
      <c r="PUN162" s="1181"/>
      <c r="PUO162" s="1181"/>
      <c r="PUP162" s="1181"/>
      <c r="PUQ162" s="1181"/>
      <c r="PUR162" s="1181"/>
      <c r="PUS162" s="1181"/>
      <c r="PUT162" s="1181"/>
      <c r="PUU162" s="1181"/>
      <c r="PUV162" s="1181"/>
      <c r="PUW162" s="1181"/>
      <c r="PUX162" s="1181"/>
      <c r="PUY162" s="1181"/>
      <c r="PUZ162" s="1181"/>
      <c r="PVA162" s="1181"/>
      <c r="PVB162" s="1181"/>
      <c r="PVC162" s="1181"/>
      <c r="PVD162" s="1181"/>
      <c r="PVE162" s="1181"/>
      <c r="PVF162" s="1181"/>
      <c r="PVG162" s="1181"/>
      <c r="PVH162" s="1181"/>
      <c r="PVI162" s="1181"/>
      <c r="PVJ162" s="1181"/>
      <c r="PVK162" s="1181"/>
      <c r="PVL162" s="1181"/>
      <c r="PVM162" s="1181"/>
      <c r="PVN162" s="1181"/>
      <c r="PVO162" s="1181"/>
      <c r="PVP162" s="1181"/>
      <c r="PVQ162" s="1181"/>
      <c r="PVR162" s="1181"/>
      <c r="PVS162" s="1181"/>
      <c r="PVT162" s="1181"/>
      <c r="PVU162" s="1181"/>
      <c r="PVV162" s="1181"/>
      <c r="PVW162" s="1181"/>
      <c r="PVX162" s="1181"/>
      <c r="PVY162" s="1181"/>
      <c r="PVZ162" s="1181"/>
      <c r="PWA162" s="1181"/>
      <c r="PWB162" s="1181"/>
      <c r="PWC162" s="1181"/>
      <c r="PWD162" s="1181"/>
      <c r="PWE162" s="1181"/>
      <c r="PWF162" s="1181"/>
      <c r="PWG162" s="1181"/>
      <c r="PWH162" s="1181"/>
      <c r="PWI162" s="1181"/>
      <c r="PWJ162" s="1181"/>
      <c r="PWK162" s="1181"/>
      <c r="PWL162" s="1181"/>
      <c r="PWM162" s="1181"/>
      <c r="PWN162" s="1181"/>
      <c r="PWO162" s="1181"/>
      <c r="PWP162" s="1181"/>
      <c r="PWQ162" s="1181"/>
      <c r="PWR162" s="1181"/>
      <c r="PWS162" s="1181"/>
      <c r="PWT162" s="1181"/>
      <c r="PWU162" s="1181"/>
      <c r="PWV162" s="1181"/>
      <c r="PWW162" s="1181"/>
      <c r="PWX162" s="1181"/>
      <c r="PWY162" s="1181"/>
      <c r="PWZ162" s="1181"/>
      <c r="PXA162" s="1181"/>
      <c r="PXB162" s="1181"/>
      <c r="PXC162" s="1181"/>
      <c r="PXD162" s="1181"/>
      <c r="PXE162" s="1181"/>
      <c r="PXF162" s="1181"/>
      <c r="PXG162" s="1181"/>
      <c r="PXH162" s="1181"/>
      <c r="PXI162" s="1181"/>
      <c r="PXJ162" s="1181"/>
      <c r="PXK162" s="1181"/>
      <c r="PXL162" s="1181"/>
      <c r="PXM162" s="1181"/>
      <c r="PXN162" s="1181"/>
      <c r="PXO162" s="1181"/>
      <c r="PXP162" s="1181"/>
      <c r="PXQ162" s="1181"/>
      <c r="PXR162" s="1181"/>
      <c r="PXS162" s="1181"/>
      <c r="PXT162" s="1181"/>
      <c r="PXU162" s="1181"/>
      <c r="PXV162" s="1181"/>
      <c r="PXW162" s="1181"/>
      <c r="PXX162" s="1181"/>
      <c r="PXY162" s="1181"/>
      <c r="PXZ162" s="1181"/>
      <c r="PYA162" s="1181"/>
      <c r="PYB162" s="1181"/>
      <c r="PYC162" s="1181"/>
      <c r="PYD162" s="1181"/>
      <c r="PYE162" s="1181"/>
      <c r="PYF162" s="1181"/>
      <c r="PYG162" s="1181"/>
      <c r="PYH162" s="1181"/>
      <c r="PYI162" s="1181"/>
      <c r="PYJ162" s="1181"/>
      <c r="PYK162" s="1181"/>
      <c r="PYL162" s="1181"/>
      <c r="PYM162" s="1181"/>
      <c r="PYN162" s="1181"/>
      <c r="PYO162" s="1181"/>
      <c r="PYP162" s="1181"/>
      <c r="PYQ162" s="1181"/>
      <c r="PYR162" s="1181"/>
      <c r="PYS162" s="1181"/>
      <c r="PYT162" s="1181"/>
      <c r="PYU162" s="1181"/>
      <c r="PYV162" s="1181"/>
      <c r="PYW162" s="1181"/>
      <c r="PYX162" s="1181"/>
      <c r="PYY162" s="1181"/>
      <c r="PYZ162" s="1181"/>
      <c r="PZA162" s="1181"/>
      <c r="PZB162" s="1181"/>
      <c r="PZC162" s="1181"/>
      <c r="PZD162" s="1181"/>
      <c r="PZE162" s="1181"/>
      <c r="PZF162" s="1181"/>
      <c r="PZG162" s="1181"/>
      <c r="PZH162" s="1181"/>
      <c r="PZI162" s="1181"/>
      <c r="PZJ162" s="1181"/>
      <c r="PZK162" s="1181"/>
      <c r="PZL162" s="1181"/>
      <c r="PZM162" s="1181"/>
      <c r="PZN162" s="1181"/>
      <c r="PZO162" s="1181"/>
      <c r="PZP162" s="1181"/>
      <c r="PZQ162" s="1181"/>
      <c r="PZR162" s="1181"/>
      <c r="PZS162" s="1181"/>
      <c r="PZT162" s="1181"/>
      <c r="PZU162" s="1181"/>
      <c r="PZV162" s="1181"/>
      <c r="PZW162" s="1181"/>
      <c r="PZX162" s="1181"/>
      <c r="PZY162" s="1181"/>
      <c r="PZZ162" s="1181"/>
      <c r="QAA162" s="1181"/>
      <c r="QAB162" s="1181"/>
      <c r="QAC162" s="1181"/>
      <c r="QAD162" s="1181"/>
      <c r="QAE162" s="1181"/>
      <c r="QAF162" s="1181"/>
      <c r="QAG162" s="1181"/>
      <c r="QAH162" s="1181"/>
      <c r="QAI162" s="1181"/>
      <c r="QAJ162" s="1181"/>
      <c r="QAK162" s="1181"/>
      <c r="QAL162" s="1181"/>
      <c r="QAM162" s="1181"/>
      <c r="QAN162" s="1181"/>
      <c r="QAO162" s="1181"/>
      <c r="QAP162" s="1181"/>
      <c r="QAQ162" s="1181"/>
      <c r="QAR162" s="1181"/>
      <c r="QAS162" s="1181"/>
      <c r="QAT162" s="1181"/>
      <c r="QAU162" s="1181"/>
      <c r="QAV162" s="1181"/>
      <c r="QAW162" s="1181"/>
      <c r="QAX162" s="1181"/>
      <c r="QAY162" s="1181"/>
      <c r="QAZ162" s="1181"/>
      <c r="QBA162" s="1181"/>
      <c r="QBB162" s="1181"/>
      <c r="QBC162" s="1181"/>
      <c r="QBD162" s="1181"/>
      <c r="QBE162" s="1181"/>
      <c r="QBF162" s="1181"/>
      <c r="QBG162" s="1181"/>
      <c r="QBH162" s="1181"/>
      <c r="QBI162" s="1181"/>
      <c r="QBJ162" s="1181"/>
      <c r="QBK162" s="1181"/>
      <c r="QBL162" s="1181"/>
      <c r="QBM162" s="1181"/>
      <c r="QBN162" s="1181"/>
      <c r="QBO162" s="1181"/>
      <c r="QBP162" s="1181"/>
      <c r="QBQ162" s="1181"/>
      <c r="QBR162" s="1181"/>
      <c r="QBS162" s="1181"/>
      <c r="QBT162" s="1181"/>
      <c r="QBU162" s="1181"/>
      <c r="QBV162" s="1181"/>
      <c r="QBW162" s="1181"/>
      <c r="QBX162" s="1181"/>
      <c r="QBY162" s="1181"/>
      <c r="QBZ162" s="1181"/>
      <c r="QCA162" s="1181"/>
      <c r="QCB162" s="1181"/>
      <c r="QCC162" s="1181"/>
      <c r="QCD162" s="1181"/>
      <c r="QCE162" s="1181"/>
      <c r="QCF162" s="1181"/>
      <c r="QCG162" s="1181"/>
      <c r="QCH162" s="1181"/>
      <c r="QCI162" s="1181"/>
      <c r="QCJ162" s="1181"/>
      <c r="QCK162" s="1181"/>
      <c r="QCL162" s="1181"/>
      <c r="QCM162" s="1181"/>
      <c r="QCN162" s="1181"/>
      <c r="QCO162" s="1181"/>
      <c r="QCP162" s="1181"/>
      <c r="QCQ162" s="1181"/>
      <c r="QCR162" s="1181"/>
      <c r="QCS162" s="1181"/>
      <c r="QCT162" s="1181"/>
      <c r="QCU162" s="1181"/>
      <c r="QCV162" s="1181"/>
      <c r="QCW162" s="1181"/>
      <c r="QCX162" s="1181"/>
      <c r="QCY162" s="1181"/>
      <c r="QCZ162" s="1181"/>
      <c r="QDA162" s="1181"/>
      <c r="QDB162" s="1181"/>
      <c r="QDC162" s="1181"/>
      <c r="QDD162" s="1181"/>
      <c r="QDE162" s="1181"/>
      <c r="QDF162" s="1181"/>
      <c r="QDG162" s="1181"/>
      <c r="QDH162" s="1181"/>
      <c r="QDI162" s="1181"/>
      <c r="QDJ162" s="1181"/>
      <c r="QDK162" s="1181"/>
      <c r="QDL162" s="1181"/>
      <c r="QDM162" s="1181"/>
      <c r="QDN162" s="1181"/>
      <c r="QDO162" s="1181"/>
      <c r="QDP162" s="1181"/>
      <c r="QDQ162" s="1181"/>
      <c r="QDR162" s="1181"/>
      <c r="QDS162" s="1181"/>
      <c r="QDT162" s="1181"/>
      <c r="QDU162" s="1181"/>
      <c r="QDV162" s="1181"/>
      <c r="QDW162" s="1181"/>
      <c r="QDX162" s="1181"/>
      <c r="QDY162" s="1181"/>
      <c r="QDZ162" s="1181"/>
      <c r="QEA162" s="1181"/>
      <c r="QEB162" s="1181"/>
      <c r="QEC162" s="1181"/>
      <c r="QED162" s="1181"/>
      <c r="QEE162" s="1181"/>
      <c r="QEF162" s="1181"/>
      <c r="QEG162" s="1181"/>
      <c r="QEH162" s="1181"/>
      <c r="QEI162" s="1181"/>
      <c r="QEJ162" s="1181"/>
      <c r="QEK162" s="1181"/>
      <c r="QEL162" s="1181"/>
      <c r="QEM162" s="1181"/>
      <c r="QEN162" s="1181"/>
      <c r="QEO162" s="1181"/>
      <c r="QEP162" s="1181"/>
      <c r="QEQ162" s="1181"/>
      <c r="QER162" s="1181"/>
      <c r="QES162" s="1181"/>
      <c r="QET162" s="1181"/>
      <c r="QEU162" s="1181"/>
      <c r="QEV162" s="1181"/>
      <c r="QEW162" s="1181"/>
      <c r="QEX162" s="1181"/>
      <c r="QEY162" s="1181"/>
      <c r="QEZ162" s="1181"/>
      <c r="QFA162" s="1181"/>
      <c r="QFB162" s="1181"/>
      <c r="QFC162" s="1181"/>
      <c r="QFD162" s="1181"/>
      <c r="QFE162" s="1181"/>
      <c r="QFF162" s="1181"/>
      <c r="QFG162" s="1181"/>
      <c r="QFH162" s="1181"/>
      <c r="QFI162" s="1181"/>
      <c r="QFJ162" s="1181"/>
      <c r="QFK162" s="1181"/>
      <c r="QFL162" s="1181"/>
      <c r="QFM162" s="1181"/>
      <c r="QFN162" s="1181"/>
      <c r="QFO162" s="1181"/>
      <c r="QFP162" s="1181"/>
      <c r="QFQ162" s="1181"/>
      <c r="QFR162" s="1181"/>
      <c r="QFS162" s="1181"/>
      <c r="QFT162" s="1181"/>
      <c r="QFU162" s="1181"/>
      <c r="QFV162" s="1181"/>
      <c r="QFW162" s="1181"/>
      <c r="QFX162" s="1181"/>
      <c r="QFY162" s="1181"/>
      <c r="QFZ162" s="1181"/>
      <c r="QGA162" s="1181"/>
      <c r="QGB162" s="1181"/>
      <c r="QGC162" s="1181"/>
      <c r="QGD162" s="1181"/>
      <c r="QGE162" s="1181"/>
      <c r="QGF162" s="1181"/>
      <c r="QGG162" s="1181"/>
      <c r="QGH162" s="1181"/>
      <c r="QGI162" s="1181"/>
      <c r="QGJ162" s="1181"/>
      <c r="QGK162" s="1181"/>
      <c r="QGL162" s="1181"/>
      <c r="QGM162" s="1181"/>
      <c r="QGN162" s="1181"/>
      <c r="QGO162" s="1181"/>
      <c r="QGP162" s="1181"/>
      <c r="QGQ162" s="1181"/>
      <c r="QGR162" s="1181"/>
      <c r="QGS162" s="1181"/>
      <c r="QGT162" s="1181"/>
      <c r="QGU162" s="1181"/>
      <c r="QGV162" s="1181"/>
      <c r="QGW162" s="1181"/>
      <c r="QGX162" s="1181"/>
      <c r="QGY162" s="1181"/>
      <c r="QGZ162" s="1181"/>
      <c r="QHA162" s="1181"/>
      <c r="QHB162" s="1181"/>
      <c r="QHC162" s="1181"/>
      <c r="QHD162" s="1181"/>
      <c r="QHE162" s="1181"/>
      <c r="QHF162" s="1181"/>
      <c r="QHG162" s="1181"/>
      <c r="QHH162" s="1181"/>
      <c r="QHI162" s="1181"/>
      <c r="QHJ162" s="1181"/>
      <c r="QHK162" s="1181"/>
      <c r="QHL162" s="1181"/>
      <c r="QHM162" s="1181"/>
      <c r="QHN162" s="1181"/>
      <c r="QHO162" s="1181"/>
      <c r="QHP162" s="1181"/>
      <c r="QHQ162" s="1181"/>
      <c r="QHR162" s="1181"/>
      <c r="QHS162" s="1181"/>
      <c r="QHT162" s="1181"/>
      <c r="QHU162" s="1181"/>
      <c r="QHV162" s="1181"/>
      <c r="QHW162" s="1181"/>
      <c r="QHX162" s="1181"/>
      <c r="QHY162" s="1181"/>
      <c r="QHZ162" s="1181"/>
      <c r="QIA162" s="1181"/>
      <c r="QIB162" s="1181"/>
      <c r="QIC162" s="1181"/>
      <c r="QID162" s="1181"/>
      <c r="QIE162" s="1181"/>
      <c r="QIF162" s="1181"/>
      <c r="QIG162" s="1181"/>
      <c r="QIH162" s="1181"/>
      <c r="QII162" s="1181"/>
      <c r="QIJ162" s="1181"/>
      <c r="QIK162" s="1181"/>
      <c r="QIL162" s="1181"/>
      <c r="QIM162" s="1181"/>
      <c r="QIN162" s="1181"/>
      <c r="QIO162" s="1181"/>
      <c r="QIP162" s="1181"/>
      <c r="QIQ162" s="1181"/>
      <c r="QIR162" s="1181"/>
      <c r="QIS162" s="1181"/>
      <c r="QIT162" s="1181"/>
      <c r="QIU162" s="1181"/>
      <c r="QIV162" s="1181"/>
      <c r="QIW162" s="1181"/>
      <c r="QIX162" s="1181"/>
      <c r="QIY162" s="1181"/>
      <c r="QIZ162" s="1181"/>
      <c r="QJA162" s="1181"/>
      <c r="QJB162" s="1181"/>
      <c r="QJC162" s="1181"/>
      <c r="QJD162" s="1181"/>
      <c r="QJE162" s="1181"/>
      <c r="QJF162" s="1181"/>
      <c r="QJG162" s="1181"/>
      <c r="QJH162" s="1181"/>
      <c r="QJI162" s="1181"/>
      <c r="QJJ162" s="1181"/>
      <c r="QJK162" s="1181"/>
      <c r="QJL162" s="1181"/>
      <c r="QJM162" s="1181"/>
      <c r="QJN162" s="1181"/>
      <c r="QJO162" s="1181"/>
      <c r="QJP162" s="1181"/>
      <c r="QJQ162" s="1181"/>
      <c r="QJR162" s="1181"/>
      <c r="QJS162" s="1181"/>
      <c r="QJT162" s="1181"/>
      <c r="QJU162" s="1181"/>
      <c r="QJV162" s="1181"/>
      <c r="QJW162" s="1181"/>
      <c r="QJX162" s="1181"/>
      <c r="QJY162" s="1181"/>
      <c r="QJZ162" s="1181"/>
      <c r="QKA162" s="1181"/>
      <c r="QKB162" s="1181"/>
      <c r="QKC162" s="1181"/>
      <c r="QKD162" s="1181"/>
      <c r="QKE162" s="1181"/>
      <c r="QKF162" s="1181"/>
      <c r="QKG162" s="1181"/>
      <c r="QKH162" s="1181"/>
      <c r="QKI162" s="1181"/>
      <c r="QKJ162" s="1181"/>
      <c r="QKK162" s="1181"/>
      <c r="QKL162" s="1181"/>
      <c r="QKM162" s="1181"/>
      <c r="QKN162" s="1181"/>
      <c r="QKO162" s="1181"/>
      <c r="QKP162" s="1181"/>
      <c r="QKQ162" s="1181"/>
      <c r="QKR162" s="1181"/>
      <c r="QKS162" s="1181"/>
      <c r="QKT162" s="1181"/>
      <c r="QKU162" s="1181"/>
      <c r="QKV162" s="1181"/>
      <c r="QKW162" s="1181"/>
      <c r="QKX162" s="1181"/>
      <c r="QKY162" s="1181"/>
      <c r="QKZ162" s="1181"/>
      <c r="QLA162" s="1181"/>
      <c r="QLB162" s="1181"/>
      <c r="QLC162" s="1181"/>
      <c r="QLD162" s="1181"/>
      <c r="QLE162" s="1181"/>
      <c r="QLF162" s="1181"/>
      <c r="QLG162" s="1181"/>
      <c r="QLH162" s="1181"/>
      <c r="QLI162" s="1181"/>
      <c r="QLJ162" s="1181"/>
      <c r="QLK162" s="1181"/>
      <c r="QLL162" s="1181"/>
      <c r="QLM162" s="1181"/>
      <c r="QLN162" s="1181"/>
      <c r="QLO162" s="1181"/>
      <c r="QLP162" s="1181"/>
      <c r="QLQ162" s="1181"/>
      <c r="QLR162" s="1181"/>
      <c r="QLS162" s="1181"/>
      <c r="QLT162" s="1181"/>
      <c r="QLU162" s="1181"/>
      <c r="QLV162" s="1181"/>
      <c r="QLW162" s="1181"/>
      <c r="QLX162" s="1181"/>
      <c r="QLY162" s="1181"/>
      <c r="QLZ162" s="1181"/>
      <c r="QMA162" s="1181"/>
      <c r="QMB162" s="1181"/>
      <c r="QMC162" s="1181"/>
      <c r="QMD162" s="1181"/>
      <c r="QME162" s="1181"/>
      <c r="QMF162" s="1181"/>
      <c r="QMG162" s="1181"/>
      <c r="QMH162" s="1181"/>
      <c r="QMI162" s="1181"/>
      <c r="QMJ162" s="1181"/>
      <c r="QMK162" s="1181"/>
      <c r="QML162" s="1181"/>
      <c r="QMM162" s="1181"/>
      <c r="QMN162" s="1181"/>
      <c r="QMO162" s="1181"/>
      <c r="QMP162" s="1181"/>
      <c r="QMQ162" s="1181"/>
      <c r="QMR162" s="1181"/>
      <c r="QMS162" s="1181"/>
      <c r="QMT162" s="1181"/>
      <c r="QMU162" s="1181"/>
      <c r="QMV162" s="1181"/>
      <c r="QMW162" s="1181"/>
      <c r="QMX162" s="1181"/>
      <c r="QMY162" s="1181"/>
      <c r="QMZ162" s="1181"/>
      <c r="QNA162" s="1181"/>
      <c r="QNB162" s="1181"/>
      <c r="QNC162" s="1181"/>
      <c r="QND162" s="1181"/>
      <c r="QNE162" s="1181"/>
      <c r="QNF162" s="1181"/>
      <c r="QNG162" s="1181"/>
      <c r="QNH162" s="1181"/>
      <c r="QNI162" s="1181"/>
      <c r="QNJ162" s="1181"/>
      <c r="QNK162" s="1181"/>
      <c r="QNL162" s="1181"/>
      <c r="QNM162" s="1181"/>
      <c r="QNN162" s="1181"/>
      <c r="QNO162" s="1181"/>
      <c r="QNP162" s="1181"/>
      <c r="QNQ162" s="1181"/>
      <c r="QNR162" s="1181"/>
      <c r="QNS162" s="1181"/>
      <c r="QNT162" s="1181"/>
      <c r="QNU162" s="1181"/>
      <c r="QNV162" s="1181"/>
      <c r="QNW162" s="1181"/>
      <c r="QNX162" s="1181"/>
      <c r="QNY162" s="1181"/>
      <c r="QNZ162" s="1181"/>
      <c r="QOA162" s="1181"/>
      <c r="QOB162" s="1181"/>
      <c r="QOC162" s="1181"/>
      <c r="QOD162" s="1181"/>
      <c r="QOE162" s="1181"/>
      <c r="QOF162" s="1181"/>
      <c r="QOG162" s="1181"/>
      <c r="QOH162" s="1181"/>
      <c r="QOI162" s="1181"/>
      <c r="QOJ162" s="1181"/>
      <c r="QOK162" s="1181"/>
      <c r="QOL162" s="1181"/>
      <c r="QOM162" s="1181"/>
      <c r="QON162" s="1181"/>
      <c r="QOO162" s="1181"/>
      <c r="QOP162" s="1181"/>
      <c r="QOQ162" s="1181"/>
      <c r="QOR162" s="1181"/>
      <c r="QOS162" s="1181"/>
      <c r="QOT162" s="1181"/>
      <c r="QOU162" s="1181"/>
      <c r="QOV162" s="1181"/>
      <c r="QOW162" s="1181"/>
      <c r="QOX162" s="1181"/>
      <c r="QOY162" s="1181"/>
      <c r="QOZ162" s="1181"/>
      <c r="QPA162" s="1181"/>
      <c r="QPB162" s="1181"/>
      <c r="QPC162" s="1181"/>
      <c r="QPD162" s="1181"/>
      <c r="QPE162" s="1181"/>
      <c r="QPF162" s="1181"/>
      <c r="QPG162" s="1181"/>
      <c r="QPH162" s="1181"/>
      <c r="QPI162" s="1181"/>
      <c r="QPJ162" s="1181"/>
      <c r="QPK162" s="1181"/>
      <c r="QPL162" s="1181"/>
      <c r="QPM162" s="1181"/>
      <c r="QPN162" s="1181"/>
      <c r="QPO162" s="1181"/>
      <c r="QPP162" s="1181"/>
      <c r="QPQ162" s="1181"/>
      <c r="QPR162" s="1181"/>
      <c r="QPS162" s="1181"/>
      <c r="QPT162" s="1181"/>
      <c r="QPU162" s="1181"/>
      <c r="QPV162" s="1181"/>
      <c r="QPW162" s="1181"/>
      <c r="QPX162" s="1181"/>
      <c r="QPY162" s="1181"/>
      <c r="QPZ162" s="1181"/>
      <c r="QQA162" s="1181"/>
      <c r="QQB162" s="1181"/>
      <c r="QQC162" s="1181"/>
      <c r="QQD162" s="1181"/>
      <c r="QQE162" s="1181"/>
      <c r="QQF162" s="1181"/>
      <c r="QQG162" s="1181"/>
      <c r="QQH162" s="1181"/>
      <c r="QQI162" s="1181"/>
      <c r="QQJ162" s="1181"/>
      <c r="QQK162" s="1181"/>
      <c r="QQL162" s="1181"/>
      <c r="QQM162" s="1181"/>
      <c r="QQN162" s="1181"/>
      <c r="QQO162" s="1181"/>
      <c r="QQP162" s="1181"/>
      <c r="QQQ162" s="1181"/>
      <c r="QQR162" s="1181"/>
      <c r="QQS162" s="1181"/>
      <c r="QQT162" s="1181"/>
      <c r="QQU162" s="1181"/>
      <c r="QQV162" s="1181"/>
      <c r="QQW162" s="1181"/>
      <c r="QQX162" s="1181"/>
      <c r="QQY162" s="1181"/>
      <c r="QQZ162" s="1181"/>
      <c r="QRA162" s="1181"/>
      <c r="QRB162" s="1181"/>
      <c r="QRC162" s="1181"/>
      <c r="QRD162" s="1181"/>
      <c r="QRE162" s="1181"/>
      <c r="QRF162" s="1181"/>
      <c r="QRG162" s="1181"/>
      <c r="QRH162" s="1181"/>
      <c r="QRI162" s="1181"/>
      <c r="QRJ162" s="1181"/>
      <c r="QRK162" s="1181"/>
      <c r="QRL162" s="1181"/>
      <c r="QRM162" s="1181"/>
      <c r="QRN162" s="1181"/>
      <c r="QRO162" s="1181"/>
      <c r="QRP162" s="1181"/>
      <c r="QRQ162" s="1181"/>
      <c r="QRR162" s="1181"/>
      <c r="QRS162" s="1181"/>
      <c r="QRT162" s="1181"/>
      <c r="QRU162" s="1181"/>
      <c r="QRV162" s="1181"/>
      <c r="QRW162" s="1181"/>
      <c r="QRX162" s="1181"/>
      <c r="QRY162" s="1181"/>
      <c r="QRZ162" s="1181"/>
      <c r="QSA162" s="1181"/>
      <c r="QSB162" s="1181"/>
      <c r="QSC162" s="1181"/>
      <c r="QSD162" s="1181"/>
      <c r="QSE162" s="1181"/>
      <c r="QSF162" s="1181"/>
      <c r="QSG162" s="1181"/>
      <c r="QSH162" s="1181"/>
      <c r="QSI162" s="1181"/>
      <c r="QSJ162" s="1181"/>
      <c r="QSK162" s="1181"/>
      <c r="QSL162" s="1181"/>
      <c r="QSM162" s="1181"/>
      <c r="QSN162" s="1181"/>
      <c r="QSO162" s="1181"/>
      <c r="QSP162" s="1181"/>
      <c r="QSQ162" s="1181"/>
      <c r="QSR162" s="1181"/>
      <c r="QSS162" s="1181"/>
      <c r="QST162" s="1181"/>
      <c r="QSU162" s="1181"/>
      <c r="QSV162" s="1181"/>
      <c r="QSW162" s="1181"/>
      <c r="QSX162" s="1181"/>
      <c r="QSY162" s="1181"/>
      <c r="QSZ162" s="1181"/>
      <c r="QTA162" s="1181"/>
      <c r="QTB162" s="1181"/>
      <c r="QTC162" s="1181"/>
      <c r="QTD162" s="1181"/>
      <c r="QTE162" s="1181"/>
      <c r="QTF162" s="1181"/>
      <c r="QTG162" s="1181"/>
      <c r="QTH162" s="1181"/>
      <c r="QTI162" s="1181"/>
      <c r="QTJ162" s="1181"/>
      <c r="QTK162" s="1181"/>
      <c r="QTL162" s="1181"/>
      <c r="QTM162" s="1181"/>
      <c r="QTN162" s="1181"/>
      <c r="QTO162" s="1181"/>
      <c r="QTP162" s="1181"/>
      <c r="QTQ162" s="1181"/>
      <c r="QTR162" s="1181"/>
      <c r="QTS162" s="1181"/>
      <c r="QTT162" s="1181"/>
      <c r="QTU162" s="1181"/>
      <c r="QTV162" s="1181"/>
      <c r="QTW162" s="1181"/>
      <c r="QTX162" s="1181"/>
      <c r="QTY162" s="1181"/>
      <c r="QTZ162" s="1181"/>
      <c r="QUA162" s="1181"/>
      <c r="QUB162" s="1181"/>
      <c r="QUC162" s="1181"/>
      <c r="QUD162" s="1181"/>
      <c r="QUE162" s="1181"/>
      <c r="QUF162" s="1181"/>
      <c r="QUG162" s="1181"/>
      <c r="QUH162" s="1181"/>
      <c r="QUI162" s="1181"/>
      <c r="QUJ162" s="1181"/>
      <c r="QUK162" s="1181"/>
      <c r="QUL162" s="1181"/>
      <c r="QUM162" s="1181"/>
      <c r="QUN162" s="1181"/>
      <c r="QUO162" s="1181"/>
      <c r="QUP162" s="1181"/>
      <c r="QUQ162" s="1181"/>
      <c r="QUR162" s="1181"/>
      <c r="QUS162" s="1181"/>
      <c r="QUT162" s="1181"/>
      <c r="QUU162" s="1181"/>
      <c r="QUV162" s="1181"/>
      <c r="QUW162" s="1181"/>
      <c r="QUX162" s="1181"/>
      <c r="QUY162" s="1181"/>
      <c r="QUZ162" s="1181"/>
      <c r="QVA162" s="1181"/>
      <c r="QVB162" s="1181"/>
      <c r="QVC162" s="1181"/>
      <c r="QVD162" s="1181"/>
      <c r="QVE162" s="1181"/>
      <c r="QVF162" s="1181"/>
      <c r="QVG162" s="1181"/>
      <c r="QVH162" s="1181"/>
      <c r="QVI162" s="1181"/>
      <c r="QVJ162" s="1181"/>
      <c r="QVK162" s="1181"/>
      <c r="QVL162" s="1181"/>
      <c r="QVM162" s="1181"/>
      <c r="QVN162" s="1181"/>
      <c r="QVO162" s="1181"/>
      <c r="QVP162" s="1181"/>
      <c r="QVQ162" s="1181"/>
      <c r="QVR162" s="1181"/>
      <c r="QVS162" s="1181"/>
      <c r="QVT162" s="1181"/>
      <c r="QVU162" s="1181"/>
      <c r="QVV162" s="1181"/>
      <c r="QVW162" s="1181"/>
      <c r="QVX162" s="1181"/>
      <c r="QVY162" s="1181"/>
      <c r="QVZ162" s="1181"/>
      <c r="QWA162" s="1181"/>
      <c r="QWB162" s="1181"/>
      <c r="QWC162" s="1181"/>
      <c r="QWD162" s="1181"/>
      <c r="QWE162" s="1181"/>
      <c r="QWF162" s="1181"/>
      <c r="QWG162" s="1181"/>
      <c r="QWH162" s="1181"/>
      <c r="QWI162" s="1181"/>
      <c r="QWJ162" s="1181"/>
      <c r="QWK162" s="1181"/>
      <c r="QWL162" s="1181"/>
      <c r="QWM162" s="1181"/>
      <c r="QWN162" s="1181"/>
      <c r="QWO162" s="1181"/>
      <c r="QWP162" s="1181"/>
      <c r="QWQ162" s="1181"/>
      <c r="QWR162" s="1181"/>
      <c r="QWS162" s="1181"/>
      <c r="QWT162" s="1181"/>
      <c r="QWU162" s="1181"/>
      <c r="QWV162" s="1181"/>
      <c r="QWW162" s="1181"/>
      <c r="QWX162" s="1181"/>
      <c r="QWY162" s="1181"/>
      <c r="QWZ162" s="1181"/>
      <c r="QXA162" s="1181"/>
      <c r="QXB162" s="1181"/>
      <c r="QXC162" s="1181"/>
      <c r="QXD162" s="1181"/>
      <c r="QXE162" s="1181"/>
      <c r="QXF162" s="1181"/>
      <c r="QXG162" s="1181"/>
      <c r="QXH162" s="1181"/>
      <c r="QXI162" s="1181"/>
      <c r="QXJ162" s="1181"/>
      <c r="QXK162" s="1181"/>
      <c r="QXL162" s="1181"/>
      <c r="QXM162" s="1181"/>
      <c r="QXN162" s="1181"/>
      <c r="QXO162" s="1181"/>
      <c r="QXP162" s="1181"/>
      <c r="QXQ162" s="1181"/>
      <c r="QXR162" s="1181"/>
      <c r="QXS162" s="1181"/>
      <c r="QXT162" s="1181"/>
      <c r="QXU162" s="1181"/>
      <c r="QXV162" s="1181"/>
      <c r="QXW162" s="1181"/>
      <c r="QXX162" s="1181"/>
      <c r="QXY162" s="1181"/>
      <c r="QXZ162" s="1181"/>
      <c r="QYA162" s="1181"/>
      <c r="QYB162" s="1181"/>
      <c r="QYC162" s="1181"/>
      <c r="QYD162" s="1181"/>
      <c r="QYE162" s="1181"/>
      <c r="QYF162" s="1181"/>
      <c r="QYG162" s="1181"/>
      <c r="QYH162" s="1181"/>
      <c r="QYI162" s="1181"/>
      <c r="QYJ162" s="1181"/>
      <c r="QYK162" s="1181"/>
      <c r="QYL162" s="1181"/>
      <c r="QYM162" s="1181"/>
      <c r="QYN162" s="1181"/>
      <c r="QYO162" s="1181"/>
      <c r="QYP162" s="1181"/>
      <c r="QYQ162" s="1181"/>
      <c r="QYR162" s="1181"/>
      <c r="QYS162" s="1181"/>
      <c r="QYT162" s="1181"/>
      <c r="QYU162" s="1181"/>
      <c r="QYV162" s="1181"/>
      <c r="QYW162" s="1181"/>
      <c r="QYX162" s="1181"/>
      <c r="QYY162" s="1181"/>
      <c r="QYZ162" s="1181"/>
      <c r="QZA162" s="1181"/>
      <c r="QZB162" s="1181"/>
      <c r="QZC162" s="1181"/>
      <c r="QZD162" s="1181"/>
      <c r="QZE162" s="1181"/>
      <c r="QZF162" s="1181"/>
      <c r="QZG162" s="1181"/>
      <c r="QZH162" s="1181"/>
      <c r="QZI162" s="1181"/>
      <c r="QZJ162" s="1181"/>
      <c r="QZK162" s="1181"/>
      <c r="QZL162" s="1181"/>
      <c r="QZM162" s="1181"/>
      <c r="QZN162" s="1181"/>
      <c r="QZO162" s="1181"/>
      <c r="QZP162" s="1181"/>
      <c r="QZQ162" s="1181"/>
      <c r="QZR162" s="1181"/>
      <c r="QZS162" s="1181"/>
      <c r="QZT162" s="1181"/>
      <c r="QZU162" s="1181"/>
      <c r="QZV162" s="1181"/>
      <c r="QZW162" s="1181"/>
      <c r="QZX162" s="1181"/>
      <c r="QZY162" s="1181"/>
      <c r="QZZ162" s="1181"/>
      <c r="RAA162" s="1181"/>
      <c r="RAB162" s="1181"/>
      <c r="RAC162" s="1181"/>
      <c r="RAD162" s="1181"/>
      <c r="RAE162" s="1181"/>
      <c r="RAF162" s="1181"/>
      <c r="RAG162" s="1181"/>
      <c r="RAH162" s="1181"/>
      <c r="RAI162" s="1181"/>
      <c r="RAJ162" s="1181"/>
      <c r="RAK162" s="1181"/>
      <c r="RAL162" s="1181"/>
      <c r="RAM162" s="1181"/>
      <c r="RAN162" s="1181"/>
      <c r="RAO162" s="1181"/>
      <c r="RAP162" s="1181"/>
      <c r="RAQ162" s="1181"/>
      <c r="RAR162" s="1181"/>
      <c r="RAS162" s="1181"/>
      <c r="RAT162" s="1181"/>
      <c r="RAU162" s="1181"/>
      <c r="RAV162" s="1181"/>
      <c r="RAW162" s="1181"/>
      <c r="RAX162" s="1181"/>
      <c r="RAY162" s="1181"/>
      <c r="RAZ162" s="1181"/>
      <c r="RBA162" s="1181"/>
      <c r="RBB162" s="1181"/>
      <c r="RBC162" s="1181"/>
      <c r="RBD162" s="1181"/>
      <c r="RBE162" s="1181"/>
      <c r="RBF162" s="1181"/>
      <c r="RBG162" s="1181"/>
      <c r="RBH162" s="1181"/>
      <c r="RBI162" s="1181"/>
      <c r="RBJ162" s="1181"/>
      <c r="RBK162" s="1181"/>
      <c r="RBL162" s="1181"/>
      <c r="RBM162" s="1181"/>
      <c r="RBN162" s="1181"/>
      <c r="RBO162" s="1181"/>
      <c r="RBP162" s="1181"/>
      <c r="RBQ162" s="1181"/>
      <c r="RBR162" s="1181"/>
      <c r="RBS162" s="1181"/>
      <c r="RBT162" s="1181"/>
      <c r="RBU162" s="1181"/>
      <c r="RBV162" s="1181"/>
      <c r="RBW162" s="1181"/>
      <c r="RBX162" s="1181"/>
      <c r="RBY162" s="1181"/>
      <c r="RBZ162" s="1181"/>
      <c r="RCA162" s="1181"/>
      <c r="RCB162" s="1181"/>
      <c r="RCC162" s="1181"/>
      <c r="RCD162" s="1181"/>
      <c r="RCE162" s="1181"/>
      <c r="RCF162" s="1181"/>
      <c r="RCG162" s="1181"/>
      <c r="RCH162" s="1181"/>
      <c r="RCI162" s="1181"/>
      <c r="RCJ162" s="1181"/>
      <c r="RCK162" s="1181"/>
      <c r="RCL162" s="1181"/>
      <c r="RCM162" s="1181"/>
      <c r="RCN162" s="1181"/>
      <c r="RCO162" s="1181"/>
      <c r="RCP162" s="1181"/>
      <c r="RCQ162" s="1181"/>
      <c r="RCR162" s="1181"/>
      <c r="RCS162" s="1181"/>
      <c r="RCT162" s="1181"/>
      <c r="RCU162" s="1181"/>
      <c r="RCV162" s="1181"/>
      <c r="RCW162" s="1181"/>
      <c r="RCX162" s="1181"/>
      <c r="RCY162" s="1181"/>
      <c r="RCZ162" s="1181"/>
      <c r="RDA162" s="1181"/>
      <c r="RDB162" s="1181"/>
      <c r="RDC162" s="1181"/>
      <c r="RDD162" s="1181"/>
      <c r="RDE162" s="1181"/>
      <c r="RDF162" s="1181"/>
      <c r="RDG162" s="1181"/>
      <c r="RDH162" s="1181"/>
      <c r="RDI162" s="1181"/>
      <c r="RDJ162" s="1181"/>
      <c r="RDK162" s="1181"/>
      <c r="RDL162" s="1181"/>
      <c r="RDM162" s="1181"/>
      <c r="RDN162" s="1181"/>
      <c r="RDO162" s="1181"/>
      <c r="RDP162" s="1181"/>
      <c r="RDQ162" s="1181"/>
      <c r="RDR162" s="1181"/>
      <c r="RDS162" s="1181"/>
      <c r="RDT162" s="1181"/>
      <c r="RDU162" s="1181"/>
      <c r="RDV162" s="1181"/>
      <c r="RDW162" s="1181"/>
      <c r="RDX162" s="1181"/>
      <c r="RDY162" s="1181"/>
      <c r="RDZ162" s="1181"/>
      <c r="REA162" s="1181"/>
      <c r="REB162" s="1181"/>
      <c r="REC162" s="1181"/>
      <c r="RED162" s="1181"/>
      <c r="REE162" s="1181"/>
      <c r="REF162" s="1181"/>
      <c r="REG162" s="1181"/>
      <c r="REH162" s="1181"/>
      <c r="REI162" s="1181"/>
      <c r="REJ162" s="1181"/>
      <c r="REK162" s="1181"/>
      <c r="REL162" s="1181"/>
      <c r="REM162" s="1181"/>
      <c r="REN162" s="1181"/>
      <c r="REO162" s="1181"/>
      <c r="REP162" s="1181"/>
      <c r="REQ162" s="1181"/>
      <c r="RER162" s="1181"/>
      <c r="RES162" s="1181"/>
      <c r="RET162" s="1181"/>
      <c r="REU162" s="1181"/>
      <c r="REV162" s="1181"/>
      <c r="REW162" s="1181"/>
      <c r="REX162" s="1181"/>
      <c r="REY162" s="1181"/>
      <c r="REZ162" s="1181"/>
      <c r="RFA162" s="1181"/>
      <c r="RFB162" s="1181"/>
      <c r="RFC162" s="1181"/>
      <c r="RFD162" s="1181"/>
      <c r="RFE162" s="1181"/>
      <c r="RFF162" s="1181"/>
      <c r="RFG162" s="1181"/>
      <c r="RFH162" s="1181"/>
      <c r="RFI162" s="1181"/>
      <c r="RFJ162" s="1181"/>
      <c r="RFK162" s="1181"/>
      <c r="RFL162" s="1181"/>
      <c r="RFM162" s="1181"/>
      <c r="RFN162" s="1181"/>
      <c r="RFO162" s="1181"/>
      <c r="RFP162" s="1181"/>
      <c r="RFQ162" s="1181"/>
      <c r="RFR162" s="1181"/>
      <c r="RFS162" s="1181"/>
      <c r="RFT162" s="1181"/>
      <c r="RFU162" s="1181"/>
      <c r="RFV162" s="1181"/>
      <c r="RFW162" s="1181"/>
      <c r="RFX162" s="1181"/>
      <c r="RFY162" s="1181"/>
      <c r="RFZ162" s="1181"/>
      <c r="RGA162" s="1181"/>
      <c r="RGB162" s="1181"/>
      <c r="RGC162" s="1181"/>
      <c r="RGD162" s="1181"/>
      <c r="RGE162" s="1181"/>
      <c r="RGF162" s="1181"/>
      <c r="RGG162" s="1181"/>
      <c r="RGH162" s="1181"/>
      <c r="RGI162" s="1181"/>
      <c r="RGJ162" s="1181"/>
      <c r="RGK162" s="1181"/>
      <c r="RGL162" s="1181"/>
      <c r="RGM162" s="1181"/>
      <c r="RGN162" s="1181"/>
      <c r="RGO162" s="1181"/>
      <c r="RGP162" s="1181"/>
      <c r="RGQ162" s="1181"/>
      <c r="RGR162" s="1181"/>
      <c r="RGS162" s="1181"/>
      <c r="RGT162" s="1181"/>
      <c r="RGU162" s="1181"/>
      <c r="RGV162" s="1181"/>
      <c r="RGW162" s="1181"/>
      <c r="RGX162" s="1181"/>
      <c r="RGY162" s="1181"/>
      <c r="RGZ162" s="1181"/>
      <c r="RHA162" s="1181"/>
      <c r="RHB162" s="1181"/>
      <c r="RHC162" s="1181"/>
      <c r="RHD162" s="1181"/>
      <c r="RHE162" s="1181"/>
      <c r="RHF162" s="1181"/>
      <c r="RHG162" s="1181"/>
      <c r="RHH162" s="1181"/>
      <c r="RHI162" s="1181"/>
      <c r="RHJ162" s="1181"/>
      <c r="RHK162" s="1181"/>
      <c r="RHL162" s="1181"/>
      <c r="RHM162" s="1181"/>
      <c r="RHN162" s="1181"/>
      <c r="RHO162" s="1181"/>
      <c r="RHP162" s="1181"/>
      <c r="RHQ162" s="1181"/>
      <c r="RHR162" s="1181"/>
      <c r="RHS162" s="1181"/>
      <c r="RHT162" s="1181"/>
      <c r="RHU162" s="1181"/>
      <c r="RHV162" s="1181"/>
      <c r="RHW162" s="1181"/>
      <c r="RHX162" s="1181"/>
      <c r="RHY162" s="1181"/>
      <c r="RHZ162" s="1181"/>
      <c r="RIA162" s="1181"/>
      <c r="RIB162" s="1181"/>
      <c r="RIC162" s="1181"/>
      <c r="RID162" s="1181"/>
      <c r="RIE162" s="1181"/>
      <c r="RIF162" s="1181"/>
      <c r="RIG162" s="1181"/>
      <c r="RIH162" s="1181"/>
      <c r="RII162" s="1181"/>
      <c r="RIJ162" s="1181"/>
      <c r="RIK162" s="1181"/>
      <c r="RIL162" s="1181"/>
      <c r="RIM162" s="1181"/>
      <c r="RIN162" s="1181"/>
      <c r="RIO162" s="1181"/>
      <c r="RIP162" s="1181"/>
      <c r="RIQ162" s="1181"/>
      <c r="RIR162" s="1181"/>
      <c r="RIS162" s="1181"/>
      <c r="RIT162" s="1181"/>
      <c r="RIU162" s="1181"/>
      <c r="RIV162" s="1181"/>
      <c r="RIW162" s="1181"/>
      <c r="RIX162" s="1181"/>
      <c r="RIY162" s="1181"/>
      <c r="RIZ162" s="1181"/>
      <c r="RJA162" s="1181"/>
      <c r="RJB162" s="1181"/>
      <c r="RJC162" s="1181"/>
      <c r="RJD162" s="1181"/>
      <c r="RJE162" s="1181"/>
      <c r="RJF162" s="1181"/>
      <c r="RJG162" s="1181"/>
      <c r="RJH162" s="1181"/>
      <c r="RJI162" s="1181"/>
      <c r="RJJ162" s="1181"/>
      <c r="RJK162" s="1181"/>
      <c r="RJL162" s="1181"/>
      <c r="RJM162" s="1181"/>
      <c r="RJN162" s="1181"/>
      <c r="RJO162" s="1181"/>
      <c r="RJP162" s="1181"/>
      <c r="RJQ162" s="1181"/>
      <c r="RJR162" s="1181"/>
      <c r="RJS162" s="1181"/>
      <c r="RJT162" s="1181"/>
      <c r="RJU162" s="1181"/>
      <c r="RJV162" s="1181"/>
      <c r="RJW162" s="1181"/>
      <c r="RJX162" s="1181"/>
      <c r="RJY162" s="1181"/>
      <c r="RJZ162" s="1181"/>
      <c r="RKA162" s="1181"/>
      <c r="RKB162" s="1181"/>
      <c r="RKC162" s="1181"/>
      <c r="RKD162" s="1181"/>
      <c r="RKE162" s="1181"/>
      <c r="RKF162" s="1181"/>
      <c r="RKG162" s="1181"/>
      <c r="RKH162" s="1181"/>
      <c r="RKI162" s="1181"/>
      <c r="RKJ162" s="1181"/>
      <c r="RKK162" s="1181"/>
      <c r="RKL162" s="1181"/>
      <c r="RKM162" s="1181"/>
      <c r="RKN162" s="1181"/>
      <c r="RKO162" s="1181"/>
      <c r="RKP162" s="1181"/>
      <c r="RKQ162" s="1181"/>
      <c r="RKR162" s="1181"/>
      <c r="RKS162" s="1181"/>
      <c r="RKT162" s="1181"/>
      <c r="RKU162" s="1181"/>
      <c r="RKV162" s="1181"/>
      <c r="RKW162" s="1181"/>
      <c r="RKX162" s="1181"/>
      <c r="RKY162" s="1181"/>
      <c r="RKZ162" s="1181"/>
      <c r="RLA162" s="1181"/>
      <c r="RLB162" s="1181"/>
      <c r="RLC162" s="1181"/>
      <c r="RLD162" s="1181"/>
      <c r="RLE162" s="1181"/>
      <c r="RLF162" s="1181"/>
      <c r="RLG162" s="1181"/>
      <c r="RLH162" s="1181"/>
      <c r="RLI162" s="1181"/>
      <c r="RLJ162" s="1181"/>
      <c r="RLK162" s="1181"/>
      <c r="RLL162" s="1181"/>
      <c r="RLM162" s="1181"/>
      <c r="RLN162" s="1181"/>
      <c r="RLO162" s="1181"/>
      <c r="RLP162" s="1181"/>
      <c r="RLQ162" s="1181"/>
      <c r="RLR162" s="1181"/>
      <c r="RLS162" s="1181"/>
      <c r="RLT162" s="1181"/>
      <c r="RLU162" s="1181"/>
      <c r="RLV162" s="1181"/>
      <c r="RLW162" s="1181"/>
      <c r="RLX162" s="1181"/>
      <c r="RLY162" s="1181"/>
      <c r="RLZ162" s="1181"/>
      <c r="RMA162" s="1181"/>
      <c r="RMB162" s="1181"/>
      <c r="RMC162" s="1181"/>
      <c r="RMD162" s="1181"/>
      <c r="RME162" s="1181"/>
      <c r="RMF162" s="1181"/>
      <c r="RMG162" s="1181"/>
      <c r="RMH162" s="1181"/>
      <c r="RMI162" s="1181"/>
      <c r="RMJ162" s="1181"/>
      <c r="RMK162" s="1181"/>
      <c r="RML162" s="1181"/>
      <c r="RMM162" s="1181"/>
      <c r="RMN162" s="1181"/>
      <c r="RMO162" s="1181"/>
      <c r="RMP162" s="1181"/>
      <c r="RMQ162" s="1181"/>
      <c r="RMR162" s="1181"/>
      <c r="RMS162" s="1181"/>
      <c r="RMT162" s="1181"/>
      <c r="RMU162" s="1181"/>
      <c r="RMV162" s="1181"/>
      <c r="RMW162" s="1181"/>
      <c r="RMX162" s="1181"/>
      <c r="RMY162" s="1181"/>
      <c r="RMZ162" s="1181"/>
      <c r="RNA162" s="1181"/>
      <c r="RNB162" s="1181"/>
      <c r="RNC162" s="1181"/>
      <c r="RND162" s="1181"/>
      <c r="RNE162" s="1181"/>
      <c r="RNF162" s="1181"/>
      <c r="RNG162" s="1181"/>
      <c r="RNH162" s="1181"/>
      <c r="RNI162" s="1181"/>
      <c r="RNJ162" s="1181"/>
      <c r="RNK162" s="1181"/>
      <c r="RNL162" s="1181"/>
      <c r="RNM162" s="1181"/>
      <c r="RNN162" s="1181"/>
      <c r="RNO162" s="1181"/>
      <c r="RNP162" s="1181"/>
      <c r="RNQ162" s="1181"/>
      <c r="RNR162" s="1181"/>
      <c r="RNS162" s="1181"/>
      <c r="RNT162" s="1181"/>
      <c r="RNU162" s="1181"/>
      <c r="RNV162" s="1181"/>
      <c r="RNW162" s="1181"/>
      <c r="RNX162" s="1181"/>
      <c r="RNY162" s="1181"/>
      <c r="RNZ162" s="1181"/>
      <c r="ROA162" s="1181"/>
      <c r="ROB162" s="1181"/>
      <c r="ROC162" s="1181"/>
      <c r="ROD162" s="1181"/>
      <c r="ROE162" s="1181"/>
      <c r="ROF162" s="1181"/>
      <c r="ROG162" s="1181"/>
      <c r="ROH162" s="1181"/>
      <c r="ROI162" s="1181"/>
      <c r="ROJ162" s="1181"/>
      <c r="ROK162" s="1181"/>
      <c r="ROL162" s="1181"/>
      <c r="ROM162" s="1181"/>
      <c r="RON162" s="1181"/>
      <c r="ROO162" s="1181"/>
      <c r="ROP162" s="1181"/>
      <c r="ROQ162" s="1181"/>
      <c r="ROR162" s="1181"/>
      <c r="ROS162" s="1181"/>
      <c r="ROT162" s="1181"/>
      <c r="ROU162" s="1181"/>
      <c r="ROV162" s="1181"/>
      <c r="ROW162" s="1181"/>
      <c r="ROX162" s="1181"/>
      <c r="ROY162" s="1181"/>
      <c r="ROZ162" s="1181"/>
      <c r="RPA162" s="1181"/>
      <c r="RPB162" s="1181"/>
      <c r="RPC162" s="1181"/>
      <c r="RPD162" s="1181"/>
      <c r="RPE162" s="1181"/>
      <c r="RPF162" s="1181"/>
      <c r="RPG162" s="1181"/>
      <c r="RPH162" s="1181"/>
      <c r="RPI162" s="1181"/>
      <c r="RPJ162" s="1181"/>
      <c r="RPK162" s="1181"/>
      <c r="RPL162" s="1181"/>
      <c r="RPM162" s="1181"/>
      <c r="RPN162" s="1181"/>
      <c r="RPO162" s="1181"/>
      <c r="RPP162" s="1181"/>
      <c r="RPQ162" s="1181"/>
      <c r="RPR162" s="1181"/>
      <c r="RPS162" s="1181"/>
      <c r="RPT162" s="1181"/>
      <c r="RPU162" s="1181"/>
      <c r="RPV162" s="1181"/>
      <c r="RPW162" s="1181"/>
      <c r="RPX162" s="1181"/>
      <c r="RPY162" s="1181"/>
      <c r="RPZ162" s="1181"/>
      <c r="RQA162" s="1181"/>
      <c r="RQB162" s="1181"/>
      <c r="RQC162" s="1181"/>
      <c r="RQD162" s="1181"/>
      <c r="RQE162" s="1181"/>
      <c r="RQF162" s="1181"/>
      <c r="RQG162" s="1181"/>
      <c r="RQH162" s="1181"/>
      <c r="RQI162" s="1181"/>
      <c r="RQJ162" s="1181"/>
      <c r="RQK162" s="1181"/>
      <c r="RQL162" s="1181"/>
      <c r="RQM162" s="1181"/>
      <c r="RQN162" s="1181"/>
      <c r="RQO162" s="1181"/>
      <c r="RQP162" s="1181"/>
      <c r="RQQ162" s="1181"/>
      <c r="RQR162" s="1181"/>
      <c r="RQS162" s="1181"/>
      <c r="RQT162" s="1181"/>
      <c r="RQU162" s="1181"/>
      <c r="RQV162" s="1181"/>
      <c r="RQW162" s="1181"/>
      <c r="RQX162" s="1181"/>
      <c r="RQY162" s="1181"/>
      <c r="RQZ162" s="1181"/>
      <c r="RRA162" s="1181"/>
      <c r="RRB162" s="1181"/>
      <c r="RRC162" s="1181"/>
      <c r="RRD162" s="1181"/>
      <c r="RRE162" s="1181"/>
      <c r="RRF162" s="1181"/>
      <c r="RRG162" s="1181"/>
      <c r="RRH162" s="1181"/>
      <c r="RRI162" s="1181"/>
      <c r="RRJ162" s="1181"/>
      <c r="RRK162" s="1181"/>
      <c r="RRL162" s="1181"/>
      <c r="RRM162" s="1181"/>
      <c r="RRN162" s="1181"/>
      <c r="RRO162" s="1181"/>
      <c r="RRP162" s="1181"/>
      <c r="RRQ162" s="1181"/>
      <c r="RRR162" s="1181"/>
      <c r="RRS162" s="1181"/>
      <c r="RRT162" s="1181"/>
      <c r="RRU162" s="1181"/>
      <c r="RRV162" s="1181"/>
      <c r="RRW162" s="1181"/>
      <c r="RRX162" s="1181"/>
      <c r="RRY162" s="1181"/>
      <c r="RRZ162" s="1181"/>
      <c r="RSA162" s="1181"/>
      <c r="RSB162" s="1181"/>
      <c r="RSC162" s="1181"/>
      <c r="RSD162" s="1181"/>
      <c r="RSE162" s="1181"/>
      <c r="RSF162" s="1181"/>
      <c r="RSG162" s="1181"/>
      <c r="RSH162" s="1181"/>
      <c r="RSI162" s="1181"/>
      <c r="RSJ162" s="1181"/>
      <c r="RSK162" s="1181"/>
      <c r="RSL162" s="1181"/>
      <c r="RSM162" s="1181"/>
      <c r="RSN162" s="1181"/>
      <c r="RSO162" s="1181"/>
      <c r="RSP162" s="1181"/>
      <c r="RSQ162" s="1181"/>
      <c r="RSR162" s="1181"/>
      <c r="RSS162" s="1181"/>
      <c r="RST162" s="1181"/>
      <c r="RSU162" s="1181"/>
      <c r="RSV162" s="1181"/>
      <c r="RSW162" s="1181"/>
      <c r="RSX162" s="1181"/>
      <c r="RSY162" s="1181"/>
      <c r="RSZ162" s="1181"/>
      <c r="RTA162" s="1181"/>
      <c r="RTB162" s="1181"/>
      <c r="RTC162" s="1181"/>
      <c r="RTD162" s="1181"/>
      <c r="RTE162" s="1181"/>
      <c r="RTF162" s="1181"/>
      <c r="RTG162" s="1181"/>
      <c r="RTH162" s="1181"/>
      <c r="RTI162" s="1181"/>
      <c r="RTJ162" s="1181"/>
      <c r="RTK162" s="1181"/>
      <c r="RTL162" s="1181"/>
      <c r="RTM162" s="1181"/>
      <c r="RTN162" s="1181"/>
      <c r="RTO162" s="1181"/>
      <c r="RTP162" s="1181"/>
      <c r="RTQ162" s="1181"/>
      <c r="RTR162" s="1181"/>
      <c r="RTS162" s="1181"/>
      <c r="RTT162" s="1181"/>
      <c r="RTU162" s="1181"/>
      <c r="RTV162" s="1181"/>
      <c r="RTW162" s="1181"/>
      <c r="RTX162" s="1181"/>
      <c r="RTY162" s="1181"/>
      <c r="RTZ162" s="1181"/>
      <c r="RUA162" s="1181"/>
      <c r="RUB162" s="1181"/>
      <c r="RUC162" s="1181"/>
      <c r="RUD162" s="1181"/>
      <c r="RUE162" s="1181"/>
      <c r="RUF162" s="1181"/>
      <c r="RUG162" s="1181"/>
      <c r="RUH162" s="1181"/>
      <c r="RUI162" s="1181"/>
      <c r="RUJ162" s="1181"/>
      <c r="RUK162" s="1181"/>
      <c r="RUL162" s="1181"/>
      <c r="RUM162" s="1181"/>
      <c r="RUN162" s="1181"/>
      <c r="RUO162" s="1181"/>
      <c r="RUP162" s="1181"/>
      <c r="RUQ162" s="1181"/>
      <c r="RUR162" s="1181"/>
      <c r="RUS162" s="1181"/>
      <c r="RUT162" s="1181"/>
      <c r="RUU162" s="1181"/>
      <c r="RUV162" s="1181"/>
      <c r="RUW162" s="1181"/>
      <c r="RUX162" s="1181"/>
      <c r="RUY162" s="1181"/>
      <c r="RUZ162" s="1181"/>
      <c r="RVA162" s="1181"/>
      <c r="RVB162" s="1181"/>
      <c r="RVC162" s="1181"/>
      <c r="RVD162" s="1181"/>
      <c r="RVE162" s="1181"/>
      <c r="RVF162" s="1181"/>
      <c r="RVG162" s="1181"/>
      <c r="RVH162" s="1181"/>
      <c r="RVI162" s="1181"/>
      <c r="RVJ162" s="1181"/>
      <c r="RVK162" s="1181"/>
      <c r="RVL162" s="1181"/>
      <c r="RVM162" s="1181"/>
      <c r="RVN162" s="1181"/>
      <c r="RVO162" s="1181"/>
      <c r="RVP162" s="1181"/>
      <c r="RVQ162" s="1181"/>
      <c r="RVR162" s="1181"/>
      <c r="RVS162" s="1181"/>
      <c r="RVT162" s="1181"/>
      <c r="RVU162" s="1181"/>
      <c r="RVV162" s="1181"/>
      <c r="RVW162" s="1181"/>
      <c r="RVX162" s="1181"/>
      <c r="RVY162" s="1181"/>
      <c r="RVZ162" s="1181"/>
      <c r="RWA162" s="1181"/>
      <c r="RWB162" s="1181"/>
      <c r="RWC162" s="1181"/>
      <c r="RWD162" s="1181"/>
      <c r="RWE162" s="1181"/>
      <c r="RWF162" s="1181"/>
      <c r="RWG162" s="1181"/>
      <c r="RWH162" s="1181"/>
      <c r="RWI162" s="1181"/>
      <c r="RWJ162" s="1181"/>
      <c r="RWK162" s="1181"/>
      <c r="RWL162" s="1181"/>
      <c r="RWM162" s="1181"/>
      <c r="RWN162" s="1181"/>
      <c r="RWO162" s="1181"/>
      <c r="RWP162" s="1181"/>
      <c r="RWQ162" s="1181"/>
      <c r="RWR162" s="1181"/>
      <c r="RWS162" s="1181"/>
      <c r="RWT162" s="1181"/>
      <c r="RWU162" s="1181"/>
      <c r="RWV162" s="1181"/>
      <c r="RWW162" s="1181"/>
      <c r="RWX162" s="1181"/>
      <c r="RWY162" s="1181"/>
      <c r="RWZ162" s="1181"/>
      <c r="RXA162" s="1181"/>
      <c r="RXB162" s="1181"/>
      <c r="RXC162" s="1181"/>
      <c r="RXD162" s="1181"/>
      <c r="RXE162" s="1181"/>
      <c r="RXF162" s="1181"/>
      <c r="RXG162" s="1181"/>
      <c r="RXH162" s="1181"/>
      <c r="RXI162" s="1181"/>
      <c r="RXJ162" s="1181"/>
      <c r="RXK162" s="1181"/>
      <c r="RXL162" s="1181"/>
      <c r="RXM162" s="1181"/>
      <c r="RXN162" s="1181"/>
      <c r="RXO162" s="1181"/>
      <c r="RXP162" s="1181"/>
      <c r="RXQ162" s="1181"/>
      <c r="RXR162" s="1181"/>
      <c r="RXS162" s="1181"/>
      <c r="RXT162" s="1181"/>
      <c r="RXU162" s="1181"/>
      <c r="RXV162" s="1181"/>
      <c r="RXW162" s="1181"/>
      <c r="RXX162" s="1181"/>
      <c r="RXY162" s="1181"/>
      <c r="RXZ162" s="1181"/>
      <c r="RYA162" s="1181"/>
      <c r="RYB162" s="1181"/>
      <c r="RYC162" s="1181"/>
      <c r="RYD162" s="1181"/>
      <c r="RYE162" s="1181"/>
      <c r="RYF162" s="1181"/>
      <c r="RYG162" s="1181"/>
      <c r="RYH162" s="1181"/>
      <c r="RYI162" s="1181"/>
      <c r="RYJ162" s="1181"/>
      <c r="RYK162" s="1181"/>
      <c r="RYL162" s="1181"/>
      <c r="RYM162" s="1181"/>
      <c r="RYN162" s="1181"/>
      <c r="RYO162" s="1181"/>
      <c r="RYP162" s="1181"/>
      <c r="RYQ162" s="1181"/>
      <c r="RYR162" s="1181"/>
      <c r="RYS162" s="1181"/>
      <c r="RYT162" s="1181"/>
      <c r="RYU162" s="1181"/>
      <c r="RYV162" s="1181"/>
      <c r="RYW162" s="1181"/>
      <c r="RYX162" s="1181"/>
      <c r="RYY162" s="1181"/>
      <c r="RYZ162" s="1181"/>
      <c r="RZA162" s="1181"/>
      <c r="RZB162" s="1181"/>
      <c r="RZC162" s="1181"/>
      <c r="RZD162" s="1181"/>
      <c r="RZE162" s="1181"/>
      <c r="RZF162" s="1181"/>
      <c r="RZG162" s="1181"/>
      <c r="RZH162" s="1181"/>
      <c r="RZI162" s="1181"/>
      <c r="RZJ162" s="1181"/>
      <c r="RZK162" s="1181"/>
      <c r="RZL162" s="1181"/>
      <c r="RZM162" s="1181"/>
      <c r="RZN162" s="1181"/>
      <c r="RZO162" s="1181"/>
      <c r="RZP162" s="1181"/>
      <c r="RZQ162" s="1181"/>
      <c r="RZR162" s="1181"/>
      <c r="RZS162" s="1181"/>
      <c r="RZT162" s="1181"/>
      <c r="RZU162" s="1181"/>
      <c r="RZV162" s="1181"/>
      <c r="RZW162" s="1181"/>
      <c r="RZX162" s="1181"/>
      <c r="RZY162" s="1181"/>
      <c r="RZZ162" s="1181"/>
      <c r="SAA162" s="1181"/>
      <c r="SAB162" s="1181"/>
      <c r="SAC162" s="1181"/>
      <c r="SAD162" s="1181"/>
      <c r="SAE162" s="1181"/>
      <c r="SAF162" s="1181"/>
      <c r="SAG162" s="1181"/>
      <c r="SAH162" s="1181"/>
      <c r="SAI162" s="1181"/>
      <c r="SAJ162" s="1181"/>
      <c r="SAK162" s="1181"/>
      <c r="SAL162" s="1181"/>
      <c r="SAM162" s="1181"/>
      <c r="SAN162" s="1181"/>
      <c r="SAO162" s="1181"/>
      <c r="SAP162" s="1181"/>
      <c r="SAQ162" s="1181"/>
      <c r="SAR162" s="1181"/>
      <c r="SAS162" s="1181"/>
      <c r="SAT162" s="1181"/>
      <c r="SAU162" s="1181"/>
      <c r="SAV162" s="1181"/>
      <c r="SAW162" s="1181"/>
      <c r="SAX162" s="1181"/>
      <c r="SAY162" s="1181"/>
      <c r="SAZ162" s="1181"/>
      <c r="SBA162" s="1181"/>
      <c r="SBB162" s="1181"/>
      <c r="SBC162" s="1181"/>
      <c r="SBD162" s="1181"/>
      <c r="SBE162" s="1181"/>
      <c r="SBF162" s="1181"/>
      <c r="SBG162" s="1181"/>
      <c r="SBH162" s="1181"/>
      <c r="SBI162" s="1181"/>
      <c r="SBJ162" s="1181"/>
      <c r="SBK162" s="1181"/>
      <c r="SBL162" s="1181"/>
      <c r="SBM162" s="1181"/>
      <c r="SBN162" s="1181"/>
      <c r="SBO162" s="1181"/>
      <c r="SBP162" s="1181"/>
      <c r="SBQ162" s="1181"/>
      <c r="SBR162" s="1181"/>
      <c r="SBS162" s="1181"/>
      <c r="SBT162" s="1181"/>
      <c r="SBU162" s="1181"/>
      <c r="SBV162" s="1181"/>
      <c r="SBW162" s="1181"/>
      <c r="SBX162" s="1181"/>
      <c r="SBY162" s="1181"/>
      <c r="SBZ162" s="1181"/>
      <c r="SCA162" s="1181"/>
      <c r="SCB162" s="1181"/>
      <c r="SCC162" s="1181"/>
      <c r="SCD162" s="1181"/>
      <c r="SCE162" s="1181"/>
      <c r="SCF162" s="1181"/>
      <c r="SCG162" s="1181"/>
      <c r="SCH162" s="1181"/>
      <c r="SCI162" s="1181"/>
      <c r="SCJ162" s="1181"/>
      <c r="SCK162" s="1181"/>
      <c r="SCL162" s="1181"/>
      <c r="SCM162" s="1181"/>
      <c r="SCN162" s="1181"/>
      <c r="SCO162" s="1181"/>
      <c r="SCP162" s="1181"/>
      <c r="SCQ162" s="1181"/>
      <c r="SCR162" s="1181"/>
      <c r="SCS162" s="1181"/>
      <c r="SCT162" s="1181"/>
      <c r="SCU162" s="1181"/>
      <c r="SCV162" s="1181"/>
      <c r="SCW162" s="1181"/>
      <c r="SCX162" s="1181"/>
      <c r="SCY162" s="1181"/>
      <c r="SCZ162" s="1181"/>
      <c r="SDA162" s="1181"/>
      <c r="SDB162" s="1181"/>
      <c r="SDC162" s="1181"/>
      <c r="SDD162" s="1181"/>
      <c r="SDE162" s="1181"/>
      <c r="SDF162" s="1181"/>
      <c r="SDG162" s="1181"/>
      <c r="SDH162" s="1181"/>
      <c r="SDI162" s="1181"/>
      <c r="SDJ162" s="1181"/>
      <c r="SDK162" s="1181"/>
      <c r="SDL162" s="1181"/>
      <c r="SDM162" s="1181"/>
      <c r="SDN162" s="1181"/>
      <c r="SDO162" s="1181"/>
      <c r="SDP162" s="1181"/>
      <c r="SDQ162" s="1181"/>
      <c r="SDR162" s="1181"/>
      <c r="SDS162" s="1181"/>
      <c r="SDT162" s="1181"/>
      <c r="SDU162" s="1181"/>
      <c r="SDV162" s="1181"/>
      <c r="SDW162" s="1181"/>
      <c r="SDX162" s="1181"/>
      <c r="SDY162" s="1181"/>
      <c r="SDZ162" s="1181"/>
      <c r="SEA162" s="1181"/>
      <c r="SEB162" s="1181"/>
      <c r="SEC162" s="1181"/>
      <c r="SED162" s="1181"/>
      <c r="SEE162" s="1181"/>
      <c r="SEF162" s="1181"/>
      <c r="SEG162" s="1181"/>
      <c r="SEH162" s="1181"/>
      <c r="SEI162" s="1181"/>
      <c r="SEJ162" s="1181"/>
      <c r="SEK162" s="1181"/>
      <c r="SEL162" s="1181"/>
      <c r="SEM162" s="1181"/>
      <c r="SEN162" s="1181"/>
      <c r="SEO162" s="1181"/>
      <c r="SEP162" s="1181"/>
      <c r="SEQ162" s="1181"/>
      <c r="SER162" s="1181"/>
      <c r="SES162" s="1181"/>
      <c r="SET162" s="1181"/>
      <c r="SEU162" s="1181"/>
      <c r="SEV162" s="1181"/>
      <c r="SEW162" s="1181"/>
      <c r="SEX162" s="1181"/>
      <c r="SEY162" s="1181"/>
      <c r="SEZ162" s="1181"/>
      <c r="SFA162" s="1181"/>
      <c r="SFB162" s="1181"/>
      <c r="SFC162" s="1181"/>
      <c r="SFD162" s="1181"/>
      <c r="SFE162" s="1181"/>
      <c r="SFF162" s="1181"/>
      <c r="SFG162" s="1181"/>
      <c r="SFH162" s="1181"/>
      <c r="SFI162" s="1181"/>
      <c r="SFJ162" s="1181"/>
      <c r="SFK162" s="1181"/>
      <c r="SFL162" s="1181"/>
      <c r="SFM162" s="1181"/>
      <c r="SFN162" s="1181"/>
      <c r="SFO162" s="1181"/>
      <c r="SFP162" s="1181"/>
      <c r="SFQ162" s="1181"/>
      <c r="SFR162" s="1181"/>
      <c r="SFS162" s="1181"/>
      <c r="SFT162" s="1181"/>
      <c r="SFU162" s="1181"/>
      <c r="SFV162" s="1181"/>
      <c r="SFW162" s="1181"/>
      <c r="SFX162" s="1181"/>
      <c r="SFY162" s="1181"/>
      <c r="SFZ162" s="1181"/>
      <c r="SGA162" s="1181"/>
      <c r="SGB162" s="1181"/>
      <c r="SGC162" s="1181"/>
      <c r="SGD162" s="1181"/>
      <c r="SGE162" s="1181"/>
      <c r="SGF162" s="1181"/>
      <c r="SGG162" s="1181"/>
      <c r="SGH162" s="1181"/>
      <c r="SGI162" s="1181"/>
      <c r="SGJ162" s="1181"/>
      <c r="SGK162" s="1181"/>
      <c r="SGL162" s="1181"/>
      <c r="SGM162" s="1181"/>
      <c r="SGN162" s="1181"/>
      <c r="SGO162" s="1181"/>
      <c r="SGP162" s="1181"/>
      <c r="SGQ162" s="1181"/>
      <c r="SGR162" s="1181"/>
      <c r="SGS162" s="1181"/>
      <c r="SGT162" s="1181"/>
      <c r="SGU162" s="1181"/>
      <c r="SGV162" s="1181"/>
      <c r="SGW162" s="1181"/>
      <c r="SGX162" s="1181"/>
      <c r="SGY162" s="1181"/>
      <c r="SGZ162" s="1181"/>
      <c r="SHA162" s="1181"/>
      <c r="SHB162" s="1181"/>
      <c r="SHC162" s="1181"/>
      <c r="SHD162" s="1181"/>
      <c r="SHE162" s="1181"/>
      <c r="SHF162" s="1181"/>
      <c r="SHG162" s="1181"/>
      <c r="SHH162" s="1181"/>
      <c r="SHI162" s="1181"/>
      <c r="SHJ162" s="1181"/>
      <c r="SHK162" s="1181"/>
      <c r="SHL162" s="1181"/>
      <c r="SHM162" s="1181"/>
      <c r="SHN162" s="1181"/>
      <c r="SHO162" s="1181"/>
      <c r="SHP162" s="1181"/>
      <c r="SHQ162" s="1181"/>
      <c r="SHR162" s="1181"/>
      <c r="SHS162" s="1181"/>
      <c r="SHT162" s="1181"/>
      <c r="SHU162" s="1181"/>
      <c r="SHV162" s="1181"/>
      <c r="SHW162" s="1181"/>
      <c r="SHX162" s="1181"/>
      <c r="SHY162" s="1181"/>
      <c r="SHZ162" s="1181"/>
      <c r="SIA162" s="1181"/>
      <c r="SIB162" s="1181"/>
      <c r="SIC162" s="1181"/>
      <c r="SID162" s="1181"/>
      <c r="SIE162" s="1181"/>
      <c r="SIF162" s="1181"/>
      <c r="SIG162" s="1181"/>
      <c r="SIH162" s="1181"/>
      <c r="SII162" s="1181"/>
      <c r="SIJ162" s="1181"/>
      <c r="SIK162" s="1181"/>
      <c r="SIL162" s="1181"/>
      <c r="SIM162" s="1181"/>
      <c r="SIN162" s="1181"/>
      <c r="SIO162" s="1181"/>
      <c r="SIP162" s="1181"/>
      <c r="SIQ162" s="1181"/>
      <c r="SIR162" s="1181"/>
      <c r="SIS162" s="1181"/>
      <c r="SIT162" s="1181"/>
      <c r="SIU162" s="1181"/>
      <c r="SIV162" s="1181"/>
      <c r="SIW162" s="1181"/>
      <c r="SIX162" s="1181"/>
      <c r="SIY162" s="1181"/>
      <c r="SIZ162" s="1181"/>
      <c r="SJA162" s="1181"/>
      <c r="SJB162" s="1181"/>
      <c r="SJC162" s="1181"/>
      <c r="SJD162" s="1181"/>
      <c r="SJE162" s="1181"/>
      <c r="SJF162" s="1181"/>
      <c r="SJG162" s="1181"/>
      <c r="SJH162" s="1181"/>
      <c r="SJI162" s="1181"/>
      <c r="SJJ162" s="1181"/>
      <c r="SJK162" s="1181"/>
      <c r="SJL162" s="1181"/>
      <c r="SJM162" s="1181"/>
      <c r="SJN162" s="1181"/>
      <c r="SJO162" s="1181"/>
      <c r="SJP162" s="1181"/>
      <c r="SJQ162" s="1181"/>
      <c r="SJR162" s="1181"/>
      <c r="SJS162" s="1181"/>
      <c r="SJT162" s="1181"/>
      <c r="SJU162" s="1181"/>
      <c r="SJV162" s="1181"/>
      <c r="SJW162" s="1181"/>
      <c r="SJX162" s="1181"/>
      <c r="SJY162" s="1181"/>
      <c r="SJZ162" s="1181"/>
      <c r="SKA162" s="1181"/>
      <c r="SKB162" s="1181"/>
      <c r="SKC162" s="1181"/>
      <c r="SKD162" s="1181"/>
      <c r="SKE162" s="1181"/>
      <c r="SKF162" s="1181"/>
      <c r="SKG162" s="1181"/>
      <c r="SKH162" s="1181"/>
      <c r="SKI162" s="1181"/>
      <c r="SKJ162" s="1181"/>
      <c r="SKK162" s="1181"/>
      <c r="SKL162" s="1181"/>
      <c r="SKM162" s="1181"/>
      <c r="SKN162" s="1181"/>
      <c r="SKO162" s="1181"/>
      <c r="SKP162" s="1181"/>
      <c r="SKQ162" s="1181"/>
      <c r="SKR162" s="1181"/>
      <c r="SKS162" s="1181"/>
      <c r="SKT162" s="1181"/>
      <c r="SKU162" s="1181"/>
      <c r="SKV162" s="1181"/>
      <c r="SKW162" s="1181"/>
      <c r="SKX162" s="1181"/>
      <c r="SKY162" s="1181"/>
      <c r="SKZ162" s="1181"/>
      <c r="SLA162" s="1181"/>
      <c r="SLB162" s="1181"/>
      <c r="SLC162" s="1181"/>
      <c r="SLD162" s="1181"/>
      <c r="SLE162" s="1181"/>
      <c r="SLF162" s="1181"/>
      <c r="SLG162" s="1181"/>
      <c r="SLH162" s="1181"/>
      <c r="SLI162" s="1181"/>
      <c r="SLJ162" s="1181"/>
      <c r="SLK162" s="1181"/>
      <c r="SLL162" s="1181"/>
      <c r="SLM162" s="1181"/>
      <c r="SLN162" s="1181"/>
      <c r="SLO162" s="1181"/>
      <c r="SLP162" s="1181"/>
      <c r="SLQ162" s="1181"/>
      <c r="SLR162" s="1181"/>
      <c r="SLS162" s="1181"/>
      <c r="SLT162" s="1181"/>
      <c r="SLU162" s="1181"/>
      <c r="SLV162" s="1181"/>
      <c r="SLW162" s="1181"/>
      <c r="SLX162" s="1181"/>
      <c r="SLY162" s="1181"/>
      <c r="SLZ162" s="1181"/>
      <c r="SMA162" s="1181"/>
      <c r="SMB162" s="1181"/>
      <c r="SMC162" s="1181"/>
      <c r="SMD162" s="1181"/>
      <c r="SME162" s="1181"/>
      <c r="SMF162" s="1181"/>
      <c r="SMG162" s="1181"/>
      <c r="SMH162" s="1181"/>
      <c r="SMI162" s="1181"/>
      <c r="SMJ162" s="1181"/>
      <c r="SMK162" s="1181"/>
      <c r="SML162" s="1181"/>
      <c r="SMM162" s="1181"/>
      <c r="SMN162" s="1181"/>
      <c r="SMO162" s="1181"/>
      <c r="SMP162" s="1181"/>
      <c r="SMQ162" s="1181"/>
      <c r="SMR162" s="1181"/>
      <c r="SMS162" s="1181"/>
      <c r="SMT162" s="1181"/>
      <c r="SMU162" s="1181"/>
      <c r="SMV162" s="1181"/>
      <c r="SMW162" s="1181"/>
      <c r="SMX162" s="1181"/>
      <c r="SMY162" s="1181"/>
      <c r="SMZ162" s="1181"/>
      <c r="SNA162" s="1181"/>
      <c r="SNB162" s="1181"/>
      <c r="SNC162" s="1181"/>
      <c r="SND162" s="1181"/>
      <c r="SNE162" s="1181"/>
      <c r="SNF162" s="1181"/>
      <c r="SNG162" s="1181"/>
      <c r="SNH162" s="1181"/>
      <c r="SNI162" s="1181"/>
      <c r="SNJ162" s="1181"/>
      <c r="SNK162" s="1181"/>
      <c r="SNL162" s="1181"/>
      <c r="SNM162" s="1181"/>
      <c r="SNN162" s="1181"/>
      <c r="SNO162" s="1181"/>
      <c r="SNP162" s="1181"/>
      <c r="SNQ162" s="1181"/>
      <c r="SNR162" s="1181"/>
      <c r="SNS162" s="1181"/>
      <c r="SNT162" s="1181"/>
      <c r="SNU162" s="1181"/>
      <c r="SNV162" s="1181"/>
      <c r="SNW162" s="1181"/>
      <c r="SNX162" s="1181"/>
      <c r="SNY162" s="1181"/>
      <c r="SNZ162" s="1181"/>
      <c r="SOA162" s="1181"/>
      <c r="SOB162" s="1181"/>
      <c r="SOC162" s="1181"/>
      <c r="SOD162" s="1181"/>
      <c r="SOE162" s="1181"/>
      <c r="SOF162" s="1181"/>
      <c r="SOG162" s="1181"/>
      <c r="SOH162" s="1181"/>
      <c r="SOI162" s="1181"/>
      <c r="SOJ162" s="1181"/>
      <c r="SOK162" s="1181"/>
      <c r="SOL162" s="1181"/>
      <c r="SOM162" s="1181"/>
      <c r="SON162" s="1181"/>
      <c r="SOO162" s="1181"/>
      <c r="SOP162" s="1181"/>
      <c r="SOQ162" s="1181"/>
      <c r="SOR162" s="1181"/>
      <c r="SOS162" s="1181"/>
      <c r="SOT162" s="1181"/>
      <c r="SOU162" s="1181"/>
      <c r="SOV162" s="1181"/>
      <c r="SOW162" s="1181"/>
      <c r="SOX162" s="1181"/>
      <c r="SOY162" s="1181"/>
      <c r="SOZ162" s="1181"/>
      <c r="SPA162" s="1181"/>
      <c r="SPB162" s="1181"/>
      <c r="SPC162" s="1181"/>
      <c r="SPD162" s="1181"/>
      <c r="SPE162" s="1181"/>
      <c r="SPF162" s="1181"/>
      <c r="SPG162" s="1181"/>
      <c r="SPH162" s="1181"/>
      <c r="SPI162" s="1181"/>
      <c r="SPJ162" s="1181"/>
      <c r="SPK162" s="1181"/>
      <c r="SPL162" s="1181"/>
      <c r="SPM162" s="1181"/>
      <c r="SPN162" s="1181"/>
      <c r="SPO162" s="1181"/>
      <c r="SPP162" s="1181"/>
      <c r="SPQ162" s="1181"/>
      <c r="SPR162" s="1181"/>
      <c r="SPS162" s="1181"/>
      <c r="SPT162" s="1181"/>
      <c r="SPU162" s="1181"/>
      <c r="SPV162" s="1181"/>
      <c r="SPW162" s="1181"/>
      <c r="SPX162" s="1181"/>
      <c r="SPY162" s="1181"/>
      <c r="SPZ162" s="1181"/>
      <c r="SQA162" s="1181"/>
      <c r="SQB162" s="1181"/>
      <c r="SQC162" s="1181"/>
      <c r="SQD162" s="1181"/>
      <c r="SQE162" s="1181"/>
      <c r="SQF162" s="1181"/>
      <c r="SQG162" s="1181"/>
      <c r="SQH162" s="1181"/>
      <c r="SQI162" s="1181"/>
      <c r="SQJ162" s="1181"/>
      <c r="SQK162" s="1181"/>
      <c r="SQL162" s="1181"/>
      <c r="SQM162" s="1181"/>
      <c r="SQN162" s="1181"/>
      <c r="SQO162" s="1181"/>
      <c r="SQP162" s="1181"/>
      <c r="SQQ162" s="1181"/>
      <c r="SQR162" s="1181"/>
      <c r="SQS162" s="1181"/>
      <c r="SQT162" s="1181"/>
      <c r="SQU162" s="1181"/>
      <c r="SQV162" s="1181"/>
      <c r="SQW162" s="1181"/>
      <c r="SQX162" s="1181"/>
      <c r="SQY162" s="1181"/>
      <c r="SQZ162" s="1181"/>
      <c r="SRA162" s="1181"/>
      <c r="SRB162" s="1181"/>
      <c r="SRC162" s="1181"/>
      <c r="SRD162" s="1181"/>
      <c r="SRE162" s="1181"/>
      <c r="SRF162" s="1181"/>
      <c r="SRG162" s="1181"/>
      <c r="SRH162" s="1181"/>
      <c r="SRI162" s="1181"/>
      <c r="SRJ162" s="1181"/>
      <c r="SRK162" s="1181"/>
      <c r="SRL162" s="1181"/>
      <c r="SRM162" s="1181"/>
      <c r="SRN162" s="1181"/>
      <c r="SRO162" s="1181"/>
      <c r="SRP162" s="1181"/>
      <c r="SRQ162" s="1181"/>
      <c r="SRR162" s="1181"/>
      <c r="SRS162" s="1181"/>
      <c r="SRT162" s="1181"/>
      <c r="SRU162" s="1181"/>
      <c r="SRV162" s="1181"/>
      <c r="SRW162" s="1181"/>
      <c r="SRX162" s="1181"/>
      <c r="SRY162" s="1181"/>
      <c r="SRZ162" s="1181"/>
      <c r="SSA162" s="1181"/>
      <c r="SSB162" s="1181"/>
      <c r="SSC162" s="1181"/>
      <c r="SSD162" s="1181"/>
      <c r="SSE162" s="1181"/>
      <c r="SSF162" s="1181"/>
      <c r="SSG162" s="1181"/>
      <c r="SSH162" s="1181"/>
      <c r="SSI162" s="1181"/>
      <c r="SSJ162" s="1181"/>
      <c r="SSK162" s="1181"/>
      <c r="SSL162" s="1181"/>
      <c r="SSM162" s="1181"/>
      <c r="SSN162" s="1181"/>
      <c r="SSO162" s="1181"/>
      <c r="SSP162" s="1181"/>
      <c r="SSQ162" s="1181"/>
      <c r="SSR162" s="1181"/>
      <c r="SSS162" s="1181"/>
      <c r="SST162" s="1181"/>
      <c r="SSU162" s="1181"/>
      <c r="SSV162" s="1181"/>
      <c r="SSW162" s="1181"/>
      <c r="SSX162" s="1181"/>
      <c r="SSY162" s="1181"/>
      <c r="SSZ162" s="1181"/>
      <c r="STA162" s="1181"/>
      <c r="STB162" s="1181"/>
      <c r="STC162" s="1181"/>
      <c r="STD162" s="1181"/>
      <c r="STE162" s="1181"/>
      <c r="STF162" s="1181"/>
      <c r="STG162" s="1181"/>
      <c r="STH162" s="1181"/>
      <c r="STI162" s="1181"/>
      <c r="STJ162" s="1181"/>
      <c r="STK162" s="1181"/>
      <c r="STL162" s="1181"/>
      <c r="STM162" s="1181"/>
      <c r="STN162" s="1181"/>
      <c r="STO162" s="1181"/>
      <c r="STP162" s="1181"/>
      <c r="STQ162" s="1181"/>
      <c r="STR162" s="1181"/>
      <c r="STS162" s="1181"/>
      <c r="STT162" s="1181"/>
      <c r="STU162" s="1181"/>
      <c r="STV162" s="1181"/>
      <c r="STW162" s="1181"/>
      <c r="STX162" s="1181"/>
      <c r="STY162" s="1181"/>
      <c r="STZ162" s="1181"/>
      <c r="SUA162" s="1181"/>
      <c r="SUB162" s="1181"/>
      <c r="SUC162" s="1181"/>
      <c r="SUD162" s="1181"/>
      <c r="SUE162" s="1181"/>
      <c r="SUF162" s="1181"/>
      <c r="SUG162" s="1181"/>
      <c r="SUH162" s="1181"/>
      <c r="SUI162" s="1181"/>
      <c r="SUJ162" s="1181"/>
      <c r="SUK162" s="1181"/>
      <c r="SUL162" s="1181"/>
      <c r="SUM162" s="1181"/>
      <c r="SUN162" s="1181"/>
      <c r="SUO162" s="1181"/>
      <c r="SUP162" s="1181"/>
      <c r="SUQ162" s="1181"/>
      <c r="SUR162" s="1181"/>
      <c r="SUS162" s="1181"/>
      <c r="SUT162" s="1181"/>
      <c r="SUU162" s="1181"/>
      <c r="SUV162" s="1181"/>
      <c r="SUW162" s="1181"/>
      <c r="SUX162" s="1181"/>
      <c r="SUY162" s="1181"/>
      <c r="SUZ162" s="1181"/>
      <c r="SVA162" s="1181"/>
      <c r="SVB162" s="1181"/>
      <c r="SVC162" s="1181"/>
      <c r="SVD162" s="1181"/>
      <c r="SVE162" s="1181"/>
      <c r="SVF162" s="1181"/>
      <c r="SVG162" s="1181"/>
      <c r="SVH162" s="1181"/>
      <c r="SVI162" s="1181"/>
      <c r="SVJ162" s="1181"/>
      <c r="SVK162" s="1181"/>
      <c r="SVL162" s="1181"/>
      <c r="SVM162" s="1181"/>
      <c r="SVN162" s="1181"/>
      <c r="SVO162" s="1181"/>
      <c r="SVP162" s="1181"/>
      <c r="SVQ162" s="1181"/>
      <c r="SVR162" s="1181"/>
      <c r="SVS162" s="1181"/>
      <c r="SVT162" s="1181"/>
      <c r="SVU162" s="1181"/>
      <c r="SVV162" s="1181"/>
      <c r="SVW162" s="1181"/>
      <c r="SVX162" s="1181"/>
      <c r="SVY162" s="1181"/>
      <c r="SVZ162" s="1181"/>
      <c r="SWA162" s="1181"/>
      <c r="SWB162" s="1181"/>
      <c r="SWC162" s="1181"/>
      <c r="SWD162" s="1181"/>
      <c r="SWE162" s="1181"/>
      <c r="SWF162" s="1181"/>
      <c r="SWG162" s="1181"/>
      <c r="SWH162" s="1181"/>
      <c r="SWI162" s="1181"/>
      <c r="SWJ162" s="1181"/>
      <c r="SWK162" s="1181"/>
      <c r="SWL162" s="1181"/>
      <c r="SWM162" s="1181"/>
      <c r="SWN162" s="1181"/>
      <c r="SWO162" s="1181"/>
      <c r="SWP162" s="1181"/>
      <c r="SWQ162" s="1181"/>
      <c r="SWR162" s="1181"/>
      <c r="SWS162" s="1181"/>
      <c r="SWT162" s="1181"/>
      <c r="SWU162" s="1181"/>
      <c r="SWV162" s="1181"/>
      <c r="SWW162" s="1181"/>
      <c r="SWX162" s="1181"/>
      <c r="SWY162" s="1181"/>
      <c r="SWZ162" s="1181"/>
      <c r="SXA162" s="1181"/>
      <c r="SXB162" s="1181"/>
      <c r="SXC162" s="1181"/>
      <c r="SXD162" s="1181"/>
      <c r="SXE162" s="1181"/>
      <c r="SXF162" s="1181"/>
      <c r="SXG162" s="1181"/>
      <c r="SXH162" s="1181"/>
      <c r="SXI162" s="1181"/>
      <c r="SXJ162" s="1181"/>
      <c r="SXK162" s="1181"/>
      <c r="SXL162" s="1181"/>
      <c r="SXM162" s="1181"/>
      <c r="SXN162" s="1181"/>
      <c r="SXO162" s="1181"/>
      <c r="SXP162" s="1181"/>
      <c r="SXQ162" s="1181"/>
      <c r="SXR162" s="1181"/>
      <c r="SXS162" s="1181"/>
      <c r="SXT162" s="1181"/>
      <c r="SXU162" s="1181"/>
      <c r="SXV162" s="1181"/>
      <c r="SXW162" s="1181"/>
      <c r="SXX162" s="1181"/>
      <c r="SXY162" s="1181"/>
      <c r="SXZ162" s="1181"/>
      <c r="SYA162" s="1181"/>
      <c r="SYB162" s="1181"/>
      <c r="SYC162" s="1181"/>
      <c r="SYD162" s="1181"/>
      <c r="SYE162" s="1181"/>
      <c r="SYF162" s="1181"/>
      <c r="SYG162" s="1181"/>
      <c r="SYH162" s="1181"/>
      <c r="SYI162" s="1181"/>
      <c r="SYJ162" s="1181"/>
      <c r="SYK162" s="1181"/>
      <c r="SYL162" s="1181"/>
      <c r="SYM162" s="1181"/>
      <c r="SYN162" s="1181"/>
      <c r="SYO162" s="1181"/>
      <c r="SYP162" s="1181"/>
      <c r="SYQ162" s="1181"/>
      <c r="SYR162" s="1181"/>
      <c r="SYS162" s="1181"/>
      <c r="SYT162" s="1181"/>
      <c r="SYU162" s="1181"/>
      <c r="SYV162" s="1181"/>
      <c r="SYW162" s="1181"/>
      <c r="SYX162" s="1181"/>
      <c r="SYY162" s="1181"/>
      <c r="SYZ162" s="1181"/>
      <c r="SZA162" s="1181"/>
      <c r="SZB162" s="1181"/>
      <c r="SZC162" s="1181"/>
      <c r="SZD162" s="1181"/>
      <c r="SZE162" s="1181"/>
      <c r="SZF162" s="1181"/>
      <c r="SZG162" s="1181"/>
      <c r="SZH162" s="1181"/>
      <c r="SZI162" s="1181"/>
      <c r="SZJ162" s="1181"/>
      <c r="SZK162" s="1181"/>
      <c r="SZL162" s="1181"/>
      <c r="SZM162" s="1181"/>
      <c r="SZN162" s="1181"/>
      <c r="SZO162" s="1181"/>
      <c r="SZP162" s="1181"/>
      <c r="SZQ162" s="1181"/>
      <c r="SZR162" s="1181"/>
      <c r="SZS162" s="1181"/>
      <c r="SZT162" s="1181"/>
      <c r="SZU162" s="1181"/>
      <c r="SZV162" s="1181"/>
      <c r="SZW162" s="1181"/>
      <c r="SZX162" s="1181"/>
      <c r="SZY162" s="1181"/>
      <c r="SZZ162" s="1181"/>
      <c r="TAA162" s="1181"/>
      <c r="TAB162" s="1181"/>
      <c r="TAC162" s="1181"/>
      <c r="TAD162" s="1181"/>
      <c r="TAE162" s="1181"/>
      <c r="TAF162" s="1181"/>
      <c r="TAG162" s="1181"/>
      <c r="TAH162" s="1181"/>
      <c r="TAI162" s="1181"/>
      <c r="TAJ162" s="1181"/>
      <c r="TAK162" s="1181"/>
      <c r="TAL162" s="1181"/>
      <c r="TAM162" s="1181"/>
      <c r="TAN162" s="1181"/>
      <c r="TAO162" s="1181"/>
      <c r="TAP162" s="1181"/>
      <c r="TAQ162" s="1181"/>
      <c r="TAR162" s="1181"/>
      <c r="TAS162" s="1181"/>
      <c r="TAT162" s="1181"/>
      <c r="TAU162" s="1181"/>
      <c r="TAV162" s="1181"/>
      <c r="TAW162" s="1181"/>
      <c r="TAX162" s="1181"/>
      <c r="TAY162" s="1181"/>
      <c r="TAZ162" s="1181"/>
      <c r="TBA162" s="1181"/>
      <c r="TBB162" s="1181"/>
      <c r="TBC162" s="1181"/>
      <c r="TBD162" s="1181"/>
      <c r="TBE162" s="1181"/>
      <c r="TBF162" s="1181"/>
      <c r="TBG162" s="1181"/>
      <c r="TBH162" s="1181"/>
      <c r="TBI162" s="1181"/>
      <c r="TBJ162" s="1181"/>
      <c r="TBK162" s="1181"/>
      <c r="TBL162" s="1181"/>
      <c r="TBM162" s="1181"/>
      <c r="TBN162" s="1181"/>
      <c r="TBO162" s="1181"/>
      <c r="TBP162" s="1181"/>
      <c r="TBQ162" s="1181"/>
      <c r="TBR162" s="1181"/>
      <c r="TBS162" s="1181"/>
      <c r="TBT162" s="1181"/>
      <c r="TBU162" s="1181"/>
      <c r="TBV162" s="1181"/>
      <c r="TBW162" s="1181"/>
      <c r="TBX162" s="1181"/>
      <c r="TBY162" s="1181"/>
      <c r="TBZ162" s="1181"/>
      <c r="TCA162" s="1181"/>
      <c r="TCB162" s="1181"/>
      <c r="TCC162" s="1181"/>
      <c r="TCD162" s="1181"/>
      <c r="TCE162" s="1181"/>
      <c r="TCF162" s="1181"/>
      <c r="TCG162" s="1181"/>
      <c r="TCH162" s="1181"/>
      <c r="TCI162" s="1181"/>
      <c r="TCJ162" s="1181"/>
      <c r="TCK162" s="1181"/>
      <c r="TCL162" s="1181"/>
      <c r="TCM162" s="1181"/>
      <c r="TCN162" s="1181"/>
      <c r="TCO162" s="1181"/>
      <c r="TCP162" s="1181"/>
      <c r="TCQ162" s="1181"/>
      <c r="TCR162" s="1181"/>
      <c r="TCS162" s="1181"/>
      <c r="TCT162" s="1181"/>
      <c r="TCU162" s="1181"/>
      <c r="TCV162" s="1181"/>
      <c r="TCW162" s="1181"/>
      <c r="TCX162" s="1181"/>
      <c r="TCY162" s="1181"/>
      <c r="TCZ162" s="1181"/>
      <c r="TDA162" s="1181"/>
      <c r="TDB162" s="1181"/>
      <c r="TDC162" s="1181"/>
      <c r="TDD162" s="1181"/>
      <c r="TDE162" s="1181"/>
      <c r="TDF162" s="1181"/>
      <c r="TDG162" s="1181"/>
      <c r="TDH162" s="1181"/>
      <c r="TDI162" s="1181"/>
      <c r="TDJ162" s="1181"/>
      <c r="TDK162" s="1181"/>
      <c r="TDL162" s="1181"/>
      <c r="TDM162" s="1181"/>
      <c r="TDN162" s="1181"/>
      <c r="TDO162" s="1181"/>
      <c r="TDP162" s="1181"/>
      <c r="TDQ162" s="1181"/>
      <c r="TDR162" s="1181"/>
      <c r="TDS162" s="1181"/>
      <c r="TDT162" s="1181"/>
      <c r="TDU162" s="1181"/>
      <c r="TDV162" s="1181"/>
      <c r="TDW162" s="1181"/>
      <c r="TDX162" s="1181"/>
      <c r="TDY162" s="1181"/>
      <c r="TDZ162" s="1181"/>
      <c r="TEA162" s="1181"/>
      <c r="TEB162" s="1181"/>
      <c r="TEC162" s="1181"/>
      <c r="TED162" s="1181"/>
      <c r="TEE162" s="1181"/>
      <c r="TEF162" s="1181"/>
      <c r="TEG162" s="1181"/>
      <c r="TEH162" s="1181"/>
      <c r="TEI162" s="1181"/>
      <c r="TEJ162" s="1181"/>
      <c r="TEK162" s="1181"/>
      <c r="TEL162" s="1181"/>
      <c r="TEM162" s="1181"/>
      <c r="TEN162" s="1181"/>
      <c r="TEO162" s="1181"/>
      <c r="TEP162" s="1181"/>
      <c r="TEQ162" s="1181"/>
      <c r="TER162" s="1181"/>
      <c r="TES162" s="1181"/>
      <c r="TET162" s="1181"/>
      <c r="TEU162" s="1181"/>
      <c r="TEV162" s="1181"/>
      <c r="TEW162" s="1181"/>
      <c r="TEX162" s="1181"/>
      <c r="TEY162" s="1181"/>
      <c r="TEZ162" s="1181"/>
      <c r="TFA162" s="1181"/>
      <c r="TFB162" s="1181"/>
      <c r="TFC162" s="1181"/>
      <c r="TFD162" s="1181"/>
      <c r="TFE162" s="1181"/>
      <c r="TFF162" s="1181"/>
      <c r="TFG162" s="1181"/>
      <c r="TFH162" s="1181"/>
      <c r="TFI162" s="1181"/>
      <c r="TFJ162" s="1181"/>
      <c r="TFK162" s="1181"/>
      <c r="TFL162" s="1181"/>
      <c r="TFM162" s="1181"/>
      <c r="TFN162" s="1181"/>
      <c r="TFO162" s="1181"/>
      <c r="TFP162" s="1181"/>
      <c r="TFQ162" s="1181"/>
      <c r="TFR162" s="1181"/>
      <c r="TFS162" s="1181"/>
      <c r="TFT162" s="1181"/>
      <c r="TFU162" s="1181"/>
      <c r="TFV162" s="1181"/>
      <c r="TFW162" s="1181"/>
      <c r="TFX162" s="1181"/>
      <c r="TFY162" s="1181"/>
      <c r="TFZ162" s="1181"/>
      <c r="TGA162" s="1181"/>
      <c r="TGB162" s="1181"/>
      <c r="TGC162" s="1181"/>
      <c r="TGD162" s="1181"/>
      <c r="TGE162" s="1181"/>
      <c r="TGF162" s="1181"/>
      <c r="TGG162" s="1181"/>
      <c r="TGH162" s="1181"/>
      <c r="TGI162" s="1181"/>
      <c r="TGJ162" s="1181"/>
      <c r="TGK162" s="1181"/>
      <c r="TGL162" s="1181"/>
      <c r="TGM162" s="1181"/>
      <c r="TGN162" s="1181"/>
      <c r="TGO162" s="1181"/>
      <c r="TGP162" s="1181"/>
      <c r="TGQ162" s="1181"/>
      <c r="TGR162" s="1181"/>
      <c r="TGS162" s="1181"/>
      <c r="TGT162" s="1181"/>
      <c r="TGU162" s="1181"/>
      <c r="TGV162" s="1181"/>
      <c r="TGW162" s="1181"/>
      <c r="TGX162" s="1181"/>
      <c r="TGY162" s="1181"/>
      <c r="TGZ162" s="1181"/>
      <c r="THA162" s="1181"/>
      <c r="THB162" s="1181"/>
      <c r="THC162" s="1181"/>
      <c r="THD162" s="1181"/>
      <c r="THE162" s="1181"/>
      <c r="THF162" s="1181"/>
      <c r="THG162" s="1181"/>
      <c r="THH162" s="1181"/>
      <c r="THI162" s="1181"/>
      <c r="THJ162" s="1181"/>
      <c r="THK162" s="1181"/>
      <c r="THL162" s="1181"/>
      <c r="THM162" s="1181"/>
      <c r="THN162" s="1181"/>
      <c r="THO162" s="1181"/>
      <c r="THP162" s="1181"/>
      <c r="THQ162" s="1181"/>
      <c r="THR162" s="1181"/>
      <c r="THS162" s="1181"/>
      <c r="THT162" s="1181"/>
      <c r="THU162" s="1181"/>
      <c r="THV162" s="1181"/>
      <c r="THW162" s="1181"/>
      <c r="THX162" s="1181"/>
      <c r="THY162" s="1181"/>
      <c r="THZ162" s="1181"/>
      <c r="TIA162" s="1181"/>
      <c r="TIB162" s="1181"/>
      <c r="TIC162" s="1181"/>
      <c r="TID162" s="1181"/>
      <c r="TIE162" s="1181"/>
      <c r="TIF162" s="1181"/>
      <c r="TIG162" s="1181"/>
      <c r="TIH162" s="1181"/>
      <c r="TII162" s="1181"/>
      <c r="TIJ162" s="1181"/>
      <c r="TIK162" s="1181"/>
      <c r="TIL162" s="1181"/>
      <c r="TIM162" s="1181"/>
      <c r="TIN162" s="1181"/>
      <c r="TIO162" s="1181"/>
      <c r="TIP162" s="1181"/>
      <c r="TIQ162" s="1181"/>
      <c r="TIR162" s="1181"/>
      <c r="TIS162" s="1181"/>
      <c r="TIT162" s="1181"/>
      <c r="TIU162" s="1181"/>
      <c r="TIV162" s="1181"/>
      <c r="TIW162" s="1181"/>
      <c r="TIX162" s="1181"/>
      <c r="TIY162" s="1181"/>
      <c r="TIZ162" s="1181"/>
      <c r="TJA162" s="1181"/>
      <c r="TJB162" s="1181"/>
      <c r="TJC162" s="1181"/>
      <c r="TJD162" s="1181"/>
      <c r="TJE162" s="1181"/>
      <c r="TJF162" s="1181"/>
      <c r="TJG162" s="1181"/>
      <c r="TJH162" s="1181"/>
      <c r="TJI162" s="1181"/>
      <c r="TJJ162" s="1181"/>
      <c r="TJK162" s="1181"/>
      <c r="TJL162" s="1181"/>
      <c r="TJM162" s="1181"/>
      <c r="TJN162" s="1181"/>
      <c r="TJO162" s="1181"/>
      <c r="TJP162" s="1181"/>
      <c r="TJQ162" s="1181"/>
      <c r="TJR162" s="1181"/>
      <c r="TJS162" s="1181"/>
      <c r="TJT162" s="1181"/>
      <c r="TJU162" s="1181"/>
      <c r="TJV162" s="1181"/>
      <c r="TJW162" s="1181"/>
      <c r="TJX162" s="1181"/>
      <c r="TJY162" s="1181"/>
      <c r="TJZ162" s="1181"/>
      <c r="TKA162" s="1181"/>
      <c r="TKB162" s="1181"/>
      <c r="TKC162" s="1181"/>
      <c r="TKD162" s="1181"/>
      <c r="TKE162" s="1181"/>
      <c r="TKF162" s="1181"/>
      <c r="TKG162" s="1181"/>
      <c r="TKH162" s="1181"/>
      <c r="TKI162" s="1181"/>
      <c r="TKJ162" s="1181"/>
      <c r="TKK162" s="1181"/>
      <c r="TKL162" s="1181"/>
      <c r="TKM162" s="1181"/>
      <c r="TKN162" s="1181"/>
      <c r="TKO162" s="1181"/>
      <c r="TKP162" s="1181"/>
      <c r="TKQ162" s="1181"/>
      <c r="TKR162" s="1181"/>
      <c r="TKS162" s="1181"/>
      <c r="TKT162" s="1181"/>
      <c r="TKU162" s="1181"/>
      <c r="TKV162" s="1181"/>
      <c r="TKW162" s="1181"/>
      <c r="TKX162" s="1181"/>
      <c r="TKY162" s="1181"/>
      <c r="TKZ162" s="1181"/>
      <c r="TLA162" s="1181"/>
      <c r="TLB162" s="1181"/>
      <c r="TLC162" s="1181"/>
      <c r="TLD162" s="1181"/>
      <c r="TLE162" s="1181"/>
      <c r="TLF162" s="1181"/>
      <c r="TLG162" s="1181"/>
      <c r="TLH162" s="1181"/>
      <c r="TLI162" s="1181"/>
      <c r="TLJ162" s="1181"/>
      <c r="TLK162" s="1181"/>
      <c r="TLL162" s="1181"/>
      <c r="TLM162" s="1181"/>
      <c r="TLN162" s="1181"/>
      <c r="TLO162" s="1181"/>
      <c r="TLP162" s="1181"/>
      <c r="TLQ162" s="1181"/>
      <c r="TLR162" s="1181"/>
      <c r="TLS162" s="1181"/>
      <c r="TLT162" s="1181"/>
      <c r="TLU162" s="1181"/>
      <c r="TLV162" s="1181"/>
      <c r="TLW162" s="1181"/>
      <c r="TLX162" s="1181"/>
      <c r="TLY162" s="1181"/>
      <c r="TLZ162" s="1181"/>
      <c r="TMA162" s="1181"/>
      <c r="TMB162" s="1181"/>
      <c r="TMC162" s="1181"/>
      <c r="TMD162" s="1181"/>
      <c r="TME162" s="1181"/>
      <c r="TMF162" s="1181"/>
      <c r="TMG162" s="1181"/>
      <c r="TMH162" s="1181"/>
      <c r="TMI162" s="1181"/>
      <c r="TMJ162" s="1181"/>
      <c r="TMK162" s="1181"/>
      <c r="TML162" s="1181"/>
      <c r="TMM162" s="1181"/>
      <c r="TMN162" s="1181"/>
      <c r="TMO162" s="1181"/>
      <c r="TMP162" s="1181"/>
      <c r="TMQ162" s="1181"/>
      <c r="TMR162" s="1181"/>
      <c r="TMS162" s="1181"/>
      <c r="TMT162" s="1181"/>
      <c r="TMU162" s="1181"/>
      <c r="TMV162" s="1181"/>
      <c r="TMW162" s="1181"/>
      <c r="TMX162" s="1181"/>
      <c r="TMY162" s="1181"/>
      <c r="TMZ162" s="1181"/>
      <c r="TNA162" s="1181"/>
      <c r="TNB162" s="1181"/>
      <c r="TNC162" s="1181"/>
      <c r="TND162" s="1181"/>
      <c r="TNE162" s="1181"/>
      <c r="TNF162" s="1181"/>
      <c r="TNG162" s="1181"/>
      <c r="TNH162" s="1181"/>
      <c r="TNI162" s="1181"/>
      <c r="TNJ162" s="1181"/>
      <c r="TNK162" s="1181"/>
      <c r="TNL162" s="1181"/>
      <c r="TNM162" s="1181"/>
      <c r="TNN162" s="1181"/>
      <c r="TNO162" s="1181"/>
      <c r="TNP162" s="1181"/>
      <c r="TNQ162" s="1181"/>
      <c r="TNR162" s="1181"/>
      <c r="TNS162" s="1181"/>
      <c r="TNT162" s="1181"/>
      <c r="TNU162" s="1181"/>
      <c r="TNV162" s="1181"/>
      <c r="TNW162" s="1181"/>
      <c r="TNX162" s="1181"/>
      <c r="TNY162" s="1181"/>
      <c r="TNZ162" s="1181"/>
      <c r="TOA162" s="1181"/>
      <c r="TOB162" s="1181"/>
      <c r="TOC162" s="1181"/>
      <c r="TOD162" s="1181"/>
      <c r="TOE162" s="1181"/>
      <c r="TOF162" s="1181"/>
      <c r="TOG162" s="1181"/>
      <c r="TOH162" s="1181"/>
      <c r="TOI162" s="1181"/>
      <c r="TOJ162" s="1181"/>
      <c r="TOK162" s="1181"/>
      <c r="TOL162" s="1181"/>
      <c r="TOM162" s="1181"/>
      <c r="TON162" s="1181"/>
      <c r="TOO162" s="1181"/>
      <c r="TOP162" s="1181"/>
      <c r="TOQ162" s="1181"/>
      <c r="TOR162" s="1181"/>
      <c r="TOS162" s="1181"/>
      <c r="TOT162" s="1181"/>
      <c r="TOU162" s="1181"/>
      <c r="TOV162" s="1181"/>
      <c r="TOW162" s="1181"/>
      <c r="TOX162" s="1181"/>
      <c r="TOY162" s="1181"/>
      <c r="TOZ162" s="1181"/>
      <c r="TPA162" s="1181"/>
      <c r="TPB162" s="1181"/>
      <c r="TPC162" s="1181"/>
      <c r="TPD162" s="1181"/>
      <c r="TPE162" s="1181"/>
      <c r="TPF162" s="1181"/>
      <c r="TPG162" s="1181"/>
      <c r="TPH162" s="1181"/>
      <c r="TPI162" s="1181"/>
      <c r="TPJ162" s="1181"/>
      <c r="TPK162" s="1181"/>
      <c r="TPL162" s="1181"/>
      <c r="TPM162" s="1181"/>
      <c r="TPN162" s="1181"/>
      <c r="TPO162" s="1181"/>
      <c r="TPP162" s="1181"/>
      <c r="TPQ162" s="1181"/>
      <c r="TPR162" s="1181"/>
      <c r="TPS162" s="1181"/>
      <c r="TPT162" s="1181"/>
      <c r="TPU162" s="1181"/>
      <c r="TPV162" s="1181"/>
      <c r="TPW162" s="1181"/>
      <c r="TPX162" s="1181"/>
      <c r="TPY162" s="1181"/>
      <c r="TPZ162" s="1181"/>
      <c r="TQA162" s="1181"/>
      <c r="TQB162" s="1181"/>
      <c r="TQC162" s="1181"/>
      <c r="TQD162" s="1181"/>
      <c r="TQE162" s="1181"/>
      <c r="TQF162" s="1181"/>
      <c r="TQG162" s="1181"/>
      <c r="TQH162" s="1181"/>
      <c r="TQI162" s="1181"/>
      <c r="TQJ162" s="1181"/>
      <c r="TQK162" s="1181"/>
      <c r="TQL162" s="1181"/>
      <c r="TQM162" s="1181"/>
      <c r="TQN162" s="1181"/>
      <c r="TQO162" s="1181"/>
      <c r="TQP162" s="1181"/>
      <c r="TQQ162" s="1181"/>
      <c r="TQR162" s="1181"/>
      <c r="TQS162" s="1181"/>
      <c r="TQT162" s="1181"/>
      <c r="TQU162" s="1181"/>
      <c r="TQV162" s="1181"/>
      <c r="TQW162" s="1181"/>
      <c r="TQX162" s="1181"/>
      <c r="TQY162" s="1181"/>
      <c r="TQZ162" s="1181"/>
      <c r="TRA162" s="1181"/>
      <c r="TRB162" s="1181"/>
      <c r="TRC162" s="1181"/>
      <c r="TRD162" s="1181"/>
      <c r="TRE162" s="1181"/>
      <c r="TRF162" s="1181"/>
      <c r="TRG162" s="1181"/>
      <c r="TRH162" s="1181"/>
      <c r="TRI162" s="1181"/>
      <c r="TRJ162" s="1181"/>
      <c r="TRK162" s="1181"/>
      <c r="TRL162" s="1181"/>
      <c r="TRM162" s="1181"/>
      <c r="TRN162" s="1181"/>
      <c r="TRO162" s="1181"/>
      <c r="TRP162" s="1181"/>
      <c r="TRQ162" s="1181"/>
      <c r="TRR162" s="1181"/>
      <c r="TRS162" s="1181"/>
      <c r="TRT162" s="1181"/>
      <c r="TRU162" s="1181"/>
      <c r="TRV162" s="1181"/>
      <c r="TRW162" s="1181"/>
      <c r="TRX162" s="1181"/>
      <c r="TRY162" s="1181"/>
      <c r="TRZ162" s="1181"/>
      <c r="TSA162" s="1181"/>
      <c r="TSB162" s="1181"/>
      <c r="TSC162" s="1181"/>
      <c r="TSD162" s="1181"/>
      <c r="TSE162" s="1181"/>
      <c r="TSF162" s="1181"/>
      <c r="TSG162" s="1181"/>
      <c r="TSH162" s="1181"/>
      <c r="TSI162" s="1181"/>
      <c r="TSJ162" s="1181"/>
      <c r="TSK162" s="1181"/>
      <c r="TSL162" s="1181"/>
      <c r="TSM162" s="1181"/>
      <c r="TSN162" s="1181"/>
      <c r="TSO162" s="1181"/>
      <c r="TSP162" s="1181"/>
      <c r="TSQ162" s="1181"/>
      <c r="TSR162" s="1181"/>
      <c r="TSS162" s="1181"/>
      <c r="TST162" s="1181"/>
      <c r="TSU162" s="1181"/>
      <c r="TSV162" s="1181"/>
      <c r="TSW162" s="1181"/>
      <c r="TSX162" s="1181"/>
      <c r="TSY162" s="1181"/>
      <c r="TSZ162" s="1181"/>
      <c r="TTA162" s="1181"/>
      <c r="TTB162" s="1181"/>
      <c r="TTC162" s="1181"/>
      <c r="TTD162" s="1181"/>
      <c r="TTE162" s="1181"/>
      <c r="TTF162" s="1181"/>
      <c r="TTG162" s="1181"/>
      <c r="TTH162" s="1181"/>
      <c r="TTI162" s="1181"/>
      <c r="TTJ162" s="1181"/>
      <c r="TTK162" s="1181"/>
      <c r="TTL162" s="1181"/>
      <c r="TTM162" s="1181"/>
      <c r="TTN162" s="1181"/>
      <c r="TTO162" s="1181"/>
      <c r="TTP162" s="1181"/>
      <c r="TTQ162" s="1181"/>
      <c r="TTR162" s="1181"/>
      <c r="TTS162" s="1181"/>
      <c r="TTT162" s="1181"/>
      <c r="TTU162" s="1181"/>
      <c r="TTV162" s="1181"/>
      <c r="TTW162" s="1181"/>
      <c r="TTX162" s="1181"/>
      <c r="TTY162" s="1181"/>
      <c r="TTZ162" s="1181"/>
      <c r="TUA162" s="1181"/>
      <c r="TUB162" s="1181"/>
      <c r="TUC162" s="1181"/>
      <c r="TUD162" s="1181"/>
      <c r="TUE162" s="1181"/>
      <c r="TUF162" s="1181"/>
      <c r="TUG162" s="1181"/>
      <c r="TUH162" s="1181"/>
      <c r="TUI162" s="1181"/>
      <c r="TUJ162" s="1181"/>
      <c r="TUK162" s="1181"/>
      <c r="TUL162" s="1181"/>
      <c r="TUM162" s="1181"/>
      <c r="TUN162" s="1181"/>
      <c r="TUO162" s="1181"/>
      <c r="TUP162" s="1181"/>
      <c r="TUQ162" s="1181"/>
      <c r="TUR162" s="1181"/>
      <c r="TUS162" s="1181"/>
      <c r="TUT162" s="1181"/>
      <c r="TUU162" s="1181"/>
      <c r="TUV162" s="1181"/>
      <c r="TUW162" s="1181"/>
      <c r="TUX162" s="1181"/>
      <c r="TUY162" s="1181"/>
      <c r="TUZ162" s="1181"/>
      <c r="TVA162" s="1181"/>
      <c r="TVB162" s="1181"/>
      <c r="TVC162" s="1181"/>
      <c r="TVD162" s="1181"/>
      <c r="TVE162" s="1181"/>
      <c r="TVF162" s="1181"/>
      <c r="TVG162" s="1181"/>
      <c r="TVH162" s="1181"/>
      <c r="TVI162" s="1181"/>
      <c r="TVJ162" s="1181"/>
      <c r="TVK162" s="1181"/>
      <c r="TVL162" s="1181"/>
      <c r="TVM162" s="1181"/>
      <c r="TVN162" s="1181"/>
      <c r="TVO162" s="1181"/>
      <c r="TVP162" s="1181"/>
      <c r="TVQ162" s="1181"/>
      <c r="TVR162" s="1181"/>
      <c r="TVS162" s="1181"/>
      <c r="TVT162" s="1181"/>
      <c r="TVU162" s="1181"/>
      <c r="TVV162" s="1181"/>
      <c r="TVW162" s="1181"/>
      <c r="TVX162" s="1181"/>
      <c r="TVY162" s="1181"/>
      <c r="TVZ162" s="1181"/>
      <c r="TWA162" s="1181"/>
      <c r="TWB162" s="1181"/>
      <c r="TWC162" s="1181"/>
      <c r="TWD162" s="1181"/>
      <c r="TWE162" s="1181"/>
      <c r="TWF162" s="1181"/>
      <c r="TWG162" s="1181"/>
      <c r="TWH162" s="1181"/>
      <c r="TWI162" s="1181"/>
      <c r="TWJ162" s="1181"/>
      <c r="TWK162" s="1181"/>
      <c r="TWL162" s="1181"/>
      <c r="TWM162" s="1181"/>
      <c r="TWN162" s="1181"/>
      <c r="TWO162" s="1181"/>
      <c r="TWP162" s="1181"/>
      <c r="TWQ162" s="1181"/>
      <c r="TWR162" s="1181"/>
      <c r="TWS162" s="1181"/>
      <c r="TWT162" s="1181"/>
      <c r="TWU162" s="1181"/>
      <c r="TWV162" s="1181"/>
      <c r="TWW162" s="1181"/>
      <c r="TWX162" s="1181"/>
      <c r="TWY162" s="1181"/>
      <c r="TWZ162" s="1181"/>
      <c r="TXA162" s="1181"/>
      <c r="TXB162" s="1181"/>
      <c r="TXC162" s="1181"/>
      <c r="TXD162" s="1181"/>
      <c r="TXE162" s="1181"/>
      <c r="TXF162" s="1181"/>
      <c r="TXG162" s="1181"/>
      <c r="TXH162" s="1181"/>
      <c r="TXI162" s="1181"/>
      <c r="TXJ162" s="1181"/>
      <c r="TXK162" s="1181"/>
      <c r="TXL162" s="1181"/>
      <c r="TXM162" s="1181"/>
      <c r="TXN162" s="1181"/>
      <c r="TXO162" s="1181"/>
      <c r="TXP162" s="1181"/>
      <c r="TXQ162" s="1181"/>
      <c r="TXR162" s="1181"/>
      <c r="TXS162" s="1181"/>
      <c r="TXT162" s="1181"/>
      <c r="TXU162" s="1181"/>
      <c r="TXV162" s="1181"/>
      <c r="TXW162" s="1181"/>
      <c r="TXX162" s="1181"/>
      <c r="TXY162" s="1181"/>
      <c r="TXZ162" s="1181"/>
      <c r="TYA162" s="1181"/>
      <c r="TYB162" s="1181"/>
      <c r="TYC162" s="1181"/>
      <c r="TYD162" s="1181"/>
      <c r="TYE162" s="1181"/>
      <c r="TYF162" s="1181"/>
      <c r="TYG162" s="1181"/>
      <c r="TYH162" s="1181"/>
      <c r="TYI162" s="1181"/>
      <c r="TYJ162" s="1181"/>
      <c r="TYK162" s="1181"/>
      <c r="TYL162" s="1181"/>
      <c r="TYM162" s="1181"/>
      <c r="TYN162" s="1181"/>
      <c r="TYO162" s="1181"/>
      <c r="TYP162" s="1181"/>
      <c r="TYQ162" s="1181"/>
      <c r="TYR162" s="1181"/>
      <c r="TYS162" s="1181"/>
      <c r="TYT162" s="1181"/>
      <c r="TYU162" s="1181"/>
      <c r="TYV162" s="1181"/>
      <c r="TYW162" s="1181"/>
      <c r="TYX162" s="1181"/>
      <c r="TYY162" s="1181"/>
      <c r="TYZ162" s="1181"/>
      <c r="TZA162" s="1181"/>
      <c r="TZB162" s="1181"/>
      <c r="TZC162" s="1181"/>
      <c r="TZD162" s="1181"/>
      <c r="TZE162" s="1181"/>
      <c r="TZF162" s="1181"/>
      <c r="TZG162" s="1181"/>
      <c r="TZH162" s="1181"/>
      <c r="TZI162" s="1181"/>
      <c r="TZJ162" s="1181"/>
      <c r="TZK162" s="1181"/>
      <c r="TZL162" s="1181"/>
      <c r="TZM162" s="1181"/>
      <c r="TZN162" s="1181"/>
      <c r="TZO162" s="1181"/>
      <c r="TZP162" s="1181"/>
      <c r="TZQ162" s="1181"/>
      <c r="TZR162" s="1181"/>
      <c r="TZS162" s="1181"/>
      <c r="TZT162" s="1181"/>
      <c r="TZU162" s="1181"/>
      <c r="TZV162" s="1181"/>
      <c r="TZW162" s="1181"/>
      <c r="TZX162" s="1181"/>
      <c r="TZY162" s="1181"/>
      <c r="TZZ162" s="1181"/>
      <c r="UAA162" s="1181"/>
      <c r="UAB162" s="1181"/>
      <c r="UAC162" s="1181"/>
      <c r="UAD162" s="1181"/>
      <c r="UAE162" s="1181"/>
      <c r="UAF162" s="1181"/>
      <c r="UAG162" s="1181"/>
      <c r="UAH162" s="1181"/>
      <c r="UAI162" s="1181"/>
      <c r="UAJ162" s="1181"/>
      <c r="UAK162" s="1181"/>
      <c r="UAL162" s="1181"/>
      <c r="UAM162" s="1181"/>
      <c r="UAN162" s="1181"/>
      <c r="UAO162" s="1181"/>
      <c r="UAP162" s="1181"/>
      <c r="UAQ162" s="1181"/>
      <c r="UAR162" s="1181"/>
      <c r="UAS162" s="1181"/>
      <c r="UAT162" s="1181"/>
      <c r="UAU162" s="1181"/>
      <c r="UAV162" s="1181"/>
      <c r="UAW162" s="1181"/>
      <c r="UAX162" s="1181"/>
      <c r="UAY162" s="1181"/>
      <c r="UAZ162" s="1181"/>
      <c r="UBA162" s="1181"/>
      <c r="UBB162" s="1181"/>
      <c r="UBC162" s="1181"/>
      <c r="UBD162" s="1181"/>
      <c r="UBE162" s="1181"/>
      <c r="UBF162" s="1181"/>
      <c r="UBG162" s="1181"/>
      <c r="UBH162" s="1181"/>
      <c r="UBI162" s="1181"/>
      <c r="UBJ162" s="1181"/>
      <c r="UBK162" s="1181"/>
      <c r="UBL162" s="1181"/>
      <c r="UBM162" s="1181"/>
      <c r="UBN162" s="1181"/>
      <c r="UBO162" s="1181"/>
      <c r="UBP162" s="1181"/>
      <c r="UBQ162" s="1181"/>
      <c r="UBR162" s="1181"/>
      <c r="UBS162" s="1181"/>
      <c r="UBT162" s="1181"/>
      <c r="UBU162" s="1181"/>
      <c r="UBV162" s="1181"/>
      <c r="UBW162" s="1181"/>
      <c r="UBX162" s="1181"/>
      <c r="UBY162" s="1181"/>
      <c r="UBZ162" s="1181"/>
      <c r="UCA162" s="1181"/>
      <c r="UCB162" s="1181"/>
      <c r="UCC162" s="1181"/>
      <c r="UCD162" s="1181"/>
      <c r="UCE162" s="1181"/>
      <c r="UCF162" s="1181"/>
      <c r="UCG162" s="1181"/>
      <c r="UCH162" s="1181"/>
      <c r="UCI162" s="1181"/>
      <c r="UCJ162" s="1181"/>
      <c r="UCK162" s="1181"/>
      <c r="UCL162" s="1181"/>
      <c r="UCM162" s="1181"/>
      <c r="UCN162" s="1181"/>
      <c r="UCO162" s="1181"/>
      <c r="UCP162" s="1181"/>
      <c r="UCQ162" s="1181"/>
      <c r="UCR162" s="1181"/>
      <c r="UCS162" s="1181"/>
      <c r="UCT162" s="1181"/>
      <c r="UCU162" s="1181"/>
      <c r="UCV162" s="1181"/>
      <c r="UCW162" s="1181"/>
      <c r="UCX162" s="1181"/>
      <c r="UCY162" s="1181"/>
      <c r="UCZ162" s="1181"/>
      <c r="UDA162" s="1181"/>
      <c r="UDB162" s="1181"/>
      <c r="UDC162" s="1181"/>
      <c r="UDD162" s="1181"/>
      <c r="UDE162" s="1181"/>
      <c r="UDF162" s="1181"/>
      <c r="UDG162" s="1181"/>
      <c r="UDH162" s="1181"/>
      <c r="UDI162" s="1181"/>
      <c r="UDJ162" s="1181"/>
      <c r="UDK162" s="1181"/>
      <c r="UDL162" s="1181"/>
      <c r="UDM162" s="1181"/>
      <c r="UDN162" s="1181"/>
      <c r="UDO162" s="1181"/>
      <c r="UDP162" s="1181"/>
      <c r="UDQ162" s="1181"/>
      <c r="UDR162" s="1181"/>
      <c r="UDS162" s="1181"/>
      <c r="UDT162" s="1181"/>
      <c r="UDU162" s="1181"/>
      <c r="UDV162" s="1181"/>
      <c r="UDW162" s="1181"/>
      <c r="UDX162" s="1181"/>
      <c r="UDY162" s="1181"/>
      <c r="UDZ162" s="1181"/>
      <c r="UEA162" s="1181"/>
      <c r="UEB162" s="1181"/>
      <c r="UEC162" s="1181"/>
      <c r="UED162" s="1181"/>
      <c r="UEE162" s="1181"/>
      <c r="UEF162" s="1181"/>
      <c r="UEG162" s="1181"/>
      <c r="UEH162" s="1181"/>
      <c r="UEI162" s="1181"/>
      <c r="UEJ162" s="1181"/>
      <c r="UEK162" s="1181"/>
      <c r="UEL162" s="1181"/>
      <c r="UEM162" s="1181"/>
      <c r="UEN162" s="1181"/>
      <c r="UEO162" s="1181"/>
      <c r="UEP162" s="1181"/>
      <c r="UEQ162" s="1181"/>
      <c r="UER162" s="1181"/>
      <c r="UES162" s="1181"/>
      <c r="UET162" s="1181"/>
      <c r="UEU162" s="1181"/>
      <c r="UEV162" s="1181"/>
      <c r="UEW162" s="1181"/>
      <c r="UEX162" s="1181"/>
      <c r="UEY162" s="1181"/>
      <c r="UEZ162" s="1181"/>
      <c r="UFA162" s="1181"/>
      <c r="UFB162" s="1181"/>
      <c r="UFC162" s="1181"/>
      <c r="UFD162" s="1181"/>
      <c r="UFE162" s="1181"/>
      <c r="UFF162" s="1181"/>
      <c r="UFG162" s="1181"/>
      <c r="UFH162" s="1181"/>
      <c r="UFI162" s="1181"/>
      <c r="UFJ162" s="1181"/>
      <c r="UFK162" s="1181"/>
      <c r="UFL162" s="1181"/>
      <c r="UFM162" s="1181"/>
      <c r="UFN162" s="1181"/>
      <c r="UFO162" s="1181"/>
      <c r="UFP162" s="1181"/>
      <c r="UFQ162" s="1181"/>
      <c r="UFR162" s="1181"/>
      <c r="UFS162" s="1181"/>
      <c r="UFT162" s="1181"/>
      <c r="UFU162" s="1181"/>
      <c r="UFV162" s="1181"/>
      <c r="UFW162" s="1181"/>
      <c r="UFX162" s="1181"/>
      <c r="UFY162" s="1181"/>
      <c r="UFZ162" s="1181"/>
      <c r="UGA162" s="1181"/>
      <c r="UGB162" s="1181"/>
      <c r="UGC162" s="1181"/>
      <c r="UGD162" s="1181"/>
      <c r="UGE162" s="1181"/>
      <c r="UGF162" s="1181"/>
      <c r="UGG162" s="1181"/>
      <c r="UGH162" s="1181"/>
      <c r="UGI162" s="1181"/>
      <c r="UGJ162" s="1181"/>
      <c r="UGK162" s="1181"/>
      <c r="UGL162" s="1181"/>
      <c r="UGM162" s="1181"/>
      <c r="UGN162" s="1181"/>
      <c r="UGO162" s="1181"/>
      <c r="UGP162" s="1181"/>
      <c r="UGQ162" s="1181"/>
      <c r="UGR162" s="1181"/>
      <c r="UGS162" s="1181"/>
      <c r="UGT162" s="1181"/>
      <c r="UGU162" s="1181"/>
      <c r="UGV162" s="1181"/>
      <c r="UGW162" s="1181"/>
      <c r="UGX162" s="1181"/>
      <c r="UGY162" s="1181"/>
      <c r="UGZ162" s="1181"/>
      <c r="UHA162" s="1181"/>
      <c r="UHB162" s="1181"/>
      <c r="UHC162" s="1181"/>
      <c r="UHD162" s="1181"/>
      <c r="UHE162" s="1181"/>
      <c r="UHF162" s="1181"/>
      <c r="UHG162" s="1181"/>
      <c r="UHH162" s="1181"/>
      <c r="UHI162" s="1181"/>
      <c r="UHJ162" s="1181"/>
      <c r="UHK162" s="1181"/>
      <c r="UHL162" s="1181"/>
      <c r="UHM162" s="1181"/>
      <c r="UHN162" s="1181"/>
      <c r="UHO162" s="1181"/>
      <c r="UHP162" s="1181"/>
      <c r="UHQ162" s="1181"/>
      <c r="UHR162" s="1181"/>
      <c r="UHS162" s="1181"/>
      <c r="UHT162" s="1181"/>
      <c r="UHU162" s="1181"/>
      <c r="UHV162" s="1181"/>
      <c r="UHW162" s="1181"/>
      <c r="UHX162" s="1181"/>
      <c r="UHY162" s="1181"/>
      <c r="UHZ162" s="1181"/>
      <c r="UIA162" s="1181"/>
      <c r="UIB162" s="1181"/>
      <c r="UIC162" s="1181"/>
      <c r="UID162" s="1181"/>
      <c r="UIE162" s="1181"/>
      <c r="UIF162" s="1181"/>
      <c r="UIG162" s="1181"/>
      <c r="UIH162" s="1181"/>
      <c r="UII162" s="1181"/>
      <c r="UIJ162" s="1181"/>
      <c r="UIK162" s="1181"/>
      <c r="UIL162" s="1181"/>
      <c r="UIM162" s="1181"/>
      <c r="UIN162" s="1181"/>
      <c r="UIO162" s="1181"/>
      <c r="UIP162" s="1181"/>
      <c r="UIQ162" s="1181"/>
      <c r="UIR162" s="1181"/>
      <c r="UIS162" s="1181"/>
      <c r="UIT162" s="1181"/>
      <c r="UIU162" s="1181"/>
      <c r="UIV162" s="1181"/>
      <c r="UIW162" s="1181"/>
      <c r="UIX162" s="1181"/>
      <c r="UIY162" s="1181"/>
      <c r="UIZ162" s="1181"/>
      <c r="UJA162" s="1181"/>
      <c r="UJB162" s="1181"/>
      <c r="UJC162" s="1181"/>
      <c r="UJD162" s="1181"/>
      <c r="UJE162" s="1181"/>
      <c r="UJF162" s="1181"/>
      <c r="UJG162" s="1181"/>
      <c r="UJH162" s="1181"/>
      <c r="UJI162" s="1181"/>
      <c r="UJJ162" s="1181"/>
      <c r="UJK162" s="1181"/>
      <c r="UJL162" s="1181"/>
      <c r="UJM162" s="1181"/>
      <c r="UJN162" s="1181"/>
      <c r="UJO162" s="1181"/>
      <c r="UJP162" s="1181"/>
      <c r="UJQ162" s="1181"/>
      <c r="UJR162" s="1181"/>
      <c r="UJS162" s="1181"/>
      <c r="UJT162" s="1181"/>
      <c r="UJU162" s="1181"/>
      <c r="UJV162" s="1181"/>
      <c r="UJW162" s="1181"/>
      <c r="UJX162" s="1181"/>
      <c r="UJY162" s="1181"/>
      <c r="UJZ162" s="1181"/>
      <c r="UKA162" s="1181"/>
      <c r="UKB162" s="1181"/>
      <c r="UKC162" s="1181"/>
      <c r="UKD162" s="1181"/>
      <c r="UKE162" s="1181"/>
      <c r="UKF162" s="1181"/>
      <c r="UKG162" s="1181"/>
      <c r="UKH162" s="1181"/>
      <c r="UKI162" s="1181"/>
      <c r="UKJ162" s="1181"/>
      <c r="UKK162" s="1181"/>
      <c r="UKL162" s="1181"/>
      <c r="UKM162" s="1181"/>
      <c r="UKN162" s="1181"/>
      <c r="UKO162" s="1181"/>
      <c r="UKP162" s="1181"/>
      <c r="UKQ162" s="1181"/>
      <c r="UKR162" s="1181"/>
      <c r="UKS162" s="1181"/>
      <c r="UKT162" s="1181"/>
      <c r="UKU162" s="1181"/>
      <c r="UKV162" s="1181"/>
      <c r="UKW162" s="1181"/>
      <c r="UKX162" s="1181"/>
      <c r="UKY162" s="1181"/>
      <c r="UKZ162" s="1181"/>
      <c r="ULA162" s="1181"/>
      <c r="ULB162" s="1181"/>
      <c r="ULC162" s="1181"/>
      <c r="ULD162" s="1181"/>
      <c r="ULE162" s="1181"/>
      <c r="ULF162" s="1181"/>
      <c r="ULG162" s="1181"/>
      <c r="ULH162" s="1181"/>
      <c r="ULI162" s="1181"/>
      <c r="ULJ162" s="1181"/>
      <c r="ULK162" s="1181"/>
      <c r="ULL162" s="1181"/>
      <c r="ULM162" s="1181"/>
      <c r="ULN162" s="1181"/>
      <c r="ULO162" s="1181"/>
      <c r="ULP162" s="1181"/>
      <c r="ULQ162" s="1181"/>
      <c r="ULR162" s="1181"/>
      <c r="ULS162" s="1181"/>
      <c r="ULT162" s="1181"/>
      <c r="ULU162" s="1181"/>
      <c r="ULV162" s="1181"/>
      <c r="ULW162" s="1181"/>
      <c r="ULX162" s="1181"/>
      <c r="ULY162" s="1181"/>
      <c r="ULZ162" s="1181"/>
      <c r="UMA162" s="1181"/>
      <c r="UMB162" s="1181"/>
      <c r="UMC162" s="1181"/>
      <c r="UMD162" s="1181"/>
      <c r="UME162" s="1181"/>
      <c r="UMF162" s="1181"/>
      <c r="UMG162" s="1181"/>
      <c r="UMH162" s="1181"/>
      <c r="UMI162" s="1181"/>
      <c r="UMJ162" s="1181"/>
      <c r="UMK162" s="1181"/>
      <c r="UML162" s="1181"/>
      <c r="UMM162" s="1181"/>
      <c r="UMN162" s="1181"/>
      <c r="UMO162" s="1181"/>
      <c r="UMP162" s="1181"/>
      <c r="UMQ162" s="1181"/>
      <c r="UMR162" s="1181"/>
      <c r="UMS162" s="1181"/>
      <c r="UMT162" s="1181"/>
      <c r="UMU162" s="1181"/>
      <c r="UMV162" s="1181"/>
      <c r="UMW162" s="1181"/>
      <c r="UMX162" s="1181"/>
      <c r="UMY162" s="1181"/>
      <c r="UMZ162" s="1181"/>
      <c r="UNA162" s="1181"/>
      <c r="UNB162" s="1181"/>
      <c r="UNC162" s="1181"/>
      <c r="UND162" s="1181"/>
      <c r="UNE162" s="1181"/>
      <c r="UNF162" s="1181"/>
      <c r="UNG162" s="1181"/>
      <c r="UNH162" s="1181"/>
      <c r="UNI162" s="1181"/>
      <c r="UNJ162" s="1181"/>
      <c r="UNK162" s="1181"/>
      <c r="UNL162" s="1181"/>
      <c r="UNM162" s="1181"/>
      <c r="UNN162" s="1181"/>
      <c r="UNO162" s="1181"/>
      <c r="UNP162" s="1181"/>
      <c r="UNQ162" s="1181"/>
      <c r="UNR162" s="1181"/>
      <c r="UNS162" s="1181"/>
      <c r="UNT162" s="1181"/>
      <c r="UNU162" s="1181"/>
      <c r="UNV162" s="1181"/>
      <c r="UNW162" s="1181"/>
      <c r="UNX162" s="1181"/>
      <c r="UNY162" s="1181"/>
      <c r="UNZ162" s="1181"/>
      <c r="UOA162" s="1181"/>
      <c r="UOB162" s="1181"/>
      <c r="UOC162" s="1181"/>
      <c r="UOD162" s="1181"/>
      <c r="UOE162" s="1181"/>
      <c r="UOF162" s="1181"/>
      <c r="UOG162" s="1181"/>
      <c r="UOH162" s="1181"/>
      <c r="UOI162" s="1181"/>
      <c r="UOJ162" s="1181"/>
      <c r="UOK162" s="1181"/>
      <c r="UOL162" s="1181"/>
      <c r="UOM162" s="1181"/>
      <c r="UON162" s="1181"/>
      <c r="UOO162" s="1181"/>
      <c r="UOP162" s="1181"/>
      <c r="UOQ162" s="1181"/>
      <c r="UOR162" s="1181"/>
      <c r="UOS162" s="1181"/>
      <c r="UOT162" s="1181"/>
      <c r="UOU162" s="1181"/>
      <c r="UOV162" s="1181"/>
      <c r="UOW162" s="1181"/>
      <c r="UOX162" s="1181"/>
      <c r="UOY162" s="1181"/>
      <c r="UOZ162" s="1181"/>
      <c r="UPA162" s="1181"/>
      <c r="UPB162" s="1181"/>
      <c r="UPC162" s="1181"/>
      <c r="UPD162" s="1181"/>
      <c r="UPE162" s="1181"/>
      <c r="UPF162" s="1181"/>
      <c r="UPG162" s="1181"/>
      <c r="UPH162" s="1181"/>
      <c r="UPI162" s="1181"/>
      <c r="UPJ162" s="1181"/>
      <c r="UPK162" s="1181"/>
      <c r="UPL162" s="1181"/>
      <c r="UPM162" s="1181"/>
      <c r="UPN162" s="1181"/>
      <c r="UPO162" s="1181"/>
      <c r="UPP162" s="1181"/>
      <c r="UPQ162" s="1181"/>
      <c r="UPR162" s="1181"/>
      <c r="UPS162" s="1181"/>
      <c r="UPT162" s="1181"/>
      <c r="UPU162" s="1181"/>
      <c r="UPV162" s="1181"/>
      <c r="UPW162" s="1181"/>
      <c r="UPX162" s="1181"/>
      <c r="UPY162" s="1181"/>
      <c r="UPZ162" s="1181"/>
      <c r="UQA162" s="1181"/>
      <c r="UQB162" s="1181"/>
      <c r="UQC162" s="1181"/>
      <c r="UQD162" s="1181"/>
      <c r="UQE162" s="1181"/>
      <c r="UQF162" s="1181"/>
      <c r="UQG162" s="1181"/>
      <c r="UQH162" s="1181"/>
      <c r="UQI162" s="1181"/>
      <c r="UQJ162" s="1181"/>
      <c r="UQK162" s="1181"/>
      <c r="UQL162" s="1181"/>
      <c r="UQM162" s="1181"/>
      <c r="UQN162" s="1181"/>
      <c r="UQO162" s="1181"/>
      <c r="UQP162" s="1181"/>
      <c r="UQQ162" s="1181"/>
      <c r="UQR162" s="1181"/>
      <c r="UQS162" s="1181"/>
      <c r="UQT162" s="1181"/>
      <c r="UQU162" s="1181"/>
      <c r="UQV162" s="1181"/>
      <c r="UQW162" s="1181"/>
      <c r="UQX162" s="1181"/>
      <c r="UQY162" s="1181"/>
      <c r="UQZ162" s="1181"/>
      <c r="URA162" s="1181"/>
      <c r="URB162" s="1181"/>
      <c r="URC162" s="1181"/>
      <c r="URD162" s="1181"/>
      <c r="URE162" s="1181"/>
      <c r="URF162" s="1181"/>
      <c r="URG162" s="1181"/>
      <c r="URH162" s="1181"/>
      <c r="URI162" s="1181"/>
      <c r="URJ162" s="1181"/>
      <c r="URK162" s="1181"/>
      <c r="URL162" s="1181"/>
      <c r="URM162" s="1181"/>
      <c r="URN162" s="1181"/>
      <c r="URO162" s="1181"/>
      <c r="URP162" s="1181"/>
      <c r="URQ162" s="1181"/>
      <c r="URR162" s="1181"/>
      <c r="URS162" s="1181"/>
      <c r="URT162" s="1181"/>
      <c r="URU162" s="1181"/>
      <c r="URV162" s="1181"/>
      <c r="URW162" s="1181"/>
      <c r="URX162" s="1181"/>
      <c r="URY162" s="1181"/>
      <c r="URZ162" s="1181"/>
      <c r="USA162" s="1181"/>
      <c r="USB162" s="1181"/>
      <c r="USC162" s="1181"/>
      <c r="USD162" s="1181"/>
      <c r="USE162" s="1181"/>
      <c r="USF162" s="1181"/>
      <c r="USG162" s="1181"/>
      <c r="USH162" s="1181"/>
      <c r="USI162" s="1181"/>
      <c r="USJ162" s="1181"/>
      <c r="USK162" s="1181"/>
      <c r="USL162" s="1181"/>
      <c r="USM162" s="1181"/>
      <c r="USN162" s="1181"/>
      <c r="USO162" s="1181"/>
      <c r="USP162" s="1181"/>
      <c r="USQ162" s="1181"/>
      <c r="USR162" s="1181"/>
      <c r="USS162" s="1181"/>
      <c r="UST162" s="1181"/>
      <c r="USU162" s="1181"/>
      <c r="USV162" s="1181"/>
      <c r="USW162" s="1181"/>
      <c r="USX162" s="1181"/>
      <c r="USY162" s="1181"/>
      <c r="USZ162" s="1181"/>
      <c r="UTA162" s="1181"/>
      <c r="UTB162" s="1181"/>
      <c r="UTC162" s="1181"/>
      <c r="UTD162" s="1181"/>
      <c r="UTE162" s="1181"/>
      <c r="UTF162" s="1181"/>
      <c r="UTG162" s="1181"/>
      <c r="UTH162" s="1181"/>
      <c r="UTI162" s="1181"/>
      <c r="UTJ162" s="1181"/>
      <c r="UTK162" s="1181"/>
      <c r="UTL162" s="1181"/>
      <c r="UTM162" s="1181"/>
      <c r="UTN162" s="1181"/>
      <c r="UTO162" s="1181"/>
      <c r="UTP162" s="1181"/>
      <c r="UTQ162" s="1181"/>
      <c r="UTR162" s="1181"/>
      <c r="UTS162" s="1181"/>
      <c r="UTT162" s="1181"/>
      <c r="UTU162" s="1181"/>
      <c r="UTV162" s="1181"/>
      <c r="UTW162" s="1181"/>
      <c r="UTX162" s="1181"/>
      <c r="UTY162" s="1181"/>
      <c r="UTZ162" s="1181"/>
      <c r="UUA162" s="1181"/>
      <c r="UUB162" s="1181"/>
      <c r="UUC162" s="1181"/>
      <c r="UUD162" s="1181"/>
      <c r="UUE162" s="1181"/>
      <c r="UUF162" s="1181"/>
      <c r="UUG162" s="1181"/>
      <c r="UUH162" s="1181"/>
      <c r="UUI162" s="1181"/>
      <c r="UUJ162" s="1181"/>
      <c r="UUK162" s="1181"/>
      <c r="UUL162" s="1181"/>
      <c r="UUM162" s="1181"/>
      <c r="UUN162" s="1181"/>
      <c r="UUO162" s="1181"/>
      <c r="UUP162" s="1181"/>
      <c r="UUQ162" s="1181"/>
      <c r="UUR162" s="1181"/>
      <c r="UUS162" s="1181"/>
      <c r="UUT162" s="1181"/>
      <c r="UUU162" s="1181"/>
      <c r="UUV162" s="1181"/>
      <c r="UUW162" s="1181"/>
      <c r="UUX162" s="1181"/>
      <c r="UUY162" s="1181"/>
      <c r="UUZ162" s="1181"/>
      <c r="UVA162" s="1181"/>
      <c r="UVB162" s="1181"/>
      <c r="UVC162" s="1181"/>
      <c r="UVD162" s="1181"/>
      <c r="UVE162" s="1181"/>
      <c r="UVF162" s="1181"/>
      <c r="UVG162" s="1181"/>
      <c r="UVH162" s="1181"/>
      <c r="UVI162" s="1181"/>
      <c r="UVJ162" s="1181"/>
      <c r="UVK162" s="1181"/>
      <c r="UVL162" s="1181"/>
      <c r="UVM162" s="1181"/>
      <c r="UVN162" s="1181"/>
      <c r="UVO162" s="1181"/>
      <c r="UVP162" s="1181"/>
      <c r="UVQ162" s="1181"/>
      <c r="UVR162" s="1181"/>
      <c r="UVS162" s="1181"/>
      <c r="UVT162" s="1181"/>
      <c r="UVU162" s="1181"/>
      <c r="UVV162" s="1181"/>
      <c r="UVW162" s="1181"/>
      <c r="UVX162" s="1181"/>
      <c r="UVY162" s="1181"/>
      <c r="UVZ162" s="1181"/>
      <c r="UWA162" s="1181"/>
      <c r="UWB162" s="1181"/>
      <c r="UWC162" s="1181"/>
      <c r="UWD162" s="1181"/>
      <c r="UWE162" s="1181"/>
      <c r="UWF162" s="1181"/>
      <c r="UWG162" s="1181"/>
      <c r="UWH162" s="1181"/>
      <c r="UWI162" s="1181"/>
      <c r="UWJ162" s="1181"/>
      <c r="UWK162" s="1181"/>
      <c r="UWL162" s="1181"/>
      <c r="UWM162" s="1181"/>
      <c r="UWN162" s="1181"/>
      <c r="UWO162" s="1181"/>
      <c r="UWP162" s="1181"/>
      <c r="UWQ162" s="1181"/>
      <c r="UWR162" s="1181"/>
      <c r="UWS162" s="1181"/>
      <c r="UWT162" s="1181"/>
      <c r="UWU162" s="1181"/>
      <c r="UWV162" s="1181"/>
      <c r="UWW162" s="1181"/>
      <c r="UWX162" s="1181"/>
      <c r="UWY162" s="1181"/>
      <c r="UWZ162" s="1181"/>
      <c r="UXA162" s="1181"/>
      <c r="UXB162" s="1181"/>
      <c r="UXC162" s="1181"/>
      <c r="UXD162" s="1181"/>
      <c r="UXE162" s="1181"/>
      <c r="UXF162" s="1181"/>
      <c r="UXG162" s="1181"/>
      <c r="UXH162" s="1181"/>
      <c r="UXI162" s="1181"/>
      <c r="UXJ162" s="1181"/>
      <c r="UXK162" s="1181"/>
      <c r="UXL162" s="1181"/>
      <c r="UXM162" s="1181"/>
      <c r="UXN162" s="1181"/>
      <c r="UXO162" s="1181"/>
      <c r="UXP162" s="1181"/>
      <c r="UXQ162" s="1181"/>
      <c r="UXR162" s="1181"/>
      <c r="UXS162" s="1181"/>
      <c r="UXT162" s="1181"/>
      <c r="UXU162" s="1181"/>
      <c r="UXV162" s="1181"/>
      <c r="UXW162" s="1181"/>
      <c r="UXX162" s="1181"/>
      <c r="UXY162" s="1181"/>
      <c r="UXZ162" s="1181"/>
      <c r="UYA162" s="1181"/>
      <c r="UYB162" s="1181"/>
      <c r="UYC162" s="1181"/>
      <c r="UYD162" s="1181"/>
      <c r="UYE162" s="1181"/>
      <c r="UYF162" s="1181"/>
      <c r="UYG162" s="1181"/>
      <c r="UYH162" s="1181"/>
      <c r="UYI162" s="1181"/>
      <c r="UYJ162" s="1181"/>
      <c r="UYK162" s="1181"/>
      <c r="UYL162" s="1181"/>
      <c r="UYM162" s="1181"/>
      <c r="UYN162" s="1181"/>
      <c r="UYO162" s="1181"/>
      <c r="UYP162" s="1181"/>
      <c r="UYQ162" s="1181"/>
      <c r="UYR162" s="1181"/>
      <c r="UYS162" s="1181"/>
      <c r="UYT162" s="1181"/>
      <c r="UYU162" s="1181"/>
      <c r="UYV162" s="1181"/>
      <c r="UYW162" s="1181"/>
      <c r="UYX162" s="1181"/>
      <c r="UYY162" s="1181"/>
      <c r="UYZ162" s="1181"/>
      <c r="UZA162" s="1181"/>
      <c r="UZB162" s="1181"/>
      <c r="UZC162" s="1181"/>
      <c r="UZD162" s="1181"/>
      <c r="UZE162" s="1181"/>
      <c r="UZF162" s="1181"/>
      <c r="UZG162" s="1181"/>
      <c r="UZH162" s="1181"/>
      <c r="UZI162" s="1181"/>
      <c r="UZJ162" s="1181"/>
      <c r="UZK162" s="1181"/>
      <c r="UZL162" s="1181"/>
      <c r="UZM162" s="1181"/>
      <c r="UZN162" s="1181"/>
      <c r="UZO162" s="1181"/>
      <c r="UZP162" s="1181"/>
      <c r="UZQ162" s="1181"/>
      <c r="UZR162" s="1181"/>
      <c r="UZS162" s="1181"/>
      <c r="UZT162" s="1181"/>
      <c r="UZU162" s="1181"/>
      <c r="UZV162" s="1181"/>
      <c r="UZW162" s="1181"/>
      <c r="UZX162" s="1181"/>
      <c r="UZY162" s="1181"/>
      <c r="UZZ162" s="1181"/>
      <c r="VAA162" s="1181"/>
      <c r="VAB162" s="1181"/>
      <c r="VAC162" s="1181"/>
      <c r="VAD162" s="1181"/>
      <c r="VAE162" s="1181"/>
      <c r="VAF162" s="1181"/>
      <c r="VAG162" s="1181"/>
      <c r="VAH162" s="1181"/>
      <c r="VAI162" s="1181"/>
      <c r="VAJ162" s="1181"/>
      <c r="VAK162" s="1181"/>
      <c r="VAL162" s="1181"/>
      <c r="VAM162" s="1181"/>
      <c r="VAN162" s="1181"/>
      <c r="VAO162" s="1181"/>
      <c r="VAP162" s="1181"/>
      <c r="VAQ162" s="1181"/>
      <c r="VAR162" s="1181"/>
      <c r="VAS162" s="1181"/>
      <c r="VAT162" s="1181"/>
      <c r="VAU162" s="1181"/>
      <c r="VAV162" s="1181"/>
      <c r="VAW162" s="1181"/>
      <c r="VAX162" s="1181"/>
      <c r="VAY162" s="1181"/>
      <c r="VAZ162" s="1181"/>
      <c r="VBA162" s="1181"/>
      <c r="VBB162" s="1181"/>
      <c r="VBC162" s="1181"/>
      <c r="VBD162" s="1181"/>
      <c r="VBE162" s="1181"/>
      <c r="VBF162" s="1181"/>
      <c r="VBG162" s="1181"/>
      <c r="VBH162" s="1181"/>
      <c r="VBI162" s="1181"/>
      <c r="VBJ162" s="1181"/>
      <c r="VBK162" s="1181"/>
      <c r="VBL162" s="1181"/>
      <c r="VBM162" s="1181"/>
      <c r="VBN162" s="1181"/>
      <c r="VBO162" s="1181"/>
      <c r="VBP162" s="1181"/>
      <c r="VBQ162" s="1181"/>
      <c r="VBR162" s="1181"/>
      <c r="VBS162" s="1181"/>
      <c r="VBT162" s="1181"/>
      <c r="VBU162" s="1181"/>
      <c r="VBV162" s="1181"/>
      <c r="VBW162" s="1181"/>
      <c r="VBX162" s="1181"/>
      <c r="VBY162" s="1181"/>
      <c r="VBZ162" s="1181"/>
      <c r="VCA162" s="1181"/>
      <c r="VCB162" s="1181"/>
      <c r="VCC162" s="1181"/>
      <c r="VCD162" s="1181"/>
      <c r="VCE162" s="1181"/>
      <c r="VCF162" s="1181"/>
      <c r="VCG162" s="1181"/>
      <c r="VCH162" s="1181"/>
      <c r="VCI162" s="1181"/>
      <c r="VCJ162" s="1181"/>
      <c r="VCK162" s="1181"/>
      <c r="VCL162" s="1181"/>
      <c r="VCM162" s="1181"/>
      <c r="VCN162" s="1181"/>
      <c r="VCO162" s="1181"/>
      <c r="VCP162" s="1181"/>
      <c r="VCQ162" s="1181"/>
      <c r="VCR162" s="1181"/>
      <c r="VCS162" s="1181"/>
      <c r="VCT162" s="1181"/>
      <c r="VCU162" s="1181"/>
      <c r="VCV162" s="1181"/>
      <c r="VCW162" s="1181"/>
      <c r="VCX162" s="1181"/>
      <c r="VCY162" s="1181"/>
      <c r="VCZ162" s="1181"/>
      <c r="VDA162" s="1181"/>
      <c r="VDB162" s="1181"/>
      <c r="VDC162" s="1181"/>
      <c r="VDD162" s="1181"/>
      <c r="VDE162" s="1181"/>
      <c r="VDF162" s="1181"/>
      <c r="VDG162" s="1181"/>
      <c r="VDH162" s="1181"/>
      <c r="VDI162" s="1181"/>
      <c r="VDJ162" s="1181"/>
      <c r="VDK162" s="1181"/>
      <c r="VDL162" s="1181"/>
      <c r="VDM162" s="1181"/>
      <c r="VDN162" s="1181"/>
      <c r="VDO162" s="1181"/>
      <c r="VDP162" s="1181"/>
      <c r="VDQ162" s="1181"/>
      <c r="VDR162" s="1181"/>
      <c r="VDS162" s="1181"/>
      <c r="VDT162" s="1181"/>
      <c r="VDU162" s="1181"/>
      <c r="VDV162" s="1181"/>
      <c r="VDW162" s="1181"/>
      <c r="VDX162" s="1181"/>
      <c r="VDY162" s="1181"/>
      <c r="VDZ162" s="1181"/>
      <c r="VEA162" s="1181"/>
      <c r="VEB162" s="1181"/>
      <c r="VEC162" s="1181"/>
      <c r="VED162" s="1181"/>
      <c r="VEE162" s="1181"/>
      <c r="VEF162" s="1181"/>
      <c r="VEG162" s="1181"/>
      <c r="VEH162" s="1181"/>
      <c r="VEI162" s="1181"/>
      <c r="VEJ162" s="1181"/>
      <c r="VEK162" s="1181"/>
      <c r="VEL162" s="1181"/>
      <c r="VEM162" s="1181"/>
      <c r="VEN162" s="1181"/>
      <c r="VEO162" s="1181"/>
      <c r="VEP162" s="1181"/>
      <c r="VEQ162" s="1181"/>
      <c r="VER162" s="1181"/>
      <c r="VES162" s="1181"/>
      <c r="VET162" s="1181"/>
      <c r="VEU162" s="1181"/>
      <c r="VEV162" s="1181"/>
      <c r="VEW162" s="1181"/>
      <c r="VEX162" s="1181"/>
      <c r="VEY162" s="1181"/>
      <c r="VEZ162" s="1181"/>
      <c r="VFA162" s="1181"/>
      <c r="VFB162" s="1181"/>
      <c r="VFC162" s="1181"/>
      <c r="VFD162" s="1181"/>
      <c r="VFE162" s="1181"/>
      <c r="VFF162" s="1181"/>
      <c r="VFG162" s="1181"/>
      <c r="VFH162" s="1181"/>
      <c r="VFI162" s="1181"/>
      <c r="VFJ162" s="1181"/>
      <c r="VFK162" s="1181"/>
      <c r="VFL162" s="1181"/>
      <c r="VFM162" s="1181"/>
      <c r="VFN162" s="1181"/>
      <c r="VFO162" s="1181"/>
      <c r="VFP162" s="1181"/>
      <c r="VFQ162" s="1181"/>
      <c r="VFR162" s="1181"/>
      <c r="VFS162" s="1181"/>
      <c r="VFT162" s="1181"/>
      <c r="VFU162" s="1181"/>
      <c r="VFV162" s="1181"/>
      <c r="VFW162" s="1181"/>
      <c r="VFX162" s="1181"/>
      <c r="VFY162" s="1181"/>
      <c r="VFZ162" s="1181"/>
      <c r="VGA162" s="1181"/>
      <c r="VGB162" s="1181"/>
      <c r="VGC162" s="1181"/>
      <c r="VGD162" s="1181"/>
      <c r="VGE162" s="1181"/>
      <c r="VGF162" s="1181"/>
      <c r="VGG162" s="1181"/>
      <c r="VGH162" s="1181"/>
      <c r="VGI162" s="1181"/>
      <c r="VGJ162" s="1181"/>
      <c r="VGK162" s="1181"/>
      <c r="VGL162" s="1181"/>
      <c r="VGM162" s="1181"/>
      <c r="VGN162" s="1181"/>
      <c r="VGO162" s="1181"/>
      <c r="VGP162" s="1181"/>
      <c r="VGQ162" s="1181"/>
      <c r="VGR162" s="1181"/>
      <c r="VGS162" s="1181"/>
      <c r="VGT162" s="1181"/>
      <c r="VGU162" s="1181"/>
      <c r="VGV162" s="1181"/>
      <c r="VGW162" s="1181"/>
      <c r="VGX162" s="1181"/>
      <c r="VGY162" s="1181"/>
      <c r="VGZ162" s="1181"/>
      <c r="VHA162" s="1181"/>
      <c r="VHB162" s="1181"/>
      <c r="VHC162" s="1181"/>
      <c r="VHD162" s="1181"/>
      <c r="VHE162" s="1181"/>
      <c r="VHF162" s="1181"/>
      <c r="VHG162" s="1181"/>
      <c r="VHH162" s="1181"/>
      <c r="VHI162" s="1181"/>
      <c r="VHJ162" s="1181"/>
      <c r="VHK162" s="1181"/>
      <c r="VHL162" s="1181"/>
      <c r="VHM162" s="1181"/>
      <c r="VHN162" s="1181"/>
      <c r="VHO162" s="1181"/>
      <c r="VHP162" s="1181"/>
      <c r="VHQ162" s="1181"/>
      <c r="VHR162" s="1181"/>
      <c r="VHS162" s="1181"/>
      <c r="VHT162" s="1181"/>
      <c r="VHU162" s="1181"/>
      <c r="VHV162" s="1181"/>
      <c r="VHW162" s="1181"/>
      <c r="VHX162" s="1181"/>
      <c r="VHY162" s="1181"/>
      <c r="VHZ162" s="1181"/>
      <c r="VIA162" s="1181"/>
      <c r="VIB162" s="1181"/>
      <c r="VIC162" s="1181"/>
      <c r="VID162" s="1181"/>
      <c r="VIE162" s="1181"/>
      <c r="VIF162" s="1181"/>
      <c r="VIG162" s="1181"/>
      <c r="VIH162" s="1181"/>
      <c r="VII162" s="1181"/>
      <c r="VIJ162" s="1181"/>
      <c r="VIK162" s="1181"/>
      <c r="VIL162" s="1181"/>
      <c r="VIM162" s="1181"/>
      <c r="VIN162" s="1181"/>
      <c r="VIO162" s="1181"/>
      <c r="VIP162" s="1181"/>
      <c r="VIQ162" s="1181"/>
      <c r="VIR162" s="1181"/>
      <c r="VIS162" s="1181"/>
      <c r="VIT162" s="1181"/>
      <c r="VIU162" s="1181"/>
      <c r="VIV162" s="1181"/>
      <c r="VIW162" s="1181"/>
      <c r="VIX162" s="1181"/>
      <c r="VIY162" s="1181"/>
      <c r="VIZ162" s="1181"/>
      <c r="VJA162" s="1181"/>
      <c r="VJB162" s="1181"/>
      <c r="VJC162" s="1181"/>
      <c r="VJD162" s="1181"/>
      <c r="VJE162" s="1181"/>
      <c r="VJF162" s="1181"/>
      <c r="VJG162" s="1181"/>
      <c r="VJH162" s="1181"/>
      <c r="VJI162" s="1181"/>
      <c r="VJJ162" s="1181"/>
      <c r="VJK162" s="1181"/>
      <c r="VJL162" s="1181"/>
      <c r="VJM162" s="1181"/>
      <c r="VJN162" s="1181"/>
      <c r="VJO162" s="1181"/>
      <c r="VJP162" s="1181"/>
      <c r="VJQ162" s="1181"/>
      <c r="VJR162" s="1181"/>
      <c r="VJS162" s="1181"/>
      <c r="VJT162" s="1181"/>
      <c r="VJU162" s="1181"/>
      <c r="VJV162" s="1181"/>
      <c r="VJW162" s="1181"/>
      <c r="VJX162" s="1181"/>
      <c r="VJY162" s="1181"/>
      <c r="VJZ162" s="1181"/>
      <c r="VKA162" s="1181"/>
      <c r="VKB162" s="1181"/>
      <c r="VKC162" s="1181"/>
      <c r="VKD162" s="1181"/>
      <c r="VKE162" s="1181"/>
      <c r="VKF162" s="1181"/>
      <c r="VKG162" s="1181"/>
      <c r="VKH162" s="1181"/>
      <c r="VKI162" s="1181"/>
      <c r="VKJ162" s="1181"/>
      <c r="VKK162" s="1181"/>
      <c r="VKL162" s="1181"/>
      <c r="VKM162" s="1181"/>
      <c r="VKN162" s="1181"/>
      <c r="VKO162" s="1181"/>
      <c r="VKP162" s="1181"/>
      <c r="VKQ162" s="1181"/>
      <c r="VKR162" s="1181"/>
      <c r="VKS162" s="1181"/>
      <c r="VKT162" s="1181"/>
      <c r="VKU162" s="1181"/>
      <c r="VKV162" s="1181"/>
      <c r="VKW162" s="1181"/>
      <c r="VKX162" s="1181"/>
      <c r="VKY162" s="1181"/>
      <c r="VKZ162" s="1181"/>
      <c r="VLA162" s="1181"/>
      <c r="VLB162" s="1181"/>
      <c r="VLC162" s="1181"/>
      <c r="VLD162" s="1181"/>
      <c r="VLE162" s="1181"/>
      <c r="VLF162" s="1181"/>
      <c r="VLG162" s="1181"/>
      <c r="VLH162" s="1181"/>
      <c r="VLI162" s="1181"/>
      <c r="VLJ162" s="1181"/>
      <c r="VLK162" s="1181"/>
      <c r="VLL162" s="1181"/>
      <c r="VLM162" s="1181"/>
      <c r="VLN162" s="1181"/>
      <c r="VLO162" s="1181"/>
      <c r="VLP162" s="1181"/>
      <c r="VLQ162" s="1181"/>
      <c r="VLR162" s="1181"/>
      <c r="VLS162" s="1181"/>
      <c r="VLT162" s="1181"/>
      <c r="VLU162" s="1181"/>
      <c r="VLV162" s="1181"/>
      <c r="VLW162" s="1181"/>
      <c r="VLX162" s="1181"/>
      <c r="VLY162" s="1181"/>
      <c r="VLZ162" s="1181"/>
      <c r="VMA162" s="1181"/>
      <c r="VMB162" s="1181"/>
      <c r="VMC162" s="1181"/>
      <c r="VMD162" s="1181"/>
      <c r="VME162" s="1181"/>
      <c r="VMF162" s="1181"/>
      <c r="VMG162" s="1181"/>
      <c r="VMH162" s="1181"/>
      <c r="VMI162" s="1181"/>
      <c r="VMJ162" s="1181"/>
      <c r="VMK162" s="1181"/>
      <c r="VML162" s="1181"/>
      <c r="VMM162" s="1181"/>
      <c r="VMN162" s="1181"/>
      <c r="VMO162" s="1181"/>
      <c r="VMP162" s="1181"/>
      <c r="VMQ162" s="1181"/>
      <c r="VMR162" s="1181"/>
      <c r="VMS162" s="1181"/>
      <c r="VMT162" s="1181"/>
      <c r="VMU162" s="1181"/>
      <c r="VMV162" s="1181"/>
      <c r="VMW162" s="1181"/>
      <c r="VMX162" s="1181"/>
      <c r="VMY162" s="1181"/>
      <c r="VMZ162" s="1181"/>
      <c r="VNA162" s="1181"/>
      <c r="VNB162" s="1181"/>
      <c r="VNC162" s="1181"/>
      <c r="VND162" s="1181"/>
      <c r="VNE162" s="1181"/>
      <c r="VNF162" s="1181"/>
      <c r="VNG162" s="1181"/>
      <c r="VNH162" s="1181"/>
      <c r="VNI162" s="1181"/>
      <c r="VNJ162" s="1181"/>
      <c r="VNK162" s="1181"/>
      <c r="VNL162" s="1181"/>
      <c r="VNM162" s="1181"/>
      <c r="VNN162" s="1181"/>
      <c r="VNO162" s="1181"/>
      <c r="VNP162" s="1181"/>
      <c r="VNQ162" s="1181"/>
      <c r="VNR162" s="1181"/>
      <c r="VNS162" s="1181"/>
      <c r="VNT162" s="1181"/>
      <c r="VNU162" s="1181"/>
      <c r="VNV162" s="1181"/>
      <c r="VNW162" s="1181"/>
      <c r="VNX162" s="1181"/>
      <c r="VNY162" s="1181"/>
      <c r="VNZ162" s="1181"/>
      <c r="VOA162" s="1181"/>
      <c r="VOB162" s="1181"/>
      <c r="VOC162" s="1181"/>
      <c r="VOD162" s="1181"/>
      <c r="VOE162" s="1181"/>
      <c r="VOF162" s="1181"/>
      <c r="VOG162" s="1181"/>
      <c r="VOH162" s="1181"/>
      <c r="VOI162" s="1181"/>
      <c r="VOJ162" s="1181"/>
      <c r="VOK162" s="1181"/>
      <c r="VOL162" s="1181"/>
      <c r="VOM162" s="1181"/>
      <c r="VON162" s="1181"/>
      <c r="VOO162" s="1181"/>
      <c r="VOP162" s="1181"/>
      <c r="VOQ162" s="1181"/>
      <c r="VOR162" s="1181"/>
      <c r="VOS162" s="1181"/>
      <c r="VOT162" s="1181"/>
      <c r="VOU162" s="1181"/>
      <c r="VOV162" s="1181"/>
      <c r="VOW162" s="1181"/>
      <c r="VOX162" s="1181"/>
      <c r="VOY162" s="1181"/>
      <c r="VOZ162" s="1181"/>
      <c r="VPA162" s="1181"/>
      <c r="VPB162" s="1181"/>
      <c r="VPC162" s="1181"/>
      <c r="VPD162" s="1181"/>
      <c r="VPE162" s="1181"/>
      <c r="VPF162" s="1181"/>
      <c r="VPG162" s="1181"/>
      <c r="VPH162" s="1181"/>
      <c r="VPI162" s="1181"/>
      <c r="VPJ162" s="1181"/>
      <c r="VPK162" s="1181"/>
      <c r="VPL162" s="1181"/>
      <c r="VPM162" s="1181"/>
      <c r="VPN162" s="1181"/>
      <c r="VPO162" s="1181"/>
      <c r="VPP162" s="1181"/>
      <c r="VPQ162" s="1181"/>
      <c r="VPR162" s="1181"/>
      <c r="VPS162" s="1181"/>
      <c r="VPT162" s="1181"/>
      <c r="VPU162" s="1181"/>
      <c r="VPV162" s="1181"/>
      <c r="VPW162" s="1181"/>
      <c r="VPX162" s="1181"/>
      <c r="VPY162" s="1181"/>
      <c r="VPZ162" s="1181"/>
      <c r="VQA162" s="1181"/>
      <c r="VQB162" s="1181"/>
      <c r="VQC162" s="1181"/>
      <c r="VQD162" s="1181"/>
      <c r="VQE162" s="1181"/>
      <c r="VQF162" s="1181"/>
      <c r="VQG162" s="1181"/>
      <c r="VQH162" s="1181"/>
      <c r="VQI162" s="1181"/>
      <c r="VQJ162" s="1181"/>
      <c r="VQK162" s="1181"/>
      <c r="VQL162" s="1181"/>
      <c r="VQM162" s="1181"/>
      <c r="VQN162" s="1181"/>
      <c r="VQO162" s="1181"/>
      <c r="VQP162" s="1181"/>
      <c r="VQQ162" s="1181"/>
      <c r="VQR162" s="1181"/>
      <c r="VQS162" s="1181"/>
      <c r="VQT162" s="1181"/>
      <c r="VQU162" s="1181"/>
      <c r="VQV162" s="1181"/>
      <c r="VQW162" s="1181"/>
      <c r="VQX162" s="1181"/>
      <c r="VQY162" s="1181"/>
      <c r="VQZ162" s="1181"/>
      <c r="VRA162" s="1181"/>
      <c r="VRB162" s="1181"/>
      <c r="VRC162" s="1181"/>
      <c r="VRD162" s="1181"/>
      <c r="VRE162" s="1181"/>
      <c r="VRF162" s="1181"/>
      <c r="VRG162" s="1181"/>
      <c r="VRH162" s="1181"/>
      <c r="VRI162" s="1181"/>
      <c r="VRJ162" s="1181"/>
      <c r="VRK162" s="1181"/>
      <c r="VRL162" s="1181"/>
      <c r="VRM162" s="1181"/>
      <c r="VRN162" s="1181"/>
      <c r="VRO162" s="1181"/>
      <c r="VRP162" s="1181"/>
      <c r="VRQ162" s="1181"/>
      <c r="VRR162" s="1181"/>
      <c r="VRS162" s="1181"/>
      <c r="VRT162" s="1181"/>
      <c r="VRU162" s="1181"/>
      <c r="VRV162" s="1181"/>
      <c r="VRW162" s="1181"/>
      <c r="VRX162" s="1181"/>
      <c r="VRY162" s="1181"/>
      <c r="VRZ162" s="1181"/>
      <c r="VSA162" s="1181"/>
      <c r="VSB162" s="1181"/>
      <c r="VSC162" s="1181"/>
      <c r="VSD162" s="1181"/>
      <c r="VSE162" s="1181"/>
      <c r="VSF162" s="1181"/>
      <c r="VSG162" s="1181"/>
      <c r="VSH162" s="1181"/>
      <c r="VSI162" s="1181"/>
      <c r="VSJ162" s="1181"/>
      <c r="VSK162" s="1181"/>
      <c r="VSL162" s="1181"/>
      <c r="VSM162" s="1181"/>
      <c r="VSN162" s="1181"/>
      <c r="VSO162" s="1181"/>
      <c r="VSP162" s="1181"/>
      <c r="VSQ162" s="1181"/>
      <c r="VSR162" s="1181"/>
      <c r="VSS162" s="1181"/>
      <c r="VST162" s="1181"/>
      <c r="VSU162" s="1181"/>
      <c r="VSV162" s="1181"/>
      <c r="VSW162" s="1181"/>
      <c r="VSX162" s="1181"/>
      <c r="VSY162" s="1181"/>
      <c r="VSZ162" s="1181"/>
      <c r="VTA162" s="1181"/>
      <c r="VTB162" s="1181"/>
      <c r="VTC162" s="1181"/>
      <c r="VTD162" s="1181"/>
      <c r="VTE162" s="1181"/>
      <c r="VTF162" s="1181"/>
      <c r="VTG162" s="1181"/>
      <c r="VTH162" s="1181"/>
      <c r="VTI162" s="1181"/>
      <c r="VTJ162" s="1181"/>
      <c r="VTK162" s="1181"/>
      <c r="VTL162" s="1181"/>
      <c r="VTM162" s="1181"/>
      <c r="VTN162" s="1181"/>
      <c r="VTO162" s="1181"/>
      <c r="VTP162" s="1181"/>
      <c r="VTQ162" s="1181"/>
      <c r="VTR162" s="1181"/>
      <c r="VTS162" s="1181"/>
      <c r="VTT162" s="1181"/>
      <c r="VTU162" s="1181"/>
      <c r="VTV162" s="1181"/>
      <c r="VTW162" s="1181"/>
      <c r="VTX162" s="1181"/>
      <c r="VTY162" s="1181"/>
      <c r="VTZ162" s="1181"/>
      <c r="VUA162" s="1181"/>
      <c r="VUB162" s="1181"/>
      <c r="VUC162" s="1181"/>
      <c r="VUD162" s="1181"/>
      <c r="VUE162" s="1181"/>
      <c r="VUF162" s="1181"/>
      <c r="VUG162" s="1181"/>
      <c r="VUH162" s="1181"/>
      <c r="VUI162" s="1181"/>
      <c r="VUJ162" s="1181"/>
      <c r="VUK162" s="1181"/>
      <c r="VUL162" s="1181"/>
      <c r="VUM162" s="1181"/>
      <c r="VUN162" s="1181"/>
      <c r="VUO162" s="1181"/>
      <c r="VUP162" s="1181"/>
      <c r="VUQ162" s="1181"/>
      <c r="VUR162" s="1181"/>
      <c r="VUS162" s="1181"/>
      <c r="VUT162" s="1181"/>
      <c r="VUU162" s="1181"/>
      <c r="VUV162" s="1181"/>
      <c r="VUW162" s="1181"/>
      <c r="VUX162" s="1181"/>
      <c r="VUY162" s="1181"/>
      <c r="VUZ162" s="1181"/>
      <c r="VVA162" s="1181"/>
      <c r="VVB162" s="1181"/>
      <c r="VVC162" s="1181"/>
      <c r="VVD162" s="1181"/>
      <c r="VVE162" s="1181"/>
      <c r="VVF162" s="1181"/>
      <c r="VVG162" s="1181"/>
      <c r="VVH162" s="1181"/>
      <c r="VVI162" s="1181"/>
      <c r="VVJ162" s="1181"/>
      <c r="VVK162" s="1181"/>
      <c r="VVL162" s="1181"/>
      <c r="VVM162" s="1181"/>
      <c r="VVN162" s="1181"/>
      <c r="VVO162" s="1181"/>
      <c r="VVP162" s="1181"/>
      <c r="VVQ162" s="1181"/>
      <c r="VVR162" s="1181"/>
      <c r="VVS162" s="1181"/>
      <c r="VVT162" s="1181"/>
      <c r="VVU162" s="1181"/>
      <c r="VVV162" s="1181"/>
      <c r="VVW162" s="1181"/>
      <c r="VVX162" s="1181"/>
      <c r="VVY162" s="1181"/>
      <c r="VVZ162" s="1181"/>
      <c r="VWA162" s="1181"/>
      <c r="VWB162" s="1181"/>
      <c r="VWC162" s="1181"/>
      <c r="VWD162" s="1181"/>
      <c r="VWE162" s="1181"/>
      <c r="VWF162" s="1181"/>
      <c r="VWG162" s="1181"/>
      <c r="VWH162" s="1181"/>
      <c r="VWI162" s="1181"/>
      <c r="VWJ162" s="1181"/>
      <c r="VWK162" s="1181"/>
      <c r="VWL162" s="1181"/>
      <c r="VWM162" s="1181"/>
      <c r="VWN162" s="1181"/>
      <c r="VWO162" s="1181"/>
      <c r="VWP162" s="1181"/>
      <c r="VWQ162" s="1181"/>
      <c r="VWR162" s="1181"/>
      <c r="VWS162" s="1181"/>
      <c r="VWT162" s="1181"/>
      <c r="VWU162" s="1181"/>
      <c r="VWV162" s="1181"/>
      <c r="VWW162" s="1181"/>
      <c r="VWX162" s="1181"/>
      <c r="VWY162" s="1181"/>
      <c r="VWZ162" s="1181"/>
      <c r="VXA162" s="1181"/>
      <c r="VXB162" s="1181"/>
      <c r="VXC162" s="1181"/>
      <c r="VXD162" s="1181"/>
      <c r="VXE162" s="1181"/>
      <c r="VXF162" s="1181"/>
      <c r="VXG162" s="1181"/>
      <c r="VXH162" s="1181"/>
      <c r="VXI162" s="1181"/>
      <c r="VXJ162" s="1181"/>
      <c r="VXK162" s="1181"/>
      <c r="VXL162" s="1181"/>
      <c r="VXM162" s="1181"/>
      <c r="VXN162" s="1181"/>
      <c r="VXO162" s="1181"/>
      <c r="VXP162" s="1181"/>
      <c r="VXQ162" s="1181"/>
      <c r="VXR162" s="1181"/>
      <c r="VXS162" s="1181"/>
      <c r="VXT162" s="1181"/>
      <c r="VXU162" s="1181"/>
      <c r="VXV162" s="1181"/>
      <c r="VXW162" s="1181"/>
      <c r="VXX162" s="1181"/>
      <c r="VXY162" s="1181"/>
      <c r="VXZ162" s="1181"/>
      <c r="VYA162" s="1181"/>
      <c r="VYB162" s="1181"/>
      <c r="VYC162" s="1181"/>
      <c r="VYD162" s="1181"/>
      <c r="VYE162" s="1181"/>
      <c r="VYF162" s="1181"/>
      <c r="VYG162" s="1181"/>
      <c r="VYH162" s="1181"/>
      <c r="VYI162" s="1181"/>
      <c r="VYJ162" s="1181"/>
      <c r="VYK162" s="1181"/>
      <c r="VYL162" s="1181"/>
      <c r="VYM162" s="1181"/>
      <c r="VYN162" s="1181"/>
      <c r="VYO162" s="1181"/>
      <c r="VYP162" s="1181"/>
      <c r="VYQ162" s="1181"/>
      <c r="VYR162" s="1181"/>
      <c r="VYS162" s="1181"/>
      <c r="VYT162" s="1181"/>
      <c r="VYU162" s="1181"/>
      <c r="VYV162" s="1181"/>
      <c r="VYW162" s="1181"/>
      <c r="VYX162" s="1181"/>
      <c r="VYY162" s="1181"/>
      <c r="VYZ162" s="1181"/>
      <c r="VZA162" s="1181"/>
      <c r="VZB162" s="1181"/>
      <c r="VZC162" s="1181"/>
      <c r="VZD162" s="1181"/>
      <c r="VZE162" s="1181"/>
      <c r="VZF162" s="1181"/>
      <c r="VZG162" s="1181"/>
      <c r="VZH162" s="1181"/>
      <c r="VZI162" s="1181"/>
      <c r="VZJ162" s="1181"/>
      <c r="VZK162" s="1181"/>
      <c r="VZL162" s="1181"/>
      <c r="VZM162" s="1181"/>
      <c r="VZN162" s="1181"/>
      <c r="VZO162" s="1181"/>
      <c r="VZP162" s="1181"/>
      <c r="VZQ162" s="1181"/>
      <c r="VZR162" s="1181"/>
      <c r="VZS162" s="1181"/>
      <c r="VZT162" s="1181"/>
      <c r="VZU162" s="1181"/>
      <c r="VZV162" s="1181"/>
      <c r="VZW162" s="1181"/>
      <c r="VZX162" s="1181"/>
      <c r="VZY162" s="1181"/>
      <c r="VZZ162" s="1181"/>
      <c r="WAA162" s="1181"/>
      <c r="WAB162" s="1181"/>
      <c r="WAC162" s="1181"/>
      <c r="WAD162" s="1181"/>
      <c r="WAE162" s="1181"/>
      <c r="WAF162" s="1181"/>
      <c r="WAG162" s="1181"/>
      <c r="WAH162" s="1181"/>
      <c r="WAI162" s="1181"/>
      <c r="WAJ162" s="1181"/>
      <c r="WAK162" s="1181"/>
      <c r="WAL162" s="1181"/>
      <c r="WAM162" s="1181"/>
      <c r="WAN162" s="1181"/>
      <c r="WAO162" s="1181"/>
      <c r="WAP162" s="1181"/>
      <c r="WAQ162" s="1181"/>
      <c r="WAR162" s="1181"/>
      <c r="WAS162" s="1181"/>
      <c r="WAT162" s="1181"/>
      <c r="WAU162" s="1181"/>
      <c r="WAV162" s="1181"/>
      <c r="WAW162" s="1181"/>
      <c r="WAX162" s="1181"/>
      <c r="WAY162" s="1181"/>
      <c r="WAZ162" s="1181"/>
      <c r="WBA162" s="1181"/>
      <c r="WBB162" s="1181"/>
      <c r="WBC162" s="1181"/>
      <c r="WBD162" s="1181"/>
      <c r="WBE162" s="1181"/>
      <c r="WBF162" s="1181"/>
      <c r="WBG162" s="1181"/>
      <c r="WBH162" s="1181"/>
      <c r="WBI162" s="1181"/>
      <c r="WBJ162" s="1181"/>
      <c r="WBK162" s="1181"/>
      <c r="WBL162" s="1181"/>
      <c r="WBM162" s="1181"/>
      <c r="WBN162" s="1181"/>
      <c r="WBO162" s="1181"/>
      <c r="WBP162" s="1181"/>
      <c r="WBQ162" s="1181"/>
      <c r="WBR162" s="1181"/>
      <c r="WBS162" s="1181"/>
      <c r="WBT162" s="1181"/>
      <c r="WBU162" s="1181"/>
      <c r="WBV162" s="1181"/>
      <c r="WBW162" s="1181"/>
      <c r="WBX162" s="1181"/>
      <c r="WBY162" s="1181"/>
      <c r="WBZ162" s="1181"/>
      <c r="WCA162" s="1181"/>
      <c r="WCB162" s="1181"/>
      <c r="WCC162" s="1181"/>
      <c r="WCD162" s="1181"/>
      <c r="WCE162" s="1181"/>
      <c r="WCF162" s="1181"/>
      <c r="WCG162" s="1181"/>
      <c r="WCH162" s="1181"/>
      <c r="WCI162" s="1181"/>
      <c r="WCJ162" s="1181"/>
      <c r="WCK162" s="1181"/>
      <c r="WCL162" s="1181"/>
      <c r="WCM162" s="1181"/>
      <c r="WCN162" s="1181"/>
      <c r="WCO162" s="1181"/>
      <c r="WCP162" s="1181"/>
      <c r="WCQ162" s="1181"/>
      <c r="WCR162" s="1181"/>
      <c r="WCS162" s="1181"/>
      <c r="WCT162" s="1181"/>
      <c r="WCU162" s="1181"/>
      <c r="WCV162" s="1181"/>
      <c r="WCW162" s="1181"/>
      <c r="WCX162" s="1181"/>
      <c r="WCY162" s="1181"/>
      <c r="WCZ162" s="1181"/>
      <c r="WDA162" s="1181"/>
      <c r="WDB162" s="1181"/>
      <c r="WDC162" s="1181"/>
      <c r="WDD162" s="1181"/>
      <c r="WDE162" s="1181"/>
      <c r="WDF162" s="1181"/>
      <c r="WDG162" s="1181"/>
      <c r="WDH162" s="1181"/>
      <c r="WDI162" s="1181"/>
      <c r="WDJ162" s="1181"/>
      <c r="WDK162" s="1181"/>
      <c r="WDL162" s="1181"/>
      <c r="WDM162" s="1181"/>
      <c r="WDN162" s="1181"/>
      <c r="WDO162" s="1181"/>
      <c r="WDP162" s="1181"/>
      <c r="WDQ162" s="1181"/>
      <c r="WDR162" s="1181"/>
      <c r="WDS162" s="1181"/>
      <c r="WDT162" s="1181"/>
      <c r="WDU162" s="1181"/>
      <c r="WDV162" s="1181"/>
      <c r="WDW162" s="1181"/>
      <c r="WDX162" s="1181"/>
      <c r="WDY162" s="1181"/>
      <c r="WDZ162" s="1181"/>
      <c r="WEA162" s="1181"/>
      <c r="WEB162" s="1181"/>
      <c r="WEC162" s="1181"/>
      <c r="WED162" s="1181"/>
      <c r="WEE162" s="1181"/>
      <c r="WEF162" s="1181"/>
      <c r="WEG162" s="1181"/>
      <c r="WEH162" s="1181"/>
      <c r="WEI162" s="1181"/>
      <c r="WEJ162" s="1181"/>
      <c r="WEK162" s="1181"/>
      <c r="WEL162" s="1181"/>
      <c r="WEM162" s="1181"/>
      <c r="WEN162" s="1181"/>
      <c r="WEO162" s="1181"/>
      <c r="WEP162" s="1181"/>
      <c r="WEQ162" s="1181"/>
      <c r="WER162" s="1181"/>
      <c r="WES162" s="1181"/>
      <c r="WET162" s="1181"/>
      <c r="WEU162" s="1181"/>
      <c r="WEV162" s="1181"/>
      <c r="WEW162" s="1181"/>
      <c r="WEX162" s="1181"/>
      <c r="WEY162" s="1181"/>
      <c r="WEZ162" s="1181"/>
      <c r="WFA162" s="1181"/>
      <c r="WFB162" s="1181"/>
      <c r="WFC162" s="1181"/>
      <c r="WFD162" s="1181"/>
      <c r="WFE162" s="1181"/>
      <c r="WFF162" s="1181"/>
      <c r="WFG162" s="1181"/>
      <c r="WFH162" s="1181"/>
      <c r="WFI162" s="1181"/>
      <c r="WFJ162" s="1181"/>
      <c r="WFK162" s="1181"/>
      <c r="WFL162" s="1181"/>
      <c r="WFM162" s="1181"/>
      <c r="WFN162" s="1181"/>
      <c r="WFO162" s="1181"/>
      <c r="WFP162" s="1181"/>
      <c r="WFQ162" s="1181"/>
      <c r="WFR162" s="1181"/>
      <c r="WFS162" s="1181"/>
      <c r="WFT162" s="1181"/>
      <c r="WFU162" s="1181"/>
      <c r="WFV162" s="1181"/>
      <c r="WFW162" s="1181"/>
      <c r="WFX162" s="1181"/>
      <c r="WFY162" s="1181"/>
      <c r="WFZ162" s="1181"/>
      <c r="WGA162" s="1181"/>
      <c r="WGB162" s="1181"/>
      <c r="WGC162" s="1181"/>
      <c r="WGD162" s="1181"/>
      <c r="WGE162" s="1181"/>
      <c r="WGF162" s="1181"/>
      <c r="WGG162" s="1181"/>
      <c r="WGH162" s="1181"/>
      <c r="WGI162" s="1181"/>
      <c r="WGJ162" s="1181"/>
      <c r="WGK162" s="1181"/>
      <c r="WGL162" s="1181"/>
      <c r="WGM162" s="1181"/>
      <c r="WGN162" s="1181"/>
      <c r="WGO162" s="1181"/>
      <c r="WGP162" s="1181"/>
      <c r="WGQ162" s="1181"/>
      <c r="WGR162" s="1181"/>
      <c r="WGS162" s="1181"/>
      <c r="WGT162" s="1181"/>
      <c r="WGU162" s="1181"/>
      <c r="WGV162" s="1181"/>
      <c r="WGW162" s="1181"/>
      <c r="WGX162" s="1181"/>
      <c r="WGY162" s="1181"/>
      <c r="WGZ162" s="1181"/>
      <c r="WHA162" s="1181"/>
      <c r="WHB162" s="1181"/>
      <c r="WHC162" s="1181"/>
      <c r="WHD162" s="1181"/>
      <c r="WHE162" s="1181"/>
      <c r="WHF162" s="1181"/>
      <c r="WHG162" s="1181"/>
      <c r="WHH162" s="1181"/>
      <c r="WHI162" s="1181"/>
      <c r="WHJ162" s="1181"/>
      <c r="WHK162" s="1181"/>
      <c r="WHL162" s="1181"/>
      <c r="WHM162" s="1181"/>
      <c r="WHN162" s="1181"/>
      <c r="WHO162" s="1181"/>
      <c r="WHP162" s="1181"/>
      <c r="WHQ162" s="1181"/>
      <c r="WHR162" s="1181"/>
      <c r="WHS162" s="1181"/>
      <c r="WHT162" s="1181"/>
      <c r="WHU162" s="1181"/>
      <c r="WHV162" s="1181"/>
      <c r="WHW162" s="1181"/>
      <c r="WHX162" s="1181"/>
      <c r="WHY162" s="1181"/>
      <c r="WHZ162" s="1181"/>
      <c r="WIA162" s="1181"/>
      <c r="WIB162" s="1181"/>
      <c r="WIC162" s="1181"/>
      <c r="WID162" s="1181"/>
      <c r="WIE162" s="1181"/>
      <c r="WIF162" s="1181"/>
      <c r="WIG162" s="1181"/>
      <c r="WIH162" s="1181"/>
      <c r="WII162" s="1181"/>
      <c r="WIJ162" s="1181"/>
      <c r="WIK162" s="1181"/>
      <c r="WIL162" s="1181"/>
      <c r="WIM162" s="1181"/>
      <c r="WIN162" s="1181"/>
      <c r="WIO162" s="1181"/>
      <c r="WIP162" s="1181"/>
      <c r="WIQ162" s="1181"/>
      <c r="WIR162" s="1181"/>
      <c r="WIS162" s="1181"/>
      <c r="WIT162" s="1181"/>
      <c r="WIU162" s="1181"/>
      <c r="WIV162" s="1181"/>
      <c r="WIW162" s="1181"/>
      <c r="WIX162" s="1181"/>
      <c r="WIY162" s="1181"/>
      <c r="WIZ162" s="1181"/>
      <c r="WJA162" s="1181"/>
      <c r="WJB162" s="1181"/>
      <c r="WJC162" s="1181"/>
      <c r="WJD162" s="1181"/>
      <c r="WJE162" s="1181"/>
      <c r="WJF162" s="1181"/>
      <c r="WJG162" s="1181"/>
      <c r="WJH162" s="1181"/>
      <c r="WJI162" s="1181"/>
      <c r="WJJ162" s="1181"/>
      <c r="WJK162" s="1181"/>
      <c r="WJL162" s="1181"/>
      <c r="WJM162" s="1181"/>
      <c r="WJN162" s="1181"/>
      <c r="WJO162" s="1181"/>
      <c r="WJP162" s="1181"/>
      <c r="WJQ162" s="1181"/>
      <c r="WJR162" s="1181"/>
      <c r="WJS162" s="1181"/>
      <c r="WJT162" s="1181"/>
      <c r="WJU162" s="1181"/>
      <c r="WJV162" s="1181"/>
      <c r="WJW162" s="1181"/>
      <c r="WJX162" s="1181"/>
      <c r="WJY162" s="1181"/>
      <c r="WJZ162" s="1181"/>
      <c r="WKA162" s="1181"/>
      <c r="WKB162" s="1181"/>
      <c r="WKC162" s="1181"/>
      <c r="WKD162" s="1181"/>
      <c r="WKE162" s="1181"/>
      <c r="WKF162" s="1181"/>
      <c r="WKG162" s="1181"/>
      <c r="WKH162" s="1181"/>
      <c r="WKI162" s="1181"/>
      <c r="WKJ162" s="1181"/>
      <c r="WKK162" s="1181"/>
      <c r="WKL162" s="1181"/>
      <c r="WKM162" s="1181"/>
      <c r="WKN162" s="1181"/>
      <c r="WKO162" s="1181"/>
      <c r="WKP162" s="1181"/>
      <c r="WKQ162" s="1181"/>
      <c r="WKR162" s="1181"/>
      <c r="WKS162" s="1181"/>
      <c r="WKT162" s="1181"/>
      <c r="WKU162" s="1181"/>
      <c r="WKV162" s="1181"/>
      <c r="WKW162" s="1181"/>
      <c r="WKX162" s="1181"/>
      <c r="WKY162" s="1181"/>
      <c r="WKZ162" s="1181"/>
      <c r="WLA162" s="1181"/>
      <c r="WLB162" s="1181"/>
      <c r="WLC162" s="1181"/>
      <c r="WLD162" s="1181"/>
      <c r="WLE162" s="1181"/>
      <c r="WLF162" s="1181"/>
      <c r="WLG162" s="1181"/>
      <c r="WLH162" s="1181"/>
      <c r="WLI162" s="1181"/>
      <c r="WLJ162" s="1181"/>
      <c r="WLK162" s="1181"/>
      <c r="WLL162" s="1181"/>
      <c r="WLM162" s="1181"/>
      <c r="WLN162" s="1181"/>
      <c r="WLO162" s="1181"/>
      <c r="WLP162" s="1181"/>
      <c r="WLQ162" s="1181"/>
      <c r="WLR162" s="1181"/>
      <c r="WLS162" s="1181"/>
      <c r="WLT162" s="1181"/>
      <c r="WLU162" s="1181"/>
      <c r="WLV162" s="1181"/>
      <c r="WLW162" s="1181"/>
      <c r="WLX162" s="1181"/>
      <c r="WLY162" s="1181"/>
      <c r="WLZ162" s="1181"/>
      <c r="WMA162" s="1181"/>
      <c r="WMB162" s="1181"/>
      <c r="WMC162" s="1181"/>
      <c r="WMD162" s="1181"/>
      <c r="WME162" s="1181"/>
      <c r="WMF162" s="1181"/>
      <c r="WMG162" s="1181"/>
      <c r="WMH162" s="1181"/>
      <c r="WMI162" s="1181"/>
      <c r="WMJ162" s="1181"/>
      <c r="WMK162" s="1181"/>
      <c r="WML162" s="1181"/>
      <c r="WMM162" s="1181"/>
      <c r="WMN162" s="1181"/>
      <c r="WMO162" s="1181"/>
      <c r="WMP162" s="1181"/>
      <c r="WMQ162" s="1181"/>
      <c r="WMR162" s="1181"/>
      <c r="WMS162" s="1181"/>
      <c r="WMT162" s="1181"/>
      <c r="WMU162" s="1181"/>
      <c r="WMV162" s="1181"/>
      <c r="WMW162" s="1181"/>
      <c r="WMX162" s="1181"/>
      <c r="WMY162" s="1181"/>
      <c r="WMZ162" s="1181"/>
      <c r="WNA162" s="1181"/>
      <c r="WNB162" s="1181"/>
      <c r="WNC162" s="1181"/>
      <c r="WND162" s="1181"/>
      <c r="WNE162" s="1181"/>
      <c r="WNF162" s="1181"/>
      <c r="WNG162" s="1181"/>
      <c r="WNH162" s="1181"/>
      <c r="WNI162" s="1181"/>
      <c r="WNJ162" s="1181"/>
      <c r="WNK162" s="1181"/>
      <c r="WNL162" s="1181"/>
      <c r="WNM162" s="1181"/>
      <c r="WNN162" s="1181"/>
      <c r="WNO162" s="1181"/>
      <c r="WNP162" s="1181"/>
      <c r="WNQ162" s="1181"/>
      <c r="WNR162" s="1181"/>
      <c r="WNS162" s="1181"/>
      <c r="WNT162" s="1181"/>
      <c r="WNU162" s="1181"/>
      <c r="WNV162" s="1181"/>
      <c r="WNW162" s="1181"/>
      <c r="WNX162" s="1181"/>
      <c r="WNY162" s="1181"/>
      <c r="WNZ162" s="1181"/>
      <c r="WOA162" s="1181"/>
      <c r="WOB162" s="1181"/>
      <c r="WOC162" s="1181"/>
      <c r="WOD162" s="1181"/>
      <c r="WOE162" s="1181"/>
      <c r="WOF162" s="1181"/>
      <c r="WOG162" s="1181"/>
      <c r="WOH162" s="1181"/>
      <c r="WOI162" s="1181"/>
      <c r="WOJ162" s="1181"/>
      <c r="WOK162" s="1181"/>
      <c r="WOL162" s="1181"/>
      <c r="WOM162" s="1181"/>
      <c r="WON162" s="1181"/>
      <c r="WOO162" s="1181"/>
      <c r="WOP162" s="1181"/>
      <c r="WOQ162" s="1181"/>
      <c r="WOR162" s="1181"/>
      <c r="WOS162" s="1181"/>
      <c r="WOT162" s="1181"/>
      <c r="WOU162" s="1181"/>
      <c r="WOV162" s="1181"/>
      <c r="WOW162" s="1181"/>
      <c r="WOX162" s="1181"/>
      <c r="WOY162" s="1181"/>
      <c r="WOZ162" s="1181"/>
      <c r="WPA162" s="1181"/>
      <c r="WPB162" s="1181"/>
      <c r="WPC162" s="1181"/>
      <c r="WPD162" s="1181"/>
      <c r="WPE162" s="1181"/>
      <c r="WPF162" s="1181"/>
      <c r="WPG162" s="1181"/>
      <c r="WPH162" s="1181"/>
      <c r="WPI162" s="1181"/>
      <c r="WPJ162" s="1181"/>
      <c r="WPK162" s="1181"/>
      <c r="WPL162" s="1181"/>
      <c r="WPM162" s="1181"/>
      <c r="WPN162" s="1181"/>
      <c r="WPO162" s="1181"/>
      <c r="WPP162" s="1181"/>
      <c r="WPQ162" s="1181"/>
      <c r="WPR162" s="1181"/>
      <c r="WPS162" s="1181"/>
      <c r="WPT162" s="1181"/>
      <c r="WPU162" s="1181"/>
      <c r="WPV162" s="1181"/>
      <c r="WPW162" s="1181"/>
      <c r="WPX162" s="1181"/>
      <c r="WPY162" s="1181"/>
      <c r="WPZ162" s="1181"/>
      <c r="WQA162" s="1181"/>
      <c r="WQB162" s="1181"/>
      <c r="WQC162" s="1181"/>
      <c r="WQD162" s="1181"/>
      <c r="WQE162" s="1181"/>
      <c r="WQF162" s="1181"/>
      <c r="WQG162" s="1181"/>
      <c r="WQH162" s="1181"/>
      <c r="WQI162" s="1181"/>
      <c r="WQJ162" s="1181"/>
      <c r="WQK162" s="1181"/>
      <c r="WQL162" s="1181"/>
      <c r="WQM162" s="1181"/>
      <c r="WQN162" s="1181"/>
      <c r="WQO162" s="1181"/>
      <c r="WQP162" s="1181"/>
      <c r="WQQ162" s="1181"/>
      <c r="WQR162" s="1181"/>
      <c r="WQS162" s="1181"/>
      <c r="WQT162" s="1181"/>
      <c r="WQU162" s="1181"/>
      <c r="WQV162" s="1181"/>
      <c r="WQW162" s="1181"/>
      <c r="WQX162" s="1181"/>
      <c r="WQY162" s="1181"/>
      <c r="WQZ162" s="1181"/>
      <c r="WRA162" s="1181"/>
      <c r="WRB162" s="1181"/>
      <c r="WRC162" s="1181"/>
      <c r="WRD162" s="1181"/>
      <c r="WRE162" s="1181"/>
      <c r="WRF162" s="1181"/>
      <c r="WRG162" s="1181"/>
      <c r="WRH162" s="1181"/>
      <c r="WRI162" s="1181"/>
      <c r="WRJ162" s="1181"/>
      <c r="WRK162" s="1181"/>
      <c r="WRL162" s="1181"/>
      <c r="WRM162" s="1181"/>
      <c r="WRN162" s="1181"/>
      <c r="WRO162" s="1181"/>
      <c r="WRP162" s="1181"/>
      <c r="WRQ162" s="1181"/>
      <c r="WRR162" s="1181"/>
      <c r="WRS162" s="1181"/>
      <c r="WRT162" s="1181"/>
      <c r="WRU162" s="1181"/>
      <c r="WRV162" s="1181"/>
      <c r="WRW162" s="1181"/>
      <c r="WRX162" s="1181"/>
      <c r="WRY162" s="1181"/>
      <c r="WRZ162" s="1181"/>
      <c r="WSA162" s="1181"/>
      <c r="WSB162" s="1181"/>
      <c r="WSC162" s="1181"/>
      <c r="WSD162" s="1181"/>
      <c r="WSE162" s="1181"/>
      <c r="WSF162" s="1181"/>
      <c r="WSG162" s="1181"/>
      <c r="WSH162" s="1181"/>
      <c r="WSI162" s="1181"/>
      <c r="WSJ162" s="1181"/>
      <c r="WSK162" s="1181"/>
      <c r="WSL162" s="1181"/>
      <c r="WSM162" s="1181"/>
      <c r="WSN162" s="1181"/>
      <c r="WSO162" s="1181"/>
      <c r="WSP162" s="1181"/>
      <c r="WSQ162" s="1181"/>
      <c r="WSR162" s="1181"/>
      <c r="WSS162" s="1181"/>
      <c r="WST162" s="1181"/>
      <c r="WSU162" s="1181"/>
      <c r="WSV162" s="1181"/>
      <c r="WSW162" s="1181"/>
      <c r="WSX162" s="1181"/>
      <c r="WSY162" s="1181"/>
      <c r="WSZ162" s="1181"/>
      <c r="WTA162" s="1181"/>
      <c r="WTB162" s="1181"/>
      <c r="WTC162" s="1181"/>
      <c r="WTD162" s="1181"/>
      <c r="WTE162" s="1181"/>
      <c r="WTF162" s="1181"/>
      <c r="WTG162" s="1181"/>
      <c r="WTH162" s="1181"/>
      <c r="WTI162" s="1181"/>
      <c r="WTJ162" s="1181"/>
      <c r="WTK162" s="1181"/>
      <c r="WTL162" s="1181"/>
      <c r="WTM162" s="1181"/>
      <c r="WTN162" s="1181"/>
      <c r="WTO162" s="1181"/>
      <c r="WTP162" s="1181"/>
      <c r="WTQ162" s="1181"/>
      <c r="WTR162" s="1181"/>
      <c r="WTS162" s="1181"/>
      <c r="WTT162" s="1181"/>
      <c r="WTU162" s="1181"/>
      <c r="WTV162" s="1181"/>
      <c r="WTW162" s="1181"/>
      <c r="WTX162" s="1181"/>
      <c r="WTY162" s="1181"/>
      <c r="WTZ162" s="1181"/>
      <c r="WUA162" s="1181"/>
      <c r="WUB162" s="1181"/>
      <c r="WUC162" s="1181"/>
      <c r="WUD162" s="1181"/>
      <c r="WUE162" s="1181"/>
      <c r="WUF162" s="1181"/>
      <c r="WUG162" s="1181"/>
      <c r="WUH162" s="1181"/>
      <c r="WUI162" s="1181"/>
      <c r="WUJ162" s="1181"/>
      <c r="WUK162" s="1181"/>
      <c r="WUL162" s="1181"/>
      <c r="WUM162" s="1181"/>
      <c r="WUN162" s="1181"/>
      <c r="WUO162" s="1181"/>
      <c r="WUP162" s="1181"/>
      <c r="WUQ162" s="1181"/>
      <c r="WUR162" s="1181"/>
      <c r="WUS162" s="1181"/>
      <c r="WUT162" s="1181"/>
      <c r="WUU162" s="1181"/>
      <c r="WUV162" s="1181"/>
      <c r="WUW162" s="1181"/>
      <c r="WUX162" s="1181"/>
      <c r="WUY162" s="1181"/>
      <c r="WUZ162" s="1181"/>
      <c r="WVA162" s="1181"/>
      <c r="WVB162" s="1181"/>
      <c r="WVC162" s="1181"/>
      <c r="WVD162" s="1181"/>
      <c r="WVE162" s="1181"/>
      <c r="WVF162" s="1181"/>
      <c r="WVG162" s="1181"/>
      <c r="WVH162" s="1181"/>
      <c r="WVI162" s="1181"/>
      <c r="WVJ162" s="1181"/>
      <c r="WVK162" s="1181"/>
      <c r="WVL162" s="1181"/>
      <c r="WVM162" s="1181"/>
      <c r="WVN162" s="1181"/>
      <c r="WVO162" s="1181"/>
      <c r="WVP162" s="1181"/>
      <c r="WVQ162" s="1181"/>
      <c r="WVR162" s="1181"/>
      <c r="WVS162" s="1181"/>
      <c r="WVT162" s="1181"/>
      <c r="WVU162" s="1181"/>
      <c r="WVV162" s="1181"/>
      <c r="WVW162" s="1181"/>
      <c r="WVX162" s="1181"/>
      <c r="WVY162" s="1181"/>
      <c r="WVZ162" s="1181"/>
      <c r="WWA162" s="1181"/>
      <c r="WWB162" s="1181"/>
      <c r="WWC162" s="1181"/>
      <c r="WWD162" s="1181"/>
      <c r="WWE162" s="1181"/>
      <c r="WWF162" s="1181"/>
      <c r="WWG162" s="1181"/>
      <c r="WWH162" s="1181"/>
      <c r="WWI162" s="1181"/>
      <c r="WWJ162" s="1181"/>
      <c r="WWK162" s="1181"/>
      <c r="WWL162" s="1181"/>
      <c r="WWM162" s="1181"/>
      <c r="WWN162" s="1181"/>
      <c r="WWO162" s="1181"/>
      <c r="WWP162" s="1181"/>
      <c r="WWQ162" s="1181"/>
      <c r="WWR162" s="1181"/>
      <c r="WWS162" s="1181"/>
      <c r="WWT162" s="1181"/>
      <c r="WWU162" s="1181"/>
      <c r="WWV162" s="1181"/>
      <c r="WWW162" s="1181"/>
      <c r="WWX162" s="1181"/>
      <c r="WWY162" s="1181"/>
      <c r="WWZ162" s="1181"/>
      <c r="WXA162" s="1181"/>
      <c r="WXB162" s="1181"/>
      <c r="WXC162" s="1181"/>
      <c r="WXD162" s="1181"/>
      <c r="WXE162" s="1181"/>
      <c r="WXF162" s="1181"/>
      <c r="WXG162" s="1181"/>
      <c r="WXH162" s="1181"/>
      <c r="WXI162" s="1181"/>
      <c r="WXJ162" s="1181"/>
      <c r="WXK162" s="1181"/>
      <c r="WXL162" s="1181"/>
      <c r="WXM162" s="1181"/>
      <c r="WXN162" s="1181"/>
      <c r="WXO162" s="1181"/>
      <c r="WXP162" s="1181"/>
      <c r="WXQ162" s="1181"/>
      <c r="WXR162" s="1181"/>
      <c r="WXS162" s="1181"/>
      <c r="WXT162" s="1181"/>
      <c r="WXU162" s="1181"/>
      <c r="WXV162" s="1181"/>
      <c r="WXW162" s="1181"/>
      <c r="WXX162" s="1181"/>
      <c r="WXY162" s="1181"/>
      <c r="WXZ162" s="1181"/>
      <c r="WYA162" s="1181"/>
      <c r="WYB162" s="1181"/>
      <c r="WYC162" s="1181"/>
      <c r="WYD162" s="1181"/>
      <c r="WYE162" s="1181"/>
      <c r="WYF162" s="1181"/>
      <c r="WYG162" s="1181"/>
      <c r="WYH162" s="1181"/>
      <c r="WYI162" s="1181"/>
      <c r="WYJ162" s="1181"/>
      <c r="WYK162" s="1181"/>
      <c r="WYL162" s="1181"/>
      <c r="WYM162" s="1181"/>
      <c r="WYN162" s="1181"/>
      <c r="WYO162" s="1181"/>
      <c r="WYP162" s="1181"/>
      <c r="WYQ162" s="1181"/>
      <c r="WYR162" s="1181"/>
      <c r="WYS162" s="1181"/>
      <c r="WYT162" s="1181"/>
      <c r="WYU162" s="1181"/>
      <c r="WYV162" s="1181"/>
      <c r="WYW162" s="1181"/>
      <c r="WYX162" s="1181"/>
      <c r="WYY162" s="1181"/>
      <c r="WYZ162" s="1181"/>
      <c r="WZA162" s="1181"/>
      <c r="WZB162" s="1181"/>
      <c r="WZC162" s="1181"/>
      <c r="WZD162" s="1181"/>
      <c r="WZE162" s="1181"/>
      <c r="WZF162" s="1181"/>
      <c r="WZG162" s="1181"/>
      <c r="WZH162" s="1181"/>
      <c r="WZI162" s="1181"/>
      <c r="WZJ162" s="1181"/>
      <c r="WZK162" s="1181"/>
      <c r="WZL162" s="1181"/>
      <c r="WZM162" s="1181"/>
      <c r="WZN162" s="1181"/>
      <c r="WZO162" s="1181"/>
      <c r="WZP162" s="1181"/>
      <c r="WZQ162" s="1181"/>
      <c r="WZR162" s="1181"/>
      <c r="WZS162" s="1181"/>
      <c r="WZT162" s="1181"/>
      <c r="WZU162" s="1181"/>
      <c r="WZV162" s="1181"/>
      <c r="WZW162" s="1181"/>
      <c r="WZX162" s="1181"/>
      <c r="WZY162" s="1181"/>
      <c r="WZZ162" s="1181"/>
      <c r="XAA162" s="1181"/>
      <c r="XAB162" s="1181"/>
      <c r="XAC162" s="1181"/>
      <c r="XAD162" s="1181"/>
      <c r="XAE162" s="1181"/>
      <c r="XAF162" s="1181"/>
      <c r="XAG162" s="1181"/>
      <c r="XAH162" s="1181"/>
      <c r="XAI162" s="1181"/>
      <c r="XAJ162" s="1181"/>
      <c r="XAK162" s="1181"/>
      <c r="XAL162" s="1181"/>
      <c r="XAM162" s="1181"/>
      <c r="XAN162" s="1181"/>
      <c r="XAO162" s="1181"/>
      <c r="XAP162" s="1181"/>
      <c r="XAQ162" s="1181"/>
      <c r="XAR162" s="1181"/>
      <c r="XAS162" s="1181"/>
      <c r="XAT162" s="1181"/>
      <c r="XAU162" s="1181"/>
      <c r="XAV162" s="1181"/>
      <c r="XAW162" s="1181"/>
      <c r="XAX162" s="1181"/>
      <c r="XAY162" s="1181"/>
      <c r="XAZ162" s="1181"/>
      <c r="XBA162" s="1181"/>
      <c r="XBB162" s="1181"/>
      <c r="XBC162" s="1181"/>
      <c r="XBD162" s="1181"/>
      <c r="XBE162" s="1181"/>
      <c r="XBF162" s="1181"/>
      <c r="XBG162" s="1181"/>
      <c r="XBH162" s="1181"/>
      <c r="XBI162" s="1181"/>
      <c r="XBJ162" s="1181"/>
      <c r="XBK162" s="1181"/>
      <c r="XBL162" s="1181"/>
      <c r="XBM162" s="1181"/>
      <c r="XBN162" s="1181"/>
      <c r="XBO162" s="1181"/>
      <c r="XBP162" s="1181"/>
      <c r="XBQ162" s="1181"/>
      <c r="XBR162" s="1181"/>
      <c r="XBS162" s="1181"/>
      <c r="XBT162" s="1181"/>
      <c r="XBU162" s="1181"/>
      <c r="XBV162" s="1181"/>
      <c r="XBW162" s="1181"/>
      <c r="XBX162" s="1181"/>
      <c r="XBY162" s="1181"/>
      <c r="XBZ162" s="1181"/>
      <c r="XCA162" s="1181"/>
      <c r="XCB162" s="1181"/>
      <c r="XCC162" s="1181"/>
      <c r="XCD162" s="1181"/>
      <c r="XCE162" s="1181"/>
      <c r="XCF162" s="1181"/>
      <c r="XCG162" s="1181"/>
      <c r="XCH162" s="1181"/>
      <c r="XCI162" s="1181"/>
    </row>
  </sheetData>
  <protectedRanges>
    <protectedRange sqref="D19:E19 D17:E17" name="Rango1_3_2_1_1"/>
    <protectedRange sqref="F50" name="Rango1_1_1_1_1_1_2_2"/>
    <protectedRange sqref="F46:F49" name="Rango1_1_1_1_1_1_2_2_1_1"/>
  </protectedRanges>
  <mergeCells count="47">
    <mergeCell ref="E12:E13"/>
    <mergeCell ref="F12:F13"/>
    <mergeCell ref="G12:G13"/>
    <mergeCell ref="B2:E2"/>
    <mergeCell ref="B5:H5"/>
    <mergeCell ref="B6:H6"/>
    <mergeCell ref="B7:H7"/>
    <mergeCell ref="B8:H8"/>
    <mergeCell ref="B9:H11"/>
    <mergeCell ref="G23:G24"/>
    <mergeCell ref="H23:H24"/>
    <mergeCell ref="B26:H26"/>
    <mergeCell ref="H12:H13"/>
    <mergeCell ref="B15:H15"/>
    <mergeCell ref="B20:G20"/>
    <mergeCell ref="B21:G21"/>
    <mergeCell ref="B22:G22"/>
    <mergeCell ref="B23:B24"/>
    <mergeCell ref="C23:C25"/>
    <mergeCell ref="D23:D25"/>
    <mergeCell ref="E23:E24"/>
    <mergeCell ref="F23:F24"/>
    <mergeCell ref="B12:B13"/>
    <mergeCell ref="C12:C14"/>
    <mergeCell ref="D12:D13"/>
    <mergeCell ref="B37:C37"/>
    <mergeCell ref="B27:H27"/>
    <mergeCell ref="F28:G28"/>
    <mergeCell ref="B29:G29"/>
    <mergeCell ref="B30:G30"/>
    <mergeCell ref="B31:G31"/>
    <mergeCell ref="B32:G32"/>
    <mergeCell ref="B34:C34"/>
    <mergeCell ref="B35:C35"/>
    <mergeCell ref="B36:C36"/>
    <mergeCell ref="B50:H50"/>
    <mergeCell ref="B38:C38"/>
    <mergeCell ref="B39:C39"/>
    <mergeCell ref="B41:H41"/>
    <mergeCell ref="B42:H42"/>
    <mergeCell ref="B43:H43"/>
    <mergeCell ref="B44:H44"/>
    <mergeCell ref="B45:H45"/>
    <mergeCell ref="B46:H46"/>
    <mergeCell ref="B47:H47"/>
    <mergeCell ref="B48:H48"/>
    <mergeCell ref="B49:H49"/>
  </mergeCells>
  <conditionalFormatting sqref="B9 B17:C17 E17:H17 B19:C19 E19:H19 B23:H27 D28:E28 B28:B32 H28:H32">
    <cfRule type="containsBlanks" dxfId="116" priority="5">
      <formula>LEN(TRIM(B9))=0</formula>
    </cfRule>
  </conditionalFormatting>
  <conditionalFormatting sqref="B12:H15 B20:B22 H20:H22">
    <cfRule type="containsBlanks" dxfId="115" priority="6">
      <formula>LEN(TRIM(B12))=0</formula>
    </cfRule>
  </conditionalFormatting>
  <conditionalFormatting sqref="D17 D19">
    <cfRule type="containsBlanks" dxfId="114" priority="4">
      <formula>LEN(TRIM(D17))=0</formula>
    </cfRule>
  </conditionalFormatting>
  <printOptions horizontalCentered="1" verticalCentered="1"/>
  <pageMargins left="0.70866141732283472" right="0.70866141732283472" top="0.74803149606299213" bottom="0.74803149606299213" header="0.31496062992125984" footer="0.31496062992125984"/>
  <pageSetup scale="60" fitToHeight="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B1:J56"/>
  <sheetViews>
    <sheetView topLeftCell="A31" zoomScale="90" zoomScaleNormal="90" workbookViewId="0">
      <selection activeCell="I47" sqref="I47"/>
    </sheetView>
  </sheetViews>
  <sheetFormatPr baseColWidth="10" defaultColWidth="11.42578125" defaultRowHeight="12.75" zeroHeight="1"/>
  <cols>
    <col min="1" max="1" width="3.5703125" style="189" customWidth="1"/>
    <col min="2" max="2" width="9.140625" style="189" customWidth="1"/>
    <col min="3" max="3" width="64.85546875" style="189" customWidth="1"/>
    <col min="4" max="5" width="15.28515625" style="189" customWidth="1"/>
    <col min="6" max="6" width="34.7109375" style="189" customWidth="1"/>
    <col min="7" max="7" width="35" style="189" hidden="1" customWidth="1"/>
    <col min="8" max="8" width="22.42578125" style="189" hidden="1" customWidth="1"/>
    <col min="9" max="9" width="21.5703125" style="189" customWidth="1"/>
    <col min="10" max="16384" width="11.42578125" style="189"/>
  </cols>
  <sheetData>
    <row r="1" spans="2:8" ht="13.5" thickBot="1"/>
    <row r="2" spans="2:8">
      <c r="B2" s="1845" t="s">
        <v>1215</v>
      </c>
      <c r="C2" s="1846"/>
      <c r="D2" s="1846"/>
      <c r="E2" s="1847"/>
    </row>
    <row r="3" spans="2:8">
      <c r="B3" s="1848" t="s">
        <v>1216</v>
      </c>
      <c r="C3" s="1849"/>
      <c r="D3" s="1849"/>
      <c r="E3" s="1850"/>
    </row>
    <row r="4" spans="2:8" ht="37.5" customHeight="1">
      <c r="B4" s="1848" t="str">
        <f>_xlfn.CONCAT("INTERVENTORÍA OBRA Y SUMINISTROS - ",PRESUP!B2)</f>
        <v>INTERVENTORÍA OBRA Y SUMINISTROS - CONSTRUCCIÓN DE LA SEGUNDA ETAPA DEL PLAN MAESTRO DE ACUEDUCTO Y ALCANTARILLADO DE LOS SECTORES LA VIEJITA, LOS SAUCES, EL ALTO 2, MALPASO 2 Y ADOQUINADO DEL MUNICIPIO DE SAN CARLOS, ANTIOQUIA</v>
      </c>
      <c r="C4" s="1849"/>
      <c r="D4" s="1849"/>
      <c r="E4" s="1850"/>
    </row>
    <row r="5" spans="2:8">
      <c r="B5" s="1848" t="s">
        <v>1043</v>
      </c>
      <c r="C5" s="1849"/>
      <c r="D5" s="1849"/>
      <c r="E5" s="1850"/>
    </row>
    <row r="6" spans="2:8" ht="13.5" thickBot="1">
      <c r="B6" s="1851" t="s">
        <v>1217</v>
      </c>
      <c r="C6" s="1852"/>
      <c r="D6" s="1852"/>
      <c r="E6" s="1853"/>
    </row>
    <row r="7" spans="2:8">
      <c r="B7" s="1136">
        <v>1</v>
      </c>
      <c r="C7" s="1137" t="s">
        <v>1218</v>
      </c>
      <c r="D7" s="1137"/>
      <c r="E7" s="1138">
        <v>1</v>
      </c>
    </row>
    <row r="8" spans="2:8">
      <c r="B8" s="1153"/>
      <c r="C8" s="1154" t="s">
        <v>1219</v>
      </c>
      <c r="D8" s="1154"/>
      <c r="E8" s="1155">
        <f>+E7</f>
        <v>1</v>
      </c>
    </row>
    <row r="9" spans="2:8">
      <c r="B9" s="1842"/>
      <c r="C9" s="1843"/>
      <c r="D9" s="1843"/>
      <c r="E9" s="1844"/>
    </row>
    <row r="10" spans="2:8" ht="25.5">
      <c r="B10" s="1141">
        <v>2</v>
      </c>
      <c r="C10" s="1142" t="s">
        <v>1220</v>
      </c>
      <c r="D10" s="1142"/>
      <c r="E10" s="1143"/>
    </row>
    <row r="11" spans="2:8">
      <c r="B11" s="1141" t="s">
        <v>515</v>
      </c>
      <c r="C11" s="1142" t="s">
        <v>1221</v>
      </c>
      <c r="D11" s="1142"/>
      <c r="E11" s="1143"/>
      <c r="G11" s="1144" t="s">
        <v>1222</v>
      </c>
      <c r="H11" s="1157">
        <f>'INT OBRA'!H28</f>
        <v>204800000.19999999</v>
      </c>
    </row>
    <row r="12" spans="2:8">
      <c r="B12" s="1111"/>
      <c r="C12" s="1110" t="s">
        <v>1223</v>
      </c>
      <c r="D12" s="1110"/>
      <c r="E12" s="1147">
        <v>8.3299999999999999E-2</v>
      </c>
      <c r="G12" s="1144" t="s">
        <v>1224</v>
      </c>
      <c r="H12" s="1144">
        <v>8</v>
      </c>
    </row>
    <row r="13" spans="2:8">
      <c r="B13" s="1111"/>
      <c r="C13" s="1110" t="s">
        <v>1225</v>
      </c>
      <c r="D13" s="1110"/>
      <c r="E13" s="1147">
        <v>8.3299999999999999E-2</v>
      </c>
      <c r="G13" s="1144" t="s">
        <v>1226</v>
      </c>
      <c r="H13" s="1157">
        <v>1423500</v>
      </c>
    </row>
    <row r="14" spans="2:8">
      <c r="B14" s="1111"/>
      <c r="C14" s="1110" t="s">
        <v>1227</v>
      </c>
      <c r="D14" s="1110"/>
      <c r="E14" s="1147">
        <v>0.01</v>
      </c>
      <c r="G14" s="1144" t="s">
        <v>1228</v>
      </c>
      <c r="H14" s="1157">
        <f>'INT OBRA'!H57</f>
        <v>76526525</v>
      </c>
    </row>
    <row r="15" spans="2:8">
      <c r="B15" s="1141" t="s">
        <v>522</v>
      </c>
      <c r="C15" s="1142" t="s">
        <v>1229</v>
      </c>
      <c r="D15" s="1142"/>
      <c r="E15" s="1143"/>
      <c r="G15" s="1144" t="s">
        <v>1230</v>
      </c>
      <c r="H15" s="1157">
        <f ca="1">'PÓLIZAS INT OBRA'!G22</f>
        <v>3745670</v>
      </c>
    </row>
    <row r="16" spans="2:8">
      <c r="B16" s="1111"/>
      <c r="C16" s="1110" t="s">
        <v>1231</v>
      </c>
      <c r="D16" s="1110"/>
      <c r="E16" s="1147">
        <v>8.5000000000000006E-2</v>
      </c>
    </row>
    <row r="17" spans="2:9">
      <c r="B17" s="1111"/>
      <c r="C17" s="1110" t="s">
        <v>1232</v>
      </c>
      <c r="D17" s="1110"/>
      <c r="E17" s="1147">
        <v>0.12</v>
      </c>
    </row>
    <row r="18" spans="2:9">
      <c r="B18" s="1111"/>
      <c r="C18" s="1110" t="s">
        <v>1233</v>
      </c>
      <c r="D18" s="1110"/>
      <c r="E18" s="1147">
        <v>6.9599999999999995E-2</v>
      </c>
    </row>
    <row r="19" spans="2:9">
      <c r="B19" s="1141" t="s">
        <v>526</v>
      </c>
      <c r="C19" s="1142" t="s">
        <v>1234</v>
      </c>
      <c r="D19" s="1142"/>
      <c r="E19" s="1143"/>
    </row>
    <row r="20" spans="2:9">
      <c r="B20" s="1111"/>
      <c r="C20" s="1110" t="s">
        <v>1235</v>
      </c>
      <c r="D20" s="1110"/>
      <c r="E20" s="1147">
        <v>0.02</v>
      </c>
    </row>
    <row r="21" spans="2:9">
      <c r="B21" s="1111"/>
      <c r="C21" s="1110" t="s">
        <v>1236</v>
      </c>
      <c r="D21" s="1110"/>
      <c r="E21" s="1147">
        <v>0.03</v>
      </c>
    </row>
    <row r="22" spans="2:9">
      <c r="B22" s="1111"/>
      <c r="C22" s="1110" t="s">
        <v>1237</v>
      </c>
      <c r="D22" s="1110"/>
      <c r="E22" s="1147">
        <v>0.04</v>
      </c>
    </row>
    <row r="23" spans="2:9">
      <c r="B23" s="1141" t="s">
        <v>973</v>
      </c>
      <c r="C23" s="1142" t="s">
        <v>1238</v>
      </c>
      <c r="D23" s="1142"/>
      <c r="E23" s="1143"/>
    </row>
    <row r="24" spans="2:9">
      <c r="B24" s="1111"/>
      <c r="C24" s="1110" t="s">
        <v>1239</v>
      </c>
      <c r="D24" s="1110"/>
      <c r="E24" s="1147">
        <v>4.1700000000000001E-2</v>
      </c>
    </row>
    <row r="25" spans="2:9">
      <c r="B25" s="1153"/>
      <c r="C25" s="1154" t="s">
        <v>1240</v>
      </c>
      <c r="D25" s="1154"/>
      <c r="E25" s="1155">
        <f>SUM(E12:E24)</f>
        <v>0.58289999999999997</v>
      </c>
    </row>
    <row r="26" spans="2:9">
      <c r="B26" s="1842"/>
      <c r="C26" s="1843"/>
      <c r="D26" s="1843"/>
      <c r="E26" s="1844"/>
    </row>
    <row r="27" spans="2:9">
      <c r="B27" s="1141">
        <v>3</v>
      </c>
      <c r="C27" s="1142" t="s">
        <v>1241</v>
      </c>
      <c r="D27" s="1142"/>
      <c r="E27" s="1145"/>
    </row>
    <row r="28" spans="2:9" ht="76.5">
      <c r="B28" s="1111"/>
      <c r="C28" s="1501" t="s">
        <v>1242</v>
      </c>
      <c r="D28" s="1112"/>
      <c r="E28" s="1147">
        <f>(H12*H13)/H11</f>
        <v>5.5605468695697789E-2</v>
      </c>
      <c r="I28" s="1148"/>
    </row>
    <row r="29" spans="2:9">
      <c r="B29" s="1111"/>
      <c r="C29" s="1146" t="s">
        <v>1243</v>
      </c>
      <c r="D29" s="1112"/>
      <c r="E29" s="1147">
        <f ca="1">H15/H11</f>
        <v>1.8289404279014255E-2</v>
      </c>
      <c r="I29" s="1148"/>
    </row>
    <row r="30" spans="2:9">
      <c r="B30" s="1111"/>
      <c r="C30" s="1146" t="s">
        <v>1244</v>
      </c>
      <c r="D30" s="1112"/>
      <c r="E30" s="1147">
        <v>0.03</v>
      </c>
      <c r="I30" s="1148"/>
    </row>
    <row r="31" spans="2:9" ht="25.5">
      <c r="B31" s="1111"/>
      <c r="C31" s="1146" t="s">
        <v>1245</v>
      </c>
      <c r="D31" s="1112"/>
      <c r="E31" s="1147">
        <f ca="1">(E42*H14)/H11</f>
        <v>3.8783558820970239E-2</v>
      </c>
      <c r="I31" s="1148"/>
    </row>
    <row r="32" spans="2:9">
      <c r="B32" s="1153"/>
      <c r="C32" s="1156" t="s">
        <v>1246</v>
      </c>
      <c r="D32" s="1156"/>
      <c r="E32" s="1155">
        <f ca="1">SUM(E28:E31)</f>
        <v>0.14267843179568229</v>
      </c>
    </row>
    <row r="33" spans="2:10">
      <c r="B33" s="1842"/>
      <c r="C33" s="1843"/>
      <c r="D33" s="1843"/>
      <c r="E33" s="1844"/>
    </row>
    <row r="34" spans="2:10" ht="25.5">
      <c r="B34" s="1139">
        <v>4</v>
      </c>
      <c r="C34" s="1149" t="s">
        <v>1247</v>
      </c>
      <c r="D34" s="1149"/>
      <c r="E34" s="1140"/>
    </row>
    <row r="35" spans="2:10">
      <c r="B35" s="1111"/>
      <c r="C35" s="1530" t="s">
        <v>3041</v>
      </c>
      <c r="D35" s="1531"/>
      <c r="E35" s="1147">
        <v>2E-3</v>
      </c>
      <c r="F35" s="1535">
        <f ca="1">I48*E35</f>
        <v>875011.4240518962</v>
      </c>
    </row>
    <row r="36" spans="2:10">
      <c r="B36" s="1111"/>
      <c r="C36" s="1146" t="s">
        <v>948</v>
      </c>
      <c r="D36" s="1112"/>
      <c r="E36" s="1147">
        <v>0.01</v>
      </c>
      <c r="F36" s="1534">
        <f>I47*20%*E36</f>
        <v>976349.05</v>
      </c>
    </row>
    <row r="37" spans="2:10">
      <c r="B37" s="1111"/>
      <c r="C37" s="1146" t="s">
        <v>951</v>
      </c>
      <c r="D37" s="1112"/>
      <c r="E37" s="1147">
        <v>0.04</v>
      </c>
      <c r="F37" s="1534">
        <f>I47*E37</f>
        <v>19526981</v>
      </c>
      <c r="G37" s="1158"/>
    </row>
    <row r="38" spans="2:10">
      <c r="B38" s="1111"/>
      <c r="C38" s="1146" t="s">
        <v>954</v>
      </c>
      <c r="D38" s="1112"/>
      <c r="E38" s="1147">
        <v>0.01</v>
      </c>
      <c r="F38" s="1534">
        <f>I47*E38</f>
        <v>4881745.25</v>
      </c>
    </row>
    <row r="39" spans="2:10">
      <c r="B39" s="1111"/>
      <c r="C39" s="1146" t="s">
        <v>957</v>
      </c>
      <c r="D39" s="1112"/>
      <c r="E39" s="1147">
        <v>0.01</v>
      </c>
      <c r="F39" s="1534">
        <f>I47*E39</f>
        <v>4881745.25</v>
      </c>
    </row>
    <row r="40" spans="2:10">
      <c r="B40" s="1111"/>
      <c r="C40" s="1146" t="s">
        <v>963</v>
      </c>
      <c r="D40" s="1112"/>
      <c r="E40" s="1147">
        <v>0.02</v>
      </c>
      <c r="F40" s="1534">
        <f>I47*E40</f>
        <v>9763490.5</v>
      </c>
    </row>
    <row r="41" spans="2:10">
      <c r="B41" s="1111"/>
      <c r="C41" s="1146" t="s">
        <v>3044</v>
      </c>
      <c r="D41" s="1112"/>
      <c r="E41" s="1147">
        <v>2.5000000000000001E-2</v>
      </c>
      <c r="F41" s="1534">
        <f>I47*80%*E41</f>
        <v>9763490.5</v>
      </c>
    </row>
    <row r="42" spans="2:10">
      <c r="B42" s="1153"/>
      <c r="C42" s="1156" t="s">
        <v>1248</v>
      </c>
      <c r="D42" s="1156"/>
      <c r="E42" s="1155">
        <f ca="1">F43</f>
        <v>0.10379241516966067</v>
      </c>
      <c r="F42" s="1537">
        <f ca="1">SUM(F35:F41)</f>
        <v>50668812.974051893</v>
      </c>
    </row>
    <row r="43" spans="2:10">
      <c r="B43" s="1842"/>
      <c r="C43" s="1843"/>
      <c r="D43" s="1843"/>
      <c r="E43" s="1844"/>
      <c r="F43" s="1538">
        <f ca="1">F42/I47</f>
        <v>0.10379241516966067</v>
      </c>
    </row>
    <row r="44" spans="2:10" ht="51">
      <c r="B44" s="1139">
        <v>5</v>
      </c>
      <c r="C44" s="1149" t="s">
        <v>1249</v>
      </c>
      <c r="D44" s="1149"/>
      <c r="E44" s="1140"/>
    </row>
    <row r="45" spans="2:10">
      <c r="B45" s="1153"/>
      <c r="C45" s="1156" t="s">
        <v>1250</v>
      </c>
      <c r="D45" s="1156"/>
      <c r="E45" s="1155">
        <f ca="1">IF($H$12=0,0,(E8+E25+E32+E42)*0.1)</f>
        <v>0.18293708469653433</v>
      </c>
    </row>
    <row r="46" spans="2:10">
      <c r="B46" s="1842"/>
      <c r="C46" s="1843"/>
      <c r="D46" s="1843"/>
      <c r="E46" s="1844"/>
    </row>
    <row r="47" spans="2:10" ht="13.5" thickBot="1">
      <c r="B47" s="1150"/>
      <c r="C47" s="1151" t="s">
        <v>1251</v>
      </c>
      <c r="D47" s="1151"/>
      <c r="E47" s="1152">
        <f ca="1">E45+E42+E32+E25+E8</f>
        <v>2.0123079316618773</v>
      </c>
      <c r="F47" s="1532"/>
      <c r="I47" s="1534">
        <v>488174525</v>
      </c>
      <c r="J47" s="1543">
        <f>'INT OBRA'!H58-'F.M.'!I47</f>
        <v>0</v>
      </c>
    </row>
    <row r="48" spans="2:10" ht="13.5" thickBot="1">
      <c r="B48" s="1150"/>
      <c r="C48" s="1151" t="s">
        <v>1252</v>
      </c>
      <c r="D48" s="1151"/>
      <c r="E48" s="1152">
        <f ca="1">ROUND((E47),2)</f>
        <v>2.0099999999999998</v>
      </c>
      <c r="F48" s="1532"/>
      <c r="I48" s="1535">
        <f ca="1">I47-SUM(F35:F41)</f>
        <v>437505712.02594811</v>
      </c>
    </row>
    <row r="49" spans="5:6">
      <c r="E49" s="1533"/>
    </row>
    <row r="50" spans="5:6"/>
    <row r="51" spans="5:6">
      <c r="E51" s="1540" t="s">
        <v>3045</v>
      </c>
      <c r="F51" s="1542">
        <f ca="1">ROUND((E47-E42-E45),7)</f>
        <v>1.7255784000000001</v>
      </c>
    </row>
    <row r="52" spans="5:6"/>
    <row r="53" spans="5:6"/>
    <row r="54" spans="5:6"/>
    <row r="55" spans="5:6"/>
    <row r="56" spans="5:6"/>
  </sheetData>
  <mergeCells count="10">
    <mergeCell ref="B2:E2"/>
    <mergeCell ref="B3:E3"/>
    <mergeCell ref="B4:E4"/>
    <mergeCell ref="B5:E5"/>
    <mergeCell ref="B6:E6"/>
    <mergeCell ref="B9:E9"/>
    <mergeCell ref="B26:E26"/>
    <mergeCell ref="B33:E33"/>
    <mergeCell ref="B43:E43"/>
    <mergeCell ref="B46:E46"/>
  </mergeCells>
  <pageMargins left="0.7" right="0.7" top="0.75" bottom="0.75" header="0.3" footer="0.3"/>
  <pageSetup scale="76" orientation="portrait" r:id="rId1"/>
  <colBreaks count="1" manualBreakCount="1">
    <brk id="6"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C000"/>
  </sheetPr>
  <dimension ref="B2:G22"/>
  <sheetViews>
    <sheetView workbookViewId="0"/>
  </sheetViews>
  <sheetFormatPr baseColWidth="10" defaultColWidth="11.42578125" defaultRowHeight="15"/>
  <cols>
    <col min="1" max="1" width="3.5703125" customWidth="1"/>
    <col min="2" max="2" width="47.5703125" customWidth="1"/>
    <col min="3" max="7" width="21.85546875" customWidth="1"/>
    <col min="8" max="8" width="3.5703125" customWidth="1"/>
  </cols>
  <sheetData>
    <row r="2" spans="2:7" ht="37.5" customHeight="1">
      <c r="B2" s="1860" t="str">
        <f>PRESUP!B2</f>
        <v>CONSTRUCCIÓN DE LA SEGUNDA ETAPA DEL PLAN MAESTRO DE ACUEDUCTO Y ALCANTARILLADO DE LOS SECTORES LA VIEJITA, LOS SAUCES, EL ALTO 2, MALPASO 2 Y ADOQUINADO DEL MUNICIPIO DE SAN CARLOS, ANTIOQUIA</v>
      </c>
      <c r="C2" s="1860"/>
      <c r="D2" s="1860"/>
      <c r="E2" s="1860"/>
      <c r="F2" s="1860"/>
      <c r="G2" s="1860"/>
    </row>
    <row r="3" spans="2:7" ht="18.75" customHeight="1">
      <c r="B3" s="1868" t="s">
        <v>1253</v>
      </c>
      <c r="C3" s="1868"/>
      <c r="D3" s="1868"/>
      <c r="E3" s="1868"/>
      <c r="F3" s="1868"/>
      <c r="G3" s="1868"/>
    </row>
    <row r="4" spans="2:7" ht="18.75" customHeight="1"/>
    <row r="5" spans="2:7" ht="18.75" customHeight="1">
      <c r="B5" s="83" t="s">
        <v>1254</v>
      </c>
      <c r="C5" s="184">
        <f ca="1">PRESUP!G141-PRESUP!G138-PRESUP!G139</f>
        <v>5743533699</v>
      </c>
    </row>
    <row r="6" spans="2:7" ht="18.75" customHeight="1">
      <c r="B6" s="83" t="s">
        <v>1255</v>
      </c>
      <c r="C6" s="83">
        <f>AU!O7</f>
        <v>240</v>
      </c>
    </row>
    <row r="7" spans="2:7" ht="18.75" customHeight="1">
      <c r="B7" s="1308" t="s">
        <v>1256</v>
      </c>
      <c r="C7" s="1308">
        <v>0</v>
      </c>
    </row>
    <row r="8" spans="2:7" ht="18.75" customHeight="1"/>
    <row r="9" spans="2:7" ht="18.75" customHeight="1">
      <c r="B9" s="1864" t="s">
        <v>1257</v>
      </c>
      <c r="C9" s="1862" t="s">
        <v>1258</v>
      </c>
      <c r="D9" s="1863"/>
      <c r="E9" s="1866" t="s">
        <v>1259</v>
      </c>
      <c r="F9" s="1866" t="s">
        <v>1260</v>
      </c>
      <c r="G9" s="1864" t="s">
        <v>1261</v>
      </c>
    </row>
    <row r="10" spans="2:7" ht="18.75" customHeight="1">
      <c r="B10" s="1865"/>
      <c r="C10" s="177" t="s">
        <v>191</v>
      </c>
      <c r="D10" s="177" t="s">
        <v>1142</v>
      </c>
      <c r="E10" s="1867"/>
      <c r="F10" s="1867"/>
      <c r="G10" s="1865"/>
    </row>
    <row r="11" spans="2:7" ht="18.75" customHeight="1">
      <c r="B11" s="178" t="s">
        <v>1262</v>
      </c>
      <c r="C11" s="179">
        <v>0.2</v>
      </c>
      <c r="D11" s="180">
        <f ca="1">$C$5*C11</f>
        <v>1148706739.8</v>
      </c>
      <c r="E11" s="51">
        <f>2*$C$6</f>
        <v>480</v>
      </c>
      <c r="F11" s="51">
        <v>3.0000000000000001E-3</v>
      </c>
      <c r="G11" s="181">
        <f ca="1">(D11*F11)/365*E11</f>
        <v>4531884.1241424661</v>
      </c>
    </row>
    <row r="12" spans="2:7" ht="18.75" customHeight="1">
      <c r="B12" s="1309" t="s">
        <v>1263</v>
      </c>
      <c r="C12" s="1310" t="s">
        <v>1264</v>
      </c>
      <c r="D12" s="1311">
        <f>100%*C7</f>
        <v>0</v>
      </c>
      <c r="E12" s="1310">
        <f>2*$C$6</f>
        <v>480</v>
      </c>
      <c r="F12" s="1310">
        <v>2E-3</v>
      </c>
      <c r="G12" s="1312">
        <f>(D12*F12)/365*E12</f>
        <v>0</v>
      </c>
    </row>
    <row r="13" spans="2:7" ht="18.75" customHeight="1">
      <c r="B13" s="178" t="s">
        <v>1265</v>
      </c>
      <c r="C13" s="179">
        <v>0.1</v>
      </c>
      <c r="D13" s="180">
        <f ca="1">$C$5*C13</f>
        <v>574353369.89999998</v>
      </c>
      <c r="E13" s="51">
        <f>$C$6+(3*360)</f>
        <v>1320</v>
      </c>
      <c r="F13" s="51">
        <v>2E-3</v>
      </c>
      <c r="G13" s="181">
        <f ca="1">(D13*F13)/365*E13</f>
        <v>4154227.11379726</v>
      </c>
    </row>
    <row r="14" spans="2:7" ht="18.75" customHeight="1">
      <c r="B14" s="178" t="s">
        <v>1266</v>
      </c>
      <c r="C14" s="179">
        <v>0.2</v>
      </c>
      <c r="D14" s="180">
        <f t="shared" ref="D14:D15" ca="1" si="0">$C$5*C14</f>
        <v>1148706739.8</v>
      </c>
      <c r="E14" s="51">
        <f>$C$6+(5*360)</f>
        <v>2040</v>
      </c>
      <c r="F14" s="51">
        <v>3.0000000000000001E-3</v>
      </c>
      <c r="G14" s="181">
        <f ca="1">(D14*F14)/365*E14</f>
        <v>19260507.527605481</v>
      </c>
    </row>
    <row r="15" spans="2:7" ht="18.75" customHeight="1">
      <c r="B15" s="178" t="s">
        <v>1267</v>
      </c>
      <c r="C15" s="179">
        <v>0.2</v>
      </c>
      <c r="D15" s="180">
        <f t="shared" ca="1" si="0"/>
        <v>1148706739.8</v>
      </c>
      <c r="E15" s="51">
        <f>$C$6</f>
        <v>240</v>
      </c>
      <c r="F15" s="51">
        <v>3.0000000000000001E-3</v>
      </c>
      <c r="G15" s="181">
        <f ca="1">(D15*F15)/365*E15</f>
        <v>2265942.0620712331</v>
      </c>
    </row>
    <row r="16" spans="2:7" ht="18.75" customHeight="1">
      <c r="B16" s="1854" t="s">
        <v>1268</v>
      </c>
      <c r="C16" s="1855"/>
      <c r="D16" s="1855"/>
      <c r="E16" s="1855"/>
      <c r="F16" s="1856"/>
      <c r="G16" s="182">
        <f ca="1">SUM(G11:G15)</f>
        <v>30212560.827616442</v>
      </c>
    </row>
    <row r="17" spans="2:7" ht="18.75" customHeight="1">
      <c r="B17" s="1857" t="s">
        <v>1269</v>
      </c>
      <c r="C17" s="1858"/>
      <c r="D17" s="1858"/>
      <c r="E17" s="1858"/>
      <c r="F17" s="1859"/>
      <c r="G17" s="181">
        <v>150000</v>
      </c>
    </row>
    <row r="18" spans="2:7" ht="18.75" customHeight="1">
      <c r="B18" s="1857" t="s">
        <v>1270</v>
      </c>
      <c r="C18" s="1858"/>
      <c r="D18" s="1858"/>
      <c r="E18" s="1858"/>
      <c r="F18" s="1859"/>
      <c r="G18" s="181">
        <f ca="1">(G16+G17)*19%</f>
        <v>5768886.5572471237</v>
      </c>
    </row>
    <row r="19" spans="2:7" ht="18.75" customHeight="1">
      <c r="B19" s="1854" t="s">
        <v>1271</v>
      </c>
      <c r="C19" s="1855"/>
      <c r="D19" s="1855"/>
      <c r="E19" s="1855"/>
      <c r="F19" s="1856"/>
      <c r="G19" s="182">
        <f ca="1">ROUNDUP(G16+G17+G18,0)</f>
        <v>36131448</v>
      </c>
    </row>
    <row r="20" spans="2:7" ht="18.75" customHeight="1">
      <c r="B20" s="1857" t="s">
        <v>1272</v>
      </c>
      <c r="C20" s="1858"/>
      <c r="D20" s="1858"/>
      <c r="E20" s="1858"/>
      <c r="F20" s="1859"/>
      <c r="G20" s="183">
        <f ca="1">G19/C5</f>
        <v>6.290804562753903E-3</v>
      </c>
    </row>
    <row r="21" spans="2:7" ht="37.5" customHeight="1">
      <c r="B21" s="1861" t="s">
        <v>1273</v>
      </c>
      <c r="C21" s="1861"/>
      <c r="D21" s="1861"/>
      <c r="E21" s="1861"/>
      <c r="F21" s="1861"/>
      <c r="G21" s="1861"/>
    </row>
    <row r="22" spans="2:7" ht="18.75" customHeight="1">
      <c r="B22" s="1854" t="s">
        <v>1274</v>
      </c>
      <c r="C22" s="1855"/>
      <c r="D22" s="1855"/>
      <c r="E22" s="1855"/>
      <c r="F22" s="1856"/>
      <c r="G22" s="182">
        <f ca="1">G19</f>
        <v>36131448</v>
      </c>
    </row>
  </sheetData>
  <mergeCells count="14">
    <mergeCell ref="B22:F22"/>
    <mergeCell ref="B17:F17"/>
    <mergeCell ref="B18:F18"/>
    <mergeCell ref="B20:F20"/>
    <mergeCell ref="B2:G2"/>
    <mergeCell ref="B21:G21"/>
    <mergeCell ref="C9:D9"/>
    <mergeCell ref="B9:B10"/>
    <mergeCell ref="E9:E10"/>
    <mergeCell ref="F9:F10"/>
    <mergeCell ref="G9:G10"/>
    <mergeCell ref="B3:G3"/>
    <mergeCell ref="B16:F16"/>
    <mergeCell ref="B19:F19"/>
  </mergeCells>
  <pageMargins left="0.7" right="0.7" top="0.75" bottom="0.75" header="0.3" footer="0.3"/>
  <pageSetup scale="4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C000"/>
  </sheetPr>
  <dimension ref="A1:H24"/>
  <sheetViews>
    <sheetView workbookViewId="0">
      <selection activeCell="C5" sqref="C5"/>
    </sheetView>
  </sheetViews>
  <sheetFormatPr baseColWidth="10" defaultColWidth="0" defaultRowHeight="15" zeroHeight="1"/>
  <cols>
    <col min="1" max="1" width="2.85546875" customWidth="1"/>
    <col min="2" max="2" width="47.5703125" customWidth="1"/>
    <col min="3" max="7" width="21.85546875" customWidth="1"/>
    <col min="8" max="8" width="2.85546875" customWidth="1"/>
    <col min="9" max="16384" width="11.42578125" hidden="1"/>
  </cols>
  <sheetData>
    <row r="1" spans="2:7"/>
    <row r="2" spans="2:7" ht="37.5" customHeight="1">
      <c r="B2" s="1869" t="str">
        <f>_xlfn.CONCAT("INTERVENTORÍA - ",PRESUP!B2)</f>
        <v>INTERVENTORÍA - CONSTRUCCIÓN DE LA SEGUNDA ETAPA DEL PLAN MAESTRO DE ACUEDUCTO Y ALCANTARILLADO DE LOS SECTORES LA VIEJITA, LOS SAUCES, EL ALTO 2, MALPASO 2 Y ADOQUINADO DEL MUNICIPIO DE SAN CARLOS, ANTIOQUIA</v>
      </c>
      <c r="C2" s="1869"/>
      <c r="D2" s="1869"/>
      <c r="E2" s="1869"/>
      <c r="F2" s="1869"/>
      <c r="G2" s="1869"/>
    </row>
    <row r="3" spans="2:7" ht="18.75" customHeight="1">
      <c r="B3" s="1868" t="s">
        <v>1253</v>
      </c>
      <c r="C3" s="1868"/>
      <c r="D3" s="1868"/>
      <c r="E3" s="1868"/>
      <c r="F3" s="1868"/>
      <c r="G3" s="1868"/>
    </row>
    <row r="4" spans="2:7" ht="18.75" customHeight="1"/>
    <row r="5" spans="2:7" ht="18.75" customHeight="1">
      <c r="B5" s="83" t="s">
        <v>1254</v>
      </c>
      <c r="C5" s="184">
        <f ca="1">PRESUP!G138</f>
        <v>569860272</v>
      </c>
    </row>
    <row r="6" spans="2:7" ht="18.75" customHeight="1">
      <c r="B6" s="83" t="s">
        <v>1255</v>
      </c>
      <c r="C6" s="83">
        <f>AU!O7</f>
        <v>240</v>
      </c>
    </row>
    <row r="7" spans="2:7" ht="18.75" customHeight="1">
      <c r="B7" s="1308" t="s">
        <v>1256</v>
      </c>
      <c r="C7" s="1308">
        <v>0</v>
      </c>
    </row>
    <row r="8" spans="2:7" ht="18.75" customHeight="1"/>
    <row r="9" spans="2:7" ht="18.75" customHeight="1">
      <c r="B9" s="1864" t="s">
        <v>1257</v>
      </c>
      <c r="C9" s="1862" t="s">
        <v>1258</v>
      </c>
      <c r="D9" s="1863"/>
      <c r="E9" s="1866" t="s">
        <v>1259</v>
      </c>
      <c r="F9" s="1866" t="s">
        <v>1260</v>
      </c>
      <c r="G9" s="1864" t="s">
        <v>1261</v>
      </c>
    </row>
    <row r="10" spans="2:7" ht="18.75" customHeight="1">
      <c r="B10" s="1865"/>
      <c r="C10" s="177" t="s">
        <v>191</v>
      </c>
      <c r="D10" s="177" t="s">
        <v>1142</v>
      </c>
      <c r="E10" s="1867"/>
      <c r="F10" s="1867"/>
      <c r="G10" s="1865"/>
    </row>
    <row r="11" spans="2:7" ht="18.75" customHeight="1">
      <c r="B11" s="178" t="s">
        <v>1262</v>
      </c>
      <c r="C11" s="179">
        <v>0.2</v>
      </c>
      <c r="D11" s="180">
        <f ca="1">$C$5*C11</f>
        <v>113972054.40000001</v>
      </c>
      <c r="E11" s="51">
        <f>2*$C$6</f>
        <v>480</v>
      </c>
      <c r="F11" s="51">
        <v>3.0000000000000001E-3</v>
      </c>
      <c r="G11" s="181">
        <f ca="1">(D11*F11)/365*E11</f>
        <v>449643.1735232877</v>
      </c>
    </row>
    <row r="12" spans="2:7" ht="18.75" customHeight="1">
      <c r="B12" s="1309" t="s">
        <v>1263</v>
      </c>
      <c r="C12" s="1310" t="s">
        <v>1264</v>
      </c>
      <c r="D12" s="1311">
        <f>100%*C7</f>
        <v>0</v>
      </c>
      <c r="E12" s="1310">
        <f>2*$C$6</f>
        <v>480</v>
      </c>
      <c r="F12" s="1310">
        <v>2E-3</v>
      </c>
      <c r="G12" s="1312">
        <f>(D12*F12)/365*E12</f>
        <v>0</v>
      </c>
    </row>
    <row r="13" spans="2:7" ht="18.75" customHeight="1">
      <c r="B13" s="178" t="s">
        <v>1265</v>
      </c>
      <c r="C13" s="179">
        <v>0.1</v>
      </c>
      <c r="D13" s="180">
        <f ca="1">$C$5*C13</f>
        <v>56986027.200000003</v>
      </c>
      <c r="E13" s="51">
        <f>$C$6+(3*360)</f>
        <v>1320</v>
      </c>
      <c r="F13" s="51">
        <v>2E-3</v>
      </c>
      <c r="G13" s="181">
        <f ca="1">(D13*F13)/365*E13</f>
        <v>412172.90906301374</v>
      </c>
    </row>
    <row r="14" spans="2:7" ht="18.75" customHeight="1">
      <c r="B14" s="178" t="s">
        <v>1266</v>
      </c>
      <c r="C14" s="179">
        <v>0.2</v>
      </c>
      <c r="D14" s="180">
        <f t="shared" ref="D14:D15" ca="1" si="0">$C$5*C14</f>
        <v>113972054.40000001</v>
      </c>
      <c r="E14" s="51">
        <f>$C$6+(5*360)</f>
        <v>2040</v>
      </c>
      <c r="F14" s="51">
        <v>3.0000000000000001E-3</v>
      </c>
      <c r="G14" s="181">
        <f ca="1">(D14*F14)/365*E14</f>
        <v>1910983.4874739726</v>
      </c>
    </row>
    <row r="15" spans="2:7" ht="18.75" customHeight="1">
      <c r="B15" s="178" t="s">
        <v>1267</v>
      </c>
      <c r="C15" s="179">
        <v>0.2</v>
      </c>
      <c r="D15" s="180">
        <f t="shared" ca="1" si="0"/>
        <v>113972054.40000001</v>
      </c>
      <c r="E15" s="51">
        <f>$C$6</f>
        <v>240</v>
      </c>
      <c r="F15" s="51">
        <v>3.0000000000000001E-3</v>
      </c>
      <c r="G15" s="181">
        <f ca="1">(D15*F15)/365*E15</f>
        <v>224821.58676164385</v>
      </c>
    </row>
    <row r="16" spans="2:7" ht="18.75" customHeight="1">
      <c r="B16" s="1854" t="s">
        <v>1268</v>
      </c>
      <c r="C16" s="1855"/>
      <c r="D16" s="1855"/>
      <c r="E16" s="1855"/>
      <c r="F16" s="1856"/>
      <c r="G16" s="182">
        <f ca="1">SUM(G11:G15)</f>
        <v>2997621.1568219177</v>
      </c>
    </row>
    <row r="17" spans="2:7" ht="18.75" customHeight="1">
      <c r="B17" s="1857" t="s">
        <v>1269</v>
      </c>
      <c r="C17" s="1858"/>
      <c r="D17" s="1858"/>
      <c r="E17" s="1858"/>
      <c r="F17" s="1859"/>
      <c r="G17" s="181">
        <v>150000</v>
      </c>
    </row>
    <row r="18" spans="2:7" ht="18.75" customHeight="1">
      <c r="B18" s="1857" t="s">
        <v>1270</v>
      </c>
      <c r="C18" s="1858"/>
      <c r="D18" s="1858"/>
      <c r="E18" s="1858"/>
      <c r="F18" s="1859"/>
      <c r="G18" s="181">
        <f ca="1">(G16+G17)*19%</f>
        <v>598048.01979616436</v>
      </c>
    </row>
    <row r="19" spans="2:7" ht="18.75" customHeight="1">
      <c r="B19" s="1854" t="s">
        <v>1271</v>
      </c>
      <c r="C19" s="1855"/>
      <c r="D19" s="1855"/>
      <c r="E19" s="1855"/>
      <c r="F19" s="1856"/>
      <c r="G19" s="182">
        <f ca="1">ROUNDUP(G16+G17+G18,0)</f>
        <v>3745670</v>
      </c>
    </row>
    <row r="20" spans="2:7" ht="18.75" customHeight="1">
      <c r="B20" s="1857" t="s">
        <v>1272</v>
      </c>
      <c r="C20" s="1858"/>
      <c r="D20" s="1858"/>
      <c r="E20" s="1858"/>
      <c r="F20" s="1859"/>
      <c r="G20" s="183">
        <f ca="1">G19/C5</f>
        <v>6.5729621523782939E-3</v>
      </c>
    </row>
    <row r="21" spans="2:7" ht="37.5" customHeight="1">
      <c r="B21" s="1861" t="s">
        <v>1273</v>
      </c>
      <c r="C21" s="1861"/>
      <c r="D21" s="1861"/>
      <c r="E21" s="1861"/>
      <c r="F21" s="1861"/>
      <c r="G21" s="1861"/>
    </row>
    <row r="22" spans="2:7" ht="18.75" customHeight="1">
      <c r="B22" s="1854" t="s">
        <v>1274</v>
      </c>
      <c r="C22" s="1855"/>
      <c r="D22" s="1855"/>
      <c r="E22" s="1855"/>
      <c r="F22" s="1856"/>
      <c r="G22" s="182">
        <f ca="1">G19</f>
        <v>3745670</v>
      </c>
    </row>
    <row r="23" spans="2:7"/>
    <row r="24" spans="2:7"/>
  </sheetData>
  <mergeCells count="14">
    <mergeCell ref="B2:G2"/>
    <mergeCell ref="B3:G3"/>
    <mergeCell ref="B9:B10"/>
    <mergeCell ref="C9:D9"/>
    <mergeCell ref="E9:E10"/>
    <mergeCell ref="F9:F10"/>
    <mergeCell ref="G9:G10"/>
    <mergeCell ref="B22:F22"/>
    <mergeCell ref="B16:F16"/>
    <mergeCell ref="B17:F17"/>
    <mergeCell ref="B18:F18"/>
    <mergeCell ref="B19:F19"/>
    <mergeCell ref="B20:F20"/>
    <mergeCell ref="B21:G21"/>
  </mergeCells>
  <pageMargins left="0.7" right="0.7" top="0.75" bottom="0.75" header="0.3" footer="0.3"/>
  <pageSetup paperSize="9" scale="5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C000"/>
  </sheetPr>
  <dimension ref="A1:H24"/>
  <sheetViews>
    <sheetView workbookViewId="0"/>
  </sheetViews>
  <sheetFormatPr baseColWidth="10" defaultColWidth="0" defaultRowHeight="15" customHeight="1" zeroHeight="1"/>
  <cols>
    <col min="1" max="1" width="2.85546875" customWidth="1"/>
    <col min="2" max="2" width="47.5703125" customWidth="1"/>
    <col min="3" max="7" width="21.85546875" customWidth="1"/>
    <col min="8" max="8" width="2.85546875" customWidth="1"/>
    <col min="9" max="16384" width="11.42578125" hidden="1"/>
  </cols>
  <sheetData>
    <row r="1" spans="2:7"/>
    <row r="2" spans="2:7" ht="37.5" customHeight="1">
      <c r="B2" s="1869" t="str">
        <f>_xlfn.CONCAT("INTERVENTORÍA PARA SUMINISTROS - ",PRESUP!B2)</f>
        <v>INTERVENTORÍA PARA SUMINISTROS - CONSTRUCCIÓN DE LA SEGUNDA ETAPA DEL PLAN MAESTRO DE ACUEDUCTO Y ALCANTARILLADO DE LOS SECTORES LA VIEJITA, LOS SAUCES, EL ALTO 2, MALPASO 2 Y ADOQUINADO DEL MUNICIPIO DE SAN CARLOS, ANTIOQUIA</v>
      </c>
      <c r="C2" s="1869"/>
      <c r="D2" s="1869"/>
      <c r="E2" s="1869"/>
      <c r="F2" s="1869"/>
      <c r="G2" s="1869"/>
    </row>
    <row r="3" spans="2:7" ht="18.75" customHeight="1">
      <c r="B3" s="1868" t="s">
        <v>1253</v>
      </c>
      <c r="C3" s="1868"/>
      <c r="D3" s="1868"/>
      <c r="E3" s="1868"/>
      <c r="F3" s="1868"/>
      <c r="G3" s="1868"/>
    </row>
    <row r="4" spans="2:7" ht="18.75" customHeight="1"/>
    <row r="5" spans="2:7" ht="18.75" customHeight="1">
      <c r="B5" s="83" t="s">
        <v>1254</v>
      </c>
      <c r="C5" s="184">
        <f>PRESUP!G139</f>
        <v>0</v>
      </c>
    </row>
    <row r="6" spans="2:7" ht="18.75" customHeight="1">
      <c r="B6" s="83" t="s">
        <v>1255</v>
      </c>
      <c r="C6" s="83">
        <f>AU!O7</f>
        <v>240</v>
      </c>
    </row>
    <row r="7" spans="2:7" ht="18.75" customHeight="1">
      <c r="B7" s="1308" t="s">
        <v>1256</v>
      </c>
      <c r="C7" s="1308">
        <v>0</v>
      </c>
    </row>
    <row r="8" spans="2:7" ht="18.75" customHeight="1"/>
    <row r="9" spans="2:7" ht="18.75" customHeight="1">
      <c r="B9" s="1864" t="s">
        <v>1257</v>
      </c>
      <c r="C9" s="1862" t="s">
        <v>1258</v>
      </c>
      <c r="D9" s="1863"/>
      <c r="E9" s="1866" t="s">
        <v>1259</v>
      </c>
      <c r="F9" s="1866" t="s">
        <v>1260</v>
      </c>
      <c r="G9" s="1864" t="s">
        <v>1261</v>
      </c>
    </row>
    <row r="10" spans="2:7" ht="18.75" customHeight="1">
      <c r="B10" s="1865"/>
      <c r="C10" s="177" t="s">
        <v>191</v>
      </c>
      <c r="D10" s="177" t="s">
        <v>1142</v>
      </c>
      <c r="E10" s="1867"/>
      <c r="F10" s="1867"/>
      <c r="G10" s="1865"/>
    </row>
    <row r="11" spans="2:7" ht="18.75" customHeight="1">
      <c r="B11" s="178" t="s">
        <v>1262</v>
      </c>
      <c r="C11" s="179">
        <v>0.2</v>
      </c>
      <c r="D11" s="180">
        <f>$C$5*C11</f>
        <v>0</v>
      </c>
      <c r="E11" s="51">
        <f>2*$C$6</f>
        <v>480</v>
      </c>
      <c r="F11" s="51">
        <v>3.0000000000000001E-3</v>
      </c>
      <c r="G11" s="181">
        <f>(D11*F11)/365*E11</f>
        <v>0</v>
      </c>
    </row>
    <row r="12" spans="2:7" ht="18.75" customHeight="1">
      <c r="B12" s="1309" t="s">
        <v>1263</v>
      </c>
      <c r="C12" s="1310" t="s">
        <v>1264</v>
      </c>
      <c r="D12" s="1311">
        <f>100%*C7</f>
        <v>0</v>
      </c>
      <c r="E12" s="1310">
        <f>2*$C$6</f>
        <v>480</v>
      </c>
      <c r="F12" s="1310">
        <v>2E-3</v>
      </c>
      <c r="G12" s="1312">
        <f>(D12*F12)/365*E12</f>
        <v>0</v>
      </c>
    </row>
    <row r="13" spans="2:7" ht="18.75" customHeight="1">
      <c r="B13" s="178" t="s">
        <v>1265</v>
      </c>
      <c r="C13" s="179">
        <v>0.1</v>
      </c>
      <c r="D13" s="180">
        <f>$C$5*C13</f>
        <v>0</v>
      </c>
      <c r="E13" s="51">
        <f>$C$6+(3*360)</f>
        <v>1320</v>
      </c>
      <c r="F13" s="51">
        <v>2E-3</v>
      </c>
      <c r="G13" s="181">
        <f>(D13*F13)/365*E13</f>
        <v>0</v>
      </c>
    </row>
    <row r="14" spans="2:7" ht="18.75" customHeight="1">
      <c r="B14" s="178" t="s">
        <v>1266</v>
      </c>
      <c r="C14" s="179">
        <v>0.2</v>
      </c>
      <c r="D14" s="180">
        <f t="shared" ref="D14:D15" si="0">$C$5*C14</f>
        <v>0</v>
      </c>
      <c r="E14" s="51">
        <f>$C$6+(5*360)</f>
        <v>2040</v>
      </c>
      <c r="F14" s="51">
        <v>3.0000000000000001E-3</v>
      </c>
      <c r="G14" s="181">
        <f>(D14*F14)/365*E14</f>
        <v>0</v>
      </c>
    </row>
    <row r="15" spans="2:7" ht="18.75" customHeight="1">
      <c r="B15" s="178" t="s">
        <v>1267</v>
      </c>
      <c r="C15" s="179">
        <v>0.2</v>
      </c>
      <c r="D15" s="180">
        <f t="shared" si="0"/>
        <v>0</v>
      </c>
      <c r="E15" s="51">
        <f>$C$6</f>
        <v>240</v>
      </c>
      <c r="F15" s="51">
        <v>3.0000000000000001E-3</v>
      </c>
      <c r="G15" s="181">
        <f>(D15*F15)/365*E15</f>
        <v>0</v>
      </c>
    </row>
    <row r="16" spans="2:7" ht="18.75" customHeight="1">
      <c r="B16" s="1854" t="s">
        <v>1268</v>
      </c>
      <c r="C16" s="1855"/>
      <c r="D16" s="1855"/>
      <c r="E16" s="1855"/>
      <c r="F16" s="1856"/>
      <c r="G16" s="182">
        <f>SUM(G11:G15)</f>
        <v>0</v>
      </c>
    </row>
    <row r="17" spans="2:7" ht="18.75" customHeight="1">
      <c r="B17" s="1857" t="s">
        <v>1269</v>
      </c>
      <c r="C17" s="1858"/>
      <c r="D17" s="1858"/>
      <c r="E17" s="1858"/>
      <c r="F17" s="1859"/>
      <c r="G17" s="181">
        <v>150000</v>
      </c>
    </row>
    <row r="18" spans="2:7" ht="18.75" customHeight="1">
      <c r="B18" s="1857" t="s">
        <v>1270</v>
      </c>
      <c r="C18" s="1858"/>
      <c r="D18" s="1858"/>
      <c r="E18" s="1858"/>
      <c r="F18" s="1859"/>
      <c r="G18" s="181">
        <f>(G16+G17)*19%</f>
        <v>28500</v>
      </c>
    </row>
    <row r="19" spans="2:7" ht="18.75" customHeight="1">
      <c r="B19" s="1854" t="s">
        <v>1271</v>
      </c>
      <c r="C19" s="1855"/>
      <c r="D19" s="1855"/>
      <c r="E19" s="1855"/>
      <c r="F19" s="1856"/>
      <c r="G19" s="182">
        <f>ROUNDUP(G16+G17+G18,0)</f>
        <v>178500</v>
      </c>
    </row>
    <row r="20" spans="2:7" ht="18.75" customHeight="1">
      <c r="B20" s="1857" t="s">
        <v>1272</v>
      </c>
      <c r="C20" s="1858"/>
      <c r="D20" s="1858"/>
      <c r="E20" s="1858"/>
      <c r="F20" s="1859"/>
      <c r="G20" s="183" t="e">
        <f>G19/C5</f>
        <v>#DIV/0!</v>
      </c>
    </row>
    <row r="21" spans="2:7" ht="37.5" customHeight="1">
      <c r="B21" s="1861" t="s">
        <v>1273</v>
      </c>
      <c r="C21" s="1861"/>
      <c r="D21" s="1861"/>
      <c r="E21" s="1861"/>
      <c r="F21" s="1861"/>
      <c r="G21" s="1861"/>
    </row>
    <row r="22" spans="2:7" ht="18.75" customHeight="1">
      <c r="B22" s="1854" t="s">
        <v>1274</v>
      </c>
      <c r="C22" s="1855"/>
      <c r="D22" s="1855"/>
      <c r="E22" s="1855"/>
      <c r="F22" s="1856"/>
      <c r="G22" s="182">
        <f>G19</f>
        <v>178500</v>
      </c>
    </row>
    <row r="23" spans="2:7"/>
    <row r="24" spans="2:7"/>
  </sheetData>
  <mergeCells count="14">
    <mergeCell ref="B2:G2"/>
    <mergeCell ref="B3:G3"/>
    <mergeCell ref="B9:B10"/>
    <mergeCell ref="C9:D9"/>
    <mergeCell ref="E9:E10"/>
    <mergeCell ref="F9:F10"/>
    <mergeCell ref="G9:G10"/>
    <mergeCell ref="B22:F22"/>
    <mergeCell ref="B16:F16"/>
    <mergeCell ref="B17:F17"/>
    <mergeCell ref="B18:F18"/>
    <mergeCell ref="B19:F19"/>
    <mergeCell ref="B20:F20"/>
    <mergeCell ref="B21:G21"/>
  </mergeCells>
  <pageMargins left="0.7" right="0.7" top="0.75" bottom="0.75" header="0.3" footer="0.3"/>
  <pageSetup paperSize="9" scale="5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B2:R35"/>
  <sheetViews>
    <sheetView workbookViewId="0">
      <selection activeCell="I31" sqref="I31"/>
    </sheetView>
  </sheetViews>
  <sheetFormatPr baseColWidth="10" defaultColWidth="11.42578125" defaultRowHeight="15"/>
  <cols>
    <col min="1" max="1" width="3.5703125" customWidth="1"/>
    <col min="2" max="2" width="16.85546875" customWidth="1"/>
    <col min="3" max="3" width="79.5703125" customWidth="1"/>
    <col min="4" max="5" width="21.42578125" customWidth="1"/>
    <col min="6" max="6" width="8.5703125" customWidth="1"/>
    <col min="7" max="8" width="14.28515625" customWidth="1"/>
    <col min="9" max="14" width="21.42578125" customWidth="1"/>
    <col min="15" max="18" width="20" customWidth="1"/>
  </cols>
  <sheetData>
    <row r="2" spans="2:18" ht="26.25" customHeight="1">
      <c r="B2" s="1887" t="s">
        <v>1275</v>
      </c>
      <c r="C2" s="1888"/>
      <c r="D2" s="1888"/>
      <c r="E2" s="1888"/>
      <c r="F2" s="1888"/>
      <c r="G2" s="1888"/>
      <c r="H2" s="1888"/>
      <c r="I2" s="1888"/>
      <c r="J2" s="1888"/>
      <c r="K2" s="1888"/>
      <c r="L2" s="1888"/>
      <c r="M2" s="1888"/>
      <c r="N2" s="1888"/>
      <c r="O2" s="1888"/>
      <c r="P2" s="1888"/>
      <c r="Q2" s="1888"/>
      <c r="R2" s="1888"/>
    </row>
    <row r="3" spans="2:18" s="30" customFormat="1" ht="37.5" customHeight="1">
      <c r="B3" s="1889" t="str">
        <f>PRESUP!B2</f>
        <v>CONSTRUCCIÓN DE LA SEGUNDA ETAPA DEL PLAN MAESTRO DE ACUEDUCTO Y ALCANTARILLADO DE LOS SECTORES LA VIEJITA, LOS SAUCES, EL ALTO 2, MALPASO 2 Y ADOQUINADO DEL MUNICIPIO DE SAN CARLOS, ANTIOQUIA</v>
      </c>
      <c r="C3" s="1890"/>
      <c r="D3" s="1890"/>
      <c r="E3" s="1890"/>
      <c r="F3" s="1890"/>
      <c r="G3" s="1890"/>
      <c r="H3" s="1890"/>
      <c r="I3" s="1890"/>
      <c r="J3" s="1890"/>
      <c r="K3" s="1890"/>
      <c r="L3" s="1890"/>
      <c r="M3" s="1890"/>
      <c r="N3" s="1890"/>
      <c r="O3" s="1890"/>
      <c r="P3" s="1890"/>
      <c r="Q3" s="1890"/>
      <c r="R3" s="1890"/>
    </row>
    <row r="4" spans="2:18" s="30" customFormat="1" ht="22.5" customHeight="1">
      <c r="B4" s="1873" t="s">
        <v>1276</v>
      </c>
      <c r="C4" s="1873"/>
      <c r="D4" s="1873"/>
      <c r="E4" s="1873"/>
      <c r="F4" s="1873"/>
      <c r="G4" s="1874" t="s">
        <v>1277</v>
      </c>
      <c r="H4" s="1874" t="s">
        <v>1278</v>
      </c>
      <c r="I4" s="1871" t="s">
        <v>1279</v>
      </c>
      <c r="J4" s="1871" t="s">
        <v>1280</v>
      </c>
      <c r="K4" s="1871" t="s">
        <v>1281</v>
      </c>
      <c r="L4" s="1871" t="s">
        <v>1282</v>
      </c>
      <c r="M4" s="1871" t="s">
        <v>1283</v>
      </c>
      <c r="N4" s="1871" t="s">
        <v>1284</v>
      </c>
      <c r="O4" s="1871" t="s">
        <v>1285</v>
      </c>
      <c r="P4" s="1871" t="s">
        <v>1286</v>
      </c>
      <c r="Q4" s="1871" t="s">
        <v>1287</v>
      </c>
      <c r="R4" s="1871" t="s">
        <v>1288</v>
      </c>
    </row>
    <row r="5" spans="2:18" s="30" customFormat="1" ht="30" customHeight="1">
      <c r="B5" s="1876" t="s">
        <v>1289</v>
      </c>
      <c r="C5" s="1877"/>
      <c r="D5" s="1194" t="s">
        <v>1290</v>
      </c>
      <c r="E5" s="1194" t="s">
        <v>1291</v>
      </c>
      <c r="F5" s="1194" t="s">
        <v>1292</v>
      </c>
      <c r="G5" s="1875"/>
      <c r="H5" s="1875"/>
      <c r="I5" s="1872"/>
      <c r="J5" s="1872"/>
      <c r="K5" s="1872"/>
      <c r="L5" s="1872"/>
      <c r="M5" s="1872"/>
      <c r="N5" s="1872"/>
      <c r="O5" s="1872"/>
      <c r="P5" s="1872"/>
      <c r="Q5" s="1872"/>
      <c r="R5" s="1872"/>
    </row>
    <row r="6" spans="2:18" ht="7.5" hidden="1" customHeight="1">
      <c r="B6" s="30"/>
      <c r="C6" s="30"/>
      <c r="D6" s="30"/>
      <c r="E6" s="30"/>
      <c r="F6" s="30"/>
      <c r="G6" s="30"/>
      <c r="H6" s="30"/>
      <c r="I6" s="30"/>
      <c r="J6" s="30"/>
      <c r="K6" s="30"/>
      <c r="L6" s="30"/>
      <c r="M6" s="30"/>
      <c r="N6" s="30"/>
      <c r="O6" s="30"/>
      <c r="P6" s="30"/>
      <c r="Q6" s="30"/>
      <c r="R6" s="30"/>
    </row>
    <row r="7" spans="2:18" s="1198" customFormat="1" ht="22.5" hidden="1" customHeight="1">
      <c r="B7" s="1870" t="s">
        <v>1293</v>
      </c>
      <c r="C7" s="1870"/>
      <c r="D7" s="1870"/>
      <c r="E7" s="1870"/>
      <c r="F7" s="1870"/>
      <c r="G7" s="1200">
        <v>0</v>
      </c>
      <c r="H7" s="1200">
        <v>0</v>
      </c>
      <c r="I7" s="1197">
        <v>0</v>
      </c>
      <c r="J7" s="1197">
        <v>0</v>
      </c>
      <c r="K7" s="1197">
        <v>0</v>
      </c>
      <c r="L7" s="1197">
        <v>0</v>
      </c>
      <c r="M7" s="1197">
        <v>0</v>
      </c>
      <c r="N7" s="1197">
        <v>0</v>
      </c>
      <c r="O7" s="1197">
        <v>0</v>
      </c>
      <c r="P7" s="1197">
        <v>0</v>
      </c>
      <c r="Q7" s="1197">
        <v>0</v>
      </c>
      <c r="R7" s="1197">
        <v>0</v>
      </c>
    </row>
    <row r="8" spans="2:18" ht="7.5" customHeight="1">
      <c r="B8" s="30"/>
      <c r="C8" s="30"/>
      <c r="D8" s="30"/>
      <c r="E8" s="30"/>
      <c r="F8" s="30"/>
      <c r="G8" s="30"/>
      <c r="H8" s="30"/>
      <c r="I8" s="30"/>
      <c r="J8" s="30"/>
      <c r="K8" s="30"/>
      <c r="L8" s="30"/>
      <c r="M8" s="30"/>
      <c r="N8" s="30"/>
      <c r="O8" s="30"/>
      <c r="P8" s="30"/>
      <c r="Q8" s="30"/>
      <c r="R8" s="30"/>
    </row>
    <row r="9" spans="2:18" s="1198" customFormat="1" ht="22.5" customHeight="1">
      <c r="B9" s="1880" t="str">
        <f>PRESUP!B5</f>
        <v>1. ACTIVIDADES PRELIMINARES</v>
      </c>
      <c r="C9" s="1880"/>
      <c r="D9" s="1454">
        <f>PRESUP!G5</f>
        <v>135731645</v>
      </c>
      <c r="E9" s="1454">
        <f ca="1">ROUND(D9*(1+(PRESUP!$F$132+PRESUP!$F$133)),0)</f>
        <v>181063195</v>
      </c>
      <c r="F9" s="1202">
        <f ca="1">E9/$E$29</f>
        <v>2.8679216888997786E-2</v>
      </c>
      <c r="G9" s="1197">
        <v>0</v>
      </c>
      <c r="H9" s="1197">
        <v>0</v>
      </c>
      <c r="I9" s="1203">
        <f ca="1">$E$9/5</f>
        <v>36212639</v>
      </c>
      <c r="J9" s="1203">
        <f t="shared" ref="J9:M9" ca="1" si="0">$E$9/5</f>
        <v>36212639</v>
      </c>
      <c r="K9" s="1203">
        <f t="shared" ca="1" si="0"/>
        <v>36212639</v>
      </c>
      <c r="L9" s="1203">
        <f t="shared" ca="1" si="0"/>
        <v>36212639</v>
      </c>
      <c r="M9" s="1203">
        <f t="shared" ca="1" si="0"/>
        <v>36212639</v>
      </c>
      <c r="N9" s="1197">
        <v>0</v>
      </c>
      <c r="O9" s="1197">
        <v>0</v>
      </c>
      <c r="P9" s="1197">
        <v>0</v>
      </c>
      <c r="Q9" s="1197">
        <v>0</v>
      </c>
      <c r="R9" s="1197">
        <v>0</v>
      </c>
    </row>
    <row r="10" spans="2:18" ht="7.5" customHeight="1">
      <c r="B10" s="1195"/>
      <c r="C10" s="1195"/>
      <c r="D10" s="30"/>
      <c r="E10" s="30"/>
      <c r="F10" s="1196"/>
      <c r="G10" s="30"/>
      <c r="H10" s="30"/>
      <c r="I10" s="30"/>
      <c r="J10" s="30"/>
      <c r="K10" s="30"/>
      <c r="L10" s="30"/>
      <c r="M10" s="30"/>
      <c r="N10" s="30"/>
      <c r="O10" s="30"/>
      <c r="P10" s="30"/>
      <c r="Q10" s="30"/>
      <c r="R10" s="30"/>
    </row>
    <row r="11" spans="2:18" s="1198" customFormat="1" ht="22.5" customHeight="1">
      <c r="B11" s="1881" t="str">
        <f>PRESUP!B8</f>
        <v>2. DEMOLICIONES</v>
      </c>
      <c r="C11" s="1881"/>
      <c r="D11" s="1455">
        <f ca="1">PRESUP!G8</f>
        <v>95324740</v>
      </c>
      <c r="E11" s="1455">
        <f ca="1">ROUND(D11*(1+(PRESUP!$F$132+PRESUP!$F$133)),0)</f>
        <v>127161223</v>
      </c>
      <c r="F11" s="1204">
        <f ca="1">E11/$E$29</f>
        <v>2.014149973597458E-2</v>
      </c>
      <c r="G11" s="1197">
        <v>0</v>
      </c>
      <c r="H11" s="1197">
        <v>0</v>
      </c>
      <c r="I11" s="1205">
        <f ca="1">$E$11/5</f>
        <v>25432244.600000001</v>
      </c>
      <c r="J11" s="1205">
        <f t="shared" ref="J11:M11" ca="1" si="1">$E$11/5</f>
        <v>25432244.600000001</v>
      </c>
      <c r="K11" s="1205">
        <f t="shared" ca="1" si="1"/>
        <v>25432244.600000001</v>
      </c>
      <c r="L11" s="1205">
        <f t="shared" ca="1" si="1"/>
        <v>25432244.600000001</v>
      </c>
      <c r="M11" s="1205">
        <f t="shared" ca="1" si="1"/>
        <v>25432244.600000001</v>
      </c>
      <c r="N11" s="1197">
        <v>0</v>
      </c>
      <c r="O11" s="1197">
        <v>0</v>
      </c>
      <c r="P11" s="1197">
        <v>0</v>
      </c>
      <c r="Q11" s="1197">
        <v>0</v>
      </c>
      <c r="R11" s="1197">
        <v>0</v>
      </c>
    </row>
    <row r="12" spans="2:18" ht="7.5" customHeight="1">
      <c r="B12" s="1195"/>
      <c r="C12" s="1195"/>
      <c r="D12" s="30"/>
      <c r="E12" s="30"/>
      <c r="F12" s="1196"/>
      <c r="G12" s="30"/>
      <c r="H12" s="30"/>
      <c r="I12" s="30"/>
      <c r="J12" s="30"/>
      <c r="K12" s="30"/>
      <c r="L12" s="30"/>
      <c r="M12" s="30"/>
      <c r="N12" s="30"/>
      <c r="O12" s="30"/>
      <c r="P12" s="30"/>
      <c r="Q12" s="30"/>
      <c r="R12" s="30"/>
    </row>
    <row r="13" spans="2:18" s="1198" customFormat="1" ht="22.5" customHeight="1">
      <c r="B13" s="1882" t="str">
        <f>PRESUP!B12</f>
        <v>3. EXCAVACIONES Y LLENOS</v>
      </c>
      <c r="C13" s="1882"/>
      <c r="D13" s="1456">
        <f ca="1">PRESUP!G12</f>
        <v>1045801858</v>
      </c>
      <c r="E13" s="1456">
        <f ca="1">ROUND(D13*(1+(PRESUP!$F$132+PRESUP!$F$133)),0)</f>
        <v>1395077952</v>
      </c>
      <c r="F13" s="1206">
        <f ca="1">E13/$E$29</f>
        <v>0.22097115409051984</v>
      </c>
      <c r="G13" s="1197">
        <v>0</v>
      </c>
      <c r="H13" s="1197">
        <v>0</v>
      </c>
      <c r="I13" s="1207">
        <f ca="1">$E$13/9</f>
        <v>155008661.33333334</v>
      </c>
      <c r="J13" s="1207">
        <f t="shared" ref="J13:Q13" ca="1" si="2">$E$13/9</f>
        <v>155008661.33333334</v>
      </c>
      <c r="K13" s="1207">
        <f t="shared" ca="1" si="2"/>
        <v>155008661.33333334</v>
      </c>
      <c r="L13" s="1207">
        <f t="shared" ca="1" si="2"/>
        <v>155008661.33333334</v>
      </c>
      <c r="M13" s="1207">
        <f t="shared" ca="1" si="2"/>
        <v>155008661.33333334</v>
      </c>
      <c r="N13" s="1207">
        <f t="shared" ca="1" si="2"/>
        <v>155008661.33333334</v>
      </c>
      <c r="O13" s="1207">
        <f t="shared" ca="1" si="2"/>
        <v>155008661.33333334</v>
      </c>
      <c r="P13" s="1207">
        <f t="shared" ca="1" si="2"/>
        <v>155008661.33333334</v>
      </c>
      <c r="Q13" s="1207">
        <f t="shared" ca="1" si="2"/>
        <v>155008661.33333334</v>
      </c>
      <c r="R13" s="1197">
        <v>0</v>
      </c>
    </row>
    <row r="14" spans="2:18" ht="7.5" customHeight="1">
      <c r="B14" s="1195"/>
      <c r="C14" s="1195"/>
      <c r="D14" s="30"/>
      <c r="E14" s="30"/>
      <c r="F14" s="1196"/>
      <c r="G14" s="30"/>
      <c r="H14" s="30"/>
      <c r="I14" s="30"/>
      <c r="J14" s="30"/>
      <c r="K14" s="30"/>
      <c r="L14" s="30"/>
      <c r="M14" s="30"/>
      <c r="N14" s="30"/>
      <c r="O14" s="30"/>
      <c r="P14" s="30"/>
      <c r="Q14" s="30"/>
      <c r="R14" s="30"/>
    </row>
    <row r="15" spans="2:18" s="1198" customFormat="1" ht="22.5" customHeight="1">
      <c r="B15" s="1883" t="str">
        <f>PRESUP!B22</f>
        <v>4. OBRAS EN CONCRETO, ACERO Y PAVIMENTO</v>
      </c>
      <c r="C15" s="1883"/>
      <c r="D15" s="1457">
        <f ca="1">PRESUP!G22</f>
        <v>1352012494</v>
      </c>
      <c r="E15" s="1457">
        <f ca="1">ROUND(D15*(1+(PRESUP!$F$132+PRESUP!$F$133)),0)</f>
        <v>1803556579</v>
      </c>
      <c r="F15" s="1208">
        <f ca="1">E15/$E$29</f>
        <v>0.2856714767499815</v>
      </c>
      <c r="G15" s="1197">
        <v>0</v>
      </c>
      <c r="H15" s="1197">
        <v>0</v>
      </c>
      <c r="I15" s="1197"/>
      <c r="J15" s="1197"/>
      <c r="K15" s="1209">
        <f t="shared" ref="K15:R15" ca="1" si="3">$E$15/8</f>
        <v>225444572.375</v>
      </c>
      <c r="L15" s="1209">
        <f t="shared" ca="1" si="3"/>
        <v>225444572.375</v>
      </c>
      <c r="M15" s="1209">
        <f t="shared" ca="1" si="3"/>
        <v>225444572.375</v>
      </c>
      <c r="N15" s="1209">
        <f t="shared" ca="1" si="3"/>
        <v>225444572.375</v>
      </c>
      <c r="O15" s="1209">
        <f t="shared" ca="1" si="3"/>
        <v>225444572.375</v>
      </c>
      <c r="P15" s="1209">
        <f t="shared" ca="1" si="3"/>
        <v>225444572.375</v>
      </c>
      <c r="Q15" s="1209">
        <f t="shared" ca="1" si="3"/>
        <v>225444572.375</v>
      </c>
      <c r="R15" s="1209">
        <f t="shared" ca="1" si="3"/>
        <v>225444572.375</v>
      </c>
    </row>
    <row r="16" spans="2:18" ht="7.5" customHeight="1">
      <c r="B16" s="1195"/>
      <c r="C16" s="1195"/>
      <c r="D16" s="30"/>
      <c r="E16" s="30"/>
      <c r="F16" s="1196"/>
      <c r="G16" s="30"/>
      <c r="H16" s="30"/>
      <c r="I16" s="30"/>
      <c r="J16" s="30"/>
      <c r="K16" s="30"/>
      <c r="L16" s="30"/>
      <c r="M16" s="30"/>
      <c r="N16" s="30"/>
      <c r="O16" s="30"/>
      <c r="P16" s="30"/>
      <c r="Q16" s="30"/>
      <c r="R16" s="30"/>
    </row>
    <row r="17" spans="2:18" s="1198" customFormat="1" ht="22.5" customHeight="1">
      <c r="B17" s="1870" t="str">
        <f>PRESUP!B33</f>
        <v>5. ENTIBADOS Y OTROS</v>
      </c>
      <c r="C17" s="1870"/>
      <c r="D17" s="1458">
        <f>PRESUP!G33</f>
        <v>695107872</v>
      </c>
      <c r="E17" s="1458">
        <f ca="1">ROUND(D17*(1+(PRESUP!$F$132+PRESUP!$F$133)),0)</f>
        <v>927259461</v>
      </c>
      <c r="F17" s="1201">
        <f ca="1">E17/$E$29</f>
        <v>0.14687178802071943</v>
      </c>
      <c r="G17" s="1197">
        <v>0</v>
      </c>
      <c r="H17" s="1197">
        <v>0</v>
      </c>
      <c r="I17" s="1200">
        <f ca="1">$E$17/7</f>
        <v>132465637.28571428</v>
      </c>
      <c r="J17" s="1200">
        <f t="shared" ref="J17:O17" ca="1" si="4">$E$17/7</f>
        <v>132465637.28571428</v>
      </c>
      <c r="K17" s="1200">
        <f t="shared" ca="1" si="4"/>
        <v>132465637.28571428</v>
      </c>
      <c r="L17" s="1200">
        <f t="shared" ca="1" si="4"/>
        <v>132465637.28571428</v>
      </c>
      <c r="M17" s="1200">
        <f t="shared" ca="1" si="4"/>
        <v>132465637.28571428</v>
      </c>
      <c r="N17" s="1200">
        <f t="shared" ca="1" si="4"/>
        <v>132465637.28571428</v>
      </c>
      <c r="O17" s="1200">
        <f t="shared" ca="1" si="4"/>
        <v>132465637.28571428</v>
      </c>
      <c r="P17" s="1197">
        <v>0</v>
      </c>
      <c r="Q17" s="1197">
        <v>0</v>
      </c>
      <c r="R17" s="1197">
        <v>0</v>
      </c>
    </row>
    <row r="18" spans="2:18" ht="7.5" customHeight="1">
      <c r="B18" s="1195"/>
      <c r="C18" s="1195"/>
      <c r="D18" s="30"/>
      <c r="E18" s="30"/>
      <c r="F18" s="1196"/>
      <c r="G18" s="30"/>
      <c r="H18" s="30"/>
      <c r="I18" s="30"/>
      <c r="J18" s="30"/>
      <c r="K18" s="30"/>
      <c r="L18" s="30"/>
      <c r="M18" s="30"/>
      <c r="N18" s="30"/>
      <c r="O18" s="30"/>
      <c r="P18" s="30"/>
      <c r="Q18" s="30"/>
      <c r="R18" s="30"/>
    </row>
    <row r="19" spans="2:18" s="1198" customFormat="1" ht="22.5" customHeight="1">
      <c r="B19" s="1880" t="str">
        <f>PRESUP!B38</f>
        <v>6. SUMINISTRO Y TRANSPORTE DE TUBERÍAS, ACCESORIOS, PREFABRICADOS Y EQUIPOS</v>
      </c>
      <c r="C19" s="1880"/>
      <c r="D19" s="1454">
        <f ca="1">PRESUP!G38</f>
        <v>818342499</v>
      </c>
      <c r="E19" s="1454">
        <f ca="1">ROUND(D19*(1+(PRESUP!$F$132)),0)+1</f>
        <v>1050734769</v>
      </c>
      <c r="F19" s="1202">
        <f ca="1">E19/$E$29</f>
        <v>0.16642946311072213</v>
      </c>
      <c r="G19" s="1197">
        <v>0</v>
      </c>
      <c r="H19" s="1197">
        <v>0</v>
      </c>
      <c r="I19" s="1197">
        <v>0</v>
      </c>
      <c r="J19" s="1203">
        <f ca="1">$E$19/5</f>
        <v>210146953.80000001</v>
      </c>
      <c r="K19" s="1203">
        <f t="shared" ref="K19:N19" ca="1" si="5">$E$19/5</f>
        <v>210146953.80000001</v>
      </c>
      <c r="L19" s="1203">
        <f t="shared" ca="1" si="5"/>
        <v>210146953.80000001</v>
      </c>
      <c r="M19" s="1203">
        <f t="shared" ca="1" si="5"/>
        <v>210146953.80000001</v>
      </c>
      <c r="N19" s="1203">
        <f t="shared" ca="1" si="5"/>
        <v>210146953.80000001</v>
      </c>
      <c r="O19" s="1197">
        <v>0</v>
      </c>
      <c r="P19" s="1197">
        <v>0</v>
      </c>
      <c r="Q19" s="1197">
        <v>0</v>
      </c>
      <c r="R19" s="1197">
        <v>0</v>
      </c>
    </row>
    <row r="20" spans="2:18" ht="7.5" customHeight="1">
      <c r="B20" s="1195"/>
      <c r="C20" s="1195"/>
      <c r="D20" s="30"/>
      <c r="E20" s="30"/>
      <c r="F20" s="1196"/>
      <c r="G20" s="30"/>
      <c r="H20" s="30"/>
      <c r="I20" s="30"/>
      <c r="J20" s="30"/>
      <c r="K20" s="30"/>
      <c r="L20" s="30"/>
      <c r="M20" s="30"/>
      <c r="N20" s="30"/>
      <c r="O20" s="30"/>
      <c r="P20" s="30"/>
      <c r="Q20" s="30"/>
      <c r="R20" s="30"/>
    </row>
    <row r="21" spans="2:18" s="1198" customFormat="1" ht="22.5" customHeight="1">
      <c r="B21" s="1881" t="str">
        <f>PRESUP!B84</f>
        <v>7. COLOCACIÓN (C) O INSTALACIÓN (I) DE TUBERÍAS, ACCESORIOS, PREFABRICADOS Y EQUIPOS</v>
      </c>
      <c r="C21" s="1881"/>
      <c r="D21" s="1455">
        <f ca="1">PRESUP!G84</f>
        <v>193916454</v>
      </c>
      <c r="E21" s="1455">
        <f ca="1">ROUND(D21*(1+(PRESUP!$F$132+PRESUP!$F$133)),0)-1</f>
        <v>258680520</v>
      </c>
      <c r="F21" s="1204">
        <f ca="1">E21/$E$29</f>
        <v>4.0973289674020884E-2</v>
      </c>
      <c r="G21" s="1197">
        <v>0</v>
      </c>
      <c r="H21" s="1197">
        <v>0</v>
      </c>
      <c r="I21" s="1205">
        <f ca="1">$E$21/10</f>
        <v>25868052</v>
      </c>
      <c r="J21" s="1205">
        <f ca="1">$E$21/10</f>
        <v>25868052</v>
      </c>
      <c r="K21" s="1205">
        <f t="shared" ref="K21:R21" ca="1" si="6">$E$21/10</f>
        <v>25868052</v>
      </c>
      <c r="L21" s="1205">
        <f t="shared" ca="1" si="6"/>
        <v>25868052</v>
      </c>
      <c r="M21" s="1205">
        <f t="shared" ca="1" si="6"/>
        <v>25868052</v>
      </c>
      <c r="N21" s="1205">
        <f t="shared" ca="1" si="6"/>
        <v>25868052</v>
      </c>
      <c r="O21" s="1205">
        <f t="shared" ca="1" si="6"/>
        <v>25868052</v>
      </c>
      <c r="P21" s="1205">
        <f t="shared" ca="1" si="6"/>
        <v>25868052</v>
      </c>
      <c r="Q21" s="1205">
        <f t="shared" ca="1" si="6"/>
        <v>25868052</v>
      </c>
      <c r="R21" s="1205">
        <f t="shared" ca="1" si="6"/>
        <v>25868052</v>
      </c>
    </row>
    <row r="22" spans="2:18" ht="7.5" customHeight="1">
      <c r="B22" s="30"/>
      <c r="C22" s="30"/>
      <c r="D22" s="30"/>
      <c r="E22" s="30"/>
      <c r="F22" s="1196"/>
      <c r="G22" s="30"/>
      <c r="H22" s="30"/>
      <c r="I22" s="30"/>
      <c r="J22" s="30"/>
      <c r="K22" s="30"/>
      <c r="L22" s="30"/>
      <c r="M22" s="30"/>
      <c r="N22" s="30"/>
      <c r="O22" s="30"/>
      <c r="P22" s="30"/>
      <c r="Q22" s="30"/>
      <c r="R22" s="30"/>
    </row>
    <row r="23" spans="2:18" s="1198" customFormat="1" ht="22.5" customHeight="1">
      <c r="B23" s="1882" t="s">
        <v>20</v>
      </c>
      <c r="C23" s="1882"/>
      <c r="D23" s="1882"/>
      <c r="E23" s="1456">
        <f ca="1">PRESUP!G138</f>
        <v>569860272</v>
      </c>
      <c r="F23" s="1206">
        <f ca="1">E23/$E$29</f>
        <v>9.0262111729063829E-2</v>
      </c>
      <c r="G23" s="1197">
        <v>0</v>
      </c>
      <c r="H23" s="1197">
        <v>0</v>
      </c>
      <c r="I23" s="1207">
        <f ca="1">$E$23/10</f>
        <v>56986027.200000003</v>
      </c>
      <c r="J23" s="1207">
        <f t="shared" ref="J23:R23" ca="1" si="7">$E$23/10</f>
        <v>56986027.200000003</v>
      </c>
      <c r="K23" s="1207">
        <f t="shared" ca="1" si="7"/>
        <v>56986027.200000003</v>
      </c>
      <c r="L23" s="1207">
        <f t="shared" ca="1" si="7"/>
        <v>56986027.200000003</v>
      </c>
      <c r="M23" s="1207">
        <f t="shared" ca="1" si="7"/>
        <v>56986027.200000003</v>
      </c>
      <c r="N23" s="1207">
        <f t="shared" ca="1" si="7"/>
        <v>56986027.200000003</v>
      </c>
      <c r="O23" s="1207">
        <f t="shared" ca="1" si="7"/>
        <v>56986027.200000003</v>
      </c>
      <c r="P23" s="1207">
        <f t="shared" ca="1" si="7"/>
        <v>56986027.200000003</v>
      </c>
      <c r="Q23" s="1207">
        <f t="shared" ca="1" si="7"/>
        <v>56986027.200000003</v>
      </c>
      <c r="R23" s="1207">
        <f t="shared" ca="1" si="7"/>
        <v>56986027.200000003</v>
      </c>
    </row>
    <row r="24" spans="2:18" ht="7.5" customHeight="1">
      <c r="B24" s="30"/>
      <c r="C24" s="30"/>
      <c r="D24" s="30"/>
      <c r="E24" s="30"/>
      <c r="F24" s="1196"/>
      <c r="G24" s="30"/>
      <c r="H24" s="30"/>
      <c r="I24" s="30"/>
      <c r="J24" s="30"/>
      <c r="K24" s="30"/>
      <c r="L24" s="30"/>
      <c r="M24" s="30"/>
      <c r="N24" s="30"/>
      <c r="O24" s="30"/>
      <c r="P24" s="30"/>
      <c r="Q24" s="30"/>
      <c r="R24" s="30"/>
    </row>
    <row r="25" spans="2:18" s="1198" customFormat="1" ht="22.5" hidden="1" customHeight="1">
      <c r="B25" s="1882"/>
      <c r="C25" s="1882"/>
      <c r="D25" s="1882"/>
      <c r="E25" s="1456"/>
      <c r="F25" s="1206"/>
      <c r="G25" s="1197"/>
      <c r="H25" s="1197"/>
      <c r="I25" s="1207"/>
      <c r="J25" s="1207"/>
      <c r="K25" s="1207"/>
      <c r="L25" s="1207"/>
      <c r="M25" s="1207"/>
      <c r="N25" s="1207"/>
      <c r="O25" s="1207"/>
      <c r="P25" s="1207"/>
      <c r="Q25" s="1207"/>
      <c r="R25" s="1207"/>
    </row>
    <row r="26" spans="2:18" ht="7.5" hidden="1" customHeight="1">
      <c r="B26" s="30"/>
      <c r="C26" s="30"/>
      <c r="D26" s="30"/>
      <c r="E26" s="30"/>
      <c r="F26" s="30"/>
      <c r="G26" s="30"/>
      <c r="H26" s="30"/>
      <c r="I26" s="30"/>
      <c r="J26" s="30"/>
      <c r="K26" s="30"/>
      <c r="L26" s="30"/>
      <c r="M26" s="30"/>
      <c r="N26" s="30"/>
      <c r="O26" s="30"/>
      <c r="P26" s="30"/>
      <c r="Q26" s="30"/>
      <c r="R26" s="30"/>
    </row>
    <row r="27" spans="2:18" s="1198" customFormat="1" ht="22.5" hidden="1" customHeight="1">
      <c r="B27" s="1884"/>
      <c r="C27" s="1885"/>
      <c r="D27" s="1885"/>
      <c r="E27" s="1885"/>
      <c r="F27" s="1886"/>
      <c r="G27" s="1197"/>
      <c r="H27" s="1197"/>
      <c r="I27" s="1197"/>
      <c r="J27" s="1197"/>
      <c r="K27" s="1197"/>
      <c r="L27" s="1197"/>
      <c r="M27" s="1197"/>
      <c r="N27" s="1197"/>
      <c r="O27" s="1209"/>
      <c r="P27" s="1209"/>
      <c r="Q27" s="1209"/>
      <c r="R27" s="1209"/>
    </row>
    <row r="28" spans="2:18" ht="7.5" customHeight="1">
      <c r="B28" s="30"/>
      <c r="C28" s="30"/>
      <c r="D28" s="30"/>
      <c r="E28" s="30"/>
      <c r="F28" s="30"/>
      <c r="G28" s="30"/>
      <c r="H28" s="30"/>
      <c r="I28" s="30"/>
      <c r="J28" s="30"/>
      <c r="K28" s="30"/>
      <c r="L28" s="30"/>
      <c r="M28" s="30"/>
      <c r="N28" s="30"/>
      <c r="O28" s="30"/>
      <c r="P28" s="30"/>
      <c r="Q28" s="30"/>
      <c r="R28" s="30"/>
    </row>
    <row r="29" spans="2:18" s="1198" customFormat="1" ht="22.5" customHeight="1">
      <c r="B29" s="1879" t="s">
        <v>1294</v>
      </c>
      <c r="C29" s="1879"/>
      <c r="D29" s="1879"/>
      <c r="E29" s="1878">
        <f ca="1">SUM(E9:E25)</f>
        <v>6313393971</v>
      </c>
      <c r="F29" s="1878"/>
      <c r="G29" s="1199">
        <f>SUM(G7:G27)</f>
        <v>0</v>
      </c>
      <c r="H29" s="1199">
        <f t="shared" ref="H29:Q29" si="8">SUM(H7:H27)</f>
        <v>0</v>
      </c>
      <c r="I29" s="1199">
        <f t="shared" ca="1" si="8"/>
        <v>431973261.41904759</v>
      </c>
      <c r="J29" s="1199">
        <f t="shared" ca="1" si="8"/>
        <v>642120215.21904767</v>
      </c>
      <c r="K29" s="1199">
        <f t="shared" ca="1" si="8"/>
        <v>867564787.59404778</v>
      </c>
      <c r="L29" s="1199">
        <f t="shared" ca="1" si="8"/>
        <v>867564787.59404778</v>
      </c>
      <c r="M29" s="1199">
        <f t="shared" ca="1" si="8"/>
        <v>867564787.59404778</v>
      </c>
      <c r="N29" s="1199">
        <f t="shared" ca="1" si="8"/>
        <v>805919903.99404764</v>
      </c>
      <c r="O29" s="1199">
        <f t="shared" ca="1" si="8"/>
        <v>595772950.19404769</v>
      </c>
      <c r="P29" s="1199">
        <f t="shared" ca="1" si="8"/>
        <v>463307312.90833336</v>
      </c>
      <c r="Q29" s="1199">
        <f t="shared" ca="1" si="8"/>
        <v>463307312.90833336</v>
      </c>
      <c r="R29" s="1199">
        <f t="shared" ref="R29" ca="1" si="9">SUM(R7:R27)</f>
        <v>308298651.57499999</v>
      </c>
    </row>
    <row r="30" spans="2:18" ht="7.5" customHeight="1"/>
    <row r="31" spans="2:18" ht="46.5" customHeight="1">
      <c r="B31" s="1551" t="s">
        <v>22</v>
      </c>
      <c r="C31" s="1551"/>
    </row>
    <row r="32" spans="2:18" ht="15" customHeight="1">
      <c r="B32" s="1545" t="s">
        <v>23</v>
      </c>
      <c r="C32" s="1545"/>
    </row>
    <row r="33" spans="2:3" ht="15" customHeight="1">
      <c r="B33" s="1550" t="s">
        <v>24</v>
      </c>
      <c r="C33" s="1545"/>
    </row>
    <row r="34" spans="2:3" ht="15" customHeight="1">
      <c r="B34" s="1545" t="s">
        <v>25</v>
      </c>
      <c r="C34" s="1545"/>
    </row>
    <row r="35" spans="2:3" ht="15" customHeight="1">
      <c r="B35" s="1545" t="s">
        <v>26</v>
      </c>
      <c r="C35" s="1545"/>
    </row>
  </sheetData>
  <mergeCells count="34">
    <mergeCell ref="B2:R2"/>
    <mergeCell ref="B3:R3"/>
    <mergeCell ref="R4:R5"/>
    <mergeCell ref="N4:N5"/>
    <mergeCell ref="I4:I5"/>
    <mergeCell ref="J4:J5"/>
    <mergeCell ref="K4:K5"/>
    <mergeCell ref="L4:L5"/>
    <mergeCell ref="M4:M5"/>
    <mergeCell ref="E29:F29"/>
    <mergeCell ref="B29:D29"/>
    <mergeCell ref="B9:C9"/>
    <mergeCell ref="B11:C11"/>
    <mergeCell ref="B13:C13"/>
    <mergeCell ref="B15:C15"/>
    <mergeCell ref="B17:C17"/>
    <mergeCell ref="B27:F27"/>
    <mergeCell ref="B19:C19"/>
    <mergeCell ref="B21:C21"/>
    <mergeCell ref="B23:D23"/>
    <mergeCell ref="B25:D25"/>
    <mergeCell ref="B7:F7"/>
    <mergeCell ref="O4:O5"/>
    <mergeCell ref="P4:P5"/>
    <mergeCell ref="Q4:Q5"/>
    <mergeCell ref="B4:F4"/>
    <mergeCell ref="G4:G5"/>
    <mergeCell ref="H4:H5"/>
    <mergeCell ref="B5:C5"/>
    <mergeCell ref="B31:C31"/>
    <mergeCell ref="B32:C32"/>
    <mergeCell ref="B33:C33"/>
    <mergeCell ref="B34:C34"/>
    <mergeCell ref="B35:C35"/>
  </mergeCells>
  <pageMargins left="0.7" right="0.7" top="0.75" bottom="0.75" header="0.3" footer="0.3"/>
  <pageSetup paperSize="9" scale="22" orientation="portrait" r:id="rId1"/>
  <colBreaks count="1" manualBreakCount="1">
    <brk id="18" max="35"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00B050"/>
  </sheetPr>
  <dimension ref="A3:B19"/>
  <sheetViews>
    <sheetView workbookViewId="0"/>
  </sheetViews>
  <sheetFormatPr baseColWidth="10" defaultColWidth="11.42578125" defaultRowHeight="15"/>
  <cols>
    <col min="1" max="1" width="33.140625" bestFit="1" customWidth="1"/>
    <col min="2" max="2" width="23.5703125" bestFit="1" customWidth="1"/>
  </cols>
  <sheetData>
    <row r="3" spans="1:2">
      <c r="A3" s="933" t="s">
        <v>1295</v>
      </c>
      <c r="B3" t="s">
        <v>1296</v>
      </c>
    </row>
    <row r="4" spans="1:2">
      <c r="A4" s="932" t="s">
        <v>1297</v>
      </c>
      <c r="B4">
        <v>3</v>
      </c>
    </row>
    <row r="5" spans="1:2">
      <c r="A5" s="932" t="s">
        <v>466</v>
      </c>
      <c r="B5">
        <v>4</v>
      </c>
    </row>
    <row r="6" spans="1:2">
      <c r="A6" s="932" t="s">
        <v>1298</v>
      </c>
      <c r="B6">
        <v>10</v>
      </c>
    </row>
    <row r="7" spans="1:2">
      <c r="A7" s="932" t="s">
        <v>1299</v>
      </c>
      <c r="B7">
        <v>5</v>
      </c>
    </row>
    <row r="8" spans="1:2">
      <c r="A8" s="932" t="s">
        <v>1300</v>
      </c>
      <c r="B8">
        <v>3</v>
      </c>
    </row>
    <row r="9" spans="1:2">
      <c r="A9" s="932" t="s">
        <v>1301</v>
      </c>
      <c r="B9">
        <v>1</v>
      </c>
    </row>
    <row r="10" spans="1:2">
      <c r="A10" s="932" t="s">
        <v>1302</v>
      </c>
      <c r="B10">
        <v>1</v>
      </c>
    </row>
    <row r="11" spans="1:2">
      <c r="A11" s="932" t="s">
        <v>482</v>
      </c>
      <c r="B11">
        <v>36</v>
      </c>
    </row>
    <row r="12" spans="1:2">
      <c r="A12" s="932" t="s">
        <v>481</v>
      </c>
      <c r="B12">
        <v>12</v>
      </c>
    </row>
    <row r="13" spans="1:2">
      <c r="A13" s="932" t="s">
        <v>478</v>
      </c>
      <c r="B13">
        <v>21</v>
      </c>
    </row>
    <row r="14" spans="1:2">
      <c r="A14" s="932" t="s">
        <v>1303</v>
      </c>
      <c r="B14">
        <v>10</v>
      </c>
    </row>
    <row r="15" spans="1:2">
      <c r="A15" s="932" t="s">
        <v>1304</v>
      </c>
      <c r="B15">
        <v>3</v>
      </c>
    </row>
    <row r="16" spans="1:2">
      <c r="A16" s="932" t="s">
        <v>1305</v>
      </c>
      <c r="B16">
        <v>1</v>
      </c>
    </row>
    <row r="17" spans="1:2">
      <c r="A17" s="932" t="s">
        <v>1306</v>
      </c>
      <c r="B17">
        <v>2</v>
      </c>
    </row>
    <row r="18" spans="1:2">
      <c r="A18" s="932" t="s">
        <v>1307</v>
      </c>
      <c r="B18">
        <v>1</v>
      </c>
    </row>
    <row r="19" spans="1:2">
      <c r="A19" s="932" t="s">
        <v>1308</v>
      </c>
      <c r="B19">
        <v>113</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B050"/>
  </sheetPr>
  <dimension ref="A1:T276"/>
  <sheetViews>
    <sheetView workbookViewId="0">
      <selection sqref="A1:F1"/>
    </sheetView>
  </sheetViews>
  <sheetFormatPr baseColWidth="10" defaultColWidth="11.42578125" defaultRowHeight="15"/>
  <cols>
    <col min="1" max="1" width="11.42578125" style="30"/>
    <col min="2" max="2" width="12.7109375" style="30" customWidth="1"/>
    <col min="3" max="3" width="17.28515625" style="30" customWidth="1"/>
    <col min="4" max="4" width="17.7109375" style="30" customWidth="1"/>
    <col min="5" max="5" width="34.28515625" style="30" customWidth="1"/>
    <col min="6" max="6" width="16.5703125" style="30" customWidth="1"/>
    <col min="9" max="9" width="36.28515625" customWidth="1"/>
    <col min="10" max="10" width="16.7109375" customWidth="1"/>
    <col min="11" max="11" width="10" customWidth="1"/>
    <col min="12" max="12" width="31.85546875" customWidth="1"/>
    <col min="13" max="13" width="10.5703125" customWidth="1"/>
    <col min="14" max="14" width="26" customWidth="1"/>
    <col min="15" max="15" width="10.7109375" customWidth="1"/>
    <col min="19" max="19" width="23.28515625" customWidth="1"/>
  </cols>
  <sheetData>
    <row r="1" spans="1:20" ht="15.75" thickBot="1">
      <c r="A1" s="1908" t="s">
        <v>1309</v>
      </c>
      <c r="B1" s="1908"/>
      <c r="C1" s="1908"/>
      <c r="D1" s="1908"/>
      <c r="E1" s="1908"/>
      <c r="F1" s="1908"/>
      <c r="I1" s="941" t="s">
        <v>1310</v>
      </c>
      <c r="J1" s="941" t="s">
        <v>55</v>
      </c>
      <c r="K1" s="941" t="s">
        <v>447</v>
      </c>
      <c r="L1" s="941" t="s">
        <v>1311</v>
      </c>
      <c r="M1" s="941" t="s">
        <v>447</v>
      </c>
      <c r="N1" s="941" t="s">
        <v>1312</v>
      </c>
      <c r="O1" s="941" t="s">
        <v>447</v>
      </c>
      <c r="P1" s="938" t="s">
        <v>1313</v>
      </c>
    </row>
    <row r="2" spans="1:20" ht="30">
      <c r="A2" s="1273"/>
      <c r="B2" s="1274" t="s">
        <v>1314</v>
      </c>
      <c r="C2" s="1273" t="s">
        <v>1315</v>
      </c>
      <c r="D2" s="1273" t="s">
        <v>1316</v>
      </c>
      <c r="E2" s="1273" t="s">
        <v>1310</v>
      </c>
      <c r="F2" s="1273" t="s">
        <v>55</v>
      </c>
      <c r="I2" s="1905" t="s">
        <v>1317</v>
      </c>
      <c r="J2" s="1898" t="s">
        <v>1318</v>
      </c>
      <c r="K2" s="1900">
        <v>1</v>
      </c>
      <c r="L2" s="1233" t="s">
        <v>1319</v>
      </c>
      <c r="M2" s="1233">
        <v>1</v>
      </c>
      <c r="N2" s="1233" t="s">
        <v>477</v>
      </c>
      <c r="O2" s="1232">
        <v>3</v>
      </c>
      <c r="P2" s="944">
        <f>O6+O9+O16+O17+O19+O20+O22+O26+O29+O33+O35+O38+O39+O40+O42+O53+O54+O55</f>
        <v>31</v>
      </c>
      <c r="Q2" t="s">
        <v>1320</v>
      </c>
    </row>
    <row r="3" spans="1:20" ht="15.75" thickBot="1">
      <c r="A3" s="951">
        <v>1</v>
      </c>
      <c r="B3" s="951" t="s">
        <v>1321</v>
      </c>
      <c r="C3" s="951">
        <v>4776205.4230000004</v>
      </c>
      <c r="D3" s="951">
        <v>2241702.7510000002</v>
      </c>
      <c r="E3" s="1270" t="s">
        <v>1322</v>
      </c>
      <c r="F3" s="1893" t="s">
        <v>1318</v>
      </c>
      <c r="I3" s="1906"/>
      <c r="J3" s="1899"/>
      <c r="K3" s="1901"/>
      <c r="L3" s="1230"/>
      <c r="M3" s="1230"/>
      <c r="N3" s="1230" t="s">
        <v>478</v>
      </c>
      <c r="O3" s="1229">
        <v>1</v>
      </c>
      <c r="P3" s="943">
        <f>O5+O8+O12+O14+O18+O21+O32+O52+O15</f>
        <v>14</v>
      </c>
      <c r="Q3" t="s">
        <v>1323</v>
      </c>
    </row>
    <row r="4" spans="1:20">
      <c r="A4" s="951">
        <v>2</v>
      </c>
      <c r="B4" s="951" t="s">
        <v>1321</v>
      </c>
      <c r="C4" s="951">
        <v>4776205.5999999996</v>
      </c>
      <c r="D4" s="951">
        <v>2241702.34</v>
      </c>
      <c r="E4" s="951" t="s">
        <v>1324</v>
      </c>
      <c r="F4" s="1893"/>
      <c r="I4" s="1903" t="s">
        <v>1325</v>
      </c>
      <c r="J4" s="1898" t="s">
        <v>1326</v>
      </c>
      <c r="K4" s="1898">
        <v>1</v>
      </c>
      <c r="L4" s="1233" t="s">
        <v>1298</v>
      </c>
      <c r="M4" s="1233">
        <v>1</v>
      </c>
      <c r="N4" s="1233" t="s">
        <v>477</v>
      </c>
      <c r="O4" s="1232">
        <v>2</v>
      </c>
      <c r="P4" s="945">
        <f>O3+O10+O11+O13+O24+O37+O44+O49+O50+O51+O41</f>
        <v>19</v>
      </c>
      <c r="Q4" t="s">
        <v>1327</v>
      </c>
    </row>
    <row r="5" spans="1:20">
      <c r="A5" s="951">
        <v>3</v>
      </c>
      <c r="B5" s="951" t="s">
        <v>1321</v>
      </c>
      <c r="C5" s="951">
        <v>4776205.1710000001</v>
      </c>
      <c r="D5" s="951">
        <v>2241702.4720000001</v>
      </c>
      <c r="E5" s="951" t="s">
        <v>477</v>
      </c>
      <c r="F5" s="1893"/>
      <c r="I5" s="1907"/>
      <c r="J5" s="1897"/>
      <c r="K5" s="1897"/>
      <c r="L5" s="931" t="s">
        <v>1299</v>
      </c>
      <c r="M5" s="931">
        <v>2</v>
      </c>
      <c r="N5" s="931" t="s">
        <v>481</v>
      </c>
      <c r="O5" s="1231">
        <v>1</v>
      </c>
      <c r="P5" s="942">
        <f>O2+O4+O7+O23+O25+O28+O31+O34+O45+O46+O48+O56+O47</f>
        <v>25</v>
      </c>
      <c r="Q5" t="s">
        <v>1328</v>
      </c>
    </row>
    <row r="6" spans="1:20" ht="15.75" thickBot="1">
      <c r="A6" s="951">
        <v>4</v>
      </c>
      <c r="B6" s="951" t="s">
        <v>1321</v>
      </c>
      <c r="C6" s="951">
        <v>4776205.1519999998</v>
      </c>
      <c r="D6" s="951">
        <v>2241703.014</v>
      </c>
      <c r="E6" s="951" t="s">
        <v>477</v>
      </c>
      <c r="F6" s="1893"/>
      <c r="I6" s="1904"/>
      <c r="J6" s="1899"/>
      <c r="K6" s="1899"/>
      <c r="L6" s="1230"/>
      <c r="M6" s="1230"/>
      <c r="N6" s="1230" t="s">
        <v>482</v>
      </c>
      <c r="O6" s="1229">
        <v>1</v>
      </c>
      <c r="P6" s="31">
        <f>SUM(P2:P5)</f>
        <v>89</v>
      </c>
      <c r="Q6" s="31" t="s">
        <v>13</v>
      </c>
    </row>
    <row r="7" spans="1:20">
      <c r="A7" s="951">
        <v>5</v>
      </c>
      <c r="B7" s="951" t="s">
        <v>1321</v>
      </c>
      <c r="C7" s="951">
        <v>4776205.79</v>
      </c>
      <c r="D7" s="951">
        <v>2241702.75</v>
      </c>
      <c r="E7" s="951" t="s">
        <v>477</v>
      </c>
      <c r="F7" s="1893"/>
      <c r="I7" s="1905" t="s">
        <v>1329</v>
      </c>
      <c r="J7" s="1898" t="s">
        <v>1330</v>
      </c>
      <c r="K7" s="1898">
        <v>1</v>
      </c>
      <c r="L7" s="1233" t="s">
        <v>1319</v>
      </c>
      <c r="M7" s="1233">
        <v>1</v>
      </c>
      <c r="N7" s="1233" t="s">
        <v>477</v>
      </c>
      <c r="O7" s="1232">
        <v>1</v>
      </c>
    </row>
    <row r="8" spans="1:20">
      <c r="A8" s="951">
        <v>6</v>
      </c>
      <c r="B8" s="951" t="s">
        <v>1321</v>
      </c>
      <c r="C8" s="951">
        <v>4776205.5389999999</v>
      </c>
      <c r="D8" s="951">
        <v>2241702.0980000002</v>
      </c>
      <c r="E8" s="951" t="s">
        <v>478</v>
      </c>
      <c r="F8" s="1893"/>
      <c r="I8" s="1909"/>
      <c r="J8" s="1897"/>
      <c r="K8" s="1897"/>
      <c r="L8" s="931" t="s">
        <v>1299</v>
      </c>
      <c r="M8" s="931">
        <v>1</v>
      </c>
      <c r="N8" s="931" t="s">
        <v>481</v>
      </c>
      <c r="O8" s="1231">
        <v>1</v>
      </c>
    </row>
    <row r="9" spans="1:20" ht="15.75" thickBot="1">
      <c r="A9" s="951">
        <v>7</v>
      </c>
      <c r="B9" s="951" t="s">
        <v>1331</v>
      </c>
      <c r="C9" s="951" t="s">
        <v>1332</v>
      </c>
      <c r="D9" s="951" t="s">
        <v>1333</v>
      </c>
      <c r="E9" s="1270" t="s">
        <v>1334</v>
      </c>
      <c r="F9" s="1891" t="s">
        <v>1326</v>
      </c>
      <c r="I9" s="1906"/>
      <c r="J9" s="1899"/>
      <c r="K9" s="1899"/>
      <c r="L9" s="1230" t="s">
        <v>1298</v>
      </c>
      <c r="M9" s="1230">
        <v>2</v>
      </c>
      <c r="N9" s="1230" t="s">
        <v>482</v>
      </c>
      <c r="O9" s="1229">
        <v>2</v>
      </c>
      <c r="P9" t="s">
        <v>1335</v>
      </c>
    </row>
    <row r="10" spans="1:20" ht="15.75" thickBot="1">
      <c r="A10" s="951">
        <v>8</v>
      </c>
      <c r="B10" s="951" t="s">
        <v>1331</v>
      </c>
      <c r="C10" s="951" t="s">
        <v>1336</v>
      </c>
      <c r="D10" s="951" t="s">
        <v>1337</v>
      </c>
      <c r="E10" s="951" t="s">
        <v>477</v>
      </c>
      <c r="F10" s="1891"/>
      <c r="I10" s="1228" t="s">
        <v>1297</v>
      </c>
      <c r="J10" s="1226" t="s">
        <v>1338</v>
      </c>
      <c r="K10" s="1226">
        <v>0</v>
      </c>
      <c r="L10" s="1226"/>
      <c r="M10" s="1226"/>
      <c r="N10" s="1226" t="s">
        <v>478</v>
      </c>
      <c r="O10" s="1225">
        <v>2</v>
      </c>
      <c r="P10" s="944">
        <f>M2+M7+M23+M25+M28+M31+M34</f>
        <v>8</v>
      </c>
      <c r="Q10" s="1237" t="s">
        <v>1339</v>
      </c>
    </row>
    <row r="11" spans="1:20" ht="15.75" thickBot="1">
      <c r="A11" s="951">
        <v>9</v>
      </c>
      <c r="B11" s="951" t="s">
        <v>1331</v>
      </c>
      <c r="C11" s="951" t="s">
        <v>1340</v>
      </c>
      <c r="D11" s="951" t="s">
        <v>1341</v>
      </c>
      <c r="E11" s="951" t="s">
        <v>477</v>
      </c>
      <c r="F11" s="1891"/>
      <c r="I11" s="1228" t="s">
        <v>1305</v>
      </c>
      <c r="J11" s="1226" t="s">
        <v>1342</v>
      </c>
      <c r="K11" s="1226">
        <v>0</v>
      </c>
      <c r="L11" s="1226"/>
      <c r="M11" s="1226"/>
      <c r="N11" s="1226" t="s">
        <v>478</v>
      </c>
      <c r="O11" s="1225">
        <v>1</v>
      </c>
      <c r="P11" s="943">
        <f>M5+M8+M12+M26+M29+M32+M35+M37+M41</f>
        <v>10</v>
      </c>
      <c r="Q11" s="1237" t="s">
        <v>1343</v>
      </c>
    </row>
    <row r="12" spans="1:20">
      <c r="A12" s="951">
        <v>10</v>
      </c>
      <c r="B12" s="951" t="s">
        <v>1331</v>
      </c>
      <c r="C12" s="951" t="s">
        <v>1344</v>
      </c>
      <c r="D12" s="951" t="s">
        <v>1345</v>
      </c>
      <c r="E12" s="951" t="s">
        <v>481</v>
      </c>
      <c r="F12" s="1891"/>
      <c r="I12" s="1903" t="s">
        <v>1329</v>
      </c>
      <c r="J12" s="1900" t="s">
        <v>1346</v>
      </c>
      <c r="K12" s="1900">
        <v>0</v>
      </c>
      <c r="L12" s="1233" t="s">
        <v>1299</v>
      </c>
      <c r="M12" s="1233">
        <v>1</v>
      </c>
      <c r="N12" s="1233" t="s">
        <v>481</v>
      </c>
      <c r="O12" s="1232">
        <v>1</v>
      </c>
      <c r="P12" s="945">
        <f>M4+M9+M14+M15+M21+M27+M30+M36+M38+M42+M18</f>
        <v>14</v>
      </c>
      <c r="Q12" s="1237" t="s">
        <v>1347</v>
      </c>
    </row>
    <row r="13" spans="1:20" ht="15.75" thickBot="1">
      <c r="A13" s="951">
        <v>11</v>
      </c>
      <c r="B13" s="951" t="s">
        <v>1331</v>
      </c>
      <c r="C13" s="951" t="s">
        <v>1348</v>
      </c>
      <c r="D13" s="951" t="s">
        <v>1349</v>
      </c>
      <c r="E13" s="951" t="s">
        <v>482</v>
      </c>
      <c r="F13" s="1891"/>
      <c r="I13" s="1904"/>
      <c r="J13" s="1901"/>
      <c r="K13" s="1901"/>
      <c r="L13" s="1230"/>
      <c r="M13" s="1230"/>
      <c r="N13" s="1230" t="s">
        <v>478</v>
      </c>
      <c r="O13" s="1229">
        <v>1</v>
      </c>
      <c r="P13" s="31">
        <f>SUM(P10:P12)</f>
        <v>32</v>
      </c>
      <c r="Q13" s="31" t="s">
        <v>13</v>
      </c>
    </row>
    <row r="14" spans="1:20" ht="15.75" thickBot="1">
      <c r="A14" s="951">
        <v>12</v>
      </c>
      <c r="B14" s="951" t="s">
        <v>1331</v>
      </c>
      <c r="C14" s="951" t="s">
        <v>1350</v>
      </c>
      <c r="D14" s="951" t="s">
        <v>1351</v>
      </c>
      <c r="E14" s="951" t="s">
        <v>1352</v>
      </c>
      <c r="F14" s="1891"/>
      <c r="I14" s="1227" t="s">
        <v>1306</v>
      </c>
      <c r="J14" s="1226" t="s">
        <v>1353</v>
      </c>
      <c r="K14" s="1226">
        <v>0</v>
      </c>
      <c r="L14" s="1226" t="s">
        <v>1298</v>
      </c>
      <c r="M14" s="1226">
        <v>1</v>
      </c>
      <c r="N14" s="1226" t="s">
        <v>481</v>
      </c>
      <c r="O14" s="1225">
        <v>1</v>
      </c>
      <c r="R14" s="30"/>
      <c r="S14" s="30"/>
      <c r="T14" s="30"/>
    </row>
    <row r="15" spans="1:20">
      <c r="A15" s="951">
        <v>13</v>
      </c>
      <c r="B15" s="951" t="s">
        <v>1331</v>
      </c>
      <c r="C15" s="951" t="s">
        <v>1354</v>
      </c>
      <c r="D15" s="951" t="s">
        <v>1355</v>
      </c>
      <c r="E15" s="951" t="s">
        <v>1356</v>
      </c>
      <c r="F15" s="1891"/>
      <c r="I15" s="1903" t="s">
        <v>1329</v>
      </c>
      <c r="J15" s="1898" t="s">
        <v>1357</v>
      </c>
      <c r="K15" s="1898">
        <v>1</v>
      </c>
      <c r="L15" s="1233" t="s">
        <v>1298</v>
      </c>
      <c r="M15" s="1233">
        <v>2</v>
      </c>
      <c r="N15" s="1233" t="s">
        <v>481</v>
      </c>
      <c r="O15" s="1232">
        <v>2</v>
      </c>
    </row>
    <row r="16" spans="1:20" ht="15.75" thickBot="1">
      <c r="A16" s="951">
        <v>14</v>
      </c>
      <c r="B16" s="951" t="s">
        <v>1331</v>
      </c>
      <c r="C16" s="951">
        <v>4776469.3629999999</v>
      </c>
      <c r="D16" s="951">
        <v>2241823.4300000002</v>
      </c>
      <c r="E16" s="951" t="s">
        <v>1356</v>
      </c>
      <c r="F16" s="1891"/>
      <c r="I16" s="1904"/>
      <c r="J16" s="1899"/>
      <c r="K16" s="1899"/>
      <c r="L16" s="1230"/>
      <c r="M16" s="1230"/>
      <c r="N16" s="1230" t="s">
        <v>482</v>
      </c>
      <c r="O16" s="1229">
        <v>2</v>
      </c>
      <c r="P16" t="s">
        <v>1358</v>
      </c>
    </row>
    <row r="17" spans="1:20" ht="15.75" thickBot="1">
      <c r="A17" s="951">
        <v>15</v>
      </c>
      <c r="B17" s="951" t="s">
        <v>1359</v>
      </c>
      <c r="C17" s="951" t="s">
        <v>1360</v>
      </c>
      <c r="D17" s="951" t="s">
        <v>1361</v>
      </c>
      <c r="E17" s="1270" t="s">
        <v>1362</v>
      </c>
      <c r="F17" s="1891" t="s">
        <v>1330</v>
      </c>
      <c r="I17" s="1227" t="s">
        <v>1306</v>
      </c>
      <c r="J17" s="1226" t="s">
        <v>1363</v>
      </c>
      <c r="K17" s="1226">
        <v>0</v>
      </c>
      <c r="L17" s="1226"/>
      <c r="M17" s="1226"/>
      <c r="N17" s="1226" t="s">
        <v>482</v>
      </c>
      <c r="O17" s="1225">
        <v>1</v>
      </c>
      <c r="P17" s="943">
        <f>O43</f>
        <v>1</v>
      </c>
      <c r="Q17" t="s">
        <v>1327</v>
      </c>
    </row>
    <row r="18" spans="1:20">
      <c r="A18" s="951">
        <v>16</v>
      </c>
      <c r="B18" s="951" t="s">
        <v>1359</v>
      </c>
      <c r="C18" s="951" t="s">
        <v>1364</v>
      </c>
      <c r="D18" s="951" t="s">
        <v>1365</v>
      </c>
      <c r="E18" s="951" t="s">
        <v>477</v>
      </c>
      <c r="F18" s="1891"/>
      <c r="I18" s="1905" t="s">
        <v>1329</v>
      </c>
      <c r="J18" s="1898" t="s">
        <v>1366</v>
      </c>
      <c r="K18" s="1898">
        <v>1</v>
      </c>
      <c r="L18" s="1233" t="s">
        <v>1298</v>
      </c>
      <c r="M18" s="1233">
        <v>1</v>
      </c>
      <c r="N18" s="1233" t="s">
        <v>481</v>
      </c>
      <c r="O18" s="1232">
        <v>3</v>
      </c>
      <c r="P18" s="31">
        <f>P17</f>
        <v>1</v>
      </c>
      <c r="Q18" s="31" t="s">
        <v>13</v>
      </c>
    </row>
    <row r="19" spans="1:20" ht="15.75" thickBot="1">
      <c r="A19" s="951">
        <v>17</v>
      </c>
      <c r="B19" s="951" t="s">
        <v>1359</v>
      </c>
      <c r="C19" s="951" t="s">
        <v>1367</v>
      </c>
      <c r="D19" s="951" t="s">
        <v>1368</v>
      </c>
      <c r="E19" s="951" t="s">
        <v>481</v>
      </c>
      <c r="F19" s="1891"/>
      <c r="I19" s="1906"/>
      <c r="J19" s="1899"/>
      <c r="K19" s="1899"/>
      <c r="L19" s="1230"/>
      <c r="M19" s="1230"/>
      <c r="N19" s="1230" t="s">
        <v>482</v>
      </c>
      <c r="O19" s="1229">
        <v>1</v>
      </c>
    </row>
    <row r="20" spans="1:20" ht="15.75" thickBot="1">
      <c r="A20" s="951">
        <v>18</v>
      </c>
      <c r="B20" s="951" t="s">
        <v>1359</v>
      </c>
      <c r="C20" s="951" t="s">
        <v>1369</v>
      </c>
      <c r="D20" s="951" t="s">
        <v>1370</v>
      </c>
      <c r="E20" s="951" t="s">
        <v>482</v>
      </c>
      <c r="F20" s="1891"/>
      <c r="I20" s="1227" t="s">
        <v>1306</v>
      </c>
      <c r="J20" s="1226" t="s">
        <v>1371</v>
      </c>
      <c r="K20" s="1226">
        <v>0</v>
      </c>
      <c r="L20" s="1226"/>
      <c r="M20" s="1226"/>
      <c r="N20" s="1226" t="s">
        <v>482</v>
      </c>
      <c r="O20" s="1225">
        <v>2</v>
      </c>
    </row>
    <row r="21" spans="1:20">
      <c r="A21" s="951">
        <v>19</v>
      </c>
      <c r="B21" s="951" t="s">
        <v>1359</v>
      </c>
      <c r="C21" s="951" t="s">
        <v>1372</v>
      </c>
      <c r="D21" s="951" t="s">
        <v>1373</v>
      </c>
      <c r="E21" s="951" t="s">
        <v>482</v>
      </c>
      <c r="F21" s="1891"/>
      <c r="I21" s="1905" t="s">
        <v>1329</v>
      </c>
      <c r="J21" s="1898" t="s">
        <v>1374</v>
      </c>
      <c r="K21" s="1898">
        <v>1</v>
      </c>
      <c r="L21" s="1233" t="s">
        <v>1298</v>
      </c>
      <c r="M21" s="1233">
        <v>2</v>
      </c>
      <c r="N21" s="1233" t="s">
        <v>481</v>
      </c>
      <c r="O21" s="1232">
        <v>2</v>
      </c>
      <c r="P21" t="s">
        <v>1375</v>
      </c>
    </row>
    <row r="22" spans="1:20" ht="15.75" thickBot="1">
      <c r="A22" s="951">
        <v>20</v>
      </c>
      <c r="B22" s="951" t="s">
        <v>1359</v>
      </c>
      <c r="C22" s="951">
        <v>4776547.6370000001</v>
      </c>
      <c r="D22" s="951">
        <v>2241858.83</v>
      </c>
      <c r="E22" s="951" t="s">
        <v>1324</v>
      </c>
      <c r="F22" s="1891"/>
      <c r="I22" s="1906"/>
      <c r="J22" s="1899"/>
      <c r="K22" s="1899"/>
      <c r="L22" s="1230"/>
      <c r="M22" s="1230"/>
      <c r="N22" s="1230" t="s">
        <v>482</v>
      </c>
      <c r="O22" s="1229">
        <v>2</v>
      </c>
      <c r="P22" s="31">
        <f>SUM(K2:K56)</f>
        <v>29</v>
      </c>
      <c r="Q22" s="31" t="s">
        <v>13</v>
      </c>
      <c r="S22" s="30"/>
      <c r="T22" s="30"/>
    </row>
    <row r="23" spans="1:20">
      <c r="A23" s="951">
        <v>21</v>
      </c>
      <c r="B23" s="951" t="s">
        <v>1359</v>
      </c>
      <c r="C23" s="951" t="s">
        <v>1376</v>
      </c>
      <c r="D23" s="951" t="s">
        <v>1377</v>
      </c>
      <c r="E23" s="951" t="s">
        <v>1356</v>
      </c>
      <c r="F23" s="1891"/>
      <c r="I23" s="1903" t="s">
        <v>1378</v>
      </c>
      <c r="J23" s="1898" t="s">
        <v>1379</v>
      </c>
      <c r="K23" s="1898">
        <v>1</v>
      </c>
      <c r="L23" s="1233" t="s">
        <v>1319</v>
      </c>
      <c r="M23" s="1233">
        <v>2</v>
      </c>
      <c r="N23" s="1233" t="s">
        <v>477</v>
      </c>
      <c r="O23" s="1232">
        <v>1</v>
      </c>
    </row>
    <row r="24" spans="1:20" ht="15.75" thickBot="1">
      <c r="A24" s="951">
        <v>22</v>
      </c>
      <c r="B24" s="951" t="s">
        <v>1359</v>
      </c>
      <c r="C24" s="951" t="s">
        <v>1380</v>
      </c>
      <c r="D24" s="951" t="s">
        <v>1381</v>
      </c>
      <c r="E24" s="951" t="s">
        <v>1352</v>
      </c>
      <c r="F24" s="1891"/>
      <c r="I24" s="1907"/>
      <c r="J24" s="1899"/>
      <c r="K24" s="1899"/>
      <c r="L24" s="1230"/>
      <c r="M24" s="1230"/>
      <c r="N24" s="1230" t="s">
        <v>478</v>
      </c>
      <c r="O24" s="1229">
        <v>2</v>
      </c>
    </row>
    <row r="25" spans="1:20">
      <c r="A25" s="951">
        <v>23</v>
      </c>
      <c r="B25" s="951" t="s">
        <v>1359</v>
      </c>
      <c r="C25" s="951" t="s">
        <v>1382</v>
      </c>
      <c r="D25" s="951" t="s">
        <v>1383</v>
      </c>
      <c r="E25" s="951" t="s">
        <v>1352</v>
      </c>
      <c r="F25" s="1891"/>
      <c r="I25" s="1907"/>
      <c r="J25" s="1900" t="s">
        <v>1384</v>
      </c>
      <c r="K25" s="1900">
        <v>1</v>
      </c>
      <c r="L25" s="1233" t="s">
        <v>1319</v>
      </c>
      <c r="M25" s="1233">
        <v>1</v>
      </c>
      <c r="N25" s="1233" t="s">
        <v>477</v>
      </c>
      <c r="O25" s="1232">
        <v>2</v>
      </c>
      <c r="P25" s="1236" t="s">
        <v>13</v>
      </c>
      <c r="S25" s="30"/>
      <c r="T25" s="30"/>
    </row>
    <row r="26" spans="1:20">
      <c r="A26" s="951">
        <v>24</v>
      </c>
      <c r="B26" s="951" t="s">
        <v>1385</v>
      </c>
      <c r="C26" s="951" t="s">
        <v>1386</v>
      </c>
      <c r="D26" s="951" t="s">
        <v>1387</v>
      </c>
      <c r="E26" s="1270" t="s">
        <v>1388</v>
      </c>
      <c r="F26" s="1897" t="s">
        <v>1338</v>
      </c>
      <c r="I26" s="1907"/>
      <c r="J26" s="1902"/>
      <c r="K26" s="1902"/>
      <c r="L26" s="931" t="s">
        <v>1299</v>
      </c>
      <c r="M26" s="931">
        <v>1</v>
      </c>
      <c r="N26" s="931" t="s">
        <v>482</v>
      </c>
      <c r="O26" s="1231">
        <v>1</v>
      </c>
      <c r="P26" s="1236">
        <f>P6+P13+P18+P22</f>
        <v>151</v>
      </c>
    </row>
    <row r="27" spans="1:20" ht="15.75" thickBot="1">
      <c r="A27" s="951">
        <v>25</v>
      </c>
      <c r="B27" s="951" t="s">
        <v>1385</v>
      </c>
      <c r="C27" s="951" t="s">
        <v>1389</v>
      </c>
      <c r="D27" s="951" t="s">
        <v>1390</v>
      </c>
      <c r="E27" s="951" t="s">
        <v>478</v>
      </c>
      <c r="F27" s="1897"/>
      <c r="I27" s="1907"/>
      <c r="J27" s="1901"/>
      <c r="K27" s="1901"/>
      <c r="L27" s="1230" t="s">
        <v>1298</v>
      </c>
      <c r="M27" s="1230">
        <v>1</v>
      </c>
      <c r="N27" s="1230"/>
      <c r="O27" s="1229"/>
    </row>
    <row r="28" spans="1:20">
      <c r="A28" s="951">
        <v>26</v>
      </c>
      <c r="B28" s="951" t="s">
        <v>1385</v>
      </c>
      <c r="C28" s="951" t="s">
        <v>1391</v>
      </c>
      <c r="D28" s="951" t="s">
        <v>1392</v>
      </c>
      <c r="E28" s="951" t="s">
        <v>478</v>
      </c>
      <c r="F28" s="1897"/>
      <c r="I28" s="1907"/>
      <c r="J28" s="1900" t="s">
        <v>1393</v>
      </c>
      <c r="K28" s="1900">
        <v>1</v>
      </c>
      <c r="L28" s="1233" t="s">
        <v>1319</v>
      </c>
      <c r="M28" s="1233">
        <v>1</v>
      </c>
      <c r="N28" s="1233" t="s">
        <v>477</v>
      </c>
      <c r="O28" s="1232">
        <v>2</v>
      </c>
      <c r="P28" s="31"/>
    </row>
    <row r="29" spans="1:20">
      <c r="A29" s="951">
        <v>27</v>
      </c>
      <c r="B29" s="951" t="s">
        <v>1394</v>
      </c>
      <c r="C29" s="951" t="s">
        <v>1395</v>
      </c>
      <c r="D29" s="951" t="s">
        <v>1396</v>
      </c>
      <c r="E29" s="1270" t="s">
        <v>1397</v>
      </c>
      <c r="F29" s="1897" t="s">
        <v>1342</v>
      </c>
      <c r="I29" s="1907"/>
      <c r="J29" s="1902"/>
      <c r="K29" s="1902"/>
      <c r="L29" s="931" t="s">
        <v>1299</v>
      </c>
      <c r="M29" s="931">
        <v>1</v>
      </c>
      <c r="N29" s="931" t="s">
        <v>482</v>
      </c>
      <c r="O29" s="1231">
        <v>1</v>
      </c>
      <c r="P29" s="31"/>
    </row>
    <row r="30" spans="1:20" ht="15.75" thickBot="1">
      <c r="A30" s="951">
        <v>28</v>
      </c>
      <c r="B30" s="951" t="s">
        <v>1394</v>
      </c>
      <c r="C30" s="951" t="s">
        <v>1398</v>
      </c>
      <c r="D30" s="951" t="s">
        <v>1399</v>
      </c>
      <c r="E30" s="951" t="s">
        <v>478</v>
      </c>
      <c r="F30" s="1897"/>
      <c r="I30" s="1907"/>
      <c r="J30" s="1901"/>
      <c r="K30" s="1901"/>
      <c r="L30" s="1230" t="s">
        <v>1298</v>
      </c>
      <c r="M30" s="1230">
        <v>1</v>
      </c>
      <c r="N30" s="1230"/>
      <c r="O30" s="1229"/>
    </row>
    <row r="31" spans="1:20">
      <c r="A31" s="951">
        <v>29</v>
      </c>
      <c r="B31" s="951" t="s">
        <v>1400</v>
      </c>
      <c r="C31" s="951" t="s">
        <v>1401</v>
      </c>
      <c r="D31" s="951" t="s">
        <v>1402</v>
      </c>
      <c r="E31" s="1270" t="s">
        <v>1362</v>
      </c>
      <c r="F31" s="1897" t="s">
        <v>1346</v>
      </c>
      <c r="I31" s="1907"/>
      <c r="J31" s="1898" t="s">
        <v>1403</v>
      </c>
      <c r="K31" s="1898">
        <v>1</v>
      </c>
      <c r="L31" s="1233" t="s">
        <v>1319</v>
      </c>
      <c r="M31" s="1233">
        <v>1</v>
      </c>
      <c r="N31" s="1233" t="s">
        <v>477</v>
      </c>
      <c r="O31" s="1232">
        <v>2</v>
      </c>
    </row>
    <row r="32" spans="1:20" ht="15.75" thickBot="1">
      <c r="A32" s="951">
        <v>30</v>
      </c>
      <c r="B32" s="951" t="s">
        <v>1400</v>
      </c>
      <c r="C32" s="951" t="s">
        <v>1404</v>
      </c>
      <c r="D32" s="951" t="s">
        <v>1405</v>
      </c>
      <c r="E32" s="951" t="s">
        <v>481</v>
      </c>
      <c r="F32" s="1897"/>
      <c r="I32" s="1904"/>
      <c r="J32" s="1899"/>
      <c r="K32" s="1899"/>
      <c r="L32" s="1230" t="s">
        <v>1299</v>
      </c>
      <c r="M32" s="1230">
        <v>1</v>
      </c>
      <c r="N32" s="1230" t="s">
        <v>481</v>
      </c>
      <c r="O32" s="1229">
        <v>1</v>
      </c>
    </row>
    <row r="33" spans="1:15" ht="15" customHeight="1" thickBot="1">
      <c r="A33" s="951">
        <v>31</v>
      </c>
      <c r="B33" s="951" t="s">
        <v>1400</v>
      </c>
      <c r="C33" s="951" t="s">
        <v>1406</v>
      </c>
      <c r="D33" s="951" t="s">
        <v>1407</v>
      </c>
      <c r="E33" s="951" t="s">
        <v>478</v>
      </c>
      <c r="F33" s="1897"/>
      <c r="I33" s="1227" t="s">
        <v>1300</v>
      </c>
      <c r="J33" s="1226" t="s">
        <v>1408</v>
      </c>
      <c r="K33" s="1226">
        <v>1</v>
      </c>
      <c r="L33" s="1226"/>
      <c r="M33" s="1226"/>
      <c r="N33" s="1226" t="s">
        <v>482</v>
      </c>
      <c r="O33" s="1225">
        <v>3</v>
      </c>
    </row>
    <row r="34" spans="1:15">
      <c r="A34" s="951">
        <v>32</v>
      </c>
      <c r="B34" s="951" t="s">
        <v>1400</v>
      </c>
      <c r="C34" s="951" t="s">
        <v>1409</v>
      </c>
      <c r="D34" s="951" t="s">
        <v>1410</v>
      </c>
      <c r="E34" s="951" t="s">
        <v>1356</v>
      </c>
      <c r="F34" s="1897"/>
      <c r="I34" s="1903" t="s">
        <v>1378</v>
      </c>
      <c r="J34" s="1900" t="s">
        <v>1411</v>
      </c>
      <c r="K34" s="1900">
        <v>1</v>
      </c>
      <c r="L34" s="1233" t="s">
        <v>1319</v>
      </c>
      <c r="M34" s="1233">
        <v>1</v>
      </c>
      <c r="N34" s="1233" t="s">
        <v>477</v>
      </c>
      <c r="O34" s="1232">
        <v>2</v>
      </c>
    </row>
    <row r="35" spans="1:15" ht="15" customHeight="1">
      <c r="A35" s="951">
        <v>33</v>
      </c>
      <c r="B35" s="951" t="s">
        <v>1412</v>
      </c>
      <c r="C35" s="951" t="s">
        <v>1413</v>
      </c>
      <c r="D35" s="951" t="s">
        <v>1414</v>
      </c>
      <c r="E35" s="1270" t="s">
        <v>1415</v>
      </c>
      <c r="F35" s="1897" t="s">
        <v>1353</v>
      </c>
      <c r="I35" s="1907"/>
      <c r="J35" s="1902"/>
      <c r="K35" s="1902"/>
      <c r="L35" s="931" t="s">
        <v>1299</v>
      </c>
      <c r="M35" s="931">
        <v>1</v>
      </c>
      <c r="N35" s="931" t="s">
        <v>482</v>
      </c>
      <c r="O35" s="1231">
        <v>1</v>
      </c>
    </row>
    <row r="36" spans="1:15" ht="15" customHeight="1" thickBot="1">
      <c r="A36" s="951">
        <v>34</v>
      </c>
      <c r="B36" s="951" t="s">
        <v>1412</v>
      </c>
      <c r="C36" s="951" t="s">
        <v>1416</v>
      </c>
      <c r="D36" s="951" t="s">
        <v>1417</v>
      </c>
      <c r="E36" s="951" t="s">
        <v>481</v>
      </c>
      <c r="F36" s="1897"/>
      <c r="I36" s="1904"/>
      <c r="J36" s="1901"/>
      <c r="K36" s="1901"/>
      <c r="L36" s="1230" t="s">
        <v>1298</v>
      </c>
      <c r="M36" s="1230">
        <v>1</v>
      </c>
      <c r="N36" s="1230"/>
      <c r="O36" s="1229"/>
    </row>
    <row r="37" spans="1:15">
      <c r="A37" s="951">
        <v>35</v>
      </c>
      <c r="B37" s="951" t="s">
        <v>1412</v>
      </c>
      <c r="C37" s="951" t="s">
        <v>1418</v>
      </c>
      <c r="D37" s="951" t="s">
        <v>1419</v>
      </c>
      <c r="E37" s="951" t="s">
        <v>1352</v>
      </c>
      <c r="F37" s="1897"/>
      <c r="I37" s="1903" t="s">
        <v>1302</v>
      </c>
      <c r="J37" s="1898" t="s">
        <v>1420</v>
      </c>
      <c r="K37" s="1898">
        <v>1</v>
      </c>
      <c r="L37" s="1233" t="s">
        <v>1299</v>
      </c>
      <c r="M37" s="1233">
        <v>1</v>
      </c>
      <c r="N37" s="1233" t="s">
        <v>478</v>
      </c>
      <c r="O37" s="1232">
        <v>2</v>
      </c>
    </row>
    <row r="38" spans="1:15" ht="15.75" thickBot="1">
      <c r="A38" s="951">
        <v>36</v>
      </c>
      <c r="B38" s="951" t="s">
        <v>1421</v>
      </c>
      <c r="C38" s="951" t="s">
        <v>1422</v>
      </c>
      <c r="D38" s="951">
        <v>2241689.2030000002</v>
      </c>
      <c r="E38" s="1270" t="s">
        <v>1362</v>
      </c>
      <c r="F38" s="1893" t="s">
        <v>1357</v>
      </c>
      <c r="I38" s="1904"/>
      <c r="J38" s="1899"/>
      <c r="K38" s="1899"/>
      <c r="L38" s="1230" t="s">
        <v>1298</v>
      </c>
      <c r="M38" s="1230">
        <v>1</v>
      </c>
      <c r="N38" s="1230" t="s">
        <v>482</v>
      </c>
      <c r="O38" s="1229">
        <v>1</v>
      </c>
    </row>
    <row r="39" spans="1:15" ht="15.75" thickBot="1">
      <c r="A39" s="951">
        <v>37</v>
      </c>
      <c r="B39" s="951" t="s">
        <v>1421</v>
      </c>
      <c r="C39" s="951" t="s">
        <v>1423</v>
      </c>
      <c r="D39" s="951" t="s">
        <v>1424</v>
      </c>
      <c r="E39" s="951" t="s">
        <v>481</v>
      </c>
      <c r="F39" s="1893"/>
      <c r="I39" s="1903" t="s">
        <v>1300</v>
      </c>
      <c r="J39" s="1226" t="s">
        <v>1425</v>
      </c>
      <c r="K39" s="1226">
        <v>1</v>
      </c>
      <c r="L39" s="1226"/>
      <c r="M39" s="1226"/>
      <c r="N39" s="1226" t="s">
        <v>482</v>
      </c>
      <c r="O39" s="1225">
        <v>3</v>
      </c>
    </row>
    <row r="40" spans="1:15" ht="15.75" thickBot="1">
      <c r="A40" s="951">
        <v>38</v>
      </c>
      <c r="B40" s="951" t="s">
        <v>1421</v>
      </c>
      <c r="C40" s="951" t="s">
        <v>1426</v>
      </c>
      <c r="D40" s="951" t="s">
        <v>1427</v>
      </c>
      <c r="E40" s="951" t="s">
        <v>481</v>
      </c>
      <c r="F40" s="1893"/>
      <c r="I40" s="1907"/>
      <c r="J40" s="1234" t="s">
        <v>1428</v>
      </c>
      <c r="K40" s="1234">
        <v>1</v>
      </c>
      <c r="L40" s="1234"/>
      <c r="M40" s="1234"/>
      <c r="N40" s="1234" t="s">
        <v>482</v>
      </c>
      <c r="O40" s="1235">
        <v>3</v>
      </c>
    </row>
    <row r="41" spans="1:15">
      <c r="A41" s="951">
        <v>39</v>
      </c>
      <c r="B41" s="951" t="s">
        <v>1421</v>
      </c>
      <c r="C41" s="951" t="s">
        <v>1429</v>
      </c>
      <c r="D41" s="951" t="s">
        <v>1430</v>
      </c>
      <c r="E41" s="951" t="s">
        <v>482</v>
      </c>
      <c r="F41" s="1893"/>
      <c r="I41" s="1903" t="s">
        <v>1302</v>
      </c>
      <c r="J41" s="1900" t="s">
        <v>1431</v>
      </c>
      <c r="K41" s="1900">
        <v>1</v>
      </c>
      <c r="L41" s="1233" t="s">
        <v>1299</v>
      </c>
      <c r="M41" s="1233">
        <v>1</v>
      </c>
      <c r="N41" s="1233" t="s">
        <v>478</v>
      </c>
      <c r="O41" s="1232">
        <v>2</v>
      </c>
    </row>
    <row r="42" spans="1:15">
      <c r="A42" s="951">
        <v>40</v>
      </c>
      <c r="B42" s="951" t="s">
        <v>1421</v>
      </c>
      <c r="C42" s="951" t="s">
        <v>1432</v>
      </c>
      <c r="D42" s="951" t="s">
        <v>1433</v>
      </c>
      <c r="E42" s="951" t="s">
        <v>482</v>
      </c>
      <c r="F42" s="1893"/>
      <c r="I42" s="1907"/>
      <c r="J42" s="1902"/>
      <c r="K42" s="1902"/>
      <c r="L42" s="931" t="s">
        <v>1298</v>
      </c>
      <c r="M42" s="931">
        <v>1</v>
      </c>
      <c r="N42" s="931" t="s">
        <v>482</v>
      </c>
      <c r="O42" s="1231">
        <v>1</v>
      </c>
    </row>
    <row r="43" spans="1:15" ht="15" customHeight="1" thickBot="1">
      <c r="A43" s="951">
        <v>41</v>
      </c>
      <c r="B43" s="951" t="s">
        <v>1421</v>
      </c>
      <c r="C43" s="951" t="s">
        <v>1434</v>
      </c>
      <c r="D43" s="951" t="s">
        <v>1435</v>
      </c>
      <c r="E43" s="951" t="s">
        <v>1352</v>
      </c>
      <c r="F43" s="1893"/>
      <c r="I43" s="1904"/>
      <c r="J43" s="1901"/>
      <c r="K43" s="1901"/>
      <c r="L43" s="209"/>
      <c r="M43" s="931"/>
      <c r="N43" s="1230" t="s">
        <v>1436</v>
      </c>
      <c r="O43" s="1229">
        <v>1</v>
      </c>
    </row>
    <row r="44" spans="1:15" ht="15.75" thickBot="1">
      <c r="A44" s="951">
        <v>42</v>
      </c>
      <c r="B44" s="951" t="s">
        <v>1421</v>
      </c>
      <c r="C44" s="951" t="s">
        <v>1437</v>
      </c>
      <c r="D44" s="951" t="s">
        <v>1438</v>
      </c>
      <c r="E44" s="951" t="s">
        <v>1352</v>
      </c>
      <c r="F44" s="1893"/>
      <c r="I44" s="1228" t="s">
        <v>1304</v>
      </c>
      <c r="J44" s="1226" t="s">
        <v>1439</v>
      </c>
      <c r="K44" s="1226">
        <v>1</v>
      </c>
      <c r="L44" s="1226"/>
      <c r="M44" s="1226"/>
      <c r="N44" s="1226" t="s">
        <v>478</v>
      </c>
      <c r="O44" s="1225">
        <v>2</v>
      </c>
    </row>
    <row r="45" spans="1:15" ht="15.75" thickBot="1">
      <c r="A45" s="951">
        <v>43</v>
      </c>
      <c r="B45" s="951" t="s">
        <v>1440</v>
      </c>
      <c r="C45" s="951" t="s">
        <v>1441</v>
      </c>
      <c r="D45" s="951" t="s">
        <v>1442</v>
      </c>
      <c r="E45" s="1270" t="s">
        <v>1415</v>
      </c>
      <c r="F45" s="1897" t="s">
        <v>1363</v>
      </c>
      <c r="I45" s="1903" t="s">
        <v>1443</v>
      </c>
      <c r="J45" s="1226" t="s">
        <v>1444</v>
      </c>
      <c r="K45" s="1226">
        <v>2</v>
      </c>
      <c r="L45" s="1226"/>
      <c r="M45" s="1226"/>
      <c r="N45" s="1226" t="s">
        <v>477</v>
      </c>
      <c r="O45" s="1225">
        <v>4</v>
      </c>
    </row>
    <row r="46" spans="1:15" ht="15.75" thickBot="1">
      <c r="A46" s="951">
        <v>44</v>
      </c>
      <c r="B46" s="951" t="s">
        <v>1440</v>
      </c>
      <c r="C46" s="951" t="s">
        <v>1445</v>
      </c>
      <c r="D46" s="951" t="s">
        <v>1446</v>
      </c>
      <c r="E46" s="951" t="s">
        <v>482</v>
      </c>
      <c r="F46" s="1897"/>
      <c r="I46" s="1907"/>
      <c r="J46" s="1226" t="s">
        <v>1447</v>
      </c>
      <c r="K46" s="1226">
        <v>1</v>
      </c>
      <c r="L46" s="1226"/>
      <c r="M46" s="1226"/>
      <c r="N46" s="1226" t="s">
        <v>477</v>
      </c>
      <c r="O46" s="1225">
        <v>2</v>
      </c>
    </row>
    <row r="47" spans="1:15" ht="15.75" thickBot="1">
      <c r="A47" s="951">
        <v>45</v>
      </c>
      <c r="B47" s="951" t="s">
        <v>1448</v>
      </c>
      <c r="C47" s="951" t="s">
        <v>1449</v>
      </c>
      <c r="D47" s="951" t="s">
        <v>1450</v>
      </c>
      <c r="E47" s="1270" t="s">
        <v>1362</v>
      </c>
      <c r="F47" s="1891" t="s">
        <v>1366</v>
      </c>
      <c r="I47" s="1907"/>
      <c r="J47" s="1226" t="s">
        <v>1451</v>
      </c>
      <c r="K47" s="1226">
        <v>1</v>
      </c>
      <c r="L47" s="1226"/>
      <c r="M47" s="1226"/>
      <c r="N47" s="1226" t="s">
        <v>477</v>
      </c>
      <c r="O47" s="1225">
        <v>2</v>
      </c>
    </row>
    <row r="48" spans="1:15" ht="15.75" thickBot="1">
      <c r="A48" s="951">
        <v>46</v>
      </c>
      <c r="B48" s="951" t="s">
        <v>1448</v>
      </c>
      <c r="C48" s="951" t="s">
        <v>1452</v>
      </c>
      <c r="D48" s="951" t="s">
        <v>1453</v>
      </c>
      <c r="E48" s="951" t="s">
        <v>481</v>
      </c>
      <c r="F48" s="1891"/>
      <c r="I48" s="1904"/>
      <c r="J48" s="1226" t="s">
        <v>1330</v>
      </c>
      <c r="K48" s="1226">
        <v>1</v>
      </c>
      <c r="L48" s="1226"/>
      <c r="M48" s="1226"/>
      <c r="N48" s="1226" t="s">
        <v>477</v>
      </c>
      <c r="O48" s="1225">
        <v>2</v>
      </c>
    </row>
    <row r="49" spans="1:16" ht="15.75" thickBot="1">
      <c r="A49" s="951">
        <v>47</v>
      </c>
      <c r="B49" s="951" t="s">
        <v>1448</v>
      </c>
      <c r="C49" s="951" t="s">
        <v>1454</v>
      </c>
      <c r="D49" s="951" t="s">
        <v>1455</v>
      </c>
      <c r="E49" s="951" t="s">
        <v>481</v>
      </c>
      <c r="F49" s="1891"/>
      <c r="I49" s="1903" t="s">
        <v>1304</v>
      </c>
      <c r="J49" s="1226" t="s">
        <v>1338</v>
      </c>
      <c r="K49" s="1226">
        <v>1</v>
      </c>
      <c r="L49" s="1226"/>
      <c r="M49" s="1226"/>
      <c r="N49" s="1226" t="s">
        <v>478</v>
      </c>
      <c r="O49" s="1225">
        <v>2</v>
      </c>
    </row>
    <row r="50" spans="1:16" ht="15.75" thickBot="1">
      <c r="A50" s="951">
        <v>48</v>
      </c>
      <c r="B50" s="951" t="s">
        <v>1448</v>
      </c>
      <c r="C50" s="951" t="s">
        <v>1456</v>
      </c>
      <c r="D50" s="951" t="s">
        <v>1457</v>
      </c>
      <c r="E50" s="951" t="s">
        <v>481</v>
      </c>
      <c r="F50" s="1891"/>
      <c r="I50" s="1907"/>
      <c r="J50" s="1226" t="s">
        <v>1342</v>
      </c>
      <c r="K50" s="1226">
        <v>1</v>
      </c>
      <c r="L50" s="1226"/>
      <c r="M50" s="1226"/>
      <c r="N50" s="1226" t="s">
        <v>478</v>
      </c>
      <c r="O50" s="1225">
        <v>2</v>
      </c>
    </row>
    <row r="51" spans="1:16" ht="15.75" thickBot="1">
      <c r="A51" s="951">
        <v>49</v>
      </c>
      <c r="B51" s="951" t="s">
        <v>1448</v>
      </c>
      <c r="C51" s="951" t="s">
        <v>1458</v>
      </c>
      <c r="D51" s="951" t="s">
        <v>1459</v>
      </c>
      <c r="E51" s="951" t="s">
        <v>482</v>
      </c>
      <c r="F51" s="1891"/>
      <c r="I51" s="1904"/>
      <c r="J51" s="1226" t="s">
        <v>1346</v>
      </c>
      <c r="K51" s="1226">
        <v>1</v>
      </c>
      <c r="L51" s="1226"/>
      <c r="M51" s="1226"/>
      <c r="N51" s="1226" t="s">
        <v>478</v>
      </c>
      <c r="O51" s="1225">
        <v>2</v>
      </c>
    </row>
    <row r="52" spans="1:16" ht="15.75" thickBot="1">
      <c r="A52" s="951">
        <v>50</v>
      </c>
      <c r="B52" s="951" t="s">
        <v>1448</v>
      </c>
      <c r="C52" s="951" t="s">
        <v>1460</v>
      </c>
      <c r="D52" s="951" t="s">
        <v>1461</v>
      </c>
      <c r="E52" s="951" t="s">
        <v>1352</v>
      </c>
      <c r="F52" s="1891"/>
      <c r="I52" s="1228" t="s">
        <v>1307</v>
      </c>
      <c r="J52" s="1226" t="s">
        <v>1462</v>
      </c>
      <c r="K52" s="1226">
        <v>1</v>
      </c>
      <c r="L52" s="1226"/>
      <c r="M52" s="1226"/>
      <c r="N52" s="1226" t="s">
        <v>481</v>
      </c>
      <c r="O52" s="1225">
        <v>2</v>
      </c>
    </row>
    <row r="53" spans="1:16" ht="15.75" thickBot="1">
      <c r="A53" s="951">
        <v>51</v>
      </c>
      <c r="B53" s="951" t="s">
        <v>1463</v>
      </c>
      <c r="C53" s="951" t="s">
        <v>1464</v>
      </c>
      <c r="D53" s="951" t="s">
        <v>1465</v>
      </c>
      <c r="E53" s="1270" t="s">
        <v>1415</v>
      </c>
      <c r="F53" s="1897" t="s">
        <v>1371</v>
      </c>
      <c r="I53" s="1903" t="s">
        <v>1303</v>
      </c>
      <c r="J53" s="1226" t="s">
        <v>1357</v>
      </c>
      <c r="K53" s="1226">
        <v>1</v>
      </c>
      <c r="L53" s="1226"/>
      <c r="M53" s="1226"/>
      <c r="N53" s="1226" t="s">
        <v>482</v>
      </c>
      <c r="O53" s="1225">
        <v>2</v>
      </c>
    </row>
    <row r="54" spans="1:16" ht="15.75" thickBot="1">
      <c r="A54" s="951">
        <v>52</v>
      </c>
      <c r="B54" s="951" t="s">
        <v>1463</v>
      </c>
      <c r="C54" s="951" t="s">
        <v>1466</v>
      </c>
      <c r="D54" s="951" t="s">
        <v>1467</v>
      </c>
      <c r="E54" s="951" t="s">
        <v>482</v>
      </c>
      <c r="F54" s="1897"/>
      <c r="I54" s="1907"/>
      <c r="J54" s="1226" t="s">
        <v>1468</v>
      </c>
      <c r="K54" s="1226">
        <v>1</v>
      </c>
      <c r="L54" s="1226"/>
      <c r="M54" s="1226"/>
      <c r="N54" s="1226" t="s">
        <v>482</v>
      </c>
      <c r="O54" s="1225">
        <v>2</v>
      </c>
    </row>
    <row r="55" spans="1:16" ht="15.75" thickBot="1">
      <c r="A55" s="951">
        <v>53</v>
      </c>
      <c r="B55" s="951" t="s">
        <v>1463</v>
      </c>
      <c r="C55" s="951" t="s">
        <v>1469</v>
      </c>
      <c r="D55" s="951" t="s">
        <v>1470</v>
      </c>
      <c r="E55" s="951" t="s">
        <v>482</v>
      </c>
      <c r="F55" s="1897"/>
      <c r="I55" s="1904"/>
      <c r="J55" s="1226" t="s">
        <v>1374</v>
      </c>
      <c r="K55" s="1226">
        <v>1</v>
      </c>
      <c r="L55" s="1226"/>
      <c r="M55" s="1226"/>
      <c r="N55" s="1226" t="s">
        <v>482</v>
      </c>
      <c r="O55" s="1225">
        <v>2</v>
      </c>
    </row>
    <row r="56" spans="1:16" ht="15.75" thickBot="1">
      <c r="A56" s="951">
        <v>54</v>
      </c>
      <c r="B56" s="951" t="s">
        <v>1471</v>
      </c>
      <c r="C56" s="951" t="s">
        <v>1472</v>
      </c>
      <c r="D56" s="951" t="s">
        <v>1473</v>
      </c>
      <c r="E56" s="1270" t="s">
        <v>1362</v>
      </c>
      <c r="F56" s="1893" t="s">
        <v>1374</v>
      </c>
      <c r="I56" s="1227"/>
      <c r="J56" s="1226"/>
      <c r="K56" s="1234"/>
      <c r="L56" s="1226"/>
      <c r="M56" s="1234"/>
      <c r="N56" s="1226"/>
      <c r="O56" s="1235"/>
    </row>
    <row r="57" spans="1:16">
      <c r="A57" s="951">
        <v>55</v>
      </c>
      <c r="B57" s="951" t="s">
        <v>1471</v>
      </c>
      <c r="C57" s="951" t="s">
        <v>1474</v>
      </c>
      <c r="D57" s="951" t="s">
        <v>1475</v>
      </c>
      <c r="E57" s="951" t="s">
        <v>481</v>
      </c>
      <c r="F57" s="1893"/>
      <c r="I57" s="940"/>
      <c r="J57" s="30"/>
      <c r="K57" s="1272">
        <f>SUM(K2:K56)</f>
        <v>29</v>
      </c>
      <c r="L57" s="30"/>
      <c r="M57" s="1272">
        <f>SUM(M2:M56)</f>
        <v>32</v>
      </c>
      <c r="N57" s="30"/>
      <c r="O57" s="1272">
        <f>SUM(O2:O56)</f>
        <v>90</v>
      </c>
    </row>
    <row r="58" spans="1:16">
      <c r="A58" s="951">
        <v>56</v>
      </c>
      <c r="B58" s="951" t="s">
        <v>1471</v>
      </c>
      <c r="C58" s="951" t="s">
        <v>1476</v>
      </c>
      <c r="D58" s="951" t="s">
        <v>1477</v>
      </c>
      <c r="E58" s="951" t="s">
        <v>481</v>
      </c>
      <c r="F58" s="1893"/>
      <c r="P58" s="1271">
        <f>K57+M57+O57</f>
        <v>151</v>
      </c>
    </row>
    <row r="59" spans="1:16">
      <c r="A59" s="951">
        <v>57</v>
      </c>
      <c r="B59" s="951" t="s">
        <v>1471</v>
      </c>
      <c r="C59" s="951" t="s">
        <v>1478</v>
      </c>
      <c r="D59" s="951" t="s">
        <v>1479</v>
      </c>
      <c r="E59" s="951" t="s">
        <v>482</v>
      </c>
      <c r="F59" s="1893"/>
      <c r="I59" s="940"/>
      <c r="J59" s="30"/>
      <c r="K59" s="30"/>
      <c r="L59" s="30"/>
      <c r="M59" s="30"/>
      <c r="N59" s="30"/>
      <c r="O59" s="30"/>
    </row>
    <row r="60" spans="1:16" ht="15" customHeight="1">
      <c r="A60" s="951">
        <v>58</v>
      </c>
      <c r="B60" s="951" t="s">
        <v>1471</v>
      </c>
      <c r="C60" s="951" t="s">
        <v>1480</v>
      </c>
      <c r="D60" s="951" t="s">
        <v>1481</v>
      </c>
      <c r="E60" s="951" t="s">
        <v>482</v>
      </c>
      <c r="F60" s="1893"/>
      <c r="I60" s="940"/>
      <c r="J60" s="30"/>
      <c r="K60" s="30"/>
      <c r="L60" s="30"/>
      <c r="M60" s="30"/>
      <c r="N60" s="30"/>
      <c r="O60" s="30"/>
    </row>
    <row r="61" spans="1:16">
      <c r="A61" s="951">
        <v>59</v>
      </c>
      <c r="B61" s="951" t="s">
        <v>1471</v>
      </c>
      <c r="C61" s="951" t="s">
        <v>1482</v>
      </c>
      <c r="D61" s="951" t="s">
        <v>1483</v>
      </c>
      <c r="E61" s="951" t="s">
        <v>1352</v>
      </c>
      <c r="F61" s="1893"/>
      <c r="I61" s="940"/>
      <c r="J61" s="30"/>
      <c r="K61" s="30"/>
      <c r="L61" s="30"/>
      <c r="M61" s="30"/>
      <c r="N61" s="30"/>
      <c r="O61" s="30"/>
    </row>
    <row r="62" spans="1:16">
      <c r="A62" s="951">
        <v>60</v>
      </c>
      <c r="B62" s="951" t="s">
        <v>1471</v>
      </c>
      <c r="C62" s="951" t="s">
        <v>1484</v>
      </c>
      <c r="D62" s="951" t="s">
        <v>1485</v>
      </c>
      <c r="E62" s="951" t="s">
        <v>1352</v>
      </c>
      <c r="F62" s="1893"/>
      <c r="I62" s="76"/>
      <c r="J62" s="30"/>
      <c r="K62" s="30"/>
      <c r="L62" s="30"/>
      <c r="M62" s="30"/>
      <c r="N62" s="30"/>
      <c r="O62" s="30"/>
    </row>
    <row r="63" spans="1:16" ht="15.75" customHeight="1">
      <c r="A63" s="951">
        <v>61</v>
      </c>
      <c r="B63" s="951" t="s">
        <v>1486</v>
      </c>
      <c r="C63" s="951" t="s">
        <v>1487</v>
      </c>
      <c r="D63" s="951" t="s">
        <v>1488</v>
      </c>
      <c r="E63" s="1270" t="s">
        <v>1489</v>
      </c>
      <c r="F63" s="1893" t="s">
        <v>1379</v>
      </c>
      <c r="I63" s="30"/>
      <c r="J63" s="30"/>
      <c r="K63" s="30"/>
      <c r="L63" s="30"/>
      <c r="M63" s="30"/>
      <c r="N63" s="30"/>
      <c r="O63" s="30"/>
    </row>
    <row r="64" spans="1:16" ht="15" customHeight="1">
      <c r="A64" s="951">
        <v>62</v>
      </c>
      <c r="B64" s="951" t="s">
        <v>1486</v>
      </c>
      <c r="C64" s="951" t="s">
        <v>1490</v>
      </c>
      <c r="D64" s="951" t="s">
        <v>1491</v>
      </c>
      <c r="E64" s="951" t="s">
        <v>477</v>
      </c>
      <c r="F64" s="1893"/>
    </row>
    <row r="65" spans="1:6" ht="15" customHeight="1">
      <c r="A65" s="951">
        <v>63</v>
      </c>
      <c r="B65" s="951" t="s">
        <v>1486</v>
      </c>
      <c r="C65" s="951" t="s">
        <v>1492</v>
      </c>
      <c r="D65" s="951" t="s">
        <v>1493</v>
      </c>
      <c r="E65" s="951" t="s">
        <v>478</v>
      </c>
      <c r="F65" s="1893"/>
    </row>
    <row r="66" spans="1:6">
      <c r="A66" s="951">
        <v>64</v>
      </c>
      <c r="B66" s="951" t="s">
        <v>1486</v>
      </c>
      <c r="C66" s="951" t="s">
        <v>1494</v>
      </c>
      <c r="D66" s="951" t="s">
        <v>1495</v>
      </c>
      <c r="E66" s="951" t="s">
        <v>478</v>
      </c>
      <c r="F66" s="1893"/>
    </row>
    <row r="67" spans="1:6">
      <c r="A67" s="951">
        <v>65</v>
      </c>
      <c r="B67" s="951" t="s">
        <v>1486</v>
      </c>
      <c r="C67" s="951" t="s">
        <v>1496</v>
      </c>
      <c r="D67" s="951" t="s">
        <v>1497</v>
      </c>
      <c r="E67" s="951" t="s">
        <v>1324</v>
      </c>
      <c r="F67" s="1893"/>
    </row>
    <row r="68" spans="1:6">
      <c r="A68" s="951">
        <v>66</v>
      </c>
      <c r="B68" s="951" t="s">
        <v>1486</v>
      </c>
      <c r="C68" s="951" t="s">
        <v>1498</v>
      </c>
      <c r="D68" s="951" t="s">
        <v>1499</v>
      </c>
      <c r="E68" s="951" t="s">
        <v>1324</v>
      </c>
      <c r="F68" s="1893"/>
    </row>
    <row r="69" spans="1:6" ht="14.25" customHeight="1">
      <c r="A69" s="951">
        <v>67</v>
      </c>
      <c r="B69" s="951" t="s">
        <v>1500</v>
      </c>
      <c r="C69" s="951" t="s">
        <v>1501</v>
      </c>
      <c r="D69" s="951" t="s">
        <v>1502</v>
      </c>
      <c r="E69" s="1270" t="s">
        <v>1489</v>
      </c>
      <c r="F69" s="1893" t="s">
        <v>1384</v>
      </c>
    </row>
    <row r="70" spans="1:6" ht="16.5" customHeight="1">
      <c r="A70" s="951">
        <v>68</v>
      </c>
      <c r="B70" s="951" t="s">
        <v>1500</v>
      </c>
      <c r="C70" s="951" t="s">
        <v>1503</v>
      </c>
      <c r="D70" s="951" t="s">
        <v>1504</v>
      </c>
      <c r="E70" s="951" t="s">
        <v>477</v>
      </c>
      <c r="F70" s="1893"/>
    </row>
    <row r="71" spans="1:6" ht="15" customHeight="1">
      <c r="A71" s="951">
        <v>69</v>
      </c>
      <c r="B71" s="951" t="s">
        <v>1500</v>
      </c>
      <c r="C71" s="951" t="s">
        <v>1505</v>
      </c>
      <c r="D71" s="951" t="s">
        <v>1506</v>
      </c>
      <c r="E71" s="951" t="s">
        <v>477</v>
      </c>
      <c r="F71" s="1893"/>
    </row>
    <row r="72" spans="1:6">
      <c r="A72" s="951">
        <v>70</v>
      </c>
      <c r="B72" s="951" t="s">
        <v>1500</v>
      </c>
      <c r="C72" s="951" t="s">
        <v>1507</v>
      </c>
      <c r="D72" s="951" t="s">
        <v>1508</v>
      </c>
      <c r="E72" s="951" t="s">
        <v>482</v>
      </c>
      <c r="F72" s="1893"/>
    </row>
    <row r="73" spans="1:6">
      <c r="A73" s="951">
        <v>71</v>
      </c>
      <c r="B73" s="951" t="s">
        <v>1500</v>
      </c>
      <c r="C73" s="951" t="s">
        <v>1509</v>
      </c>
      <c r="D73" s="951" t="s">
        <v>1510</v>
      </c>
      <c r="E73" s="951" t="s">
        <v>1324</v>
      </c>
      <c r="F73" s="1893"/>
    </row>
    <row r="74" spans="1:6">
      <c r="A74" s="951">
        <v>72</v>
      </c>
      <c r="B74" s="951" t="s">
        <v>1500</v>
      </c>
      <c r="C74" s="951" t="s">
        <v>1511</v>
      </c>
      <c r="D74" s="951" t="s">
        <v>1512</v>
      </c>
      <c r="E74" s="951" t="s">
        <v>1356</v>
      </c>
      <c r="F74" s="1893"/>
    </row>
    <row r="75" spans="1:6" ht="15" customHeight="1">
      <c r="A75" s="951">
        <v>73</v>
      </c>
      <c r="B75" s="951" t="s">
        <v>1500</v>
      </c>
      <c r="C75" s="951" t="s">
        <v>1513</v>
      </c>
      <c r="D75" s="951" t="s">
        <v>1514</v>
      </c>
      <c r="E75" s="951" t="s">
        <v>1352</v>
      </c>
      <c r="F75" s="1893"/>
    </row>
    <row r="76" spans="1:6" ht="15" customHeight="1">
      <c r="A76" s="951">
        <v>74</v>
      </c>
      <c r="B76" s="951" t="s">
        <v>1515</v>
      </c>
      <c r="C76" s="951" t="s">
        <v>1516</v>
      </c>
      <c r="D76" s="951" t="s">
        <v>1517</v>
      </c>
      <c r="E76" s="1270" t="s">
        <v>1489</v>
      </c>
      <c r="F76" s="1893" t="s">
        <v>1393</v>
      </c>
    </row>
    <row r="77" spans="1:6">
      <c r="A77" s="951">
        <v>75</v>
      </c>
      <c r="B77" s="951" t="s">
        <v>1515</v>
      </c>
      <c r="C77" s="951" t="s">
        <v>1518</v>
      </c>
      <c r="D77" s="951" t="s">
        <v>1519</v>
      </c>
      <c r="E77" s="951" t="s">
        <v>477</v>
      </c>
      <c r="F77" s="1893"/>
    </row>
    <row r="78" spans="1:6" ht="15" customHeight="1">
      <c r="A78" s="951">
        <v>76</v>
      </c>
      <c r="B78" s="951" t="s">
        <v>1515</v>
      </c>
      <c r="C78" s="951" t="s">
        <v>1520</v>
      </c>
      <c r="D78" s="951" t="s">
        <v>1521</v>
      </c>
      <c r="E78" s="951" t="s">
        <v>477</v>
      </c>
      <c r="F78" s="1893"/>
    </row>
    <row r="79" spans="1:6">
      <c r="A79" s="951">
        <v>77</v>
      </c>
      <c r="B79" s="951" t="s">
        <v>1515</v>
      </c>
      <c r="C79" s="951" t="s">
        <v>1522</v>
      </c>
      <c r="D79" s="951" t="s">
        <v>1523</v>
      </c>
      <c r="E79" s="951" t="s">
        <v>482</v>
      </c>
      <c r="F79" s="1893"/>
    </row>
    <row r="80" spans="1:6">
      <c r="A80" s="951">
        <v>78</v>
      </c>
      <c r="B80" s="951" t="s">
        <v>1515</v>
      </c>
      <c r="C80" s="951" t="s">
        <v>1524</v>
      </c>
      <c r="D80" s="951" t="s">
        <v>1525</v>
      </c>
      <c r="E80" s="951" t="s">
        <v>1324</v>
      </c>
      <c r="F80" s="1893"/>
    </row>
    <row r="81" spans="1:6" ht="15" customHeight="1">
      <c r="A81" s="951">
        <v>79</v>
      </c>
      <c r="B81" s="951" t="s">
        <v>1515</v>
      </c>
      <c r="C81" s="951" t="s">
        <v>1526</v>
      </c>
      <c r="D81" s="951" t="s">
        <v>1527</v>
      </c>
      <c r="E81" s="951" t="s">
        <v>1356</v>
      </c>
      <c r="F81" s="1893"/>
    </row>
    <row r="82" spans="1:6">
      <c r="A82" s="951">
        <v>80</v>
      </c>
      <c r="B82" s="951" t="s">
        <v>1515</v>
      </c>
      <c r="C82" s="951" t="s">
        <v>1528</v>
      </c>
      <c r="D82" s="951" t="s">
        <v>1529</v>
      </c>
      <c r="E82" s="951" t="s">
        <v>1352</v>
      </c>
      <c r="F82" s="1893"/>
    </row>
    <row r="83" spans="1:6">
      <c r="A83" s="951">
        <v>81</v>
      </c>
      <c r="B83" s="951" t="s">
        <v>1530</v>
      </c>
      <c r="C83" s="951" t="s">
        <v>1531</v>
      </c>
      <c r="D83" s="951" t="s">
        <v>1532</v>
      </c>
      <c r="E83" s="1270" t="s">
        <v>1489</v>
      </c>
      <c r="F83" s="1893" t="s">
        <v>1403</v>
      </c>
    </row>
    <row r="84" spans="1:6">
      <c r="A84" s="951">
        <v>82</v>
      </c>
      <c r="B84" s="951" t="s">
        <v>1530</v>
      </c>
      <c r="C84" s="951" t="s">
        <v>1533</v>
      </c>
      <c r="D84" s="951" t="s">
        <v>1534</v>
      </c>
      <c r="E84" s="951" t="s">
        <v>477</v>
      </c>
      <c r="F84" s="1893"/>
    </row>
    <row r="85" spans="1:6" ht="16.5" customHeight="1">
      <c r="A85" s="951">
        <v>83</v>
      </c>
      <c r="B85" s="951" t="s">
        <v>1530</v>
      </c>
      <c r="C85" s="951" t="s">
        <v>1535</v>
      </c>
      <c r="D85" s="951" t="s">
        <v>1536</v>
      </c>
      <c r="E85" s="951" t="s">
        <v>477</v>
      </c>
      <c r="F85" s="1893"/>
    </row>
    <row r="86" spans="1:6">
      <c r="A86" s="951">
        <v>84</v>
      </c>
      <c r="B86" s="951" t="s">
        <v>1530</v>
      </c>
      <c r="C86" s="951" t="s">
        <v>1537</v>
      </c>
      <c r="D86" s="951" t="s">
        <v>1538</v>
      </c>
      <c r="E86" s="951" t="s">
        <v>481</v>
      </c>
      <c r="F86" s="1893"/>
    </row>
    <row r="87" spans="1:6" ht="15" customHeight="1">
      <c r="A87" s="951">
        <v>85</v>
      </c>
      <c r="B87" s="951" t="s">
        <v>1530</v>
      </c>
      <c r="C87" s="951" t="s">
        <v>1539</v>
      </c>
      <c r="D87" s="951" t="s">
        <v>1540</v>
      </c>
      <c r="E87" s="951" t="s">
        <v>1324</v>
      </c>
      <c r="F87" s="1893"/>
    </row>
    <row r="88" spans="1:6">
      <c r="A88" s="951">
        <v>86</v>
      </c>
      <c r="B88" s="951" t="s">
        <v>1530</v>
      </c>
      <c r="C88" s="951" t="s">
        <v>1541</v>
      </c>
      <c r="D88" s="951" t="s">
        <v>1542</v>
      </c>
      <c r="E88" s="951" t="s">
        <v>1356</v>
      </c>
      <c r="F88" s="1893"/>
    </row>
    <row r="89" spans="1:6">
      <c r="A89" s="951">
        <v>87</v>
      </c>
      <c r="B89" s="951" t="s">
        <v>1543</v>
      </c>
      <c r="C89" s="951" t="s">
        <v>1544</v>
      </c>
      <c r="D89" s="951" t="s">
        <v>1545</v>
      </c>
      <c r="E89" s="1270" t="s">
        <v>1546</v>
      </c>
      <c r="F89" s="1891" t="s">
        <v>1408</v>
      </c>
    </row>
    <row r="90" spans="1:6">
      <c r="A90" s="951">
        <v>88</v>
      </c>
      <c r="B90" s="951" t="s">
        <v>1543</v>
      </c>
      <c r="C90" s="951" t="s">
        <v>1547</v>
      </c>
      <c r="D90" s="951" t="s">
        <v>1548</v>
      </c>
      <c r="E90" s="951" t="s">
        <v>482</v>
      </c>
      <c r="F90" s="1891"/>
    </row>
    <row r="91" spans="1:6">
      <c r="A91" s="951">
        <v>89</v>
      </c>
      <c r="B91" s="951" t="s">
        <v>1543</v>
      </c>
      <c r="C91" s="951" t="s">
        <v>1549</v>
      </c>
      <c r="D91" s="951" t="s">
        <v>1550</v>
      </c>
      <c r="E91" s="951" t="s">
        <v>482</v>
      </c>
      <c r="F91" s="1891"/>
    </row>
    <row r="92" spans="1:6" ht="15" customHeight="1">
      <c r="A92" s="951">
        <v>90</v>
      </c>
      <c r="B92" s="951" t="s">
        <v>1543</v>
      </c>
      <c r="C92" s="951" t="s">
        <v>1551</v>
      </c>
      <c r="D92" s="951" t="s">
        <v>1552</v>
      </c>
      <c r="E92" s="951" t="s">
        <v>482</v>
      </c>
      <c r="F92" s="1891"/>
    </row>
    <row r="93" spans="1:6">
      <c r="A93" s="951">
        <v>91</v>
      </c>
      <c r="B93" s="951" t="s">
        <v>1553</v>
      </c>
      <c r="C93" s="951" t="s">
        <v>1554</v>
      </c>
      <c r="D93" s="951" t="s">
        <v>1555</v>
      </c>
      <c r="E93" s="1270" t="s">
        <v>1489</v>
      </c>
      <c r="F93" s="1891" t="s">
        <v>1411</v>
      </c>
    </row>
    <row r="94" spans="1:6">
      <c r="A94" s="951">
        <v>92</v>
      </c>
      <c r="B94" s="951" t="s">
        <v>1553</v>
      </c>
      <c r="C94" s="951" t="s">
        <v>1556</v>
      </c>
      <c r="D94" s="951" t="s">
        <v>1557</v>
      </c>
      <c r="E94" s="951" t="s">
        <v>477</v>
      </c>
      <c r="F94" s="1891"/>
    </row>
    <row r="95" spans="1:6" ht="15" customHeight="1">
      <c r="A95" s="951">
        <v>93</v>
      </c>
      <c r="B95" s="951" t="s">
        <v>1553</v>
      </c>
      <c r="C95" s="951" t="s">
        <v>1558</v>
      </c>
      <c r="D95" s="951" t="s">
        <v>1559</v>
      </c>
      <c r="E95" s="951" t="s">
        <v>477</v>
      </c>
      <c r="F95" s="1891"/>
    </row>
    <row r="96" spans="1:6" ht="15.75" customHeight="1">
      <c r="A96" s="951">
        <v>94</v>
      </c>
      <c r="B96" s="951" t="s">
        <v>1553</v>
      </c>
      <c r="C96" s="951" t="s">
        <v>1560</v>
      </c>
      <c r="D96" s="951" t="s">
        <v>1561</v>
      </c>
      <c r="E96" s="951" t="s">
        <v>482</v>
      </c>
      <c r="F96" s="1891"/>
    </row>
    <row r="97" spans="1:6">
      <c r="A97" s="951">
        <v>95</v>
      </c>
      <c r="B97" s="951" t="s">
        <v>1553</v>
      </c>
      <c r="C97" s="951" t="s">
        <v>1562</v>
      </c>
      <c r="D97" s="951" t="s">
        <v>1563</v>
      </c>
      <c r="E97" s="951" t="s">
        <v>1324</v>
      </c>
      <c r="F97" s="1891"/>
    </row>
    <row r="98" spans="1:6" ht="16.5" customHeight="1">
      <c r="A98" s="951">
        <v>96</v>
      </c>
      <c r="B98" s="951" t="s">
        <v>1553</v>
      </c>
      <c r="C98" s="951" t="s">
        <v>1564</v>
      </c>
      <c r="D98" s="951" t="s">
        <v>1565</v>
      </c>
      <c r="E98" s="951" t="s">
        <v>1356</v>
      </c>
      <c r="F98" s="1891"/>
    </row>
    <row r="99" spans="1:6">
      <c r="A99" s="951">
        <v>97</v>
      </c>
      <c r="B99" s="951" t="s">
        <v>1553</v>
      </c>
      <c r="C99" s="951" t="s">
        <v>1566</v>
      </c>
      <c r="D99" s="951" t="s">
        <v>1567</v>
      </c>
      <c r="E99" s="951" t="s">
        <v>1352</v>
      </c>
      <c r="F99" s="1891"/>
    </row>
    <row r="100" spans="1:6">
      <c r="A100" s="951">
        <v>98</v>
      </c>
      <c r="B100" s="951" t="s">
        <v>1568</v>
      </c>
      <c r="C100" s="951" t="s">
        <v>1569</v>
      </c>
      <c r="D100" s="951" t="s">
        <v>1570</v>
      </c>
      <c r="E100" s="1270" t="s">
        <v>1571</v>
      </c>
      <c r="F100" s="1891" t="s">
        <v>1420</v>
      </c>
    </row>
    <row r="101" spans="1:6">
      <c r="A101" s="951">
        <v>99</v>
      </c>
      <c r="B101" s="951" t="s">
        <v>1568</v>
      </c>
      <c r="C101" s="951" t="s">
        <v>1572</v>
      </c>
      <c r="D101" s="951" t="s">
        <v>1573</v>
      </c>
      <c r="E101" s="951" t="s">
        <v>478</v>
      </c>
      <c r="F101" s="1891"/>
    </row>
    <row r="102" spans="1:6" ht="15" customHeight="1">
      <c r="A102" s="951">
        <v>100</v>
      </c>
      <c r="B102" s="951" t="s">
        <v>1568</v>
      </c>
      <c r="C102" s="951" t="s">
        <v>1574</v>
      </c>
      <c r="D102" s="951" t="s">
        <v>1575</v>
      </c>
      <c r="E102" s="951" t="s">
        <v>478</v>
      </c>
      <c r="F102" s="1891"/>
    </row>
    <row r="103" spans="1:6">
      <c r="A103" s="951">
        <v>101</v>
      </c>
      <c r="B103" s="951" t="s">
        <v>1568</v>
      </c>
      <c r="C103" s="951" t="s">
        <v>1576</v>
      </c>
      <c r="D103" s="951" t="s">
        <v>1577</v>
      </c>
      <c r="E103" s="951" t="s">
        <v>482</v>
      </c>
      <c r="F103" s="1891"/>
    </row>
    <row r="104" spans="1:6" ht="15" customHeight="1">
      <c r="A104" s="951">
        <v>102</v>
      </c>
      <c r="B104" s="951" t="s">
        <v>1568</v>
      </c>
      <c r="C104" s="951" t="s">
        <v>1578</v>
      </c>
      <c r="D104" s="951" t="s">
        <v>1579</v>
      </c>
      <c r="E104" s="951" t="s">
        <v>1356</v>
      </c>
      <c r="F104" s="1891"/>
    </row>
    <row r="105" spans="1:6">
      <c r="A105" s="951">
        <v>103</v>
      </c>
      <c r="B105" s="951" t="s">
        <v>1568</v>
      </c>
      <c r="C105" s="951" t="s">
        <v>1580</v>
      </c>
      <c r="D105" s="951" t="s">
        <v>1581</v>
      </c>
      <c r="E105" s="951" t="s">
        <v>1352</v>
      </c>
      <c r="F105" s="1891"/>
    </row>
    <row r="106" spans="1:6" ht="15" customHeight="1">
      <c r="A106" s="951">
        <v>104</v>
      </c>
      <c r="B106" s="951" t="s">
        <v>1582</v>
      </c>
      <c r="C106" s="951" t="s">
        <v>1583</v>
      </c>
      <c r="D106" s="951" t="s">
        <v>1584</v>
      </c>
      <c r="E106" s="1270" t="s">
        <v>1546</v>
      </c>
      <c r="F106" s="1891" t="s">
        <v>1425</v>
      </c>
    </row>
    <row r="107" spans="1:6">
      <c r="A107" s="951">
        <v>105</v>
      </c>
      <c r="B107" s="951" t="s">
        <v>1582</v>
      </c>
      <c r="C107" s="951" t="s">
        <v>1585</v>
      </c>
      <c r="D107" s="951" t="s">
        <v>1586</v>
      </c>
      <c r="E107" s="951" t="s">
        <v>482</v>
      </c>
      <c r="F107" s="1891"/>
    </row>
    <row r="108" spans="1:6">
      <c r="A108" s="951">
        <v>106</v>
      </c>
      <c r="B108" s="951" t="s">
        <v>1582</v>
      </c>
      <c r="C108" s="951" t="s">
        <v>1587</v>
      </c>
      <c r="D108" s="951" t="s">
        <v>1588</v>
      </c>
      <c r="E108" s="951" t="s">
        <v>482</v>
      </c>
      <c r="F108" s="1891"/>
    </row>
    <row r="109" spans="1:6">
      <c r="A109" s="951">
        <v>107</v>
      </c>
      <c r="B109" s="951" t="s">
        <v>1582</v>
      </c>
      <c r="C109" s="951" t="s">
        <v>1589</v>
      </c>
      <c r="D109" s="951" t="s">
        <v>1590</v>
      </c>
      <c r="E109" s="951" t="s">
        <v>482</v>
      </c>
      <c r="F109" s="1891"/>
    </row>
    <row r="110" spans="1:6">
      <c r="A110" s="951">
        <v>108</v>
      </c>
      <c r="B110" s="951" t="s">
        <v>1591</v>
      </c>
      <c r="C110" s="951" t="s">
        <v>1592</v>
      </c>
      <c r="D110" s="951" t="s">
        <v>1593</v>
      </c>
      <c r="E110" s="1270" t="s">
        <v>1546</v>
      </c>
      <c r="F110" s="1894" t="s">
        <v>1428</v>
      </c>
    </row>
    <row r="111" spans="1:6">
      <c r="A111" s="951">
        <v>109</v>
      </c>
      <c r="B111" s="951" t="s">
        <v>1591</v>
      </c>
      <c r="C111" s="951" t="s">
        <v>1594</v>
      </c>
      <c r="D111" s="951" t="s">
        <v>1595</v>
      </c>
      <c r="E111" s="951" t="s">
        <v>482</v>
      </c>
      <c r="F111" s="1895"/>
    </row>
    <row r="112" spans="1:6" ht="15" customHeight="1">
      <c r="A112" s="951">
        <v>110</v>
      </c>
      <c r="B112" s="951" t="s">
        <v>1591</v>
      </c>
      <c r="C112" s="951" t="s">
        <v>1596</v>
      </c>
      <c r="D112" s="951" t="s">
        <v>1597</v>
      </c>
      <c r="E112" s="951" t="s">
        <v>482</v>
      </c>
      <c r="F112" s="1895"/>
    </row>
    <row r="113" spans="1:6" ht="15" customHeight="1">
      <c r="A113" s="951">
        <v>111</v>
      </c>
      <c r="B113" s="951" t="s">
        <v>1591</v>
      </c>
      <c r="C113" s="951" t="s">
        <v>1598</v>
      </c>
      <c r="D113" s="951" t="s">
        <v>1599</v>
      </c>
      <c r="E113" s="951" t="s">
        <v>482</v>
      </c>
      <c r="F113" s="1896"/>
    </row>
    <row r="114" spans="1:6" ht="15" customHeight="1">
      <c r="A114" s="951">
        <v>112</v>
      </c>
      <c r="B114" s="951" t="s">
        <v>1600</v>
      </c>
      <c r="C114" s="951" t="s">
        <v>1601</v>
      </c>
      <c r="D114" s="951" t="s">
        <v>1602</v>
      </c>
      <c r="E114" s="1270" t="s">
        <v>1571</v>
      </c>
      <c r="F114" s="1891" t="s">
        <v>1431</v>
      </c>
    </row>
    <row r="115" spans="1:6">
      <c r="A115" s="951">
        <v>113</v>
      </c>
      <c r="B115" s="951" t="s">
        <v>1600</v>
      </c>
      <c r="C115" s="951" t="s">
        <v>1603</v>
      </c>
      <c r="D115" s="951" t="s">
        <v>1604</v>
      </c>
      <c r="E115" s="951" t="s">
        <v>478</v>
      </c>
      <c r="F115" s="1891"/>
    </row>
    <row r="116" spans="1:6">
      <c r="A116" s="951">
        <v>114</v>
      </c>
      <c r="B116" s="951" t="s">
        <v>1600</v>
      </c>
      <c r="C116" s="951" t="s">
        <v>1605</v>
      </c>
      <c r="D116" s="951" t="s">
        <v>1606</v>
      </c>
      <c r="E116" s="951" t="s">
        <v>478</v>
      </c>
      <c r="F116" s="1891"/>
    </row>
    <row r="117" spans="1:6">
      <c r="A117" s="951">
        <v>115</v>
      </c>
      <c r="B117" s="951" t="s">
        <v>1600</v>
      </c>
      <c r="C117" s="951" t="s">
        <v>1607</v>
      </c>
      <c r="D117" s="951" t="s">
        <v>1608</v>
      </c>
      <c r="E117" s="951" t="s">
        <v>482</v>
      </c>
      <c r="F117" s="1891"/>
    </row>
    <row r="118" spans="1:6" ht="15" customHeight="1">
      <c r="A118" s="951">
        <v>116</v>
      </c>
      <c r="B118" s="951" t="s">
        <v>1600</v>
      </c>
      <c r="C118" s="951" t="s">
        <v>1609</v>
      </c>
      <c r="D118" s="951" t="s">
        <v>1610</v>
      </c>
      <c r="E118" s="951" t="s">
        <v>1436</v>
      </c>
      <c r="F118" s="1891"/>
    </row>
    <row r="119" spans="1:6" ht="33" customHeight="1">
      <c r="A119" s="951">
        <v>117</v>
      </c>
      <c r="B119" s="951" t="s">
        <v>1600</v>
      </c>
      <c r="C119" s="951" t="s">
        <v>1611</v>
      </c>
      <c r="D119" s="951" t="s">
        <v>1612</v>
      </c>
      <c r="E119" s="951" t="s">
        <v>1356</v>
      </c>
      <c r="F119" s="1891"/>
    </row>
    <row r="120" spans="1:6">
      <c r="A120" s="951">
        <v>118</v>
      </c>
      <c r="B120" s="951" t="s">
        <v>1600</v>
      </c>
      <c r="C120" s="951" t="s">
        <v>1613</v>
      </c>
      <c r="D120" s="951" t="s">
        <v>1614</v>
      </c>
      <c r="E120" s="951" t="s">
        <v>1352</v>
      </c>
      <c r="F120" s="1891"/>
    </row>
    <row r="121" spans="1:6">
      <c r="A121" s="951">
        <v>119</v>
      </c>
      <c r="B121" s="951" t="s">
        <v>1615</v>
      </c>
      <c r="C121" s="951" t="s">
        <v>1616</v>
      </c>
      <c r="D121" s="951" t="s">
        <v>1617</v>
      </c>
      <c r="E121" s="1270" t="s">
        <v>1618</v>
      </c>
      <c r="F121" s="1893" t="s">
        <v>1439</v>
      </c>
    </row>
    <row r="122" spans="1:6">
      <c r="A122" s="951">
        <v>120</v>
      </c>
      <c r="B122" s="951" t="s">
        <v>1615</v>
      </c>
      <c r="C122" s="951" t="s">
        <v>1619</v>
      </c>
      <c r="D122" s="951" t="s">
        <v>1620</v>
      </c>
      <c r="E122" s="951" t="s">
        <v>478</v>
      </c>
      <c r="F122" s="1893"/>
    </row>
    <row r="123" spans="1:6" ht="15.75" customHeight="1">
      <c r="A123" s="951">
        <v>121</v>
      </c>
      <c r="B123" s="951" t="s">
        <v>1615</v>
      </c>
      <c r="C123" s="951" t="s">
        <v>1621</v>
      </c>
      <c r="D123" s="951" t="s">
        <v>1622</v>
      </c>
      <c r="E123" s="951" t="s">
        <v>478</v>
      </c>
      <c r="F123" s="1893"/>
    </row>
    <row r="124" spans="1:6">
      <c r="A124" s="951">
        <v>122</v>
      </c>
      <c r="B124" s="951" t="s">
        <v>1321</v>
      </c>
      <c r="C124" s="951" t="s">
        <v>1623</v>
      </c>
      <c r="D124" s="951" t="s">
        <v>1624</v>
      </c>
      <c r="E124" s="1270" t="s">
        <v>1625</v>
      </c>
      <c r="F124" s="1891" t="s">
        <v>1444</v>
      </c>
    </row>
    <row r="125" spans="1:6" ht="16.5" customHeight="1">
      <c r="A125" s="951">
        <v>123</v>
      </c>
      <c r="B125" s="951" t="s">
        <v>1321</v>
      </c>
      <c r="C125" s="951" t="s">
        <v>1626</v>
      </c>
      <c r="D125" s="951" t="s">
        <v>1627</v>
      </c>
      <c r="E125" s="951" t="s">
        <v>477</v>
      </c>
      <c r="F125" s="1891"/>
    </row>
    <row r="126" spans="1:6">
      <c r="A126" s="951">
        <v>124</v>
      </c>
      <c r="B126" s="951" t="s">
        <v>1321</v>
      </c>
      <c r="C126" s="951" t="s">
        <v>1628</v>
      </c>
      <c r="D126" s="951" t="s">
        <v>1629</v>
      </c>
      <c r="E126" s="951" t="s">
        <v>477</v>
      </c>
      <c r="F126" s="1891"/>
    </row>
    <row r="127" spans="1:6" ht="16.5" customHeight="1">
      <c r="A127" s="951">
        <v>125</v>
      </c>
      <c r="B127" s="951" t="s">
        <v>1630</v>
      </c>
      <c r="C127" s="951" t="s">
        <v>1631</v>
      </c>
      <c r="D127" s="951" t="s">
        <v>1632</v>
      </c>
      <c r="E127" s="1270" t="s">
        <v>1625</v>
      </c>
      <c r="F127" s="1891" t="s">
        <v>1444</v>
      </c>
    </row>
    <row r="128" spans="1:6" ht="15" customHeight="1">
      <c r="A128" s="951">
        <v>126</v>
      </c>
      <c r="B128" s="951" t="s">
        <v>1630</v>
      </c>
      <c r="C128" s="951" t="s">
        <v>1633</v>
      </c>
      <c r="D128" s="951" t="s">
        <v>1634</v>
      </c>
      <c r="E128" s="951" t="s">
        <v>477</v>
      </c>
      <c r="F128" s="1891"/>
    </row>
    <row r="129" spans="1:6" ht="16.5" customHeight="1">
      <c r="A129" s="951">
        <v>127</v>
      </c>
      <c r="B129" s="951" t="s">
        <v>1630</v>
      </c>
      <c r="C129" s="951" t="s">
        <v>1635</v>
      </c>
      <c r="D129" s="951" t="s">
        <v>1636</v>
      </c>
      <c r="E129" s="951" t="s">
        <v>477</v>
      </c>
      <c r="F129" s="1891"/>
    </row>
    <row r="130" spans="1:6">
      <c r="A130" s="951">
        <v>128</v>
      </c>
      <c r="B130" s="951" t="s">
        <v>1515</v>
      </c>
      <c r="C130" s="951" t="s">
        <v>1637</v>
      </c>
      <c r="D130" s="951" t="s">
        <v>1638</v>
      </c>
      <c r="E130" s="1270" t="s">
        <v>1625</v>
      </c>
      <c r="F130" s="1891" t="s">
        <v>1447</v>
      </c>
    </row>
    <row r="131" spans="1:6">
      <c r="A131" s="951">
        <v>129</v>
      </c>
      <c r="B131" s="951" t="s">
        <v>1515</v>
      </c>
      <c r="C131" s="951" t="s">
        <v>1639</v>
      </c>
      <c r="D131" s="951" t="s">
        <v>1640</v>
      </c>
      <c r="E131" s="951" t="s">
        <v>477</v>
      </c>
      <c r="F131" s="1891"/>
    </row>
    <row r="132" spans="1:6">
      <c r="A132" s="951">
        <v>130</v>
      </c>
      <c r="B132" s="951" t="s">
        <v>1515</v>
      </c>
      <c r="C132" s="951" t="s">
        <v>1641</v>
      </c>
      <c r="D132" s="951" t="s">
        <v>1642</v>
      </c>
      <c r="E132" s="951" t="s">
        <v>477</v>
      </c>
      <c r="F132" s="1891"/>
    </row>
    <row r="133" spans="1:6" ht="15" customHeight="1">
      <c r="A133" s="951">
        <v>131</v>
      </c>
      <c r="B133" s="951" t="s">
        <v>1331</v>
      </c>
      <c r="C133" s="951" t="s">
        <v>1643</v>
      </c>
      <c r="D133" s="951" t="s">
        <v>1644</v>
      </c>
      <c r="E133" s="1270" t="s">
        <v>1625</v>
      </c>
      <c r="F133" s="1891" t="s">
        <v>1451</v>
      </c>
    </row>
    <row r="134" spans="1:6">
      <c r="A134" s="951">
        <v>132</v>
      </c>
      <c r="B134" s="951" t="s">
        <v>1331</v>
      </c>
      <c r="C134" s="951" t="s">
        <v>1645</v>
      </c>
      <c r="D134" s="951" t="s">
        <v>1646</v>
      </c>
      <c r="E134" s="951" t="s">
        <v>477</v>
      </c>
      <c r="F134" s="1891"/>
    </row>
    <row r="135" spans="1:6">
      <c r="A135" s="951">
        <v>133</v>
      </c>
      <c r="B135" s="951" t="s">
        <v>1331</v>
      </c>
      <c r="C135" s="951" t="s">
        <v>1647</v>
      </c>
      <c r="D135" s="951" t="s">
        <v>1648</v>
      </c>
      <c r="E135" s="951" t="s">
        <v>477</v>
      </c>
      <c r="F135" s="1891"/>
    </row>
    <row r="136" spans="1:6">
      <c r="A136" s="951">
        <v>134</v>
      </c>
      <c r="B136" s="951" t="s">
        <v>1359</v>
      </c>
      <c r="C136" s="951" t="s">
        <v>1649</v>
      </c>
      <c r="D136" s="951" t="s">
        <v>1650</v>
      </c>
      <c r="E136" s="1270" t="s">
        <v>1625</v>
      </c>
      <c r="F136" s="1891" t="s">
        <v>1330</v>
      </c>
    </row>
    <row r="137" spans="1:6" ht="15" customHeight="1">
      <c r="A137" s="951">
        <v>135</v>
      </c>
      <c r="B137" s="951" t="s">
        <v>1359</v>
      </c>
      <c r="C137" s="951" t="s">
        <v>1651</v>
      </c>
      <c r="D137" s="951" t="s">
        <v>1652</v>
      </c>
      <c r="E137" s="951" t="s">
        <v>477</v>
      </c>
      <c r="F137" s="1891"/>
    </row>
    <row r="138" spans="1:6">
      <c r="A138" s="951">
        <v>136</v>
      </c>
      <c r="B138" s="951" t="s">
        <v>1359</v>
      </c>
      <c r="C138" s="951" t="s">
        <v>1653</v>
      </c>
      <c r="D138" s="951" t="s">
        <v>1654</v>
      </c>
      <c r="E138" s="951" t="s">
        <v>477</v>
      </c>
      <c r="F138" s="1891"/>
    </row>
    <row r="139" spans="1:6" ht="16.5" customHeight="1">
      <c r="A139" s="951">
        <v>137</v>
      </c>
      <c r="B139" s="951" t="s">
        <v>1385</v>
      </c>
      <c r="C139" s="951" t="s">
        <v>1655</v>
      </c>
      <c r="D139" s="951" t="s">
        <v>1656</v>
      </c>
      <c r="E139" s="1270" t="s">
        <v>1618</v>
      </c>
      <c r="F139" s="1891" t="s">
        <v>1338</v>
      </c>
    </row>
    <row r="140" spans="1:6">
      <c r="A140" s="951">
        <v>138</v>
      </c>
      <c r="B140" s="951" t="s">
        <v>1385</v>
      </c>
      <c r="C140" s="951" t="s">
        <v>1657</v>
      </c>
      <c r="D140" s="951" t="s">
        <v>1658</v>
      </c>
      <c r="E140" s="951" t="s">
        <v>478</v>
      </c>
      <c r="F140" s="1891"/>
    </row>
    <row r="141" spans="1:6" ht="15.75" customHeight="1">
      <c r="A141" s="951">
        <v>139</v>
      </c>
      <c r="B141" s="951" t="s">
        <v>1385</v>
      </c>
      <c r="C141" s="951" t="s">
        <v>1659</v>
      </c>
      <c r="D141" s="951" t="s">
        <v>1660</v>
      </c>
      <c r="E141" s="951" t="s">
        <v>478</v>
      </c>
      <c r="F141" s="1891"/>
    </row>
    <row r="142" spans="1:6">
      <c r="A142" s="951">
        <v>140</v>
      </c>
      <c r="B142" s="951" t="s">
        <v>1394</v>
      </c>
      <c r="C142" s="951" t="s">
        <v>1661</v>
      </c>
      <c r="D142" s="951" t="s">
        <v>1662</v>
      </c>
      <c r="E142" s="1270" t="s">
        <v>1618</v>
      </c>
      <c r="F142" s="1891" t="s">
        <v>1342</v>
      </c>
    </row>
    <row r="143" spans="1:6">
      <c r="A143" s="951">
        <v>141</v>
      </c>
      <c r="B143" s="951" t="s">
        <v>1394</v>
      </c>
      <c r="C143" s="951" t="s">
        <v>1663</v>
      </c>
      <c r="D143" s="951" t="s">
        <v>1664</v>
      </c>
      <c r="E143" s="951" t="s">
        <v>478</v>
      </c>
      <c r="F143" s="1891"/>
    </row>
    <row r="144" spans="1:6" ht="15" customHeight="1">
      <c r="A144" s="951">
        <v>142</v>
      </c>
      <c r="B144" s="951" t="s">
        <v>1394</v>
      </c>
      <c r="C144" s="951" t="s">
        <v>1665</v>
      </c>
      <c r="D144" s="951" t="s">
        <v>1666</v>
      </c>
      <c r="E144" s="951" t="s">
        <v>478</v>
      </c>
      <c r="F144" s="1891"/>
    </row>
    <row r="145" spans="1:6">
      <c r="A145" s="951">
        <v>143</v>
      </c>
      <c r="B145" s="951" t="s">
        <v>1400</v>
      </c>
      <c r="C145" s="951" t="s">
        <v>1667</v>
      </c>
      <c r="D145" s="951" t="s">
        <v>1668</v>
      </c>
      <c r="E145" s="1270" t="s">
        <v>1618</v>
      </c>
      <c r="F145" s="1891" t="s">
        <v>1346</v>
      </c>
    </row>
    <row r="146" spans="1:6">
      <c r="A146" s="951">
        <v>144</v>
      </c>
      <c r="B146" s="951" t="s">
        <v>1400</v>
      </c>
      <c r="C146" s="951" t="s">
        <v>1669</v>
      </c>
      <c r="D146" s="951" t="s">
        <v>1670</v>
      </c>
      <c r="E146" s="951" t="s">
        <v>478</v>
      </c>
      <c r="F146" s="1891"/>
    </row>
    <row r="147" spans="1:6">
      <c r="A147" s="951">
        <v>145</v>
      </c>
      <c r="B147" s="951" t="s">
        <v>1400</v>
      </c>
      <c r="C147" s="951" t="s">
        <v>1671</v>
      </c>
      <c r="D147" s="951" t="s">
        <v>1672</v>
      </c>
      <c r="E147" s="951" t="s">
        <v>478</v>
      </c>
      <c r="F147" s="1891"/>
    </row>
    <row r="148" spans="1:6">
      <c r="A148" s="951">
        <v>146</v>
      </c>
      <c r="B148" s="951" t="s">
        <v>1412</v>
      </c>
      <c r="C148" s="951" t="s">
        <v>1673</v>
      </c>
      <c r="D148" s="951" t="s">
        <v>1674</v>
      </c>
      <c r="E148" s="1270" t="s">
        <v>1675</v>
      </c>
      <c r="F148" s="1891" t="s">
        <v>1462</v>
      </c>
    </row>
    <row r="149" spans="1:6" ht="15" customHeight="1">
      <c r="A149" s="951">
        <v>147</v>
      </c>
      <c r="B149" s="951" t="s">
        <v>1412</v>
      </c>
      <c r="C149" s="951" t="s">
        <v>1676</v>
      </c>
      <c r="D149" s="951" t="s">
        <v>1677</v>
      </c>
      <c r="E149" s="951" t="s">
        <v>481</v>
      </c>
      <c r="F149" s="1891"/>
    </row>
    <row r="150" spans="1:6" ht="15" customHeight="1">
      <c r="A150" s="951">
        <v>148</v>
      </c>
      <c r="B150" s="951" t="s">
        <v>1412</v>
      </c>
      <c r="C150" s="951" t="s">
        <v>1678</v>
      </c>
      <c r="D150" s="951" t="s">
        <v>1679</v>
      </c>
      <c r="E150" s="951" t="s">
        <v>481</v>
      </c>
      <c r="F150" s="1891"/>
    </row>
    <row r="151" spans="1:6">
      <c r="A151" s="951">
        <v>149</v>
      </c>
      <c r="B151" s="951" t="s">
        <v>1591</v>
      </c>
      <c r="C151" s="951" t="s">
        <v>1680</v>
      </c>
      <c r="D151" s="951" t="s">
        <v>1681</v>
      </c>
      <c r="E151" s="1270" t="s">
        <v>1682</v>
      </c>
      <c r="F151" s="1891" t="s">
        <v>1357</v>
      </c>
    </row>
    <row r="152" spans="1:6">
      <c r="A152" s="951">
        <v>150</v>
      </c>
      <c r="B152" s="951" t="s">
        <v>1591</v>
      </c>
      <c r="C152" s="951" t="s">
        <v>1683</v>
      </c>
      <c r="D152" s="951" t="s">
        <v>1684</v>
      </c>
      <c r="E152" s="951" t="s">
        <v>482</v>
      </c>
      <c r="F152" s="1891"/>
    </row>
    <row r="153" spans="1:6">
      <c r="A153" s="951">
        <v>151</v>
      </c>
      <c r="B153" s="951" t="s">
        <v>1591</v>
      </c>
      <c r="C153" s="951" t="s">
        <v>1685</v>
      </c>
      <c r="D153" s="951" t="s">
        <v>1686</v>
      </c>
      <c r="E153" s="951" t="s">
        <v>482</v>
      </c>
      <c r="F153" s="1891"/>
    </row>
    <row r="154" spans="1:6">
      <c r="A154" s="951">
        <v>152</v>
      </c>
      <c r="B154" s="951" t="s">
        <v>1687</v>
      </c>
      <c r="C154" s="951" t="s">
        <v>1688</v>
      </c>
      <c r="D154" s="951" t="s">
        <v>1689</v>
      </c>
      <c r="E154" s="1270" t="s">
        <v>1682</v>
      </c>
      <c r="F154" s="1891" t="s">
        <v>1468</v>
      </c>
    </row>
    <row r="155" spans="1:6">
      <c r="A155" s="951">
        <v>153</v>
      </c>
      <c r="B155" s="951" t="s">
        <v>1687</v>
      </c>
      <c r="C155" s="951" t="s">
        <v>1690</v>
      </c>
      <c r="D155" s="951" t="s">
        <v>1691</v>
      </c>
      <c r="E155" s="951" t="s">
        <v>482</v>
      </c>
      <c r="F155" s="1891"/>
    </row>
    <row r="156" spans="1:6">
      <c r="A156" s="951">
        <v>154</v>
      </c>
      <c r="B156" s="951" t="s">
        <v>1687</v>
      </c>
      <c r="C156" s="951" t="s">
        <v>1692</v>
      </c>
      <c r="D156" s="951" t="s">
        <v>1693</v>
      </c>
      <c r="E156" s="951" t="s">
        <v>482</v>
      </c>
      <c r="F156" s="1891"/>
    </row>
    <row r="157" spans="1:6">
      <c r="A157" s="951">
        <v>155</v>
      </c>
      <c r="B157" s="951" t="s">
        <v>1471</v>
      </c>
      <c r="C157" s="951" t="s">
        <v>1694</v>
      </c>
      <c r="D157" s="951" t="s">
        <v>1695</v>
      </c>
      <c r="E157" s="1270" t="s">
        <v>1682</v>
      </c>
      <c r="F157" s="1891" t="s">
        <v>1374</v>
      </c>
    </row>
    <row r="158" spans="1:6">
      <c r="A158" s="951">
        <v>156</v>
      </c>
      <c r="B158" s="951" t="s">
        <v>1471</v>
      </c>
      <c r="C158" s="951" t="s">
        <v>1696</v>
      </c>
      <c r="D158" s="951" t="s">
        <v>1697</v>
      </c>
      <c r="E158" s="951" t="s">
        <v>482</v>
      </c>
      <c r="F158" s="1891"/>
    </row>
    <row r="159" spans="1:6">
      <c r="A159" s="951">
        <v>157</v>
      </c>
      <c r="B159" s="951" t="s">
        <v>1471</v>
      </c>
      <c r="C159" s="951" t="s">
        <v>1698</v>
      </c>
      <c r="D159" s="951" t="s">
        <v>1699</v>
      </c>
      <c r="E159" s="951" t="s">
        <v>482</v>
      </c>
      <c r="F159" s="1891"/>
    </row>
    <row r="160" spans="1:6">
      <c r="A160" s="1269">
        <v>158</v>
      </c>
      <c r="B160" s="1269" t="s">
        <v>1700</v>
      </c>
      <c r="C160" s="1269" t="s">
        <v>1701</v>
      </c>
      <c r="D160" s="1269" t="s">
        <v>1702</v>
      </c>
      <c r="E160" s="1269" t="s">
        <v>1703</v>
      </c>
      <c r="F160" s="1892" t="s">
        <v>1444</v>
      </c>
    </row>
    <row r="161" spans="1:6">
      <c r="A161" s="1269">
        <v>159</v>
      </c>
      <c r="B161" s="1269" t="s">
        <v>1700</v>
      </c>
      <c r="C161" s="1269" t="s">
        <v>1704</v>
      </c>
      <c r="D161" s="1269" t="s">
        <v>1705</v>
      </c>
      <c r="E161" s="1269" t="s">
        <v>477</v>
      </c>
      <c r="F161" s="1892"/>
    </row>
    <row r="162" spans="1:6" ht="15" customHeight="1">
      <c r="A162" s="1269">
        <v>160</v>
      </c>
      <c r="B162" s="1269" t="s">
        <v>1700</v>
      </c>
      <c r="C162" s="1269" t="s">
        <v>1706</v>
      </c>
      <c r="D162" s="1269" t="s">
        <v>1707</v>
      </c>
      <c r="E162" s="1269" t="s">
        <v>477</v>
      </c>
      <c r="F162" s="1892"/>
    </row>
    <row r="165" spans="1:6" ht="15" customHeight="1"/>
    <row r="169" spans="1:6">
      <c r="C169" s="1267"/>
      <c r="D169" s="1267"/>
      <c r="F169" s="1244"/>
    </row>
    <row r="170" spans="1:6">
      <c r="C170" s="1267"/>
      <c r="D170" s="1267"/>
      <c r="F170" s="1244"/>
    </row>
    <row r="171" spans="1:6">
      <c r="C171" s="1267"/>
      <c r="D171" s="1267"/>
      <c r="F171" s="1244"/>
    </row>
    <row r="172" spans="1:6">
      <c r="C172" s="1267"/>
      <c r="D172" s="1267"/>
      <c r="F172" s="1244"/>
    </row>
    <row r="173" spans="1:6">
      <c r="C173" s="1267"/>
      <c r="D173" s="1267"/>
      <c r="F173" s="1244"/>
    </row>
    <row r="174" spans="1:6" ht="15" customHeight="1">
      <c r="C174" s="1267"/>
      <c r="D174" s="1267"/>
      <c r="F174" s="1244"/>
    </row>
    <row r="175" spans="1:6">
      <c r="C175" s="1267"/>
      <c r="D175" s="1267"/>
      <c r="F175" s="1244"/>
    </row>
    <row r="176" spans="1:6">
      <c r="C176" s="1267"/>
      <c r="D176" s="1267"/>
      <c r="F176" s="1244"/>
    </row>
    <row r="177" spans="3:6">
      <c r="C177" s="1267"/>
      <c r="D177" s="1267"/>
      <c r="F177" s="1244"/>
    </row>
    <row r="178" spans="3:6">
      <c r="C178" s="1267"/>
      <c r="D178" s="1267"/>
      <c r="F178" s="1244"/>
    </row>
    <row r="179" spans="3:6">
      <c r="C179" s="1267"/>
      <c r="D179" s="1267"/>
      <c r="F179" s="1244"/>
    </row>
    <row r="180" spans="3:6" ht="15" customHeight="1">
      <c r="C180" s="1267"/>
      <c r="D180" s="1267"/>
      <c r="F180" s="1244"/>
    </row>
    <row r="181" spans="3:6">
      <c r="C181" s="1267"/>
      <c r="D181" s="1267"/>
      <c r="F181" s="1244"/>
    </row>
    <row r="182" spans="3:6" ht="18" customHeight="1">
      <c r="C182" s="1267"/>
      <c r="F182" s="1244"/>
    </row>
    <row r="183" spans="3:6" ht="12.75" customHeight="1">
      <c r="C183" s="1267"/>
      <c r="D183" s="1267"/>
      <c r="F183" s="1244"/>
    </row>
    <row r="184" spans="3:6" ht="15" customHeight="1">
      <c r="C184" s="1267"/>
      <c r="D184" s="1267"/>
      <c r="F184" s="1244"/>
    </row>
    <row r="185" spans="3:6">
      <c r="C185" s="1267"/>
      <c r="D185" s="1267"/>
      <c r="F185" s="1244"/>
    </row>
    <row r="186" spans="3:6">
      <c r="C186" s="1267"/>
      <c r="D186" s="1267"/>
      <c r="F186" s="1244"/>
    </row>
    <row r="187" spans="3:6">
      <c r="C187" s="1267"/>
      <c r="D187" s="1267"/>
      <c r="F187" s="1244"/>
    </row>
    <row r="188" spans="3:6">
      <c r="C188" s="1267"/>
      <c r="D188" s="1267"/>
      <c r="F188" s="1244"/>
    </row>
    <row r="189" spans="3:6">
      <c r="C189" s="1267"/>
      <c r="D189" s="1267"/>
      <c r="F189" s="1244"/>
    </row>
    <row r="190" spans="3:6">
      <c r="C190" s="1267"/>
      <c r="D190" s="1267"/>
      <c r="F190" s="1244"/>
    </row>
    <row r="191" spans="3:6">
      <c r="C191" s="1267"/>
      <c r="D191" s="1267"/>
      <c r="F191" s="1244"/>
    </row>
    <row r="192" spans="3:6">
      <c r="C192" s="1267"/>
      <c r="D192" s="1267"/>
      <c r="F192" s="1244"/>
    </row>
    <row r="193" spans="3:6">
      <c r="C193" s="1267"/>
      <c r="D193" s="1267"/>
      <c r="F193" s="1244"/>
    </row>
    <row r="194" spans="3:6">
      <c r="C194" s="1267"/>
      <c r="D194" s="1267"/>
      <c r="F194" s="1244"/>
    </row>
    <row r="195" spans="3:6">
      <c r="C195" s="1267"/>
      <c r="D195" s="1267"/>
      <c r="F195" s="1244"/>
    </row>
    <row r="196" spans="3:6">
      <c r="C196" s="1267"/>
      <c r="D196" s="1267"/>
      <c r="F196" s="1244"/>
    </row>
    <row r="197" spans="3:6" ht="15" customHeight="1">
      <c r="C197" s="1267"/>
      <c r="D197" s="1267"/>
      <c r="F197" s="1244"/>
    </row>
    <row r="198" spans="3:6">
      <c r="C198" s="1267"/>
      <c r="D198" s="1267"/>
      <c r="F198" s="1244"/>
    </row>
    <row r="199" spans="3:6">
      <c r="C199" s="1267"/>
      <c r="D199" s="1267"/>
      <c r="F199" s="1244"/>
    </row>
    <row r="200" spans="3:6">
      <c r="C200" s="1267"/>
      <c r="D200" s="1267"/>
      <c r="F200" s="1244"/>
    </row>
    <row r="201" spans="3:6">
      <c r="C201" s="1267"/>
      <c r="D201" s="1267"/>
      <c r="F201" s="1244"/>
    </row>
    <row r="202" spans="3:6" ht="15" customHeight="1">
      <c r="C202" s="1267"/>
      <c r="D202" s="1267"/>
      <c r="F202" s="1244"/>
    </row>
    <row r="203" spans="3:6">
      <c r="C203" s="1267"/>
      <c r="D203" s="1267"/>
      <c r="F203" s="1244"/>
    </row>
    <row r="204" spans="3:6">
      <c r="C204" s="1267"/>
      <c r="D204" s="1267"/>
      <c r="F204" s="1244"/>
    </row>
    <row r="205" spans="3:6">
      <c r="C205" s="1267"/>
      <c r="D205" s="1267"/>
      <c r="F205" s="1244"/>
    </row>
    <row r="206" spans="3:6" ht="15" customHeight="1">
      <c r="C206" s="1267"/>
      <c r="D206" s="1267"/>
      <c r="F206" s="1244"/>
    </row>
    <row r="207" spans="3:6">
      <c r="C207" s="1267"/>
      <c r="D207" s="1267"/>
      <c r="F207" s="1244"/>
    </row>
    <row r="208" spans="3:6">
      <c r="C208" s="1267"/>
      <c r="D208" s="1267"/>
      <c r="F208" s="1244"/>
    </row>
    <row r="209" spans="3:6">
      <c r="C209" s="1267"/>
      <c r="D209" s="1267"/>
      <c r="F209" s="1244"/>
    </row>
    <row r="210" spans="3:6">
      <c r="C210" s="1267"/>
      <c r="D210" s="1267"/>
      <c r="F210" s="1244"/>
    </row>
    <row r="211" spans="3:6">
      <c r="C211" s="1267"/>
      <c r="D211" s="1267"/>
      <c r="F211" s="1244"/>
    </row>
    <row r="212" spans="3:6">
      <c r="C212" s="1267"/>
      <c r="D212" s="1267"/>
      <c r="F212" s="1244"/>
    </row>
    <row r="213" spans="3:6">
      <c r="C213" s="1267"/>
      <c r="D213" s="1267"/>
      <c r="F213" s="1244"/>
    </row>
    <row r="214" spans="3:6">
      <c r="C214" s="1267"/>
      <c r="D214" s="1267"/>
      <c r="F214" s="1244"/>
    </row>
    <row r="215" spans="3:6">
      <c r="C215" s="1267"/>
      <c r="D215" s="1267"/>
      <c r="F215" s="1244"/>
    </row>
    <row r="216" spans="3:6">
      <c r="C216" s="1267"/>
      <c r="D216" s="1267"/>
      <c r="F216" s="1244"/>
    </row>
    <row r="217" spans="3:6">
      <c r="C217" s="1267"/>
      <c r="D217" s="1267"/>
      <c r="F217" s="1244"/>
    </row>
    <row r="218" spans="3:6">
      <c r="C218" s="1267"/>
      <c r="D218" s="1267"/>
      <c r="F218" s="1244"/>
    </row>
    <row r="219" spans="3:6">
      <c r="C219" s="1267"/>
      <c r="D219" s="1267"/>
      <c r="F219" s="1244"/>
    </row>
    <row r="220" spans="3:6">
      <c r="C220" s="1267"/>
      <c r="D220" s="1267"/>
      <c r="F220" s="1244"/>
    </row>
    <row r="221" spans="3:6">
      <c r="C221" s="1267"/>
      <c r="D221" s="1267"/>
      <c r="F221" s="1244"/>
    </row>
    <row r="222" spans="3:6">
      <c r="C222" s="1267"/>
      <c r="D222" s="1267"/>
      <c r="F222" s="1244"/>
    </row>
    <row r="223" spans="3:6">
      <c r="C223" s="1267"/>
      <c r="D223" s="1267"/>
      <c r="F223" s="1244"/>
    </row>
    <row r="224" spans="3:6">
      <c r="C224" s="1267"/>
      <c r="D224" s="1267"/>
      <c r="F224" s="1244"/>
    </row>
    <row r="225" spans="3:6">
      <c r="C225" s="1267"/>
      <c r="D225" s="1267"/>
      <c r="F225" s="1244"/>
    </row>
    <row r="226" spans="3:6">
      <c r="C226" s="1267"/>
      <c r="D226" s="1267"/>
      <c r="F226" s="1244"/>
    </row>
    <row r="227" spans="3:6">
      <c r="C227" s="1267"/>
      <c r="D227" s="1267"/>
      <c r="F227" s="1244"/>
    </row>
    <row r="228" spans="3:6">
      <c r="C228" s="1267"/>
      <c r="D228" s="1267"/>
      <c r="F228" s="1244"/>
    </row>
    <row r="229" spans="3:6">
      <c r="C229" s="1267"/>
      <c r="D229" s="1267"/>
      <c r="F229" s="1244"/>
    </row>
    <row r="230" spans="3:6">
      <c r="C230" s="1267"/>
      <c r="D230" s="1267"/>
      <c r="F230" s="1244"/>
    </row>
    <row r="231" spans="3:6">
      <c r="C231" s="1267"/>
      <c r="D231" s="1267"/>
      <c r="F231" s="1244"/>
    </row>
    <row r="232" spans="3:6">
      <c r="C232" s="1267"/>
      <c r="D232" s="1267"/>
      <c r="F232" s="1244"/>
    </row>
    <row r="233" spans="3:6">
      <c r="C233" s="1267"/>
      <c r="D233" s="1267"/>
      <c r="F233" s="1244"/>
    </row>
    <row r="234" spans="3:6">
      <c r="C234" s="1267"/>
      <c r="D234" s="1267"/>
      <c r="F234" s="1244"/>
    </row>
    <row r="235" spans="3:6">
      <c r="C235" s="1267"/>
      <c r="D235" s="1267"/>
      <c r="F235" s="1244"/>
    </row>
    <row r="236" spans="3:6">
      <c r="C236" s="1267"/>
      <c r="D236" s="1267"/>
      <c r="F236" s="1244"/>
    </row>
    <row r="237" spans="3:6">
      <c r="C237" s="1267"/>
      <c r="D237" s="1267"/>
      <c r="F237" s="1244"/>
    </row>
    <row r="238" spans="3:6">
      <c r="C238" s="1267"/>
      <c r="D238" s="1267"/>
      <c r="F238" s="1244"/>
    </row>
    <row r="239" spans="3:6">
      <c r="C239" s="1267"/>
      <c r="D239" s="1267"/>
      <c r="F239" s="1244"/>
    </row>
    <row r="240" spans="3:6">
      <c r="C240" s="1267"/>
      <c r="F240" s="1244"/>
    </row>
    <row r="241" spans="3:6">
      <c r="C241" s="1267"/>
      <c r="D241" s="1267"/>
      <c r="F241" s="1244"/>
    </row>
    <row r="242" spans="3:6">
      <c r="C242" s="1267"/>
      <c r="D242" s="1267"/>
      <c r="F242" s="1244"/>
    </row>
    <row r="243" spans="3:6">
      <c r="C243" s="1267"/>
      <c r="D243" s="1267"/>
      <c r="F243" s="1244"/>
    </row>
    <row r="244" spans="3:6">
      <c r="C244" s="1267"/>
      <c r="D244" s="1267"/>
      <c r="F244" s="1244"/>
    </row>
    <row r="245" spans="3:6">
      <c r="C245" s="1267"/>
      <c r="D245" s="1267"/>
      <c r="F245" s="1244"/>
    </row>
    <row r="246" spans="3:6">
      <c r="C246" s="1267"/>
      <c r="D246" s="1267"/>
      <c r="F246" s="1244"/>
    </row>
    <row r="247" spans="3:6">
      <c r="C247" s="1267"/>
      <c r="D247" s="1267"/>
      <c r="F247" s="1244"/>
    </row>
    <row r="248" spans="3:6">
      <c r="C248" s="1267"/>
      <c r="D248" s="1267"/>
      <c r="F248" s="1244"/>
    </row>
    <row r="249" spans="3:6">
      <c r="C249" s="1267"/>
      <c r="D249" s="1267"/>
      <c r="F249" s="1244"/>
    </row>
    <row r="250" spans="3:6">
      <c r="C250" s="1267"/>
      <c r="D250" s="1267"/>
      <c r="F250" s="1244"/>
    </row>
    <row r="251" spans="3:6">
      <c r="C251" s="1267"/>
      <c r="D251" s="1267"/>
      <c r="F251" s="1244"/>
    </row>
    <row r="252" spans="3:6">
      <c r="C252" s="1267"/>
      <c r="D252" s="1267"/>
      <c r="F252" s="1244"/>
    </row>
    <row r="253" spans="3:6">
      <c r="C253" s="1267"/>
      <c r="D253" s="1267"/>
      <c r="F253" s="1244"/>
    </row>
    <row r="254" spans="3:6">
      <c r="C254" s="1267"/>
      <c r="D254" s="1267"/>
      <c r="F254" s="1244"/>
    </row>
    <row r="255" spans="3:6">
      <c r="C255" s="1267"/>
      <c r="F255" s="1244"/>
    </row>
    <row r="256" spans="3:6">
      <c r="C256" s="1267"/>
      <c r="D256" s="1267"/>
      <c r="F256" s="1244"/>
    </row>
    <row r="257" spans="3:6">
      <c r="C257" s="1267"/>
      <c r="D257" s="1267"/>
      <c r="F257" s="1244"/>
    </row>
    <row r="258" spans="3:6">
      <c r="C258" s="1267"/>
      <c r="D258" s="1267"/>
      <c r="F258" s="1244"/>
    </row>
    <row r="259" spans="3:6">
      <c r="C259" s="1267"/>
      <c r="D259" s="1267"/>
      <c r="F259" s="1244"/>
    </row>
    <row r="260" spans="3:6">
      <c r="C260" s="1267"/>
      <c r="D260" s="1267"/>
      <c r="F260" s="1244"/>
    </row>
    <row r="261" spans="3:6">
      <c r="C261" s="1267"/>
      <c r="D261" s="1267"/>
      <c r="F261" s="1244"/>
    </row>
    <row r="262" spans="3:6">
      <c r="C262" s="1267"/>
      <c r="D262" s="1267"/>
      <c r="F262" s="1244"/>
    </row>
    <row r="263" spans="3:6">
      <c r="C263" s="1267"/>
      <c r="D263" s="1267"/>
      <c r="F263" s="1244"/>
    </row>
    <row r="264" spans="3:6">
      <c r="C264" s="1267"/>
      <c r="D264" s="1267"/>
      <c r="F264" s="1244"/>
    </row>
    <row r="265" spans="3:6">
      <c r="C265" s="1267"/>
      <c r="D265" s="1267"/>
      <c r="F265" s="1244"/>
    </row>
    <row r="266" spans="3:6">
      <c r="C266" s="1267"/>
      <c r="D266" s="1267"/>
      <c r="F266" s="1244"/>
    </row>
    <row r="267" spans="3:6">
      <c r="C267" s="1267"/>
      <c r="D267" s="1267"/>
      <c r="F267" s="1244"/>
    </row>
    <row r="268" spans="3:6">
      <c r="C268" s="1267"/>
      <c r="D268" s="1267"/>
      <c r="F268" s="1244"/>
    </row>
    <row r="269" spans="3:6">
      <c r="C269" s="1267"/>
      <c r="D269" s="1267"/>
      <c r="F269" s="1244"/>
    </row>
    <row r="270" spans="3:6">
      <c r="C270" s="1267"/>
      <c r="D270" s="1267"/>
      <c r="F270" s="1244"/>
    </row>
    <row r="271" spans="3:6">
      <c r="C271" s="1267"/>
      <c r="D271" s="1267"/>
      <c r="F271" s="1244"/>
    </row>
    <row r="272" spans="3:6">
      <c r="C272" s="1267"/>
      <c r="D272" s="1267"/>
      <c r="F272" s="1244"/>
    </row>
    <row r="273" spans="3:6">
      <c r="C273" s="1267"/>
      <c r="D273" s="1267"/>
      <c r="F273" s="1244"/>
    </row>
    <row r="274" spans="3:6">
      <c r="C274" s="1267"/>
      <c r="D274" s="1268"/>
      <c r="F274" s="1244"/>
    </row>
    <row r="275" spans="3:6">
      <c r="C275" s="1267"/>
      <c r="D275" s="1267"/>
      <c r="F275" s="1244"/>
    </row>
    <row r="276" spans="3:6">
      <c r="C276" s="1267"/>
      <c r="D276" s="1267"/>
      <c r="F276" s="1244"/>
    </row>
  </sheetData>
  <mergeCells count="80">
    <mergeCell ref="A1:F1"/>
    <mergeCell ref="F3:F8"/>
    <mergeCell ref="I21:I22"/>
    <mergeCell ref="I7:I9"/>
    <mergeCell ref="I2:I3"/>
    <mergeCell ref="I4:I6"/>
    <mergeCell ref="F9:F16"/>
    <mergeCell ref="F17:F25"/>
    <mergeCell ref="I53:I55"/>
    <mergeCell ref="K28:K30"/>
    <mergeCell ref="J28:J30"/>
    <mergeCell ref="K34:K36"/>
    <mergeCell ref="J34:J36"/>
    <mergeCell ref="I34:I36"/>
    <mergeCell ref="I23:I32"/>
    <mergeCell ref="J41:J43"/>
    <mergeCell ref="I37:I38"/>
    <mergeCell ref="I41:I43"/>
    <mergeCell ref="I45:I48"/>
    <mergeCell ref="I49:I51"/>
    <mergeCell ref="I39:I40"/>
    <mergeCell ref="J31:J32"/>
    <mergeCell ref="K31:K32"/>
    <mergeCell ref="J37:J38"/>
    <mergeCell ref="K41:K43"/>
    <mergeCell ref="K37:K38"/>
    <mergeCell ref="K12:K13"/>
    <mergeCell ref="I12:I13"/>
    <mergeCell ref="I15:I16"/>
    <mergeCell ref="K25:K27"/>
    <mergeCell ref="J25:J27"/>
    <mergeCell ref="J12:J13"/>
    <mergeCell ref="K21:K22"/>
    <mergeCell ref="J23:J24"/>
    <mergeCell ref="K23:K24"/>
    <mergeCell ref="J15:J16"/>
    <mergeCell ref="K15:K16"/>
    <mergeCell ref="I18:I19"/>
    <mergeCell ref="J18:J19"/>
    <mergeCell ref="K18:K19"/>
    <mergeCell ref="J21:J22"/>
    <mergeCell ref="J2:J3"/>
    <mergeCell ref="K2:K3"/>
    <mergeCell ref="J4:J6"/>
    <mergeCell ref="K4:K6"/>
    <mergeCell ref="J7:J9"/>
    <mergeCell ref="K7:K9"/>
    <mergeCell ref="F26:F28"/>
    <mergeCell ref="F29:F30"/>
    <mergeCell ref="F76:F82"/>
    <mergeCell ref="F83:F88"/>
    <mergeCell ref="F89:F92"/>
    <mergeCell ref="F31:F34"/>
    <mergeCell ref="F35:F37"/>
    <mergeCell ref="F38:F44"/>
    <mergeCell ref="F45:F46"/>
    <mergeCell ref="F93:F99"/>
    <mergeCell ref="F100:F105"/>
    <mergeCell ref="F47:F52"/>
    <mergeCell ref="F53:F55"/>
    <mergeCell ref="F56:F62"/>
    <mergeCell ref="F63:F68"/>
    <mergeCell ref="F69:F75"/>
    <mergeCell ref="F127:F129"/>
    <mergeCell ref="F130:F132"/>
    <mergeCell ref="F133:F135"/>
    <mergeCell ref="F136:F138"/>
    <mergeCell ref="F139:F141"/>
    <mergeCell ref="F106:F109"/>
    <mergeCell ref="F114:F120"/>
    <mergeCell ref="F121:F123"/>
    <mergeCell ref="F124:F126"/>
    <mergeCell ref="F110:F113"/>
    <mergeCell ref="F157:F159"/>
    <mergeCell ref="F160:F162"/>
    <mergeCell ref="F142:F144"/>
    <mergeCell ref="F145:F147"/>
    <mergeCell ref="F148:F150"/>
    <mergeCell ref="F151:F153"/>
    <mergeCell ref="F154:F156"/>
  </mergeCells>
  <pageMargins left="0.7" right="0.7" top="0.75" bottom="0.75" header="0.3" footer="0.3"/>
  <pageSetup paperSize="9" orientation="portrait" horizontalDpi="300"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B050"/>
  </sheetPr>
  <dimension ref="A1:J43"/>
  <sheetViews>
    <sheetView workbookViewId="0">
      <selection sqref="A1:H1"/>
    </sheetView>
  </sheetViews>
  <sheetFormatPr baseColWidth="10" defaultColWidth="11.42578125" defaultRowHeight="15"/>
  <sheetData>
    <row r="1" spans="1:10">
      <c r="A1" s="1910" t="s">
        <v>1708</v>
      </c>
      <c r="B1" s="1910"/>
      <c r="C1" s="1910"/>
      <c r="D1" s="1910"/>
      <c r="E1" s="1910"/>
      <c r="F1" s="1910"/>
      <c r="G1" s="1910"/>
      <c r="H1" s="1910"/>
    </row>
    <row r="2" spans="1:10">
      <c r="A2" s="1910" t="s">
        <v>1709</v>
      </c>
      <c r="B2" s="1910" t="s">
        <v>185</v>
      </c>
      <c r="C2" s="1910"/>
      <c r="D2" s="1910" t="s">
        <v>446</v>
      </c>
      <c r="E2" s="1910" t="s">
        <v>1710</v>
      </c>
      <c r="F2" s="1910" t="s">
        <v>1711</v>
      </c>
      <c r="G2" s="1910" t="s">
        <v>1712</v>
      </c>
      <c r="H2" s="1910"/>
    </row>
    <row r="3" spans="1:10">
      <c r="A3" s="1910"/>
      <c r="B3" s="83" t="s">
        <v>1713</v>
      </c>
      <c r="C3" s="83" t="s">
        <v>276</v>
      </c>
      <c r="D3" s="1910"/>
      <c r="E3" s="1910"/>
      <c r="F3" s="1910"/>
      <c r="G3" s="83" t="s">
        <v>300</v>
      </c>
      <c r="H3" s="83" t="s">
        <v>301</v>
      </c>
    </row>
    <row r="4" spans="1:10">
      <c r="A4" s="951" t="s">
        <v>400</v>
      </c>
      <c r="B4" s="951" t="s">
        <v>125</v>
      </c>
      <c r="C4" s="951" t="s">
        <v>126</v>
      </c>
      <c r="D4" s="951">
        <v>41.43</v>
      </c>
      <c r="E4" s="951">
        <v>152.22</v>
      </c>
      <c r="F4" s="951" t="s">
        <v>387</v>
      </c>
      <c r="G4" s="931">
        <v>983.35799999999995</v>
      </c>
      <c r="H4" s="951">
        <v>984.48099999999999</v>
      </c>
      <c r="I4" s="951" t="s">
        <v>1320</v>
      </c>
      <c r="J4" s="209">
        <f>D27+D28+D29+D30+D31+D32+D33+D34+D35+D37+D38+D39+D40</f>
        <v>324.5</v>
      </c>
    </row>
    <row r="5" spans="1:10">
      <c r="A5" s="951" t="s">
        <v>402</v>
      </c>
      <c r="B5" s="951" t="s">
        <v>127</v>
      </c>
      <c r="C5" s="951" t="s">
        <v>128</v>
      </c>
      <c r="D5" s="951">
        <v>6.31</v>
      </c>
      <c r="E5" s="951">
        <v>152.22</v>
      </c>
      <c r="F5" s="951" t="s">
        <v>387</v>
      </c>
      <c r="G5" s="931">
        <v>983.25800000000004</v>
      </c>
      <c r="H5" s="931">
        <v>983.35799999999995</v>
      </c>
      <c r="I5" s="951" t="s">
        <v>1323</v>
      </c>
      <c r="J5" s="209">
        <f>D25+D26</f>
        <v>102.47</v>
      </c>
    </row>
    <row r="6" spans="1:10">
      <c r="A6" s="951" t="s">
        <v>403</v>
      </c>
      <c r="B6" s="951" t="s">
        <v>129</v>
      </c>
      <c r="C6" s="951" t="s">
        <v>127</v>
      </c>
      <c r="D6" s="951">
        <v>112.61</v>
      </c>
      <c r="E6" s="951">
        <v>198.21</v>
      </c>
      <c r="F6" s="951" t="s">
        <v>387</v>
      </c>
      <c r="G6" s="931">
        <v>987.51</v>
      </c>
      <c r="H6" s="931">
        <v>983.25800000000004</v>
      </c>
      <c r="I6" s="951" t="s">
        <v>1327</v>
      </c>
      <c r="J6" s="209">
        <f>D18+D19+D20+D21+D22+D4+D5+D23+D24</f>
        <v>350.89499999999998</v>
      </c>
    </row>
    <row r="7" spans="1:10">
      <c r="A7" s="951" t="s">
        <v>404</v>
      </c>
      <c r="B7" s="951" t="s">
        <v>130</v>
      </c>
      <c r="C7" s="951" t="s">
        <v>131</v>
      </c>
      <c r="D7" s="951">
        <v>3.22</v>
      </c>
      <c r="E7" s="951">
        <v>198.21</v>
      </c>
      <c r="F7" s="951" t="s">
        <v>387</v>
      </c>
      <c r="G7" s="931">
        <v>987.71</v>
      </c>
      <c r="H7" s="931">
        <v>987.51</v>
      </c>
      <c r="I7" s="951" t="s">
        <v>1328</v>
      </c>
      <c r="J7" s="209">
        <f>D8+D9+D10+D11+D12+D13+D14+D15+D16+D17+D6+D7+D36</f>
        <v>497.93</v>
      </c>
    </row>
    <row r="8" spans="1:10">
      <c r="A8" s="951" t="s">
        <v>405</v>
      </c>
      <c r="B8" s="951" t="s">
        <v>130</v>
      </c>
      <c r="C8" s="951" t="s">
        <v>132</v>
      </c>
      <c r="D8" s="951">
        <v>6.31</v>
      </c>
      <c r="E8" s="951">
        <v>198.21</v>
      </c>
      <c r="F8" s="951" t="s">
        <v>387</v>
      </c>
      <c r="G8" s="931">
        <v>987.71</v>
      </c>
      <c r="H8" s="931">
        <v>987.90800000000002</v>
      </c>
      <c r="I8" s="952" t="s">
        <v>13</v>
      </c>
      <c r="J8" s="946">
        <f>SUM(J4:J7)</f>
        <v>1275.7950000000001</v>
      </c>
    </row>
    <row r="9" spans="1:10">
      <c r="A9" s="951" t="s">
        <v>406</v>
      </c>
      <c r="B9" s="951" t="s">
        <v>133</v>
      </c>
      <c r="C9" s="951" t="s">
        <v>134</v>
      </c>
      <c r="D9" s="951">
        <v>84.02</v>
      </c>
      <c r="E9" s="951">
        <v>198.21</v>
      </c>
      <c r="F9" s="951" t="s">
        <v>387</v>
      </c>
      <c r="G9" s="931">
        <v>987.90800000000002</v>
      </c>
      <c r="H9" s="931">
        <v>990.82500000000005</v>
      </c>
    </row>
    <row r="10" spans="1:10">
      <c r="A10" s="951" t="s">
        <v>407</v>
      </c>
      <c r="B10" s="951" t="s">
        <v>134</v>
      </c>
      <c r="C10" s="951" t="s">
        <v>135</v>
      </c>
      <c r="D10" s="951">
        <v>44.69</v>
      </c>
      <c r="E10" s="951">
        <v>198.21</v>
      </c>
      <c r="F10" s="951" t="s">
        <v>387</v>
      </c>
      <c r="G10" s="931">
        <v>990.82500000000005</v>
      </c>
      <c r="H10" s="931">
        <v>992.54700000000003</v>
      </c>
    </row>
    <row r="11" spans="1:10">
      <c r="A11" s="951" t="s">
        <v>408</v>
      </c>
      <c r="B11" s="951" t="s">
        <v>136</v>
      </c>
      <c r="C11" s="951" t="s">
        <v>137</v>
      </c>
      <c r="D11" s="951">
        <v>2.37</v>
      </c>
      <c r="E11" s="951">
        <v>198.21</v>
      </c>
      <c r="F11" s="951" t="s">
        <v>387</v>
      </c>
      <c r="G11" s="931">
        <v>992.54700000000003</v>
      </c>
      <c r="H11" s="931">
        <v>992.64700000000005</v>
      </c>
    </row>
    <row r="12" spans="1:10">
      <c r="A12" s="951" t="s">
        <v>409</v>
      </c>
      <c r="B12" s="951" t="s">
        <v>137</v>
      </c>
      <c r="C12" s="951" t="s">
        <v>138</v>
      </c>
      <c r="D12" s="951">
        <v>50.5</v>
      </c>
      <c r="E12" s="951">
        <v>198.21</v>
      </c>
      <c r="F12" s="951" t="s">
        <v>387</v>
      </c>
      <c r="G12" s="931">
        <v>992.64700000000005</v>
      </c>
      <c r="H12" s="931">
        <v>993.59299999999996</v>
      </c>
    </row>
    <row r="13" spans="1:10">
      <c r="A13" s="951" t="s">
        <v>410</v>
      </c>
      <c r="B13" s="951" t="s">
        <v>138</v>
      </c>
      <c r="C13" s="951" t="s">
        <v>139</v>
      </c>
      <c r="D13" s="951">
        <v>105.58</v>
      </c>
      <c r="E13" s="951">
        <v>198.21</v>
      </c>
      <c r="F13" s="951" t="s">
        <v>387</v>
      </c>
      <c r="G13" s="931">
        <v>993.59299999999996</v>
      </c>
      <c r="H13" s="931">
        <v>995.82100000000003</v>
      </c>
    </row>
    <row r="14" spans="1:10">
      <c r="A14" s="951" t="s">
        <v>411</v>
      </c>
      <c r="B14" s="951" t="s">
        <v>140</v>
      </c>
      <c r="C14" s="951" t="s">
        <v>141</v>
      </c>
      <c r="D14" s="951">
        <v>1.46</v>
      </c>
      <c r="E14" s="951">
        <v>198.21</v>
      </c>
      <c r="F14" s="951" t="s">
        <v>387</v>
      </c>
      <c r="G14" s="931">
        <v>995.82100000000003</v>
      </c>
      <c r="H14" s="931">
        <v>995.721</v>
      </c>
    </row>
    <row r="15" spans="1:10">
      <c r="A15" s="951" t="s">
        <v>412</v>
      </c>
      <c r="B15" s="951" t="s">
        <v>141</v>
      </c>
      <c r="C15" s="951" t="s">
        <v>142</v>
      </c>
      <c r="D15" s="951">
        <v>0.49</v>
      </c>
      <c r="E15" s="951">
        <v>198.21</v>
      </c>
      <c r="F15" s="951" t="s">
        <v>387</v>
      </c>
      <c r="G15" s="931">
        <v>995.721</v>
      </c>
      <c r="H15" s="951">
        <v>995.89300000000003</v>
      </c>
    </row>
    <row r="16" spans="1:10">
      <c r="A16" s="951" t="s">
        <v>413</v>
      </c>
      <c r="B16" s="951" t="s">
        <v>142</v>
      </c>
      <c r="C16" s="951" t="s">
        <v>143</v>
      </c>
      <c r="D16" s="951">
        <v>82.71</v>
      </c>
      <c r="E16" s="951">
        <v>198.21</v>
      </c>
      <c r="F16" s="951" t="s">
        <v>387</v>
      </c>
      <c r="G16" s="951">
        <v>995.89300000000003</v>
      </c>
      <c r="H16" s="951">
        <v>996.81500000000005</v>
      </c>
    </row>
    <row r="17" spans="1:10">
      <c r="A17" s="931" t="s">
        <v>414</v>
      </c>
      <c r="B17" s="931" t="s">
        <v>144</v>
      </c>
      <c r="C17" s="931" t="s">
        <v>145</v>
      </c>
      <c r="D17" s="931">
        <v>3.05</v>
      </c>
      <c r="E17" s="931">
        <v>198.21</v>
      </c>
      <c r="F17" s="951" t="s">
        <v>387</v>
      </c>
      <c r="G17" s="931">
        <v>996.81500000000005</v>
      </c>
      <c r="H17" s="931">
        <v>996.71500000000003</v>
      </c>
    </row>
    <row r="18" spans="1:10">
      <c r="A18" s="931" t="s">
        <v>415</v>
      </c>
      <c r="B18" s="931" t="s">
        <v>127</v>
      </c>
      <c r="C18" s="931" t="s">
        <v>146</v>
      </c>
      <c r="D18" s="931">
        <v>89.44</v>
      </c>
      <c r="E18" s="931">
        <v>152.22</v>
      </c>
      <c r="F18" s="951" t="s">
        <v>387</v>
      </c>
      <c r="G18" s="931">
        <v>983.25800000000004</v>
      </c>
      <c r="H18" s="931">
        <v>982.52800000000002</v>
      </c>
    </row>
    <row r="19" spans="1:10">
      <c r="A19" s="931" t="s">
        <v>416</v>
      </c>
      <c r="B19" s="931" t="s">
        <v>146</v>
      </c>
      <c r="C19" s="931" t="s">
        <v>147</v>
      </c>
      <c r="D19" s="931">
        <v>5.04</v>
      </c>
      <c r="E19" s="931">
        <v>152.22</v>
      </c>
      <c r="F19" s="951" t="s">
        <v>387</v>
      </c>
      <c r="G19" s="931">
        <v>982.52800000000002</v>
      </c>
      <c r="H19" s="931">
        <v>982.40200000000004</v>
      </c>
    </row>
    <row r="20" spans="1:10">
      <c r="A20" s="931" t="s">
        <v>417</v>
      </c>
      <c r="B20" s="931" t="s">
        <v>148</v>
      </c>
      <c r="C20" s="931" t="s">
        <v>149</v>
      </c>
      <c r="D20" s="931">
        <v>4.55</v>
      </c>
      <c r="E20" s="931">
        <v>152.22</v>
      </c>
      <c r="F20" s="951" t="s">
        <v>387</v>
      </c>
      <c r="G20" s="931">
        <v>982.40200000000004</v>
      </c>
      <c r="H20" s="931">
        <v>982.35199999999998</v>
      </c>
    </row>
    <row r="21" spans="1:10">
      <c r="A21" s="931" t="s">
        <v>418</v>
      </c>
      <c r="B21" s="931" t="s">
        <v>149</v>
      </c>
      <c r="C21" s="931" t="s">
        <v>150</v>
      </c>
      <c r="D21" s="931">
        <v>99.83</v>
      </c>
      <c r="E21" s="931">
        <v>152.22</v>
      </c>
      <c r="F21" s="951" t="s">
        <v>387</v>
      </c>
      <c r="G21" s="931">
        <v>982.35199999999998</v>
      </c>
      <c r="H21" s="931">
        <v>988.47199999999998</v>
      </c>
    </row>
    <row r="22" spans="1:10">
      <c r="A22" s="931" t="s">
        <v>419</v>
      </c>
      <c r="B22" s="931" t="s">
        <v>151</v>
      </c>
      <c r="C22" s="931" t="s">
        <v>152</v>
      </c>
      <c r="D22" s="931">
        <v>4</v>
      </c>
      <c r="E22" s="931">
        <v>152.22</v>
      </c>
      <c r="F22" s="951" t="s">
        <v>387</v>
      </c>
      <c r="G22" s="931">
        <v>988.47199999999998</v>
      </c>
      <c r="H22" s="931">
        <v>988.67200000000003</v>
      </c>
    </row>
    <row r="23" spans="1:10">
      <c r="A23" s="931" t="s">
        <v>420</v>
      </c>
      <c r="B23" s="931" t="s">
        <v>130</v>
      </c>
      <c r="C23" s="931" t="s">
        <v>153</v>
      </c>
      <c r="D23" s="931">
        <v>95.025000000000006</v>
      </c>
      <c r="E23" s="931">
        <v>152.22</v>
      </c>
      <c r="F23" s="951" t="s">
        <v>387</v>
      </c>
      <c r="G23" s="931">
        <v>987.71</v>
      </c>
      <c r="H23" s="931">
        <v>986.10249999999996</v>
      </c>
    </row>
    <row r="24" spans="1:10">
      <c r="A24" s="931" t="s">
        <v>421</v>
      </c>
      <c r="B24" s="931" t="s">
        <v>154</v>
      </c>
      <c r="C24" s="931" t="s">
        <v>155</v>
      </c>
      <c r="D24" s="931">
        <v>5.27</v>
      </c>
      <c r="E24" s="931">
        <v>152.22</v>
      </c>
      <c r="F24" s="951" t="s">
        <v>387</v>
      </c>
      <c r="G24" s="931">
        <v>986.10249999999996</v>
      </c>
      <c r="H24" s="931">
        <v>985.99599999999998</v>
      </c>
    </row>
    <row r="25" spans="1:10">
      <c r="A25" s="931" t="s">
        <v>422</v>
      </c>
      <c r="B25" s="931" t="s">
        <v>155</v>
      </c>
      <c r="C25" s="931" t="s">
        <v>156</v>
      </c>
      <c r="D25" s="931">
        <v>101.24</v>
      </c>
      <c r="E25" s="931">
        <v>103.42</v>
      </c>
      <c r="F25" s="951" t="s">
        <v>387</v>
      </c>
      <c r="G25" s="931">
        <v>985.99599999999998</v>
      </c>
      <c r="H25" s="931">
        <v>988.59400000000005</v>
      </c>
    </row>
    <row r="26" spans="1:10">
      <c r="A26" s="931" t="s">
        <v>423</v>
      </c>
      <c r="B26" s="931" t="s">
        <v>157</v>
      </c>
      <c r="C26" s="931" t="s">
        <v>158</v>
      </c>
      <c r="D26" s="931">
        <v>1.23</v>
      </c>
      <c r="E26" s="931">
        <v>103.42</v>
      </c>
      <c r="F26" s="951" t="s">
        <v>387</v>
      </c>
      <c r="G26" s="931">
        <v>988.59400000000005</v>
      </c>
      <c r="H26" s="931">
        <v>988.69399999999996</v>
      </c>
    </row>
    <row r="27" spans="1:10">
      <c r="A27" s="931" t="s">
        <v>424</v>
      </c>
      <c r="B27" s="931" t="s">
        <v>159</v>
      </c>
      <c r="C27" s="931" t="s">
        <v>160</v>
      </c>
      <c r="D27" s="931">
        <v>4.6500000000000004</v>
      </c>
      <c r="E27" s="931">
        <v>80.42</v>
      </c>
      <c r="F27" s="951" t="s">
        <v>387</v>
      </c>
      <c r="G27" s="931">
        <v>987.21799999999996</v>
      </c>
      <c r="H27" s="931">
        <v>987.46100000000001</v>
      </c>
    </row>
    <row r="28" spans="1:10">
      <c r="A28" s="931" t="s">
        <v>425</v>
      </c>
      <c r="B28" s="931" t="s">
        <v>161</v>
      </c>
      <c r="C28" s="931" t="s">
        <v>162</v>
      </c>
      <c r="D28" s="931">
        <v>1.1100000000000001</v>
      </c>
      <c r="E28" s="931">
        <v>80.42</v>
      </c>
      <c r="F28" s="951" t="s">
        <v>387</v>
      </c>
      <c r="G28" s="931">
        <v>987.21799999999996</v>
      </c>
      <c r="H28" s="931">
        <v>987.21799999999996</v>
      </c>
      <c r="I28" s="1238"/>
    </row>
    <row r="29" spans="1:10">
      <c r="A29" s="931" t="s">
        <v>426</v>
      </c>
      <c r="B29" s="931" t="s">
        <v>163</v>
      </c>
      <c r="C29" s="931" t="s">
        <v>161</v>
      </c>
      <c r="D29" s="931">
        <v>50.4</v>
      </c>
      <c r="E29" s="931">
        <v>80.42</v>
      </c>
      <c r="F29" s="951" t="s">
        <v>387</v>
      </c>
      <c r="G29" s="931">
        <v>985.74300000000005</v>
      </c>
      <c r="H29" s="931">
        <v>987.21799999999996</v>
      </c>
      <c r="I29" s="1238"/>
      <c r="J29" s="30"/>
    </row>
    <row r="30" spans="1:10">
      <c r="A30" s="931" t="s">
        <v>427</v>
      </c>
      <c r="B30" s="931" t="s">
        <v>164</v>
      </c>
      <c r="C30" s="931" t="s">
        <v>163</v>
      </c>
      <c r="D30" s="931">
        <v>44</v>
      </c>
      <c r="E30" s="931">
        <v>80.42</v>
      </c>
      <c r="F30" s="951" t="s">
        <v>387</v>
      </c>
      <c r="G30" s="931">
        <v>986.02200000000005</v>
      </c>
      <c r="H30" s="931">
        <v>985.74300000000005</v>
      </c>
      <c r="I30" s="1238"/>
      <c r="J30" s="30"/>
    </row>
    <row r="31" spans="1:10">
      <c r="A31" s="931" t="s">
        <v>428</v>
      </c>
      <c r="B31" s="931" t="s">
        <v>165</v>
      </c>
      <c r="C31" s="931" t="s">
        <v>166</v>
      </c>
      <c r="D31" s="931">
        <v>99.84</v>
      </c>
      <c r="E31" s="931">
        <v>80.42</v>
      </c>
      <c r="F31" s="951" t="s">
        <v>387</v>
      </c>
      <c r="G31" s="931">
        <v>984.76700000000005</v>
      </c>
      <c r="H31" s="931">
        <v>988.56</v>
      </c>
      <c r="I31" s="1238"/>
      <c r="J31" s="30"/>
    </row>
    <row r="32" spans="1:10">
      <c r="A32" s="931" t="s">
        <v>429</v>
      </c>
      <c r="B32" s="931" t="s">
        <v>167</v>
      </c>
      <c r="C32" s="931" t="s">
        <v>165</v>
      </c>
      <c r="D32" s="931">
        <v>2.66</v>
      </c>
      <c r="E32" s="931">
        <v>80.42</v>
      </c>
      <c r="F32" s="951" t="s">
        <v>387</v>
      </c>
      <c r="G32" s="931">
        <v>984.78800000000001</v>
      </c>
      <c r="H32" s="931">
        <v>984.76700000000005</v>
      </c>
      <c r="J32" s="30"/>
    </row>
    <row r="33" spans="1:8">
      <c r="A33" s="931" t="s">
        <v>430</v>
      </c>
      <c r="B33" s="931" t="s">
        <v>167</v>
      </c>
      <c r="C33" s="931" t="s">
        <v>168</v>
      </c>
      <c r="D33" s="931">
        <v>7.6</v>
      </c>
      <c r="E33" s="931">
        <v>80.42</v>
      </c>
      <c r="F33" s="951" t="s">
        <v>387</v>
      </c>
      <c r="G33" s="931">
        <v>984.78800000000001</v>
      </c>
      <c r="H33" s="931">
        <v>984.88800000000003</v>
      </c>
    </row>
    <row r="34" spans="1:8">
      <c r="A34" s="931" t="s">
        <v>431</v>
      </c>
      <c r="B34" s="931" t="s">
        <v>169</v>
      </c>
      <c r="C34" s="931" t="s">
        <v>170</v>
      </c>
      <c r="D34" s="931">
        <v>97.38</v>
      </c>
      <c r="E34" s="931">
        <v>80.42</v>
      </c>
      <c r="F34" s="951" t="s">
        <v>387</v>
      </c>
      <c r="G34" s="931">
        <v>984.88800000000003</v>
      </c>
      <c r="H34" s="931">
        <v>989.51099999999997</v>
      </c>
    </row>
    <row r="35" spans="1:8">
      <c r="A35" s="931" t="s">
        <v>432</v>
      </c>
      <c r="B35" s="931" t="s">
        <v>171</v>
      </c>
      <c r="C35" s="931" t="s">
        <v>172</v>
      </c>
      <c r="D35" s="931">
        <v>1.86</v>
      </c>
      <c r="E35" s="931">
        <v>80.42</v>
      </c>
      <c r="F35" s="951" t="s">
        <v>387</v>
      </c>
      <c r="G35" s="931">
        <v>989.51099999999997</v>
      </c>
      <c r="H35" s="931">
        <v>989.51099999999997</v>
      </c>
    </row>
    <row r="36" spans="1:8">
      <c r="A36" s="1277" t="s">
        <v>433</v>
      </c>
      <c r="B36" s="1277" t="s">
        <v>173</v>
      </c>
      <c r="C36" s="1277" t="s">
        <v>130</v>
      </c>
      <c r="D36" s="1277">
        <v>0.92</v>
      </c>
      <c r="E36" s="1277">
        <v>198.21</v>
      </c>
      <c r="F36" s="1269" t="s">
        <v>387</v>
      </c>
      <c r="G36" s="1277">
        <v>987.75</v>
      </c>
      <c r="H36" s="1277">
        <v>987.71</v>
      </c>
    </row>
    <row r="37" spans="1:8">
      <c r="A37" s="950" t="s">
        <v>434</v>
      </c>
      <c r="B37" s="950" t="s">
        <v>146</v>
      </c>
      <c r="C37" s="950" t="s">
        <v>174</v>
      </c>
      <c r="D37" s="950">
        <v>4</v>
      </c>
      <c r="E37" s="949">
        <v>80.42</v>
      </c>
      <c r="F37" s="948" t="s">
        <v>387</v>
      </c>
      <c r="G37" s="947">
        <v>982.52800000000002</v>
      </c>
      <c r="H37" s="947">
        <v>982.62800000000004</v>
      </c>
    </row>
    <row r="38" spans="1:8">
      <c r="A38" s="950" t="s">
        <v>435</v>
      </c>
      <c r="B38" s="950" t="s">
        <v>142</v>
      </c>
      <c r="C38" s="950" t="s">
        <v>175</v>
      </c>
      <c r="D38" s="950">
        <v>4</v>
      </c>
      <c r="E38" s="949">
        <v>80.42</v>
      </c>
      <c r="F38" s="948" t="s">
        <v>387</v>
      </c>
      <c r="G38" s="947">
        <v>995.89300000000003</v>
      </c>
      <c r="H38" s="947">
        <v>995.79300000000001</v>
      </c>
    </row>
    <row r="39" spans="1:8">
      <c r="A39" s="950" t="s">
        <v>436</v>
      </c>
      <c r="B39" s="950" t="s">
        <v>161</v>
      </c>
      <c r="C39" s="950" t="s">
        <v>176</v>
      </c>
      <c r="D39" s="950">
        <v>2</v>
      </c>
      <c r="E39" s="949">
        <v>80.42</v>
      </c>
      <c r="F39" s="948" t="s">
        <v>387</v>
      </c>
      <c r="G39" s="947">
        <v>987.21799999999996</v>
      </c>
      <c r="H39" s="947">
        <v>987.31799999999998</v>
      </c>
    </row>
    <row r="40" spans="1:8">
      <c r="A40" s="950" t="s">
        <v>437</v>
      </c>
      <c r="B40" s="950" t="s">
        <v>165</v>
      </c>
      <c r="C40" s="950" t="s">
        <v>177</v>
      </c>
      <c r="D40" s="950">
        <v>5</v>
      </c>
      <c r="E40" s="949">
        <v>80.42</v>
      </c>
      <c r="F40" s="948" t="s">
        <v>387</v>
      </c>
      <c r="G40" s="947">
        <v>984.76700000000005</v>
      </c>
      <c r="H40" s="947">
        <v>984.86699999999996</v>
      </c>
    </row>
    <row r="41" spans="1:8">
      <c r="C41" s="930" t="s">
        <v>13</v>
      </c>
      <c r="D41" s="946">
        <f>SUM(D4:D40)</f>
        <v>1275.7949999999998</v>
      </c>
    </row>
    <row r="42" spans="1:8" ht="15.75" thickBot="1"/>
    <row r="43" spans="1:8" ht="15.75" thickBot="1">
      <c r="C43" s="1276" t="s">
        <v>13</v>
      </c>
      <c r="D43" s="1275">
        <f>D41-D36</f>
        <v>1274.8749999999998</v>
      </c>
    </row>
  </sheetData>
  <mergeCells count="7">
    <mergeCell ref="A1:H1"/>
    <mergeCell ref="A2:A3"/>
    <mergeCell ref="B2:C2"/>
    <mergeCell ref="D2:D3"/>
    <mergeCell ref="E2:E3"/>
    <mergeCell ref="F2:F3"/>
    <mergeCell ref="G2:H2"/>
  </mergeCells>
  <pageMargins left="0.7" right="0.7" top="0.75" bottom="0.75" header="0.3" footer="0.3"/>
  <legacy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00B050"/>
  </sheetPr>
  <dimension ref="B2:C8"/>
  <sheetViews>
    <sheetView workbookViewId="0"/>
  </sheetViews>
  <sheetFormatPr baseColWidth="10" defaultColWidth="11.42578125" defaultRowHeight="15"/>
  <cols>
    <col min="2" max="2" width="34" customWidth="1"/>
  </cols>
  <sheetData>
    <row r="2" spans="2:3" ht="15" customHeight="1">
      <c r="B2" s="1911" t="s">
        <v>1714</v>
      </c>
      <c r="C2" s="1911"/>
    </row>
    <row r="3" spans="2:3">
      <c r="B3" s="1095" t="s">
        <v>1715</v>
      </c>
      <c r="C3" s="1095" t="s">
        <v>446</v>
      </c>
    </row>
    <row r="4" spans="2:3">
      <c r="B4" s="209" t="s">
        <v>1716</v>
      </c>
      <c r="C4" s="209">
        <v>967.62</v>
      </c>
    </row>
    <row r="5" spans="2:3">
      <c r="B5" s="209" t="s">
        <v>1717</v>
      </c>
      <c r="C5" s="209">
        <v>14.19</v>
      </c>
    </row>
    <row r="6" spans="2:3">
      <c r="B6" s="209" t="s">
        <v>1718</v>
      </c>
      <c r="C6" s="209">
        <v>99.25</v>
      </c>
    </row>
    <row r="7" spans="2:3">
      <c r="B7" s="209" t="s">
        <v>1719</v>
      </c>
      <c r="C7" s="209">
        <v>40.32</v>
      </c>
    </row>
    <row r="8" spans="2:3">
      <c r="B8" s="209" t="s">
        <v>1720</v>
      </c>
      <c r="C8" s="209">
        <v>98.5</v>
      </c>
    </row>
  </sheetData>
  <mergeCells count="1">
    <mergeCell ref="B2:C2"/>
  </mergeCells>
  <pageMargins left="0.7" right="0.7" top="0.75" bottom="0.75" header="0.3" footer="0.3"/>
  <pageSetup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filterMode="1">
    <tabColor rgb="FF00B050"/>
  </sheetPr>
  <dimension ref="A1:D244"/>
  <sheetViews>
    <sheetView workbookViewId="0"/>
  </sheetViews>
  <sheetFormatPr baseColWidth="10" defaultColWidth="11.42578125" defaultRowHeight="15"/>
  <cols>
    <col min="1" max="1" width="21.5703125" customWidth="1"/>
    <col min="2" max="2" width="29.7109375" customWidth="1"/>
  </cols>
  <sheetData>
    <row r="1" spans="1:4">
      <c r="A1" t="s">
        <v>1721</v>
      </c>
    </row>
    <row r="2" spans="1:4">
      <c r="A2" t="s">
        <v>1722</v>
      </c>
    </row>
    <row r="3" spans="1:4">
      <c r="A3" t="s">
        <v>1723</v>
      </c>
      <c r="B3" t="s">
        <v>1724</v>
      </c>
      <c r="C3" t="s">
        <v>1725</v>
      </c>
      <c r="D3" t="s">
        <v>1726</v>
      </c>
    </row>
    <row r="4" spans="1:4">
      <c r="A4" t="s">
        <v>1727</v>
      </c>
      <c r="B4" t="s">
        <v>1728</v>
      </c>
      <c r="C4" t="s">
        <v>1729</v>
      </c>
      <c r="D4" t="s">
        <v>1730</v>
      </c>
    </row>
    <row r="5" spans="1:4">
      <c r="A5" t="s">
        <v>1731</v>
      </c>
      <c r="B5">
        <v>963.12</v>
      </c>
      <c r="C5">
        <v>3.9917714429325402E-2</v>
      </c>
      <c r="D5">
        <v>0</v>
      </c>
    </row>
    <row r="6" spans="1:4">
      <c r="A6" t="s">
        <v>1732</v>
      </c>
      <c r="B6">
        <v>963.19</v>
      </c>
      <c r="C6">
        <v>6.96319642408358E-2</v>
      </c>
      <c r="D6">
        <v>0</v>
      </c>
    </row>
    <row r="7" spans="1:4">
      <c r="A7" t="s">
        <v>1733</v>
      </c>
      <c r="B7">
        <v>963.31</v>
      </c>
      <c r="C7">
        <v>6.3673392453236596E-2</v>
      </c>
      <c r="D7">
        <v>0</v>
      </c>
    </row>
    <row r="8" spans="1:4" hidden="1">
      <c r="A8" t="s">
        <v>1734</v>
      </c>
      <c r="B8">
        <v>963.51</v>
      </c>
      <c r="C8">
        <v>6.1299396833375201E-2</v>
      </c>
      <c r="D8">
        <v>0</v>
      </c>
    </row>
    <row r="9" spans="1:4" hidden="1">
      <c r="A9" t="s">
        <v>1735</v>
      </c>
      <c r="B9">
        <v>963.67</v>
      </c>
      <c r="C9">
        <v>5.3862973467849101E-2</v>
      </c>
      <c r="D9">
        <v>0</v>
      </c>
    </row>
    <row r="10" spans="1:4" hidden="1">
      <c r="A10" t="s">
        <v>1736</v>
      </c>
      <c r="B10">
        <v>963.77</v>
      </c>
      <c r="C10">
        <v>5.0184066348328699E-2</v>
      </c>
      <c r="D10">
        <v>0</v>
      </c>
    </row>
    <row r="11" spans="1:4" hidden="1">
      <c r="A11" t="s">
        <v>1737</v>
      </c>
      <c r="B11">
        <v>963.9</v>
      </c>
      <c r="C11">
        <v>0.18974670951064501</v>
      </c>
      <c r="D11">
        <v>0</v>
      </c>
    </row>
    <row r="12" spans="1:4" hidden="1">
      <c r="A12" t="s">
        <v>1738</v>
      </c>
      <c r="B12">
        <v>966.97</v>
      </c>
      <c r="C12">
        <v>0.196239823358346</v>
      </c>
      <c r="D12">
        <v>0</v>
      </c>
    </row>
    <row r="13" spans="1:4" hidden="1">
      <c r="A13" t="s">
        <v>1739</v>
      </c>
      <c r="B13">
        <v>968.22</v>
      </c>
      <c r="C13">
        <v>4.8313169137974399E-2</v>
      </c>
      <c r="D13">
        <v>0</v>
      </c>
    </row>
    <row r="14" spans="1:4" hidden="1">
      <c r="A14" t="s">
        <v>1740</v>
      </c>
      <c r="B14">
        <v>969.01</v>
      </c>
      <c r="C14">
        <v>3.6175920008616698E-2</v>
      </c>
      <c r="D14">
        <v>0</v>
      </c>
    </row>
    <row r="15" spans="1:4" hidden="1">
      <c r="A15" t="s">
        <v>1741</v>
      </c>
      <c r="B15">
        <v>969.81</v>
      </c>
      <c r="C15">
        <v>3.6317416436290502E-2</v>
      </c>
      <c r="D15">
        <v>0</v>
      </c>
    </row>
    <row r="16" spans="1:4" hidden="1">
      <c r="A16" t="s">
        <v>1742</v>
      </c>
      <c r="B16">
        <v>970.83</v>
      </c>
      <c r="C16">
        <v>3.3015833123900502E-2</v>
      </c>
      <c r="D16">
        <v>0</v>
      </c>
    </row>
    <row r="17" spans="1:4" hidden="1">
      <c r="A17" t="s">
        <v>1743</v>
      </c>
      <c r="B17">
        <v>970.18</v>
      </c>
      <c r="C17">
        <v>6.9176031307219998E-2</v>
      </c>
      <c r="D17">
        <v>0</v>
      </c>
    </row>
    <row r="18" spans="1:4" hidden="1">
      <c r="A18" t="s">
        <v>1744</v>
      </c>
      <c r="B18">
        <v>970.78</v>
      </c>
      <c r="C18">
        <v>3.6993454924065597E-2</v>
      </c>
      <c r="D18">
        <v>0</v>
      </c>
    </row>
    <row r="19" spans="1:4" hidden="1">
      <c r="A19" t="s">
        <v>1745</v>
      </c>
      <c r="B19">
        <v>970.33</v>
      </c>
      <c r="C19">
        <v>0.110886033820414</v>
      </c>
      <c r="D19">
        <v>0</v>
      </c>
    </row>
    <row r="20" spans="1:4" hidden="1">
      <c r="A20" t="s">
        <v>1746</v>
      </c>
      <c r="B20">
        <v>970.16</v>
      </c>
      <c r="C20">
        <v>3.3015833123900502E-2</v>
      </c>
      <c r="D20">
        <v>0</v>
      </c>
    </row>
    <row r="21" spans="1:4" hidden="1">
      <c r="A21" t="s">
        <v>1747</v>
      </c>
      <c r="B21">
        <v>969.99</v>
      </c>
      <c r="C21">
        <v>7.3546698739812594E-2</v>
      </c>
      <c r="D21">
        <v>0</v>
      </c>
    </row>
    <row r="22" spans="1:4" hidden="1">
      <c r="A22" t="s">
        <v>1748</v>
      </c>
      <c r="B22">
        <v>970.61</v>
      </c>
      <c r="C22">
        <v>3.7716658887731999E-2</v>
      </c>
      <c r="D22">
        <v>0</v>
      </c>
    </row>
    <row r="23" spans="1:4" hidden="1">
      <c r="A23" t="s">
        <v>1749</v>
      </c>
      <c r="B23">
        <v>970.45</v>
      </c>
      <c r="C23">
        <v>3.3015833123900502E-2</v>
      </c>
      <c r="D23">
        <v>0</v>
      </c>
    </row>
    <row r="24" spans="1:4" hidden="1">
      <c r="A24" t="s">
        <v>1750</v>
      </c>
      <c r="B24">
        <v>970.85</v>
      </c>
      <c r="C24">
        <v>0.104644469177467</v>
      </c>
      <c r="D24">
        <v>0</v>
      </c>
    </row>
    <row r="25" spans="1:4" hidden="1">
      <c r="A25" t="s">
        <v>1751</v>
      </c>
      <c r="B25">
        <v>970.79</v>
      </c>
      <c r="C25">
        <v>1.25774602376764E-2</v>
      </c>
      <c r="D25">
        <v>0</v>
      </c>
    </row>
    <row r="26" spans="1:4" hidden="1">
      <c r="A26" t="s">
        <v>1752</v>
      </c>
      <c r="B26">
        <v>971.14</v>
      </c>
      <c r="C26">
        <v>5.7148834954942003E-2</v>
      </c>
      <c r="D26">
        <v>0</v>
      </c>
    </row>
    <row r="27" spans="1:4" hidden="1">
      <c r="A27" t="s">
        <v>1753</v>
      </c>
      <c r="B27">
        <v>971.2</v>
      </c>
      <c r="C27">
        <v>6.3044519441352795E-2</v>
      </c>
      <c r="D27">
        <v>0</v>
      </c>
    </row>
    <row r="28" spans="1:4" hidden="1">
      <c r="A28" t="s">
        <v>1754</v>
      </c>
      <c r="B28">
        <v>968.38</v>
      </c>
      <c r="C28">
        <v>5.1882023480414999E-2</v>
      </c>
      <c r="D28">
        <v>0</v>
      </c>
    </row>
    <row r="29" spans="1:4" hidden="1">
      <c r="A29" t="s">
        <v>1755</v>
      </c>
      <c r="B29">
        <v>969.13</v>
      </c>
      <c r="C29">
        <v>0.19721457652676599</v>
      </c>
      <c r="D29">
        <v>0</v>
      </c>
    </row>
    <row r="30" spans="1:4" hidden="1">
      <c r="A30" t="s">
        <v>1756</v>
      </c>
      <c r="B30">
        <v>969.54</v>
      </c>
      <c r="C30">
        <v>8.01813090151869E-2</v>
      </c>
      <c r="D30">
        <v>0</v>
      </c>
    </row>
    <row r="31" spans="1:4" hidden="1">
      <c r="A31" t="s">
        <v>1757</v>
      </c>
      <c r="B31">
        <v>979.02</v>
      </c>
      <c r="C31">
        <v>3.8046817218971001E-3</v>
      </c>
      <c r="D31">
        <v>0</v>
      </c>
    </row>
    <row r="32" spans="1:4" hidden="1">
      <c r="A32" t="s">
        <v>1758</v>
      </c>
      <c r="B32">
        <v>978.42</v>
      </c>
      <c r="C32">
        <v>1.46212975262988E-3</v>
      </c>
      <c r="D32">
        <v>0</v>
      </c>
    </row>
    <row r="33" spans="1:4" hidden="1">
      <c r="A33" t="s">
        <v>1759</v>
      </c>
      <c r="B33">
        <v>978.42</v>
      </c>
      <c r="C33">
        <v>4.3093523139338702E-2</v>
      </c>
      <c r="D33">
        <v>0</v>
      </c>
    </row>
    <row r="34" spans="1:4" hidden="1">
      <c r="A34" t="s">
        <v>1760</v>
      </c>
      <c r="B34">
        <v>978.92</v>
      </c>
      <c r="C34">
        <v>9.8827393817542103E-2</v>
      </c>
      <c r="D34">
        <v>0</v>
      </c>
    </row>
    <row r="35" spans="1:4" hidden="1">
      <c r="A35" t="s">
        <v>1761</v>
      </c>
      <c r="B35">
        <v>978.19</v>
      </c>
      <c r="C35">
        <v>2.1067245898107899E-2</v>
      </c>
      <c r="D35">
        <v>0</v>
      </c>
    </row>
    <row r="36" spans="1:4" hidden="1">
      <c r="A36" t="s">
        <v>1762</v>
      </c>
      <c r="B36">
        <v>978.19</v>
      </c>
      <c r="C36">
        <v>0.11036721358561</v>
      </c>
      <c r="D36">
        <v>0</v>
      </c>
    </row>
    <row r="37" spans="1:4" hidden="1">
      <c r="A37" t="s">
        <v>1763</v>
      </c>
      <c r="B37">
        <v>979.08</v>
      </c>
      <c r="C37">
        <v>4.0405091013535302E-2</v>
      </c>
      <c r="D37">
        <v>0</v>
      </c>
    </row>
    <row r="38" spans="1:4" hidden="1">
      <c r="A38" t="s">
        <v>1764</v>
      </c>
      <c r="B38">
        <v>980.26</v>
      </c>
      <c r="C38">
        <v>1.4464079273327801E-2</v>
      </c>
      <c r="D38">
        <v>0</v>
      </c>
    </row>
    <row r="39" spans="1:4" hidden="1">
      <c r="A39" t="s">
        <v>1765</v>
      </c>
      <c r="B39">
        <v>980.26</v>
      </c>
      <c r="C39">
        <v>4.5829120741033298E-2</v>
      </c>
      <c r="D39">
        <v>0</v>
      </c>
    </row>
    <row r="40" spans="1:4" hidden="1">
      <c r="A40" t="s">
        <v>1766</v>
      </c>
      <c r="B40">
        <v>980.68</v>
      </c>
      <c r="C40">
        <v>7.5464761426058194E-2</v>
      </c>
      <c r="D40">
        <v>0</v>
      </c>
    </row>
    <row r="41" spans="1:4" hidden="1">
      <c r="A41" t="s">
        <v>1767</v>
      </c>
      <c r="B41">
        <v>976.25</v>
      </c>
      <c r="C41">
        <v>5.1882023480415004E-3</v>
      </c>
      <c r="D41">
        <v>0</v>
      </c>
    </row>
    <row r="42" spans="1:4" hidden="1">
      <c r="A42" t="s">
        <v>1768</v>
      </c>
      <c r="B42">
        <v>976.17</v>
      </c>
      <c r="C42">
        <v>0.15454554267044801</v>
      </c>
      <c r="D42">
        <v>0</v>
      </c>
    </row>
    <row r="43" spans="1:4" hidden="1">
      <c r="A43" t="s">
        <v>1769</v>
      </c>
      <c r="B43">
        <v>973.58</v>
      </c>
      <c r="C43">
        <v>0.10690841202024901</v>
      </c>
      <c r="D43">
        <v>0</v>
      </c>
    </row>
    <row r="44" spans="1:4" hidden="1">
      <c r="A44" t="s">
        <v>1770</v>
      </c>
      <c r="B44">
        <v>976.1</v>
      </c>
      <c r="C44">
        <v>3.3015833123900502E-2</v>
      </c>
      <c r="D44">
        <v>0</v>
      </c>
    </row>
    <row r="45" spans="1:4" hidden="1">
      <c r="A45" t="s">
        <v>1771</v>
      </c>
      <c r="B45">
        <v>981.17</v>
      </c>
      <c r="C45">
        <v>8.6470039134024998E-2</v>
      </c>
      <c r="D45">
        <v>0</v>
      </c>
    </row>
    <row r="46" spans="1:4" hidden="1">
      <c r="A46" t="s">
        <v>1772</v>
      </c>
      <c r="B46">
        <v>975.09</v>
      </c>
      <c r="C46">
        <v>0.13045970631529799</v>
      </c>
      <c r="D46">
        <v>0</v>
      </c>
    </row>
    <row r="47" spans="1:4" hidden="1">
      <c r="A47" t="s">
        <v>1773</v>
      </c>
      <c r="B47">
        <v>975.62</v>
      </c>
      <c r="C47">
        <v>0.10047818547373701</v>
      </c>
      <c r="D47">
        <v>0</v>
      </c>
    </row>
    <row r="48" spans="1:4" hidden="1">
      <c r="A48" t="s">
        <v>1774</v>
      </c>
      <c r="B48">
        <v>970.54</v>
      </c>
      <c r="C48">
        <v>9.8921724769324704E-2</v>
      </c>
      <c r="D48">
        <v>0</v>
      </c>
    </row>
    <row r="49" spans="1:4" hidden="1">
      <c r="A49" t="s">
        <v>1775</v>
      </c>
      <c r="B49">
        <v>976.3</v>
      </c>
      <c r="C49">
        <v>0.136764158259433</v>
      </c>
      <c r="D49">
        <v>0</v>
      </c>
    </row>
    <row r="50" spans="1:4" hidden="1">
      <c r="A50" t="s">
        <v>1776</v>
      </c>
      <c r="B50">
        <v>981.56</v>
      </c>
      <c r="C50">
        <v>8.6470039134024998E-2</v>
      </c>
      <c r="D50">
        <v>0</v>
      </c>
    </row>
    <row r="51" spans="1:4" hidden="1">
      <c r="A51" t="s">
        <v>1777</v>
      </c>
      <c r="B51">
        <v>975.93</v>
      </c>
      <c r="C51">
        <v>0.118306735360643</v>
      </c>
      <c r="D51">
        <v>0</v>
      </c>
    </row>
    <row r="52" spans="1:4" hidden="1">
      <c r="A52" t="s">
        <v>1778</v>
      </c>
      <c r="B52">
        <v>988.74</v>
      </c>
      <c r="C52">
        <v>0.101751653322802</v>
      </c>
      <c r="D52">
        <v>0</v>
      </c>
    </row>
    <row r="53" spans="1:4" hidden="1">
      <c r="A53" t="s">
        <v>1779</v>
      </c>
      <c r="B53">
        <v>985.35</v>
      </c>
      <c r="C53">
        <v>0.18797014325207301</v>
      </c>
      <c r="D53">
        <v>0</v>
      </c>
    </row>
    <row r="54" spans="1:4" hidden="1">
      <c r="A54" t="s">
        <v>1780</v>
      </c>
      <c r="B54">
        <v>983.23</v>
      </c>
      <c r="C54">
        <v>4.16313933867088E-2</v>
      </c>
      <c r="D54">
        <v>0</v>
      </c>
    </row>
    <row r="55" spans="1:4" hidden="1">
      <c r="A55" t="s">
        <v>1781</v>
      </c>
      <c r="B55">
        <v>989.44</v>
      </c>
      <c r="C55">
        <v>8.9897397048791905E-2</v>
      </c>
      <c r="D55">
        <v>0</v>
      </c>
    </row>
    <row r="56" spans="1:4" hidden="1">
      <c r="A56" t="s">
        <v>1782</v>
      </c>
      <c r="B56">
        <v>984.61</v>
      </c>
      <c r="C56">
        <v>0.22252671525508899</v>
      </c>
      <c r="D56">
        <v>0</v>
      </c>
    </row>
    <row r="57" spans="1:4" hidden="1">
      <c r="A57" t="s">
        <v>1783</v>
      </c>
      <c r="B57">
        <v>983.38</v>
      </c>
      <c r="C57">
        <v>4.1568506085520401E-2</v>
      </c>
      <c r="D57">
        <v>0</v>
      </c>
    </row>
    <row r="58" spans="1:4" hidden="1">
      <c r="A58" t="s">
        <v>1784</v>
      </c>
      <c r="B58">
        <v>989.44</v>
      </c>
      <c r="C58">
        <v>8.8278049043191004E-2</v>
      </c>
      <c r="D58">
        <v>0</v>
      </c>
    </row>
    <row r="59" spans="1:4" hidden="1">
      <c r="A59" t="s">
        <v>1785</v>
      </c>
      <c r="B59">
        <v>984.16</v>
      </c>
      <c r="C59">
        <v>0.206962108210965</v>
      </c>
      <c r="D59">
        <v>0</v>
      </c>
    </row>
    <row r="60" spans="1:4" hidden="1">
      <c r="A60" t="s">
        <v>1786</v>
      </c>
      <c r="B60">
        <v>983.14</v>
      </c>
      <c r="C60">
        <v>4.4146885434244103E-2</v>
      </c>
      <c r="D60">
        <v>0</v>
      </c>
    </row>
    <row r="61" spans="1:4" hidden="1">
      <c r="A61" t="s">
        <v>1787</v>
      </c>
      <c r="B61">
        <v>989.09</v>
      </c>
      <c r="C61">
        <v>8.9897397048791905E-2</v>
      </c>
      <c r="D61">
        <v>0</v>
      </c>
    </row>
    <row r="62" spans="1:4" hidden="1">
      <c r="A62" t="s">
        <v>1788</v>
      </c>
      <c r="B62">
        <v>981.71</v>
      </c>
      <c r="C62">
        <v>0.25051156428391902</v>
      </c>
      <c r="D62">
        <v>0</v>
      </c>
    </row>
    <row r="63" spans="1:4" hidden="1">
      <c r="A63" t="s">
        <v>1789</v>
      </c>
      <c r="B63">
        <v>970.18</v>
      </c>
      <c r="C63">
        <v>0.27121720820019402</v>
      </c>
      <c r="D63">
        <v>0</v>
      </c>
    </row>
    <row r="64" spans="1:4" hidden="1">
      <c r="A64" t="s">
        <v>1790</v>
      </c>
      <c r="B64">
        <v>968.93</v>
      </c>
      <c r="C64">
        <v>0.25466212616235201</v>
      </c>
      <c r="D64">
        <v>0</v>
      </c>
    </row>
    <row r="65" spans="1:4" hidden="1">
      <c r="A65" t="s">
        <v>1791</v>
      </c>
      <c r="B65">
        <v>969.35</v>
      </c>
      <c r="C65">
        <v>0.25255540157254203</v>
      </c>
      <c r="D65">
        <v>0</v>
      </c>
    </row>
    <row r="66" spans="1:4" hidden="1">
      <c r="A66" t="s">
        <v>1792</v>
      </c>
      <c r="B66">
        <v>970.95</v>
      </c>
      <c r="C66">
        <v>4.1568506085520401E-2</v>
      </c>
      <c r="D66">
        <v>0</v>
      </c>
    </row>
    <row r="67" spans="1:4" hidden="1">
      <c r="A67" t="s">
        <v>1793</v>
      </c>
      <c r="B67">
        <v>971.88</v>
      </c>
      <c r="C67">
        <v>0.15124395935805801</v>
      </c>
      <c r="D67">
        <v>0</v>
      </c>
    </row>
    <row r="68" spans="1:4" hidden="1">
      <c r="A68" t="s">
        <v>1794</v>
      </c>
      <c r="B68">
        <v>977.06</v>
      </c>
      <c r="C68">
        <v>0.15957652676551901</v>
      </c>
      <c r="D68">
        <v>0</v>
      </c>
    </row>
    <row r="69" spans="1:4" hidden="1">
      <c r="A69" t="s">
        <v>1795</v>
      </c>
      <c r="B69">
        <v>978.53</v>
      </c>
      <c r="C69">
        <v>5.29825512512117E-2</v>
      </c>
      <c r="D69">
        <v>0</v>
      </c>
    </row>
    <row r="70" spans="1:4" hidden="1">
      <c r="A70" t="s">
        <v>1796</v>
      </c>
      <c r="B70">
        <v>980.2</v>
      </c>
      <c r="C70">
        <v>5.29825512512117E-2</v>
      </c>
      <c r="D70">
        <v>0</v>
      </c>
    </row>
    <row r="71" spans="1:4" hidden="1">
      <c r="A71" t="s">
        <v>1797</v>
      </c>
      <c r="B71">
        <v>981.3</v>
      </c>
      <c r="C71">
        <v>0.14495522923922</v>
      </c>
      <c r="D71">
        <v>0</v>
      </c>
    </row>
    <row r="72" spans="1:4" hidden="1">
      <c r="A72" t="s">
        <v>1798</v>
      </c>
      <c r="B72">
        <v>985.96</v>
      </c>
      <c r="C72">
        <v>0.17136789573834099</v>
      </c>
      <c r="D72">
        <v>0</v>
      </c>
    </row>
    <row r="73" spans="1:4" hidden="1">
      <c r="A73" t="s">
        <v>1799</v>
      </c>
      <c r="B73">
        <v>986.49</v>
      </c>
      <c r="C73">
        <v>8.9299967687502202E-2</v>
      </c>
      <c r="D73">
        <v>0</v>
      </c>
    </row>
    <row r="74" spans="1:4" hidden="1">
      <c r="A74" t="s">
        <v>1800</v>
      </c>
      <c r="B74">
        <v>986.19</v>
      </c>
      <c r="C74">
        <v>0.225450974760349</v>
      </c>
      <c r="D74">
        <v>0</v>
      </c>
    </row>
    <row r="75" spans="1:4" hidden="1">
      <c r="A75" t="s">
        <v>1801</v>
      </c>
      <c r="B75">
        <v>978.17</v>
      </c>
      <c r="C75">
        <v>0.226708720784117</v>
      </c>
      <c r="D75">
        <v>0</v>
      </c>
    </row>
    <row r="76" spans="1:4" hidden="1">
      <c r="A76" t="s">
        <v>1802</v>
      </c>
      <c r="B76">
        <v>976.15</v>
      </c>
      <c r="C76">
        <v>5.2039241733385998E-2</v>
      </c>
      <c r="D76">
        <v>0</v>
      </c>
    </row>
    <row r="77" spans="1:4" hidden="1">
      <c r="A77" t="s">
        <v>1803</v>
      </c>
      <c r="B77">
        <v>975.69</v>
      </c>
      <c r="C77">
        <v>5.0624277456647403E-2</v>
      </c>
      <c r="D77">
        <v>0</v>
      </c>
    </row>
    <row r="78" spans="1:4" hidden="1">
      <c r="A78" t="s">
        <v>1804</v>
      </c>
      <c r="B78">
        <v>973.97</v>
      </c>
      <c r="C78">
        <v>6.3516174200265701E-2</v>
      </c>
      <c r="D78">
        <v>0</v>
      </c>
    </row>
    <row r="79" spans="1:4" hidden="1">
      <c r="A79" t="s">
        <v>1805</v>
      </c>
      <c r="B79">
        <v>972.95</v>
      </c>
      <c r="C79">
        <v>6.0371809140846597E-2</v>
      </c>
      <c r="D79">
        <v>0</v>
      </c>
    </row>
    <row r="80" spans="1:4" hidden="1">
      <c r="A80" t="s">
        <v>1806</v>
      </c>
      <c r="B80">
        <v>971.68</v>
      </c>
      <c r="C80">
        <v>7.0433777330987699E-2</v>
      </c>
      <c r="D80">
        <v>0</v>
      </c>
    </row>
    <row r="81" spans="1:4" hidden="1">
      <c r="A81" t="s">
        <v>1807</v>
      </c>
      <c r="B81">
        <v>971.47</v>
      </c>
      <c r="C81">
        <v>8.50550748572865E-2</v>
      </c>
      <c r="D81">
        <v>0</v>
      </c>
    </row>
    <row r="82" spans="1:4" hidden="1">
      <c r="A82" t="s">
        <v>1808</v>
      </c>
      <c r="B82">
        <v>970.61</v>
      </c>
      <c r="C82">
        <v>7.7351380461709696E-2</v>
      </c>
      <c r="D82">
        <v>0</v>
      </c>
    </row>
    <row r="83" spans="1:4" hidden="1">
      <c r="A83" t="s">
        <v>1809</v>
      </c>
      <c r="B83">
        <v>969.98</v>
      </c>
      <c r="C83">
        <v>6.0214590887875598E-2</v>
      </c>
      <c r="D83">
        <v>0</v>
      </c>
    </row>
    <row r="84" spans="1:4" hidden="1">
      <c r="A84" t="s">
        <v>1810</v>
      </c>
      <c r="B84">
        <v>970.36</v>
      </c>
      <c r="C84">
        <v>3.9618999748680599E-2</v>
      </c>
      <c r="D84">
        <v>0</v>
      </c>
    </row>
    <row r="85" spans="1:4" hidden="1">
      <c r="A85" t="s">
        <v>1811</v>
      </c>
      <c r="B85">
        <v>983.76</v>
      </c>
      <c r="C85">
        <v>4.7322694144257299E-2</v>
      </c>
      <c r="D85">
        <v>0</v>
      </c>
    </row>
    <row r="86" spans="1:4" hidden="1">
      <c r="A86" t="s">
        <v>1812</v>
      </c>
      <c r="B86">
        <v>982.21</v>
      </c>
      <c r="C86">
        <v>7.6408070943883993E-2</v>
      </c>
      <c r="D86">
        <v>0</v>
      </c>
    </row>
    <row r="87" spans="1:4" hidden="1">
      <c r="A87" t="s">
        <v>1813</v>
      </c>
      <c r="B87">
        <v>998.7</v>
      </c>
      <c r="C87">
        <v>4.5514684235091397E-2</v>
      </c>
      <c r="D87">
        <v>0</v>
      </c>
    </row>
    <row r="88" spans="1:4" hidden="1">
      <c r="A88" t="s">
        <v>1814</v>
      </c>
      <c r="B88">
        <v>974.45</v>
      </c>
      <c r="C88">
        <v>0.215074570064266</v>
      </c>
      <c r="D88">
        <v>0</v>
      </c>
    </row>
    <row r="89" spans="1:4" hidden="1">
      <c r="A89" t="s">
        <v>1815</v>
      </c>
      <c r="B89">
        <v>984.63</v>
      </c>
      <c r="C89">
        <v>0.213974042293469</v>
      </c>
      <c r="D89">
        <v>0</v>
      </c>
    </row>
    <row r="90" spans="1:4" hidden="1">
      <c r="A90" t="s">
        <v>1816</v>
      </c>
      <c r="B90">
        <v>973.8</v>
      </c>
      <c r="C90">
        <v>0.204069292356299</v>
      </c>
      <c r="D90">
        <v>0</v>
      </c>
    </row>
    <row r="91" spans="1:4" hidden="1">
      <c r="A91" t="s">
        <v>1817</v>
      </c>
      <c r="B91">
        <v>972.55</v>
      </c>
      <c r="C91">
        <v>0.202968764585502</v>
      </c>
      <c r="D91">
        <v>0</v>
      </c>
    </row>
    <row r="92" spans="1:4" hidden="1">
      <c r="A92" t="s">
        <v>1818</v>
      </c>
      <c r="B92">
        <v>976.34</v>
      </c>
      <c r="C92">
        <v>0.27859074426453201</v>
      </c>
      <c r="D92">
        <v>0</v>
      </c>
    </row>
    <row r="93" spans="1:4" hidden="1">
      <c r="A93" t="s">
        <v>1819</v>
      </c>
      <c r="B93">
        <v>979.88</v>
      </c>
      <c r="C93">
        <v>0.20501260187412501</v>
      </c>
      <c r="D93">
        <v>0</v>
      </c>
    </row>
    <row r="94" spans="1:4" hidden="1">
      <c r="A94" t="s">
        <v>1820</v>
      </c>
      <c r="B94">
        <v>974.86</v>
      </c>
      <c r="C94">
        <v>0.35248332316087999</v>
      </c>
      <c r="D94">
        <v>0</v>
      </c>
    </row>
    <row r="95" spans="1:4" hidden="1">
      <c r="A95" t="s">
        <v>1821</v>
      </c>
      <c r="B95">
        <v>982.99</v>
      </c>
      <c r="C95">
        <v>0.27701856173482198</v>
      </c>
      <c r="D95">
        <v>0</v>
      </c>
    </row>
    <row r="96" spans="1:4" hidden="1">
      <c r="A96" t="s">
        <v>1822</v>
      </c>
      <c r="B96">
        <v>973.65</v>
      </c>
      <c r="C96">
        <v>0.138823717373353</v>
      </c>
      <c r="D96">
        <v>0</v>
      </c>
    </row>
    <row r="97" spans="1:4" hidden="1">
      <c r="A97" t="s">
        <v>1823</v>
      </c>
      <c r="B97">
        <v>984.3</v>
      </c>
      <c r="C97">
        <v>0.181587082181453</v>
      </c>
      <c r="D97">
        <v>0</v>
      </c>
    </row>
    <row r="98" spans="1:4" hidden="1">
      <c r="A98" t="s">
        <v>1824</v>
      </c>
      <c r="B98">
        <v>991.37</v>
      </c>
      <c r="C98">
        <v>9.2129896240979406E-2</v>
      </c>
      <c r="D98">
        <v>0</v>
      </c>
    </row>
    <row r="99" spans="1:4" hidden="1">
      <c r="A99" t="s">
        <v>1825</v>
      </c>
      <c r="B99">
        <v>990.01</v>
      </c>
      <c r="C99">
        <v>0.21193020500484699</v>
      </c>
      <c r="D99">
        <v>0</v>
      </c>
    </row>
    <row r="100" spans="1:4" hidden="1">
      <c r="A100" t="s">
        <v>1826</v>
      </c>
      <c r="B100">
        <v>982.27</v>
      </c>
      <c r="C100">
        <v>0.12970505870103799</v>
      </c>
      <c r="D100">
        <v>0</v>
      </c>
    </row>
    <row r="101" spans="1:4" hidden="1">
      <c r="A101" t="s">
        <v>1827</v>
      </c>
      <c r="B101">
        <v>975.47</v>
      </c>
      <c r="C101">
        <v>8.0810182027070701E-2</v>
      </c>
      <c r="D101">
        <v>0</v>
      </c>
    </row>
    <row r="102" spans="1:4" hidden="1">
      <c r="A102" t="s">
        <v>1828</v>
      </c>
      <c r="B102">
        <v>998.7</v>
      </c>
      <c r="C102">
        <v>4.8501831041539503E-2</v>
      </c>
      <c r="D102">
        <v>0</v>
      </c>
    </row>
    <row r="103" spans="1:4" hidden="1">
      <c r="A103" t="s">
        <v>1829</v>
      </c>
      <c r="B103">
        <v>984.4</v>
      </c>
      <c r="C103">
        <v>0.13316386026639901</v>
      </c>
      <c r="D103">
        <v>0</v>
      </c>
    </row>
    <row r="104" spans="1:4" hidden="1">
      <c r="A104" t="s">
        <v>1830</v>
      </c>
      <c r="B104">
        <v>976.64</v>
      </c>
      <c r="C104">
        <v>8.86710946756184E-2</v>
      </c>
      <c r="D104">
        <v>0</v>
      </c>
    </row>
    <row r="105" spans="1:4" hidden="1">
      <c r="A105" t="s">
        <v>1831</v>
      </c>
      <c r="B105">
        <v>976.46</v>
      </c>
      <c r="C105">
        <v>3.2229741859045702E-2</v>
      </c>
      <c r="D105">
        <v>0</v>
      </c>
    </row>
    <row r="106" spans="1:4" hidden="1">
      <c r="A106" t="s">
        <v>1832</v>
      </c>
      <c r="B106">
        <v>979.58</v>
      </c>
      <c r="C106">
        <v>0.38172591821347801</v>
      </c>
      <c r="D106">
        <v>0</v>
      </c>
    </row>
    <row r="107" spans="1:4" hidden="1">
      <c r="A107" t="s">
        <v>1833</v>
      </c>
      <c r="B107">
        <v>981.41</v>
      </c>
      <c r="C107">
        <v>0.49319365956988498</v>
      </c>
      <c r="D107">
        <v>0</v>
      </c>
    </row>
    <row r="108" spans="1:4" hidden="1">
      <c r="A108" t="s">
        <v>1834</v>
      </c>
      <c r="B108">
        <v>981.58</v>
      </c>
      <c r="C108">
        <v>0.62085488098230002</v>
      </c>
      <c r="D108">
        <v>0</v>
      </c>
    </row>
    <row r="109" spans="1:4" hidden="1">
      <c r="A109" t="s">
        <v>1835</v>
      </c>
      <c r="B109">
        <v>977.75</v>
      </c>
      <c r="C109">
        <v>0.490520949269379</v>
      </c>
      <c r="D109">
        <v>0</v>
      </c>
    </row>
    <row r="110" spans="1:4" hidden="1">
      <c r="A110" t="s">
        <v>1836</v>
      </c>
      <c r="B110">
        <v>988.67</v>
      </c>
      <c r="C110">
        <v>0.114140451656913</v>
      </c>
      <c r="D110">
        <v>0</v>
      </c>
    </row>
    <row r="111" spans="1:4" hidden="1">
      <c r="A111" t="s">
        <v>1837</v>
      </c>
      <c r="B111">
        <v>988.54</v>
      </c>
      <c r="C111">
        <v>0.18111542742254</v>
      </c>
      <c r="D111">
        <v>0</v>
      </c>
    </row>
    <row r="112" spans="1:4" hidden="1">
      <c r="A112" t="s">
        <v>1838</v>
      </c>
      <c r="B112">
        <v>986.5</v>
      </c>
      <c r="C112">
        <v>0.239286181021793</v>
      </c>
      <c r="D112">
        <v>0</v>
      </c>
    </row>
    <row r="113" spans="1:4" hidden="1">
      <c r="A113" t="s">
        <v>1839</v>
      </c>
      <c r="B113">
        <v>993.49</v>
      </c>
      <c r="C113">
        <v>0.25595131583671399</v>
      </c>
      <c r="D113">
        <v>0</v>
      </c>
    </row>
    <row r="114" spans="1:4" hidden="1">
      <c r="A114" t="s">
        <v>1840</v>
      </c>
      <c r="B114">
        <v>995.29</v>
      </c>
      <c r="C114">
        <v>0.25296416903026597</v>
      </c>
      <c r="D114">
        <v>0</v>
      </c>
    </row>
    <row r="115" spans="1:4" hidden="1">
      <c r="A115" t="s">
        <v>1841</v>
      </c>
      <c r="B115">
        <v>997.08</v>
      </c>
      <c r="C115">
        <v>0.121372491293577</v>
      </c>
      <c r="D115">
        <v>0</v>
      </c>
    </row>
    <row r="116" spans="1:4" hidden="1">
      <c r="A116" t="s">
        <v>1842</v>
      </c>
      <c r="B116">
        <v>995.8</v>
      </c>
      <c r="C116">
        <v>0.37590884285355303</v>
      </c>
      <c r="D116">
        <v>0</v>
      </c>
    </row>
    <row r="117" spans="1:4" hidden="1">
      <c r="A117" t="s">
        <v>1843</v>
      </c>
      <c r="B117">
        <v>995.61</v>
      </c>
      <c r="C117">
        <v>0.32842893045632399</v>
      </c>
      <c r="D117">
        <v>0</v>
      </c>
    </row>
    <row r="118" spans="1:4" hidden="1">
      <c r="A118" t="s">
        <v>1844</v>
      </c>
      <c r="B118">
        <v>992.54</v>
      </c>
      <c r="C118">
        <v>0.212873514522673</v>
      </c>
      <c r="D118">
        <v>0</v>
      </c>
    </row>
    <row r="119" spans="1:4" hidden="1">
      <c r="A119" t="s">
        <v>1845</v>
      </c>
      <c r="B119">
        <v>986.35</v>
      </c>
      <c r="C119">
        <v>0.113826015150971</v>
      </c>
      <c r="D119">
        <v>0</v>
      </c>
    </row>
    <row r="120" spans="1:4" hidden="1">
      <c r="A120" t="s">
        <v>1846</v>
      </c>
      <c r="B120">
        <v>982.08</v>
      </c>
      <c r="C120">
        <v>0.51284594119125404</v>
      </c>
      <c r="D120">
        <v>0</v>
      </c>
    </row>
    <row r="121" spans="1:4" hidden="1">
      <c r="A121" t="s">
        <v>1847</v>
      </c>
      <c r="B121">
        <v>972.74</v>
      </c>
      <c r="C121">
        <v>0.433607941693893</v>
      </c>
      <c r="D121">
        <v>0</v>
      </c>
    </row>
    <row r="122" spans="1:4" hidden="1">
      <c r="A122" t="s">
        <v>1848</v>
      </c>
      <c r="B122">
        <v>986.29</v>
      </c>
      <c r="C122">
        <v>0.46335363515599798</v>
      </c>
      <c r="D122">
        <v>0</v>
      </c>
    </row>
    <row r="123" spans="1:4" hidden="1">
      <c r="A123" t="s">
        <v>1849</v>
      </c>
      <c r="B123">
        <v>984.59</v>
      </c>
      <c r="C123">
        <v>0.244222834165081</v>
      </c>
      <c r="D123">
        <v>0</v>
      </c>
    </row>
    <row r="124" spans="1:4" hidden="1">
      <c r="A124" t="s">
        <v>1850</v>
      </c>
      <c r="B124">
        <v>982.89</v>
      </c>
      <c r="C124">
        <v>0.42184801637166602</v>
      </c>
      <c r="D124">
        <v>0</v>
      </c>
    </row>
    <row r="125" spans="1:4" hidden="1">
      <c r="A125" t="s">
        <v>1851</v>
      </c>
      <c r="B125">
        <v>989.53</v>
      </c>
      <c r="C125">
        <v>0.243059419093096</v>
      </c>
      <c r="D125">
        <v>0</v>
      </c>
    </row>
    <row r="126" spans="1:4" hidden="1">
      <c r="A126" t="s">
        <v>1852</v>
      </c>
      <c r="B126">
        <v>990.23</v>
      </c>
      <c r="C126">
        <v>8.0652963774099695E-2</v>
      </c>
      <c r="D126">
        <v>0</v>
      </c>
    </row>
    <row r="127" spans="1:4" hidden="1">
      <c r="A127" t="s">
        <v>1853</v>
      </c>
      <c r="B127">
        <v>986.67</v>
      </c>
      <c r="C127">
        <v>0.43801005277707999</v>
      </c>
      <c r="D127">
        <v>0</v>
      </c>
    </row>
    <row r="128" spans="1:4" hidden="1">
      <c r="A128" t="s">
        <v>1854</v>
      </c>
      <c r="B128">
        <v>974.33</v>
      </c>
      <c r="C128">
        <v>0.29148264100815002</v>
      </c>
      <c r="D128">
        <v>0</v>
      </c>
    </row>
    <row r="129" spans="1:4" hidden="1">
      <c r="A129" t="s">
        <v>1855</v>
      </c>
      <c r="B129">
        <v>991.48</v>
      </c>
      <c r="C129">
        <v>0.46725264782967701</v>
      </c>
      <c r="D129">
        <v>0</v>
      </c>
    </row>
    <row r="130" spans="1:4" hidden="1">
      <c r="A130" t="s">
        <v>1856</v>
      </c>
      <c r="B130">
        <v>984.96</v>
      </c>
      <c r="C130">
        <v>0.30060129968046501</v>
      </c>
      <c r="D130">
        <v>0</v>
      </c>
    </row>
    <row r="131" spans="1:4" hidden="1">
      <c r="A131" t="s">
        <v>1857</v>
      </c>
      <c r="B131">
        <v>985.5</v>
      </c>
      <c r="C131">
        <v>0.138194844361469</v>
      </c>
      <c r="D131">
        <v>0</v>
      </c>
    </row>
    <row r="132" spans="1:4" hidden="1">
      <c r="A132" t="s">
        <v>1858</v>
      </c>
      <c r="B132">
        <v>986.01</v>
      </c>
      <c r="C132">
        <v>0.151558395864</v>
      </c>
      <c r="D132">
        <v>0</v>
      </c>
    </row>
    <row r="133" spans="1:4" hidden="1">
      <c r="A133" t="s">
        <v>1859</v>
      </c>
      <c r="B133">
        <v>991.67</v>
      </c>
      <c r="C133">
        <v>0.214602915305353</v>
      </c>
      <c r="D133">
        <v>0</v>
      </c>
    </row>
    <row r="134" spans="1:4" hidden="1">
      <c r="A134" t="s">
        <v>1860</v>
      </c>
      <c r="B134">
        <v>989.62</v>
      </c>
      <c r="C134">
        <v>3.7575162460058202E-2</v>
      </c>
      <c r="D134">
        <v>0</v>
      </c>
    </row>
    <row r="135" spans="1:4" hidden="1">
      <c r="A135" t="s">
        <v>1861</v>
      </c>
      <c r="B135">
        <v>986.4</v>
      </c>
      <c r="C135">
        <v>0.13237776900154399</v>
      </c>
      <c r="D135">
        <v>0</v>
      </c>
    </row>
    <row r="136" spans="1:4" hidden="1">
      <c r="A136" t="s">
        <v>1862</v>
      </c>
      <c r="B136">
        <v>984.88</v>
      </c>
      <c r="C136">
        <v>0.14951455857537799</v>
      </c>
      <c r="D136">
        <v>0</v>
      </c>
    </row>
    <row r="137" spans="1:4" hidden="1">
      <c r="A137" t="s">
        <v>1863</v>
      </c>
      <c r="B137">
        <v>984.38</v>
      </c>
      <c r="C137">
        <v>0.22850100886798599</v>
      </c>
      <c r="D137">
        <v>0</v>
      </c>
    </row>
    <row r="138" spans="1:4" hidden="1">
      <c r="A138" t="s">
        <v>1864</v>
      </c>
      <c r="B138">
        <v>989.26</v>
      </c>
      <c r="C138">
        <v>0.52919663950023299</v>
      </c>
      <c r="D138">
        <v>0</v>
      </c>
    </row>
    <row r="139" spans="1:4" hidden="1">
      <c r="A139" t="s">
        <v>1865</v>
      </c>
      <c r="B139">
        <v>979.51</v>
      </c>
      <c r="C139">
        <v>0.177184971098266</v>
      </c>
      <c r="D139">
        <v>0</v>
      </c>
    </row>
    <row r="140" spans="1:4" hidden="1">
      <c r="A140" t="s">
        <v>1866</v>
      </c>
      <c r="B140">
        <v>984.95</v>
      </c>
      <c r="C140">
        <v>0.62918744838976004</v>
      </c>
      <c r="D140">
        <v>0</v>
      </c>
    </row>
    <row r="141" spans="1:4" hidden="1">
      <c r="A141" t="s">
        <v>1867</v>
      </c>
      <c r="B141">
        <v>985.49</v>
      </c>
      <c r="C141">
        <v>0.51465395110042</v>
      </c>
      <c r="D141">
        <v>0</v>
      </c>
    </row>
    <row r="142" spans="1:4" hidden="1">
      <c r="A142" t="s">
        <v>1868</v>
      </c>
      <c r="B142">
        <v>988.02</v>
      </c>
      <c r="C142">
        <v>0.33144752091336699</v>
      </c>
      <c r="D142">
        <v>0</v>
      </c>
    </row>
    <row r="143" spans="1:4" hidden="1">
      <c r="A143" t="s">
        <v>1869</v>
      </c>
      <c r="B143">
        <v>986.05</v>
      </c>
      <c r="C143">
        <v>0.634375650737802</v>
      </c>
      <c r="D143">
        <v>0</v>
      </c>
    </row>
    <row r="144" spans="1:4" hidden="1">
      <c r="A144" t="s">
        <v>1870</v>
      </c>
      <c r="B144">
        <v>967</v>
      </c>
      <c r="C144">
        <v>4.6332219150540303E-2</v>
      </c>
      <c r="D144">
        <v>0</v>
      </c>
    </row>
    <row r="145" spans="1:4" hidden="1">
      <c r="A145" t="s">
        <v>1871</v>
      </c>
      <c r="B145">
        <v>967.07</v>
      </c>
      <c r="C145">
        <v>0.4200400064625</v>
      </c>
      <c r="D145">
        <v>0</v>
      </c>
    </row>
    <row r="146" spans="1:4" hidden="1">
      <c r="A146" t="s">
        <v>1872</v>
      </c>
      <c r="B146">
        <v>966</v>
      </c>
      <c r="C146">
        <v>3.85970811043694E-2</v>
      </c>
      <c r="D146">
        <v>0</v>
      </c>
    </row>
    <row r="147" spans="1:4" hidden="1">
      <c r="A147" t="s">
        <v>1873</v>
      </c>
      <c r="B147">
        <v>966.01</v>
      </c>
      <c r="C147">
        <v>0.35822178939431998</v>
      </c>
      <c r="D147">
        <v>0</v>
      </c>
    </row>
    <row r="148" spans="1:4" hidden="1">
      <c r="A148" t="s">
        <v>1874</v>
      </c>
      <c r="B148">
        <v>982.22</v>
      </c>
      <c r="C148">
        <v>0.36930567622877197</v>
      </c>
      <c r="D148">
        <v>0</v>
      </c>
    </row>
    <row r="149" spans="1:4" hidden="1">
      <c r="A149" t="s">
        <v>1875</v>
      </c>
      <c r="B149">
        <v>981.03</v>
      </c>
      <c r="C149">
        <v>0.54722957311600195</v>
      </c>
      <c r="D149">
        <v>0</v>
      </c>
    </row>
    <row r="150" spans="1:4" hidden="1">
      <c r="A150" t="s">
        <v>1876</v>
      </c>
      <c r="B150">
        <v>981.03</v>
      </c>
      <c r="C150">
        <v>0.331416077262772</v>
      </c>
      <c r="D150">
        <v>0</v>
      </c>
    </row>
    <row r="151" spans="1:4" hidden="1">
      <c r="A151" t="s">
        <v>1877</v>
      </c>
      <c r="B151">
        <v>974.51</v>
      </c>
      <c r="C151">
        <v>0.222369497002118</v>
      </c>
      <c r="D151">
        <v>0</v>
      </c>
    </row>
    <row r="152" spans="1:4" hidden="1">
      <c r="A152" t="s">
        <v>1878</v>
      </c>
      <c r="B152">
        <v>975.82</v>
      </c>
      <c r="C152">
        <v>0.462394603812875</v>
      </c>
      <c r="D152">
        <v>0</v>
      </c>
    </row>
    <row r="153" spans="1:4" hidden="1">
      <c r="A153" t="s">
        <v>1879</v>
      </c>
      <c r="B153">
        <v>971.89</v>
      </c>
      <c r="C153">
        <v>0.121624040498331</v>
      </c>
      <c r="D153">
        <v>0</v>
      </c>
    </row>
    <row r="154" spans="1:4" hidden="1">
      <c r="A154" t="s">
        <v>1880</v>
      </c>
      <c r="B154">
        <v>970.58</v>
      </c>
      <c r="C154">
        <v>0.14943594944889199</v>
      </c>
      <c r="D154">
        <v>0</v>
      </c>
    </row>
    <row r="155" spans="1:4" hidden="1">
      <c r="A155" t="s">
        <v>1881</v>
      </c>
      <c r="B155">
        <v>987.29</v>
      </c>
      <c r="C155">
        <v>0.51050338922198701</v>
      </c>
      <c r="D155">
        <v>0</v>
      </c>
    </row>
    <row r="156" spans="1:4" hidden="1">
      <c r="A156" t="s">
        <v>1882</v>
      </c>
      <c r="B156">
        <v>985.54</v>
      </c>
      <c r="C156">
        <v>0.22696026998887001</v>
      </c>
      <c r="D156">
        <v>0</v>
      </c>
    </row>
    <row r="157" spans="1:4" hidden="1">
      <c r="A157" t="s">
        <v>1883</v>
      </c>
      <c r="B157">
        <v>984.27</v>
      </c>
      <c r="C157">
        <v>3.3911977165834897E-2</v>
      </c>
      <c r="D157">
        <v>0</v>
      </c>
    </row>
    <row r="158" spans="1:4" hidden="1">
      <c r="A158" t="s">
        <v>1884</v>
      </c>
      <c r="B158">
        <v>974.06</v>
      </c>
      <c r="C158">
        <v>0.210955451836427</v>
      </c>
      <c r="D158">
        <v>0</v>
      </c>
    </row>
    <row r="159" spans="1:4" hidden="1">
      <c r="A159" t="s">
        <v>1885</v>
      </c>
      <c r="B159">
        <v>971</v>
      </c>
      <c r="C159">
        <v>0.162343568017808</v>
      </c>
      <c r="D159">
        <v>0</v>
      </c>
    </row>
    <row r="160" spans="1:4" hidden="1">
      <c r="A160" t="s">
        <v>1886</v>
      </c>
      <c r="B160">
        <v>981.94</v>
      </c>
      <c r="C160">
        <v>0.14038017807776501</v>
      </c>
      <c r="D160">
        <v>0</v>
      </c>
    </row>
    <row r="161" spans="1:4" hidden="1">
      <c r="A161" t="s">
        <v>1887</v>
      </c>
      <c r="B161">
        <v>985.01</v>
      </c>
      <c r="C161">
        <v>5.9176950418267302E-2</v>
      </c>
      <c r="D161">
        <v>0</v>
      </c>
    </row>
    <row r="162" spans="1:4" hidden="1">
      <c r="A162" t="s">
        <v>1888</v>
      </c>
      <c r="B162">
        <v>973.24</v>
      </c>
      <c r="C162">
        <v>7.6140799913833296E-2</v>
      </c>
      <c r="D162">
        <v>0</v>
      </c>
    </row>
    <row r="163" spans="1:4" hidden="1">
      <c r="A163" t="s">
        <v>1889</v>
      </c>
      <c r="B163">
        <v>970.97</v>
      </c>
      <c r="C163">
        <v>8.0322805442860704E-2</v>
      </c>
      <c r="D163">
        <v>0</v>
      </c>
    </row>
    <row r="164" spans="1:4" hidden="1">
      <c r="A164" t="s">
        <v>1890</v>
      </c>
      <c r="B164">
        <v>969.63</v>
      </c>
      <c r="C164">
        <v>0.25785365669766303</v>
      </c>
      <c r="D164">
        <v>0</v>
      </c>
    </row>
    <row r="165" spans="1:4" hidden="1">
      <c r="A165" t="s">
        <v>1891</v>
      </c>
      <c r="B165">
        <v>983.08</v>
      </c>
      <c r="C165">
        <v>0.28876276523175198</v>
      </c>
      <c r="D165">
        <v>0</v>
      </c>
    </row>
    <row r="166" spans="1:4" hidden="1">
      <c r="A166" t="s">
        <v>1892</v>
      </c>
      <c r="B166">
        <v>988.35</v>
      </c>
      <c r="C166">
        <v>0.100053696190716</v>
      </c>
      <c r="D166">
        <v>0</v>
      </c>
    </row>
    <row r="167" spans="1:4" hidden="1">
      <c r="A167" t="s">
        <v>1893</v>
      </c>
      <c r="B167">
        <v>988.56</v>
      </c>
      <c r="C167">
        <v>0.36590976196460001</v>
      </c>
      <c r="D167">
        <v>0</v>
      </c>
    </row>
    <row r="168" spans="1:4" hidden="1">
      <c r="A168" t="s">
        <v>1894</v>
      </c>
      <c r="B168">
        <v>989.95</v>
      </c>
      <c r="C168">
        <v>4.2763364808099703E-2</v>
      </c>
      <c r="D168">
        <v>0</v>
      </c>
    </row>
    <row r="169" spans="1:4" hidden="1">
      <c r="A169" t="s">
        <v>1895</v>
      </c>
      <c r="B169">
        <v>989.6</v>
      </c>
      <c r="C169">
        <v>0.19833082612285899</v>
      </c>
      <c r="D169">
        <v>0</v>
      </c>
    </row>
    <row r="170" spans="1:4" hidden="1">
      <c r="A170" t="s">
        <v>1896</v>
      </c>
      <c r="B170">
        <v>989.43</v>
      </c>
      <c r="C170">
        <v>0.31382335475532303</v>
      </c>
      <c r="D170">
        <v>0</v>
      </c>
    </row>
    <row r="171" spans="1:4" hidden="1">
      <c r="A171" t="s">
        <v>1897</v>
      </c>
      <c r="B171">
        <v>990.01</v>
      </c>
      <c r="C171">
        <v>0.58331116217283596</v>
      </c>
      <c r="D171">
        <v>0</v>
      </c>
    </row>
    <row r="172" spans="1:4" hidden="1">
      <c r="A172" t="s">
        <v>1898</v>
      </c>
      <c r="B172">
        <v>989.7</v>
      </c>
      <c r="C172">
        <v>0.62932894481743396</v>
      </c>
      <c r="D172">
        <v>0</v>
      </c>
    </row>
    <row r="173" spans="1:4" hidden="1">
      <c r="A173" t="s">
        <v>1899</v>
      </c>
      <c r="B173">
        <v>990.52</v>
      </c>
      <c r="C173">
        <v>0.50419893727785203</v>
      </c>
      <c r="D173">
        <v>0</v>
      </c>
    </row>
    <row r="174" spans="1:4" hidden="1">
      <c r="A174" t="s">
        <v>1900</v>
      </c>
      <c r="B174">
        <v>992.81</v>
      </c>
      <c r="C174">
        <v>0.26475553800308799</v>
      </c>
      <c r="D174">
        <v>0</v>
      </c>
    </row>
    <row r="175" spans="1:4" hidden="1">
      <c r="A175" t="s">
        <v>1901</v>
      </c>
      <c r="B175">
        <v>992.21</v>
      </c>
      <c r="C175">
        <v>0.13127724123074699</v>
      </c>
      <c r="D175">
        <v>0</v>
      </c>
    </row>
    <row r="176" spans="1:4" hidden="1">
      <c r="A176" t="s">
        <v>1902</v>
      </c>
      <c r="B176">
        <v>992.14</v>
      </c>
      <c r="C176">
        <v>4.9052094926937899E-2</v>
      </c>
      <c r="D176">
        <v>0</v>
      </c>
    </row>
    <row r="177" spans="1:4" hidden="1">
      <c r="A177" t="s">
        <v>1903</v>
      </c>
      <c r="B177">
        <v>992.21</v>
      </c>
      <c r="C177">
        <v>0.14731350303378499</v>
      </c>
      <c r="D177">
        <v>0</v>
      </c>
    </row>
    <row r="178" spans="1:4" hidden="1">
      <c r="A178" t="s">
        <v>1904</v>
      </c>
      <c r="B178">
        <v>990.75</v>
      </c>
      <c r="C178">
        <v>0.22592262951926201</v>
      </c>
      <c r="D178">
        <v>0</v>
      </c>
    </row>
    <row r="179" spans="1:4" hidden="1">
      <c r="A179" t="s">
        <v>1905</v>
      </c>
      <c r="B179">
        <v>990.53</v>
      </c>
      <c r="C179">
        <v>0.52746723871755297</v>
      </c>
      <c r="D179">
        <v>0</v>
      </c>
    </row>
    <row r="180" spans="1:4" hidden="1">
      <c r="A180" t="s">
        <v>1906</v>
      </c>
      <c r="B180">
        <v>986.83</v>
      </c>
      <c r="C180">
        <v>0.64286543639823301</v>
      </c>
      <c r="D180">
        <v>0</v>
      </c>
    </row>
    <row r="181" spans="1:4" hidden="1">
      <c r="A181" t="s">
        <v>1907</v>
      </c>
      <c r="B181">
        <v>990.69</v>
      </c>
      <c r="C181">
        <v>0.56692902021326297</v>
      </c>
      <c r="D181">
        <v>0</v>
      </c>
    </row>
    <row r="182" spans="1:4" hidden="1">
      <c r="A182" t="s">
        <v>1908</v>
      </c>
      <c r="B182">
        <v>988.49</v>
      </c>
      <c r="C182">
        <v>0.29780281477758203</v>
      </c>
      <c r="D182">
        <v>0</v>
      </c>
    </row>
    <row r="183" spans="1:4" hidden="1">
      <c r="A183" t="s">
        <v>1909</v>
      </c>
      <c r="B183">
        <v>990.69</v>
      </c>
      <c r="C183">
        <v>0.63000498330520904</v>
      </c>
      <c r="D183">
        <v>0</v>
      </c>
    </row>
    <row r="184" spans="1:4" hidden="1">
      <c r="A184" t="s">
        <v>1910</v>
      </c>
      <c r="B184">
        <v>985.93</v>
      </c>
      <c r="C184">
        <v>0.17215398700319501</v>
      </c>
      <c r="D184">
        <v>0</v>
      </c>
    </row>
    <row r="185" spans="1:4" hidden="1">
      <c r="A185" t="s">
        <v>1911</v>
      </c>
      <c r="B185">
        <v>984.66</v>
      </c>
      <c r="C185">
        <v>9.4802606541485604E-2</v>
      </c>
      <c r="D185">
        <v>0</v>
      </c>
    </row>
    <row r="186" spans="1:4" hidden="1">
      <c r="A186" t="s">
        <v>1912</v>
      </c>
      <c r="B186">
        <v>983.67</v>
      </c>
      <c r="C186">
        <v>0.16429307435464799</v>
      </c>
      <c r="D186">
        <v>0</v>
      </c>
    </row>
    <row r="187" spans="1:4" hidden="1">
      <c r="A187" t="s">
        <v>1913</v>
      </c>
      <c r="B187">
        <v>983.58</v>
      </c>
      <c r="C187">
        <v>0.17042458622051501</v>
      </c>
      <c r="D187">
        <v>0</v>
      </c>
    </row>
    <row r="188" spans="1:4" hidden="1">
      <c r="A188" t="s">
        <v>1914</v>
      </c>
      <c r="B188">
        <v>984.79</v>
      </c>
      <c r="C188">
        <v>5.75418805873694E-2</v>
      </c>
      <c r="D188">
        <v>0</v>
      </c>
    </row>
    <row r="189" spans="1:4" hidden="1">
      <c r="A189" t="s">
        <v>1915</v>
      </c>
      <c r="B189">
        <v>986.49</v>
      </c>
      <c r="C189">
        <v>0.127346784906473</v>
      </c>
      <c r="D189">
        <v>0</v>
      </c>
    </row>
    <row r="190" spans="1:4" hidden="1">
      <c r="A190" t="s">
        <v>1916</v>
      </c>
      <c r="B190">
        <v>986.91</v>
      </c>
      <c r="C190">
        <v>0.28456503787742798</v>
      </c>
      <c r="D190">
        <v>0</v>
      </c>
    </row>
    <row r="191" spans="1:4" hidden="1">
      <c r="A191" t="s">
        <v>1917</v>
      </c>
      <c r="B191">
        <v>984.35</v>
      </c>
      <c r="C191">
        <v>0.62950188489570202</v>
      </c>
      <c r="D191">
        <v>0</v>
      </c>
    </row>
    <row r="192" spans="1:4">
      <c r="A192" t="s">
        <v>1918</v>
      </c>
      <c r="B192">
        <v>988.01</v>
      </c>
      <c r="C192">
        <v>0.62730082935410902</v>
      </c>
      <c r="D192">
        <v>0</v>
      </c>
    </row>
    <row r="193" spans="1:4" hidden="1">
      <c r="A193" t="s">
        <v>1919</v>
      </c>
      <c r="B193">
        <v>987.97</v>
      </c>
      <c r="C193">
        <v>0.53485649660718804</v>
      </c>
      <c r="D193">
        <v>0</v>
      </c>
    </row>
    <row r="194" spans="1:4" hidden="1">
      <c r="A194" t="s">
        <v>1920</v>
      </c>
      <c r="B194">
        <v>987.67</v>
      </c>
      <c r="C194">
        <v>0.31569425196567702</v>
      </c>
      <c r="D194">
        <v>0</v>
      </c>
    </row>
    <row r="195" spans="1:4" hidden="1">
      <c r="A195" t="s">
        <v>1921</v>
      </c>
      <c r="B195">
        <v>989.39</v>
      </c>
      <c r="C195">
        <v>0.56897285750188498</v>
      </c>
      <c r="D195">
        <v>0</v>
      </c>
    </row>
    <row r="196" spans="1:4" hidden="1">
      <c r="A196" t="s">
        <v>1922</v>
      </c>
      <c r="B196">
        <v>993.82</v>
      </c>
      <c r="C196">
        <v>0.38329810074318799</v>
      </c>
      <c r="D196">
        <v>0</v>
      </c>
    </row>
    <row r="197" spans="1:4" hidden="1">
      <c r="A197" t="s">
        <v>1923</v>
      </c>
      <c r="B197">
        <v>992.5</v>
      </c>
      <c r="C197">
        <v>0.48850855563134998</v>
      </c>
      <c r="D197">
        <v>0</v>
      </c>
    </row>
    <row r="198" spans="1:4" hidden="1">
      <c r="A198" t="s">
        <v>1924</v>
      </c>
      <c r="B198">
        <v>990.1</v>
      </c>
      <c r="C198">
        <v>0.33597540659892999</v>
      </c>
      <c r="D198">
        <v>0</v>
      </c>
    </row>
    <row r="199" spans="1:4" hidden="1">
      <c r="A199" t="s">
        <v>1925</v>
      </c>
      <c r="B199">
        <v>974.44</v>
      </c>
      <c r="C199">
        <v>0.20482393997056</v>
      </c>
      <c r="D199">
        <v>0</v>
      </c>
    </row>
    <row r="200" spans="1:4" hidden="1">
      <c r="A200" t="s">
        <v>1926</v>
      </c>
      <c r="B200">
        <v>998.7</v>
      </c>
      <c r="C200">
        <v>0.57243165906724602</v>
      </c>
      <c r="D200">
        <v>0</v>
      </c>
    </row>
    <row r="201" spans="1:4" hidden="1">
      <c r="A201" t="s">
        <v>1927</v>
      </c>
      <c r="B201">
        <v>1000.21</v>
      </c>
      <c r="C201">
        <v>0.16608536243851699</v>
      </c>
      <c r="D201">
        <v>0</v>
      </c>
    </row>
    <row r="202" spans="1:4" hidden="1">
      <c r="A202" t="s">
        <v>1928</v>
      </c>
      <c r="B202">
        <v>1005.94</v>
      </c>
      <c r="C202">
        <v>0.111703568735863</v>
      </c>
      <c r="D202">
        <v>0</v>
      </c>
    </row>
    <row r="203" spans="1:4" hidden="1">
      <c r="A203" t="s">
        <v>1929</v>
      </c>
      <c r="B203">
        <v>1007.28</v>
      </c>
      <c r="C203">
        <v>3.6128754532725398E-2</v>
      </c>
      <c r="D203">
        <v>0</v>
      </c>
    </row>
    <row r="204" spans="1:4" hidden="1">
      <c r="A204" t="s">
        <v>1930</v>
      </c>
      <c r="B204">
        <v>1008.61</v>
      </c>
      <c r="C204">
        <v>1.0250630093706199E-2</v>
      </c>
      <c r="D204">
        <v>0</v>
      </c>
    </row>
    <row r="205" spans="1:4" hidden="1">
      <c r="A205" t="s">
        <v>1931</v>
      </c>
      <c r="B205">
        <v>997.69</v>
      </c>
      <c r="C205">
        <v>0.52583216888665496</v>
      </c>
      <c r="D205">
        <v>0</v>
      </c>
    </row>
    <row r="206" spans="1:4" hidden="1">
      <c r="A206" t="s">
        <v>1932</v>
      </c>
      <c r="B206">
        <v>997.72</v>
      </c>
      <c r="C206">
        <v>6.6141719024880599E-2</v>
      </c>
      <c r="D206">
        <v>0</v>
      </c>
    </row>
    <row r="207" spans="1:4" hidden="1">
      <c r="A207" t="s">
        <v>1933</v>
      </c>
      <c r="B207">
        <v>995.59</v>
      </c>
      <c r="C207">
        <v>0.40200707284673098</v>
      </c>
      <c r="D207">
        <v>0</v>
      </c>
    </row>
    <row r="208" spans="1:4" hidden="1">
      <c r="A208" t="s">
        <v>1934</v>
      </c>
      <c r="B208">
        <v>994.67</v>
      </c>
      <c r="C208">
        <v>0.31129214088249002</v>
      </c>
      <c r="D208">
        <v>0</v>
      </c>
    </row>
    <row r="209" spans="1:4" hidden="1">
      <c r="A209" t="s">
        <v>1935</v>
      </c>
      <c r="B209">
        <v>992.81</v>
      </c>
      <c r="C209">
        <v>0.46457993752917098</v>
      </c>
      <c r="D209">
        <v>0</v>
      </c>
    </row>
    <row r="210" spans="1:4" hidden="1">
      <c r="A210" t="s">
        <v>1936</v>
      </c>
      <c r="B210">
        <v>985.29</v>
      </c>
      <c r="C210">
        <v>0.41096851326607597</v>
      </c>
      <c r="D210">
        <v>0</v>
      </c>
    </row>
    <row r="211" spans="1:4" hidden="1">
      <c r="A211" t="s">
        <v>1937</v>
      </c>
      <c r="B211">
        <v>989.69</v>
      </c>
      <c r="C211">
        <v>0.68111663734606698</v>
      </c>
      <c r="D211">
        <v>0</v>
      </c>
    </row>
    <row r="212" spans="1:4" hidden="1">
      <c r="A212" t="s">
        <v>1938</v>
      </c>
      <c r="B212">
        <v>989.3</v>
      </c>
      <c r="C212">
        <v>0.24991413492263001</v>
      </c>
      <c r="D212">
        <v>0</v>
      </c>
    </row>
    <row r="213" spans="1:4" hidden="1">
      <c r="A213" t="s">
        <v>1939</v>
      </c>
      <c r="B213">
        <v>988.9</v>
      </c>
      <c r="C213">
        <v>0.71196285857896802</v>
      </c>
      <c r="D213">
        <v>0</v>
      </c>
    </row>
    <row r="214" spans="1:4" hidden="1">
      <c r="A214" t="s">
        <v>1940</v>
      </c>
      <c r="B214">
        <v>984.44</v>
      </c>
      <c r="C214">
        <v>10</v>
      </c>
      <c r="D214">
        <v>0</v>
      </c>
    </row>
    <row r="215" spans="1:4" hidden="1">
      <c r="A215" t="s">
        <v>1941</v>
      </c>
      <c r="B215" s="1096">
        <v>984439923333732</v>
      </c>
      <c r="C215">
        <v>0</v>
      </c>
      <c r="D215">
        <v>0</v>
      </c>
    </row>
    <row r="216" spans="1:4" hidden="1">
      <c r="A216" t="s">
        <v>1942</v>
      </c>
      <c r="B216">
        <v>989.39</v>
      </c>
      <c r="C216">
        <v>10</v>
      </c>
      <c r="D216">
        <v>0</v>
      </c>
    </row>
    <row r="217" spans="1:4" hidden="1">
      <c r="A217" t="s">
        <v>1943</v>
      </c>
      <c r="B217" s="1096">
        <v>989206991893021</v>
      </c>
      <c r="C217">
        <v>0</v>
      </c>
      <c r="D217">
        <v>0</v>
      </c>
    </row>
    <row r="218" spans="1:4" hidden="1">
      <c r="A218" t="s">
        <v>1944</v>
      </c>
      <c r="B218">
        <v>986.83</v>
      </c>
      <c r="C218">
        <v>10</v>
      </c>
      <c r="D218">
        <v>0</v>
      </c>
    </row>
    <row r="219" spans="1:4" hidden="1">
      <c r="A219" t="s">
        <v>1945</v>
      </c>
      <c r="B219" s="1096">
        <v>986926184391871</v>
      </c>
      <c r="C219">
        <v>0</v>
      </c>
      <c r="D219">
        <v>0</v>
      </c>
    </row>
    <row r="220" spans="1:4" hidden="1">
      <c r="A220" t="s">
        <v>1946</v>
      </c>
      <c r="B220" s="1096">
        <v>988949534617686</v>
      </c>
      <c r="C220">
        <v>0</v>
      </c>
      <c r="D220">
        <v>0</v>
      </c>
    </row>
    <row r="221" spans="1:4" hidden="1">
      <c r="A221" t="s">
        <v>1947</v>
      </c>
      <c r="B221">
        <v>988.95</v>
      </c>
      <c r="C221">
        <v>10</v>
      </c>
      <c r="D221">
        <v>0</v>
      </c>
    </row>
    <row r="222" spans="1:4" hidden="1">
      <c r="A222" t="s">
        <v>1948</v>
      </c>
      <c r="B222" s="1096">
        <v>984392024194065</v>
      </c>
      <c r="C222">
        <v>0</v>
      </c>
      <c r="D222">
        <v>0</v>
      </c>
    </row>
    <row r="223" spans="1:4" hidden="1">
      <c r="A223" t="s">
        <v>1949</v>
      </c>
      <c r="B223" s="1096">
        <v>984392024194065</v>
      </c>
      <c r="C223">
        <v>0</v>
      </c>
      <c r="D223">
        <v>0</v>
      </c>
    </row>
    <row r="224" spans="1:4" hidden="1">
      <c r="A224" t="s">
        <v>1950</v>
      </c>
      <c r="B224" s="1096">
        <v>98809839055964</v>
      </c>
      <c r="C224">
        <v>0</v>
      </c>
      <c r="D224">
        <v>0</v>
      </c>
    </row>
    <row r="225" spans="1:4" hidden="1">
      <c r="A225" t="s">
        <v>1951</v>
      </c>
      <c r="B225" s="1096">
        <v>98809839055964</v>
      </c>
      <c r="C225">
        <v>0</v>
      </c>
      <c r="D225">
        <v>0</v>
      </c>
    </row>
    <row r="226" spans="1:4" hidden="1">
      <c r="A226" t="s">
        <v>1952</v>
      </c>
      <c r="B226" s="1096">
        <v>988233214824606</v>
      </c>
      <c r="C226">
        <v>0</v>
      </c>
      <c r="D226">
        <v>0</v>
      </c>
    </row>
    <row r="227" spans="1:4" hidden="1">
      <c r="A227" t="s">
        <v>1953</v>
      </c>
      <c r="B227" s="1096">
        <v>988233214824606</v>
      </c>
      <c r="C227">
        <v>0</v>
      </c>
      <c r="D227">
        <v>0</v>
      </c>
    </row>
    <row r="228" spans="1:4" hidden="1">
      <c r="A228" t="s">
        <v>1954</v>
      </c>
      <c r="B228" s="1096">
        <v>98807671851703</v>
      </c>
      <c r="C228">
        <v>0</v>
      </c>
      <c r="D228">
        <v>0</v>
      </c>
    </row>
    <row r="229" spans="1:4" hidden="1">
      <c r="A229" t="s">
        <v>1955</v>
      </c>
      <c r="B229" s="1096">
        <v>98807671851703</v>
      </c>
      <c r="C229">
        <v>0</v>
      </c>
      <c r="D229">
        <v>0</v>
      </c>
    </row>
    <row r="230" spans="1:4" hidden="1">
      <c r="A230" t="s">
        <v>1956</v>
      </c>
      <c r="B230" s="1096">
        <v>989795157323784</v>
      </c>
      <c r="C230">
        <v>0</v>
      </c>
      <c r="D230">
        <v>0</v>
      </c>
    </row>
    <row r="231" spans="1:4" hidden="1">
      <c r="A231" t="s">
        <v>1957</v>
      </c>
      <c r="B231" s="1096">
        <v>989795157323784</v>
      </c>
      <c r="C231">
        <v>0</v>
      </c>
      <c r="D231">
        <v>0</v>
      </c>
    </row>
    <row r="232" spans="1:4" hidden="1">
      <c r="A232" t="s">
        <v>1958</v>
      </c>
      <c r="B232" s="1096">
        <v>989722703527828</v>
      </c>
      <c r="C232">
        <v>0</v>
      </c>
      <c r="D232">
        <v>0</v>
      </c>
    </row>
    <row r="233" spans="1:4" hidden="1">
      <c r="A233" t="s">
        <v>1959</v>
      </c>
      <c r="B233" s="1096">
        <v>989722703527828</v>
      </c>
      <c r="C233">
        <v>0</v>
      </c>
      <c r="D233">
        <v>0</v>
      </c>
    </row>
    <row r="234" spans="1:4" hidden="1">
      <c r="A234" t="s">
        <v>1960</v>
      </c>
      <c r="B234" s="1096">
        <v>990024636097922</v>
      </c>
      <c r="C234">
        <v>0</v>
      </c>
      <c r="D234">
        <v>0</v>
      </c>
    </row>
    <row r="235" spans="1:4" hidden="1">
      <c r="A235" t="s">
        <v>1961</v>
      </c>
      <c r="B235" s="1096">
        <v>990024636097922</v>
      </c>
      <c r="C235">
        <v>0</v>
      </c>
      <c r="D235">
        <v>0</v>
      </c>
    </row>
    <row r="236" spans="1:4" hidden="1">
      <c r="A236" t="s">
        <v>1962</v>
      </c>
      <c r="B236" s="1096">
        <v>990568368635231</v>
      </c>
      <c r="C236">
        <v>0</v>
      </c>
      <c r="D236">
        <v>0</v>
      </c>
    </row>
    <row r="237" spans="1:4" hidden="1">
      <c r="A237" t="s">
        <v>1963</v>
      </c>
      <c r="B237" s="1096">
        <v>990568368635231</v>
      </c>
      <c r="C237">
        <v>0</v>
      </c>
      <c r="D237">
        <v>0</v>
      </c>
    </row>
    <row r="238" spans="1:4" hidden="1">
      <c r="A238" t="s">
        <v>1964</v>
      </c>
      <c r="B238" s="1096">
        <v>987168428575333</v>
      </c>
      <c r="C238">
        <v>0</v>
      </c>
      <c r="D238">
        <v>0</v>
      </c>
    </row>
    <row r="239" spans="1:4" hidden="1">
      <c r="A239" t="s">
        <v>1965</v>
      </c>
      <c r="B239" s="1096">
        <v>987168428575333</v>
      </c>
      <c r="C239">
        <v>0</v>
      </c>
      <c r="D239">
        <v>0</v>
      </c>
    </row>
    <row r="240" spans="1:4" hidden="1">
      <c r="A240" t="s">
        <v>1966</v>
      </c>
      <c r="B240" s="1096">
        <v>990440947947398</v>
      </c>
      <c r="C240">
        <v>0</v>
      </c>
      <c r="D240">
        <v>0</v>
      </c>
    </row>
    <row r="241" spans="1:4" hidden="1">
      <c r="A241" t="s">
        <v>1967</v>
      </c>
      <c r="B241" s="1096">
        <v>990440947947398</v>
      </c>
      <c r="C241">
        <v>0</v>
      </c>
      <c r="D241">
        <v>0</v>
      </c>
    </row>
    <row r="242" spans="1:4" hidden="1">
      <c r="A242" t="s">
        <v>1968</v>
      </c>
      <c r="B242" s="1096">
        <v>990598114093876</v>
      </c>
      <c r="C242">
        <v>0</v>
      </c>
      <c r="D242">
        <v>0</v>
      </c>
    </row>
    <row r="243" spans="1:4" hidden="1">
      <c r="A243" t="s">
        <v>1969</v>
      </c>
      <c r="B243" s="1096">
        <v>990598114093876</v>
      </c>
      <c r="C243">
        <v>0</v>
      </c>
      <c r="D243">
        <v>0</v>
      </c>
    </row>
    <row r="244" spans="1:4" hidden="1">
      <c r="A244" t="s">
        <v>1970</v>
      </c>
      <c r="B244">
        <v>1050.58</v>
      </c>
      <c r="C244" t="s">
        <v>1971</v>
      </c>
      <c r="D244">
        <v>0</v>
      </c>
    </row>
  </sheetData>
  <autoFilter ref="A4:D244" xr:uid="{00000000-0009-0000-0000-00001B000000}">
    <filterColumn colId="0">
      <filters>
        <filter val="Conexión N20"/>
        <filter val="Conexión N200"/>
        <filter val="Conexión N201"/>
        <filter val="Conexión N202"/>
      </filters>
    </filterColumn>
  </autoFilter>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00B0F0"/>
  </sheetPr>
  <dimension ref="A1:M24"/>
  <sheetViews>
    <sheetView workbookViewId="0"/>
  </sheetViews>
  <sheetFormatPr baseColWidth="10" defaultColWidth="11.42578125" defaultRowHeight="12.75"/>
  <cols>
    <col min="1" max="10" width="11.42578125" style="659"/>
    <col min="11" max="11" width="12.7109375" style="659" bestFit="1" customWidth="1"/>
    <col min="12" max="14" width="11.42578125" style="659"/>
    <col min="15" max="15" width="12.7109375" style="659" bestFit="1" customWidth="1"/>
    <col min="16" max="16384" width="11.42578125" style="659"/>
  </cols>
  <sheetData>
    <row r="1" spans="1:13" ht="13.5" thickBot="1"/>
    <row r="2" spans="1:13">
      <c r="A2" s="1912" t="s">
        <v>1972</v>
      </c>
      <c r="B2" s="1913"/>
      <c r="C2" s="1913"/>
      <c r="D2" s="1913"/>
      <c r="E2" s="1913"/>
      <c r="F2" s="1913"/>
      <c r="G2" s="1913"/>
      <c r="H2" s="1913"/>
      <c r="I2" s="1913"/>
      <c r="J2" s="1913"/>
      <c r="K2" s="1913"/>
      <c r="L2" s="1913"/>
      <c r="M2" s="1914"/>
    </row>
    <row r="3" spans="1:13" ht="13.5" thickBot="1">
      <c r="A3" s="1915"/>
      <c r="B3" s="1916"/>
      <c r="C3" s="1916"/>
      <c r="D3" s="1916"/>
      <c r="E3" s="1916"/>
      <c r="F3" s="1916"/>
      <c r="G3" s="1916"/>
      <c r="H3" s="1916"/>
      <c r="I3" s="1916"/>
      <c r="J3" s="1916"/>
      <c r="K3" s="1916"/>
      <c r="L3" s="1916"/>
      <c r="M3" s="1917"/>
    </row>
    <row r="4" spans="1:13" ht="25.5">
      <c r="A4" s="669" t="s">
        <v>1710</v>
      </c>
      <c r="B4" s="668" t="s">
        <v>1973</v>
      </c>
      <c r="C4" s="666" t="s">
        <v>1974</v>
      </c>
      <c r="D4" s="666" t="s">
        <v>1975</v>
      </c>
      <c r="E4" s="666" t="s">
        <v>1976</v>
      </c>
      <c r="F4" s="666" t="s">
        <v>1977</v>
      </c>
      <c r="G4" s="666" t="s">
        <v>277</v>
      </c>
      <c r="H4" s="666" t="s">
        <v>1978</v>
      </c>
      <c r="I4" s="666" t="s">
        <v>1979</v>
      </c>
      <c r="J4" s="667" t="s">
        <v>1980</v>
      </c>
      <c r="K4" s="667" t="s">
        <v>1981</v>
      </c>
      <c r="L4" s="666" t="s">
        <v>1982</v>
      </c>
      <c r="M4" s="666" t="s">
        <v>1983</v>
      </c>
    </row>
    <row r="5" spans="1:13" ht="14.25">
      <c r="A5" s="665" t="s">
        <v>1984</v>
      </c>
      <c r="B5" s="664" t="s">
        <v>299</v>
      </c>
      <c r="C5" s="662" t="s">
        <v>299</v>
      </c>
      <c r="D5" s="662" t="s">
        <v>299</v>
      </c>
      <c r="E5" s="662" t="s">
        <v>299</v>
      </c>
      <c r="F5" s="662" t="s">
        <v>299</v>
      </c>
      <c r="G5" s="662" t="s">
        <v>299</v>
      </c>
      <c r="H5" s="662" t="s">
        <v>299</v>
      </c>
      <c r="I5" s="662" t="s">
        <v>299</v>
      </c>
      <c r="J5" s="662"/>
      <c r="K5" s="663" t="s">
        <v>1985</v>
      </c>
      <c r="L5" s="662" t="s">
        <v>299</v>
      </c>
      <c r="M5" s="662" t="s">
        <v>890</v>
      </c>
    </row>
    <row r="6" spans="1:13">
      <c r="A6" s="661">
        <v>200</v>
      </c>
      <c r="B6" s="660">
        <v>0.4</v>
      </c>
      <c r="C6" s="660">
        <v>2</v>
      </c>
      <c r="D6" s="660">
        <v>0.61</v>
      </c>
      <c r="E6" s="660">
        <v>0.7</v>
      </c>
      <c r="F6" s="660">
        <v>0.5</v>
      </c>
      <c r="G6" s="660">
        <v>0.15</v>
      </c>
      <c r="H6" s="660">
        <v>0.2</v>
      </c>
      <c r="I6" s="660">
        <v>0.2</v>
      </c>
      <c r="J6" s="661">
        <v>4</v>
      </c>
      <c r="K6" s="660">
        <f t="shared" ref="K6:K24" si="0">+((I6*((D6+0.5)/SIN(45*PI()/180))*E6*2)+(B6*I6*E6-(3.1416*((A6/1000)^2)*I6/4))+(((B6+C6)/2)*1.83*I6)+(0.6*G6*C6))*1.05</f>
        <v>1.163877093944836</v>
      </c>
      <c r="L6" s="660">
        <f t="shared" ref="L6:L24" si="1">+((E6/0.2)*B6)+((B6/0.2)*E6)+((((D6+0.5)/COS(45*PI()/180))/0.2)*C6)+((C6/0.2)*((D6+0.5)/COS(45*PI()/180)))+((((D6+0.5)/SIN(45*PI()/180))/0.2)*E6*2)+((E6/0.2)*((D6+0.5)/SIN(45*PI()/180))*2)+((0.6/0.2)*C6)+((C6/0.2)*0.6)</f>
        <v>68.172419843960597</v>
      </c>
      <c r="M6" s="660">
        <f t="shared" ref="M6:M24" si="2">(IF(J6=4,L6*0.994,IF(J6=5,L6*1.552,IF(J6=6,L6*2.235))))*1.1</f>
        <v>74.53972385738652</v>
      </c>
    </row>
    <row r="7" spans="1:13">
      <c r="A7" s="661">
        <v>250</v>
      </c>
      <c r="B7" s="660">
        <v>0.45</v>
      </c>
      <c r="C7" s="660">
        <v>2</v>
      </c>
      <c r="D7" s="660">
        <v>0.61</v>
      </c>
      <c r="E7" s="660">
        <v>0.75</v>
      </c>
      <c r="F7" s="660">
        <v>0.5</v>
      </c>
      <c r="G7" s="660">
        <v>0.15</v>
      </c>
      <c r="H7" s="660">
        <v>0.2</v>
      </c>
      <c r="I7" s="660">
        <v>0.2</v>
      </c>
      <c r="J7" s="661">
        <v>4</v>
      </c>
      <c r="K7" s="660">
        <f t="shared" si="0"/>
        <v>1.2148138970837528</v>
      </c>
      <c r="L7" s="660">
        <f t="shared" si="1"/>
        <v>70.317196898194737</v>
      </c>
      <c r="M7" s="660">
        <f t="shared" si="2"/>
        <v>76.884823088486129</v>
      </c>
    </row>
    <row r="8" spans="1:13">
      <c r="A8" s="661">
        <v>300</v>
      </c>
      <c r="B8" s="660">
        <v>0.55000000000000004</v>
      </c>
      <c r="C8" s="660">
        <v>2.1</v>
      </c>
      <c r="D8" s="660">
        <v>0.76</v>
      </c>
      <c r="E8" s="660">
        <v>0.75</v>
      </c>
      <c r="F8" s="660">
        <v>0.5</v>
      </c>
      <c r="G8" s="660">
        <v>0.2</v>
      </c>
      <c r="H8" s="660">
        <v>0.2</v>
      </c>
      <c r="I8" s="660">
        <v>0.2</v>
      </c>
      <c r="J8" s="661">
        <v>4</v>
      </c>
      <c r="K8" s="660">
        <f t="shared" si="0"/>
        <v>1.4068798029058818</v>
      </c>
      <c r="L8" s="660">
        <f t="shared" si="1"/>
        <v>80.873727189243581</v>
      </c>
      <c r="M8" s="660">
        <f t="shared" si="2"/>
        <v>88.427333308718943</v>
      </c>
    </row>
    <row r="9" spans="1:13">
      <c r="A9" s="661">
        <v>350</v>
      </c>
      <c r="B9" s="660">
        <v>0.6</v>
      </c>
      <c r="C9" s="660">
        <v>2.14</v>
      </c>
      <c r="D9" s="660">
        <v>0.76</v>
      </c>
      <c r="E9" s="660">
        <v>0.85</v>
      </c>
      <c r="F9" s="660">
        <v>0.5</v>
      </c>
      <c r="G9" s="660">
        <v>0.2</v>
      </c>
      <c r="H9" s="660">
        <v>0.2</v>
      </c>
      <c r="I9" s="660">
        <v>0.2</v>
      </c>
      <c r="J9" s="661">
        <v>4</v>
      </c>
      <c r="K9" s="660">
        <f t="shared" si="0"/>
        <v>1.5191681296266661</v>
      </c>
      <c r="L9" s="660">
        <f t="shared" si="1"/>
        <v>86.365309001859828</v>
      </c>
      <c r="M9" s="660">
        <f t="shared" si="2"/>
        <v>94.431828862633537</v>
      </c>
    </row>
    <row r="10" spans="1:13">
      <c r="A10" s="661">
        <v>400</v>
      </c>
      <c r="B10" s="660">
        <v>0.7</v>
      </c>
      <c r="C10" s="660">
        <v>2.2000000000000002</v>
      </c>
      <c r="D10" s="660">
        <v>0.76</v>
      </c>
      <c r="E10" s="660">
        <v>0.85</v>
      </c>
      <c r="F10" s="660">
        <v>0.6</v>
      </c>
      <c r="G10" s="660">
        <v>0.2</v>
      </c>
      <c r="H10" s="660">
        <v>0.2</v>
      </c>
      <c r="I10" s="660">
        <v>0.2</v>
      </c>
      <c r="J10" s="661">
        <v>4</v>
      </c>
      <c r="K10" s="660">
        <f t="shared" si="0"/>
        <v>1.569137104626666</v>
      </c>
      <c r="L10" s="660">
        <f t="shared" si="1"/>
        <v>88.644454455013886</v>
      </c>
      <c r="M10" s="660">
        <f t="shared" si="2"/>
        <v>96.92384650111218</v>
      </c>
    </row>
    <row r="11" spans="1:13">
      <c r="A11" s="661">
        <v>450</v>
      </c>
      <c r="B11" s="660">
        <v>0.8</v>
      </c>
      <c r="C11" s="660">
        <v>2.25</v>
      </c>
      <c r="D11" s="660">
        <v>0.91</v>
      </c>
      <c r="E11" s="660">
        <v>0.9</v>
      </c>
      <c r="F11" s="660">
        <v>0.6</v>
      </c>
      <c r="G11" s="660">
        <v>0.2</v>
      </c>
      <c r="H11" s="660">
        <v>0.2</v>
      </c>
      <c r="I11" s="660">
        <v>0.2</v>
      </c>
      <c r="J11" s="661">
        <v>5</v>
      </c>
      <c r="K11" s="660">
        <f t="shared" si="0"/>
        <v>1.7411059094736128</v>
      </c>
      <c r="L11" s="660">
        <f t="shared" si="1"/>
        <v>101.4586654793156</v>
      </c>
      <c r="M11" s="660">
        <f t="shared" si="2"/>
        <v>173.21023370628762</v>
      </c>
    </row>
    <row r="12" spans="1:13">
      <c r="A12" s="661">
        <v>500</v>
      </c>
      <c r="B12" s="660">
        <v>0.9</v>
      </c>
      <c r="C12" s="660">
        <v>2.33</v>
      </c>
      <c r="D12" s="660">
        <v>0.91</v>
      </c>
      <c r="E12" s="660">
        <v>0.95</v>
      </c>
      <c r="F12" s="660">
        <v>0.6</v>
      </c>
      <c r="G12" s="660">
        <v>0.2</v>
      </c>
      <c r="H12" s="660">
        <v>0.2</v>
      </c>
      <c r="I12" s="660">
        <v>0.2</v>
      </c>
      <c r="J12" s="661">
        <v>5</v>
      </c>
      <c r="K12" s="660">
        <f t="shared" si="0"/>
        <v>1.8481634080554801</v>
      </c>
      <c r="L12" s="660">
        <f t="shared" si="1"/>
        <v>106.87793950061851</v>
      </c>
      <c r="M12" s="660">
        <f t="shared" si="2"/>
        <v>182.46201831545594</v>
      </c>
    </row>
    <row r="13" spans="1:13">
      <c r="A13" s="661">
        <v>600</v>
      </c>
      <c r="B13" s="660">
        <v>1</v>
      </c>
      <c r="C13" s="660">
        <v>2.44</v>
      </c>
      <c r="D13" s="660">
        <v>0.91</v>
      </c>
      <c r="E13" s="660">
        <v>0.95</v>
      </c>
      <c r="F13" s="660">
        <v>0.6</v>
      </c>
      <c r="G13" s="660">
        <v>0.2</v>
      </c>
      <c r="H13" s="660">
        <v>0.2</v>
      </c>
      <c r="I13" s="660">
        <v>0.2</v>
      </c>
      <c r="J13" s="661">
        <v>5</v>
      </c>
      <c r="K13" s="660">
        <f t="shared" si="0"/>
        <v>1.9041821680554798</v>
      </c>
      <c r="L13" s="660">
        <f t="shared" si="1"/>
        <v>110.68138473585918</v>
      </c>
      <c r="M13" s="660">
        <f t="shared" si="2"/>
        <v>188.95526002105879</v>
      </c>
    </row>
    <row r="14" spans="1:13">
      <c r="A14" s="661">
        <v>700</v>
      </c>
      <c r="B14" s="660">
        <v>1.1000000000000001</v>
      </c>
      <c r="C14" s="660">
        <v>2.52</v>
      </c>
      <c r="D14" s="660">
        <v>0.91</v>
      </c>
      <c r="E14" s="660">
        <v>1</v>
      </c>
      <c r="F14" s="660">
        <v>0.6</v>
      </c>
      <c r="G14" s="660">
        <v>0.2</v>
      </c>
      <c r="H14" s="660">
        <v>0.2</v>
      </c>
      <c r="I14" s="660">
        <v>0.2</v>
      </c>
      <c r="J14" s="661">
        <v>5</v>
      </c>
      <c r="K14" s="660">
        <f t="shared" si="0"/>
        <v>2.0007826116373475</v>
      </c>
      <c r="L14" s="660">
        <f t="shared" si="1"/>
        <v>116.25065875716209</v>
      </c>
      <c r="M14" s="660">
        <f t="shared" si="2"/>
        <v>198.46312463022716</v>
      </c>
    </row>
    <row r="15" spans="1:13">
      <c r="A15" s="661">
        <v>750</v>
      </c>
      <c r="B15" s="660">
        <v>1.2</v>
      </c>
      <c r="C15" s="660">
        <v>2.59</v>
      </c>
      <c r="D15" s="660">
        <v>0.91</v>
      </c>
      <c r="E15" s="660">
        <v>1.1000000000000001</v>
      </c>
      <c r="F15" s="660">
        <v>0.65</v>
      </c>
      <c r="G15" s="660">
        <v>0.2</v>
      </c>
      <c r="H15" s="660">
        <v>0.2</v>
      </c>
      <c r="I15" s="660">
        <v>0.25</v>
      </c>
      <c r="J15" s="661">
        <v>5</v>
      </c>
      <c r="K15" s="660">
        <f t="shared" si="0"/>
        <v>2.6187401547513525</v>
      </c>
      <c r="L15" s="660">
        <f t="shared" si="1"/>
        <v>124.25456978911646</v>
      </c>
      <c r="M15" s="660">
        <f t="shared" si="2"/>
        <v>212.12740154397966</v>
      </c>
    </row>
    <row r="16" spans="1:13">
      <c r="A16" s="661">
        <v>800</v>
      </c>
      <c r="B16" s="660">
        <v>1.3</v>
      </c>
      <c r="C16" s="660">
        <v>2.74</v>
      </c>
      <c r="D16" s="660">
        <v>1.06</v>
      </c>
      <c r="E16" s="660">
        <v>1.1499999999999999</v>
      </c>
      <c r="F16" s="660">
        <v>0.65</v>
      </c>
      <c r="G16" s="660">
        <v>0.2</v>
      </c>
      <c r="H16" s="660">
        <v>0.25</v>
      </c>
      <c r="I16" s="660">
        <v>0.25</v>
      </c>
      <c r="J16" s="661">
        <v>5</v>
      </c>
      <c r="K16" s="660">
        <f t="shared" si="0"/>
        <v>2.9080648437211001</v>
      </c>
      <c r="L16" s="660">
        <f t="shared" si="1"/>
        <v>142.58112712802222</v>
      </c>
      <c r="M16" s="660">
        <f t="shared" si="2"/>
        <v>243.41450023295957</v>
      </c>
    </row>
    <row r="17" spans="1:13">
      <c r="A17" s="661">
        <v>900</v>
      </c>
      <c r="B17" s="660">
        <v>1.4</v>
      </c>
      <c r="C17" s="660">
        <v>3.05</v>
      </c>
      <c r="D17" s="660">
        <v>1.06</v>
      </c>
      <c r="E17" s="660">
        <v>1.2</v>
      </c>
      <c r="F17" s="660">
        <v>0.65</v>
      </c>
      <c r="G17" s="660">
        <v>0.2</v>
      </c>
      <c r="H17" s="660">
        <v>0.25</v>
      </c>
      <c r="I17" s="660">
        <v>0.25</v>
      </c>
      <c r="J17" s="661">
        <v>5</v>
      </c>
      <c r="K17" s="660">
        <f t="shared" si="0"/>
        <v>3.1170277891002778</v>
      </c>
      <c r="L17" s="660">
        <f t="shared" si="1"/>
        <v>155.33643707296054</v>
      </c>
      <c r="M17" s="660">
        <f t="shared" si="2"/>
        <v>265.19036537095826</v>
      </c>
    </row>
    <row r="18" spans="1:13">
      <c r="A18" s="661">
        <v>1000</v>
      </c>
      <c r="B18" s="660">
        <v>1.6</v>
      </c>
      <c r="C18" s="660">
        <v>3.38</v>
      </c>
      <c r="D18" s="660">
        <v>1.06</v>
      </c>
      <c r="E18" s="660">
        <v>1.25</v>
      </c>
      <c r="F18" s="660">
        <v>0.7</v>
      </c>
      <c r="G18" s="660">
        <v>0.2</v>
      </c>
      <c r="H18" s="660">
        <v>0.25</v>
      </c>
      <c r="I18" s="660">
        <v>0.25</v>
      </c>
      <c r="J18" s="661">
        <v>5</v>
      </c>
      <c r="K18" s="660">
        <f t="shared" si="0"/>
        <v>3.388647384479456</v>
      </c>
      <c r="L18" s="660">
        <f t="shared" si="1"/>
        <v>170.00298164935921</v>
      </c>
      <c r="M18" s="660">
        <f t="shared" si="2"/>
        <v>290.22909027178605</v>
      </c>
    </row>
    <row r="19" spans="1:13">
      <c r="A19" s="661">
        <v>1100</v>
      </c>
      <c r="B19" s="660">
        <v>1.7</v>
      </c>
      <c r="C19" s="660">
        <v>3.55</v>
      </c>
      <c r="D19" s="660">
        <v>1.22</v>
      </c>
      <c r="E19" s="660">
        <v>1.35</v>
      </c>
      <c r="F19" s="660">
        <v>0.75</v>
      </c>
      <c r="G19" s="660">
        <v>0.2</v>
      </c>
      <c r="H19" s="660">
        <v>0.25</v>
      </c>
      <c r="I19" s="660">
        <v>0.25</v>
      </c>
      <c r="J19" s="661">
        <v>5</v>
      </c>
      <c r="K19" s="660">
        <f t="shared" si="0"/>
        <v>3.7852562432109216</v>
      </c>
      <c r="L19" s="660">
        <f t="shared" si="1"/>
        <v>196.27795795510769</v>
      </c>
      <c r="M19" s="660">
        <f t="shared" si="2"/>
        <v>335.0857298209599</v>
      </c>
    </row>
    <row r="20" spans="1:13">
      <c r="A20" s="661">
        <v>1200</v>
      </c>
      <c r="B20" s="660">
        <v>1.8</v>
      </c>
      <c r="C20" s="660">
        <v>3.96</v>
      </c>
      <c r="D20" s="660">
        <v>1.22</v>
      </c>
      <c r="E20" s="660">
        <v>1.4</v>
      </c>
      <c r="F20" s="660">
        <v>0.75</v>
      </c>
      <c r="G20" s="660">
        <v>0.2</v>
      </c>
      <c r="H20" s="660">
        <v>0.3</v>
      </c>
      <c r="I20" s="660">
        <v>0.3</v>
      </c>
      <c r="J20" s="661">
        <v>5</v>
      </c>
      <c r="K20" s="660">
        <f t="shared" si="0"/>
        <v>4.7420971026624796</v>
      </c>
      <c r="L20" s="660">
        <f t="shared" si="1"/>
        <v>213.3934393242445</v>
      </c>
      <c r="M20" s="660">
        <f t="shared" si="2"/>
        <v>364.30527961435024</v>
      </c>
    </row>
    <row r="21" spans="1:13">
      <c r="A21" s="661">
        <v>1300</v>
      </c>
      <c r="B21" s="660">
        <v>1.9</v>
      </c>
      <c r="C21" s="660">
        <v>4.2699999999999996</v>
      </c>
      <c r="D21" s="660">
        <v>1.37</v>
      </c>
      <c r="E21" s="660">
        <v>1.5</v>
      </c>
      <c r="F21" s="660">
        <v>0.8</v>
      </c>
      <c r="G21" s="660">
        <v>0.24</v>
      </c>
      <c r="H21" s="660">
        <v>0.3</v>
      </c>
      <c r="I21" s="660">
        <v>0.3</v>
      </c>
      <c r="J21" s="661">
        <v>6</v>
      </c>
      <c r="K21" s="660">
        <f t="shared" si="0"/>
        <v>5.4027420567476154</v>
      </c>
      <c r="L21" s="660">
        <f t="shared" si="1"/>
        <v>246.38091959105986</v>
      </c>
      <c r="M21" s="660">
        <f t="shared" si="2"/>
        <v>605.72749081462064</v>
      </c>
    </row>
    <row r="22" spans="1:13">
      <c r="A22" s="661">
        <v>1400</v>
      </c>
      <c r="B22" s="660">
        <v>2</v>
      </c>
      <c r="C22" s="660">
        <v>4.58</v>
      </c>
      <c r="D22" s="660">
        <v>1.52</v>
      </c>
      <c r="E22" s="660">
        <v>1.6</v>
      </c>
      <c r="F22" s="660">
        <v>0.8</v>
      </c>
      <c r="G22" s="660">
        <v>0.24</v>
      </c>
      <c r="H22" s="660">
        <v>0.3</v>
      </c>
      <c r="I22" s="660">
        <v>0.3</v>
      </c>
      <c r="J22" s="661">
        <v>6</v>
      </c>
      <c r="K22" s="660">
        <f t="shared" si="0"/>
        <v>5.9916756271616016</v>
      </c>
      <c r="L22" s="660">
        <f t="shared" si="1"/>
        <v>281.73214660830615</v>
      </c>
      <c r="M22" s="660">
        <f t="shared" si="2"/>
        <v>692.63848243652069</v>
      </c>
    </row>
    <row r="23" spans="1:13">
      <c r="A23" s="661">
        <v>1500</v>
      </c>
      <c r="B23" s="660">
        <v>2.2000000000000002</v>
      </c>
      <c r="C23" s="660">
        <v>4.88</v>
      </c>
      <c r="D23" s="660">
        <v>1.67</v>
      </c>
      <c r="E23" s="660">
        <v>1.75</v>
      </c>
      <c r="F23" s="660">
        <v>0.85</v>
      </c>
      <c r="G23" s="660">
        <v>0.24</v>
      </c>
      <c r="H23" s="660">
        <v>0.3</v>
      </c>
      <c r="I23" s="660">
        <v>0.35</v>
      </c>
      <c r="J23" s="661">
        <v>6</v>
      </c>
      <c r="K23" s="660">
        <f t="shared" si="0"/>
        <v>7.8313417372871941</v>
      </c>
      <c r="L23" s="660">
        <f t="shared" si="1"/>
        <v>324.94907946329783</v>
      </c>
      <c r="M23" s="660">
        <f t="shared" si="2"/>
        <v>798.8873118605178</v>
      </c>
    </row>
    <row r="24" spans="1:13">
      <c r="A24" s="661">
        <v>1600</v>
      </c>
      <c r="B24" s="660">
        <v>2.4</v>
      </c>
      <c r="C24" s="660">
        <v>5.19</v>
      </c>
      <c r="D24" s="660">
        <v>1.83</v>
      </c>
      <c r="E24" s="660">
        <v>1.9</v>
      </c>
      <c r="F24" s="660">
        <v>0.9</v>
      </c>
      <c r="G24" s="660">
        <v>0.24</v>
      </c>
      <c r="H24" s="660">
        <v>0.3</v>
      </c>
      <c r="I24" s="660">
        <v>0.35</v>
      </c>
      <c r="J24" s="661">
        <v>6</v>
      </c>
      <c r="K24" s="660">
        <f t="shared" si="0"/>
        <v>8.8754877838598834</v>
      </c>
      <c r="L24" s="660">
        <f t="shared" si="1"/>
        <v>372.97107226960509</v>
      </c>
      <c r="M24" s="660">
        <f t="shared" si="2"/>
        <v>916.94938117482411</v>
      </c>
    </row>
  </sheetData>
  <mergeCells count="1">
    <mergeCell ref="A2:M3"/>
  </mergeCells>
  <pageMargins left="0.7" right="0.7" top="0.75" bottom="0.75" header="0.3" footer="0.3"/>
  <pageSetup paperSize="9" orientation="portrait" horizontalDpi="360" verticalDpi="36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00B0F0"/>
  </sheetPr>
  <dimension ref="A2:AE138"/>
  <sheetViews>
    <sheetView workbookViewId="0"/>
  </sheetViews>
  <sheetFormatPr baseColWidth="10" defaultColWidth="10.7109375" defaultRowHeight="12.75"/>
  <cols>
    <col min="1" max="1" width="11.7109375" style="189" customWidth="1"/>
    <col min="2" max="3" width="10.7109375" style="189"/>
    <col min="4" max="4" width="12.5703125" style="189" customWidth="1"/>
    <col min="5" max="6" width="10.7109375" style="189"/>
    <col min="7" max="7" width="9.42578125" style="189" customWidth="1"/>
    <col min="8" max="8" width="9" style="189" customWidth="1"/>
    <col min="9" max="9" width="12.28515625" style="189" customWidth="1"/>
    <col min="10" max="16384" width="10.7109375" style="189"/>
  </cols>
  <sheetData>
    <row r="2" spans="1:23">
      <c r="A2" s="791" t="s">
        <v>331</v>
      </c>
    </row>
    <row r="3" spans="1:23" ht="12.75" customHeight="1">
      <c r="A3" s="812" t="s">
        <v>1986</v>
      </c>
      <c r="B3" s="1919" t="s">
        <v>1987</v>
      </c>
      <c r="C3" s="1919" t="s">
        <v>1988</v>
      </c>
      <c r="D3" s="814" t="s">
        <v>1989</v>
      </c>
      <c r="E3" s="812" t="s">
        <v>1990</v>
      </c>
      <c r="F3" s="812" t="s">
        <v>1990</v>
      </c>
      <c r="G3" s="812" t="s">
        <v>1991</v>
      </c>
      <c r="H3" s="819" t="s">
        <v>1992</v>
      </c>
      <c r="I3" s="806"/>
      <c r="J3" s="807"/>
      <c r="K3" s="818" t="s">
        <v>1993</v>
      </c>
      <c r="L3" s="820"/>
      <c r="M3" s="820"/>
      <c r="N3" s="820"/>
      <c r="O3" s="818" t="s">
        <v>1994</v>
      </c>
      <c r="P3" s="820"/>
      <c r="Q3" s="820"/>
      <c r="R3" s="820"/>
      <c r="S3" s="818" t="s">
        <v>1972</v>
      </c>
      <c r="T3" s="820"/>
      <c r="U3" s="817"/>
      <c r="V3" s="818" t="s">
        <v>1995</v>
      </c>
      <c r="W3" s="817"/>
    </row>
    <row r="4" spans="1:23" ht="20.25" customHeight="1">
      <c r="A4" s="809" t="s">
        <v>1996</v>
      </c>
      <c r="B4" s="1920"/>
      <c r="C4" s="1920"/>
      <c r="D4" s="810"/>
      <c r="E4" s="809" t="s">
        <v>1997</v>
      </c>
      <c r="F4" s="809" t="s">
        <v>204</v>
      </c>
      <c r="G4" s="809" t="s">
        <v>244</v>
      </c>
      <c r="H4" s="819" t="s">
        <v>1998</v>
      </c>
      <c r="I4" s="812" t="s">
        <v>1998</v>
      </c>
      <c r="J4" s="812" t="s">
        <v>1998</v>
      </c>
      <c r="K4" s="818" t="s">
        <v>1999</v>
      </c>
      <c r="L4" s="817"/>
      <c r="M4" s="818" t="s">
        <v>2000</v>
      </c>
      <c r="N4" s="817"/>
      <c r="O4" s="818" t="s">
        <v>1999</v>
      </c>
      <c r="P4" s="817"/>
      <c r="Q4" s="818" t="s">
        <v>2000</v>
      </c>
      <c r="R4" s="817"/>
      <c r="S4" s="812" t="s">
        <v>889</v>
      </c>
      <c r="T4" s="812" t="s">
        <v>889</v>
      </c>
      <c r="U4" s="816"/>
      <c r="V4" s="815" t="s">
        <v>2001</v>
      </c>
      <c r="W4" s="814" t="s">
        <v>2002</v>
      </c>
    </row>
    <row r="5" spans="1:23">
      <c r="A5" s="809"/>
      <c r="B5" s="813"/>
      <c r="C5" s="813"/>
      <c r="D5" s="813"/>
      <c r="E5" s="813"/>
      <c r="F5" s="813"/>
      <c r="G5" s="813"/>
      <c r="H5" s="809" t="s">
        <v>2003</v>
      </c>
      <c r="I5" s="809" t="s">
        <v>2004</v>
      </c>
      <c r="J5" s="809" t="s">
        <v>2005</v>
      </c>
      <c r="K5" s="812" t="s">
        <v>2006</v>
      </c>
      <c r="L5" s="812" t="s">
        <v>2007</v>
      </c>
      <c r="M5" s="812" t="s">
        <v>2008</v>
      </c>
      <c r="N5" s="812" t="s">
        <v>2009</v>
      </c>
      <c r="O5" s="812" t="s">
        <v>2006</v>
      </c>
      <c r="P5" s="812" t="s">
        <v>2007</v>
      </c>
      <c r="Q5" s="812" t="s">
        <v>2008</v>
      </c>
      <c r="R5" s="812" t="s">
        <v>2009</v>
      </c>
      <c r="S5" s="809" t="s">
        <v>2010</v>
      </c>
      <c r="T5" s="809" t="s">
        <v>2011</v>
      </c>
      <c r="U5" s="809" t="s">
        <v>2012</v>
      </c>
      <c r="V5" s="811"/>
      <c r="W5" s="810"/>
    </row>
    <row r="6" spans="1:23">
      <c r="A6" s="808" t="s">
        <v>2013</v>
      </c>
      <c r="B6" s="808" t="s">
        <v>299</v>
      </c>
      <c r="C6" s="808" t="s">
        <v>299</v>
      </c>
      <c r="D6" s="808" t="s">
        <v>299</v>
      </c>
      <c r="E6" s="808" t="s">
        <v>299</v>
      </c>
      <c r="F6" s="808" t="s">
        <v>299</v>
      </c>
      <c r="G6" s="808" t="s">
        <v>2014</v>
      </c>
      <c r="H6" s="808" t="s">
        <v>2014</v>
      </c>
      <c r="I6" s="808" t="s">
        <v>2014</v>
      </c>
      <c r="J6" s="808" t="s">
        <v>2014</v>
      </c>
      <c r="K6" s="808" t="s">
        <v>2015</v>
      </c>
      <c r="L6" s="808" t="s">
        <v>2016</v>
      </c>
      <c r="M6" s="808" t="s">
        <v>2017</v>
      </c>
      <c r="N6" s="808" t="s">
        <v>2018</v>
      </c>
      <c r="O6" s="808" t="s">
        <v>2015</v>
      </c>
      <c r="P6" s="808" t="s">
        <v>2016</v>
      </c>
      <c r="Q6" s="808" t="s">
        <v>2017</v>
      </c>
      <c r="R6" s="808" t="s">
        <v>2018</v>
      </c>
      <c r="S6" s="809" t="s">
        <v>2019</v>
      </c>
      <c r="T6" s="809" t="s">
        <v>2019</v>
      </c>
      <c r="U6" s="809" t="s">
        <v>2020</v>
      </c>
      <c r="V6" s="808" t="s">
        <v>299</v>
      </c>
      <c r="W6" s="808" t="s">
        <v>299</v>
      </c>
    </row>
    <row r="7" spans="1:23">
      <c r="A7" s="803"/>
      <c r="C7" s="803"/>
      <c r="D7" s="803"/>
      <c r="E7" s="803"/>
      <c r="F7" s="803"/>
      <c r="G7" s="803"/>
      <c r="H7" s="803"/>
      <c r="I7" s="803"/>
      <c r="J7" s="806"/>
      <c r="K7" s="806"/>
      <c r="L7" s="807"/>
      <c r="M7" s="806"/>
      <c r="N7" s="806"/>
      <c r="O7" s="806"/>
      <c r="P7" s="806"/>
      <c r="Q7" s="806"/>
      <c r="R7" s="806"/>
      <c r="S7" s="805"/>
      <c r="T7" s="805"/>
      <c r="U7" s="804"/>
      <c r="V7" s="782"/>
    </row>
    <row r="8" spans="1:23">
      <c r="A8" s="803"/>
      <c r="C8" s="803"/>
      <c r="D8" s="803"/>
      <c r="E8" s="803"/>
      <c r="F8" s="803"/>
      <c r="G8" s="803"/>
      <c r="H8" s="803"/>
      <c r="I8" s="803"/>
      <c r="J8" s="801"/>
      <c r="K8" s="801"/>
      <c r="L8" s="802"/>
      <c r="M8" s="801"/>
      <c r="N8" s="801"/>
      <c r="O8" s="801"/>
      <c r="P8" s="801"/>
      <c r="Q8" s="801"/>
      <c r="R8" s="801"/>
      <c r="S8" s="800"/>
      <c r="T8" s="800"/>
      <c r="U8" s="799"/>
      <c r="V8" s="782"/>
    </row>
    <row r="9" spans="1:23">
      <c r="A9" s="787">
        <v>6</v>
      </c>
      <c r="B9" s="789">
        <f t="shared" ref="B9:B43" si="0">+A9*25</f>
        <v>150</v>
      </c>
      <c r="C9" s="788">
        <v>0.20499999999999999</v>
      </c>
      <c r="D9" s="788">
        <v>3.2000000000000001E-2</v>
      </c>
      <c r="E9" s="784">
        <v>0.6</v>
      </c>
      <c r="F9" s="784">
        <f t="shared" ref="F9:F43" si="1">+E9+0.1</f>
        <v>0.7</v>
      </c>
      <c r="G9" s="790">
        <v>3.3000000000000002E-2</v>
      </c>
      <c r="H9" s="786">
        <v>6.4500000000000002E-2</v>
      </c>
      <c r="I9" s="786">
        <v>8.899E-2</v>
      </c>
      <c r="J9" s="786">
        <v>0.12898999999999999</v>
      </c>
      <c r="K9" s="786">
        <v>0.12898999999999999</v>
      </c>
      <c r="L9" s="786">
        <v>6.4500000000000002E-2</v>
      </c>
      <c r="M9" s="786">
        <v>0.105</v>
      </c>
      <c r="N9" s="786">
        <v>7.6880000000000004E-2</v>
      </c>
      <c r="O9" s="786">
        <v>0.129</v>
      </c>
      <c r="P9" s="786">
        <v>6.4500000000000002E-2</v>
      </c>
      <c r="Q9" s="786">
        <v>0.12525</v>
      </c>
      <c r="R9" s="786">
        <v>9.0310000000000001E-2</v>
      </c>
      <c r="S9" s="798"/>
      <c r="T9" s="798"/>
      <c r="U9" s="798"/>
      <c r="V9" s="784">
        <v>0.1</v>
      </c>
      <c r="W9" s="784">
        <v>0.1</v>
      </c>
    </row>
    <row r="10" spans="1:23">
      <c r="A10" s="787">
        <v>8</v>
      </c>
      <c r="B10" s="789">
        <f t="shared" si="0"/>
        <v>200</v>
      </c>
      <c r="C10" s="788">
        <v>0.27600000000000002</v>
      </c>
      <c r="D10" s="788">
        <v>3.6999999999999998E-2</v>
      </c>
      <c r="E10" s="784">
        <v>0.6</v>
      </c>
      <c r="F10" s="784">
        <f t="shared" si="1"/>
        <v>0.7</v>
      </c>
      <c r="G10" s="790">
        <v>5.9799999999999999E-2</v>
      </c>
      <c r="H10" s="786">
        <v>7.7189999999999995E-2</v>
      </c>
      <c r="I10" s="786">
        <v>0.10936999999999999</v>
      </c>
      <c r="J10" s="786">
        <v>0.15437000000000001</v>
      </c>
      <c r="K10" s="786">
        <v>0.15437000000000001</v>
      </c>
      <c r="L10" s="786">
        <v>7.7189999999999995E-2</v>
      </c>
      <c r="M10" s="786">
        <v>0.11289</v>
      </c>
      <c r="N10" s="786">
        <v>8.1049999999999997E-2</v>
      </c>
      <c r="O10" s="786">
        <v>0.15440000000000001</v>
      </c>
      <c r="P10" s="786">
        <v>7.7200000000000005E-2</v>
      </c>
      <c r="Q10" s="786">
        <v>0.13669999999999999</v>
      </c>
      <c r="R10" s="786">
        <v>9.5649999999999999E-2</v>
      </c>
      <c r="S10" s="798"/>
      <c r="T10" s="798"/>
      <c r="U10" s="798"/>
      <c r="V10" s="784">
        <v>0.1</v>
      </c>
      <c r="W10" s="784">
        <v>0.1</v>
      </c>
    </row>
    <row r="11" spans="1:23">
      <c r="A11" s="787">
        <v>10</v>
      </c>
      <c r="B11" s="789">
        <f t="shared" si="0"/>
        <v>250</v>
      </c>
      <c r="C11" s="788">
        <v>0.32200000000000001</v>
      </c>
      <c r="D11" s="788">
        <v>3.6999999999999998E-2</v>
      </c>
      <c r="E11" s="784">
        <v>0.7</v>
      </c>
      <c r="F11" s="784">
        <f t="shared" si="1"/>
        <v>0.79999999999999993</v>
      </c>
      <c r="G11" s="790">
        <v>8.14E-2</v>
      </c>
      <c r="H11" s="786">
        <v>8.9779999999999999E-2</v>
      </c>
      <c r="I11" s="786">
        <v>0.12956999999999999</v>
      </c>
      <c r="J11" s="786">
        <v>0.17957000000000001</v>
      </c>
      <c r="K11" s="786">
        <v>0.17957000000000001</v>
      </c>
      <c r="L11" s="786">
        <v>8.9779999999999999E-2</v>
      </c>
      <c r="M11" s="786">
        <v>0.14198</v>
      </c>
      <c r="N11" s="786">
        <v>9.8650000000000002E-2</v>
      </c>
      <c r="O11" s="786">
        <v>0.17960000000000001</v>
      </c>
      <c r="P11" s="786">
        <v>8.9800000000000005E-2</v>
      </c>
      <c r="Q11" s="786">
        <v>0.1681</v>
      </c>
      <c r="R11" s="786">
        <v>0.11403000000000001</v>
      </c>
      <c r="S11" s="785"/>
      <c r="T11" s="785">
        <v>17.399999999999999</v>
      </c>
      <c r="U11" s="785">
        <v>0.76</v>
      </c>
      <c r="V11" s="784">
        <v>0.1</v>
      </c>
      <c r="W11" s="784">
        <v>0.1</v>
      </c>
    </row>
    <row r="12" spans="1:23" s="791" customFormat="1">
      <c r="A12" s="797">
        <v>12</v>
      </c>
      <c r="B12" s="789">
        <f t="shared" si="0"/>
        <v>300</v>
      </c>
      <c r="C12" s="796">
        <v>0.39400000000000002</v>
      </c>
      <c r="D12" s="796">
        <v>4.7E-2</v>
      </c>
      <c r="E12" s="792">
        <v>0.7</v>
      </c>
      <c r="F12" s="792">
        <f t="shared" si="1"/>
        <v>0.79999999999999993</v>
      </c>
      <c r="G12" s="795">
        <v>0.12189999999999999</v>
      </c>
      <c r="H12" s="794">
        <v>0.10238999999999999</v>
      </c>
      <c r="I12" s="794">
        <v>0.14978</v>
      </c>
      <c r="J12" s="794">
        <v>0.20477999999999999</v>
      </c>
      <c r="K12" s="794">
        <v>0.20477999999999999</v>
      </c>
      <c r="L12" s="794">
        <v>0.10238999999999999</v>
      </c>
      <c r="M12" s="794">
        <v>0.14693999999999999</v>
      </c>
      <c r="N12" s="794">
        <v>0.10261000000000001</v>
      </c>
      <c r="O12" s="794">
        <v>0.20480000000000001</v>
      </c>
      <c r="P12" s="794">
        <v>0.1024</v>
      </c>
      <c r="Q12" s="794">
        <v>0.17665</v>
      </c>
      <c r="R12" s="794">
        <v>0.11942999999999999</v>
      </c>
      <c r="S12" s="793"/>
      <c r="T12" s="793">
        <v>20.5</v>
      </c>
      <c r="U12" s="793">
        <v>0.9</v>
      </c>
      <c r="V12" s="792">
        <v>0.1</v>
      </c>
      <c r="W12" s="792">
        <v>0.1</v>
      </c>
    </row>
    <row r="13" spans="1:23">
      <c r="A13" s="787">
        <v>14</v>
      </c>
      <c r="B13" s="789">
        <f t="shared" si="0"/>
        <v>350</v>
      </c>
      <c r="C13" s="788">
        <v>0.5</v>
      </c>
      <c r="D13" s="788">
        <v>0.06</v>
      </c>
      <c r="E13" s="784">
        <v>0.8</v>
      </c>
      <c r="F13" s="784">
        <f t="shared" si="1"/>
        <v>0.9</v>
      </c>
      <c r="G13" s="790">
        <v>0.13850000000000001</v>
      </c>
      <c r="H13" s="786">
        <v>0.11673</v>
      </c>
      <c r="I13" s="786">
        <v>0.17346</v>
      </c>
      <c r="J13" s="786">
        <v>0.23346</v>
      </c>
      <c r="K13" s="786">
        <v>0.23346</v>
      </c>
      <c r="L13" s="786">
        <v>0.11673</v>
      </c>
      <c r="M13" s="786">
        <v>0.17873</v>
      </c>
      <c r="N13" s="786">
        <v>0.12082</v>
      </c>
      <c r="O13" s="786">
        <v>0.23350000000000001</v>
      </c>
      <c r="P13" s="786">
        <v>0.11675000000000001</v>
      </c>
      <c r="Q13" s="786">
        <v>0.20974999999999999</v>
      </c>
      <c r="R13" s="786">
        <v>0.1368</v>
      </c>
      <c r="S13" s="785"/>
      <c r="T13" s="785">
        <v>23.6</v>
      </c>
      <c r="U13" s="785">
        <v>1</v>
      </c>
      <c r="V13" s="784">
        <v>0.1</v>
      </c>
      <c r="W13" s="784">
        <v>0.1</v>
      </c>
    </row>
    <row r="14" spans="1:23">
      <c r="A14" s="787">
        <v>15</v>
      </c>
      <c r="B14" s="789">
        <f t="shared" si="0"/>
        <v>375</v>
      </c>
      <c r="C14" s="788">
        <v>0.5</v>
      </c>
      <c r="D14" s="788">
        <v>0.06</v>
      </c>
      <c r="E14" s="784">
        <v>0.8</v>
      </c>
      <c r="F14" s="784">
        <f t="shared" si="1"/>
        <v>0.9</v>
      </c>
      <c r="G14" s="790">
        <v>0.1963</v>
      </c>
      <c r="H14" s="786">
        <v>0.12933</v>
      </c>
      <c r="I14" s="786">
        <v>0.19364999999999999</v>
      </c>
      <c r="J14" s="786">
        <v>0.25864999999999999</v>
      </c>
      <c r="K14" s="786">
        <v>0.25864999999999999</v>
      </c>
      <c r="L14" s="786">
        <v>0.12933</v>
      </c>
      <c r="M14" s="786">
        <v>0.18182999999999999</v>
      </c>
      <c r="N14" s="786">
        <v>0.12515999999999999</v>
      </c>
      <c r="O14" s="786">
        <v>0.25869999999999999</v>
      </c>
      <c r="P14" s="786">
        <v>0.12934999999999999</v>
      </c>
      <c r="Q14" s="786">
        <v>0.21684999999999999</v>
      </c>
      <c r="R14" s="786">
        <v>0.14349999999999999</v>
      </c>
      <c r="S14" s="785"/>
      <c r="T14" s="785">
        <v>29</v>
      </c>
      <c r="U14" s="785">
        <v>1.04</v>
      </c>
      <c r="V14" s="784">
        <v>0.1</v>
      </c>
      <c r="W14" s="784">
        <v>0.1</v>
      </c>
    </row>
    <row r="15" spans="1:23">
      <c r="A15" s="787">
        <v>16</v>
      </c>
      <c r="B15" s="789">
        <f t="shared" si="0"/>
        <v>400</v>
      </c>
      <c r="C15" s="788">
        <v>0.53500000000000003</v>
      </c>
      <c r="D15" s="788">
        <v>6.2E-2</v>
      </c>
      <c r="E15" s="784">
        <v>0.8</v>
      </c>
      <c r="F15" s="784">
        <f t="shared" si="1"/>
        <v>0.9</v>
      </c>
      <c r="G15" s="790">
        <v>0.2248</v>
      </c>
      <c r="H15" s="786">
        <v>0.22159999999999999</v>
      </c>
      <c r="I15" s="786">
        <v>0.32319999999999999</v>
      </c>
      <c r="J15" s="786">
        <v>0.4032</v>
      </c>
      <c r="K15" s="786">
        <v>0.44319999999999998</v>
      </c>
      <c r="L15" s="786">
        <v>0.22159999999999999</v>
      </c>
      <c r="M15" s="786">
        <v>0.18160000000000001</v>
      </c>
      <c r="N15" s="786">
        <v>0.12670999999999999</v>
      </c>
      <c r="O15" s="786">
        <v>0.44319999999999998</v>
      </c>
      <c r="P15" s="786">
        <v>0.22159999999999999</v>
      </c>
      <c r="Q15" s="786">
        <v>0.21834999999999999</v>
      </c>
      <c r="R15" s="786">
        <v>0.14565</v>
      </c>
      <c r="S15" s="785"/>
      <c r="T15" s="785">
        <v>35</v>
      </c>
      <c r="U15" s="785">
        <v>1.06</v>
      </c>
      <c r="V15" s="784">
        <v>0.15</v>
      </c>
      <c r="W15" s="784">
        <v>0.1</v>
      </c>
    </row>
    <row r="16" spans="1:23">
      <c r="A16" s="787">
        <v>18</v>
      </c>
      <c r="B16" s="789">
        <f t="shared" si="0"/>
        <v>450</v>
      </c>
      <c r="C16" s="788">
        <v>0.57499999999999996</v>
      </c>
      <c r="D16" s="788">
        <v>6.2E-2</v>
      </c>
      <c r="E16" s="784">
        <v>0.9</v>
      </c>
      <c r="F16" s="784">
        <f t="shared" si="1"/>
        <v>1</v>
      </c>
      <c r="G16" s="790">
        <v>0.25969999999999999</v>
      </c>
      <c r="H16" s="786">
        <v>0.24335000000000001</v>
      </c>
      <c r="I16" s="786">
        <v>0.35875000000000001</v>
      </c>
      <c r="J16" s="786">
        <v>0.44405</v>
      </c>
      <c r="K16" s="786">
        <v>0.48670000000000002</v>
      </c>
      <c r="L16" s="786">
        <v>0.24335000000000001</v>
      </c>
      <c r="M16" s="786">
        <v>0.21890999999999999</v>
      </c>
      <c r="N16" s="786">
        <v>0.14779999999999999</v>
      </c>
      <c r="O16" s="786">
        <v>0.48668</v>
      </c>
      <c r="P16" s="786">
        <v>0.24334</v>
      </c>
      <c r="Q16" s="786">
        <v>0.25764999999999999</v>
      </c>
      <c r="R16" s="786">
        <v>0.16739000000000001</v>
      </c>
      <c r="S16" s="785"/>
      <c r="T16" s="785">
        <v>48</v>
      </c>
      <c r="U16" s="785">
        <v>1.1000000000000001</v>
      </c>
      <c r="V16" s="784">
        <v>0.15</v>
      </c>
      <c r="W16" s="784">
        <v>0.1</v>
      </c>
    </row>
    <row r="17" spans="1:23">
      <c r="A17" s="787">
        <v>20</v>
      </c>
      <c r="B17" s="789">
        <f t="shared" si="0"/>
        <v>500</v>
      </c>
      <c r="C17" s="788">
        <v>0.67</v>
      </c>
      <c r="D17" s="788">
        <v>7.0000000000000007E-2</v>
      </c>
      <c r="E17" s="784">
        <v>1</v>
      </c>
      <c r="F17" s="784">
        <f t="shared" si="1"/>
        <v>1.1000000000000001</v>
      </c>
      <c r="G17" s="790">
        <v>0.35260000000000002</v>
      </c>
      <c r="H17" s="786">
        <v>0.26022000000000001</v>
      </c>
      <c r="I17" s="786">
        <v>0.38542999999999999</v>
      </c>
      <c r="J17" s="786">
        <v>0.47543000000000002</v>
      </c>
      <c r="K17" s="786">
        <v>0.52042999999999995</v>
      </c>
      <c r="L17" s="786">
        <v>0.26022000000000001</v>
      </c>
      <c r="M17" s="786">
        <v>0.25872000000000001</v>
      </c>
      <c r="N17" s="786">
        <v>0.17304</v>
      </c>
      <c r="O17" s="786">
        <v>0.52039999999999997</v>
      </c>
      <c r="P17" s="786">
        <v>0.26019999999999999</v>
      </c>
      <c r="Q17" s="786">
        <v>0.30220000000000002</v>
      </c>
      <c r="R17" s="786">
        <v>0.19423000000000001</v>
      </c>
      <c r="S17" s="785"/>
      <c r="T17" s="785">
        <v>53</v>
      </c>
      <c r="U17" s="785">
        <v>1.32</v>
      </c>
      <c r="V17" s="784">
        <v>0.15</v>
      </c>
      <c r="W17" s="784">
        <v>0.1</v>
      </c>
    </row>
    <row r="18" spans="1:23">
      <c r="A18" s="787">
        <v>21</v>
      </c>
      <c r="B18" s="789">
        <f t="shared" si="0"/>
        <v>525</v>
      </c>
      <c r="C18" s="788">
        <v>0.67</v>
      </c>
      <c r="D18" s="788">
        <v>7.0000000000000007E-2</v>
      </c>
      <c r="E18" s="784">
        <v>1</v>
      </c>
      <c r="F18" s="784">
        <f t="shared" si="1"/>
        <v>1.1000000000000001</v>
      </c>
      <c r="G18" s="790">
        <v>0.35260000000000002</v>
      </c>
      <c r="H18" s="786">
        <v>0.28447</v>
      </c>
      <c r="I18" s="786">
        <v>0.42642999999999998</v>
      </c>
      <c r="J18" s="786">
        <v>0.52142999999999995</v>
      </c>
      <c r="K18" s="786">
        <v>0.56893000000000005</v>
      </c>
      <c r="L18" s="786">
        <v>0.28447</v>
      </c>
      <c r="M18" s="786">
        <v>0.25872000000000001</v>
      </c>
      <c r="N18" s="786">
        <v>0.17304</v>
      </c>
      <c r="O18" s="786">
        <v>0.56889999999999996</v>
      </c>
      <c r="P18" s="786">
        <v>0.28444999999999998</v>
      </c>
      <c r="Q18" s="786">
        <v>0.30220000000000002</v>
      </c>
      <c r="R18" s="786">
        <v>0.19423000000000001</v>
      </c>
      <c r="S18" s="785">
        <v>51.4</v>
      </c>
      <c r="T18" s="785"/>
      <c r="U18" s="785">
        <v>1.35</v>
      </c>
      <c r="V18" s="784">
        <v>0.15</v>
      </c>
      <c r="W18" s="784">
        <v>0.1</v>
      </c>
    </row>
    <row r="19" spans="1:23">
      <c r="A19" s="787">
        <v>24</v>
      </c>
      <c r="B19" s="789">
        <f t="shared" si="0"/>
        <v>600</v>
      </c>
      <c r="C19" s="788">
        <v>0.76</v>
      </c>
      <c r="D19" s="788">
        <v>7.1999999999999995E-2</v>
      </c>
      <c r="E19" s="784">
        <v>1.1000000000000001</v>
      </c>
      <c r="F19" s="784">
        <f t="shared" si="1"/>
        <v>1.2000000000000002</v>
      </c>
      <c r="G19" s="790">
        <v>0.4536</v>
      </c>
      <c r="H19" s="786">
        <v>3.0318000000000001E-2</v>
      </c>
      <c r="I19" s="786">
        <v>0.45634999999999998</v>
      </c>
      <c r="J19" s="786">
        <v>0.55635000000000001</v>
      </c>
      <c r="K19" s="786">
        <v>0.60634999999999994</v>
      </c>
      <c r="L19" s="786">
        <v>3.0318000000000001E-2</v>
      </c>
      <c r="M19" s="786">
        <v>0.30118</v>
      </c>
      <c r="N19" s="786">
        <v>0.19964000000000001</v>
      </c>
      <c r="O19" s="786">
        <v>0.60640000000000005</v>
      </c>
      <c r="P19" s="786">
        <v>0.30320000000000003</v>
      </c>
      <c r="Q19" s="786">
        <v>0.34920000000000001</v>
      </c>
      <c r="R19" s="786">
        <v>0.22239999999999999</v>
      </c>
      <c r="S19" s="785">
        <v>53</v>
      </c>
      <c r="T19" s="785"/>
      <c r="U19" s="785">
        <v>1.36</v>
      </c>
      <c r="V19" s="784">
        <v>0.15</v>
      </c>
      <c r="W19" s="784">
        <v>0.1</v>
      </c>
    </row>
    <row r="20" spans="1:23">
      <c r="A20" s="787">
        <v>27</v>
      </c>
      <c r="B20" s="789">
        <f t="shared" si="0"/>
        <v>675</v>
      </c>
      <c r="C20" s="788">
        <v>0.84499999999999997</v>
      </c>
      <c r="D20" s="788">
        <v>8.2000000000000003E-2</v>
      </c>
      <c r="E20" s="784">
        <v>1.2</v>
      </c>
      <c r="F20" s="784">
        <f t="shared" si="1"/>
        <v>1.3</v>
      </c>
      <c r="G20" s="790">
        <v>0.56079999999999997</v>
      </c>
      <c r="H20" s="786">
        <v>0.37797999999999998</v>
      </c>
      <c r="I20" s="786">
        <v>0.58345999999999998</v>
      </c>
      <c r="J20" s="786">
        <v>0.69845999999999997</v>
      </c>
      <c r="K20" s="786">
        <v>0.75595999999999997</v>
      </c>
      <c r="L20" s="786">
        <v>0.37797999999999998</v>
      </c>
      <c r="M20" s="786">
        <v>0.35335</v>
      </c>
      <c r="N20" s="786">
        <v>0.23430999999999999</v>
      </c>
      <c r="O20" s="786">
        <v>0.75595000000000001</v>
      </c>
      <c r="P20" s="786">
        <v>0.37797999999999998</v>
      </c>
      <c r="Q20" s="786">
        <v>0.40616000000000002</v>
      </c>
      <c r="R20" s="786">
        <v>0.25900000000000001</v>
      </c>
      <c r="S20" s="785">
        <v>56.5</v>
      </c>
      <c r="T20" s="785"/>
      <c r="U20" s="785">
        <v>1.38</v>
      </c>
      <c r="V20" s="784">
        <v>0.15</v>
      </c>
      <c r="W20" s="784">
        <v>0.11</v>
      </c>
    </row>
    <row r="21" spans="1:23">
      <c r="A21" s="787">
        <v>28</v>
      </c>
      <c r="B21" s="789">
        <f t="shared" si="0"/>
        <v>700</v>
      </c>
      <c r="C21" s="788">
        <v>0.84499999999999997</v>
      </c>
      <c r="D21" s="788">
        <v>8.2000000000000003E-2</v>
      </c>
      <c r="E21" s="784">
        <v>1.2</v>
      </c>
      <c r="F21" s="784">
        <f t="shared" si="1"/>
        <v>1.3</v>
      </c>
      <c r="G21" s="790">
        <v>0.56079999999999997</v>
      </c>
      <c r="H21" s="786">
        <v>0.40660000000000002</v>
      </c>
      <c r="I21" s="786">
        <v>0.63321000000000005</v>
      </c>
      <c r="J21" s="786">
        <v>0.75321000000000005</v>
      </c>
      <c r="K21" s="786">
        <v>0.81320999999999999</v>
      </c>
      <c r="L21" s="786">
        <v>0.40660000000000002</v>
      </c>
      <c r="M21" s="786">
        <v>0.35335</v>
      </c>
      <c r="N21" s="786">
        <v>0.23430999999999999</v>
      </c>
      <c r="O21" s="786">
        <v>0.81320000000000003</v>
      </c>
      <c r="P21" s="786">
        <v>0.40660000000000002</v>
      </c>
      <c r="Q21" s="786">
        <v>0.40616000000000002</v>
      </c>
      <c r="R21" s="786">
        <v>0.25900000000000001</v>
      </c>
      <c r="S21" s="785">
        <v>58.4</v>
      </c>
      <c r="T21" s="785"/>
      <c r="U21" s="785">
        <v>1.42</v>
      </c>
      <c r="V21" s="784">
        <v>0.15</v>
      </c>
      <c r="W21" s="784">
        <v>0.11</v>
      </c>
    </row>
    <row r="22" spans="1:23">
      <c r="A22" s="787">
        <v>30</v>
      </c>
      <c r="B22" s="789">
        <f t="shared" si="0"/>
        <v>750</v>
      </c>
      <c r="C22" s="788">
        <v>0.94499999999999995</v>
      </c>
      <c r="D22" s="788">
        <v>8.5000000000000006E-2</v>
      </c>
      <c r="E22" s="784">
        <v>1.3</v>
      </c>
      <c r="F22" s="784">
        <f t="shared" si="1"/>
        <v>1.4000000000000001</v>
      </c>
      <c r="G22" s="790">
        <v>0.70140000000000002</v>
      </c>
      <c r="H22" s="786">
        <v>0.45856000000000002</v>
      </c>
      <c r="I22" s="786">
        <v>0.72211999999999998</v>
      </c>
      <c r="J22" s="786">
        <v>0.85211999999999999</v>
      </c>
      <c r="K22" s="786">
        <v>0.91712000000000005</v>
      </c>
      <c r="L22" s="786">
        <v>0.45856000000000002</v>
      </c>
      <c r="M22" s="786">
        <v>0.41711999999999999</v>
      </c>
      <c r="N22" s="786">
        <v>0.28148000000000001</v>
      </c>
      <c r="O22" s="786">
        <v>0.91710000000000003</v>
      </c>
      <c r="P22" s="786">
        <v>0.45855000000000001</v>
      </c>
      <c r="Q22" s="786">
        <v>0.47617999999999999</v>
      </c>
      <c r="R22" s="786">
        <v>0.30908000000000002</v>
      </c>
      <c r="S22" s="785">
        <v>61</v>
      </c>
      <c r="T22" s="785"/>
      <c r="U22" s="785">
        <v>1.62</v>
      </c>
      <c r="V22" s="784">
        <v>0.15</v>
      </c>
      <c r="W22" s="784">
        <v>0.12</v>
      </c>
    </row>
    <row r="23" spans="1:23">
      <c r="A23" s="787">
        <v>32</v>
      </c>
      <c r="B23" s="789">
        <f t="shared" si="0"/>
        <v>800</v>
      </c>
      <c r="C23" s="788">
        <v>1.028</v>
      </c>
      <c r="D23" s="788">
        <v>0.09</v>
      </c>
      <c r="E23" s="784">
        <v>1.4</v>
      </c>
      <c r="F23" s="784">
        <f t="shared" si="1"/>
        <v>1.5</v>
      </c>
      <c r="G23" s="790">
        <f>3.1416*C23^2/4</f>
        <v>0.82999815359999995</v>
      </c>
      <c r="H23" s="786">
        <v>0.48139999999999999</v>
      </c>
      <c r="I23" s="786">
        <v>0.76029999999999998</v>
      </c>
      <c r="J23" s="786">
        <v>0.89529999999999998</v>
      </c>
      <c r="K23" s="786">
        <v>0.96279999999999999</v>
      </c>
      <c r="L23" s="786">
        <v>0.48139999999999999</v>
      </c>
      <c r="M23" s="786">
        <v>0.48449999999999999</v>
      </c>
      <c r="N23" s="786">
        <v>0.32884000000000002</v>
      </c>
      <c r="O23" s="786">
        <v>0.96279999999999999</v>
      </c>
      <c r="P23" s="786">
        <v>0.48139999999999999</v>
      </c>
      <c r="Q23" s="786">
        <v>0.54874999999999996</v>
      </c>
      <c r="R23" s="786">
        <v>0.35885</v>
      </c>
      <c r="S23" s="785">
        <v>53.8</v>
      </c>
      <c r="T23" s="785"/>
      <c r="U23" s="785">
        <v>1.79</v>
      </c>
      <c r="V23" s="784">
        <v>0.15</v>
      </c>
      <c r="W23" s="784">
        <v>0.13</v>
      </c>
    </row>
    <row r="24" spans="1:23">
      <c r="A24" s="787">
        <v>33</v>
      </c>
      <c r="B24" s="789">
        <f t="shared" si="0"/>
        <v>825</v>
      </c>
      <c r="C24" s="788">
        <v>1.028</v>
      </c>
      <c r="D24" s="788">
        <v>9.8000000000000004E-2</v>
      </c>
      <c r="E24" s="784">
        <v>1.4</v>
      </c>
      <c r="F24" s="784">
        <f t="shared" si="1"/>
        <v>1.5</v>
      </c>
      <c r="G24" s="790">
        <v>0.83</v>
      </c>
      <c r="H24" s="786">
        <v>0.51459999999999995</v>
      </c>
      <c r="I24" s="786">
        <v>0.81920000000000004</v>
      </c>
      <c r="J24" s="786">
        <v>0.95920000000000005</v>
      </c>
      <c r="K24" s="786">
        <v>1.0291999999999999</v>
      </c>
      <c r="L24" s="786">
        <v>0.51459999999999995</v>
      </c>
      <c r="M24" s="786">
        <v>0.48449999999999999</v>
      </c>
      <c r="N24" s="786">
        <v>0.32884000000000002</v>
      </c>
      <c r="O24" s="786">
        <v>1.0291999999999999</v>
      </c>
      <c r="P24" s="786">
        <v>0.51459999999999995</v>
      </c>
      <c r="Q24" s="786">
        <v>0.54874999999999996</v>
      </c>
      <c r="R24" s="786">
        <v>0.35875000000000001</v>
      </c>
      <c r="S24" s="785">
        <v>72</v>
      </c>
      <c r="T24" s="785"/>
      <c r="U24" s="785">
        <v>2</v>
      </c>
      <c r="V24" s="784">
        <v>0.15</v>
      </c>
      <c r="W24" s="784">
        <v>0.13</v>
      </c>
    </row>
    <row r="25" spans="1:23">
      <c r="A25" s="787">
        <v>36</v>
      </c>
      <c r="B25" s="789">
        <f t="shared" si="0"/>
        <v>900</v>
      </c>
      <c r="C25" s="788">
        <v>1.0960000000000001</v>
      </c>
      <c r="D25" s="788">
        <v>9.2999999999999999E-2</v>
      </c>
      <c r="E25" s="784">
        <v>1.5</v>
      </c>
      <c r="F25" s="784">
        <f t="shared" si="1"/>
        <v>1.6</v>
      </c>
      <c r="G25" s="790">
        <v>0.94340000000000002</v>
      </c>
      <c r="H25" s="786">
        <v>0.57528000000000001</v>
      </c>
      <c r="I25" s="786">
        <v>0.92557</v>
      </c>
      <c r="J25" s="786">
        <v>1.0755699999999999</v>
      </c>
      <c r="K25" s="786">
        <v>1.1505700000000001</v>
      </c>
      <c r="L25" s="786">
        <v>0.57528000000000001</v>
      </c>
      <c r="M25" s="786">
        <v>0.55578000000000005</v>
      </c>
      <c r="N25" s="786">
        <v>0.37614999999999998</v>
      </c>
      <c r="O25" s="786">
        <v>1.1506000000000001</v>
      </c>
      <c r="P25" s="786">
        <v>0.57530000000000003</v>
      </c>
      <c r="Q25" s="786">
        <v>0.62429999999999997</v>
      </c>
      <c r="R25" s="786">
        <v>0.40847</v>
      </c>
      <c r="S25" s="785">
        <v>78.099999999999994</v>
      </c>
      <c r="T25" s="785"/>
      <c r="U25" s="785">
        <v>2.23</v>
      </c>
      <c r="V25" s="784">
        <v>0.15</v>
      </c>
      <c r="W25" s="784">
        <v>0.14000000000000001</v>
      </c>
    </row>
    <row r="26" spans="1:23">
      <c r="A26" s="787">
        <v>39</v>
      </c>
      <c r="B26" s="789">
        <f t="shared" si="0"/>
        <v>975</v>
      </c>
      <c r="C26" s="788">
        <v>1.2270000000000001</v>
      </c>
      <c r="D26" s="788">
        <v>0.11</v>
      </c>
      <c r="E26" s="784">
        <v>1.8</v>
      </c>
      <c r="F26" s="784">
        <f t="shared" si="1"/>
        <v>1.9000000000000001</v>
      </c>
      <c r="G26" s="790">
        <v>1.1823999999999999</v>
      </c>
      <c r="H26" s="786">
        <v>0.63038000000000005</v>
      </c>
      <c r="I26" s="786">
        <v>1.0207599999999999</v>
      </c>
      <c r="J26" s="786">
        <v>1.18076</v>
      </c>
      <c r="K26" s="786">
        <v>1.2607600000000001</v>
      </c>
      <c r="L26" s="786">
        <v>0.63038000000000005</v>
      </c>
      <c r="M26" s="786">
        <v>0.78915999999999997</v>
      </c>
      <c r="N26" s="786">
        <v>0.51463999999999999</v>
      </c>
      <c r="O26" s="786">
        <v>1.2607999999999999</v>
      </c>
      <c r="P26" s="786">
        <v>0.63039999999999996</v>
      </c>
      <c r="Q26" s="786">
        <v>0.86585999999999996</v>
      </c>
      <c r="R26" s="786">
        <v>0.55096000000000001</v>
      </c>
      <c r="S26" s="785">
        <v>86.1</v>
      </c>
      <c r="T26" s="785"/>
      <c r="U26" s="785">
        <v>2.34</v>
      </c>
      <c r="V26" s="784">
        <v>0.15</v>
      </c>
      <c r="W26" s="784">
        <v>0.15</v>
      </c>
    </row>
    <row r="27" spans="1:23">
      <c r="A27" s="787">
        <v>40</v>
      </c>
      <c r="B27" s="789">
        <f t="shared" si="0"/>
        <v>1000</v>
      </c>
      <c r="C27" s="788">
        <v>1.2270000000000001</v>
      </c>
      <c r="D27" s="788">
        <v>0.11</v>
      </c>
      <c r="E27" s="784">
        <v>1.8</v>
      </c>
      <c r="F27" s="784">
        <f t="shared" si="1"/>
        <v>1.9000000000000001</v>
      </c>
      <c r="G27" s="790">
        <v>1.1823999999999999</v>
      </c>
      <c r="H27" s="786">
        <v>0.63038000000000005</v>
      </c>
      <c r="I27" s="786">
        <v>1.0207599999999999</v>
      </c>
      <c r="J27" s="786">
        <v>1.18076</v>
      </c>
      <c r="K27" s="786">
        <v>1.2607600000000001</v>
      </c>
      <c r="L27" s="786">
        <v>0.63038000000000005</v>
      </c>
      <c r="M27" s="786">
        <v>0.78915999999999997</v>
      </c>
      <c r="N27" s="786">
        <v>0.51463999999999999</v>
      </c>
      <c r="O27" s="786">
        <v>1.2607999999999999</v>
      </c>
      <c r="P27" s="786">
        <v>0.63039999999999996</v>
      </c>
      <c r="Q27" s="786">
        <v>0.86585999999999996</v>
      </c>
      <c r="R27" s="786">
        <v>0.55096000000000001</v>
      </c>
      <c r="S27" s="785">
        <v>86.1</v>
      </c>
      <c r="T27" s="785"/>
      <c r="U27" s="785">
        <v>2.34</v>
      </c>
      <c r="V27" s="784">
        <v>0.15</v>
      </c>
      <c r="W27" s="784">
        <v>0.15</v>
      </c>
    </row>
    <row r="28" spans="1:23">
      <c r="A28" s="787">
        <v>44</v>
      </c>
      <c r="B28" s="789">
        <f t="shared" si="0"/>
        <v>1100</v>
      </c>
      <c r="C28" s="788">
        <v>1.46</v>
      </c>
      <c r="D28" s="788">
        <v>0.11700000000000001</v>
      </c>
      <c r="E28" s="784">
        <v>2.1</v>
      </c>
      <c r="F28" s="784">
        <f t="shared" si="1"/>
        <v>2.2000000000000002</v>
      </c>
      <c r="G28" s="787">
        <v>1.665</v>
      </c>
      <c r="H28" s="786">
        <v>0.76366000000000001</v>
      </c>
      <c r="I28" s="786">
        <v>1.18333</v>
      </c>
      <c r="J28" s="786">
        <v>1.3553299999999999</v>
      </c>
      <c r="K28" s="786">
        <v>1.5273300000000001</v>
      </c>
      <c r="L28" s="786">
        <v>0.76366000000000001</v>
      </c>
      <c r="M28" s="786">
        <v>1.0785</v>
      </c>
      <c r="N28" s="786">
        <v>0.70940000000000003</v>
      </c>
      <c r="O28" s="786">
        <v>1.52732</v>
      </c>
      <c r="P28" s="786">
        <v>0.76366000000000001</v>
      </c>
      <c r="Q28" s="786">
        <v>1.1695</v>
      </c>
      <c r="R28" s="786">
        <v>0.75422699999999998</v>
      </c>
      <c r="S28" s="785"/>
      <c r="T28" s="785"/>
      <c r="U28" s="785"/>
      <c r="V28" s="784">
        <v>0.2</v>
      </c>
      <c r="W28" s="784">
        <v>0.18</v>
      </c>
    </row>
    <row r="29" spans="1:23">
      <c r="A29" s="787">
        <v>48</v>
      </c>
      <c r="B29" s="789">
        <f t="shared" si="0"/>
        <v>1200</v>
      </c>
      <c r="C29" s="788">
        <v>1.57</v>
      </c>
      <c r="D29" s="788">
        <v>0.12</v>
      </c>
      <c r="E29" s="784">
        <v>2.2000000000000002</v>
      </c>
      <c r="F29" s="784">
        <f t="shared" si="1"/>
        <v>2.3000000000000003</v>
      </c>
      <c r="G29" s="787">
        <v>1.9409000000000001</v>
      </c>
      <c r="H29" s="786">
        <v>0.84380999999999995</v>
      </c>
      <c r="I29" s="786">
        <v>1.31962</v>
      </c>
      <c r="J29" s="786">
        <v>1.50362</v>
      </c>
      <c r="K29" s="786">
        <v>1.6876199999999999</v>
      </c>
      <c r="L29" s="786">
        <v>0.84380999999999995</v>
      </c>
      <c r="M29" s="786">
        <v>1.1910700000000001</v>
      </c>
      <c r="N29" s="786">
        <v>0.79608000000000001</v>
      </c>
      <c r="O29" s="786">
        <v>1.6875800000000001</v>
      </c>
      <c r="P29" s="786">
        <v>0.84379000000000004</v>
      </c>
      <c r="Q29" s="786">
        <v>1.2892999999999999</v>
      </c>
      <c r="R29" s="786">
        <v>0.84155000000000002</v>
      </c>
      <c r="S29" s="785"/>
      <c r="T29" s="785"/>
      <c r="U29" s="785"/>
      <c r="V29" s="784">
        <v>0.2</v>
      </c>
      <c r="W29" s="784">
        <v>0.2</v>
      </c>
    </row>
    <row r="30" spans="1:23">
      <c r="A30" s="787">
        <v>52</v>
      </c>
      <c r="B30" s="789">
        <f t="shared" si="0"/>
        <v>1300</v>
      </c>
      <c r="C30" s="788">
        <v>1.69</v>
      </c>
      <c r="D30" s="788">
        <v>0.12</v>
      </c>
      <c r="E30" s="784">
        <v>2.4</v>
      </c>
      <c r="F30" s="784">
        <f t="shared" si="1"/>
        <v>2.5</v>
      </c>
      <c r="G30" s="787">
        <v>2.2378999999999998</v>
      </c>
      <c r="H30" s="786">
        <v>0.92730999999999997</v>
      </c>
      <c r="I30" s="786">
        <v>1.46261</v>
      </c>
      <c r="J30" s="786">
        <v>1.6586099999999999</v>
      </c>
      <c r="K30" s="786">
        <v>1.8546100000000001</v>
      </c>
      <c r="L30" s="786">
        <v>0.92730999999999997</v>
      </c>
      <c r="M30" s="786">
        <v>1.41307</v>
      </c>
      <c r="N30" s="786">
        <v>0.93644000000000005</v>
      </c>
      <c r="O30" s="786">
        <v>1.8545799999999999</v>
      </c>
      <c r="P30" s="786">
        <v>0.92728999999999995</v>
      </c>
      <c r="Q30" s="786">
        <v>1.5185500000000001</v>
      </c>
      <c r="R30" s="786">
        <v>0.98582999999999998</v>
      </c>
      <c r="S30" s="785"/>
      <c r="T30" s="785"/>
      <c r="U30" s="785"/>
      <c r="V30" s="784">
        <v>0.2</v>
      </c>
      <c r="W30" s="784">
        <v>0.21</v>
      </c>
    </row>
    <row r="31" spans="1:23">
      <c r="A31" s="787">
        <v>56</v>
      </c>
      <c r="B31" s="789">
        <f t="shared" si="0"/>
        <v>1400</v>
      </c>
      <c r="C31" s="788">
        <v>1.81</v>
      </c>
      <c r="D31" s="788">
        <v>0.14000000000000001</v>
      </c>
      <c r="E31" s="784">
        <v>2.5</v>
      </c>
      <c r="F31" s="784">
        <f t="shared" si="1"/>
        <v>2.6</v>
      </c>
      <c r="G31" s="787">
        <v>2.5617000000000001</v>
      </c>
      <c r="H31" s="786">
        <v>1.0134000000000001</v>
      </c>
      <c r="I31" s="786">
        <v>1.6108</v>
      </c>
      <c r="J31" s="786">
        <v>1.8188</v>
      </c>
      <c r="K31" s="786">
        <v>2.0268000000000002</v>
      </c>
      <c r="L31" s="786">
        <v>1.0134000000000001</v>
      </c>
      <c r="M31" s="786">
        <v>1.5410299999999999</v>
      </c>
      <c r="N31" s="786">
        <v>1.03624</v>
      </c>
      <c r="O31" s="786">
        <v>2.02678</v>
      </c>
      <c r="P31" s="786">
        <v>1.01339</v>
      </c>
      <c r="Q31" s="786">
        <v>1.6538999999999999</v>
      </c>
      <c r="R31" s="786">
        <v>1.0885499999999999</v>
      </c>
      <c r="S31" s="785"/>
      <c r="T31" s="785"/>
      <c r="U31" s="785"/>
      <c r="V31" s="784">
        <v>0.2</v>
      </c>
      <c r="W31" s="784">
        <v>0.23</v>
      </c>
    </row>
    <row r="32" spans="1:23">
      <c r="A32" s="787">
        <v>60</v>
      </c>
      <c r="B32" s="789">
        <f t="shared" si="0"/>
        <v>1500</v>
      </c>
      <c r="C32" s="788">
        <v>1.92</v>
      </c>
      <c r="D32" s="788">
        <v>0.152</v>
      </c>
      <c r="E32" s="784">
        <v>2.6</v>
      </c>
      <c r="F32" s="784">
        <f t="shared" si="1"/>
        <v>2.7</v>
      </c>
      <c r="G32" s="787">
        <v>2.9013</v>
      </c>
      <c r="H32" s="786">
        <v>1.10354</v>
      </c>
      <c r="I32" s="786">
        <v>1.7670699999999999</v>
      </c>
      <c r="J32" s="786">
        <v>1.9870699999999999</v>
      </c>
      <c r="K32" s="786">
        <v>2.2070699999999999</v>
      </c>
      <c r="L32" s="786">
        <v>1.10354</v>
      </c>
      <c r="M32" s="786">
        <v>1.67259</v>
      </c>
      <c r="N32" s="786">
        <v>1.13967</v>
      </c>
      <c r="O32" s="786">
        <v>2.2071000000000001</v>
      </c>
      <c r="P32" s="786">
        <v>1.10355</v>
      </c>
      <c r="Q32" s="786">
        <v>1.7927299999999999</v>
      </c>
      <c r="R32" s="786">
        <v>1.1955800000000001</v>
      </c>
      <c r="S32" s="785"/>
      <c r="T32" s="785"/>
      <c r="U32" s="785"/>
      <c r="V32" s="784">
        <v>0.2</v>
      </c>
      <c r="W32" s="784">
        <v>0.24</v>
      </c>
    </row>
    <row r="33" spans="1:29">
      <c r="A33" s="787">
        <v>64</v>
      </c>
      <c r="B33" s="789">
        <f t="shared" si="0"/>
        <v>1600</v>
      </c>
      <c r="C33" s="788">
        <v>2.04</v>
      </c>
      <c r="D33" s="788">
        <v>0.219</v>
      </c>
      <c r="E33" s="784">
        <v>2.7</v>
      </c>
      <c r="F33" s="784">
        <f t="shared" si="1"/>
        <v>2.8000000000000003</v>
      </c>
      <c r="G33" s="787">
        <v>3.2621000000000002</v>
      </c>
      <c r="H33" s="786">
        <v>1.19703</v>
      </c>
      <c r="I33" s="786">
        <v>1.93005</v>
      </c>
      <c r="J33" s="786">
        <v>2.1620499999999998</v>
      </c>
      <c r="K33" s="786">
        <v>2.39405</v>
      </c>
      <c r="L33" s="786">
        <v>1.19703</v>
      </c>
      <c r="M33" s="786">
        <v>1.8080700000000001</v>
      </c>
      <c r="N33" s="786">
        <v>1.24756</v>
      </c>
      <c r="O33" s="786">
        <v>2.3940600000000001</v>
      </c>
      <c r="P33" s="786">
        <v>1.19703</v>
      </c>
      <c r="Q33" s="786">
        <v>1.9354499999999999</v>
      </c>
      <c r="R33" s="786">
        <v>1.3073699999999999</v>
      </c>
      <c r="S33" s="785"/>
      <c r="T33" s="785"/>
      <c r="U33" s="785"/>
      <c r="V33" s="784">
        <v>0.2</v>
      </c>
      <c r="W33" s="784">
        <v>0.25</v>
      </c>
    </row>
    <row r="34" spans="1:29">
      <c r="A34" s="787">
        <v>68</v>
      </c>
      <c r="B34" s="789">
        <f t="shared" si="0"/>
        <v>1700</v>
      </c>
      <c r="C34" s="788">
        <v>2.15</v>
      </c>
      <c r="D34" s="788">
        <v>0.224</v>
      </c>
      <c r="E34" s="784">
        <v>2.8</v>
      </c>
      <c r="F34" s="784">
        <f t="shared" si="1"/>
        <v>2.9</v>
      </c>
      <c r="G34" s="787">
        <v>3.6267999999999998</v>
      </c>
      <c r="H34" s="786">
        <v>1.2966800000000001</v>
      </c>
      <c r="I34" s="786">
        <v>2.1053700000000002</v>
      </c>
      <c r="J34" s="786">
        <v>2.34937</v>
      </c>
      <c r="K34" s="786">
        <v>2.5933700000000002</v>
      </c>
      <c r="L34" s="786">
        <v>1.2966800000000001</v>
      </c>
      <c r="M34" s="786">
        <v>1.94712</v>
      </c>
      <c r="N34" s="786">
        <v>1.35721</v>
      </c>
      <c r="O34" s="786">
        <v>2.5933199999999998</v>
      </c>
      <c r="P34" s="786">
        <v>1.2966599999999999</v>
      </c>
      <c r="Q34" s="786">
        <v>2.08135</v>
      </c>
      <c r="R34" s="786">
        <v>1.4198500000000001</v>
      </c>
      <c r="S34" s="785"/>
      <c r="T34" s="785"/>
      <c r="U34" s="785"/>
      <c r="V34" s="784">
        <v>0.2</v>
      </c>
      <c r="W34" s="784">
        <v>0.27</v>
      </c>
    </row>
    <row r="35" spans="1:29">
      <c r="A35" s="787">
        <v>72</v>
      </c>
      <c r="B35" s="789">
        <f t="shared" si="0"/>
        <v>1800</v>
      </c>
      <c r="C35" s="788">
        <v>2.2599999999999998</v>
      </c>
      <c r="D35" s="788">
        <v>0.22800000000000001</v>
      </c>
      <c r="E35" s="784">
        <v>3</v>
      </c>
      <c r="F35" s="784">
        <f t="shared" si="1"/>
        <v>3.1</v>
      </c>
      <c r="G35" s="787">
        <v>3.9973000000000001</v>
      </c>
      <c r="H35" s="786">
        <v>1.4010199999999999</v>
      </c>
      <c r="I35" s="786">
        <v>2.2900499999999999</v>
      </c>
      <c r="J35" s="786">
        <v>2.5460500000000001</v>
      </c>
      <c r="K35" s="786">
        <v>2.8020499999999999</v>
      </c>
      <c r="L35" s="786">
        <v>1.4010199999999999</v>
      </c>
      <c r="M35" s="786">
        <v>2.2313399999999999</v>
      </c>
      <c r="N35" s="786">
        <v>1.53609</v>
      </c>
      <c r="O35" s="786">
        <v>2.80206</v>
      </c>
      <c r="P35" s="786">
        <v>1.40103</v>
      </c>
      <c r="Q35" s="786">
        <v>2.37235</v>
      </c>
      <c r="R35" s="786">
        <v>1.6017999999999999</v>
      </c>
      <c r="S35" s="785"/>
      <c r="T35" s="785"/>
      <c r="U35" s="785"/>
      <c r="V35" s="784">
        <v>0.2</v>
      </c>
      <c r="W35" s="784">
        <v>0.28000000000000003</v>
      </c>
    </row>
    <row r="36" spans="1:29">
      <c r="A36" s="787">
        <v>76</v>
      </c>
      <c r="B36" s="789">
        <f t="shared" si="0"/>
        <v>1900</v>
      </c>
      <c r="C36" s="788">
        <v>2.37</v>
      </c>
      <c r="D36" s="788">
        <v>0.23499999999999999</v>
      </c>
      <c r="E36" s="784">
        <v>3.1</v>
      </c>
      <c r="F36" s="784">
        <f t="shared" si="1"/>
        <v>3.2</v>
      </c>
      <c r="G36" s="787">
        <v>4.4115000000000002</v>
      </c>
      <c r="H36" s="786">
        <v>1.5060500000000001</v>
      </c>
      <c r="I36" s="786">
        <v>2.4761000000000002</v>
      </c>
      <c r="J36" s="786">
        <v>2.7441</v>
      </c>
      <c r="K36" s="786">
        <v>3.0209999999999999</v>
      </c>
      <c r="L36" s="786">
        <v>1.5060500000000001</v>
      </c>
      <c r="M36" s="786">
        <v>2.38612</v>
      </c>
      <c r="N36" s="786">
        <v>1.6595899999999999</v>
      </c>
      <c r="O36" s="786">
        <v>3.0121000000000002</v>
      </c>
      <c r="P36" s="786">
        <v>1.5060500000000001</v>
      </c>
      <c r="Q36" s="786">
        <v>2.5342500000000001</v>
      </c>
      <c r="R36" s="786">
        <v>1.7290000000000001</v>
      </c>
      <c r="S36" s="785"/>
      <c r="T36" s="785"/>
      <c r="U36" s="785"/>
      <c r="V36" s="784">
        <v>0.2</v>
      </c>
      <c r="W36" s="784">
        <v>0.3</v>
      </c>
    </row>
    <row r="37" spans="1:29">
      <c r="A37" s="787">
        <v>80</v>
      </c>
      <c r="B37" s="789">
        <f t="shared" si="0"/>
        <v>2000</v>
      </c>
      <c r="C37" s="788">
        <v>2.4700000000000002</v>
      </c>
      <c r="D37" s="788">
        <v>0.23599999999999999</v>
      </c>
      <c r="E37" s="784">
        <v>3.2</v>
      </c>
      <c r="F37" s="784">
        <f t="shared" si="1"/>
        <v>3.3000000000000003</v>
      </c>
      <c r="G37" s="787">
        <v>4.7994000000000003</v>
      </c>
      <c r="H37" s="786">
        <v>1.6211</v>
      </c>
      <c r="I37" s="786">
        <v>2.6821999999999999</v>
      </c>
      <c r="J37" s="786">
        <v>2.9622000000000002</v>
      </c>
      <c r="K37" s="786">
        <v>3.4222000000000001</v>
      </c>
      <c r="L37" s="786">
        <v>1.6211</v>
      </c>
      <c r="M37" s="786">
        <v>2.5442999999999998</v>
      </c>
      <c r="N37" s="786">
        <v>1.78142</v>
      </c>
      <c r="O37" s="786">
        <v>3.2422</v>
      </c>
      <c r="P37" s="786">
        <v>1.6211</v>
      </c>
      <c r="Q37" s="786">
        <v>2.6987999999999999</v>
      </c>
      <c r="R37" s="786">
        <v>1.8532999999999999</v>
      </c>
      <c r="S37" s="785"/>
      <c r="T37" s="785"/>
      <c r="U37" s="785"/>
      <c r="V37" s="784">
        <v>0.2</v>
      </c>
      <c r="W37" s="784">
        <v>0.31</v>
      </c>
    </row>
    <row r="38" spans="1:29">
      <c r="A38" s="787">
        <v>84</v>
      </c>
      <c r="B38" s="789">
        <f t="shared" si="0"/>
        <v>2100</v>
      </c>
      <c r="C38" s="788">
        <v>2.59</v>
      </c>
      <c r="D38" s="788">
        <v>0.24399999999999999</v>
      </c>
      <c r="E38" s="784">
        <v>3.32</v>
      </c>
      <c r="F38" s="784">
        <f t="shared" si="1"/>
        <v>3.42</v>
      </c>
      <c r="G38" s="787">
        <v>5.2603999999999997</v>
      </c>
      <c r="H38" s="786">
        <v>1.8782799999999999</v>
      </c>
      <c r="I38" s="786">
        <v>3.0265599999999999</v>
      </c>
      <c r="J38" s="786">
        <v>3.3185600000000002</v>
      </c>
      <c r="K38" s="786">
        <v>3.7565599999999999</v>
      </c>
      <c r="L38" s="786">
        <v>1.8782799999999999</v>
      </c>
      <c r="M38" s="786">
        <v>2.7399</v>
      </c>
      <c r="N38" s="786">
        <v>1.9297599999999999</v>
      </c>
      <c r="O38" s="786">
        <v>3.7565599999999999</v>
      </c>
      <c r="P38" s="786">
        <v>1.8782799999999999</v>
      </c>
      <c r="Q38" s="786">
        <v>2.9016500000000001</v>
      </c>
      <c r="R38" s="786">
        <v>2.0055299999999998</v>
      </c>
      <c r="S38" s="785"/>
      <c r="T38" s="785"/>
      <c r="U38" s="785"/>
      <c r="V38" s="784">
        <v>0.25</v>
      </c>
      <c r="W38" s="784">
        <v>0.32</v>
      </c>
    </row>
    <row r="39" spans="1:29">
      <c r="A39" s="787">
        <v>88</v>
      </c>
      <c r="B39" s="789">
        <f t="shared" si="0"/>
        <v>2200</v>
      </c>
      <c r="C39" s="788">
        <v>2.71</v>
      </c>
      <c r="D39" s="788">
        <v>0.253</v>
      </c>
      <c r="E39" s="784">
        <v>3.44</v>
      </c>
      <c r="F39" s="784">
        <f t="shared" si="1"/>
        <v>3.54</v>
      </c>
      <c r="G39" s="787">
        <v>5.7510000000000003</v>
      </c>
      <c r="H39" s="786">
        <v>1.9976100000000001</v>
      </c>
      <c r="I39" s="786">
        <v>3.2352099999999999</v>
      </c>
      <c r="J39" s="786">
        <v>3.5392100000000002</v>
      </c>
      <c r="K39" s="786">
        <v>3.9952100000000002</v>
      </c>
      <c r="L39" s="786">
        <v>1.9976100000000001</v>
      </c>
      <c r="M39" s="786">
        <v>2.9423900000000001</v>
      </c>
      <c r="N39" s="786">
        <v>2.0849899999999999</v>
      </c>
      <c r="O39" s="786">
        <v>3.9952399999999999</v>
      </c>
      <c r="P39" s="786">
        <v>1.99762</v>
      </c>
      <c r="Q39" s="786">
        <v>3.1115300000000001</v>
      </c>
      <c r="R39" s="786">
        <v>2.1639499999999998</v>
      </c>
      <c r="S39" s="785"/>
      <c r="T39" s="785"/>
      <c r="U39" s="785"/>
      <c r="V39" s="784">
        <v>0.25</v>
      </c>
      <c r="W39" s="784">
        <v>0.34</v>
      </c>
    </row>
    <row r="40" spans="1:29">
      <c r="A40" s="787">
        <f>90</f>
        <v>90</v>
      </c>
      <c r="B40" s="789">
        <f t="shared" si="0"/>
        <v>2250</v>
      </c>
      <c r="C40" s="788">
        <v>2.77</v>
      </c>
      <c r="D40" s="788">
        <v>0.26100000000000001</v>
      </c>
      <c r="E40" s="784">
        <v>3.56</v>
      </c>
      <c r="F40" s="784">
        <f t="shared" si="1"/>
        <v>3.66</v>
      </c>
      <c r="G40" s="787">
        <v>6.0350000000000001</v>
      </c>
      <c r="H40" s="786">
        <v>2.1522700000000001</v>
      </c>
      <c r="I40" s="786">
        <v>3.5145300000000002</v>
      </c>
      <c r="J40" s="786">
        <v>3.83053</v>
      </c>
      <c r="K40" s="786">
        <v>4.3045299999999997</v>
      </c>
      <c r="L40" s="786">
        <v>2.1522700000000001</v>
      </c>
      <c r="M40" s="786">
        <v>3.15021</v>
      </c>
      <c r="N40" s="786">
        <v>2.21712</v>
      </c>
      <c r="O40" s="786">
        <v>4.3045200000000001</v>
      </c>
      <c r="P40" s="786">
        <v>2.1522600000000001</v>
      </c>
      <c r="Q40" s="786">
        <v>3.3234499999999998</v>
      </c>
      <c r="R40" s="786">
        <v>2.2981099999999999</v>
      </c>
      <c r="S40" s="785"/>
      <c r="T40" s="785"/>
      <c r="U40" s="785"/>
      <c r="V40" s="784">
        <v>0.25</v>
      </c>
      <c r="W40" s="784">
        <v>0.35</v>
      </c>
    </row>
    <row r="41" spans="1:29">
      <c r="A41" s="787">
        <v>92</v>
      </c>
      <c r="B41" s="789">
        <f t="shared" si="0"/>
        <v>2300</v>
      </c>
      <c r="C41" s="788">
        <v>2.84</v>
      </c>
      <c r="D41" s="788">
        <v>0.26900000000000002</v>
      </c>
      <c r="E41" s="784">
        <v>3.68</v>
      </c>
      <c r="F41" s="784">
        <f t="shared" si="1"/>
        <v>3.7800000000000002</v>
      </c>
      <c r="G41" s="787">
        <v>6.3258000000000001</v>
      </c>
      <c r="H41" s="786">
        <v>2.3114300000000001</v>
      </c>
      <c r="I41" s="786">
        <v>3.8028499999999998</v>
      </c>
      <c r="J41" s="786">
        <v>4.1308499999999997</v>
      </c>
      <c r="K41" s="786">
        <v>4.6228499999999997</v>
      </c>
      <c r="L41" s="786">
        <v>2.3114300000000001</v>
      </c>
      <c r="M41" s="786">
        <v>3.3645100000000001</v>
      </c>
      <c r="N41" s="786">
        <v>2.3531200000000001</v>
      </c>
      <c r="O41" s="786">
        <v>4.6228400000000001</v>
      </c>
      <c r="P41" s="786">
        <v>2.31142</v>
      </c>
      <c r="Q41" s="786">
        <v>3.5418799999999999</v>
      </c>
      <c r="R41" s="786">
        <v>2.4359000000000002</v>
      </c>
      <c r="S41" s="785"/>
      <c r="T41" s="785"/>
      <c r="U41" s="785"/>
      <c r="V41" s="784">
        <v>0.25</v>
      </c>
      <c r="W41" s="784">
        <v>0.35</v>
      </c>
    </row>
    <row r="42" spans="1:29">
      <c r="A42" s="787">
        <v>96</v>
      </c>
      <c r="B42" s="789">
        <f t="shared" si="0"/>
        <v>2400</v>
      </c>
      <c r="C42" s="788">
        <v>2.95</v>
      </c>
      <c r="D42" s="788">
        <v>0.27700000000000002</v>
      </c>
      <c r="E42" s="784">
        <v>3.8</v>
      </c>
      <c r="F42" s="784">
        <f t="shared" si="1"/>
        <v>3.9</v>
      </c>
      <c r="G42" s="787">
        <v>6.8535000000000004</v>
      </c>
      <c r="H42" s="786">
        <v>2.4450599999999998</v>
      </c>
      <c r="I42" s="786">
        <v>4.0401199999999999</v>
      </c>
      <c r="J42" s="786">
        <v>4.3801199999999998</v>
      </c>
      <c r="K42" s="786">
        <v>4.8901199999999996</v>
      </c>
      <c r="L42" s="786">
        <v>2.4450599999999998</v>
      </c>
      <c r="M42" s="786">
        <v>3.58901</v>
      </c>
      <c r="N42" s="786">
        <v>2.5232100000000002</v>
      </c>
      <c r="O42" s="786">
        <v>4.8901000000000003</v>
      </c>
      <c r="P42" s="786">
        <v>2.4450500000000002</v>
      </c>
      <c r="Q42" s="786">
        <v>3.7736299999999998</v>
      </c>
      <c r="R42" s="786">
        <v>2.6091799999999998</v>
      </c>
      <c r="S42" s="785"/>
      <c r="T42" s="785"/>
      <c r="U42" s="785"/>
      <c r="V42" s="784">
        <v>0.25</v>
      </c>
      <c r="W42" s="784">
        <v>0.37</v>
      </c>
    </row>
    <row r="43" spans="1:29">
      <c r="A43" s="787">
        <v>100</v>
      </c>
      <c r="B43" s="789">
        <f t="shared" si="0"/>
        <v>2500</v>
      </c>
      <c r="C43" s="788">
        <v>3.07</v>
      </c>
      <c r="D43" s="788">
        <v>0.28499999999999998</v>
      </c>
      <c r="E43" s="784">
        <v>3.92</v>
      </c>
      <c r="F43" s="784">
        <f t="shared" si="1"/>
        <v>4.0199999999999996</v>
      </c>
      <c r="G43" s="787">
        <v>7.4023000000000003</v>
      </c>
      <c r="H43" s="786">
        <v>2.5820500000000002</v>
      </c>
      <c r="I43" s="786">
        <v>4.2840999999999996</v>
      </c>
      <c r="J43" s="786">
        <v>4.6360999999999999</v>
      </c>
      <c r="K43" s="786">
        <v>5.1641000000000004</v>
      </c>
      <c r="L43" s="786">
        <v>2.5820500000000002</v>
      </c>
      <c r="M43" s="786">
        <v>3.8203499999999999</v>
      </c>
      <c r="N43" s="786">
        <v>2.6991000000000001</v>
      </c>
      <c r="O43" s="786">
        <v>5.1641000000000004</v>
      </c>
      <c r="P43" s="786">
        <v>2.5820500000000002</v>
      </c>
      <c r="Q43" s="786">
        <v>4.0122299999999997</v>
      </c>
      <c r="R43" s="786">
        <v>2.7885800000000001</v>
      </c>
      <c r="S43" s="785"/>
      <c r="T43" s="785"/>
      <c r="U43" s="785"/>
      <c r="V43" s="784">
        <v>0.25</v>
      </c>
      <c r="W43" s="784">
        <v>0.38</v>
      </c>
    </row>
    <row r="44" spans="1:29">
      <c r="A44" s="782"/>
      <c r="B44" s="783"/>
      <c r="C44" s="783"/>
      <c r="D44" s="779"/>
      <c r="E44" s="779"/>
      <c r="F44" s="782"/>
      <c r="G44" s="781"/>
      <c r="H44" s="781"/>
      <c r="I44" s="781"/>
      <c r="J44" s="781"/>
      <c r="K44" s="781"/>
      <c r="L44" s="781"/>
      <c r="M44" s="781"/>
      <c r="N44" s="781"/>
      <c r="O44" s="781"/>
      <c r="P44" s="781"/>
      <c r="Q44" s="781"/>
      <c r="R44" s="780"/>
      <c r="S44" s="780"/>
      <c r="T44" s="780"/>
      <c r="U44" s="779"/>
      <c r="V44" s="779"/>
    </row>
    <row r="45" spans="1:29">
      <c r="A45" s="757" t="s">
        <v>2021</v>
      </c>
      <c r="B45" s="700"/>
      <c r="C45" s="702"/>
      <c r="D45" s="700"/>
      <c r="E45" s="738"/>
      <c r="F45" s="738"/>
      <c r="G45" s="738"/>
      <c r="H45" s="755"/>
      <c r="I45" s="755"/>
      <c r="J45" s="755"/>
      <c r="K45" s="1918"/>
      <c r="L45" s="1918"/>
      <c r="M45" s="1918"/>
      <c r="N45" s="1918"/>
      <c r="O45" s="1918"/>
      <c r="P45" s="1918"/>
      <c r="Q45" s="1918"/>
      <c r="R45" s="1918"/>
      <c r="S45" s="1918"/>
      <c r="T45" s="1918"/>
      <c r="U45" s="1918"/>
      <c r="V45" s="1918"/>
      <c r="W45" s="1918"/>
      <c r="X45" s="1918"/>
      <c r="Y45" s="701"/>
      <c r="Z45" s="700"/>
      <c r="AA45" s="700"/>
      <c r="AB45" s="700"/>
      <c r="AC45" s="700"/>
    </row>
    <row r="46" spans="1:29">
      <c r="A46" s="736" t="s">
        <v>1986</v>
      </c>
      <c r="B46" s="736" t="s">
        <v>1986</v>
      </c>
      <c r="C46" s="1921" t="s">
        <v>1988</v>
      </c>
      <c r="D46" s="1923" t="s">
        <v>1989</v>
      </c>
      <c r="E46" s="736" t="s">
        <v>1990</v>
      </c>
      <c r="F46" s="736" t="s">
        <v>1990</v>
      </c>
      <c r="G46" s="736" t="s">
        <v>1991</v>
      </c>
      <c r="H46" s="754" t="s">
        <v>1992</v>
      </c>
      <c r="I46" s="753"/>
      <c r="J46" s="752"/>
      <c r="K46" s="1925" t="s">
        <v>2022</v>
      </c>
      <c r="L46" s="1926"/>
      <c r="M46" s="1926"/>
      <c r="N46" s="1926"/>
      <c r="O46" s="754" t="s">
        <v>1992</v>
      </c>
      <c r="P46" s="753"/>
      <c r="Q46" s="752"/>
      <c r="R46" s="1925" t="s">
        <v>1994</v>
      </c>
      <c r="S46" s="1926"/>
      <c r="T46" s="1926"/>
      <c r="U46" s="1926"/>
      <c r="V46" s="1925" t="s">
        <v>1972</v>
      </c>
      <c r="W46" s="1926"/>
      <c r="X46" s="1927"/>
      <c r="Y46" s="1933" t="s">
        <v>1995</v>
      </c>
      <c r="Z46" s="1934"/>
      <c r="AA46" s="1934"/>
      <c r="AB46" s="1934"/>
      <c r="AC46" s="1928" t="s">
        <v>2023</v>
      </c>
    </row>
    <row r="47" spans="1:29">
      <c r="A47" s="743" t="s">
        <v>2024</v>
      </c>
      <c r="B47" s="743" t="s">
        <v>2025</v>
      </c>
      <c r="C47" s="1922"/>
      <c r="D47" s="1924"/>
      <c r="E47" s="743" t="s">
        <v>1997</v>
      </c>
      <c r="F47" s="743" t="s">
        <v>204</v>
      </c>
      <c r="G47" s="743" t="s">
        <v>244</v>
      </c>
      <c r="H47" s="751" t="s">
        <v>1998</v>
      </c>
      <c r="I47" s="736" t="s">
        <v>1998</v>
      </c>
      <c r="J47" s="736" t="s">
        <v>1998</v>
      </c>
      <c r="K47" s="1925" t="s">
        <v>1999</v>
      </c>
      <c r="L47" s="1927"/>
      <c r="M47" s="1925" t="s">
        <v>2000</v>
      </c>
      <c r="N47" s="1927"/>
      <c r="O47" s="751" t="s">
        <v>1998</v>
      </c>
      <c r="P47" s="736" t="s">
        <v>1998</v>
      </c>
      <c r="Q47" s="736" t="s">
        <v>1998</v>
      </c>
      <c r="R47" s="1925" t="s">
        <v>1999</v>
      </c>
      <c r="S47" s="1927"/>
      <c r="T47" s="1925" t="s">
        <v>2000</v>
      </c>
      <c r="U47" s="1927"/>
      <c r="V47" s="736" t="s">
        <v>889</v>
      </c>
      <c r="W47" s="736" t="s">
        <v>889</v>
      </c>
      <c r="X47" s="750"/>
      <c r="Y47" s="1929" t="s">
        <v>2007</v>
      </c>
      <c r="Z47" s="1931" t="s">
        <v>2006</v>
      </c>
      <c r="AA47" s="1923" t="s">
        <v>2026</v>
      </c>
      <c r="AB47" s="1931" t="s">
        <v>2027</v>
      </c>
      <c r="AC47" s="1928"/>
    </row>
    <row r="48" spans="1:29">
      <c r="A48" s="743"/>
      <c r="B48" s="743"/>
      <c r="C48" s="749"/>
      <c r="D48" s="748"/>
      <c r="E48" s="748"/>
      <c r="F48" s="748"/>
      <c r="G48" s="748"/>
      <c r="H48" s="743" t="s">
        <v>2003</v>
      </c>
      <c r="I48" s="743" t="s">
        <v>2004</v>
      </c>
      <c r="J48" s="743" t="s">
        <v>2005</v>
      </c>
      <c r="K48" s="741" t="s">
        <v>2015</v>
      </c>
      <c r="L48" s="741" t="s">
        <v>2016</v>
      </c>
      <c r="M48" s="741" t="s">
        <v>2017</v>
      </c>
      <c r="N48" s="741" t="s">
        <v>2018</v>
      </c>
      <c r="O48" s="743" t="s">
        <v>2003</v>
      </c>
      <c r="P48" s="743" t="s">
        <v>2004</v>
      </c>
      <c r="Q48" s="743" t="s">
        <v>2005</v>
      </c>
      <c r="R48" s="741" t="s">
        <v>2015</v>
      </c>
      <c r="S48" s="741" t="s">
        <v>2016</v>
      </c>
      <c r="T48" s="741" t="s">
        <v>2017</v>
      </c>
      <c r="U48" s="741" t="s">
        <v>2018</v>
      </c>
      <c r="V48" s="743" t="s">
        <v>2010</v>
      </c>
      <c r="W48" s="743" t="s">
        <v>2011</v>
      </c>
      <c r="X48" s="743" t="s">
        <v>2012</v>
      </c>
      <c r="Y48" s="1930"/>
      <c r="Z48" s="1932"/>
      <c r="AA48" s="1924"/>
      <c r="AB48" s="1932"/>
      <c r="AC48" s="1928"/>
    </row>
    <row r="49" spans="1:31" ht="13.5">
      <c r="A49" s="741" t="s">
        <v>2013</v>
      </c>
      <c r="B49" s="741" t="s">
        <v>442</v>
      </c>
      <c r="C49" s="747" t="s">
        <v>442</v>
      </c>
      <c r="D49" s="741" t="s">
        <v>299</v>
      </c>
      <c r="E49" s="741" t="s">
        <v>299</v>
      </c>
      <c r="F49" s="741" t="s">
        <v>299</v>
      </c>
      <c r="G49" s="741" t="s">
        <v>2014</v>
      </c>
      <c r="H49" s="741" t="s">
        <v>2014</v>
      </c>
      <c r="I49" s="741" t="s">
        <v>2014</v>
      </c>
      <c r="J49" s="741" t="s">
        <v>2014</v>
      </c>
      <c r="K49" s="746"/>
      <c r="L49" s="745"/>
      <c r="M49" s="745"/>
      <c r="N49" s="745"/>
      <c r="O49" s="741" t="s">
        <v>2014</v>
      </c>
      <c r="P49" s="741" t="s">
        <v>2014</v>
      </c>
      <c r="Q49" s="741" t="s">
        <v>2014</v>
      </c>
      <c r="R49" s="745"/>
      <c r="S49" s="745"/>
      <c r="T49" s="745"/>
      <c r="U49" s="744"/>
      <c r="V49" s="743" t="s">
        <v>2019</v>
      </c>
      <c r="W49" s="743" t="s">
        <v>2019</v>
      </c>
      <c r="X49" s="743" t="s">
        <v>2028</v>
      </c>
      <c r="Y49" s="742" t="s">
        <v>299</v>
      </c>
      <c r="Z49" s="741"/>
      <c r="AA49" s="741" t="s">
        <v>299</v>
      </c>
      <c r="AB49" s="738" t="s">
        <v>299</v>
      </c>
      <c r="AC49" s="1928"/>
    </row>
    <row r="50" spans="1:31">
      <c r="A50" s="700"/>
      <c r="B50" s="740"/>
      <c r="C50" s="739"/>
      <c r="D50" s="738"/>
      <c r="E50" s="738"/>
      <c r="F50" s="738"/>
      <c r="G50" s="738"/>
      <c r="H50" s="738"/>
      <c r="I50" s="738"/>
      <c r="J50" s="737"/>
      <c r="K50" s="736" t="s">
        <v>2006</v>
      </c>
      <c r="L50" s="736" t="s">
        <v>2007</v>
      </c>
      <c r="M50" s="736" t="s">
        <v>2008</v>
      </c>
      <c r="N50" s="736" t="s">
        <v>2009</v>
      </c>
      <c r="O50" s="736"/>
      <c r="P50" s="736"/>
      <c r="Q50" s="736"/>
      <c r="R50" s="736" t="s">
        <v>2029</v>
      </c>
      <c r="S50" s="736" t="s">
        <v>2030</v>
      </c>
      <c r="T50" s="736" t="s">
        <v>2031</v>
      </c>
      <c r="U50" s="736" t="s">
        <v>2032</v>
      </c>
      <c r="V50" s="735"/>
      <c r="W50" s="735"/>
      <c r="X50" s="734"/>
      <c r="Y50" s="701"/>
      <c r="Z50" s="700"/>
      <c r="AA50" s="700"/>
      <c r="AB50" s="700"/>
      <c r="AC50" s="700"/>
    </row>
    <row r="51" spans="1:31">
      <c r="A51" s="778">
        <v>5.5</v>
      </c>
      <c r="B51" s="731">
        <v>129.19999999999999</v>
      </c>
      <c r="C51" s="777">
        <f t="shared" ref="C51:C67" si="2">+B51+(D51*2*1000)</f>
        <v>140</v>
      </c>
      <c r="D51" s="727">
        <f>5.4/1000</f>
        <v>5.4000000000000003E-3</v>
      </c>
      <c r="E51" s="731">
        <v>0.6</v>
      </c>
      <c r="F51" s="731">
        <f t="shared" ref="F51:F67" si="3">+E51+0.1</f>
        <v>0.7</v>
      </c>
      <c r="G51" s="727">
        <f t="shared" ref="G51:G67" si="4">+PI()/4*(C51/1000)^2</f>
        <v>1.5393804002589988E-2</v>
      </c>
      <c r="H51" s="730">
        <f t="shared" ref="H51:H66" si="5">(E51*(Y51+(C51/2000))-G51/2)</f>
        <v>9.430309799870501E-2</v>
      </c>
      <c r="I51" s="729">
        <f t="shared" ref="I51:I66" si="6">(E51*(Y51+(C51/1000))-G51)</f>
        <v>0.12860619599741002</v>
      </c>
      <c r="J51" s="729">
        <f t="shared" ref="J51:J66" si="7">(E51*(Y51+(C51/1000)+0.1)-G51)</f>
        <v>0.18860619599741002</v>
      </c>
      <c r="K51" s="728">
        <f t="shared" ref="K51:K67" si="8">(Z51*2+(C51/1000))*E51-G51</f>
        <v>0.18860619599741002</v>
      </c>
      <c r="L51" s="728">
        <f t="shared" ref="L51:L66" si="9">(E51*(Y51+C51/2000)-G51/2)</f>
        <v>9.430309799870501E-2</v>
      </c>
      <c r="M51" s="728">
        <f t="shared" ref="M51:M66" si="10">(E51*(Y51+C51/2000)-G51/2)</f>
        <v>9.430309799870501E-2</v>
      </c>
      <c r="N51" s="728">
        <f t="shared" ref="N51:N67" si="11">+E51*(AB51+C51/6000)-ACOS(2/3)/4*(C51/1000)^2</f>
        <v>6.9878763514217138E-2</v>
      </c>
      <c r="O51" s="728">
        <f t="shared" ref="O51:O66" si="12">(F51*(Y51+C51/2000)-G51/2)</f>
        <v>0.111303097998705</v>
      </c>
      <c r="P51" s="728">
        <f t="shared" ref="P51:P66" si="13">(F51*(Y51+C51/1000)-G51)</f>
        <v>0.15260619599741002</v>
      </c>
      <c r="Q51" s="728">
        <f t="shared" ref="Q51:Q66" si="14">(F51*(Y51+(C51/1000)+0.1)-G51)</f>
        <v>0.22260619599740999</v>
      </c>
      <c r="R51" s="728">
        <f t="shared" ref="R51:R67" si="15">(Z51*2+C51/1000)*F51-G51</f>
        <v>0.22260619599740999</v>
      </c>
      <c r="S51" s="728">
        <f t="shared" ref="S51:S66" si="16">(F51*(Y51+C51/2000)-G51/2)</f>
        <v>0.111303097998705</v>
      </c>
      <c r="T51" s="728">
        <f t="shared" ref="T51:T66" si="17">(F51*(Y51+C51/2000)-G51/2)</f>
        <v>0.111303097998705</v>
      </c>
      <c r="U51" s="728">
        <f t="shared" ref="U51:U67" si="18">+F51*(AB51+C51/6000)-ACOS(2/3)/4*(C51/1000)^2</f>
        <v>8.2212096847550473E-2</v>
      </c>
      <c r="V51" s="727"/>
      <c r="W51" s="727"/>
      <c r="X51" s="727"/>
      <c r="Y51" s="725">
        <v>0.1</v>
      </c>
      <c r="Z51" s="726">
        <f t="shared" ref="Z51:Z64" si="19">IF(C51/4000&lt;0.1,0.1,C51/4000)</f>
        <v>0.1</v>
      </c>
      <c r="AA51" s="726">
        <v>0.1</v>
      </c>
      <c r="AB51" s="725">
        <f t="shared" ref="AB51:AB57" si="20">IF((C51/8000+C51/6000)&lt;0.1,0.1,C51/8000+C51/6000)</f>
        <v>0.1</v>
      </c>
      <c r="AC51" s="732">
        <v>140</v>
      </c>
      <c r="AD51" s="766">
        <f t="shared" ref="AD51:AD64" si="21">+AC51/25.4</f>
        <v>5.5118110236220472</v>
      </c>
      <c r="AE51" s="766">
        <f t="shared" ref="AE51:AE64" si="22">+ROUND(AD51,1)</f>
        <v>5.5</v>
      </c>
    </row>
    <row r="52" spans="1:31">
      <c r="A52" s="778">
        <v>6.3</v>
      </c>
      <c r="B52" s="777">
        <v>147.69999999999999</v>
      </c>
      <c r="C52" s="731">
        <f t="shared" si="2"/>
        <v>160.1</v>
      </c>
      <c r="D52" s="727">
        <f>6.2/1000</f>
        <v>6.1999999999999998E-3</v>
      </c>
      <c r="E52" s="731">
        <v>0.6</v>
      </c>
      <c r="F52" s="731">
        <f t="shared" si="3"/>
        <v>0.7</v>
      </c>
      <c r="G52" s="727">
        <f t="shared" si="4"/>
        <v>2.0131333578185025E-2</v>
      </c>
      <c r="H52" s="730">
        <f t="shared" si="5"/>
        <v>9.7964333210907473E-2</v>
      </c>
      <c r="I52" s="729">
        <f t="shared" si="6"/>
        <v>0.13592866642181498</v>
      </c>
      <c r="J52" s="729">
        <f t="shared" si="7"/>
        <v>0.19592866642181495</v>
      </c>
      <c r="K52" s="728">
        <f t="shared" si="8"/>
        <v>0.19592866642181495</v>
      </c>
      <c r="L52" s="728">
        <f t="shared" si="9"/>
        <v>9.7964333210907473E-2</v>
      </c>
      <c r="M52" s="728">
        <f t="shared" si="10"/>
        <v>9.7964333210907473E-2</v>
      </c>
      <c r="N52" s="728">
        <f t="shared" si="11"/>
        <v>7.0620429856329034E-2</v>
      </c>
      <c r="O52" s="728">
        <f t="shared" si="12"/>
        <v>0.11596933321090747</v>
      </c>
      <c r="P52" s="728">
        <f t="shared" si="13"/>
        <v>0.16193866642181495</v>
      </c>
      <c r="Q52" s="728">
        <f t="shared" si="14"/>
        <v>0.23193866642181493</v>
      </c>
      <c r="R52" s="728">
        <f t="shared" si="15"/>
        <v>0.23193866642181493</v>
      </c>
      <c r="S52" s="728">
        <f t="shared" si="16"/>
        <v>0.11596933321090747</v>
      </c>
      <c r="T52" s="728">
        <f t="shared" si="17"/>
        <v>0.11596933321090747</v>
      </c>
      <c r="U52" s="728">
        <f t="shared" si="18"/>
        <v>8.3288763189662357E-2</v>
      </c>
      <c r="V52" s="727"/>
      <c r="W52" s="727"/>
      <c r="X52" s="727"/>
      <c r="Y52" s="725">
        <v>0.1</v>
      </c>
      <c r="Z52" s="726">
        <f t="shared" si="19"/>
        <v>0.1</v>
      </c>
      <c r="AA52" s="726">
        <v>0.1</v>
      </c>
      <c r="AB52" s="725">
        <f t="shared" si="20"/>
        <v>0.1</v>
      </c>
      <c r="AC52" s="732">
        <v>160</v>
      </c>
      <c r="AD52" s="766">
        <f t="shared" si="21"/>
        <v>6.2992125984251972</v>
      </c>
      <c r="AE52" s="766">
        <f t="shared" si="22"/>
        <v>6.3</v>
      </c>
    </row>
    <row r="53" spans="1:31">
      <c r="A53" s="778">
        <v>7.1</v>
      </c>
      <c r="B53" s="777">
        <v>166.2</v>
      </c>
      <c r="C53" s="731">
        <f t="shared" si="2"/>
        <v>180</v>
      </c>
      <c r="D53" s="727">
        <f>6.9/1000</f>
        <v>6.9000000000000008E-3</v>
      </c>
      <c r="E53" s="731">
        <v>0.6</v>
      </c>
      <c r="F53" s="731">
        <f t="shared" si="3"/>
        <v>0.7</v>
      </c>
      <c r="G53" s="727">
        <f t="shared" si="4"/>
        <v>2.5446900494077322E-2</v>
      </c>
      <c r="H53" s="730">
        <f t="shared" si="5"/>
        <v>0.10127654975296133</v>
      </c>
      <c r="I53" s="729">
        <f t="shared" si="6"/>
        <v>0.14255309950592268</v>
      </c>
      <c r="J53" s="729">
        <f t="shared" si="7"/>
        <v>0.20255309950592265</v>
      </c>
      <c r="K53" s="728">
        <f t="shared" si="8"/>
        <v>0.20255309950592265</v>
      </c>
      <c r="L53" s="728">
        <f t="shared" si="9"/>
        <v>0.10127654975296133</v>
      </c>
      <c r="M53" s="728">
        <f t="shared" si="10"/>
        <v>0.10127654975296133</v>
      </c>
      <c r="N53" s="728">
        <f t="shared" si="11"/>
        <v>7.1187343768399761E-2</v>
      </c>
      <c r="O53" s="728">
        <f t="shared" si="12"/>
        <v>0.12027654975296131</v>
      </c>
      <c r="P53" s="728">
        <f t="shared" si="13"/>
        <v>0.17055309950592268</v>
      </c>
      <c r="Q53" s="728">
        <f t="shared" si="14"/>
        <v>0.24055309950592263</v>
      </c>
      <c r="R53" s="728">
        <f t="shared" si="15"/>
        <v>0.24055309950592263</v>
      </c>
      <c r="S53" s="728">
        <f t="shared" si="16"/>
        <v>0.12027654975296131</v>
      </c>
      <c r="T53" s="728">
        <f t="shared" si="17"/>
        <v>0.12027654975296131</v>
      </c>
      <c r="U53" s="728">
        <f t="shared" si="18"/>
        <v>8.4187343768399758E-2</v>
      </c>
      <c r="V53" s="727"/>
      <c r="W53" s="727"/>
      <c r="X53" s="727"/>
      <c r="Y53" s="725">
        <v>0.1</v>
      </c>
      <c r="Z53" s="726">
        <f t="shared" si="19"/>
        <v>0.1</v>
      </c>
      <c r="AA53" s="726">
        <v>0.1</v>
      </c>
      <c r="AB53" s="725">
        <f t="shared" si="20"/>
        <v>0.1</v>
      </c>
      <c r="AC53" s="732">
        <v>180</v>
      </c>
      <c r="AD53" s="766">
        <f t="shared" si="21"/>
        <v>7.0866141732283472</v>
      </c>
      <c r="AE53" s="766">
        <f t="shared" si="22"/>
        <v>7.1</v>
      </c>
    </row>
    <row r="54" spans="1:31">
      <c r="A54" s="775">
        <v>7.9</v>
      </c>
      <c r="B54" s="777">
        <v>176.2</v>
      </c>
      <c r="C54" s="731">
        <f t="shared" si="2"/>
        <v>200</v>
      </c>
      <c r="D54" s="727">
        <f>11.9/1000</f>
        <v>1.1900000000000001E-2</v>
      </c>
      <c r="E54" s="731">
        <v>0.6</v>
      </c>
      <c r="F54" s="731">
        <f t="shared" si="3"/>
        <v>0.7</v>
      </c>
      <c r="G54" s="727">
        <f t="shared" si="4"/>
        <v>3.1415926535897934E-2</v>
      </c>
      <c r="H54" s="730">
        <f t="shared" si="5"/>
        <v>0.10429203673205104</v>
      </c>
      <c r="I54" s="729">
        <f t="shared" si="6"/>
        <v>0.14858407346410207</v>
      </c>
      <c r="J54" s="729">
        <f t="shared" si="7"/>
        <v>0.20858407346410207</v>
      </c>
      <c r="K54" s="728">
        <f t="shared" si="8"/>
        <v>0.20858407346410207</v>
      </c>
      <c r="L54" s="728">
        <f t="shared" si="9"/>
        <v>0.10429203673205104</v>
      </c>
      <c r="M54" s="728">
        <f t="shared" si="10"/>
        <v>0.10429203673205104</v>
      </c>
      <c r="N54" s="728">
        <f t="shared" si="11"/>
        <v>7.1589313294320694E-2</v>
      </c>
      <c r="O54" s="728">
        <f t="shared" si="12"/>
        <v>0.12429203673205103</v>
      </c>
      <c r="P54" s="728">
        <f t="shared" si="13"/>
        <v>0.1785840734641021</v>
      </c>
      <c r="Q54" s="728">
        <f t="shared" si="14"/>
        <v>0.24858407346410205</v>
      </c>
      <c r="R54" s="728">
        <f t="shared" si="15"/>
        <v>0.24858407346410205</v>
      </c>
      <c r="S54" s="728">
        <f t="shared" si="16"/>
        <v>0.12429203673205103</v>
      </c>
      <c r="T54" s="728">
        <f t="shared" si="17"/>
        <v>0.12429203673205103</v>
      </c>
      <c r="U54" s="728">
        <f t="shared" si="18"/>
        <v>8.4922646627654017E-2</v>
      </c>
      <c r="V54" s="727"/>
      <c r="W54" s="727"/>
      <c r="X54" s="727"/>
      <c r="Y54" s="725">
        <v>0.1</v>
      </c>
      <c r="Z54" s="726">
        <f t="shared" si="19"/>
        <v>0.1</v>
      </c>
      <c r="AA54" s="726">
        <v>0.1</v>
      </c>
      <c r="AB54" s="725">
        <f t="shared" si="20"/>
        <v>0.1</v>
      </c>
      <c r="AC54" s="732">
        <v>200</v>
      </c>
      <c r="AD54" s="766">
        <f t="shared" si="21"/>
        <v>7.8740157480314963</v>
      </c>
      <c r="AE54" s="766">
        <f t="shared" si="22"/>
        <v>7.9</v>
      </c>
    </row>
    <row r="55" spans="1:31">
      <c r="A55" s="775">
        <v>8.9</v>
      </c>
      <c r="B55" s="777">
        <v>198.2</v>
      </c>
      <c r="C55" s="731">
        <f t="shared" si="2"/>
        <v>225</v>
      </c>
      <c r="D55" s="727">
        <f>13.4/1000</f>
        <v>1.34E-2</v>
      </c>
      <c r="E55" s="731">
        <v>0.65</v>
      </c>
      <c r="F55" s="731">
        <f t="shared" si="3"/>
        <v>0.75</v>
      </c>
      <c r="G55" s="727">
        <f t="shared" si="4"/>
        <v>3.9760782021995823E-2</v>
      </c>
      <c r="H55" s="730">
        <f t="shared" si="5"/>
        <v>0.11824460898900212</v>
      </c>
      <c r="I55" s="729">
        <f t="shared" si="6"/>
        <v>0.1714892179780042</v>
      </c>
      <c r="J55" s="729">
        <f t="shared" si="7"/>
        <v>0.23648921797800423</v>
      </c>
      <c r="K55" s="728">
        <f t="shared" si="8"/>
        <v>0.23648921797800423</v>
      </c>
      <c r="L55" s="728">
        <f t="shared" si="9"/>
        <v>0.11824460898900212</v>
      </c>
      <c r="M55" s="728">
        <f t="shared" si="10"/>
        <v>0.11824460898900212</v>
      </c>
      <c r="N55" s="728">
        <f t="shared" si="11"/>
        <v>7.8730224638124638E-2</v>
      </c>
      <c r="O55" s="728">
        <f t="shared" si="12"/>
        <v>0.13949460898900209</v>
      </c>
      <c r="P55" s="728">
        <f t="shared" si="13"/>
        <v>0.20398921797800421</v>
      </c>
      <c r="Q55" s="728">
        <f t="shared" si="14"/>
        <v>0.27898921797800419</v>
      </c>
      <c r="R55" s="728">
        <f t="shared" si="15"/>
        <v>0.27898921797800419</v>
      </c>
      <c r="S55" s="728">
        <f t="shared" si="16"/>
        <v>0.13949460898900209</v>
      </c>
      <c r="T55" s="728">
        <f t="shared" si="17"/>
        <v>0.13949460898900209</v>
      </c>
      <c r="U55" s="728">
        <f t="shared" si="18"/>
        <v>9.2480224638124636E-2</v>
      </c>
      <c r="V55" s="727"/>
      <c r="W55" s="727"/>
      <c r="X55" s="727"/>
      <c r="Y55" s="725">
        <v>0.1</v>
      </c>
      <c r="Z55" s="726">
        <f t="shared" si="19"/>
        <v>0.1</v>
      </c>
      <c r="AA55" s="726">
        <v>0.1</v>
      </c>
      <c r="AB55" s="725">
        <f t="shared" si="20"/>
        <v>0.1</v>
      </c>
      <c r="AC55" s="732">
        <v>225</v>
      </c>
      <c r="AD55" s="766">
        <f t="shared" si="21"/>
        <v>8.8582677165354333</v>
      </c>
      <c r="AE55" s="766">
        <f t="shared" si="22"/>
        <v>8.9</v>
      </c>
    </row>
    <row r="56" spans="1:31">
      <c r="A56" s="775">
        <v>9.8000000000000007</v>
      </c>
      <c r="B56" s="777">
        <v>220.4</v>
      </c>
      <c r="C56" s="731">
        <f t="shared" si="2"/>
        <v>250</v>
      </c>
      <c r="D56" s="727">
        <f>14.8/1000</f>
        <v>1.4800000000000001E-2</v>
      </c>
      <c r="E56" s="778">
        <v>0.65</v>
      </c>
      <c r="F56" s="731">
        <f t="shared" si="3"/>
        <v>0.75</v>
      </c>
      <c r="G56" s="727">
        <f t="shared" si="4"/>
        <v>4.9087385212340517E-2</v>
      </c>
      <c r="H56" s="730">
        <f t="shared" si="5"/>
        <v>0.12170630739382976</v>
      </c>
      <c r="I56" s="729">
        <f t="shared" si="6"/>
        <v>0.17841261478765946</v>
      </c>
      <c r="J56" s="729">
        <f t="shared" si="7"/>
        <v>0.24341261478765946</v>
      </c>
      <c r="K56" s="728">
        <f t="shared" si="8"/>
        <v>0.24341261478765952</v>
      </c>
      <c r="L56" s="728">
        <f t="shared" si="9"/>
        <v>0.12170630739382976</v>
      </c>
      <c r="M56" s="728">
        <f t="shared" si="10"/>
        <v>0.12170630739382976</v>
      </c>
      <c r="N56" s="728">
        <f t="shared" si="11"/>
        <v>7.894163535570943E-2</v>
      </c>
      <c r="O56" s="728">
        <f t="shared" si="12"/>
        <v>0.14420630739382975</v>
      </c>
      <c r="P56" s="728">
        <f t="shared" si="13"/>
        <v>0.21341261478765944</v>
      </c>
      <c r="Q56" s="728">
        <f t="shared" si="14"/>
        <v>0.28841261478765945</v>
      </c>
      <c r="R56" s="728">
        <f t="shared" si="15"/>
        <v>0.2884126147876595</v>
      </c>
      <c r="S56" s="728">
        <f t="shared" si="16"/>
        <v>0.14420630739382975</v>
      </c>
      <c r="T56" s="728">
        <f t="shared" si="17"/>
        <v>0.14420630739382975</v>
      </c>
      <c r="U56" s="728">
        <f t="shared" si="18"/>
        <v>9.3108302022376091E-2</v>
      </c>
      <c r="V56" s="727"/>
      <c r="W56" s="727"/>
      <c r="X56" s="727"/>
      <c r="Y56" s="725">
        <v>0.1</v>
      </c>
      <c r="Z56" s="726">
        <f t="shared" si="19"/>
        <v>0.1</v>
      </c>
      <c r="AA56" s="726">
        <v>1.1000000000000001</v>
      </c>
      <c r="AB56" s="725">
        <f t="shared" si="20"/>
        <v>0.1</v>
      </c>
      <c r="AC56" s="732">
        <v>250</v>
      </c>
      <c r="AD56" s="766">
        <f t="shared" si="21"/>
        <v>9.8425196850393704</v>
      </c>
      <c r="AE56" s="766">
        <f t="shared" si="22"/>
        <v>9.8000000000000007</v>
      </c>
    </row>
    <row r="57" spans="1:31">
      <c r="A57" s="775">
        <v>11</v>
      </c>
      <c r="B57" s="777">
        <v>246.8</v>
      </c>
      <c r="C57" s="731">
        <f t="shared" si="2"/>
        <v>280</v>
      </c>
      <c r="D57" s="727">
        <f>16.6/1000</f>
        <v>1.66E-2</v>
      </c>
      <c r="E57" s="731">
        <v>0.7</v>
      </c>
      <c r="F57" s="731">
        <f t="shared" si="3"/>
        <v>0.79999999999999993</v>
      </c>
      <c r="G57" s="727">
        <f t="shared" si="4"/>
        <v>6.1575216010359951E-2</v>
      </c>
      <c r="H57" s="730">
        <f t="shared" si="5"/>
        <v>0.17221239199482002</v>
      </c>
      <c r="I57" s="729">
        <f t="shared" si="6"/>
        <v>0.23942478398964004</v>
      </c>
      <c r="J57" s="729">
        <f t="shared" si="7"/>
        <v>0.30942478398964002</v>
      </c>
      <c r="K57" s="728">
        <f t="shared" si="8"/>
        <v>0.2744247839896401</v>
      </c>
      <c r="L57" s="728">
        <f t="shared" si="9"/>
        <v>0.17221239199482002</v>
      </c>
      <c r="M57" s="728">
        <f t="shared" si="10"/>
        <v>0.17221239199482002</v>
      </c>
      <c r="N57" s="728">
        <f t="shared" si="11"/>
        <v>8.6181720723535221E-2</v>
      </c>
      <c r="O57" s="728">
        <f t="shared" si="12"/>
        <v>0.20121239199482005</v>
      </c>
      <c r="P57" s="728">
        <f t="shared" si="13"/>
        <v>0.2824247839896401</v>
      </c>
      <c r="Q57" s="728">
        <f t="shared" si="14"/>
        <v>0.36242478398964006</v>
      </c>
      <c r="R57" s="728">
        <f t="shared" si="15"/>
        <v>0.32242478398964003</v>
      </c>
      <c r="S57" s="728">
        <f t="shared" si="16"/>
        <v>0.20121239199482005</v>
      </c>
      <c r="T57" s="728">
        <f t="shared" si="17"/>
        <v>0.20121239199482005</v>
      </c>
      <c r="U57" s="728">
        <f t="shared" si="18"/>
        <v>0.10084838739020188</v>
      </c>
      <c r="V57" s="727"/>
      <c r="W57" s="727"/>
      <c r="X57" s="727"/>
      <c r="Y57" s="725">
        <v>0.15</v>
      </c>
      <c r="Z57" s="726">
        <f t="shared" si="19"/>
        <v>0.1</v>
      </c>
      <c r="AA57" s="726">
        <v>0.1</v>
      </c>
      <c r="AB57" s="725">
        <f t="shared" si="20"/>
        <v>0.1</v>
      </c>
      <c r="AC57" s="732">
        <v>280</v>
      </c>
      <c r="AD57" s="766">
        <f t="shared" si="21"/>
        <v>11.023622047244094</v>
      </c>
      <c r="AE57" s="766">
        <f t="shared" si="22"/>
        <v>11</v>
      </c>
    </row>
    <row r="58" spans="1:31">
      <c r="A58" s="775">
        <v>12.4</v>
      </c>
      <c r="B58" s="777">
        <v>277.60000000000002</v>
      </c>
      <c r="C58" s="731">
        <f t="shared" si="2"/>
        <v>315</v>
      </c>
      <c r="D58" s="727">
        <f>18.7/1000</f>
        <v>1.8699999999999998E-2</v>
      </c>
      <c r="E58" s="731">
        <v>0.75</v>
      </c>
      <c r="F58" s="731">
        <f t="shared" si="3"/>
        <v>0.85</v>
      </c>
      <c r="G58" s="727">
        <f t="shared" si="4"/>
        <v>7.793113276311181E-2</v>
      </c>
      <c r="H58" s="730">
        <f t="shared" si="5"/>
        <v>0.19165943361844409</v>
      </c>
      <c r="I58" s="729">
        <f t="shared" si="6"/>
        <v>0.27081886723688819</v>
      </c>
      <c r="J58" s="729">
        <f t="shared" si="7"/>
        <v>0.34581886723688815</v>
      </c>
      <c r="K58" s="728">
        <f t="shared" si="8"/>
        <v>0.30831886723688817</v>
      </c>
      <c r="L58" s="728">
        <f t="shared" si="9"/>
        <v>0.19165943361844409</v>
      </c>
      <c r="M58" s="728">
        <f t="shared" si="10"/>
        <v>0.19165943361844409</v>
      </c>
      <c r="N58" s="728">
        <f t="shared" si="11"/>
        <v>0.10851124029072427</v>
      </c>
      <c r="O58" s="728">
        <f t="shared" si="12"/>
        <v>0.22240943361844406</v>
      </c>
      <c r="P58" s="728">
        <f t="shared" si="13"/>
        <v>0.31731886723688818</v>
      </c>
      <c r="Q58" s="728">
        <f t="shared" si="14"/>
        <v>0.40231886723688814</v>
      </c>
      <c r="R58" s="728">
        <f t="shared" si="15"/>
        <v>0.35981886723688816</v>
      </c>
      <c r="S58" s="728">
        <f t="shared" si="16"/>
        <v>0.22240943361844406</v>
      </c>
      <c r="T58" s="728">
        <f t="shared" si="17"/>
        <v>0.22240943361844406</v>
      </c>
      <c r="U58" s="728">
        <f t="shared" si="18"/>
        <v>0.12576124029072425</v>
      </c>
      <c r="V58" s="727"/>
      <c r="W58" s="727"/>
      <c r="X58" s="727"/>
      <c r="Y58" s="725">
        <v>0.15</v>
      </c>
      <c r="Z58" s="726">
        <f t="shared" si="19"/>
        <v>0.1</v>
      </c>
      <c r="AA58" s="726">
        <v>0.1</v>
      </c>
      <c r="AB58" s="725">
        <v>0.12</v>
      </c>
      <c r="AC58" s="732">
        <v>315</v>
      </c>
      <c r="AD58" s="766">
        <f t="shared" si="21"/>
        <v>12.401574803149607</v>
      </c>
      <c r="AE58" s="766">
        <f t="shared" si="22"/>
        <v>12.4</v>
      </c>
    </row>
    <row r="59" spans="1:31">
      <c r="A59" s="775">
        <v>14</v>
      </c>
      <c r="B59" s="777">
        <v>312.8</v>
      </c>
      <c r="C59" s="731">
        <f t="shared" si="2"/>
        <v>355</v>
      </c>
      <c r="D59" s="727">
        <f>21.1/1000</f>
        <v>2.1100000000000001E-2</v>
      </c>
      <c r="E59" s="731">
        <v>0.75</v>
      </c>
      <c r="F59" s="731">
        <f t="shared" si="3"/>
        <v>0.85</v>
      </c>
      <c r="G59" s="727">
        <f t="shared" si="4"/>
        <v>9.8979803542163416E-2</v>
      </c>
      <c r="H59" s="730">
        <f t="shared" si="5"/>
        <v>0.19613509822891831</v>
      </c>
      <c r="I59" s="729">
        <f t="shared" si="6"/>
        <v>0.27977019645783663</v>
      </c>
      <c r="J59" s="729">
        <f t="shared" si="7"/>
        <v>0.35477019645783658</v>
      </c>
      <c r="K59" s="728">
        <f t="shared" si="8"/>
        <v>0.31727019645783655</v>
      </c>
      <c r="L59" s="728">
        <f t="shared" si="9"/>
        <v>0.19613509822891831</v>
      </c>
      <c r="M59" s="728">
        <f t="shared" si="10"/>
        <v>0.19613509822891831</v>
      </c>
      <c r="N59" s="728">
        <f t="shared" si="11"/>
        <v>0.10787608019791914</v>
      </c>
      <c r="O59" s="728">
        <f t="shared" si="12"/>
        <v>0.22888509822891828</v>
      </c>
      <c r="P59" s="728">
        <f t="shared" si="13"/>
        <v>0.33027019645783656</v>
      </c>
      <c r="Q59" s="728">
        <f t="shared" si="14"/>
        <v>0.41527019645783658</v>
      </c>
      <c r="R59" s="728">
        <f t="shared" si="15"/>
        <v>0.37277019645783654</v>
      </c>
      <c r="S59" s="728">
        <f t="shared" si="16"/>
        <v>0.22888509822891828</v>
      </c>
      <c r="T59" s="728">
        <f t="shared" si="17"/>
        <v>0.22888509822891828</v>
      </c>
      <c r="U59" s="728">
        <f t="shared" si="18"/>
        <v>0.1257927468645858</v>
      </c>
      <c r="V59" s="727"/>
      <c r="W59" s="727"/>
      <c r="X59" s="727"/>
      <c r="Y59" s="725">
        <v>0.15</v>
      </c>
      <c r="Z59" s="726">
        <f t="shared" si="19"/>
        <v>0.1</v>
      </c>
      <c r="AA59" s="726">
        <v>0.1</v>
      </c>
      <c r="AB59" s="725">
        <v>0.12</v>
      </c>
      <c r="AC59" s="732">
        <v>355</v>
      </c>
      <c r="AD59" s="766">
        <f t="shared" si="21"/>
        <v>13.976377952755906</v>
      </c>
      <c r="AE59" s="766">
        <f t="shared" si="22"/>
        <v>14</v>
      </c>
    </row>
    <row r="60" spans="1:31">
      <c r="A60" s="775">
        <v>15.7</v>
      </c>
      <c r="B60" s="777">
        <v>352.6</v>
      </c>
      <c r="C60" s="731">
        <f t="shared" si="2"/>
        <v>400</v>
      </c>
      <c r="D60" s="727">
        <f>23.7/1000</f>
        <v>2.3699999999999999E-2</v>
      </c>
      <c r="E60" s="731">
        <v>0.8</v>
      </c>
      <c r="F60" s="731">
        <f t="shared" si="3"/>
        <v>0.9</v>
      </c>
      <c r="G60" s="727">
        <f t="shared" si="4"/>
        <v>0.12566370614359174</v>
      </c>
      <c r="H60" s="730">
        <f t="shared" si="5"/>
        <v>0.2171681469282041</v>
      </c>
      <c r="I60" s="729">
        <f t="shared" si="6"/>
        <v>0.31433629385640832</v>
      </c>
      <c r="J60" s="729">
        <f t="shared" si="7"/>
        <v>0.39433629385640828</v>
      </c>
      <c r="K60" s="728">
        <f t="shared" si="8"/>
        <v>0.35433629385640836</v>
      </c>
      <c r="L60" s="728">
        <f t="shared" si="9"/>
        <v>0.2171681469282041</v>
      </c>
      <c r="M60" s="728">
        <f t="shared" si="10"/>
        <v>0.2171681469282041</v>
      </c>
      <c r="N60" s="728">
        <f t="shared" si="11"/>
        <v>0.11302391984394948</v>
      </c>
      <c r="O60" s="728">
        <f t="shared" si="12"/>
        <v>0.25216814692820411</v>
      </c>
      <c r="P60" s="728">
        <f t="shared" si="13"/>
        <v>0.36933629385640832</v>
      </c>
      <c r="Q60" s="728">
        <f t="shared" si="14"/>
        <v>0.45933629385640834</v>
      </c>
      <c r="R60" s="728">
        <f t="shared" si="15"/>
        <v>0.41433629385640841</v>
      </c>
      <c r="S60" s="728">
        <f t="shared" si="16"/>
        <v>0.25216814692820411</v>
      </c>
      <c r="T60" s="728">
        <f t="shared" si="17"/>
        <v>0.25216814692820411</v>
      </c>
      <c r="U60" s="728">
        <f t="shared" si="18"/>
        <v>0.13135725317728281</v>
      </c>
      <c r="V60" s="727"/>
      <c r="W60" s="727"/>
      <c r="X60" s="727"/>
      <c r="Y60" s="725">
        <v>0.15</v>
      </c>
      <c r="Z60" s="726">
        <f t="shared" si="19"/>
        <v>0.1</v>
      </c>
      <c r="AA60" s="726">
        <v>0.1</v>
      </c>
      <c r="AB60" s="725">
        <f>IF((C60/8000+C60/6000)&lt;0.1,0.1,C60/8000+C60/6000)</f>
        <v>0.11666666666666667</v>
      </c>
      <c r="AC60" s="732">
        <v>400</v>
      </c>
      <c r="AD60" s="766">
        <f t="shared" si="21"/>
        <v>15.748031496062993</v>
      </c>
      <c r="AE60" s="766">
        <f t="shared" si="22"/>
        <v>15.7</v>
      </c>
    </row>
    <row r="61" spans="1:31">
      <c r="A61" s="775">
        <v>17.7</v>
      </c>
      <c r="B61" s="777">
        <v>396.6</v>
      </c>
      <c r="C61" s="731">
        <f t="shared" si="2"/>
        <v>450</v>
      </c>
      <c r="D61" s="727">
        <f>26.7/1000</f>
        <v>2.6699999999999998E-2</v>
      </c>
      <c r="E61" s="731">
        <v>0.85</v>
      </c>
      <c r="F61" s="731">
        <f t="shared" si="3"/>
        <v>0.95</v>
      </c>
      <c r="G61" s="727">
        <f t="shared" si="4"/>
        <v>0.15904312808798329</v>
      </c>
      <c r="H61" s="730">
        <f t="shared" si="5"/>
        <v>0.23922843595600835</v>
      </c>
      <c r="I61" s="729">
        <f t="shared" si="6"/>
        <v>0.35095687191201674</v>
      </c>
      <c r="J61" s="729">
        <f t="shared" si="7"/>
        <v>0.43595687191201671</v>
      </c>
      <c r="K61" s="728">
        <f t="shared" si="8"/>
        <v>0.41470687191201672</v>
      </c>
      <c r="L61" s="728">
        <f t="shared" si="9"/>
        <v>0.23922843595600835</v>
      </c>
      <c r="M61" s="728">
        <f t="shared" si="10"/>
        <v>0.23922843595600835</v>
      </c>
      <c r="N61" s="728">
        <f t="shared" si="11"/>
        <v>0.13273339855249852</v>
      </c>
      <c r="O61" s="728">
        <f t="shared" si="12"/>
        <v>0.27672843595600832</v>
      </c>
      <c r="P61" s="728">
        <f t="shared" si="13"/>
        <v>0.41095687191201669</v>
      </c>
      <c r="Q61" s="728">
        <f t="shared" si="14"/>
        <v>0.50595687191201666</v>
      </c>
      <c r="R61" s="728">
        <f t="shared" si="15"/>
        <v>0.48220687191201672</v>
      </c>
      <c r="S61" s="728">
        <f t="shared" si="16"/>
        <v>0.27672843595600832</v>
      </c>
      <c r="T61" s="728">
        <f t="shared" si="17"/>
        <v>0.27672843595600832</v>
      </c>
      <c r="U61" s="728">
        <f t="shared" si="18"/>
        <v>0.15335839855249853</v>
      </c>
      <c r="V61" s="727"/>
      <c r="W61" s="727"/>
      <c r="X61" s="727"/>
      <c r="Y61" s="725">
        <v>0.15</v>
      </c>
      <c r="Z61" s="726">
        <f t="shared" si="19"/>
        <v>0.1125</v>
      </c>
      <c r="AA61" s="726">
        <v>0.11</v>
      </c>
      <c r="AB61" s="725">
        <f>IF((C61/8000+C61/6000)&lt;0.1,0.1,C61/8000+C61/6000)</f>
        <v>0.13125000000000001</v>
      </c>
      <c r="AC61" s="732">
        <v>450</v>
      </c>
      <c r="AD61" s="766">
        <f t="shared" si="21"/>
        <v>17.716535433070867</v>
      </c>
      <c r="AE61" s="766">
        <f t="shared" si="22"/>
        <v>17.7</v>
      </c>
    </row>
    <row r="62" spans="1:31">
      <c r="A62" s="775">
        <v>19.7</v>
      </c>
      <c r="B62" s="731">
        <v>440.6</v>
      </c>
      <c r="C62" s="731">
        <f t="shared" si="2"/>
        <v>500</v>
      </c>
      <c r="D62" s="727">
        <f>29.7/1000</f>
        <v>2.9700000000000001E-2</v>
      </c>
      <c r="E62" s="731">
        <v>0.9</v>
      </c>
      <c r="F62" s="731">
        <f t="shared" si="3"/>
        <v>1</v>
      </c>
      <c r="G62" s="727">
        <f t="shared" si="4"/>
        <v>0.19634954084936207</v>
      </c>
      <c r="H62" s="730">
        <f t="shared" si="5"/>
        <v>0.26182522957531901</v>
      </c>
      <c r="I62" s="729">
        <f t="shared" si="6"/>
        <v>0.38865045915063801</v>
      </c>
      <c r="J62" s="729">
        <f t="shared" si="7"/>
        <v>0.47865045915063797</v>
      </c>
      <c r="K62" s="728">
        <f t="shared" si="8"/>
        <v>0.47865045915063797</v>
      </c>
      <c r="L62" s="728">
        <f t="shared" si="9"/>
        <v>0.26182522957531901</v>
      </c>
      <c r="M62" s="728">
        <f t="shared" si="10"/>
        <v>0.26182522957531901</v>
      </c>
      <c r="N62" s="728">
        <f t="shared" si="11"/>
        <v>0.15368320808950431</v>
      </c>
      <c r="O62" s="728">
        <f t="shared" si="12"/>
        <v>0.30182522957531899</v>
      </c>
      <c r="P62" s="728">
        <f t="shared" si="13"/>
        <v>0.45365045915063795</v>
      </c>
      <c r="Q62" s="728">
        <f t="shared" si="14"/>
        <v>0.55365045915063793</v>
      </c>
      <c r="R62" s="728">
        <f t="shared" si="15"/>
        <v>0.55365045915063793</v>
      </c>
      <c r="S62" s="728">
        <f t="shared" si="16"/>
        <v>0.30182522957531899</v>
      </c>
      <c r="T62" s="728">
        <f t="shared" si="17"/>
        <v>0.30182522957531899</v>
      </c>
      <c r="U62" s="728">
        <f t="shared" si="18"/>
        <v>0.176599874756171</v>
      </c>
      <c r="V62" s="727"/>
      <c r="W62" s="727"/>
      <c r="X62" s="727"/>
      <c r="Y62" s="725">
        <v>0.15</v>
      </c>
      <c r="Z62" s="726">
        <f t="shared" si="19"/>
        <v>0.125</v>
      </c>
      <c r="AA62" s="726">
        <v>0.13</v>
      </c>
      <c r="AB62" s="725">
        <f>IF((C62/8000+C62/6000)&lt;0.1,0.1,C62/8000+C62/6000)</f>
        <v>0.14583333333333331</v>
      </c>
      <c r="AC62" s="732">
        <v>500</v>
      </c>
      <c r="AD62" s="766">
        <f t="shared" si="21"/>
        <v>19.685039370078741</v>
      </c>
      <c r="AE62" s="766">
        <f t="shared" si="22"/>
        <v>19.7</v>
      </c>
    </row>
    <row r="63" spans="1:31">
      <c r="A63" s="775">
        <v>22</v>
      </c>
      <c r="B63" s="731">
        <v>493.6</v>
      </c>
      <c r="C63" s="731">
        <f t="shared" si="2"/>
        <v>560</v>
      </c>
      <c r="D63" s="727">
        <f>33.2/1000</f>
        <v>3.32E-2</v>
      </c>
      <c r="E63" s="731">
        <v>1.05</v>
      </c>
      <c r="F63" s="731">
        <f t="shared" si="3"/>
        <v>1.1500000000000001</v>
      </c>
      <c r="G63" s="727">
        <f t="shared" si="4"/>
        <v>0.2463008640414398</v>
      </c>
      <c r="H63" s="730">
        <f t="shared" si="5"/>
        <v>0.32834956797928017</v>
      </c>
      <c r="I63" s="729">
        <f t="shared" si="6"/>
        <v>0.49919913595856036</v>
      </c>
      <c r="J63" s="729">
        <f t="shared" si="7"/>
        <v>0.60419913595856034</v>
      </c>
      <c r="K63" s="728">
        <f t="shared" si="8"/>
        <v>0.63569913595856031</v>
      </c>
      <c r="L63" s="728">
        <f t="shared" si="9"/>
        <v>0.32834956797928017</v>
      </c>
      <c r="M63" s="728">
        <f t="shared" si="10"/>
        <v>0.32834956797928017</v>
      </c>
      <c r="N63" s="728">
        <f t="shared" si="11"/>
        <v>0.20356021622747428</v>
      </c>
      <c r="O63" s="728">
        <f t="shared" si="12"/>
        <v>0.3713495679792802</v>
      </c>
      <c r="P63" s="728">
        <f t="shared" si="13"/>
        <v>0.57019913595856042</v>
      </c>
      <c r="Q63" s="728">
        <f t="shared" si="14"/>
        <v>0.68519913595856041</v>
      </c>
      <c r="R63" s="728">
        <f t="shared" si="15"/>
        <v>0.71969913595856039</v>
      </c>
      <c r="S63" s="728">
        <f t="shared" si="16"/>
        <v>0.3713495679792802</v>
      </c>
      <c r="T63" s="728">
        <f t="shared" si="17"/>
        <v>0.3713495679792802</v>
      </c>
      <c r="U63" s="728">
        <f t="shared" si="18"/>
        <v>0.22922688289414095</v>
      </c>
      <c r="V63" s="727"/>
      <c r="W63" s="727"/>
      <c r="X63" s="727"/>
      <c r="Y63" s="725">
        <v>0.15</v>
      </c>
      <c r="Z63" s="726">
        <f t="shared" si="19"/>
        <v>0.14000000000000001</v>
      </c>
      <c r="AA63" s="726">
        <v>0.14000000000000001</v>
      </c>
      <c r="AB63" s="725">
        <f>IF((C63/8000+C63/6000)&lt;0.1,0.1,C63/8000+C63/6000)</f>
        <v>0.16333333333333333</v>
      </c>
      <c r="AC63" s="732">
        <v>560</v>
      </c>
      <c r="AD63" s="766">
        <f t="shared" si="21"/>
        <v>22.047244094488189</v>
      </c>
      <c r="AE63" s="766">
        <f t="shared" si="22"/>
        <v>22</v>
      </c>
    </row>
    <row r="64" spans="1:31">
      <c r="A64" s="775">
        <v>24.8</v>
      </c>
      <c r="B64" s="731">
        <v>555.20000000000005</v>
      </c>
      <c r="C64" s="731">
        <f t="shared" si="2"/>
        <v>630</v>
      </c>
      <c r="D64" s="727">
        <f>37.4/1000</f>
        <v>3.7399999999999996E-2</v>
      </c>
      <c r="E64" s="731">
        <v>1.1499999999999999</v>
      </c>
      <c r="F64" s="731">
        <f t="shared" si="3"/>
        <v>1.25</v>
      </c>
      <c r="G64" s="727">
        <f t="shared" si="4"/>
        <v>0.31172453105244724</v>
      </c>
      <c r="H64" s="730">
        <f t="shared" si="5"/>
        <v>0.37888773447377633</v>
      </c>
      <c r="I64" s="729">
        <f t="shared" si="6"/>
        <v>0.58527546894755267</v>
      </c>
      <c r="J64" s="729">
        <f t="shared" si="7"/>
        <v>0.70027546894755277</v>
      </c>
      <c r="K64" s="728">
        <f t="shared" si="8"/>
        <v>0.77502546894755264</v>
      </c>
      <c r="L64" s="728">
        <f t="shared" si="9"/>
        <v>0.37888773447377633</v>
      </c>
      <c r="M64" s="728">
        <f t="shared" si="10"/>
        <v>0.37888773447377633</v>
      </c>
      <c r="N64" s="728">
        <f t="shared" si="11"/>
        <v>0.24860746116289711</v>
      </c>
      <c r="O64" s="728">
        <f t="shared" si="12"/>
        <v>0.42538773447377631</v>
      </c>
      <c r="P64" s="728">
        <f t="shared" si="13"/>
        <v>0.66327546894755285</v>
      </c>
      <c r="Q64" s="728">
        <f t="shared" si="14"/>
        <v>0.78827546894755285</v>
      </c>
      <c r="R64" s="728">
        <f t="shared" si="15"/>
        <v>0.86952546894755289</v>
      </c>
      <c r="S64" s="728">
        <f t="shared" si="16"/>
        <v>0.42538773447377631</v>
      </c>
      <c r="T64" s="728">
        <f t="shared" si="17"/>
        <v>0.42538773447377631</v>
      </c>
      <c r="U64" s="728">
        <f t="shared" si="18"/>
        <v>0.27748246116289715</v>
      </c>
      <c r="V64" s="727"/>
      <c r="W64" s="727"/>
      <c r="X64" s="727"/>
      <c r="Y64" s="725">
        <v>0.15</v>
      </c>
      <c r="Z64" s="726">
        <f t="shared" si="19"/>
        <v>0.1575</v>
      </c>
      <c r="AA64" s="726">
        <v>0.15</v>
      </c>
      <c r="AB64" s="725">
        <f>IF((C64/8000+C64/6000)&lt;0.1,0.1,C64/8000+C64/6000)</f>
        <v>0.18375</v>
      </c>
      <c r="AC64" s="732">
        <v>630</v>
      </c>
      <c r="AD64" s="766">
        <f t="shared" si="21"/>
        <v>24.803149606299215</v>
      </c>
      <c r="AE64" s="766">
        <f t="shared" si="22"/>
        <v>24.8</v>
      </c>
    </row>
    <row r="65" spans="1:31">
      <c r="A65" s="775">
        <v>27.95</v>
      </c>
      <c r="B65" s="731">
        <v>625.79999999999995</v>
      </c>
      <c r="C65" s="731">
        <f t="shared" si="2"/>
        <v>710</v>
      </c>
      <c r="D65" s="727">
        <f>42.1/1000</f>
        <v>4.2099999999999999E-2</v>
      </c>
      <c r="E65" s="776">
        <v>1.1499999999999999</v>
      </c>
      <c r="F65" s="776">
        <f t="shared" si="3"/>
        <v>1.25</v>
      </c>
      <c r="G65" s="727">
        <f t="shared" si="4"/>
        <v>0.39591921416865367</v>
      </c>
      <c r="H65" s="730">
        <f t="shared" si="5"/>
        <v>0.21029039291567311</v>
      </c>
      <c r="I65" s="729">
        <f t="shared" si="6"/>
        <v>0.42058078583134623</v>
      </c>
      <c r="J65" s="729">
        <f t="shared" si="7"/>
        <v>0.53558078583134616</v>
      </c>
      <c r="K65" s="728">
        <f t="shared" si="8"/>
        <v>0.42058078583134623</v>
      </c>
      <c r="L65" s="728">
        <f t="shared" si="9"/>
        <v>0.21029039291567311</v>
      </c>
      <c r="M65" s="728">
        <f t="shared" si="10"/>
        <v>0.21029039291567311</v>
      </c>
      <c r="N65" s="728">
        <f t="shared" si="11"/>
        <v>3.0087654125009924E-2</v>
      </c>
      <c r="O65" s="728">
        <f t="shared" si="12"/>
        <v>0.24579039291567314</v>
      </c>
      <c r="P65" s="728">
        <f t="shared" si="13"/>
        <v>0.49158078583134629</v>
      </c>
      <c r="Q65" s="728">
        <f t="shared" si="14"/>
        <v>0.61658078583134635</v>
      </c>
      <c r="R65" s="728">
        <f t="shared" si="15"/>
        <v>0.49158078583134629</v>
      </c>
      <c r="S65" s="728">
        <f t="shared" si="16"/>
        <v>0.24579039291567314</v>
      </c>
      <c r="T65" s="728">
        <f t="shared" si="17"/>
        <v>0.24579039291567314</v>
      </c>
      <c r="U65" s="728">
        <f t="shared" si="18"/>
        <v>4.1920987458343259E-2</v>
      </c>
      <c r="V65" s="727"/>
      <c r="W65" s="727"/>
      <c r="X65" s="727"/>
      <c r="Y65" s="725"/>
      <c r="Z65" s="726"/>
      <c r="AA65" s="726"/>
      <c r="AB65" s="725"/>
      <c r="AC65" s="732"/>
      <c r="AD65" s="766"/>
      <c r="AE65" s="766"/>
    </row>
    <row r="66" spans="1:31" s="765" customFormat="1">
      <c r="A66" s="775">
        <v>31.5</v>
      </c>
      <c r="B66" s="774">
        <v>705.2</v>
      </c>
      <c r="C66" s="764">
        <f t="shared" si="2"/>
        <v>800</v>
      </c>
      <c r="D66" s="727">
        <f>47.4/1000</f>
        <v>4.7399999999999998E-2</v>
      </c>
      <c r="E66" s="774">
        <v>1.25</v>
      </c>
      <c r="F66" s="774">
        <f t="shared" si="3"/>
        <v>1.35</v>
      </c>
      <c r="G66" s="763">
        <f t="shared" si="4"/>
        <v>0.50265482457436694</v>
      </c>
      <c r="H66" s="773">
        <f t="shared" si="5"/>
        <v>1.6861725877128162</v>
      </c>
      <c r="I66" s="772">
        <f t="shared" si="6"/>
        <v>1.9348451754256331</v>
      </c>
      <c r="J66" s="772">
        <f t="shared" si="7"/>
        <v>2.0598451754256333</v>
      </c>
      <c r="K66" s="771">
        <f t="shared" si="8"/>
        <v>0.99734517542563328</v>
      </c>
      <c r="L66" s="771">
        <f t="shared" si="9"/>
        <v>1.6861725877128162</v>
      </c>
      <c r="M66" s="771">
        <f t="shared" si="10"/>
        <v>1.6861725877128162</v>
      </c>
      <c r="N66" s="771">
        <f t="shared" si="11"/>
        <v>0.32376234604246451</v>
      </c>
      <c r="O66" s="771">
        <f t="shared" si="12"/>
        <v>1.8411725877128164</v>
      </c>
      <c r="P66" s="771">
        <f t="shared" si="13"/>
        <v>2.1298451754256336</v>
      </c>
      <c r="Q66" s="771">
        <f t="shared" si="14"/>
        <v>2.2648451754256334</v>
      </c>
      <c r="R66" s="771">
        <f t="shared" si="15"/>
        <v>1.1173451754256334</v>
      </c>
      <c r="S66" s="771">
        <f t="shared" si="16"/>
        <v>1.8411725877128164</v>
      </c>
      <c r="T66" s="771">
        <f t="shared" si="17"/>
        <v>1.8411725877128164</v>
      </c>
      <c r="U66" s="771">
        <f t="shared" si="18"/>
        <v>0.36042901270913119</v>
      </c>
      <c r="V66" s="763"/>
      <c r="W66" s="763"/>
      <c r="X66" s="763"/>
      <c r="Y66" s="769">
        <v>1.1499999999999999</v>
      </c>
      <c r="Z66" s="770">
        <f>IF(C66/4000&lt;0.1,0.1,C66/4000)</f>
        <v>0.2</v>
      </c>
      <c r="AA66" s="770">
        <v>1.1499999999999999</v>
      </c>
      <c r="AB66" s="769">
        <f>IF((C66/8000+C66/6000)&lt;0.1,0.1,C66/8000+C66/6000)</f>
        <v>0.23333333333333334</v>
      </c>
      <c r="AC66" s="768">
        <v>800</v>
      </c>
      <c r="AD66" s="767">
        <f>+AC66/25.4</f>
        <v>31.496062992125985</v>
      </c>
      <c r="AE66" s="766">
        <f>+ROUND(AD66,1)</f>
        <v>31.5</v>
      </c>
    </row>
    <row r="67" spans="1:31">
      <c r="A67" s="762">
        <v>39.369999999999997</v>
      </c>
      <c r="B67" s="762">
        <v>881.4</v>
      </c>
      <c r="C67" s="764">
        <f t="shared" si="2"/>
        <v>1000</v>
      </c>
      <c r="D67" s="763">
        <f>59.3/1000</f>
        <v>5.9299999999999999E-2</v>
      </c>
      <c r="E67" s="762">
        <v>0.71</v>
      </c>
      <c r="F67" s="762">
        <f t="shared" si="3"/>
        <v>0.80999999999999994</v>
      </c>
      <c r="G67" s="759">
        <f t="shared" si="4"/>
        <v>0.78539816339744828</v>
      </c>
      <c r="H67" s="761"/>
      <c r="I67" s="760"/>
      <c r="J67" s="760"/>
      <c r="K67" s="702">
        <f t="shared" si="8"/>
        <v>0.27960183660255167</v>
      </c>
      <c r="L67" s="702"/>
      <c r="M67" s="702"/>
      <c r="N67" s="702">
        <f t="shared" si="11"/>
        <v>0.11514949902468402</v>
      </c>
      <c r="O67" s="702"/>
      <c r="P67" s="702"/>
      <c r="Q67" s="702"/>
      <c r="R67" s="702">
        <f t="shared" si="15"/>
        <v>0.42960183660255158</v>
      </c>
      <c r="S67" s="702"/>
      <c r="T67" s="702"/>
      <c r="U67" s="702">
        <f t="shared" si="18"/>
        <v>0.16098283235801736</v>
      </c>
      <c r="V67" s="759"/>
      <c r="W67" s="759"/>
      <c r="X67" s="759"/>
      <c r="Y67" s="701"/>
      <c r="Z67" s="701">
        <f>IF(C67/4000&lt;0.1,0.1,C67/4000)</f>
        <v>0.25</v>
      </c>
      <c r="AA67" s="701"/>
      <c r="AB67" s="701">
        <f>IF((C67/8000+C67/6000)&lt;0.1,0.1,C67/8000+C67/6000)</f>
        <v>0.29166666666666663</v>
      </c>
      <c r="AC67" s="758"/>
    </row>
    <row r="68" spans="1:31">
      <c r="A68" s="757" t="s">
        <v>2033</v>
      </c>
      <c r="B68" s="700"/>
      <c r="C68" s="702"/>
      <c r="D68" s="700"/>
      <c r="E68" s="756">
        <f>+E67/0.0254</f>
        <v>27.952755905511811</v>
      </c>
      <c r="F68" s="738"/>
      <c r="G68" s="738"/>
      <c r="H68" s="755"/>
      <c r="I68" s="755"/>
      <c r="J68" s="755"/>
      <c r="K68" s="1918"/>
      <c r="L68" s="1918"/>
      <c r="M68" s="1918"/>
      <c r="N68" s="1918"/>
      <c r="O68" s="1918"/>
      <c r="P68" s="1918"/>
      <c r="Q68" s="1918"/>
      <c r="R68" s="1918"/>
      <c r="S68" s="1918"/>
      <c r="T68" s="1918"/>
      <c r="U68" s="1918"/>
      <c r="V68" s="1918"/>
      <c r="W68" s="1918"/>
      <c r="X68" s="1918"/>
      <c r="Y68" s="701"/>
      <c r="Z68" s="700"/>
      <c r="AA68" s="700"/>
      <c r="AB68" s="700"/>
    </row>
    <row r="69" spans="1:31" ht="12.75" customHeight="1">
      <c r="A69" s="736" t="s">
        <v>1986</v>
      </c>
      <c r="B69" s="736" t="s">
        <v>1986</v>
      </c>
      <c r="C69" s="1921" t="s">
        <v>1988</v>
      </c>
      <c r="D69" s="1923" t="s">
        <v>1989</v>
      </c>
      <c r="E69" s="736" t="s">
        <v>1990</v>
      </c>
      <c r="F69" s="736" t="s">
        <v>1990</v>
      </c>
      <c r="G69" s="736" t="s">
        <v>1991</v>
      </c>
      <c r="H69" s="754" t="s">
        <v>1992</v>
      </c>
      <c r="I69" s="753"/>
      <c r="J69" s="752"/>
      <c r="K69" s="1925" t="s">
        <v>2022</v>
      </c>
      <c r="L69" s="1926"/>
      <c r="M69" s="1926"/>
      <c r="N69" s="1926"/>
      <c r="O69" s="754" t="s">
        <v>1992</v>
      </c>
      <c r="P69" s="753"/>
      <c r="Q69" s="752"/>
      <c r="R69" s="1925" t="s">
        <v>1994</v>
      </c>
      <c r="S69" s="1926"/>
      <c r="T69" s="1926"/>
      <c r="U69" s="1926"/>
      <c r="V69" s="1925" t="s">
        <v>1972</v>
      </c>
      <c r="W69" s="1926"/>
      <c r="X69" s="1927"/>
      <c r="Y69" s="1933" t="s">
        <v>1995</v>
      </c>
      <c r="Z69" s="1934"/>
      <c r="AA69" s="1934"/>
      <c r="AB69" s="1934"/>
    </row>
    <row r="70" spans="1:31">
      <c r="A70" s="743" t="s">
        <v>2024</v>
      </c>
      <c r="B70" s="743" t="s">
        <v>2025</v>
      </c>
      <c r="C70" s="1922"/>
      <c r="D70" s="1924"/>
      <c r="E70" s="743" t="s">
        <v>1997</v>
      </c>
      <c r="F70" s="743" t="s">
        <v>204</v>
      </c>
      <c r="G70" s="743" t="s">
        <v>244</v>
      </c>
      <c r="H70" s="751" t="s">
        <v>1998</v>
      </c>
      <c r="I70" s="736" t="s">
        <v>1998</v>
      </c>
      <c r="J70" s="736" t="s">
        <v>1998</v>
      </c>
      <c r="K70" s="1925" t="s">
        <v>1999</v>
      </c>
      <c r="L70" s="1927"/>
      <c r="M70" s="1925" t="s">
        <v>2000</v>
      </c>
      <c r="N70" s="1927"/>
      <c r="O70" s="751" t="s">
        <v>1998</v>
      </c>
      <c r="P70" s="736" t="s">
        <v>1998</v>
      </c>
      <c r="Q70" s="736" t="s">
        <v>1998</v>
      </c>
      <c r="R70" s="1925" t="s">
        <v>1999</v>
      </c>
      <c r="S70" s="1927"/>
      <c r="T70" s="1925" t="s">
        <v>2000</v>
      </c>
      <c r="U70" s="1927"/>
      <c r="V70" s="736" t="s">
        <v>889</v>
      </c>
      <c r="W70" s="736" t="s">
        <v>889</v>
      </c>
      <c r="X70" s="750"/>
      <c r="Y70" s="1929" t="s">
        <v>2007</v>
      </c>
      <c r="Z70" s="1931" t="s">
        <v>2006</v>
      </c>
      <c r="AA70" s="1923" t="s">
        <v>2026</v>
      </c>
      <c r="AB70" s="1923" t="s">
        <v>2027</v>
      </c>
    </row>
    <row r="71" spans="1:31">
      <c r="A71" s="743"/>
      <c r="B71" s="743"/>
      <c r="C71" s="749"/>
      <c r="D71" s="748"/>
      <c r="E71" s="748"/>
      <c r="F71" s="748"/>
      <c r="G71" s="748"/>
      <c r="H71" s="743" t="s">
        <v>2003</v>
      </c>
      <c r="I71" s="743" t="s">
        <v>2004</v>
      </c>
      <c r="J71" s="743" t="s">
        <v>2005</v>
      </c>
      <c r="K71" s="741" t="s">
        <v>2015</v>
      </c>
      <c r="L71" s="741" t="s">
        <v>2016</v>
      </c>
      <c r="M71" s="741" t="s">
        <v>2017</v>
      </c>
      <c r="N71" s="741" t="s">
        <v>2018</v>
      </c>
      <c r="O71" s="743" t="s">
        <v>2003</v>
      </c>
      <c r="P71" s="743" t="s">
        <v>2004</v>
      </c>
      <c r="Q71" s="743" t="s">
        <v>2005</v>
      </c>
      <c r="R71" s="741" t="s">
        <v>2015</v>
      </c>
      <c r="S71" s="741" t="s">
        <v>2016</v>
      </c>
      <c r="T71" s="741" t="s">
        <v>2017</v>
      </c>
      <c r="U71" s="741" t="s">
        <v>2018</v>
      </c>
      <c r="V71" s="743" t="s">
        <v>2010</v>
      </c>
      <c r="W71" s="743" t="s">
        <v>2011</v>
      </c>
      <c r="X71" s="743" t="s">
        <v>2012</v>
      </c>
      <c r="Y71" s="1930"/>
      <c r="Z71" s="1932"/>
      <c r="AA71" s="1924"/>
      <c r="AB71" s="1924"/>
    </row>
    <row r="72" spans="1:31" ht="13.5">
      <c r="A72" s="741" t="s">
        <v>2013</v>
      </c>
      <c r="B72" s="741" t="s">
        <v>442</v>
      </c>
      <c r="C72" s="747" t="s">
        <v>442</v>
      </c>
      <c r="D72" s="741" t="s">
        <v>299</v>
      </c>
      <c r="E72" s="741" t="s">
        <v>299</v>
      </c>
      <c r="F72" s="741" t="s">
        <v>299</v>
      </c>
      <c r="G72" s="741" t="s">
        <v>2014</v>
      </c>
      <c r="H72" s="741" t="s">
        <v>2014</v>
      </c>
      <c r="I72" s="741" t="s">
        <v>2014</v>
      </c>
      <c r="J72" s="741" t="s">
        <v>2014</v>
      </c>
      <c r="K72" s="746"/>
      <c r="L72" s="745"/>
      <c r="M72" s="745"/>
      <c r="N72" s="745"/>
      <c r="O72" s="741" t="s">
        <v>2014</v>
      </c>
      <c r="P72" s="741" t="s">
        <v>2014</v>
      </c>
      <c r="Q72" s="741" t="s">
        <v>2014</v>
      </c>
      <c r="R72" s="745"/>
      <c r="S72" s="745"/>
      <c r="T72" s="745"/>
      <c r="U72" s="744"/>
      <c r="V72" s="743" t="s">
        <v>2019</v>
      </c>
      <c r="W72" s="743" t="s">
        <v>2019</v>
      </c>
      <c r="X72" s="743" t="s">
        <v>2028</v>
      </c>
      <c r="Y72" s="742" t="s">
        <v>299</v>
      </c>
      <c r="Z72" s="741"/>
      <c r="AA72" s="741" t="s">
        <v>299</v>
      </c>
      <c r="AB72" s="738" t="s">
        <v>299</v>
      </c>
    </row>
    <row r="73" spans="1:31">
      <c r="A73" s="700"/>
      <c r="B73" s="740"/>
      <c r="C73" s="739"/>
      <c r="D73" s="738"/>
      <c r="E73" s="738"/>
      <c r="F73" s="738"/>
      <c r="G73" s="738"/>
      <c r="H73" s="738"/>
      <c r="I73" s="738"/>
      <c r="J73" s="737"/>
      <c r="K73" s="736" t="s">
        <v>2006</v>
      </c>
      <c r="L73" s="736" t="s">
        <v>2007</v>
      </c>
      <c r="M73" s="736" t="s">
        <v>2008</v>
      </c>
      <c r="N73" s="736" t="s">
        <v>2009</v>
      </c>
      <c r="O73" s="736"/>
      <c r="P73" s="736"/>
      <c r="Q73" s="736"/>
      <c r="R73" s="736" t="s">
        <v>2029</v>
      </c>
      <c r="S73" s="736" t="s">
        <v>2030</v>
      </c>
      <c r="T73" s="736" t="s">
        <v>2031</v>
      </c>
      <c r="U73" s="736" t="s">
        <v>2032</v>
      </c>
      <c r="V73" s="735"/>
      <c r="W73" s="735"/>
      <c r="X73" s="734"/>
      <c r="Y73" s="701"/>
      <c r="Z73" s="700"/>
      <c r="AA73" s="700"/>
      <c r="AB73" s="700"/>
    </row>
    <row r="74" spans="1:31" ht="12" customHeight="1">
      <c r="A74" s="733">
        <v>4</v>
      </c>
      <c r="B74" s="731">
        <v>99</v>
      </c>
      <c r="C74" s="732">
        <v>110</v>
      </c>
      <c r="D74" s="727">
        <f t="shared" ref="D74:D89" si="23">+(C74-B74)/2000</f>
        <v>5.4999999999999997E-3</v>
      </c>
      <c r="E74" s="731">
        <v>0.5</v>
      </c>
      <c r="F74" s="731">
        <f t="shared" ref="F74:F89" si="24">+E74+0.1</f>
        <v>0.6</v>
      </c>
      <c r="G74" s="727">
        <f t="shared" ref="G74:G89" si="25">+PI()/4*(C74/1000)^2</f>
        <v>9.5033177771091243E-3</v>
      </c>
      <c r="H74" s="730">
        <f t="shared" ref="H74:H89" si="26">(E74*(Y74+(C74/2000))-G74/2)</f>
        <v>7.274834111144543E-2</v>
      </c>
      <c r="I74" s="729">
        <f t="shared" ref="I74:I89" si="27">(E74*(Y74+(C74/1000))-G74)</f>
        <v>9.5496682222890886E-2</v>
      </c>
      <c r="J74" s="729">
        <f t="shared" ref="J74:J89" si="28">(E74*(Y74+(C74/1000)+0.1)-G74)</f>
        <v>0.14549668222289092</v>
      </c>
      <c r="K74" s="728">
        <f t="shared" ref="K74:K89" si="29">(Z74*2+(C74/1000))*E74-G74</f>
        <v>0.14549668222289086</v>
      </c>
      <c r="L74" s="728">
        <f t="shared" ref="L74:L89" si="30">(E74*(Y74+C74/2000)-G74/2)</f>
        <v>7.274834111144543E-2</v>
      </c>
      <c r="M74" s="728">
        <f t="shared" ref="M74:M89" si="31">(E74*(Y74+C74/2000)-G74/2)</f>
        <v>7.274834111144543E-2</v>
      </c>
      <c r="N74" s="728">
        <f t="shared" ref="N74:N89" si="32">+E74*(AB74+C74/6000)-ACOS(2/3)/4*(C74/1000)^2</f>
        <v>5.6622433938198685E-2</v>
      </c>
      <c r="O74" s="728">
        <f t="shared" ref="O74:O89" si="33">(F74*(Y74+C74/2000)-G74/2)</f>
        <v>8.8248341111445444E-2</v>
      </c>
      <c r="P74" s="728">
        <f t="shared" ref="P74:P89" si="34">(F74*(Y74+C74/1000)-G74)</f>
        <v>0.11649668222289088</v>
      </c>
      <c r="Q74" s="728">
        <f t="shared" ref="Q74:Q89" si="35">(F74*(Y74+(C74/1000)+0.1)-G74)</f>
        <v>0.17649668222289089</v>
      </c>
      <c r="R74" s="728">
        <f t="shared" ref="R74:R89" si="36">(Z74*2+C74/1000)*F74-G74</f>
        <v>0.17649668222289089</v>
      </c>
      <c r="S74" s="728">
        <f t="shared" ref="S74:S89" si="37">(F74*(Y74+C74/2000)-G74/2)</f>
        <v>8.8248341111445444E-2</v>
      </c>
      <c r="T74" s="728">
        <f t="shared" ref="T74:T89" si="38">(F74*(Y74+C74/2000)-G74/2)</f>
        <v>8.8248341111445444E-2</v>
      </c>
      <c r="U74" s="728">
        <f t="shared" ref="U74:U89" si="39">+F74*(AB74+C74/6000)-ACOS(2/3)/4*(C74/1000)^2</f>
        <v>6.845576727153202E-2</v>
      </c>
      <c r="V74" s="727"/>
      <c r="W74" s="727"/>
      <c r="X74" s="727"/>
      <c r="Y74" s="725">
        <v>0.1</v>
      </c>
      <c r="Z74" s="726">
        <f t="shared" ref="Z74:Z89" si="40">IF(C74/4000&lt;0.1,0.1,C74/4000)</f>
        <v>0.1</v>
      </c>
      <c r="AA74" s="726">
        <v>0.1</v>
      </c>
      <c r="AB74" s="725">
        <f t="shared" ref="AB74:AB89" si="41">IF((C74/8000+C74/6000)&lt;0.1,0.1,C74/8000+C74/6000)</f>
        <v>0.1</v>
      </c>
    </row>
    <row r="75" spans="1:31">
      <c r="A75" s="733">
        <v>6</v>
      </c>
      <c r="B75" s="731">
        <v>145</v>
      </c>
      <c r="C75" s="732">
        <v>160</v>
      </c>
      <c r="D75" s="727">
        <f t="shared" si="23"/>
        <v>7.4999999999999997E-3</v>
      </c>
      <c r="E75" s="731">
        <v>0.6</v>
      </c>
      <c r="F75" s="731">
        <f t="shared" si="24"/>
        <v>0.7</v>
      </c>
      <c r="G75" s="727">
        <f t="shared" si="25"/>
        <v>2.0106192982974676E-2</v>
      </c>
      <c r="H75" s="730">
        <f t="shared" si="26"/>
        <v>9.7946903508512664E-2</v>
      </c>
      <c r="I75" s="729">
        <f t="shared" si="27"/>
        <v>0.13589380701702533</v>
      </c>
      <c r="J75" s="729">
        <f t="shared" si="28"/>
        <v>0.19589380701702533</v>
      </c>
      <c r="K75" s="728">
        <f t="shared" si="29"/>
        <v>0.19589380701702533</v>
      </c>
      <c r="L75" s="728">
        <f t="shared" si="30"/>
        <v>9.7946903508512664E-2</v>
      </c>
      <c r="M75" s="728">
        <f t="shared" si="31"/>
        <v>9.7946903508512664E-2</v>
      </c>
      <c r="N75" s="728">
        <f t="shared" si="32"/>
        <v>7.0617160508365251E-2</v>
      </c>
      <c r="O75" s="728">
        <f t="shared" si="33"/>
        <v>0.11594690350851267</v>
      </c>
      <c r="P75" s="728">
        <f t="shared" si="34"/>
        <v>0.16189380701702533</v>
      </c>
      <c r="Q75" s="728">
        <f t="shared" si="35"/>
        <v>0.23189380701702533</v>
      </c>
      <c r="R75" s="728">
        <f t="shared" si="36"/>
        <v>0.23189380701702533</v>
      </c>
      <c r="S75" s="728">
        <f t="shared" si="37"/>
        <v>0.11594690350851267</v>
      </c>
      <c r="T75" s="728">
        <f t="shared" si="38"/>
        <v>0.11594690350851267</v>
      </c>
      <c r="U75" s="728">
        <f t="shared" si="39"/>
        <v>8.3283827175031924E-2</v>
      </c>
      <c r="V75" s="727"/>
      <c r="W75" s="727"/>
      <c r="X75" s="727"/>
      <c r="Y75" s="725">
        <v>0.1</v>
      </c>
      <c r="Z75" s="726">
        <f t="shared" si="40"/>
        <v>0.1</v>
      </c>
      <c r="AA75" s="726">
        <v>0.1</v>
      </c>
      <c r="AB75" s="725">
        <f t="shared" si="41"/>
        <v>0.1</v>
      </c>
    </row>
    <row r="76" spans="1:31">
      <c r="A76" s="733">
        <v>8</v>
      </c>
      <c r="B76" s="731">
        <v>182</v>
      </c>
      <c r="C76" s="732">
        <v>200</v>
      </c>
      <c r="D76" s="727">
        <f t="shared" si="23"/>
        <v>8.9999999999999993E-3</v>
      </c>
      <c r="E76" s="731">
        <v>0.6</v>
      </c>
      <c r="F76" s="731">
        <f t="shared" si="24"/>
        <v>0.7</v>
      </c>
      <c r="G76" s="727">
        <f t="shared" si="25"/>
        <v>3.1415926535897934E-2</v>
      </c>
      <c r="H76" s="730">
        <f t="shared" si="26"/>
        <v>0.10429203673205104</v>
      </c>
      <c r="I76" s="729">
        <f t="shared" si="27"/>
        <v>0.14858407346410207</v>
      </c>
      <c r="J76" s="729">
        <f t="shared" si="28"/>
        <v>0.20858407346410207</v>
      </c>
      <c r="K76" s="728">
        <f t="shared" si="29"/>
        <v>0.20858407346410207</v>
      </c>
      <c r="L76" s="728">
        <f t="shared" si="30"/>
        <v>0.10429203673205104</v>
      </c>
      <c r="M76" s="728">
        <f t="shared" si="31"/>
        <v>0.10429203673205104</v>
      </c>
      <c r="N76" s="728">
        <f t="shared" si="32"/>
        <v>7.1589313294320694E-2</v>
      </c>
      <c r="O76" s="728">
        <f t="shared" si="33"/>
        <v>0.12429203673205103</v>
      </c>
      <c r="P76" s="728">
        <f t="shared" si="34"/>
        <v>0.1785840734641021</v>
      </c>
      <c r="Q76" s="728">
        <f t="shared" si="35"/>
        <v>0.24858407346410205</v>
      </c>
      <c r="R76" s="728">
        <f t="shared" si="36"/>
        <v>0.24858407346410205</v>
      </c>
      <c r="S76" s="728">
        <f t="shared" si="37"/>
        <v>0.12429203673205103</v>
      </c>
      <c r="T76" s="728">
        <f t="shared" si="38"/>
        <v>0.12429203673205103</v>
      </c>
      <c r="U76" s="728">
        <f t="shared" si="39"/>
        <v>8.4922646627654017E-2</v>
      </c>
      <c r="V76" s="727"/>
      <c r="W76" s="727"/>
      <c r="X76" s="727"/>
      <c r="Y76" s="725">
        <v>0.1</v>
      </c>
      <c r="Z76" s="726">
        <f t="shared" si="40"/>
        <v>0.1</v>
      </c>
      <c r="AA76" s="726">
        <v>0.1</v>
      </c>
      <c r="AB76" s="725">
        <f t="shared" si="41"/>
        <v>0.1</v>
      </c>
    </row>
    <row r="77" spans="1:31">
      <c r="A77" s="733">
        <v>10</v>
      </c>
      <c r="B77" s="731">
        <v>227</v>
      </c>
      <c r="C77" s="732">
        <v>250</v>
      </c>
      <c r="D77" s="727">
        <f t="shared" si="23"/>
        <v>1.15E-2</v>
      </c>
      <c r="E77" s="731">
        <v>0.65</v>
      </c>
      <c r="F77" s="731">
        <f t="shared" si="24"/>
        <v>0.75</v>
      </c>
      <c r="G77" s="727">
        <f t="shared" si="25"/>
        <v>4.9087385212340517E-2</v>
      </c>
      <c r="H77" s="730">
        <f t="shared" si="26"/>
        <v>0.12170630739382976</v>
      </c>
      <c r="I77" s="729">
        <f t="shared" si="27"/>
        <v>0.17841261478765946</v>
      </c>
      <c r="J77" s="729">
        <f t="shared" si="28"/>
        <v>0.24341261478765946</v>
      </c>
      <c r="K77" s="728">
        <f t="shared" si="29"/>
        <v>0.24341261478765952</v>
      </c>
      <c r="L77" s="728">
        <f t="shared" si="30"/>
        <v>0.12170630739382976</v>
      </c>
      <c r="M77" s="728">
        <f t="shared" si="31"/>
        <v>0.12170630739382976</v>
      </c>
      <c r="N77" s="728">
        <f t="shared" si="32"/>
        <v>7.894163535570943E-2</v>
      </c>
      <c r="O77" s="728">
        <f t="shared" si="33"/>
        <v>0.14420630739382975</v>
      </c>
      <c r="P77" s="728">
        <f t="shared" si="34"/>
        <v>0.21341261478765944</v>
      </c>
      <c r="Q77" s="728">
        <f t="shared" si="35"/>
        <v>0.28841261478765945</v>
      </c>
      <c r="R77" s="728">
        <f t="shared" si="36"/>
        <v>0.2884126147876595</v>
      </c>
      <c r="S77" s="728">
        <f t="shared" si="37"/>
        <v>0.14420630739382975</v>
      </c>
      <c r="T77" s="728">
        <f t="shared" si="38"/>
        <v>0.14420630739382975</v>
      </c>
      <c r="U77" s="728">
        <f t="shared" si="39"/>
        <v>9.3108302022376091E-2</v>
      </c>
      <c r="V77" s="727"/>
      <c r="W77" s="727"/>
      <c r="X77" s="727"/>
      <c r="Y77" s="725">
        <v>0.1</v>
      </c>
      <c r="Z77" s="726">
        <f t="shared" si="40"/>
        <v>0.1</v>
      </c>
      <c r="AA77" s="726">
        <v>0.1</v>
      </c>
      <c r="AB77" s="725">
        <f t="shared" si="41"/>
        <v>0.1</v>
      </c>
    </row>
    <row r="78" spans="1:31">
      <c r="A78" s="733">
        <v>12</v>
      </c>
      <c r="B78" s="731">
        <v>284</v>
      </c>
      <c r="C78" s="732">
        <v>315</v>
      </c>
      <c r="D78" s="727">
        <f t="shared" si="23"/>
        <v>1.55E-2</v>
      </c>
      <c r="E78" s="731">
        <v>0.7</v>
      </c>
      <c r="F78" s="731">
        <f t="shared" si="24"/>
        <v>0.79999999999999993</v>
      </c>
      <c r="G78" s="727">
        <f t="shared" si="25"/>
        <v>7.793113276311181E-2</v>
      </c>
      <c r="H78" s="730">
        <f t="shared" si="26"/>
        <v>0.14128443361844409</v>
      </c>
      <c r="I78" s="729">
        <f t="shared" si="27"/>
        <v>0.21256886723688817</v>
      </c>
      <c r="J78" s="729">
        <f t="shared" si="28"/>
        <v>0.28256886723688818</v>
      </c>
      <c r="K78" s="728">
        <f t="shared" si="29"/>
        <v>0.28256886723688818</v>
      </c>
      <c r="L78" s="728">
        <f t="shared" si="30"/>
        <v>0.14128443361844409</v>
      </c>
      <c r="M78" s="728">
        <f t="shared" si="31"/>
        <v>0.14128443361844409</v>
      </c>
      <c r="N78" s="728">
        <f t="shared" si="32"/>
        <v>8.5886240290724281E-2</v>
      </c>
      <c r="O78" s="728">
        <f t="shared" si="33"/>
        <v>0.16703443361844408</v>
      </c>
      <c r="P78" s="728">
        <f t="shared" si="34"/>
        <v>0.25406886723688821</v>
      </c>
      <c r="Q78" s="728">
        <f t="shared" si="35"/>
        <v>0.33406886723688817</v>
      </c>
      <c r="R78" s="728">
        <f t="shared" si="36"/>
        <v>0.33406886723688817</v>
      </c>
      <c r="S78" s="728">
        <f t="shared" si="37"/>
        <v>0.16703443361844408</v>
      </c>
      <c r="T78" s="728">
        <f t="shared" si="38"/>
        <v>0.16703443361844408</v>
      </c>
      <c r="U78" s="728">
        <f t="shared" si="39"/>
        <v>0.10113624029072427</v>
      </c>
      <c r="V78" s="727"/>
      <c r="W78" s="727"/>
      <c r="X78" s="727"/>
      <c r="Y78" s="725">
        <v>0.1</v>
      </c>
      <c r="Z78" s="726">
        <f t="shared" si="40"/>
        <v>0.1</v>
      </c>
      <c r="AA78" s="726">
        <v>0.1</v>
      </c>
      <c r="AB78" s="725">
        <f t="shared" si="41"/>
        <v>0.1</v>
      </c>
    </row>
    <row r="79" spans="1:31">
      <c r="A79" s="733">
        <v>14</v>
      </c>
      <c r="B79" s="731">
        <v>327</v>
      </c>
      <c r="C79" s="732">
        <v>355</v>
      </c>
      <c r="D79" s="727">
        <f t="shared" si="23"/>
        <v>1.4E-2</v>
      </c>
      <c r="E79" s="731">
        <v>0.75</v>
      </c>
      <c r="F79" s="731">
        <f t="shared" si="24"/>
        <v>0.85</v>
      </c>
      <c r="G79" s="727">
        <f t="shared" si="25"/>
        <v>9.8979803542163416E-2</v>
      </c>
      <c r="H79" s="730">
        <f t="shared" si="26"/>
        <v>0.19613509822891831</v>
      </c>
      <c r="I79" s="729">
        <f t="shared" si="27"/>
        <v>0.27977019645783663</v>
      </c>
      <c r="J79" s="729">
        <f t="shared" si="28"/>
        <v>0.35477019645783658</v>
      </c>
      <c r="K79" s="728">
        <f t="shared" si="29"/>
        <v>0.31727019645783655</v>
      </c>
      <c r="L79" s="728">
        <f t="shared" si="30"/>
        <v>0.19613509822891831</v>
      </c>
      <c r="M79" s="728">
        <f t="shared" si="31"/>
        <v>0.19613509822891831</v>
      </c>
      <c r="N79" s="728">
        <f t="shared" si="32"/>
        <v>9.5532330197919152E-2</v>
      </c>
      <c r="O79" s="728">
        <f t="shared" si="33"/>
        <v>0.22888509822891828</v>
      </c>
      <c r="P79" s="728">
        <f t="shared" si="34"/>
        <v>0.33027019645783656</v>
      </c>
      <c r="Q79" s="728">
        <f t="shared" si="35"/>
        <v>0.41527019645783658</v>
      </c>
      <c r="R79" s="728">
        <f t="shared" si="36"/>
        <v>0.37277019645783654</v>
      </c>
      <c r="S79" s="728">
        <f t="shared" si="37"/>
        <v>0.22888509822891828</v>
      </c>
      <c r="T79" s="728">
        <f t="shared" si="38"/>
        <v>0.22888509822891828</v>
      </c>
      <c r="U79" s="728">
        <f t="shared" si="39"/>
        <v>0.11180316353125247</v>
      </c>
      <c r="V79" s="727"/>
      <c r="W79" s="727"/>
      <c r="X79" s="727"/>
      <c r="Y79" s="725">
        <v>0.15</v>
      </c>
      <c r="Z79" s="726">
        <f t="shared" si="40"/>
        <v>0.1</v>
      </c>
      <c r="AA79" s="726">
        <v>0.1</v>
      </c>
      <c r="AB79" s="725">
        <f t="shared" si="41"/>
        <v>0.10354166666666667</v>
      </c>
    </row>
    <row r="80" spans="1:31">
      <c r="A80" s="733">
        <v>16</v>
      </c>
      <c r="B80" s="731">
        <v>362</v>
      </c>
      <c r="C80" s="732">
        <v>400</v>
      </c>
      <c r="D80" s="727">
        <f t="shared" si="23"/>
        <v>1.9E-2</v>
      </c>
      <c r="E80" s="731">
        <v>0.8</v>
      </c>
      <c r="F80" s="731">
        <f t="shared" si="24"/>
        <v>0.9</v>
      </c>
      <c r="G80" s="727">
        <f t="shared" si="25"/>
        <v>0.12566370614359174</v>
      </c>
      <c r="H80" s="730">
        <f t="shared" si="26"/>
        <v>0.2171681469282041</v>
      </c>
      <c r="I80" s="729">
        <f t="shared" si="27"/>
        <v>0.31433629385640832</v>
      </c>
      <c r="J80" s="729">
        <f t="shared" si="28"/>
        <v>0.39433629385640828</v>
      </c>
      <c r="K80" s="728">
        <f t="shared" si="29"/>
        <v>0.35433629385640836</v>
      </c>
      <c r="L80" s="728">
        <f t="shared" si="30"/>
        <v>0.2171681469282041</v>
      </c>
      <c r="M80" s="728">
        <f t="shared" si="31"/>
        <v>0.2171681469282041</v>
      </c>
      <c r="N80" s="728">
        <f t="shared" si="32"/>
        <v>0.11302391984394948</v>
      </c>
      <c r="O80" s="728">
        <f t="shared" si="33"/>
        <v>0.25216814692820411</v>
      </c>
      <c r="P80" s="728">
        <f t="shared" si="34"/>
        <v>0.36933629385640832</v>
      </c>
      <c r="Q80" s="728">
        <f t="shared" si="35"/>
        <v>0.45933629385640834</v>
      </c>
      <c r="R80" s="728">
        <f t="shared" si="36"/>
        <v>0.41433629385640841</v>
      </c>
      <c r="S80" s="728">
        <f t="shared" si="37"/>
        <v>0.25216814692820411</v>
      </c>
      <c r="T80" s="728">
        <f t="shared" si="38"/>
        <v>0.25216814692820411</v>
      </c>
      <c r="U80" s="728">
        <f t="shared" si="39"/>
        <v>0.13135725317728281</v>
      </c>
      <c r="V80" s="727"/>
      <c r="W80" s="727"/>
      <c r="X80" s="727"/>
      <c r="Y80" s="725">
        <v>0.15</v>
      </c>
      <c r="Z80" s="726">
        <f t="shared" si="40"/>
        <v>0.1</v>
      </c>
      <c r="AA80" s="726">
        <v>0.1</v>
      </c>
      <c r="AB80" s="725">
        <f t="shared" si="41"/>
        <v>0.11666666666666667</v>
      </c>
    </row>
    <row r="81" spans="1:28">
      <c r="A81" s="733">
        <v>18</v>
      </c>
      <c r="B81" s="731">
        <v>407</v>
      </c>
      <c r="C81" s="732">
        <v>450</v>
      </c>
      <c r="D81" s="727">
        <f t="shared" si="23"/>
        <v>2.1499999999999998E-2</v>
      </c>
      <c r="E81" s="731">
        <v>0.85</v>
      </c>
      <c r="F81" s="731">
        <f t="shared" si="24"/>
        <v>0.95</v>
      </c>
      <c r="G81" s="727">
        <f t="shared" si="25"/>
        <v>0.15904312808798329</v>
      </c>
      <c r="H81" s="730">
        <f t="shared" si="26"/>
        <v>0.23922843595600835</v>
      </c>
      <c r="I81" s="729">
        <f t="shared" si="27"/>
        <v>0.35095687191201674</v>
      </c>
      <c r="J81" s="729">
        <f t="shared" si="28"/>
        <v>0.43595687191201671</v>
      </c>
      <c r="K81" s="728">
        <f t="shared" si="29"/>
        <v>0.41470687191201672</v>
      </c>
      <c r="L81" s="728">
        <f t="shared" si="30"/>
        <v>0.23922843595600835</v>
      </c>
      <c r="M81" s="728">
        <f t="shared" si="31"/>
        <v>0.23922843595600835</v>
      </c>
      <c r="N81" s="728">
        <f t="shared" si="32"/>
        <v>0.13273339855249852</v>
      </c>
      <c r="O81" s="728">
        <f t="shared" si="33"/>
        <v>0.27672843595600832</v>
      </c>
      <c r="P81" s="728">
        <f t="shared" si="34"/>
        <v>0.41095687191201669</v>
      </c>
      <c r="Q81" s="728">
        <f t="shared" si="35"/>
        <v>0.50595687191201666</v>
      </c>
      <c r="R81" s="728">
        <f t="shared" si="36"/>
        <v>0.48220687191201672</v>
      </c>
      <c r="S81" s="728">
        <f t="shared" si="37"/>
        <v>0.27672843595600832</v>
      </c>
      <c r="T81" s="728">
        <f t="shared" si="38"/>
        <v>0.27672843595600832</v>
      </c>
      <c r="U81" s="728">
        <f t="shared" si="39"/>
        <v>0.15335839855249853</v>
      </c>
      <c r="V81" s="727"/>
      <c r="W81" s="727"/>
      <c r="X81" s="727"/>
      <c r="Y81" s="725">
        <v>0.15</v>
      </c>
      <c r="Z81" s="726">
        <f t="shared" si="40"/>
        <v>0.1125</v>
      </c>
      <c r="AA81" s="726">
        <v>0.1</v>
      </c>
      <c r="AB81" s="725">
        <f t="shared" si="41"/>
        <v>0.13125000000000001</v>
      </c>
    </row>
    <row r="82" spans="1:28">
      <c r="A82" s="733">
        <v>20</v>
      </c>
      <c r="B82" s="731">
        <v>452</v>
      </c>
      <c r="C82" s="732">
        <v>500</v>
      </c>
      <c r="D82" s="727">
        <f t="shared" si="23"/>
        <v>2.4E-2</v>
      </c>
      <c r="E82" s="731">
        <v>0.9</v>
      </c>
      <c r="F82" s="731">
        <f t="shared" si="24"/>
        <v>1</v>
      </c>
      <c r="G82" s="727">
        <f t="shared" si="25"/>
        <v>0.19634954084936207</v>
      </c>
      <c r="H82" s="730">
        <f t="shared" si="26"/>
        <v>0.26182522957531901</v>
      </c>
      <c r="I82" s="729">
        <f t="shared" si="27"/>
        <v>0.38865045915063801</v>
      </c>
      <c r="J82" s="729">
        <f t="shared" si="28"/>
        <v>0.47865045915063797</v>
      </c>
      <c r="K82" s="728">
        <f t="shared" si="29"/>
        <v>0.47865045915063797</v>
      </c>
      <c r="L82" s="728">
        <f t="shared" si="30"/>
        <v>0.26182522957531901</v>
      </c>
      <c r="M82" s="728">
        <f t="shared" si="31"/>
        <v>0.26182522957531901</v>
      </c>
      <c r="N82" s="728">
        <f t="shared" si="32"/>
        <v>0.15368320808950431</v>
      </c>
      <c r="O82" s="728">
        <f t="shared" si="33"/>
        <v>0.30182522957531899</v>
      </c>
      <c r="P82" s="728">
        <f t="shared" si="34"/>
        <v>0.45365045915063795</v>
      </c>
      <c r="Q82" s="728">
        <f t="shared" si="35"/>
        <v>0.55365045915063793</v>
      </c>
      <c r="R82" s="728">
        <f t="shared" si="36"/>
        <v>0.55365045915063793</v>
      </c>
      <c r="S82" s="728">
        <f t="shared" si="37"/>
        <v>0.30182522957531899</v>
      </c>
      <c r="T82" s="728">
        <f t="shared" si="38"/>
        <v>0.30182522957531899</v>
      </c>
      <c r="U82" s="728">
        <f t="shared" si="39"/>
        <v>0.176599874756171</v>
      </c>
      <c r="V82" s="727"/>
      <c r="W82" s="727"/>
      <c r="X82" s="727"/>
      <c r="Y82" s="725">
        <v>0.15</v>
      </c>
      <c r="Z82" s="726">
        <f t="shared" si="40"/>
        <v>0.125</v>
      </c>
      <c r="AA82" s="726">
        <v>0.1</v>
      </c>
      <c r="AB82" s="725">
        <f t="shared" si="41"/>
        <v>0.14583333333333331</v>
      </c>
    </row>
    <row r="83" spans="1:28">
      <c r="A83" s="733">
        <v>24</v>
      </c>
      <c r="B83" s="731">
        <v>595.12</v>
      </c>
      <c r="C83" s="732">
        <v>656</v>
      </c>
      <c r="D83" s="727">
        <f t="shared" si="23"/>
        <v>3.0439999999999998E-2</v>
      </c>
      <c r="E83" s="731">
        <v>1.05</v>
      </c>
      <c r="F83" s="731">
        <f t="shared" si="24"/>
        <v>1.1500000000000001</v>
      </c>
      <c r="G83" s="727">
        <f t="shared" si="25"/>
        <v>0.33798510404380433</v>
      </c>
      <c r="H83" s="730">
        <f t="shared" si="26"/>
        <v>0.33290744797809785</v>
      </c>
      <c r="I83" s="729">
        <f t="shared" si="27"/>
        <v>0.50831489595619572</v>
      </c>
      <c r="J83" s="729">
        <f t="shared" si="28"/>
        <v>0.6133148959561957</v>
      </c>
      <c r="K83" s="728">
        <f t="shared" si="29"/>
        <v>0.69521489595619579</v>
      </c>
      <c r="L83" s="728">
        <f t="shared" si="30"/>
        <v>0.33290744797809785</v>
      </c>
      <c r="M83" s="728">
        <f t="shared" si="31"/>
        <v>0.33290744797809785</v>
      </c>
      <c r="N83" s="728">
        <f t="shared" si="32"/>
        <v>0.22521446814561982</v>
      </c>
      <c r="O83" s="728">
        <f t="shared" si="33"/>
        <v>0.38070744797809791</v>
      </c>
      <c r="P83" s="728">
        <f t="shared" si="34"/>
        <v>0.58891489595619584</v>
      </c>
      <c r="Q83" s="728">
        <f t="shared" si="35"/>
        <v>0.70391489595619572</v>
      </c>
      <c r="R83" s="728">
        <f t="shared" si="36"/>
        <v>0.79361489595619583</v>
      </c>
      <c r="S83" s="728">
        <f t="shared" si="37"/>
        <v>0.38070744797809791</v>
      </c>
      <c r="T83" s="728">
        <f t="shared" si="38"/>
        <v>0.38070744797809791</v>
      </c>
      <c r="U83" s="728">
        <f t="shared" si="39"/>
        <v>0.25528113481228654</v>
      </c>
      <c r="V83" s="727"/>
      <c r="W83" s="727"/>
      <c r="X83" s="727"/>
      <c r="Y83" s="725">
        <v>0.15</v>
      </c>
      <c r="Z83" s="726">
        <f t="shared" si="40"/>
        <v>0.16400000000000001</v>
      </c>
      <c r="AA83" s="726">
        <v>0.1</v>
      </c>
      <c r="AB83" s="725">
        <f t="shared" si="41"/>
        <v>0.19133333333333336</v>
      </c>
    </row>
    <row r="84" spans="1:28">
      <c r="A84" s="733">
        <v>27</v>
      </c>
      <c r="B84" s="731">
        <v>670</v>
      </c>
      <c r="C84" s="732">
        <v>730</v>
      </c>
      <c r="D84" s="727">
        <f t="shared" si="23"/>
        <v>0.03</v>
      </c>
      <c r="E84" s="731">
        <v>1.1499999999999999</v>
      </c>
      <c r="F84" s="731">
        <f t="shared" si="24"/>
        <v>1.25</v>
      </c>
      <c r="G84" s="727">
        <f t="shared" si="25"/>
        <v>0.41853868127450011</v>
      </c>
      <c r="H84" s="730">
        <f t="shared" si="26"/>
        <v>0.38298065936274989</v>
      </c>
      <c r="I84" s="729">
        <f t="shared" si="27"/>
        <v>0.5934613187254999</v>
      </c>
      <c r="J84" s="729">
        <f t="shared" si="28"/>
        <v>0.70846131872549989</v>
      </c>
      <c r="K84" s="728">
        <f t="shared" si="29"/>
        <v>0.84071131872549987</v>
      </c>
      <c r="L84" s="728">
        <f t="shared" si="30"/>
        <v>0.38298065936274989</v>
      </c>
      <c r="M84" s="728">
        <f t="shared" si="31"/>
        <v>0.38298065936274989</v>
      </c>
      <c r="N84" s="728">
        <f t="shared" si="32"/>
        <v>0.27271945969692085</v>
      </c>
      <c r="O84" s="728">
        <f t="shared" si="33"/>
        <v>0.43448065936274999</v>
      </c>
      <c r="P84" s="728">
        <f t="shared" si="34"/>
        <v>0.68146131872549998</v>
      </c>
      <c r="Q84" s="728">
        <f t="shared" si="35"/>
        <v>0.80646131872549998</v>
      </c>
      <c r="R84" s="728">
        <f t="shared" si="36"/>
        <v>0.9502113187254998</v>
      </c>
      <c r="S84" s="728">
        <f t="shared" si="37"/>
        <v>0.43448065936274999</v>
      </c>
      <c r="T84" s="728">
        <f t="shared" si="38"/>
        <v>0.43448065936274999</v>
      </c>
      <c r="U84" s="728">
        <f t="shared" si="39"/>
        <v>0.30617779303025416</v>
      </c>
      <c r="V84" s="727"/>
      <c r="W84" s="727"/>
      <c r="X84" s="727"/>
      <c r="Y84" s="725">
        <v>0.15</v>
      </c>
      <c r="Z84" s="726">
        <f t="shared" si="40"/>
        <v>0.1825</v>
      </c>
      <c r="AA84" s="726">
        <v>0.11</v>
      </c>
      <c r="AB84" s="725">
        <f t="shared" si="41"/>
        <v>0.21291666666666667</v>
      </c>
    </row>
    <row r="85" spans="1:28">
      <c r="A85" s="733">
        <v>30</v>
      </c>
      <c r="B85" s="731">
        <v>747</v>
      </c>
      <c r="C85" s="732">
        <v>813</v>
      </c>
      <c r="D85" s="727">
        <f t="shared" si="23"/>
        <v>3.3000000000000002E-2</v>
      </c>
      <c r="E85" s="731">
        <v>1.2</v>
      </c>
      <c r="F85" s="731">
        <f t="shared" si="24"/>
        <v>1.3</v>
      </c>
      <c r="G85" s="727">
        <f t="shared" si="25"/>
        <v>0.51912383866264789</v>
      </c>
      <c r="H85" s="730">
        <f t="shared" si="26"/>
        <v>0.40823808066867601</v>
      </c>
      <c r="I85" s="729">
        <f t="shared" si="27"/>
        <v>0.63647616133735208</v>
      </c>
      <c r="J85" s="729">
        <f t="shared" si="28"/>
        <v>0.75647616133735196</v>
      </c>
      <c r="K85" s="728">
        <f t="shared" si="29"/>
        <v>0.94427616133735215</v>
      </c>
      <c r="L85" s="728">
        <f t="shared" si="30"/>
        <v>0.40823808066867601</v>
      </c>
      <c r="M85" s="728">
        <f t="shared" si="31"/>
        <v>0.40823808066867601</v>
      </c>
      <c r="N85" s="728">
        <f t="shared" si="32"/>
        <v>0.30816992047084646</v>
      </c>
      <c r="O85" s="728">
        <f t="shared" si="33"/>
        <v>0.46388808066867609</v>
      </c>
      <c r="P85" s="728">
        <f t="shared" si="34"/>
        <v>0.73277616133735213</v>
      </c>
      <c r="Q85" s="728">
        <f t="shared" si="35"/>
        <v>0.86277616133735202</v>
      </c>
      <c r="R85" s="728">
        <f t="shared" si="36"/>
        <v>1.0662261613373523</v>
      </c>
      <c r="S85" s="728">
        <f t="shared" si="37"/>
        <v>0.46388808066867609</v>
      </c>
      <c r="T85" s="728">
        <f t="shared" si="38"/>
        <v>0.46388808066867609</v>
      </c>
      <c r="U85" s="728">
        <f t="shared" si="39"/>
        <v>0.34543242047084644</v>
      </c>
      <c r="V85" s="727"/>
      <c r="W85" s="727"/>
      <c r="X85" s="727"/>
      <c r="Y85" s="725">
        <v>0.15</v>
      </c>
      <c r="Z85" s="726">
        <f t="shared" si="40"/>
        <v>0.20324999999999999</v>
      </c>
      <c r="AA85" s="726">
        <v>0.13</v>
      </c>
      <c r="AB85" s="725">
        <f t="shared" si="41"/>
        <v>0.237125</v>
      </c>
    </row>
    <row r="86" spans="1:28">
      <c r="A86" s="733">
        <v>33</v>
      </c>
      <c r="B86" s="731">
        <v>824</v>
      </c>
      <c r="C86" s="732">
        <v>898</v>
      </c>
      <c r="D86" s="727">
        <f t="shared" si="23"/>
        <v>3.6999999999999998E-2</v>
      </c>
      <c r="E86" s="731">
        <v>1.25</v>
      </c>
      <c r="F86" s="731">
        <f t="shared" si="24"/>
        <v>1.35</v>
      </c>
      <c r="G86" s="727">
        <f t="shared" si="25"/>
        <v>0.63334822055635587</v>
      </c>
      <c r="H86" s="730">
        <f t="shared" si="26"/>
        <v>0.43207588972182209</v>
      </c>
      <c r="I86" s="729">
        <f t="shared" si="27"/>
        <v>0.67665177944364419</v>
      </c>
      <c r="J86" s="729">
        <f t="shared" si="28"/>
        <v>0.80165177944364419</v>
      </c>
      <c r="K86" s="728">
        <f t="shared" si="29"/>
        <v>1.050401779443644</v>
      </c>
      <c r="L86" s="728">
        <f t="shared" si="30"/>
        <v>0.43207588972182209</v>
      </c>
      <c r="M86" s="728">
        <f t="shared" si="31"/>
        <v>0.43207588972182209</v>
      </c>
      <c r="N86" s="728">
        <f t="shared" si="32"/>
        <v>0.34491888161150142</v>
      </c>
      <c r="O86" s="728">
        <f t="shared" si="33"/>
        <v>0.49197588972182205</v>
      </c>
      <c r="P86" s="728">
        <f t="shared" si="34"/>
        <v>0.78145177944364419</v>
      </c>
      <c r="Q86" s="728">
        <f t="shared" si="35"/>
        <v>0.91645177944364442</v>
      </c>
      <c r="R86" s="728">
        <f t="shared" si="36"/>
        <v>1.1851017794436443</v>
      </c>
      <c r="S86" s="728">
        <f t="shared" si="37"/>
        <v>0.49197588972182205</v>
      </c>
      <c r="T86" s="728">
        <f t="shared" si="38"/>
        <v>0.49197588972182205</v>
      </c>
      <c r="U86" s="728">
        <f t="shared" si="39"/>
        <v>0.38607721494483482</v>
      </c>
      <c r="V86" s="727"/>
      <c r="W86" s="727"/>
      <c r="X86" s="727"/>
      <c r="Y86" s="725">
        <v>0.15</v>
      </c>
      <c r="Z86" s="726">
        <f t="shared" si="40"/>
        <v>0.22450000000000001</v>
      </c>
      <c r="AA86" s="726">
        <v>0.14000000000000001</v>
      </c>
      <c r="AB86" s="725">
        <f t="shared" si="41"/>
        <v>0.26191666666666669</v>
      </c>
    </row>
    <row r="87" spans="1:28">
      <c r="A87" s="733">
        <v>36</v>
      </c>
      <c r="B87" s="731">
        <v>900</v>
      </c>
      <c r="C87" s="732">
        <v>980</v>
      </c>
      <c r="D87" s="727">
        <f t="shared" si="23"/>
        <v>0.04</v>
      </c>
      <c r="E87" s="731">
        <v>1.35</v>
      </c>
      <c r="F87" s="731">
        <f t="shared" si="24"/>
        <v>1.4500000000000002</v>
      </c>
      <c r="G87" s="727">
        <f t="shared" si="25"/>
        <v>0.75429639612690924</v>
      </c>
      <c r="H87" s="730">
        <f t="shared" si="26"/>
        <v>0.48685180193654548</v>
      </c>
      <c r="I87" s="729">
        <f t="shared" si="27"/>
        <v>0.77120360387309062</v>
      </c>
      <c r="J87" s="729">
        <f t="shared" si="28"/>
        <v>0.90620360387309085</v>
      </c>
      <c r="K87" s="728">
        <f t="shared" si="29"/>
        <v>1.230203603873091</v>
      </c>
      <c r="L87" s="728">
        <f t="shared" si="30"/>
        <v>0.48685180193654548</v>
      </c>
      <c r="M87" s="728">
        <f t="shared" si="31"/>
        <v>0.48685180193654548</v>
      </c>
      <c r="N87" s="728">
        <f t="shared" si="32"/>
        <v>0.40443441219664</v>
      </c>
      <c r="O87" s="728">
        <f t="shared" si="33"/>
        <v>0.55085180193654559</v>
      </c>
      <c r="P87" s="728">
        <f t="shared" si="34"/>
        <v>0.88420360387309083</v>
      </c>
      <c r="Q87" s="728">
        <f t="shared" si="35"/>
        <v>1.029203603873091</v>
      </c>
      <c r="R87" s="728">
        <f t="shared" si="36"/>
        <v>1.3772036038730913</v>
      </c>
      <c r="S87" s="728">
        <f t="shared" si="37"/>
        <v>0.55085180193654559</v>
      </c>
      <c r="T87" s="728">
        <f t="shared" si="38"/>
        <v>0.55085180193654559</v>
      </c>
      <c r="U87" s="728">
        <f t="shared" si="39"/>
        <v>0.44935107886330672</v>
      </c>
      <c r="V87" s="727"/>
      <c r="W87" s="727"/>
      <c r="X87" s="727"/>
      <c r="Y87" s="725">
        <v>0.15</v>
      </c>
      <c r="Z87" s="726">
        <f t="shared" si="40"/>
        <v>0.245</v>
      </c>
      <c r="AA87" s="726">
        <v>0.15</v>
      </c>
      <c r="AB87" s="725">
        <f t="shared" si="41"/>
        <v>0.28583333333333333</v>
      </c>
    </row>
    <row r="88" spans="1:28">
      <c r="A88" s="733">
        <v>39</v>
      </c>
      <c r="B88" s="731">
        <v>977.6</v>
      </c>
      <c r="C88" s="732">
        <v>1065</v>
      </c>
      <c r="D88" s="727">
        <f t="shared" si="23"/>
        <v>4.3699999999999989E-2</v>
      </c>
      <c r="E88" s="731">
        <v>1.45</v>
      </c>
      <c r="F88" s="731">
        <f t="shared" si="24"/>
        <v>1.55</v>
      </c>
      <c r="G88" s="727">
        <f t="shared" si="25"/>
        <v>0.89081823187947062</v>
      </c>
      <c r="H88" s="730">
        <f t="shared" si="26"/>
        <v>0.61671588406026445</v>
      </c>
      <c r="I88" s="729">
        <f t="shared" si="27"/>
        <v>0.94343176812052909</v>
      </c>
      <c r="J88" s="729">
        <f t="shared" si="28"/>
        <v>1.0884317681205293</v>
      </c>
      <c r="K88" s="728">
        <f t="shared" si="29"/>
        <v>1.4255567681205292</v>
      </c>
      <c r="L88" s="728">
        <f t="shared" si="30"/>
        <v>0.61671588406026445</v>
      </c>
      <c r="M88" s="728">
        <f t="shared" si="31"/>
        <v>0.61671588406026445</v>
      </c>
      <c r="N88" s="728">
        <f t="shared" si="32"/>
        <v>0.46929097178127233</v>
      </c>
      <c r="O88" s="728">
        <f t="shared" si="33"/>
        <v>0.68996588406026471</v>
      </c>
      <c r="P88" s="728">
        <f t="shared" si="34"/>
        <v>1.0699317681205294</v>
      </c>
      <c r="Q88" s="728">
        <f t="shared" si="35"/>
        <v>1.2249317681205296</v>
      </c>
      <c r="R88" s="728">
        <f t="shared" si="36"/>
        <v>1.5853067681205295</v>
      </c>
      <c r="S88" s="728">
        <f t="shared" si="37"/>
        <v>0.68996588406026471</v>
      </c>
      <c r="T88" s="728">
        <f t="shared" si="38"/>
        <v>0.68996588406026471</v>
      </c>
      <c r="U88" s="728">
        <f t="shared" si="39"/>
        <v>0.51810347178127236</v>
      </c>
      <c r="V88" s="727"/>
      <c r="W88" s="727"/>
      <c r="X88" s="727"/>
      <c r="Y88" s="725">
        <v>0.2</v>
      </c>
      <c r="Z88" s="726">
        <f t="shared" si="40"/>
        <v>0.26624999999999999</v>
      </c>
      <c r="AA88" s="726">
        <v>0.18</v>
      </c>
      <c r="AB88" s="725">
        <f t="shared" si="41"/>
        <v>0.31062499999999998</v>
      </c>
    </row>
    <row r="89" spans="1:28">
      <c r="A89" s="733">
        <v>42</v>
      </c>
      <c r="B89" s="731">
        <v>1054</v>
      </c>
      <c r="C89" s="732">
        <v>1149</v>
      </c>
      <c r="D89" s="727">
        <f t="shared" si="23"/>
        <v>4.7500000000000001E-2</v>
      </c>
      <c r="E89" s="731">
        <v>1.5</v>
      </c>
      <c r="F89" s="731">
        <f t="shared" si="24"/>
        <v>1.6</v>
      </c>
      <c r="G89" s="727">
        <f t="shared" si="25"/>
        <v>1.0368834407154746</v>
      </c>
      <c r="H89" s="730">
        <f t="shared" si="26"/>
        <v>0.64330827964226278</v>
      </c>
      <c r="I89" s="729">
        <f t="shared" si="27"/>
        <v>0.9866165592845253</v>
      </c>
      <c r="J89" s="729">
        <f t="shared" si="28"/>
        <v>1.1366165592845257</v>
      </c>
      <c r="K89" s="728">
        <f t="shared" si="29"/>
        <v>1.5483665592845257</v>
      </c>
      <c r="L89" s="728">
        <f t="shared" si="30"/>
        <v>0.64330827964226278</v>
      </c>
      <c r="M89" s="728">
        <f t="shared" si="31"/>
        <v>0.64330827964226278</v>
      </c>
      <c r="N89" s="728">
        <f t="shared" si="32"/>
        <v>0.51234257501188696</v>
      </c>
      <c r="O89" s="728">
        <f t="shared" si="33"/>
        <v>0.7207582796422628</v>
      </c>
      <c r="P89" s="728">
        <f t="shared" si="34"/>
        <v>1.1215165592845253</v>
      </c>
      <c r="Q89" s="728">
        <f t="shared" si="35"/>
        <v>1.2815165592845255</v>
      </c>
      <c r="R89" s="728">
        <f t="shared" si="36"/>
        <v>1.7207165592845255</v>
      </c>
      <c r="S89" s="728">
        <f t="shared" si="37"/>
        <v>0.7207582796422628</v>
      </c>
      <c r="T89" s="728">
        <f t="shared" si="38"/>
        <v>0.7207582796422628</v>
      </c>
      <c r="U89" s="728">
        <f t="shared" si="39"/>
        <v>0.56500507501188701</v>
      </c>
      <c r="V89" s="727"/>
      <c r="W89" s="727"/>
      <c r="X89" s="727"/>
      <c r="Y89" s="725">
        <v>0.2</v>
      </c>
      <c r="Z89" s="726">
        <f t="shared" si="40"/>
        <v>0.28725000000000001</v>
      </c>
      <c r="AA89" s="726">
        <v>0.2</v>
      </c>
      <c r="AB89" s="725">
        <f t="shared" si="41"/>
        <v>0.33512500000000001</v>
      </c>
    </row>
    <row r="90" spans="1:28">
      <c r="A90" s="700"/>
      <c r="B90" s="700"/>
      <c r="C90" s="702"/>
      <c r="D90" s="700"/>
      <c r="E90" s="700"/>
      <c r="F90" s="700"/>
      <c r="G90" s="700"/>
      <c r="H90" s="700"/>
      <c r="I90" s="700"/>
      <c r="J90" s="700"/>
      <c r="K90" s="700"/>
      <c r="L90" s="700"/>
      <c r="M90" s="700"/>
      <c r="N90" s="700"/>
      <c r="O90" s="700"/>
      <c r="P90" s="700"/>
      <c r="Q90" s="700"/>
      <c r="R90" s="700"/>
      <c r="S90" s="700"/>
      <c r="T90" s="700"/>
      <c r="U90" s="700"/>
      <c r="V90" s="700"/>
      <c r="W90" s="700"/>
      <c r="X90" s="700"/>
      <c r="Y90" s="701"/>
      <c r="Z90" s="700"/>
      <c r="AA90" s="700"/>
      <c r="AB90" s="700"/>
    </row>
    <row r="91" spans="1:28">
      <c r="A91" s="700"/>
      <c r="B91" s="700"/>
      <c r="C91" s="702"/>
      <c r="D91" s="700"/>
      <c r="E91" s="700"/>
      <c r="F91" s="700"/>
      <c r="G91" s="700"/>
      <c r="H91" s="700"/>
      <c r="I91" s="700"/>
      <c r="J91" s="700"/>
      <c r="K91" s="700"/>
      <c r="L91" s="700"/>
      <c r="M91" s="700"/>
      <c r="N91" s="700"/>
      <c r="O91" s="700"/>
      <c r="P91" s="700"/>
      <c r="Q91" s="700"/>
      <c r="R91" s="700"/>
      <c r="S91" s="700"/>
      <c r="T91" s="700"/>
      <c r="U91" s="700"/>
      <c r="V91" s="700"/>
      <c r="W91" s="700"/>
      <c r="X91" s="700"/>
      <c r="Y91" s="701"/>
      <c r="Z91" s="700"/>
      <c r="AA91" s="700"/>
      <c r="AB91" s="700"/>
    </row>
    <row r="92" spans="1:28" ht="12.75" customHeight="1">
      <c r="B92" s="1935" t="s">
        <v>2034</v>
      </c>
      <c r="C92" s="1935"/>
      <c r="D92" s="1935"/>
      <c r="E92" s="700"/>
      <c r="F92" s="700"/>
      <c r="G92" s="700"/>
      <c r="H92" s="700"/>
      <c r="I92" s="700"/>
      <c r="J92" s="700"/>
      <c r="K92" s="700"/>
      <c r="L92" s="700"/>
      <c r="M92" s="700"/>
      <c r="N92" s="700"/>
      <c r="O92" s="700"/>
      <c r="P92" s="700"/>
      <c r="Q92" s="700"/>
      <c r="R92" s="700"/>
      <c r="S92" s="700"/>
      <c r="T92" s="700"/>
      <c r="U92" s="700"/>
      <c r="V92" s="700"/>
      <c r="W92" s="700"/>
      <c r="X92" s="700"/>
      <c r="Y92" s="701"/>
      <c r="Z92" s="700"/>
      <c r="AA92" s="700"/>
      <c r="AB92" s="700"/>
    </row>
    <row r="93" spans="1:28">
      <c r="E93" s="700"/>
      <c r="F93" s="700"/>
      <c r="G93" s="700"/>
      <c r="H93" s="700"/>
      <c r="I93" s="700"/>
      <c r="J93" s="700"/>
      <c r="K93" s="700"/>
      <c r="L93" s="700"/>
      <c r="M93" s="700"/>
      <c r="N93" s="700"/>
      <c r="O93" s="700"/>
      <c r="P93" s="700"/>
      <c r="Q93" s="700"/>
      <c r="R93" s="700"/>
      <c r="S93" s="700"/>
      <c r="T93" s="700"/>
      <c r="U93" s="700"/>
      <c r="V93" s="700"/>
      <c r="W93" s="700"/>
      <c r="X93" s="700"/>
      <c r="Y93" s="701"/>
      <c r="Z93" s="700"/>
      <c r="AA93" s="700"/>
      <c r="AB93" s="700"/>
    </row>
    <row r="94" spans="1:28">
      <c r="C94" s="724" t="s">
        <v>2035</v>
      </c>
      <c r="D94" s="724" t="s">
        <v>2036</v>
      </c>
      <c r="E94" s="700"/>
      <c r="F94" s="700"/>
      <c r="G94" s="700"/>
      <c r="H94" s="700"/>
      <c r="I94" s="700"/>
      <c r="J94" s="700"/>
      <c r="K94" s="700"/>
      <c r="L94" s="700"/>
      <c r="M94" s="700"/>
      <c r="N94" s="700"/>
      <c r="O94" s="700"/>
      <c r="P94" s="700"/>
      <c r="Q94" s="700"/>
      <c r="R94" s="700"/>
      <c r="S94" s="700"/>
      <c r="T94" s="700"/>
      <c r="U94" s="700"/>
      <c r="V94" s="700"/>
      <c r="W94" s="700"/>
      <c r="X94" s="700"/>
      <c r="Y94" s="701"/>
      <c r="Z94" s="700"/>
      <c r="AA94" s="700"/>
      <c r="AB94" s="700"/>
    </row>
    <row r="95" spans="1:28">
      <c r="B95" s="189" t="s">
        <v>2037</v>
      </c>
      <c r="C95" s="189" t="s">
        <v>2038</v>
      </c>
      <c r="D95" s="189" t="s">
        <v>2039</v>
      </c>
      <c r="E95" s="700"/>
      <c r="F95" s="700"/>
      <c r="G95" s="700"/>
      <c r="H95" s="700"/>
      <c r="I95" s="700"/>
      <c r="J95" s="700"/>
      <c r="K95" s="700"/>
      <c r="L95" s="700"/>
      <c r="M95" s="700"/>
      <c r="N95" s="700"/>
      <c r="O95" s="700"/>
      <c r="P95" s="700"/>
      <c r="Q95" s="700"/>
      <c r="R95" s="700"/>
      <c r="S95" s="700"/>
      <c r="T95" s="700"/>
      <c r="U95" s="700"/>
      <c r="V95" s="700"/>
      <c r="W95" s="700"/>
      <c r="X95" s="700"/>
      <c r="Y95" s="701"/>
      <c r="Z95" s="700"/>
      <c r="AA95" s="700"/>
      <c r="AB95" s="700"/>
    </row>
    <row r="96" spans="1:28">
      <c r="A96" s="189">
        <v>1</v>
      </c>
      <c r="B96" s="189" t="s">
        <v>2040</v>
      </c>
      <c r="C96" s="189">
        <v>1</v>
      </c>
      <c r="D96" s="189">
        <v>1</v>
      </c>
      <c r="E96" s="700"/>
      <c r="F96" s="700"/>
      <c r="G96" s="700"/>
      <c r="H96" s="700"/>
      <c r="I96" s="700"/>
      <c r="J96" s="700"/>
      <c r="K96" s="700"/>
      <c r="L96" s="700"/>
      <c r="M96" s="700"/>
      <c r="N96" s="700"/>
      <c r="O96" s="700"/>
      <c r="P96" s="700"/>
      <c r="Q96" s="700"/>
      <c r="R96" s="700"/>
      <c r="S96" s="700"/>
      <c r="T96" s="700"/>
      <c r="U96" s="700"/>
      <c r="V96" s="700"/>
      <c r="W96" s="700"/>
      <c r="X96" s="700"/>
      <c r="Y96" s="701"/>
      <c r="Z96" s="700"/>
      <c r="AA96" s="700"/>
      <c r="AB96" s="700"/>
    </row>
    <row r="97" spans="1:28">
      <c r="A97" s="189">
        <v>2</v>
      </c>
      <c r="B97" s="189" t="s">
        <v>2041</v>
      </c>
      <c r="C97" s="189">
        <v>0.95</v>
      </c>
      <c r="D97" s="189">
        <v>0.15</v>
      </c>
      <c r="E97" s="700"/>
      <c r="F97" s="700"/>
      <c r="G97" s="700"/>
      <c r="H97" s="716"/>
      <c r="I97" s="723">
        <v>1</v>
      </c>
      <c r="J97" s="722">
        <f t="shared" ref="J97:T97" si="42">I97+1</f>
        <v>2</v>
      </c>
      <c r="K97" s="722">
        <f t="shared" si="42"/>
        <v>3</v>
      </c>
      <c r="L97" s="722">
        <f t="shared" si="42"/>
        <v>4</v>
      </c>
      <c r="M97" s="722">
        <f t="shared" si="42"/>
        <v>5</v>
      </c>
      <c r="N97" s="722">
        <f t="shared" si="42"/>
        <v>6</v>
      </c>
      <c r="O97" s="722">
        <f t="shared" si="42"/>
        <v>7</v>
      </c>
      <c r="P97" s="722">
        <f t="shared" si="42"/>
        <v>8</v>
      </c>
      <c r="Q97" s="722">
        <f t="shared" si="42"/>
        <v>9</v>
      </c>
      <c r="R97" s="722">
        <f t="shared" si="42"/>
        <v>10</v>
      </c>
      <c r="S97" s="722">
        <f t="shared" si="42"/>
        <v>11</v>
      </c>
      <c r="T97" s="722">
        <f t="shared" si="42"/>
        <v>12</v>
      </c>
      <c r="U97" s="722">
        <v>13</v>
      </c>
      <c r="V97" s="700"/>
      <c r="W97" s="700"/>
      <c r="X97" s="700"/>
      <c r="Y97" s="701"/>
      <c r="Z97" s="700"/>
      <c r="AA97" s="700"/>
      <c r="AB97" s="700"/>
    </row>
    <row r="98" spans="1:28">
      <c r="A98" s="189">
        <v>3</v>
      </c>
      <c r="B98" s="189" t="s">
        <v>2042</v>
      </c>
      <c r="C98" s="189">
        <v>0.75</v>
      </c>
      <c r="D98" s="189">
        <v>7.0000000000000007E-2</v>
      </c>
      <c r="E98" s="700"/>
      <c r="F98" s="700"/>
      <c r="G98" s="700"/>
      <c r="H98" s="720" t="s">
        <v>2043</v>
      </c>
      <c r="I98" s="720" t="s">
        <v>2043</v>
      </c>
      <c r="J98" s="720" t="s">
        <v>193</v>
      </c>
      <c r="K98" s="720" t="s">
        <v>2044</v>
      </c>
      <c r="L98" s="720" t="s">
        <v>2045</v>
      </c>
      <c r="M98" s="721" t="s">
        <v>2046</v>
      </c>
      <c r="N98" s="721"/>
      <c r="O98" s="721"/>
      <c r="P98" s="720" t="s">
        <v>2047</v>
      </c>
      <c r="Q98" s="720"/>
      <c r="R98" s="720"/>
      <c r="S98" s="720"/>
      <c r="T98" s="720" t="s">
        <v>203</v>
      </c>
      <c r="U98" s="719" t="s">
        <v>2048</v>
      </c>
      <c r="V98" s="700"/>
      <c r="W98" s="700"/>
      <c r="X98" s="700"/>
      <c r="Y98" s="701"/>
      <c r="Z98" s="700"/>
      <c r="AA98" s="700"/>
      <c r="AB98" s="700"/>
    </row>
    <row r="99" spans="1:28">
      <c r="E99" s="700"/>
      <c r="F99" s="700"/>
      <c r="G99" s="700"/>
      <c r="H99" s="718" t="s">
        <v>2049</v>
      </c>
      <c r="I99" s="718" t="s">
        <v>2049</v>
      </c>
      <c r="J99" s="718" t="s">
        <v>245</v>
      </c>
      <c r="K99" s="718" t="s">
        <v>2050</v>
      </c>
      <c r="L99" s="718" t="s">
        <v>2051</v>
      </c>
      <c r="M99" s="718" t="s">
        <v>259</v>
      </c>
      <c r="N99" s="718" t="s">
        <v>260</v>
      </c>
      <c r="O99" s="718" t="s">
        <v>2052</v>
      </c>
      <c r="P99" s="718" t="s">
        <v>2053</v>
      </c>
      <c r="Q99" s="718" t="s">
        <v>220</v>
      </c>
      <c r="R99" s="718" t="s">
        <v>221</v>
      </c>
      <c r="S99" s="718" t="s">
        <v>2054</v>
      </c>
      <c r="T99" s="718" t="s">
        <v>269</v>
      </c>
      <c r="U99" s="717" t="s">
        <v>2055</v>
      </c>
      <c r="V99" s="700"/>
      <c r="W99" s="700"/>
      <c r="X99" s="700"/>
      <c r="Y99" s="701"/>
      <c r="Z99" s="700"/>
      <c r="AA99" s="700"/>
      <c r="AB99" s="700"/>
    </row>
    <row r="100" spans="1:28">
      <c r="B100" s="189" t="s">
        <v>2056</v>
      </c>
      <c r="C100" s="189">
        <v>0.5</v>
      </c>
      <c r="E100" s="700"/>
      <c r="F100" s="700"/>
      <c r="G100" s="700"/>
      <c r="H100" s="716"/>
      <c r="I100" s="715"/>
      <c r="J100" s="715"/>
      <c r="K100" s="715"/>
      <c r="L100" s="715"/>
      <c r="M100" s="715"/>
      <c r="N100" s="715"/>
      <c r="O100" s="715"/>
      <c r="P100" s="715"/>
      <c r="Q100" s="715"/>
      <c r="R100" s="715"/>
      <c r="S100" s="715" t="s">
        <v>2057</v>
      </c>
      <c r="T100" s="715"/>
      <c r="U100" s="714" t="s">
        <v>2058</v>
      </c>
      <c r="V100" s="700"/>
      <c r="W100" s="700"/>
      <c r="X100" s="700"/>
      <c r="Y100" s="701"/>
      <c r="Z100" s="700"/>
      <c r="AA100" s="700"/>
      <c r="AB100" s="700"/>
    </row>
    <row r="101" spans="1:28">
      <c r="B101" s="189" t="s">
        <v>2037</v>
      </c>
      <c r="C101" s="189">
        <v>2</v>
      </c>
      <c r="E101" s="700"/>
      <c r="F101" s="700"/>
      <c r="G101" s="700"/>
      <c r="H101" s="675"/>
      <c r="I101" s="713"/>
      <c r="J101" s="712"/>
      <c r="K101" s="712"/>
      <c r="L101" s="712"/>
      <c r="M101" s="712"/>
      <c r="N101" s="712"/>
      <c r="O101" s="712"/>
      <c r="P101" s="712"/>
      <c r="Q101" s="712"/>
      <c r="R101" s="712"/>
      <c r="S101" s="712"/>
      <c r="T101" s="712"/>
      <c r="U101" s="711"/>
      <c r="V101" s="700"/>
      <c r="W101" s="700"/>
      <c r="X101" s="700"/>
      <c r="Y101" s="701"/>
      <c r="Z101" s="700"/>
      <c r="AA101" s="700"/>
      <c r="AB101" s="700"/>
    </row>
    <row r="102" spans="1:28">
      <c r="B102" s="189" t="s">
        <v>2059</v>
      </c>
      <c r="C102" s="189">
        <v>0.5</v>
      </c>
      <c r="E102" s="700"/>
      <c r="F102" s="700"/>
      <c r="G102" s="700"/>
      <c r="H102" s="692">
        <v>6</v>
      </c>
      <c r="I102" s="692">
        <v>150</v>
      </c>
      <c r="J102" s="689">
        <v>0.6</v>
      </c>
      <c r="K102" s="689">
        <f t="shared" ref="K102:K126" si="43">Q102*(R102+S102/3)-0.22917*S102^2</f>
        <v>5.7060296333333343E-2</v>
      </c>
      <c r="L102" s="687">
        <v>0.12192</v>
      </c>
      <c r="M102" s="689">
        <v>6.3390000000000002E-2</v>
      </c>
      <c r="N102" s="691">
        <v>0.12192</v>
      </c>
      <c r="O102" s="690">
        <v>5.7149999999999999E-2</v>
      </c>
      <c r="P102" s="690">
        <v>0.32319999999999999</v>
      </c>
      <c r="Q102" s="689">
        <v>0.4</v>
      </c>
      <c r="R102" s="688">
        <v>0.1</v>
      </c>
      <c r="S102" s="688">
        <v>0.19</v>
      </c>
      <c r="T102" s="687">
        <v>2.7799999999999998E-2</v>
      </c>
      <c r="U102" s="698"/>
      <c r="V102" s="700"/>
      <c r="W102" s="700"/>
      <c r="X102" s="700"/>
      <c r="Y102" s="701"/>
      <c r="Z102" s="700"/>
      <c r="AA102" s="700"/>
      <c r="AB102" s="700"/>
    </row>
    <row r="103" spans="1:28">
      <c r="C103" s="189">
        <f>IF(C102&gt;1,IF(C100&gt;3.2,LOOKUP(C101,A96:A98,C96:C98),IF(C100&gt;1,IF(C101=1,1,IF(C101=2,0.8*(C100-1)/2.2,0.68*(C100-1)/2.2)),"NO")),IF(C100&lt;1,LOOKUP(C101,A96:A98,D96:D98),IF(C100&lt;3.2,IF(C101=1,1,IF(C101=2,0.8*(C100-1)/2.2,0.68*(C100-1)/2.2)),"NO")))</f>
        <v>0.15</v>
      </c>
      <c r="E103" s="700"/>
      <c r="F103" s="700"/>
      <c r="G103" s="700"/>
      <c r="H103" s="692">
        <v>8</v>
      </c>
      <c r="I103" s="692">
        <v>200</v>
      </c>
      <c r="J103" s="689">
        <v>0.6</v>
      </c>
      <c r="K103" s="689">
        <f t="shared" si="43"/>
        <v>6.7799808000000003E-2</v>
      </c>
      <c r="L103" s="687">
        <v>0.13202</v>
      </c>
      <c r="M103" s="689">
        <v>7.6310000000000003E-2</v>
      </c>
      <c r="N103" s="691">
        <v>0.13202</v>
      </c>
      <c r="O103" s="690">
        <v>5.5129999999999998E-2</v>
      </c>
      <c r="P103" s="690">
        <v>0.33829999999999999</v>
      </c>
      <c r="Q103" s="689">
        <v>0.45</v>
      </c>
      <c r="R103" s="688">
        <v>0.1</v>
      </c>
      <c r="S103" s="688">
        <v>0.24</v>
      </c>
      <c r="T103" s="687">
        <v>4.6800000000000001E-2</v>
      </c>
      <c r="U103" s="699">
        <v>0.03</v>
      </c>
      <c r="V103" s="700"/>
      <c r="W103" s="700"/>
      <c r="X103" s="700"/>
      <c r="Y103" s="701"/>
      <c r="Z103" s="700"/>
      <c r="AA103" s="700"/>
      <c r="AB103" s="700"/>
    </row>
    <row r="104" spans="1:28">
      <c r="A104" s="700"/>
      <c r="B104" s="700"/>
      <c r="C104" s="702"/>
      <c r="D104" s="700"/>
      <c r="E104" s="700"/>
      <c r="F104" s="700"/>
      <c r="G104" s="700"/>
      <c r="H104" s="692">
        <v>10</v>
      </c>
      <c r="I104" s="692">
        <v>250</v>
      </c>
      <c r="J104" s="689">
        <v>0.7</v>
      </c>
      <c r="K104" s="689">
        <f t="shared" si="43"/>
        <v>7.9643429666666668E-2</v>
      </c>
      <c r="L104" s="687">
        <v>0.16594999999999999</v>
      </c>
      <c r="M104" s="689">
        <v>8.9560000000000001E-2</v>
      </c>
      <c r="N104" s="691">
        <v>0.16594999999999999</v>
      </c>
      <c r="O104" s="690">
        <v>6.2560000000000004E-2</v>
      </c>
      <c r="P104" s="690">
        <v>0.41789999999999999</v>
      </c>
      <c r="Q104" s="689">
        <v>0.5</v>
      </c>
      <c r="R104" s="688">
        <v>0.1</v>
      </c>
      <c r="S104" s="688">
        <v>0.31</v>
      </c>
      <c r="T104" s="687">
        <v>7.4499999999999997E-2</v>
      </c>
      <c r="U104" s="699">
        <v>0.03</v>
      </c>
      <c r="V104" s="700"/>
      <c r="W104" s="700"/>
      <c r="X104" s="700"/>
      <c r="Y104" s="701"/>
      <c r="Z104" s="700"/>
      <c r="AA104" s="700"/>
      <c r="AB104" s="700"/>
    </row>
    <row r="105" spans="1:28">
      <c r="A105" s="700"/>
      <c r="B105" s="700"/>
      <c r="C105" s="702"/>
      <c r="D105" s="700"/>
      <c r="E105" s="700"/>
      <c r="F105" s="700"/>
      <c r="G105" s="700"/>
      <c r="H105" s="692">
        <v>12</v>
      </c>
      <c r="I105" s="692">
        <v>300</v>
      </c>
      <c r="J105" s="689">
        <v>0.7</v>
      </c>
      <c r="K105" s="689">
        <f t="shared" si="43"/>
        <v>9.1299568000000011E-2</v>
      </c>
      <c r="L105" s="687">
        <v>0.17357</v>
      </c>
      <c r="M105" s="689">
        <v>0.10292</v>
      </c>
      <c r="N105" s="691">
        <v>0.17357</v>
      </c>
      <c r="O105" s="690">
        <v>6.0859999999999997E-2</v>
      </c>
      <c r="P105" s="690">
        <v>0.42470000000000002</v>
      </c>
      <c r="Q105" s="689">
        <v>0.55000000000000004</v>
      </c>
      <c r="R105" s="688">
        <v>0.1</v>
      </c>
      <c r="S105" s="688">
        <v>0.36</v>
      </c>
      <c r="T105" s="687">
        <v>0.1041</v>
      </c>
      <c r="U105" s="699">
        <v>0.04</v>
      </c>
      <c r="V105" s="700"/>
      <c r="W105" s="700"/>
      <c r="X105" s="700"/>
      <c r="Y105" s="701"/>
      <c r="Z105" s="700"/>
      <c r="AA105" s="700"/>
      <c r="AB105" s="700"/>
    </row>
    <row r="106" spans="1:28">
      <c r="A106" s="700"/>
      <c r="B106" s="700"/>
      <c r="C106" s="702"/>
      <c r="D106" s="700"/>
      <c r="E106" s="700"/>
      <c r="F106" s="700"/>
      <c r="G106" s="700"/>
      <c r="H106" s="692">
        <v>14</v>
      </c>
      <c r="I106" s="692">
        <v>350</v>
      </c>
      <c r="J106" s="689">
        <v>0.8</v>
      </c>
      <c r="K106" s="689">
        <f t="shared" si="43"/>
        <v>0.103632688</v>
      </c>
      <c r="L106" s="687">
        <v>0.22097</v>
      </c>
      <c r="M106" s="689">
        <v>0.11849</v>
      </c>
      <c r="N106" s="691">
        <v>0.21196999999999999</v>
      </c>
      <c r="O106" s="690">
        <v>8.1199999999999994E-2</v>
      </c>
      <c r="P106" s="690">
        <v>0.51600000000000001</v>
      </c>
      <c r="Q106" s="689">
        <v>0.6</v>
      </c>
      <c r="R106" s="688">
        <v>0.1</v>
      </c>
      <c r="S106" s="688">
        <v>0.44</v>
      </c>
      <c r="T106" s="687">
        <v>0.15210000000000001</v>
      </c>
      <c r="U106" s="699">
        <v>0.04</v>
      </c>
      <c r="V106" s="700"/>
      <c r="W106" s="700"/>
      <c r="X106" s="700"/>
      <c r="Y106" s="701"/>
      <c r="Z106" s="700"/>
      <c r="AA106" s="700"/>
      <c r="AB106" s="700"/>
    </row>
    <row r="107" spans="1:28">
      <c r="A107" s="700"/>
      <c r="B107" s="700"/>
      <c r="C107" s="702"/>
      <c r="D107" s="700"/>
      <c r="E107" s="700"/>
      <c r="F107" s="700"/>
      <c r="G107" s="700"/>
      <c r="H107" s="710"/>
      <c r="I107" s="710">
        <v>375</v>
      </c>
      <c r="J107" s="707">
        <v>0.8</v>
      </c>
      <c r="K107" s="707">
        <f t="shared" si="43"/>
        <v>0.11620968033333334</v>
      </c>
      <c r="L107" s="687">
        <v>0.23019999999999999</v>
      </c>
      <c r="M107" s="707">
        <v>0.13833000000000001</v>
      </c>
      <c r="N107" s="709">
        <v>0.21467</v>
      </c>
      <c r="O107" s="708">
        <v>8.5849999999999996E-2</v>
      </c>
      <c r="P107" s="708">
        <v>0.51980000000000004</v>
      </c>
      <c r="Q107" s="707">
        <v>0.65</v>
      </c>
      <c r="R107" s="688">
        <v>0.1</v>
      </c>
      <c r="S107" s="688">
        <v>0.47</v>
      </c>
      <c r="T107" s="706">
        <v>0.17280000000000001</v>
      </c>
      <c r="U107" s="705">
        <v>0.04</v>
      </c>
      <c r="V107" s="700"/>
      <c r="W107" s="700"/>
      <c r="X107" s="700"/>
      <c r="Y107" s="701"/>
      <c r="Z107" s="700"/>
      <c r="AA107" s="700"/>
      <c r="AB107" s="700"/>
    </row>
    <row r="108" spans="1:28">
      <c r="A108" s="700"/>
      <c r="B108" s="700"/>
      <c r="C108" s="702"/>
      <c r="D108" s="700"/>
      <c r="E108" s="700"/>
      <c r="F108" s="700"/>
      <c r="G108" s="700"/>
      <c r="H108" s="692">
        <v>16</v>
      </c>
      <c r="I108" s="692">
        <v>400</v>
      </c>
      <c r="J108" s="689">
        <v>0.8</v>
      </c>
      <c r="K108" s="689">
        <f t="shared" si="43"/>
        <v>0.15604083333333335</v>
      </c>
      <c r="L108" s="687">
        <v>0.23932999999999999</v>
      </c>
      <c r="M108" s="689">
        <v>0.19478999999999999</v>
      </c>
      <c r="N108" s="691">
        <v>0.21682999999999999</v>
      </c>
      <c r="O108" s="690">
        <v>9.035E-2</v>
      </c>
      <c r="P108" s="690">
        <v>0.56240000000000001</v>
      </c>
      <c r="Q108" s="689">
        <v>0.8</v>
      </c>
      <c r="R108" s="688">
        <v>0.1</v>
      </c>
      <c r="S108" s="688">
        <v>0.5</v>
      </c>
      <c r="T108" s="687">
        <v>0.1963</v>
      </c>
      <c r="U108" s="699">
        <v>7.0000000000000007E-2</v>
      </c>
      <c r="V108" s="700"/>
      <c r="W108" s="700"/>
      <c r="X108" s="700"/>
      <c r="Y108" s="701"/>
      <c r="Z108" s="700"/>
      <c r="AA108" s="700"/>
      <c r="AB108" s="700"/>
    </row>
    <row r="109" spans="1:28">
      <c r="A109" s="700"/>
      <c r="B109" s="700"/>
      <c r="C109" s="702"/>
      <c r="D109" s="700"/>
      <c r="E109" s="700"/>
      <c r="F109" s="700"/>
      <c r="G109" s="700"/>
      <c r="H109" s="692">
        <v>18</v>
      </c>
      <c r="I109" s="692">
        <v>450</v>
      </c>
      <c r="J109" s="689">
        <v>0.9</v>
      </c>
      <c r="K109" s="689">
        <f t="shared" si="43"/>
        <v>0.17179895466666667</v>
      </c>
      <c r="L109" s="687">
        <v>0.29808000000000001</v>
      </c>
      <c r="M109" s="689">
        <v>0.22786000000000001</v>
      </c>
      <c r="N109" s="691">
        <v>0.25707999999999998</v>
      </c>
      <c r="O109" s="690">
        <v>0.11427</v>
      </c>
      <c r="P109" s="690">
        <v>0.66110000000000002</v>
      </c>
      <c r="Q109" s="689">
        <v>0.85</v>
      </c>
      <c r="R109" s="688">
        <v>0.1</v>
      </c>
      <c r="S109" s="688">
        <v>0.56000000000000005</v>
      </c>
      <c r="T109" s="687">
        <v>0.24979999999999999</v>
      </c>
      <c r="U109" s="699">
        <v>7.0000000000000007E-2</v>
      </c>
      <c r="V109" s="700"/>
      <c r="W109" s="700"/>
      <c r="X109" s="700"/>
      <c r="Y109" s="701"/>
      <c r="Z109" s="700"/>
      <c r="AA109" s="700"/>
      <c r="AB109" s="700"/>
    </row>
    <row r="110" spans="1:28">
      <c r="A110" s="700"/>
      <c r="B110" s="700"/>
      <c r="C110" s="702"/>
      <c r="D110" s="700"/>
      <c r="E110" s="700"/>
      <c r="F110" s="700"/>
      <c r="G110" s="700"/>
      <c r="H110" s="692">
        <v>20</v>
      </c>
      <c r="I110" s="692">
        <v>500</v>
      </c>
      <c r="J110" s="689">
        <v>1</v>
      </c>
      <c r="K110" s="689">
        <f t="shared" si="43"/>
        <v>0.18804242700000001</v>
      </c>
      <c r="L110" s="687">
        <v>0.36388999999999999</v>
      </c>
      <c r="M110" s="689">
        <v>0.24847</v>
      </c>
      <c r="N110" s="691">
        <v>0.30064000000000002</v>
      </c>
      <c r="O110" s="690">
        <v>0.13120999999999999</v>
      </c>
      <c r="P110" s="690">
        <v>0.76</v>
      </c>
      <c r="Q110" s="689">
        <v>0.9</v>
      </c>
      <c r="R110" s="688">
        <v>0.1</v>
      </c>
      <c r="S110" s="688">
        <v>0.63</v>
      </c>
      <c r="T110" s="687">
        <f>PI()*S110^2/4</f>
        <v>0.31172453105244724</v>
      </c>
      <c r="U110" s="699">
        <v>7.0000000000000007E-2</v>
      </c>
      <c r="V110" s="700"/>
      <c r="W110" s="700"/>
      <c r="X110" s="700"/>
      <c r="Y110" s="701"/>
      <c r="Z110" s="700"/>
      <c r="AA110" s="700"/>
      <c r="AB110" s="700"/>
    </row>
    <row r="111" spans="1:28">
      <c r="A111" s="700"/>
      <c r="B111" s="700"/>
      <c r="C111" s="702"/>
      <c r="D111" s="700"/>
      <c r="E111" s="700"/>
      <c r="F111" s="700"/>
      <c r="G111" s="700"/>
      <c r="H111" s="692"/>
      <c r="I111" s="692">
        <v>525</v>
      </c>
      <c r="J111" s="689">
        <v>1</v>
      </c>
      <c r="K111" s="689">
        <f t="shared" si="43"/>
        <v>0.20419827199999996</v>
      </c>
      <c r="L111" s="687">
        <v>0.38912000000000002</v>
      </c>
      <c r="M111" s="689">
        <v>0.28965999999999997</v>
      </c>
      <c r="N111" s="691">
        <v>0.30248999999999998</v>
      </c>
      <c r="O111" s="690">
        <v>0.14682999999999999</v>
      </c>
      <c r="P111" s="690">
        <v>0.76790000000000003</v>
      </c>
      <c r="Q111" s="689">
        <v>0.95</v>
      </c>
      <c r="R111" s="688">
        <v>0.1</v>
      </c>
      <c r="S111" s="688">
        <v>0.72</v>
      </c>
      <c r="T111" s="687">
        <v>0.40150000000000002</v>
      </c>
      <c r="U111" s="699">
        <v>7.0000000000000007E-2</v>
      </c>
      <c r="V111" s="700"/>
      <c r="W111" s="700"/>
      <c r="X111" s="700"/>
      <c r="Y111" s="701"/>
      <c r="Z111" s="700"/>
      <c r="AA111" s="700"/>
      <c r="AB111" s="700"/>
    </row>
    <row r="112" spans="1:28">
      <c r="A112" s="700"/>
      <c r="B112" s="700"/>
      <c r="C112" s="704"/>
      <c r="D112" s="700"/>
      <c r="E112" s="700"/>
      <c r="F112" s="700"/>
      <c r="G112" s="700"/>
      <c r="H112" s="692">
        <v>24</v>
      </c>
      <c r="I112" s="692">
        <v>600</v>
      </c>
      <c r="J112" s="689">
        <v>1.1000000000000001</v>
      </c>
      <c r="K112" s="689">
        <f t="shared" si="43"/>
        <v>0.22057297199999998</v>
      </c>
      <c r="L112" s="687">
        <v>0.46422999999999998</v>
      </c>
      <c r="M112" s="689">
        <v>0.33415</v>
      </c>
      <c r="N112" s="691">
        <v>0.34903000000000001</v>
      </c>
      <c r="O112" s="690">
        <v>0.18401999999999999</v>
      </c>
      <c r="P112" s="690">
        <v>0.88009999999999999</v>
      </c>
      <c r="Q112" s="689">
        <v>1</v>
      </c>
      <c r="R112" s="688">
        <v>0.1</v>
      </c>
      <c r="S112" s="688">
        <v>0.78</v>
      </c>
      <c r="T112" s="687">
        <v>0.48270000000000002</v>
      </c>
      <c r="U112" s="699">
        <v>0.12</v>
      </c>
      <c r="V112" s="700"/>
      <c r="W112" s="700"/>
      <c r="X112" s="700"/>
      <c r="Y112" s="701"/>
      <c r="Z112" s="700"/>
      <c r="AA112" s="700"/>
      <c r="AB112" s="700"/>
    </row>
    <row r="113" spans="1:28">
      <c r="A113" s="700"/>
      <c r="B113" s="700"/>
      <c r="C113" s="704"/>
      <c r="D113" s="700"/>
      <c r="E113" s="700"/>
      <c r="F113" s="700"/>
      <c r="G113" s="700"/>
      <c r="H113" s="692">
        <v>27</v>
      </c>
      <c r="I113" s="692">
        <v>675</v>
      </c>
      <c r="J113" s="689">
        <v>1.2</v>
      </c>
      <c r="K113" s="689">
        <f t="shared" si="43"/>
        <v>0.27486408533333329</v>
      </c>
      <c r="L113" s="687">
        <v>0.55303999999999998</v>
      </c>
      <c r="M113" s="689">
        <v>0.43556</v>
      </c>
      <c r="N113" s="691">
        <v>0.39800999999999997</v>
      </c>
      <c r="O113" s="690">
        <v>0.22216</v>
      </c>
      <c r="P113" s="690">
        <v>0.99790000000000001</v>
      </c>
      <c r="Q113" s="689">
        <v>1.1499999999999999</v>
      </c>
      <c r="R113" s="688">
        <v>0.1</v>
      </c>
      <c r="S113" s="688">
        <v>0.88</v>
      </c>
      <c r="T113" s="687">
        <v>0.60409999999999997</v>
      </c>
      <c r="U113" s="699">
        <v>0.12</v>
      </c>
      <c r="V113" s="700"/>
      <c r="W113" s="700"/>
      <c r="X113" s="700"/>
      <c r="Y113" s="701"/>
      <c r="Z113" s="700"/>
      <c r="AA113" s="700"/>
      <c r="AB113" s="700"/>
    </row>
    <row r="114" spans="1:28">
      <c r="A114" s="700"/>
      <c r="B114" s="700"/>
      <c r="C114" s="1936" t="s">
        <v>2034</v>
      </c>
      <c r="D114" s="1936"/>
      <c r="E114" s="1936"/>
      <c r="F114" s="700"/>
      <c r="G114" s="700"/>
      <c r="H114" s="692"/>
      <c r="I114" s="692">
        <v>700</v>
      </c>
      <c r="J114" s="689">
        <v>1.2</v>
      </c>
      <c r="K114" s="689">
        <f t="shared" si="43"/>
        <v>0.29279692800000001</v>
      </c>
      <c r="L114" s="687">
        <v>0.57320000000000004</v>
      </c>
      <c r="M114" s="689">
        <v>0.47696</v>
      </c>
      <c r="N114" s="691">
        <v>0.39250000000000002</v>
      </c>
      <c r="O114" s="690">
        <v>0.23164000000000001</v>
      </c>
      <c r="P114" s="690">
        <v>0.99470000000000003</v>
      </c>
      <c r="Q114" s="689">
        <v>1.2</v>
      </c>
      <c r="R114" s="688">
        <v>0.1</v>
      </c>
      <c r="S114" s="688">
        <v>0.96</v>
      </c>
      <c r="T114" s="687">
        <v>0.71779999999999999</v>
      </c>
      <c r="U114" s="699">
        <v>0.12</v>
      </c>
      <c r="V114" s="700"/>
      <c r="W114" s="700"/>
      <c r="X114" s="700"/>
      <c r="Y114" s="701"/>
      <c r="Z114" s="700"/>
      <c r="AA114" s="700"/>
      <c r="AB114" s="700"/>
    </row>
    <row r="115" spans="1:28">
      <c r="A115" s="700"/>
      <c r="B115" s="700"/>
      <c r="C115" s="702"/>
      <c r="D115" s="700"/>
      <c r="E115" s="700"/>
      <c r="F115" s="700"/>
      <c r="G115" s="700"/>
      <c r="H115" s="692">
        <v>30</v>
      </c>
      <c r="I115" s="692">
        <v>750</v>
      </c>
      <c r="J115" s="689">
        <v>1.3</v>
      </c>
      <c r="K115" s="689">
        <f t="shared" si="43"/>
        <v>0.33357153200000006</v>
      </c>
      <c r="L115" s="687">
        <v>0.66293000000000002</v>
      </c>
      <c r="M115" s="689">
        <v>0.55669000000000002</v>
      </c>
      <c r="N115" s="691">
        <v>0.44487900000000002</v>
      </c>
      <c r="O115" s="690">
        <v>0.26930999999999999</v>
      </c>
      <c r="P115" s="690">
        <v>1.1198999999999999</v>
      </c>
      <c r="Q115" s="689">
        <v>1.3</v>
      </c>
      <c r="R115" s="688">
        <v>0.1</v>
      </c>
      <c r="S115" s="688">
        <v>1.02</v>
      </c>
      <c r="T115" s="687">
        <v>0.82030000000000003</v>
      </c>
      <c r="U115" s="699">
        <v>0.14000000000000001</v>
      </c>
      <c r="V115" s="700"/>
      <c r="W115" s="700"/>
      <c r="X115" s="700"/>
      <c r="Y115" s="701"/>
      <c r="Z115" s="700"/>
      <c r="AA115" s="700"/>
      <c r="AB115" s="700"/>
    </row>
    <row r="116" spans="1:28">
      <c r="A116" s="700"/>
      <c r="B116" s="700"/>
      <c r="C116" s="702"/>
      <c r="D116" s="703" t="s">
        <v>2035</v>
      </c>
      <c r="E116" s="703" t="s">
        <v>2036</v>
      </c>
      <c r="F116" s="700"/>
      <c r="G116" s="700"/>
      <c r="H116" s="692"/>
      <c r="I116" s="692">
        <v>800</v>
      </c>
      <c r="J116" s="689">
        <v>1.4</v>
      </c>
      <c r="K116" s="689">
        <f t="shared" si="43"/>
        <v>0.38022312300000005</v>
      </c>
      <c r="L116" s="687">
        <v>0.75914000000000004</v>
      </c>
      <c r="M116" s="689">
        <v>0.60692999999999997</v>
      </c>
      <c r="N116" s="691">
        <v>0.52546999999999999</v>
      </c>
      <c r="O116" s="690">
        <v>0.30976999999999999</v>
      </c>
      <c r="P116" s="690">
        <v>1.2514000000000001</v>
      </c>
      <c r="Q116" s="689">
        <v>1.35</v>
      </c>
      <c r="R116" s="688">
        <v>0.12</v>
      </c>
      <c r="S116" s="688">
        <v>1.0900000000000001</v>
      </c>
      <c r="T116" s="687">
        <v>0.92969999999999997</v>
      </c>
      <c r="U116" s="699">
        <v>0.15</v>
      </c>
      <c r="V116" s="700"/>
      <c r="W116" s="700"/>
      <c r="X116" s="700"/>
      <c r="Y116" s="701"/>
      <c r="Z116" s="700"/>
      <c r="AA116" s="700"/>
      <c r="AB116" s="700"/>
    </row>
    <row r="117" spans="1:28">
      <c r="A117" s="700"/>
      <c r="B117" s="700"/>
      <c r="C117" s="702" t="s">
        <v>2037</v>
      </c>
      <c r="D117" s="700" t="s">
        <v>2038</v>
      </c>
      <c r="E117" s="700" t="s">
        <v>2039</v>
      </c>
      <c r="F117" s="700"/>
      <c r="G117" s="700"/>
      <c r="H117" s="692">
        <v>33</v>
      </c>
      <c r="I117" s="692">
        <v>825</v>
      </c>
      <c r="J117" s="689">
        <v>1.4</v>
      </c>
      <c r="K117" s="689">
        <f t="shared" si="43"/>
        <v>0.41670616033333319</v>
      </c>
      <c r="L117" s="687">
        <v>0.77005000000000001</v>
      </c>
      <c r="M117" s="689">
        <v>0.65100999999999998</v>
      </c>
      <c r="N117" s="691">
        <v>0.5343</v>
      </c>
      <c r="O117" s="690">
        <v>0.31680999999999998</v>
      </c>
      <c r="P117" s="690">
        <v>1.2481</v>
      </c>
      <c r="Q117" s="689">
        <v>1.4</v>
      </c>
      <c r="R117" s="688">
        <v>0.13</v>
      </c>
      <c r="S117" s="688">
        <v>1.1299999999999999</v>
      </c>
      <c r="T117" s="687">
        <v>1.0046999999999999</v>
      </c>
      <c r="U117" s="699">
        <v>0.16</v>
      </c>
      <c r="V117" s="700"/>
      <c r="W117" s="700"/>
      <c r="X117" s="700"/>
      <c r="Y117" s="701"/>
      <c r="Z117" s="700"/>
      <c r="AA117" s="700"/>
      <c r="AB117" s="700"/>
    </row>
    <row r="118" spans="1:28">
      <c r="A118" s="700"/>
      <c r="B118" s="700">
        <v>1</v>
      </c>
      <c r="C118" s="702" t="s">
        <v>2040</v>
      </c>
      <c r="D118" s="700">
        <v>1</v>
      </c>
      <c r="E118" s="700">
        <v>1</v>
      </c>
      <c r="F118" s="700"/>
      <c r="G118" s="700"/>
      <c r="H118" s="692">
        <v>36</v>
      </c>
      <c r="I118" s="692">
        <v>900</v>
      </c>
      <c r="J118" s="689">
        <v>1.5</v>
      </c>
      <c r="K118" s="689">
        <f t="shared" si="43"/>
        <v>0.49390337199999995</v>
      </c>
      <c r="L118" s="687">
        <v>0.87999000000000005</v>
      </c>
      <c r="M118" s="689">
        <v>0.75243000000000004</v>
      </c>
      <c r="N118" s="691">
        <v>0.62575000000000003</v>
      </c>
      <c r="O118" s="690">
        <v>0.36808999999999997</v>
      </c>
      <c r="P118" s="690">
        <v>1.3818999999999999</v>
      </c>
      <c r="Q118" s="689">
        <v>1.5</v>
      </c>
      <c r="R118" s="688">
        <v>0.15</v>
      </c>
      <c r="S118" s="688">
        <v>1.22</v>
      </c>
      <c r="T118" s="687">
        <v>1.1728000000000001</v>
      </c>
      <c r="U118" s="699">
        <v>0.21</v>
      </c>
      <c r="V118" s="700"/>
      <c r="W118" s="700"/>
      <c r="X118" s="700"/>
      <c r="Y118" s="701"/>
      <c r="Z118" s="700"/>
      <c r="AA118" s="700"/>
      <c r="AB118" s="700"/>
    </row>
    <row r="119" spans="1:28">
      <c r="A119" s="700"/>
      <c r="B119" s="700">
        <v>2</v>
      </c>
      <c r="C119" s="702" t="s">
        <v>2041</v>
      </c>
      <c r="D119" s="700">
        <v>0.95</v>
      </c>
      <c r="E119" s="700">
        <v>0.15</v>
      </c>
      <c r="F119" s="700"/>
      <c r="G119" s="700"/>
      <c r="H119" s="692">
        <v>39</v>
      </c>
      <c r="I119" s="692">
        <v>1000</v>
      </c>
      <c r="J119" s="689">
        <v>1.8</v>
      </c>
      <c r="K119" s="689">
        <f t="shared" si="43"/>
        <v>0.59116901466666671</v>
      </c>
      <c r="L119" s="687">
        <v>1.2043699999999999</v>
      </c>
      <c r="M119" s="689">
        <v>0.86921000000000004</v>
      </c>
      <c r="N119" s="691">
        <v>0.90281</v>
      </c>
      <c r="O119" s="690">
        <v>0.49969999999999998</v>
      </c>
      <c r="P119" s="690">
        <v>1.8404</v>
      </c>
      <c r="Q119" s="689">
        <v>1.6</v>
      </c>
      <c r="R119" s="688">
        <v>0.18</v>
      </c>
      <c r="S119" s="688">
        <v>1.34</v>
      </c>
      <c r="T119" s="687">
        <v>1.4103000000000001</v>
      </c>
      <c r="U119" s="699">
        <v>0.26</v>
      </c>
      <c r="V119" s="700"/>
      <c r="W119" s="700"/>
      <c r="X119" s="700"/>
      <c r="Y119" s="701"/>
      <c r="Z119" s="700"/>
      <c r="AA119" s="700"/>
      <c r="AB119" s="700"/>
    </row>
    <row r="120" spans="1:28">
      <c r="H120" s="692">
        <v>42</v>
      </c>
      <c r="I120" s="692">
        <v>1100</v>
      </c>
      <c r="J120" s="689">
        <v>2.2000000000000002</v>
      </c>
      <c r="K120" s="689">
        <f t="shared" si="43"/>
        <v>0.70976789466666657</v>
      </c>
      <c r="L120" s="687">
        <v>1.6791</v>
      </c>
      <c r="M120" s="689">
        <v>1.0185599999999999</v>
      </c>
      <c r="N120" s="691">
        <v>1.3205899999999999</v>
      </c>
      <c r="O120" s="690">
        <v>0.65858000000000005</v>
      </c>
      <c r="P120" s="690">
        <v>2.4535</v>
      </c>
      <c r="Q120" s="689">
        <v>1.72</v>
      </c>
      <c r="R120" s="688">
        <v>0.21</v>
      </c>
      <c r="S120" s="688">
        <v>1.46</v>
      </c>
      <c r="T120" s="687">
        <v>1.665</v>
      </c>
      <c r="U120" s="699">
        <v>0.26</v>
      </c>
    </row>
    <row r="121" spans="1:28">
      <c r="H121" s="670"/>
      <c r="I121" s="692">
        <v>1200</v>
      </c>
      <c r="J121" s="689">
        <v>2.2000000000000002</v>
      </c>
      <c r="K121" s="689">
        <f t="shared" si="43"/>
        <v>0.83965220033333332</v>
      </c>
      <c r="L121" s="687">
        <v>1.85917</v>
      </c>
      <c r="M121" s="689">
        <v>1.1729000000000001</v>
      </c>
      <c r="N121" s="691">
        <v>1.49823</v>
      </c>
      <c r="O121" s="690">
        <v>0.74558999999999997</v>
      </c>
      <c r="P121" s="690">
        <v>2.6394000000000002</v>
      </c>
      <c r="Q121" s="689">
        <v>1.84</v>
      </c>
      <c r="R121" s="688">
        <v>0.24</v>
      </c>
      <c r="S121" s="688">
        <v>1.57</v>
      </c>
      <c r="T121" s="687">
        <v>1.9409000000000001</v>
      </c>
      <c r="U121" s="699">
        <v>0.36</v>
      </c>
    </row>
    <row r="122" spans="1:28">
      <c r="H122" s="670"/>
      <c r="I122" s="692">
        <v>1300</v>
      </c>
      <c r="J122" s="689">
        <v>2.2999999999999998</v>
      </c>
      <c r="K122" s="689">
        <f t="shared" si="43"/>
        <v>0.9984008963333334</v>
      </c>
      <c r="L122" s="687">
        <v>2.0460699999999998</v>
      </c>
      <c r="M122" s="689">
        <v>1.3375300000000001</v>
      </c>
      <c r="N122" s="691">
        <v>1.6903999999999999</v>
      </c>
      <c r="O122" s="690">
        <v>0.88261000000000001</v>
      </c>
      <c r="P122" s="690">
        <v>3.0327000000000002</v>
      </c>
      <c r="Q122" s="689">
        <v>1.96</v>
      </c>
      <c r="R122" s="688">
        <v>0.28000000000000003</v>
      </c>
      <c r="S122" s="688">
        <v>1.69</v>
      </c>
      <c r="T122" s="687">
        <v>2.2378999999999998</v>
      </c>
      <c r="U122" s="698"/>
    </row>
    <row r="123" spans="1:28">
      <c r="H123" s="670"/>
      <c r="I123" s="692">
        <v>1400</v>
      </c>
      <c r="J123" s="689">
        <v>2.5</v>
      </c>
      <c r="K123" s="689">
        <f t="shared" si="43"/>
        <v>1.1697494963333335</v>
      </c>
      <c r="L123" s="687">
        <v>2.2408600000000001</v>
      </c>
      <c r="M123" s="689">
        <v>1.5124500000000001</v>
      </c>
      <c r="N123" s="691">
        <v>1.89951</v>
      </c>
      <c r="O123" s="690">
        <v>0.98216000000000003</v>
      </c>
      <c r="P123" s="690">
        <v>3.2332999999999998</v>
      </c>
      <c r="Q123" s="689">
        <v>2.08</v>
      </c>
      <c r="R123" s="688">
        <v>0.32</v>
      </c>
      <c r="S123" s="688">
        <v>1.81</v>
      </c>
      <c r="T123" s="687">
        <v>2.5617000000000001</v>
      </c>
      <c r="U123" s="698"/>
    </row>
    <row r="124" spans="1:28">
      <c r="H124" s="670"/>
      <c r="I124" s="692">
        <v>1500</v>
      </c>
      <c r="J124" s="689">
        <v>2.72</v>
      </c>
      <c r="K124" s="689">
        <f t="shared" si="43"/>
        <v>1.3551877120000002</v>
      </c>
      <c r="L124" s="687">
        <v>2.6143700000000001</v>
      </c>
      <c r="M124" s="689">
        <v>1.6976500000000001</v>
      </c>
      <c r="N124" s="691">
        <v>2.28207</v>
      </c>
      <c r="O124" s="690">
        <v>1.08623</v>
      </c>
      <c r="P124" s="690">
        <v>3.4352999999999998</v>
      </c>
      <c r="Q124" s="689">
        <v>2.2000000000000002</v>
      </c>
      <c r="R124" s="688">
        <v>0.36</v>
      </c>
      <c r="S124" s="688">
        <v>1.92</v>
      </c>
      <c r="T124" s="687">
        <v>2.9013</v>
      </c>
      <c r="U124" s="698"/>
    </row>
    <row r="125" spans="1:28">
      <c r="H125" s="670"/>
      <c r="I125" s="692">
        <v>1600</v>
      </c>
      <c r="J125" s="689">
        <v>2.8</v>
      </c>
      <c r="K125" s="689">
        <f t="shared" si="43"/>
        <v>1.5750861279999999</v>
      </c>
      <c r="L125" s="687">
        <v>2.8016000000000001</v>
      </c>
      <c r="M125" s="689">
        <v>1.8931500000000001</v>
      </c>
      <c r="N125" s="691">
        <v>2.5065599999999999</v>
      </c>
      <c r="O125" s="690">
        <v>1.19482</v>
      </c>
      <c r="P125" s="690">
        <v>3.6387</v>
      </c>
      <c r="Q125" s="689">
        <v>2.3199999999999998</v>
      </c>
      <c r="R125" s="688">
        <v>0.41</v>
      </c>
      <c r="S125" s="688">
        <v>2.04</v>
      </c>
      <c r="T125" s="687">
        <v>3.2621000000000002</v>
      </c>
      <c r="U125" s="698"/>
    </row>
    <row r="126" spans="1:28">
      <c r="H126" s="670"/>
      <c r="I126" s="692">
        <v>1700</v>
      </c>
      <c r="J126" s="689">
        <v>2.9</v>
      </c>
      <c r="K126" s="689">
        <f t="shared" si="43"/>
        <v>1.7873283416666668</v>
      </c>
      <c r="L126" s="687">
        <v>3.0211199999999998</v>
      </c>
      <c r="M126" s="689">
        <v>2.0989399999999998</v>
      </c>
      <c r="N126" s="691">
        <v>2.7690299999999999</v>
      </c>
      <c r="O126" s="690">
        <v>1.30793</v>
      </c>
      <c r="P126" s="690">
        <v>3.8435000000000001</v>
      </c>
      <c r="Q126" s="689">
        <v>2.44</v>
      </c>
      <c r="R126" s="688">
        <v>0.45</v>
      </c>
      <c r="S126" s="688">
        <v>2.15</v>
      </c>
      <c r="T126" s="687">
        <v>3.6238000000000001</v>
      </c>
      <c r="U126" s="698"/>
    </row>
    <row r="127" spans="1:28">
      <c r="H127" s="670"/>
      <c r="I127" s="692">
        <v>1800</v>
      </c>
      <c r="J127" s="689">
        <v>3</v>
      </c>
      <c r="K127" s="689">
        <v>1.2859799999999999</v>
      </c>
      <c r="L127" s="687">
        <v>3.24654</v>
      </c>
      <c r="M127" s="689">
        <v>2.3150200000000001</v>
      </c>
      <c r="N127" s="691">
        <v>3.0470999999999999</v>
      </c>
      <c r="O127" s="690">
        <v>1.4885699999999999</v>
      </c>
      <c r="P127" s="690">
        <v>4.3155999999999999</v>
      </c>
      <c r="Q127" s="689">
        <v>2.56</v>
      </c>
      <c r="R127" s="688">
        <v>0.5</v>
      </c>
      <c r="S127" s="688">
        <v>2.2599999999999998</v>
      </c>
      <c r="T127" s="687">
        <v>3.9973000000000001</v>
      </c>
      <c r="U127" s="698"/>
    </row>
    <row r="128" spans="1:28">
      <c r="H128" s="697"/>
      <c r="I128" s="696">
        <v>1900</v>
      </c>
      <c r="J128" s="689">
        <v>3.1</v>
      </c>
      <c r="K128" s="689">
        <f t="shared" ref="K128:K135" si="44">Q128*(R128+S128/3)-0.22917*S128^2</f>
        <v>2.3039750270000008</v>
      </c>
      <c r="L128" s="687">
        <v>3.4822500000000001</v>
      </c>
      <c r="M128" s="689">
        <v>2.5413899999999998</v>
      </c>
      <c r="N128" s="691">
        <v>3.3508499999999999</v>
      </c>
      <c r="O128" s="690">
        <v>1.61422</v>
      </c>
      <c r="P128" s="690">
        <v>4.5351999999999997</v>
      </c>
      <c r="Q128" s="696">
        <v>2.68</v>
      </c>
      <c r="R128" s="695">
        <v>0.55000000000000004</v>
      </c>
      <c r="S128" s="688">
        <v>2.37</v>
      </c>
      <c r="T128" s="687">
        <v>4.4115000000000002</v>
      </c>
      <c r="U128" s="694"/>
    </row>
    <row r="129" spans="8:21">
      <c r="H129" s="670"/>
      <c r="I129" s="692">
        <v>2000</v>
      </c>
      <c r="J129" s="689">
        <v>3.27</v>
      </c>
      <c r="K129" s="689">
        <f t="shared" si="44"/>
        <v>2.5871900803333325</v>
      </c>
      <c r="L129" s="687">
        <v>3.8482799999999999</v>
      </c>
      <c r="M129" s="689">
        <v>2.7780499999999999</v>
      </c>
      <c r="N129" s="691">
        <v>3.7873700000000001</v>
      </c>
      <c r="O129" s="690">
        <v>0.65410999999999997</v>
      </c>
      <c r="P129" s="690">
        <v>4.7561</v>
      </c>
      <c r="Q129" s="689">
        <v>2.8</v>
      </c>
      <c r="R129" s="688">
        <v>0.6</v>
      </c>
      <c r="S129" s="688">
        <v>2.4700000000000002</v>
      </c>
      <c r="T129" s="687">
        <v>4.7994000000000003</v>
      </c>
      <c r="U129" s="693"/>
    </row>
    <row r="130" spans="8:21">
      <c r="H130" s="670"/>
      <c r="I130" s="692">
        <v>2100</v>
      </c>
      <c r="J130" s="689">
        <v>3.3</v>
      </c>
      <c r="K130" s="689">
        <f t="shared" si="44"/>
        <v>2.9108380563333336</v>
      </c>
      <c r="L130" s="687">
        <v>3.9691999999999998</v>
      </c>
      <c r="M130" s="689">
        <v>3.0249999999999999</v>
      </c>
      <c r="N130" s="691">
        <v>4.0050699999999999</v>
      </c>
      <c r="O130" s="690">
        <v>0.62619000000000002</v>
      </c>
      <c r="P130" s="690">
        <v>5.2047999999999996</v>
      </c>
      <c r="Q130" s="689">
        <v>2.92</v>
      </c>
      <c r="R130" s="688">
        <v>0.66</v>
      </c>
      <c r="S130" s="688">
        <v>2.59</v>
      </c>
      <c r="T130" s="687">
        <v>5.2603999999999997</v>
      </c>
      <c r="U130" s="686"/>
    </row>
    <row r="131" spans="8:21">
      <c r="H131" s="670"/>
      <c r="I131" s="692">
        <v>2200</v>
      </c>
      <c r="J131" s="689">
        <v>3.5</v>
      </c>
      <c r="K131" s="689">
        <f t="shared" si="44"/>
        <v>3.2518859363333332</v>
      </c>
      <c r="L131" s="687">
        <v>4.4306900000000002</v>
      </c>
      <c r="M131" s="689">
        <v>3.2822399999999998</v>
      </c>
      <c r="N131" s="691">
        <v>4.5832499999999996</v>
      </c>
      <c r="O131" s="690">
        <v>0.58594999999999997</v>
      </c>
      <c r="P131" s="690">
        <v>5.4996999999999998</v>
      </c>
      <c r="Q131" s="689">
        <v>3.04</v>
      </c>
      <c r="R131" s="688">
        <v>0.72</v>
      </c>
      <c r="S131" s="688">
        <v>2.71</v>
      </c>
      <c r="T131" s="687">
        <v>5.7510000000000003</v>
      </c>
      <c r="U131" s="686"/>
    </row>
    <row r="132" spans="8:21">
      <c r="H132" s="670"/>
      <c r="I132" s="692">
        <v>2250</v>
      </c>
      <c r="J132" s="689">
        <v>3.5</v>
      </c>
      <c r="K132" s="689">
        <f t="shared" si="44"/>
        <v>3.5293348403333336</v>
      </c>
      <c r="L132" s="687">
        <v>4.4669100000000004</v>
      </c>
      <c r="M132" s="689">
        <v>3.5497700000000001</v>
      </c>
      <c r="N132" s="691">
        <v>4.6878500000000001</v>
      </c>
      <c r="O132" s="690">
        <v>0.53251000000000004</v>
      </c>
      <c r="P132" s="690">
        <v>5.8007</v>
      </c>
      <c r="Q132" s="689">
        <v>3.16</v>
      </c>
      <c r="R132" s="688">
        <v>0.75</v>
      </c>
      <c r="S132" s="688">
        <v>2.77</v>
      </c>
      <c r="T132" s="687">
        <v>6.0350000000000001</v>
      </c>
      <c r="U132" s="686"/>
    </row>
    <row r="133" spans="8:21">
      <c r="H133" s="670"/>
      <c r="I133" s="692">
        <v>2300</v>
      </c>
      <c r="J133" s="689">
        <v>3.6</v>
      </c>
      <c r="K133" s="689">
        <f t="shared" si="44"/>
        <v>3.8478731146666663</v>
      </c>
      <c r="L133" s="687">
        <v>4.7125599999999999</v>
      </c>
      <c r="M133" s="689">
        <v>3.8275899999999998</v>
      </c>
      <c r="N133" s="691">
        <v>5.0130800000000004</v>
      </c>
      <c r="O133" s="690">
        <v>0.46496999999999999</v>
      </c>
      <c r="P133" s="690">
        <v>6.1079999999999997</v>
      </c>
      <c r="Q133" s="689">
        <v>3.28</v>
      </c>
      <c r="R133" s="688">
        <v>0.79</v>
      </c>
      <c r="S133" s="688">
        <v>2.84</v>
      </c>
      <c r="T133" s="687">
        <v>6.3258000000000001</v>
      </c>
      <c r="U133" s="686"/>
    </row>
    <row r="134" spans="8:21">
      <c r="H134" s="670"/>
      <c r="I134" s="692">
        <v>2400</v>
      </c>
      <c r="J134" s="689">
        <v>3.7</v>
      </c>
      <c r="K134" s="689">
        <f t="shared" si="44"/>
        <v>4.2729814083333331</v>
      </c>
      <c r="L134" s="687">
        <v>4.9921600000000002</v>
      </c>
      <c r="M134" s="689">
        <v>4.1157000000000004</v>
      </c>
      <c r="N134" s="691">
        <v>5.4412599999999998</v>
      </c>
      <c r="O134" s="690">
        <v>0.38242999999999999</v>
      </c>
      <c r="P134" s="690">
        <v>6.4214000000000002</v>
      </c>
      <c r="Q134" s="689">
        <v>3.4</v>
      </c>
      <c r="R134" s="688">
        <v>0.86</v>
      </c>
      <c r="S134" s="688">
        <v>2.95</v>
      </c>
      <c r="T134" s="687">
        <v>6.8535000000000004</v>
      </c>
      <c r="U134" s="686"/>
    </row>
    <row r="135" spans="8:21">
      <c r="H135" s="670"/>
      <c r="I135" s="685">
        <v>2500</v>
      </c>
      <c r="J135" s="682">
        <v>3.8</v>
      </c>
      <c r="K135" s="682">
        <f t="shared" si="44"/>
        <v>4.7158290003333327</v>
      </c>
      <c r="L135" s="680">
        <v>5.2786</v>
      </c>
      <c r="M135" s="682">
        <v>4.4141000000000004</v>
      </c>
      <c r="N135" s="684">
        <v>5.8939700000000004</v>
      </c>
      <c r="O135" s="683">
        <v>0.28400999999999998</v>
      </c>
      <c r="P135" s="683">
        <v>6.7409999999999997</v>
      </c>
      <c r="Q135" s="682">
        <v>3.52</v>
      </c>
      <c r="R135" s="681">
        <v>0.93</v>
      </c>
      <c r="S135" s="681">
        <v>3.07</v>
      </c>
      <c r="T135" s="680">
        <v>7.4023000000000003</v>
      </c>
      <c r="U135" s="679"/>
    </row>
    <row r="136" spans="8:21">
      <c r="H136" s="670"/>
      <c r="I136" s="673"/>
      <c r="J136" s="676"/>
      <c r="K136" s="675"/>
      <c r="L136" s="674"/>
      <c r="M136" s="673"/>
      <c r="N136" s="672"/>
      <c r="O136" s="670"/>
      <c r="P136" s="670"/>
      <c r="Q136" s="670"/>
      <c r="R136" s="672"/>
      <c r="S136" s="671"/>
      <c r="T136" s="671"/>
      <c r="U136" s="678"/>
    </row>
    <row r="137" spans="8:21">
      <c r="H137" s="670"/>
      <c r="I137" s="673"/>
      <c r="J137" s="676"/>
      <c r="K137" s="675"/>
      <c r="L137" s="674"/>
      <c r="M137" s="673"/>
      <c r="N137" s="672"/>
      <c r="O137" s="670"/>
      <c r="P137" s="670"/>
      <c r="Q137" s="670"/>
      <c r="R137" s="672"/>
      <c r="S137" s="671"/>
      <c r="T137" s="671"/>
      <c r="U137" s="678"/>
    </row>
    <row r="138" spans="8:21">
      <c r="H138" s="670"/>
      <c r="I138" s="677" t="s">
        <v>2060</v>
      </c>
      <c r="J138" s="676"/>
      <c r="K138" s="675"/>
      <c r="L138" s="674"/>
      <c r="M138" s="673"/>
      <c r="N138" s="672"/>
      <c r="O138" s="670"/>
      <c r="P138" s="670"/>
      <c r="Q138" s="670"/>
      <c r="R138" s="672"/>
      <c r="S138" s="671"/>
      <c r="T138" s="671"/>
      <c r="U138" s="670"/>
    </row>
  </sheetData>
  <mergeCells count="41">
    <mergeCell ref="B92:D92"/>
    <mergeCell ref="C114:E114"/>
    <mergeCell ref="Y69:AB69"/>
    <mergeCell ref="K70:L70"/>
    <mergeCell ref="M70:N70"/>
    <mergeCell ref="R70:S70"/>
    <mergeCell ref="T70:U70"/>
    <mergeCell ref="Y70:Y71"/>
    <mergeCell ref="Z70:Z71"/>
    <mergeCell ref="AA70:AA71"/>
    <mergeCell ref="AB70:AB71"/>
    <mergeCell ref="K68:N68"/>
    <mergeCell ref="O68:R68"/>
    <mergeCell ref="S68:U68"/>
    <mergeCell ref="V68:X68"/>
    <mergeCell ref="C69:C70"/>
    <mergeCell ref="D69:D70"/>
    <mergeCell ref="K69:N69"/>
    <mergeCell ref="R69:U69"/>
    <mergeCell ref="V69:X69"/>
    <mergeCell ref="AC46:AC49"/>
    <mergeCell ref="K47:L47"/>
    <mergeCell ref="M47:N47"/>
    <mergeCell ref="R47:S47"/>
    <mergeCell ref="T47:U47"/>
    <mergeCell ref="Y47:Y48"/>
    <mergeCell ref="Z47:Z48"/>
    <mergeCell ref="AA47:AA48"/>
    <mergeCell ref="AB47:AB48"/>
    <mergeCell ref="Y46:AB46"/>
    <mergeCell ref="C46:C47"/>
    <mergeCell ref="D46:D47"/>
    <mergeCell ref="K46:N46"/>
    <mergeCell ref="R46:U46"/>
    <mergeCell ref="V46:X46"/>
    <mergeCell ref="V45:X45"/>
    <mergeCell ref="B3:B4"/>
    <mergeCell ref="C3:C4"/>
    <mergeCell ref="K45:N45"/>
    <mergeCell ref="O45:R45"/>
    <mergeCell ref="S45:U45"/>
  </mergeCells>
  <printOptions gridLines="1" gridLinesSet="0"/>
  <pageMargins left="0.75" right="0.75" top="1" bottom="1" header="0.511811024" footer="0.511811024"/>
  <pageSetup orientation="portrait" horizontalDpi="300" verticalDpi="30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B0F0"/>
  </sheetPr>
  <dimension ref="A1:F333"/>
  <sheetViews>
    <sheetView workbookViewId="0"/>
  </sheetViews>
  <sheetFormatPr baseColWidth="10" defaultColWidth="10.7109375" defaultRowHeight="15" customHeight="1"/>
  <cols>
    <col min="1" max="1" width="8.7109375" style="383" bestFit="1" customWidth="1"/>
    <col min="2" max="3" width="12.85546875" style="384" customWidth="1"/>
    <col min="4" max="4" width="11.7109375" style="385" customWidth="1"/>
    <col min="5" max="5" width="10.5703125" style="372" bestFit="1" customWidth="1"/>
    <col min="6" max="6" width="11.7109375" style="372" customWidth="1"/>
    <col min="7" max="7" width="11.5703125" style="372" customWidth="1"/>
    <col min="8" max="239" width="10.7109375" style="372"/>
    <col min="240" max="240" width="8.42578125" style="372" customWidth="1"/>
    <col min="241" max="241" width="12.28515625" style="372" customWidth="1"/>
    <col min="242" max="242" width="10.42578125" style="372" customWidth="1"/>
    <col min="243" max="243" width="6.5703125" style="372" customWidth="1"/>
    <col min="244" max="495" width="10.7109375" style="372"/>
    <col min="496" max="496" width="8.42578125" style="372" customWidth="1"/>
    <col min="497" max="497" width="12.28515625" style="372" customWidth="1"/>
    <col min="498" max="498" width="10.42578125" style="372" customWidth="1"/>
    <col min="499" max="499" width="6.5703125" style="372" customWidth="1"/>
    <col min="500" max="751" width="10.7109375" style="372"/>
    <col min="752" max="752" width="8.42578125" style="372" customWidth="1"/>
    <col min="753" max="753" width="12.28515625" style="372" customWidth="1"/>
    <col min="754" max="754" width="10.42578125" style="372" customWidth="1"/>
    <col min="755" max="755" width="6.5703125" style="372" customWidth="1"/>
    <col min="756" max="1007" width="10.7109375" style="372"/>
    <col min="1008" max="1008" width="8.42578125" style="372" customWidth="1"/>
    <col min="1009" max="1009" width="12.28515625" style="372" customWidth="1"/>
    <col min="1010" max="1010" width="10.42578125" style="372" customWidth="1"/>
    <col min="1011" max="1011" width="6.5703125" style="372" customWidth="1"/>
    <col min="1012" max="1263" width="10.7109375" style="372"/>
    <col min="1264" max="1264" width="8.42578125" style="372" customWidth="1"/>
    <col min="1265" max="1265" width="12.28515625" style="372" customWidth="1"/>
    <col min="1266" max="1266" width="10.42578125" style="372" customWidth="1"/>
    <col min="1267" max="1267" width="6.5703125" style="372" customWidth="1"/>
    <col min="1268" max="1519" width="10.7109375" style="372"/>
    <col min="1520" max="1520" width="8.42578125" style="372" customWidth="1"/>
    <col min="1521" max="1521" width="12.28515625" style="372" customWidth="1"/>
    <col min="1522" max="1522" width="10.42578125" style="372" customWidth="1"/>
    <col min="1523" max="1523" width="6.5703125" style="372" customWidth="1"/>
    <col min="1524" max="1775" width="10.7109375" style="372"/>
    <col min="1776" max="1776" width="8.42578125" style="372" customWidth="1"/>
    <col min="1777" max="1777" width="12.28515625" style="372" customWidth="1"/>
    <col min="1778" max="1778" width="10.42578125" style="372" customWidth="1"/>
    <col min="1779" max="1779" width="6.5703125" style="372" customWidth="1"/>
    <col min="1780" max="2031" width="10.7109375" style="372"/>
    <col min="2032" max="2032" width="8.42578125" style="372" customWidth="1"/>
    <col min="2033" max="2033" width="12.28515625" style="372" customWidth="1"/>
    <col min="2034" max="2034" width="10.42578125" style="372" customWidth="1"/>
    <col min="2035" max="2035" width="6.5703125" style="372" customWidth="1"/>
    <col min="2036" max="2287" width="10.7109375" style="372"/>
    <col min="2288" max="2288" width="8.42578125" style="372" customWidth="1"/>
    <col min="2289" max="2289" width="12.28515625" style="372" customWidth="1"/>
    <col min="2290" max="2290" width="10.42578125" style="372" customWidth="1"/>
    <col min="2291" max="2291" width="6.5703125" style="372" customWidth="1"/>
    <col min="2292" max="2543" width="10.7109375" style="372"/>
    <col min="2544" max="2544" width="8.42578125" style="372" customWidth="1"/>
    <col min="2545" max="2545" width="12.28515625" style="372" customWidth="1"/>
    <col min="2546" max="2546" width="10.42578125" style="372" customWidth="1"/>
    <col min="2547" max="2547" width="6.5703125" style="372" customWidth="1"/>
    <col min="2548" max="2799" width="10.7109375" style="372"/>
    <col min="2800" max="2800" width="8.42578125" style="372" customWidth="1"/>
    <col min="2801" max="2801" width="12.28515625" style="372" customWidth="1"/>
    <col min="2802" max="2802" width="10.42578125" style="372" customWidth="1"/>
    <col min="2803" max="2803" width="6.5703125" style="372" customWidth="1"/>
    <col min="2804" max="3055" width="10.7109375" style="372"/>
    <col min="3056" max="3056" width="8.42578125" style="372" customWidth="1"/>
    <col min="3057" max="3057" width="12.28515625" style="372" customWidth="1"/>
    <col min="3058" max="3058" width="10.42578125" style="372" customWidth="1"/>
    <col min="3059" max="3059" width="6.5703125" style="372" customWidth="1"/>
    <col min="3060" max="3311" width="10.7109375" style="372"/>
    <col min="3312" max="3312" width="8.42578125" style="372" customWidth="1"/>
    <col min="3313" max="3313" width="12.28515625" style="372" customWidth="1"/>
    <col min="3314" max="3314" width="10.42578125" style="372" customWidth="1"/>
    <col min="3315" max="3315" width="6.5703125" style="372" customWidth="1"/>
    <col min="3316" max="3567" width="10.7109375" style="372"/>
    <col min="3568" max="3568" width="8.42578125" style="372" customWidth="1"/>
    <col min="3569" max="3569" width="12.28515625" style="372" customWidth="1"/>
    <col min="3570" max="3570" width="10.42578125" style="372" customWidth="1"/>
    <col min="3571" max="3571" width="6.5703125" style="372" customWidth="1"/>
    <col min="3572" max="3823" width="10.7109375" style="372"/>
    <col min="3824" max="3824" width="8.42578125" style="372" customWidth="1"/>
    <col min="3825" max="3825" width="12.28515625" style="372" customWidth="1"/>
    <col min="3826" max="3826" width="10.42578125" style="372" customWidth="1"/>
    <col min="3827" max="3827" width="6.5703125" style="372" customWidth="1"/>
    <col min="3828" max="4079" width="10.7109375" style="372"/>
    <col min="4080" max="4080" width="8.42578125" style="372" customWidth="1"/>
    <col min="4081" max="4081" width="12.28515625" style="372" customWidth="1"/>
    <col min="4082" max="4082" width="10.42578125" style="372" customWidth="1"/>
    <col min="4083" max="4083" width="6.5703125" style="372" customWidth="1"/>
    <col min="4084" max="4335" width="10.7109375" style="372"/>
    <col min="4336" max="4336" width="8.42578125" style="372" customWidth="1"/>
    <col min="4337" max="4337" width="12.28515625" style="372" customWidth="1"/>
    <col min="4338" max="4338" width="10.42578125" style="372" customWidth="1"/>
    <col min="4339" max="4339" width="6.5703125" style="372" customWidth="1"/>
    <col min="4340" max="4591" width="10.7109375" style="372"/>
    <col min="4592" max="4592" width="8.42578125" style="372" customWidth="1"/>
    <col min="4593" max="4593" width="12.28515625" style="372" customWidth="1"/>
    <col min="4594" max="4594" width="10.42578125" style="372" customWidth="1"/>
    <col min="4595" max="4595" width="6.5703125" style="372" customWidth="1"/>
    <col min="4596" max="4847" width="10.7109375" style="372"/>
    <col min="4848" max="4848" width="8.42578125" style="372" customWidth="1"/>
    <col min="4849" max="4849" width="12.28515625" style="372" customWidth="1"/>
    <col min="4850" max="4850" width="10.42578125" style="372" customWidth="1"/>
    <col min="4851" max="4851" width="6.5703125" style="372" customWidth="1"/>
    <col min="4852" max="5103" width="10.7109375" style="372"/>
    <col min="5104" max="5104" width="8.42578125" style="372" customWidth="1"/>
    <col min="5105" max="5105" width="12.28515625" style="372" customWidth="1"/>
    <col min="5106" max="5106" width="10.42578125" style="372" customWidth="1"/>
    <col min="5107" max="5107" width="6.5703125" style="372" customWidth="1"/>
    <col min="5108" max="5359" width="10.7109375" style="372"/>
    <col min="5360" max="5360" width="8.42578125" style="372" customWidth="1"/>
    <col min="5361" max="5361" width="12.28515625" style="372" customWidth="1"/>
    <col min="5362" max="5362" width="10.42578125" style="372" customWidth="1"/>
    <col min="5363" max="5363" width="6.5703125" style="372" customWidth="1"/>
    <col min="5364" max="5615" width="10.7109375" style="372"/>
    <col min="5616" max="5616" width="8.42578125" style="372" customWidth="1"/>
    <col min="5617" max="5617" width="12.28515625" style="372" customWidth="1"/>
    <col min="5618" max="5618" width="10.42578125" style="372" customWidth="1"/>
    <col min="5619" max="5619" width="6.5703125" style="372" customWidth="1"/>
    <col min="5620" max="5871" width="10.7109375" style="372"/>
    <col min="5872" max="5872" width="8.42578125" style="372" customWidth="1"/>
    <col min="5873" max="5873" width="12.28515625" style="372" customWidth="1"/>
    <col min="5874" max="5874" width="10.42578125" style="372" customWidth="1"/>
    <col min="5875" max="5875" width="6.5703125" style="372" customWidth="1"/>
    <col min="5876" max="6127" width="10.7109375" style="372"/>
    <col min="6128" max="6128" width="8.42578125" style="372" customWidth="1"/>
    <col min="6129" max="6129" width="12.28515625" style="372" customWidth="1"/>
    <col min="6130" max="6130" width="10.42578125" style="372" customWidth="1"/>
    <col min="6131" max="6131" width="6.5703125" style="372" customWidth="1"/>
    <col min="6132" max="6383" width="10.7109375" style="372"/>
    <col min="6384" max="6384" width="8.42578125" style="372" customWidth="1"/>
    <col min="6385" max="6385" width="12.28515625" style="372" customWidth="1"/>
    <col min="6386" max="6386" width="10.42578125" style="372" customWidth="1"/>
    <col min="6387" max="6387" width="6.5703125" style="372" customWidth="1"/>
    <col min="6388" max="6639" width="10.7109375" style="372"/>
    <col min="6640" max="6640" width="8.42578125" style="372" customWidth="1"/>
    <col min="6641" max="6641" width="12.28515625" style="372" customWidth="1"/>
    <col min="6642" max="6642" width="10.42578125" style="372" customWidth="1"/>
    <col min="6643" max="6643" width="6.5703125" style="372" customWidth="1"/>
    <col min="6644" max="6895" width="10.7109375" style="372"/>
    <col min="6896" max="6896" width="8.42578125" style="372" customWidth="1"/>
    <col min="6897" max="6897" width="12.28515625" style="372" customWidth="1"/>
    <col min="6898" max="6898" width="10.42578125" style="372" customWidth="1"/>
    <col min="6899" max="6899" width="6.5703125" style="372" customWidth="1"/>
    <col min="6900" max="7151" width="10.7109375" style="372"/>
    <col min="7152" max="7152" width="8.42578125" style="372" customWidth="1"/>
    <col min="7153" max="7153" width="12.28515625" style="372" customWidth="1"/>
    <col min="7154" max="7154" width="10.42578125" style="372" customWidth="1"/>
    <col min="7155" max="7155" width="6.5703125" style="372" customWidth="1"/>
    <col min="7156" max="7407" width="10.7109375" style="372"/>
    <col min="7408" max="7408" width="8.42578125" style="372" customWidth="1"/>
    <col min="7409" max="7409" width="12.28515625" style="372" customWidth="1"/>
    <col min="7410" max="7410" width="10.42578125" style="372" customWidth="1"/>
    <col min="7411" max="7411" width="6.5703125" style="372" customWidth="1"/>
    <col min="7412" max="7663" width="10.7109375" style="372"/>
    <col min="7664" max="7664" width="8.42578125" style="372" customWidth="1"/>
    <col min="7665" max="7665" width="12.28515625" style="372" customWidth="1"/>
    <col min="7666" max="7666" width="10.42578125" style="372" customWidth="1"/>
    <col min="7667" max="7667" width="6.5703125" style="372" customWidth="1"/>
    <col min="7668" max="7919" width="10.7109375" style="372"/>
    <col min="7920" max="7920" width="8.42578125" style="372" customWidth="1"/>
    <col min="7921" max="7921" width="12.28515625" style="372" customWidth="1"/>
    <col min="7922" max="7922" width="10.42578125" style="372" customWidth="1"/>
    <col min="7923" max="7923" width="6.5703125" style="372" customWidth="1"/>
    <col min="7924" max="8175" width="10.7109375" style="372"/>
    <col min="8176" max="8176" width="8.42578125" style="372" customWidth="1"/>
    <col min="8177" max="8177" width="12.28515625" style="372" customWidth="1"/>
    <col min="8178" max="8178" width="10.42578125" style="372" customWidth="1"/>
    <col min="8179" max="8179" width="6.5703125" style="372" customWidth="1"/>
    <col min="8180" max="8431" width="10.7109375" style="372"/>
    <col min="8432" max="8432" width="8.42578125" style="372" customWidth="1"/>
    <col min="8433" max="8433" width="12.28515625" style="372" customWidth="1"/>
    <col min="8434" max="8434" width="10.42578125" style="372" customWidth="1"/>
    <col min="8435" max="8435" width="6.5703125" style="372" customWidth="1"/>
    <col min="8436" max="8687" width="10.7109375" style="372"/>
    <col min="8688" max="8688" width="8.42578125" style="372" customWidth="1"/>
    <col min="8689" max="8689" width="12.28515625" style="372" customWidth="1"/>
    <col min="8690" max="8690" width="10.42578125" style="372" customWidth="1"/>
    <col min="8691" max="8691" width="6.5703125" style="372" customWidth="1"/>
    <col min="8692" max="8943" width="10.7109375" style="372"/>
    <col min="8944" max="8944" width="8.42578125" style="372" customWidth="1"/>
    <col min="8945" max="8945" width="12.28515625" style="372" customWidth="1"/>
    <col min="8946" max="8946" width="10.42578125" style="372" customWidth="1"/>
    <col min="8947" max="8947" width="6.5703125" style="372" customWidth="1"/>
    <col min="8948" max="9199" width="10.7109375" style="372"/>
    <col min="9200" max="9200" width="8.42578125" style="372" customWidth="1"/>
    <col min="9201" max="9201" width="12.28515625" style="372" customWidth="1"/>
    <col min="9202" max="9202" width="10.42578125" style="372" customWidth="1"/>
    <col min="9203" max="9203" width="6.5703125" style="372" customWidth="1"/>
    <col min="9204" max="9455" width="10.7109375" style="372"/>
    <col min="9456" max="9456" width="8.42578125" style="372" customWidth="1"/>
    <col min="9457" max="9457" width="12.28515625" style="372" customWidth="1"/>
    <col min="9458" max="9458" width="10.42578125" style="372" customWidth="1"/>
    <col min="9459" max="9459" width="6.5703125" style="372" customWidth="1"/>
    <col min="9460" max="9711" width="10.7109375" style="372"/>
    <col min="9712" max="9712" width="8.42578125" style="372" customWidth="1"/>
    <col min="9713" max="9713" width="12.28515625" style="372" customWidth="1"/>
    <col min="9714" max="9714" width="10.42578125" style="372" customWidth="1"/>
    <col min="9715" max="9715" width="6.5703125" style="372" customWidth="1"/>
    <col min="9716" max="9967" width="10.7109375" style="372"/>
    <col min="9968" max="9968" width="8.42578125" style="372" customWidth="1"/>
    <col min="9969" max="9969" width="12.28515625" style="372" customWidth="1"/>
    <col min="9970" max="9970" width="10.42578125" style="372" customWidth="1"/>
    <col min="9971" max="9971" width="6.5703125" style="372" customWidth="1"/>
    <col min="9972" max="10223" width="10.7109375" style="372"/>
    <col min="10224" max="10224" width="8.42578125" style="372" customWidth="1"/>
    <col min="10225" max="10225" width="12.28515625" style="372" customWidth="1"/>
    <col min="10226" max="10226" width="10.42578125" style="372" customWidth="1"/>
    <col min="10227" max="10227" width="6.5703125" style="372" customWidth="1"/>
    <col min="10228" max="10479" width="10.7109375" style="372"/>
    <col min="10480" max="10480" width="8.42578125" style="372" customWidth="1"/>
    <col min="10481" max="10481" width="12.28515625" style="372" customWidth="1"/>
    <col min="10482" max="10482" width="10.42578125" style="372" customWidth="1"/>
    <col min="10483" max="10483" width="6.5703125" style="372" customWidth="1"/>
    <col min="10484" max="10735" width="10.7109375" style="372"/>
    <col min="10736" max="10736" width="8.42578125" style="372" customWidth="1"/>
    <col min="10737" max="10737" width="12.28515625" style="372" customWidth="1"/>
    <col min="10738" max="10738" width="10.42578125" style="372" customWidth="1"/>
    <col min="10739" max="10739" width="6.5703125" style="372" customWidth="1"/>
    <col min="10740" max="10991" width="10.7109375" style="372"/>
    <col min="10992" max="10992" width="8.42578125" style="372" customWidth="1"/>
    <col min="10993" max="10993" width="12.28515625" style="372" customWidth="1"/>
    <col min="10994" max="10994" width="10.42578125" style="372" customWidth="1"/>
    <col min="10995" max="10995" width="6.5703125" style="372" customWidth="1"/>
    <col min="10996" max="11247" width="10.7109375" style="372"/>
    <col min="11248" max="11248" width="8.42578125" style="372" customWidth="1"/>
    <col min="11249" max="11249" width="12.28515625" style="372" customWidth="1"/>
    <col min="11250" max="11250" width="10.42578125" style="372" customWidth="1"/>
    <col min="11251" max="11251" width="6.5703125" style="372" customWidth="1"/>
    <col min="11252" max="11503" width="10.7109375" style="372"/>
    <col min="11504" max="11504" width="8.42578125" style="372" customWidth="1"/>
    <col min="11505" max="11505" width="12.28515625" style="372" customWidth="1"/>
    <col min="11506" max="11506" width="10.42578125" style="372" customWidth="1"/>
    <col min="11507" max="11507" width="6.5703125" style="372" customWidth="1"/>
    <col min="11508" max="11759" width="10.7109375" style="372"/>
    <col min="11760" max="11760" width="8.42578125" style="372" customWidth="1"/>
    <col min="11761" max="11761" width="12.28515625" style="372" customWidth="1"/>
    <col min="11762" max="11762" width="10.42578125" style="372" customWidth="1"/>
    <col min="11763" max="11763" width="6.5703125" style="372" customWidth="1"/>
    <col min="11764" max="12015" width="10.7109375" style="372"/>
    <col min="12016" max="12016" width="8.42578125" style="372" customWidth="1"/>
    <col min="12017" max="12017" width="12.28515625" style="372" customWidth="1"/>
    <col min="12018" max="12018" width="10.42578125" style="372" customWidth="1"/>
    <col min="12019" max="12019" width="6.5703125" style="372" customWidth="1"/>
    <col min="12020" max="12271" width="10.7109375" style="372"/>
    <col min="12272" max="12272" width="8.42578125" style="372" customWidth="1"/>
    <col min="12273" max="12273" width="12.28515625" style="372" customWidth="1"/>
    <col min="12274" max="12274" width="10.42578125" style="372" customWidth="1"/>
    <col min="12275" max="12275" width="6.5703125" style="372" customWidth="1"/>
    <col min="12276" max="12527" width="10.7109375" style="372"/>
    <col min="12528" max="12528" width="8.42578125" style="372" customWidth="1"/>
    <col min="12529" max="12529" width="12.28515625" style="372" customWidth="1"/>
    <col min="12530" max="12530" width="10.42578125" style="372" customWidth="1"/>
    <col min="12531" max="12531" width="6.5703125" style="372" customWidth="1"/>
    <col min="12532" max="12783" width="10.7109375" style="372"/>
    <col min="12784" max="12784" width="8.42578125" style="372" customWidth="1"/>
    <col min="12785" max="12785" width="12.28515625" style="372" customWidth="1"/>
    <col min="12786" max="12786" width="10.42578125" style="372" customWidth="1"/>
    <col min="12787" max="12787" width="6.5703125" style="372" customWidth="1"/>
    <col min="12788" max="13039" width="10.7109375" style="372"/>
    <col min="13040" max="13040" width="8.42578125" style="372" customWidth="1"/>
    <col min="13041" max="13041" width="12.28515625" style="372" customWidth="1"/>
    <col min="13042" max="13042" width="10.42578125" style="372" customWidth="1"/>
    <col min="13043" max="13043" width="6.5703125" style="372" customWidth="1"/>
    <col min="13044" max="13295" width="10.7109375" style="372"/>
    <col min="13296" max="13296" width="8.42578125" style="372" customWidth="1"/>
    <col min="13297" max="13297" width="12.28515625" style="372" customWidth="1"/>
    <col min="13298" max="13298" width="10.42578125" style="372" customWidth="1"/>
    <col min="13299" max="13299" width="6.5703125" style="372" customWidth="1"/>
    <col min="13300" max="13551" width="10.7109375" style="372"/>
    <col min="13552" max="13552" width="8.42578125" style="372" customWidth="1"/>
    <col min="13553" max="13553" width="12.28515625" style="372" customWidth="1"/>
    <col min="13554" max="13554" width="10.42578125" style="372" customWidth="1"/>
    <col min="13555" max="13555" width="6.5703125" style="372" customWidth="1"/>
    <col min="13556" max="13807" width="10.7109375" style="372"/>
    <col min="13808" max="13808" width="8.42578125" style="372" customWidth="1"/>
    <col min="13809" max="13809" width="12.28515625" style="372" customWidth="1"/>
    <col min="13810" max="13810" width="10.42578125" style="372" customWidth="1"/>
    <col min="13811" max="13811" width="6.5703125" style="372" customWidth="1"/>
    <col min="13812" max="14063" width="10.7109375" style="372"/>
    <col min="14064" max="14064" width="8.42578125" style="372" customWidth="1"/>
    <col min="14065" max="14065" width="12.28515625" style="372" customWidth="1"/>
    <col min="14066" max="14066" width="10.42578125" style="372" customWidth="1"/>
    <col min="14067" max="14067" width="6.5703125" style="372" customWidth="1"/>
    <col min="14068" max="14319" width="10.7109375" style="372"/>
    <col min="14320" max="14320" width="8.42578125" style="372" customWidth="1"/>
    <col min="14321" max="14321" width="12.28515625" style="372" customWidth="1"/>
    <col min="14322" max="14322" width="10.42578125" style="372" customWidth="1"/>
    <col min="14323" max="14323" width="6.5703125" style="372" customWidth="1"/>
    <col min="14324" max="14575" width="10.7109375" style="372"/>
    <col min="14576" max="14576" width="8.42578125" style="372" customWidth="1"/>
    <col min="14577" max="14577" width="12.28515625" style="372" customWidth="1"/>
    <col min="14578" max="14578" width="10.42578125" style="372" customWidth="1"/>
    <col min="14579" max="14579" width="6.5703125" style="372" customWidth="1"/>
    <col min="14580" max="14831" width="10.7109375" style="372"/>
    <col min="14832" max="14832" width="8.42578125" style="372" customWidth="1"/>
    <col min="14833" max="14833" width="12.28515625" style="372" customWidth="1"/>
    <col min="14834" max="14834" width="10.42578125" style="372" customWidth="1"/>
    <col min="14835" max="14835" width="6.5703125" style="372" customWidth="1"/>
    <col min="14836" max="15087" width="10.7109375" style="372"/>
    <col min="15088" max="15088" width="8.42578125" style="372" customWidth="1"/>
    <col min="15089" max="15089" width="12.28515625" style="372" customWidth="1"/>
    <col min="15090" max="15090" width="10.42578125" style="372" customWidth="1"/>
    <col min="15091" max="15091" width="6.5703125" style="372" customWidth="1"/>
    <col min="15092" max="15343" width="10.7109375" style="372"/>
    <col min="15344" max="15344" width="8.42578125" style="372" customWidth="1"/>
    <col min="15345" max="15345" width="12.28515625" style="372" customWidth="1"/>
    <col min="15346" max="15346" width="10.42578125" style="372" customWidth="1"/>
    <col min="15347" max="15347" width="6.5703125" style="372" customWidth="1"/>
    <col min="15348" max="15599" width="10.7109375" style="372"/>
    <col min="15600" max="15600" width="8.42578125" style="372" customWidth="1"/>
    <col min="15601" max="15601" width="12.28515625" style="372" customWidth="1"/>
    <col min="15602" max="15602" width="10.42578125" style="372" customWidth="1"/>
    <col min="15603" max="15603" width="6.5703125" style="372" customWidth="1"/>
    <col min="15604" max="15855" width="10.7109375" style="372"/>
    <col min="15856" max="15856" width="8.42578125" style="372" customWidth="1"/>
    <col min="15857" max="15857" width="12.28515625" style="372" customWidth="1"/>
    <col min="15858" max="15858" width="10.42578125" style="372" customWidth="1"/>
    <col min="15859" max="15859" width="6.5703125" style="372" customWidth="1"/>
    <col min="15860" max="16111" width="10.7109375" style="372"/>
    <col min="16112" max="16112" width="8.42578125" style="372" customWidth="1"/>
    <col min="16113" max="16113" width="12.28515625" style="372" customWidth="1"/>
    <col min="16114" max="16114" width="10.42578125" style="372" customWidth="1"/>
    <col min="16115" max="16115" width="6.5703125" style="372" customWidth="1"/>
    <col min="16116" max="16367" width="10.7109375" style="372"/>
    <col min="16368" max="16378" width="10.7109375" style="372" customWidth="1"/>
    <col min="16379" max="16384" width="10.7109375" style="372"/>
  </cols>
  <sheetData>
    <row r="1" spans="1:6" s="370" customFormat="1" ht="15" customHeight="1">
      <c r="A1" s="658" t="s">
        <v>2061</v>
      </c>
      <c r="B1" s="658" t="s">
        <v>2062</v>
      </c>
      <c r="C1" s="658" t="s">
        <v>2063</v>
      </c>
      <c r="D1" s="658" t="s">
        <v>2064</v>
      </c>
      <c r="E1" s="657"/>
      <c r="F1" s="657"/>
    </row>
    <row r="2" spans="1:6" ht="15" customHeight="1">
      <c r="A2" s="371" t="s">
        <v>2065</v>
      </c>
      <c r="B2" s="371">
        <v>2242091.5959999999</v>
      </c>
      <c r="C2" s="371">
        <v>4779425.3660000004</v>
      </c>
      <c r="D2" s="371">
        <v>984.27</v>
      </c>
    </row>
    <row r="3" spans="1:6" ht="15" customHeight="1">
      <c r="A3" s="371" t="s">
        <v>2066</v>
      </c>
      <c r="B3" s="371">
        <v>2242108.39</v>
      </c>
      <c r="C3" s="371">
        <v>4779461.5520000001</v>
      </c>
      <c r="D3" s="371">
        <v>984.77499999999998</v>
      </c>
    </row>
    <row r="4" spans="1:6" ht="15" customHeight="1">
      <c r="A4" s="655" t="s">
        <v>2067</v>
      </c>
      <c r="B4" s="376">
        <v>2242135.2960000001</v>
      </c>
      <c r="C4" s="376">
        <v>4779447.8590000002</v>
      </c>
      <c r="D4" s="373">
        <v>983.91</v>
      </c>
    </row>
    <row r="5" spans="1:6" ht="15" customHeight="1">
      <c r="A5" s="655" t="s">
        <v>2068</v>
      </c>
      <c r="B5" s="376">
        <v>2242181.057</v>
      </c>
      <c r="C5" s="376">
        <v>4779864.9759999998</v>
      </c>
      <c r="D5" s="376">
        <v>984.07159999999999</v>
      </c>
    </row>
    <row r="6" spans="1:6" ht="15" customHeight="1">
      <c r="A6" s="656" t="s">
        <v>112</v>
      </c>
      <c r="B6" s="379">
        <v>2242331.2749999999</v>
      </c>
      <c r="C6" s="379">
        <v>4779458.7309999997</v>
      </c>
      <c r="D6" s="374">
        <v>993.59299999999996</v>
      </c>
    </row>
    <row r="7" spans="1:6" ht="15" customHeight="1">
      <c r="A7" s="655" t="s">
        <v>2069</v>
      </c>
      <c r="B7" s="375">
        <v>2241874.054</v>
      </c>
      <c r="C7" s="375">
        <v>4779097.1849999996</v>
      </c>
      <c r="D7" s="376">
        <v>972.28899999999999</v>
      </c>
    </row>
    <row r="8" spans="1:6" ht="15" customHeight="1">
      <c r="A8" s="371" t="s">
        <v>2070</v>
      </c>
      <c r="B8" s="373">
        <v>2242255.6540000001</v>
      </c>
      <c r="C8" s="373">
        <v>4779440.0980000002</v>
      </c>
      <c r="D8" s="373">
        <f>989.41-1.97</f>
        <v>987.43999999999994</v>
      </c>
    </row>
    <row r="9" spans="1:6" ht="15" customHeight="1">
      <c r="A9" s="371" t="s">
        <v>76</v>
      </c>
      <c r="B9" s="371">
        <v>2242023.3679999998</v>
      </c>
      <c r="C9" s="371">
        <v>4779504.1330000004</v>
      </c>
      <c r="D9" s="371">
        <v>989.33799999999997</v>
      </c>
    </row>
    <row r="10" spans="1:6" ht="15" customHeight="1">
      <c r="A10" s="371" t="s">
        <v>2071</v>
      </c>
      <c r="B10" s="371">
        <v>2242199.84</v>
      </c>
      <c r="C10" s="371">
        <v>4779417.1519999998</v>
      </c>
      <c r="D10" s="373">
        <v>986</v>
      </c>
    </row>
    <row r="11" spans="1:6" ht="15" customHeight="1">
      <c r="A11" s="655" t="s">
        <v>2072</v>
      </c>
      <c r="B11" s="376">
        <v>2241946.5296</v>
      </c>
      <c r="C11" s="376">
        <v>4779156.7432000004</v>
      </c>
      <c r="D11" s="373">
        <v>975.803</v>
      </c>
    </row>
    <row r="12" spans="1:6" ht="15" customHeight="1">
      <c r="A12" s="371" t="s">
        <v>2073</v>
      </c>
      <c r="B12" s="373">
        <v>2241931.4130000002</v>
      </c>
      <c r="C12" s="373">
        <v>4779128.1129999999</v>
      </c>
      <c r="D12" s="373">
        <v>972.976</v>
      </c>
    </row>
    <row r="13" spans="1:6" ht="15" customHeight="1">
      <c r="A13" s="655" t="s">
        <v>2074</v>
      </c>
      <c r="B13" s="376">
        <v>2242030.3730000001</v>
      </c>
      <c r="C13" s="376">
        <v>4779442.807</v>
      </c>
      <c r="D13" s="376">
        <v>988.27</v>
      </c>
    </row>
    <row r="14" spans="1:6" ht="15" customHeight="1">
      <c r="A14" s="377" t="s">
        <v>2075</v>
      </c>
      <c r="B14" s="374">
        <v>2242375.611</v>
      </c>
      <c r="C14" s="374">
        <v>4779553.057</v>
      </c>
      <c r="D14" s="374">
        <v>995.75699999999995</v>
      </c>
    </row>
    <row r="15" spans="1:6" ht="15" customHeight="1">
      <c r="A15" s="371" t="s">
        <v>2076</v>
      </c>
      <c r="B15" s="373">
        <v>2242319.2689999999</v>
      </c>
      <c r="C15" s="373">
        <v>4779678.7060000002</v>
      </c>
      <c r="D15" s="373">
        <v>990.53200000000004</v>
      </c>
    </row>
    <row r="16" spans="1:6" ht="15" customHeight="1">
      <c r="A16" s="371" t="s">
        <v>2077</v>
      </c>
      <c r="B16" s="373">
        <v>2242367.4759999998</v>
      </c>
      <c r="C16" s="373">
        <v>4779775.58</v>
      </c>
      <c r="D16" s="373">
        <v>988.08299999999997</v>
      </c>
    </row>
    <row r="17" spans="1:4" ht="15" customHeight="1">
      <c r="A17" s="655" t="s">
        <v>2078</v>
      </c>
      <c r="B17" s="655">
        <v>2242483.236</v>
      </c>
      <c r="C17" s="655">
        <v>4779743.0669999998</v>
      </c>
      <c r="D17" s="655">
        <v>972.19999999999993</v>
      </c>
    </row>
    <row r="18" spans="1:4" ht="15" customHeight="1">
      <c r="A18" s="371" t="s">
        <v>2079</v>
      </c>
      <c r="B18" s="371">
        <v>2242017.58</v>
      </c>
      <c r="C18" s="371">
        <v>4779507.0860000001</v>
      </c>
      <c r="D18" s="371">
        <v>989.45399999999995</v>
      </c>
    </row>
    <row r="19" spans="1:4" ht="15" customHeight="1">
      <c r="A19" s="371" t="s">
        <v>2080</v>
      </c>
      <c r="B19" s="371">
        <v>2242010.014</v>
      </c>
      <c r="C19" s="371">
        <v>4779395.6529999999</v>
      </c>
      <c r="D19" s="371">
        <v>987.53</v>
      </c>
    </row>
    <row r="20" spans="1:4" ht="15" customHeight="1">
      <c r="A20" s="371" t="s">
        <v>2081</v>
      </c>
      <c r="B20" s="373">
        <v>2242225.3080000002</v>
      </c>
      <c r="C20" s="373">
        <v>4779725.176</v>
      </c>
      <c r="D20" s="371">
        <v>987.60199999999998</v>
      </c>
    </row>
    <row r="21" spans="1:4" ht="15" customHeight="1">
      <c r="A21" s="371" t="s">
        <v>2082</v>
      </c>
      <c r="B21" s="373">
        <v>2242275.4479999999</v>
      </c>
      <c r="C21" s="373">
        <v>4779824.92</v>
      </c>
      <c r="D21" s="371">
        <v>988.01099999999997</v>
      </c>
    </row>
    <row r="22" spans="1:4" ht="15" customHeight="1">
      <c r="A22" s="371" t="s">
        <v>2009</v>
      </c>
      <c r="B22" s="373">
        <v>2242520.5115999999</v>
      </c>
      <c r="C22" s="373">
        <v>4781326.4678999996</v>
      </c>
      <c r="D22" s="373">
        <v>964.06</v>
      </c>
    </row>
    <row r="23" spans="1:4" ht="14.25" customHeight="1">
      <c r="A23" s="371" t="s">
        <v>2083</v>
      </c>
      <c r="B23" s="373">
        <v>2242440.9808</v>
      </c>
      <c r="C23" s="373">
        <v>4781229.2603000002</v>
      </c>
      <c r="D23" s="373">
        <v>964.12</v>
      </c>
    </row>
    <row r="24" spans="1:4" ht="15" customHeight="1">
      <c r="A24" s="371" t="s">
        <v>2084</v>
      </c>
      <c r="B24" s="373">
        <v>2242352.7187999999</v>
      </c>
      <c r="C24" s="373">
        <v>4781039.7752999999</v>
      </c>
      <c r="D24" s="373">
        <v>961.31</v>
      </c>
    </row>
    <row r="25" spans="1:4" ht="15" customHeight="1">
      <c r="A25" s="371" t="s">
        <v>2085</v>
      </c>
      <c r="B25" s="373">
        <v>2242334.0918000001</v>
      </c>
      <c r="C25" s="373">
        <v>4781000.2922999999</v>
      </c>
      <c r="D25" s="373">
        <v>961.16</v>
      </c>
    </row>
    <row r="26" spans="1:4" ht="15" customHeight="1">
      <c r="A26" s="371" t="s">
        <v>2086</v>
      </c>
      <c r="B26" s="373">
        <v>2242483.236</v>
      </c>
      <c r="C26" s="373">
        <v>4779743.0669999998</v>
      </c>
      <c r="D26" s="373">
        <v>971.19999999999993</v>
      </c>
    </row>
    <row r="27" spans="1:4" ht="15" customHeight="1">
      <c r="A27" s="371" t="s">
        <v>2087</v>
      </c>
      <c r="B27" s="373">
        <v>2242485.7459999998</v>
      </c>
      <c r="C27" s="373">
        <v>4779759.0180000002</v>
      </c>
      <c r="D27" s="373">
        <v>969.06</v>
      </c>
    </row>
    <row r="28" spans="1:4" ht="15" customHeight="1">
      <c r="A28" s="371" t="s">
        <v>2088</v>
      </c>
      <c r="B28" s="373">
        <v>2242056.3119999999</v>
      </c>
      <c r="C28" s="373">
        <v>4780041.7170000002</v>
      </c>
      <c r="D28" s="373">
        <v>960.41</v>
      </c>
    </row>
    <row r="29" spans="1:4" ht="15" customHeight="1">
      <c r="A29" s="371" t="s">
        <v>2089</v>
      </c>
      <c r="B29" s="373">
        <v>2242000.077</v>
      </c>
      <c r="C29" s="373">
        <v>4779940.1459999997</v>
      </c>
      <c r="D29" s="373">
        <v>962.32999999999993</v>
      </c>
    </row>
    <row r="30" spans="1:4" ht="15" customHeight="1">
      <c r="A30" s="371" t="s">
        <v>2090</v>
      </c>
      <c r="B30" s="373">
        <v>2242049.29</v>
      </c>
      <c r="C30" s="373">
        <v>4780009.2580000004</v>
      </c>
      <c r="D30" s="373">
        <v>962.55</v>
      </c>
    </row>
    <row r="31" spans="1:4" ht="15" customHeight="1">
      <c r="A31" s="371" t="s">
        <v>2091</v>
      </c>
      <c r="B31" s="373">
        <v>2242084.5159999998</v>
      </c>
      <c r="C31" s="373">
        <v>4779000.2</v>
      </c>
      <c r="D31" s="373">
        <v>973.13</v>
      </c>
    </row>
    <row r="32" spans="1:4" ht="15" customHeight="1">
      <c r="A32" s="371" t="s">
        <v>2092</v>
      </c>
      <c r="B32" s="373">
        <v>2242439.6269999999</v>
      </c>
      <c r="C32" s="373">
        <v>4780134.1660000002</v>
      </c>
      <c r="D32" s="373">
        <v>962.53</v>
      </c>
    </row>
    <row r="33" spans="1:4" ht="15" customHeight="1">
      <c r="A33" s="655" t="s">
        <v>2093</v>
      </c>
      <c r="B33" s="655">
        <v>2242234.4572999999</v>
      </c>
      <c r="C33" s="655">
        <v>4778836.7824999997</v>
      </c>
      <c r="D33" s="376">
        <v>979.75160000000005</v>
      </c>
    </row>
    <row r="34" spans="1:4" ht="15" customHeight="1">
      <c r="A34" s="655" t="s">
        <v>2094</v>
      </c>
      <c r="B34" s="655">
        <v>2242126.3868</v>
      </c>
      <c r="C34" s="655">
        <v>4778763.6303000003</v>
      </c>
      <c r="D34" s="376">
        <v>974.03160000000003</v>
      </c>
    </row>
    <row r="35" spans="1:4" ht="15" customHeight="1">
      <c r="A35" s="655" t="s">
        <v>2095</v>
      </c>
      <c r="B35" s="655">
        <v>2242157.7458000001</v>
      </c>
      <c r="C35" s="655">
        <v>4778814.6933000004</v>
      </c>
      <c r="D35" s="376">
        <v>974.61160000000007</v>
      </c>
    </row>
    <row r="36" spans="1:4" ht="15" customHeight="1">
      <c r="A36" s="655" t="s">
        <v>2096</v>
      </c>
      <c r="B36" s="655">
        <v>2242216.0088</v>
      </c>
      <c r="C36" s="655">
        <v>4778898.0882999999</v>
      </c>
      <c r="D36" s="376">
        <v>978.63160000000005</v>
      </c>
    </row>
    <row r="37" spans="1:4" ht="15" customHeight="1">
      <c r="A37" s="655" t="s">
        <v>2097</v>
      </c>
      <c r="B37" s="655">
        <v>2242219.2947999998</v>
      </c>
      <c r="C37" s="655">
        <v>4778941.5223000003</v>
      </c>
      <c r="D37" s="376">
        <v>977.97160000000008</v>
      </c>
    </row>
    <row r="38" spans="1:4" ht="15" customHeight="1">
      <c r="A38" s="655" t="s">
        <v>2098</v>
      </c>
      <c r="B38" s="655">
        <v>2242217.9537999998</v>
      </c>
      <c r="C38" s="655">
        <v>4779027.1842999998</v>
      </c>
      <c r="D38" s="376">
        <v>976.79160000000002</v>
      </c>
    </row>
    <row r="39" spans="1:4" ht="15" customHeight="1">
      <c r="A39" s="655" t="s">
        <v>2099</v>
      </c>
      <c r="B39" s="655">
        <v>2242219.6468000002</v>
      </c>
      <c r="C39" s="655">
        <v>4779086.9933000002</v>
      </c>
      <c r="D39" s="376">
        <v>979.52160000000003</v>
      </c>
    </row>
    <row r="40" spans="1:4" ht="15" customHeight="1">
      <c r="A40" s="655" t="s">
        <v>2100</v>
      </c>
      <c r="B40" s="655">
        <v>2242090.4608</v>
      </c>
      <c r="C40" s="655">
        <v>4779004.1303000003</v>
      </c>
      <c r="D40" s="376">
        <v>975.09159999999997</v>
      </c>
    </row>
    <row r="41" spans="1:4" ht="15" customHeight="1">
      <c r="A41" s="655" t="s">
        <v>2101</v>
      </c>
      <c r="B41" s="655">
        <v>2242086.7488000002</v>
      </c>
      <c r="C41" s="655">
        <v>4779002.2987000002</v>
      </c>
      <c r="D41" s="376">
        <v>973.52160000000003</v>
      </c>
    </row>
    <row r="42" spans="1:4" ht="15" customHeight="1">
      <c r="A42" s="655" t="s">
        <v>2102</v>
      </c>
      <c r="B42" s="655">
        <v>2242033.5847999998</v>
      </c>
      <c r="C42" s="655">
        <v>4779004.0743000004</v>
      </c>
      <c r="D42" s="376">
        <v>974.99160000000006</v>
      </c>
    </row>
    <row r="43" spans="1:4" ht="15" customHeight="1">
      <c r="A43" s="655" t="s">
        <v>2103</v>
      </c>
      <c r="B43" s="655">
        <v>2242122.9887999999</v>
      </c>
      <c r="C43" s="655">
        <v>4779115.7392999995</v>
      </c>
      <c r="D43" s="376">
        <v>983.91160000000002</v>
      </c>
    </row>
    <row r="44" spans="1:4" ht="15" customHeight="1">
      <c r="A44" s="655" t="s">
        <v>2104</v>
      </c>
      <c r="B44" s="655">
        <v>2241558.5238000001</v>
      </c>
      <c r="C44" s="655">
        <v>4778823.0422999999</v>
      </c>
      <c r="D44" s="376">
        <v>995.16160000000002</v>
      </c>
    </row>
    <row r="45" spans="1:4" ht="15" customHeight="1">
      <c r="A45" s="655" t="s">
        <v>2105</v>
      </c>
      <c r="B45" s="655">
        <v>2241590.1438000002</v>
      </c>
      <c r="C45" s="655">
        <v>4778847.9763000002</v>
      </c>
      <c r="D45" s="376">
        <v>994.25160000000005</v>
      </c>
    </row>
    <row r="46" spans="1:4" ht="15" customHeight="1">
      <c r="A46" s="655" t="s">
        <v>2106</v>
      </c>
      <c r="B46" s="655">
        <v>2241623.4040999999</v>
      </c>
      <c r="C46" s="655">
        <v>4778854.1964999996</v>
      </c>
      <c r="D46" s="376">
        <v>993.84159999999997</v>
      </c>
    </row>
    <row r="47" spans="1:4" ht="15" customHeight="1">
      <c r="A47" s="655" t="s">
        <v>2107</v>
      </c>
      <c r="B47" s="655">
        <v>2241668.2318000002</v>
      </c>
      <c r="C47" s="655">
        <v>4778749.2412999999</v>
      </c>
      <c r="D47" s="376">
        <v>990.59159999999997</v>
      </c>
    </row>
    <row r="48" spans="1:4" ht="15" customHeight="1">
      <c r="A48" s="655" t="s">
        <v>2108</v>
      </c>
      <c r="B48" s="655">
        <v>2241689.1127999998</v>
      </c>
      <c r="C48" s="655">
        <v>4778770.4782999996</v>
      </c>
      <c r="D48" s="376">
        <v>990.4316</v>
      </c>
    </row>
    <row r="49" spans="1:4" ht="15" customHeight="1">
      <c r="A49" s="655" t="s">
        <v>2109</v>
      </c>
      <c r="B49" s="655">
        <v>2241702.5858</v>
      </c>
      <c r="C49" s="655">
        <v>4778795.0853000004</v>
      </c>
      <c r="D49" s="376">
        <v>990.72160000000008</v>
      </c>
    </row>
    <row r="50" spans="1:4" ht="15" customHeight="1">
      <c r="A50" s="655" t="s">
        <v>2110</v>
      </c>
      <c r="B50" s="655">
        <v>2241706.6808000002</v>
      </c>
      <c r="C50" s="655">
        <v>4778823.9863</v>
      </c>
      <c r="D50" s="376">
        <v>992.44659999999999</v>
      </c>
    </row>
    <row r="51" spans="1:4" ht="15" customHeight="1">
      <c r="A51" s="655" t="s">
        <v>2111</v>
      </c>
      <c r="B51" s="655">
        <v>2241569.6628</v>
      </c>
      <c r="C51" s="655">
        <v>4778744.9612999996</v>
      </c>
      <c r="D51" s="376">
        <v>993.26160000000004</v>
      </c>
    </row>
    <row r="52" spans="1:4" ht="15" customHeight="1">
      <c r="A52" s="655" t="s">
        <v>2112</v>
      </c>
      <c r="B52" s="655">
        <v>2241596.7187999999</v>
      </c>
      <c r="C52" s="655">
        <v>4778798.9073000001</v>
      </c>
      <c r="D52" s="376">
        <v>993.38160000000005</v>
      </c>
    </row>
    <row r="53" spans="1:4" ht="15" customHeight="1">
      <c r="A53" s="655" t="s">
        <v>2113</v>
      </c>
      <c r="B53" s="655">
        <v>2241606.5726999999</v>
      </c>
      <c r="C53" s="655">
        <v>4778740.6805999996</v>
      </c>
      <c r="D53" s="376">
        <v>991.14160000000004</v>
      </c>
    </row>
    <row r="54" spans="1:4" ht="15" customHeight="1">
      <c r="A54" s="655" t="s">
        <v>2114</v>
      </c>
      <c r="B54" s="655">
        <v>2241631.4857999999</v>
      </c>
      <c r="C54" s="655">
        <v>4778789.2472999999</v>
      </c>
      <c r="D54" s="376">
        <v>992.01160000000004</v>
      </c>
    </row>
    <row r="55" spans="1:4" ht="15" customHeight="1">
      <c r="A55" s="655" t="s">
        <v>2115</v>
      </c>
      <c r="B55" s="655">
        <v>2241639.0118</v>
      </c>
      <c r="C55" s="655">
        <v>4778733.1492999997</v>
      </c>
      <c r="D55" s="376">
        <v>991.45</v>
      </c>
    </row>
    <row r="56" spans="1:4" ht="15" customHeight="1">
      <c r="A56" s="655" t="s">
        <v>2116</v>
      </c>
      <c r="B56" s="655">
        <v>2241651.3508000001</v>
      </c>
      <c r="C56" s="655">
        <v>4778756.7528999997</v>
      </c>
      <c r="D56" s="376">
        <v>989.92</v>
      </c>
    </row>
    <row r="57" spans="1:4" ht="15" customHeight="1">
      <c r="A57" s="655" t="s">
        <v>2117</v>
      </c>
      <c r="B57" s="655">
        <v>2241664.8547999999</v>
      </c>
      <c r="C57" s="655">
        <v>4778782.5853000004</v>
      </c>
      <c r="D57" s="376">
        <v>991.53160000000003</v>
      </c>
    </row>
    <row r="58" spans="1:4" ht="15" customHeight="1">
      <c r="A58" s="655" t="s">
        <v>2118</v>
      </c>
      <c r="B58" s="655">
        <v>2241677.6830000002</v>
      </c>
      <c r="C58" s="655">
        <v>4778807.8165999996</v>
      </c>
      <c r="D58" s="376">
        <v>991.89160000000004</v>
      </c>
    </row>
    <row r="59" spans="1:4" ht="15" customHeight="1">
      <c r="A59" s="655" t="s">
        <v>2119</v>
      </c>
      <c r="B59" s="655">
        <v>2241683.6288000001</v>
      </c>
      <c r="C59" s="655">
        <v>4778819.5702999998</v>
      </c>
      <c r="D59" s="376">
        <v>992.25160000000005</v>
      </c>
    </row>
    <row r="60" spans="1:4" ht="15" customHeight="1">
      <c r="A60" s="655" t="s">
        <v>2120</v>
      </c>
      <c r="B60" s="655">
        <v>2241686.2374</v>
      </c>
      <c r="C60" s="655">
        <v>4778833.3843</v>
      </c>
      <c r="D60" s="376">
        <v>992.44659999999999</v>
      </c>
    </row>
    <row r="61" spans="1:4" ht="15" customHeight="1">
      <c r="A61" s="655" t="s">
        <v>2121</v>
      </c>
      <c r="B61" s="655">
        <v>2241689.1408000002</v>
      </c>
      <c r="C61" s="655">
        <v>4778848.9363000002</v>
      </c>
      <c r="D61" s="376">
        <v>992.64160000000004</v>
      </c>
    </row>
    <row r="62" spans="1:4" ht="15" customHeight="1">
      <c r="A62" s="655" t="s">
        <v>2122</v>
      </c>
      <c r="B62" s="655">
        <v>2241645.0647999998</v>
      </c>
      <c r="C62" s="655">
        <v>4778854.6732999999</v>
      </c>
      <c r="D62" s="376">
        <v>993.72160000000008</v>
      </c>
    </row>
    <row r="63" spans="1:4" ht="15" customHeight="1">
      <c r="A63" s="655" t="s">
        <v>2123</v>
      </c>
      <c r="B63" s="655">
        <v>2241663.2209000001</v>
      </c>
      <c r="C63" s="655">
        <v>4778849.5484999996</v>
      </c>
      <c r="D63" s="376">
        <v>993.70159999999998</v>
      </c>
    </row>
    <row r="64" spans="1:4" ht="15" customHeight="1">
      <c r="A64" s="655" t="s">
        <v>2124</v>
      </c>
      <c r="B64" s="655">
        <v>2241674.0367999999</v>
      </c>
      <c r="C64" s="655">
        <v>4778849.6343</v>
      </c>
      <c r="D64" s="376">
        <v>993.76160000000004</v>
      </c>
    </row>
    <row r="65" spans="1:4" ht="15" customHeight="1">
      <c r="A65" s="655" t="s">
        <v>2125</v>
      </c>
      <c r="B65" s="655">
        <v>2241706.9208</v>
      </c>
      <c r="C65" s="655">
        <v>4778860.7833000002</v>
      </c>
      <c r="D65" s="376">
        <v>990.59159999999997</v>
      </c>
    </row>
    <row r="66" spans="1:4" ht="15" customHeight="1">
      <c r="A66" s="655" t="s">
        <v>2126</v>
      </c>
      <c r="B66" s="655">
        <v>2241732.1568</v>
      </c>
      <c r="C66" s="655">
        <v>4778902.1222999999</v>
      </c>
      <c r="D66" s="376">
        <v>986.20159999999998</v>
      </c>
    </row>
    <row r="67" spans="1:4" ht="15" customHeight="1">
      <c r="A67" s="655" t="s">
        <v>2127</v>
      </c>
      <c r="B67" s="655">
        <v>2241769.3957000002</v>
      </c>
      <c r="C67" s="655">
        <v>4778916.9391000001</v>
      </c>
      <c r="D67" s="376">
        <v>980.59159999999997</v>
      </c>
    </row>
    <row r="68" spans="1:4" ht="15" customHeight="1">
      <c r="A68" s="655" t="s">
        <v>2128</v>
      </c>
      <c r="B68" s="655">
        <v>2241792.1578000002</v>
      </c>
      <c r="C68" s="655">
        <v>4778952.0352999996</v>
      </c>
      <c r="D68" s="376">
        <v>977.71159999999998</v>
      </c>
    </row>
    <row r="69" spans="1:4" ht="15" customHeight="1">
      <c r="A69" s="655" t="s">
        <v>2129</v>
      </c>
      <c r="B69" s="655">
        <v>2242108.7617000001</v>
      </c>
      <c r="C69" s="655">
        <v>4779133.4397999998</v>
      </c>
      <c r="D69" s="376">
        <v>984.9316</v>
      </c>
    </row>
    <row r="70" spans="1:4" ht="15" customHeight="1">
      <c r="A70" s="655" t="s">
        <v>2130</v>
      </c>
      <c r="B70" s="655">
        <v>2242079.0932999998</v>
      </c>
      <c r="C70" s="655">
        <v>4779143.6928000003</v>
      </c>
      <c r="D70" s="376">
        <v>985.09159999999997</v>
      </c>
    </row>
    <row r="71" spans="1:4" ht="15" customHeight="1">
      <c r="A71" s="655" t="s">
        <v>2131</v>
      </c>
      <c r="B71" s="655">
        <v>2242063.5018000002</v>
      </c>
      <c r="C71" s="655">
        <v>4779121.0723000001</v>
      </c>
      <c r="D71" s="376">
        <v>983.94159999999999</v>
      </c>
    </row>
    <row r="72" spans="1:4" ht="15" customHeight="1">
      <c r="A72" s="655" t="s">
        <v>2132</v>
      </c>
      <c r="B72" s="655">
        <v>2242021.2733999998</v>
      </c>
      <c r="C72" s="655">
        <v>4779110.21</v>
      </c>
      <c r="D72" s="376">
        <v>981.19159999999999</v>
      </c>
    </row>
    <row r="73" spans="1:4" ht="15" customHeight="1">
      <c r="A73" s="655" t="s">
        <v>2133</v>
      </c>
      <c r="B73" s="655">
        <v>2242111.0167999999</v>
      </c>
      <c r="C73" s="655">
        <v>4779094.7333000004</v>
      </c>
      <c r="D73" s="376">
        <v>982.6816</v>
      </c>
    </row>
    <row r="74" spans="1:4" ht="15" customHeight="1">
      <c r="A74" s="655" t="s">
        <v>2134</v>
      </c>
      <c r="B74" s="655">
        <v>2242103.2828000002</v>
      </c>
      <c r="C74" s="655">
        <v>4779098.0403000005</v>
      </c>
      <c r="D74" s="376">
        <v>982.23160000000007</v>
      </c>
    </row>
    <row r="75" spans="1:4" ht="15" customHeight="1">
      <c r="A75" s="655" t="s">
        <v>2135</v>
      </c>
      <c r="B75" s="655">
        <v>2242088.1738</v>
      </c>
      <c r="C75" s="655">
        <v>4779071.4382999996</v>
      </c>
      <c r="D75" s="376">
        <v>981.13160000000005</v>
      </c>
    </row>
    <row r="76" spans="1:4" ht="15" customHeight="1">
      <c r="A76" s="655" t="s">
        <v>2136</v>
      </c>
      <c r="B76" s="655">
        <v>2242002.2752</v>
      </c>
      <c r="C76" s="655">
        <v>4779109.6023000004</v>
      </c>
      <c r="D76" s="376">
        <v>980.13160000000005</v>
      </c>
    </row>
    <row r="77" spans="1:4" ht="15" customHeight="1">
      <c r="A77" s="655" t="s">
        <v>2137</v>
      </c>
      <c r="B77" s="655">
        <v>2242021.4378999998</v>
      </c>
      <c r="C77" s="655">
        <v>4779131.0751999998</v>
      </c>
      <c r="D77" s="376">
        <v>981.07159999999999</v>
      </c>
    </row>
    <row r="78" spans="1:4" ht="15" customHeight="1">
      <c r="A78" s="655" t="s">
        <v>2138</v>
      </c>
      <c r="B78" s="655">
        <v>2242036.9197999998</v>
      </c>
      <c r="C78" s="655">
        <v>4779144.9863</v>
      </c>
      <c r="D78" s="376">
        <v>982.35160000000008</v>
      </c>
    </row>
    <row r="79" spans="1:4" ht="15" customHeight="1">
      <c r="A79" s="655" t="s">
        <v>2139</v>
      </c>
      <c r="B79" s="655">
        <v>2242052.4205</v>
      </c>
      <c r="C79" s="655">
        <v>4779159.6053999998</v>
      </c>
      <c r="D79" s="376">
        <v>982.92160000000001</v>
      </c>
    </row>
    <row r="80" spans="1:4" ht="15" customHeight="1">
      <c r="A80" s="655" t="s">
        <v>2140</v>
      </c>
      <c r="B80" s="655">
        <v>2242065.6433000001</v>
      </c>
      <c r="C80" s="655">
        <v>4779174.8584000003</v>
      </c>
      <c r="D80" s="376">
        <v>983.6816</v>
      </c>
    </row>
    <row r="81" spans="1:4" ht="15" customHeight="1">
      <c r="A81" s="655" t="s">
        <v>2141</v>
      </c>
      <c r="B81" s="655">
        <v>2242053.1098000002</v>
      </c>
      <c r="C81" s="655">
        <v>4779187.2164000003</v>
      </c>
      <c r="D81" s="376">
        <v>983.10160000000008</v>
      </c>
    </row>
    <row r="82" spans="1:4" ht="15" customHeight="1">
      <c r="A82" s="655" t="s">
        <v>2142</v>
      </c>
      <c r="B82" s="655">
        <v>2242039.4818000002</v>
      </c>
      <c r="C82" s="655">
        <v>4779172.9993000003</v>
      </c>
      <c r="D82" s="376">
        <v>982.69159999999999</v>
      </c>
    </row>
    <row r="83" spans="1:4" ht="15" customHeight="1">
      <c r="A83" s="655" t="s">
        <v>2143</v>
      </c>
      <c r="B83" s="655">
        <v>2242024.0397999999</v>
      </c>
      <c r="C83" s="655">
        <v>4779159.4363000002</v>
      </c>
      <c r="D83" s="376">
        <v>982.39160000000004</v>
      </c>
    </row>
    <row r="84" spans="1:4" ht="15" customHeight="1">
      <c r="A84" s="655" t="s">
        <v>2144</v>
      </c>
      <c r="B84" s="655">
        <v>2242007.8508000001</v>
      </c>
      <c r="C84" s="655">
        <v>4779145.6902999999</v>
      </c>
      <c r="D84" s="376">
        <v>981.11160000000007</v>
      </c>
    </row>
    <row r="85" spans="1:4" ht="15" customHeight="1">
      <c r="A85" s="655" t="s">
        <v>2145</v>
      </c>
      <c r="B85" s="655">
        <v>2241996.6357999998</v>
      </c>
      <c r="C85" s="655">
        <v>4779136.0582999997</v>
      </c>
      <c r="D85" s="376">
        <v>980.13160000000005</v>
      </c>
    </row>
    <row r="86" spans="1:4" ht="15" customHeight="1">
      <c r="A86" s="655" t="s">
        <v>2146</v>
      </c>
      <c r="B86" s="655">
        <v>2241993.3237999999</v>
      </c>
      <c r="C86" s="655">
        <v>4779139.9502999997</v>
      </c>
      <c r="D86" s="376">
        <v>978.22160000000008</v>
      </c>
    </row>
    <row r="87" spans="1:4" ht="15" customHeight="1">
      <c r="A87" s="655" t="s">
        <v>2147</v>
      </c>
      <c r="B87" s="655">
        <v>2242612.3358</v>
      </c>
      <c r="C87" s="655">
        <v>4779678.7613000004</v>
      </c>
      <c r="D87" s="376">
        <v>978.00160000000005</v>
      </c>
    </row>
    <row r="88" spans="1:4" ht="15" customHeight="1">
      <c r="A88" s="655" t="s">
        <v>2148</v>
      </c>
      <c r="B88" s="655">
        <v>2242580.3487999998</v>
      </c>
      <c r="C88" s="655">
        <v>4779720.5673000002</v>
      </c>
      <c r="D88" s="376">
        <v>982.50160000000005</v>
      </c>
    </row>
    <row r="89" spans="1:4" ht="15" customHeight="1">
      <c r="A89" s="655" t="s">
        <v>2149</v>
      </c>
      <c r="B89" s="655">
        <v>2242579.2530999999</v>
      </c>
      <c r="C89" s="655">
        <v>4779723.5385999996</v>
      </c>
      <c r="D89" s="376">
        <v>982.62160000000006</v>
      </c>
    </row>
    <row r="90" spans="1:4" ht="15" customHeight="1">
      <c r="A90" s="655" t="s">
        <v>2150</v>
      </c>
      <c r="B90" s="655">
        <v>2242624.1137999999</v>
      </c>
      <c r="C90" s="655">
        <v>4779710.0383000001</v>
      </c>
      <c r="D90" s="376">
        <v>982.77160000000003</v>
      </c>
    </row>
    <row r="91" spans="1:4" ht="15" customHeight="1">
      <c r="A91" s="655" t="s">
        <v>2151</v>
      </c>
      <c r="B91" s="655">
        <v>2242665.9438</v>
      </c>
      <c r="C91" s="655">
        <v>4779695.5043000001</v>
      </c>
      <c r="D91" s="376">
        <v>981.24160000000006</v>
      </c>
    </row>
    <row r="92" spans="1:4" ht="15" customHeight="1">
      <c r="A92" s="655" t="s">
        <v>2152</v>
      </c>
      <c r="B92" s="655">
        <v>2242748.3426999999</v>
      </c>
      <c r="C92" s="655">
        <v>4779667.8853000002</v>
      </c>
      <c r="D92" s="376">
        <v>978.08159999999998</v>
      </c>
    </row>
    <row r="93" spans="1:4" ht="15" customHeight="1">
      <c r="A93" s="655" t="s">
        <v>2153</v>
      </c>
      <c r="B93" s="655">
        <v>2242733.0787999998</v>
      </c>
      <c r="C93" s="655">
        <v>4779625.0922999997</v>
      </c>
      <c r="D93" s="376">
        <v>974.44159999999999</v>
      </c>
    </row>
    <row r="94" spans="1:4" ht="15" customHeight="1">
      <c r="A94" s="655" t="s">
        <v>2154</v>
      </c>
      <c r="B94" s="655">
        <v>2242718.2900999999</v>
      </c>
      <c r="C94" s="655">
        <v>4779582.0531000001</v>
      </c>
      <c r="D94" s="376">
        <v>971.59159999999997</v>
      </c>
    </row>
    <row r="95" spans="1:4" ht="15" customHeight="1">
      <c r="A95" s="655" t="s">
        <v>2155</v>
      </c>
      <c r="B95" s="655">
        <v>2242647.9308000002</v>
      </c>
      <c r="C95" s="655">
        <v>4779606.6063000001</v>
      </c>
      <c r="D95" s="376">
        <v>971.48160000000007</v>
      </c>
    </row>
    <row r="96" spans="1:4" ht="15" customHeight="1">
      <c r="A96" s="655" t="s">
        <v>2156</v>
      </c>
      <c r="B96" s="655">
        <v>2242652.5967999999</v>
      </c>
      <c r="C96" s="655">
        <v>4779653.3492999999</v>
      </c>
      <c r="D96" s="376">
        <v>972.98160000000007</v>
      </c>
    </row>
    <row r="97" spans="1:4" ht="15" customHeight="1">
      <c r="A97" s="655" t="s">
        <v>2157</v>
      </c>
      <c r="B97" s="655">
        <v>2242608.6667999998</v>
      </c>
      <c r="C97" s="655">
        <v>4779667.9303000001</v>
      </c>
      <c r="D97" s="376">
        <v>972.71159999999998</v>
      </c>
    </row>
    <row r="98" spans="1:4" ht="15" customHeight="1">
      <c r="A98" s="655" t="s">
        <v>2158</v>
      </c>
      <c r="B98" s="655">
        <v>2242568.2968000001</v>
      </c>
      <c r="C98" s="655">
        <v>4779682.1162999999</v>
      </c>
      <c r="D98" s="376">
        <v>972.12160000000006</v>
      </c>
    </row>
    <row r="99" spans="1:4" ht="15" customHeight="1">
      <c r="A99" s="655" t="s">
        <v>2159</v>
      </c>
      <c r="B99" s="655">
        <v>2242553.7118000002</v>
      </c>
      <c r="C99" s="655">
        <v>4779686.0462999996</v>
      </c>
      <c r="D99" s="376">
        <v>971.82159999999999</v>
      </c>
    </row>
    <row r="100" spans="1:4" ht="15" customHeight="1">
      <c r="A100" s="655" t="s">
        <v>2160</v>
      </c>
      <c r="B100" s="655">
        <v>2242536.9918</v>
      </c>
      <c r="C100" s="655">
        <v>4779725.2373000002</v>
      </c>
      <c r="D100" s="376">
        <v>971.02160000000003</v>
      </c>
    </row>
    <row r="101" spans="1:4" ht="15" customHeight="1">
      <c r="A101" s="655" t="s">
        <v>2161</v>
      </c>
      <c r="B101" s="655">
        <v>2242698.9877999998</v>
      </c>
      <c r="C101" s="655">
        <v>4779717.1533000004</v>
      </c>
      <c r="D101" s="376">
        <v>990.3116</v>
      </c>
    </row>
    <row r="102" spans="1:4" ht="15" customHeight="1">
      <c r="A102" s="655" t="s">
        <v>2162</v>
      </c>
      <c r="B102" s="655">
        <v>2242688.4948</v>
      </c>
      <c r="C102" s="655">
        <v>4779716.9773000004</v>
      </c>
      <c r="D102" s="376">
        <v>989.52160000000003</v>
      </c>
    </row>
    <row r="103" spans="1:4" ht="15" customHeight="1">
      <c r="A103" s="655" t="s">
        <v>2163</v>
      </c>
      <c r="B103" s="655">
        <v>2242610.6838000002</v>
      </c>
      <c r="C103" s="655">
        <v>4779740.2632999998</v>
      </c>
      <c r="D103" s="376">
        <v>992.55160000000001</v>
      </c>
    </row>
    <row r="104" spans="1:4" ht="15" customHeight="1">
      <c r="A104" s="655" t="s">
        <v>2164</v>
      </c>
      <c r="B104" s="655">
        <v>2242581.1748000002</v>
      </c>
      <c r="C104" s="655">
        <v>4779737.2812999999</v>
      </c>
      <c r="D104" s="376">
        <v>987.71159999999998</v>
      </c>
    </row>
    <row r="105" spans="1:4" ht="15" customHeight="1">
      <c r="A105" s="655" t="s">
        <v>2165</v>
      </c>
      <c r="B105" s="655">
        <v>2242550.6277999999</v>
      </c>
      <c r="C105" s="655">
        <v>4779733.6803000001</v>
      </c>
      <c r="D105" s="376">
        <v>980.61160000000007</v>
      </c>
    </row>
    <row r="106" spans="1:4" ht="15" customHeight="1">
      <c r="A106" s="655" t="s">
        <v>2166</v>
      </c>
      <c r="B106" s="655">
        <v>2242544.0518</v>
      </c>
      <c r="C106" s="655">
        <v>4779736.0943</v>
      </c>
      <c r="D106" s="376">
        <v>979.70159999999998</v>
      </c>
    </row>
    <row r="107" spans="1:4" ht="15" customHeight="1">
      <c r="A107" s="655" t="s">
        <v>2167</v>
      </c>
      <c r="B107" s="655">
        <v>2242497.3078000001</v>
      </c>
      <c r="C107" s="655">
        <v>4779756.8523000004</v>
      </c>
      <c r="D107" s="376">
        <v>972.89160000000004</v>
      </c>
    </row>
    <row r="108" spans="1:4" ht="15" customHeight="1">
      <c r="A108" s="655" t="s">
        <v>2168</v>
      </c>
      <c r="B108" s="655">
        <v>2242402.6828000001</v>
      </c>
      <c r="C108" s="655">
        <v>4779756.7143000001</v>
      </c>
      <c r="D108" s="376">
        <v>980.00160000000005</v>
      </c>
    </row>
    <row r="109" spans="1:4" ht="15" customHeight="1">
      <c r="A109" s="655" t="s">
        <v>2169</v>
      </c>
      <c r="B109" s="655">
        <v>2242417.9967999998</v>
      </c>
      <c r="C109" s="655">
        <v>4779741.4112999998</v>
      </c>
      <c r="D109" s="376">
        <v>978.98160000000007</v>
      </c>
    </row>
    <row r="110" spans="1:4" ht="15" customHeight="1">
      <c r="A110" s="655" t="s">
        <v>2170</v>
      </c>
      <c r="B110" s="655">
        <v>2242457.1477999999</v>
      </c>
      <c r="C110" s="655">
        <v>4779723.7912999997</v>
      </c>
      <c r="D110" s="376">
        <v>977.87160000000006</v>
      </c>
    </row>
    <row r="111" spans="1:4" ht="15" customHeight="1">
      <c r="A111" s="655" t="s">
        <v>2171</v>
      </c>
      <c r="B111" s="655">
        <v>2242481.2377999998</v>
      </c>
      <c r="C111" s="655">
        <v>4779742.4493000004</v>
      </c>
      <c r="D111" s="376">
        <v>972.80160000000001</v>
      </c>
    </row>
    <row r="112" spans="1:4" ht="15" customHeight="1">
      <c r="A112" s="655" t="s">
        <v>2172</v>
      </c>
      <c r="B112" s="655">
        <v>2242461.9657999999</v>
      </c>
      <c r="C112" s="655">
        <v>4779556.1212999998</v>
      </c>
      <c r="D112" s="376">
        <v>1003.8516000000001</v>
      </c>
    </row>
    <row r="113" spans="1:4" ht="15" customHeight="1">
      <c r="A113" s="655" t="s">
        <v>2173</v>
      </c>
      <c r="B113" s="655">
        <v>2242457.1858000001</v>
      </c>
      <c r="C113" s="655">
        <v>4779553.4133000001</v>
      </c>
      <c r="D113" s="376">
        <v>1002.5716</v>
      </c>
    </row>
    <row r="114" spans="1:4" ht="15" customHeight="1">
      <c r="A114" s="655" t="s">
        <v>2174</v>
      </c>
      <c r="B114" s="655">
        <v>2242442.3687999998</v>
      </c>
      <c r="C114" s="655">
        <v>4779557.0592999998</v>
      </c>
      <c r="D114" s="376">
        <v>1001.9916000000001</v>
      </c>
    </row>
    <row r="115" spans="1:4" ht="15" customHeight="1">
      <c r="A115" s="655" t="s">
        <v>2175</v>
      </c>
      <c r="B115" s="655">
        <v>2242449.0558000002</v>
      </c>
      <c r="C115" s="655">
        <v>4779582.7823000001</v>
      </c>
      <c r="D115" s="376">
        <v>1001.5016000000001</v>
      </c>
    </row>
    <row r="116" spans="1:4" ht="15" customHeight="1">
      <c r="A116" s="655" t="s">
        <v>2176</v>
      </c>
      <c r="B116" s="655">
        <v>2242456.3058000002</v>
      </c>
      <c r="C116" s="655">
        <v>4779609.9962999998</v>
      </c>
      <c r="D116" s="376">
        <v>998.28160000000003</v>
      </c>
    </row>
    <row r="117" spans="1:4" ht="15" customHeight="1">
      <c r="A117" s="655" t="s">
        <v>2177</v>
      </c>
      <c r="B117" s="655">
        <v>2242326.0877999999</v>
      </c>
      <c r="C117" s="655">
        <v>4779262.0082999999</v>
      </c>
      <c r="D117" s="376">
        <v>987.32159999999999</v>
      </c>
    </row>
    <row r="118" spans="1:4" ht="15" customHeight="1">
      <c r="A118" s="655" t="s">
        <v>2178</v>
      </c>
      <c r="B118" s="655">
        <v>2242291.8128</v>
      </c>
      <c r="C118" s="655">
        <v>4779276.1463000001</v>
      </c>
      <c r="D118" s="376">
        <v>986.88160000000005</v>
      </c>
    </row>
    <row r="119" spans="1:4" ht="15" customHeight="1">
      <c r="A119" s="655" t="s">
        <v>2179</v>
      </c>
      <c r="B119" s="655">
        <v>2242289.9974000002</v>
      </c>
      <c r="C119" s="655">
        <v>4779246.2089999998</v>
      </c>
      <c r="D119" s="376">
        <v>985.73160000000007</v>
      </c>
    </row>
    <row r="120" spans="1:4" ht="15" customHeight="1">
      <c r="A120" s="655" t="s">
        <v>2180</v>
      </c>
      <c r="B120" s="655">
        <v>2242245.9528000001</v>
      </c>
      <c r="C120" s="655">
        <v>4779198.7193</v>
      </c>
      <c r="D120" s="376">
        <v>985.66160000000002</v>
      </c>
    </row>
    <row r="121" spans="1:4" ht="15" customHeight="1">
      <c r="A121" s="655" t="s">
        <v>2181</v>
      </c>
      <c r="B121" s="655">
        <v>2242256.6077999999</v>
      </c>
      <c r="C121" s="655">
        <v>4779192.0683000004</v>
      </c>
      <c r="D121" s="376">
        <v>986.87160000000006</v>
      </c>
    </row>
    <row r="122" spans="1:4" ht="15" customHeight="1">
      <c r="A122" s="655" t="s">
        <v>2182</v>
      </c>
      <c r="B122" s="655">
        <v>2242225.8827999998</v>
      </c>
      <c r="C122" s="655">
        <v>4779126.3003000002</v>
      </c>
      <c r="D122" s="376">
        <v>986.65160000000003</v>
      </c>
    </row>
    <row r="123" spans="1:4" ht="15" customHeight="1">
      <c r="A123" s="655" t="s">
        <v>2183</v>
      </c>
      <c r="B123" s="655">
        <v>2242020.6828000001</v>
      </c>
      <c r="C123" s="655">
        <v>4779200.8623000002</v>
      </c>
      <c r="D123" s="376">
        <v>984.00160000000005</v>
      </c>
    </row>
    <row r="124" spans="1:4" ht="15" customHeight="1">
      <c r="A124" s="655" t="s">
        <v>2184</v>
      </c>
      <c r="B124" s="655">
        <v>2242029.8818999999</v>
      </c>
      <c r="C124" s="655">
        <v>4779213.8514999999</v>
      </c>
      <c r="D124" s="376">
        <v>985.15160000000003</v>
      </c>
    </row>
    <row r="125" spans="1:4" ht="15" customHeight="1">
      <c r="A125" s="655" t="s">
        <v>2185</v>
      </c>
      <c r="B125" s="655">
        <v>2242043.6238000002</v>
      </c>
      <c r="C125" s="655">
        <v>4779235.6907000002</v>
      </c>
      <c r="D125" s="376">
        <v>986.07159999999999</v>
      </c>
    </row>
    <row r="126" spans="1:4" ht="15" customHeight="1">
      <c r="A126" s="655" t="s">
        <v>2186</v>
      </c>
      <c r="B126" s="655">
        <v>2242017.5797999999</v>
      </c>
      <c r="C126" s="655">
        <v>4779250.1473000003</v>
      </c>
      <c r="D126" s="376">
        <v>986.27160000000003</v>
      </c>
    </row>
    <row r="127" spans="1:4" ht="15" customHeight="1">
      <c r="A127" s="655" t="s">
        <v>2187</v>
      </c>
      <c r="B127" s="655">
        <v>2242006.0647999998</v>
      </c>
      <c r="C127" s="655">
        <v>4779226.2582999999</v>
      </c>
      <c r="D127" s="376">
        <v>985.66160000000002</v>
      </c>
    </row>
    <row r="128" spans="1:4" ht="15" customHeight="1">
      <c r="A128" s="655" t="s">
        <v>2188</v>
      </c>
      <c r="B128" s="655">
        <v>2241995.6497999998</v>
      </c>
      <c r="C128" s="655">
        <v>4779204.6113</v>
      </c>
      <c r="D128" s="376">
        <v>984.70159999999998</v>
      </c>
    </row>
    <row r="129" spans="1:4" ht="15" customHeight="1">
      <c r="A129" s="655" t="s">
        <v>2189</v>
      </c>
      <c r="B129" s="655">
        <v>2242000.6362999999</v>
      </c>
      <c r="C129" s="655">
        <v>4779571.4419999998</v>
      </c>
      <c r="D129" s="376">
        <v>984.46159999999998</v>
      </c>
    </row>
    <row r="130" spans="1:4" ht="15" customHeight="1">
      <c r="A130" s="655" t="s">
        <v>2190</v>
      </c>
      <c r="B130" s="655">
        <v>2242024.6913000001</v>
      </c>
      <c r="C130" s="655">
        <v>4779540.5904000001</v>
      </c>
      <c r="D130" s="376">
        <v>989.72160000000008</v>
      </c>
    </row>
    <row r="131" spans="1:4" ht="15" customHeight="1">
      <c r="A131" s="655" t="s">
        <v>2191</v>
      </c>
      <c r="B131" s="655">
        <v>2241994.4268</v>
      </c>
      <c r="C131" s="655">
        <v>4779550.4653000003</v>
      </c>
      <c r="D131" s="376">
        <v>984.12160000000006</v>
      </c>
    </row>
    <row r="132" spans="1:4" ht="15" customHeight="1">
      <c r="A132" s="655" t="s">
        <v>2192</v>
      </c>
      <c r="B132" s="655">
        <v>2241972.0197999999</v>
      </c>
      <c r="C132" s="655">
        <v>4779529.1142999995</v>
      </c>
      <c r="D132" s="376">
        <v>983.04160000000002</v>
      </c>
    </row>
    <row r="133" spans="1:4" ht="15" customHeight="1">
      <c r="A133" s="655" t="s">
        <v>2193</v>
      </c>
      <c r="B133" s="655">
        <v>2241978.6178000001</v>
      </c>
      <c r="C133" s="655">
        <v>4779555.0702999998</v>
      </c>
      <c r="D133" s="376">
        <v>983.13160000000005</v>
      </c>
    </row>
    <row r="134" spans="1:4" ht="15" customHeight="1">
      <c r="A134" s="655" t="s">
        <v>2194</v>
      </c>
      <c r="B134" s="655">
        <v>2241988.6228</v>
      </c>
      <c r="C134" s="655">
        <v>4779598.9023000002</v>
      </c>
      <c r="D134" s="376">
        <v>982.84159999999997</v>
      </c>
    </row>
    <row r="135" spans="1:4" ht="15" customHeight="1">
      <c r="A135" s="655" t="s">
        <v>2195</v>
      </c>
      <c r="B135" s="655">
        <v>2241972.0118</v>
      </c>
      <c r="C135" s="655">
        <v>4779527.2763</v>
      </c>
      <c r="D135" s="376">
        <v>983.04160000000002</v>
      </c>
    </row>
    <row r="136" spans="1:4" ht="15" customHeight="1">
      <c r="A136" s="655" t="s">
        <v>2196</v>
      </c>
      <c r="B136" s="655">
        <v>2241967.8388</v>
      </c>
      <c r="C136" s="655">
        <v>4779530.8213</v>
      </c>
      <c r="D136" s="376">
        <v>982.28160000000003</v>
      </c>
    </row>
    <row r="137" spans="1:4" ht="15" customHeight="1">
      <c r="A137" s="655" t="s">
        <v>2197</v>
      </c>
      <c r="B137" s="655">
        <v>2241957.6017999998</v>
      </c>
      <c r="C137" s="655">
        <v>4779493.6042999998</v>
      </c>
      <c r="D137" s="376">
        <v>980.12160000000006</v>
      </c>
    </row>
    <row r="138" spans="1:4" ht="15" customHeight="1">
      <c r="A138" s="655" t="s">
        <v>2198</v>
      </c>
      <c r="B138" s="655">
        <v>2241952.2398000001</v>
      </c>
      <c r="C138" s="655">
        <v>4779474.4073000001</v>
      </c>
      <c r="D138" s="376">
        <v>979.52160000000003</v>
      </c>
    </row>
    <row r="139" spans="1:4" ht="15" customHeight="1">
      <c r="A139" s="655" t="s">
        <v>2199</v>
      </c>
      <c r="B139" s="655">
        <v>2242019.5666</v>
      </c>
      <c r="C139" s="655">
        <v>4779505.8229999999</v>
      </c>
      <c r="D139" s="376">
        <v>989.45159999999998</v>
      </c>
    </row>
    <row r="140" spans="1:4" ht="15" customHeight="1">
      <c r="A140" s="655" t="s">
        <v>2200</v>
      </c>
      <c r="B140" s="655">
        <v>2241975.0838000001</v>
      </c>
      <c r="C140" s="655">
        <v>4779409.0182999996</v>
      </c>
      <c r="D140" s="376">
        <v>984.64160000000004</v>
      </c>
    </row>
    <row r="141" spans="1:4" ht="15" customHeight="1">
      <c r="A141" s="655" t="s">
        <v>2201</v>
      </c>
      <c r="B141" s="655">
        <v>2241923.3439000002</v>
      </c>
      <c r="C141" s="655">
        <v>4779308.6341000004</v>
      </c>
      <c r="D141" s="376">
        <v>982.22160000000008</v>
      </c>
    </row>
    <row r="142" spans="1:4" ht="15" customHeight="1">
      <c r="A142" s="655" t="s">
        <v>2202</v>
      </c>
      <c r="B142" s="655">
        <v>2242027.9358000001</v>
      </c>
      <c r="C142" s="655">
        <v>4779581.7372000003</v>
      </c>
      <c r="D142" s="376">
        <v>988.03160000000003</v>
      </c>
    </row>
    <row r="143" spans="1:4" ht="15" customHeight="1">
      <c r="A143" s="655" t="s">
        <v>2203</v>
      </c>
      <c r="B143" s="655">
        <v>2242004.6718000001</v>
      </c>
      <c r="C143" s="655">
        <v>4779592.2433000002</v>
      </c>
      <c r="D143" s="376">
        <v>984.40160000000003</v>
      </c>
    </row>
    <row r="144" spans="1:4" ht="15" customHeight="1">
      <c r="A144" s="655" t="s">
        <v>2204</v>
      </c>
      <c r="B144" s="655">
        <v>2242005.6238000002</v>
      </c>
      <c r="C144" s="655">
        <v>4779744.6003</v>
      </c>
      <c r="D144" s="376">
        <v>969.24160000000006</v>
      </c>
    </row>
    <row r="145" spans="1:4" ht="15" customHeight="1">
      <c r="A145" s="655" t="s">
        <v>2205</v>
      </c>
      <c r="B145" s="655">
        <v>2242050.2212999999</v>
      </c>
      <c r="C145" s="655">
        <v>4779668.4616999999</v>
      </c>
      <c r="D145" s="376">
        <v>981.83159999999998</v>
      </c>
    </row>
    <row r="146" spans="1:4" ht="15" customHeight="1">
      <c r="A146" s="655" t="s">
        <v>2206</v>
      </c>
      <c r="B146" s="655">
        <v>2242177.7777999998</v>
      </c>
      <c r="C146" s="655">
        <v>4779865.2543000001</v>
      </c>
      <c r="D146" s="376">
        <v>984.07159999999999</v>
      </c>
    </row>
    <row r="147" spans="1:4" ht="15" customHeight="1">
      <c r="A147" s="655" t="s">
        <v>2207</v>
      </c>
      <c r="B147" s="655">
        <v>2242114.9177999999</v>
      </c>
      <c r="C147" s="655">
        <v>4779761.8702999996</v>
      </c>
      <c r="D147" s="376">
        <v>979.50160000000005</v>
      </c>
    </row>
    <row r="148" spans="1:4" ht="15" customHeight="1">
      <c r="A148" s="655" t="s">
        <v>2208</v>
      </c>
      <c r="B148" s="655">
        <v>2242089.0247999998</v>
      </c>
      <c r="C148" s="655">
        <v>4779769.7553000003</v>
      </c>
      <c r="D148" s="376">
        <v>975.32159999999999</v>
      </c>
    </row>
    <row r="149" spans="1:4" ht="15" customHeight="1">
      <c r="A149" s="655" t="s">
        <v>2209</v>
      </c>
      <c r="B149" s="655">
        <v>2242056.5957999998</v>
      </c>
      <c r="C149" s="655">
        <v>4779733.6913000001</v>
      </c>
      <c r="D149" s="376">
        <v>972.65160000000003</v>
      </c>
    </row>
    <row r="150" spans="1:4" ht="15" customHeight="1">
      <c r="A150" s="655" t="s">
        <v>2210</v>
      </c>
      <c r="B150" s="655">
        <v>2242040.8938000002</v>
      </c>
      <c r="C150" s="655">
        <v>4779739.3073000005</v>
      </c>
      <c r="D150" s="376">
        <v>971.75160000000005</v>
      </c>
    </row>
    <row r="151" spans="1:4" ht="15" customHeight="1">
      <c r="A151" s="655" t="s">
        <v>2211</v>
      </c>
      <c r="B151" s="655">
        <v>2242038.5018000002</v>
      </c>
      <c r="C151" s="655">
        <v>4779737.6832999997</v>
      </c>
      <c r="D151" s="376">
        <v>971.58159999999998</v>
      </c>
    </row>
    <row r="152" spans="1:4" ht="15" customHeight="1">
      <c r="A152" s="655" t="s">
        <v>2212</v>
      </c>
      <c r="B152" s="655">
        <v>2242003.6088</v>
      </c>
      <c r="C152" s="655">
        <v>4779742.1662999997</v>
      </c>
      <c r="D152" s="376">
        <v>969.23160000000007</v>
      </c>
    </row>
    <row r="153" spans="1:4" ht="15" customHeight="1">
      <c r="A153" s="655" t="s">
        <v>2213</v>
      </c>
      <c r="B153" s="655">
        <v>2242043.8157000002</v>
      </c>
      <c r="C153" s="655">
        <v>4779740.6796000004</v>
      </c>
      <c r="D153" s="376">
        <v>971.91160000000002</v>
      </c>
    </row>
    <row r="154" spans="1:4" ht="15" customHeight="1">
      <c r="A154" s="655" t="s">
        <v>2214</v>
      </c>
      <c r="B154" s="655">
        <v>2242078.3358</v>
      </c>
      <c r="C154" s="655">
        <v>4779777.3652999997</v>
      </c>
      <c r="D154" s="376">
        <v>976.22160000000008</v>
      </c>
    </row>
    <row r="155" spans="1:4" ht="15" customHeight="1">
      <c r="A155" s="655" t="s">
        <v>2215</v>
      </c>
      <c r="B155" s="655">
        <v>2242129.0588000002</v>
      </c>
      <c r="C155" s="655">
        <v>4779676.2033000002</v>
      </c>
      <c r="D155" s="376">
        <v>985.04160000000002</v>
      </c>
    </row>
    <row r="156" spans="1:4" ht="15" customHeight="1">
      <c r="A156" s="655" t="s">
        <v>2216</v>
      </c>
      <c r="B156" s="655">
        <v>2242101.3928</v>
      </c>
      <c r="C156" s="655">
        <v>4779685.0302999998</v>
      </c>
      <c r="D156" s="376">
        <v>982.99160000000006</v>
      </c>
    </row>
    <row r="157" spans="1:4" ht="15" customHeight="1">
      <c r="A157" s="655" t="s">
        <v>2217</v>
      </c>
      <c r="B157" s="655">
        <v>2242063.5666999999</v>
      </c>
      <c r="C157" s="655">
        <v>4779694.9831999997</v>
      </c>
      <c r="D157" s="376">
        <v>980.73160000000007</v>
      </c>
    </row>
    <row r="158" spans="1:4" ht="15" customHeight="1">
      <c r="A158" s="655" t="s">
        <v>2218</v>
      </c>
      <c r="B158" s="655">
        <v>2242041.3088000002</v>
      </c>
      <c r="C158" s="655">
        <v>4779700.8393000001</v>
      </c>
      <c r="D158" s="376">
        <v>980.16160000000002</v>
      </c>
    </row>
    <row r="159" spans="1:4" ht="15" customHeight="1">
      <c r="A159" s="655" t="s">
        <v>2219</v>
      </c>
      <c r="B159" s="655">
        <v>2241988.5707999999</v>
      </c>
      <c r="C159" s="655">
        <v>4779713.8183000004</v>
      </c>
      <c r="D159" s="376">
        <v>976.38160000000005</v>
      </c>
    </row>
    <row r="160" spans="1:4" ht="15" customHeight="1">
      <c r="A160" s="655" t="s">
        <v>2220</v>
      </c>
      <c r="B160" s="655">
        <v>2241974.0268000001</v>
      </c>
      <c r="C160" s="655">
        <v>4779717.9802999999</v>
      </c>
      <c r="D160" s="376">
        <v>967.08159999999998</v>
      </c>
    </row>
    <row r="161" spans="1:4" ht="15" customHeight="1">
      <c r="A161" s="655" t="s">
        <v>2221</v>
      </c>
      <c r="B161" s="655">
        <v>2242063.4078000002</v>
      </c>
      <c r="C161" s="655">
        <v>4779599.2323000003</v>
      </c>
      <c r="D161" s="376">
        <v>987.17160000000001</v>
      </c>
    </row>
    <row r="162" spans="1:4" ht="15" customHeight="1">
      <c r="A162" s="655" t="s">
        <v>2222</v>
      </c>
      <c r="B162" s="655">
        <v>2241996.1948000002</v>
      </c>
      <c r="C162" s="655">
        <v>4779631.3633000003</v>
      </c>
      <c r="D162" s="376">
        <v>982.51160000000004</v>
      </c>
    </row>
    <row r="163" spans="1:4" ht="15" customHeight="1">
      <c r="A163" s="655" t="s">
        <v>2223</v>
      </c>
      <c r="B163" s="655">
        <v>2241975.8278000001</v>
      </c>
      <c r="C163" s="655">
        <v>4779641.1183000002</v>
      </c>
      <c r="D163" s="376">
        <v>975.91160000000002</v>
      </c>
    </row>
    <row r="164" spans="1:4" ht="15" customHeight="1">
      <c r="A164" s="655" t="s">
        <v>2224</v>
      </c>
      <c r="B164" s="655">
        <v>2241959.4358000001</v>
      </c>
      <c r="C164" s="655">
        <v>4779648.2893000003</v>
      </c>
      <c r="D164" s="376">
        <v>968.35160000000008</v>
      </c>
    </row>
    <row r="165" spans="1:4" ht="15" customHeight="1">
      <c r="A165" s="655" t="s">
        <v>2225</v>
      </c>
      <c r="B165" s="655">
        <v>2241948.1058</v>
      </c>
      <c r="C165" s="655">
        <v>4779652.6492999997</v>
      </c>
      <c r="D165" s="376">
        <v>967.28160000000003</v>
      </c>
    </row>
    <row r="166" spans="1:4" ht="15" customHeight="1">
      <c r="A166" s="655" t="s">
        <v>2226</v>
      </c>
      <c r="B166" s="655">
        <v>2241970.3857999998</v>
      </c>
      <c r="C166" s="655">
        <v>4779718.8832999999</v>
      </c>
      <c r="D166" s="376">
        <v>967.34159999999997</v>
      </c>
    </row>
    <row r="167" spans="1:4" ht="15" customHeight="1">
      <c r="A167" s="655" t="s">
        <v>2227</v>
      </c>
      <c r="B167" s="655">
        <v>2241988.0427999999</v>
      </c>
      <c r="C167" s="655">
        <v>4779762.3391000004</v>
      </c>
      <c r="D167" s="376">
        <v>967.33159999999998</v>
      </c>
    </row>
    <row r="168" spans="1:4" ht="15" customHeight="1">
      <c r="A168" s="655" t="s">
        <v>2228</v>
      </c>
      <c r="B168" s="655">
        <v>2242021.1208000001</v>
      </c>
      <c r="C168" s="655">
        <v>4779827.4203000003</v>
      </c>
      <c r="D168" s="376">
        <v>966.79160000000002</v>
      </c>
    </row>
    <row r="169" spans="1:4" ht="15" customHeight="1">
      <c r="A169" s="655" t="s">
        <v>2229</v>
      </c>
      <c r="B169" s="655">
        <v>2241943.4561999999</v>
      </c>
      <c r="C169" s="655">
        <v>4779542.6122000003</v>
      </c>
      <c r="D169" s="376">
        <v>973.49160000000006</v>
      </c>
    </row>
    <row r="170" spans="1:4" ht="15" customHeight="1">
      <c r="A170" s="655" t="s">
        <v>2230</v>
      </c>
      <c r="B170" s="655">
        <v>2241937.0068000001</v>
      </c>
      <c r="C170" s="655">
        <v>4779537.2812999999</v>
      </c>
      <c r="D170" s="376">
        <v>968.86160000000007</v>
      </c>
    </row>
    <row r="171" spans="1:4" ht="15" customHeight="1">
      <c r="A171" s="655" t="s">
        <v>2231</v>
      </c>
      <c r="B171" s="655">
        <v>2242222.2207999998</v>
      </c>
      <c r="C171" s="655">
        <v>4779556.2462999998</v>
      </c>
      <c r="D171" s="376">
        <v>990.89160000000004</v>
      </c>
    </row>
    <row r="172" spans="1:4" ht="15" customHeight="1">
      <c r="A172" s="655" t="s">
        <v>2232</v>
      </c>
      <c r="B172" s="655">
        <v>2242250.6298000002</v>
      </c>
      <c r="C172" s="655">
        <v>4779616.9033000004</v>
      </c>
      <c r="D172" s="376">
        <v>990.74160000000006</v>
      </c>
    </row>
    <row r="173" spans="1:4" ht="15" customHeight="1">
      <c r="A173" s="655" t="s">
        <v>2233</v>
      </c>
      <c r="B173" s="655">
        <v>2242221.2242000001</v>
      </c>
      <c r="C173" s="655">
        <v>4779587.0548999999</v>
      </c>
      <c r="D173" s="376">
        <v>990.39160000000004</v>
      </c>
    </row>
    <row r="174" spans="1:4" ht="15" customHeight="1">
      <c r="A174" s="655" t="s">
        <v>2234</v>
      </c>
      <c r="B174" s="655">
        <v>2242298.3558</v>
      </c>
      <c r="C174" s="655">
        <v>4779814.2543000001</v>
      </c>
      <c r="D174" s="376">
        <v>988.11160000000007</v>
      </c>
    </row>
    <row r="175" spans="1:4" ht="15" customHeight="1">
      <c r="A175" s="655" t="s">
        <v>2235</v>
      </c>
      <c r="B175" s="655">
        <v>2242247.8467999999</v>
      </c>
      <c r="C175" s="655">
        <v>4779895.9342999998</v>
      </c>
      <c r="D175" s="376">
        <v>986.11160000000007</v>
      </c>
    </row>
    <row r="176" spans="1:4" ht="15" customHeight="1">
      <c r="A176" s="655" t="s">
        <v>2236</v>
      </c>
      <c r="B176" s="655">
        <v>2242267.9027999998</v>
      </c>
      <c r="C176" s="655">
        <v>4779942.5033</v>
      </c>
      <c r="D176" s="376">
        <v>985.66160000000002</v>
      </c>
    </row>
    <row r="177" spans="1:4" ht="15" customHeight="1">
      <c r="A177" s="655" t="s">
        <v>2237</v>
      </c>
      <c r="B177" s="655">
        <v>2242305.5758000002</v>
      </c>
      <c r="C177" s="655">
        <v>4780033.1023000004</v>
      </c>
      <c r="D177" s="376">
        <v>984.71159999999998</v>
      </c>
    </row>
    <row r="178" spans="1:4" ht="15" customHeight="1">
      <c r="A178" s="655" t="s">
        <v>2238</v>
      </c>
      <c r="B178" s="655">
        <v>2242231.1398</v>
      </c>
      <c r="C178" s="655">
        <v>4780065.3393000001</v>
      </c>
      <c r="D178" s="376">
        <v>978.80160000000001</v>
      </c>
    </row>
    <row r="179" spans="1:4" ht="15" customHeight="1">
      <c r="A179" s="655" t="s">
        <v>2239</v>
      </c>
      <c r="B179" s="655">
        <v>2242239.6908</v>
      </c>
      <c r="C179" s="655">
        <v>4779953.8623000002</v>
      </c>
      <c r="D179" s="376">
        <v>984.32159999999999</v>
      </c>
    </row>
    <row r="180" spans="1:4" ht="15" customHeight="1">
      <c r="A180" s="655" t="s">
        <v>2240</v>
      </c>
      <c r="B180" s="655">
        <v>2242187.3744000001</v>
      </c>
      <c r="C180" s="655">
        <v>4779977.1789999995</v>
      </c>
      <c r="D180" s="376">
        <v>978.9316</v>
      </c>
    </row>
    <row r="181" spans="1:4" ht="15" customHeight="1">
      <c r="A181" s="655" t="s">
        <v>2241</v>
      </c>
      <c r="B181" s="376">
        <v>2242192.9997999999</v>
      </c>
      <c r="C181" s="655">
        <v>4780028.0093</v>
      </c>
      <c r="D181" s="376">
        <v>975.9316</v>
      </c>
    </row>
    <row r="182" spans="1:4" ht="15" customHeight="1">
      <c r="A182" s="655" t="s">
        <v>2242</v>
      </c>
      <c r="B182" s="655">
        <v>2242204.3138000001</v>
      </c>
      <c r="C182" s="655">
        <v>4780075.6262999997</v>
      </c>
      <c r="D182" s="376">
        <v>973.15160000000003</v>
      </c>
    </row>
    <row r="183" spans="1:4" ht="15" customHeight="1">
      <c r="A183" s="655" t="s">
        <v>2243</v>
      </c>
      <c r="B183" s="655">
        <v>2242170.4567999998</v>
      </c>
      <c r="C183" s="655">
        <v>4779959.6482999995</v>
      </c>
      <c r="D183" s="376">
        <v>979.58159999999998</v>
      </c>
    </row>
    <row r="184" spans="1:4" ht="15" customHeight="1">
      <c r="A184" s="655" t="s">
        <v>2244</v>
      </c>
      <c r="B184" s="655">
        <v>2242158.5698000002</v>
      </c>
      <c r="C184" s="655">
        <v>4779872.6722999997</v>
      </c>
      <c r="D184" s="376">
        <v>981.39160000000004</v>
      </c>
    </row>
    <row r="185" spans="1:4" ht="15" customHeight="1">
      <c r="A185" s="655" t="s">
        <v>2245</v>
      </c>
      <c r="B185" s="655">
        <v>2242077.4537999998</v>
      </c>
      <c r="C185" s="655">
        <v>4780019.4933000002</v>
      </c>
      <c r="D185" s="376">
        <v>963.75160000000005</v>
      </c>
    </row>
    <row r="186" spans="1:4" ht="15" customHeight="1">
      <c r="A186" s="655" t="s">
        <v>2246</v>
      </c>
      <c r="B186" s="655">
        <v>2242102.1288000001</v>
      </c>
      <c r="C186" s="655">
        <v>4780049.1662999997</v>
      </c>
      <c r="D186" s="376">
        <v>963.34159999999997</v>
      </c>
    </row>
    <row r="187" spans="1:4" ht="15" customHeight="1">
      <c r="A187" s="655" t="s">
        <v>2247</v>
      </c>
      <c r="B187" s="655">
        <v>2242118.1031999998</v>
      </c>
      <c r="C187" s="655">
        <v>4780088.9521000003</v>
      </c>
      <c r="D187" s="376">
        <v>963.48160000000007</v>
      </c>
    </row>
    <row r="188" spans="1:4" ht="15" customHeight="1">
      <c r="A188" s="655" t="s">
        <v>2248</v>
      </c>
      <c r="B188" s="655">
        <v>2242368.4988000002</v>
      </c>
      <c r="C188" s="655">
        <v>4780153.6382999998</v>
      </c>
      <c r="D188" s="376">
        <v>969.22160000000008</v>
      </c>
    </row>
    <row r="189" spans="1:4" ht="15" customHeight="1">
      <c r="A189" s="655" t="s">
        <v>2249</v>
      </c>
      <c r="B189" s="655">
        <v>2242363.4308000002</v>
      </c>
      <c r="C189" s="655">
        <v>4780170.3432999998</v>
      </c>
      <c r="D189" s="376">
        <v>970.46159999999998</v>
      </c>
    </row>
    <row r="190" spans="1:4" ht="15" customHeight="1">
      <c r="A190" s="655" t="s">
        <v>2250</v>
      </c>
      <c r="B190" s="655">
        <v>2242352.6102</v>
      </c>
      <c r="C190" s="655">
        <v>4780193.2150999997</v>
      </c>
      <c r="D190" s="376">
        <v>971.4</v>
      </c>
    </row>
    <row r="191" spans="1:4" ht="15" customHeight="1">
      <c r="A191" s="655" t="s">
        <v>2251</v>
      </c>
      <c r="B191" s="655">
        <v>2242306.7917999998</v>
      </c>
      <c r="C191" s="655">
        <v>4780215.9962999998</v>
      </c>
      <c r="D191" s="376">
        <v>969.4316</v>
      </c>
    </row>
    <row r="192" spans="1:4" ht="15" customHeight="1">
      <c r="A192" s="655" t="s">
        <v>2252</v>
      </c>
      <c r="B192" s="655">
        <v>2242275.9427999998</v>
      </c>
      <c r="C192" s="655">
        <v>4780214.8712999998</v>
      </c>
      <c r="D192" s="376">
        <v>967.90160000000003</v>
      </c>
    </row>
    <row r="193" spans="1:4" ht="15" customHeight="1">
      <c r="A193" s="655" t="s">
        <v>2253</v>
      </c>
      <c r="B193" s="655">
        <v>2242260.6767000002</v>
      </c>
      <c r="C193" s="655">
        <v>4780215.4403999997</v>
      </c>
      <c r="D193" s="376">
        <v>966.94159999999999</v>
      </c>
    </row>
    <row r="194" spans="1:4" ht="15" customHeight="1">
      <c r="A194" s="655" t="s">
        <v>2254</v>
      </c>
      <c r="B194" s="655">
        <v>2242204.0735999998</v>
      </c>
      <c r="C194" s="655">
        <v>4780185.6338999998</v>
      </c>
      <c r="D194" s="376">
        <v>966.30160000000001</v>
      </c>
    </row>
    <row r="195" spans="1:4" ht="15" customHeight="1">
      <c r="A195" s="655" t="s">
        <v>2255</v>
      </c>
      <c r="B195" s="655">
        <v>2242173.4788000002</v>
      </c>
      <c r="C195" s="655">
        <v>4780173.3453000002</v>
      </c>
      <c r="D195" s="376">
        <v>968.76160000000004</v>
      </c>
    </row>
    <row r="196" spans="1:4" ht="15" customHeight="1">
      <c r="A196" s="655" t="s">
        <v>2256</v>
      </c>
      <c r="B196" s="655">
        <v>2242141.8070999999</v>
      </c>
      <c r="C196" s="655">
        <v>4780157.9276999999</v>
      </c>
      <c r="D196" s="376">
        <v>965.4316</v>
      </c>
    </row>
    <row r="197" spans="1:4" ht="15" customHeight="1">
      <c r="A197" s="655" t="s">
        <v>2257</v>
      </c>
      <c r="B197" s="655">
        <v>2242127.8768000002</v>
      </c>
      <c r="C197" s="655">
        <v>4780118.8832999999</v>
      </c>
      <c r="D197" s="376">
        <v>964.3116</v>
      </c>
    </row>
    <row r="198" spans="1:4" ht="15" customHeight="1">
      <c r="A198" s="655" t="s">
        <v>2258</v>
      </c>
      <c r="B198" s="655">
        <v>2242119.7747999998</v>
      </c>
      <c r="C198" s="655">
        <v>4780093.7012999998</v>
      </c>
      <c r="D198" s="376">
        <v>964.03160000000003</v>
      </c>
    </row>
    <row r="199" spans="1:4" ht="15" customHeight="1">
      <c r="A199" s="655" t="s">
        <v>2259</v>
      </c>
      <c r="B199" s="655">
        <v>2242316.1628</v>
      </c>
      <c r="C199" s="655">
        <v>4779920.6212999998</v>
      </c>
      <c r="D199" s="376">
        <v>987.33159999999998</v>
      </c>
    </row>
    <row r="200" spans="1:4" ht="15" customHeight="1">
      <c r="A200" s="655" t="s">
        <v>2260</v>
      </c>
      <c r="B200" s="655">
        <v>2242332.4018000001</v>
      </c>
      <c r="C200" s="655">
        <v>4779958.2893000003</v>
      </c>
      <c r="D200" s="376">
        <v>986.75160000000005</v>
      </c>
    </row>
    <row r="201" spans="1:4" ht="15" customHeight="1">
      <c r="A201" s="655" t="s">
        <v>2261</v>
      </c>
      <c r="B201" s="655">
        <v>2242354.9808</v>
      </c>
      <c r="C201" s="655">
        <v>4780011.4653000003</v>
      </c>
      <c r="D201" s="376">
        <v>985.79160000000002</v>
      </c>
    </row>
    <row r="202" spans="1:4" ht="15" customHeight="1">
      <c r="A202" s="655" t="s">
        <v>2262</v>
      </c>
      <c r="B202" s="655">
        <v>2242412.9508000002</v>
      </c>
      <c r="C202" s="655">
        <v>4779985.0723000001</v>
      </c>
      <c r="D202" s="376">
        <v>985.97160000000008</v>
      </c>
    </row>
    <row r="203" spans="1:4" ht="15" customHeight="1">
      <c r="A203" s="655" t="s">
        <v>2263</v>
      </c>
      <c r="B203" s="655">
        <v>2242387.5408000001</v>
      </c>
      <c r="C203" s="655">
        <v>4779996.5743000004</v>
      </c>
      <c r="D203" s="376">
        <v>986.52160000000003</v>
      </c>
    </row>
    <row r="204" spans="1:4" ht="15" customHeight="1">
      <c r="A204" s="655" t="s">
        <v>2264</v>
      </c>
      <c r="B204" s="655">
        <v>2242372.4007999999</v>
      </c>
      <c r="C204" s="655">
        <v>4780050.7703</v>
      </c>
      <c r="D204" s="376">
        <v>984.55160000000001</v>
      </c>
    </row>
    <row r="205" spans="1:4" ht="15" customHeight="1">
      <c r="A205" s="655" t="s">
        <v>2265</v>
      </c>
      <c r="B205" s="655">
        <v>2242382.5208000001</v>
      </c>
      <c r="C205" s="655">
        <v>4780062.8942999998</v>
      </c>
      <c r="D205" s="376">
        <v>980.59159999999997</v>
      </c>
    </row>
    <row r="206" spans="1:4" ht="15" customHeight="1">
      <c r="A206" s="655" t="s">
        <v>2266</v>
      </c>
      <c r="B206" s="655">
        <v>2242383.6718000001</v>
      </c>
      <c r="C206" s="655">
        <v>4780072.4972999999</v>
      </c>
      <c r="D206" s="376">
        <v>978.35160000000008</v>
      </c>
    </row>
    <row r="207" spans="1:4" ht="15" customHeight="1">
      <c r="A207" s="655" t="s">
        <v>2267</v>
      </c>
      <c r="B207" s="655">
        <v>2242400.0218000002</v>
      </c>
      <c r="C207" s="655">
        <v>4780110.2943000002</v>
      </c>
      <c r="D207" s="376">
        <v>968.99160000000006</v>
      </c>
    </row>
    <row r="208" spans="1:4" ht="15" customHeight="1">
      <c r="A208" s="655" t="s">
        <v>2268</v>
      </c>
      <c r="B208" s="655">
        <v>2242412.1398</v>
      </c>
      <c r="C208" s="655">
        <v>4780120.4183</v>
      </c>
      <c r="D208" s="376">
        <v>966.9316</v>
      </c>
    </row>
    <row r="209" spans="1:4" ht="15" customHeight="1">
      <c r="A209" s="655" t="s">
        <v>2269</v>
      </c>
      <c r="B209" s="655">
        <v>2242376.9717999999</v>
      </c>
      <c r="C209" s="655">
        <v>4780136.7692999998</v>
      </c>
      <c r="D209" s="376">
        <v>968.12160000000006</v>
      </c>
    </row>
    <row r="210" spans="1:4" ht="15" customHeight="1">
      <c r="A210" s="655" t="s">
        <v>2270</v>
      </c>
      <c r="B210" s="655">
        <v>2242375.9928000001</v>
      </c>
      <c r="C210" s="655">
        <v>4780070.9263000004</v>
      </c>
      <c r="D210" s="376">
        <v>983.94159999999999</v>
      </c>
    </row>
    <row r="211" spans="1:4" ht="15" customHeight="1">
      <c r="A211" s="655" t="s">
        <v>2271</v>
      </c>
      <c r="B211" s="655">
        <v>2242329.4158000001</v>
      </c>
      <c r="C211" s="655">
        <v>4780091.0053000003</v>
      </c>
      <c r="D211" s="376">
        <v>982.90160000000003</v>
      </c>
    </row>
    <row r="212" spans="1:4" ht="15" customHeight="1">
      <c r="A212" s="655" t="s">
        <v>2272</v>
      </c>
      <c r="B212" s="655">
        <v>2242337.6858000001</v>
      </c>
      <c r="C212" s="655">
        <v>4780110.9133000001</v>
      </c>
      <c r="D212" s="376">
        <v>981.99160000000006</v>
      </c>
    </row>
    <row r="213" spans="1:4" ht="15" customHeight="1">
      <c r="A213" s="655" t="s">
        <v>2273</v>
      </c>
      <c r="B213" s="655">
        <v>2242347.3768000002</v>
      </c>
      <c r="C213" s="655">
        <v>4780138.5982999997</v>
      </c>
      <c r="D213" s="376">
        <v>981.22160000000008</v>
      </c>
    </row>
    <row r="214" spans="1:4" ht="15" customHeight="1">
      <c r="A214" s="655" t="s">
        <v>2274</v>
      </c>
      <c r="B214" s="655">
        <v>2242362.4627999999</v>
      </c>
      <c r="C214" s="655">
        <v>4780170.0453000003</v>
      </c>
      <c r="D214" s="376">
        <v>970.50160000000005</v>
      </c>
    </row>
    <row r="215" spans="1:4" ht="15" customHeight="1">
      <c r="A215" s="655" t="s">
        <v>2275</v>
      </c>
      <c r="B215" s="655">
        <v>2242371.7467999998</v>
      </c>
      <c r="C215" s="655">
        <v>4780139.9263000004</v>
      </c>
      <c r="D215" s="376">
        <v>968.61160000000007</v>
      </c>
    </row>
    <row r="216" spans="1:4" ht="15" customHeight="1">
      <c r="A216" s="655" t="s">
        <v>2276</v>
      </c>
      <c r="B216" s="655">
        <v>2242123.9372999999</v>
      </c>
      <c r="C216" s="655">
        <v>4780262.0450999998</v>
      </c>
      <c r="D216" s="376">
        <v>971.74160000000006</v>
      </c>
    </row>
    <row r="217" spans="1:4" ht="15" customHeight="1">
      <c r="A217" s="655" t="s">
        <v>2277</v>
      </c>
      <c r="B217" s="655">
        <v>2242146.4227999998</v>
      </c>
      <c r="C217" s="655">
        <v>4780271.3822999997</v>
      </c>
      <c r="D217" s="376">
        <v>972.28160000000003</v>
      </c>
    </row>
    <row r="218" spans="1:4" ht="15" customHeight="1">
      <c r="A218" s="655" t="s">
        <v>2278</v>
      </c>
      <c r="B218" s="655">
        <v>2242169.3887999998</v>
      </c>
      <c r="C218" s="655">
        <v>4780281.6442999998</v>
      </c>
      <c r="D218" s="376">
        <v>972.05160000000001</v>
      </c>
    </row>
    <row r="219" spans="1:4" ht="15" customHeight="1">
      <c r="A219" s="655" t="s">
        <v>2279</v>
      </c>
      <c r="B219" s="655">
        <v>2242193.6628</v>
      </c>
      <c r="C219" s="655">
        <v>4780292.4892999995</v>
      </c>
      <c r="D219" s="376">
        <v>970.17160000000001</v>
      </c>
    </row>
    <row r="220" spans="1:4" ht="15" customHeight="1">
      <c r="A220" s="655" t="s">
        <v>2280</v>
      </c>
      <c r="B220" s="655">
        <v>2242196.3717999998</v>
      </c>
      <c r="C220" s="655">
        <v>4780293.8652999997</v>
      </c>
      <c r="D220" s="376">
        <v>969.74160000000006</v>
      </c>
    </row>
    <row r="221" spans="1:4" ht="15" customHeight="1">
      <c r="A221" s="655" t="s">
        <v>2281</v>
      </c>
      <c r="B221" s="655">
        <v>2242254.2798000001</v>
      </c>
      <c r="C221" s="655">
        <v>4780235.1042999998</v>
      </c>
      <c r="D221" s="376">
        <v>967.4316</v>
      </c>
    </row>
    <row r="222" spans="1:4" ht="15" customHeight="1">
      <c r="A222" s="655" t="s">
        <v>2282</v>
      </c>
      <c r="B222" s="655">
        <v>2242511.9347999999</v>
      </c>
      <c r="C222" s="655">
        <v>4780478.0477999998</v>
      </c>
      <c r="D222" s="376">
        <v>986.77160000000003</v>
      </c>
    </row>
    <row r="223" spans="1:4" ht="15" customHeight="1">
      <c r="A223" s="655" t="s">
        <v>2283</v>
      </c>
      <c r="B223" s="655">
        <v>2242491.1847999999</v>
      </c>
      <c r="C223" s="655">
        <v>4780455.4622999998</v>
      </c>
      <c r="D223" s="376">
        <v>986.16160000000002</v>
      </c>
    </row>
    <row r="224" spans="1:4" ht="15" customHeight="1">
      <c r="A224" s="655" t="s">
        <v>2284</v>
      </c>
      <c r="B224" s="655">
        <v>2242472.8568000002</v>
      </c>
      <c r="C224" s="655">
        <v>4780434.4123</v>
      </c>
      <c r="D224" s="376">
        <v>983.23160000000007</v>
      </c>
    </row>
    <row r="225" spans="1:4" ht="15" customHeight="1">
      <c r="A225" s="655" t="s">
        <v>2285</v>
      </c>
      <c r="B225" s="655">
        <v>2242455.7688000002</v>
      </c>
      <c r="C225" s="655">
        <v>4780415.2812999999</v>
      </c>
      <c r="D225" s="376">
        <v>981.24160000000006</v>
      </c>
    </row>
    <row r="226" spans="1:4" ht="15" customHeight="1">
      <c r="A226" s="655" t="s">
        <v>2286</v>
      </c>
      <c r="B226" s="655">
        <v>2242478.1847999999</v>
      </c>
      <c r="C226" s="655">
        <v>4780395.5333000002</v>
      </c>
      <c r="D226" s="376">
        <v>981.42160000000001</v>
      </c>
    </row>
    <row r="227" spans="1:4" ht="15" customHeight="1">
      <c r="A227" s="655" t="s">
        <v>2287</v>
      </c>
      <c r="B227" s="655">
        <v>2242500.8598000002</v>
      </c>
      <c r="C227" s="655">
        <v>4780375.9883000003</v>
      </c>
      <c r="D227" s="376">
        <v>981.17160000000001</v>
      </c>
    </row>
    <row r="228" spans="1:4" ht="15" customHeight="1">
      <c r="A228" s="655" t="s">
        <v>2288</v>
      </c>
      <c r="B228" s="655">
        <v>2242507.5218000002</v>
      </c>
      <c r="C228" s="655">
        <v>4780322.8542999998</v>
      </c>
      <c r="D228" s="376">
        <v>968.54160000000002</v>
      </c>
    </row>
    <row r="229" spans="1:4" ht="15" customHeight="1">
      <c r="A229" s="655" t="s">
        <v>2289</v>
      </c>
      <c r="B229" s="655">
        <v>2242460.3857999998</v>
      </c>
      <c r="C229" s="655">
        <v>4780281.2703</v>
      </c>
      <c r="D229" s="376">
        <v>967.96159999999998</v>
      </c>
    </row>
    <row r="230" spans="1:4" ht="15" customHeight="1">
      <c r="A230" s="655" t="s">
        <v>2290</v>
      </c>
      <c r="B230" s="655">
        <v>2242448.3317999998</v>
      </c>
      <c r="C230" s="655">
        <v>4780194.4183</v>
      </c>
      <c r="D230" s="376">
        <v>967.38160000000005</v>
      </c>
    </row>
    <row r="231" spans="1:4" ht="15" customHeight="1">
      <c r="A231" s="655" t="s">
        <v>2291</v>
      </c>
      <c r="B231" s="655">
        <v>2242548.6858000001</v>
      </c>
      <c r="C231" s="655">
        <v>4780430.2203000002</v>
      </c>
      <c r="D231" s="376">
        <v>987.47160000000008</v>
      </c>
    </row>
    <row r="232" spans="1:4" ht="15" customHeight="1">
      <c r="A232" s="655" t="s">
        <v>2292</v>
      </c>
      <c r="B232" s="655">
        <v>2242518.1438000002</v>
      </c>
      <c r="C232" s="655">
        <v>4780395.0412999997</v>
      </c>
      <c r="D232" s="376">
        <v>981.96159999999998</v>
      </c>
    </row>
    <row r="233" spans="1:4" ht="15" customHeight="1">
      <c r="A233" s="655" t="s">
        <v>2293</v>
      </c>
      <c r="B233" s="655">
        <v>2242537.6828000001</v>
      </c>
      <c r="C233" s="655">
        <v>4780463.1212999998</v>
      </c>
      <c r="D233" s="376">
        <v>987.45159999999998</v>
      </c>
    </row>
    <row r="234" spans="1:4" ht="15" customHeight="1">
      <c r="A234" s="655" t="s">
        <v>2294</v>
      </c>
      <c r="B234" s="655">
        <v>2242507.5148</v>
      </c>
      <c r="C234" s="655">
        <v>4780428.7572999997</v>
      </c>
      <c r="D234" s="376">
        <v>983.66160000000002</v>
      </c>
    </row>
    <row r="235" spans="1:4" ht="15" customHeight="1">
      <c r="A235" s="655" t="s">
        <v>2295</v>
      </c>
      <c r="B235" s="655">
        <v>2242495.3637999999</v>
      </c>
      <c r="C235" s="655">
        <v>4780414.8073000005</v>
      </c>
      <c r="D235" s="376">
        <v>982.65160000000003</v>
      </c>
    </row>
    <row r="236" spans="1:4" ht="15" customHeight="1">
      <c r="A236" s="655" t="s">
        <v>2296</v>
      </c>
      <c r="B236" s="655">
        <v>2242551.1187999998</v>
      </c>
      <c r="C236" s="655">
        <v>4780290.6382999998</v>
      </c>
      <c r="D236" s="376">
        <v>982.4316</v>
      </c>
    </row>
    <row r="237" spans="1:4" ht="15" customHeight="1">
      <c r="A237" s="655" t="s">
        <v>2297</v>
      </c>
      <c r="B237" s="655">
        <v>2242527.3097999999</v>
      </c>
      <c r="C237" s="655">
        <v>4780268.2962999996</v>
      </c>
      <c r="D237" s="376">
        <v>980.44159999999999</v>
      </c>
    </row>
    <row r="238" spans="1:4" ht="15" customHeight="1">
      <c r="A238" s="655" t="s">
        <v>2298</v>
      </c>
      <c r="B238" s="655">
        <v>2242498.9537999998</v>
      </c>
      <c r="C238" s="655">
        <v>4780230.1133000003</v>
      </c>
      <c r="D238" s="376">
        <v>975.36160000000007</v>
      </c>
    </row>
    <row r="239" spans="1:4" ht="15" customHeight="1">
      <c r="A239" s="655" t="s">
        <v>2299</v>
      </c>
      <c r="B239" s="655">
        <v>2242484.0548</v>
      </c>
      <c r="C239" s="655">
        <v>4780197.9332999997</v>
      </c>
      <c r="D239" s="376">
        <v>970.74160000000006</v>
      </c>
    </row>
    <row r="240" spans="1:4" ht="15" customHeight="1">
      <c r="A240" s="655" t="s">
        <v>2300</v>
      </c>
      <c r="B240" s="655">
        <v>2242473.1318000001</v>
      </c>
      <c r="C240" s="655">
        <v>4780174.1243000003</v>
      </c>
      <c r="D240" s="376">
        <v>968.36160000000007</v>
      </c>
    </row>
    <row r="241" spans="1:4" ht="15" customHeight="1">
      <c r="A241" s="655" t="s">
        <v>2301</v>
      </c>
      <c r="B241" s="655">
        <v>2242457.6647999999</v>
      </c>
      <c r="C241" s="655">
        <v>4780155.1123000002</v>
      </c>
      <c r="D241" s="376">
        <v>967.63160000000005</v>
      </c>
    </row>
    <row r="242" spans="1:4" ht="15" customHeight="1">
      <c r="A242" s="655" t="s">
        <v>2302</v>
      </c>
      <c r="B242" s="655">
        <v>2242442.1867999998</v>
      </c>
      <c r="C242" s="655">
        <v>4780148.2153000003</v>
      </c>
      <c r="D242" s="376">
        <v>966.57159999999999</v>
      </c>
    </row>
    <row r="243" spans="1:4" ht="15" customHeight="1">
      <c r="A243" s="655" t="s">
        <v>2303</v>
      </c>
      <c r="B243" s="655">
        <v>2242441.8265</v>
      </c>
      <c r="C243" s="655">
        <v>4780143.1503999997</v>
      </c>
      <c r="D243" s="376">
        <v>966.79160000000002</v>
      </c>
    </row>
    <row r="244" spans="1:4" ht="15" customHeight="1">
      <c r="A244" s="655" t="s">
        <v>2304</v>
      </c>
      <c r="B244" s="655">
        <v>2242578.3857999998</v>
      </c>
      <c r="C244" s="655">
        <v>4780232.0522999996</v>
      </c>
      <c r="D244" s="376">
        <v>978.5616</v>
      </c>
    </row>
    <row r="245" spans="1:4" ht="15" customHeight="1">
      <c r="A245" s="655" t="s">
        <v>2305</v>
      </c>
      <c r="B245" s="655">
        <v>2242558.9138000002</v>
      </c>
      <c r="C245" s="655">
        <v>4780204.2443000004</v>
      </c>
      <c r="D245" s="376">
        <v>974.86160000000007</v>
      </c>
    </row>
    <row r="246" spans="1:4" ht="15" customHeight="1">
      <c r="A246" s="655" t="s">
        <v>2306</v>
      </c>
      <c r="B246" s="655">
        <v>2242548.0528000002</v>
      </c>
      <c r="C246" s="655">
        <v>4780189.3032999998</v>
      </c>
      <c r="D246" s="376">
        <v>974.32159999999999</v>
      </c>
    </row>
    <row r="247" spans="1:4" ht="15" customHeight="1">
      <c r="A247" s="655" t="s">
        <v>2307</v>
      </c>
      <c r="B247" s="655">
        <v>2242536.5844999999</v>
      </c>
      <c r="C247" s="655">
        <v>4780172.9588000001</v>
      </c>
      <c r="D247" s="376">
        <v>972.03160000000003</v>
      </c>
    </row>
    <row r="248" spans="1:4" ht="15" customHeight="1">
      <c r="A248" s="655" t="s">
        <v>2308</v>
      </c>
      <c r="B248" s="655">
        <v>2242525.8928</v>
      </c>
      <c r="C248" s="655">
        <v>4780156.4682999998</v>
      </c>
      <c r="D248" s="376">
        <v>971.61160000000007</v>
      </c>
    </row>
    <row r="249" spans="1:4" ht="15" customHeight="1">
      <c r="A249" s="655" t="s">
        <v>2309</v>
      </c>
      <c r="B249" s="655">
        <v>2242494.0288</v>
      </c>
      <c r="C249" s="655">
        <v>4780159.9062999999</v>
      </c>
      <c r="D249" s="376">
        <v>968.57159999999999</v>
      </c>
    </row>
    <row r="250" spans="1:4" ht="15" customHeight="1">
      <c r="A250" s="655" t="s">
        <v>2310</v>
      </c>
      <c r="B250" s="655">
        <v>2242528.1063999999</v>
      </c>
      <c r="C250" s="655">
        <v>4780263.5120999999</v>
      </c>
      <c r="D250" s="376">
        <v>979.54160000000002</v>
      </c>
    </row>
    <row r="251" spans="1:4" ht="15" customHeight="1">
      <c r="A251" s="655" t="s">
        <v>2311</v>
      </c>
      <c r="B251" s="655">
        <v>2242502.3158</v>
      </c>
      <c r="C251" s="655">
        <v>4780221.5383000001</v>
      </c>
      <c r="D251" s="376">
        <v>974.48160000000007</v>
      </c>
    </row>
    <row r="252" spans="1:4" ht="15" customHeight="1">
      <c r="A252" s="655" t="s">
        <v>2312</v>
      </c>
      <c r="B252" s="655">
        <v>2242525.6208000001</v>
      </c>
      <c r="C252" s="655">
        <v>4780205.5453000003</v>
      </c>
      <c r="D252" s="376">
        <v>973.58159999999998</v>
      </c>
    </row>
    <row r="253" spans="1:4" ht="15" customHeight="1">
      <c r="A253" s="655" t="s">
        <v>2313</v>
      </c>
      <c r="B253" s="655">
        <v>2242143.7218999998</v>
      </c>
      <c r="C253" s="655">
        <v>4780280.1412000004</v>
      </c>
      <c r="D253" s="376">
        <v>971.4316</v>
      </c>
    </row>
    <row r="254" spans="1:4" ht="15" customHeight="1">
      <c r="A254" s="655" t="s">
        <v>2314</v>
      </c>
      <c r="B254" s="655">
        <v>2242155.7667999999</v>
      </c>
      <c r="C254" s="655">
        <v>4780314.0203999998</v>
      </c>
      <c r="D254" s="376">
        <v>972.09159999999997</v>
      </c>
    </row>
    <row r="255" spans="1:4" ht="15" customHeight="1">
      <c r="A255" s="655" t="s">
        <v>2315</v>
      </c>
      <c r="B255" s="655">
        <v>2242555.5647999998</v>
      </c>
      <c r="C255" s="655">
        <v>4780249.4083000002</v>
      </c>
      <c r="D255" s="376">
        <v>979.38160000000005</v>
      </c>
    </row>
    <row r="256" spans="1:4" ht="15" customHeight="1">
      <c r="A256" s="655" t="s">
        <v>2316</v>
      </c>
      <c r="B256" s="655">
        <v>2242539.7588</v>
      </c>
      <c r="C256" s="655">
        <v>4780195.7433000002</v>
      </c>
      <c r="D256" s="376">
        <v>974.03160000000003</v>
      </c>
    </row>
    <row r="257" spans="1:4" ht="15" customHeight="1">
      <c r="A257" s="655" t="s">
        <v>2317</v>
      </c>
      <c r="B257" s="655">
        <v>2242519.7678</v>
      </c>
      <c r="C257" s="655">
        <v>4780333.9272999996</v>
      </c>
      <c r="D257" s="376">
        <v>969.4316</v>
      </c>
    </row>
    <row r="258" spans="1:4" ht="15" customHeight="1">
      <c r="A258" s="655" t="s">
        <v>2318</v>
      </c>
      <c r="B258" s="655">
        <v>2242305.4978</v>
      </c>
      <c r="C258" s="655">
        <v>4779970.5953000002</v>
      </c>
      <c r="D258" s="376">
        <v>985.84159999999997</v>
      </c>
    </row>
    <row r="259" spans="1:4" ht="15" customHeight="1">
      <c r="A259" s="655" t="s">
        <v>2319</v>
      </c>
      <c r="B259" s="655">
        <v>2242116.4180000001</v>
      </c>
      <c r="C259" s="655">
        <v>4780090.591</v>
      </c>
      <c r="D259" s="655">
        <v>963.47</v>
      </c>
    </row>
    <row r="260" spans="1:4" ht="15" customHeight="1">
      <c r="A260" s="377" t="s">
        <v>104</v>
      </c>
      <c r="B260" s="374">
        <v>2242069.56</v>
      </c>
      <c r="C260" s="374">
        <v>4779372.18</v>
      </c>
      <c r="D260" s="374">
        <v>988.69399999999996</v>
      </c>
    </row>
    <row r="261" spans="1:4" ht="15" customHeight="1">
      <c r="A261" s="1373" t="s">
        <v>2320</v>
      </c>
      <c r="B261" s="373">
        <v>2242092.2540000002</v>
      </c>
      <c r="C261" s="373">
        <v>4779424.1169999996</v>
      </c>
      <c r="D261" s="373">
        <v>984.29899999999998</v>
      </c>
    </row>
    <row r="262" spans="1:4" ht="15" customHeight="1">
      <c r="A262" s="377" t="s">
        <v>72</v>
      </c>
      <c r="B262" s="374">
        <v>2242153.335</v>
      </c>
      <c r="C262" s="374">
        <v>4779554.5760000004</v>
      </c>
      <c r="D262" s="374">
        <v>988.5</v>
      </c>
    </row>
    <row r="263" spans="1:4" ht="15" customHeight="1">
      <c r="A263" s="377" t="s">
        <v>73</v>
      </c>
      <c r="B263" s="374">
        <v>2242109.8330000001</v>
      </c>
      <c r="C263" s="374">
        <v>4779462.4589999998</v>
      </c>
      <c r="D263" s="374">
        <v>984.78800000000001</v>
      </c>
    </row>
    <row r="264" spans="1:4" ht="15" customHeight="1">
      <c r="A264" s="377" t="s">
        <v>113</v>
      </c>
      <c r="B264" s="374">
        <v>2242318.804</v>
      </c>
      <c r="C264" s="374">
        <v>4779430.773</v>
      </c>
      <c r="D264" s="374">
        <v>992.97500000000002</v>
      </c>
    </row>
    <row r="265" spans="1:4" ht="15" customHeight="1">
      <c r="A265" s="377" t="s">
        <v>116</v>
      </c>
      <c r="B265" s="374">
        <v>2242310.9870000002</v>
      </c>
      <c r="C265" s="374">
        <v>4779415.0789999999</v>
      </c>
      <c r="D265" s="374">
        <v>992.64700000000005</v>
      </c>
    </row>
    <row r="266" spans="1:4" ht="15" customHeight="1">
      <c r="A266" s="377" t="s">
        <v>117</v>
      </c>
      <c r="B266" s="374">
        <v>2242290.2804999999</v>
      </c>
      <c r="C266" s="374">
        <v>4779372.9056000002</v>
      </c>
      <c r="D266" s="374">
        <v>990.82500000000005</v>
      </c>
    </row>
    <row r="267" spans="1:4" ht="15" customHeight="1">
      <c r="A267" s="377" t="s">
        <v>92</v>
      </c>
      <c r="B267" s="374">
        <v>2242254.4670000002</v>
      </c>
      <c r="C267" s="374">
        <v>4779291.1830000002</v>
      </c>
      <c r="D267" s="374">
        <v>987.71</v>
      </c>
    </row>
    <row r="268" spans="1:4" ht="15" customHeight="1">
      <c r="A268" s="371" t="s">
        <v>2321</v>
      </c>
      <c r="B268" s="373">
        <v>2242052.67</v>
      </c>
      <c r="C268" s="373">
        <v>4779335.7300000004</v>
      </c>
      <c r="D268" s="373">
        <v>990.30600000000004</v>
      </c>
    </row>
    <row r="269" spans="1:4" ht="15" customHeight="1">
      <c r="A269" s="377" t="s">
        <v>105</v>
      </c>
      <c r="B269" s="374">
        <v>2242098.6519999998</v>
      </c>
      <c r="C269" s="374">
        <v>4779358.8839999996</v>
      </c>
      <c r="D269" s="374">
        <v>984.96500000000003</v>
      </c>
    </row>
    <row r="270" spans="1:4" ht="15" customHeight="1">
      <c r="A270" s="377" t="s">
        <v>93</v>
      </c>
      <c r="B270" s="374">
        <v>2242217.4029999999</v>
      </c>
      <c r="C270" s="374">
        <v>4779211.165</v>
      </c>
      <c r="D270" s="374">
        <v>983.58299999999997</v>
      </c>
    </row>
    <row r="271" spans="1:4" ht="15" customHeight="1">
      <c r="A271" s="377" t="s">
        <v>88</v>
      </c>
      <c r="B271" s="374">
        <v>2242187.91</v>
      </c>
      <c r="C271" s="374">
        <v>4779142.92</v>
      </c>
      <c r="D271" s="374">
        <v>984.48099999999999</v>
      </c>
    </row>
    <row r="272" spans="1:4" ht="15" customHeight="1">
      <c r="A272" s="377" t="s">
        <v>89</v>
      </c>
      <c r="B272" s="374">
        <v>2242205.4219999998</v>
      </c>
      <c r="C272" s="374">
        <v>4779184.176</v>
      </c>
      <c r="D272" s="374">
        <v>983.25800000000004</v>
      </c>
    </row>
    <row r="273" spans="1:4" ht="15" customHeight="1">
      <c r="A273" s="377" t="s">
        <v>83</v>
      </c>
      <c r="B273" s="374">
        <v>2242028.0872999998</v>
      </c>
      <c r="C273" s="374">
        <v>4779282.6615000004</v>
      </c>
      <c r="D273" s="374">
        <v>988.67200000000003</v>
      </c>
    </row>
    <row r="274" spans="1:4" ht="15" customHeight="1">
      <c r="A274" s="377" t="s">
        <v>84</v>
      </c>
      <c r="B274" s="374">
        <v>2242083.807</v>
      </c>
      <c r="C274" s="374">
        <v>4779254.1730000004</v>
      </c>
      <c r="D274" s="374">
        <v>983.59299999999996</v>
      </c>
    </row>
    <row r="275" spans="1:4" ht="15" customHeight="1">
      <c r="A275" s="371" t="s">
        <v>2322</v>
      </c>
      <c r="B275" s="373">
        <v>2242082.6850000001</v>
      </c>
      <c r="C275" s="373">
        <v>4779152.1160000004</v>
      </c>
      <c r="D275" s="373">
        <v>984.94899999999996</v>
      </c>
    </row>
    <row r="276" spans="1:4" ht="15" customHeight="1">
      <c r="A276" s="371" t="s">
        <v>2323</v>
      </c>
      <c r="B276" s="373">
        <v>2241990.0920000002</v>
      </c>
      <c r="C276" s="373">
        <v>4779201.4280000003</v>
      </c>
      <c r="D276" s="373">
        <v>984.23599999999999</v>
      </c>
    </row>
    <row r="277" spans="1:4" ht="15" customHeight="1">
      <c r="A277" s="371" t="s">
        <v>2324</v>
      </c>
      <c r="B277" s="373">
        <v>2241902.1770000001</v>
      </c>
      <c r="C277" s="373">
        <v>4779145.3909999998</v>
      </c>
      <c r="D277" s="373">
        <v>972.83199999999999</v>
      </c>
    </row>
    <row r="278" spans="1:4" ht="15" customHeight="1">
      <c r="A278" s="377" t="s">
        <v>79</v>
      </c>
      <c r="B278" s="374">
        <v>2242219.429</v>
      </c>
      <c r="C278" s="374">
        <v>4779455.9579999996</v>
      </c>
      <c r="D278" s="374">
        <v>985.74300000000005</v>
      </c>
    </row>
    <row r="279" spans="1:4" ht="15" customHeight="1">
      <c r="A279" s="371" t="s">
        <v>2325</v>
      </c>
      <c r="B279" s="373">
        <v>2242138.15</v>
      </c>
      <c r="C279" s="373">
        <v>4779448.2110000001</v>
      </c>
      <c r="D279" s="373">
        <v>983.93899999999996</v>
      </c>
    </row>
    <row r="280" spans="1:4" ht="15" customHeight="1">
      <c r="A280" s="377" t="s">
        <v>80</v>
      </c>
      <c r="B280" s="374">
        <v>2242201.4610000001</v>
      </c>
      <c r="C280" s="374">
        <v>4779416.3789999997</v>
      </c>
      <c r="D280" s="374">
        <v>986.02200000000005</v>
      </c>
    </row>
    <row r="281" spans="1:4" ht="15" customHeight="1">
      <c r="A281" s="377" t="s">
        <v>108</v>
      </c>
      <c r="B281" s="374">
        <v>2242162.0010000002</v>
      </c>
      <c r="C281" s="374">
        <v>4779330.3389999997</v>
      </c>
      <c r="D281" s="374">
        <v>985.99599999999998</v>
      </c>
    </row>
    <row r="282" spans="1:4" ht="15" customHeight="1">
      <c r="A282" s="377" t="s">
        <v>87</v>
      </c>
      <c r="B282" s="378">
        <v>2242119.6579999998</v>
      </c>
      <c r="C282" s="378">
        <v>4779235.0015000002</v>
      </c>
      <c r="D282" s="379">
        <v>982.35199999999998</v>
      </c>
    </row>
    <row r="283" spans="1:4" ht="15" customHeight="1">
      <c r="A283" s="371" t="s">
        <v>2326</v>
      </c>
      <c r="B283" s="373">
        <v>2242105.48</v>
      </c>
      <c r="C283" s="373">
        <v>4779201.7280000001</v>
      </c>
      <c r="D283" s="373">
        <v>984.14200000000005</v>
      </c>
    </row>
    <row r="284" spans="1:4" ht="15" customHeight="1">
      <c r="A284" s="371" t="s">
        <v>2327</v>
      </c>
      <c r="B284" s="373">
        <v>2241920.281</v>
      </c>
      <c r="C284" s="373">
        <v>4779145.9289999995</v>
      </c>
      <c r="D284" s="373">
        <v>973.75599999999997</v>
      </c>
    </row>
    <row r="285" spans="1:4" ht="15" customHeight="1">
      <c r="A285" s="371" t="s">
        <v>2328</v>
      </c>
      <c r="B285" s="373">
        <v>2241897.83</v>
      </c>
      <c r="C285" s="373">
        <v>4779181.7970000003</v>
      </c>
      <c r="D285" s="373">
        <v>973.024</v>
      </c>
    </row>
    <row r="286" spans="1:4" ht="15" customHeight="1">
      <c r="A286" s="371" t="s">
        <v>2329</v>
      </c>
      <c r="B286" s="373">
        <v>2241894.0079999999</v>
      </c>
      <c r="C286" s="373">
        <v>4779245.2450000001</v>
      </c>
      <c r="D286" s="373">
        <v>972.34199999999998</v>
      </c>
    </row>
    <row r="287" spans="1:4" ht="15" customHeight="1">
      <c r="A287" s="371" t="s">
        <v>2330</v>
      </c>
      <c r="B287" s="373">
        <v>2241896.4929999998</v>
      </c>
      <c r="C287" s="373">
        <v>4779343.9179999996</v>
      </c>
      <c r="D287" s="373">
        <v>971.18600000000004</v>
      </c>
    </row>
    <row r="288" spans="1:4" ht="15" customHeight="1">
      <c r="A288" s="371" t="s">
        <v>2331</v>
      </c>
      <c r="B288" s="373">
        <v>2241897.6570000001</v>
      </c>
      <c r="C288" s="373">
        <v>4779391.9340000004</v>
      </c>
      <c r="D288" s="373">
        <v>970.12199999999996</v>
      </c>
    </row>
    <row r="289" spans="1:4" ht="15" customHeight="1">
      <c r="A289" s="371" t="s">
        <v>2332</v>
      </c>
      <c r="B289" s="373">
        <v>2241898.392</v>
      </c>
      <c r="C289" s="373">
        <v>4779437.3470000001</v>
      </c>
      <c r="D289" s="373">
        <v>969.16399999999999</v>
      </c>
    </row>
    <row r="290" spans="1:4" ht="15" customHeight="1">
      <c r="A290" s="371" t="s">
        <v>2333</v>
      </c>
      <c r="B290" s="373">
        <v>2241903.4449999998</v>
      </c>
      <c r="C290" s="373">
        <v>4779468.523</v>
      </c>
      <c r="D290" s="373">
        <v>968.77300000000002</v>
      </c>
    </row>
    <row r="291" spans="1:4" ht="15" customHeight="1">
      <c r="A291" s="371" t="s">
        <v>2334</v>
      </c>
      <c r="B291" s="373">
        <v>2241903.929</v>
      </c>
      <c r="C291" s="373">
        <v>4779479.085</v>
      </c>
      <c r="D291" s="373">
        <v>968.57100000000003</v>
      </c>
    </row>
    <row r="292" spans="1:4" ht="15" customHeight="1">
      <c r="A292" s="371" t="s">
        <v>2335</v>
      </c>
      <c r="B292" s="373">
        <v>2241907.0669999998</v>
      </c>
      <c r="C292" s="373">
        <v>4779491.9929999998</v>
      </c>
      <c r="D292" s="373">
        <v>968.57100000000003</v>
      </c>
    </row>
    <row r="293" spans="1:4" ht="15" customHeight="1">
      <c r="A293" s="371" t="s">
        <v>2336</v>
      </c>
      <c r="B293" s="373">
        <v>2241910.9950000001</v>
      </c>
      <c r="C293" s="373">
        <v>4779515.784</v>
      </c>
      <c r="D293" s="373">
        <v>968.31200000000001</v>
      </c>
    </row>
    <row r="294" spans="1:4" ht="15" customHeight="1">
      <c r="A294" s="371" t="s">
        <v>2337</v>
      </c>
      <c r="B294" s="373">
        <v>2241917.5499999998</v>
      </c>
      <c r="C294" s="373">
        <v>4779554.7460000003</v>
      </c>
      <c r="D294" s="373">
        <v>968.1</v>
      </c>
    </row>
    <row r="295" spans="1:4" ht="15" customHeight="1">
      <c r="A295" s="377" t="s">
        <v>102</v>
      </c>
      <c r="B295" s="374">
        <v>2242225.6135</v>
      </c>
      <c r="C295" s="374">
        <v>4779470.0455</v>
      </c>
      <c r="D295" s="374">
        <v>986.08299999999997</v>
      </c>
    </row>
    <row r="296" spans="1:4" ht="15" customHeight="1">
      <c r="A296" s="377" t="s">
        <v>99</v>
      </c>
      <c r="B296" s="374">
        <v>2242332.7289999998</v>
      </c>
      <c r="C296" s="374">
        <v>4779460.8890000004</v>
      </c>
      <c r="D296" s="374">
        <v>993.63300000000004</v>
      </c>
    </row>
    <row r="297" spans="1:4" ht="15" customHeight="1">
      <c r="A297" s="371" t="s">
        <v>2338</v>
      </c>
      <c r="B297" s="373">
        <v>2242306.3110000002</v>
      </c>
      <c r="C297" s="373">
        <v>4779474.8890000004</v>
      </c>
      <c r="D297" s="373">
        <v>988.96199999999999</v>
      </c>
    </row>
    <row r="298" spans="1:4" ht="15" customHeight="1">
      <c r="A298" s="377" t="s">
        <v>103</v>
      </c>
      <c r="B298" s="374">
        <v>2242242.9700000002</v>
      </c>
      <c r="C298" s="374">
        <v>4779507.7620000001</v>
      </c>
      <c r="D298" s="374">
        <v>987.46100000000001</v>
      </c>
    </row>
    <row r="299" spans="1:4" ht="15" customHeight="1">
      <c r="A299" s="371" t="s">
        <v>2339</v>
      </c>
      <c r="B299" s="373">
        <v>2242165.023</v>
      </c>
      <c r="C299" s="373">
        <v>4779580.8370000003</v>
      </c>
      <c r="D299" s="373">
        <v>988.74599999999998</v>
      </c>
    </row>
    <row r="300" spans="1:4" ht="15" customHeight="1">
      <c r="A300" s="371" t="s">
        <v>2340</v>
      </c>
      <c r="B300" s="373">
        <v>2242412.1710000001</v>
      </c>
      <c r="C300" s="373">
        <v>4779633.693</v>
      </c>
      <c r="D300" s="373">
        <v>996.71500000000003</v>
      </c>
    </row>
    <row r="301" spans="1:4" ht="15" customHeight="1">
      <c r="A301" s="377" t="s">
        <v>98</v>
      </c>
      <c r="B301" s="374">
        <v>2242376.5049999999</v>
      </c>
      <c r="C301" s="374">
        <v>4779555.0199999996</v>
      </c>
      <c r="D301" s="374">
        <v>995.721</v>
      </c>
    </row>
    <row r="302" spans="1:4" ht="15" customHeight="1">
      <c r="A302" s="371" t="s">
        <v>2341</v>
      </c>
      <c r="B302" s="373">
        <v>2242284.7170000002</v>
      </c>
      <c r="C302" s="373">
        <v>4779599.8990000002</v>
      </c>
      <c r="D302" s="373">
        <v>991.83399999999995</v>
      </c>
    </row>
    <row r="303" spans="1:4" ht="15" customHeight="1">
      <c r="A303" s="371" t="s">
        <v>2342</v>
      </c>
      <c r="B303" s="373">
        <v>2242193.466</v>
      </c>
      <c r="C303" s="373">
        <v>4779644.4160000002</v>
      </c>
      <c r="D303" s="373">
        <v>988.55899999999997</v>
      </c>
    </row>
    <row r="304" spans="1:4" ht="15" customHeight="1">
      <c r="A304" s="371" t="s">
        <v>2343</v>
      </c>
      <c r="B304" s="373">
        <v>2242365.9920000001</v>
      </c>
      <c r="C304" s="373">
        <v>4779774.37</v>
      </c>
      <c r="D304" s="373">
        <v>988.10400000000004</v>
      </c>
    </row>
    <row r="305" spans="1:4" ht="15" customHeight="1">
      <c r="A305" s="371" t="s">
        <v>2344</v>
      </c>
      <c r="B305" s="373">
        <v>2242333.2340000002</v>
      </c>
      <c r="C305" s="373">
        <v>4779793.4000000004</v>
      </c>
      <c r="D305" s="373">
        <v>988.06</v>
      </c>
    </row>
    <row r="306" spans="1:4" ht="15" customHeight="1">
      <c r="A306" s="371" t="s">
        <v>2345</v>
      </c>
      <c r="B306" s="373">
        <v>2242230.5449999999</v>
      </c>
      <c r="C306" s="373">
        <v>4779722.8820000002</v>
      </c>
      <c r="D306" s="373">
        <v>987.73900000000003</v>
      </c>
    </row>
    <row r="307" spans="1:4" ht="15" customHeight="1">
      <c r="A307" s="371" t="s">
        <v>2346</v>
      </c>
      <c r="B307" s="373">
        <v>2242274.1290000002</v>
      </c>
      <c r="C307" s="373">
        <v>4779824.1830000002</v>
      </c>
      <c r="D307" s="373">
        <v>987.94</v>
      </c>
    </row>
    <row r="308" spans="1:4" ht="15" customHeight="1">
      <c r="A308" s="371" t="s">
        <v>2347</v>
      </c>
      <c r="B308" s="373">
        <v>2242320.3769999999</v>
      </c>
      <c r="C308" s="373">
        <v>4779677.3770000003</v>
      </c>
      <c r="D308" s="373">
        <v>990.62699999999995</v>
      </c>
    </row>
    <row r="309" spans="1:4" ht="15" customHeight="1">
      <c r="A309" s="371" t="s">
        <v>2348</v>
      </c>
      <c r="B309" s="373">
        <v>2242081.7779999999</v>
      </c>
      <c r="C309" s="373">
        <v>4779173.2110000001</v>
      </c>
      <c r="D309" s="373">
        <v>984.57299999999998</v>
      </c>
    </row>
    <row r="310" spans="1:4" ht="15" customHeight="1">
      <c r="A310" s="371" t="s">
        <v>2349</v>
      </c>
      <c r="B310" s="373">
        <v>2242056.0210000002</v>
      </c>
      <c r="C310" s="373">
        <v>4779154.193</v>
      </c>
      <c r="D310" s="373">
        <v>984</v>
      </c>
    </row>
    <row r="311" spans="1:4" ht="15" customHeight="1">
      <c r="A311" s="371" t="s">
        <v>2350</v>
      </c>
      <c r="B311" s="373">
        <v>2242036.1809999999</v>
      </c>
      <c r="C311" s="373">
        <v>4779136.5669999998</v>
      </c>
      <c r="D311" s="373">
        <v>982.52700000000004</v>
      </c>
    </row>
    <row r="312" spans="1:4" ht="15" customHeight="1">
      <c r="A312" s="371" t="s">
        <v>2351</v>
      </c>
      <c r="B312" s="373">
        <v>2241986.4580000001</v>
      </c>
      <c r="C312" s="373">
        <v>4779091.7460000003</v>
      </c>
      <c r="D312" s="373">
        <v>975</v>
      </c>
    </row>
    <row r="313" spans="1:4" ht="15" customHeight="1">
      <c r="A313" s="371" t="s">
        <v>2352</v>
      </c>
      <c r="B313" s="373">
        <v>2241971.1630000002</v>
      </c>
      <c r="C313" s="373">
        <v>4779072.2079999996</v>
      </c>
      <c r="D313" s="373">
        <v>973.41499999999996</v>
      </c>
    </row>
    <row r="314" spans="1:4" ht="15" customHeight="1">
      <c r="A314" s="371" t="s">
        <v>2353</v>
      </c>
      <c r="B314" s="373">
        <v>2241921.8939999999</v>
      </c>
      <c r="C314" s="373">
        <v>4779139.8059999999</v>
      </c>
      <c r="D314" s="373">
        <v>996.71500000000003</v>
      </c>
    </row>
    <row r="315" spans="1:4" ht="15" customHeight="1">
      <c r="A315" s="371" t="s">
        <v>2354</v>
      </c>
      <c r="B315" s="373">
        <v>2241898.338</v>
      </c>
      <c r="C315" s="373">
        <v>4779155.6220000004</v>
      </c>
      <c r="D315" s="373">
        <v>973.11800000000005</v>
      </c>
    </row>
    <row r="316" spans="1:4" ht="15" customHeight="1">
      <c r="A316" s="371" t="s">
        <v>2355</v>
      </c>
      <c r="B316" s="373">
        <v>2242089.5210000002</v>
      </c>
      <c r="C316" s="373">
        <v>4779902.1629999997</v>
      </c>
      <c r="D316" s="373">
        <v>967.46199999999999</v>
      </c>
    </row>
    <row r="317" spans="1:4" ht="15" customHeight="1">
      <c r="A317" s="371" t="s">
        <v>2356</v>
      </c>
      <c r="B317" s="373">
        <v>2242066.9989999998</v>
      </c>
      <c r="C317" s="373">
        <v>4779912.1749999998</v>
      </c>
      <c r="D317" s="373">
        <v>966.06600000000003</v>
      </c>
    </row>
    <row r="318" spans="1:4" ht="15" customHeight="1">
      <c r="A318" s="371" t="s">
        <v>2357</v>
      </c>
      <c r="B318" s="373">
        <v>2242034.7230000002</v>
      </c>
      <c r="C318" s="373">
        <v>4779926.4060000004</v>
      </c>
      <c r="D318" s="373">
        <v>965.06799999999998</v>
      </c>
    </row>
    <row r="319" spans="1:4" ht="15" customHeight="1">
      <c r="A319" s="371" t="s">
        <v>2358</v>
      </c>
      <c r="B319" s="373">
        <v>2242070.7059999998</v>
      </c>
      <c r="C319" s="373">
        <v>4780000.2429999998</v>
      </c>
      <c r="D319" s="373">
        <v>964.09199999999998</v>
      </c>
    </row>
    <row r="320" spans="1:4" ht="15" customHeight="1">
      <c r="A320" s="371" t="s">
        <v>2359</v>
      </c>
      <c r="B320" s="373">
        <v>2242102.398</v>
      </c>
      <c r="C320" s="373">
        <v>4779987.1330000004</v>
      </c>
      <c r="D320" s="373">
        <v>965.27300000000002</v>
      </c>
    </row>
    <row r="321" spans="1:4" ht="15" customHeight="1">
      <c r="A321" s="371" t="s">
        <v>2360</v>
      </c>
      <c r="B321" s="373">
        <v>2242132.7590000001</v>
      </c>
      <c r="C321" s="373">
        <v>4779974.4170000004</v>
      </c>
      <c r="D321" s="373">
        <v>974.06899999999996</v>
      </c>
    </row>
    <row r="322" spans="1:4" ht="15" customHeight="1">
      <c r="A322" s="371" t="s">
        <v>2361</v>
      </c>
      <c r="B322" s="373">
        <v>2242075.19</v>
      </c>
      <c r="C322" s="373">
        <v>4780006.0199999996</v>
      </c>
      <c r="D322" s="373">
        <v>964.73</v>
      </c>
    </row>
    <row r="323" spans="1:4" ht="15" customHeight="1">
      <c r="A323" s="371" t="s">
        <v>2362</v>
      </c>
      <c r="B323" s="380">
        <v>2241845.9780999999</v>
      </c>
      <c r="C323" s="380">
        <v>4779030.2718000002</v>
      </c>
      <c r="D323" s="380">
        <v>972.44399999999996</v>
      </c>
    </row>
    <row r="324" spans="1:4" ht="15" customHeight="1">
      <c r="A324" s="371" t="s">
        <v>2363</v>
      </c>
      <c r="B324" s="381">
        <v>2242148.824</v>
      </c>
      <c r="C324" s="381">
        <v>4779666.7050000001</v>
      </c>
      <c r="D324" s="373">
        <f>989.12-1.97</f>
        <v>987.15</v>
      </c>
    </row>
    <row r="325" spans="1:4" ht="15" customHeight="1">
      <c r="A325" s="371" t="s">
        <v>2364</v>
      </c>
      <c r="B325" s="381">
        <v>2242225.9049999998</v>
      </c>
      <c r="C325" s="381">
        <v>4779844.8360000001</v>
      </c>
      <c r="D325" s="373">
        <v>985.98</v>
      </c>
    </row>
    <row r="326" spans="1:4" ht="15" customHeight="1">
      <c r="A326" s="371" t="s">
        <v>2365</v>
      </c>
      <c r="B326" s="380">
        <v>2242089.7799999998</v>
      </c>
      <c r="C326" s="380">
        <v>4779210.0839999998</v>
      </c>
      <c r="D326" s="380">
        <v>983.56</v>
      </c>
    </row>
    <row r="327" spans="1:4" ht="15" customHeight="1">
      <c r="A327" s="371" t="s">
        <v>2366</v>
      </c>
      <c r="B327" s="380">
        <v>2242068.875</v>
      </c>
      <c r="C327" s="380">
        <v>4779217.6619999995</v>
      </c>
      <c r="D327" s="380">
        <v>981.57</v>
      </c>
    </row>
    <row r="328" spans="1:4" ht="15" customHeight="1">
      <c r="A328" s="371" t="s">
        <v>2367</v>
      </c>
      <c r="B328" s="380">
        <v>2242039.8420000002</v>
      </c>
      <c r="C328" s="380">
        <v>4779191.7220000001</v>
      </c>
      <c r="D328" s="380">
        <v>978.17000000000007</v>
      </c>
    </row>
    <row r="329" spans="1:4" ht="15" customHeight="1">
      <c r="A329" s="371" t="s">
        <v>2368</v>
      </c>
      <c r="B329" s="381">
        <v>2241973.9257999999</v>
      </c>
      <c r="C329" s="381">
        <v>4779144.8618000001</v>
      </c>
      <c r="D329" s="373">
        <v>974.74099999999999</v>
      </c>
    </row>
    <row r="330" spans="1:4" ht="15" customHeight="1">
      <c r="A330" s="371" t="s">
        <v>2369</v>
      </c>
      <c r="B330" s="381">
        <v>2242015.1869999999</v>
      </c>
      <c r="C330" s="381">
        <v>4779172.267</v>
      </c>
      <c r="D330" s="373">
        <v>975.505</v>
      </c>
    </row>
    <row r="331" spans="1:4" ht="15" customHeight="1">
      <c r="A331" s="371" t="s">
        <v>2370</v>
      </c>
      <c r="B331" s="381">
        <v>2241907.9040000001</v>
      </c>
      <c r="C331" s="381">
        <v>4779133.2010000004</v>
      </c>
      <c r="D331" s="373">
        <v>972.84400000000005</v>
      </c>
    </row>
    <row r="332" spans="1:4" ht="15" customHeight="1">
      <c r="A332" s="383" t="s">
        <v>2371</v>
      </c>
      <c r="B332" s="384">
        <v>2241934.9</v>
      </c>
      <c r="C332" s="384">
        <v>4779155.55</v>
      </c>
      <c r="D332" s="385">
        <v>975.67100000000005</v>
      </c>
    </row>
    <row r="333" spans="1:4" ht="15" customHeight="1">
      <c r="A333" s="377" t="s">
        <v>109</v>
      </c>
      <c r="B333" s="382">
        <v>2242412.1710000001</v>
      </c>
      <c r="C333" s="382">
        <v>4779633.693</v>
      </c>
      <c r="D333" s="374">
        <v>996.71500000000003</v>
      </c>
    </row>
  </sheetData>
  <conditionalFormatting sqref="A1:A260 A262:A278 A280:A331 A333:A1048576">
    <cfRule type="duplicateValues" dxfId="113" priority="12"/>
    <cfRule type="duplicateValues" dxfId="112" priority="13"/>
    <cfRule type="duplicateValues" dxfId="111" priority="14"/>
  </conditionalFormatting>
  <conditionalFormatting sqref="A2:A260 A262:A278 A280:A322">
    <cfRule type="duplicateValues" dxfId="110" priority="17"/>
  </conditionalFormatting>
  <conditionalFormatting sqref="A13 A7">
    <cfRule type="duplicateValues" dxfId="109" priority="15"/>
  </conditionalFormatting>
  <conditionalFormatting sqref="A13">
    <cfRule type="duplicateValues" dxfId="108" priority="16"/>
  </conditionalFormatting>
  <conditionalFormatting sqref="A261">
    <cfRule type="duplicateValues" dxfId="107" priority="8"/>
    <cfRule type="duplicateValues" dxfId="106" priority="9"/>
    <cfRule type="duplicateValues" dxfId="105" priority="10"/>
    <cfRule type="duplicateValues" dxfId="104" priority="11"/>
  </conditionalFormatting>
  <conditionalFormatting sqref="A279">
    <cfRule type="duplicateValues" dxfId="103" priority="4"/>
    <cfRule type="duplicateValues" dxfId="102" priority="5"/>
    <cfRule type="duplicateValues" dxfId="101" priority="6"/>
    <cfRule type="duplicateValues" dxfId="100" priority="7"/>
  </conditionalFormatting>
  <conditionalFormatting sqref="A332">
    <cfRule type="duplicateValues" dxfId="99" priority="1"/>
    <cfRule type="duplicateValues" dxfId="98" priority="2"/>
    <cfRule type="duplicateValues" dxfId="97" priority="3"/>
  </conditionalFormatting>
  <printOptions horizontalCentered="1" verticalCentered="1"/>
  <pageMargins left="0.78740157480314965" right="0.78740157480314965" top="0.47244094488188981" bottom="0.78740157480314965" header="0" footer="0"/>
  <pageSetup scale="58" orientation="portrait"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00B0F0"/>
  </sheetPr>
  <dimension ref="A1:EW711"/>
  <sheetViews>
    <sheetView workbookViewId="0">
      <selection sqref="A1:D4"/>
    </sheetView>
  </sheetViews>
  <sheetFormatPr baseColWidth="10" defaultColWidth="11.42578125" defaultRowHeight="11.25"/>
  <cols>
    <col min="1" max="1" width="6.28515625" style="391" customWidth="1"/>
    <col min="2" max="2" width="4.28515625" style="400" customWidth="1"/>
    <col min="3" max="3" width="9.28515625" style="652" customWidth="1"/>
    <col min="4" max="4" width="9.42578125" style="400" customWidth="1"/>
    <col min="5" max="5" width="8.7109375" style="454" customWidth="1"/>
    <col min="6" max="6" width="8.5703125" style="454" customWidth="1"/>
    <col min="7" max="7" width="9" style="454" customWidth="1"/>
    <col min="8" max="8" width="9.7109375" style="454" customWidth="1"/>
    <col min="9" max="9" width="8" style="454" customWidth="1"/>
    <col min="10" max="10" width="6.28515625" style="404" customWidth="1"/>
    <col min="11" max="11" width="11.85546875" style="454" customWidth="1"/>
    <col min="12" max="12" width="8.28515625" style="454" customWidth="1"/>
    <col min="13" max="13" width="8.28515625" style="391" customWidth="1"/>
    <col min="14" max="14" width="7.28515625" style="391" customWidth="1"/>
    <col min="15" max="15" width="9.42578125" style="391" customWidth="1"/>
    <col min="16" max="16" width="7.7109375" style="391" customWidth="1"/>
    <col min="17" max="17" width="11.7109375" style="391" customWidth="1"/>
    <col min="18" max="18" width="10.28515625" style="391" customWidth="1"/>
    <col min="19" max="19" width="6.5703125" style="391" customWidth="1"/>
    <col min="20" max="20" width="7.5703125" style="391" customWidth="1"/>
    <col min="21" max="21" width="12" style="391" customWidth="1"/>
    <col min="22" max="22" width="7.7109375" style="391" customWidth="1"/>
    <col min="23" max="24" width="10.28515625" style="391" customWidth="1"/>
    <col min="25" max="25" width="11.5703125" style="391" customWidth="1"/>
    <col min="26" max="26" width="11.28515625" style="391" customWidth="1"/>
    <col min="27" max="27" width="11.7109375" style="391" customWidth="1"/>
    <col min="28" max="33" width="8.42578125" style="391" customWidth="1"/>
    <col min="34" max="34" width="11.140625" style="391" customWidth="1"/>
    <col min="35" max="35" width="12.28515625" style="391" customWidth="1"/>
    <col min="36" max="36" width="11.28515625" style="391" customWidth="1"/>
    <col min="37" max="37" width="12" style="391" customWidth="1"/>
    <col min="38" max="38" width="12.7109375" style="391" customWidth="1"/>
    <col min="39" max="39" width="10.5703125" style="391" customWidth="1"/>
    <col min="40" max="40" width="9.7109375" style="391" customWidth="1"/>
    <col min="41" max="41" width="11.42578125" style="391" customWidth="1"/>
    <col min="42" max="42" width="14" style="391" customWidth="1"/>
    <col min="43" max="44" width="10.5703125" style="391" customWidth="1"/>
    <col min="45" max="45" width="8.7109375" style="454" customWidth="1"/>
    <col min="46" max="47" width="10.7109375" style="391" customWidth="1"/>
    <col min="48" max="48" width="10.28515625" style="391" customWidth="1"/>
    <col min="49" max="49" width="9.7109375" style="391" customWidth="1"/>
    <col min="50" max="50" width="14.7109375" style="649" customWidth="1"/>
    <col min="51" max="51" width="8.7109375" style="593" customWidth="1"/>
    <col min="52" max="52" width="9.28515625" style="391" customWidth="1"/>
    <col min="53" max="53" width="9" style="391" customWidth="1"/>
    <col min="54" max="54" width="8.5703125" style="651" customWidth="1"/>
    <col min="55" max="55" width="8.28515625" style="651" customWidth="1"/>
    <col min="56" max="57" width="7.7109375" style="400" customWidth="1"/>
    <col min="58" max="58" width="8.5703125" style="400" customWidth="1"/>
    <col min="59" max="59" width="7.7109375" style="400" customWidth="1"/>
    <col min="60" max="60" width="8.7109375" style="594" customWidth="1"/>
    <col min="61" max="61" width="8.28515625" style="594" customWidth="1"/>
    <col min="62" max="62" width="8.28515625" style="595" customWidth="1"/>
    <col min="63" max="63" width="10.5703125" style="391" customWidth="1"/>
    <col min="64" max="66" width="9.7109375" style="391" customWidth="1"/>
    <col min="67" max="68" width="9.5703125" style="391" customWidth="1"/>
    <col min="69" max="69" width="8.28515625" style="391" customWidth="1"/>
    <col min="70" max="70" width="7.42578125" style="391" customWidth="1"/>
    <col min="71" max="71" width="10.28515625" style="391" customWidth="1"/>
    <col min="72" max="72" width="10.42578125" style="391" customWidth="1"/>
    <col min="73" max="73" width="7.42578125" style="391" customWidth="1"/>
    <col min="74" max="75" width="7.7109375" style="391" customWidth="1"/>
    <col min="76" max="76" width="8.5703125" style="391" customWidth="1"/>
    <col min="77" max="77" width="7.7109375" style="391" customWidth="1"/>
    <col min="78" max="78" width="9.7109375" style="391" customWidth="1"/>
    <col min="79" max="79" width="7.7109375" style="391" customWidth="1"/>
    <col min="80" max="81" width="9.28515625" style="391" customWidth="1"/>
    <col min="82" max="82" width="21.140625" style="391" customWidth="1"/>
    <col min="83" max="83" width="9" style="391" hidden="1" customWidth="1"/>
    <col min="84" max="84" width="8.7109375" style="391" customWidth="1"/>
    <col min="85" max="85" width="11" style="391" hidden="1" customWidth="1"/>
    <col min="86" max="86" width="9.42578125" style="391" customWidth="1"/>
    <col min="87" max="87" width="9.28515625" style="391" hidden="1" customWidth="1"/>
    <col min="88" max="88" width="8.28515625" style="391" customWidth="1"/>
    <col min="89" max="89" width="12.7109375" style="391" customWidth="1"/>
    <col min="90" max="90" width="12.85546875" style="400" customWidth="1"/>
    <col min="91" max="91" width="7.42578125" style="391" customWidth="1"/>
    <col min="92" max="92" width="6.42578125" style="391" customWidth="1"/>
    <col min="93" max="93" width="8.28515625" style="391" customWidth="1"/>
    <col min="94" max="94" width="10.7109375" style="391" customWidth="1"/>
    <col min="95" max="95" width="11.42578125" style="400" customWidth="1"/>
    <col min="96" max="96" width="14.7109375" style="391" customWidth="1"/>
    <col min="97" max="97" width="7.5703125" style="391" customWidth="1"/>
    <col min="98" max="98" width="6.7109375" style="400" customWidth="1"/>
    <col min="99" max="99" width="12.7109375" style="400" customWidth="1"/>
    <col min="100" max="100" width="13.28515625" style="400" customWidth="1"/>
    <col min="101" max="101" width="8.28515625" style="400" customWidth="1"/>
    <col min="102" max="102" width="11.42578125" style="391" customWidth="1"/>
    <col min="103" max="104" width="11.42578125" style="400" customWidth="1"/>
    <col min="105" max="105" width="13.5703125" style="391" customWidth="1"/>
    <col min="106" max="16384" width="11.42578125" style="391"/>
  </cols>
  <sheetData>
    <row r="1" spans="1:153" s="386" customFormat="1" ht="18" customHeight="1">
      <c r="A1" s="1952" t="s">
        <v>2372</v>
      </c>
      <c r="B1" s="1952"/>
      <c r="C1" s="1952"/>
      <c r="D1" s="1952"/>
      <c r="E1" s="1953" t="s">
        <v>2373</v>
      </c>
      <c r="F1" s="1953"/>
      <c r="G1" s="1953"/>
      <c r="H1" s="1953"/>
      <c r="I1" s="1953"/>
      <c r="J1" s="1953"/>
      <c r="K1" s="1953"/>
      <c r="L1" s="1953"/>
      <c r="M1" s="1953"/>
      <c r="N1" s="1953"/>
      <c r="O1" s="1953"/>
      <c r="P1" s="1953"/>
      <c r="Q1" s="1953"/>
      <c r="R1" s="1953"/>
      <c r="S1" s="1953"/>
      <c r="T1" s="1953"/>
      <c r="U1" s="1953"/>
      <c r="V1" s="1953"/>
      <c r="W1" s="1953"/>
      <c r="X1" s="1953"/>
      <c r="Y1" s="1953"/>
      <c r="Z1" s="1953"/>
      <c r="AA1" s="1953"/>
      <c r="AB1" s="1953"/>
      <c r="AC1" s="1953"/>
      <c r="AD1" s="1953"/>
      <c r="AE1" s="1953"/>
      <c r="AF1" s="1953"/>
      <c r="AG1" s="1953"/>
      <c r="AH1" s="1953"/>
      <c r="AI1" s="1953"/>
      <c r="AJ1" s="1953"/>
      <c r="AK1" s="1953"/>
      <c r="AL1" s="1953"/>
      <c r="AM1" s="1953"/>
      <c r="AN1" s="1953"/>
      <c r="AO1" s="1953"/>
      <c r="AP1" s="1953"/>
      <c r="AQ1" s="1953"/>
      <c r="AR1" s="1953"/>
      <c r="AS1" s="1953"/>
      <c r="AT1" s="1953"/>
      <c r="AU1" s="1953"/>
      <c r="AV1" s="1953"/>
      <c r="AW1" s="1953"/>
      <c r="AX1" s="1953"/>
      <c r="AY1" s="1953"/>
      <c r="AZ1" s="1953"/>
      <c r="BA1" s="1953"/>
      <c r="BB1" s="1953"/>
      <c r="BC1" s="1953"/>
      <c r="BD1" s="1953"/>
      <c r="BE1" s="1953"/>
      <c r="BF1" s="1953"/>
      <c r="BG1" s="1953"/>
      <c r="BH1" s="1953"/>
      <c r="BI1" s="1953"/>
      <c r="BJ1" s="1953"/>
      <c r="BK1" s="1953"/>
      <c r="BL1" s="1953"/>
      <c r="BM1" s="1953"/>
      <c r="BN1" s="1953"/>
      <c r="BO1" s="1953"/>
      <c r="BP1" s="1953"/>
      <c r="BQ1" s="1953"/>
      <c r="BR1" s="1953"/>
      <c r="BS1" s="1953"/>
      <c r="BT1" s="1953"/>
      <c r="BU1" s="1953"/>
      <c r="BV1" s="1953"/>
      <c r="BW1" s="1953"/>
      <c r="BX1" s="1953"/>
      <c r="BY1" s="1953"/>
      <c r="BZ1" s="1953"/>
      <c r="CA1" s="1953"/>
      <c r="CB1" s="1953"/>
      <c r="CC1" s="1953"/>
      <c r="CD1" s="1953"/>
      <c r="CE1" s="1953"/>
      <c r="CF1" s="1953"/>
      <c r="CG1" s="1953"/>
      <c r="CH1" s="1953"/>
      <c r="CI1" s="1953"/>
      <c r="CJ1" s="1953"/>
      <c r="CK1" s="1953"/>
      <c r="CL1" s="1953"/>
      <c r="CM1" s="1953"/>
      <c r="CN1" s="1953"/>
      <c r="CO1" s="1953"/>
      <c r="CP1" s="1953"/>
      <c r="CQ1" s="1953"/>
      <c r="CR1" s="1953"/>
      <c r="CS1" s="1953"/>
      <c r="CT1" s="1953"/>
      <c r="CU1" s="1953"/>
      <c r="CV1" s="1953"/>
      <c r="CW1" s="1953"/>
      <c r="CX1" s="1953"/>
      <c r="CY1" s="1953"/>
      <c r="CZ1" s="1953"/>
      <c r="DA1" s="1937"/>
    </row>
    <row r="2" spans="1:153" s="386" customFormat="1" ht="30" customHeight="1">
      <c r="A2" s="1952"/>
      <c r="B2" s="1952"/>
      <c r="C2" s="1952"/>
      <c r="D2" s="1952"/>
      <c r="E2" s="1953"/>
      <c r="F2" s="1953"/>
      <c r="G2" s="1953"/>
      <c r="H2" s="1953"/>
      <c r="I2" s="1953"/>
      <c r="J2" s="1953"/>
      <c r="K2" s="1953"/>
      <c r="L2" s="1953"/>
      <c r="M2" s="1953"/>
      <c r="N2" s="1953"/>
      <c r="O2" s="1953"/>
      <c r="P2" s="1953"/>
      <c r="Q2" s="1953"/>
      <c r="R2" s="1953"/>
      <c r="S2" s="1953"/>
      <c r="T2" s="1953"/>
      <c r="U2" s="1953"/>
      <c r="V2" s="1953"/>
      <c r="W2" s="1953"/>
      <c r="X2" s="1953"/>
      <c r="Y2" s="1953"/>
      <c r="Z2" s="1953"/>
      <c r="AA2" s="1953"/>
      <c r="AB2" s="1953"/>
      <c r="AC2" s="1953"/>
      <c r="AD2" s="1953"/>
      <c r="AE2" s="1953"/>
      <c r="AF2" s="1953"/>
      <c r="AG2" s="1953"/>
      <c r="AH2" s="1953"/>
      <c r="AI2" s="1953"/>
      <c r="AJ2" s="1953"/>
      <c r="AK2" s="1953"/>
      <c r="AL2" s="1953"/>
      <c r="AM2" s="1953"/>
      <c r="AN2" s="1953"/>
      <c r="AO2" s="1953"/>
      <c r="AP2" s="1953"/>
      <c r="AQ2" s="1953"/>
      <c r="AR2" s="1953"/>
      <c r="AS2" s="1953"/>
      <c r="AT2" s="1953"/>
      <c r="AU2" s="1953"/>
      <c r="AV2" s="1953"/>
      <c r="AW2" s="1953"/>
      <c r="AX2" s="1953"/>
      <c r="AY2" s="1953"/>
      <c r="AZ2" s="1953"/>
      <c r="BA2" s="1953"/>
      <c r="BB2" s="1953"/>
      <c r="BC2" s="1953"/>
      <c r="BD2" s="1953"/>
      <c r="BE2" s="1953"/>
      <c r="BF2" s="1953"/>
      <c r="BG2" s="1953"/>
      <c r="BH2" s="1953"/>
      <c r="BI2" s="1953"/>
      <c r="BJ2" s="1953"/>
      <c r="BK2" s="1953"/>
      <c r="BL2" s="1953"/>
      <c r="BM2" s="1953"/>
      <c r="BN2" s="1953"/>
      <c r="BO2" s="1953"/>
      <c r="BP2" s="1953"/>
      <c r="BQ2" s="1953"/>
      <c r="BR2" s="1953"/>
      <c r="BS2" s="1953"/>
      <c r="BT2" s="1953"/>
      <c r="BU2" s="1953"/>
      <c r="BV2" s="1953"/>
      <c r="BW2" s="1953"/>
      <c r="BX2" s="1953"/>
      <c r="BY2" s="1953"/>
      <c r="BZ2" s="1953"/>
      <c r="CA2" s="1953"/>
      <c r="CB2" s="1953"/>
      <c r="CC2" s="1953"/>
      <c r="CD2" s="1953"/>
      <c r="CE2" s="1953"/>
      <c r="CF2" s="1953"/>
      <c r="CG2" s="1953"/>
      <c r="CH2" s="1953"/>
      <c r="CI2" s="1953"/>
      <c r="CJ2" s="1953"/>
      <c r="CK2" s="1953"/>
      <c r="CL2" s="1953"/>
      <c r="CM2" s="1953"/>
      <c r="CN2" s="1953"/>
      <c r="CO2" s="1953"/>
      <c r="CP2" s="1953"/>
      <c r="CQ2" s="1953"/>
      <c r="CR2" s="1953"/>
      <c r="CS2" s="1953"/>
      <c r="CT2" s="1953"/>
      <c r="CU2" s="1953"/>
      <c r="CV2" s="1953"/>
      <c r="CW2" s="1953"/>
      <c r="CX2" s="1953"/>
      <c r="CY2" s="1953"/>
      <c r="CZ2" s="1953"/>
      <c r="DA2" s="1937"/>
    </row>
    <row r="3" spans="1:153" s="386" customFormat="1" ht="15" customHeight="1">
      <c r="A3" s="1952"/>
      <c r="B3" s="1952"/>
      <c r="C3" s="1952"/>
      <c r="D3" s="1952"/>
      <c r="E3" s="1953"/>
      <c r="F3" s="1953"/>
      <c r="G3" s="1953"/>
      <c r="H3" s="1953"/>
      <c r="I3" s="1953"/>
      <c r="J3" s="1953"/>
      <c r="K3" s="1953"/>
      <c r="L3" s="1953"/>
      <c r="M3" s="1953"/>
      <c r="N3" s="1953"/>
      <c r="O3" s="1953"/>
      <c r="P3" s="1953"/>
      <c r="Q3" s="1953"/>
      <c r="R3" s="1953"/>
      <c r="S3" s="1953"/>
      <c r="T3" s="1953"/>
      <c r="U3" s="1953"/>
      <c r="V3" s="1953"/>
      <c r="W3" s="1953"/>
      <c r="X3" s="1953"/>
      <c r="Y3" s="1953"/>
      <c r="Z3" s="1953"/>
      <c r="AA3" s="1953"/>
      <c r="AB3" s="1953"/>
      <c r="AC3" s="1953"/>
      <c r="AD3" s="1953"/>
      <c r="AE3" s="1953"/>
      <c r="AF3" s="1953"/>
      <c r="AG3" s="1953"/>
      <c r="AH3" s="1953"/>
      <c r="AI3" s="1953"/>
      <c r="AJ3" s="1953"/>
      <c r="AK3" s="1953"/>
      <c r="AL3" s="1953"/>
      <c r="AM3" s="1953"/>
      <c r="AN3" s="1953"/>
      <c r="AO3" s="1953"/>
      <c r="AP3" s="1953"/>
      <c r="AQ3" s="1953"/>
      <c r="AR3" s="1953"/>
      <c r="AS3" s="1953"/>
      <c r="AT3" s="1953"/>
      <c r="AU3" s="1953"/>
      <c r="AV3" s="1953"/>
      <c r="AW3" s="1953"/>
      <c r="AX3" s="1953"/>
      <c r="AY3" s="1953"/>
      <c r="AZ3" s="1953"/>
      <c r="BA3" s="1953"/>
      <c r="BB3" s="1953"/>
      <c r="BC3" s="1953"/>
      <c r="BD3" s="1953"/>
      <c r="BE3" s="1953"/>
      <c r="BF3" s="1953"/>
      <c r="BG3" s="1953"/>
      <c r="BH3" s="1953"/>
      <c r="BI3" s="1953"/>
      <c r="BJ3" s="1953"/>
      <c r="BK3" s="1953"/>
      <c r="BL3" s="1953"/>
      <c r="BM3" s="1953"/>
      <c r="BN3" s="1953"/>
      <c r="BO3" s="1953"/>
      <c r="BP3" s="1953"/>
      <c r="BQ3" s="1953"/>
      <c r="BR3" s="1953"/>
      <c r="BS3" s="1953"/>
      <c r="BT3" s="1953"/>
      <c r="BU3" s="1953"/>
      <c r="BV3" s="1953"/>
      <c r="BW3" s="1953"/>
      <c r="BX3" s="1953"/>
      <c r="BY3" s="1953"/>
      <c r="BZ3" s="1953"/>
      <c r="CA3" s="1953"/>
      <c r="CB3" s="1953"/>
      <c r="CC3" s="1953"/>
      <c r="CD3" s="1953"/>
      <c r="CE3" s="1953"/>
      <c r="CF3" s="1953"/>
      <c r="CG3" s="1953"/>
      <c r="CH3" s="1953"/>
      <c r="CI3" s="1953"/>
      <c r="CJ3" s="1953"/>
      <c r="CK3" s="1953"/>
      <c r="CL3" s="1953"/>
      <c r="CM3" s="1953"/>
      <c r="CN3" s="1953"/>
      <c r="CO3" s="1953"/>
      <c r="CP3" s="1953"/>
      <c r="CQ3" s="1953"/>
      <c r="CR3" s="1953"/>
      <c r="CS3" s="1953"/>
      <c r="CT3" s="1953"/>
      <c r="CU3" s="1953"/>
      <c r="CV3" s="1953"/>
      <c r="CW3" s="1953"/>
      <c r="CX3" s="1953"/>
      <c r="CY3" s="1953"/>
      <c r="CZ3" s="1953"/>
      <c r="DA3" s="1937"/>
    </row>
    <row r="4" spans="1:153" s="386" customFormat="1" ht="17.45" customHeight="1">
      <c r="A4" s="1952"/>
      <c r="B4" s="1952"/>
      <c r="C4" s="1952"/>
      <c r="D4" s="1952"/>
      <c r="E4" s="1938" t="s">
        <v>2374</v>
      </c>
      <c r="F4" s="1939"/>
      <c r="G4" s="1939"/>
      <c r="H4" s="1939"/>
      <c r="I4" s="1939"/>
      <c r="J4" s="1939"/>
      <c r="K4" s="1939"/>
      <c r="L4" s="1939"/>
      <c r="M4" s="1939"/>
      <c r="N4" s="1939"/>
      <c r="O4" s="1939"/>
      <c r="P4" s="1939"/>
      <c r="Q4" s="1939"/>
      <c r="R4" s="1939"/>
      <c r="S4" s="1939"/>
      <c r="T4" s="1939"/>
      <c r="U4" s="1939"/>
      <c r="V4" s="1939"/>
      <c r="W4" s="1939"/>
      <c r="X4" s="1939"/>
      <c r="Y4" s="1939"/>
      <c r="Z4" s="1939"/>
      <c r="AA4" s="1939"/>
      <c r="AB4" s="1939"/>
      <c r="AC4" s="1939"/>
      <c r="AD4" s="1939"/>
      <c r="AE4" s="1939"/>
      <c r="AF4" s="1939"/>
      <c r="AG4" s="1939"/>
      <c r="AH4" s="1939"/>
      <c r="AI4" s="1939"/>
      <c r="AJ4" s="1939"/>
      <c r="AK4" s="1939"/>
      <c r="AL4" s="1939"/>
      <c r="AM4" s="1939"/>
      <c r="AN4" s="1939"/>
      <c r="AO4" s="1939"/>
      <c r="AP4" s="1939"/>
      <c r="AQ4" s="1939"/>
      <c r="AR4" s="1939"/>
      <c r="AS4" s="1939"/>
      <c r="AT4" s="1939"/>
      <c r="AU4" s="1939"/>
      <c r="AV4" s="1939"/>
      <c r="AW4" s="1939"/>
      <c r="AX4" s="1939"/>
      <c r="AY4" s="1939"/>
      <c r="AZ4" s="1939"/>
      <c r="BA4" s="1939"/>
      <c r="BB4" s="1939"/>
      <c r="BC4" s="1939"/>
      <c r="BD4" s="1939"/>
      <c r="BE4" s="1939"/>
      <c r="BF4" s="1939"/>
      <c r="BG4" s="1939"/>
      <c r="BH4" s="1939"/>
      <c r="BI4" s="1939"/>
      <c r="BJ4" s="1939"/>
      <c r="BK4" s="1939"/>
      <c r="BL4" s="1939"/>
      <c r="BM4" s="1939"/>
      <c r="BN4" s="1939"/>
      <c r="BO4" s="1939"/>
      <c r="BP4" s="1939"/>
      <c r="BQ4" s="1939"/>
      <c r="BR4" s="1939"/>
      <c r="BS4" s="1939"/>
      <c r="BT4" s="1939"/>
      <c r="BU4" s="1939"/>
      <c r="BV4" s="1939"/>
      <c r="BW4" s="1939"/>
      <c r="BX4" s="1939"/>
      <c r="BY4" s="1939"/>
      <c r="BZ4" s="1939"/>
      <c r="CA4" s="1939"/>
      <c r="CB4" s="1939"/>
      <c r="CC4" s="1939"/>
      <c r="CD4" s="1939"/>
      <c r="CE4" s="1939"/>
      <c r="CF4" s="1939"/>
      <c r="CG4" s="1939"/>
      <c r="CH4" s="1939"/>
      <c r="CI4" s="1939"/>
      <c r="CJ4" s="1939"/>
      <c r="CK4" s="1939"/>
      <c r="CL4" s="1939"/>
      <c r="CM4" s="1939"/>
      <c r="CN4" s="1939"/>
      <c r="CO4" s="1939"/>
      <c r="CP4" s="1939"/>
      <c r="CQ4" s="1939"/>
      <c r="CR4" s="1939"/>
      <c r="CS4" s="1939"/>
      <c r="CT4" s="1939"/>
      <c r="CU4" s="1939"/>
      <c r="CV4" s="1939"/>
      <c r="CW4" s="1939"/>
      <c r="CX4" s="1939"/>
      <c r="CY4" s="1939"/>
      <c r="CZ4" s="1939"/>
      <c r="DA4" s="1937"/>
    </row>
    <row r="5" spans="1:153" ht="18.75" customHeight="1">
      <c r="A5" s="1940" t="s">
        <v>2375</v>
      </c>
      <c r="B5" s="1941" t="s">
        <v>2376</v>
      </c>
      <c r="C5" s="1940" t="s">
        <v>185</v>
      </c>
      <c r="D5" s="1940"/>
      <c r="E5" s="1942" t="s">
        <v>2377</v>
      </c>
      <c r="F5" s="1942"/>
      <c r="G5" s="1942"/>
      <c r="H5" s="1943" t="s">
        <v>2378</v>
      </c>
      <c r="I5" s="1945" t="s">
        <v>2379</v>
      </c>
      <c r="J5" s="1946"/>
      <c r="K5" s="1947"/>
      <c r="L5" s="1943" t="s">
        <v>2380</v>
      </c>
      <c r="M5" s="1940" t="s">
        <v>2381</v>
      </c>
      <c r="N5" s="1951" t="s">
        <v>2382</v>
      </c>
      <c r="O5" s="1940"/>
      <c r="P5" s="1940"/>
      <c r="Q5" s="1951" t="s">
        <v>2383</v>
      </c>
      <c r="R5" s="1940" t="s">
        <v>2384</v>
      </c>
      <c r="S5" s="1940" t="s">
        <v>2385</v>
      </c>
      <c r="T5" s="1940"/>
      <c r="U5" s="1940"/>
      <c r="V5" s="1967" t="s">
        <v>2386</v>
      </c>
      <c r="W5" s="1967"/>
      <c r="X5" s="1968"/>
      <c r="Y5" s="1951" t="s">
        <v>2387</v>
      </c>
      <c r="Z5" s="1951" t="s">
        <v>2388</v>
      </c>
      <c r="AA5" s="1951" t="s">
        <v>2389</v>
      </c>
      <c r="AB5" s="1940" t="s">
        <v>2390</v>
      </c>
      <c r="AC5" s="1956" t="s">
        <v>2384</v>
      </c>
      <c r="AD5" s="1980" t="s">
        <v>2387</v>
      </c>
      <c r="AE5" s="1980" t="s">
        <v>2388</v>
      </c>
      <c r="AF5" s="1980" t="s">
        <v>2389</v>
      </c>
      <c r="AG5" s="1956" t="s">
        <v>2390</v>
      </c>
      <c r="AH5" s="1956" t="s">
        <v>2391</v>
      </c>
      <c r="AI5" s="1940" t="s">
        <v>2392</v>
      </c>
      <c r="AJ5" s="1951" t="s">
        <v>2393</v>
      </c>
      <c r="AK5" s="1951" t="s">
        <v>2394</v>
      </c>
      <c r="AL5" s="1951" t="s">
        <v>2395</v>
      </c>
      <c r="AM5" s="1951" t="s">
        <v>2396</v>
      </c>
      <c r="AN5" s="1940" t="s">
        <v>2397</v>
      </c>
      <c r="AO5" s="1951" t="s">
        <v>2398</v>
      </c>
      <c r="AP5" s="1951" t="s">
        <v>2399</v>
      </c>
      <c r="AQ5" s="1951" t="s">
        <v>2400</v>
      </c>
      <c r="AR5" s="1951" t="s">
        <v>2401</v>
      </c>
      <c r="AS5" s="1964" t="s">
        <v>2402</v>
      </c>
      <c r="AT5" s="1951" t="s">
        <v>2403</v>
      </c>
      <c r="AU5" s="1940" t="s">
        <v>2404</v>
      </c>
      <c r="AV5" s="1940" t="s">
        <v>2405</v>
      </c>
      <c r="AW5" s="1962" t="s">
        <v>2406</v>
      </c>
      <c r="AX5" s="1962" t="s">
        <v>2407</v>
      </c>
      <c r="AY5" s="1971" t="s">
        <v>2408</v>
      </c>
      <c r="AZ5" s="1951" t="s">
        <v>2409</v>
      </c>
      <c r="BA5" s="1940" t="s">
        <v>2410</v>
      </c>
      <c r="BB5" s="1963" t="s">
        <v>1712</v>
      </c>
      <c r="BC5" s="1963"/>
      <c r="BD5" s="1954" t="s">
        <v>2411</v>
      </c>
      <c r="BE5" s="1954"/>
      <c r="BF5" s="1954" t="s">
        <v>2412</v>
      </c>
      <c r="BG5" s="1954"/>
      <c r="BH5" s="1955" t="s">
        <v>190</v>
      </c>
      <c r="BI5" s="1955"/>
      <c r="BJ5" s="1951" t="s">
        <v>2413</v>
      </c>
      <c r="BK5" s="1951" t="s">
        <v>2414</v>
      </c>
      <c r="BL5" s="1951" t="s">
        <v>2415</v>
      </c>
      <c r="BM5" s="1940" t="s">
        <v>2416</v>
      </c>
      <c r="BN5" s="1951" t="s">
        <v>2417</v>
      </c>
      <c r="BO5" s="1954" t="s">
        <v>2059</v>
      </c>
      <c r="BP5" s="1954"/>
      <c r="BQ5" s="1940" t="s">
        <v>2418</v>
      </c>
      <c r="BR5" s="1940"/>
      <c r="BS5" s="1940" t="s">
        <v>2419</v>
      </c>
      <c r="BT5" s="1940"/>
      <c r="BU5" s="1940" t="s">
        <v>2420</v>
      </c>
      <c r="BV5" s="1940"/>
      <c r="BW5" s="1951" t="s">
        <v>2421</v>
      </c>
      <c r="BX5" s="1940"/>
      <c r="BY5" s="1940" t="s">
        <v>2422</v>
      </c>
      <c r="BZ5" s="1940"/>
      <c r="CA5" s="1951" t="s">
        <v>2423</v>
      </c>
      <c r="CB5" s="1940"/>
      <c r="CC5" s="1959" t="s">
        <v>2424</v>
      </c>
      <c r="CD5" s="1959" t="s">
        <v>2425</v>
      </c>
      <c r="CE5" s="1951" t="s">
        <v>2426</v>
      </c>
      <c r="CF5" s="1940"/>
      <c r="CG5" s="1940" t="s">
        <v>2427</v>
      </c>
      <c r="CH5" s="1940"/>
      <c r="CI5" s="1940"/>
      <c r="CJ5" s="1940"/>
      <c r="CK5" s="1951" t="s">
        <v>2428</v>
      </c>
      <c r="CL5" s="1954" t="s">
        <v>1047</v>
      </c>
      <c r="CM5" s="1954"/>
      <c r="CN5" s="1951" t="s">
        <v>2429</v>
      </c>
      <c r="CO5" s="1940"/>
      <c r="CP5" s="1951" t="s">
        <v>2430</v>
      </c>
      <c r="CQ5" s="1954" t="s">
        <v>2431</v>
      </c>
      <c r="CR5" s="1965" t="s">
        <v>2432</v>
      </c>
      <c r="CS5" s="1966" t="s">
        <v>2433</v>
      </c>
      <c r="CT5" s="1966"/>
      <c r="CU5" s="1958" t="s">
        <v>2434</v>
      </c>
      <c r="CV5" s="1958" t="s">
        <v>2435</v>
      </c>
      <c r="CW5" s="1958" t="s">
        <v>2436</v>
      </c>
      <c r="CX5" s="1940" t="s">
        <v>2437</v>
      </c>
      <c r="CY5" s="1958" t="s">
        <v>2438</v>
      </c>
      <c r="CZ5" s="1958" t="s">
        <v>2439</v>
      </c>
      <c r="DA5" s="1958" t="s">
        <v>2440</v>
      </c>
    </row>
    <row r="6" spans="1:153" ht="27" customHeight="1">
      <c r="A6" s="1940"/>
      <c r="B6" s="1941"/>
      <c r="C6" s="1940"/>
      <c r="D6" s="1940"/>
      <c r="E6" s="1942"/>
      <c r="F6" s="1942"/>
      <c r="G6" s="1942"/>
      <c r="H6" s="1944"/>
      <c r="I6" s="1948"/>
      <c r="J6" s="1949"/>
      <c r="K6" s="1950"/>
      <c r="L6" s="1944"/>
      <c r="M6" s="1940"/>
      <c r="N6" s="1940"/>
      <c r="O6" s="1940"/>
      <c r="P6" s="1940"/>
      <c r="Q6" s="1940"/>
      <c r="R6" s="1940"/>
      <c r="S6" s="1940"/>
      <c r="T6" s="1940"/>
      <c r="U6" s="1940"/>
      <c r="V6" s="1969"/>
      <c r="W6" s="1969"/>
      <c r="X6" s="1970"/>
      <c r="Y6" s="1940"/>
      <c r="Z6" s="1940"/>
      <c r="AA6" s="1940"/>
      <c r="AB6" s="1940"/>
      <c r="AC6" s="1956"/>
      <c r="AD6" s="1956"/>
      <c r="AE6" s="1956"/>
      <c r="AF6" s="1956"/>
      <c r="AG6" s="1956"/>
      <c r="AH6" s="1956"/>
      <c r="AI6" s="1940"/>
      <c r="AJ6" s="1940"/>
      <c r="AK6" s="1940"/>
      <c r="AL6" s="1940"/>
      <c r="AM6" s="1940"/>
      <c r="AN6" s="1940"/>
      <c r="AO6" s="1940"/>
      <c r="AP6" s="1940"/>
      <c r="AQ6" s="1940"/>
      <c r="AR6" s="1940"/>
      <c r="AS6" s="1942"/>
      <c r="AT6" s="1951"/>
      <c r="AU6" s="1940"/>
      <c r="AV6" s="1940"/>
      <c r="AW6" s="1962"/>
      <c r="AX6" s="1962"/>
      <c r="AY6" s="1972"/>
      <c r="AZ6" s="1940"/>
      <c r="BA6" s="1951"/>
      <c r="BB6" s="1963"/>
      <c r="BC6" s="1963"/>
      <c r="BD6" s="1954"/>
      <c r="BE6" s="1954"/>
      <c r="BF6" s="1954"/>
      <c r="BG6" s="1954"/>
      <c r="BH6" s="1955"/>
      <c r="BI6" s="1955"/>
      <c r="BJ6" s="1940"/>
      <c r="BK6" s="1940"/>
      <c r="BL6" s="1940"/>
      <c r="BM6" s="1940"/>
      <c r="BN6" s="1940"/>
      <c r="BO6" s="1954"/>
      <c r="BP6" s="1954"/>
      <c r="BQ6" s="1940"/>
      <c r="BR6" s="1940"/>
      <c r="BS6" s="1940"/>
      <c r="BT6" s="1940"/>
      <c r="BU6" s="1940"/>
      <c r="BV6" s="1940"/>
      <c r="BW6" s="1940"/>
      <c r="BX6" s="1940"/>
      <c r="BY6" s="1940"/>
      <c r="BZ6" s="1940"/>
      <c r="CA6" s="1940"/>
      <c r="CB6" s="1940"/>
      <c r="CC6" s="1960"/>
      <c r="CD6" s="1960"/>
      <c r="CE6" s="1940"/>
      <c r="CF6" s="1940"/>
      <c r="CG6" s="1940" t="s">
        <v>2441</v>
      </c>
      <c r="CH6" s="1940"/>
      <c r="CI6" s="1940" t="s">
        <v>2442</v>
      </c>
      <c r="CJ6" s="1940"/>
      <c r="CK6" s="1951"/>
      <c r="CL6" s="1954"/>
      <c r="CM6" s="1954"/>
      <c r="CN6" s="1940"/>
      <c r="CO6" s="1940"/>
      <c r="CP6" s="1940"/>
      <c r="CQ6" s="1954"/>
      <c r="CR6" s="1965"/>
      <c r="CS6" s="1966"/>
      <c r="CT6" s="1966"/>
      <c r="CU6" s="1958"/>
      <c r="CV6" s="1958"/>
      <c r="CW6" s="1958"/>
      <c r="CX6" s="1954"/>
      <c r="CY6" s="1958"/>
      <c r="CZ6" s="1958"/>
      <c r="DA6" s="1958"/>
    </row>
    <row r="7" spans="1:153" ht="29.25" customHeight="1">
      <c r="A7" s="1940"/>
      <c r="B7" s="1941"/>
      <c r="C7" s="1940" t="s">
        <v>2443</v>
      </c>
      <c r="D7" s="1940" t="s">
        <v>2444</v>
      </c>
      <c r="E7" s="392" t="s">
        <v>2445</v>
      </c>
      <c r="F7" s="392" t="s">
        <v>2446</v>
      </c>
      <c r="G7" s="392" t="s">
        <v>2447</v>
      </c>
      <c r="H7" s="1944"/>
      <c r="I7" s="392" t="s">
        <v>2445</v>
      </c>
      <c r="J7" s="392" t="s">
        <v>2446</v>
      </c>
      <c r="K7" s="392" t="s">
        <v>2447</v>
      </c>
      <c r="L7" s="1944"/>
      <c r="M7" s="1940"/>
      <c r="N7" s="389" t="s">
        <v>2445</v>
      </c>
      <c r="O7" s="389" t="s">
        <v>2446</v>
      </c>
      <c r="P7" s="389" t="s">
        <v>2448</v>
      </c>
      <c r="Q7" s="1940"/>
      <c r="R7" s="1940"/>
      <c r="S7" s="389" t="s">
        <v>2449</v>
      </c>
      <c r="T7" s="389" t="s">
        <v>2450</v>
      </c>
      <c r="U7" s="1978" t="s">
        <v>2451</v>
      </c>
      <c r="V7" s="389" t="s">
        <v>2452</v>
      </c>
      <c r="W7" s="389" t="s">
        <v>2453</v>
      </c>
      <c r="X7" s="1978" t="s">
        <v>2451</v>
      </c>
      <c r="Y7" s="1940"/>
      <c r="Z7" s="1940"/>
      <c r="AA7" s="1940"/>
      <c r="AB7" s="1940"/>
      <c r="AC7" s="1956"/>
      <c r="AD7" s="1956"/>
      <c r="AE7" s="1956"/>
      <c r="AF7" s="1956"/>
      <c r="AG7" s="1956"/>
      <c r="AH7" s="1956"/>
      <c r="AI7" s="1940"/>
      <c r="AJ7" s="1940"/>
      <c r="AK7" s="1940"/>
      <c r="AL7" s="1940"/>
      <c r="AM7" s="1940"/>
      <c r="AN7" s="1940"/>
      <c r="AO7" s="1940"/>
      <c r="AP7" s="1940"/>
      <c r="AQ7" s="1940"/>
      <c r="AR7" s="1940"/>
      <c r="AS7" s="1942"/>
      <c r="AT7" s="1951"/>
      <c r="AU7" s="1940"/>
      <c r="AV7" s="1940"/>
      <c r="AW7" s="1962"/>
      <c r="AX7" s="1962"/>
      <c r="AY7" s="1972"/>
      <c r="AZ7" s="1940"/>
      <c r="BA7" s="1951"/>
      <c r="BB7" s="388" t="s">
        <v>2454</v>
      </c>
      <c r="BC7" s="388" t="s">
        <v>2455</v>
      </c>
      <c r="BD7" s="389" t="s">
        <v>2454</v>
      </c>
      <c r="BE7" s="389" t="s">
        <v>2455</v>
      </c>
      <c r="BF7" s="389" t="s">
        <v>2454</v>
      </c>
      <c r="BG7" s="389" t="s">
        <v>2455</v>
      </c>
      <c r="BH7" s="393" t="s">
        <v>2454</v>
      </c>
      <c r="BI7" s="393" t="s">
        <v>2455</v>
      </c>
      <c r="BJ7" s="1940"/>
      <c r="BK7" s="1940"/>
      <c r="BL7" s="1940"/>
      <c r="BM7" s="1940"/>
      <c r="BN7" s="1940"/>
      <c r="BO7" s="389" t="s">
        <v>2456</v>
      </c>
      <c r="BP7" s="389" t="s">
        <v>2457</v>
      </c>
      <c r="BQ7" s="389" t="s">
        <v>2456</v>
      </c>
      <c r="BR7" s="389" t="s">
        <v>2457</v>
      </c>
      <c r="BS7" s="389" t="s">
        <v>2456</v>
      </c>
      <c r="BT7" s="389" t="s">
        <v>2457</v>
      </c>
      <c r="BU7" s="389" t="s">
        <v>2456</v>
      </c>
      <c r="BV7" s="389" t="s">
        <v>2457</v>
      </c>
      <c r="BW7" s="389" t="s">
        <v>2456</v>
      </c>
      <c r="BX7" s="389" t="s">
        <v>2457</v>
      </c>
      <c r="BY7" s="389" t="s">
        <v>2456</v>
      </c>
      <c r="BZ7" s="389" t="s">
        <v>2457</v>
      </c>
      <c r="CA7" s="389" t="s">
        <v>2456</v>
      </c>
      <c r="CB7" s="389" t="s">
        <v>2457</v>
      </c>
      <c r="CC7" s="1961"/>
      <c r="CD7" s="1960"/>
      <c r="CE7" s="389" t="s">
        <v>2456</v>
      </c>
      <c r="CF7" s="389" t="s">
        <v>2457</v>
      </c>
      <c r="CG7" s="387" t="s">
        <v>2458</v>
      </c>
      <c r="CH7" s="387" t="s">
        <v>2459</v>
      </c>
      <c r="CI7" s="389" t="s">
        <v>2460</v>
      </c>
      <c r="CJ7" s="387" t="s">
        <v>2459</v>
      </c>
      <c r="CK7" s="1951"/>
      <c r="CL7" s="1954"/>
      <c r="CM7" s="1954"/>
      <c r="CN7" s="1940"/>
      <c r="CO7" s="1940"/>
      <c r="CP7" s="1940"/>
      <c r="CQ7" s="1954"/>
      <c r="CR7" s="1965"/>
      <c r="CS7" s="390" t="s">
        <v>2461</v>
      </c>
      <c r="CT7" s="390" t="s">
        <v>2462</v>
      </c>
      <c r="CU7" s="1958"/>
      <c r="CV7" s="1958"/>
      <c r="CW7" s="1958"/>
      <c r="CX7" s="1954"/>
      <c r="CY7" s="1958"/>
      <c r="CZ7" s="1958"/>
      <c r="DA7" s="1958"/>
    </row>
    <row r="8" spans="1:153" s="400" customFormat="1" ht="28.15" customHeight="1">
      <c r="A8" s="1940"/>
      <c r="B8" s="1941"/>
      <c r="C8" s="1940"/>
      <c r="D8" s="1940"/>
      <c r="E8" s="392" t="s">
        <v>2463</v>
      </c>
      <c r="F8" s="392" t="s">
        <v>2463</v>
      </c>
      <c r="G8" s="392" t="s">
        <v>2463</v>
      </c>
      <c r="H8" s="1381" t="s">
        <v>2463</v>
      </c>
      <c r="I8" s="394" t="s">
        <v>2463</v>
      </c>
      <c r="J8" s="392" t="s">
        <v>2463</v>
      </c>
      <c r="K8" s="392" t="s">
        <v>2463</v>
      </c>
      <c r="L8" s="1381" t="s">
        <v>2463</v>
      </c>
      <c r="M8" s="389" t="s">
        <v>2464</v>
      </c>
      <c r="N8" s="389" t="s">
        <v>2465</v>
      </c>
      <c r="O8" s="389" t="s">
        <v>2465</v>
      </c>
      <c r="P8" s="389" t="s">
        <v>2465</v>
      </c>
      <c r="Q8" s="389" t="s">
        <v>2466</v>
      </c>
      <c r="R8" s="389" t="s">
        <v>2451</v>
      </c>
      <c r="S8" s="389" t="s">
        <v>2463</v>
      </c>
      <c r="T8" s="389" t="s">
        <v>2463</v>
      </c>
      <c r="U8" s="1979"/>
      <c r="V8" s="389" t="s">
        <v>2463</v>
      </c>
      <c r="W8" s="389" t="s">
        <v>2463</v>
      </c>
      <c r="X8" s="1979"/>
      <c r="Y8" s="389" t="s">
        <v>2451</v>
      </c>
      <c r="Z8" s="389" t="s">
        <v>2451</v>
      </c>
      <c r="AA8" s="389" t="s">
        <v>2467</v>
      </c>
      <c r="AB8" s="389" t="s">
        <v>2451</v>
      </c>
      <c r="AC8" s="395" t="s">
        <v>2451</v>
      </c>
      <c r="AD8" s="395" t="s">
        <v>2451</v>
      </c>
      <c r="AE8" s="395" t="s">
        <v>2451</v>
      </c>
      <c r="AF8" s="395" t="s">
        <v>2467</v>
      </c>
      <c r="AG8" s="395" t="s">
        <v>2451</v>
      </c>
      <c r="AH8" s="395" t="s">
        <v>2451</v>
      </c>
      <c r="AI8" s="389" t="s">
        <v>2451</v>
      </c>
      <c r="AJ8" s="389" t="s">
        <v>2467</v>
      </c>
      <c r="AK8" s="389" t="s">
        <v>2468</v>
      </c>
      <c r="AL8" s="389" t="s">
        <v>2467</v>
      </c>
      <c r="AM8" s="389" t="s">
        <v>2469</v>
      </c>
      <c r="AN8" s="389" t="s">
        <v>2470</v>
      </c>
      <c r="AO8" s="389" t="s">
        <v>2470</v>
      </c>
      <c r="AP8" s="389" t="s">
        <v>2470</v>
      </c>
      <c r="AQ8" s="389" t="s">
        <v>2471</v>
      </c>
      <c r="AR8" s="389" t="s">
        <v>2470</v>
      </c>
      <c r="AS8" s="392" t="s">
        <v>2467</v>
      </c>
      <c r="AT8" s="389" t="s">
        <v>2467</v>
      </c>
      <c r="AU8" s="389" t="s">
        <v>2451</v>
      </c>
      <c r="AV8" s="389" t="s">
        <v>2451</v>
      </c>
      <c r="AW8" s="389" t="s">
        <v>2451</v>
      </c>
      <c r="AX8" s="389" t="s">
        <v>2472</v>
      </c>
      <c r="AY8" s="396" t="s">
        <v>2473</v>
      </c>
      <c r="AZ8" s="397" t="s">
        <v>2474</v>
      </c>
      <c r="BA8" s="389" t="s">
        <v>2467</v>
      </c>
      <c r="BB8" s="388" t="s">
        <v>2472</v>
      </c>
      <c r="BC8" s="388" t="s">
        <v>2472</v>
      </c>
      <c r="BD8" s="389" t="s">
        <v>2472</v>
      </c>
      <c r="BE8" s="389" t="s">
        <v>2472</v>
      </c>
      <c r="BF8" s="389" t="s">
        <v>2472</v>
      </c>
      <c r="BG8" s="389" t="s">
        <v>2472</v>
      </c>
      <c r="BH8" s="393" t="s">
        <v>2472</v>
      </c>
      <c r="BI8" s="393" t="s">
        <v>2472</v>
      </c>
      <c r="BJ8" s="389" t="s">
        <v>2472</v>
      </c>
      <c r="BK8" s="389" t="s">
        <v>2475</v>
      </c>
      <c r="BL8" s="389" t="s">
        <v>2475</v>
      </c>
      <c r="BM8" s="389" t="s">
        <v>2471</v>
      </c>
      <c r="BN8" s="389" t="s">
        <v>2451</v>
      </c>
      <c r="BO8" s="389" t="s">
        <v>2467</v>
      </c>
      <c r="BP8" s="389" t="s">
        <v>2467</v>
      </c>
      <c r="BQ8" s="389" t="s">
        <v>2467</v>
      </c>
      <c r="BR8" s="389" t="s">
        <v>2467</v>
      </c>
      <c r="BS8" s="389" t="s">
        <v>2471</v>
      </c>
      <c r="BT8" s="389" t="s">
        <v>2471</v>
      </c>
      <c r="BU8" s="389" t="s">
        <v>2467</v>
      </c>
      <c r="BV8" s="389" t="s">
        <v>2467</v>
      </c>
      <c r="BW8" s="389" t="s">
        <v>2476</v>
      </c>
      <c r="BX8" s="389" t="s">
        <v>2476</v>
      </c>
      <c r="BY8" s="389" t="s">
        <v>2467</v>
      </c>
      <c r="BZ8" s="389" t="s">
        <v>2467</v>
      </c>
      <c r="CA8" s="389" t="s">
        <v>2472</v>
      </c>
      <c r="CB8" s="389" t="s">
        <v>2472</v>
      </c>
      <c r="CC8" s="389" t="s">
        <v>2477</v>
      </c>
      <c r="CD8" s="1961"/>
      <c r="CE8" s="389" t="s">
        <v>2478</v>
      </c>
      <c r="CF8" s="389" t="s">
        <v>2478</v>
      </c>
      <c r="CG8" s="389" t="s">
        <v>2471</v>
      </c>
      <c r="CH8" s="389" t="s">
        <v>2471</v>
      </c>
      <c r="CI8" s="389" t="s">
        <v>2479</v>
      </c>
      <c r="CJ8" s="389" t="s">
        <v>2479</v>
      </c>
      <c r="CK8" s="389" t="s">
        <v>378</v>
      </c>
      <c r="CL8" s="1954"/>
      <c r="CM8" s="1954"/>
      <c r="CN8" s="1940" t="s">
        <v>378</v>
      </c>
      <c r="CO8" s="1940"/>
      <c r="CP8" s="389" t="s">
        <v>2480</v>
      </c>
      <c r="CQ8" s="1954"/>
      <c r="CR8" s="1381" t="s">
        <v>2472</v>
      </c>
      <c r="CS8" s="398" t="s">
        <v>2472</v>
      </c>
      <c r="CT8" s="398" t="s">
        <v>2472</v>
      </c>
      <c r="CU8" s="399" t="s">
        <v>2472</v>
      </c>
      <c r="CV8" s="1958"/>
      <c r="CW8" s="1958"/>
      <c r="CX8" s="1954"/>
      <c r="CY8" s="1958"/>
      <c r="CZ8" s="1958"/>
      <c r="DA8" s="1958"/>
    </row>
    <row r="9" spans="1:153" s="408" customFormat="1" ht="12" customHeight="1">
      <c r="A9" s="401"/>
      <c r="B9" s="402"/>
      <c r="C9" s="403"/>
      <c r="D9" s="403"/>
      <c r="E9" s="404"/>
      <c r="F9" s="404"/>
      <c r="G9" s="404"/>
      <c r="H9" s="404"/>
      <c r="I9" s="404"/>
      <c r="J9" s="405"/>
      <c r="K9" s="404"/>
      <c r="L9" s="404"/>
      <c r="M9" s="406"/>
      <c r="N9" s="406"/>
      <c r="O9" s="406"/>
      <c r="P9" s="406"/>
      <c r="Q9" s="406"/>
      <c r="R9" s="407"/>
      <c r="S9" s="407"/>
      <c r="U9" s="407" t="s">
        <v>2481</v>
      </c>
      <c r="V9" s="407"/>
      <c r="W9" s="407"/>
      <c r="X9" s="407"/>
      <c r="Y9" s="407"/>
      <c r="AA9" s="407"/>
      <c r="AB9" s="407"/>
      <c r="AC9" s="407"/>
      <c r="AD9" s="407"/>
      <c r="AE9" s="407"/>
      <c r="AF9" s="407"/>
      <c r="AG9" s="407"/>
      <c r="AH9" s="407"/>
      <c r="AI9" s="407"/>
      <c r="AJ9" s="407"/>
      <c r="AK9" s="407"/>
      <c r="AL9" s="407"/>
      <c r="AM9" s="407"/>
      <c r="AN9" s="407"/>
      <c r="AO9" s="407"/>
      <c r="AP9" s="407"/>
      <c r="AQ9" s="407"/>
      <c r="AR9" s="407"/>
      <c r="AS9" s="409"/>
      <c r="AT9" s="407"/>
      <c r="AU9" s="407"/>
      <c r="AV9" s="407"/>
      <c r="AW9" s="407"/>
      <c r="AX9" s="410"/>
      <c r="AY9" s="411"/>
      <c r="BB9" s="412"/>
      <c r="BC9" s="412"/>
      <c r="BD9" s="413"/>
      <c r="BE9" s="413"/>
      <c r="BF9" s="413"/>
      <c r="BG9" s="414"/>
      <c r="BH9" s="415"/>
      <c r="BI9" s="416"/>
      <c r="BL9" s="417"/>
      <c r="BM9" s="414"/>
      <c r="BO9" s="407"/>
      <c r="BP9" s="407"/>
      <c r="BQ9" s="407"/>
      <c r="BR9" s="407"/>
      <c r="BS9" s="407"/>
      <c r="BT9" s="407"/>
      <c r="BU9" s="407"/>
      <c r="BV9" s="407"/>
      <c r="BW9" s="407"/>
      <c r="BX9" s="407"/>
      <c r="BY9" s="407"/>
      <c r="BZ9" s="407"/>
      <c r="CA9" s="407"/>
      <c r="CB9" s="407"/>
      <c r="CC9" s="407"/>
      <c r="CD9" s="407"/>
      <c r="CE9" s="407"/>
      <c r="CF9" s="407"/>
      <c r="CG9" s="407"/>
      <c r="CH9" s="407"/>
      <c r="CI9" s="407"/>
      <c r="CJ9" s="407"/>
      <c r="CK9" s="407"/>
      <c r="CL9" s="407"/>
      <c r="CM9" s="418"/>
      <c r="CN9" s="419"/>
      <c r="CO9" s="419"/>
      <c r="CP9" s="407"/>
      <c r="DC9" s="400"/>
      <c r="DD9" s="400"/>
      <c r="DE9" s="400"/>
      <c r="DF9" s="400"/>
      <c r="DG9" s="400"/>
      <c r="DH9" s="400"/>
      <c r="DI9" s="400"/>
      <c r="DJ9" s="400"/>
      <c r="DK9" s="400"/>
      <c r="DL9" s="400"/>
      <c r="DM9" s="400"/>
      <c r="DN9" s="400"/>
      <c r="DO9" s="400"/>
      <c r="DP9" s="400"/>
      <c r="DQ9" s="400"/>
      <c r="DR9" s="400"/>
      <c r="DS9" s="400"/>
      <c r="DT9" s="400"/>
      <c r="DU9" s="400"/>
      <c r="DV9" s="400"/>
      <c r="DW9" s="400"/>
      <c r="DX9" s="400"/>
      <c r="DY9" s="400"/>
      <c r="DZ9" s="400"/>
      <c r="EA9" s="400"/>
      <c r="EB9" s="400"/>
      <c r="EC9" s="400"/>
      <c r="ED9" s="400"/>
      <c r="EE9" s="400"/>
      <c r="EF9" s="400"/>
      <c r="EG9" s="400"/>
      <c r="EH9" s="400"/>
      <c r="EI9" s="400"/>
      <c r="EJ9" s="400"/>
      <c r="EK9" s="400"/>
      <c r="EL9" s="400"/>
      <c r="EM9" s="400"/>
      <c r="EN9" s="400"/>
      <c r="EO9" s="400"/>
      <c r="EP9" s="400"/>
      <c r="EQ9" s="400"/>
      <c r="ER9" s="400"/>
      <c r="ES9" s="400"/>
      <c r="ET9" s="400"/>
      <c r="EU9" s="400"/>
      <c r="EV9" s="400"/>
      <c r="EW9" s="400"/>
    </row>
    <row r="10" spans="1:153" s="408" customFormat="1" ht="18" customHeight="1">
      <c r="A10" s="402"/>
      <c r="B10" s="402"/>
      <c r="C10" s="1957" t="s">
        <v>2482</v>
      </c>
      <c r="D10" s="1957"/>
      <c r="E10" s="1957"/>
      <c r="F10" s="1957"/>
      <c r="G10" s="1957"/>
      <c r="H10" s="421"/>
      <c r="I10" s="404"/>
      <c r="J10" s="405"/>
      <c r="K10" s="404" t="s">
        <v>2483</v>
      </c>
      <c r="L10" s="420"/>
      <c r="M10" s="422" t="s">
        <v>2484</v>
      </c>
      <c r="N10" s="406"/>
      <c r="O10" s="406"/>
      <c r="P10" s="423">
        <f>P11/K11</f>
        <v>89.754319631490162</v>
      </c>
      <c r="Q10" s="404"/>
      <c r="R10" s="424" t="s">
        <v>2485</v>
      </c>
      <c r="S10" s="424"/>
      <c r="U10" s="425" t="s">
        <v>2486</v>
      </c>
      <c r="V10" s="424"/>
      <c r="W10" s="424"/>
      <c r="X10" s="424"/>
      <c r="Y10" s="424"/>
      <c r="AB10" s="407"/>
      <c r="AC10" s="407"/>
      <c r="AD10" s="407"/>
      <c r="AE10" s="407"/>
      <c r="AF10" s="407"/>
      <c r="AG10" s="407"/>
      <c r="AH10" s="407"/>
      <c r="AI10" s="407"/>
      <c r="AJ10" s="407"/>
      <c r="AK10" s="426"/>
      <c r="AQ10" s="407"/>
      <c r="AR10" s="407"/>
      <c r="AS10" s="409"/>
      <c r="AT10" s="407"/>
      <c r="AU10" s="407"/>
      <c r="AV10" s="407"/>
      <c r="AW10" s="407"/>
      <c r="AX10" s="410"/>
      <c r="AY10" s="411"/>
      <c r="BB10" s="412"/>
      <c r="BC10" s="412"/>
      <c r="BD10" s="413"/>
      <c r="BE10" s="413"/>
      <c r="BF10" s="413"/>
      <c r="BG10" s="427"/>
      <c r="BH10" s="413"/>
      <c r="BI10" s="413"/>
      <c r="BL10" s="417"/>
      <c r="BM10" s="414"/>
      <c r="BO10" s="407"/>
      <c r="BP10" s="407"/>
      <c r="BQ10" s="407"/>
      <c r="BR10" s="407"/>
      <c r="BS10" s="407"/>
      <c r="BT10" s="407"/>
      <c r="BU10" s="407"/>
      <c r="BV10" s="407"/>
      <c r="BW10" s="407"/>
      <c r="BX10" s="407"/>
      <c r="BY10" s="407"/>
      <c r="BZ10" s="407"/>
      <c r="CA10" s="407"/>
      <c r="CB10" s="407"/>
      <c r="CC10" s="407"/>
      <c r="CD10" s="407"/>
      <c r="CE10" s="407"/>
      <c r="CF10" s="407"/>
      <c r="CG10" s="407"/>
      <c r="CH10" s="407"/>
      <c r="CI10" s="407"/>
      <c r="CJ10" s="407"/>
      <c r="CK10" s="407"/>
      <c r="CL10" s="407"/>
      <c r="CM10" s="418"/>
      <c r="CN10" s="419"/>
      <c r="CO10" s="419"/>
      <c r="CP10" s="407"/>
      <c r="DC10" s="400"/>
      <c r="DD10" s="400"/>
      <c r="DE10" s="400"/>
      <c r="DF10" s="400"/>
      <c r="DG10" s="400"/>
      <c r="DH10" s="400"/>
      <c r="DI10" s="400"/>
      <c r="DJ10" s="400"/>
      <c r="DK10" s="400"/>
      <c r="DL10" s="400"/>
      <c r="DM10" s="400"/>
      <c r="DN10" s="400"/>
      <c r="DO10" s="400"/>
      <c r="DP10" s="400"/>
      <c r="DQ10" s="400"/>
      <c r="DR10" s="400"/>
      <c r="DS10" s="400"/>
      <c r="DT10" s="400"/>
      <c r="DU10" s="400"/>
      <c r="DV10" s="400"/>
      <c r="DW10" s="400"/>
      <c r="DX10" s="400"/>
      <c r="DY10" s="400"/>
      <c r="DZ10" s="400"/>
      <c r="EA10" s="400"/>
      <c r="EB10" s="400"/>
      <c r="EC10" s="400"/>
      <c r="ED10" s="400"/>
      <c r="EE10" s="400"/>
      <c r="EF10" s="400"/>
      <c r="EG10" s="400"/>
      <c r="EH10" s="400"/>
      <c r="EI10" s="400"/>
      <c r="EJ10" s="400"/>
      <c r="EK10" s="400"/>
      <c r="EL10" s="400"/>
      <c r="EM10" s="400"/>
      <c r="EN10" s="400"/>
      <c r="EO10" s="400"/>
      <c r="EP10" s="400"/>
      <c r="EQ10" s="400"/>
      <c r="ER10" s="400"/>
      <c r="ES10" s="400"/>
      <c r="ET10" s="400"/>
      <c r="EU10" s="400"/>
      <c r="EV10" s="400"/>
      <c r="EW10" s="400"/>
    </row>
    <row r="11" spans="1:153" s="408" customFormat="1" ht="16.5" customHeight="1">
      <c r="A11" s="402"/>
      <c r="B11" s="402"/>
      <c r="C11" s="1975" t="s">
        <v>2487</v>
      </c>
      <c r="D11" s="1957"/>
      <c r="E11" s="1957"/>
      <c r="F11" s="1957"/>
      <c r="G11" s="1957"/>
      <c r="H11" s="429">
        <v>13706</v>
      </c>
      <c r="I11" s="404" t="s">
        <v>2488</v>
      </c>
      <c r="J11" s="430">
        <v>2.7</v>
      </c>
      <c r="K11" s="404">
        <f>SUM(E22:E506)</f>
        <v>56.55768231699998</v>
      </c>
      <c r="L11" s="404"/>
      <c r="M11" s="422" t="s">
        <v>2489</v>
      </c>
      <c r="N11" s="406"/>
      <c r="O11" s="431"/>
      <c r="P11" s="404">
        <f>+H11/J11</f>
        <v>5076.2962962962956</v>
      </c>
      <c r="Q11" s="404"/>
      <c r="U11" s="432" t="s">
        <v>2490</v>
      </c>
      <c r="AB11" s="407"/>
      <c r="AC11" s="407"/>
      <c r="AD11" s="407"/>
      <c r="AE11" s="407"/>
      <c r="AF11" s="407"/>
      <c r="AG11" s="407"/>
      <c r="AH11" s="407"/>
      <c r="AI11" s="407"/>
      <c r="AJ11" s="433"/>
      <c r="AK11" s="434"/>
      <c r="AQ11" s="407"/>
      <c r="AR11" s="407"/>
      <c r="AS11" s="409"/>
      <c r="AT11" s="435"/>
      <c r="AU11" s="435"/>
      <c r="AV11" s="407"/>
      <c r="AW11" s="436"/>
      <c r="AX11" s="410"/>
      <c r="AY11" s="411"/>
      <c r="BB11" s="412"/>
      <c r="BC11" s="412"/>
      <c r="BD11" s="413"/>
      <c r="BE11" s="413"/>
      <c r="BF11" s="413"/>
      <c r="BG11" s="427"/>
      <c r="BH11" s="413"/>
      <c r="BI11" s="416"/>
      <c r="BL11" s="417"/>
      <c r="BM11" s="414"/>
      <c r="BO11" s="407"/>
      <c r="BP11" s="407"/>
      <c r="BQ11" s="407"/>
      <c r="BR11" s="407"/>
      <c r="BS11" s="407"/>
      <c r="BT11" s="407"/>
      <c r="BU11" s="407"/>
      <c r="BV11" s="437"/>
      <c r="BW11" s="438"/>
      <c r="BX11" s="439"/>
      <c r="BY11" s="407"/>
      <c r="BZ11" s="407"/>
      <c r="CA11" s="407"/>
      <c r="CB11" s="407"/>
      <c r="CC11" s="407"/>
      <c r="CD11" s="407"/>
      <c r="CE11" s="407"/>
      <c r="CF11" s="407"/>
      <c r="CG11" s="407"/>
      <c r="CH11" s="407"/>
      <c r="CI11" s="407"/>
      <c r="CJ11" s="407"/>
      <c r="CK11" s="407"/>
      <c r="CL11" s="407"/>
      <c r="CM11" s="418"/>
      <c r="CN11" s="419"/>
      <c r="CO11" s="419"/>
      <c r="CP11" s="407"/>
      <c r="DC11" s="400"/>
      <c r="DD11" s="400"/>
      <c r="DE11" s="400"/>
      <c r="DF11" s="400"/>
      <c r="DG11" s="400"/>
      <c r="DH11" s="400"/>
      <c r="DI11" s="400"/>
      <c r="DJ11" s="400"/>
      <c r="DK11" s="400"/>
      <c r="DL11" s="400"/>
      <c r="DM11" s="400"/>
      <c r="DN11" s="400"/>
      <c r="DO11" s="400"/>
      <c r="DP11" s="400"/>
      <c r="DQ11" s="400"/>
      <c r="DR11" s="400"/>
      <c r="DS11" s="400"/>
      <c r="DT11" s="400"/>
      <c r="DU11" s="400"/>
      <c r="DV11" s="400"/>
      <c r="DW11" s="400"/>
      <c r="DX11" s="400"/>
      <c r="DY11" s="400"/>
      <c r="DZ11" s="400"/>
      <c r="EA11" s="400"/>
      <c r="EB11" s="400"/>
      <c r="EC11" s="400"/>
      <c r="ED11" s="400"/>
      <c r="EE11" s="400"/>
      <c r="EF11" s="400"/>
      <c r="EG11" s="400"/>
      <c r="EH11" s="400"/>
      <c r="EI11" s="400"/>
      <c r="EJ11" s="400"/>
      <c r="EK11" s="400"/>
      <c r="EL11" s="400"/>
      <c r="EM11" s="400"/>
      <c r="EN11" s="400"/>
      <c r="EO11" s="400"/>
      <c r="EP11" s="400"/>
      <c r="EQ11" s="400"/>
      <c r="ER11" s="400"/>
      <c r="ES11" s="400"/>
      <c r="ET11" s="400"/>
      <c r="EU11" s="400"/>
      <c r="EV11" s="400"/>
      <c r="EW11" s="400"/>
    </row>
    <row r="12" spans="1:153" s="408" customFormat="1" ht="15.75" customHeight="1">
      <c r="A12" s="402"/>
      <c r="B12" s="402"/>
      <c r="C12" s="1975" t="s">
        <v>2491</v>
      </c>
      <c r="D12" s="1957"/>
      <c r="E12" s="1957"/>
      <c r="F12" s="1957"/>
      <c r="G12" s="1957"/>
      <c r="H12" s="440"/>
      <c r="I12" s="404"/>
      <c r="J12" s="404"/>
      <c r="K12" s="404"/>
      <c r="L12" s="404"/>
      <c r="M12" s="391" t="s">
        <v>2492</v>
      </c>
      <c r="N12" s="406"/>
      <c r="O12" s="406"/>
      <c r="P12" s="423">
        <f>+P13*P10</f>
        <v>242.33666300502347</v>
      </c>
      <c r="Q12" s="405"/>
      <c r="R12" s="441" t="s">
        <v>2493</v>
      </c>
      <c r="S12" s="441"/>
      <c r="U12" s="407"/>
      <c r="V12" s="442"/>
      <c r="W12" s="441"/>
      <c r="X12" s="441"/>
      <c r="Y12" s="407"/>
      <c r="AA12" s="442"/>
      <c r="AI12" s="407"/>
      <c r="AJ12" s="407"/>
      <c r="AK12" s="407"/>
      <c r="AL12" s="1976" t="s">
        <v>2494</v>
      </c>
      <c r="AM12" s="1976"/>
      <c r="AN12" s="1976"/>
      <c r="AO12" s="1976"/>
      <c r="AP12" s="1976"/>
      <c r="AQ12" s="407"/>
      <c r="AR12" s="407"/>
      <c r="AS12" s="409"/>
      <c r="AT12" s="407"/>
      <c r="AU12" s="407"/>
      <c r="AV12" s="407"/>
      <c r="AW12" s="407"/>
      <c r="AX12" s="410"/>
      <c r="AY12" s="411"/>
      <c r="BB12" s="412"/>
      <c r="BC12" s="412"/>
      <c r="BD12" s="413"/>
      <c r="BE12" s="413"/>
      <c r="BF12" s="413"/>
      <c r="BG12" s="427"/>
      <c r="BH12" s="413"/>
      <c r="BI12" s="416"/>
      <c r="BL12" s="417"/>
      <c r="BM12" s="414"/>
      <c r="BO12" s="407"/>
      <c r="BP12" s="407"/>
      <c r="BQ12" s="407"/>
      <c r="BR12" s="407"/>
      <c r="BS12" s="407"/>
      <c r="BT12" s="407"/>
      <c r="BU12" s="407"/>
      <c r="BV12" s="407"/>
      <c r="BW12" s="407"/>
      <c r="BX12" s="407"/>
      <c r="BY12" s="407"/>
      <c r="BZ12" s="407"/>
      <c r="CA12" s="407"/>
      <c r="CB12" s="407"/>
      <c r="CC12" s="407"/>
      <c r="CD12" s="407"/>
      <c r="CE12" s="407"/>
      <c r="CF12" s="407"/>
      <c r="CG12" s="407"/>
      <c r="CH12" s="407"/>
      <c r="CI12" s="407"/>
      <c r="CJ12" s="407"/>
      <c r="CK12" s="407"/>
      <c r="CL12" s="407"/>
      <c r="CM12" s="418"/>
      <c r="CN12" s="419"/>
      <c r="CO12" s="419"/>
      <c r="CP12" s="407"/>
      <c r="DC12" s="400"/>
      <c r="DD12" s="400"/>
      <c r="DE12" s="400"/>
      <c r="DF12" s="400"/>
      <c r="DG12" s="400"/>
      <c r="DH12" s="400"/>
      <c r="DI12" s="400"/>
      <c r="DJ12" s="400"/>
      <c r="DK12" s="400"/>
      <c r="DL12" s="400"/>
      <c r="DM12" s="400"/>
      <c r="DN12" s="400"/>
      <c r="DO12" s="400"/>
      <c r="DP12" s="400"/>
      <c r="DQ12" s="400"/>
      <c r="DR12" s="400"/>
      <c r="DS12" s="400"/>
      <c r="DT12" s="400"/>
      <c r="DU12" s="400"/>
      <c r="DV12" s="400"/>
      <c r="DW12" s="400"/>
      <c r="DX12" s="400"/>
      <c r="DY12" s="400"/>
      <c r="DZ12" s="400"/>
      <c r="EA12" s="400"/>
      <c r="EB12" s="400"/>
      <c r="EC12" s="400"/>
      <c r="ED12" s="400"/>
      <c r="EE12" s="400"/>
      <c r="EF12" s="400"/>
      <c r="EG12" s="400"/>
      <c r="EH12" s="400"/>
      <c r="EI12" s="400"/>
      <c r="EJ12" s="400"/>
      <c r="EK12" s="400"/>
      <c r="EL12" s="400"/>
      <c r="EM12" s="400"/>
      <c r="EN12" s="400"/>
      <c r="EO12" s="400"/>
      <c r="EP12" s="400"/>
      <c r="EQ12" s="400"/>
      <c r="ER12" s="400"/>
      <c r="ES12" s="400"/>
      <c r="ET12" s="400"/>
      <c r="EU12" s="400"/>
      <c r="EV12" s="400"/>
      <c r="EW12" s="400"/>
    </row>
    <row r="13" spans="1:153" s="408" customFormat="1" ht="15.4" customHeight="1">
      <c r="A13" s="402"/>
      <c r="B13" s="402"/>
      <c r="C13" s="1975" t="s">
        <v>2495</v>
      </c>
      <c r="D13" s="1957"/>
      <c r="E13" s="1957"/>
      <c r="F13" s="1957"/>
      <c r="G13" s="1957"/>
      <c r="H13" s="420"/>
      <c r="I13" s="404"/>
      <c r="J13" s="404"/>
      <c r="K13" s="404"/>
      <c r="L13" s="404"/>
      <c r="M13" s="1977" t="s">
        <v>2496</v>
      </c>
      <c r="N13" s="1977"/>
      <c r="O13" s="1977"/>
      <c r="P13" s="404">
        <v>2.7</v>
      </c>
      <c r="Q13" s="404"/>
      <c r="R13" s="409"/>
      <c r="S13" s="409"/>
      <c r="U13" s="407" t="s">
        <v>2497</v>
      </c>
      <c r="V13" s="444">
        <f>IF(H11="","",IF(1+((14/(4+(H11/1000)^1/2)))&lt;1.4,1.4,IF(1+((14/(4+(H11/1000)^1/2)))&gt;=3.8,3.8,(1+((14/(4+(H11/1000)^1/2)))))))</f>
        <v>2.2899659080438588</v>
      </c>
      <c r="W13" s="409"/>
      <c r="X13" s="409"/>
      <c r="Y13" s="407"/>
      <c r="AB13" s="445"/>
      <c r="AC13" s="445"/>
      <c r="AD13" s="445"/>
      <c r="AE13" s="445"/>
      <c r="AF13" s="445"/>
      <c r="AG13" s="445"/>
      <c r="AH13" s="445"/>
      <c r="AI13" s="414"/>
      <c r="AJ13" s="446"/>
      <c r="AK13" s="447"/>
      <c r="AL13" s="443" t="s">
        <v>2498</v>
      </c>
      <c r="AM13" s="443" t="s">
        <v>221</v>
      </c>
      <c r="AN13" s="448" t="s">
        <v>1976</v>
      </c>
      <c r="AO13" s="443" t="s">
        <v>311</v>
      </c>
      <c r="AP13" s="443"/>
      <c r="AQ13" s="407"/>
      <c r="AR13" s="407"/>
      <c r="AS13" s="409"/>
      <c r="AT13" s="407"/>
      <c r="AU13" s="407"/>
      <c r="AV13" s="407"/>
      <c r="AW13" s="407"/>
      <c r="AX13" s="410"/>
      <c r="AY13" s="411"/>
      <c r="AZ13" s="417"/>
      <c r="BA13" s="417"/>
      <c r="BB13" s="412"/>
      <c r="BC13" s="412"/>
      <c r="BD13" s="413"/>
      <c r="BE13" s="413"/>
      <c r="BF13" s="413"/>
      <c r="BG13" s="427"/>
      <c r="BH13" s="413"/>
      <c r="BI13" s="416"/>
      <c r="BL13" s="417"/>
      <c r="BM13" s="414"/>
      <c r="BO13" s="434"/>
      <c r="BP13" s="434"/>
      <c r="BQ13" s="434"/>
      <c r="BR13" s="434"/>
      <c r="BS13" s="407"/>
      <c r="BT13" s="407"/>
      <c r="BU13" s="407"/>
      <c r="BV13" s="407"/>
      <c r="BW13" s="407"/>
      <c r="BX13" s="407"/>
      <c r="BY13" s="407"/>
      <c r="BZ13" s="407"/>
      <c r="CA13" s="407"/>
      <c r="CB13" s="407"/>
      <c r="CC13" s="407"/>
      <c r="CD13" s="407"/>
      <c r="CE13" s="407"/>
      <c r="CF13" s="407"/>
      <c r="CG13" s="407"/>
      <c r="CH13" s="407"/>
      <c r="CI13" s="407"/>
      <c r="CJ13" s="407"/>
      <c r="CK13" s="407"/>
      <c r="CL13" s="407"/>
      <c r="CM13" s="418"/>
      <c r="CN13" s="419"/>
      <c r="CO13" s="419"/>
      <c r="CP13" s="407"/>
      <c r="DC13" s="400"/>
      <c r="DD13" s="400"/>
      <c r="DE13" s="400"/>
      <c r="DF13" s="400"/>
      <c r="DG13" s="400"/>
      <c r="DH13" s="400"/>
      <c r="DI13" s="400"/>
      <c r="DJ13" s="400"/>
      <c r="DK13" s="400"/>
      <c r="DL13" s="400"/>
      <c r="DM13" s="400"/>
      <c r="DN13" s="400"/>
      <c r="DO13" s="400"/>
      <c r="DP13" s="400"/>
      <c r="DQ13" s="400"/>
      <c r="DR13" s="400"/>
      <c r="DS13" s="400"/>
      <c r="DT13" s="400"/>
      <c r="DU13" s="400"/>
      <c r="DV13" s="400"/>
      <c r="DW13" s="400"/>
      <c r="DX13" s="400"/>
      <c r="DY13" s="400"/>
      <c r="DZ13" s="400"/>
      <c r="EA13" s="400"/>
      <c r="EB13" s="400"/>
      <c r="EC13" s="400"/>
      <c r="ED13" s="400"/>
      <c r="EE13" s="400"/>
      <c r="EF13" s="400"/>
      <c r="EG13" s="400"/>
      <c r="EH13" s="400"/>
      <c r="EI13" s="400"/>
      <c r="EJ13" s="400"/>
      <c r="EK13" s="400"/>
      <c r="EL13" s="400"/>
      <c r="EM13" s="400"/>
      <c r="EN13" s="400"/>
      <c r="EO13" s="400"/>
      <c r="EP13" s="400"/>
      <c r="EQ13" s="400"/>
      <c r="ER13" s="400"/>
      <c r="ES13" s="400"/>
      <c r="ET13" s="400"/>
      <c r="EU13" s="400"/>
      <c r="EV13" s="400"/>
      <c r="EW13" s="400"/>
    </row>
    <row r="14" spans="1:153" s="408" customFormat="1" ht="13.5" customHeight="1">
      <c r="A14" s="402"/>
      <c r="B14" s="402"/>
      <c r="C14" s="1975" t="s">
        <v>2499</v>
      </c>
      <c r="D14" s="1957"/>
      <c r="E14" s="1957"/>
      <c r="F14" s="1957"/>
      <c r="G14" s="1957"/>
      <c r="H14" s="404">
        <v>140</v>
      </c>
      <c r="I14" s="400"/>
      <c r="J14" s="404"/>
      <c r="K14" s="404"/>
      <c r="L14" s="404"/>
      <c r="M14" s="1977" t="s">
        <v>2500</v>
      </c>
      <c r="N14" s="1977"/>
      <c r="O14" s="1977"/>
      <c r="P14" s="404">
        <v>0.85</v>
      </c>
      <c r="Q14" s="404"/>
      <c r="R14" s="409"/>
      <c r="S14" s="409"/>
      <c r="T14" s="409"/>
      <c r="U14" s="409"/>
      <c r="V14" s="409"/>
      <c r="W14" s="449"/>
      <c r="X14" s="409"/>
      <c r="Y14" s="407"/>
      <c r="Z14" s="407"/>
      <c r="AA14" s="450"/>
      <c r="AB14" s="445"/>
      <c r="AC14" s="445"/>
      <c r="AD14" s="445"/>
      <c r="AE14" s="445"/>
      <c r="AF14" s="445"/>
      <c r="AG14" s="445"/>
      <c r="AH14" s="445"/>
      <c r="AI14" s="414"/>
      <c r="AJ14" s="446"/>
      <c r="AK14" s="447"/>
      <c r="AL14" s="451">
        <v>5</v>
      </c>
      <c r="AM14" s="451">
        <v>6245.1</v>
      </c>
      <c r="AN14" s="451">
        <v>27</v>
      </c>
      <c r="AO14" s="451">
        <v>-1.0920000000000001</v>
      </c>
      <c r="AP14" s="452"/>
      <c r="AR14" s="407"/>
      <c r="AT14" s="409"/>
      <c r="AU14" s="409"/>
      <c r="AV14" s="407"/>
      <c r="AW14" s="407"/>
      <c r="AX14" s="410"/>
      <c r="AY14" s="411"/>
      <c r="AZ14" s="417"/>
      <c r="BA14" s="417"/>
      <c r="BB14" s="412"/>
      <c r="BC14" s="412"/>
      <c r="BD14" s="413"/>
      <c r="BE14" s="413"/>
      <c r="BF14" s="413"/>
      <c r="BG14" s="427"/>
      <c r="BH14" s="413"/>
      <c r="BI14" s="416"/>
      <c r="BL14" s="417"/>
      <c r="BM14" s="414"/>
      <c r="BO14" s="434"/>
      <c r="BP14" s="434"/>
      <c r="BQ14" s="434"/>
      <c r="BR14" s="434"/>
      <c r="BS14" s="407"/>
      <c r="BT14" s="407"/>
      <c r="BU14" s="407"/>
      <c r="BV14" s="407"/>
      <c r="BW14" s="407"/>
      <c r="BX14" s="407"/>
      <c r="BY14" s="407"/>
      <c r="BZ14" s="407"/>
      <c r="CA14" s="407"/>
      <c r="CB14" s="407"/>
      <c r="CC14" s="407"/>
      <c r="CD14" s="407"/>
      <c r="CE14" s="407"/>
      <c r="CF14" s="407"/>
      <c r="CG14" s="407"/>
      <c r="CH14" s="407"/>
      <c r="CI14" s="407"/>
      <c r="CJ14" s="407"/>
      <c r="CK14" s="407"/>
      <c r="CL14" s="407"/>
      <c r="CM14" s="418"/>
      <c r="CN14" s="419"/>
      <c r="CO14" s="419"/>
      <c r="CP14" s="407"/>
      <c r="DC14" s="400"/>
      <c r="DD14" s="400"/>
      <c r="DE14" s="400"/>
      <c r="DF14" s="400"/>
      <c r="DG14" s="400"/>
      <c r="DH14" s="400"/>
      <c r="DI14" s="400"/>
      <c r="DJ14" s="400"/>
      <c r="DK14" s="400"/>
      <c r="DL14" s="400"/>
      <c r="DM14" s="400"/>
      <c r="DN14" s="400"/>
      <c r="DO14" s="400"/>
      <c r="DP14" s="400"/>
      <c r="DQ14" s="400"/>
      <c r="DR14" s="400"/>
      <c r="DS14" s="400"/>
      <c r="DT14" s="400"/>
      <c r="DU14" s="400"/>
      <c r="DV14" s="400"/>
      <c r="DW14" s="400"/>
      <c r="DX14" s="400"/>
      <c r="DY14" s="400"/>
      <c r="DZ14" s="400"/>
      <c r="EA14" s="400"/>
      <c r="EB14" s="400"/>
      <c r="EC14" s="400"/>
      <c r="ED14" s="400"/>
      <c r="EE14" s="400"/>
      <c r="EF14" s="400"/>
      <c r="EG14" s="400"/>
      <c r="EH14" s="400"/>
      <c r="EI14" s="400"/>
      <c r="EJ14" s="400"/>
      <c r="EK14" s="400"/>
      <c r="EL14" s="400"/>
      <c r="EM14" s="400"/>
      <c r="EN14" s="400"/>
      <c r="EO14" s="400"/>
      <c r="EP14" s="400"/>
      <c r="EQ14" s="400"/>
      <c r="ER14" s="400"/>
      <c r="ES14" s="400"/>
      <c r="ET14" s="400"/>
      <c r="EU14" s="400"/>
      <c r="EV14" s="400"/>
      <c r="EW14" s="400"/>
    </row>
    <row r="15" spans="1:153" s="424" customFormat="1" ht="19.899999999999999" customHeight="1">
      <c r="A15" s="391"/>
      <c r="B15" s="400"/>
      <c r="C15" s="1975" t="s">
        <v>2501</v>
      </c>
      <c r="D15" s="1957"/>
      <c r="E15" s="1957"/>
      <c r="F15" s="1957"/>
      <c r="G15" s="1957"/>
      <c r="H15" s="404">
        <v>0.2</v>
      </c>
      <c r="I15" s="453"/>
      <c r="J15" s="405"/>
      <c r="K15" s="454"/>
      <c r="L15" s="420"/>
      <c r="M15" s="1975" t="s">
        <v>2502</v>
      </c>
      <c r="N15" s="1975"/>
      <c r="O15" s="1975"/>
      <c r="P15" s="391"/>
      <c r="Q15" s="404"/>
      <c r="R15" s="455"/>
      <c r="S15" s="455"/>
      <c r="T15" s="455"/>
      <c r="U15" s="455"/>
      <c r="V15" s="455"/>
      <c r="W15" s="449"/>
      <c r="X15" s="455"/>
      <c r="Y15" s="456"/>
      <c r="AB15" s="445"/>
      <c r="AC15" s="445"/>
      <c r="AD15" s="445"/>
      <c r="AE15" s="445"/>
      <c r="AF15" s="445"/>
      <c r="AG15" s="445"/>
      <c r="AH15" s="445"/>
      <c r="AI15" s="414"/>
      <c r="AJ15" s="446"/>
      <c r="AK15" s="447"/>
      <c r="AL15" s="1973" t="s">
        <v>2503</v>
      </c>
      <c r="AM15" s="1973"/>
      <c r="AN15" s="1973"/>
      <c r="AO15" s="1973"/>
      <c r="AP15" s="1974"/>
      <c r="AS15" s="445"/>
      <c r="AV15" s="445"/>
      <c r="AW15" s="457"/>
      <c r="AX15" s="413"/>
      <c r="AY15" s="458"/>
      <c r="AZ15" s="417"/>
      <c r="BA15" s="417"/>
      <c r="BB15" s="412"/>
      <c r="BC15" s="412"/>
      <c r="BD15" s="413"/>
      <c r="BE15" s="413"/>
      <c r="BF15" s="413"/>
      <c r="BG15" s="427"/>
      <c r="BH15" s="413"/>
      <c r="BI15" s="416"/>
      <c r="BJ15" s="408"/>
      <c r="BK15" s="408"/>
      <c r="BL15" s="417"/>
      <c r="BM15" s="414"/>
      <c r="BN15" s="408"/>
      <c r="BP15" s="459"/>
      <c r="BS15" s="407"/>
      <c r="BT15" s="460"/>
      <c r="CG15" s="442"/>
      <c r="CH15" s="442"/>
      <c r="CI15" s="442"/>
      <c r="CJ15" s="442"/>
      <c r="CK15" s="461"/>
      <c r="CL15" s="408"/>
      <c r="CQ15" s="408"/>
      <c r="CT15" s="408"/>
      <c r="CU15" s="408"/>
      <c r="CV15" s="408"/>
      <c r="CY15" s="408"/>
      <c r="CZ15" s="408"/>
      <c r="DC15" s="391"/>
      <c r="DD15" s="391"/>
      <c r="DE15" s="391"/>
      <c r="DF15" s="391"/>
      <c r="DG15" s="391"/>
      <c r="DH15" s="391"/>
      <c r="DI15" s="391"/>
      <c r="DJ15" s="391"/>
      <c r="DK15" s="391"/>
      <c r="DL15" s="391"/>
      <c r="DM15" s="391"/>
      <c r="DN15" s="391"/>
      <c r="DO15" s="391"/>
      <c r="DP15" s="391"/>
      <c r="DQ15" s="391"/>
      <c r="DR15" s="391"/>
      <c r="DS15" s="391"/>
      <c r="DT15" s="391"/>
      <c r="DU15" s="391"/>
      <c r="DV15" s="391"/>
      <c r="DW15" s="391"/>
      <c r="DX15" s="391"/>
      <c r="DY15" s="391"/>
      <c r="DZ15" s="391"/>
      <c r="EA15" s="391"/>
      <c r="EB15" s="391"/>
      <c r="EC15" s="391"/>
      <c r="ED15" s="391"/>
      <c r="EE15" s="391"/>
      <c r="EF15" s="391"/>
      <c r="EG15" s="391"/>
      <c r="EH15" s="391"/>
      <c r="EI15" s="391"/>
      <c r="EJ15" s="391"/>
      <c r="EK15" s="391"/>
      <c r="EL15" s="391"/>
      <c r="EM15" s="391"/>
      <c r="EN15" s="391"/>
      <c r="EO15" s="391"/>
      <c r="EP15" s="391"/>
      <c r="EQ15" s="391"/>
      <c r="ER15" s="391"/>
      <c r="ES15" s="391"/>
      <c r="ET15" s="391"/>
      <c r="EU15" s="391"/>
      <c r="EV15" s="391"/>
      <c r="EW15" s="391"/>
    </row>
    <row r="16" spans="1:153" s="424" customFormat="1" ht="19.899999999999999" customHeight="1">
      <c r="A16" s="391"/>
      <c r="B16" s="400"/>
      <c r="C16" s="1975" t="s">
        <v>2504</v>
      </c>
      <c r="D16" s="1957"/>
      <c r="E16" s="1957"/>
      <c r="F16" s="1957"/>
      <c r="G16" s="1957"/>
      <c r="H16" s="430">
        <v>0.2</v>
      </c>
      <c r="I16" s="454"/>
      <c r="J16" s="405"/>
      <c r="K16" s="454"/>
      <c r="L16" s="404"/>
      <c r="M16" s="1975" t="s">
        <v>2505</v>
      </c>
      <c r="N16" s="1975"/>
      <c r="O16" s="1975"/>
      <c r="P16" s="404"/>
      <c r="Q16" s="391"/>
      <c r="X16" s="408"/>
      <c r="Y16" s="414"/>
      <c r="Z16" s="408"/>
      <c r="AA16" s="408"/>
      <c r="AB16" s="407"/>
      <c r="AC16" s="407"/>
      <c r="AD16" s="407"/>
      <c r="AE16" s="407"/>
      <c r="AF16" s="407"/>
      <c r="AG16" s="407"/>
      <c r="AH16" s="407"/>
      <c r="AI16" s="414"/>
      <c r="AJ16" s="446"/>
      <c r="AK16" s="447"/>
      <c r="AL16" s="1973"/>
      <c r="AM16" s="1973"/>
      <c r="AN16" s="1973"/>
      <c r="AO16" s="1973"/>
      <c r="AP16" s="1974"/>
      <c r="AS16" s="445"/>
      <c r="AT16" s="445"/>
      <c r="AU16" s="445"/>
      <c r="AW16" s="456"/>
      <c r="AX16" s="462"/>
      <c r="AY16" s="458"/>
      <c r="AZ16" s="408"/>
      <c r="BA16" s="408"/>
      <c r="BB16" s="412"/>
      <c r="BC16" s="412"/>
      <c r="BD16" s="413"/>
      <c r="BE16" s="413"/>
      <c r="BF16" s="413"/>
      <c r="BG16" s="427"/>
      <c r="BH16" s="413"/>
      <c r="BI16" s="416"/>
      <c r="BJ16" s="408"/>
      <c r="BK16" s="408"/>
      <c r="BL16" s="417"/>
      <c r="BM16" s="414"/>
      <c r="BN16" s="408"/>
      <c r="BP16" s="459"/>
      <c r="BS16" s="407"/>
      <c r="CG16" s="442"/>
      <c r="CH16" s="442"/>
      <c r="CI16" s="442"/>
      <c r="CJ16" s="442"/>
      <c r="CK16" s="461"/>
      <c r="CL16" s="408"/>
      <c r="CQ16" s="408"/>
      <c r="CT16" s="408"/>
      <c r="CU16" s="408"/>
      <c r="CV16" s="408"/>
      <c r="CY16" s="408"/>
      <c r="CZ16" s="408"/>
      <c r="DC16" s="391"/>
      <c r="DD16" s="391"/>
      <c r="DE16" s="391"/>
      <c r="DF16" s="391"/>
      <c r="DG16" s="391"/>
      <c r="DH16" s="391"/>
      <c r="DI16" s="391"/>
      <c r="DJ16" s="391"/>
      <c r="DK16" s="391"/>
      <c r="DL16" s="391"/>
      <c r="DM16" s="391"/>
      <c r="DN16" s="391"/>
      <c r="DO16" s="391"/>
      <c r="DP16" s="391"/>
      <c r="DQ16" s="391"/>
      <c r="DR16" s="391"/>
      <c r="DS16" s="391"/>
      <c r="DT16" s="391"/>
      <c r="DU16" s="391"/>
      <c r="DV16" s="391"/>
      <c r="DW16" s="391"/>
      <c r="DX16" s="391"/>
      <c r="DY16" s="391"/>
      <c r="DZ16" s="391"/>
      <c r="EA16" s="391"/>
      <c r="EB16" s="391"/>
      <c r="EC16" s="391"/>
      <c r="ED16" s="391"/>
      <c r="EE16" s="391"/>
      <c r="EF16" s="391"/>
      <c r="EG16" s="391"/>
      <c r="EH16" s="391"/>
      <c r="EI16" s="391"/>
      <c r="EJ16" s="391"/>
      <c r="EK16" s="391"/>
      <c r="EL16" s="391"/>
      <c r="EM16" s="391"/>
      <c r="EN16" s="391"/>
      <c r="EO16" s="391"/>
      <c r="EP16" s="391"/>
      <c r="EQ16" s="391"/>
      <c r="ER16" s="391"/>
      <c r="ES16" s="391"/>
      <c r="ET16" s="391"/>
      <c r="EU16" s="391"/>
      <c r="EV16" s="391"/>
      <c r="EW16" s="391"/>
    </row>
    <row r="17" spans="1:153" s="424" customFormat="1" ht="15.6" customHeight="1" thickBot="1">
      <c r="A17" s="463"/>
      <c r="B17" s="400"/>
      <c r="C17" s="1975"/>
      <c r="D17" s="1957"/>
      <c r="E17" s="1957"/>
      <c r="F17" s="1957"/>
      <c r="G17" s="1957"/>
      <c r="H17" s="404"/>
      <c r="I17" s="454"/>
      <c r="J17" s="405"/>
      <c r="K17" s="454"/>
      <c r="L17" s="404"/>
      <c r="M17" s="1975" t="s">
        <v>2506</v>
      </c>
      <c r="N17" s="1975"/>
      <c r="O17" s="1975"/>
      <c r="P17" s="404">
        <v>0.75</v>
      </c>
      <c r="Q17" s="453"/>
      <c r="Y17" s="456"/>
      <c r="AB17" s="445"/>
      <c r="AC17" s="445"/>
      <c r="AD17" s="445"/>
      <c r="AE17" s="445"/>
      <c r="AF17" s="445"/>
      <c r="AG17" s="445"/>
      <c r="AH17" s="445"/>
      <c r="AI17" s="414"/>
      <c r="AJ17" s="446"/>
      <c r="AK17" s="447"/>
      <c r="AM17" s="464"/>
      <c r="AN17" s="408"/>
      <c r="AS17" s="445"/>
      <c r="AT17" s="445"/>
      <c r="AU17" s="445"/>
      <c r="AW17" s="456"/>
      <c r="AX17" s="462"/>
      <c r="AY17" s="458"/>
      <c r="AZ17" s="408"/>
      <c r="BA17" s="408"/>
      <c r="BB17" s="412"/>
      <c r="BC17" s="412"/>
      <c r="BD17" s="413"/>
      <c r="BE17" s="413"/>
      <c r="BF17" s="413"/>
      <c r="BG17" s="427"/>
      <c r="BH17" s="413"/>
      <c r="BI17" s="416"/>
      <c r="BJ17" s="408"/>
      <c r="BK17" s="408"/>
      <c r="BL17" s="417"/>
      <c r="BM17" s="414"/>
      <c r="BN17" s="408"/>
      <c r="BP17" s="459"/>
      <c r="BS17" s="407"/>
      <c r="CG17" s="442"/>
      <c r="CH17" s="442"/>
      <c r="CI17" s="442"/>
      <c r="CJ17" s="442"/>
      <c r="CK17" s="461"/>
      <c r="CL17" s="408"/>
      <c r="CQ17" s="408"/>
      <c r="CT17" s="408"/>
      <c r="CU17" s="408"/>
      <c r="CV17" s="408"/>
      <c r="CY17" s="408"/>
      <c r="CZ17" s="408"/>
      <c r="DC17" s="391"/>
      <c r="DD17" s="391"/>
      <c r="DE17" s="391"/>
      <c r="DF17" s="391"/>
      <c r="DG17" s="391"/>
      <c r="DH17" s="391"/>
      <c r="DI17" s="391"/>
      <c r="DJ17" s="391"/>
      <c r="DK17" s="391"/>
      <c r="DL17" s="391"/>
      <c r="DM17" s="391"/>
      <c r="DN17" s="391"/>
      <c r="DO17" s="391"/>
      <c r="DP17" s="391"/>
      <c r="DQ17" s="391"/>
      <c r="DR17" s="391"/>
      <c r="DS17" s="391"/>
      <c r="DT17" s="391"/>
      <c r="DU17" s="391"/>
      <c r="DV17" s="391"/>
      <c r="DW17" s="391"/>
      <c r="DX17" s="391"/>
      <c r="DY17" s="391"/>
      <c r="DZ17" s="391"/>
      <c r="EA17" s="391"/>
      <c r="EB17" s="391"/>
      <c r="EC17" s="391"/>
      <c r="ED17" s="391"/>
      <c r="EE17" s="391"/>
      <c r="EF17" s="391"/>
      <c r="EG17" s="391"/>
      <c r="EH17" s="391"/>
      <c r="EI17" s="391"/>
      <c r="EJ17" s="391"/>
      <c r="EK17" s="391"/>
      <c r="EL17" s="391"/>
      <c r="EM17" s="391"/>
      <c r="EN17" s="391"/>
      <c r="EO17" s="391"/>
      <c r="EP17" s="391"/>
      <c r="EQ17" s="391"/>
      <c r="ER17" s="391"/>
      <c r="ES17" s="391"/>
      <c r="ET17" s="391"/>
      <c r="EU17" s="391"/>
      <c r="EV17" s="391"/>
      <c r="EW17" s="391"/>
    </row>
    <row r="18" spans="1:153" s="424" customFormat="1" ht="15.6" customHeight="1">
      <c r="A18" s="391"/>
      <c r="B18" s="400"/>
      <c r="C18" s="428"/>
      <c r="D18" s="420"/>
      <c r="E18" s="420"/>
      <c r="F18" s="420"/>
      <c r="G18" s="420"/>
      <c r="H18" s="404"/>
      <c r="I18" s="454"/>
      <c r="J18" s="405"/>
      <c r="K18" s="454"/>
      <c r="L18" s="404"/>
      <c r="M18" s="428"/>
      <c r="N18" s="428"/>
      <c r="O18" s="428"/>
      <c r="P18" s="404"/>
      <c r="Q18" s="453"/>
      <c r="Y18" s="456"/>
      <c r="AB18" s="445"/>
      <c r="AC18" s="445"/>
      <c r="AD18" s="445"/>
      <c r="AE18" s="445"/>
      <c r="AF18" s="445"/>
      <c r="AG18" s="445"/>
      <c r="AH18" s="445"/>
      <c r="AI18" s="414"/>
      <c r="AJ18" s="446"/>
      <c r="AK18" s="447"/>
      <c r="AM18" s="464"/>
      <c r="AN18" s="408"/>
      <c r="AS18" s="445"/>
      <c r="AT18" s="445"/>
      <c r="AU18" s="445"/>
      <c r="AW18" s="456"/>
      <c r="AX18" s="462"/>
      <c r="AY18" s="458"/>
      <c r="AZ18" s="408"/>
      <c r="BA18" s="408"/>
      <c r="BB18" s="412"/>
      <c r="BC18" s="412"/>
      <c r="BD18" s="413"/>
      <c r="BE18" s="413"/>
      <c r="BF18" s="413"/>
      <c r="BG18" s="427"/>
      <c r="BH18" s="413"/>
      <c r="BI18" s="416"/>
      <c r="BJ18" s="408"/>
      <c r="BK18" s="408"/>
      <c r="BL18" s="417"/>
      <c r="BM18" s="414"/>
      <c r="BN18" s="408"/>
      <c r="BP18" s="459"/>
      <c r="BS18" s="407"/>
      <c r="CG18" s="442"/>
      <c r="CH18" s="442"/>
      <c r="CI18" s="442"/>
      <c r="CJ18" s="442"/>
      <c r="CK18" s="461"/>
      <c r="CL18" s="408"/>
      <c r="CQ18" s="408"/>
      <c r="CT18" s="408"/>
      <c r="CU18" s="408"/>
      <c r="CV18" s="408"/>
      <c r="CY18" s="408"/>
      <c r="CZ18" s="408"/>
      <c r="DC18" s="391"/>
      <c r="DD18" s="391"/>
      <c r="DE18" s="391"/>
      <c r="DF18" s="391"/>
      <c r="DG18" s="391"/>
      <c r="DH18" s="391"/>
      <c r="DI18" s="391"/>
      <c r="DJ18" s="391"/>
      <c r="DK18" s="391"/>
      <c r="DL18" s="391"/>
      <c r="DM18" s="391"/>
      <c r="DN18" s="391"/>
      <c r="DO18" s="391"/>
      <c r="DP18" s="391"/>
      <c r="DQ18" s="391"/>
      <c r="DR18" s="391"/>
      <c r="DS18" s="391"/>
      <c r="DT18" s="391"/>
      <c r="DU18" s="391"/>
      <c r="DV18" s="391"/>
      <c r="DW18" s="391"/>
      <c r="DX18" s="391"/>
      <c r="DY18" s="391"/>
      <c r="DZ18" s="391"/>
      <c r="EA18" s="391"/>
      <c r="EB18" s="391"/>
      <c r="EC18" s="391"/>
      <c r="ED18" s="391"/>
      <c r="EE18" s="391"/>
      <c r="EF18" s="391"/>
      <c r="EG18" s="391"/>
      <c r="EH18" s="391"/>
      <c r="EI18" s="391"/>
      <c r="EJ18" s="391"/>
      <c r="EK18" s="391"/>
      <c r="EL18" s="391"/>
      <c r="EM18" s="391"/>
      <c r="EN18" s="391"/>
      <c r="EO18" s="391"/>
      <c r="EP18" s="391"/>
      <c r="EQ18" s="391"/>
      <c r="ER18" s="391"/>
      <c r="ES18" s="391"/>
      <c r="ET18" s="391"/>
      <c r="EU18" s="391"/>
      <c r="EV18" s="391"/>
      <c r="EW18" s="391"/>
    </row>
    <row r="19" spans="1:153" s="424" customFormat="1" ht="15.6" customHeight="1">
      <c r="A19" s="391"/>
      <c r="B19" s="400"/>
      <c r="C19" s="428"/>
      <c r="D19" s="420"/>
      <c r="E19" s="420"/>
      <c r="F19" s="420"/>
      <c r="G19" s="420"/>
      <c r="H19" s="404"/>
      <c r="I19" s="454"/>
      <c r="J19" s="405"/>
      <c r="K19" s="454"/>
      <c r="L19" s="404"/>
      <c r="M19" s="428"/>
      <c r="N19" s="428"/>
      <c r="O19" s="428"/>
      <c r="P19" s="404"/>
      <c r="Q19" s="453"/>
      <c r="Y19" s="456"/>
      <c r="AB19" s="445"/>
      <c r="AC19" s="445"/>
      <c r="AD19" s="445"/>
      <c r="AE19" s="445"/>
      <c r="AF19" s="445"/>
      <c r="AG19" s="445"/>
      <c r="AH19" s="445"/>
      <c r="AI19" s="414"/>
      <c r="AJ19" s="446"/>
      <c r="AK19" s="447"/>
      <c r="AM19" s="464"/>
      <c r="AN19" s="408"/>
      <c r="AS19" s="445"/>
      <c r="AT19" s="445"/>
      <c r="AU19" s="445"/>
      <c r="AW19" s="456"/>
      <c r="AX19" s="462"/>
      <c r="AY19" s="458"/>
      <c r="AZ19" s="408"/>
      <c r="BA19" s="408"/>
      <c r="BB19" s="412"/>
      <c r="BC19" s="412"/>
      <c r="BD19" s="413"/>
      <c r="BE19" s="413"/>
      <c r="BF19" s="413"/>
      <c r="BG19" s="427"/>
      <c r="BH19" s="413"/>
      <c r="BI19" s="416"/>
      <c r="BJ19" s="408"/>
      <c r="BK19" s="408"/>
      <c r="BL19" s="417"/>
      <c r="BM19" s="414"/>
      <c r="BN19" s="408"/>
      <c r="BP19" s="459"/>
      <c r="BS19" s="407"/>
      <c r="CG19" s="442"/>
      <c r="CH19" s="442"/>
      <c r="CI19" s="442"/>
      <c r="CJ19" s="442"/>
      <c r="CK19" s="461"/>
      <c r="CL19" s="408"/>
      <c r="CQ19" s="408"/>
      <c r="CT19" s="408"/>
      <c r="CU19" s="408"/>
      <c r="CV19" s="408"/>
      <c r="CY19" s="408"/>
      <c r="CZ19" s="408"/>
      <c r="DC19" s="391"/>
      <c r="DD19" s="391"/>
      <c r="DE19" s="391"/>
      <c r="DF19" s="391"/>
      <c r="DG19" s="391"/>
      <c r="DH19" s="391"/>
      <c r="DI19" s="391"/>
      <c r="DJ19" s="391"/>
      <c r="DK19" s="391"/>
      <c r="DL19" s="391"/>
      <c r="DM19" s="391"/>
      <c r="DN19" s="391"/>
      <c r="DO19" s="391"/>
      <c r="DP19" s="391"/>
      <c r="DQ19" s="391"/>
      <c r="DR19" s="391"/>
      <c r="DS19" s="391"/>
      <c r="DT19" s="391"/>
      <c r="DU19" s="391"/>
      <c r="DV19" s="391"/>
      <c r="DW19" s="391"/>
      <c r="DX19" s="391"/>
      <c r="DY19" s="391"/>
      <c r="DZ19" s="391"/>
      <c r="EA19" s="391"/>
      <c r="EB19" s="391"/>
      <c r="EC19" s="391"/>
      <c r="ED19" s="391"/>
      <c r="EE19" s="391"/>
      <c r="EF19" s="391"/>
      <c r="EG19" s="391"/>
      <c r="EH19" s="391"/>
      <c r="EI19" s="391"/>
      <c r="EJ19" s="391"/>
      <c r="EK19" s="391"/>
      <c r="EL19" s="391"/>
      <c r="EM19" s="391"/>
      <c r="EN19" s="391"/>
      <c r="EO19" s="391"/>
      <c r="EP19" s="391"/>
      <c r="EQ19" s="391"/>
      <c r="ER19" s="391"/>
      <c r="ES19" s="391"/>
      <c r="ET19" s="391"/>
      <c r="EU19" s="391"/>
      <c r="EV19" s="391"/>
      <c r="EW19" s="391"/>
    </row>
    <row r="20" spans="1:153" s="424" customFormat="1" ht="15.6" customHeight="1">
      <c r="A20" s="391"/>
      <c r="B20" s="400"/>
      <c r="C20" s="428"/>
      <c r="D20" s="420"/>
      <c r="E20" s="420"/>
      <c r="F20" s="420"/>
      <c r="G20" s="420"/>
      <c r="H20" s="404"/>
      <c r="I20" s="454"/>
      <c r="J20" s="405"/>
      <c r="K20" s="454"/>
      <c r="L20" s="404"/>
      <c r="M20" s="428"/>
      <c r="N20" s="428"/>
      <c r="O20" s="428"/>
      <c r="P20" s="404"/>
      <c r="Q20" s="453"/>
      <c r="Y20" s="456"/>
      <c r="AB20" s="445"/>
      <c r="AC20" s="445"/>
      <c r="AD20" s="445"/>
      <c r="AE20" s="445"/>
      <c r="AF20" s="445"/>
      <c r="AG20" s="445"/>
      <c r="AH20" s="445"/>
      <c r="AI20" s="414"/>
      <c r="AJ20" s="446"/>
      <c r="AK20" s="447"/>
      <c r="AM20" s="464"/>
      <c r="AN20" s="408"/>
      <c r="AS20" s="445"/>
      <c r="AT20" s="445"/>
      <c r="AU20" s="445"/>
      <c r="AW20" s="456"/>
      <c r="AX20" s="462"/>
      <c r="AY20" s="458"/>
      <c r="AZ20" s="408"/>
      <c r="BA20" s="408"/>
      <c r="BB20" s="412"/>
      <c r="BC20" s="412"/>
      <c r="BD20" s="413"/>
      <c r="BE20" s="413"/>
      <c r="BF20" s="413"/>
      <c r="BG20" s="427"/>
      <c r="BH20" s="413"/>
      <c r="BI20" s="416"/>
      <c r="BJ20" s="408"/>
      <c r="BK20" s="408"/>
      <c r="BL20" s="417"/>
      <c r="BM20" s="414"/>
      <c r="BN20" s="408"/>
      <c r="BP20" s="459"/>
      <c r="BS20" s="407"/>
      <c r="CG20" s="442"/>
      <c r="CH20" s="442"/>
      <c r="CI20" s="442"/>
      <c r="CJ20" s="442"/>
      <c r="CK20" s="461"/>
      <c r="CL20" s="408"/>
      <c r="CQ20" s="408"/>
      <c r="CT20" s="408"/>
      <c r="CU20" s="408"/>
      <c r="CV20" s="408"/>
      <c r="CY20" s="408"/>
      <c r="CZ20" s="408"/>
      <c r="DC20" s="391"/>
      <c r="DD20" s="391"/>
      <c r="DE20" s="391"/>
      <c r="DF20" s="391"/>
      <c r="DG20" s="391"/>
      <c r="DH20" s="391"/>
      <c r="DI20" s="391"/>
      <c r="DJ20" s="391"/>
      <c r="DK20" s="391"/>
      <c r="DL20" s="391"/>
      <c r="DM20" s="391"/>
      <c r="DN20" s="391"/>
      <c r="DO20" s="391"/>
      <c r="DP20" s="391"/>
      <c r="DQ20" s="391"/>
      <c r="DR20" s="391"/>
      <c r="DS20" s="391"/>
      <c r="DT20" s="391"/>
      <c r="DU20" s="391"/>
      <c r="DV20" s="391"/>
      <c r="DW20" s="391"/>
      <c r="DX20" s="391"/>
      <c r="DY20" s="391"/>
      <c r="DZ20" s="391"/>
      <c r="EA20" s="391"/>
      <c r="EB20" s="391"/>
      <c r="EC20" s="391"/>
      <c r="ED20" s="391"/>
      <c r="EE20" s="391"/>
      <c r="EF20" s="391"/>
      <c r="EG20" s="391"/>
      <c r="EH20" s="391"/>
      <c r="EI20" s="391"/>
      <c r="EJ20" s="391"/>
      <c r="EK20" s="391"/>
      <c r="EL20" s="391"/>
      <c r="EM20" s="391"/>
      <c r="EN20" s="391"/>
      <c r="EO20" s="391"/>
      <c r="EP20" s="391"/>
      <c r="EQ20" s="391"/>
      <c r="ER20" s="391"/>
      <c r="ES20" s="391"/>
      <c r="ET20" s="391"/>
      <c r="EU20" s="391"/>
      <c r="EV20" s="391"/>
      <c r="EW20" s="391"/>
    </row>
    <row r="21" spans="1:153" ht="15.75" hidden="1" customHeight="1">
      <c r="A21" s="465"/>
      <c r="B21" s="1985"/>
      <c r="C21" s="1986"/>
      <c r="D21" s="466"/>
      <c r="E21" s="467"/>
      <c r="F21" s="467"/>
      <c r="G21" s="468"/>
      <c r="H21" s="468"/>
      <c r="I21" s="1380"/>
      <c r="J21" s="467"/>
      <c r="K21" s="468"/>
      <c r="L21" s="468"/>
      <c r="M21" s="469"/>
      <c r="N21" s="470"/>
      <c r="O21" s="470"/>
      <c r="P21" s="470"/>
      <c r="Q21" s="469"/>
      <c r="R21" s="471"/>
      <c r="S21" s="471"/>
      <c r="T21" s="471"/>
      <c r="U21" s="471"/>
      <c r="V21" s="471"/>
      <c r="W21" s="471"/>
      <c r="X21" s="471"/>
      <c r="Y21" s="471"/>
      <c r="Z21" s="471"/>
      <c r="AA21" s="471"/>
      <c r="AB21" s="471"/>
      <c r="AC21" s="471"/>
      <c r="AD21" s="471"/>
      <c r="AE21" s="471"/>
      <c r="AF21" s="471"/>
      <c r="AG21" s="471"/>
      <c r="AH21" s="471"/>
      <c r="AI21" s="471" t="str">
        <f>IF(H21="","",IF(AB21+Y21+Z21+X21+U21&lt;1.5,1.5,AB21+Y21+Z21+X21+U21))</f>
        <v/>
      </c>
      <c r="AJ21" s="471"/>
      <c r="AK21" s="472"/>
      <c r="AL21" s="471"/>
      <c r="AM21" s="473"/>
      <c r="AN21" s="474"/>
      <c r="AO21" s="474"/>
      <c r="AP21" s="474"/>
      <c r="AQ21" s="475"/>
      <c r="AR21" s="476"/>
      <c r="AS21" s="476"/>
      <c r="AT21" s="477"/>
      <c r="AU21" s="477"/>
      <c r="AV21" s="471"/>
      <c r="AW21" s="471"/>
      <c r="AX21" s="478"/>
      <c r="AY21" s="479"/>
      <c r="AZ21" s="480" t="s">
        <v>943</v>
      </c>
      <c r="BA21" s="481"/>
      <c r="BB21" s="478" t="str">
        <f>IF(OR(C21="",D21=""),"",VLOOKUP(C21,'Base de Diseño (2)'!$A$2:$D$19,4,FALSE))</f>
        <v/>
      </c>
      <c r="BC21" s="478" t="str">
        <f>IF(OR(C21="",D21=""),"",VLOOKUP(D21,'Base de Diseño (2)'!$A$2:$D$19,4,FALSE))</f>
        <v/>
      </c>
      <c r="BD21" s="481"/>
      <c r="BE21" s="481"/>
      <c r="BF21" s="481"/>
      <c r="BG21" s="481"/>
      <c r="BH21" s="481"/>
      <c r="BI21" s="481"/>
      <c r="BJ21" s="481"/>
      <c r="BK21" s="481"/>
      <c r="BL21" s="481"/>
      <c r="BM21" s="481"/>
      <c r="BN21" s="481"/>
      <c r="BO21" s="481"/>
      <c r="BP21" s="481"/>
      <c r="BQ21" s="481"/>
      <c r="BR21" s="481"/>
      <c r="BS21" s="481"/>
      <c r="BT21" s="481"/>
      <c r="BU21" s="481"/>
      <c r="BV21" s="481"/>
      <c r="BW21" s="481"/>
      <c r="BX21" s="481"/>
      <c r="BY21" s="481"/>
      <c r="BZ21" s="481"/>
      <c r="CA21" s="481"/>
      <c r="CB21" s="481"/>
      <c r="CC21" s="481"/>
      <c r="CD21" s="481"/>
      <c r="CE21" s="481"/>
      <c r="CF21" s="481"/>
      <c r="CG21" s="481"/>
      <c r="CH21" s="481"/>
      <c r="CI21" s="477"/>
      <c r="CJ21" s="471"/>
      <c r="CK21" s="468"/>
      <c r="CL21" s="482"/>
      <c r="CM21" s="482"/>
      <c r="CN21" s="483"/>
      <c r="CO21" s="484"/>
      <c r="CP21" s="485"/>
      <c r="CQ21" s="482"/>
      <c r="CR21" s="204"/>
      <c r="CS21" s="486"/>
      <c r="CT21" s="486"/>
      <c r="CU21" s="23"/>
      <c r="CV21" s="487"/>
      <c r="CW21" s="488"/>
      <c r="CX21" s="482" t="s">
        <v>943</v>
      </c>
      <c r="CY21" s="482"/>
      <c r="CZ21" s="489"/>
      <c r="DA21" s="482"/>
      <c r="DB21" s="490"/>
    </row>
    <row r="22" spans="1:153" ht="15.75" hidden="1" customHeight="1">
      <c r="A22" s="465">
        <v>1</v>
      </c>
      <c r="B22" s="491">
        <v>1</v>
      </c>
      <c r="C22" s="466" t="s">
        <v>2009</v>
      </c>
      <c r="D22" s="466" t="s">
        <v>2083</v>
      </c>
      <c r="E22" s="468">
        <v>0.64800000000000002</v>
      </c>
      <c r="F22" s="468">
        <v>23.675000000000001</v>
      </c>
      <c r="G22" s="468">
        <f>IF(B22=1,0,SUMIF($D$22:$D$583,C22,$H$22:$H$583))</f>
        <v>0</v>
      </c>
      <c r="H22" s="468">
        <f>+E22+F22+G22</f>
        <v>24.323</v>
      </c>
      <c r="I22" s="468"/>
      <c r="J22" s="468"/>
      <c r="K22" s="467">
        <f>+IF(B22=1,0,SUMIF($D$22:$D$583,C22,$L$22:$L$580))</f>
        <v>0</v>
      </c>
      <c r="L22" s="468">
        <f>+I22+J22+K22</f>
        <v>0</v>
      </c>
      <c r="M22" s="469">
        <f>+$P$12</f>
        <v>242.33666300502347</v>
      </c>
      <c r="N22" s="470">
        <f>M22*E22</f>
        <v>157.03415762725521</v>
      </c>
      <c r="O22" s="470">
        <f>M22*F22</f>
        <v>5737.3204966439307</v>
      </c>
      <c r="P22" s="470">
        <f>M22*H22</f>
        <v>5894.3546542711856</v>
      </c>
      <c r="Q22" s="469">
        <f>+$H$14</f>
        <v>140</v>
      </c>
      <c r="R22" s="471">
        <f>Q22*P22*$P$14/86400</f>
        <v>8.1183819891003584</v>
      </c>
      <c r="S22" s="471"/>
      <c r="T22" s="471"/>
      <c r="U22" s="471">
        <f>IF(C22="","",T22*$P$17)</f>
        <v>0</v>
      </c>
      <c r="V22" s="471"/>
      <c r="W22" s="471"/>
      <c r="X22" s="471">
        <f>IF(C22="","",W22*$P$16)</f>
        <v>0</v>
      </c>
      <c r="Y22" s="471">
        <f>IF(H22=0,0,$H$15*H22)</f>
        <v>4.8646000000000003</v>
      </c>
      <c r="Z22" s="471">
        <f>IF(L22=0,$H$16*H22,0)</f>
        <v>4.8646000000000003</v>
      </c>
      <c r="AA22" s="471">
        <f t="shared" ref="AA22:AA85" si="0">IF(P22="","",IF(1+((14/(4+(P22/1000)^1/2)))&lt;1.4,1.4,IF(1+((14/(4+(P22/1000)^1/2)))&gt;=3.8,3.8,(1+((14/(4+(P22/1000)^1/2)))))))</f>
        <v>3.0152069453180883</v>
      </c>
      <c r="AB22" s="471">
        <f>R22*AA22</f>
        <v>24.478601758280679</v>
      </c>
      <c r="AC22" s="471">
        <f>Q22*(N22+O22)*$P$14/86400</f>
        <v>8.1183819891003584</v>
      </c>
      <c r="AD22" s="471">
        <f>IF(E22=0,0,$H$15*(E22+F22))</f>
        <v>4.8646000000000003</v>
      </c>
      <c r="AE22" s="471">
        <f>IF(F22=0,0,$H$15*(F22+G22))</f>
        <v>4.7350000000000003</v>
      </c>
      <c r="AF22" s="471">
        <f>IF(N22="","",IF(1+((14/(4+(((N22+O22)+O22)/1000)^1/2)))&lt;1.4,1.4,IF(1+((14/(4+((N22+O22)/1000)^1/2)))&gt;=4,4,(1+((14/(4+((N22+O22)/1000)^1/2)))))))</f>
        <v>3.0152069453180883</v>
      </c>
      <c r="AG22" s="471">
        <f>AC22*AF22</f>
        <v>24.478601758280679</v>
      </c>
      <c r="AH22" s="471">
        <f>+AD22+AE22+AG22</f>
        <v>34.078201758280677</v>
      </c>
      <c r="AI22" s="471">
        <f>IF(H22="","",IF(AB22+Y22+Z22+X22+U22&lt;1.5,1.5,AB22+Y22+Z22+X22+U22))</f>
        <v>34.207801758280681</v>
      </c>
      <c r="AJ22" s="471">
        <f>+$P$17</f>
        <v>0.75</v>
      </c>
      <c r="AK22" s="472">
        <f>+BK22/100</f>
        <v>4.7770700636989746E-4</v>
      </c>
      <c r="AL22" s="471">
        <f>IF(AJ22=0," ",0.14+0.65*AJ22+0.05*AK22)</f>
        <v>0.62752388535031856</v>
      </c>
      <c r="AM22" s="473">
        <f>((100/36)*$AM$14*(AP22+$AN$14)^$AO$14)</f>
        <v>259.00373998875932</v>
      </c>
      <c r="AN22" s="474">
        <f t="shared" ref="AN22:AN64" si="1">IF(B22=1,IF((0.702*(1.1-$AJ22)*SQRT($CO22))/(($CP22)^(1/3))&lt;5,5,(0.702*(1.1-$AJ22)*SQRT($CO22))/(($CP22)^(1/3))),AP21)</f>
        <v>35.224602900539999</v>
      </c>
      <c r="AO22" s="474">
        <f>((1/60)*$AX22/$AQ22)</f>
        <v>0.69777777777777772</v>
      </c>
      <c r="AP22" s="474">
        <f>IF(B22=1,IF(($AN22+$AO22)&lt;10,10,IF(($AN22+$AO22)&gt;20,20,($AN22+$AO22))),($AN22+$AO22))</f>
        <v>20</v>
      </c>
      <c r="AQ22" s="475">
        <v>3</v>
      </c>
      <c r="AR22" s="474" t="e">
        <f>((1/60)*$AX22/$BT22)</f>
        <v>#VALUE!</v>
      </c>
      <c r="AS22" s="474" t="e">
        <f>AO22/AR22</f>
        <v>#VALUE!</v>
      </c>
      <c r="AT22" s="471" t="e">
        <f>IF(AS22&lt;0.9,"Disminuir vel.",IF(AS22&gt;1.1,"Aumentar vel.","Cumple"))</f>
        <v>#VALUE!</v>
      </c>
      <c r="AU22" s="492">
        <f>+I22*AL22*AM22</f>
        <v>0</v>
      </c>
      <c r="AV22" s="471">
        <f>+L22*AL22*AM22</f>
        <v>0</v>
      </c>
      <c r="AW22" s="471">
        <f>ROUND(IF(AI22&gt;(AV22*0.05),(AV22+AI22),AV22),2)</f>
        <v>34.21</v>
      </c>
      <c r="AX22" s="478">
        <f>IF(OR(C22="",D22=""),"",ROUND(((VLOOKUP(C22,'Base de Diseño (2)'!$A$2:$C$333,2,FALSE)-VLOOKUP(D22,'Base de Diseño (2)'!$A$2:$C$333,2,FALSE))^2+(VLOOKUP(C22,'Base de Diseño (2)'!$A$2:$C$333,3,0)-VLOOKUP(D22,'Base de Diseño (2)'!$A$2:$C$333,3,FALSE))^2)^0.5,2))</f>
        <v>125.6</v>
      </c>
      <c r="AY22" s="493">
        <v>8</v>
      </c>
      <c r="AZ22" s="480">
        <f>IF(AND(L22="",H22=""),"",IF(BA22=4,VLOOKUP(AY22,'TABLA (2)'!$A$74:$C$89,2),IF(BA22=5,VLOOKUP(AY22,'TABLA (2)'!$A$51:$B$66,2),IF(BA22=6,VLOOKUP(AY22,'TABLA (2)'!$A$9:$B$43,2)))))</f>
        <v>200</v>
      </c>
      <c r="BA22" s="493">
        <v>6</v>
      </c>
      <c r="BB22" s="478">
        <f>IF(OR(C22="",D22=""),"",VLOOKUP(C22,'Base de Diseño (2)'!$A$2:$D$330,4,FALSE))</f>
        <v>964.06</v>
      </c>
      <c r="BC22" s="478">
        <f>IF(OR(C22="",D22=""),"",VLOOKUP(D22,'Base de Diseño (2)'!$A$2:$D$330,4,FALSE))</f>
        <v>964.12</v>
      </c>
      <c r="BD22" s="23">
        <f>+BF22-((AZ22/1000)+CX22)</f>
        <v>2.1330000000000044</v>
      </c>
      <c r="BE22" s="23">
        <f>+BG22-((AZ22/1000)+CX22)</f>
        <v>3.932999999999959</v>
      </c>
      <c r="BF22" s="494">
        <v>2.3700000000000045</v>
      </c>
      <c r="BG22" s="494">
        <v>4.1699999999999591</v>
      </c>
      <c r="BH22" s="495">
        <f>BB22-BF22</f>
        <v>961.68999999999994</v>
      </c>
      <c r="BI22" s="495">
        <f>BC22-BG22</f>
        <v>959.95</v>
      </c>
      <c r="BJ22" s="468">
        <f>IF(A22="",0,BI22-BH23)</f>
        <v>959.95</v>
      </c>
      <c r="BK22" s="475">
        <f>ABS((BB22-BC22)/AX22)*100</f>
        <v>4.7770700636989745E-2</v>
      </c>
      <c r="BL22" s="475">
        <f>((BH22-BI22)/AX22)*100</f>
        <v>1.3853503184712543</v>
      </c>
      <c r="BM22" s="475">
        <f>IF(BA22=6,(1/0.013)*((AZ22/4000)^(2/3))*((BL22/100)^(0.5)),(1/0.009)*((AZ22/4000)^(2/3))*((BL22/100)^(0.5)))</f>
        <v>1.2288054296730473</v>
      </c>
      <c r="BN22" s="475">
        <f>1000*BM22*PI()*((AZ22/1000/2)^2)</f>
        <v>38.604061105520955</v>
      </c>
      <c r="BO22" s="204">
        <f>AI22/BN22</f>
        <v>0.88611925218894794</v>
      </c>
      <c r="BP22" s="496" t="str">
        <f>IF(L22=0," ",AW22/BN22)</f>
        <v xml:space="preserve"> </v>
      </c>
      <c r="BQ22" s="497">
        <f>IF($BO22&gt;0 =AND($BO22&lt;=0.06),10^(0.029806+0.29095*LOG($BO22)),IF($BO22&gt;0.06 =AND($BO22&lt;=0.26),10^(0.013778+0.282597*LOG($BO22)),IF($BO22&gt;0.26 =AND($BO22&lt;=0.91),10^(0.021763+0.28995*LOG($BO22)),1)))</f>
        <v>1.0151690187772284</v>
      </c>
      <c r="BR22" s="497" t="str">
        <f>IF($BP22&gt;0 =AND($BP22&lt;=0.06),10^(0.029806+0.29095*LOG($BP22)),IF($BP22&gt;0.06 =AND($BP22&lt;=0.26),10^(0.013778+0.282597*LOG($BP22)),IF($BP22&gt;0.26 =AND($BP22&lt;=2),10^(0.021763+0.28995*LOG($BP22))," ")))</f>
        <v xml:space="preserve"> </v>
      </c>
      <c r="BS22" s="475">
        <f>BM22*BQ22</f>
        <v>1.2474452023093179</v>
      </c>
      <c r="BT22" s="475" t="str">
        <f>IF(BP22=" "," ",(BM22*BR22))</f>
        <v xml:space="preserve"> </v>
      </c>
      <c r="BU22" s="475">
        <f>IF(BO22&lt;=0.11,0.3827+0.0645*LN(BO22),IF(BO22&lt;=0.21,0.60025+0.15471*LN(BO22),IF(BO22&lt;1,0.225+0.6666666667*BO22,0)))</f>
        <v>0.81574616815550249</v>
      </c>
      <c r="BV22" s="475" t="str">
        <f>IF(BP22&lt;=0.11,0.3827+0.0645*LN(BP22),IF(BP22&lt;=0.21,0.60025+0.15471*LN(BP22),IF(BP22&lt;1,0.225+0.6666666667*BP22," ")))</f>
        <v xml:space="preserve"> </v>
      </c>
      <c r="BW22" s="475">
        <f>2*ACOS(1-2*(BU22))</f>
        <v>4.5085453595150877</v>
      </c>
      <c r="BX22" s="475" t="str">
        <f>IF(BP22=" "," ",(2*ACOS(1-2*(BV22))))</f>
        <v xml:space="preserve"> </v>
      </c>
      <c r="BY22" s="475">
        <f>(1/4)*(1-(SIN(BW22))/BW22)</f>
        <v>0.30430220018798937</v>
      </c>
      <c r="BZ22" s="475" t="str">
        <f>IF(BP22=" "," ",((1/4)*(1-(SIN(BX22))/BX22)))</f>
        <v xml:space="preserve"> </v>
      </c>
      <c r="CA22" s="471">
        <f>BY22*AZ22/1000</f>
        <v>6.0860440037597878E-2</v>
      </c>
      <c r="CB22" s="471" t="str">
        <f>IF(BP22=" "," ",(BZ22*AZ22/1000))</f>
        <v xml:space="preserve"> </v>
      </c>
      <c r="CC22" s="471" t="e">
        <f t="shared" ref="CC22:CC60" si="2">+(BT22/SQRT(9.81*(0.125*(BX22-SIN(BX22))*(AZ22/1000)^2)/((AZ22/1000)*SIN(BX22/2))))</f>
        <v>#VALUE!</v>
      </c>
      <c r="CD22" s="471" t="e">
        <f>IF(CC22="","",IF(CC22&lt;0.7,"F. Subcrítico",IF(AND(CC22&gt;0.7,CC22&lt;1),"F. Subcrítico Inestable",IF(CC22=1,"F. Crítico",IF(AND(CC22&gt;1,CC22&lt;1.5),"F. Supercrítico Inestable",IF(CC22&gt;1.5,"F. Supercrítico",""))))))</f>
        <v>#VALUE!</v>
      </c>
      <c r="CE22" s="471">
        <f>1000*BL22*CA22/100</f>
        <v>0.84313029988386889</v>
      </c>
      <c r="CF22" s="471" t="str">
        <f>IF(BP22=" "," ",(1000*BL22*CB22/100))</f>
        <v xml:space="preserve"> </v>
      </c>
      <c r="CG22" s="471" t="str">
        <f>IF(BS22&lt;0.45,"No cumple",IF(BS22&gt;5,"No cumple","O.K"))</f>
        <v>O.K</v>
      </c>
      <c r="CH22" s="471" t="str">
        <f>IF(BT22&lt;0.75,"No cumple",IF(BT22&gt;10,"No cumple","O.K"))</f>
        <v>No cumple</v>
      </c>
      <c r="CI22" s="471" t="str">
        <f>IF(CE22&gt;0.1,"OK","V.C.H.")</f>
        <v>OK</v>
      </c>
      <c r="CJ22" s="471" t="str">
        <f>IF(CF22&gt;0.2,"OK","V.C.H.")</f>
        <v>OK</v>
      </c>
      <c r="CK22" s="468">
        <f>+BJ22</f>
        <v>959.95</v>
      </c>
      <c r="CL22" s="482" t="s">
        <v>2507</v>
      </c>
      <c r="CM22" s="482"/>
      <c r="CN22" s="63" t="str">
        <f>IF(B22=1,"dato"," ")</f>
        <v>dato</v>
      </c>
      <c r="CO22" s="498">
        <f>+CR22</f>
        <v>125.6</v>
      </c>
      <c r="CP22" s="472">
        <f>+BK22/100</f>
        <v>4.7770700636989746E-4</v>
      </c>
      <c r="CQ22" s="482" t="s">
        <v>2508</v>
      </c>
      <c r="CR22" s="204">
        <f>IF(BA22="","",AX22)</f>
        <v>125.6</v>
      </c>
      <c r="CS22" s="486">
        <v>1.2</v>
      </c>
      <c r="CT22" s="486">
        <v>1.2</v>
      </c>
      <c r="CU22" s="23">
        <f>IF($BA22="","",SQRT((BH22-BI22)^2+$CR22^2))</f>
        <v>125.61205196954629</v>
      </c>
      <c r="CV22" s="499" t="s">
        <v>2509</v>
      </c>
      <c r="CW22" s="488" t="str">
        <f>+IF(BD22&lt;=0.9,"E1",IF(BD22&lt;=2.5,"E2","E3"))</f>
        <v>E2</v>
      </c>
      <c r="CX22" s="204">
        <f>IF(AND(L22="",H22=""),"",IF(AND(BA22&lt;&gt;4,BA22&lt;&gt;5),VLOOKUP(AY22,'TABLA (2)'!$A$9:$D$43,4),IF(BA22=4,VLOOKUP(AY22,'TABLA (2)'!$A$74:$D$89,4),VLOOKUP(AY22,'TABLA (2)'!$A$51:$D$66,4))))</f>
        <v>3.6999999999999998E-2</v>
      </c>
      <c r="CY22" s="482"/>
      <c r="CZ22" s="482"/>
      <c r="DA22" s="482"/>
      <c r="DB22" s="490"/>
    </row>
    <row r="23" spans="1:153" ht="15.75" hidden="1" customHeight="1">
      <c r="A23" s="465"/>
      <c r="B23" s="500"/>
      <c r="C23" s="501"/>
      <c r="D23" s="501"/>
      <c r="E23" s="468"/>
      <c r="F23" s="468"/>
      <c r="G23" s="468"/>
      <c r="H23" s="468"/>
      <c r="I23" s="468"/>
      <c r="J23" s="468"/>
      <c r="K23" s="467"/>
      <c r="L23" s="468"/>
      <c r="M23" s="469"/>
      <c r="N23" s="470"/>
      <c r="O23" s="470"/>
      <c r="P23" s="470"/>
      <c r="Q23" s="469"/>
      <c r="R23" s="471"/>
      <c r="S23" s="471"/>
      <c r="T23" s="471"/>
      <c r="U23" s="471"/>
      <c r="V23" s="471"/>
      <c r="W23" s="471"/>
      <c r="X23" s="471"/>
      <c r="Y23" s="471"/>
      <c r="Z23" s="471"/>
      <c r="AA23" s="471" t="str">
        <f t="shared" si="0"/>
        <v/>
      </c>
      <c r="AB23" s="471"/>
      <c r="AC23" s="471"/>
      <c r="AD23" s="471"/>
      <c r="AE23" s="471"/>
      <c r="AF23" s="471"/>
      <c r="AG23" s="471"/>
      <c r="AH23" s="471"/>
      <c r="AI23" s="471"/>
      <c r="AJ23" s="471"/>
      <c r="AK23" s="472"/>
      <c r="AL23" s="471"/>
      <c r="AM23" s="473"/>
      <c r="AN23" s="474">
        <f t="shared" si="1"/>
        <v>20</v>
      </c>
      <c r="AO23" s="474"/>
      <c r="AP23" s="474"/>
      <c r="AQ23" s="475">
        <v>3</v>
      </c>
      <c r="AR23" s="474"/>
      <c r="AS23" s="474"/>
      <c r="AT23" s="471"/>
      <c r="AU23" s="492"/>
      <c r="AV23" s="471"/>
      <c r="AW23" s="471"/>
      <c r="AX23" s="478"/>
      <c r="AY23" s="493"/>
      <c r="AZ23" s="480"/>
      <c r="BA23" s="493"/>
      <c r="BB23" s="478" t="str">
        <f>IF(OR(C23="",D23=""),"",VLOOKUP(C23,'Base de Diseño (2)'!$A$2:$D$330,4,FALSE))</f>
        <v/>
      </c>
      <c r="BC23" s="478" t="str">
        <f>IF(OR(C23="",D23=""),"",VLOOKUP(D23,'Base de Diseño (2)'!$A$2:$D$330,4,FALSE))</f>
        <v/>
      </c>
      <c r="BD23" s="23"/>
      <c r="BE23" s="23"/>
      <c r="BF23" s="494">
        <v>0</v>
      </c>
      <c r="BG23" s="494">
        <v>0</v>
      </c>
      <c r="BH23" s="495"/>
      <c r="BI23" s="495"/>
      <c r="BJ23" s="468">
        <f>IF(A23="",0,BI23-BH24)</f>
        <v>0</v>
      </c>
      <c r="BK23" s="475"/>
      <c r="BL23" s="475"/>
      <c r="BM23" s="475"/>
      <c r="BN23" s="475"/>
      <c r="BO23" s="204"/>
      <c r="BP23" s="496"/>
      <c r="BQ23" s="497"/>
      <c r="BR23" s="497"/>
      <c r="BS23" s="475"/>
      <c r="BT23" s="475"/>
      <c r="BU23" s="475"/>
      <c r="BV23" s="475"/>
      <c r="BW23" s="475"/>
      <c r="BX23" s="475"/>
      <c r="BY23" s="475"/>
      <c r="BZ23" s="475"/>
      <c r="CA23" s="471"/>
      <c r="CB23" s="471"/>
      <c r="CC23" s="471" t="e">
        <f t="shared" si="2"/>
        <v>#DIV/0!</v>
      </c>
      <c r="CD23" s="471"/>
      <c r="CE23" s="471"/>
      <c r="CF23" s="471"/>
      <c r="CG23" s="471"/>
      <c r="CH23" s="471"/>
      <c r="CI23" s="471"/>
      <c r="CJ23" s="471"/>
      <c r="CK23" s="468"/>
      <c r="CL23" s="482"/>
      <c r="CM23" s="482"/>
      <c r="CN23" s="63"/>
      <c r="CO23" s="498"/>
      <c r="CP23" s="472"/>
      <c r="CQ23" s="482"/>
      <c r="CR23" s="204"/>
      <c r="CS23" s="486"/>
      <c r="CT23" s="486"/>
      <c r="CU23" s="23"/>
      <c r="CV23" s="499"/>
      <c r="CW23" s="488"/>
      <c r="CX23" s="204"/>
      <c r="CY23" s="482"/>
      <c r="CZ23" s="482"/>
      <c r="DA23" s="482"/>
      <c r="DB23" s="490"/>
    </row>
    <row r="24" spans="1:153" ht="15.75" hidden="1" customHeight="1">
      <c r="A24" s="465">
        <v>2</v>
      </c>
      <c r="B24" s="491">
        <v>1</v>
      </c>
      <c r="C24" s="466" t="s">
        <v>2084</v>
      </c>
      <c r="D24" s="466" t="s">
        <v>2085</v>
      </c>
      <c r="E24" s="468">
        <v>1.038</v>
      </c>
      <c r="F24" s="468">
        <v>12.065582300000001</v>
      </c>
      <c r="G24" s="468">
        <f>IF(B24=1,0,SUMIF($D$22:$D$583,C24,$H$22:$H$583))</f>
        <v>0</v>
      </c>
      <c r="H24" s="468">
        <f>+E24+F24+G24</f>
        <v>13.103582300000001</v>
      </c>
      <c r="I24" s="468"/>
      <c r="J24" s="468"/>
      <c r="K24" s="467">
        <f>+IF(B24=1,0,SUMIF($D$22:$D$583,C24,$L$22:$L$580))</f>
        <v>0</v>
      </c>
      <c r="L24" s="468">
        <f>+I24+J24+K24</f>
        <v>0</v>
      </c>
      <c r="M24" s="469">
        <f>+$P$12</f>
        <v>242.33666300502347</v>
      </c>
      <c r="N24" s="470">
        <f>M24*E24</f>
        <v>251.54545619921436</v>
      </c>
      <c r="O24" s="470">
        <f>M24*F24</f>
        <v>2923.9329517944761</v>
      </c>
      <c r="P24" s="470">
        <f>M24*H24</f>
        <v>3175.4784079936908</v>
      </c>
      <c r="Q24" s="469">
        <f>+$H$14</f>
        <v>140</v>
      </c>
      <c r="R24" s="471">
        <f>Q24*P24*$P$14/86400</f>
        <v>4.3736334554542733</v>
      </c>
      <c r="S24" s="471"/>
      <c r="T24" s="471"/>
      <c r="U24" s="471">
        <f>IF(C24="","",T24*$P$17)</f>
        <v>0</v>
      </c>
      <c r="V24" s="471"/>
      <c r="W24" s="471"/>
      <c r="X24" s="471">
        <f>IF(C24="","",W24*$P$16)</f>
        <v>0</v>
      </c>
      <c r="Y24" s="471">
        <f>IF(H24=0,0,$H$15*H24)</f>
        <v>2.6207164600000006</v>
      </c>
      <c r="Z24" s="471">
        <f>IF(L24=0,$H$16*H24,0)</f>
        <v>2.6207164600000006</v>
      </c>
      <c r="AA24" s="471">
        <f t="shared" si="0"/>
        <v>3.5054855799257707</v>
      </c>
      <c r="AB24" s="471">
        <f>R24*AA24</f>
        <v>15.331709009975876</v>
      </c>
      <c r="AC24" s="471">
        <f>Q24*(N24+O24)*$P$14/86400</f>
        <v>4.3736334554542724</v>
      </c>
      <c r="AD24" s="471">
        <f>IF(E24=0,0,$H$15*(E24+F24))</f>
        <v>2.6207164600000006</v>
      </c>
      <c r="AE24" s="471">
        <f>IF(F24=0,0,$H$15*(F24+G24))</f>
        <v>2.4131164600000004</v>
      </c>
      <c r="AF24" s="471">
        <f>IF(N24="","",IF(1+((14/(4+(((N24+O24)+O24)/1000)^1/2)))&lt;1.4,1.4,IF(1+((14/(4+((N24+O24)/1000)^1/2)))&gt;=4,4,(1+((14/(4+((N24+O24)/1000)^1/2)))))))</f>
        <v>3.5054855799257707</v>
      </c>
      <c r="AG24" s="471">
        <f>AC24*AF24</f>
        <v>15.331709009975873</v>
      </c>
      <c r="AH24" s="471">
        <f>+AD24+AE24+AG24</f>
        <v>20.365541929975873</v>
      </c>
      <c r="AI24" s="471">
        <f>IF(H24="","",IF(AB24+Y24+Z24+X24+U24&lt;1.5,1.5,AB24+Y24+Z24+X24+U24))</f>
        <v>20.573141929975879</v>
      </c>
      <c r="AJ24" s="471">
        <f>+$P$17</f>
        <v>0.75</v>
      </c>
      <c r="AK24" s="472">
        <f>+BK24/100</f>
        <v>3.4356390288588475E-3</v>
      </c>
      <c r="AL24" s="471">
        <f>IF(AJ24=0," ",0.14+0.65*AJ24+0.05*AK24)</f>
        <v>0.62767178195144302</v>
      </c>
      <c r="AM24" s="473">
        <f>((100/36)*$AM$14*(AP24+$AN$14)^$AO$14)</f>
        <v>326.6569925087299</v>
      </c>
      <c r="AN24" s="474">
        <f t="shared" si="1"/>
        <v>10.759147124916282</v>
      </c>
      <c r="AO24" s="474">
        <f>((1/60)*$AX24/$AQ24)</f>
        <v>0.24255555555555552</v>
      </c>
      <c r="AP24" s="474">
        <f>IF(B24=1,IF(($AN24+$AO24)&lt;10,10,IF(($AN24+$AO24)&gt;20,20,($AN24+$AO24))),($AN24+$AO24))</f>
        <v>11.001702680471837</v>
      </c>
      <c r="AQ24" s="475">
        <v>3</v>
      </c>
      <c r="AR24" s="474" t="e">
        <f>((1/60)*$AX24/$BT24)</f>
        <v>#VALUE!</v>
      </c>
      <c r="AS24" s="474" t="e">
        <f>AO24/AR24</f>
        <v>#VALUE!</v>
      </c>
      <c r="AT24" s="471" t="e">
        <f>IF(AS24&lt;0.9,"Disminuir vel.",IF(AS24&gt;1.1,"Aumentar vel.","Cumple"))</f>
        <v>#VALUE!</v>
      </c>
      <c r="AU24" s="492">
        <f>+I24*AL24*AM24</f>
        <v>0</v>
      </c>
      <c r="AV24" s="471">
        <f>+L24*AL24*AM24</f>
        <v>0</v>
      </c>
      <c r="AW24" s="471">
        <f>ROUND(IF(AI24&gt;(AV24*0.05),(AV24+AI24),AV24),2)</f>
        <v>20.57</v>
      </c>
      <c r="AX24" s="478">
        <f>IF(OR(C24="",D24=""),"",ROUND(((VLOOKUP(C24,'Base de Diseño (2)'!$A$2:$C$333,2,FALSE)-VLOOKUP(D24,'Base de Diseño (2)'!$A$2:$C$333,2,FALSE))^2+(VLOOKUP(C24,'Base de Diseño (2)'!$A$2:$C$333,3,0)-VLOOKUP(D24,'Base de Diseño (2)'!$A$2:$C$333,3,FALSE))^2)^0.5,2))</f>
        <v>43.66</v>
      </c>
      <c r="AY24" s="493">
        <v>8</v>
      </c>
      <c r="AZ24" s="480">
        <f>IF(AND(L24="",H24=""),"",IF(BA24=4,VLOOKUP(AY24,'TABLA (2)'!$A$74:$C$89,2),IF(BA24=5,VLOOKUP(AY24,'TABLA (2)'!$A$51:$B$66,2),IF(BA24=6,VLOOKUP(AY24,'TABLA (2)'!$A$9:$B$43,2)))))</f>
        <v>200</v>
      </c>
      <c r="BA24" s="493">
        <v>6</v>
      </c>
      <c r="BB24" s="478">
        <f>IF(OR(C24="",D24=""),"",VLOOKUP(C24,'Base de Diseño (2)'!$A$2:$D$330,4,FALSE))</f>
        <v>961.31</v>
      </c>
      <c r="BC24" s="478">
        <f>IF(OR(C24="",D24=""),"",VLOOKUP(D24,'Base de Diseño (2)'!$A$2:$D$330,4,FALSE))</f>
        <v>961.16</v>
      </c>
      <c r="BD24" s="23">
        <f>+BF24-((AZ24/1000)+CX24)</f>
        <v>1.2430000000000181</v>
      </c>
      <c r="BE24" s="23">
        <f>+BG24-((AZ24/1000)+CX24)</f>
        <v>1.8830000000000044</v>
      </c>
      <c r="BF24" s="494">
        <v>1.4800000000000182</v>
      </c>
      <c r="BG24" s="494">
        <v>2.1200000000000045</v>
      </c>
      <c r="BH24" s="495">
        <f>BB24-BF24</f>
        <v>959.82999999999993</v>
      </c>
      <c r="BI24" s="495">
        <f>BC24-BG24</f>
        <v>959.04</v>
      </c>
      <c r="BJ24" s="468" t="e">
        <f>IF(A24="",0,BI24-#REF!)</f>
        <v>#REF!</v>
      </c>
      <c r="BK24" s="475">
        <f>ABS((BB24-BC24)/AX24)*100</f>
        <v>0.34356390288588473</v>
      </c>
      <c r="BL24" s="475">
        <f>((BH24-BI24)/AX24)*100</f>
        <v>1.8094365551991838</v>
      </c>
      <c r="BM24" s="475">
        <f>IF(BA24=6,(1/0.013)*((AZ24/4000)^(2/3))*((BL24/100)^(0.5)),(1/0.009)*((AZ24/4000)^(2/3))*((BL24/100)^(0.5)))</f>
        <v>1.404348831408931</v>
      </c>
      <c r="BN24" s="475">
        <f>1000*BM24*PI()*((AZ24/1000/2)^2)</f>
        <v>44.118919718317095</v>
      </c>
      <c r="BO24" s="204">
        <f>AI24/BN24</f>
        <v>0.46631109876052595</v>
      </c>
      <c r="BP24" s="496" t="str">
        <f>IF(L24=0," ",AW24/BN24)</f>
        <v xml:space="preserve"> </v>
      </c>
      <c r="BQ24" s="497">
        <f>IF($BO24&gt;0 =AND($BO24&lt;=0.06),10^(0.029806+0.29095*LOG($BO24)),IF($BO24&gt;0.06 =AND($BO24&lt;=0.26),10^(0.013778+0.282597*LOG($BO24)),IF($BO24&gt;0.26 =AND($BO24&lt;=0.91),10^(0.021763+0.28995*LOG($BO24)),1)))</f>
        <v>0.8427437383822971</v>
      </c>
      <c r="BR24" s="497" t="str">
        <f>IF($BP24&gt;0 =AND($BP24&lt;=0.06),10^(0.029806+0.29095*LOG($BP24)),IF($BP24&gt;0.06 =AND($BP24&lt;=0.26),10^(0.013778+0.282597*LOG($BP24)),IF($BP24&gt;0.26 =AND($BP24&lt;=2),10^(0.021763+0.28995*LOG($BP24))," ")))</f>
        <v xml:space="preserve"> </v>
      </c>
      <c r="BS24" s="475">
        <f>BM24*BQ24</f>
        <v>1.1835061841743728</v>
      </c>
      <c r="BT24" s="475" t="str">
        <f>IF(BP24=" "," ",(BM24*BR24))</f>
        <v xml:space="preserve"> </v>
      </c>
      <c r="BU24" s="475">
        <f>IF(BO24&lt;=0.11,0.3827+0.0645*LN(BO24),IF(BO24&lt;=0.21,0.60025+0.15471*LN(BO24),IF(BO24&lt;1,0.225+0.6666666667*BO24,0)))</f>
        <v>0.53587406585589437</v>
      </c>
      <c r="BV24" s="475" t="str">
        <f>IF(BP24&lt;=0.11,0.3827+0.0645*LN(BP24),IF(BP24&lt;=0.21,0.60025+0.15471*LN(BP24),IF(BP24&lt;1,0.225+0.6666666667*BP24," ")))</f>
        <v xml:space="preserve"> </v>
      </c>
      <c r="BW24" s="475">
        <f>2*ACOS(1-2*(BU24))</f>
        <v>3.2852123179638437</v>
      </c>
      <c r="BX24" s="475" t="str">
        <f>IF(BP24=" "," ",(2*ACOS(1-2*(BV24))))</f>
        <v xml:space="preserve"> </v>
      </c>
      <c r="BY24" s="475">
        <f>(1/4)*(1-(SIN(BW24))/BW24)</f>
        <v>0.26089171934604233</v>
      </c>
      <c r="BZ24" s="475" t="str">
        <f>IF(BP24=" "," ",((1/4)*(1-(SIN(BX24))/BX24)))</f>
        <v xml:space="preserve"> </v>
      </c>
      <c r="CA24" s="471">
        <f>BY24*AZ24/1000</f>
        <v>5.2178343869208471E-2</v>
      </c>
      <c r="CB24" s="471" t="str">
        <f>IF(BP24=" "," ",(BZ24*AZ24/1000))</f>
        <v xml:space="preserve"> </v>
      </c>
      <c r="CC24" s="471" t="e">
        <f t="shared" si="2"/>
        <v>#VALUE!</v>
      </c>
      <c r="CD24" s="471" t="e">
        <f>IF(CC24="","",IF(CC24&lt;0.7,"F. Subcrítico",IF(AND(CC24&gt;0.7,CC24&lt;1),"F. Subcrítico Inestable",IF(CC24=1,"F. Crítico",IF(AND(CC24&gt;1,CC24&lt;1.5),"F. Supercrítico Inestable",IF(CC24&gt;1.5,"F. Supercrítico",""))))))</f>
        <v>#VALUE!</v>
      </c>
      <c r="CE24" s="471">
        <f>1000*BL24*CA24/100</f>
        <v>0.94413402786699041</v>
      </c>
      <c r="CF24" s="471" t="str">
        <f>IF(BP24=" "," ",(1000*BL24*CB24/100))</f>
        <v xml:space="preserve"> </v>
      </c>
      <c r="CG24" s="471" t="str">
        <f>IF(BS24&lt;0.45,"No cumple",IF(BS24&gt;5,"No cumple","O.K"))</f>
        <v>O.K</v>
      </c>
      <c r="CH24" s="471" t="str">
        <f>IF(BT24&lt;0.75,"No cumple",IF(BT24&gt;10,"No cumple","O.K"))</f>
        <v>No cumple</v>
      </c>
      <c r="CI24" s="471" t="str">
        <f>IF(CE24&gt;0.1,"OK","V.C.H.")</f>
        <v>OK</v>
      </c>
      <c r="CJ24" s="471" t="str">
        <f>IF(CF24&gt;0.2,"OK","V.C.H.")</f>
        <v>OK</v>
      </c>
      <c r="CK24" s="468" t="e">
        <f>+BJ24</f>
        <v>#REF!</v>
      </c>
      <c r="CL24" s="482" t="s">
        <v>2507</v>
      </c>
      <c r="CM24" s="482"/>
      <c r="CN24" s="63" t="str">
        <f>IF(B24=1,"dato"," ")</f>
        <v>dato</v>
      </c>
      <c r="CO24" s="498">
        <f>+CR24</f>
        <v>43.66</v>
      </c>
      <c r="CP24" s="472">
        <f>+BK24/100</f>
        <v>3.4356390288588475E-3</v>
      </c>
      <c r="CQ24" s="482" t="s">
        <v>2508</v>
      </c>
      <c r="CR24" s="204">
        <f>IF(BA24="","",AX24)</f>
        <v>43.66</v>
      </c>
      <c r="CS24" s="486">
        <v>1.2</v>
      </c>
      <c r="CT24" s="486">
        <v>1.2</v>
      </c>
      <c r="CU24" s="23">
        <f>IF($BA24="","",SQRT((BH24-BI24)^2+$CR24^2))</f>
        <v>43.66714668947354</v>
      </c>
      <c r="CV24" s="499" t="s">
        <v>2509</v>
      </c>
      <c r="CW24" s="488" t="str">
        <f>+IF(BD24&lt;=0.9,"E1",IF(BD24&lt;=2.5,"E2","E3"))</f>
        <v>E2</v>
      </c>
      <c r="CX24" s="204">
        <f>IF(AND(L24="",H24=""),"",IF(AND(BA24&lt;&gt;4,BA24&lt;&gt;5),VLOOKUP(AY24,'TABLA (2)'!$A$9:$D$43,4),IF(BA24=4,VLOOKUP(AY24,'TABLA (2)'!$A$74:$D$89,4),VLOOKUP(AY24,'TABLA (2)'!$A$51:$D$66,4))))</f>
        <v>3.6999999999999998E-2</v>
      </c>
      <c r="CY24" s="482"/>
      <c r="CZ24" s="482"/>
      <c r="DA24" s="482"/>
      <c r="DB24" s="490"/>
    </row>
    <row r="25" spans="1:153" ht="15.75" hidden="1" customHeight="1">
      <c r="A25" s="465"/>
      <c r="B25" s="502"/>
      <c r="C25" s="501"/>
      <c r="D25" s="501"/>
      <c r="E25" s="468"/>
      <c r="F25" s="468"/>
      <c r="G25" s="468"/>
      <c r="H25" s="468"/>
      <c r="I25" s="468"/>
      <c r="J25" s="468"/>
      <c r="K25" s="467"/>
      <c r="L25" s="468"/>
      <c r="M25" s="469"/>
      <c r="N25" s="470"/>
      <c r="O25" s="470"/>
      <c r="P25" s="470"/>
      <c r="Q25" s="469"/>
      <c r="R25" s="471"/>
      <c r="S25" s="471"/>
      <c r="T25" s="471"/>
      <c r="U25" s="471"/>
      <c r="V25" s="471"/>
      <c r="W25" s="471"/>
      <c r="X25" s="471"/>
      <c r="Y25" s="471"/>
      <c r="Z25" s="471"/>
      <c r="AA25" s="471" t="str">
        <f t="shared" si="0"/>
        <v/>
      </c>
      <c r="AB25" s="471"/>
      <c r="AC25" s="471"/>
      <c r="AD25" s="471"/>
      <c r="AE25" s="471"/>
      <c r="AF25" s="471"/>
      <c r="AG25" s="471"/>
      <c r="AH25" s="471"/>
      <c r="AI25" s="471"/>
      <c r="AJ25" s="471"/>
      <c r="AK25" s="472"/>
      <c r="AL25" s="471"/>
      <c r="AM25" s="473"/>
      <c r="AN25" s="474">
        <f t="shared" si="1"/>
        <v>11.001702680471837</v>
      </c>
      <c r="AO25" s="474"/>
      <c r="AP25" s="474"/>
      <c r="AQ25" s="475">
        <v>3</v>
      </c>
      <c r="AR25" s="474"/>
      <c r="AS25" s="474"/>
      <c r="AT25" s="471"/>
      <c r="AU25" s="492"/>
      <c r="AV25" s="471"/>
      <c r="AW25" s="471"/>
      <c r="AX25" s="478"/>
      <c r="AY25" s="493"/>
      <c r="AZ25" s="480"/>
      <c r="BA25" s="493"/>
      <c r="BB25" s="478" t="str">
        <f>IF(OR(C25="",D25=""),"",VLOOKUP(C25,'Base de Diseño (2)'!$A$2:$D$330,4,FALSE))</f>
        <v/>
      </c>
      <c r="BC25" s="478" t="str">
        <f>IF(OR(C25="",D25=""),"",VLOOKUP(D25,'Base de Diseño (2)'!$A$2:$D$330,4,FALSE))</f>
        <v/>
      </c>
      <c r="BD25" s="23"/>
      <c r="BE25" s="23"/>
      <c r="BF25" s="494"/>
      <c r="BG25" s="494"/>
      <c r="BH25" s="495"/>
      <c r="BI25" s="495"/>
      <c r="BJ25" s="468">
        <f t="shared" ref="BJ25:BJ30" si="3">IF(A25="",0,BI25-BH26)</f>
        <v>0</v>
      </c>
      <c r="BK25" s="475"/>
      <c r="BL25" s="475"/>
      <c r="BM25" s="475"/>
      <c r="BN25" s="475"/>
      <c r="BO25" s="204"/>
      <c r="BP25" s="496"/>
      <c r="BQ25" s="497"/>
      <c r="BR25" s="497"/>
      <c r="BS25" s="475"/>
      <c r="BT25" s="475"/>
      <c r="BU25" s="475"/>
      <c r="BV25" s="475"/>
      <c r="BW25" s="475"/>
      <c r="BX25" s="475"/>
      <c r="BY25" s="475"/>
      <c r="BZ25" s="475"/>
      <c r="CA25" s="471"/>
      <c r="CB25" s="471"/>
      <c r="CC25" s="471" t="e">
        <f t="shared" si="2"/>
        <v>#DIV/0!</v>
      </c>
      <c r="CD25" s="471"/>
      <c r="CE25" s="471"/>
      <c r="CF25" s="471"/>
      <c r="CG25" s="471"/>
      <c r="CH25" s="471"/>
      <c r="CI25" s="471"/>
      <c r="CJ25" s="471"/>
      <c r="CK25" s="468"/>
      <c r="CL25" s="482"/>
      <c r="CM25" s="482"/>
      <c r="CN25" s="63"/>
      <c r="CO25" s="498"/>
      <c r="CP25" s="472"/>
      <c r="CQ25" s="482"/>
      <c r="CR25" s="204"/>
      <c r="CS25" s="486"/>
      <c r="CT25" s="486"/>
      <c r="CU25" s="23"/>
      <c r="CV25" s="499"/>
      <c r="CW25" s="488"/>
      <c r="CX25" s="204"/>
      <c r="CY25" s="482"/>
      <c r="CZ25" s="482"/>
      <c r="DA25" s="482"/>
      <c r="DB25" s="490"/>
    </row>
    <row r="26" spans="1:153" ht="15.75" hidden="1" customHeight="1">
      <c r="A26" s="465">
        <v>3</v>
      </c>
      <c r="B26" s="491">
        <v>1</v>
      </c>
      <c r="C26" s="466" t="s">
        <v>2153</v>
      </c>
      <c r="D26" s="466" t="s">
        <v>2156</v>
      </c>
      <c r="E26" s="468">
        <v>0.26016399950000002</v>
      </c>
      <c r="F26" s="468"/>
      <c r="G26" s="468">
        <f>IF(B26=1,0,SUMIF($D$22:$D$583,C26,$H$22:$H$583))</f>
        <v>0</v>
      </c>
      <c r="H26" s="468">
        <f>+E26+F26+G26</f>
        <v>0.26016399950000002</v>
      </c>
      <c r="I26" s="468">
        <v>0.26016399950000002</v>
      </c>
      <c r="J26" s="468"/>
      <c r="K26" s="467">
        <f>+IF(B26=1,0,SUMIF($D$22:$D$583,C26,$L$22:$L$580))</f>
        <v>0</v>
      </c>
      <c r="L26" s="468">
        <f>+I26+J26+K26</f>
        <v>0.26016399950000002</v>
      </c>
      <c r="M26" s="469">
        <f>+$P$12</f>
        <v>242.33666300502347</v>
      </c>
      <c r="N26" s="470">
        <f>M26*E26</f>
        <v>63.047275472870602</v>
      </c>
      <c r="O26" s="470">
        <f>M26*F26</f>
        <v>0</v>
      </c>
      <c r="P26" s="470">
        <f>M26*H26</f>
        <v>63.047275472870602</v>
      </c>
      <c r="Q26" s="469">
        <f>+$H$14</f>
        <v>140</v>
      </c>
      <c r="R26" s="471">
        <f>Q26*P26*$P$14/86400</f>
        <v>8.6835946542495393E-2</v>
      </c>
      <c r="S26" s="471"/>
      <c r="T26" s="471"/>
      <c r="U26" s="471">
        <f>IF(C26="","",T26*$P$17)</f>
        <v>0</v>
      </c>
      <c r="V26" s="471"/>
      <c r="W26" s="471"/>
      <c r="X26" s="471">
        <f>IF(C26="","",W26*$P$16)</f>
        <v>0</v>
      </c>
      <c r="Y26" s="471">
        <f>IF(H26=0,0,$H$15*H26)</f>
        <v>5.203279990000001E-2</v>
      </c>
      <c r="Z26" s="471">
        <f>IF(L26=0,$H$16*H26,0)</f>
        <v>0</v>
      </c>
      <c r="AA26" s="471">
        <f t="shared" si="0"/>
        <v>3.8</v>
      </c>
      <c r="AB26" s="471">
        <f>R26*AA26</f>
        <v>0.32997659686148245</v>
      </c>
      <c r="AC26" s="471">
        <f>Q26*(N26+O26)*$P$14/86400</f>
        <v>8.6835946542495393E-2</v>
      </c>
      <c r="AD26" s="471">
        <f>IF(E26=0,0,$H$15*(E26+F26))</f>
        <v>5.203279990000001E-2</v>
      </c>
      <c r="AE26" s="471">
        <f>IF(F26=0,0,$H$15*(F26+G26))</f>
        <v>0</v>
      </c>
      <c r="AF26" s="471">
        <f>IF(N26="","",IF(1+((14/(4+(((N26+O26)+O26)/1000)^1/2)))&lt;1.4,1.4,IF(1+((14/(4+((N26+O26)/1000)^1/2)))&gt;=4,4,(1+((14/(4+((N26+O26)/1000)^1/2)))))))</f>
        <v>4</v>
      </c>
      <c r="AG26" s="471">
        <f>AC26*AF26</f>
        <v>0.34734378616998157</v>
      </c>
      <c r="AH26" s="471">
        <f>+AD26+AE26+AG26</f>
        <v>0.39937658606998161</v>
      </c>
      <c r="AI26" s="471">
        <f>IF(H26="","",IF(AB26+Y26+Z26+X26+U26&lt;1.5,1.5,AB26+Y26+Z26+X26+U26))</f>
        <v>1.5</v>
      </c>
      <c r="AJ26" s="471">
        <f>+$P$17</f>
        <v>0.75</v>
      </c>
      <c r="AK26" s="472">
        <f>+BK26/100</f>
        <v>1.7116060961312109E-2</v>
      </c>
      <c r="AL26" s="471">
        <f>IF(AJ26=0," ",0.14+0.65*AJ26+0.05*AK26)</f>
        <v>0.62835580304806571</v>
      </c>
      <c r="AM26" s="473">
        <f>((100/36)*$AM$14*(AP26+$AN$14)^$AO$14)</f>
        <v>336.32613267542746</v>
      </c>
      <c r="AN26" s="474">
        <f t="shared" si="1"/>
        <v>8.8053183837388325</v>
      </c>
      <c r="AO26" s="474">
        <f>((1/60)*$AX26/$AQ26)</f>
        <v>0.47388888888888886</v>
      </c>
      <c r="AP26" s="474">
        <f>IF(B26=1,IF(($AN26+$AO26)&lt;10,10,IF(($AN26+$AO26)&gt;20,20,($AN26+$AO26))),($AN26+$AO26))</f>
        <v>10</v>
      </c>
      <c r="AQ26" s="475">
        <v>3</v>
      </c>
      <c r="AR26" s="474">
        <f>((1/60)*$AX26/$BT26)</f>
        <v>0.89574539077647874</v>
      </c>
      <c r="AS26" s="474">
        <f>AO26/AR26</f>
        <v>0.52904418350185123</v>
      </c>
      <c r="AT26" s="471" t="str">
        <f>IF(AS26&lt;0.9,"Disminuir vel.",IF(AS26&gt;1.1,"Aumentar vel.","Cumple"))</f>
        <v>Disminuir vel.</v>
      </c>
      <c r="AU26" s="492">
        <f>+I26*AL26*AM26</f>
        <v>54.981102488254642</v>
      </c>
      <c r="AV26" s="471">
        <f>+L26*AL26*AM26</f>
        <v>54.981102488254642</v>
      </c>
      <c r="AW26" s="471">
        <f>ROUND(IF(AI26&gt;(AV26*0.05),(AV26+AI26),AV26),2)</f>
        <v>54.98</v>
      </c>
      <c r="AX26" s="478">
        <f>IF(OR(C26="",D26=""),"",ROUND(((VLOOKUP(C26,'Base de Diseño (2)'!$A$2:$C$333,2,FALSE)-VLOOKUP(D26,'Base de Diseño (2)'!$A$2:$C$333,2,FALSE))^2+(VLOOKUP(C26,'Base de Diseño (2)'!$A$2:$C$333,3,0)-VLOOKUP(D26,'Base de Diseño (2)'!$A$2:$C$333,3,FALSE))^2)^0.5,2))</f>
        <v>85.3</v>
      </c>
      <c r="AY26" s="493">
        <v>10</v>
      </c>
      <c r="AZ26" s="480">
        <f>IF(AND(L26="",H26=""),"",IF(BA26=4,VLOOKUP(AY26,'TABLA (2)'!$A$74:$C$89,2),IF(BA26=5,VLOOKUP(AY26,'TABLA (2)'!$A$51:$B$66,2),IF(BA26=6,VLOOKUP(AY26,'TABLA (2)'!$A$9:$B$43,2)))))</f>
        <v>250</v>
      </c>
      <c r="BA26" s="493">
        <v>6</v>
      </c>
      <c r="BB26" s="478">
        <f>IF(OR(C26="",D26=""),"",VLOOKUP(C26,'Base de Diseño (2)'!$A$2:$D$330,4,FALSE))</f>
        <v>974.44159999999999</v>
      </c>
      <c r="BC26" s="478">
        <f>IF(OR(C26="",D26=""),"",VLOOKUP(D26,'Base de Diseño (2)'!$A$2:$D$330,4,FALSE))</f>
        <v>972.98160000000007</v>
      </c>
      <c r="BD26" s="23">
        <f>+BF26-((AZ26/1000)+CX26)</f>
        <v>1.2130000000000001</v>
      </c>
      <c r="BE26" s="23">
        <f>+BG26-((AZ26/1000)+CX26)</f>
        <v>1.4430000000000183</v>
      </c>
      <c r="BF26" s="494">
        <v>1.5</v>
      </c>
      <c r="BG26" s="494">
        <v>1.7300000000000182</v>
      </c>
      <c r="BH26" s="495">
        <f>BB26-BF26</f>
        <v>972.94159999999999</v>
      </c>
      <c r="BI26" s="495">
        <f>BC26-BG26</f>
        <v>971.25160000000005</v>
      </c>
      <c r="BJ26" s="468">
        <f t="shared" si="3"/>
        <v>971.25160000000005</v>
      </c>
      <c r="BK26" s="475">
        <f>ABS((BB26-BC26)/AX26)*100</f>
        <v>1.711606096131211</v>
      </c>
      <c r="BL26" s="475">
        <f>((BH26-BI26)/AX26)*100</f>
        <v>1.9812426729190395</v>
      </c>
      <c r="BM26" s="475">
        <f>IF(BA26=6,(1/0.013)*((AZ26/4000)^(2/3))*((BL26/100)^(0.5)),(1/0.009)*((AZ26/4000)^(2/3))*((BL26/100)^(0.5)))</f>
        <v>1.7052137632996551</v>
      </c>
      <c r="BN26" s="475">
        <f>1000*BM26*PI()*((AZ26/1000/2)^2)</f>
        <v>83.704484868475006</v>
      </c>
      <c r="BO26" s="204">
        <f>AI26/BN26</f>
        <v>1.7920186742167429E-2</v>
      </c>
      <c r="BP26" s="496">
        <f>IF(L26=0," ",AW26/BN26)</f>
        <v>0.65683457805624346</v>
      </c>
      <c r="BQ26" s="497">
        <f>IF($BO26&gt;0 =AND($BO26&lt;=0.06),10^(0.029806+0.29095*LOG($BO26)),IF($BO26&gt;0.06 =AND($BO26&lt;=0.26),10^(0.013778+0.282597*LOG($BO26)),IF($BO26&gt;0.26 =AND($BO26&lt;=0.91),10^(0.021763+0.28995*LOG($BO26)),1)))</f>
        <v>0.33236555534818274</v>
      </c>
      <c r="BR26" s="497">
        <f>IF($BP26&gt;0 =AND($BP26&lt;=0.06),10^(0.029806+0.29095*LOG($BP26)),IF($BP26&gt;0.06 =AND($BP26&lt;=0.26),10^(0.013778+0.282597*LOG($BP26)),IF($BP26&gt;0.26 =AND($BP26&lt;=2),10^(0.021763+0.28995*LOG($BP26))," ")))</f>
        <v>0.93075283853819624</v>
      </c>
      <c r="BS26" s="475">
        <f>BM26*BQ26</f>
        <v>0.56675431942645449</v>
      </c>
      <c r="BT26" s="475">
        <f>IF(BP26=" "," ",(BM26*BR26))</f>
        <v>1.5871325505055538</v>
      </c>
      <c r="BU26" s="475">
        <f>IF(BO26&lt;=0.11,0.3827+0.0645*LN(BO26),IF(BO26&lt;=0.21,0.60025+0.15471*LN(BO26),IF(BO26&lt;1,0.225+0.6666666667*BO26,0)))</f>
        <v>0.12329212943566975</v>
      </c>
      <c r="BV26" s="475">
        <f>IF(BP26&lt;=0.11,0.3827+0.0645*LN(BP26),IF(BP26&lt;=0.21,0.60025+0.15471*LN(BP26),IF(BP26&lt;1,0.225+0.6666666667*BP26," ")))</f>
        <v>0.66288971872605673</v>
      </c>
      <c r="BW26" s="475">
        <f>2*ACOS(1-2*(BU26))</f>
        <v>1.4351098016052506</v>
      </c>
      <c r="BX26" s="475">
        <f>IF(BP26=" "," ",(2*ACOS(1-2*(BV26))))</f>
        <v>3.8052647010761422</v>
      </c>
      <c r="BY26" s="475">
        <f>(1/4)*(1-(SIN(BW26))/BW26)</f>
        <v>7.7398451158491227E-2</v>
      </c>
      <c r="BZ26" s="475">
        <f>IF(BP26=" "," ",((1/4)*(1-(SIN(BX26))/BX26)))</f>
        <v>0.29047113993537349</v>
      </c>
      <c r="CA26" s="471">
        <f>BY26*AZ26/1000</f>
        <v>1.9349612789622807E-2</v>
      </c>
      <c r="CB26" s="471">
        <f>IF(BP26=" "," ",(BZ26*AZ26/1000))</f>
        <v>7.2617784983843373E-2</v>
      </c>
      <c r="CC26" s="471">
        <f t="shared" si="2"/>
        <v>1.3255559877924328</v>
      </c>
      <c r="CD26" s="471" t="str">
        <f>IF(CC26="","",IF(CC26&lt;0.7,"F. Subcrítico",IF(AND(CC26&gt;0.7,CC26&lt;1),"F. Subcrítico Inestable",IF(CC26=1,"F. Crítico",IF(AND(CC26&gt;1,CC26&lt;1.5),"F. Supercrítico Inestable",IF(CC26&gt;1.5,"F. Supercrítico",""))))))</f>
        <v>F. Supercrítico Inestable</v>
      </c>
      <c r="CE26" s="471">
        <f>1000*BL26*CA26/100</f>
        <v>0.38336278563260717</v>
      </c>
      <c r="CF26" s="471">
        <f>IF(BP26=" "," ",(1000*BL26*CB26/100))</f>
        <v>1.4387345442284993</v>
      </c>
      <c r="CG26" s="471" t="str">
        <f>IF(BS26&lt;0.45,"No cumple",IF(BS26&gt;5,"No cumple","O.K"))</f>
        <v>O.K</v>
      </c>
      <c r="CH26" s="471" t="str">
        <f>IF(BT26&lt;0.75,"No cumple",IF(BT26&gt;10,"No cumple","O.K"))</f>
        <v>O.K</v>
      </c>
      <c r="CI26" s="471" t="str">
        <f>IF(CE26&gt;0.1,"OK","V.C.H.")</f>
        <v>OK</v>
      </c>
      <c r="CJ26" s="471" t="str">
        <f>IF(CF26&gt;0.2,"OK","V.C.H.")</f>
        <v>OK</v>
      </c>
      <c r="CK26" s="468">
        <f>+BJ26</f>
        <v>971.25160000000005</v>
      </c>
      <c r="CL26" s="482" t="s">
        <v>2507</v>
      </c>
      <c r="CM26" s="482"/>
      <c r="CN26" s="63" t="str">
        <f>IF(B26=1,"dato"," ")</f>
        <v>dato</v>
      </c>
      <c r="CO26" s="498">
        <f>+CR26</f>
        <v>85.3</v>
      </c>
      <c r="CP26" s="472">
        <f>+BK26/100</f>
        <v>1.7116060961312109E-2</v>
      </c>
      <c r="CQ26" s="482" t="s">
        <v>2508</v>
      </c>
      <c r="CR26" s="204">
        <f>IF(BA26="","",AX26)</f>
        <v>85.3</v>
      </c>
      <c r="CS26" s="486">
        <v>1.2</v>
      </c>
      <c r="CT26" s="486">
        <v>1.2</v>
      </c>
      <c r="CU26" s="23">
        <f>IF($BA26="","",SQRT((BH26-BI26)^2+$CR26^2))</f>
        <v>85.31673985801379</v>
      </c>
      <c r="CV26" s="499" t="s">
        <v>2509</v>
      </c>
      <c r="CW26" s="488" t="str">
        <f>+IF(BD26&lt;=0.9,"E1",IF(BD26&lt;=2.5,"E2","E3"))</f>
        <v>E2</v>
      </c>
      <c r="CX26" s="204">
        <f>IF(AND(L26="",H26=""),"",IF(AND(BA26&lt;&gt;4,BA26&lt;&gt;5),VLOOKUP(AY26,'TABLA (2)'!$A$9:$D$43,4),IF(BA26=4,VLOOKUP(AY26,'TABLA (2)'!$A$74:$D$89,4),VLOOKUP(AY26,'TABLA (2)'!$A$51:$D$66,4))))</f>
        <v>3.6999999999999998E-2</v>
      </c>
      <c r="CY26" s="482"/>
      <c r="CZ26" s="482"/>
      <c r="DA26" s="482"/>
      <c r="DB26" s="490"/>
    </row>
    <row r="27" spans="1:153" ht="15.75" hidden="1" customHeight="1">
      <c r="A27" s="465"/>
      <c r="B27" s="502"/>
      <c r="C27" s="501"/>
      <c r="D27" s="501"/>
      <c r="E27" s="468"/>
      <c r="F27" s="468"/>
      <c r="G27" s="468"/>
      <c r="H27" s="468"/>
      <c r="I27" s="468"/>
      <c r="J27" s="468"/>
      <c r="K27" s="467"/>
      <c r="L27" s="468"/>
      <c r="M27" s="469"/>
      <c r="N27" s="470"/>
      <c r="O27" s="470"/>
      <c r="P27" s="470"/>
      <c r="Q27" s="469"/>
      <c r="R27" s="471"/>
      <c r="S27" s="471"/>
      <c r="T27" s="471"/>
      <c r="U27" s="471"/>
      <c r="V27" s="471"/>
      <c r="W27" s="471"/>
      <c r="X27" s="471"/>
      <c r="Y27" s="471"/>
      <c r="Z27" s="471"/>
      <c r="AA27" s="471" t="str">
        <f t="shared" si="0"/>
        <v/>
      </c>
      <c r="AB27" s="471"/>
      <c r="AC27" s="471"/>
      <c r="AD27" s="471"/>
      <c r="AE27" s="471"/>
      <c r="AF27" s="471"/>
      <c r="AG27" s="471"/>
      <c r="AH27" s="471"/>
      <c r="AI27" s="471"/>
      <c r="AJ27" s="471"/>
      <c r="AK27" s="472"/>
      <c r="AL27" s="471"/>
      <c r="AM27" s="473"/>
      <c r="AN27" s="474">
        <f t="shared" si="1"/>
        <v>10</v>
      </c>
      <c r="AO27" s="474"/>
      <c r="AP27" s="474"/>
      <c r="AQ27" s="475">
        <v>3</v>
      </c>
      <c r="AR27" s="474"/>
      <c r="AS27" s="474"/>
      <c r="AT27" s="471"/>
      <c r="AU27" s="492"/>
      <c r="AV27" s="471"/>
      <c r="AW27" s="471"/>
      <c r="AX27" s="478"/>
      <c r="AY27" s="493"/>
      <c r="AZ27" s="480"/>
      <c r="BA27" s="493"/>
      <c r="BB27" s="478" t="str">
        <f>IF(OR(C27="",D27=""),"",VLOOKUP(C27,'Base de Diseño (2)'!$A$2:$D$330,4,FALSE))</f>
        <v/>
      </c>
      <c r="BC27" s="478" t="str">
        <f>IF(OR(C27="",D27=""),"",VLOOKUP(D27,'Base de Diseño (2)'!$A$2:$D$330,4,FALSE))</f>
        <v/>
      </c>
      <c r="BD27" s="23"/>
      <c r="BE27" s="23"/>
      <c r="BF27" s="494"/>
      <c r="BG27" s="494"/>
      <c r="BH27" s="495"/>
      <c r="BI27" s="495"/>
      <c r="BJ27" s="468">
        <f t="shared" si="3"/>
        <v>0</v>
      </c>
      <c r="BK27" s="475"/>
      <c r="BL27" s="475"/>
      <c r="BM27" s="475"/>
      <c r="BN27" s="475"/>
      <c r="BO27" s="204"/>
      <c r="BP27" s="496"/>
      <c r="BQ27" s="497"/>
      <c r="BR27" s="497"/>
      <c r="BS27" s="475"/>
      <c r="BT27" s="475"/>
      <c r="BU27" s="475"/>
      <c r="BV27" s="475"/>
      <c r="BW27" s="475"/>
      <c r="BX27" s="475"/>
      <c r="BY27" s="475"/>
      <c r="BZ27" s="475"/>
      <c r="CA27" s="471"/>
      <c r="CB27" s="471"/>
      <c r="CC27" s="471" t="e">
        <f t="shared" si="2"/>
        <v>#DIV/0!</v>
      </c>
      <c r="CD27" s="471"/>
      <c r="CE27" s="471"/>
      <c r="CF27" s="471"/>
      <c r="CG27" s="471"/>
      <c r="CH27" s="471"/>
      <c r="CI27" s="471"/>
      <c r="CJ27" s="471"/>
      <c r="CK27" s="468"/>
      <c r="CL27" s="482"/>
      <c r="CM27" s="482"/>
      <c r="CN27" s="63"/>
      <c r="CO27" s="498"/>
      <c r="CP27" s="472"/>
      <c r="CQ27" s="482"/>
      <c r="CR27" s="204"/>
      <c r="CS27" s="486"/>
      <c r="CT27" s="486"/>
      <c r="CU27" s="23"/>
      <c r="CV27" s="499"/>
      <c r="CW27" s="488"/>
      <c r="CX27" s="204"/>
      <c r="CY27" s="482"/>
      <c r="CZ27" s="482"/>
      <c r="DA27" s="482"/>
      <c r="DB27" s="490"/>
    </row>
    <row r="28" spans="1:153" ht="15.75" hidden="1" customHeight="1">
      <c r="A28" s="465">
        <v>4</v>
      </c>
      <c r="B28" s="491">
        <v>1</v>
      </c>
      <c r="C28" s="466" t="s">
        <v>2149</v>
      </c>
      <c r="D28" s="466" t="s">
        <v>2150</v>
      </c>
      <c r="E28" s="468">
        <v>0.1242725496</v>
      </c>
      <c r="F28" s="468"/>
      <c r="G28" s="468">
        <f>IF(B28=1,0,SUMIF($D$22:$D$583,C28,$H$22:$H$583))</f>
        <v>0</v>
      </c>
      <c r="H28" s="468">
        <f>+E28+F28+G28</f>
        <v>0.1242725496</v>
      </c>
      <c r="I28" s="468">
        <v>0.1242725496</v>
      </c>
      <c r="J28" s="468"/>
      <c r="K28" s="467">
        <f>+IF(B28=1,0,SUMIF($D$22:$D$583,C28,$L$22:$L$580))</f>
        <v>0</v>
      </c>
      <c r="L28" s="468">
        <f>+I28+J28+K28</f>
        <v>0.1242725496</v>
      </c>
      <c r="M28" s="469">
        <f>+$P$12</f>
        <v>242.33666300502347</v>
      </c>
      <c r="N28" s="470">
        <f>M28*E28</f>
        <v>30.115794973190265</v>
      </c>
      <c r="O28" s="470">
        <f>M28*F28</f>
        <v>0</v>
      </c>
      <c r="P28" s="470">
        <f>M28*H28</f>
        <v>30.115794973190265</v>
      </c>
      <c r="Q28" s="469">
        <f>+$H$14</f>
        <v>140</v>
      </c>
      <c r="R28" s="471">
        <f>Q28*P28*$P$14/86400</f>
        <v>4.1478930576500476E-2</v>
      </c>
      <c r="S28" s="471"/>
      <c r="T28" s="471"/>
      <c r="U28" s="471">
        <f>IF(C28="","",T28*$P$17)</f>
        <v>0</v>
      </c>
      <c r="V28" s="471"/>
      <c r="W28" s="471"/>
      <c r="X28" s="471">
        <f>IF(C28="","",W28*$P$16)</f>
        <v>0</v>
      </c>
      <c r="Y28" s="471">
        <f>IF(H28=0,0,$H$15*H28)</f>
        <v>2.4854509920000004E-2</v>
      </c>
      <c r="Z28" s="471">
        <f>IF(L28=0,$H$16*H28,0)</f>
        <v>0</v>
      </c>
      <c r="AA28" s="471">
        <f t="shared" si="0"/>
        <v>3.8</v>
      </c>
      <c r="AB28" s="471">
        <f>R28*AA28</f>
        <v>0.1576199361907018</v>
      </c>
      <c r="AC28" s="471">
        <f>Q28*(N28+O28)*$P$14/86400</f>
        <v>4.1478930576500476E-2</v>
      </c>
      <c r="AD28" s="471">
        <f t="shared" ref="AD28:AE30" si="4">IF(E28=0,0,$H$15*(E28+F28))</f>
        <v>2.4854509920000004E-2</v>
      </c>
      <c r="AE28" s="471">
        <f t="shared" si="4"/>
        <v>0</v>
      </c>
      <c r="AF28" s="471">
        <f>IF(N28="","",IF(1+((14/(4+(((N28+O28)+O28)/1000)^1/2)))&lt;1.4,1.4,IF(1+((14/(4+((N28+O28)/1000)^1/2)))&gt;=4,4,(1+((14/(4+((N28+O28)/1000)^1/2)))))))</f>
        <v>4</v>
      </c>
      <c r="AG28" s="471">
        <f>AC28*AF28</f>
        <v>0.16591572230600191</v>
      </c>
      <c r="AH28" s="471">
        <f>+AD28+AE28+AG28</f>
        <v>0.19077023222600192</v>
      </c>
      <c r="AI28" s="471">
        <f>IF(H28="","",IF(AB28+Y28+Z28+X28+U28&lt;1.5,1.5,AB28+Y28+Z28+X28+U28))</f>
        <v>1.5</v>
      </c>
      <c r="AJ28" s="471">
        <f>+$P$17</f>
        <v>0.75</v>
      </c>
      <c r="AK28" s="472">
        <f>+BK28/100</f>
        <v>3.2017075773741145E-3</v>
      </c>
      <c r="AL28" s="471">
        <f>IF(AJ28=0," ",0.14+0.65*AJ28+0.05*AK28)</f>
        <v>0.62766008537886875</v>
      </c>
      <c r="AM28" s="473">
        <f>((100/36)*$AM$14*(AP28+$AN$14)^$AO$14)</f>
        <v>320.49146004756847</v>
      </c>
      <c r="AN28" s="474">
        <f t="shared" si="1"/>
        <v>11.410361385563505</v>
      </c>
      <c r="AO28" s="474">
        <f>((1/60)*$AX28/$AQ28)</f>
        <v>0.26027777777777777</v>
      </c>
      <c r="AP28" s="474">
        <f>IF(B28=1,IF(($AN28+$AO28)&lt;10,10,IF(($AN28+$AO28)&gt;20,20,($AN28+$AO28))),($AN28+$AO28))</f>
        <v>11.670639163341283</v>
      </c>
      <c r="AQ28" s="475">
        <v>3</v>
      </c>
      <c r="AR28" s="474" t="e">
        <f>((1/60)*$AX28/$BT28)</f>
        <v>#NUM!</v>
      </c>
      <c r="AS28" s="474" t="e">
        <f>AO28/AR28</f>
        <v>#NUM!</v>
      </c>
      <c r="AT28" s="471" t="e">
        <f>IF(AS28&lt;0.9,"Disminuir vel.",IF(AS28&gt;1.1,"Aumentar vel.","Cumple"))</f>
        <v>#NUM!</v>
      </c>
      <c r="AU28" s="492">
        <f>+I28*AL28*AM28</f>
        <v>24.998628444906856</v>
      </c>
      <c r="AV28" s="471">
        <f>+L28*AL28*AM28</f>
        <v>24.998628444906856</v>
      </c>
      <c r="AW28" s="471">
        <f>ROUND(IF(AI28&gt;(AV28*0.05),(AV28+AI28),AV28),2)</f>
        <v>26.5</v>
      </c>
      <c r="AX28" s="478">
        <f>IF(OR(C28="",D28=""),"",ROUND(((VLOOKUP(C28,'Base de Diseño (2)'!$A$2:$C$333,2,FALSE)-VLOOKUP(D28,'Base de Diseño (2)'!$A$2:$C$333,2,FALSE))^2+(VLOOKUP(C28,'Base de Diseño (2)'!$A$2:$C$333,3,0)-VLOOKUP(D28,'Base de Diseño (2)'!$A$2:$C$333,3,FALSE))^2)^0.5,2))</f>
        <v>46.85</v>
      </c>
      <c r="AY28" s="493">
        <v>8</v>
      </c>
      <c r="AZ28" s="480">
        <f>IF(AND(L28="",H28=""),"",IF(BA28=4,VLOOKUP(AY28,'TABLA (2)'!$A$74:$C$89,2),IF(BA28=5,VLOOKUP(AY28,'TABLA (2)'!$A$51:$B$66,2),IF(BA28=6,VLOOKUP(AY28,'TABLA (2)'!$A$9:$B$43,2)))))</f>
        <v>200</v>
      </c>
      <c r="BA28" s="493">
        <v>6</v>
      </c>
      <c r="BB28" s="478">
        <f>IF(OR(C28="",D28=""),"",VLOOKUP(C28,'Base de Diseño (2)'!$A$2:$D$330,4,FALSE))</f>
        <v>982.62160000000006</v>
      </c>
      <c r="BC28" s="478">
        <f>IF(OR(C28="",D28=""),"",VLOOKUP(D28,'Base de Diseño (2)'!$A$2:$D$330,4,FALSE))</f>
        <v>982.77160000000003</v>
      </c>
      <c r="BD28" s="23">
        <f>+BF28-((AZ28/1000)+CX28)</f>
        <v>1.2230000000000363</v>
      </c>
      <c r="BE28" s="23">
        <f>+BG28-((AZ28/1000)+CX28)</f>
        <v>1.2629999999999999</v>
      </c>
      <c r="BF28" s="494">
        <v>1.4600000000000364</v>
      </c>
      <c r="BG28" s="494">
        <v>1.5</v>
      </c>
      <c r="BH28" s="495">
        <f t="shared" ref="BH28:BI30" si="5">BB28-BF28</f>
        <v>981.16160000000002</v>
      </c>
      <c r="BI28" s="495">
        <f t="shared" si="5"/>
        <v>981.27160000000003</v>
      </c>
      <c r="BJ28" s="468">
        <f t="shared" si="3"/>
        <v>-0.10000000000002274</v>
      </c>
      <c r="BK28" s="475">
        <f>ABS((BB28-BC28)/AX28)*100</f>
        <v>0.32017075773741144</v>
      </c>
      <c r="BL28" s="475">
        <f>((BH28-BI28)/AX28)*100</f>
        <v>-0.23479188900749978</v>
      </c>
      <c r="BM28" s="475" t="e">
        <f>IF(BA28=6,(1/0.013)*((AZ28/4000)^(2/3))*((BL28/100)^(0.5)),(1/0.009)*((AZ28/4000)^(2/3))*((BL28/100)^(0.5)))</f>
        <v>#NUM!</v>
      </c>
      <c r="BN28" s="475" t="e">
        <f>1000*BM28*PI()*((AZ28/1000/2)^2)</f>
        <v>#NUM!</v>
      </c>
      <c r="BO28" s="204" t="e">
        <f>AI28/BN28</f>
        <v>#NUM!</v>
      </c>
      <c r="BP28" s="496" t="e">
        <f>IF(L28=0," ",AW28/BN28)</f>
        <v>#NUM!</v>
      </c>
      <c r="BQ28" s="497" t="e">
        <f>IF($BO28&gt;0 =AND($BO28&lt;=0.06),10^(0.029806+0.29095*LOG($BO28)),IF($BO28&gt;0.06 =AND($BO28&lt;=0.26),10^(0.013778+0.282597*LOG($BO28)),IF($BO28&gt;0.26 =AND($BO28&lt;=0.91),10^(0.021763+0.28995*LOG($BO28)),1)))</f>
        <v>#NUM!</v>
      </c>
      <c r="BR28" s="497" t="e">
        <f>IF($BP28&gt;0 =AND($BP28&lt;=0.06),10^(0.029806+0.29095*LOG($BP28)),IF($BP28&gt;0.06 =AND($BP28&lt;=0.26),10^(0.013778+0.282597*LOG($BP28)),IF($BP28&gt;0.26 =AND($BP28&lt;=2),10^(0.021763+0.28995*LOG($BP28))," ")))</f>
        <v>#NUM!</v>
      </c>
      <c r="BS28" s="475" t="e">
        <f>BM28*BQ28</f>
        <v>#NUM!</v>
      </c>
      <c r="BT28" s="475" t="e">
        <f>IF(BP28=" "," ",(BM28*BR28))</f>
        <v>#NUM!</v>
      </c>
      <c r="BU28" s="475" t="e">
        <f>IF(BO28&lt;=0.11,0.3827+0.0645*LN(BO28),IF(BO28&lt;=0.21,0.60025+0.15471*LN(BO28),IF(BO28&lt;1,0.225+0.6666666667*BO28,0)))</f>
        <v>#NUM!</v>
      </c>
      <c r="BV28" s="475" t="e">
        <f>IF(BP28&lt;=0.11,0.3827+0.0645*LN(BP28),IF(BP28&lt;=0.21,0.60025+0.15471*LN(BP28),IF(BP28&lt;1,0.225+0.6666666667*BP28," ")))</f>
        <v>#NUM!</v>
      </c>
      <c r="BW28" s="475" t="e">
        <f>2*ACOS(1-2*(BU28))</f>
        <v>#NUM!</v>
      </c>
      <c r="BX28" s="475" t="e">
        <f>IF(BP28=" "," ",(2*ACOS(1-2*(BV28))))</f>
        <v>#NUM!</v>
      </c>
      <c r="BY28" s="475" t="e">
        <f>(1/4)*(1-(SIN(BW28))/BW28)</f>
        <v>#NUM!</v>
      </c>
      <c r="BZ28" s="475" t="e">
        <f>IF(BP28=" "," ",((1/4)*(1-(SIN(BX28))/BX28)))</f>
        <v>#NUM!</v>
      </c>
      <c r="CA28" s="471" t="e">
        <f>BY28*AZ28/1000</f>
        <v>#NUM!</v>
      </c>
      <c r="CB28" s="471" t="e">
        <f>IF(BP28=" "," ",(BZ28*AZ28/1000))</f>
        <v>#NUM!</v>
      </c>
      <c r="CC28" s="471" t="e">
        <f t="shared" si="2"/>
        <v>#NUM!</v>
      </c>
      <c r="CD28" s="471" t="e">
        <f>IF(CC28="","",IF(CC28&lt;0.7,"F. Subcrítico",IF(AND(CC28&gt;0.7,CC28&lt;1),"F. Subcrítico Inestable",IF(CC28=1,"F. Crítico",IF(AND(CC28&gt;1,CC28&lt;1.5),"F. Supercrítico Inestable",IF(CC28&gt;1.5,"F. Supercrítico",""))))))</f>
        <v>#NUM!</v>
      </c>
      <c r="CE28" s="471" t="e">
        <f>1000*BL28*CA28/100</f>
        <v>#NUM!</v>
      </c>
      <c r="CF28" s="471" t="e">
        <f>IF(BP28=" "," ",(1000*BL28*CB28/100))</f>
        <v>#NUM!</v>
      </c>
      <c r="CG28" s="471" t="e">
        <f>IF(BS28&lt;0.45,"No cumple",IF(BS28&gt;5,"No cumple","O.K"))</f>
        <v>#NUM!</v>
      </c>
      <c r="CH28" s="471" t="e">
        <f>IF(BT28&lt;0.75,"No cumple",IF(BT28&gt;10,"No cumple","O.K"))</f>
        <v>#NUM!</v>
      </c>
      <c r="CI28" s="471" t="e">
        <f>IF(CE28&gt;0.1,"OK","V.C.H.")</f>
        <v>#NUM!</v>
      </c>
      <c r="CJ28" s="471" t="e">
        <f>IF(CF28&gt;0.2,"OK","V.C.H.")</f>
        <v>#NUM!</v>
      </c>
      <c r="CK28" s="468">
        <f>+BJ28</f>
        <v>-0.10000000000002274</v>
      </c>
      <c r="CL28" s="482" t="s">
        <v>2507</v>
      </c>
      <c r="CM28" s="482"/>
      <c r="CN28" s="63" t="str">
        <f>IF(B28=1,"dato"," ")</f>
        <v>dato</v>
      </c>
      <c r="CO28" s="498">
        <f>+CR28</f>
        <v>46.85</v>
      </c>
      <c r="CP28" s="472">
        <f>+BK28/100</f>
        <v>3.2017075773741145E-3</v>
      </c>
      <c r="CQ28" s="482" t="s">
        <v>2508</v>
      </c>
      <c r="CR28" s="204">
        <f>IF(BA28="","",AX28)</f>
        <v>46.85</v>
      </c>
      <c r="CS28" s="486">
        <v>1.2</v>
      </c>
      <c r="CT28" s="486">
        <v>1.2</v>
      </c>
      <c r="CU28" s="23">
        <f>IF($BA28="","",SQRT((BH28-BI28)^2+$CR28^2))</f>
        <v>46.85012913536098</v>
      </c>
      <c r="CV28" s="499" t="s">
        <v>2509</v>
      </c>
      <c r="CW28" s="488" t="str">
        <f>+IF(BD28&lt;=0.9,"E1",IF(BD28&lt;=2.5,"E2","E3"))</f>
        <v>E2</v>
      </c>
      <c r="CX28" s="204">
        <f>IF(AND(L28="",H28=""),"",IF(AND(BA28&lt;&gt;4,BA28&lt;&gt;5),VLOOKUP(AY28,'TABLA (2)'!$A$9:$D$43,4),IF(BA28=4,VLOOKUP(AY28,'TABLA (2)'!$A$74:$D$89,4),VLOOKUP(AY28,'TABLA (2)'!$A$51:$D$66,4))))</f>
        <v>3.6999999999999998E-2</v>
      </c>
      <c r="CY28" s="482"/>
      <c r="CZ28" s="482"/>
      <c r="DA28" s="482"/>
      <c r="DB28" s="490"/>
    </row>
    <row r="29" spans="1:153" ht="15.75" hidden="1" customHeight="1">
      <c r="A29" s="465">
        <v>5</v>
      </c>
      <c r="B29" s="491"/>
      <c r="C29" s="466" t="s">
        <v>2150</v>
      </c>
      <c r="D29" s="466" t="s">
        <v>2151</v>
      </c>
      <c r="E29" s="468">
        <v>0.17222777960000002</v>
      </c>
      <c r="F29" s="468"/>
      <c r="G29" s="468">
        <f>IF(B29=1,0,SUMIF($D$22:$D$583,C29,$H$22:$H$583))</f>
        <v>0.1242725496</v>
      </c>
      <c r="H29" s="468">
        <f>+E29+F29+G29</f>
        <v>0.29650032920000002</v>
      </c>
      <c r="I29" s="468">
        <v>0.17222777960000002</v>
      </c>
      <c r="J29" s="468"/>
      <c r="K29" s="467">
        <f ca="1">+IF(B29=1,0,SUMIF($D$22:$D$583,C29,$L$22:$L$580))</f>
        <v>0.1242725496</v>
      </c>
      <c r="L29" s="468">
        <f ca="1">+I29+J29+K29</f>
        <v>0.29650032920000002</v>
      </c>
      <c r="M29" s="469">
        <f>+$P$12</f>
        <v>242.33666300502347</v>
      </c>
      <c r="N29" s="470">
        <f>M29*E29</f>
        <v>41.737105385028663</v>
      </c>
      <c r="O29" s="470">
        <f>M29*F29</f>
        <v>0</v>
      </c>
      <c r="P29" s="470">
        <f>M29*H29</f>
        <v>71.852900358218932</v>
      </c>
      <c r="Q29" s="469">
        <f>+$H$14</f>
        <v>140</v>
      </c>
      <c r="R29" s="471">
        <f>Q29*P29*$P$14/86400</f>
        <v>9.8964064150787651E-2</v>
      </c>
      <c r="S29" s="471"/>
      <c r="T29" s="471"/>
      <c r="U29" s="471">
        <f>IF(C29="","",T29*$P$17)</f>
        <v>0</v>
      </c>
      <c r="V29" s="471"/>
      <c r="W29" s="471"/>
      <c r="X29" s="471">
        <f>IF(C29="","",W29*$P$16)</f>
        <v>0</v>
      </c>
      <c r="Y29" s="471">
        <f>IF(H29=0,0,$H$15*H29)</f>
        <v>5.9300065840000006E-2</v>
      </c>
      <c r="Z29" s="471">
        <f ca="1">IF(L29=0,$H$16*H29,0)</f>
        <v>0</v>
      </c>
      <c r="AA29" s="471">
        <f t="shared" si="0"/>
        <v>3.8</v>
      </c>
      <c r="AB29" s="471">
        <f>R29*AA29</f>
        <v>0.37606344377299306</v>
      </c>
      <c r="AC29" s="471">
        <f>Q29*(N29+O29)*$P$14/86400</f>
        <v>5.748513357428716E-2</v>
      </c>
      <c r="AD29" s="471">
        <f t="shared" si="4"/>
        <v>3.4445555920000002E-2</v>
      </c>
      <c r="AE29" s="471">
        <f t="shared" si="4"/>
        <v>0</v>
      </c>
      <c r="AF29" s="471">
        <f>IF(N29="","",IF(1+((14/(4+(((N29+O29)+O29)/1000)^1/2)))&lt;1.4,1.4,IF(1+((14/(4+((N29+O29)/1000)^1/2)))&gt;=4,4,(1+((14/(4+((N29+O29)/1000)^1/2)))))))</f>
        <v>4</v>
      </c>
      <c r="AG29" s="471">
        <f>AC29*AF29</f>
        <v>0.22994053429714864</v>
      </c>
      <c r="AH29" s="471">
        <f>+AD29+AE29+AG29</f>
        <v>0.26438609021714865</v>
      </c>
      <c r="AI29" s="471">
        <f ca="1">IF(H29="","",IF(AB29+Y29+Z29+X29+U29&lt;1.5,1.5,AB29+Y29+Z29+X29+U29))</f>
        <v>1.5</v>
      </c>
      <c r="AJ29" s="471">
        <f>+$P$17</f>
        <v>0.75</v>
      </c>
      <c r="AK29" s="472">
        <f>+BK29/100</f>
        <v>3.4552845528454668E-2</v>
      </c>
      <c r="AL29" s="471">
        <f>IF(AJ29=0," ",0.14+0.65*AJ29+0.05*AK29)</f>
        <v>0.6292276422764228</v>
      </c>
      <c r="AM29" s="473">
        <f>((100/36)*$AM$14*(AP29+$AN$14)^$AO$14)</f>
        <v>318.27983073900685</v>
      </c>
      <c r="AN29" s="474">
        <f t="shared" si="1"/>
        <v>11.670639163341283</v>
      </c>
      <c r="AO29" s="474">
        <f>((1/60)*$AX29/$AQ29)</f>
        <v>0.246</v>
      </c>
      <c r="AP29" s="474">
        <f>IF(B29=1,IF(($AN29+$AO29)&lt;10,10,IF(($AN29+$AO29)&gt;20,20,($AN29+$AO29))),($AN29+$AO29))</f>
        <v>11.916639163341284</v>
      </c>
      <c r="AQ29" s="475">
        <v>3</v>
      </c>
      <c r="AR29" s="474">
        <f ca="1">((1/60)*$AX29/$BT29)</f>
        <v>0.3308242832136401</v>
      </c>
      <c r="AS29" s="474">
        <f ca="1">AO29/AR29</f>
        <v>0.74359716768777162</v>
      </c>
      <c r="AT29" s="471" t="str">
        <f ca="1">IF(AS29&lt;0.9,"Disminuir vel.",IF(AS29&gt;1.1,"Aumentar vel.","Cumple"))</f>
        <v>Disminuir vel.</v>
      </c>
      <c r="AU29" s="492">
        <f>+I29*AL29*AM29</f>
        <v>34.492137933542026</v>
      </c>
      <c r="AV29" s="471">
        <f ca="1">+L29*AL29*AM29</f>
        <v>59.380259536871009</v>
      </c>
      <c r="AW29" s="471">
        <f ca="1">ROUND(IF(AI29&gt;(AV29*0.05),(AV29+AI29),AV29),2)</f>
        <v>59.38</v>
      </c>
      <c r="AX29" s="478">
        <f>IF(OR(C29="",D29=""),"",ROUND(((VLOOKUP(C29,'Base de Diseño (2)'!$A$2:$C$333,2,FALSE)-VLOOKUP(D29,'Base de Diseño (2)'!$A$2:$C$333,2,FALSE))^2+(VLOOKUP(C29,'Base de Diseño (2)'!$A$2:$C$333,3,0)-VLOOKUP(D29,'Base de Diseño (2)'!$A$2:$C$333,3,FALSE))^2)^0.5,2))</f>
        <v>44.28</v>
      </c>
      <c r="AY29" s="493">
        <v>8</v>
      </c>
      <c r="AZ29" s="480">
        <f ca="1">IF(AND(L29="",H29=""),"",IF(BA29=4,VLOOKUP(AY29,'TABLA (2)'!$A$74:$C$89,2),IF(BA29=5,VLOOKUP(AY29,'TABLA (2)'!$A$51:$B$66,2),IF(BA29=6,VLOOKUP(AY29,'TABLA (2)'!$A$9:$B$43,2)))))</f>
        <v>200</v>
      </c>
      <c r="BA29" s="493">
        <v>6</v>
      </c>
      <c r="BB29" s="478">
        <f>IF(OR(C29="",D29=""),"",VLOOKUP(C29,'Base de Diseño (2)'!$A$2:$D$330,4,FALSE))</f>
        <v>982.77160000000003</v>
      </c>
      <c r="BC29" s="478">
        <f>IF(OR(C29="",D29=""),"",VLOOKUP(D29,'Base de Diseño (2)'!$A$2:$D$330,4,FALSE))</f>
        <v>981.24160000000006</v>
      </c>
      <c r="BD29" s="23">
        <f ca="1">+BF29-((AZ29/1000)+CX29)</f>
        <v>1.1629999999999772</v>
      </c>
      <c r="BE29" s="23">
        <f ca="1">+BG29-((AZ29/1000)+CX29)</f>
        <v>1.6429999999999954</v>
      </c>
      <c r="BF29" s="494">
        <v>1.3999999999999773</v>
      </c>
      <c r="BG29" s="494">
        <v>1.8799999999999955</v>
      </c>
      <c r="BH29" s="495">
        <f t="shared" si="5"/>
        <v>981.37160000000006</v>
      </c>
      <c r="BI29" s="495">
        <f t="shared" si="5"/>
        <v>979.36160000000007</v>
      </c>
      <c r="BJ29" s="468">
        <f t="shared" si="3"/>
        <v>0.10000000000002274</v>
      </c>
      <c r="BK29" s="475">
        <f>ABS((BB29-BC29)/AX29)*100</f>
        <v>3.455284552845467</v>
      </c>
      <c r="BL29" s="475">
        <f>((BH29-BI29)/AX29)*100</f>
        <v>4.5392953929539095</v>
      </c>
      <c r="BM29" s="475">
        <f ca="1">IF(BA29=6,(1/0.013)*((AZ29/4000)^(2/3))*((BL29/100)^(0.5)),(1/0.009)*((AZ29/4000)^(2/3))*((BL29/100)^(0.5)))</f>
        <v>2.2243213983634589</v>
      </c>
      <c r="BN29" s="475">
        <f ca="1">1000*BM29*PI()*((AZ29/1000/2)^2)</f>
        <v>69.879117643212183</v>
      </c>
      <c r="BO29" s="204">
        <f ca="1">AI29/BN29</f>
        <v>2.1465640245469025E-2</v>
      </c>
      <c r="BP29" s="496">
        <f ca="1">IF(L29=0," ",AW29/BN29)</f>
        <v>0.84975314518396716</v>
      </c>
      <c r="BQ29" s="497">
        <f ca="1">IF($BO29&gt;0 =AND($BO29&lt;=0.06),10^(0.029806+0.29095*LOG($BO29)),IF($BO29&gt;0.06 =AND($BO29&lt;=0.26),10^(0.013778+0.282597*LOG($BO29)),IF($BO29&gt;0.26 =AND($BO29&lt;=0.91),10^(0.021763+0.28995*LOG($BO29)),1)))</f>
        <v>0.35028930053030588</v>
      </c>
      <c r="BR29" s="497">
        <f ca="1">IF($BP29&gt;0 =AND($BP29&lt;=0.06),10^(0.029806+0.29095*LOG($BP29)),IF($BP29&gt;0.06 =AND($BP29&lt;=0.26),10^(0.013778+0.282597*LOG($BP29)),IF($BP29&gt;0.26 =AND($BP29&lt;=2),10^(0.021763+0.28995*LOG($BP29))," ")))</f>
        <v>1.0029087993779211</v>
      </c>
      <c r="BS29" s="475">
        <f ca="1">BM29*BQ29</f>
        <v>0.77915598678732789</v>
      </c>
      <c r="BT29" s="475">
        <f ca="1">IF(BP29=" "," ",(BM29*BR29))</f>
        <v>2.230791503063315</v>
      </c>
      <c r="BU29" s="475">
        <f ca="1">IF(BO29&lt;=0.11,0.3827+0.0645*LN(BO29),IF(BO29&lt;=0.21,0.60025+0.15471*LN(BO29),IF(BO29&lt;1,0.225+0.6666666667*BO29,0)))</f>
        <v>0.13493603710338217</v>
      </c>
      <c r="BV29" s="475">
        <f ca="1">IF(BP29&lt;=0.11,0.3827+0.0645*LN(BP29),IF(BP29&lt;=0.21,0.60025+0.15471*LN(BP29),IF(BP29&lt;1,0.225+0.6666666667*BP29," ")))</f>
        <v>0.7915020968176365</v>
      </c>
      <c r="BW29" s="475">
        <f ca="1">2*ACOS(1-2*(BU29))</f>
        <v>1.5045743602895498</v>
      </c>
      <c r="BX29" s="475">
        <f ca="1">IF(BP29=" "," ",(2*ACOS(1-2*(BV29))))</f>
        <v>4.386435485798355</v>
      </c>
      <c r="BY29" s="475">
        <f ca="1">(1/4)*(1-(SIN(BW29))/BW29)</f>
        <v>8.420425186388672E-2</v>
      </c>
      <c r="BZ29" s="475">
        <f ca="1">IF(BP29=" "," ",((1/4)*(1-(SIN(BX29))/BX29)))</f>
        <v>0.30399291973803155</v>
      </c>
      <c r="CA29" s="471">
        <f ca="1">BY29*AZ29/1000</f>
        <v>1.6840850372777341E-2</v>
      </c>
      <c r="CB29" s="471">
        <f ca="1">IF(BP29=" "," ",(BZ29*AZ29/1000))</f>
        <v>6.0798583947606309E-2</v>
      </c>
      <c r="CC29" s="471">
        <f t="shared" ca="1" si="2"/>
        <v>1.7580867817056667</v>
      </c>
      <c r="CD29" s="471" t="str">
        <f ca="1">IF(CC29="","",IF(CC29&lt;0.7,"F. Subcrítico",IF(AND(CC29&gt;0.7,CC29&lt;1),"F. Subcrítico Inestable",IF(CC29=1,"F. Crítico",IF(AND(CC29&gt;1,CC29&lt;1.5),"F. Supercrítico Inestable",IF(CC29&gt;1.5,"F. Supercrítico",""))))))</f>
        <v>F. Supercrítico</v>
      </c>
      <c r="CE29" s="471">
        <f ca="1">1000*BL29*CA29/100</f>
        <v>0.76445594510574322</v>
      </c>
      <c r="CF29" s="471">
        <f ca="1">IF(BP29=" "," ",(1000*BL29*CB29/100))</f>
        <v>2.7598273201149084</v>
      </c>
      <c r="CG29" s="471" t="str">
        <f ca="1">IF(BS29&lt;0.45,"No cumple",IF(BS29&gt;5,"No cumple","O.K"))</f>
        <v>O.K</v>
      </c>
      <c r="CH29" s="471" t="str">
        <f ca="1">IF(BT29&lt;0.75,"No cumple",IF(BT29&gt;10,"No cumple","O.K"))</f>
        <v>O.K</v>
      </c>
      <c r="CI29" s="471" t="str">
        <f ca="1">IF(CE29&gt;0.1,"OK","V.C.H.")</f>
        <v>OK</v>
      </c>
      <c r="CJ29" s="471" t="str">
        <f ca="1">IF(CF29&gt;0.2,"OK","V.C.H.")</f>
        <v>OK</v>
      </c>
      <c r="CK29" s="468">
        <f>+BJ29</f>
        <v>0.10000000000002274</v>
      </c>
      <c r="CL29" s="482" t="s">
        <v>2507</v>
      </c>
      <c r="CM29" s="482"/>
      <c r="CN29" s="63" t="str">
        <f>IF(B29=1,"dato"," ")</f>
        <v xml:space="preserve"> </v>
      </c>
      <c r="CO29" s="498">
        <f>+CR29</f>
        <v>44.28</v>
      </c>
      <c r="CP29" s="472">
        <f>+BK29/100</f>
        <v>3.4552845528454668E-2</v>
      </c>
      <c r="CQ29" s="482" t="s">
        <v>2508</v>
      </c>
      <c r="CR29" s="204">
        <f>IF(BA29="","",AX29)</f>
        <v>44.28</v>
      </c>
      <c r="CS29" s="486">
        <v>1.2</v>
      </c>
      <c r="CT29" s="486">
        <v>1.2</v>
      </c>
      <c r="CU29" s="23">
        <f>IF($BA29="","",SQRT((BH29-BI29)^2+$CR29^2))</f>
        <v>44.325596442687605</v>
      </c>
      <c r="CV29" s="499" t="s">
        <v>2509</v>
      </c>
      <c r="CW29" s="488" t="str">
        <f ca="1">+IF(BD29&lt;=0.9,"E1",IF(BD29&lt;=2.5,"E2","E3"))</f>
        <v>E2</v>
      </c>
      <c r="CX29" s="204">
        <f ca="1">IF(AND(L29="",H29=""),"",IF(AND(BA29&lt;&gt;4,BA29&lt;&gt;5),VLOOKUP(AY29,'TABLA (2)'!$A$9:$D$43,4),IF(BA29=4,VLOOKUP(AY29,'TABLA (2)'!$A$74:$D$89,4),VLOOKUP(AY29,'TABLA (2)'!$A$51:$D$66,4))))</f>
        <v>3.6999999999999998E-2</v>
      </c>
      <c r="CY29" s="482"/>
      <c r="CZ29" s="482"/>
      <c r="DA29" s="482"/>
      <c r="DB29" s="490"/>
    </row>
    <row r="30" spans="1:153" ht="15.75" hidden="1" customHeight="1">
      <c r="A30" s="465">
        <v>6</v>
      </c>
      <c r="B30" s="491"/>
      <c r="C30" s="466" t="s">
        <v>2151</v>
      </c>
      <c r="D30" s="466" t="s">
        <v>2156</v>
      </c>
      <c r="E30" s="468">
        <v>0.11841327759999999</v>
      </c>
      <c r="F30" s="468"/>
      <c r="G30" s="468">
        <f>IF(B30=1,0,SUMIF($D$22:$D$583,C30,$H$22:$H$583))</f>
        <v>0.29650032920000002</v>
      </c>
      <c r="H30" s="468">
        <f>+E30+F30+G30</f>
        <v>0.4149136068</v>
      </c>
      <c r="I30" s="468">
        <v>0.11841327759999999</v>
      </c>
      <c r="J30" s="468"/>
      <c r="K30" s="467">
        <f ca="1">+IF(B30=1,0,SUMIF($D$22:$D$583,C30,$L$22:$L$580))</f>
        <v>0.29650032920000002</v>
      </c>
      <c r="L30" s="468">
        <f ca="1">+I30+J30+K30</f>
        <v>0.4149136068</v>
      </c>
      <c r="M30" s="469">
        <f>+$P$12</f>
        <v>242.33666300502347</v>
      </c>
      <c r="N30" s="470">
        <f>M30*E30</f>
        <v>28.695878549071491</v>
      </c>
      <c r="O30" s="470">
        <f>M30*F30</f>
        <v>0</v>
      </c>
      <c r="P30" s="470">
        <f>M30*H30</f>
        <v>100.54877890729041</v>
      </c>
      <c r="Q30" s="469">
        <f>+$H$14</f>
        <v>140</v>
      </c>
      <c r="R30" s="471">
        <f>Q30*P30*$P$14/86400</f>
        <v>0.13848732280055046</v>
      </c>
      <c r="S30" s="471"/>
      <c r="T30" s="471"/>
      <c r="U30" s="471">
        <f>IF(C30="","",T30*$P$17)</f>
        <v>0</v>
      </c>
      <c r="V30" s="471"/>
      <c r="W30" s="471"/>
      <c r="X30" s="471">
        <f>IF(C30="","",W30*$P$16)</f>
        <v>0</v>
      </c>
      <c r="Y30" s="471">
        <f>IF(H30=0,0,$H$15*H30)</f>
        <v>8.2982721360000011E-2</v>
      </c>
      <c r="Z30" s="471">
        <f ca="1">IF(L30=0,$H$16*H30,0)</f>
        <v>0</v>
      </c>
      <c r="AA30" s="471">
        <f t="shared" si="0"/>
        <v>3.8</v>
      </c>
      <c r="AB30" s="471">
        <f>R30*AA30</f>
        <v>0.52625182664209169</v>
      </c>
      <c r="AC30" s="471">
        <f>Q30*(N30+O30)*$P$14/86400</f>
        <v>3.9523258649762819E-2</v>
      </c>
      <c r="AD30" s="471">
        <f t="shared" si="4"/>
        <v>2.3682655519999998E-2</v>
      </c>
      <c r="AE30" s="471">
        <f t="shared" si="4"/>
        <v>0</v>
      </c>
      <c r="AF30" s="471">
        <f>IF(N30="","",IF(1+((14/(4+(((N30+O30)+O30)/1000)^1/2)))&lt;1.4,1.4,IF(1+((14/(4+((N30+O30)/1000)^1/2)))&gt;=4,4,(1+((14/(4+((N30+O30)/1000)^1/2)))))))</f>
        <v>4</v>
      </c>
      <c r="AG30" s="471">
        <f>AC30*AF30</f>
        <v>0.15809303459905127</v>
      </c>
      <c r="AH30" s="471">
        <f>+AD30+AE30+AG30</f>
        <v>0.18177569011905126</v>
      </c>
      <c r="AI30" s="471">
        <f ca="1">IF(H30="","",IF(AB30+Y30+Z30+X30+U30&lt;1.5,1.5,AB30+Y30+Z30+X30+U30))</f>
        <v>1.5</v>
      </c>
      <c r="AJ30" s="471">
        <f>+$P$17</f>
        <v>0.75</v>
      </c>
      <c r="AK30" s="472">
        <f>+BK30/100</f>
        <v>0.18679330619629106</v>
      </c>
      <c r="AL30" s="471">
        <f>IF(AJ30=0," ",0.14+0.65*AJ30+0.05*AK30)</f>
        <v>0.63683966530981462</v>
      </c>
      <c r="AM30" s="473">
        <f>((100/36)*$AM$14*(AP30+$AN$14)^$AO$14)</f>
        <v>316.10019380420869</v>
      </c>
      <c r="AN30" s="474">
        <f t="shared" si="1"/>
        <v>11.916639163341284</v>
      </c>
      <c r="AO30" s="474">
        <f>((1/60)*$AX30/$AQ30)</f>
        <v>0.24566666666666667</v>
      </c>
      <c r="AP30" s="474">
        <f>IF(B30=1,IF(($AN30+$AO30)&lt;10,10,IF(($AN30+$AO30)&gt;20,20,($AN30+$AO30))),($AN30+$AO30))</f>
        <v>12.16230583000795</v>
      </c>
      <c r="AQ30" s="475">
        <v>3</v>
      </c>
      <c r="AR30" s="474">
        <f ca="1">((1/60)*$AX30/$BT30)</f>
        <v>0.18774830051016383</v>
      </c>
      <c r="AS30" s="474">
        <f ca="1">AO30/AR30</f>
        <v>1.3084894297265153</v>
      </c>
      <c r="AT30" s="471" t="str">
        <f ca="1">IF(AS30&lt;0.9,"Disminuir vel.",IF(AS30&gt;1.1,"Aumentar vel.","Cumple"))</f>
        <v>Aumentar vel.</v>
      </c>
      <c r="AU30" s="492">
        <f>+I30*AL30*AM30</f>
        <v>23.837201617742615</v>
      </c>
      <c r="AV30" s="471">
        <f ca="1">+L30*AL30*AM30</f>
        <v>83.524242379693945</v>
      </c>
      <c r="AW30" s="471">
        <f ca="1">ROUND(IF(AI30&gt;(AV30*0.05),(AV30+AI30),AV30),2)</f>
        <v>83.52</v>
      </c>
      <c r="AX30" s="478">
        <f>IF(OR(C30="",D30=""),"",ROUND(((VLOOKUP(C30,'Base de Diseño (2)'!$A$2:$C$333,2,FALSE)-VLOOKUP(D30,'Base de Diseño (2)'!$A$2:$C$333,2,FALSE))^2+(VLOOKUP(C30,'Base de Diseño (2)'!$A$2:$C$333,3,0)-VLOOKUP(D30,'Base de Diseño (2)'!$A$2:$C$333,3,FALSE))^2)^0.5,2))</f>
        <v>44.22</v>
      </c>
      <c r="AY30" s="493">
        <v>10</v>
      </c>
      <c r="AZ30" s="480">
        <f ca="1">IF(AND(L30="",H30=""),"",IF(BA30=4,VLOOKUP(AY30,'TABLA (2)'!$A$74:$C$89,2),IF(BA30=5,VLOOKUP(AY30,'TABLA (2)'!$A$51:$B$66,2),IF(BA30=6,VLOOKUP(AY30,'TABLA (2)'!$A$9:$B$43,2)))))</f>
        <v>250</v>
      </c>
      <c r="BA30" s="493">
        <v>6</v>
      </c>
      <c r="BB30" s="478">
        <f>IF(OR(C30="",D30=""),"",VLOOKUP(C30,'Base de Diseño (2)'!$A$2:$D$330,4,FALSE))</f>
        <v>981.24160000000006</v>
      </c>
      <c r="BC30" s="478">
        <f>IF(OR(C30="",D30=""),"",VLOOKUP(D30,'Base de Diseño (2)'!$A$2:$D$330,4,FALSE))</f>
        <v>972.98160000000007</v>
      </c>
      <c r="BD30" s="23">
        <f ca="1">+BF30-((AZ30/1000)+CX30)</f>
        <v>1.6930000000000183</v>
      </c>
      <c r="BE30" s="23">
        <f ca="1">+BG30-((AZ30/1000)+CX30)</f>
        <v>1.4130000000000456</v>
      </c>
      <c r="BF30" s="494">
        <v>1.9800000000000182</v>
      </c>
      <c r="BG30" s="494">
        <v>1.7000000000000455</v>
      </c>
      <c r="BH30" s="495">
        <f t="shared" si="5"/>
        <v>979.26160000000004</v>
      </c>
      <c r="BI30" s="495">
        <f t="shared" si="5"/>
        <v>971.28160000000003</v>
      </c>
      <c r="BJ30" s="468">
        <f t="shared" si="3"/>
        <v>971.28160000000003</v>
      </c>
      <c r="BK30" s="475">
        <f>ABS((BB30-BC30)/AX30)*100</f>
        <v>18.679330619629106</v>
      </c>
      <c r="BL30" s="475">
        <f>((BH30-BI30)/AX30)*100</f>
        <v>18.04613297150615</v>
      </c>
      <c r="BM30" s="475">
        <f ca="1">IF(BA30=6,(1/0.013)*((AZ30/4000)^(2/3))*((BL30/100)^(0.5)),(1/0.009)*((AZ30/4000)^(2/3))*((BL30/100)^(0.5)))</f>
        <v>5.1463825893926982</v>
      </c>
      <c r="BN30" s="475">
        <f ca="1">1000*BM30*PI()*((AZ30/1000/2)^2)</f>
        <v>252.62246461560181</v>
      </c>
      <c r="BO30" s="204">
        <f ca="1">AI30/BN30</f>
        <v>5.9377142182602269E-3</v>
      </c>
      <c r="BP30" s="496">
        <f ca="1">IF(L30=0," ",AW30/BN30)</f>
        <v>0.33061192767272946</v>
      </c>
      <c r="BQ30" s="497">
        <f ca="1">IF($BO30&gt;0 =AND($BO30&lt;=0.06),10^(0.029806+0.29095*LOG($BO30)),IF($BO30&gt;0.06 =AND($BO30&lt;=0.26),10^(0.013778+0.282597*LOG($BO30)),IF($BO30&gt;0.26 =AND($BO30&lt;=0.91),10^(0.021763+0.28995*LOG($BO30)),1)))</f>
        <v>0.24101303560519061</v>
      </c>
      <c r="BR30" s="497">
        <f ca="1">IF($BP30&gt;0 =AND($BP30&lt;=0.06),10^(0.029806+0.29095*LOG($BP30)),IF($BP30&gt;0.06 =AND($BP30&lt;=0.26),10^(0.013778+0.282597*LOG($BP30)),IF($BP30&gt;0.26 =AND($BP30&lt;=2),10^(0.021763+0.28995*LOG($BP30))," ")))</f>
        <v>0.76276262423054186</v>
      </c>
      <c r="BS30" s="475">
        <f ca="1">BM30*BQ30</f>
        <v>1.2403452902552354</v>
      </c>
      <c r="BT30" s="475">
        <f ca="1">IF(BP30=" "," ",(BM30*BR30))</f>
        <v>3.9254682891795456</v>
      </c>
      <c r="BU30" s="475">
        <f ca="1">IF(BO30&lt;=0.11,0.3827+0.0645*LN(BO30),IF(BO30&lt;=0.21,0.60025+0.15471*LN(BO30),IF(BO30&lt;1,0.225+0.6666666667*BO30,0)))</f>
        <v>5.2045198474227561E-2</v>
      </c>
      <c r="BV30" s="475">
        <f ca="1">IF(BP30&lt;=0.11,0.3827+0.0645*LN(BP30),IF(BP30&lt;=0.21,0.60025+0.15471*LN(BP30),IF(BP30&lt;1,0.225+0.6666666667*BP30," ")))</f>
        <v>0.44540795179284004</v>
      </c>
      <c r="BW30" s="475">
        <f ca="1">2*ACOS(1-2*(BU30))</f>
        <v>0.92064353508033037</v>
      </c>
      <c r="BX30" s="475">
        <f ca="1">IF(BP30=" "," ",(2*ACOS(1-2*(BV30))))</f>
        <v>2.9227882493392512</v>
      </c>
      <c r="BY30" s="475">
        <f ca="1">(1/4)*(1-(SIN(BW30))/BW30)</f>
        <v>3.3849206707624813E-2</v>
      </c>
      <c r="BZ30" s="475">
        <f ca="1">IF(BP30=" "," ",((1/4)*(1-(SIN(BX30))/BX30)))</f>
        <v>0.23143359439470787</v>
      </c>
      <c r="CA30" s="471">
        <f ca="1">BY30*AZ30/1000</f>
        <v>8.4623016769062049E-3</v>
      </c>
      <c r="CB30" s="471">
        <f ca="1">IF(BP30=" "," ",(BZ30*AZ30/1000))</f>
        <v>5.7858398598676967E-2</v>
      </c>
      <c r="CC30" s="471">
        <f t="shared" ca="1" si="2"/>
        <v>4.2972239306923923</v>
      </c>
      <c r="CD30" s="471" t="str">
        <f ca="1">IF(CC30="","",IF(CC30&lt;0.7,"F. Subcrítico",IF(AND(CC30&gt;0.7,CC30&lt;1),"F. Subcrítico Inestable",IF(CC30=1,"F. Crítico",IF(AND(CC30&gt;1,CC30&lt;1.5),"F. Supercrítico Inestable",IF(CC30&gt;1.5,"F. Supercrítico",""))))))</f>
        <v>F. Supercrítico</v>
      </c>
      <c r="CE30" s="471">
        <f ca="1">1000*BL30*CA30/100</f>
        <v>1.5271182130644885</v>
      </c>
      <c r="CF30" s="471">
        <f ca="1">IF(BP30=" "," ",(1000*BL30*CB30/100))</f>
        <v>10.441203546301297</v>
      </c>
      <c r="CG30" s="471" t="str">
        <f ca="1">IF(BS30&lt;0.45,"No cumple",IF(BS30&gt;5,"No cumple","O.K"))</f>
        <v>O.K</v>
      </c>
      <c r="CH30" s="471" t="str">
        <f ca="1">IF(BT30&lt;0.75,"No cumple",IF(BT30&gt;10,"No cumple","O.K"))</f>
        <v>O.K</v>
      </c>
      <c r="CI30" s="471" t="str">
        <f ca="1">IF(CE30&gt;0.1,"OK","V.C.H.")</f>
        <v>OK</v>
      </c>
      <c r="CJ30" s="471" t="str">
        <f ca="1">IF(CF30&gt;0.2,"OK","V.C.H.")</f>
        <v>OK</v>
      </c>
      <c r="CK30" s="468">
        <f>+BJ30</f>
        <v>971.28160000000003</v>
      </c>
      <c r="CL30" s="482" t="s">
        <v>2507</v>
      </c>
      <c r="CM30" s="482"/>
      <c r="CN30" s="63" t="str">
        <f>IF(B30=1,"dato"," ")</f>
        <v xml:space="preserve"> </v>
      </c>
      <c r="CO30" s="498">
        <f>+CR30</f>
        <v>44.22</v>
      </c>
      <c r="CP30" s="472">
        <f>+BK30/100</f>
        <v>0.18679330619629106</v>
      </c>
      <c r="CQ30" s="482" t="s">
        <v>2508</v>
      </c>
      <c r="CR30" s="204">
        <f>IF(BA30="","",AX30)</f>
        <v>44.22</v>
      </c>
      <c r="CS30" s="486">
        <v>1.2</v>
      </c>
      <c r="CT30" s="486">
        <v>1.2</v>
      </c>
      <c r="CU30" s="23">
        <f>IF($BA30="","",SQRT((BH30-BI30)^2+$CR30^2))</f>
        <v>44.934271998108528</v>
      </c>
      <c r="CV30" s="499" t="s">
        <v>2509</v>
      </c>
      <c r="CW30" s="488" t="str">
        <f ca="1">+IF(BD30&lt;=0.9,"E1",IF(BD30&lt;=2.5,"E2","E3"))</f>
        <v>E2</v>
      </c>
      <c r="CX30" s="204">
        <f ca="1">IF(AND(L30="",H30=""),"",IF(AND(BA30&lt;&gt;4,BA30&lt;&gt;5),VLOOKUP(AY30,'TABLA (2)'!$A$9:$D$43,4),IF(BA30=4,VLOOKUP(AY30,'TABLA (2)'!$A$74:$D$89,4),VLOOKUP(AY30,'TABLA (2)'!$A$51:$D$66,4))))</f>
        <v>3.6999999999999998E-2</v>
      </c>
      <c r="CY30" s="482"/>
      <c r="CZ30" s="482"/>
      <c r="DA30" s="482"/>
      <c r="DB30" s="490"/>
    </row>
    <row r="31" spans="1:153" ht="15.75" hidden="1" customHeight="1">
      <c r="A31" s="465"/>
      <c r="B31" s="502"/>
      <c r="C31" s="501"/>
      <c r="D31" s="501"/>
      <c r="E31" s="468"/>
      <c r="F31" s="468"/>
      <c r="G31" s="468"/>
      <c r="H31" s="468"/>
      <c r="I31" s="468"/>
      <c r="J31" s="468"/>
      <c r="K31" s="467"/>
      <c r="L31" s="468"/>
      <c r="M31" s="469"/>
      <c r="N31" s="470"/>
      <c r="O31" s="470"/>
      <c r="P31" s="470"/>
      <c r="Q31" s="469"/>
      <c r="R31" s="471"/>
      <c r="S31" s="471"/>
      <c r="T31" s="471"/>
      <c r="U31" s="471"/>
      <c r="V31" s="471"/>
      <c r="W31" s="471"/>
      <c r="X31" s="471"/>
      <c r="Y31" s="471"/>
      <c r="Z31" s="471"/>
      <c r="AA31" s="471" t="str">
        <f t="shared" si="0"/>
        <v/>
      </c>
      <c r="AB31" s="471"/>
      <c r="AC31" s="471"/>
      <c r="AD31" s="471"/>
      <c r="AE31" s="471"/>
      <c r="AF31" s="471"/>
      <c r="AG31" s="471"/>
      <c r="AH31" s="471"/>
      <c r="AI31" s="471"/>
      <c r="AJ31" s="471"/>
      <c r="AK31" s="472"/>
      <c r="AL31" s="471"/>
      <c r="AM31" s="473"/>
      <c r="AN31" s="474">
        <f t="shared" si="1"/>
        <v>12.16230583000795</v>
      </c>
      <c r="AO31" s="474"/>
      <c r="AP31" s="474"/>
      <c r="AQ31" s="475">
        <v>3</v>
      </c>
      <c r="AR31" s="474"/>
      <c r="AS31" s="474"/>
      <c r="AT31" s="471"/>
      <c r="AU31" s="492"/>
      <c r="AV31" s="471"/>
      <c r="AW31" s="471"/>
      <c r="AX31" s="478"/>
      <c r="AY31" s="493"/>
      <c r="AZ31" s="480"/>
      <c r="BA31" s="493"/>
      <c r="BB31" s="478" t="str">
        <f>IF(OR(C31="",D31=""),"",VLOOKUP(C31,'Base de Diseño (2)'!$A$2:$D$330,4,FALSE))</f>
        <v/>
      </c>
      <c r="BC31" s="478" t="str">
        <f>IF(OR(C31="",D31=""),"",VLOOKUP(D31,'Base de Diseño (2)'!$A$2:$D$330,4,FALSE))</f>
        <v/>
      </c>
      <c r="BD31" s="23"/>
      <c r="BE31" s="23"/>
      <c r="BF31" s="494"/>
      <c r="BG31" s="494"/>
      <c r="BH31" s="495"/>
      <c r="BI31" s="495"/>
      <c r="BJ31" s="468"/>
      <c r="BK31" s="475"/>
      <c r="BL31" s="475"/>
      <c r="BM31" s="475"/>
      <c r="BN31" s="475"/>
      <c r="BO31" s="204"/>
      <c r="BP31" s="496"/>
      <c r="BQ31" s="497"/>
      <c r="BR31" s="497"/>
      <c r="BS31" s="475"/>
      <c r="BT31" s="475"/>
      <c r="BU31" s="475"/>
      <c r="BV31" s="475"/>
      <c r="BW31" s="475"/>
      <c r="BX31" s="475"/>
      <c r="BY31" s="475"/>
      <c r="BZ31" s="475"/>
      <c r="CA31" s="471"/>
      <c r="CB31" s="471"/>
      <c r="CC31" s="471" t="e">
        <f t="shared" si="2"/>
        <v>#DIV/0!</v>
      </c>
      <c r="CD31" s="471"/>
      <c r="CE31" s="471"/>
      <c r="CF31" s="471"/>
      <c r="CG31" s="471"/>
      <c r="CH31" s="471"/>
      <c r="CI31" s="471"/>
      <c r="CJ31" s="471"/>
      <c r="CK31" s="468"/>
      <c r="CL31" s="482"/>
      <c r="CM31" s="482"/>
      <c r="CN31" s="63"/>
      <c r="CO31" s="498"/>
      <c r="CP31" s="472"/>
      <c r="CQ31" s="482"/>
      <c r="CR31" s="204"/>
      <c r="CS31" s="486"/>
      <c r="CT31" s="486"/>
      <c r="CU31" s="23"/>
      <c r="CV31" s="499"/>
      <c r="CW31" s="488"/>
      <c r="CX31" s="204"/>
      <c r="CY31" s="482"/>
      <c r="CZ31" s="482"/>
      <c r="DA31" s="482"/>
      <c r="DB31" s="490"/>
    </row>
    <row r="32" spans="1:153" ht="15.75" hidden="1" customHeight="1">
      <c r="A32" s="465">
        <v>7</v>
      </c>
      <c r="B32" s="491">
        <v>1</v>
      </c>
      <c r="C32" s="466" t="s">
        <v>2150</v>
      </c>
      <c r="D32" s="466" t="s">
        <v>2147</v>
      </c>
      <c r="E32" s="468">
        <v>0.1030491498</v>
      </c>
      <c r="F32" s="468"/>
      <c r="G32" s="468">
        <f>IF(B32=1,0,SUMIF($D$22:$D$583,C32,$H$22:$H$583))</f>
        <v>0</v>
      </c>
      <c r="H32" s="468">
        <f>+E32+F32+G32</f>
        <v>0.1030491498</v>
      </c>
      <c r="I32" s="468">
        <v>0.1030491498</v>
      </c>
      <c r="J32" s="468"/>
      <c r="K32" s="467">
        <f>+IF(B32=1,0,SUMIF($D$22:$D$583,C32,$L$22:$L$580))</f>
        <v>0</v>
      </c>
      <c r="L32" s="468">
        <f>+I32+J32+K32</f>
        <v>0.1030491498</v>
      </c>
      <c r="M32" s="469">
        <f>+$P$12</f>
        <v>242.33666300502347</v>
      </c>
      <c r="N32" s="470">
        <f>M32*E32</f>
        <v>24.972587088036782</v>
      </c>
      <c r="O32" s="470">
        <f>M32*F32</f>
        <v>0</v>
      </c>
      <c r="P32" s="470">
        <f>M32*H32</f>
        <v>24.972587088036782</v>
      </c>
      <c r="Q32" s="469">
        <f>+$H$14</f>
        <v>140</v>
      </c>
      <c r="R32" s="471">
        <f>Q32*P32*$P$14/86400</f>
        <v>3.439511416060622E-2</v>
      </c>
      <c r="S32" s="471"/>
      <c r="T32" s="471"/>
      <c r="U32" s="471">
        <f>IF(C32="","",T32*$P$17)</f>
        <v>0</v>
      </c>
      <c r="V32" s="471"/>
      <c r="W32" s="471"/>
      <c r="X32" s="471">
        <f>IF(C32="","",W32*$P$16)</f>
        <v>0</v>
      </c>
      <c r="Y32" s="471">
        <f>IF(H32=0,0,$H$15*H32)</f>
        <v>2.0609829960000003E-2</v>
      </c>
      <c r="Z32" s="471">
        <f>IF(L32=0,$H$16*H32,0)</f>
        <v>0</v>
      </c>
      <c r="AA32" s="471">
        <f t="shared" si="0"/>
        <v>3.8</v>
      </c>
      <c r="AB32" s="471">
        <f>R32*AA32</f>
        <v>0.13070143381030364</v>
      </c>
      <c r="AC32" s="471">
        <f>Q32*(N32+O32)*$P$14/86400</f>
        <v>3.439511416060622E-2</v>
      </c>
      <c r="AD32" s="471">
        <f>IF(E32=0,0,$H$15*(E32+F32))</f>
        <v>2.0609829960000003E-2</v>
      </c>
      <c r="AE32" s="471">
        <f>IF(F32=0,0,$H$15*(F32+G32))</f>
        <v>0</v>
      </c>
      <c r="AF32" s="471">
        <f>IF(N32="","",IF(1+((14/(4+(((N32+O32)+O32)/1000)^1/2)))&lt;1.4,1.4,IF(1+((14/(4+((N32+O32)/1000)^1/2)))&gt;=4,4,(1+((14/(4+((N32+O32)/1000)^1/2)))))))</f>
        <v>4</v>
      </c>
      <c r="AG32" s="471">
        <f>AC32*AF32</f>
        <v>0.13758045664242488</v>
      </c>
      <c r="AH32" s="471">
        <f>+AD32+AE32+AG32</f>
        <v>0.15819028660242487</v>
      </c>
      <c r="AI32" s="471">
        <f>IF(H32="","",IF(AB32+Y32+Z32+X32+U32&lt;1.5,1.5,AB32+Y32+Z32+X32+U32))</f>
        <v>1.5</v>
      </c>
      <c r="AJ32" s="471">
        <f>+$P$17</f>
        <v>0.75</v>
      </c>
      <c r="AK32" s="472">
        <f>+BK32/100</f>
        <v>0.14272890484739623</v>
      </c>
      <c r="AL32" s="471">
        <f>IF(AJ32=0," ",0.14+0.65*AJ32+0.05*AK32)</f>
        <v>0.63463644524236984</v>
      </c>
      <c r="AM32" s="473">
        <f>((100/36)*$AM$14*(AP32+$AN$14)^$AO$14)</f>
        <v>336.32613267542746</v>
      </c>
      <c r="AN32" s="474">
        <f t="shared" si="1"/>
        <v>5</v>
      </c>
      <c r="AO32" s="474">
        <f>((1/60)*$AX32/$AQ32)</f>
        <v>0.18566666666666667</v>
      </c>
      <c r="AP32" s="474">
        <f>IF(B32=1,IF(($AN32+$AO32)&lt;10,10,IF(($AN32+$AO32)&gt;20,20,($AN32+$AO32))),($AN32+$AO32))</f>
        <v>10</v>
      </c>
      <c r="AQ32" s="475">
        <v>3</v>
      </c>
      <c r="AR32" s="474">
        <f>((1/60)*$AX32/$BT32)</f>
        <v>0.21820450519945117</v>
      </c>
      <c r="AS32" s="474">
        <f>AO32/AR32</f>
        <v>0.8508837454889252</v>
      </c>
      <c r="AT32" s="471" t="str">
        <f>IF(AS32&lt;0.9,"Disminuir vel.",IF(AS32&gt;1.1,"Aumentar vel.","Cumple"))</f>
        <v>Disminuir vel.</v>
      </c>
      <c r="AU32" s="492">
        <f>+I32*AL32*AM32</f>
        <v>21.995307362451541</v>
      </c>
      <c r="AV32" s="471">
        <f>+L32*AL32*AM32</f>
        <v>21.995307362451541</v>
      </c>
      <c r="AW32" s="471">
        <f>ROUND(IF(AI32&gt;(AV32*0.05),(AV32+AI32),AV32),2)</f>
        <v>23.5</v>
      </c>
      <c r="AX32" s="478">
        <f>IF(OR(C32="",D32=""),"",ROUND(((VLOOKUP(C32,'Base de Diseño (2)'!$A$2:$C$333,2,FALSE)-VLOOKUP(D32,'Base de Diseño (2)'!$A$2:$C$333,2,FALSE))^2+(VLOOKUP(C32,'Base de Diseño (2)'!$A$2:$C$333,3,0)-VLOOKUP(D32,'Base de Diseño (2)'!$A$2:$C$333,3,FALSE))^2)^0.5,2))</f>
        <v>33.42</v>
      </c>
      <c r="AY32" s="493">
        <v>8</v>
      </c>
      <c r="AZ32" s="480">
        <f>IF(AND(L32="",H32=""),"",IF(BA32=4,VLOOKUP(AY32,'TABLA (2)'!$A$74:$C$89,2),IF(BA32=5,VLOOKUP(AY32,'TABLA (2)'!$A$51:$B$66,2),IF(BA32=6,VLOOKUP(AY32,'TABLA (2)'!$A$9:$B$43,2)))))</f>
        <v>200</v>
      </c>
      <c r="BA32" s="493">
        <v>6</v>
      </c>
      <c r="BB32" s="478">
        <f>IF(OR(C32="",D32=""),"",VLOOKUP(C32,'Base de Diseño (2)'!$A$2:$D$330,4,FALSE))</f>
        <v>982.77160000000003</v>
      </c>
      <c r="BC32" s="478">
        <f>IF(OR(C32="",D32=""),"",VLOOKUP(D32,'Base de Diseño (2)'!$A$2:$D$330,4,FALSE))</f>
        <v>978.00160000000005</v>
      </c>
      <c r="BD32" s="23">
        <f>+BF32-((AZ32/1000)+CX32)</f>
        <v>1.2230000000000363</v>
      </c>
      <c r="BE32" s="23">
        <f>+BG32-((AZ32/1000)+CX32)</f>
        <v>1.2629999999999999</v>
      </c>
      <c r="BF32" s="494">
        <v>1.4600000000000364</v>
      </c>
      <c r="BG32" s="494">
        <v>1.5</v>
      </c>
      <c r="BH32" s="495">
        <f>BB32-BF32</f>
        <v>981.3116</v>
      </c>
      <c r="BI32" s="495">
        <f>BC32-BG32</f>
        <v>976.50160000000005</v>
      </c>
      <c r="BJ32" s="468">
        <f>IF(A32="",0,BI32-BH33)</f>
        <v>0.77999999999997272</v>
      </c>
      <c r="BK32" s="475">
        <f>ABS((BB32-BC32)/AX32)*100</f>
        <v>14.272890484739623</v>
      </c>
      <c r="BL32" s="475">
        <f>((BH32-BI32)/AX32)*100</f>
        <v>14.392579293835862</v>
      </c>
      <c r="BM32" s="475">
        <f>IF(BA32=6,(1/0.013)*((AZ32/4000)^(2/3))*((BL32/100)^(0.5)),(1/0.009)*((AZ32/4000)^(2/3))*((BL32/100)^(0.5)))</f>
        <v>3.9607062406352131</v>
      </c>
      <c r="BN32" s="475">
        <f>1000*BM32*PI()*((AZ32/1000/2)^2)</f>
        <v>124.42925628606837</v>
      </c>
      <c r="BO32" s="204">
        <f>AI32/BN32</f>
        <v>1.2055042718823567E-2</v>
      </c>
      <c r="BP32" s="496">
        <f>IF(L32=0," ",AW32/BN32)</f>
        <v>0.18886233592823587</v>
      </c>
      <c r="BQ32" s="497">
        <f>IF($BO32&gt;0 =AND($BO32&lt;=0.06),10^(0.029806+0.29095*LOG($BO32)),IF($BO32&gt;0.06 =AND($BO32&lt;=0.26),10^(0.013778+0.282597*LOG($BO32)),IF($BO32&gt;0.26 =AND($BO32&lt;=0.91),10^(0.021763+0.28995*LOG($BO32)),1)))</f>
        <v>0.2961570318859203</v>
      </c>
      <c r="BR32" s="497">
        <f>IF($BP32&gt;0 =AND($BP32&lt;=0.06),10^(0.029806+0.29095*LOG($BP32)),IF($BP32&gt;0.06 =AND($BP32&lt;=0.26),10^(0.013778+0.282597*LOG($BP32)),IF($BP32&gt;0.26 =AND($BP32&lt;=2),10^(0.021763+0.28995*LOG($BP32))," ")))</f>
        <v>0.64449395672863252</v>
      </c>
      <c r="BS32" s="475">
        <f>BM32*BQ32</f>
        <v>1.1729910043985663</v>
      </c>
      <c r="BT32" s="475">
        <f>IF(BP32=" "," ",(BM32*BR32))</f>
        <v>2.5526512364667759</v>
      </c>
      <c r="BU32" s="475">
        <f>IF(BO32&lt;=0.11,0.3827+0.0645*LN(BO32),IF(BO32&lt;=0.21,0.60025+0.15471*LN(BO32),IF(BO32&lt;1,0.225+0.6666666667*BO32,0)))</f>
        <v>9.7721441571666456E-2</v>
      </c>
      <c r="BV32" s="475">
        <f>IF(BP32&lt;=0.11,0.3827+0.0645*LN(BP32),IF(BP32&lt;=0.21,0.60025+0.15471*LN(BP32),IF(BP32&lt;1,0.225+0.6666666667*BP32," ")))</f>
        <v>0.34238913255285197</v>
      </c>
      <c r="BW32" s="475">
        <f>2*ACOS(1-2*(BU32))</f>
        <v>1.2717339737134346</v>
      </c>
      <c r="BX32" s="475">
        <f>IF(BP32=" "," ",(2*ACOS(1-2*(BV32))))</f>
        <v>2.5002120703043076</v>
      </c>
      <c r="BY32" s="475">
        <f>(1/4)*(1-(SIN(BW32))/BW32)</f>
        <v>6.2143659269279644E-2</v>
      </c>
      <c r="BZ32" s="475">
        <f>IF(BP32=" "," ",((1/4)*(1-(SIN(BX32))/BX32)))</f>
        <v>0.19017485166725492</v>
      </c>
      <c r="CA32" s="471">
        <f>BY32*AZ32/1000</f>
        <v>1.2428731853855929E-2</v>
      </c>
      <c r="CB32" s="471">
        <f>IF(BP32=" "," ",(BZ32*AZ32/1000))</f>
        <v>3.8034970333450983E-2</v>
      </c>
      <c r="CC32" s="471">
        <f t="shared" si="2"/>
        <v>3.6410718388732355</v>
      </c>
      <c r="CD32" s="471" t="str">
        <f>IF(CC32="","",IF(CC32&lt;0.7,"F. Subcrítico",IF(AND(CC32&gt;0.7,CC32&lt;1),"F. Subcrítico Inestable",IF(CC32=1,"F. Crítico",IF(AND(CC32&gt;1,CC32&lt;1.5),"F. Supercrítico Inestable",IF(CC32&gt;1.5,"F. Supercrítico",""))))))</f>
        <v>F. Supercrítico</v>
      </c>
      <c r="CE32" s="471">
        <f>1000*BL32*CA32/100</f>
        <v>1.7888150872844506</v>
      </c>
      <c r="CF32" s="471">
        <f>IF(BP32=" "," ",(1000*BL32*CB32/100))</f>
        <v>5.4742132646288795</v>
      </c>
      <c r="CG32" s="471" t="str">
        <f>IF(BS32&lt;0.45,"No cumple",IF(BS32&gt;5,"No cumple","O.K"))</f>
        <v>O.K</v>
      </c>
      <c r="CH32" s="471" t="str">
        <f>IF(BT32&lt;0.75,"No cumple",IF(BT32&gt;10,"No cumple","O.K"))</f>
        <v>O.K</v>
      </c>
      <c r="CI32" s="471" t="str">
        <f>IF(CE32&gt;0.1,"OK","V.C.H.")</f>
        <v>OK</v>
      </c>
      <c r="CJ32" s="471" t="str">
        <f>IF(CF32&gt;0.2,"OK","V.C.H.")</f>
        <v>OK</v>
      </c>
      <c r="CK32" s="468">
        <f>+BJ32</f>
        <v>0.77999999999997272</v>
      </c>
      <c r="CL32" s="482" t="s">
        <v>2507</v>
      </c>
      <c r="CM32" s="482"/>
      <c r="CN32" s="63" t="str">
        <f>IF(B32=1,"dato"," ")</f>
        <v>dato</v>
      </c>
      <c r="CO32" s="498">
        <f>+CR32</f>
        <v>33.42</v>
      </c>
      <c r="CP32" s="472">
        <f>+BK32/100</f>
        <v>0.14272890484739623</v>
      </c>
      <c r="CQ32" s="482" t="s">
        <v>2508</v>
      </c>
      <c r="CR32" s="204">
        <f>IF(BA32="","",AX32)</f>
        <v>33.42</v>
      </c>
      <c r="CS32" s="486">
        <v>1.2</v>
      </c>
      <c r="CT32" s="486">
        <v>1.2</v>
      </c>
      <c r="CU32" s="23">
        <f>IF($BA32="","",SQRT((BH32-BI32)^2+$CR32^2))</f>
        <v>33.764367312301289</v>
      </c>
      <c r="CV32" s="499" t="s">
        <v>2509</v>
      </c>
      <c r="CW32" s="488" t="str">
        <f>+IF(BD32&lt;=0.9,"E1",IF(BD32&lt;=2.5,"E2","E3"))</f>
        <v>E2</v>
      </c>
      <c r="CX32" s="204">
        <f>IF(AND(L32="",H32=""),"",IF(AND(BA32&lt;&gt;4,BA32&lt;&gt;5),VLOOKUP(AY32,'TABLA (2)'!$A$9:$D$43,4),IF(BA32=4,VLOOKUP(AY32,'TABLA (2)'!$A$74:$D$89,4),VLOOKUP(AY32,'TABLA (2)'!$A$51:$D$66,4))))</f>
        <v>3.6999999999999998E-2</v>
      </c>
      <c r="CY32" s="482"/>
      <c r="CZ32" s="482"/>
      <c r="DA32" s="482"/>
      <c r="DB32" s="490"/>
    </row>
    <row r="33" spans="1:106" ht="15.75" hidden="1" customHeight="1">
      <c r="A33" s="465">
        <v>8</v>
      </c>
      <c r="B33" s="491"/>
      <c r="C33" s="466" t="s">
        <v>2147</v>
      </c>
      <c r="D33" s="466" t="s">
        <v>2157</v>
      </c>
      <c r="E33" s="468"/>
      <c r="F33" s="468"/>
      <c r="G33" s="468">
        <f>IF(B33=1,0,SUMIF($D$22:$D$583,C33,$H$22:$H$583))</f>
        <v>0.1030491498</v>
      </c>
      <c r="H33" s="468">
        <f>+E33+F33+G33</f>
        <v>0.1030491498</v>
      </c>
      <c r="I33" s="468"/>
      <c r="J33" s="468"/>
      <c r="K33" s="467">
        <f ca="1">+IF(B33=1,0,SUMIF($D$22:$D$583,C33,$L$22:$L$580))</f>
        <v>0.1030491498</v>
      </c>
      <c r="L33" s="468">
        <f ca="1">+I33+J33+K33</f>
        <v>0.1030491498</v>
      </c>
      <c r="M33" s="469">
        <f>+$P$12</f>
        <v>242.33666300502347</v>
      </c>
      <c r="N33" s="470">
        <f>M33*E33</f>
        <v>0</v>
      </c>
      <c r="O33" s="470">
        <f>M33*F33</f>
        <v>0</v>
      </c>
      <c r="P33" s="470">
        <f>M33*H33</f>
        <v>24.972587088036782</v>
      </c>
      <c r="Q33" s="469">
        <f>+$H$14</f>
        <v>140</v>
      </c>
      <c r="R33" s="471">
        <f>Q33*P33*$P$14/86400</f>
        <v>3.439511416060622E-2</v>
      </c>
      <c r="S33" s="471"/>
      <c r="T33" s="471"/>
      <c r="U33" s="471">
        <f>IF(C33="","",T33*$P$17)</f>
        <v>0</v>
      </c>
      <c r="V33" s="471"/>
      <c r="W33" s="471"/>
      <c r="X33" s="471">
        <f>IF(C33="","",W33*$P$16)</f>
        <v>0</v>
      </c>
      <c r="Y33" s="471">
        <f>IF(H33=0,0,$H$15*H33)</f>
        <v>2.0609829960000003E-2</v>
      </c>
      <c r="Z33" s="471">
        <f ca="1">IF(L33=0,$H$16*H33,0)</f>
        <v>0</v>
      </c>
      <c r="AA33" s="471">
        <f t="shared" si="0"/>
        <v>3.8</v>
      </c>
      <c r="AB33" s="471">
        <f>R33*AA33</f>
        <v>0.13070143381030364</v>
      </c>
      <c r="AC33" s="471">
        <f>Q33*(N33+O33)*$P$14/86400</f>
        <v>0</v>
      </c>
      <c r="AD33" s="471">
        <f>IF(E33=0,0,$H$15*(E33+F33))</f>
        <v>0</v>
      </c>
      <c r="AE33" s="471">
        <f>IF(F33=0,0,$H$15*(F33+G33))</f>
        <v>0</v>
      </c>
      <c r="AF33" s="471">
        <f>IF(N33="","",IF(1+((14/(4+(((N33+O33)+O33)/1000)^1/2)))&lt;1.4,1.4,IF(1+((14/(4+((N33+O33)/1000)^1/2)))&gt;=4,4,(1+((14/(4+((N33+O33)/1000)^1/2)))))))</f>
        <v>4</v>
      </c>
      <c r="AG33" s="471">
        <f>AC33*AF33</f>
        <v>0</v>
      </c>
      <c r="AH33" s="471">
        <f>+AD33+AE33+AG33</f>
        <v>0</v>
      </c>
      <c r="AI33" s="471">
        <f ca="1">IF(H33="","",IF(AB33+Y33+Z33+X33+U33&lt;1.5,1.5,AB33+Y33+Z33+X33+U33))</f>
        <v>1.5</v>
      </c>
      <c r="AJ33" s="471">
        <f>+$P$17</f>
        <v>0.75</v>
      </c>
      <c r="AK33" s="472">
        <f>+BK33/100</f>
        <v>0.46241258741259417</v>
      </c>
      <c r="AL33" s="471">
        <f>IF(AJ33=0," ",0.14+0.65*AJ33+0.05*AK33)</f>
        <v>0.65062062937062981</v>
      </c>
      <c r="AM33" s="473">
        <f>((100/36)*$AM$14*(AP33+$AN$14)^$AO$14)</f>
        <v>335.69640117852134</v>
      </c>
      <c r="AN33" s="474">
        <f t="shared" si="1"/>
        <v>10</v>
      </c>
      <c r="AO33" s="474">
        <f>((1/60)*$AX33/$AQ33)</f>
        <v>6.3555555555555546E-2</v>
      </c>
      <c r="AP33" s="474">
        <f>IF(B33=1,IF(($AN33+$AO33)&lt;10,10,IF(($AN33+$AO33)&gt;20,20,($AN33+$AO33))),($AN33+$AO33))</f>
        <v>10.063555555555556</v>
      </c>
      <c r="AQ33" s="475">
        <v>3</v>
      </c>
      <c r="AR33" s="474">
        <f ca="1">((1/60)*$AX33/$BT33)</f>
        <v>5.6093978341096876E-2</v>
      </c>
      <c r="AS33" s="474">
        <f ca="1">AO33/AR33</f>
        <v>1.1330192194443087</v>
      </c>
      <c r="AT33" s="471" t="str">
        <f ca="1">IF(AS33&lt;0.9,"Disminuir vel.",IF(AS33&gt;1.1,"Aumentar vel.","Cumple"))</f>
        <v>Aumentar vel.</v>
      </c>
      <c r="AU33" s="492">
        <f>+I33*AL33*AM33</f>
        <v>0</v>
      </c>
      <c r="AV33" s="471">
        <f ca="1">+L33*AL33*AM33</f>
        <v>22.507068249814346</v>
      </c>
      <c r="AW33" s="471">
        <f ca="1">ROUND(IF(AI33&gt;(AV33*0.05),(AV33+AI33),AV33),2)</f>
        <v>24.01</v>
      </c>
      <c r="AX33" s="478">
        <f>IF(OR(C33="",D33=""),"",ROUND(((VLOOKUP(C33,'Base de Diseño (2)'!$A$2:$C$333,2,FALSE)-VLOOKUP(D33,'Base de Diseño (2)'!$A$2:$C$333,2,FALSE))^2+(VLOOKUP(C33,'Base de Diseño (2)'!$A$2:$C$333,3,0)-VLOOKUP(D33,'Base de Diseño (2)'!$A$2:$C$333,3,FALSE))^2)^0.5,2))</f>
        <v>11.44</v>
      </c>
      <c r="AY33" s="493">
        <v>24</v>
      </c>
      <c r="AZ33" s="480">
        <f ca="1">IF(AND(L33="",H33=""),"",IF(BA33=4,VLOOKUP(AY33,'TABLA (2)'!$A$74:$C$89,2),IF(BA33=5,VLOOKUP(AY33,'TABLA (2)'!$A$51:$B$66,2),IF(BA33=6,VLOOKUP(AY33,'TABLA (2)'!$A$9:$B$43,2)))))</f>
        <v>600</v>
      </c>
      <c r="BA33" s="493">
        <v>6</v>
      </c>
      <c r="BB33" s="478">
        <f>IF(OR(C33="",D33=""),"",VLOOKUP(C33,'Base de Diseño (2)'!$A$2:$D$330,4,FALSE))</f>
        <v>978.00160000000005</v>
      </c>
      <c r="BC33" s="478">
        <f>IF(OR(C33="",D33=""),"",VLOOKUP(D33,'Base de Diseño (2)'!$A$2:$D$330,4,FALSE))</f>
        <v>972.71159999999998</v>
      </c>
      <c r="BD33" s="23">
        <f ca="1">+BF33-((AZ33/1000)+CX33)</f>
        <v>1.6079999999999728</v>
      </c>
      <c r="BE33" s="23">
        <f ca="1">+BG33-((AZ33/1000)+CX33)</f>
        <v>1.087999999999991</v>
      </c>
      <c r="BF33" s="494">
        <v>2.2799999999999727</v>
      </c>
      <c r="BG33" s="494">
        <v>1.7599999999999909</v>
      </c>
      <c r="BH33" s="495">
        <f>BB33-BF33</f>
        <v>975.72160000000008</v>
      </c>
      <c r="BI33" s="495">
        <f>BC33-BG33</f>
        <v>970.95159999999998</v>
      </c>
      <c r="BJ33" s="468">
        <f>IF(A33="",0,BI33-BH34)</f>
        <v>970.95159999999998</v>
      </c>
      <c r="BK33" s="475">
        <f>ABS((BB33-BC33)/AX33)*100</f>
        <v>46.241258741259415</v>
      </c>
      <c r="BL33" s="475">
        <f>((BH33-BI33)/AX33)*100</f>
        <v>41.695804195805032</v>
      </c>
      <c r="BM33" s="475">
        <f ca="1">IF(BA33=6,(1/0.013)*((AZ33/4000)^(2/3))*((BL33/100)^(0.5)),(1/0.009)*((AZ33/4000)^(2/3))*((BL33/100)^(0.5)))</f>
        <v>14.022657641886729</v>
      </c>
      <c r="BN33" s="475">
        <f ca="1">1000*BM33*PI()*((AZ33/1000/2)^2)</f>
        <v>3964.8130408400511</v>
      </c>
      <c r="BO33" s="204">
        <f ca="1">AI33/BN33</f>
        <v>3.7832805344137615E-4</v>
      </c>
      <c r="BP33" s="496">
        <f ca="1">IF(L33=0," ",AW33/BN33)</f>
        <v>6.0557710420849611E-3</v>
      </c>
      <c r="BQ33" s="497">
        <f ca="1">IF($BO33&gt;0 =AND($BO33&lt;=0.06),10^(0.029806+0.29095*LOG($BO33)),IF($BO33&gt;0.06 =AND($BO33&lt;=0.26),10^(0.013778+0.282597*LOG($BO33)),IF($BO33&gt;0.26 =AND($BO33&lt;=0.91),10^(0.021763+0.28995*LOG($BO33)),1)))</f>
        <v>0.10817747828584869</v>
      </c>
      <c r="BR33" s="497">
        <f ca="1">IF($BP33&gt;0 =AND($BP33&lt;=0.06),10^(0.029806+0.29095*LOG($BP33)),IF($BP33&gt;0.06 =AND($BP33&lt;=0.26),10^(0.013778+0.282597*LOG($BP33)),IF($BP33&gt;0.26 =AND($BP33&lt;=2),10^(0.021763+0.28995*LOG($BP33))," ")))</f>
        <v>0.24239753584082999</v>
      </c>
      <c r="BS33" s="475">
        <f ca="1">BM33*BQ33</f>
        <v>1.5169357425650918</v>
      </c>
      <c r="BT33" s="475">
        <f ca="1">IF(BP33=" "," ",(BM33*BR33))</f>
        <v>3.3990576583329268</v>
      </c>
      <c r="BU33" s="475">
        <f ca="1">IF(BO33&lt;=0.11,0.3827+0.0645*LN(BO33),IF(BO33&lt;=0.21,0.60025+0.15471*LN(BO33),IF(BO33&lt;1,0.225+0.6666666667*BO33,0)))</f>
        <v>-0.12554380227469059</v>
      </c>
      <c r="BV33" s="475">
        <f ca="1">IF(BP33&lt;=0.11,0.3827+0.0645*LN(BP33),IF(BP33&lt;=0.21,0.60025+0.15471*LN(BP33),IF(BP33&lt;1,0.225+0.6666666667*BP33," ")))</f>
        <v>5.3315039712371781E-2</v>
      </c>
      <c r="BW33" s="475" t="e">
        <f ca="1">2*ACOS(1-2*(BU33))</f>
        <v>#NUM!</v>
      </c>
      <c r="BX33" s="475">
        <f ca="1">IF(BP33=" "," ",(2*ACOS(1-2*(BV33))))</f>
        <v>0.93201235377553804</v>
      </c>
      <c r="BY33" s="475" t="e">
        <f ca="1">(1/4)*(1-(SIN(BW33))/BW33)</f>
        <v>#NUM!</v>
      </c>
      <c r="BZ33" s="475">
        <f ca="1">IF(BP33=" "," ",((1/4)*(1-(SIN(BX33))/BX33)))</f>
        <v>3.4653774388171271E-2</v>
      </c>
      <c r="CA33" s="471" t="e">
        <f ca="1">BY33*AZ33/1000</f>
        <v>#NUM!</v>
      </c>
      <c r="CB33" s="471">
        <f ca="1">IF(BP33=" "," ",(BZ33*AZ33/1000))</f>
        <v>2.0792264632902763E-2</v>
      </c>
      <c r="CC33" s="471">
        <f t="shared" ca="1" si="2"/>
        <v>7.3901983658519965</v>
      </c>
      <c r="CD33" s="471" t="str">
        <f ca="1">IF(CC33="","",IF(CC33&lt;0.7,"F. Subcrítico",IF(AND(CC33&gt;0.7,CC33&lt;1),"F. Subcrítico Inestable",IF(CC33=1,"F. Crítico",IF(AND(CC33&gt;1,CC33&lt;1.5),"F. Supercrítico Inestable",IF(CC33&gt;1.5,"F. Supercrítico",""))))))</f>
        <v>F. Supercrítico</v>
      </c>
      <c r="CE33" s="471" t="e">
        <f ca="1">1000*BL33*CA33/100</f>
        <v>#NUM!</v>
      </c>
      <c r="CF33" s="471">
        <f ca="1">IF(BP33=" "," ",(1000*BL33*CB33/100))</f>
        <v>8.6695019492087564</v>
      </c>
      <c r="CG33" s="471" t="str">
        <f ca="1">IF(BS33&lt;0.45,"No cumple",IF(BS33&gt;5,"No cumple","O.K"))</f>
        <v>O.K</v>
      </c>
      <c r="CH33" s="471" t="str">
        <f ca="1">IF(BT33&lt;0.75,"No cumple",IF(BT33&gt;10,"No cumple","O.K"))</f>
        <v>O.K</v>
      </c>
      <c r="CI33" s="471" t="e">
        <f ca="1">IF(CE33&gt;0.1,"OK","V.C.H.")</f>
        <v>#NUM!</v>
      </c>
      <c r="CJ33" s="471" t="str">
        <f ca="1">IF(CF33&gt;0.2,"OK","V.C.H.")</f>
        <v>OK</v>
      </c>
      <c r="CK33" s="468">
        <f>+BJ33</f>
        <v>970.95159999999998</v>
      </c>
      <c r="CL33" s="482" t="s">
        <v>2507</v>
      </c>
      <c r="CM33" s="482"/>
      <c r="CN33" s="63" t="str">
        <f>IF(B33=1,"dato"," ")</f>
        <v xml:space="preserve"> </v>
      </c>
      <c r="CO33" s="498">
        <f>+CR33</f>
        <v>11.44</v>
      </c>
      <c r="CP33" s="472">
        <f>+BK33/100</f>
        <v>0.46241258741259417</v>
      </c>
      <c r="CQ33" s="482" t="s">
        <v>2508</v>
      </c>
      <c r="CR33" s="204">
        <f>IF(BA33="","",AX33)</f>
        <v>11.44</v>
      </c>
      <c r="CS33" s="486">
        <v>1.2</v>
      </c>
      <c r="CT33" s="486">
        <v>1.2</v>
      </c>
      <c r="CU33" s="23">
        <f>IF($BA33="","",SQRT((BH33-BI33)^2+$CR33^2))</f>
        <v>12.394615766533503</v>
      </c>
      <c r="CV33" s="499" t="s">
        <v>2509</v>
      </c>
      <c r="CW33" s="488" t="str">
        <f ca="1">+IF(BD33&lt;=0.9,"E1",IF(BD33&lt;=2.5,"E2","E3"))</f>
        <v>E2</v>
      </c>
      <c r="CX33" s="204">
        <f ca="1">IF(AND(L33="",H33=""),"",IF(AND(BA33&lt;&gt;4,BA33&lt;&gt;5),VLOOKUP(AY33,'TABLA (2)'!$A$9:$D$43,4),IF(BA33=4,VLOOKUP(AY33,'TABLA (2)'!$A$74:$D$89,4),VLOOKUP(AY33,'TABLA (2)'!$A$51:$D$66,4))))</f>
        <v>7.1999999999999995E-2</v>
      </c>
      <c r="CY33" s="482"/>
      <c r="CZ33" s="482"/>
      <c r="DA33" s="482"/>
      <c r="DB33" s="490"/>
    </row>
    <row r="34" spans="1:106" ht="15.75" hidden="1" customHeight="1">
      <c r="A34" s="465"/>
      <c r="B34" s="491"/>
      <c r="C34" s="501"/>
      <c r="D34" s="501"/>
      <c r="E34" s="468"/>
      <c r="F34" s="468"/>
      <c r="G34" s="468"/>
      <c r="H34" s="468"/>
      <c r="I34" s="468"/>
      <c r="J34" s="468"/>
      <c r="K34" s="467"/>
      <c r="L34" s="468"/>
      <c r="M34" s="469"/>
      <c r="N34" s="470"/>
      <c r="O34" s="470"/>
      <c r="P34" s="470"/>
      <c r="Q34" s="469"/>
      <c r="R34" s="471"/>
      <c r="S34" s="471"/>
      <c r="T34" s="471"/>
      <c r="U34" s="471"/>
      <c r="V34" s="471"/>
      <c r="W34" s="471"/>
      <c r="X34" s="471"/>
      <c r="Y34" s="471"/>
      <c r="Z34" s="471"/>
      <c r="AA34" s="471" t="str">
        <f t="shared" si="0"/>
        <v/>
      </c>
      <c r="AB34" s="471"/>
      <c r="AC34" s="471"/>
      <c r="AD34" s="471"/>
      <c r="AE34" s="471"/>
      <c r="AF34" s="471"/>
      <c r="AG34" s="471"/>
      <c r="AH34" s="471"/>
      <c r="AI34" s="471"/>
      <c r="AJ34" s="471"/>
      <c r="AK34" s="472"/>
      <c r="AL34" s="471"/>
      <c r="AM34" s="473"/>
      <c r="AN34" s="474">
        <f t="shared" si="1"/>
        <v>10.063555555555556</v>
      </c>
      <c r="AO34" s="474"/>
      <c r="AP34" s="474"/>
      <c r="AQ34" s="475">
        <v>3</v>
      </c>
      <c r="AR34" s="474"/>
      <c r="AS34" s="474"/>
      <c r="AT34" s="471"/>
      <c r="AU34" s="492"/>
      <c r="AV34" s="471"/>
      <c r="AW34" s="471"/>
      <c r="AX34" s="478"/>
      <c r="AY34" s="493"/>
      <c r="AZ34" s="480"/>
      <c r="BA34" s="493"/>
      <c r="BB34" s="478" t="str">
        <f>IF(OR(C34="",D34=""),"",VLOOKUP(C34,'Base de Diseño (2)'!$A$2:$D$330,4,FALSE))</f>
        <v/>
      </c>
      <c r="BC34" s="478" t="str">
        <f>IF(OR(C34="",D34=""),"",VLOOKUP(D34,'Base de Diseño (2)'!$A$2:$D$330,4,FALSE))</f>
        <v/>
      </c>
      <c r="BD34" s="23"/>
      <c r="BE34" s="23"/>
      <c r="BF34" s="494"/>
      <c r="BG34" s="494"/>
      <c r="BH34" s="495"/>
      <c r="BI34" s="495"/>
      <c r="BJ34" s="468"/>
      <c r="BK34" s="475"/>
      <c r="BL34" s="475"/>
      <c r="BM34" s="475"/>
      <c r="BN34" s="475"/>
      <c r="BO34" s="204"/>
      <c r="BP34" s="496"/>
      <c r="BQ34" s="497"/>
      <c r="BR34" s="497"/>
      <c r="BS34" s="475"/>
      <c r="BT34" s="475"/>
      <c r="BU34" s="475"/>
      <c r="BV34" s="475"/>
      <c r="BW34" s="475"/>
      <c r="BX34" s="475"/>
      <c r="BY34" s="475"/>
      <c r="BZ34" s="475"/>
      <c r="CA34" s="471"/>
      <c r="CB34" s="471"/>
      <c r="CC34" s="471" t="e">
        <f t="shared" si="2"/>
        <v>#DIV/0!</v>
      </c>
      <c r="CD34" s="471"/>
      <c r="CE34" s="471"/>
      <c r="CF34" s="471"/>
      <c r="CG34" s="471"/>
      <c r="CH34" s="471"/>
      <c r="CI34" s="471"/>
      <c r="CJ34" s="471"/>
      <c r="CK34" s="468"/>
      <c r="CL34" s="482"/>
      <c r="CM34" s="482"/>
      <c r="CN34" s="63"/>
      <c r="CO34" s="498"/>
      <c r="CP34" s="472"/>
      <c r="CQ34" s="482"/>
      <c r="CR34" s="204"/>
      <c r="CS34" s="486"/>
      <c r="CT34" s="486"/>
      <c r="CU34" s="23"/>
      <c r="CV34" s="499"/>
      <c r="CW34" s="488"/>
      <c r="CX34" s="204"/>
      <c r="CY34" s="482"/>
      <c r="CZ34" s="482"/>
      <c r="DA34" s="482"/>
      <c r="DB34" s="490"/>
    </row>
    <row r="35" spans="1:106" ht="15.75" hidden="1" customHeight="1">
      <c r="A35" s="465">
        <v>9</v>
      </c>
      <c r="B35" s="491">
        <v>1</v>
      </c>
      <c r="C35" s="466" t="s">
        <v>2148</v>
      </c>
      <c r="D35" s="466" t="s">
        <v>2158</v>
      </c>
      <c r="E35" s="468">
        <v>0.1192833724</v>
      </c>
      <c r="F35" s="468"/>
      <c r="G35" s="468">
        <f>IF(B35=1,0,SUMIF($D$22:$D$583,C35,$H$22:$H$583))</f>
        <v>0</v>
      </c>
      <c r="H35" s="468">
        <f>+E35+F35+G35</f>
        <v>0.1192833724</v>
      </c>
      <c r="I35" s="468">
        <v>0.1192833724</v>
      </c>
      <c r="J35" s="468"/>
      <c r="K35" s="467">
        <f>+IF(B35=1,0,SUMIF($D$22:$D$583,C35,$L$22:$L$580))</f>
        <v>0</v>
      </c>
      <c r="L35" s="468">
        <f>+I35+J35+K35</f>
        <v>0.1192833724</v>
      </c>
      <c r="M35" s="469">
        <f>+$P$12</f>
        <v>242.33666300502347</v>
      </c>
      <c r="N35" s="470">
        <f>M35*E35</f>
        <v>28.90673441940152</v>
      </c>
      <c r="O35" s="470">
        <f>M35*F35</f>
        <v>0</v>
      </c>
      <c r="P35" s="470">
        <f>M35*H35</f>
        <v>28.90673441940152</v>
      </c>
      <c r="Q35" s="469">
        <f>+$H$14</f>
        <v>140</v>
      </c>
      <c r="R35" s="471">
        <f>Q35*P35*$P$14/86400</f>
        <v>3.981367356375904E-2</v>
      </c>
      <c r="S35" s="471"/>
      <c r="T35" s="471"/>
      <c r="U35" s="471">
        <f>IF(C35="","",T35*$P$17)</f>
        <v>0</v>
      </c>
      <c r="V35" s="471"/>
      <c r="W35" s="471"/>
      <c r="X35" s="471">
        <f>IF(C35="","",W35*$P$16)</f>
        <v>0</v>
      </c>
      <c r="Y35" s="471">
        <f>IF(H35=0,0,$H$15*H35)</f>
        <v>2.3856674480000003E-2</v>
      </c>
      <c r="Z35" s="471">
        <f>IF(L35=0,$H$16*H35,0)</f>
        <v>0</v>
      </c>
      <c r="AA35" s="471">
        <f t="shared" si="0"/>
        <v>3.8</v>
      </c>
      <c r="AB35" s="471">
        <f>R35*AA35</f>
        <v>0.15129195954228433</v>
      </c>
      <c r="AC35" s="471">
        <f>Q35*(N35+O35)*$P$14/86400</f>
        <v>3.981367356375904E-2</v>
      </c>
      <c r="AD35" s="471">
        <f>IF(E35=0,0,$H$15*(E35+F35))</f>
        <v>2.3856674480000003E-2</v>
      </c>
      <c r="AE35" s="471">
        <f>IF(F35=0,0,$H$15*(F35+G35))</f>
        <v>0</v>
      </c>
      <c r="AF35" s="471">
        <f>IF(N35="","",IF(1+((14/(4+(((N35+O35)+O35)/1000)^1/2)))&lt;1.4,1.4,IF(1+((14/(4+((N35+O35)/1000)^1/2)))&gt;=4,4,(1+((14/(4+((N35+O35)/1000)^1/2)))))))</f>
        <v>4</v>
      </c>
      <c r="AG35" s="471">
        <f>AC35*AF35</f>
        <v>0.15925469425503616</v>
      </c>
      <c r="AH35" s="471">
        <f>+AD35+AE35+AG35</f>
        <v>0.18311136873503617</v>
      </c>
      <c r="AI35" s="471">
        <f>IF(H35="","",IF(AB35+Y35+Z35+X35+U35&lt;1.5,1.5,AB35+Y35+Z35+X35+U35))</f>
        <v>1.5</v>
      </c>
      <c r="AJ35" s="471">
        <f>+$P$17</f>
        <v>0.75</v>
      </c>
      <c r="AK35" s="472">
        <f>+BK35/100</f>
        <v>0.25756823821339941</v>
      </c>
      <c r="AL35" s="471">
        <f>IF(AJ35=0," ",0.14+0.65*AJ35+0.05*AK35)</f>
        <v>0.64037841191067002</v>
      </c>
      <c r="AM35" s="473">
        <f>((100/36)*$AM$14*(AP35+$AN$14)^$AO$14)</f>
        <v>336.32613267542746</v>
      </c>
      <c r="AN35" s="474">
        <f t="shared" si="1"/>
        <v>5</v>
      </c>
      <c r="AO35" s="474">
        <f>((1/60)*$AX35/$AQ35)</f>
        <v>0.22388888888888889</v>
      </c>
      <c r="AP35" s="474">
        <f>IF(B35=1,IF(($AN35+$AO35)&lt;10,10,IF(($AN35+$AO35)&gt;20,20,($AN35+$AO35))),($AN35+$AO35))</f>
        <v>10</v>
      </c>
      <c r="AQ35" s="475">
        <v>3</v>
      </c>
      <c r="AR35" s="474">
        <f>((1/60)*$AX35/$BT35)</f>
        <v>0.21251947238305668</v>
      </c>
      <c r="AS35" s="474">
        <f>AO35/AR35</f>
        <v>1.0534982342010493</v>
      </c>
      <c r="AT35" s="471" t="str">
        <f>IF(AS35&lt;0.9,"Disminuir vel.",IF(AS35&gt;1.1,"Aumentar vel.","Cumple"))</f>
        <v>Cumple</v>
      </c>
      <c r="AU35" s="492">
        <f>+I35*AL35*AM35</f>
        <v>25.690774985011064</v>
      </c>
      <c r="AV35" s="471">
        <f>+L35*AL35*AM35</f>
        <v>25.690774985011064</v>
      </c>
      <c r="AW35" s="471">
        <f>ROUND(IF(AI35&gt;(AV35*0.05),(AV35+AI35),AV35),2)</f>
        <v>27.19</v>
      </c>
      <c r="AX35" s="478">
        <f>IF(OR(C35="",D35=""),"",ROUND(((VLOOKUP(C35,'Base de Diseño (2)'!$A$2:$C$333,2,FALSE)-VLOOKUP(D35,'Base de Diseño (2)'!$A$2:$C$333,2,FALSE))^2+(VLOOKUP(C35,'Base de Diseño (2)'!$A$2:$C$333,3,0)-VLOOKUP(D35,'Base de Diseño (2)'!$A$2:$C$333,3,FALSE))^2)^0.5,2))</f>
        <v>40.299999999999997</v>
      </c>
      <c r="AY35" s="493">
        <v>10</v>
      </c>
      <c r="AZ35" s="480">
        <f>IF(AND(L35="",H35=""),"",IF(BA35=4,VLOOKUP(AY35,'TABLA (2)'!$A$74:$C$89,2),IF(BA35=5,VLOOKUP(AY35,'TABLA (2)'!$A$51:$B$66,2),IF(BA35=6,VLOOKUP(AY35,'TABLA (2)'!$A$9:$B$43,2)))))</f>
        <v>250</v>
      </c>
      <c r="BA35" s="493">
        <v>6</v>
      </c>
      <c r="BB35" s="478">
        <f>IF(OR(C35="",D35=""),"",VLOOKUP(C35,'Base de Diseño (2)'!$A$2:$D$330,4,FALSE))</f>
        <v>982.50160000000005</v>
      </c>
      <c r="BC35" s="478">
        <f>IF(OR(C35="",D35=""),"",VLOOKUP(D35,'Base de Diseño (2)'!$A$2:$D$330,4,FALSE))</f>
        <v>972.12160000000006</v>
      </c>
      <c r="BD35" s="23">
        <f>+BF35-((AZ35/1000)+CX35)</f>
        <v>1.1930000000000183</v>
      </c>
      <c r="BE35" s="23">
        <f>+BG35-((AZ35/1000)+CX35)</f>
        <v>0.71300000000000008</v>
      </c>
      <c r="BF35" s="494">
        <v>1.4800000000000182</v>
      </c>
      <c r="BG35" s="494">
        <v>1</v>
      </c>
      <c r="BH35" s="495">
        <f>BB35-BF35</f>
        <v>981.02160000000003</v>
      </c>
      <c r="BI35" s="495">
        <f>BC35-BG35</f>
        <v>971.12160000000006</v>
      </c>
      <c r="BJ35" s="468">
        <f t="shared" ref="BJ35:BJ42" si="6">IF(A35="",0,BI35-BH36)</f>
        <v>971.12160000000006</v>
      </c>
      <c r="BK35" s="475">
        <f>ABS((BB35-BC35)/AX35)*100</f>
        <v>25.756823821339943</v>
      </c>
      <c r="BL35" s="475">
        <f>((BH35-BI35)/AX35)*100</f>
        <v>24.565756823821285</v>
      </c>
      <c r="BM35" s="475">
        <f>IF(BA35=6,(1/0.013)*((AZ35/4000)^(2/3))*((BL35/100)^(0.5)),(1/0.009)*((AZ35/4000)^(2/3))*((BL35/100)^(0.5)))</f>
        <v>6.0044753575991656</v>
      </c>
      <c r="BN35" s="475">
        <f>1000*BM35*PI()*((AZ35/1000/2)^2)</f>
        <v>294.74399487647634</v>
      </c>
      <c r="BO35" s="204">
        <f>AI35/BN35</f>
        <v>5.089162208813218E-3</v>
      </c>
      <c r="BP35" s="496">
        <f>IF(L35=0," ",AW35/BN35)</f>
        <v>9.2249546971754262E-2</v>
      </c>
      <c r="BQ35" s="497">
        <f>IF($BO35&gt;0 =AND($BO35&lt;=0.06),10^(0.029806+0.29095*LOG($BO35)),IF($BO35&gt;0.06 =AND($BO35&lt;=0.26),10^(0.013778+0.282597*LOG($BO35)),IF($BO35&gt;0.26 =AND($BO35&lt;=0.91),10^(0.021763+0.28995*LOG($BO35)),1)))</f>
        <v>0.23043834055556051</v>
      </c>
      <c r="BR35" s="497">
        <f>IF($BP35&gt;0 =AND($BP35&lt;=0.06),10^(0.029806+0.29095*LOG($BP35)),IF($BP35&gt;0.06 =AND($BP35&lt;=0.26),10^(0.013778+0.282597*LOG($BP35)),IF($BP35&gt;0.26 =AND($BP35&lt;=2),10^(0.021763+0.28995*LOG($BP35))," ")))</f>
        <v>0.52635651149825735</v>
      </c>
      <c r="BS35" s="475">
        <f>BM35*BQ35</f>
        <v>1.3836613373119075</v>
      </c>
      <c r="BT35" s="475">
        <f>IF(BP35=" "," ",(BM35*BR35))</f>
        <v>3.160494702603148</v>
      </c>
      <c r="BU35" s="475">
        <f>IF(BO35&lt;=0.11,0.3827+0.0645*LN(BO35),IF(BO35&lt;=0.21,0.60025+0.15471*LN(BO35),IF(BO35&lt;1,0.225+0.6666666667*BO35,0)))</f>
        <v>4.2098587292213163E-2</v>
      </c>
      <c r="BV35" s="475">
        <f>IF(BP35&lt;=0.11,0.3827+0.0645*LN(BP35),IF(BP35&lt;=0.21,0.60025+0.15471*LN(BP35),IF(BP35&lt;1,0.225+0.6666666667*BP35," ")))</f>
        <v>0.22897986500179907</v>
      </c>
      <c r="BW35" s="475">
        <f>2*ACOS(1-2*(BU35))</f>
        <v>0.82658802526328756</v>
      </c>
      <c r="BX35" s="475">
        <f>IF(BP35=" "," ",(2*ACOS(1-2*(BV35))))</f>
        <v>1.9958664782311997</v>
      </c>
      <c r="BY35" s="475">
        <f>(1/4)*(1-(SIN(BW35))/BW35)</f>
        <v>2.7511771670251123E-2</v>
      </c>
      <c r="BZ35" s="475">
        <f>IF(BP35=" "," ",((1/4)*(1-(SIN(BX35))/BX35)))</f>
        <v>0.13588793191408105</v>
      </c>
      <c r="CA35" s="471">
        <f>BY35*AZ35/1000</f>
        <v>6.8779429175627807E-3</v>
      </c>
      <c r="CB35" s="471">
        <f>IF(BP35=" "," ",(BZ35*AZ35/1000))</f>
        <v>3.3971982978520263E-2</v>
      </c>
      <c r="CC35" s="471">
        <f t="shared" si="2"/>
        <v>5.0238899963488368</v>
      </c>
      <c r="CD35" s="471" t="str">
        <f>IF(CC35="","",IF(CC35&lt;0.7,"F. Subcrítico",IF(AND(CC35&gt;0.7,CC35&lt;1),"F. Subcrítico Inestable",IF(CC35=1,"F. Crítico",IF(AND(CC35&gt;1,CC35&lt;1.5),"F. Supercrítico Inestable",IF(CC35&gt;1.5,"F. Supercrítico",""))))))</f>
        <v>F. Supercrítico</v>
      </c>
      <c r="CE35" s="471">
        <f>1000*BL35*CA35/100</f>
        <v>1.6896187316097115</v>
      </c>
      <c r="CF35" s="471">
        <f>IF(BP35=" "," ",(1000*BL35*CB35/100))</f>
        <v>8.3454747267332472</v>
      </c>
      <c r="CG35" s="471" t="str">
        <f>IF(BS35&lt;0.45,"No cumple",IF(BS35&gt;5,"No cumple","O.K"))</f>
        <v>O.K</v>
      </c>
      <c r="CH35" s="471" t="str">
        <f>IF(BT35&lt;0.75,"No cumple",IF(BT35&gt;10,"No cumple","O.K"))</f>
        <v>O.K</v>
      </c>
      <c r="CI35" s="471" t="str">
        <f>IF(CE35&gt;0.1,"OK","V.C.H.")</f>
        <v>OK</v>
      </c>
      <c r="CJ35" s="471" t="str">
        <f>IF(CF35&gt;0.2,"OK","V.C.H.")</f>
        <v>OK</v>
      </c>
      <c r="CK35" s="468">
        <f>+BJ35</f>
        <v>971.12160000000006</v>
      </c>
      <c r="CL35" s="482" t="s">
        <v>2507</v>
      </c>
      <c r="CM35" s="482"/>
      <c r="CN35" s="63" t="str">
        <f>IF(B35=1,"dato"," ")</f>
        <v>dato</v>
      </c>
      <c r="CO35" s="498">
        <f>+CR35</f>
        <v>40.299999999999997</v>
      </c>
      <c r="CP35" s="472">
        <f>+BK35/100</f>
        <v>0.25756823821339941</v>
      </c>
      <c r="CQ35" s="482" t="s">
        <v>2508</v>
      </c>
      <c r="CR35" s="204">
        <f>IF(BA35="","",AX35)</f>
        <v>40.299999999999997</v>
      </c>
      <c r="CS35" s="486">
        <v>1.2</v>
      </c>
      <c r="CT35" s="486">
        <v>1.2</v>
      </c>
      <c r="CU35" s="23">
        <f>IF($BA35="","",SQRT((BH35-BI35)^2+$CR35^2))</f>
        <v>41.498192731732296</v>
      </c>
      <c r="CV35" s="499" t="s">
        <v>2509</v>
      </c>
      <c r="CW35" s="488" t="str">
        <f>+IF(BD35&lt;=0.9,"E1",IF(BD35&lt;=2.5,"E2","E3"))</f>
        <v>E2</v>
      </c>
      <c r="CX35" s="204">
        <f>IF(AND(L35="",H35=""),"",IF(AND(BA35&lt;&gt;4,BA35&lt;&gt;5),VLOOKUP(AY35,'TABLA (2)'!$A$9:$D$43,4),IF(BA35=4,VLOOKUP(AY35,'TABLA (2)'!$A$74:$D$89,4),VLOOKUP(AY35,'TABLA (2)'!$A$51:$D$66,4))))</f>
        <v>3.6999999999999998E-2</v>
      </c>
      <c r="CY35" s="482"/>
      <c r="CZ35" s="482"/>
      <c r="DA35" s="482"/>
      <c r="DB35" s="490"/>
    </row>
    <row r="36" spans="1:106" ht="15.75" hidden="1" customHeight="1">
      <c r="A36" s="465"/>
      <c r="B36" s="491"/>
      <c r="C36" s="501"/>
      <c r="D36" s="501"/>
      <c r="E36" s="468"/>
      <c r="F36" s="468"/>
      <c r="G36" s="468"/>
      <c r="H36" s="468"/>
      <c r="I36" s="468"/>
      <c r="J36" s="468"/>
      <c r="K36" s="467"/>
      <c r="L36" s="468"/>
      <c r="M36" s="469"/>
      <c r="N36" s="470"/>
      <c r="O36" s="470"/>
      <c r="P36" s="470"/>
      <c r="Q36" s="469"/>
      <c r="R36" s="471"/>
      <c r="S36" s="471"/>
      <c r="T36" s="471"/>
      <c r="U36" s="471"/>
      <c r="V36" s="471"/>
      <c r="W36" s="471"/>
      <c r="X36" s="471"/>
      <c r="Y36" s="471"/>
      <c r="Z36" s="471"/>
      <c r="AA36" s="471" t="str">
        <f t="shared" si="0"/>
        <v/>
      </c>
      <c r="AB36" s="471"/>
      <c r="AC36" s="471"/>
      <c r="AD36" s="471"/>
      <c r="AE36" s="471"/>
      <c r="AF36" s="471"/>
      <c r="AG36" s="471"/>
      <c r="AH36" s="471"/>
      <c r="AI36" s="471"/>
      <c r="AJ36" s="471"/>
      <c r="AK36" s="472"/>
      <c r="AL36" s="471"/>
      <c r="AM36" s="473"/>
      <c r="AN36" s="474">
        <f t="shared" si="1"/>
        <v>10</v>
      </c>
      <c r="AO36" s="474"/>
      <c r="AP36" s="474"/>
      <c r="AQ36" s="475">
        <v>3</v>
      </c>
      <c r="AR36" s="474"/>
      <c r="AS36" s="474"/>
      <c r="AT36" s="471"/>
      <c r="AU36" s="492"/>
      <c r="AV36" s="471"/>
      <c r="AW36" s="471"/>
      <c r="AX36" s="478"/>
      <c r="AY36" s="493"/>
      <c r="AZ36" s="480"/>
      <c r="BA36" s="493"/>
      <c r="BB36" s="478" t="str">
        <f>IF(OR(C36="",D36=""),"",VLOOKUP(C36,'Base de Diseño (2)'!$A$2:$D$330,4,FALSE))</f>
        <v/>
      </c>
      <c r="BC36" s="478" t="str">
        <f>IF(OR(C36="",D36=""),"",VLOOKUP(D36,'Base de Diseño (2)'!$A$2:$D$330,4,FALSE))</f>
        <v/>
      </c>
      <c r="BD36" s="23"/>
      <c r="BE36" s="23"/>
      <c r="BF36" s="494"/>
      <c r="BG36" s="494"/>
      <c r="BH36" s="495"/>
      <c r="BI36" s="495"/>
      <c r="BJ36" s="468">
        <f t="shared" si="6"/>
        <v>0</v>
      </c>
      <c r="BK36" s="475"/>
      <c r="BL36" s="475"/>
      <c r="BM36" s="475"/>
      <c r="BN36" s="475"/>
      <c r="BO36" s="204"/>
      <c r="BP36" s="496"/>
      <c r="BQ36" s="497"/>
      <c r="BR36" s="497"/>
      <c r="BS36" s="475"/>
      <c r="BT36" s="475"/>
      <c r="BU36" s="475"/>
      <c r="BV36" s="475"/>
      <c r="BW36" s="475"/>
      <c r="BX36" s="475"/>
      <c r="BY36" s="475"/>
      <c r="BZ36" s="475"/>
      <c r="CA36" s="471"/>
      <c r="CB36" s="471"/>
      <c r="CC36" s="471" t="e">
        <f t="shared" si="2"/>
        <v>#DIV/0!</v>
      </c>
      <c r="CD36" s="471"/>
      <c r="CE36" s="471"/>
      <c r="CF36" s="471"/>
      <c r="CG36" s="471"/>
      <c r="CH36" s="471"/>
      <c r="CI36" s="471"/>
      <c r="CJ36" s="471"/>
      <c r="CK36" s="468"/>
      <c r="CL36" s="482"/>
      <c r="CM36" s="482"/>
      <c r="CN36" s="63"/>
      <c r="CO36" s="498"/>
      <c r="CP36" s="472"/>
      <c r="CQ36" s="482"/>
      <c r="CR36" s="204"/>
      <c r="CS36" s="486"/>
      <c r="CT36" s="486"/>
      <c r="CU36" s="23"/>
      <c r="CV36" s="499"/>
      <c r="CW36" s="488"/>
      <c r="CX36" s="204"/>
      <c r="CY36" s="482"/>
      <c r="CZ36" s="482"/>
      <c r="DA36" s="482"/>
      <c r="DB36" s="490"/>
    </row>
    <row r="37" spans="1:106" ht="15.75" hidden="1" customHeight="1">
      <c r="A37" s="465">
        <v>10</v>
      </c>
      <c r="B37" s="491">
        <v>1</v>
      </c>
      <c r="C37" s="466" t="s">
        <v>2161</v>
      </c>
      <c r="D37" s="466" t="s">
        <v>2162</v>
      </c>
      <c r="E37" s="468">
        <v>4.7183806000000002E-2</v>
      </c>
      <c r="F37" s="468"/>
      <c r="G37" s="468">
        <f t="shared" ref="G37:G42" si="7">IF(B37=1,0,SUMIF($D$22:$D$583,C37,$H$22:$H$583))</f>
        <v>0</v>
      </c>
      <c r="H37" s="468">
        <f t="shared" ref="H37:H42" si="8">+E37+F37+G37</f>
        <v>4.7183806000000002E-2</v>
      </c>
      <c r="I37" s="468">
        <v>4.7183806000000002E-2</v>
      </c>
      <c r="J37" s="468"/>
      <c r="K37" s="467">
        <f t="shared" ref="K37:K42" si="9">+IF(B37=1,0,SUMIF($D$22:$D$583,C37,$L$22:$L$580))</f>
        <v>0</v>
      </c>
      <c r="L37" s="468">
        <f t="shared" ref="L37:L42" si="10">+I37+J37+K37</f>
        <v>4.7183806000000002E-2</v>
      </c>
      <c r="M37" s="469">
        <f t="shared" ref="M37:M42" si="11">+$P$12</f>
        <v>242.33666300502347</v>
      </c>
      <c r="N37" s="470">
        <f t="shared" ref="N37:N42" si="12">M37*E37</f>
        <v>11.434366093916404</v>
      </c>
      <c r="O37" s="470">
        <f t="shared" ref="O37:O42" si="13">M37*F37</f>
        <v>0</v>
      </c>
      <c r="P37" s="470">
        <f t="shared" ref="P37:P42" si="14">M37*H37</f>
        <v>11.434366093916404</v>
      </c>
      <c r="Q37" s="469">
        <f t="shared" ref="Q37:Q42" si="15">+$H$14</f>
        <v>140</v>
      </c>
      <c r="R37" s="471">
        <f t="shared" ref="R37:R42" si="16">Q37*P37*$P$14/86400</f>
        <v>1.5748721819167269E-2</v>
      </c>
      <c r="S37" s="471"/>
      <c r="T37" s="471"/>
      <c r="U37" s="471">
        <f t="shared" ref="U37:U42" si="17">IF(C37="","",T37*$P$17)</f>
        <v>0</v>
      </c>
      <c r="V37" s="471"/>
      <c r="W37" s="471"/>
      <c r="X37" s="471">
        <f t="shared" ref="X37:X42" si="18">IF(C37="","",W37*$P$16)</f>
        <v>0</v>
      </c>
      <c r="Y37" s="471">
        <f t="shared" ref="Y37:Y42" si="19">IF(H37=0,0,$H$15*H37)</f>
        <v>9.436761200000001E-3</v>
      </c>
      <c r="Z37" s="471">
        <f t="shared" ref="Z37:Z42" si="20">IF(L37=0,$H$16*H37,0)</f>
        <v>0</v>
      </c>
      <c r="AA37" s="471">
        <f t="shared" si="0"/>
        <v>3.8</v>
      </c>
      <c r="AB37" s="471">
        <f t="shared" ref="AB37:AB42" si="21">R37*AA37</f>
        <v>5.9845142912835617E-2</v>
      </c>
      <c r="AC37" s="471">
        <f t="shared" ref="AC37:AC42" si="22">Q37*(N37+O37)*$P$14/86400</f>
        <v>1.5748721819167269E-2</v>
      </c>
      <c r="AD37" s="471">
        <f t="shared" ref="AD37:AE42" si="23">IF(E37=0,0,$H$15*(E37+F37))</f>
        <v>9.436761200000001E-3</v>
      </c>
      <c r="AE37" s="471">
        <f t="shared" si="23"/>
        <v>0</v>
      </c>
      <c r="AF37" s="471">
        <f t="shared" ref="AF37:AF42" si="24">IF(N37="","",IF(1+((14/(4+(((N37+O37)+O37)/1000)^1/2)))&lt;1.4,1.4,IF(1+((14/(4+((N37+O37)/1000)^1/2)))&gt;=4,4,(1+((14/(4+((N37+O37)/1000)^1/2)))))))</f>
        <v>4</v>
      </c>
      <c r="AG37" s="471">
        <f t="shared" ref="AG37:AG42" si="25">AC37*AF37</f>
        <v>6.2994887276669076E-2</v>
      </c>
      <c r="AH37" s="471">
        <f t="shared" ref="AH37:AH42" si="26">+AD37+AE37+AG37</f>
        <v>7.243164847666908E-2</v>
      </c>
      <c r="AI37" s="471">
        <f t="shared" ref="AI37:AI42" si="27">IF(H37="","",IF(AB37+Y37+Z37+X37+U37&lt;1.5,1.5,AB37+Y37+Z37+X37+U37))</f>
        <v>1.5</v>
      </c>
      <c r="AJ37" s="471">
        <f t="shared" ref="AJ37:AJ42" si="28">+$P$17</f>
        <v>0.75</v>
      </c>
      <c r="AK37" s="472">
        <f t="shared" ref="AK37:AK42" si="29">+BK37/100</f>
        <v>7.5309818875115689E-2</v>
      </c>
      <c r="AL37" s="471">
        <f t="shared" ref="AL37:AL42" si="30">IF(AJ37=0," ",0.14+0.65*AJ37+0.05*AK37)</f>
        <v>0.63126549094375584</v>
      </c>
      <c r="AM37" s="473">
        <f t="shared" ref="AM37:AM42" si="31">((100/36)*$AM$14*(AP37+$AN$14)^$AO$14)</f>
        <v>336.32613267542746</v>
      </c>
      <c r="AN37" s="474">
        <f t="shared" si="1"/>
        <v>5</v>
      </c>
      <c r="AO37" s="474">
        <f t="shared" ref="AO37:AO42" si="32">((1/60)*$AX37/$AQ37)</f>
        <v>5.8277777777777783E-2</v>
      </c>
      <c r="AP37" s="474">
        <f t="shared" ref="AP37:AP42" si="33">IF(B37=1,IF(($AN37+$AO37)&lt;10,10,IF(($AN37+$AO37)&gt;20,20,($AN37+$AO37))),($AN37+$AO37))</f>
        <v>10</v>
      </c>
      <c r="AQ37" s="475">
        <v>3</v>
      </c>
      <c r="AR37" s="474">
        <f t="shared" ref="AR37:AR42" si="34">((1/60)*$AX37/$BT37)</f>
        <v>0.11965354204721039</v>
      </c>
      <c r="AS37" s="474">
        <f t="shared" ref="AS37:AS42" si="35">AO37/AR37</f>
        <v>0.48705434691422472</v>
      </c>
      <c r="AT37" s="471" t="str">
        <f t="shared" ref="AT37:AT42" si="36">IF(AS37&lt;0.9,"Disminuir vel.",IF(AS37&gt;1.1,"Aumentar vel.","Cumple"))</f>
        <v>Disminuir vel.</v>
      </c>
      <c r="AU37" s="492">
        <f t="shared" ref="AU37:AU42" si="37">+I37*AL37*AM37</f>
        <v>10.017644869848898</v>
      </c>
      <c r="AV37" s="471">
        <f t="shared" ref="AV37:AV42" si="38">+L37*AL37*AM37</f>
        <v>10.017644869848898</v>
      </c>
      <c r="AW37" s="471">
        <f t="shared" ref="AW37:AW42" si="39">ROUND(IF(AI37&gt;(AV37*0.05),(AV37+AI37),AV37),2)</f>
        <v>11.52</v>
      </c>
      <c r="AX37" s="478">
        <f>IF(OR(C37="",D37=""),"",ROUND(((VLOOKUP(C37,'Base de Diseño (2)'!$A$2:$C$333,2,FALSE)-VLOOKUP(D37,'Base de Diseño (2)'!$A$2:$C$333,2,FALSE))^2+(VLOOKUP(C37,'Base de Diseño (2)'!$A$2:$C$333,3,0)-VLOOKUP(D37,'Base de Diseño (2)'!$A$2:$C$333,3,FALSE))^2)^0.5,2))</f>
        <v>10.49</v>
      </c>
      <c r="AY37" s="493">
        <v>10</v>
      </c>
      <c r="AZ37" s="480">
        <f>IF(AND(L37="",H37=""),"",IF(BA37=4,VLOOKUP(AY37,'TABLA (2)'!$A$74:$C$89,2),IF(BA37=5,VLOOKUP(AY37,'TABLA (2)'!$A$51:$B$66,2),IF(BA37=6,VLOOKUP(AY37,'TABLA (2)'!$A$9:$B$43,2)))))</f>
        <v>250</v>
      </c>
      <c r="BA37" s="493">
        <v>6</v>
      </c>
      <c r="BB37" s="478">
        <f>IF(OR(C37="",D37=""),"",VLOOKUP(C37,'Base de Diseño (2)'!$A$2:$D$330,4,FALSE))</f>
        <v>990.3116</v>
      </c>
      <c r="BC37" s="478">
        <f>IF(OR(C37="",D37=""),"",VLOOKUP(D37,'Base de Diseño (2)'!$A$2:$D$330,4,FALSE))</f>
        <v>989.52160000000003</v>
      </c>
      <c r="BD37" s="23">
        <f t="shared" ref="BD37:BD42" si="40">+BF37-((AZ37/1000)+CX37)</f>
        <v>0.69300000000001805</v>
      </c>
      <c r="BE37" s="23">
        <f t="shared" ref="BE37:BE42" si="41">+BG37-((AZ37/1000)+CX37)</f>
        <v>0.49299999999997307</v>
      </c>
      <c r="BF37" s="494">
        <v>0.98000000000001797</v>
      </c>
      <c r="BG37" s="494">
        <v>0.77999999999997305</v>
      </c>
      <c r="BH37" s="495">
        <f t="shared" ref="BH37:BI42" si="42">BB37-BF37</f>
        <v>989.33159999999998</v>
      </c>
      <c r="BI37" s="495">
        <f t="shared" si="42"/>
        <v>988.74160000000006</v>
      </c>
      <c r="BJ37" s="468">
        <f t="shared" si="6"/>
        <v>0.12000000000000455</v>
      </c>
      <c r="BK37" s="475">
        <f t="shared" ref="BK37:BK42" si="43">ABS((BB37-BC37)/AX37)*100</f>
        <v>7.5309818875115688</v>
      </c>
      <c r="BL37" s="475">
        <f t="shared" ref="BL37:BL42" si="44">((BH37-BI37)/AX37)*100</f>
        <v>5.6244041944701442</v>
      </c>
      <c r="BM37" s="475">
        <f t="shared" ref="BM37:BM42" si="45">IF(BA37=6,(1/0.013)*((AZ37/4000)^(2/3))*((BL37/100)^(0.5)),(1/0.009)*((AZ37/4000)^(2/3))*((BL37/100)^(0.5)))</f>
        <v>2.873083541690622</v>
      </c>
      <c r="BN37" s="475">
        <f t="shared" ref="BN37:BN42" si="46">1000*BM37*PI()*((AZ37/1000/2)^2)</f>
        <v>141.03215855820315</v>
      </c>
      <c r="BO37" s="204">
        <f t="shared" ref="BO37:BO42" si="47">AI37/BN37</f>
        <v>1.06358720970789E-2</v>
      </c>
      <c r="BP37" s="496">
        <f t="shared" ref="BP37:BP42" si="48">IF(L37=0," ",AW37/BN37)</f>
        <v>8.1683497705565947E-2</v>
      </c>
      <c r="BQ37" s="497">
        <f t="shared" ref="BQ37:BQ42" si="49">IF($BO37&gt;0 =AND($BO37&lt;=0.06),10^(0.029806+0.29095*LOG($BO37)),IF($BO37&gt;0.06 =AND($BO37&lt;=0.26),10^(0.013778+0.282597*LOG($BO37)),IF($BO37&gt;0.26 =AND($BO37&lt;=0.91),10^(0.021763+0.28995*LOG($BO37)),1)))</f>
        <v>0.28555885716483831</v>
      </c>
      <c r="BR37" s="497">
        <f t="shared" ref="BR37:BR42" si="50">IF($BP37&gt;0 =AND($BP37&lt;=0.06),10^(0.029806+0.29095*LOG($BP37)),IF($BP37&gt;0.06 =AND($BP37&lt;=0.26),10^(0.013778+0.282597*LOG($BP37)),IF($BP37&gt;0.26 =AND($BP37&lt;=2),10^(0.021763+0.28995*LOG($BP37))," ")))</f>
        <v>0.50856963243152864</v>
      </c>
      <c r="BS37" s="475">
        <f t="shared" ref="BS37:BS42" si="51">BM37*BQ37</f>
        <v>0.82043445270428006</v>
      </c>
      <c r="BT37" s="475">
        <f t="shared" ref="BT37:BT42" si="52">IF(BP37=" "," ",(BM37*BR37))</f>
        <v>1.4611630407426741</v>
      </c>
      <c r="BU37" s="475">
        <f t="shared" ref="BU37:BU42" si="53">IF(BO37&lt;=0.11,0.3827+0.0645*LN(BO37),IF(BO37&lt;=0.21,0.60025+0.15471*LN(BO37),IF(BO37&lt;1,0.225+0.6666666667*BO37,0)))</f>
        <v>8.9642777391098716E-2</v>
      </c>
      <c r="BV37" s="475">
        <f t="shared" ref="BV37:BV42" si="54">IF(BP37&lt;=0.11,0.3827+0.0645*LN(BP37),IF(BP37&lt;=0.21,0.60025+0.15471*LN(BP37),IF(BP37&lt;1,0.225+0.6666666667*BP37," ")))</f>
        <v>0.22113373818289173</v>
      </c>
      <c r="BW37" s="475">
        <f t="shared" ref="BW37:BW42" si="55">2*ACOS(1-2*(BU37))</f>
        <v>1.2162719055673081</v>
      </c>
      <c r="BX37" s="475">
        <f t="shared" ref="BX37:BX42" si="56">IF(BP37=" "," ",(2*ACOS(1-2*(BV37))))</f>
        <v>1.9582897462679574</v>
      </c>
      <c r="BY37" s="475">
        <f t="shared" ref="BY37:BY42" si="57">(1/4)*(1-(SIN(BW37))/BW37)</f>
        <v>5.7236423639433043E-2</v>
      </c>
      <c r="BZ37" s="475">
        <f t="shared" ref="BZ37:BZ42" si="58">IF(BP37=" "," ",((1/4)*(1-(SIN(BX37))/BX37)))</f>
        <v>0.13180258719036622</v>
      </c>
      <c r="CA37" s="471">
        <f t="shared" ref="CA37:CA42" si="59">BY37*AZ37/1000</f>
        <v>1.4309105909858261E-2</v>
      </c>
      <c r="CB37" s="471">
        <f t="shared" ref="CB37:CB42" si="60">IF(BP37=" "," ",(BZ37*AZ37/1000))</f>
        <v>3.2950646797591555E-2</v>
      </c>
      <c r="CC37" s="471">
        <f t="shared" si="2"/>
        <v>2.3662095257253513</v>
      </c>
      <c r="CD37" s="471" t="str">
        <f t="shared" ref="CD37:CD42" si="61">IF(CC37="","",IF(CC37&lt;0.7,"F. Subcrítico",IF(AND(CC37&gt;0.7,CC37&lt;1),"F. Subcrítico Inestable",IF(CC37=1,"F. Crítico",IF(AND(CC37&gt;1,CC37&lt;1.5),"F. Supercrítico Inestable",IF(CC37&gt;1.5,"F. Supercrítico",""))))))</f>
        <v>F. Supercrítico</v>
      </c>
      <c r="CE37" s="471">
        <f t="shared" ref="CE37:CE42" si="62">1000*BL37*CA37/100</f>
        <v>0.80480195298524326</v>
      </c>
      <c r="CF37" s="471">
        <f t="shared" ref="CF37:CF42" si="63">IF(BP37=" "," ",(1000*BL37*CB37/100))</f>
        <v>1.8532775605887815</v>
      </c>
      <c r="CG37" s="471" t="str">
        <f t="shared" ref="CG37:CG42" si="64">IF(BS37&lt;0.45,"No cumple",IF(BS37&gt;5,"No cumple","O.K"))</f>
        <v>O.K</v>
      </c>
      <c r="CH37" s="471" t="str">
        <f t="shared" ref="CH37:CH42" si="65">IF(BT37&lt;0.75,"No cumple",IF(BT37&gt;10,"No cumple","O.K"))</f>
        <v>O.K</v>
      </c>
      <c r="CI37" s="471" t="str">
        <f t="shared" ref="CI37:CI42" si="66">IF(CE37&gt;0.1,"OK","V.C.H.")</f>
        <v>OK</v>
      </c>
      <c r="CJ37" s="471" t="str">
        <f t="shared" ref="CJ37:CJ42" si="67">IF(CF37&gt;0.2,"OK","V.C.H.")</f>
        <v>OK</v>
      </c>
      <c r="CK37" s="468">
        <f t="shared" ref="CK37:CK42" si="68">+BJ37</f>
        <v>0.12000000000000455</v>
      </c>
      <c r="CL37" s="482" t="s">
        <v>2507</v>
      </c>
      <c r="CM37" s="482"/>
      <c r="CN37" s="63" t="str">
        <f t="shared" ref="CN37:CN42" si="69">IF(B37=1,"dato"," ")</f>
        <v>dato</v>
      </c>
      <c r="CO37" s="498">
        <f t="shared" ref="CO37:CO42" si="70">+CR37</f>
        <v>10.49</v>
      </c>
      <c r="CP37" s="472">
        <f t="shared" ref="CP37:CP42" si="71">+BK37/100</f>
        <v>7.5309818875115689E-2</v>
      </c>
      <c r="CQ37" s="482" t="s">
        <v>2508</v>
      </c>
      <c r="CR37" s="204">
        <f t="shared" ref="CR37:CR42" si="72">IF(BA37="","",AX37)</f>
        <v>10.49</v>
      </c>
      <c r="CS37" s="486">
        <v>1.2</v>
      </c>
      <c r="CT37" s="486">
        <v>1.2</v>
      </c>
      <c r="CU37" s="23">
        <f t="shared" ref="CU37:CU42" si="73">IF($BA37="","",SQRT((BH37-BI37)^2+$CR37^2))</f>
        <v>10.506578891342315</v>
      </c>
      <c r="CV37" s="499" t="s">
        <v>2509</v>
      </c>
      <c r="CW37" s="488" t="str">
        <f t="shared" ref="CW37:CW42" si="74">+IF(BD37&lt;=0.9,"E1",IF(BD37&lt;=2.5,"E2","E3"))</f>
        <v>E1</v>
      </c>
      <c r="CX37" s="204">
        <f>IF(AND(L37="",H37=""),"",IF(AND(BA37&lt;&gt;4,BA37&lt;&gt;5),VLOOKUP(AY37,'TABLA (2)'!$A$9:$D$43,4),IF(BA37=4,VLOOKUP(AY37,'TABLA (2)'!$A$74:$D$89,4),VLOOKUP(AY37,'TABLA (2)'!$A$51:$D$66,4))))</f>
        <v>3.6999999999999998E-2</v>
      </c>
      <c r="CY37" s="482"/>
      <c r="CZ37" s="482"/>
      <c r="DA37" s="482"/>
      <c r="DB37" s="490"/>
    </row>
    <row r="38" spans="1:106" ht="15.75" hidden="1" customHeight="1">
      <c r="A38" s="465">
        <v>11</v>
      </c>
      <c r="B38" s="491"/>
      <c r="C38" s="466" t="s">
        <v>2162</v>
      </c>
      <c r="D38" s="466" t="s">
        <v>2163</v>
      </c>
      <c r="E38" s="468">
        <v>0.1905278577</v>
      </c>
      <c r="F38" s="468"/>
      <c r="G38" s="468">
        <f t="shared" si="7"/>
        <v>4.7183806000000002E-2</v>
      </c>
      <c r="H38" s="468">
        <f t="shared" si="8"/>
        <v>0.23771166369999999</v>
      </c>
      <c r="I38" s="468">
        <v>0.1905278577</v>
      </c>
      <c r="J38" s="468"/>
      <c r="K38" s="467">
        <f t="shared" ca="1" si="9"/>
        <v>4.7183806000000002E-2</v>
      </c>
      <c r="L38" s="468">
        <f t="shared" ca="1" si="10"/>
        <v>0.23771166369999999</v>
      </c>
      <c r="M38" s="469">
        <f t="shared" si="11"/>
        <v>242.33666300502347</v>
      </c>
      <c r="N38" s="470">
        <f t="shared" si="12"/>
        <v>46.171885244513966</v>
      </c>
      <c r="O38" s="470">
        <f t="shared" si="13"/>
        <v>0</v>
      </c>
      <c r="P38" s="470">
        <f t="shared" si="14"/>
        <v>57.606251338430368</v>
      </c>
      <c r="Q38" s="469">
        <f t="shared" si="15"/>
        <v>140</v>
      </c>
      <c r="R38" s="471">
        <f t="shared" si="16"/>
        <v>7.9341943394365899E-2</v>
      </c>
      <c r="S38" s="471"/>
      <c r="T38" s="471"/>
      <c r="U38" s="471">
        <f t="shared" si="17"/>
        <v>0</v>
      </c>
      <c r="V38" s="471"/>
      <c r="W38" s="471"/>
      <c r="X38" s="471">
        <f t="shared" si="18"/>
        <v>0</v>
      </c>
      <c r="Y38" s="471">
        <f t="shared" si="19"/>
        <v>4.7542332739999998E-2</v>
      </c>
      <c r="Z38" s="471">
        <f t="shared" ca="1" si="20"/>
        <v>0</v>
      </c>
      <c r="AA38" s="471">
        <f t="shared" si="0"/>
        <v>3.8</v>
      </c>
      <c r="AB38" s="471">
        <f t="shared" si="21"/>
        <v>0.30149938489859041</v>
      </c>
      <c r="AC38" s="471">
        <f t="shared" si="22"/>
        <v>6.359322157519863E-2</v>
      </c>
      <c r="AD38" s="471">
        <f t="shared" si="23"/>
        <v>3.8105571540000001E-2</v>
      </c>
      <c r="AE38" s="471">
        <f t="shared" si="23"/>
        <v>0</v>
      </c>
      <c r="AF38" s="471">
        <f t="shared" si="24"/>
        <v>4</v>
      </c>
      <c r="AG38" s="471">
        <f t="shared" si="25"/>
        <v>0.25437288630079452</v>
      </c>
      <c r="AH38" s="471">
        <f t="shared" si="26"/>
        <v>0.29247845784079451</v>
      </c>
      <c r="AI38" s="471">
        <f t="shared" ca="1" si="27"/>
        <v>1.5</v>
      </c>
      <c r="AJ38" s="471">
        <f t="shared" si="28"/>
        <v>0.75</v>
      </c>
      <c r="AK38" s="472">
        <f t="shared" si="29"/>
        <v>3.7306082245751944E-2</v>
      </c>
      <c r="AL38" s="471">
        <f t="shared" si="30"/>
        <v>0.62936530411228764</v>
      </c>
      <c r="AM38" s="473">
        <f t="shared" si="31"/>
        <v>331.90365049530516</v>
      </c>
      <c r="AN38" s="474">
        <f t="shared" si="1"/>
        <v>10</v>
      </c>
      <c r="AO38" s="474">
        <f t="shared" si="32"/>
        <v>0.45122222222222219</v>
      </c>
      <c r="AP38" s="474">
        <f t="shared" si="33"/>
        <v>10.451222222222222</v>
      </c>
      <c r="AQ38" s="475">
        <v>3</v>
      </c>
      <c r="AR38" s="474">
        <f t="shared" ca="1" si="34"/>
        <v>0.88616149788115606</v>
      </c>
      <c r="AS38" s="474">
        <f t="shared" ca="1" si="35"/>
        <v>0.50918734711574665</v>
      </c>
      <c r="AT38" s="471" t="str">
        <f t="shared" ca="1" si="36"/>
        <v>Disminuir vel.</v>
      </c>
      <c r="AU38" s="492">
        <f t="shared" si="37"/>
        <v>39.799105444776941</v>
      </c>
      <c r="AV38" s="471">
        <f t="shared" ca="1" si="38"/>
        <v>49.655266601203458</v>
      </c>
      <c r="AW38" s="471">
        <f t="shared" ca="1" si="39"/>
        <v>49.66</v>
      </c>
      <c r="AX38" s="478">
        <f>IF(OR(C38="",D38=""),"",ROUND(((VLOOKUP(C38,'Base de Diseño (2)'!$A$2:$C$333,2,FALSE)-VLOOKUP(D38,'Base de Diseño (2)'!$A$2:$C$333,2,FALSE))^2+(VLOOKUP(C38,'Base de Diseño (2)'!$A$2:$C$333,3,0)-VLOOKUP(D38,'Base de Diseño (2)'!$A$2:$C$333,3,FALSE))^2)^0.5,2))</f>
        <v>81.22</v>
      </c>
      <c r="AY38" s="493">
        <v>10</v>
      </c>
      <c r="AZ38" s="480">
        <f ca="1">IF(AND(L38="",H38=""),"",IF(BA38=4,VLOOKUP(AY38,'TABLA (2)'!$A$74:$C$89,2),IF(BA38=5,VLOOKUP(AY38,'TABLA (2)'!$A$51:$B$66,2),IF(BA38=6,VLOOKUP(AY38,'TABLA (2)'!$A$9:$B$43,2)))))</f>
        <v>250</v>
      </c>
      <c r="BA38" s="493">
        <v>6</v>
      </c>
      <c r="BB38" s="478">
        <f>IF(OR(C38="",D38=""),"",VLOOKUP(C38,'Base de Diseño (2)'!$A$2:$D$330,4,FALSE))</f>
        <v>989.52160000000003</v>
      </c>
      <c r="BC38" s="478">
        <f>IF(OR(C38="",D38=""),"",VLOOKUP(D38,'Base de Diseño (2)'!$A$2:$D$330,4,FALSE))</f>
        <v>992.55160000000001</v>
      </c>
      <c r="BD38" s="23">
        <f t="shared" ca="1" si="40"/>
        <v>0.61299999999997734</v>
      </c>
      <c r="BE38" s="23">
        <f t="shared" ca="1" si="41"/>
        <v>5.2130000000000001</v>
      </c>
      <c r="BF38" s="494">
        <v>0.89999999999997726</v>
      </c>
      <c r="BG38" s="494">
        <v>5.5</v>
      </c>
      <c r="BH38" s="495">
        <f t="shared" si="42"/>
        <v>988.62160000000006</v>
      </c>
      <c r="BI38" s="495">
        <f t="shared" si="42"/>
        <v>987.05160000000001</v>
      </c>
      <c r="BJ38" s="468">
        <f t="shared" si="6"/>
        <v>0</v>
      </c>
      <c r="BK38" s="475">
        <f t="shared" si="43"/>
        <v>3.7306082245751946</v>
      </c>
      <c r="BL38" s="475">
        <f t="shared" si="44"/>
        <v>1.9330214232948166</v>
      </c>
      <c r="BM38" s="475">
        <f t="shared" ca="1" si="45"/>
        <v>1.6843344297282399</v>
      </c>
      <c r="BN38" s="475">
        <f t="shared" ca="1" si="46"/>
        <v>82.679572978478006</v>
      </c>
      <c r="BO38" s="204">
        <f t="shared" ca="1" si="47"/>
        <v>1.8142328823958234E-2</v>
      </c>
      <c r="BP38" s="496">
        <f t="shared" ca="1" si="48"/>
        <v>0.60063203293184397</v>
      </c>
      <c r="BQ38" s="497">
        <f t="shared" ca="1" si="49"/>
        <v>0.33355905769201638</v>
      </c>
      <c r="BR38" s="497">
        <f t="shared" ca="1" si="50"/>
        <v>0.90692324183725526</v>
      </c>
      <c r="BS38" s="475">
        <f t="shared" ca="1" si="51"/>
        <v>0.56182500521837153</v>
      </c>
      <c r="BT38" s="475">
        <f t="shared" ca="1" si="52"/>
        <v>1.5275620413472399</v>
      </c>
      <c r="BU38" s="475">
        <f t="shared" ca="1" si="53"/>
        <v>0.12408676870473045</v>
      </c>
      <c r="BV38" s="475">
        <f t="shared" ca="1" si="54"/>
        <v>0.62542135530791698</v>
      </c>
      <c r="BW38" s="475">
        <f t="shared" ca="1" si="55"/>
        <v>1.4399371116066291</v>
      </c>
      <c r="BX38" s="475">
        <f t="shared" ca="1" si="56"/>
        <v>3.6486940552879004</v>
      </c>
      <c r="BY38" s="475">
        <f t="shared" ca="1" si="57"/>
        <v>7.7865721339145155E-2</v>
      </c>
      <c r="BZ38" s="475">
        <f t="shared" ca="1" si="58"/>
        <v>0.28327529360633075</v>
      </c>
      <c r="CA38" s="471">
        <f t="shared" ca="1" si="59"/>
        <v>1.9466430334786289E-2</v>
      </c>
      <c r="CB38" s="471">
        <f t="shared" ca="1" si="60"/>
        <v>7.0818823401582687E-2</v>
      </c>
      <c r="CC38" s="471">
        <f t="shared" ca="1" si="2"/>
        <v>1.3349967301326575</v>
      </c>
      <c r="CD38" s="471" t="str">
        <f t="shared" ca="1" si="61"/>
        <v>F. Supercrítico Inestable</v>
      </c>
      <c r="CE38" s="471">
        <f t="shared" ca="1" si="62"/>
        <v>0.37629026872217985</v>
      </c>
      <c r="CF38" s="471">
        <f t="shared" ca="1" si="63"/>
        <v>1.3689430280779162</v>
      </c>
      <c r="CG38" s="471" t="str">
        <f t="shared" ca="1" si="64"/>
        <v>O.K</v>
      </c>
      <c r="CH38" s="471" t="str">
        <f t="shared" ca="1" si="65"/>
        <v>O.K</v>
      </c>
      <c r="CI38" s="471" t="str">
        <f t="shared" ca="1" si="66"/>
        <v>OK</v>
      </c>
      <c r="CJ38" s="471" t="str">
        <f t="shared" ca="1" si="67"/>
        <v>OK</v>
      </c>
      <c r="CK38" s="468">
        <f t="shared" si="68"/>
        <v>0</v>
      </c>
      <c r="CL38" s="482" t="s">
        <v>2507</v>
      </c>
      <c r="CM38" s="482"/>
      <c r="CN38" s="63" t="str">
        <f t="shared" si="69"/>
        <v xml:space="preserve"> </v>
      </c>
      <c r="CO38" s="498">
        <f t="shared" si="70"/>
        <v>81.22</v>
      </c>
      <c r="CP38" s="472">
        <f t="shared" si="71"/>
        <v>3.7306082245751944E-2</v>
      </c>
      <c r="CQ38" s="482" t="s">
        <v>2508</v>
      </c>
      <c r="CR38" s="204">
        <f t="shared" si="72"/>
        <v>81.22</v>
      </c>
      <c r="CS38" s="486">
        <v>1.2</v>
      </c>
      <c r="CT38" s="486">
        <v>1.2</v>
      </c>
      <c r="CU38" s="23">
        <f t="shared" si="73"/>
        <v>81.235172800948732</v>
      </c>
      <c r="CV38" s="499" t="s">
        <v>2509</v>
      </c>
      <c r="CW38" s="488" t="str">
        <f t="shared" ca="1" si="74"/>
        <v>E1</v>
      </c>
      <c r="CX38" s="204">
        <f ca="1">IF(AND(L38="",H38=""),"",IF(AND(BA38&lt;&gt;4,BA38&lt;&gt;5),VLOOKUP(AY38,'TABLA (2)'!$A$9:$D$43,4),IF(BA38=4,VLOOKUP(AY38,'TABLA (2)'!$A$74:$D$89,4),VLOOKUP(AY38,'TABLA (2)'!$A$51:$D$66,4))))</f>
        <v>3.6999999999999998E-2</v>
      </c>
      <c r="CY38" s="482"/>
      <c r="CZ38" s="482"/>
      <c r="DA38" s="482"/>
      <c r="DB38" s="490"/>
    </row>
    <row r="39" spans="1:106" ht="15.75" hidden="1" customHeight="1">
      <c r="A39" s="465">
        <v>12</v>
      </c>
      <c r="B39" s="491"/>
      <c r="C39" s="466" t="s">
        <v>2163</v>
      </c>
      <c r="D39" s="466" t="s">
        <v>2164</v>
      </c>
      <c r="E39" s="468">
        <v>8.1659610499999993E-2</v>
      </c>
      <c r="F39" s="468"/>
      <c r="G39" s="468">
        <f t="shared" si="7"/>
        <v>0.23771166369999999</v>
      </c>
      <c r="H39" s="468">
        <f t="shared" si="8"/>
        <v>0.3193712742</v>
      </c>
      <c r="I39" s="468">
        <v>8.1659610499999993E-2</v>
      </c>
      <c r="J39" s="468"/>
      <c r="K39" s="467">
        <f t="shared" ca="1" si="9"/>
        <v>0.23771166369999999</v>
      </c>
      <c r="L39" s="468">
        <f t="shared" ca="1" si="10"/>
        <v>0.3193712742</v>
      </c>
      <c r="M39" s="469">
        <f t="shared" si="11"/>
        <v>242.33666300502347</v>
      </c>
      <c r="N39" s="470">
        <f t="shared" si="12"/>
        <v>19.789117510859974</v>
      </c>
      <c r="O39" s="470">
        <f t="shared" si="13"/>
        <v>0</v>
      </c>
      <c r="P39" s="470">
        <f t="shared" si="14"/>
        <v>77.39536884929035</v>
      </c>
      <c r="Q39" s="469">
        <f t="shared" si="15"/>
        <v>140</v>
      </c>
      <c r="R39" s="471">
        <f t="shared" si="16"/>
        <v>0.10659778811418463</v>
      </c>
      <c r="S39" s="471"/>
      <c r="T39" s="471"/>
      <c r="U39" s="471">
        <f t="shared" si="17"/>
        <v>0</v>
      </c>
      <c r="V39" s="471"/>
      <c r="W39" s="471"/>
      <c r="X39" s="471">
        <f t="shared" si="18"/>
        <v>0</v>
      </c>
      <c r="Y39" s="471">
        <f t="shared" si="19"/>
        <v>6.3874254840000005E-2</v>
      </c>
      <c r="Z39" s="471">
        <f t="shared" ca="1" si="20"/>
        <v>0</v>
      </c>
      <c r="AA39" s="471">
        <f t="shared" si="0"/>
        <v>3.8</v>
      </c>
      <c r="AB39" s="471">
        <f t="shared" si="21"/>
        <v>0.40507159483390159</v>
      </c>
      <c r="AC39" s="471">
        <f t="shared" si="22"/>
        <v>2.7255844719818716E-2</v>
      </c>
      <c r="AD39" s="471">
        <f t="shared" si="23"/>
        <v>1.63319221E-2</v>
      </c>
      <c r="AE39" s="471">
        <f t="shared" si="23"/>
        <v>0</v>
      </c>
      <c r="AF39" s="471">
        <f t="shared" si="24"/>
        <v>4</v>
      </c>
      <c r="AG39" s="471">
        <f t="shared" si="25"/>
        <v>0.10902337887927487</v>
      </c>
      <c r="AH39" s="471">
        <f t="shared" si="26"/>
        <v>0.12535530097927486</v>
      </c>
      <c r="AI39" s="471">
        <f t="shared" ca="1" si="27"/>
        <v>1.5</v>
      </c>
      <c r="AJ39" s="471">
        <f t="shared" si="28"/>
        <v>0.75</v>
      </c>
      <c r="AK39" s="472">
        <f t="shared" si="29"/>
        <v>0.16318273769386488</v>
      </c>
      <c r="AL39" s="471">
        <f t="shared" si="30"/>
        <v>0.63565913688469333</v>
      </c>
      <c r="AM39" s="473">
        <f t="shared" si="31"/>
        <v>330.31629916591322</v>
      </c>
      <c r="AN39" s="474">
        <f t="shared" si="1"/>
        <v>10.451222222222222</v>
      </c>
      <c r="AO39" s="474">
        <f t="shared" si="32"/>
        <v>0.16477777777777777</v>
      </c>
      <c r="AP39" s="474">
        <f t="shared" si="33"/>
        <v>10.616</v>
      </c>
      <c r="AQ39" s="475">
        <v>3</v>
      </c>
      <c r="AR39" s="474">
        <f t="shared" ca="1" si="34"/>
        <v>0.29662003783158203</v>
      </c>
      <c r="AS39" s="474">
        <f t="shared" ca="1" si="35"/>
        <v>0.55551802562757746</v>
      </c>
      <c r="AT39" s="471" t="str">
        <f t="shared" ca="1" si="36"/>
        <v>Disminuir vel.</v>
      </c>
      <c r="AU39" s="492">
        <f t="shared" si="37"/>
        <v>17.145951939601019</v>
      </c>
      <c r="AV39" s="471">
        <f t="shared" ca="1" si="38"/>
        <v>67.057930901131826</v>
      </c>
      <c r="AW39" s="471">
        <f t="shared" ca="1" si="39"/>
        <v>67.06</v>
      </c>
      <c r="AX39" s="478">
        <f>IF(OR(C39="",D39=""),"",ROUND(((VLOOKUP(C39,'Base de Diseño (2)'!$A$2:$C$333,2,FALSE)-VLOOKUP(D39,'Base de Diseño (2)'!$A$2:$C$333,2,FALSE))^2+(VLOOKUP(C39,'Base de Diseño (2)'!$A$2:$C$333,3,0)-VLOOKUP(D39,'Base de Diseño (2)'!$A$2:$C$333,3,FALSE))^2)^0.5,2))</f>
        <v>29.66</v>
      </c>
      <c r="AY39" s="493">
        <v>10</v>
      </c>
      <c r="AZ39" s="480">
        <f ca="1">IF(AND(L39="",H39=""),"",IF(BA39=4,VLOOKUP(AY39,'TABLA (2)'!$A$74:$C$89,2),IF(BA39=5,VLOOKUP(AY39,'TABLA (2)'!$A$51:$B$66,2),IF(BA39=6,VLOOKUP(AY39,'TABLA (2)'!$A$9:$B$43,2)))))</f>
        <v>250</v>
      </c>
      <c r="BA39" s="493">
        <v>6</v>
      </c>
      <c r="BB39" s="478">
        <f>IF(OR(C39="",D39=""),"",VLOOKUP(C39,'Base de Diseño (2)'!$A$2:$D$330,4,FALSE))</f>
        <v>992.55160000000001</v>
      </c>
      <c r="BC39" s="478">
        <f>IF(OR(C39="",D39=""),"",VLOOKUP(D39,'Base de Diseño (2)'!$A$2:$D$330,4,FALSE))</f>
        <v>987.71159999999998</v>
      </c>
      <c r="BD39" s="23">
        <f t="shared" ca="1" si="40"/>
        <v>5.2130000000000001</v>
      </c>
      <c r="BE39" s="23">
        <f t="shared" ca="1" si="41"/>
        <v>0.94631405018461745</v>
      </c>
      <c r="BF39" s="494">
        <v>5.5</v>
      </c>
      <c r="BG39" s="494">
        <v>1.2333140501846174</v>
      </c>
      <c r="BH39" s="495">
        <f t="shared" si="42"/>
        <v>987.05160000000001</v>
      </c>
      <c r="BI39" s="495">
        <f t="shared" si="42"/>
        <v>986.47828594981536</v>
      </c>
      <c r="BJ39" s="468">
        <f t="shared" si="6"/>
        <v>0.72668594981541901</v>
      </c>
      <c r="BK39" s="475">
        <f t="shared" si="43"/>
        <v>16.318273769386487</v>
      </c>
      <c r="BL39" s="475">
        <f t="shared" si="44"/>
        <v>1.9329536418902535</v>
      </c>
      <c r="BM39" s="475">
        <f t="shared" ca="1" si="45"/>
        <v>1.6843048988723333</v>
      </c>
      <c r="BN39" s="475">
        <f t="shared" ca="1" si="46"/>
        <v>82.678123385978466</v>
      </c>
      <c r="BO39" s="204">
        <f t="shared" ca="1" si="47"/>
        <v>1.8142646912742914E-2</v>
      </c>
      <c r="BP39" s="496">
        <f t="shared" ca="1" si="48"/>
        <v>0.81109726797902659</v>
      </c>
      <c r="BQ39" s="497">
        <f t="shared" ca="1" si="49"/>
        <v>0.33356075923812839</v>
      </c>
      <c r="BR39" s="497">
        <f t="shared" ca="1" si="50"/>
        <v>0.98946103998065593</v>
      </c>
      <c r="BS39" s="475">
        <f t="shared" ca="1" si="51"/>
        <v>0.56181802085635457</v>
      </c>
      <c r="BT39" s="475">
        <f t="shared" ca="1" si="52"/>
        <v>1.6665540768827323</v>
      </c>
      <c r="BU39" s="475">
        <f t="shared" ca="1" si="53"/>
        <v>0.1240878995709469</v>
      </c>
      <c r="BV39" s="475">
        <f t="shared" ca="1" si="54"/>
        <v>0.76573151201305423</v>
      </c>
      <c r="BW39" s="475">
        <f t="shared" ca="1" si="55"/>
        <v>1.4399439719696201</v>
      </c>
      <c r="BX39" s="475">
        <f t="shared" ca="1" si="56"/>
        <v>4.2622461863111401</v>
      </c>
      <c r="BY39" s="475">
        <f t="shared" ca="1" si="57"/>
        <v>7.7866386027530599E-2</v>
      </c>
      <c r="BZ39" s="475">
        <f t="shared" ca="1" si="58"/>
        <v>0.30281164809085986</v>
      </c>
      <c r="CA39" s="471">
        <f t="shared" ca="1" si="59"/>
        <v>1.946659650688265E-2</v>
      </c>
      <c r="CB39" s="471">
        <f t="shared" ca="1" si="60"/>
        <v>7.5702912022714966E-2</v>
      </c>
      <c r="CC39" s="471">
        <f t="shared" ca="1" si="2"/>
        <v>1.2192336565469772</v>
      </c>
      <c r="CD39" s="471" t="str">
        <f t="shared" ca="1" si="61"/>
        <v>F. Supercrítico Inestable</v>
      </c>
      <c r="CE39" s="471">
        <f t="shared" ca="1" si="62"/>
        <v>0.37628028613186904</v>
      </c>
      <c r="CF39" s="471">
        <f t="shared" ca="1" si="63"/>
        <v>1.4633021949600435</v>
      </c>
      <c r="CG39" s="471" t="str">
        <f t="shared" ca="1" si="64"/>
        <v>O.K</v>
      </c>
      <c r="CH39" s="471" t="str">
        <f t="shared" ca="1" si="65"/>
        <v>O.K</v>
      </c>
      <c r="CI39" s="471" t="str">
        <f t="shared" ca="1" si="66"/>
        <v>OK</v>
      </c>
      <c r="CJ39" s="471" t="str">
        <f t="shared" ca="1" si="67"/>
        <v>OK</v>
      </c>
      <c r="CK39" s="468">
        <f t="shared" si="68"/>
        <v>0.72668594981541901</v>
      </c>
      <c r="CL39" s="482" t="s">
        <v>2507</v>
      </c>
      <c r="CM39" s="482"/>
      <c r="CN39" s="63" t="str">
        <f t="shared" si="69"/>
        <v xml:space="preserve"> </v>
      </c>
      <c r="CO39" s="498">
        <f t="shared" si="70"/>
        <v>29.66</v>
      </c>
      <c r="CP39" s="472">
        <f t="shared" si="71"/>
        <v>0.16318273769386488</v>
      </c>
      <c r="CQ39" s="482" t="s">
        <v>2508</v>
      </c>
      <c r="CR39" s="204">
        <f t="shared" si="72"/>
        <v>29.66</v>
      </c>
      <c r="CS39" s="486">
        <v>1.2</v>
      </c>
      <c r="CT39" s="486">
        <v>1.2</v>
      </c>
      <c r="CU39" s="23">
        <f t="shared" si="73"/>
        <v>29.665540429935522</v>
      </c>
      <c r="CV39" s="499" t="s">
        <v>2509</v>
      </c>
      <c r="CW39" s="488" t="str">
        <f t="shared" ca="1" si="74"/>
        <v>E3</v>
      </c>
      <c r="CX39" s="204">
        <f ca="1">IF(AND(L39="",H39=""),"",IF(AND(BA39&lt;&gt;4,BA39&lt;&gt;5),VLOOKUP(AY39,'TABLA (2)'!$A$9:$D$43,4),IF(BA39=4,VLOOKUP(AY39,'TABLA (2)'!$A$74:$D$89,4),VLOOKUP(AY39,'TABLA (2)'!$A$51:$D$66,4))))</f>
        <v>3.6999999999999998E-2</v>
      </c>
      <c r="CY39" s="482"/>
      <c r="CZ39" s="482"/>
      <c r="DA39" s="482"/>
      <c r="DB39" s="490"/>
    </row>
    <row r="40" spans="1:106" ht="15.75" hidden="1" customHeight="1">
      <c r="A40" s="465">
        <v>13</v>
      </c>
      <c r="B40" s="491"/>
      <c r="C40" s="466" t="s">
        <v>2164</v>
      </c>
      <c r="D40" s="466" t="s">
        <v>2165</v>
      </c>
      <c r="E40" s="468">
        <v>3.7362123800000001E-2</v>
      </c>
      <c r="F40" s="468"/>
      <c r="G40" s="468">
        <f t="shared" si="7"/>
        <v>0.3193712742</v>
      </c>
      <c r="H40" s="468">
        <f t="shared" si="8"/>
        <v>0.35673339799999998</v>
      </c>
      <c r="I40" s="468">
        <v>3.7362123800000001E-2</v>
      </c>
      <c r="J40" s="468"/>
      <c r="K40" s="467">
        <f t="shared" ca="1" si="9"/>
        <v>0.3193712742</v>
      </c>
      <c r="L40" s="468">
        <f t="shared" ca="1" si="10"/>
        <v>0.35673339799999998</v>
      </c>
      <c r="M40" s="469">
        <f t="shared" si="11"/>
        <v>242.33666300502347</v>
      </c>
      <c r="N40" s="470">
        <f t="shared" si="12"/>
        <v>9.0542124044725671</v>
      </c>
      <c r="O40" s="470">
        <f t="shared" si="13"/>
        <v>0</v>
      </c>
      <c r="P40" s="470">
        <f t="shared" si="14"/>
        <v>86.449581253762901</v>
      </c>
      <c r="Q40" s="469">
        <f t="shared" si="15"/>
        <v>140</v>
      </c>
      <c r="R40" s="471">
        <f t="shared" si="16"/>
        <v>0.11906828899534473</v>
      </c>
      <c r="S40" s="471"/>
      <c r="T40" s="471"/>
      <c r="U40" s="471">
        <f t="shared" si="17"/>
        <v>0</v>
      </c>
      <c r="V40" s="471"/>
      <c r="W40" s="471"/>
      <c r="X40" s="471">
        <f t="shared" si="18"/>
        <v>0</v>
      </c>
      <c r="Y40" s="471">
        <f t="shared" si="19"/>
        <v>7.1346679600000004E-2</v>
      </c>
      <c r="Z40" s="471">
        <f t="shared" ca="1" si="20"/>
        <v>0</v>
      </c>
      <c r="AA40" s="471">
        <f t="shared" si="0"/>
        <v>3.8</v>
      </c>
      <c r="AB40" s="471">
        <f t="shared" si="21"/>
        <v>0.45245949818230996</v>
      </c>
      <c r="AC40" s="471">
        <f t="shared" si="22"/>
        <v>1.2470500881160133E-2</v>
      </c>
      <c r="AD40" s="471">
        <f t="shared" si="23"/>
        <v>7.4724247600000005E-3</v>
      </c>
      <c r="AE40" s="471">
        <f t="shared" si="23"/>
        <v>0</v>
      </c>
      <c r="AF40" s="471">
        <f t="shared" si="24"/>
        <v>4</v>
      </c>
      <c r="AG40" s="471">
        <f t="shared" si="25"/>
        <v>4.9882003524640534E-2</v>
      </c>
      <c r="AH40" s="471">
        <f t="shared" si="26"/>
        <v>5.7354428284640532E-2</v>
      </c>
      <c r="AI40" s="471">
        <f t="shared" ca="1" si="27"/>
        <v>1.5</v>
      </c>
      <c r="AJ40" s="471">
        <f t="shared" si="28"/>
        <v>0.75</v>
      </c>
      <c r="AK40" s="472">
        <f t="shared" si="29"/>
        <v>0.23081924577372914</v>
      </c>
      <c r="AL40" s="471">
        <f t="shared" si="30"/>
        <v>0.63904096228868656</v>
      </c>
      <c r="AM40" s="473">
        <f t="shared" si="31"/>
        <v>328.68537093119619</v>
      </c>
      <c r="AN40" s="474">
        <f t="shared" si="1"/>
        <v>10.616</v>
      </c>
      <c r="AO40" s="474">
        <f t="shared" si="32"/>
        <v>0.1708888888888889</v>
      </c>
      <c r="AP40" s="474">
        <f t="shared" si="33"/>
        <v>10.786888888888889</v>
      </c>
      <c r="AQ40" s="475">
        <v>3</v>
      </c>
      <c r="AR40" s="474">
        <f t="shared" ca="1" si="34"/>
        <v>0.12750091066652661</v>
      </c>
      <c r="AS40" s="474">
        <f t="shared" ca="1" si="35"/>
        <v>1.340295437856454</v>
      </c>
      <c r="AT40" s="471" t="str">
        <f t="shared" ca="1" si="36"/>
        <v>Aumentar vel.</v>
      </c>
      <c r="AU40" s="492">
        <f t="shared" si="37"/>
        <v>7.8476681018823227</v>
      </c>
      <c r="AV40" s="471">
        <f t="shared" ca="1" si="38"/>
        <v>74.929501420920047</v>
      </c>
      <c r="AW40" s="471">
        <f t="shared" ca="1" si="39"/>
        <v>74.930000000000007</v>
      </c>
      <c r="AX40" s="478">
        <f>IF(OR(C40="",D40=""),"",ROUND(((VLOOKUP(C40,'Base de Diseño (2)'!$A$2:$C$333,2,FALSE)-VLOOKUP(D40,'Base de Diseño (2)'!$A$2:$C$333,2,FALSE))^2+(VLOOKUP(C40,'Base de Diseño (2)'!$A$2:$C$333,3,0)-VLOOKUP(D40,'Base de Diseño (2)'!$A$2:$C$333,3,FALSE))^2)^0.5,2))</f>
        <v>30.76</v>
      </c>
      <c r="AY40" s="493">
        <v>10</v>
      </c>
      <c r="AZ40" s="480">
        <f ca="1">IF(AND(L40="",H40=""),"",IF(BA40=4,VLOOKUP(AY40,'TABLA (2)'!$A$74:$C$89,2),IF(BA40=5,VLOOKUP(AY40,'TABLA (2)'!$A$51:$B$66,2),IF(BA40=6,VLOOKUP(AY40,'TABLA (2)'!$A$9:$B$43,2)))))</f>
        <v>250</v>
      </c>
      <c r="BA40" s="493">
        <v>6</v>
      </c>
      <c r="BB40" s="478">
        <f>IF(OR(C40="",D40=""),"",VLOOKUP(C40,'Base de Diseño (2)'!$A$2:$D$330,4,FALSE))</f>
        <v>987.71159999999998</v>
      </c>
      <c r="BC40" s="478">
        <f>IF(OR(C40="",D40=""),"",VLOOKUP(D40,'Base de Diseño (2)'!$A$2:$D$330,4,FALSE))</f>
        <v>980.61160000000007</v>
      </c>
      <c r="BD40" s="23">
        <f t="shared" ca="1" si="40"/>
        <v>1.673</v>
      </c>
      <c r="BE40" s="23">
        <f t="shared" ca="1" si="41"/>
        <v>1.0630000000000002</v>
      </c>
      <c r="BF40" s="494">
        <v>1.96</v>
      </c>
      <c r="BG40" s="494">
        <v>1.35</v>
      </c>
      <c r="BH40" s="495">
        <f t="shared" si="42"/>
        <v>985.75159999999994</v>
      </c>
      <c r="BI40" s="495">
        <f t="shared" si="42"/>
        <v>979.26160000000004</v>
      </c>
      <c r="BJ40" s="468">
        <f t="shared" si="6"/>
        <v>2.9999999999972715E-2</v>
      </c>
      <c r="BK40" s="475">
        <f t="shared" si="43"/>
        <v>23.081924577372913</v>
      </c>
      <c r="BL40" s="475">
        <f t="shared" si="44"/>
        <v>21.098829648894327</v>
      </c>
      <c r="BM40" s="475">
        <f t="shared" ca="1" si="45"/>
        <v>5.5646669354748379</v>
      </c>
      <c r="BN40" s="475">
        <f t="shared" ca="1" si="46"/>
        <v>273.15494944002779</v>
      </c>
      <c r="BO40" s="204">
        <f t="shared" ca="1" si="47"/>
        <v>5.4913886901007108E-3</v>
      </c>
      <c r="BP40" s="496">
        <f t="shared" ca="1" si="48"/>
        <v>0.27431316969949754</v>
      </c>
      <c r="BQ40" s="497">
        <f t="shared" ca="1" si="49"/>
        <v>0.23559525087503136</v>
      </c>
      <c r="BR40" s="497">
        <f t="shared" ca="1" si="50"/>
        <v>0.72257447933427066</v>
      </c>
      <c r="BS40" s="475">
        <f t="shared" ca="1" si="51"/>
        <v>1.3110091026991864</v>
      </c>
      <c r="BT40" s="475">
        <f t="shared" ca="1" si="52"/>
        <v>4.0208863135693624</v>
      </c>
      <c r="BU40" s="475">
        <f t="shared" ca="1" si="53"/>
        <v>4.7004970135240243E-2</v>
      </c>
      <c r="BV40" s="475">
        <f t="shared" ca="1" si="54"/>
        <v>0.40787544647547547</v>
      </c>
      <c r="BW40" s="475">
        <f t="shared" ca="1" si="55"/>
        <v>0.87416702969850313</v>
      </c>
      <c r="BX40" s="475">
        <f t="shared" ca="1" si="56"/>
        <v>2.7709769834663187</v>
      </c>
      <c r="BY40" s="475">
        <f t="shared" ca="1" si="57"/>
        <v>3.064566649805095E-2</v>
      </c>
      <c r="BZ40" s="475">
        <f t="shared" ca="1" si="58"/>
        <v>0.21732295399360352</v>
      </c>
      <c r="CA40" s="471">
        <f t="shared" ca="1" si="59"/>
        <v>7.6614166245127374E-3</v>
      </c>
      <c r="CB40" s="471">
        <f t="shared" ca="1" si="60"/>
        <v>5.433073849840088E-2</v>
      </c>
      <c r="CC40" s="471">
        <f t="shared" ca="1" si="2"/>
        <v>4.6388804548496125</v>
      </c>
      <c r="CD40" s="471" t="str">
        <f t="shared" ca="1" si="61"/>
        <v>F. Supercrítico</v>
      </c>
      <c r="CE40" s="471">
        <f t="shared" ca="1" si="62"/>
        <v>1.6164692422980125</v>
      </c>
      <c r="CF40" s="471">
        <f t="shared" ca="1" si="63"/>
        <v>11.463149962763849</v>
      </c>
      <c r="CG40" s="471" t="str">
        <f t="shared" ca="1" si="64"/>
        <v>O.K</v>
      </c>
      <c r="CH40" s="471" t="str">
        <f t="shared" ca="1" si="65"/>
        <v>O.K</v>
      </c>
      <c r="CI40" s="471" t="str">
        <f t="shared" ca="1" si="66"/>
        <v>OK</v>
      </c>
      <c r="CJ40" s="471" t="str">
        <f t="shared" ca="1" si="67"/>
        <v>OK</v>
      </c>
      <c r="CK40" s="468">
        <f t="shared" si="68"/>
        <v>2.9999999999972715E-2</v>
      </c>
      <c r="CL40" s="482" t="s">
        <v>2507</v>
      </c>
      <c r="CM40" s="482"/>
      <c r="CN40" s="63" t="str">
        <f t="shared" si="69"/>
        <v xml:space="preserve"> </v>
      </c>
      <c r="CO40" s="498">
        <f t="shared" si="70"/>
        <v>30.76</v>
      </c>
      <c r="CP40" s="472">
        <f t="shared" si="71"/>
        <v>0.23081924577372914</v>
      </c>
      <c r="CQ40" s="482" t="s">
        <v>2508</v>
      </c>
      <c r="CR40" s="204">
        <f t="shared" si="72"/>
        <v>30.76</v>
      </c>
      <c r="CS40" s="486">
        <v>1.2</v>
      </c>
      <c r="CT40" s="486">
        <v>1.2</v>
      </c>
      <c r="CU40" s="23">
        <f t="shared" si="73"/>
        <v>31.437202483681634</v>
      </c>
      <c r="CV40" s="499" t="s">
        <v>2509</v>
      </c>
      <c r="CW40" s="488" t="str">
        <f t="shared" ca="1" si="74"/>
        <v>E2</v>
      </c>
      <c r="CX40" s="204">
        <f ca="1">IF(AND(L40="",H40=""),"",IF(AND(BA40&lt;&gt;4,BA40&lt;&gt;5),VLOOKUP(AY40,'TABLA (2)'!$A$9:$D$43,4),IF(BA40=4,VLOOKUP(AY40,'TABLA (2)'!$A$74:$D$89,4),VLOOKUP(AY40,'TABLA (2)'!$A$51:$D$66,4))))</f>
        <v>3.6999999999999998E-2</v>
      </c>
      <c r="CY40" s="482"/>
      <c r="CZ40" s="482"/>
      <c r="DA40" s="482"/>
      <c r="DB40" s="490"/>
    </row>
    <row r="41" spans="1:106" ht="15.75" hidden="1" customHeight="1">
      <c r="A41" s="465">
        <v>14</v>
      </c>
      <c r="B41" s="491"/>
      <c r="C41" s="466" t="s">
        <v>2165</v>
      </c>
      <c r="D41" s="466" t="s">
        <v>2166</v>
      </c>
      <c r="E41" s="468"/>
      <c r="F41" s="468">
        <v>3.7107919399999995E-2</v>
      </c>
      <c r="G41" s="468">
        <f t="shared" si="7"/>
        <v>0.39384131739999995</v>
      </c>
      <c r="H41" s="468">
        <f t="shared" si="8"/>
        <v>0.43094923679999997</v>
      </c>
      <c r="I41" s="468"/>
      <c r="J41" s="468"/>
      <c r="K41" s="467">
        <f t="shared" ca="1" si="9"/>
        <v>0.39384131739999995</v>
      </c>
      <c r="L41" s="468">
        <f t="shared" ca="1" si="10"/>
        <v>0.39384131739999995</v>
      </c>
      <c r="M41" s="469">
        <f t="shared" si="11"/>
        <v>242.33666300502347</v>
      </c>
      <c r="N41" s="470">
        <f t="shared" si="12"/>
        <v>0</v>
      </c>
      <c r="O41" s="470">
        <f t="shared" si="13"/>
        <v>8.9926093584553719</v>
      </c>
      <c r="P41" s="470">
        <f t="shared" si="14"/>
        <v>104.43479997067365</v>
      </c>
      <c r="Q41" s="469">
        <f t="shared" si="15"/>
        <v>140</v>
      </c>
      <c r="R41" s="471">
        <f t="shared" si="16"/>
        <v>0.14383959718183059</v>
      </c>
      <c r="S41" s="471"/>
      <c r="T41" s="471"/>
      <c r="U41" s="471">
        <f t="shared" si="17"/>
        <v>0</v>
      </c>
      <c r="V41" s="471"/>
      <c r="W41" s="471"/>
      <c r="X41" s="471">
        <f t="shared" si="18"/>
        <v>0</v>
      </c>
      <c r="Y41" s="471">
        <f t="shared" si="19"/>
        <v>8.6189847360000002E-2</v>
      </c>
      <c r="Z41" s="471">
        <f t="shared" ca="1" si="20"/>
        <v>0</v>
      </c>
      <c r="AA41" s="471">
        <f t="shared" si="0"/>
        <v>3.8</v>
      </c>
      <c r="AB41" s="471">
        <f t="shared" si="21"/>
        <v>0.54659046929095623</v>
      </c>
      <c r="AC41" s="471">
        <f t="shared" si="22"/>
        <v>1.238565409324293E-2</v>
      </c>
      <c r="AD41" s="471">
        <f t="shared" si="23"/>
        <v>0</v>
      </c>
      <c r="AE41" s="471">
        <f t="shared" si="23"/>
        <v>8.6189847360000002E-2</v>
      </c>
      <c r="AF41" s="471">
        <f t="shared" si="24"/>
        <v>4</v>
      </c>
      <c r="AG41" s="471">
        <f t="shared" si="25"/>
        <v>4.9542616372971721E-2</v>
      </c>
      <c r="AH41" s="471">
        <f t="shared" si="26"/>
        <v>0.13573246373297171</v>
      </c>
      <c r="AI41" s="471">
        <f t="shared" ca="1" si="27"/>
        <v>1.5</v>
      </c>
      <c r="AJ41" s="471">
        <f t="shared" si="28"/>
        <v>0.75</v>
      </c>
      <c r="AK41" s="472">
        <f t="shared" si="29"/>
        <v>0.12981455064195177</v>
      </c>
      <c r="AL41" s="471">
        <f t="shared" si="30"/>
        <v>0.63399072753209762</v>
      </c>
      <c r="AM41" s="473">
        <f t="shared" si="31"/>
        <v>328.31584965737215</v>
      </c>
      <c r="AN41" s="474">
        <f t="shared" si="1"/>
        <v>10.786888888888889</v>
      </c>
      <c r="AO41" s="474">
        <f t="shared" si="32"/>
        <v>3.8944444444444441E-2</v>
      </c>
      <c r="AP41" s="474">
        <f t="shared" si="33"/>
        <v>10.825833333333334</v>
      </c>
      <c r="AQ41" s="475">
        <v>3</v>
      </c>
      <c r="AR41" s="474">
        <f t="shared" ca="1" si="34"/>
        <v>4.0492410466706971E-2</v>
      </c>
      <c r="AS41" s="474">
        <f t="shared" ca="1" si="35"/>
        <v>0.96177145286188204</v>
      </c>
      <c r="AT41" s="471" t="str">
        <f t="shared" ca="1" si="36"/>
        <v>Cumple</v>
      </c>
      <c r="AU41" s="492">
        <f t="shared" si="37"/>
        <v>0</v>
      </c>
      <c r="AV41" s="471">
        <f t="shared" ca="1" si="38"/>
        <v>81.977756870591193</v>
      </c>
      <c r="AW41" s="471">
        <f t="shared" ca="1" si="39"/>
        <v>81.98</v>
      </c>
      <c r="AX41" s="478">
        <f>IF(OR(C41="",D41=""),"",ROUND(((VLOOKUP(C41,'Base de Diseño (2)'!$A$2:$C$333,2,FALSE)-VLOOKUP(D41,'Base de Diseño (2)'!$A$2:$C$333,2,FALSE))^2+(VLOOKUP(C41,'Base de Diseño (2)'!$A$2:$C$333,3,0)-VLOOKUP(D41,'Base de Diseño (2)'!$A$2:$C$333,3,FALSE))^2)^0.5,2))</f>
        <v>7.01</v>
      </c>
      <c r="AY41" s="493">
        <v>12</v>
      </c>
      <c r="AZ41" s="480">
        <f ca="1">IF(AND(L41="",H41=""),"",IF(BA41=4,VLOOKUP(AY41,'TABLA (2)'!$A$74:$C$89,2),IF(BA41=5,VLOOKUP(AY41,'TABLA (2)'!$A$51:$B$66,2),IF(BA41=6,VLOOKUP(AY41,'TABLA (2)'!$A$9:$B$43,2)))))</f>
        <v>300</v>
      </c>
      <c r="BA41" s="493">
        <v>6</v>
      </c>
      <c r="BB41" s="478">
        <f>IF(OR(C41="",D41=""),"",VLOOKUP(C41,'Base de Diseño (2)'!$A$2:$D$330,4,FALSE))</f>
        <v>980.61160000000007</v>
      </c>
      <c r="BC41" s="478">
        <f>IF(OR(C41="",D41=""),"",VLOOKUP(D41,'Base de Diseño (2)'!$A$2:$D$330,4,FALSE))</f>
        <v>979.70159999999998</v>
      </c>
      <c r="BD41" s="23">
        <f t="shared" ca="1" si="40"/>
        <v>1.0329999999999955</v>
      </c>
      <c r="BE41" s="23">
        <f t="shared" ca="1" si="41"/>
        <v>0.69299999999996365</v>
      </c>
      <c r="BF41" s="494">
        <v>1.3799999999999955</v>
      </c>
      <c r="BG41" s="494">
        <v>1.0399999999999636</v>
      </c>
      <c r="BH41" s="495">
        <f t="shared" si="42"/>
        <v>979.23160000000007</v>
      </c>
      <c r="BI41" s="495">
        <f t="shared" si="42"/>
        <v>978.66160000000002</v>
      </c>
      <c r="BJ41" s="468">
        <f t="shared" si="6"/>
        <v>0.36000000000001364</v>
      </c>
      <c r="BK41" s="475">
        <f t="shared" si="43"/>
        <v>12.981455064195178</v>
      </c>
      <c r="BL41" s="475">
        <f t="shared" si="44"/>
        <v>8.1312410841661915</v>
      </c>
      <c r="BM41" s="475">
        <f t="shared" ca="1" si="45"/>
        <v>3.9009996271901093</v>
      </c>
      <c r="BN41" s="475">
        <f t="shared" ca="1" si="46"/>
        <v>275.74541483483176</v>
      </c>
      <c r="BO41" s="204">
        <f t="shared" ca="1" si="47"/>
        <v>5.4398003350245453E-3</v>
      </c>
      <c r="BP41" s="496">
        <f t="shared" ca="1" si="48"/>
        <v>0.29730322097687484</v>
      </c>
      <c r="BQ41" s="497">
        <f t="shared" ca="1" si="49"/>
        <v>0.23494914127949174</v>
      </c>
      <c r="BR41" s="497">
        <f t="shared" ca="1" si="50"/>
        <v>0.73963461531113728</v>
      </c>
      <c r="BS41" s="475">
        <f t="shared" ca="1" si="51"/>
        <v>0.91653651253993362</v>
      </c>
      <c r="BT41" s="475">
        <f t="shared" ca="1" si="52"/>
        <v>2.8853143585856462</v>
      </c>
      <c r="BU41" s="475">
        <f t="shared" ca="1" si="53"/>
        <v>4.6396166536911421E-2</v>
      </c>
      <c r="BV41" s="475">
        <f t="shared" ca="1" si="54"/>
        <v>0.42320214732782668</v>
      </c>
      <c r="BW41" s="475">
        <f t="shared" ca="1" si="55"/>
        <v>0.86839626066001729</v>
      </c>
      <c r="BX41" s="475">
        <f t="shared" ca="1" si="56"/>
        <v>2.8331803787492889</v>
      </c>
      <c r="BY41" s="475">
        <f t="shared" ca="1" si="57"/>
        <v>3.0257626780808122E-2</v>
      </c>
      <c r="BZ41" s="475">
        <f t="shared" ca="1" si="58"/>
        <v>0.22321506504847916</v>
      </c>
      <c r="CA41" s="471">
        <f t="shared" ca="1" si="59"/>
        <v>9.0772880342424363E-3</v>
      </c>
      <c r="CB41" s="471">
        <f t="shared" ca="1" si="60"/>
        <v>6.6964519514543755E-2</v>
      </c>
      <c r="CC41" s="471">
        <f t="shared" ca="1" si="2"/>
        <v>2.9731855411960426</v>
      </c>
      <c r="CD41" s="471" t="str">
        <f t="shared" ca="1" si="61"/>
        <v>F. Supercrítico</v>
      </c>
      <c r="CE41" s="471">
        <f t="shared" ca="1" si="62"/>
        <v>0.73809617396842275</v>
      </c>
      <c r="CF41" s="471">
        <f t="shared" ca="1" si="63"/>
        <v>5.4450465225810687</v>
      </c>
      <c r="CG41" s="471" t="str">
        <f t="shared" ca="1" si="64"/>
        <v>O.K</v>
      </c>
      <c r="CH41" s="471" t="str">
        <f t="shared" ca="1" si="65"/>
        <v>O.K</v>
      </c>
      <c r="CI41" s="471" t="str">
        <f t="shared" ca="1" si="66"/>
        <v>OK</v>
      </c>
      <c r="CJ41" s="471" t="str">
        <f t="shared" ca="1" si="67"/>
        <v>OK</v>
      </c>
      <c r="CK41" s="468">
        <f t="shared" si="68"/>
        <v>0.36000000000001364</v>
      </c>
      <c r="CL41" s="482" t="s">
        <v>2507</v>
      </c>
      <c r="CM41" s="482"/>
      <c r="CN41" s="63" t="str">
        <f t="shared" si="69"/>
        <v xml:space="preserve"> </v>
      </c>
      <c r="CO41" s="498">
        <f t="shared" si="70"/>
        <v>7.01</v>
      </c>
      <c r="CP41" s="472">
        <f t="shared" si="71"/>
        <v>0.12981455064195177</v>
      </c>
      <c r="CQ41" s="482" t="s">
        <v>2508</v>
      </c>
      <c r="CR41" s="204">
        <f t="shared" si="72"/>
        <v>7.01</v>
      </c>
      <c r="CS41" s="486">
        <v>1.2</v>
      </c>
      <c r="CT41" s="486">
        <v>1.2</v>
      </c>
      <c r="CU41" s="23">
        <f t="shared" si="73"/>
        <v>7.033135858207209</v>
      </c>
      <c r="CV41" s="499" t="s">
        <v>2509</v>
      </c>
      <c r="CW41" s="488" t="str">
        <f t="shared" ca="1" si="74"/>
        <v>E2</v>
      </c>
      <c r="CX41" s="204">
        <f ca="1">IF(AND(L41="",H41=""),"",IF(AND(BA41&lt;&gt;4,BA41&lt;&gt;5),VLOOKUP(AY41,'TABLA (2)'!$A$9:$D$43,4),IF(BA41=4,VLOOKUP(AY41,'TABLA (2)'!$A$74:$D$89,4),VLOOKUP(AY41,'TABLA (2)'!$A$51:$D$66,4))))</f>
        <v>4.7E-2</v>
      </c>
      <c r="CY41" s="482"/>
      <c r="CZ41" s="482"/>
      <c r="DA41" s="482"/>
      <c r="DB41" s="490"/>
    </row>
    <row r="42" spans="1:106" ht="15.75" hidden="1" customHeight="1">
      <c r="A42" s="465">
        <v>15</v>
      </c>
      <c r="B42" s="491"/>
      <c r="C42" s="466" t="s">
        <v>2166</v>
      </c>
      <c r="D42" s="466" t="s">
        <v>2167</v>
      </c>
      <c r="E42" s="468">
        <v>0.1334755021</v>
      </c>
      <c r="F42" s="468"/>
      <c r="G42" s="468">
        <f t="shared" si="7"/>
        <v>0.43094923679999997</v>
      </c>
      <c r="H42" s="468">
        <f t="shared" si="8"/>
        <v>0.5644247389</v>
      </c>
      <c r="I42" s="468">
        <v>0.1334755021</v>
      </c>
      <c r="J42" s="468"/>
      <c r="K42" s="467">
        <f t="shared" ca="1" si="9"/>
        <v>0.39384131739999995</v>
      </c>
      <c r="L42" s="468">
        <f t="shared" ca="1" si="10"/>
        <v>0.52731681949999998</v>
      </c>
      <c r="M42" s="469">
        <f t="shared" si="11"/>
        <v>242.33666300502347</v>
      </c>
      <c r="N42" s="470">
        <f t="shared" si="12"/>
        <v>32.346007771834003</v>
      </c>
      <c r="O42" s="470">
        <f t="shared" si="13"/>
        <v>0</v>
      </c>
      <c r="P42" s="470">
        <f t="shared" si="14"/>
        <v>136.78080774250765</v>
      </c>
      <c r="Q42" s="469">
        <f t="shared" si="15"/>
        <v>140</v>
      </c>
      <c r="R42" s="471">
        <f t="shared" si="16"/>
        <v>0.18839023288609272</v>
      </c>
      <c r="S42" s="471"/>
      <c r="T42" s="471"/>
      <c r="U42" s="471">
        <f t="shared" si="17"/>
        <v>0</v>
      </c>
      <c r="V42" s="471"/>
      <c r="W42" s="471"/>
      <c r="X42" s="471">
        <f t="shared" si="18"/>
        <v>0</v>
      </c>
      <c r="Y42" s="471">
        <f t="shared" si="19"/>
        <v>0.11288494778000001</v>
      </c>
      <c r="Z42" s="471">
        <f t="shared" ca="1" si="20"/>
        <v>0</v>
      </c>
      <c r="AA42" s="471">
        <f t="shared" si="0"/>
        <v>3.8</v>
      </c>
      <c r="AB42" s="471">
        <f t="shared" si="21"/>
        <v>0.71588288496715224</v>
      </c>
      <c r="AC42" s="471">
        <f t="shared" si="22"/>
        <v>4.4550635704262105E-2</v>
      </c>
      <c r="AD42" s="471">
        <f t="shared" si="23"/>
        <v>2.6695100420000003E-2</v>
      </c>
      <c r="AE42" s="471">
        <f t="shared" si="23"/>
        <v>0</v>
      </c>
      <c r="AF42" s="471">
        <f t="shared" si="24"/>
        <v>4</v>
      </c>
      <c r="AG42" s="471">
        <f t="shared" si="25"/>
        <v>0.17820254281704842</v>
      </c>
      <c r="AH42" s="471">
        <f t="shared" si="26"/>
        <v>0.20489764323704843</v>
      </c>
      <c r="AI42" s="471">
        <f t="shared" ca="1" si="27"/>
        <v>1.5</v>
      </c>
      <c r="AJ42" s="471">
        <f t="shared" si="28"/>
        <v>0.75</v>
      </c>
      <c r="AK42" s="472">
        <f t="shared" si="29"/>
        <v>0.13313782991202239</v>
      </c>
      <c r="AL42" s="471">
        <f t="shared" si="30"/>
        <v>0.63415689149560117</v>
      </c>
      <c r="AM42" s="473">
        <f t="shared" si="31"/>
        <v>325.64346268291098</v>
      </c>
      <c r="AN42" s="474">
        <f t="shared" si="1"/>
        <v>10.825833333333334</v>
      </c>
      <c r="AO42" s="474">
        <f t="shared" si="32"/>
        <v>0.28416666666666662</v>
      </c>
      <c r="AP42" s="474">
        <f t="shared" si="33"/>
        <v>11.11</v>
      </c>
      <c r="AQ42" s="475">
        <v>3</v>
      </c>
      <c r="AR42" s="474">
        <f t="shared" ca="1" si="34"/>
        <v>0.21856443772013914</v>
      </c>
      <c r="AS42" s="474">
        <f t="shared" ca="1" si="35"/>
        <v>1.3001505168490761</v>
      </c>
      <c r="AT42" s="471" t="str">
        <f t="shared" ca="1" si="36"/>
        <v>Aumentar vel.</v>
      </c>
      <c r="AU42" s="492">
        <f t="shared" si="37"/>
        <v>27.563898607160869</v>
      </c>
      <c r="AV42" s="471">
        <f t="shared" ca="1" si="38"/>
        <v>108.89569335097146</v>
      </c>
      <c r="AW42" s="471">
        <f t="shared" ca="1" si="39"/>
        <v>108.9</v>
      </c>
      <c r="AX42" s="478">
        <f>IF(OR(C42="",D42=""),"",ROUND(((VLOOKUP(C42,'Base de Diseño (2)'!$A$2:$C$333,2,FALSE)-VLOOKUP(D42,'Base de Diseño (2)'!$A$2:$C$333,2,FALSE))^2+(VLOOKUP(C42,'Base de Diseño (2)'!$A$2:$C$333,3,0)-VLOOKUP(D42,'Base de Diseño (2)'!$A$2:$C$333,3,FALSE))^2)^0.5,2))</f>
        <v>51.15</v>
      </c>
      <c r="AY42" s="493">
        <v>12</v>
      </c>
      <c r="AZ42" s="480">
        <f ca="1">IF(AND(L42="",H42=""),"",IF(BA42=4,VLOOKUP(AY42,'TABLA (2)'!$A$74:$C$89,2),IF(BA42=5,VLOOKUP(AY42,'TABLA (2)'!$A$51:$B$66,2),IF(BA42=6,VLOOKUP(AY42,'TABLA (2)'!$A$9:$B$43,2)))))</f>
        <v>300</v>
      </c>
      <c r="BA42" s="493">
        <v>6</v>
      </c>
      <c r="BB42" s="478">
        <f>IF(OR(C42="",D42=""),"",VLOOKUP(C42,'Base de Diseño (2)'!$A$2:$D$330,4,FALSE))</f>
        <v>979.70159999999998</v>
      </c>
      <c r="BC42" s="478">
        <f>IF(OR(C42="",D42=""),"",VLOOKUP(D42,'Base de Diseño (2)'!$A$2:$D$330,4,FALSE))</f>
        <v>972.89160000000004</v>
      </c>
      <c r="BD42" s="23">
        <f t="shared" ca="1" si="40"/>
        <v>1.0529999999999773</v>
      </c>
      <c r="BE42" s="23">
        <f t="shared" ca="1" si="41"/>
        <v>1.9529999999999546</v>
      </c>
      <c r="BF42" s="494">
        <v>1.3999999999999773</v>
      </c>
      <c r="BG42" s="494">
        <v>2.2999999999999545</v>
      </c>
      <c r="BH42" s="495">
        <f t="shared" si="42"/>
        <v>978.30160000000001</v>
      </c>
      <c r="BI42" s="495">
        <f t="shared" si="42"/>
        <v>970.59160000000008</v>
      </c>
      <c r="BJ42" s="468">
        <f t="shared" si="6"/>
        <v>970.59160000000008</v>
      </c>
      <c r="BK42" s="475">
        <f t="shared" si="43"/>
        <v>13.313782991202238</v>
      </c>
      <c r="BL42" s="475">
        <f t="shared" si="44"/>
        <v>15.073313782991052</v>
      </c>
      <c r="BM42" s="475">
        <f t="shared" ca="1" si="45"/>
        <v>5.3113125652928375</v>
      </c>
      <c r="BN42" s="475">
        <f t="shared" ca="1" si="46"/>
        <v>375.43456206097062</v>
      </c>
      <c r="BO42" s="204">
        <f t="shared" ca="1" si="47"/>
        <v>3.99537003670003E-3</v>
      </c>
      <c r="BP42" s="496">
        <f t="shared" ca="1" si="48"/>
        <v>0.29006386466442224</v>
      </c>
      <c r="BQ42" s="497">
        <f t="shared" ca="1" si="49"/>
        <v>0.21477266770145659</v>
      </c>
      <c r="BR42" s="497">
        <f t="shared" ca="1" si="50"/>
        <v>0.73436678835943792</v>
      </c>
      <c r="BS42" s="475">
        <f t="shared" ca="1" si="51"/>
        <v>1.1407247686442095</v>
      </c>
      <c r="BT42" s="475">
        <f t="shared" ca="1" si="52"/>
        <v>3.9004515505472286</v>
      </c>
      <c r="BU42" s="475">
        <f t="shared" ca="1" si="53"/>
        <v>2.6491069398235589E-2</v>
      </c>
      <c r="BV42" s="475">
        <f t="shared" ca="1" si="54"/>
        <v>0.4183759097859503</v>
      </c>
      <c r="BW42" s="475">
        <f t="shared" ca="1" si="55"/>
        <v>0.65395238218033924</v>
      </c>
      <c r="BX42" s="475">
        <f t="shared" ca="1" si="56"/>
        <v>2.8136284341272559</v>
      </c>
      <c r="BY42" s="475">
        <f t="shared" ca="1" si="57"/>
        <v>1.7441745515633211E-2</v>
      </c>
      <c r="BZ42" s="475">
        <f t="shared" ca="1" si="58"/>
        <v>0.22137891239071861</v>
      </c>
      <c r="CA42" s="471">
        <f t="shared" ca="1" si="59"/>
        <v>5.232523654689963E-3</v>
      </c>
      <c r="CB42" s="471">
        <f t="shared" ca="1" si="60"/>
        <v>6.6413673717215585E-2</v>
      </c>
      <c r="CC42" s="471">
        <f t="shared" ca="1" si="2"/>
        <v>4.0466954346169448</v>
      </c>
      <c r="CD42" s="471" t="str">
        <f t="shared" ca="1" si="61"/>
        <v>F. Supercrítico</v>
      </c>
      <c r="CE42" s="471">
        <f t="shared" ca="1" si="62"/>
        <v>0.78871470924064935</v>
      </c>
      <c r="CF42" s="471">
        <f t="shared" ca="1" si="63"/>
        <v>10.010741434207763</v>
      </c>
      <c r="CG42" s="471" t="str">
        <f t="shared" ca="1" si="64"/>
        <v>O.K</v>
      </c>
      <c r="CH42" s="471" t="str">
        <f t="shared" ca="1" si="65"/>
        <v>O.K</v>
      </c>
      <c r="CI42" s="471" t="str">
        <f t="shared" ca="1" si="66"/>
        <v>OK</v>
      </c>
      <c r="CJ42" s="471" t="str">
        <f t="shared" ca="1" si="67"/>
        <v>OK</v>
      </c>
      <c r="CK42" s="468">
        <f t="shared" si="68"/>
        <v>970.59160000000008</v>
      </c>
      <c r="CL42" s="482" t="s">
        <v>2507</v>
      </c>
      <c r="CM42" s="482"/>
      <c r="CN42" s="63" t="str">
        <f t="shared" si="69"/>
        <v xml:space="preserve"> </v>
      </c>
      <c r="CO42" s="498">
        <f t="shared" si="70"/>
        <v>51.15</v>
      </c>
      <c r="CP42" s="472">
        <f t="shared" si="71"/>
        <v>0.13313782991202239</v>
      </c>
      <c r="CQ42" s="482" t="s">
        <v>2508</v>
      </c>
      <c r="CR42" s="204">
        <f t="shared" si="72"/>
        <v>51.15</v>
      </c>
      <c r="CS42" s="486">
        <v>1.2</v>
      </c>
      <c r="CT42" s="486">
        <v>1.2</v>
      </c>
      <c r="CU42" s="23">
        <f t="shared" si="73"/>
        <v>51.727812634983884</v>
      </c>
      <c r="CV42" s="499" t="s">
        <v>2509</v>
      </c>
      <c r="CW42" s="488" t="str">
        <f t="shared" ca="1" si="74"/>
        <v>E2</v>
      </c>
      <c r="CX42" s="204">
        <f ca="1">IF(AND(L42="",H42=""),"",IF(AND(BA42&lt;&gt;4,BA42&lt;&gt;5),VLOOKUP(AY42,'TABLA (2)'!$A$9:$D$43,4),IF(BA42=4,VLOOKUP(AY42,'TABLA (2)'!$A$74:$D$89,4),VLOOKUP(AY42,'TABLA (2)'!$A$51:$D$66,4))))</f>
        <v>4.7E-2</v>
      </c>
      <c r="CY42" s="482"/>
      <c r="CZ42" s="482"/>
      <c r="DA42" s="482"/>
      <c r="DB42" s="490"/>
    </row>
    <row r="43" spans="1:106" ht="15.75" hidden="1" customHeight="1">
      <c r="A43" s="465"/>
      <c r="B43" s="491"/>
      <c r="C43" s="501"/>
      <c r="D43" s="501"/>
      <c r="E43" s="468"/>
      <c r="F43" s="468"/>
      <c r="G43" s="468"/>
      <c r="H43" s="468"/>
      <c r="I43" s="468"/>
      <c r="J43" s="468"/>
      <c r="K43" s="467"/>
      <c r="L43" s="468"/>
      <c r="M43" s="469"/>
      <c r="N43" s="470"/>
      <c r="O43" s="470"/>
      <c r="P43" s="470"/>
      <c r="Q43" s="469"/>
      <c r="R43" s="471"/>
      <c r="S43" s="471"/>
      <c r="T43" s="471"/>
      <c r="U43" s="471"/>
      <c r="V43" s="471"/>
      <c r="W43" s="471"/>
      <c r="X43" s="471"/>
      <c r="Y43" s="471"/>
      <c r="Z43" s="471"/>
      <c r="AA43" s="471" t="str">
        <f t="shared" si="0"/>
        <v/>
      </c>
      <c r="AB43" s="471"/>
      <c r="AC43" s="471"/>
      <c r="AD43" s="471"/>
      <c r="AE43" s="471"/>
      <c r="AF43" s="471"/>
      <c r="AG43" s="471"/>
      <c r="AH43" s="471"/>
      <c r="AI43" s="471"/>
      <c r="AJ43" s="471"/>
      <c r="AK43" s="472"/>
      <c r="AL43" s="471"/>
      <c r="AM43" s="473"/>
      <c r="AN43" s="474">
        <f t="shared" si="1"/>
        <v>11.11</v>
      </c>
      <c r="AO43" s="474"/>
      <c r="AP43" s="474"/>
      <c r="AQ43" s="475">
        <v>3</v>
      </c>
      <c r="AR43" s="474"/>
      <c r="AS43" s="474"/>
      <c r="AT43" s="471"/>
      <c r="AU43" s="492"/>
      <c r="AV43" s="471"/>
      <c r="AW43" s="471"/>
      <c r="AX43" s="478"/>
      <c r="AY43" s="493"/>
      <c r="AZ43" s="480"/>
      <c r="BA43" s="493"/>
      <c r="BB43" s="478" t="str">
        <f>IF(OR(C43="",D43=""),"",VLOOKUP(C43,'Base de Diseño (2)'!$A$2:$D$330,4,FALSE))</f>
        <v/>
      </c>
      <c r="BC43" s="478" t="str">
        <f>IF(OR(C43="",D43=""),"",VLOOKUP(D43,'Base de Diseño (2)'!$A$2:$D$330,4,FALSE))</f>
        <v/>
      </c>
      <c r="BD43" s="23"/>
      <c r="BE43" s="23"/>
      <c r="BF43" s="494"/>
      <c r="BG43" s="494"/>
      <c r="BH43" s="495"/>
      <c r="BI43" s="495"/>
      <c r="BJ43" s="468"/>
      <c r="BK43" s="475"/>
      <c r="BL43" s="475"/>
      <c r="BM43" s="475"/>
      <c r="BN43" s="475"/>
      <c r="BO43" s="204"/>
      <c r="BP43" s="496"/>
      <c r="BQ43" s="497"/>
      <c r="BR43" s="497"/>
      <c r="BS43" s="475"/>
      <c r="BT43" s="475"/>
      <c r="BU43" s="475"/>
      <c r="BV43" s="475"/>
      <c r="BW43" s="475"/>
      <c r="BX43" s="475"/>
      <c r="BY43" s="475"/>
      <c r="BZ43" s="475"/>
      <c r="CA43" s="471"/>
      <c r="CB43" s="471"/>
      <c r="CC43" s="471" t="e">
        <f t="shared" si="2"/>
        <v>#DIV/0!</v>
      </c>
      <c r="CD43" s="471"/>
      <c r="CE43" s="471"/>
      <c r="CF43" s="471"/>
      <c r="CG43" s="471"/>
      <c r="CH43" s="471"/>
      <c r="CI43" s="471"/>
      <c r="CJ43" s="471"/>
      <c r="CK43" s="468"/>
      <c r="CL43" s="482"/>
      <c r="CM43" s="482"/>
      <c r="CN43" s="63"/>
      <c r="CO43" s="498"/>
      <c r="CP43" s="472"/>
      <c r="CQ43" s="482"/>
      <c r="CR43" s="204"/>
      <c r="CS43" s="486"/>
      <c r="CT43" s="486"/>
      <c r="CU43" s="23"/>
      <c r="CV43" s="499"/>
      <c r="CW43" s="488"/>
      <c r="CX43" s="204"/>
      <c r="CY43" s="482"/>
      <c r="CZ43" s="482"/>
      <c r="DA43" s="482"/>
      <c r="DB43" s="490"/>
    </row>
    <row r="44" spans="1:106" ht="15.75" hidden="1" customHeight="1">
      <c r="A44" s="465">
        <v>16</v>
      </c>
      <c r="B44" s="491">
        <v>1</v>
      </c>
      <c r="C44" s="466" t="s">
        <v>2149</v>
      </c>
      <c r="D44" s="466" t="s">
        <v>2165</v>
      </c>
      <c r="E44" s="468">
        <v>3.7107919399999995E-2</v>
      </c>
      <c r="F44" s="468"/>
      <c r="G44" s="468">
        <f>IF(B44=1,0,SUMIF($D$22:$D$583,C44,$H$22:$H$583))</f>
        <v>0</v>
      </c>
      <c r="H44" s="468">
        <f>+E44+F44+G44</f>
        <v>3.7107919399999995E-2</v>
      </c>
      <c r="I44" s="468">
        <v>3.7107919399999995E-2</v>
      </c>
      <c r="J44" s="468"/>
      <c r="K44" s="467">
        <f>+IF(B44=1,0,SUMIF($D$22:$D$583,C44,$L$22:$L$580))</f>
        <v>0</v>
      </c>
      <c r="L44" s="468">
        <f>+I44+J44+K44</f>
        <v>3.7107919399999995E-2</v>
      </c>
      <c r="M44" s="469">
        <f>+$P$12</f>
        <v>242.33666300502347</v>
      </c>
      <c r="N44" s="470">
        <f>M44*E44</f>
        <v>8.9926093584553719</v>
      </c>
      <c r="O44" s="470">
        <f>M44*F44</f>
        <v>0</v>
      </c>
      <c r="P44" s="470">
        <f>M44*H44</f>
        <v>8.9926093584553719</v>
      </c>
      <c r="Q44" s="469">
        <f>+$H$14</f>
        <v>140</v>
      </c>
      <c r="R44" s="471">
        <f>Q44*P44*$P$14/86400</f>
        <v>1.238565409324293E-2</v>
      </c>
      <c r="S44" s="471"/>
      <c r="T44" s="471"/>
      <c r="U44" s="471">
        <f>IF(C44="","",T44*$P$17)</f>
        <v>0</v>
      </c>
      <c r="V44" s="471"/>
      <c r="W44" s="471"/>
      <c r="X44" s="471">
        <f>IF(C44="","",W44*$P$16)</f>
        <v>0</v>
      </c>
      <c r="Y44" s="471">
        <f>IF(H44=0,0,$H$15*H44)</f>
        <v>7.4215838799999989E-3</v>
      </c>
      <c r="Z44" s="471">
        <f>IF(L44=0,$H$16*H44,0)</f>
        <v>0</v>
      </c>
      <c r="AA44" s="471">
        <f t="shared" si="0"/>
        <v>3.8</v>
      </c>
      <c r="AB44" s="471">
        <f>R44*AA44</f>
        <v>4.7065485554323133E-2</v>
      </c>
      <c r="AC44" s="471">
        <f>Q44*(N44+O44)*$P$14/86400</f>
        <v>1.238565409324293E-2</v>
      </c>
      <c r="AD44" s="471">
        <f>IF(E44=0,0,$H$15*(E44+F44))</f>
        <v>7.4215838799999989E-3</v>
      </c>
      <c r="AE44" s="471">
        <f>IF(F44=0,0,$H$15*(F44+G44))</f>
        <v>0</v>
      </c>
      <c r="AF44" s="471">
        <f>IF(N44="","",IF(1+((14/(4+(((N44+O44)+O44)/1000)^1/2)))&lt;1.4,1.4,IF(1+((14/(4+((N44+O44)/1000)^1/2)))&gt;=4,4,(1+((14/(4+((N44+O44)/1000)^1/2)))))))</f>
        <v>4</v>
      </c>
      <c r="AG44" s="471">
        <f>AC44*AF44</f>
        <v>4.9542616372971721E-2</v>
      </c>
      <c r="AH44" s="471">
        <f>+AD44+AE44+AG44</f>
        <v>5.696420025297172E-2</v>
      </c>
      <c r="AI44" s="471">
        <f>IF(H44="","",IF(AB44+Y44+Z44+X44+U44&lt;1.5,1.5,AB44+Y44+Z44+X44+U44))</f>
        <v>1.5</v>
      </c>
      <c r="AJ44" s="471">
        <f>+$P$17</f>
        <v>0.75</v>
      </c>
      <c r="AK44" s="472">
        <f>+BK44/100</f>
        <v>6.6183733947974679E-2</v>
      </c>
      <c r="AL44" s="471">
        <f>IF(AJ44=0," ",0.14+0.65*AJ44+0.05*AK44)</f>
        <v>0.63080918669739883</v>
      </c>
      <c r="AM44" s="473">
        <f>((100/36)*$AM$14*(AP44+$AN$14)^$AO$14)</f>
        <v>336.32613267542746</v>
      </c>
      <c r="AN44" s="474">
        <f t="shared" si="1"/>
        <v>5</v>
      </c>
      <c r="AO44" s="474">
        <f>((1/60)*$AX44/$AQ44)</f>
        <v>0.16872222222222222</v>
      </c>
      <c r="AP44" s="474">
        <f>IF(B44=1,IF(($AN44+$AO44)&lt;10,10,IF(($AN44+$AO44)&gt;20,20,($AN44+$AO44))),($AN44+$AO44))</f>
        <v>10</v>
      </c>
      <c r="AQ44" s="475">
        <v>3</v>
      </c>
      <c r="AR44" s="474">
        <f>((1/60)*$AX44/$BT44)</f>
        <v>0.34668889503257044</v>
      </c>
      <c r="AS44" s="474">
        <f>AO44/AR44</f>
        <v>0.48666751268849046</v>
      </c>
      <c r="AT44" s="471" t="str">
        <f>IF(AS44&lt;0.9,"Disminuir vel.",IF(AS44&gt;1.1,"Aumentar vel.","Cumple"))</f>
        <v>Disminuir vel.</v>
      </c>
      <c r="AU44" s="492">
        <f>+I44*AL44*AM44</f>
        <v>7.8727276485003541</v>
      </c>
      <c r="AV44" s="471">
        <f>+L44*AL44*AM44</f>
        <v>7.8727276485003541</v>
      </c>
      <c r="AW44" s="471">
        <f>ROUND(IF(AI44&gt;(AV44*0.05),(AV44+AI44),AV44),2)</f>
        <v>9.3699999999999992</v>
      </c>
      <c r="AX44" s="478">
        <f>IF(OR(C44="",D44=""),"",ROUND(((VLOOKUP(C44,'Base de Diseño (2)'!$A$2:$C$333,2,FALSE)-VLOOKUP(D44,'Base de Diseño (2)'!$A$2:$C$333,2,FALSE))^2+(VLOOKUP(C44,'Base de Diseño (2)'!$A$2:$C$333,3,0)-VLOOKUP(D44,'Base de Diseño (2)'!$A$2:$C$333,3,FALSE))^2)^0.5,2))</f>
        <v>30.37</v>
      </c>
      <c r="AY44" s="493">
        <v>8</v>
      </c>
      <c r="AZ44" s="480">
        <f>IF(AND(L44="",H44=""),"",IF(BA44=4,VLOOKUP(AY44,'TABLA (2)'!$A$74:$C$89,2),IF(BA44=5,VLOOKUP(AY44,'TABLA (2)'!$A$51:$B$66,2),IF(BA44=6,VLOOKUP(AY44,'TABLA (2)'!$A$9:$B$43,2)))))</f>
        <v>200</v>
      </c>
      <c r="BA44" s="493">
        <v>6</v>
      </c>
      <c r="BB44" s="478">
        <f>IF(OR(C44="",D44=""),"",VLOOKUP(C44,'Base de Diseño (2)'!$A$2:$D$330,4,FALSE))</f>
        <v>982.62160000000006</v>
      </c>
      <c r="BC44" s="478">
        <f>IF(OR(C44="",D44=""),"",VLOOKUP(D44,'Base de Diseño (2)'!$A$2:$D$330,4,FALSE))</f>
        <v>980.61160000000007</v>
      </c>
      <c r="BD44" s="23">
        <f>+BF44-((AZ44/1000)+CX44)</f>
        <v>1.2230000000000363</v>
      </c>
      <c r="BE44" s="23">
        <f>+BG44-((AZ44/1000)+CX44)</f>
        <v>1.1130000000000226</v>
      </c>
      <c r="BF44" s="494">
        <v>1.4600000000000364</v>
      </c>
      <c r="BG44" s="494">
        <v>1.3500000000000227</v>
      </c>
      <c r="BH44" s="495">
        <f>BB44-BF44</f>
        <v>981.16160000000002</v>
      </c>
      <c r="BI44" s="495">
        <f>BC44-BG44</f>
        <v>979.26160000000004</v>
      </c>
      <c r="BJ44" s="468">
        <f>IF(A44="",0,BI44-BH45)</f>
        <v>979.26160000000004</v>
      </c>
      <c r="BK44" s="475">
        <f>ABS((BB44-BC44)/AX44)*100</f>
        <v>6.6183733947974677</v>
      </c>
      <c r="BL44" s="475">
        <f>((BH44-BI44)/AX44)*100</f>
        <v>6.2561738557786546</v>
      </c>
      <c r="BM44" s="475">
        <f>IF(BA44=6,(1/0.013)*((AZ44/4000)^(2/3))*((BL44/100)^(0.5)),(1/0.009)*((AZ44/4000)^(2/3))*((BL44/100)^(0.5)))</f>
        <v>2.6113057302925848</v>
      </c>
      <c r="BN44" s="475">
        <f>1000*BM44*PI()*((AZ44/1000/2)^2)</f>
        <v>82.03658898564116</v>
      </c>
      <c r="BO44" s="204">
        <f>AI44/BN44</f>
        <v>1.8284524241525262E-2</v>
      </c>
      <c r="BP44" s="496">
        <f>IF(L44=0," ",AW44/BN44)</f>
        <v>0.11421732809539445</v>
      </c>
      <c r="BQ44" s="497">
        <f>IF($BO44&gt;0 =AND($BO44&lt;=0.06),10^(0.029806+0.29095*LOG($BO44)),IF($BO44&gt;0.06 =AND($BO44&lt;=0.26),10^(0.013778+0.282597*LOG($BO44)),IF($BO44&gt;0.26 =AND($BO44&lt;=0.91),10^(0.021763+0.28995*LOG($BO44)),1)))</f>
        <v>0.33431760137106359</v>
      </c>
      <c r="BR44" s="497">
        <f>IF($BP44&gt;0 =AND($BP44&lt;=0.06),10^(0.029806+0.29095*LOG($BP44)),IF($BP44&gt;0.06 =AND($BP44&lt;=0.26),10^(0.013778+0.282597*LOG($BP44)),IF($BP44&gt;0.26 =AND($BP44&lt;=2),10^(0.021763+0.28995*LOG($BP44))," ")))</f>
        <v>0.55910823505981622</v>
      </c>
      <c r="BS44" s="475">
        <f>BM44*BQ44</f>
        <v>0.87300546819793046</v>
      </c>
      <c r="BT44" s="475">
        <f>IF(BP44=" "," ",(BM44*BR44))</f>
        <v>1.4600025380654715</v>
      </c>
      <c r="BU44" s="475">
        <f>IF(BO44&lt;=0.11,0.3827+0.0645*LN(BO44),IF(BO44&lt;=0.21,0.60025+0.15471*LN(BO44),IF(BO44&lt;1,0.225+0.6666666667*BO44,0)))</f>
        <v>0.12459033408286729</v>
      </c>
      <c r="BV44" s="475">
        <f>IF(BP44&lt;=0.11,0.3827+0.0645*LN(BP44),IF(BP44&lt;=0.21,0.60025+0.15471*LN(BP44),IF(BP44&lt;1,0.225+0.6666666667*BP44," ")))</f>
        <v>0.26458309906656602</v>
      </c>
      <c r="BW44" s="475">
        <f>2*ACOS(1-2*(BU44))</f>
        <v>1.4429893260854201</v>
      </c>
      <c r="BX44" s="475">
        <f>IF(BP44=" "," ",(2*ACOS(1-2*(BV44))))</f>
        <v>2.1611213421943667</v>
      </c>
      <c r="BY44" s="475">
        <f>(1/4)*(1-(SIN(BW44))/BW44)</f>
        <v>7.8161619284307482E-2</v>
      </c>
      <c r="BZ44" s="475">
        <f>IF(BP44=" "," ",((1/4)*(1-(SIN(BX44))/BX44)))</f>
        <v>0.15389713512436526</v>
      </c>
      <c r="CA44" s="471">
        <f>BY44*AZ44/1000</f>
        <v>1.5632323856861498E-2</v>
      </c>
      <c r="CB44" s="471">
        <f>IF(BP44=" "," ",(BZ44*AZ44/1000))</f>
        <v>3.077942702487305E-2</v>
      </c>
      <c r="CC44" s="471">
        <f t="shared" si="2"/>
        <v>2.4007845495578244</v>
      </c>
      <c r="CD44" s="471" t="str">
        <f>IF(CC44="","",IF(CC44&lt;0.7,"F. Subcrítico",IF(AND(CC44&gt;0.7,CC44&lt;1),"F. Subcrítico Inestable",IF(CC44=1,"F. Crítico",IF(AND(CC44&gt;1,CC44&lt;1.5),"F. Supercrítico Inestable",IF(CC44&gt;1.5,"F. Supercrítico",""))))))</f>
        <v>F. Supercrítico</v>
      </c>
      <c r="CE44" s="471">
        <f>1000*BL44*CA44/100</f>
        <v>0.97798535818361854</v>
      </c>
      <c r="CF44" s="471">
        <f>IF(BP44=" "," ",(1000*BL44*CB44/100))</f>
        <v>1.9256144664885775</v>
      </c>
      <c r="CG44" s="471" t="str">
        <f>IF(BS44&lt;0.45,"No cumple",IF(BS44&gt;5,"No cumple","O.K"))</f>
        <v>O.K</v>
      </c>
      <c r="CH44" s="471" t="str">
        <f>IF(BT44&lt;0.75,"No cumple",IF(BT44&gt;10,"No cumple","O.K"))</f>
        <v>O.K</v>
      </c>
      <c r="CI44" s="471" t="str">
        <f>IF(CE44&gt;0.1,"OK","V.C.H.")</f>
        <v>OK</v>
      </c>
      <c r="CJ44" s="471" t="str">
        <f>IF(CF44&gt;0.2,"OK","V.C.H.")</f>
        <v>OK</v>
      </c>
      <c r="CK44" s="468">
        <f>+BJ44</f>
        <v>979.26160000000004</v>
      </c>
      <c r="CL44" s="482" t="s">
        <v>2507</v>
      </c>
      <c r="CM44" s="482"/>
      <c r="CN44" s="63" t="str">
        <f>IF(B44=1,"dato"," ")</f>
        <v>dato</v>
      </c>
      <c r="CO44" s="498">
        <f>+CR44</f>
        <v>30.37</v>
      </c>
      <c r="CP44" s="472">
        <f>+BK44/100</f>
        <v>6.6183733947974679E-2</v>
      </c>
      <c r="CQ44" s="482" t="s">
        <v>2508</v>
      </c>
      <c r="CR44" s="204">
        <f>IF(BA44="","",AX44)</f>
        <v>30.37</v>
      </c>
      <c r="CS44" s="486">
        <v>1.2</v>
      </c>
      <c r="CT44" s="486">
        <v>1.2</v>
      </c>
      <c r="CU44" s="23">
        <f>IF($BA44="","",SQRT((BH44-BI44)^2+$CR44^2))</f>
        <v>30.429375609762353</v>
      </c>
      <c r="CV44" s="499" t="s">
        <v>2509</v>
      </c>
      <c r="CW44" s="488" t="str">
        <f>+IF(BD44&lt;=0.9,"E1",IF(BD44&lt;=2.5,"E2","E3"))</f>
        <v>E2</v>
      </c>
      <c r="CX44" s="204">
        <f>IF(AND(L44="",H44=""),"",IF(AND(BA44&lt;&gt;4,BA44&lt;&gt;5),VLOOKUP(AY44,'TABLA (2)'!$A$9:$D$43,4),IF(BA44=4,VLOOKUP(AY44,'TABLA (2)'!$A$74:$D$89,4),VLOOKUP(AY44,'TABLA (2)'!$A$51:$D$66,4))))</f>
        <v>3.6999999999999998E-2</v>
      </c>
      <c r="CY44" s="482"/>
      <c r="CZ44" s="482"/>
      <c r="DA44" s="482"/>
      <c r="DB44" s="490"/>
    </row>
    <row r="45" spans="1:106" ht="15.75" hidden="1" customHeight="1">
      <c r="A45" s="465"/>
      <c r="B45" s="491"/>
      <c r="C45" s="501"/>
      <c r="D45" s="501"/>
      <c r="E45" s="468"/>
      <c r="F45" s="468"/>
      <c r="G45" s="468"/>
      <c r="H45" s="468"/>
      <c r="I45" s="468"/>
      <c r="J45" s="468"/>
      <c r="K45" s="467"/>
      <c r="L45" s="468"/>
      <c r="M45" s="469"/>
      <c r="N45" s="470"/>
      <c r="O45" s="470"/>
      <c r="P45" s="470"/>
      <c r="Q45" s="469"/>
      <c r="R45" s="471"/>
      <c r="S45" s="471"/>
      <c r="T45" s="471"/>
      <c r="U45" s="471"/>
      <c r="V45" s="471"/>
      <c r="W45" s="471"/>
      <c r="X45" s="471"/>
      <c r="Y45" s="471"/>
      <c r="Z45" s="471"/>
      <c r="AA45" s="471" t="str">
        <f t="shared" si="0"/>
        <v/>
      </c>
      <c r="AB45" s="471"/>
      <c r="AC45" s="471"/>
      <c r="AD45" s="471"/>
      <c r="AE45" s="471"/>
      <c r="AF45" s="471"/>
      <c r="AG45" s="471"/>
      <c r="AH45" s="471"/>
      <c r="AI45" s="471"/>
      <c r="AJ45" s="471"/>
      <c r="AK45" s="472"/>
      <c r="AL45" s="471"/>
      <c r="AM45" s="473"/>
      <c r="AN45" s="474">
        <f t="shared" si="1"/>
        <v>10</v>
      </c>
      <c r="AO45" s="474"/>
      <c r="AP45" s="474"/>
      <c r="AQ45" s="475">
        <v>3</v>
      </c>
      <c r="AR45" s="474"/>
      <c r="AS45" s="474"/>
      <c r="AT45" s="471"/>
      <c r="AU45" s="492"/>
      <c r="AV45" s="471"/>
      <c r="AW45" s="471"/>
      <c r="AX45" s="478"/>
      <c r="AY45" s="493"/>
      <c r="AZ45" s="480"/>
      <c r="BA45" s="493"/>
      <c r="BB45" s="478" t="str">
        <f>IF(OR(C45="",D45=""),"",VLOOKUP(C45,'Base de Diseño (2)'!$A$2:$D$330,4,FALSE))</f>
        <v/>
      </c>
      <c r="BC45" s="478" t="str">
        <f>IF(OR(C45="",D45=""),"",VLOOKUP(D45,'Base de Diseño (2)'!$A$2:$D$330,4,FALSE))</f>
        <v/>
      </c>
      <c r="BD45" s="23"/>
      <c r="BE45" s="23"/>
      <c r="BF45" s="494"/>
      <c r="BG45" s="494"/>
      <c r="BH45" s="495"/>
      <c r="BI45" s="495"/>
      <c r="BJ45" s="468"/>
      <c r="BK45" s="475"/>
      <c r="BL45" s="475"/>
      <c r="BM45" s="475"/>
      <c r="BN45" s="475"/>
      <c r="BO45" s="204"/>
      <c r="BP45" s="496"/>
      <c r="BQ45" s="497"/>
      <c r="BR45" s="497"/>
      <c r="BS45" s="475"/>
      <c r="BT45" s="475"/>
      <c r="BU45" s="475"/>
      <c r="BV45" s="475"/>
      <c r="BW45" s="475"/>
      <c r="BX45" s="475"/>
      <c r="BY45" s="475"/>
      <c r="BZ45" s="475"/>
      <c r="CA45" s="471"/>
      <c r="CB45" s="471"/>
      <c r="CC45" s="471" t="e">
        <f t="shared" si="2"/>
        <v>#DIV/0!</v>
      </c>
      <c r="CD45" s="471"/>
      <c r="CE45" s="471"/>
      <c r="CF45" s="471"/>
      <c r="CG45" s="471"/>
      <c r="CH45" s="471"/>
      <c r="CI45" s="471"/>
      <c r="CJ45" s="471"/>
      <c r="CK45" s="468"/>
      <c r="CL45" s="482"/>
      <c r="CM45" s="482"/>
      <c r="CN45" s="63"/>
      <c r="CO45" s="498"/>
      <c r="CP45" s="472"/>
      <c r="CQ45" s="482"/>
      <c r="CR45" s="204"/>
      <c r="CS45" s="486"/>
      <c r="CT45" s="486"/>
      <c r="CU45" s="23"/>
      <c r="CV45" s="499"/>
      <c r="CW45" s="488"/>
      <c r="CX45" s="204"/>
      <c r="CY45" s="482"/>
      <c r="CZ45" s="482"/>
      <c r="DA45" s="482"/>
      <c r="DB45" s="490"/>
    </row>
    <row r="46" spans="1:106" ht="15.75" hidden="1" customHeight="1">
      <c r="A46" s="465">
        <v>17</v>
      </c>
      <c r="B46" s="491">
        <v>1</v>
      </c>
      <c r="C46" s="466" t="s">
        <v>2151</v>
      </c>
      <c r="D46" s="466" t="s">
        <v>2152</v>
      </c>
      <c r="E46" s="468">
        <v>0.4472369893</v>
      </c>
      <c r="F46" s="468"/>
      <c r="G46" s="468">
        <f t="shared" ref="G46:G56" si="75">IF(B46=1,0,SUMIF($D$22:$D$583,C46,$H$22:$H$583))</f>
        <v>0</v>
      </c>
      <c r="H46" s="468">
        <f t="shared" ref="H46:H56" si="76">+E46+F46+G46</f>
        <v>0.4472369893</v>
      </c>
      <c r="I46" s="468">
        <v>0.4472369893</v>
      </c>
      <c r="J46" s="468"/>
      <c r="K46" s="467">
        <f t="shared" ref="K46:K56" si="77">+IF(B46=1,0,SUMIF($D$22:$D$583,C46,$L$22:$L$580))</f>
        <v>0</v>
      </c>
      <c r="L46" s="468">
        <f t="shared" ref="L46:L56" si="78">+I46+J46+K46</f>
        <v>0.4472369893</v>
      </c>
      <c r="M46" s="469">
        <f t="shared" ref="M46:M56" si="79">+$P$12</f>
        <v>242.33666300502347</v>
      </c>
      <c r="N46" s="470">
        <f t="shared" ref="N46:N56" si="80">M46*E46</f>
        <v>108.38191955937539</v>
      </c>
      <c r="O46" s="470">
        <f t="shared" ref="O46:O56" si="81">M46*F46</f>
        <v>0</v>
      </c>
      <c r="P46" s="470">
        <f t="shared" ref="P46:P56" si="82">M46*H46</f>
        <v>108.38191955937539</v>
      </c>
      <c r="Q46" s="469">
        <f t="shared" ref="Q46:Q56" si="83">+$H$14</f>
        <v>140</v>
      </c>
      <c r="R46" s="471">
        <f t="shared" ref="R46:R56" si="84">Q46*P46*$P$14/86400</f>
        <v>0.14927602346719526</v>
      </c>
      <c r="S46" s="471"/>
      <c r="T46" s="471"/>
      <c r="U46" s="471">
        <f t="shared" ref="U46:U56" si="85">IF(C46="","",T46*$P$17)</f>
        <v>0</v>
      </c>
      <c r="V46" s="471"/>
      <c r="W46" s="471"/>
      <c r="X46" s="471">
        <f t="shared" ref="X46:X56" si="86">IF(C46="","",W46*$P$16)</f>
        <v>0</v>
      </c>
      <c r="Y46" s="471">
        <f t="shared" ref="Y46:Y56" si="87">IF(H46=0,0,$H$15*H46)</f>
        <v>8.944739786E-2</v>
      </c>
      <c r="Z46" s="471">
        <f t="shared" ref="Z46:Z56" si="88">IF(L46=0,$H$16*H46,0)</f>
        <v>0</v>
      </c>
      <c r="AA46" s="471">
        <f t="shared" si="0"/>
        <v>3.8</v>
      </c>
      <c r="AB46" s="471">
        <f t="shared" ref="AB46:AB56" si="89">R46*AA46</f>
        <v>0.567248889175342</v>
      </c>
      <c r="AC46" s="471">
        <f t="shared" ref="AC46:AC56" si="90">Q46*(N46+O46)*$P$14/86400</f>
        <v>0.14927602346719526</v>
      </c>
      <c r="AD46" s="471">
        <f t="shared" ref="AD46:AD56" si="91">IF(E46=0,0,$H$15*(E46+F46))</f>
        <v>8.944739786E-2</v>
      </c>
      <c r="AE46" s="471">
        <f t="shared" ref="AE46:AE56" si="92">IF(F46=0,0,$H$15*(F46+G46))</f>
        <v>0</v>
      </c>
      <c r="AF46" s="471">
        <f t="shared" ref="AF46:AF56" si="93">IF(N46="","",IF(1+((14/(4+(((N46+O46)+O46)/1000)^1/2)))&lt;1.4,1.4,IF(1+((14/(4+((N46+O46)/1000)^1/2)))&gt;=4,4,(1+((14/(4+((N46+O46)/1000)^1/2)))))))</f>
        <v>4</v>
      </c>
      <c r="AG46" s="471">
        <f t="shared" ref="AG46:AG56" si="94">AC46*AF46</f>
        <v>0.59710409386878105</v>
      </c>
      <c r="AH46" s="471">
        <f t="shared" ref="AH46:AH56" si="95">+AD46+AE46+AG46</f>
        <v>0.68655149172878105</v>
      </c>
      <c r="AI46" s="471">
        <f t="shared" ref="AI46:AI56" si="96">IF(H46="","",IF(AB46+Y46+Z46+X46+U46&lt;1.5,1.5,AB46+Y46+Z46+X46+U46))</f>
        <v>1.5</v>
      </c>
      <c r="AJ46" s="471">
        <f t="shared" ref="AJ46:AJ56" si="97">+$P$17</f>
        <v>0.75</v>
      </c>
      <c r="AK46" s="472">
        <f t="shared" ref="AK46:AK56" si="98">+BK46/100</f>
        <v>3.6363636363637306E-2</v>
      </c>
      <c r="AL46" s="471">
        <f t="shared" ref="AL46:AL56" si="99">IF(AJ46=0," ",0.14+0.65*AJ46+0.05*AK46)</f>
        <v>0.62931818181818189</v>
      </c>
      <c r="AM46" s="473">
        <f t="shared" ref="AM46:AM56" si="100">((100/36)*$AM$14*(AP46+$AN$14)^$AO$14)</f>
        <v>336.32613267542746</v>
      </c>
      <c r="AN46" s="474">
        <f t="shared" si="1"/>
        <v>6.9134147090796763</v>
      </c>
      <c r="AO46" s="474">
        <f t="shared" ref="AO46:AO56" si="101">((1/60)*$AX46/$AQ46)</f>
        <v>0.48277777777777781</v>
      </c>
      <c r="AP46" s="474">
        <f t="shared" ref="AP46:AP56" si="102">IF(B46=1,IF(($AN46+$AO46)&lt;10,10,IF(($AN46+$AO46)&gt;20,20,($AN46+$AO46))),($AN46+$AO46))</f>
        <v>10</v>
      </c>
      <c r="AQ46" s="475">
        <v>3</v>
      </c>
      <c r="AR46" s="474">
        <f t="shared" ref="AR46:AR56" si="103">((1/60)*$AX46/$BT46)</f>
        <v>0.62800705259015677</v>
      </c>
      <c r="AS46" s="474">
        <f t="shared" ref="AS46:AS56" si="104">AO46/AR46</f>
        <v>0.76874579001399057</v>
      </c>
      <c r="AT46" s="471" t="str">
        <f t="shared" ref="AT46:AT56" si="105">IF(AS46&lt;0.9,"Disminuir vel.",IF(AS46&gt;1.1,"Aumentar vel.","Cumple"))</f>
        <v>Disminuir vel.</v>
      </c>
      <c r="AU46" s="492">
        <f t="shared" ref="AU46:AU56" si="106">+I46*AL46*AM46</f>
        <v>94.660459432921982</v>
      </c>
      <c r="AV46" s="471">
        <f t="shared" ref="AV46:AV56" si="107">+L46*AL46*AM46</f>
        <v>94.660459432921982</v>
      </c>
      <c r="AW46" s="471">
        <f t="shared" ref="AW46:AW56" si="108">ROUND(IF(AI46&gt;(AV46*0.05),(AV46+AI46),AV46),2)</f>
        <v>94.66</v>
      </c>
      <c r="AX46" s="478">
        <f>IF(OR(C46="",D46=""),"",ROUND(((VLOOKUP(C46,'Base de Diseño (2)'!$A$2:$C$333,2,FALSE)-VLOOKUP(D46,'Base de Diseño (2)'!$A$2:$C$333,2,FALSE))^2+(VLOOKUP(C46,'Base de Diseño (2)'!$A$2:$C$333,3,0)-VLOOKUP(D46,'Base de Diseño (2)'!$A$2:$C$333,3,FALSE))^2)^0.5,2))</f>
        <v>86.9</v>
      </c>
      <c r="AY46" s="493">
        <v>8</v>
      </c>
      <c r="AZ46" s="480">
        <f>IF(AND(L46="",H46=""),"",IF(BA46=4,VLOOKUP(AY46,'TABLA (2)'!$A$74:$C$89,2),IF(BA46=5,VLOOKUP(AY46,'TABLA (2)'!$A$51:$B$66,2),IF(BA46=6,VLOOKUP(AY46,'TABLA (2)'!$A$9:$B$43,2)))))</f>
        <v>200</v>
      </c>
      <c r="BA46" s="493">
        <v>6</v>
      </c>
      <c r="BB46" s="478">
        <f>IF(OR(C46="",D46=""),"",VLOOKUP(C46,'Base de Diseño (2)'!$A$2:$D$330,4,FALSE))</f>
        <v>981.24160000000006</v>
      </c>
      <c r="BC46" s="478">
        <f>IF(OR(C46="",D46=""),"",VLOOKUP(D46,'Base de Diseño (2)'!$A$2:$D$330,4,FALSE))</f>
        <v>978.08159999999998</v>
      </c>
      <c r="BD46" s="23">
        <f t="shared" ref="BD46:BD56" si="109">+BF46-((AZ46/1000)+CX46)</f>
        <v>1.7030000000000545</v>
      </c>
      <c r="BE46" s="23">
        <f t="shared" ref="BE46:BE56" si="110">+BG46-((AZ46/1000)+CX46)</f>
        <v>1.503000000000009</v>
      </c>
      <c r="BF46" s="494">
        <v>1.9400000000000546</v>
      </c>
      <c r="BG46" s="494">
        <v>1.7400000000000091</v>
      </c>
      <c r="BH46" s="495">
        <f t="shared" ref="BH46:BH56" si="111">BB46-BF46</f>
        <v>979.30160000000001</v>
      </c>
      <c r="BI46" s="495">
        <f t="shared" ref="BI46:BI56" si="112">BC46-BG46</f>
        <v>976.34159999999997</v>
      </c>
      <c r="BJ46" s="468">
        <f t="shared" ref="BJ46:BJ56" si="113">IF(A46="",0,BI46-BH47)</f>
        <v>0.23000000000001819</v>
      </c>
      <c r="BK46" s="475">
        <f t="shared" ref="BK46:BK56" si="114">ABS((BB46-BC46)/AX46)*100</f>
        <v>3.6363636363637304</v>
      </c>
      <c r="BL46" s="475">
        <f t="shared" ref="BL46:BL56" si="115">((BH46-BI46)/AX46)*100</f>
        <v>3.4062140391254734</v>
      </c>
      <c r="BM46" s="475">
        <f t="shared" ref="BM46:BM56" si="116">IF(BA46=6,(1/0.013)*((AZ46/4000)^(2/3))*((BL46/100)^(0.5)),(1/0.009)*((AZ46/4000)^(2/3))*((BL46/100)^(0.5)))</f>
        <v>1.9268117433865894</v>
      </c>
      <c r="BN46" s="475">
        <f t="shared" ref="BN46:BN56" si="117">1000*BM46*PI()*((AZ46/1000/2)^2)</f>
        <v>60.532576178738523</v>
      </c>
      <c r="BO46" s="204">
        <f t="shared" ref="BO46:BO56" si="118">AI46/BN46</f>
        <v>2.4780045633129032E-2</v>
      </c>
      <c r="BP46" s="496">
        <f t="shared" ref="BP46:BP56" si="119">IF(L46=0," ",AW46/BN46)</f>
        <v>1.5637860797546628</v>
      </c>
      <c r="BQ46" s="497">
        <f t="shared" ref="BQ46:BQ56" si="120">IF($BO46&gt;0 =AND($BO46&lt;=0.06),10^(0.029806+0.29095*LOG($BO46)),IF($BO46&gt;0.06 =AND($BO46&lt;=0.26),10^(0.013778+0.282597*LOG($BO46)),IF($BO46&gt;0.26 =AND($BO46&lt;=0.91),10^(0.021763+0.28995*LOG($BO46)),1)))</f>
        <v>0.36523299659724878</v>
      </c>
      <c r="BR46" s="497">
        <f t="shared" ref="BR46:BR56" si="121">IF($BP46&gt;0 =AND($BP46&lt;=0.06),10^(0.029806+0.29095*LOG($BP46)),IF($BP46&gt;0.06 =AND($BP46&lt;=0.26),10^(0.013778+0.282597*LOG($BP46)),IF($BP46&gt;0.26 =AND($BP46&lt;=2),10^(0.021763+0.28995*LOG($BP46))," ")))</f>
        <v>1.1969188883956556</v>
      </c>
      <c r="BS46" s="475">
        <f t="shared" ref="BS46:BS56" si="122">BM46*BQ46</f>
        <v>0.70373522691585322</v>
      </c>
      <c r="BT46" s="475">
        <f t="shared" ref="BT46:BT56" si="123">IF(BP46=" "," ",(BM46*BR46))</f>
        <v>2.306237370041972</v>
      </c>
      <c r="BU46" s="475">
        <f t="shared" ref="BU46:BU56" si="124">IF(BO46&lt;=0.11,0.3827+0.0645*LN(BO46),IF(BO46&lt;=0.21,0.60025+0.15471*LN(BO46),IF(BO46&lt;1,0.225+0.6666666667*BO46,0)))</f>
        <v>0.14419728179923272</v>
      </c>
      <c r="BV46" s="475" t="str">
        <f t="shared" ref="BV46:BV56" si="125">IF(BP46&lt;=0.11,0.3827+0.0645*LN(BP46),IF(BP46&lt;=0.21,0.60025+0.15471*LN(BP46),IF(BP46&lt;1,0.225+0.6666666667*BP46," ")))</f>
        <v xml:space="preserve"> </v>
      </c>
      <c r="BW46" s="475">
        <f t="shared" ref="BW46:BW56" si="126">2*ACOS(1-2*(BU46))</f>
        <v>1.5580313859041337</v>
      </c>
      <c r="BX46" s="475" t="e">
        <f t="shared" ref="BX46:BX56" si="127">IF(BP46=" "," ",(2*ACOS(1-2*(BV46))))</f>
        <v>#VALUE!</v>
      </c>
      <c r="BY46" s="475">
        <f t="shared" ref="BY46:BY56" si="128">(1/4)*(1-(SIN(BW46))/BW46)</f>
        <v>8.9554174213884508E-2</v>
      </c>
      <c r="BZ46" s="475" t="e">
        <f t="shared" ref="BZ46:BZ56" si="129">IF(BP46=" "," ",((1/4)*(1-(SIN(BX46))/BX46)))</f>
        <v>#VALUE!</v>
      </c>
      <c r="CA46" s="471">
        <f t="shared" ref="CA46:CA56" si="130">BY46*AZ46/1000</f>
        <v>1.7910834842776901E-2</v>
      </c>
      <c r="CB46" s="471" t="e">
        <f t="shared" ref="CB46:CB56" si="131">IF(BP46=" "," ",(BZ46*AZ46/1000))</f>
        <v>#VALUE!</v>
      </c>
      <c r="CC46" s="471" t="e">
        <f t="shared" si="2"/>
        <v>#VALUE!</v>
      </c>
      <c r="CD46" s="471" t="e">
        <f t="shared" ref="CD46:CD56" si="132">IF(CC46="","",IF(CC46&lt;0.7,"F. Subcrítico",IF(AND(CC46&gt;0.7,CC46&lt;1),"F. Subcrítico Inestable",IF(CC46=1,"F. Crítico",IF(AND(CC46&gt;1,CC46&lt;1.5),"F. Supercrítico Inestable",IF(CC46&gt;1.5,"F. Supercrítico",""))))))</f>
        <v>#VALUE!</v>
      </c>
      <c r="CE46" s="471">
        <f t="shared" ref="CE46:CE56" si="133">1000*BL46*CA46/100</f>
        <v>0.61008137093924364</v>
      </c>
      <c r="CF46" s="471" t="e">
        <f t="shared" ref="CF46:CF56" si="134">IF(BP46=" "," ",(1000*BL46*CB46/100))</f>
        <v>#VALUE!</v>
      </c>
      <c r="CG46" s="471" t="str">
        <f t="shared" ref="CG46:CG56" si="135">IF(BS46&lt;0.45,"No cumple",IF(BS46&gt;5,"No cumple","O.K"))</f>
        <v>O.K</v>
      </c>
      <c r="CH46" s="471" t="str">
        <f t="shared" ref="CH46:CH56" si="136">IF(BT46&lt;0.75,"No cumple",IF(BT46&gt;10,"No cumple","O.K"))</f>
        <v>O.K</v>
      </c>
      <c r="CI46" s="471" t="str">
        <f t="shared" ref="CI46:CI56" si="137">IF(CE46&gt;0.1,"OK","V.C.H.")</f>
        <v>OK</v>
      </c>
      <c r="CJ46" s="471" t="e">
        <f t="shared" ref="CJ46:CJ56" si="138">IF(CF46&gt;0.2,"OK","V.C.H.")</f>
        <v>#VALUE!</v>
      </c>
      <c r="CK46" s="468">
        <f t="shared" ref="CK46:CK56" si="139">+BJ46</f>
        <v>0.23000000000001819</v>
      </c>
      <c r="CL46" s="482" t="s">
        <v>2507</v>
      </c>
      <c r="CM46" s="482"/>
      <c r="CN46" s="63" t="str">
        <f t="shared" ref="CN46:CN56" si="140">IF(B46=1,"dato"," ")</f>
        <v>dato</v>
      </c>
      <c r="CO46" s="498">
        <f t="shared" ref="CO46:CO56" si="141">+CR46</f>
        <v>86.9</v>
      </c>
      <c r="CP46" s="472">
        <f t="shared" ref="CP46:CP56" si="142">+BK46/100</f>
        <v>3.6363636363637306E-2</v>
      </c>
      <c r="CQ46" s="482" t="s">
        <v>2508</v>
      </c>
      <c r="CR46" s="204">
        <f t="shared" ref="CR46:CR56" si="143">IF(BA46="","",AX46)</f>
        <v>86.9</v>
      </c>
      <c r="CS46" s="486">
        <v>1.2</v>
      </c>
      <c r="CT46" s="486">
        <v>1.2</v>
      </c>
      <c r="CU46" s="23">
        <f t="shared" ref="CU46:CU56" si="144">IF($BA46="","",SQRT((BH46-BI46)^2+$CR46^2))</f>
        <v>86.950397353893678</v>
      </c>
      <c r="CV46" s="499" t="s">
        <v>2509</v>
      </c>
      <c r="CW46" s="488" t="str">
        <f t="shared" ref="CW46:CW56" si="145">+IF(BD46&lt;=0.9,"E1",IF(BD46&lt;=2.5,"E2","E3"))</f>
        <v>E2</v>
      </c>
      <c r="CX46" s="204">
        <f>IF(AND(L46="",H46=""),"",IF(AND(BA46&lt;&gt;4,BA46&lt;&gt;5),VLOOKUP(AY46,'TABLA (2)'!$A$9:$D$43,4),IF(BA46=4,VLOOKUP(AY46,'TABLA (2)'!$A$74:$D$89,4),VLOOKUP(AY46,'TABLA (2)'!$A$51:$D$66,4))))</f>
        <v>3.6999999999999998E-2</v>
      </c>
      <c r="CY46" s="482"/>
      <c r="CZ46" s="482"/>
      <c r="DA46" s="482"/>
      <c r="DB46" s="490"/>
    </row>
    <row r="47" spans="1:106" ht="15.75" hidden="1" customHeight="1">
      <c r="A47" s="465">
        <v>18</v>
      </c>
      <c r="B47" s="491"/>
      <c r="C47" s="466" t="s">
        <v>2152</v>
      </c>
      <c r="D47" s="466" t="s">
        <v>2153</v>
      </c>
      <c r="E47" s="468">
        <v>0.21054884000000001</v>
      </c>
      <c r="F47" s="468"/>
      <c r="G47" s="468">
        <f t="shared" si="75"/>
        <v>0.4472369893</v>
      </c>
      <c r="H47" s="468">
        <f t="shared" si="76"/>
        <v>0.65778582930000007</v>
      </c>
      <c r="I47" s="468">
        <v>0.21054884000000001</v>
      </c>
      <c r="J47" s="468"/>
      <c r="K47" s="467">
        <f t="shared" ca="1" si="77"/>
        <v>0.4472369893</v>
      </c>
      <c r="L47" s="468">
        <f t="shared" ca="1" si="78"/>
        <v>0.65778582930000007</v>
      </c>
      <c r="M47" s="469">
        <f t="shared" si="79"/>
        <v>242.33666300502347</v>
      </c>
      <c r="N47" s="470">
        <f t="shared" si="80"/>
        <v>51.023703285178605</v>
      </c>
      <c r="O47" s="470">
        <f t="shared" si="81"/>
        <v>0</v>
      </c>
      <c r="P47" s="470">
        <f t="shared" si="82"/>
        <v>159.40562284455402</v>
      </c>
      <c r="Q47" s="469">
        <f t="shared" si="83"/>
        <v>140</v>
      </c>
      <c r="R47" s="471">
        <f t="shared" si="84"/>
        <v>0.21955172590858713</v>
      </c>
      <c r="S47" s="471"/>
      <c r="T47" s="471"/>
      <c r="U47" s="471">
        <f t="shared" si="85"/>
        <v>0</v>
      </c>
      <c r="V47" s="471"/>
      <c r="W47" s="471"/>
      <c r="X47" s="471">
        <f t="shared" si="86"/>
        <v>0</v>
      </c>
      <c r="Y47" s="471">
        <f t="shared" si="87"/>
        <v>0.13155716586000002</v>
      </c>
      <c r="Z47" s="471">
        <f t="shared" ca="1" si="88"/>
        <v>0</v>
      </c>
      <c r="AA47" s="471">
        <f t="shared" si="0"/>
        <v>3.8</v>
      </c>
      <c r="AB47" s="471">
        <f t="shared" si="89"/>
        <v>0.83429655845263107</v>
      </c>
      <c r="AC47" s="471">
        <f t="shared" si="90"/>
        <v>7.0275702441391821E-2</v>
      </c>
      <c r="AD47" s="471">
        <f t="shared" si="91"/>
        <v>4.2109768000000006E-2</v>
      </c>
      <c r="AE47" s="471">
        <f t="shared" si="92"/>
        <v>0</v>
      </c>
      <c r="AF47" s="471">
        <f t="shared" si="93"/>
        <v>4</v>
      </c>
      <c r="AG47" s="471">
        <f t="shared" si="94"/>
        <v>0.28110280976556729</v>
      </c>
      <c r="AH47" s="471">
        <f t="shared" si="95"/>
        <v>0.32321257776556728</v>
      </c>
      <c r="AI47" s="471">
        <f t="shared" ca="1" si="96"/>
        <v>1.5</v>
      </c>
      <c r="AJ47" s="471">
        <f t="shared" si="97"/>
        <v>0.75</v>
      </c>
      <c r="AK47" s="472">
        <f t="shared" si="98"/>
        <v>8.0123266563944237E-2</v>
      </c>
      <c r="AL47" s="471">
        <f t="shared" si="99"/>
        <v>0.63150616332819731</v>
      </c>
      <c r="AM47" s="473">
        <f t="shared" si="100"/>
        <v>333.83862914443125</v>
      </c>
      <c r="AN47" s="474">
        <f t="shared" si="1"/>
        <v>10</v>
      </c>
      <c r="AO47" s="474">
        <f t="shared" si="101"/>
        <v>0.25238888888888888</v>
      </c>
      <c r="AP47" s="474">
        <f t="shared" si="102"/>
        <v>10.252388888888889</v>
      </c>
      <c r="AQ47" s="475">
        <v>3</v>
      </c>
      <c r="AR47" s="474">
        <f t="shared" ca="1" si="103"/>
        <v>0.23038124073879371</v>
      </c>
      <c r="AS47" s="474">
        <f t="shared" ca="1" si="104"/>
        <v>1.0955270840608391</v>
      </c>
      <c r="AT47" s="471" t="str">
        <f t="shared" ca="1" si="105"/>
        <v>Cumple</v>
      </c>
      <c r="AU47" s="492">
        <f t="shared" si="106"/>
        <v>44.388148971954188</v>
      </c>
      <c r="AV47" s="471">
        <f t="shared" ca="1" si="107"/>
        <v>138.67516621135897</v>
      </c>
      <c r="AW47" s="471">
        <f t="shared" ca="1" si="108"/>
        <v>138.68</v>
      </c>
      <c r="AX47" s="478">
        <f>IF(OR(C47="",D47=""),"",ROUND(((VLOOKUP(C47,'Base de Diseño (2)'!$A$2:$C$333,2,FALSE)-VLOOKUP(D47,'Base de Diseño (2)'!$A$2:$C$333,2,FALSE))^2+(VLOOKUP(C47,'Base de Diseño (2)'!$A$2:$C$333,3,0)-VLOOKUP(D47,'Base de Diseño (2)'!$A$2:$C$333,3,FALSE))^2)^0.5,2))</f>
        <v>45.43</v>
      </c>
      <c r="AY47" s="493">
        <v>12</v>
      </c>
      <c r="AZ47" s="480">
        <f ca="1">IF(AND(L47="",H47=""),"",IF(BA47=4,VLOOKUP(AY47,'TABLA (2)'!$A$74:$C$89,2),IF(BA47=5,VLOOKUP(AY47,'TABLA (2)'!$A$51:$B$66,2),IF(BA47=6,VLOOKUP(AY47,'TABLA (2)'!$A$9:$B$43,2)))))</f>
        <v>300</v>
      </c>
      <c r="BA47" s="493">
        <v>6</v>
      </c>
      <c r="BB47" s="478">
        <f>IF(OR(C47="",D47=""),"",VLOOKUP(C47,'Base de Diseño (2)'!$A$2:$D$330,4,FALSE))</f>
        <v>978.08159999999998</v>
      </c>
      <c r="BC47" s="478">
        <f>IF(OR(C47="",D47=""),"",VLOOKUP(D47,'Base de Diseño (2)'!$A$2:$D$330,4,FALSE))</f>
        <v>974.44159999999999</v>
      </c>
      <c r="BD47" s="23">
        <f t="shared" ca="1" si="109"/>
        <v>1.6230000000000273</v>
      </c>
      <c r="BE47" s="23">
        <f t="shared" ca="1" si="110"/>
        <v>1.4529999999999546</v>
      </c>
      <c r="BF47" s="494">
        <v>1.9700000000000273</v>
      </c>
      <c r="BG47" s="494">
        <v>1.7999999999999545</v>
      </c>
      <c r="BH47" s="495">
        <f t="shared" si="111"/>
        <v>976.11159999999995</v>
      </c>
      <c r="BI47" s="495">
        <f t="shared" si="112"/>
        <v>972.64160000000004</v>
      </c>
      <c r="BJ47" s="468">
        <f t="shared" si="113"/>
        <v>8.0000000000040927E-2</v>
      </c>
      <c r="BK47" s="475">
        <f t="shared" si="114"/>
        <v>8.0123266563944231</v>
      </c>
      <c r="BL47" s="475">
        <f t="shared" si="115"/>
        <v>7.6381245872769394</v>
      </c>
      <c r="BM47" s="475">
        <f t="shared" ca="1" si="116"/>
        <v>3.7808622861681327</v>
      </c>
      <c r="BN47" s="475">
        <f t="shared" ca="1" si="117"/>
        <v>267.25340660536165</v>
      </c>
      <c r="BO47" s="204">
        <f t="shared" ca="1" si="118"/>
        <v>5.612650626433238E-3</v>
      </c>
      <c r="BP47" s="496">
        <f t="shared" ca="1" si="119"/>
        <v>0.51890825924917439</v>
      </c>
      <c r="BQ47" s="497">
        <f t="shared" ca="1" si="120"/>
        <v>0.23709720387693345</v>
      </c>
      <c r="BR47" s="497">
        <f t="shared" ca="1" si="121"/>
        <v>0.86926764410492074</v>
      </c>
      <c r="BS47" s="475">
        <f t="shared" ca="1" si="122"/>
        <v>0.8964318762942145</v>
      </c>
      <c r="BT47" s="475">
        <f t="shared" ca="1" si="123"/>
        <v>3.2865812521825175</v>
      </c>
      <c r="BU47" s="475">
        <f t="shared" ca="1" si="124"/>
        <v>4.8413773835168261E-2</v>
      </c>
      <c r="BV47" s="475">
        <f t="shared" ca="1" si="125"/>
        <v>0.57093883951674651</v>
      </c>
      <c r="BW47" s="475">
        <f t="shared" ca="1" si="126"/>
        <v>0.88738623487849999</v>
      </c>
      <c r="BX47" s="475">
        <f t="shared" ca="1" si="127"/>
        <v>3.4263087044544762</v>
      </c>
      <c r="BY47" s="475">
        <f t="shared" ca="1" si="128"/>
        <v>3.1542712368476555E-2</v>
      </c>
      <c r="BZ47" s="475">
        <f t="shared" ca="1" si="129"/>
        <v>0.27049471961639482</v>
      </c>
      <c r="CA47" s="471">
        <f t="shared" ca="1" si="130"/>
        <v>9.462813710542967E-3</v>
      </c>
      <c r="CB47" s="471">
        <f t="shared" ca="1" si="131"/>
        <v>8.1148415884918446E-2</v>
      </c>
      <c r="CC47" s="471">
        <f t="shared" ca="1" si="2"/>
        <v>2.8000371621841178</v>
      </c>
      <c r="CD47" s="471" t="str">
        <f t="shared" ca="1" si="132"/>
        <v>F. Supercrítico</v>
      </c>
      <c r="CE47" s="471">
        <f t="shared" ca="1" si="133"/>
        <v>0.72278150067319558</v>
      </c>
      <c r="CF47" s="471">
        <f t="shared" ca="1" si="134"/>
        <v>6.1982171058917013</v>
      </c>
      <c r="CG47" s="471" t="str">
        <f t="shared" ca="1" si="135"/>
        <v>O.K</v>
      </c>
      <c r="CH47" s="471" t="str">
        <f t="shared" ca="1" si="136"/>
        <v>O.K</v>
      </c>
      <c r="CI47" s="471" t="str">
        <f t="shared" ca="1" si="137"/>
        <v>OK</v>
      </c>
      <c r="CJ47" s="471" t="str">
        <f t="shared" ca="1" si="138"/>
        <v>OK</v>
      </c>
      <c r="CK47" s="468">
        <f t="shared" si="139"/>
        <v>8.0000000000040927E-2</v>
      </c>
      <c r="CL47" s="482" t="s">
        <v>2507</v>
      </c>
      <c r="CM47" s="482"/>
      <c r="CN47" s="63" t="str">
        <f t="shared" si="140"/>
        <v xml:space="preserve"> </v>
      </c>
      <c r="CO47" s="498">
        <f t="shared" si="141"/>
        <v>45.43</v>
      </c>
      <c r="CP47" s="472">
        <f t="shared" si="142"/>
        <v>8.0123266563944237E-2</v>
      </c>
      <c r="CQ47" s="482" t="s">
        <v>2508</v>
      </c>
      <c r="CR47" s="204">
        <f t="shared" si="143"/>
        <v>45.43</v>
      </c>
      <c r="CS47" s="486">
        <v>1.2</v>
      </c>
      <c r="CT47" s="486">
        <v>1.2</v>
      </c>
      <c r="CU47" s="23">
        <f t="shared" si="144"/>
        <v>45.562328737675379</v>
      </c>
      <c r="CV47" s="499" t="s">
        <v>2509</v>
      </c>
      <c r="CW47" s="488" t="str">
        <f t="shared" ca="1" si="145"/>
        <v>E2</v>
      </c>
      <c r="CX47" s="204">
        <f ca="1">IF(AND(L47="",H47=""),"",IF(AND(BA47&lt;&gt;4,BA47&lt;&gt;5),VLOOKUP(AY47,'TABLA (2)'!$A$9:$D$43,4),IF(BA47=4,VLOOKUP(AY47,'TABLA (2)'!$A$74:$D$89,4),VLOOKUP(AY47,'TABLA (2)'!$A$51:$D$66,4))))</f>
        <v>4.7E-2</v>
      </c>
      <c r="CY47" s="482"/>
      <c r="CZ47" s="482"/>
      <c r="DA47" s="482"/>
      <c r="DB47" s="490"/>
    </row>
    <row r="48" spans="1:106" ht="15.75" hidden="1" customHeight="1">
      <c r="A48" s="465">
        <v>19</v>
      </c>
      <c r="B48" s="491"/>
      <c r="C48" s="466" t="s">
        <v>2153</v>
      </c>
      <c r="D48" s="466" t="s">
        <v>2154</v>
      </c>
      <c r="E48" s="468">
        <v>0.18260055610000001</v>
      </c>
      <c r="F48" s="468"/>
      <c r="G48" s="468">
        <f t="shared" si="75"/>
        <v>0.65778582930000007</v>
      </c>
      <c r="H48" s="468">
        <f t="shared" si="76"/>
        <v>0.8403863854000001</v>
      </c>
      <c r="I48" s="468">
        <v>0.18260055610000001</v>
      </c>
      <c r="J48" s="468"/>
      <c r="K48" s="467">
        <f t="shared" ca="1" si="77"/>
        <v>0.65778582930000007</v>
      </c>
      <c r="L48" s="468">
        <f t="shared" ca="1" si="78"/>
        <v>0.8403863854000001</v>
      </c>
      <c r="M48" s="469">
        <f t="shared" si="79"/>
        <v>242.33666300502347</v>
      </c>
      <c r="N48" s="470">
        <f t="shared" si="80"/>
        <v>44.250809428135582</v>
      </c>
      <c r="O48" s="470">
        <f t="shared" si="81"/>
        <v>0</v>
      </c>
      <c r="P48" s="470">
        <f t="shared" si="82"/>
        <v>203.65643227268959</v>
      </c>
      <c r="Q48" s="469">
        <f t="shared" si="83"/>
        <v>140</v>
      </c>
      <c r="R48" s="471">
        <f t="shared" si="84"/>
        <v>0.28049902130150534</v>
      </c>
      <c r="S48" s="471"/>
      <c r="T48" s="471"/>
      <c r="U48" s="471">
        <f t="shared" si="85"/>
        <v>0</v>
      </c>
      <c r="V48" s="471"/>
      <c r="W48" s="471"/>
      <c r="X48" s="471">
        <f t="shared" si="86"/>
        <v>0</v>
      </c>
      <c r="Y48" s="471">
        <f t="shared" si="87"/>
        <v>0.16807727708000003</v>
      </c>
      <c r="Z48" s="471">
        <f t="shared" ca="1" si="88"/>
        <v>0</v>
      </c>
      <c r="AA48" s="471">
        <f t="shared" si="0"/>
        <v>3.8</v>
      </c>
      <c r="AB48" s="471">
        <f t="shared" si="89"/>
        <v>1.0658962809457202</v>
      </c>
      <c r="AC48" s="471">
        <f t="shared" si="90"/>
        <v>6.094729539291821E-2</v>
      </c>
      <c r="AD48" s="471">
        <f t="shared" si="91"/>
        <v>3.6520111220000005E-2</v>
      </c>
      <c r="AE48" s="471">
        <f t="shared" si="92"/>
        <v>0</v>
      </c>
      <c r="AF48" s="471">
        <f t="shared" si="93"/>
        <v>4</v>
      </c>
      <c r="AG48" s="471">
        <f t="shared" si="94"/>
        <v>0.24378918157167284</v>
      </c>
      <c r="AH48" s="471">
        <f t="shared" si="95"/>
        <v>0.28030929279167283</v>
      </c>
      <c r="AI48" s="471">
        <f t="shared" ca="1" si="96"/>
        <v>1.5</v>
      </c>
      <c r="AJ48" s="471">
        <f t="shared" si="97"/>
        <v>0.75</v>
      </c>
      <c r="AK48" s="472">
        <f t="shared" si="98"/>
        <v>6.2623599208965569E-2</v>
      </c>
      <c r="AL48" s="471">
        <f t="shared" si="99"/>
        <v>0.63063117996044837</v>
      </c>
      <c r="AM48" s="473">
        <f t="shared" si="100"/>
        <v>331.3818458907981</v>
      </c>
      <c r="AN48" s="474">
        <f t="shared" si="1"/>
        <v>10.252388888888889</v>
      </c>
      <c r="AO48" s="474">
        <f t="shared" si="101"/>
        <v>0.2528333333333333</v>
      </c>
      <c r="AP48" s="474">
        <f t="shared" si="102"/>
        <v>10.505222222222223</v>
      </c>
      <c r="AQ48" s="475">
        <v>3</v>
      </c>
      <c r="AR48" s="474">
        <f t="shared" ca="1" si="103"/>
        <v>0.26804355577404787</v>
      </c>
      <c r="AS48" s="474">
        <f t="shared" ca="1" si="104"/>
        <v>0.94325466099421429</v>
      </c>
      <c r="AT48" s="471" t="str">
        <f t="shared" ca="1" si="105"/>
        <v>Cumple</v>
      </c>
      <c r="AU48" s="492">
        <f t="shared" si="106"/>
        <v>38.159813905788297</v>
      </c>
      <c r="AV48" s="471">
        <f t="shared" ca="1" si="107"/>
        <v>175.62371528737137</v>
      </c>
      <c r="AW48" s="471">
        <f t="shared" ca="1" si="108"/>
        <v>175.62</v>
      </c>
      <c r="AX48" s="478">
        <f>IF(OR(C48="",D48=""),"",ROUND(((VLOOKUP(C48,'Base de Diseño (2)'!$A$2:$C$333,2,FALSE)-VLOOKUP(D48,'Base de Diseño (2)'!$A$2:$C$333,2,FALSE))^2+(VLOOKUP(C48,'Base de Diseño (2)'!$A$2:$C$333,3,0)-VLOOKUP(D48,'Base de Diseño (2)'!$A$2:$C$333,3,FALSE))^2)^0.5,2))</f>
        <v>45.51</v>
      </c>
      <c r="AY48" s="493">
        <v>16</v>
      </c>
      <c r="AZ48" s="480">
        <f ca="1">IF(AND(L48="",H48=""),"",IF(BA48=4,VLOOKUP(AY48,'TABLA (2)'!$A$74:$C$89,2),IF(BA48=5,VLOOKUP(AY48,'TABLA (2)'!$A$51:$B$66,2),IF(BA48=6,VLOOKUP(AY48,'TABLA (2)'!$A$9:$B$43,2)))))</f>
        <v>400</v>
      </c>
      <c r="BA48" s="493">
        <v>6</v>
      </c>
      <c r="BB48" s="478">
        <f>IF(OR(C48="",D48=""),"",VLOOKUP(C48,'Base de Diseño (2)'!$A$2:$D$330,4,FALSE))</f>
        <v>974.44159999999999</v>
      </c>
      <c r="BC48" s="478">
        <f>IF(OR(C48="",D48=""),"",VLOOKUP(D48,'Base de Diseño (2)'!$A$2:$D$330,4,FALSE))</f>
        <v>971.59159999999997</v>
      </c>
      <c r="BD48" s="23">
        <f t="shared" ca="1" si="109"/>
        <v>1.4179999999999955</v>
      </c>
      <c r="BE48" s="23">
        <f t="shared" ca="1" si="110"/>
        <v>0.61800000000004096</v>
      </c>
      <c r="BF48" s="494">
        <v>1.8799999999999955</v>
      </c>
      <c r="BG48" s="494">
        <v>1.0800000000000409</v>
      </c>
      <c r="BH48" s="495">
        <f t="shared" si="111"/>
        <v>972.5616</v>
      </c>
      <c r="BI48" s="495">
        <f t="shared" si="112"/>
        <v>970.51159999999993</v>
      </c>
      <c r="BJ48" s="468">
        <f t="shared" si="113"/>
        <v>0</v>
      </c>
      <c r="BK48" s="475">
        <f t="shared" si="114"/>
        <v>6.2623599208965572</v>
      </c>
      <c r="BL48" s="475">
        <f t="shared" si="115"/>
        <v>4.5045045045046548</v>
      </c>
      <c r="BM48" s="475">
        <f t="shared" ca="1" si="116"/>
        <v>3.5173330578273054</v>
      </c>
      <c r="BN48" s="475">
        <f t="shared" ca="1" si="117"/>
        <v>442.00110778795147</v>
      </c>
      <c r="BO48" s="204">
        <f t="shared" ca="1" si="118"/>
        <v>3.3936566528236394E-3</v>
      </c>
      <c r="BP48" s="496">
        <f t="shared" ca="1" si="119"/>
        <v>0.39732932091259171</v>
      </c>
      <c r="BQ48" s="497">
        <f t="shared" ca="1" si="120"/>
        <v>0.20481125835034203</v>
      </c>
      <c r="BR48" s="497">
        <f t="shared" ca="1" si="121"/>
        <v>0.80451977008131803</v>
      </c>
      <c r="BS48" s="475">
        <f t="shared" ca="1" si="122"/>
        <v>0.72038940961086673</v>
      </c>
      <c r="BT48" s="475">
        <f t="shared" ca="1" si="123"/>
        <v>2.8297639829826431</v>
      </c>
      <c r="BU48" s="475">
        <f t="shared" ca="1" si="124"/>
        <v>1.5962850422328534E-2</v>
      </c>
      <c r="BV48" s="475">
        <f t="shared" ca="1" si="125"/>
        <v>0.48988621395497212</v>
      </c>
      <c r="BW48" s="475">
        <f t="shared" ca="1" si="126"/>
        <v>0.50673099098743402</v>
      </c>
      <c r="BX48" s="475">
        <f t="shared" ca="1" si="127"/>
        <v>3.1011347501664082</v>
      </c>
      <c r="BY48" s="475">
        <f t="shared" ca="1" si="128"/>
        <v>1.0562486554141715E-2</v>
      </c>
      <c r="BZ48" s="475">
        <f t="shared" ca="1" si="129"/>
        <v>0.24673934943285125</v>
      </c>
      <c r="CA48" s="471">
        <f t="shared" ca="1" si="130"/>
        <v>4.2249946216566855E-3</v>
      </c>
      <c r="CB48" s="471">
        <f t="shared" ca="1" si="131"/>
        <v>9.8695739773140501E-2</v>
      </c>
      <c r="CC48" s="471">
        <f t="shared" ca="1" si="2"/>
        <v>2.3092808501606918</v>
      </c>
      <c r="CD48" s="471" t="str">
        <f t="shared" ca="1" si="132"/>
        <v>F. Supercrítico</v>
      </c>
      <c r="CE48" s="471">
        <f t="shared" ca="1" si="133"/>
        <v>0.19031507304760478</v>
      </c>
      <c r="CF48" s="471">
        <f t="shared" ca="1" si="134"/>
        <v>4.4457540438353051</v>
      </c>
      <c r="CG48" s="471" t="str">
        <f t="shared" ca="1" si="135"/>
        <v>O.K</v>
      </c>
      <c r="CH48" s="471" t="str">
        <f t="shared" ca="1" si="136"/>
        <v>O.K</v>
      </c>
      <c r="CI48" s="471" t="str">
        <f t="shared" ca="1" si="137"/>
        <v>OK</v>
      </c>
      <c r="CJ48" s="471" t="str">
        <f t="shared" ca="1" si="138"/>
        <v>OK</v>
      </c>
      <c r="CK48" s="468">
        <f t="shared" si="139"/>
        <v>0</v>
      </c>
      <c r="CL48" s="482" t="s">
        <v>2507</v>
      </c>
      <c r="CM48" s="482"/>
      <c r="CN48" s="63" t="str">
        <f t="shared" si="140"/>
        <v xml:space="preserve"> </v>
      </c>
      <c r="CO48" s="498">
        <f t="shared" si="141"/>
        <v>45.51</v>
      </c>
      <c r="CP48" s="472">
        <f t="shared" si="142"/>
        <v>6.2623599208965569E-2</v>
      </c>
      <c r="CQ48" s="482" t="s">
        <v>2508</v>
      </c>
      <c r="CR48" s="204">
        <f t="shared" si="143"/>
        <v>45.51</v>
      </c>
      <c r="CS48" s="486">
        <v>1.2</v>
      </c>
      <c r="CT48" s="486">
        <v>1.2</v>
      </c>
      <c r="CU48" s="23">
        <f t="shared" si="144"/>
        <v>45.55614777392838</v>
      </c>
      <c r="CV48" s="499" t="s">
        <v>2509</v>
      </c>
      <c r="CW48" s="488" t="str">
        <f t="shared" ca="1" si="145"/>
        <v>E2</v>
      </c>
      <c r="CX48" s="204">
        <f ca="1">IF(AND(L48="",H48=""),"",IF(AND(BA48&lt;&gt;4,BA48&lt;&gt;5),VLOOKUP(AY48,'TABLA (2)'!$A$9:$D$43,4),IF(BA48=4,VLOOKUP(AY48,'TABLA (2)'!$A$74:$D$89,4),VLOOKUP(AY48,'TABLA (2)'!$A$51:$D$66,4))))</f>
        <v>6.2E-2</v>
      </c>
      <c r="CY48" s="482"/>
      <c r="CZ48" s="482"/>
      <c r="DA48" s="482"/>
      <c r="DB48" s="490"/>
    </row>
    <row r="49" spans="1:106" ht="15.75" hidden="1" customHeight="1">
      <c r="A49" s="465">
        <v>20</v>
      </c>
      <c r="B49" s="491"/>
      <c r="C49" s="466" t="s">
        <v>2154</v>
      </c>
      <c r="D49" s="466" t="s">
        <v>2155</v>
      </c>
      <c r="E49" s="468">
        <v>0.22223596299999998</v>
      </c>
      <c r="F49" s="468"/>
      <c r="G49" s="468">
        <f t="shared" si="75"/>
        <v>0.8403863854000001</v>
      </c>
      <c r="H49" s="468">
        <f t="shared" si="76"/>
        <v>1.0626223484000001</v>
      </c>
      <c r="I49" s="468">
        <v>0.22223596299999998</v>
      </c>
      <c r="J49" s="468"/>
      <c r="K49" s="467">
        <f t="shared" ca="1" si="77"/>
        <v>0.8403863854000001</v>
      </c>
      <c r="L49" s="468">
        <f t="shared" ca="1" si="78"/>
        <v>1.0626223484000001</v>
      </c>
      <c r="M49" s="469">
        <f t="shared" si="79"/>
        <v>242.33666300502347</v>
      </c>
      <c r="N49" s="470">
        <f t="shared" si="80"/>
        <v>53.85592167312786</v>
      </c>
      <c r="O49" s="470">
        <f t="shared" si="81"/>
        <v>0</v>
      </c>
      <c r="P49" s="470">
        <f t="shared" si="82"/>
        <v>257.51235394581749</v>
      </c>
      <c r="Q49" s="469">
        <f t="shared" si="83"/>
        <v>140</v>
      </c>
      <c r="R49" s="471">
        <f t="shared" si="84"/>
        <v>0.35467558008741068</v>
      </c>
      <c r="S49" s="471"/>
      <c r="T49" s="471"/>
      <c r="U49" s="471">
        <f t="shared" si="85"/>
        <v>0</v>
      </c>
      <c r="V49" s="471"/>
      <c r="W49" s="471"/>
      <c r="X49" s="471">
        <f t="shared" si="86"/>
        <v>0</v>
      </c>
      <c r="Y49" s="471">
        <f t="shared" si="87"/>
        <v>0.21252446968000005</v>
      </c>
      <c r="Z49" s="471">
        <f t="shared" ca="1" si="88"/>
        <v>0</v>
      </c>
      <c r="AA49" s="471">
        <f t="shared" si="0"/>
        <v>3.8</v>
      </c>
      <c r="AB49" s="471">
        <f t="shared" si="89"/>
        <v>1.3477672043321605</v>
      </c>
      <c r="AC49" s="471">
        <f t="shared" si="90"/>
        <v>7.4176558785905275E-2</v>
      </c>
      <c r="AD49" s="471">
        <f t="shared" si="91"/>
        <v>4.4447192599999998E-2</v>
      </c>
      <c r="AE49" s="471">
        <f t="shared" si="92"/>
        <v>0</v>
      </c>
      <c r="AF49" s="471">
        <f t="shared" si="93"/>
        <v>4</v>
      </c>
      <c r="AG49" s="471">
        <f t="shared" si="94"/>
        <v>0.2967062351436211</v>
      </c>
      <c r="AH49" s="471">
        <f t="shared" si="95"/>
        <v>0.34115342774362112</v>
      </c>
      <c r="AI49" s="471">
        <f t="shared" ca="1" si="96"/>
        <v>1.5602916740121606</v>
      </c>
      <c r="AJ49" s="471">
        <f t="shared" si="97"/>
        <v>0.75</v>
      </c>
      <c r="AK49" s="472">
        <f t="shared" si="98"/>
        <v>1.4761137949530323E-3</v>
      </c>
      <c r="AL49" s="471">
        <f t="shared" si="99"/>
        <v>0.62757380568974774</v>
      </c>
      <c r="AM49" s="473">
        <f t="shared" si="100"/>
        <v>327.43297096805043</v>
      </c>
      <c r="AN49" s="474">
        <f t="shared" si="1"/>
        <v>10.505222222222223</v>
      </c>
      <c r="AO49" s="474">
        <f t="shared" si="101"/>
        <v>0.41399999999999998</v>
      </c>
      <c r="AP49" s="474">
        <f t="shared" si="102"/>
        <v>10.919222222222222</v>
      </c>
      <c r="AQ49" s="475">
        <v>3</v>
      </c>
      <c r="AR49" s="474">
        <f t="shared" ca="1" si="103"/>
        <v>1.0526808909402336</v>
      </c>
      <c r="AS49" s="474">
        <f t="shared" ca="1" si="104"/>
        <v>0.39328157617663545</v>
      </c>
      <c r="AT49" s="471" t="str">
        <f t="shared" ca="1" si="105"/>
        <v>Disminuir vel.</v>
      </c>
      <c r="AU49" s="492">
        <f t="shared" si="106"/>
        <v>45.666902613991596</v>
      </c>
      <c r="AV49" s="471">
        <f t="shared" ca="1" si="107"/>
        <v>218.35651910142852</v>
      </c>
      <c r="AW49" s="471">
        <f t="shared" ca="1" si="108"/>
        <v>218.36</v>
      </c>
      <c r="AX49" s="478">
        <f>IF(OR(C49="",D49=""),"",ROUND(((VLOOKUP(C49,'Base de Diseño (2)'!$A$2:$C$333,2,FALSE)-VLOOKUP(D49,'Base de Diseño (2)'!$A$2:$C$333,2,FALSE))^2+(VLOOKUP(C49,'Base de Diseño (2)'!$A$2:$C$333,3,0)-VLOOKUP(D49,'Base de Diseño (2)'!$A$2:$C$333,3,FALSE))^2)^0.5,2))</f>
        <v>74.52</v>
      </c>
      <c r="AY49" s="493">
        <v>24</v>
      </c>
      <c r="AZ49" s="480">
        <f ca="1">IF(AND(L49="",H49=""),"",IF(BA49=4,VLOOKUP(AY49,'TABLA (2)'!$A$74:$C$89,2),IF(BA49=5,VLOOKUP(AY49,'TABLA (2)'!$A$51:$B$66,2),IF(BA49=6,VLOOKUP(AY49,'TABLA (2)'!$A$9:$B$43,2)))))</f>
        <v>600</v>
      </c>
      <c r="BA49" s="493">
        <v>6</v>
      </c>
      <c r="BB49" s="478">
        <f>IF(OR(C49="",D49=""),"",VLOOKUP(C49,'Base de Diseño (2)'!$A$2:$D$330,4,FALSE))</f>
        <v>971.59159999999997</v>
      </c>
      <c r="BC49" s="478">
        <f>IF(OR(C49="",D49=""),"",VLOOKUP(D49,'Base de Diseño (2)'!$A$2:$D$330,4,FALSE))</f>
        <v>971.48160000000007</v>
      </c>
      <c r="BD49" s="23">
        <f t="shared" ca="1" si="109"/>
        <v>0.408000000000041</v>
      </c>
      <c r="BE49" s="23">
        <f t="shared" ca="1" si="110"/>
        <v>0.56800000000000916</v>
      </c>
      <c r="BF49" s="494">
        <v>1.0800000000000409</v>
      </c>
      <c r="BG49" s="494">
        <v>1.2400000000000091</v>
      </c>
      <c r="BH49" s="495">
        <f t="shared" si="111"/>
        <v>970.51159999999993</v>
      </c>
      <c r="BI49" s="495">
        <f t="shared" si="112"/>
        <v>970.24160000000006</v>
      </c>
      <c r="BJ49" s="468">
        <f t="shared" si="113"/>
        <v>0</v>
      </c>
      <c r="BK49" s="475">
        <f t="shared" si="114"/>
        <v>0.14761137949530323</v>
      </c>
      <c r="BL49" s="475">
        <f t="shared" si="115"/>
        <v>0.36231884057953323</v>
      </c>
      <c r="BM49" s="475">
        <f t="shared" ca="1" si="116"/>
        <v>1.3071625975529944</v>
      </c>
      <c r="BN49" s="475">
        <f t="shared" ca="1" si="117"/>
        <v>369.59151721678546</v>
      </c>
      <c r="BO49" s="204">
        <f t="shared" ca="1" si="118"/>
        <v>4.2216652745765398E-3</v>
      </c>
      <c r="BP49" s="496">
        <f t="shared" ca="1" si="119"/>
        <v>0.59081442573239584</v>
      </c>
      <c r="BQ49" s="497">
        <f t="shared" ca="1" si="120"/>
        <v>0.21824309427914457</v>
      </c>
      <c r="BR49" s="497">
        <f t="shared" ca="1" si="121"/>
        <v>0.90259982249994997</v>
      </c>
      <c r="BS49" s="475">
        <f t="shared" ca="1" si="122"/>
        <v>0.28527921001592965</v>
      </c>
      <c r="BT49" s="475">
        <f t="shared" ca="1" si="123"/>
        <v>1.1798447285299063</v>
      </c>
      <c r="BU49" s="475">
        <f t="shared" ca="1" si="124"/>
        <v>3.0044597900508341E-2</v>
      </c>
      <c r="BV49" s="475">
        <f t="shared" ca="1" si="125"/>
        <v>0.61887628384129101</v>
      </c>
      <c r="BW49" s="475">
        <f t="shared" ca="1" si="126"/>
        <v>0.6968547294170544</v>
      </c>
      <c r="BX49" s="475">
        <f t="shared" ca="1" si="127"/>
        <v>3.6216954840585878</v>
      </c>
      <c r="BY49" s="475">
        <f t="shared" ca="1" si="128"/>
        <v>1.9747968282977812E-2</v>
      </c>
      <c r="BZ49" s="475">
        <f t="shared" ca="1" si="129"/>
        <v>0.28188219338405091</v>
      </c>
      <c r="CA49" s="471">
        <f t="shared" ca="1" si="130"/>
        <v>1.1848780969786688E-2</v>
      </c>
      <c r="CB49" s="471">
        <f t="shared" ca="1" si="131"/>
        <v>0.16912931603043055</v>
      </c>
      <c r="CC49" s="471">
        <f t="shared" ca="1" si="2"/>
        <v>0.67084531334353903</v>
      </c>
      <c r="CD49" s="471" t="str">
        <f t="shared" ca="1" si="132"/>
        <v>F. Subcrítico</v>
      </c>
      <c r="CE49" s="471">
        <f t="shared" ca="1" si="133"/>
        <v>4.2930365832539501E-2</v>
      </c>
      <c r="CF49" s="471">
        <f t="shared" ca="1" si="134"/>
        <v>0.61278737692155061</v>
      </c>
      <c r="CG49" s="471" t="str">
        <f t="shared" ca="1" si="135"/>
        <v>No cumple</v>
      </c>
      <c r="CH49" s="471" t="str">
        <f t="shared" ca="1" si="136"/>
        <v>O.K</v>
      </c>
      <c r="CI49" s="471" t="str">
        <f t="shared" ca="1" si="137"/>
        <v>V.C.H.</v>
      </c>
      <c r="CJ49" s="471" t="str">
        <f t="shared" ca="1" si="138"/>
        <v>OK</v>
      </c>
      <c r="CK49" s="468">
        <f t="shared" si="139"/>
        <v>0</v>
      </c>
      <c r="CL49" s="482" t="s">
        <v>2507</v>
      </c>
      <c r="CM49" s="482"/>
      <c r="CN49" s="63" t="str">
        <f t="shared" si="140"/>
        <v xml:space="preserve"> </v>
      </c>
      <c r="CO49" s="498">
        <f t="shared" si="141"/>
        <v>74.52</v>
      </c>
      <c r="CP49" s="472">
        <f t="shared" si="142"/>
        <v>1.4761137949530323E-3</v>
      </c>
      <c r="CQ49" s="482" t="s">
        <v>2508</v>
      </c>
      <c r="CR49" s="204">
        <f t="shared" si="143"/>
        <v>74.52</v>
      </c>
      <c r="CS49" s="486">
        <v>1.2</v>
      </c>
      <c r="CT49" s="486">
        <v>1.2</v>
      </c>
      <c r="CU49" s="23">
        <f t="shared" si="144"/>
        <v>74.520489128829524</v>
      </c>
      <c r="CV49" s="499" t="s">
        <v>2509</v>
      </c>
      <c r="CW49" s="488" t="str">
        <f t="shared" ca="1" si="145"/>
        <v>E1</v>
      </c>
      <c r="CX49" s="204">
        <f ca="1">IF(AND(L49="",H49=""),"",IF(AND(BA49&lt;&gt;4,BA49&lt;&gt;5),VLOOKUP(AY49,'TABLA (2)'!$A$9:$D$43,4),IF(BA49=4,VLOOKUP(AY49,'TABLA (2)'!$A$74:$D$89,4),VLOOKUP(AY49,'TABLA (2)'!$A$51:$D$66,4))))</f>
        <v>7.1999999999999995E-2</v>
      </c>
      <c r="CY49" s="482"/>
      <c r="CZ49" s="482"/>
      <c r="DA49" s="482"/>
      <c r="DB49" s="490"/>
    </row>
    <row r="50" spans="1:106" ht="15.75" hidden="1" customHeight="1">
      <c r="A50" s="465">
        <v>21</v>
      </c>
      <c r="B50" s="491"/>
      <c r="C50" s="466" t="s">
        <v>2155</v>
      </c>
      <c r="D50" s="466" t="s">
        <v>2156</v>
      </c>
      <c r="E50" s="468">
        <v>9.6790535600000005E-2</v>
      </c>
      <c r="F50" s="468"/>
      <c r="G50" s="468">
        <f t="shared" si="75"/>
        <v>1.0626223484000001</v>
      </c>
      <c r="H50" s="468">
        <f t="shared" si="76"/>
        <v>1.1594128840000002</v>
      </c>
      <c r="I50" s="468">
        <v>9.6790535600000005E-2</v>
      </c>
      <c r="J50" s="468"/>
      <c r="K50" s="467">
        <f t="shared" ca="1" si="77"/>
        <v>1.0626223484000001</v>
      </c>
      <c r="L50" s="468">
        <f t="shared" ca="1" si="78"/>
        <v>1.1594128840000002</v>
      </c>
      <c r="M50" s="469">
        <f t="shared" si="79"/>
        <v>242.33666300502347</v>
      </c>
      <c r="N50" s="470">
        <f t="shared" si="80"/>
        <v>23.455895407772928</v>
      </c>
      <c r="O50" s="470">
        <f t="shared" si="81"/>
        <v>0</v>
      </c>
      <c r="P50" s="470">
        <f t="shared" si="82"/>
        <v>280.96824935359041</v>
      </c>
      <c r="Q50" s="469">
        <f t="shared" si="83"/>
        <v>140</v>
      </c>
      <c r="R50" s="471">
        <f t="shared" si="84"/>
        <v>0.38698173232728306</v>
      </c>
      <c r="S50" s="471"/>
      <c r="T50" s="471"/>
      <c r="U50" s="471">
        <f t="shared" si="85"/>
        <v>0</v>
      </c>
      <c r="V50" s="471"/>
      <c r="W50" s="471"/>
      <c r="X50" s="471">
        <f t="shared" si="86"/>
        <v>0</v>
      </c>
      <c r="Y50" s="471">
        <f t="shared" si="87"/>
        <v>0.23188257680000005</v>
      </c>
      <c r="Z50" s="471">
        <f t="shared" ca="1" si="88"/>
        <v>0</v>
      </c>
      <c r="AA50" s="471">
        <f t="shared" si="0"/>
        <v>3.8</v>
      </c>
      <c r="AB50" s="471">
        <f t="shared" si="89"/>
        <v>1.4705305828436754</v>
      </c>
      <c r="AC50" s="471">
        <f t="shared" si="90"/>
        <v>3.2306152239872432E-2</v>
      </c>
      <c r="AD50" s="471">
        <f t="shared" si="91"/>
        <v>1.9358107120000002E-2</v>
      </c>
      <c r="AE50" s="471">
        <f t="shared" si="92"/>
        <v>0</v>
      </c>
      <c r="AF50" s="471">
        <f t="shared" si="93"/>
        <v>4</v>
      </c>
      <c r="AG50" s="471">
        <f t="shared" si="94"/>
        <v>0.12922460895948973</v>
      </c>
      <c r="AH50" s="471">
        <f t="shared" si="95"/>
        <v>0.14858271607948972</v>
      </c>
      <c r="AI50" s="471">
        <f t="shared" ca="1" si="96"/>
        <v>1.7024131596436756</v>
      </c>
      <c r="AJ50" s="471">
        <f t="shared" si="97"/>
        <v>0.75</v>
      </c>
      <c r="AK50" s="472">
        <f t="shared" si="98"/>
        <v>3.1928480204342274E-2</v>
      </c>
      <c r="AL50" s="471">
        <f t="shared" si="99"/>
        <v>0.62909642401021715</v>
      </c>
      <c r="AM50" s="473">
        <f t="shared" si="100"/>
        <v>324.98948285273514</v>
      </c>
      <c r="AN50" s="474">
        <f t="shared" si="1"/>
        <v>10.919222222222222</v>
      </c>
      <c r="AO50" s="474">
        <f t="shared" si="101"/>
        <v>0.26099999999999995</v>
      </c>
      <c r="AP50" s="474">
        <f t="shared" si="102"/>
        <v>11.180222222222222</v>
      </c>
      <c r="AQ50" s="475">
        <v>3</v>
      </c>
      <c r="AR50" s="474">
        <f t="shared" ca="1" si="103"/>
        <v>0.66243776193921922</v>
      </c>
      <c r="AS50" s="474">
        <f t="shared" ca="1" si="104"/>
        <v>0.39399927811474544</v>
      </c>
      <c r="AT50" s="471" t="str">
        <f t="shared" ca="1" si="105"/>
        <v>Disminuir vel.</v>
      </c>
      <c r="AU50" s="492">
        <f t="shared" si="106"/>
        <v>19.788798047602874</v>
      </c>
      <c r="AV50" s="471">
        <f t="shared" ca="1" si="107"/>
        <v>237.04164124146885</v>
      </c>
      <c r="AW50" s="471">
        <f t="shared" ca="1" si="108"/>
        <v>237.04</v>
      </c>
      <c r="AX50" s="478">
        <f>IF(OR(C50="",D50=""),"",ROUND(((VLOOKUP(C50,'Base de Diseño (2)'!$A$2:$C$333,2,FALSE)-VLOOKUP(D50,'Base de Diseño (2)'!$A$2:$C$333,2,FALSE))^2+(VLOOKUP(C50,'Base de Diseño (2)'!$A$2:$C$333,3,0)-VLOOKUP(D50,'Base de Diseño (2)'!$A$2:$C$333,3,FALSE))^2)^0.5,2))</f>
        <v>46.98</v>
      </c>
      <c r="AY50" s="493">
        <v>24</v>
      </c>
      <c r="AZ50" s="480">
        <f ca="1">IF(AND(L50="",H50=""),"",IF(BA50=4,VLOOKUP(AY50,'TABLA (2)'!$A$74:$C$89,2),IF(BA50=5,VLOOKUP(AY50,'TABLA (2)'!$A$51:$B$66,2),IF(BA50=6,VLOOKUP(AY50,'TABLA (2)'!$A$9:$B$43,2)))))</f>
        <v>600</v>
      </c>
      <c r="BA50" s="493">
        <v>6</v>
      </c>
      <c r="BB50" s="478">
        <f>IF(OR(C50="",D50=""),"",VLOOKUP(C50,'Base de Diseño (2)'!$A$2:$D$330,4,FALSE))</f>
        <v>971.48160000000007</v>
      </c>
      <c r="BC50" s="478">
        <f>IF(OR(C50="",D50=""),"",VLOOKUP(D50,'Base de Diseño (2)'!$A$2:$D$330,4,FALSE))</f>
        <v>972.98160000000007</v>
      </c>
      <c r="BD50" s="23">
        <f t="shared" ca="1" si="109"/>
        <v>0.56800000000000916</v>
      </c>
      <c r="BE50" s="23">
        <f t="shared" ca="1" si="110"/>
        <v>2.2279999999999776</v>
      </c>
      <c r="BF50" s="494">
        <v>1.2400000000000091</v>
      </c>
      <c r="BG50" s="494">
        <v>2.8999999999999773</v>
      </c>
      <c r="BH50" s="495">
        <f t="shared" si="111"/>
        <v>970.24160000000006</v>
      </c>
      <c r="BI50" s="495">
        <f t="shared" si="112"/>
        <v>970.08160000000009</v>
      </c>
      <c r="BJ50" s="468">
        <f t="shared" si="113"/>
        <v>2.9999999999972715E-2</v>
      </c>
      <c r="BK50" s="475">
        <f t="shared" si="114"/>
        <v>3.1928480204342273</v>
      </c>
      <c r="BL50" s="475">
        <f t="shared" si="115"/>
        <v>0.34057045551291654</v>
      </c>
      <c r="BM50" s="475">
        <f t="shared" ca="1" si="116"/>
        <v>1.2673239399470198</v>
      </c>
      <c r="BN50" s="475">
        <f t="shared" ca="1" si="117"/>
        <v>358.32740215104263</v>
      </c>
      <c r="BO50" s="204">
        <f t="shared" ca="1" si="118"/>
        <v>4.7509990847031903E-3</v>
      </c>
      <c r="BP50" s="496">
        <f t="shared" ca="1" si="119"/>
        <v>0.66151792627928185</v>
      </c>
      <c r="BQ50" s="497">
        <f t="shared" ca="1" si="120"/>
        <v>0.22587417548651639</v>
      </c>
      <c r="BR50" s="497">
        <f t="shared" ca="1" si="121"/>
        <v>0.93267222143191697</v>
      </c>
      <c r="BS50" s="475">
        <f t="shared" ca="1" si="122"/>
        <v>0.28625575000985648</v>
      </c>
      <c r="BT50" s="475">
        <f t="shared" ca="1" si="123"/>
        <v>1.1819978343442363</v>
      </c>
      <c r="BU50" s="475">
        <f t="shared" ca="1" si="124"/>
        <v>3.7663677461708345E-2</v>
      </c>
      <c r="BV50" s="475">
        <f t="shared" ca="1" si="125"/>
        <v>0.66601195087490517</v>
      </c>
      <c r="BW50" s="475">
        <f t="shared" ca="1" si="126"/>
        <v>0.78124273246999021</v>
      </c>
      <c r="BX50" s="475">
        <f t="shared" ca="1" si="127"/>
        <v>3.8184894293970904</v>
      </c>
      <c r="BY50" s="475">
        <f t="shared" ca="1" si="128"/>
        <v>2.4665951446009193E-2</v>
      </c>
      <c r="BZ50" s="475">
        <f t="shared" ca="1" si="129"/>
        <v>0.29100947700421465</v>
      </c>
      <c r="CA50" s="471">
        <f t="shared" ca="1" si="130"/>
        <v>1.4799570867605515E-2</v>
      </c>
      <c r="CB50" s="471">
        <f t="shared" ca="1" si="131"/>
        <v>0.17460568620252878</v>
      </c>
      <c r="CC50" s="471">
        <f t="shared" ca="1" si="2"/>
        <v>0.63480512214179929</v>
      </c>
      <c r="CD50" s="471" t="str">
        <f t="shared" ca="1" si="132"/>
        <v>F. Subcrítico</v>
      </c>
      <c r="CE50" s="471">
        <f t="shared" ca="1" si="133"/>
        <v>5.0402965917760986E-2</v>
      </c>
      <c r="CF50" s="471">
        <f t="shared" ca="1" si="134"/>
        <v>0.5946553808514059</v>
      </c>
      <c r="CG50" s="471" t="str">
        <f t="shared" ca="1" si="135"/>
        <v>No cumple</v>
      </c>
      <c r="CH50" s="471" t="str">
        <f t="shared" ca="1" si="136"/>
        <v>O.K</v>
      </c>
      <c r="CI50" s="471" t="str">
        <f t="shared" ca="1" si="137"/>
        <v>V.C.H.</v>
      </c>
      <c r="CJ50" s="471" t="str">
        <f t="shared" ca="1" si="138"/>
        <v>OK</v>
      </c>
      <c r="CK50" s="468">
        <f t="shared" si="139"/>
        <v>2.9999999999972715E-2</v>
      </c>
      <c r="CL50" s="482" t="s">
        <v>2507</v>
      </c>
      <c r="CM50" s="482"/>
      <c r="CN50" s="63" t="str">
        <f t="shared" si="140"/>
        <v xml:space="preserve"> </v>
      </c>
      <c r="CO50" s="498">
        <f t="shared" si="141"/>
        <v>46.98</v>
      </c>
      <c r="CP50" s="472">
        <f t="shared" si="142"/>
        <v>3.1928480204342274E-2</v>
      </c>
      <c r="CQ50" s="482" t="s">
        <v>2508</v>
      </c>
      <c r="CR50" s="204">
        <f t="shared" si="143"/>
        <v>46.98</v>
      </c>
      <c r="CS50" s="486">
        <v>1.2</v>
      </c>
      <c r="CT50" s="486">
        <v>1.2</v>
      </c>
      <c r="CU50" s="23">
        <f t="shared" si="144"/>
        <v>46.980272455574372</v>
      </c>
      <c r="CV50" s="499" t="s">
        <v>2509</v>
      </c>
      <c r="CW50" s="488" t="str">
        <f t="shared" ca="1" si="145"/>
        <v>E1</v>
      </c>
      <c r="CX50" s="204">
        <f ca="1">IF(AND(L50="",H50=""),"",IF(AND(BA50&lt;&gt;4,BA50&lt;&gt;5),VLOOKUP(AY50,'TABLA (2)'!$A$9:$D$43,4),IF(BA50=4,VLOOKUP(AY50,'TABLA (2)'!$A$74:$D$89,4),VLOOKUP(AY50,'TABLA (2)'!$A$51:$D$66,4))))</f>
        <v>7.1999999999999995E-2</v>
      </c>
      <c r="CY50" s="482"/>
      <c r="CZ50" s="482"/>
      <c r="DA50" s="482"/>
      <c r="DB50" s="490"/>
    </row>
    <row r="51" spans="1:106" ht="15.75" hidden="1" customHeight="1">
      <c r="A51" s="465">
        <v>22</v>
      </c>
      <c r="B51" s="491"/>
      <c r="C51" s="466" t="s">
        <v>2156</v>
      </c>
      <c r="D51" s="466" t="s">
        <v>2157</v>
      </c>
      <c r="E51" s="468">
        <v>0.1215760201</v>
      </c>
      <c r="F51" s="468"/>
      <c r="G51" s="468">
        <f t="shared" si="75"/>
        <v>1.8344904903000003</v>
      </c>
      <c r="H51" s="468">
        <f t="shared" si="76"/>
        <v>1.9560665104000003</v>
      </c>
      <c r="I51" s="468">
        <v>0.1215760201</v>
      </c>
      <c r="J51" s="468"/>
      <c r="K51" s="467">
        <f t="shared" ca="1" si="77"/>
        <v>1.8344904903000003</v>
      </c>
      <c r="L51" s="468">
        <f t="shared" ca="1" si="78"/>
        <v>1.9560665104000003</v>
      </c>
      <c r="M51" s="469">
        <f t="shared" si="79"/>
        <v>242.33666300502347</v>
      </c>
      <c r="N51" s="470">
        <f t="shared" si="80"/>
        <v>29.462327012465661</v>
      </c>
      <c r="O51" s="470">
        <f t="shared" si="81"/>
        <v>0</v>
      </c>
      <c r="P51" s="470">
        <f t="shared" si="82"/>
        <v>474.02663074621711</v>
      </c>
      <c r="Q51" s="469">
        <f t="shared" si="83"/>
        <v>140</v>
      </c>
      <c r="R51" s="471">
        <f t="shared" si="84"/>
        <v>0.65288390114351658</v>
      </c>
      <c r="S51" s="471"/>
      <c r="T51" s="471"/>
      <c r="U51" s="471">
        <f t="shared" si="85"/>
        <v>0</v>
      </c>
      <c r="V51" s="471"/>
      <c r="W51" s="471"/>
      <c r="X51" s="471">
        <f t="shared" si="86"/>
        <v>0</v>
      </c>
      <c r="Y51" s="471">
        <f t="shared" si="87"/>
        <v>0.3912133020800001</v>
      </c>
      <c r="Z51" s="471">
        <f t="shared" ca="1" si="88"/>
        <v>0</v>
      </c>
      <c r="AA51" s="471">
        <f t="shared" si="0"/>
        <v>3.8</v>
      </c>
      <c r="AB51" s="471">
        <f t="shared" si="89"/>
        <v>2.4809588243453629</v>
      </c>
      <c r="AC51" s="471">
        <f t="shared" si="90"/>
        <v>4.0578899473187657E-2</v>
      </c>
      <c r="AD51" s="471">
        <f t="shared" si="91"/>
        <v>2.4315204020000002E-2</v>
      </c>
      <c r="AE51" s="471">
        <f t="shared" si="92"/>
        <v>0</v>
      </c>
      <c r="AF51" s="471">
        <f t="shared" si="93"/>
        <v>4</v>
      </c>
      <c r="AG51" s="471">
        <f t="shared" si="94"/>
        <v>0.16231559789275063</v>
      </c>
      <c r="AH51" s="471">
        <f t="shared" si="95"/>
        <v>0.18663080191275064</v>
      </c>
      <c r="AI51" s="471">
        <f t="shared" ca="1" si="96"/>
        <v>2.872172126425363</v>
      </c>
      <c r="AJ51" s="471">
        <f t="shared" si="97"/>
        <v>0.75</v>
      </c>
      <c r="AK51" s="472">
        <f t="shared" si="98"/>
        <v>5.8327932598854068E-3</v>
      </c>
      <c r="AL51" s="471">
        <f t="shared" si="99"/>
        <v>0.62779163966299434</v>
      </c>
      <c r="AM51" s="473">
        <f t="shared" si="100"/>
        <v>322.61582132677898</v>
      </c>
      <c r="AN51" s="474">
        <f t="shared" si="1"/>
        <v>11.180222222222222</v>
      </c>
      <c r="AO51" s="474">
        <f t="shared" si="101"/>
        <v>0.25716666666666665</v>
      </c>
      <c r="AP51" s="474">
        <f t="shared" si="102"/>
        <v>11.437388888888888</v>
      </c>
      <c r="AQ51" s="475">
        <v>3</v>
      </c>
      <c r="AR51" s="474">
        <f t="shared" ca="1" si="103"/>
        <v>0.75028014251981268</v>
      </c>
      <c r="AS51" s="474">
        <f t="shared" ca="1" si="104"/>
        <v>0.34276085970098247</v>
      </c>
      <c r="AT51" s="471" t="str">
        <f t="shared" ca="1" si="105"/>
        <v>Disminuir vel.</v>
      </c>
      <c r="AU51" s="492">
        <f t="shared" si="106"/>
        <v>24.623461897551618</v>
      </c>
      <c r="AV51" s="471">
        <f t="shared" ca="1" si="107"/>
        <v>396.17293894218506</v>
      </c>
      <c r="AW51" s="471">
        <f t="shared" ca="1" si="108"/>
        <v>396.17</v>
      </c>
      <c r="AX51" s="478">
        <f>IF(OR(C51="",D51=""),"",ROUND(((VLOOKUP(C51,'Base de Diseño (2)'!$A$2:$C$333,2,FALSE)-VLOOKUP(D51,'Base de Diseño (2)'!$A$2:$C$333,2,FALSE))^2+(VLOOKUP(C51,'Base de Diseño (2)'!$A$2:$C$333,3,0)-VLOOKUP(D51,'Base de Diseño (2)'!$A$2:$C$333,3,FALSE))^2)^0.5,2))</f>
        <v>46.29</v>
      </c>
      <c r="AY51" s="493">
        <v>24</v>
      </c>
      <c r="AZ51" s="480">
        <f ca="1">IF(AND(L51="",H51=""),"",IF(BA51=4,VLOOKUP(AY51,'TABLA (2)'!$A$74:$C$89,2),IF(BA51=5,VLOOKUP(AY51,'TABLA (2)'!$A$51:$B$66,2),IF(BA51=6,VLOOKUP(AY51,'TABLA (2)'!$A$9:$B$43,2)))))</f>
        <v>600</v>
      </c>
      <c r="BA51" s="493">
        <v>6</v>
      </c>
      <c r="BB51" s="478">
        <f>IF(OR(C51="",D51=""),"",VLOOKUP(C51,'Base de Diseño (2)'!$A$2:$D$330,4,FALSE))</f>
        <v>972.98160000000007</v>
      </c>
      <c r="BC51" s="478">
        <f>IF(OR(C51="",D51=""),"",VLOOKUP(D51,'Base de Diseño (2)'!$A$2:$D$330,4,FALSE))</f>
        <v>972.71159999999998</v>
      </c>
      <c r="BD51" s="23">
        <f t="shared" ca="1" si="109"/>
        <v>2.2579999999999503</v>
      </c>
      <c r="BE51" s="23">
        <f t="shared" ca="1" si="110"/>
        <v>2.0580000000000185</v>
      </c>
      <c r="BF51" s="494">
        <v>2.92999999999995</v>
      </c>
      <c r="BG51" s="494">
        <v>2.7300000000000182</v>
      </c>
      <c r="BH51" s="495">
        <f t="shared" si="111"/>
        <v>970.05160000000012</v>
      </c>
      <c r="BI51" s="495">
        <f t="shared" si="112"/>
        <v>969.98159999999996</v>
      </c>
      <c r="BJ51" s="468">
        <f t="shared" si="113"/>
        <v>1.999999999998181E-2</v>
      </c>
      <c r="BK51" s="475">
        <f t="shared" si="114"/>
        <v>0.58327932598854071</v>
      </c>
      <c r="BL51" s="475">
        <f t="shared" si="115"/>
        <v>0.15122056599732925</v>
      </c>
      <c r="BM51" s="475">
        <f t="shared" ca="1" si="116"/>
        <v>0.84448041768867821</v>
      </c>
      <c r="BN51" s="475">
        <f t="shared" ca="1" si="117"/>
        <v>238.77121286800721</v>
      </c>
      <c r="BO51" s="204">
        <f t="shared" ca="1" si="118"/>
        <v>1.2028971549485325E-2</v>
      </c>
      <c r="BP51" s="496">
        <f t="shared" ca="1" si="119"/>
        <v>1.6592033656042233</v>
      </c>
      <c r="BQ51" s="497">
        <f t="shared" ca="1" si="120"/>
        <v>0.29597053764122128</v>
      </c>
      <c r="BR51" s="497">
        <f t="shared" ca="1" si="121"/>
        <v>1.2176511823889669</v>
      </c>
      <c r="BS51" s="475">
        <f t="shared" ca="1" si="122"/>
        <v>0.24994132325080121</v>
      </c>
      <c r="BT51" s="475">
        <f t="shared" ca="1" si="123"/>
        <v>1.0282825791029475</v>
      </c>
      <c r="BU51" s="475">
        <f t="shared" ca="1" si="124"/>
        <v>9.7581797817894556E-2</v>
      </c>
      <c r="BV51" s="475" t="str">
        <f t="shared" ca="1" si="125"/>
        <v xml:space="preserve"> </v>
      </c>
      <c r="BW51" s="475">
        <f t="shared" ca="1" si="126"/>
        <v>1.2707931143979627</v>
      </c>
      <c r="BX51" s="475" t="e">
        <f t="shared" ca="1" si="127"/>
        <v>#VALUE!</v>
      </c>
      <c r="BY51" s="475">
        <f t="shared" ca="1" si="128"/>
        <v>6.2059191821113135E-2</v>
      </c>
      <c r="BZ51" s="475" t="e">
        <f t="shared" ca="1" si="129"/>
        <v>#VALUE!</v>
      </c>
      <c r="CA51" s="471">
        <f t="shared" ca="1" si="130"/>
        <v>3.7235515092667884E-2</v>
      </c>
      <c r="CB51" s="471" t="e">
        <f t="shared" ca="1" si="131"/>
        <v>#VALUE!</v>
      </c>
      <c r="CC51" s="471" t="e">
        <f t="shared" ca="1" si="2"/>
        <v>#VALUE!</v>
      </c>
      <c r="CD51" s="471" t="e">
        <f t="shared" ca="1" si="132"/>
        <v>#VALUE!</v>
      </c>
      <c r="CE51" s="471">
        <f t="shared" ca="1" si="133"/>
        <v>5.6307756675153336E-2</v>
      </c>
      <c r="CF51" s="471" t="e">
        <f t="shared" ca="1" si="134"/>
        <v>#VALUE!</v>
      </c>
      <c r="CG51" s="471" t="str">
        <f t="shared" ca="1" si="135"/>
        <v>No cumple</v>
      </c>
      <c r="CH51" s="471" t="str">
        <f t="shared" ca="1" si="136"/>
        <v>O.K</v>
      </c>
      <c r="CI51" s="471" t="str">
        <f t="shared" ca="1" si="137"/>
        <v>V.C.H.</v>
      </c>
      <c r="CJ51" s="471" t="e">
        <f t="shared" ca="1" si="138"/>
        <v>#VALUE!</v>
      </c>
      <c r="CK51" s="468">
        <f t="shared" si="139"/>
        <v>1.999999999998181E-2</v>
      </c>
      <c r="CL51" s="482" t="s">
        <v>2507</v>
      </c>
      <c r="CM51" s="482"/>
      <c r="CN51" s="63" t="str">
        <f t="shared" si="140"/>
        <v xml:space="preserve"> </v>
      </c>
      <c r="CO51" s="498">
        <f t="shared" si="141"/>
        <v>46.29</v>
      </c>
      <c r="CP51" s="472">
        <f t="shared" si="142"/>
        <v>5.8327932598854068E-3</v>
      </c>
      <c r="CQ51" s="482" t="s">
        <v>2508</v>
      </c>
      <c r="CR51" s="204">
        <f t="shared" si="143"/>
        <v>46.29</v>
      </c>
      <c r="CS51" s="486">
        <v>1.2</v>
      </c>
      <c r="CT51" s="486">
        <v>1.2</v>
      </c>
      <c r="CU51" s="23">
        <f t="shared" si="144"/>
        <v>46.290052927167835</v>
      </c>
      <c r="CV51" s="499" t="s">
        <v>2509</v>
      </c>
      <c r="CW51" s="488" t="str">
        <f t="shared" ca="1" si="145"/>
        <v>E2</v>
      </c>
      <c r="CX51" s="204">
        <f ca="1">IF(AND(L51="",H51=""),"",IF(AND(BA51&lt;&gt;4,BA51&lt;&gt;5),VLOOKUP(AY51,'TABLA (2)'!$A$9:$D$43,4),IF(BA51=4,VLOOKUP(AY51,'TABLA (2)'!$A$74:$D$89,4),VLOOKUP(AY51,'TABLA (2)'!$A$51:$D$66,4))))</f>
        <v>7.1999999999999995E-2</v>
      </c>
      <c r="CY51" s="482"/>
      <c r="CZ51" s="482"/>
      <c r="DA51" s="482"/>
      <c r="DB51" s="490"/>
    </row>
    <row r="52" spans="1:106" ht="15.75" hidden="1" customHeight="1">
      <c r="A52" s="465">
        <v>23</v>
      </c>
      <c r="B52" s="491"/>
      <c r="C52" s="466" t="s">
        <v>2157</v>
      </c>
      <c r="D52" s="466" t="s">
        <v>2158</v>
      </c>
      <c r="E52" s="468">
        <v>8.2143580899999999E-2</v>
      </c>
      <c r="F52" s="468"/>
      <c r="G52" s="468">
        <f t="shared" si="75"/>
        <v>2.0591156602000003</v>
      </c>
      <c r="H52" s="468">
        <f t="shared" si="76"/>
        <v>2.1412592411000002</v>
      </c>
      <c r="I52" s="468">
        <v>8.2143580899999999E-2</v>
      </c>
      <c r="J52" s="468"/>
      <c r="K52" s="467">
        <f t="shared" ca="1" si="77"/>
        <v>2.0591156602000003</v>
      </c>
      <c r="L52" s="468">
        <f t="shared" ca="1" si="78"/>
        <v>2.1412592411000002</v>
      </c>
      <c r="M52" s="469">
        <f t="shared" si="79"/>
        <v>242.33666300502347</v>
      </c>
      <c r="N52" s="470">
        <f t="shared" si="80"/>
        <v>19.906401282589183</v>
      </c>
      <c r="O52" s="470">
        <f t="shared" si="81"/>
        <v>0</v>
      </c>
      <c r="P52" s="470">
        <f t="shared" si="82"/>
        <v>518.90561911684301</v>
      </c>
      <c r="Q52" s="469">
        <f t="shared" si="83"/>
        <v>140</v>
      </c>
      <c r="R52" s="471">
        <f t="shared" si="84"/>
        <v>0.71469639670028151</v>
      </c>
      <c r="S52" s="471"/>
      <c r="T52" s="471"/>
      <c r="U52" s="471">
        <f t="shared" si="85"/>
        <v>0</v>
      </c>
      <c r="V52" s="471"/>
      <c r="W52" s="471"/>
      <c r="X52" s="471">
        <f t="shared" si="86"/>
        <v>0</v>
      </c>
      <c r="Y52" s="471">
        <f t="shared" si="87"/>
        <v>0.42825184822000006</v>
      </c>
      <c r="Z52" s="471">
        <f t="shared" ca="1" si="88"/>
        <v>0</v>
      </c>
      <c r="AA52" s="471">
        <f t="shared" si="0"/>
        <v>3.8</v>
      </c>
      <c r="AB52" s="471">
        <f t="shared" si="89"/>
        <v>2.7158463074610695</v>
      </c>
      <c r="AC52" s="471">
        <f t="shared" si="90"/>
        <v>2.7417381396158711E-2</v>
      </c>
      <c r="AD52" s="471">
        <f t="shared" si="91"/>
        <v>1.642871618E-2</v>
      </c>
      <c r="AE52" s="471">
        <f t="shared" si="92"/>
        <v>0</v>
      </c>
      <c r="AF52" s="471">
        <f t="shared" si="93"/>
        <v>4</v>
      </c>
      <c r="AG52" s="471">
        <f t="shared" si="94"/>
        <v>0.10966952558463484</v>
      </c>
      <c r="AH52" s="471">
        <f t="shared" si="95"/>
        <v>0.12609824176463486</v>
      </c>
      <c r="AI52" s="471">
        <f t="shared" ca="1" si="96"/>
        <v>3.1440981556810694</v>
      </c>
      <c r="AJ52" s="471">
        <f t="shared" si="97"/>
        <v>0.75</v>
      </c>
      <c r="AK52" s="472">
        <f t="shared" si="98"/>
        <v>1.3788268286981027E-2</v>
      </c>
      <c r="AL52" s="471">
        <f t="shared" si="99"/>
        <v>0.62818941341434908</v>
      </c>
      <c r="AM52" s="473">
        <f t="shared" si="100"/>
        <v>320.4509929606312</v>
      </c>
      <c r="AN52" s="474">
        <f t="shared" si="1"/>
        <v>11.437388888888888</v>
      </c>
      <c r="AO52" s="474">
        <f t="shared" si="101"/>
        <v>0.2377222222222222</v>
      </c>
      <c r="AP52" s="474">
        <f t="shared" si="102"/>
        <v>11.675111111111111</v>
      </c>
      <c r="AQ52" s="475">
        <v>3</v>
      </c>
      <c r="AR52" s="474">
        <f t="shared" ca="1" si="103"/>
        <v>0.54353594711693742</v>
      </c>
      <c r="AS52" s="474">
        <f t="shared" ca="1" si="104"/>
        <v>0.43736246605797752</v>
      </c>
      <c r="AT52" s="471" t="str">
        <f t="shared" ca="1" si="105"/>
        <v>Disminuir vel.</v>
      </c>
      <c r="AU52" s="492">
        <f t="shared" si="106"/>
        <v>16.535824944463943</v>
      </c>
      <c r="AV52" s="471">
        <f t="shared" ca="1" si="107"/>
        <v>431.0438817446942</v>
      </c>
      <c r="AW52" s="471">
        <f t="shared" ca="1" si="108"/>
        <v>431.04</v>
      </c>
      <c r="AX52" s="478">
        <f>IF(OR(C52="",D52=""),"",ROUND(((VLOOKUP(C52,'Base de Diseño (2)'!$A$2:$C$333,2,FALSE)-VLOOKUP(D52,'Base de Diseño (2)'!$A$2:$C$333,2,FALSE))^2+(VLOOKUP(C52,'Base de Diseño (2)'!$A$2:$C$333,3,0)-VLOOKUP(D52,'Base de Diseño (2)'!$A$2:$C$333,3,FALSE))^2)^0.5,2))</f>
        <v>42.79</v>
      </c>
      <c r="AY52" s="493">
        <v>24</v>
      </c>
      <c r="AZ52" s="480">
        <f ca="1">IF(AND(L52="",H52=""),"",IF(BA52=4,VLOOKUP(AY52,'TABLA (2)'!$A$74:$C$89,2),IF(BA52=5,VLOOKUP(AY52,'TABLA (2)'!$A$51:$B$66,2),IF(BA52=6,VLOOKUP(AY52,'TABLA (2)'!$A$9:$B$43,2)))))</f>
        <v>600</v>
      </c>
      <c r="BA52" s="493">
        <v>6</v>
      </c>
      <c r="BB52" s="478">
        <f>IF(OR(C52="",D52=""),"",VLOOKUP(C52,'Base de Diseño (2)'!$A$2:$D$330,4,FALSE))</f>
        <v>972.71159999999998</v>
      </c>
      <c r="BC52" s="478">
        <f>IF(OR(C52="",D52=""),"",VLOOKUP(D52,'Base de Diseño (2)'!$A$2:$D$330,4,FALSE))</f>
        <v>972.12160000000006</v>
      </c>
      <c r="BD52" s="23">
        <f t="shared" ca="1" si="109"/>
        <v>2.0780000000000003</v>
      </c>
      <c r="BE52" s="23">
        <f t="shared" ca="1" si="110"/>
        <v>1.6079999999999728</v>
      </c>
      <c r="BF52" s="494">
        <v>2.75</v>
      </c>
      <c r="BG52" s="494">
        <v>2.2799999999999727</v>
      </c>
      <c r="BH52" s="495">
        <f t="shared" si="111"/>
        <v>969.96159999999998</v>
      </c>
      <c r="BI52" s="495">
        <f t="shared" si="112"/>
        <v>969.84160000000008</v>
      </c>
      <c r="BJ52" s="468">
        <f t="shared" si="113"/>
        <v>0</v>
      </c>
      <c r="BK52" s="475">
        <f t="shared" si="114"/>
        <v>1.3788268286981027</v>
      </c>
      <c r="BL52" s="475">
        <f t="shared" si="115"/>
        <v>0.28043935498922845</v>
      </c>
      <c r="BM52" s="475">
        <f t="shared" ca="1" si="116"/>
        <v>1.1500153402283031</v>
      </c>
      <c r="BN52" s="475">
        <f t="shared" ca="1" si="117"/>
        <v>325.1591769939123</v>
      </c>
      <c r="BO52" s="204">
        <f t="shared" ca="1" si="118"/>
        <v>9.6694123313638899E-3</v>
      </c>
      <c r="BP52" s="496">
        <f t="shared" ca="1" si="119"/>
        <v>1.325627663303103</v>
      </c>
      <c r="BQ52" s="497">
        <f t="shared" ca="1" si="120"/>
        <v>0.27775261300383897</v>
      </c>
      <c r="BR52" s="497">
        <f t="shared" ca="1" si="121"/>
        <v>1.1409303443843233</v>
      </c>
      <c r="BS52" s="475">
        <f t="shared" ca="1" si="122"/>
        <v>0.31941976574291009</v>
      </c>
      <c r="BT52" s="475">
        <f t="shared" ca="1" si="123"/>
        <v>1.3120873981739325</v>
      </c>
      <c r="BU52" s="475">
        <f t="shared" ca="1" si="124"/>
        <v>8.3498190530392258E-2</v>
      </c>
      <c r="BV52" s="475" t="str">
        <f t="shared" ca="1" si="125"/>
        <v xml:space="preserve"> </v>
      </c>
      <c r="BW52" s="475">
        <f t="shared" ca="1" si="126"/>
        <v>1.1725635026666374</v>
      </c>
      <c r="BX52" s="475" t="e">
        <f t="shared" ca="1" si="127"/>
        <v>#VALUE!</v>
      </c>
      <c r="BY52" s="475">
        <f t="shared" ca="1" si="128"/>
        <v>5.3475947347023989E-2</v>
      </c>
      <c r="BZ52" s="475" t="e">
        <f t="shared" ca="1" si="129"/>
        <v>#VALUE!</v>
      </c>
      <c r="CA52" s="471">
        <f t="shared" ca="1" si="130"/>
        <v>3.2085568408214395E-2</v>
      </c>
      <c r="CB52" s="471" t="e">
        <f t="shared" ca="1" si="131"/>
        <v>#VALUE!</v>
      </c>
      <c r="CC52" s="471" t="e">
        <f t="shared" ca="1" si="2"/>
        <v>#VALUE!</v>
      </c>
      <c r="CD52" s="471" t="e">
        <f t="shared" ca="1" si="132"/>
        <v>#VALUE!</v>
      </c>
      <c r="CE52" s="471">
        <f t="shared" ca="1" si="133"/>
        <v>8.9980561088624095E-2</v>
      </c>
      <c r="CF52" s="471" t="e">
        <f t="shared" ca="1" si="134"/>
        <v>#VALUE!</v>
      </c>
      <c r="CG52" s="471" t="str">
        <f t="shared" ca="1" si="135"/>
        <v>No cumple</v>
      </c>
      <c r="CH52" s="471" t="str">
        <f t="shared" ca="1" si="136"/>
        <v>O.K</v>
      </c>
      <c r="CI52" s="471" t="str">
        <f t="shared" ca="1" si="137"/>
        <v>V.C.H.</v>
      </c>
      <c r="CJ52" s="471" t="e">
        <f t="shared" ca="1" si="138"/>
        <v>#VALUE!</v>
      </c>
      <c r="CK52" s="468">
        <f t="shared" si="139"/>
        <v>0</v>
      </c>
      <c r="CL52" s="482" t="s">
        <v>2507</v>
      </c>
      <c r="CM52" s="482"/>
      <c r="CN52" s="63" t="str">
        <f t="shared" si="140"/>
        <v xml:space="preserve"> </v>
      </c>
      <c r="CO52" s="498">
        <f t="shared" si="141"/>
        <v>42.79</v>
      </c>
      <c r="CP52" s="472">
        <f t="shared" si="142"/>
        <v>1.3788268286981027E-2</v>
      </c>
      <c r="CQ52" s="482" t="s">
        <v>2508</v>
      </c>
      <c r="CR52" s="204">
        <f t="shared" si="143"/>
        <v>42.79</v>
      </c>
      <c r="CS52" s="486">
        <v>1.2</v>
      </c>
      <c r="CT52" s="486">
        <v>1.2</v>
      </c>
      <c r="CU52" s="23">
        <f t="shared" si="144"/>
        <v>42.790168263282162</v>
      </c>
      <c r="CV52" s="499" t="s">
        <v>2509</v>
      </c>
      <c r="CW52" s="488" t="str">
        <f t="shared" ca="1" si="145"/>
        <v>E2</v>
      </c>
      <c r="CX52" s="204">
        <f ca="1">IF(AND(L52="",H52=""),"",IF(AND(BA52&lt;&gt;4,BA52&lt;&gt;5),VLOOKUP(AY52,'TABLA (2)'!$A$9:$D$43,4),IF(BA52=4,VLOOKUP(AY52,'TABLA (2)'!$A$74:$D$89,4),VLOOKUP(AY52,'TABLA (2)'!$A$51:$D$66,4))))</f>
        <v>7.1999999999999995E-2</v>
      </c>
      <c r="CY52" s="482"/>
      <c r="CZ52" s="482"/>
      <c r="DA52" s="482"/>
      <c r="DB52" s="490"/>
    </row>
    <row r="53" spans="1:106" ht="15.75" hidden="1" customHeight="1">
      <c r="A53" s="465">
        <v>24</v>
      </c>
      <c r="B53" s="491"/>
      <c r="C53" s="466" t="s">
        <v>2158</v>
      </c>
      <c r="D53" s="466" t="s">
        <v>2159</v>
      </c>
      <c r="E53" s="468"/>
      <c r="F53" s="468"/>
      <c r="G53" s="468">
        <f t="shared" si="75"/>
        <v>2.2605426135000002</v>
      </c>
      <c r="H53" s="468">
        <f t="shared" si="76"/>
        <v>2.2605426135000002</v>
      </c>
      <c r="I53" s="468"/>
      <c r="J53" s="468"/>
      <c r="K53" s="467">
        <f t="shared" ca="1" si="77"/>
        <v>2.2605426135000002</v>
      </c>
      <c r="L53" s="468">
        <f t="shared" ca="1" si="78"/>
        <v>2.2605426135000002</v>
      </c>
      <c r="M53" s="469">
        <f t="shared" si="79"/>
        <v>242.33666300502347</v>
      </c>
      <c r="N53" s="470">
        <f t="shared" si="80"/>
        <v>0</v>
      </c>
      <c r="O53" s="470">
        <f t="shared" si="81"/>
        <v>0</v>
      </c>
      <c r="P53" s="470">
        <f t="shared" si="82"/>
        <v>547.81235353624459</v>
      </c>
      <c r="Q53" s="469">
        <f t="shared" si="83"/>
        <v>140</v>
      </c>
      <c r="R53" s="471">
        <f t="shared" si="84"/>
        <v>0.75451007026404049</v>
      </c>
      <c r="S53" s="471"/>
      <c r="T53" s="471"/>
      <c r="U53" s="471">
        <f t="shared" si="85"/>
        <v>0</v>
      </c>
      <c r="V53" s="471"/>
      <c r="W53" s="471"/>
      <c r="X53" s="471">
        <f t="shared" si="86"/>
        <v>0</v>
      </c>
      <c r="Y53" s="471">
        <f t="shared" si="87"/>
        <v>0.45210852270000007</v>
      </c>
      <c r="Z53" s="471">
        <f t="shared" ca="1" si="88"/>
        <v>0</v>
      </c>
      <c r="AA53" s="471">
        <f t="shared" si="0"/>
        <v>3.8</v>
      </c>
      <c r="AB53" s="471">
        <f t="shared" si="89"/>
        <v>2.8671382670033538</v>
      </c>
      <c r="AC53" s="471">
        <f t="shared" si="90"/>
        <v>0</v>
      </c>
      <c r="AD53" s="471">
        <f t="shared" si="91"/>
        <v>0</v>
      </c>
      <c r="AE53" s="471">
        <f t="shared" si="92"/>
        <v>0</v>
      </c>
      <c r="AF53" s="471">
        <f t="shared" si="93"/>
        <v>4</v>
      </c>
      <c r="AG53" s="471">
        <f t="shared" si="94"/>
        <v>0</v>
      </c>
      <c r="AH53" s="471">
        <f t="shared" si="95"/>
        <v>0</v>
      </c>
      <c r="AI53" s="471">
        <f t="shared" ca="1" si="96"/>
        <v>3.319246789703354</v>
      </c>
      <c r="AJ53" s="471">
        <f t="shared" si="97"/>
        <v>0.75</v>
      </c>
      <c r="AK53" s="472">
        <f t="shared" si="98"/>
        <v>1.9854401058905905E-2</v>
      </c>
      <c r="AL53" s="471">
        <f t="shared" si="99"/>
        <v>0.62849272005294532</v>
      </c>
      <c r="AM53" s="473">
        <f t="shared" si="100"/>
        <v>319.69318400170789</v>
      </c>
      <c r="AN53" s="474">
        <f t="shared" si="1"/>
        <v>11.675111111111111</v>
      </c>
      <c r="AO53" s="474">
        <f t="shared" si="101"/>
        <v>8.3944444444444433E-2</v>
      </c>
      <c r="AP53" s="474">
        <f t="shared" si="102"/>
        <v>11.759055555555555</v>
      </c>
      <c r="AQ53" s="475">
        <v>3</v>
      </c>
      <c r="AR53" s="474">
        <f t="shared" ca="1" si="103"/>
        <v>0.11795183755821161</v>
      </c>
      <c r="AS53" s="474">
        <f t="shared" ca="1" si="104"/>
        <v>0.71168407531604716</v>
      </c>
      <c r="AT53" s="471" t="str">
        <f t="shared" ca="1" si="105"/>
        <v>Disminuir vel.</v>
      </c>
      <c r="AU53" s="492">
        <f t="shared" si="106"/>
        <v>0</v>
      </c>
      <c r="AV53" s="471">
        <f t="shared" ca="1" si="107"/>
        <v>454.19916020811735</v>
      </c>
      <c r="AW53" s="471">
        <f t="shared" ca="1" si="108"/>
        <v>454.2</v>
      </c>
      <c r="AX53" s="478">
        <f>IF(OR(C53="",D53=""),"",ROUND(((VLOOKUP(C53,'Base de Diseño (2)'!$A$2:$C$333,2,FALSE)-VLOOKUP(D53,'Base de Diseño (2)'!$A$2:$C$333,2,FALSE))^2+(VLOOKUP(C53,'Base de Diseño (2)'!$A$2:$C$333,3,0)-VLOOKUP(D53,'Base de Diseño (2)'!$A$2:$C$333,3,FALSE))^2)^0.5,2))</f>
        <v>15.11</v>
      </c>
      <c r="AY53" s="493">
        <v>24</v>
      </c>
      <c r="AZ53" s="480">
        <f ca="1">IF(AND(L53="",H53=""),"",IF(BA53=4,VLOOKUP(AY53,'TABLA (2)'!$A$74:$C$89,2),IF(BA53=5,VLOOKUP(AY53,'TABLA (2)'!$A$51:$B$66,2),IF(BA53=6,VLOOKUP(AY53,'TABLA (2)'!$A$9:$B$43,2)))))</f>
        <v>600</v>
      </c>
      <c r="BA53" s="493">
        <v>6</v>
      </c>
      <c r="BB53" s="478">
        <f>IF(OR(C53="",D53=""),"",VLOOKUP(C53,'Base de Diseño (2)'!$A$2:$D$330,4,FALSE))</f>
        <v>972.12160000000006</v>
      </c>
      <c r="BC53" s="478">
        <f>IF(OR(C53="",D53=""),"",VLOOKUP(D53,'Base de Diseño (2)'!$A$2:$D$330,4,FALSE))</f>
        <v>971.82159999999999</v>
      </c>
      <c r="BD53" s="23">
        <f t="shared" ca="1" si="109"/>
        <v>1.6079999999999728</v>
      </c>
      <c r="BE53" s="23">
        <f t="shared" ca="1" si="110"/>
        <v>1.4679999999999864</v>
      </c>
      <c r="BF53" s="494">
        <v>2.2799999999999727</v>
      </c>
      <c r="BG53" s="494">
        <v>2.1399999999999864</v>
      </c>
      <c r="BH53" s="495">
        <f t="shared" si="111"/>
        <v>969.84160000000008</v>
      </c>
      <c r="BI53" s="495">
        <f t="shared" si="112"/>
        <v>969.6816</v>
      </c>
      <c r="BJ53" s="468">
        <f t="shared" si="113"/>
        <v>0</v>
      </c>
      <c r="BK53" s="475">
        <f t="shared" si="114"/>
        <v>1.9854401058905906</v>
      </c>
      <c r="BL53" s="475">
        <f t="shared" si="115"/>
        <v>1.0589013898086159</v>
      </c>
      <c r="BM53" s="475">
        <f t="shared" ca="1" si="116"/>
        <v>2.234662354662758</v>
      </c>
      <c r="BN53" s="475">
        <f t="shared" ca="1" si="117"/>
        <v>631.83589529959693</v>
      </c>
      <c r="BO53" s="204">
        <f t="shared" ca="1" si="118"/>
        <v>5.2533368464757297E-3</v>
      </c>
      <c r="BP53" s="496">
        <f t="shared" ca="1" si="119"/>
        <v>0.7188575441485997</v>
      </c>
      <c r="BQ53" s="497">
        <f t="shared" ca="1" si="120"/>
        <v>0.23257693112189418</v>
      </c>
      <c r="BR53" s="497">
        <f t="shared" ca="1" si="121"/>
        <v>0.95542497572092977</v>
      </c>
      <c r="BS53" s="475">
        <f t="shared" ca="1" si="122"/>
        <v>0.51973091254109016</v>
      </c>
      <c r="BT53" s="475">
        <f t="shared" ca="1" si="123"/>
        <v>2.1350522259481415</v>
      </c>
      <c r="BU53" s="475">
        <f t="shared" ca="1" si="124"/>
        <v>4.414647796633947E-2</v>
      </c>
      <c r="BV53" s="475">
        <f t="shared" ca="1" si="125"/>
        <v>0.70423836278969498</v>
      </c>
      <c r="BW53" s="475">
        <f t="shared" ca="1" si="126"/>
        <v>0.84675246814407856</v>
      </c>
      <c r="BX53" s="475">
        <f t="shared" ca="1" si="127"/>
        <v>3.9831618284330066</v>
      </c>
      <c r="BY53" s="475">
        <f t="shared" ca="1" si="128"/>
        <v>2.8821686641509553E-2</v>
      </c>
      <c r="BZ53" s="475">
        <f t="shared" ca="1" si="129"/>
        <v>0.29680261565839317</v>
      </c>
      <c r="CA53" s="471">
        <f t="shared" ca="1" si="130"/>
        <v>1.729301198490573E-2</v>
      </c>
      <c r="CB53" s="471">
        <f t="shared" ca="1" si="131"/>
        <v>0.17808156939503589</v>
      </c>
      <c r="CC53" s="471">
        <f t="shared" ca="1" si="2"/>
        <v>1.0935682990902265</v>
      </c>
      <c r="CD53" s="471" t="str">
        <f t="shared" ca="1" si="132"/>
        <v>F. Supercrítico Inestable</v>
      </c>
      <c r="CE53" s="471">
        <f t="shared" ca="1" si="133"/>
        <v>0.18311594424793728</v>
      </c>
      <c r="CF53" s="471">
        <f t="shared" ca="1" si="134"/>
        <v>1.8857082133170298</v>
      </c>
      <c r="CG53" s="471" t="str">
        <f t="shared" ca="1" si="135"/>
        <v>O.K</v>
      </c>
      <c r="CH53" s="471" t="str">
        <f t="shared" ca="1" si="136"/>
        <v>O.K</v>
      </c>
      <c r="CI53" s="471" t="str">
        <f t="shared" ca="1" si="137"/>
        <v>OK</v>
      </c>
      <c r="CJ53" s="471" t="str">
        <f t="shared" ca="1" si="138"/>
        <v>OK</v>
      </c>
      <c r="CK53" s="468">
        <f t="shared" si="139"/>
        <v>0</v>
      </c>
      <c r="CL53" s="482" t="s">
        <v>2507</v>
      </c>
      <c r="CM53" s="482"/>
      <c r="CN53" s="63" t="str">
        <f t="shared" si="140"/>
        <v xml:space="preserve"> </v>
      </c>
      <c r="CO53" s="498">
        <f t="shared" si="141"/>
        <v>15.11</v>
      </c>
      <c r="CP53" s="472">
        <f t="shared" si="142"/>
        <v>1.9854401058905905E-2</v>
      </c>
      <c r="CQ53" s="482" t="s">
        <v>2508</v>
      </c>
      <c r="CR53" s="204">
        <f t="shared" si="143"/>
        <v>15.11</v>
      </c>
      <c r="CS53" s="486">
        <v>1.2</v>
      </c>
      <c r="CT53" s="486">
        <v>1.2</v>
      </c>
      <c r="CU53" s="23">
        <f t="shared" si="144"/>
        <v>15.110847097366845</v>
      </c>
      <c r="CV53" s="499" t="s">
        <v>2509</v>
      </c>
      <c r="CW53" s="488" t="str">
        <f t="shared" ca="1" si="145"/>
        <v>E2</v>
      </c>
      <c r="CX53" s="204">
        <f ca="1">IF(AND(L53="",H53=""),"",IF(AND(BA53&lt;&gt;4,BA53&lt;&gt;5),VLOOKUP(AY53,'TABLA (2)'!$A$9:$D$43,4),IF(BA53=4,VLOOKUP(AY53,'TABLA (2)'!$A$74:$D$89,4),VLOOKUP(AY53,'TABLA (2)'!$A$51:$D$66,4))))</f>
        <v>7.1999999999999995E-2</v>
      </c>
      <c r="CY53" s="482"/>
      <c r="CZ53" s="482"/>
      <c r="DA53" s="482"/>
      <c r="DB53" s="490"/>
    </row>
    <row r="54" spans="1:106" ht="15.75" hidden="1" customHeight="1">
      <c r="A54" s="465">
        <v>25</v>
      </c>
      <c r="B54" s="491"/>
      <c r="C54" s="466" t="s">
        <v>2159</v>
      </c>
      <c r="D54" s="466" t="s">
        <v>2160</v>
      </c>
      <c r="E54" s="468"/>
      <c r="F54" s="468"/>
      <c r="G54" s="468">
        <f t="shared" si="75"/>
        <v>2.2605426135000002</v>
      </c>
      <c r="H54" s="468">
        <f t="shared" si="76"/>
        <v>2.2605426135000002</v>
      </c>
      <c r="I54" s="468"/>
      <c r="J54" s="468"/>
      <c r="K54" s="467">
        <f t="shared" ca="1" si="77"/>
        <v>2.2605426135000002</v>
      </c>
      <c r="L54" s="468">
        <f t="shared" ca="1" si="78"/>
        <v>2.2605426135000002</v>
      </c>
      <c r="M54" s="469">
        <f t="shared" si="79"/>
        <v>242.33666300502347</v>
      </c>
      <c r="N54" s="470">
        <f t="shared" si="80"/>
        <v>0</v>
      </c>
      <c r="O54" s="470">
        <f t="shared" si="81"/>
        <v>0</v>
      </c>
      <c r="P54" s="470">
        <f t="shared" si="82"/>
        <v>547.81235353624459</v>
      </c>
      <c r="Q54" s="469">
        <f t="shared" si="83"/>
        <v>140</v>
      </c>
      <c r="R54" s="471">
        <f t="shared" si="84"/>
        <v>0.75451007026404049</v>
      </c>
      <c r="S54" s="471"/>
      <c r="T54" s="471"/>
      <c r="U54" s="471">
        <f t="shared" si="85"/>
        <v>0</v>
      </c>
      <c r="V54" s="471"/>
      <c r="W54" s="471"/>
      <c r="X54" s="471">
        <f t="shared" si="86"/>
        <v>0</v>
      </c>
      <c r="Y54" s="471">
        <f t="shared" si="87"/>
        <v>0.45210852270000007</v>
      </c>
      <c r="Z54" s="471">
        <f t="shared" ca="1" si="88"/>
        <v>0</v>
      </c>
      <c r="AA54" s="471">
        <f t="shared" si="0"/>
        <v>3.8</v>
      </c>
      <c r="AB54" s="471">
        <f t="shared" si="89"/>
        <v>2.8671382670033538</v>
      </c>
      <c r="AC54" s="471">
        <f t="shared" si="90"/>
        <v>0</v>
      </c>
      <c r="AD54" s="471">
        <f t="shared" si="91"/>
        <v>0</v>
      </c>
      <c r="AE54" s="471">
        <f t="shared" si="92"/>
        <v>0</v>
      </c>
      <c r="AF54" s="471">
        <f t="shared" si="93"/>
        <v>4</v>
      </c>
      <c r="AG54" s="471">
        <f t="shared" si="94"/>
        <v>0</v>
      </c>
      <c r="AH54" s="471">
        <f t="shared" si="95"/>
        <v>0</v>
      </c>
      <c r="AI54" s="471">
        <f t="shared" ca="1" si="96"/>
        <v>3.319246789703354</v>
      </c>
      <c r="AJ54" s="471">
        <f t="shared" si="97"/>
        <v>0.75</v>
      </c>
      <c r="AK54" s="472">
        <f t="shared" si="98"/>
        <v>1.8774935461158285E-2</v>
      </c>
      <c r="AL54" s="471">
        <f t="shared" si="99"/>
        <v>0.628438746773058</v>
      </c>
      <c r="AM54" s="473">
        <f t="shared" si="100"/>
        <v>317.57454996884587</v>
      </c>
      <c r="AN54" s="474">
        <f t="shared" si="1"/>
        <v>11.759055555555555</v>
      </c>
      <c r="AO54" s="474">
        <f t="shared" si="101"/>
        <v>0.2367222222222222</v>
      </c>
      <c r="AP54" s="474">
        <f t="shared" si="102"/>
        <v>11.995777777777777</v>
      </c>
      <c r="AQ54" s="475">
        <v>3</v>
      </c>
      <c r="AR54" s="474">
        <f t="shared" ca="1" si="103"/>
        <v>0.33901565060364103</v>
      </c>
      <c r="AS54" s="474">
        <f t="shared" ca="1" si="104"/>
        <v>0.69826340406621867</v>
      </c>
      <c r="AT54" s="471" t="str">
        <f t="shared" ca="1" si="105"/>
        <v>Disminuir vel.</v>
      </c>
      <c r="AU54" s="492">
        <f t="shared" si="106"/>
        <v>0</v>
      </c>
      <c r="AV54" s="471">
        <f t="shared" ca="1" si="107"/>
        <v>451.15039666258912</v>
      </c>
      <c r="AW54" s="471">
        <f t="shared" ca="1" si="108"/>
        <v>451.15</v>
      </c>
      <c r="AX54" s="478">
        <f>IF(OR(C54="",D54=""),"",ROUND(((VLOOKUP(C54,'Base de Diseño (2)'!$A$2:$C$333,2,FALSE)-VLOOKUP(D54,'Base de Diseño (2)'!$A$2:$C$333,2,FALSE))^2+(VLOOKUP(C54,'Base de Diseño (2)'!$A$2:$C$333,3,0)-VLOOKUP(D54,'Base de Diseño (2)'!$A$2:$C$333,3,FALSE))^2)^0.5,2))</f>
        <v>42.61</v>
      </c>
      <c r="AY54" s="493">
        <v>24</v>
      </c>
      <c r="AZ54" s="480">
        <f ca="1">IF(AND(L54="",H54=""),"",IF(BA54=4,VLOOKUP(AY54,'TABLA (2)'!$A$74:$C$89,2),IF(BA54=5,VLOOKUP(AY54,'TABLA (2)'!$A$51:$B$66,2),IF(BA54=6,VLOOKUP(AY54,'TABLA (2)'!$A$9:$B$43,2)))))</f>
        <v>600</v>
      </c>
      <c r="BA54" s="493">
        <v>6</v>
      </c>
      <c r="BB54" s="478">
        <f>IF(OR(C54="",D54=""),"",VLOOKUP(C54,'Base de Diseño (2)'!$A$2:$D$330,4,FALSE))</f>
        <v>971.82159999999999</v>
      </c>
      <c r="BC54" s="478">
        <f>IF(OR(C54="",D54=""),"",VLOOKUP(D54,'Base de Diseño (2)'!$A$2:$D$330,4,FALSE))</f>
        <v>971.02160000000003</v>
      </c>
      <c r="BD54" s="23">
        <f t="shared" ca="1" si="109"/>
        <v>1.4679999999999864</v>
      </c>
      <c r="BE54" s="23">
        <f t="shared" ca="1" si="110"/>
        <v>1.0979999999999819</v>
      </c>
      <c r="BF54" s="494">
        <v>2.1399999999999864</v>
      </c>
      <c r="BG54" s="494">
        <v>1.7699999999999818</v>
      </c>
      <c r="BH54" s="495">
        <f t="shared" si="111"/>
        <v>969.6816</v>
      </c>
      <c r="BI54" s="495">
        <f t="shared" si="112"/>
        <v>969.25160000000005</v>
      </c>
      <c r="BJ54" s="468">
        <f t="shared" si="113"/>
        <v>9.9999999999909051E-3</v>
      </c>
      <c r="BK54" s="475">
        <f t="shared" si="114"/>
        <v>1.8774935461158284</v>
      </c>
      <c r="BL54" s="475">
        <f t="shared" si="115"/>
        <v>1.0091527810371976</v>
      </c>
      <c r="BM54" s="475">
        <f t="shared" ca="1" si="116"/>
        <v>2.1815371565957515</v>
      </c>
      <c r="BN54" s="475">
        <f t="shared" ca="1" si="117"/>
        <v>616.81509942249409</v>
      </c>
      <c r="BO54" s="204">
        <f t="shared" ca="1" si="118"/>
        <v>5.3812670811902424E-3</v>
      </c>
      <c r="BP54" s="496">
        <f t="shared" ca="1" si="119"/>
        <v>0.73141854085997327</v>
      </c>
      <c r="BQ54" s="497">
        <f t="shared" ca="1" si="120"/>
        <v>0.23421076846726513</v>
      </c>
      <c r="BR54" s="497">
        <f t="shared" ca="1" si="121"/>
        <v>0.9602358620687157</v>
      </c>
      <c r="BS54" s="475">
        <f t="shared" ca="1" si="122"/>
        <v>0.51093949388618343</v>
      </c>
      <c r="BT54" s="475">
        <f t="shared" ca="1" si="123"/>
        <v>2.0947902121986561</v>
      </c>
      <c r="BU54" s="475">
        <f t="shared" ca="1" si="124"/>
        <v>4.5698373694551542E-2</v>
      </c>
      <c r="BV54" s="475">
        <f t="shared" ca="1" si="125"/>
        <v>0.71261236059769606</v>
      </c>
      <c r="BW54" s="475">
        <f t="shared" ca="1" si="126"/>
        <v>0.86173748845787568</v>
      </c>
      <c r="BX54" s="475">
        <f t="shared" ca="1" si="127"/>
        <v>4.0200129691025799</v>
      </c>
      <c r="BY54" s="475">
        <f t="shared" ca="1" si="128"/>
        <v>2.9812578903460951E-2</v>
      </c>
      <c r="BZ54" s="475">
        <f t="shared" ca="1" si="129"/>
        <v>0.29786871496455763</v>
      </c>
      <c r="CA54" s="471">
        <f t="shared" ca="1" si="130"/>
        <v>1.7887547342076569E-2</v>
      </c>
      <c r="CB54" s="471">
        <f t="shared" ca="1" si="131"/>
        <v>0.17872122897873458</v>
      </c>
      <c r="CC54" s="471">
        <f t="shared" ca="1" si="2"/>
        <v>1.0616089930631893</v>
      </c>
      <c r="CD54" s="471" t="str">
        <f t="shared" ca="1" si="132"/>
        <v>F. Supercrítico Inestable</v>
      </c>
      <c r="CE54" s="471">
        <f t="shared" ca="1" si="133"/>
        <v>0.18051268146191102</v>
      </c>
      <c r="CF54" s="471">
        <f t="shared" ca="1" si="134"/>
        <v>1.8035702525427582</v>
      </c>
      <c r="CG54" s="471" t="str">
        <f t="shared" ca="1" si="135"/>
        <v>O.K</v>
      </c>
      <c r="CH54" s="471" t="str">
        <f t="shared" ca="1" si="136"/>
        <v>O.K</v>
      </c>
      <c r="CI54" s="471" t="str">
        <f t="shared" ca="1" si="137"/>
        <v>OK</v>
      </c>
      <c r="CJ54" s="471" t="str">
        <f t="shared" ca="1" si="138"/>
        <v>OK</v>
      </c>
      <c r="CK54" s="468">
        <f t="shared" si="139"/>
        <v>9.9999999999909051E-3</v>
      </c>
      <c r="CL54" s="482" t="s">
        <v>2507</v>
      </c>
      <c r="CM54" s="482"/>
      <c r="CN54" s="63" t="str">
        <f t="shared" si="140"/>
        <v xml:space="preserve"> </v>
      </c>
      <c r="CO54" s="498">
        <f t="shared" si="141"/>
        <v>42.61</v>
      </c>
      <c r="CP54" s="472">
        <f t="shared" si="142"/>
        <v>1.8774935461158285E-2</v>
      </c>
      <c r="CQ54" s="482" t="s">
        <v>2508</v>
      </c>
      <c r="CR54" s="204">
        <f t="shared" si="143"/>
        <v>42.61</v>
      </c>
      <c r="CS54" s="486">
        <v>1.2</v>
      </c>
      <c r="CT54" s="486">
        <v>1.2</v>
      </c>
      <c r="CU54" s="23">
        <f t="shared" si="144"/>
        <v>42.612169623242607</v>
      </c>
      <c r="CV54" s="499" t="s">
        <v>2509</v>
      </c>
      <c r="CW54" s="488" t="str">
        <f t="shared" ca="1" si="145"/>
        <v>E2</v>
      </c>
      <c r="CX54" s="204">
        <f ca="1">IF(AND(L54="",H54=""),"",IF(AND(BA54&lt;&gt;4,BA54&lt;&gt;5),VLOOKUP(AY54,'TABLA (2)'!$A$9:$D$43,4),IF(BA54=4,VLOOKUP(AY54,'TABLA (2)'!$A$74:$D$89,4),VLOOKUP(AY54,'TABLA (2)'!$A$51:$D$66,4))))</f>
        <v>7.1999999999999995E-2</v>
      </c>
      <c r="CY54" s="482"/>
      <c r="CZ54" s="482"/>
      <c r="DA54" s="482"/>
      <c r="DB54" s="490"/>
    </row>
    <row r="55" spans="1:106" ht="15.75" hidden="1" customHeight="1">
      <c r="A55" s="465">
        <v>26</v>
      </c>
      <c r="B55" s="491"/>
      <c r="C55" s="466" t="s">
        <v>2160</v>
      </c>
      <c r="D55" s="466" t="s">
        <v>2167</v>
      </c>
      <c r="E55" s="468"/>
      <c r="F55" s="468">
        <v>1.6715954</v>
      </c>
      <c r="G55" s="468">
        <f t="shared" si="75"/>
        <v>2.2605426135000002</v>
      </c>
      <c r="H55" s="468">
        <f t="shared" si="76"/>
        <v>3.9321380135000004</v>
      </c>
      <c r="I55" s="468"/>
      <c r="J55" s="468"/>
      <c r="K55" s="467">
        <f t="shared" ca="1" si="77"/>
        <v>2.2605426135000002</v>
      </c>
      <c r="L55" s="468">
        <f t="shared" ca="1" si="78"/>
        <v>2.2605426135000002</v>
      </c>
      <c r="M55" s="469">
        <f t="shared" si="79"/>
        <v>242.33666300502347</v>
      </c>
      <c r="N55" s="470">
        <f t="shared" si="80"/>
        <v>0</v>
      </c>
      <c r="O55" s="470">
        <f t="shared" si="81"/>
        <v>405.08885113054737</v>
      </c>
      <c r="P55" s="470">
        <f t="shared" si="82"/>
        <v>952.90120466679195</v>
      </c>
      <c r="Q55" s="469">
        <f t="shared" si="83"/>
        <v>140</v>
      </c>
      <c r="R55" s="471">
        <f t="shared" si="84"/>
        <v>1.3124449462424566</v>
      </c>
      <c r="S55" s="471"/>
      <c r="T55" s="471"/>
      <c r="U55" s="471">
        <f t="shared" si="85"/>
        <v>0</v>
      </c>
      <c r="V55" s="471"/>
      <c r="W55" s="471"/>
      <c r="X55" s="471">
        <f t="shared" si="86"/>
        <v>0</v>
      </c>
      <c r="Y55" s="471">
        <f t="shared" si="87"/>
        <v>0.78642760270000012</v>
      </c>
      <c r="Z55" s="471">
        <f t="shared" ca="1" si="88"/>
        <v>0</v>
      </c>
      <c r="AA55" s="471">
        <f t="shared" si="0"/>
        <v>3.8</v>
      </c>
      <c r="AB55" s="471">
        <f t="shared" si="89"/>
        <v>4.9872907957213348</v>
      </c>
      <c r="AC55" s="471">
        <f t="shared" si="90"/>
        <v>0.55793487597841596</v>
      </c>
      <c r="AD55" s="471">
        <f t="shared" si="91"/>
        <v>0</v>
      </c>
      <c r="AE55" s="471">
        <f t="shared" si="92"/>
        <v>0.78642760270000012</v>
      </c>
      <c r="AF55" s="471">
        <f t="shared" si="93"/>
        <v>4</v>
      </c>
      <c r="AG55" s="471">
        <f t="shared" si="94"/>
        <v>2.2317395039136638</v>
      </c>
      <c r="AH55" s="471">
        <f t="shared" si="95"/>
        <v>3.0181671066136637</v>
      </c>
      <c r="AI55" s="471">
        <f t="shared" ca="1" si="96"/>
        <v>5.7737183984213347</v>
      </c>
      <c r="AJ55" s="471">
        <f t="shared" si="97"/>
        <v>0.75</v>
      </c>
      <c r="AK55" s="472">
        <f t="shared" si="98"/>
        <v>3.6854552621206238E-2</v>
      </c>
      <c r="AL55" s="471">
        <f t="shared" si="99"/>
        <v>0.62934272763106036</v>
      </c>
      <c r="AM55" s="473">
        <f t="shared" si="100"/>
        <v>315.08651261822308</v>
      </c>
      <c r="AN55" s="474">
        <f t="shared" si="1"/>
        <v>11.995777777777777</v>
      </c>
      <c r="AO55" s="474">
        <f t="shared" si="101"/>
        <v>0.28188888888888891</v>
      </c>
      <c r="AP55" s="474">
        <f t="shared" si="102"/>
        <v>12.277666666666665</v>
      </c>
      <c r="AQ55" s="475">
        <v>3</v>
      </c>
      <c r="AR55" s="474">
        <f t="shared" ca="1" si="103"/>
        <v>0.58622137885329229</v>
      </c>
      <c r="AS55" s="474">
        <f t="shared" ca="1" si="104"/>
        <v>0.48085740141427769</v>
      </c>
      <c r="AT55" s="471" t="str">
        <f t="shared" ca="1" si="105"/>
        <v>Disminuir vel.</v>
      </c>
      <c r="AU55" s="492">
        <f t="shared" si="106"/>
        <v>0</v>
      </c>
      <c r="AV55" s="471">
        <f t="shared" ca="1" si="107"/>
        <v>448.25973480658479</v>
      </c>
      <c r="AW55" s="471">
        <f t="shared" ca="1" si="108"/>
        <v>448.26</v>
      </c>
      <c r="AX55" s="478">
        <f>IF(OR(C55="",D55=""),"",ROUND(((VLOOKUP(C55,'Base de Diseño (2)'!$A$2:$C$333,2,FALSE)-VLOOKUP(D55,'Base de Diseño (2)'!$A$2:$C$333,2,FALSE))^2+(VLOOKUP(C55,'Base de Diseño (2)'!$A$2:$C$333,3,0)-VLOOKUP(D55,'Base de Diseño (2)'!$A$2:$C$333,3,FALSE))^2)^0.5,2))</f>
        <v>50.74</v>
      </c>
      <c r="AY55" s="493">
        <v>24</v>
      </c>
      <c r="AZ55" s="480">
        <f ca="1">IF(AND(L55="",H55=""),"",IF(BA55=4,VLOOKUP(AY55,'TABLA (2)'!$A$74:$C$89,2),IF(BA55=5,VLOOKUP(AY55,'TABLA (2)'!$A$51:$B$66,2),IF(BA55=6,VLOOKUP(AY55,'TABLA (2)'!$A$9:$B$43,2)))))</f>
        <v>600</v>
      </c>
      <c r="BA55" s="493">
        <v>6</v>
      </c>
      <c r="BB55" s="478">
        <f>IF(OR(C55="",D55=""),"",VLOOKUP(C55,'Base de Diseño (2)'!$A$2:$D$330,4,FALSE))</f>
        <v>971.02160000000003</v>
      </c>
      <c r="BC55" s="478">
        <f>IF(OR(C55="",D55=""),"",VLOOKUP(D55,'Base de Diseño (2)'!$A$2:$D$330,4,FALSE))</f>
        <v>972.89160000000004</v>
      </c>
      <c r="BD55" s="23">
        <f t="shared" ca="1" si="109"/>
        <v>1.1079999999999728</v>
      </c>
      <c r="BE55" s="23">
        <f t="shared" ca="1" si="110"/>
        <v>3.1580000000000412</v>
      </c>
      <c r="BF55" s="494">
        <v>1.7799999999999727</v>
      </c>
      <c r="BG55" s="494">
        <v>3.8300000000000409</v>
      </c>
      <c r="BH55" s="495">
        <f t="shared" si="111"/>
        <v>969.24160000000006</v>
      </c>
      <c r="BI55" s="495">
        <f t="shared" si="112"/>
        <v>969.0616</v>
      </c>
      <c r="BJ55" s="468">
        <f t="shared" si="113"/>
        <v>0</v>
      </c>
      <c r="BK55" s="475">
        <f t="shared" si="114"/>
        <v>3.685455262120624</v>
      </c>
      <c r="BL55" s="475">
        <f t="shared" si="115"/>
        <v>0.35474970437537184</v>
      </c>
      <c r="BM55" s="475">
        <f t="shared" ca="1" si="116"/>
        <v>1.2934366862182003</v>
      </c>
      <c r="BN55" s="475">
        <f t="shared" ca="1" si="117"/>
        <v>365.71060721759619</v>
      </c>
      <c r="BO55" s="204">
        <f t="shared" ca="1" si="118"/>
        <v>1.5787670044216131E-2</v>
      </c>
      <c r="BP55" s="496">
        <f t="shared" ca="1" si="119"/>
        <v>1.2257232663018911</v>
      </c>
      <c r="BQ55" s="497">
        <f t="shared" ca="1" si="120"/>
        <v>0.32033665337575223</v>
      </c>
      <c r="BR55" s="497">
        <f t="shared" ca="1" si="121"/>
        <v>1.1153017535482781</v>
      </c>
      <c r="BS55" s="475">
        <f t="shared" ca="1" si="122"/>
        <v>0.41433517941656123</v>
      </c>
      <c r="BT55" s="475">
        <f t="shared" ca="1" si="123"/>
        <v>1.4425722042428328</v>
      </c>
      <c r="BU55" s="475">
        <f t="shared" ca="1" si="124"/>
        <v>0.11512007167451471</v>
      </c>
      <c r="BV55" s="475" t="str">
        <f t="shared" ca="1" si="125"/>
        <v xml:space="preserve"> </v>
      </c>
      <c r="BW55" s="475">
        <f t="shared" ca="1" si="126"/>
        <v>1.3846629280820322</v>
      </c>
      <c r="BX55" s="475" t="e">
        <f t="shared" ca="1" si="127"/>
        <v>#VALUE!</v>
      </c>
      <c r="BY55" s="475">
        <f t="shared" ca="1" si="128"/>
        <v>7.2569248687930327E-2</v>
      </c>
      <c r="BZ55" s="475" t="e">
        <f t="shared" ca="1" si="129"/>
        <v>#VALUE!</v>
      </c>
      <c r="CA55" s="471">
        <f t="shared" ca="1" si="130"/>
        <v>4.3541549212758199E-2</v>
      </c>
      <c r="CB55" s="471" t="e">
        <f t="shared" ca="1" si="131"/>
        <v>#VALUE!</v>
      </c>
      <c r="CC55" s="471" t="e">
        <f t="shared" ca="1" si="2"/>
        <v>#VALUE!</v>
      </c>
      <c r="CD55" s="471" t="e">
        <f t="shared" ca="1" si="132"/>
        <v>#VALUE!</v>
      </c>
      <c r="CE55" s="471">
        <f t="shared" ca="1" si="133"/>
        <v>0.15446351711271675</v>
      </c>
      <c r="CF55" s="471" t="e">
        <f t="shared" ca="1" si="134"/>
        <v>#VALUE!</v>
      </c>
      <c r="CG55" s="471" t="str">
        <f t="shared" ca="1" si="135"/>
        <v>No cumple</v>
      </c>
      <c r="CH55" s="471" t="str">
        <f t="shared" ca="1" si="136"/>
        <v>O.K</v>
      </c>
      <c r="CI55" s="471" t="str">
        <f t="shared" ca="1" si="137"/>
        <v>OK</v>
      </c>
      <c r="CJ55" s="471" t="e">
        <f t="shared" ca="1" si="138"/>
        <v>#VALUE!</v>
      </c>
      <c r="CK55" s="468">
        <f t="shared" si="139"/>
        <v>0</v>
      </c>
      <c r="CL55" s="482" t="s">
        <v>2507</v>
      </c>
      <c r="CM55" s="482"/>
      <c r="CN55" s="63" t="str">
        <f t="shared" si="140"/>
        <v xml:space="preserve"> </v>
      </c>
      <c r="CO55" s="498">
        <f t="shared" si="141"/>
        <v>50.74</v>
      </c>
      <c r="CP55" s="472">
        <f t="shared" si="142"/>
        <v>3.6854552621206238E-2</v>
      </c>
      <c r="CQ55" s="482" t="s">
        <v>2508</v>
      </c>
      <c r="CR55" s="204">
        <f t="shared" si="143"/>
        <v>50.74</v>
      </c>
      <c r="CS55" s="486">
        <v>1.2</v>
      </c>
      <c r="CT55" s="486">
        <v>1.2</v>
      </c>
      <c r="CU55" s="23">
        <f t="shared" si="144"/>
        <v>50.740319273729448</v>
      </c>
      <c r="CV55" s="499" t="s">
        <v>2509</v>
      </c>
      <c r="CW55" s="488" t="str">
        <f t="shared" ca="1" si="145"/>
        <v>E2</v>
      </c>
      <c r="CX55" s="204">
        <f ca="1">IF(AND(L55="",H55=""),"",IF(AND(BA55&lt;&gt;4,BA55&lt;&gt;5),VLOOKUP(AY55,'TABLA (2)'!$A$9:$D$43,4),IF(BA55=4,VLOOKUP(AY55,'TABLA (2)'!$A$74:$D$89,4),VLOOKUP(AY55,'TABLA (2)'!$A$51:$D$66,4))))</f>
        <v>7.1999999999999995E-2</v>
      </c>
      <c r="CY55" s="482"/>
      <c r="CZ55" s="482"/>
      <c r="DA55" s="482"/>
      <c r="DB55" s="490"/>
    </row>
    <row r="56" spans="1:106" ht="15.75" hidden="1" customHeight="1">
      <c r="A56" s="465">
        <v>27</v>
      </c>
      <c r="B56" s="491"/>
      <c r="C56" s="466" t="s">
        <v>2167</v>
      </c>
      <c r="D56" s="466" t="s">
        <v>2087</v>
      </c>
      <c r="E56" s="468">
        <v>9.7486000000000003E-2</v>
      </c>
      <c r="F56" s="468"/>
      <c r="G56" s="468">
        <f t="shared" si="75"/>
        <v>4.4965627524</v>
      </c>
      <c r="H56" s="468">
        <f t="shared" si="76"/>
        <v>4.5940487524</v>
      </c>
      <c r="I56" s="468">
        <v>9.7486000000000003E-2</v>
      </c>
      <c r="J56" s="468"/>
      <c r="K56" s="467">
        <f t="shared" ca="1" si="77"/>
        <v>2.7878594330000004</v>
      </c>
      <c r="L56" s="468">
        <f t="shared" ca="1" si="78"/>
        <v>2.8853454330000003</v>
      </c>
      <c r="M56" s="469">
        <f t="shared" si="79"/>
        <v>242.33666300502347</v>
      </c>
      <c r="N56" s="470">
        <f t="shared" si="80"/>
        <v>23.624431929707718</v>
      </c>
      <c r="O56" s="470">
        <f t="shared" si="81"/>
        <v>0</v>
      </c>
      <c r="P56" s="470">
        <f t="shared" si="82"/>
        <v>1113.3064443390074</v>
      </c>
      <c r="Q56" s="469">
        <f t="shared" si="83"/>
        <v>140</v>
      </c>
      <c r="R56" s="471">
        <f t="shared" si="84"/>
        <v>1.5333734592169199</v>
      </c>
      <c r="S56" s="471"/>
      <c r="T56" s="471"/>
      <c r="U56" s="471">
        <f t="shared" si="85"/>
        <v>0</v>
      </c>
      <c r="V56" s="471"/>
      <c r="W56" s="471"/>
      <c r="X56" s="471">
        <f t="shared" si="86"/>
        <v>0</v>
      </c>
      <c r="Y56" s="471">
        <f t="shared" si="87"/>
        <v>0.91880975048000002</v>
      </c>
      <c r="Z56" s="471">
        <f t="shared" ca="1" si="88"/>
        <v>0</v>
      </c>
      <c r="AA56" s="471">
        <f t="shared" si="0"/>
        <v>3.8</v>
      </c>
      <c r="AB56" s="471">
        <f t="shared" si="89"/>
        <v>5.8268191450242952</v>
      </c>
      <c r="AC56" s="471">
        <f t="shared" si="90"/>
        <v>3.2538280088370584E-2</v>
      </c>
      <c r="AD56" s="471">
        <f t="shared" si="91"/>
        <v>1.9497200000000003E-2</v>
      </c>
      <c r="AE56" s="471">
        <f t="shared" si="92"/>
        <v>0</v>
      </c>
      <c r="AF56" s="471">
        <f t="shared" si="93"/>
        <v>4</v>
      </c>
      <c r="AG56" s="471">
        <f t="shared" si="94"/>
        <v>0.13015312035348234</v>
      </c>
      <c r="AH56" s="471">
        <f t="shared" si="95"/>
        <v>0.14965032035348233</v>
      </c>
      <c r="AI56" s="471">
        <f t="shared" ca="1" si="96"/>
        <v>6.7456288955042956</v>
      </c>
      <c r="AJ56" s="471">
        <f t="shared" si="97"/>
        <v>0.75</v>
      </c>
      <c r="AK56" s="472">
        <f t="shared" si="98"/>
        <v>0.3258163265306202</v>
      </c>
      <c r="AL56" s="471">
        <f t="shared" si="99"/>
        <v>0.64379081632653112</v>
      </c>
      <c r="AM56" s="473">
        <f t="shared" si="100"/>
        <v>314.51518317903844</v>
      </c>
      <c r="AN56" s="474">
        <f t="shared" si="1"/>
        <v>12.277666666666665</v>
      </c>
      <c r="AO56" s="474">
        <f t="shared" si="101"/>
        <v>6.533333333333334E-2</v>
      </c>
      <c r="AP56" s="474">
        <f t="shared" si="102"/>
        <v>12.342999999999998</v>
      </c>
      <c r="AQ56" s="475">
        <v>3</v>
      </c>
      <c r="AR56" s="474">
        <f t="shared" ca="1" si="103"/>
        <v>3.9356958635753017E-2</v>
      </c>
      <c r="AS56" s="474">
        <f t="shared" ca="1" si="104"/>
        <v>1.6600198693702573</v>
      </c>
      <c r="AT56" s="471" t="str">
        <f t="shared" ca="1" si="105"/>
        <v>Aumentar vel.</v>
      </c>
      <c r="AU56" s="492">
        <f t="shared" si="106"/>
        <v>19.739158938465998</v>
      </c>
      <c r="AV56" s="471">
        <f t="shared" ca="1" si="107"/>
        <v>584.23047508733555</v>
      </c>
      <c r="AW56" s="471">
        <f t="shared" ca="1" si="108"/>
        <v>584.23</v>
      </c>
      <c r="AX56" s="478">
        <f>IF(OR(C56="",D56=""),"",ROUND(((VLOOKUP(C56,'Base de Diseño (2)'!$A$2:$C$333,2,FALSE)-VLOOKUP(D56,'Base de Diseño (2)'!$A$2:$C$333,2,FALSE))^2+(VLOOKUP(C56,'Base de Diseño (2)'!$A$2:$C$333,3,0)-VLOOKUP(D56,'Base de Diseño (2)'!$A$2:$C$333,3,FALSE))^2)^0.5,2))</f>
        <v>11.76</v>
      </c>
      <c r="AY56" s="493">
        <v>24</v>
      </c>
      <c r="AZ56" s="480">
        <f ca="1">IF(AND(L56="",H56=""),"",IF(BA56=4,VLOOKUP(AY56,'TABLA (2)'!$A$74:$C$89,2),IF(BA56=5,VLOOKUP(AY56,'TABLA (2)'!$A$51:$B$66,2),IF(BA56=6,VLOOKUP(AY56,'TABLA (2)'!$A$9:$B$43,2)))))</f>
        <v>600</v>
      </c>
      <c r="BA56" s="493">
        <v>6</v>
      </c>
      <c r="BB56" s="478">
        <f>IF(OR(C56="",D56=""),"",VLOOKUP(C56,'Base de Diseño (2)'!$A$2:$D$330,4,FALSE))</f>
        <v>972.89160000000004</v>
      </c>
      <c r="BC56" s="478">
        <f>IF(OR(C56="",D56=""),"",VLOOKUP(D56,'Base de Diseño (2)'!$A$2:$D$330,4,FALSE))</f>
        <v>969.06</v>
      </c>
      <c r="BD56" s="23">
        <f t="shared" ca="1" si="109"/>
        <v>3.1580000000000412</v>
      </c>
      <c r="BE56" s="23">
        <f t="shared" ca="1" si="110"/>
        <v>0.42800000000002281</v>
      </c>
      <c r="BF56" s="494">
        <v>3.8300000000000409</v>
      </c>
      <c r="BG56" s="494">
        <v>1.1000000000000227</v>
      </c>
      <c r="BH56" s="495">
        <f t="shared" si="111"/>
        <v>969.0616</v>
      </c>
      <c r="BI56" s="495">
        <f t="shared" si="112"/>
        <v>967.95999999999992</v>
      </c>
      <c r="BJ56" s="468">
        <f t="shared" si="113"/>
        <v>967.95999999999992</v>
      </c>
      <c r="BK56" s="475">
        <f t="shared" si="114"/>
        <v>32.581632653062023</v>
      </c>
      <c r="BL56" s="475">
        <f t="shared" si="115"/>
        <v>9.367346938776155</v>
      </c>
      <c r="BM56" s="475">
        <f t="shared" ca="1" si="116"/>
        <v>6.6464915429020346</v>
      </c>
      <c r="BN56" s="475">
        <f t="shared" ca="1" si="117"/>
        <v>1879.2512102994947</v>
      </c>
      <c r="BO56" s="204">
        <f t="shared" ca="1" si="118"/>
        <v>3.5895301588919825E-3</v>
      </c>
      <c r="BP56" s="496">
        <f t="shared" ca="1" si="119"/>
        <v>0.31088446121415125</v>
      </c>
      <c r="BQ56" s="497">
        <f t="shared" ca="1" si="120"/>
        <v>0.20818248662345853</v>
      </c>
      <c r="BR56" s="497">
        <f t="shared" ca="1" si="121"/>
        <v>0.74927645299257317</v>
      </c>
      <c r="BS56" s="475">
        <f t="shared" ca="1" si="122"/>
        <v>1.383683136723133</v>
      </c>
      <c r="BT56" s="475">
        <f t="shared" ca="1" si="123"/>
        <v>4.9800596081107713</v>
      </c>
      <c r="BU56" s="475">
        <f t="shared" ca="1" si="124"/>
        <v>1.9582159579530689E-2</v>
      </c>
      <c r="BV56" s="475">
        <f t="shared" ca="1" si="125"/>
        <v>0.43225630748646365</v>
      </c>
      <c r="BW56" s="475">
        <f t="shared" ca="1" si="126"/>
        <v>0.56158820327731096</v>
      </c>
      <c r="BX56" s="475">
        <f t="shared" ca="1" si="127"/>
        <v>2.8697819197151913</v>
      </c>
      <c r="BY56" s="475">
        <f t="shared" ca="1" si="128"/>
        <v>1.2935217628176315E-2</v>
      </c>
      <c r="BZ56" s="475">
        <f t="shared" ca="1" si="129"/>
        <v>0.22661180025331404</v>
      </c>
      <c r="CA56" s="471">
        <f t="shared" ca="1" si="130"/>
        <v>7.7611305769057894E-3</v>
      </c>
      <c r="CB56" s="471">
        <f t="shared" ca="1" si="131"/>
        <v>0.13596708015198844</v>
      </c>
      <c r="CC56" s="471">
        <f t="shared" ca="1" si="2"/>
        <v>3.5831262785485638</v>
      </c>
      <c r="CD56" s="471" t="str">
        <f t="shared" ca="1" si="132"/>
        <v>F. Supercrítico</v>
      </c>
      <c r="CE56" s="471">
        <f t="shared" ca="1" si="133"/>
        <v>0.72701202751020455</v>
      </c>
      <c r="CF56" s="471">
        <f t="shared" ca="1" si="134"/>
        <v>12.736508120360609</v>
      </c>
      <c r="CG56" s="471" t="str">
        <f t="shared" ca="1" si="135"/>
        <v>O.K</v>
      </c>
      <c r="CH56" s="471" t="str">
        <f t="shared" ca="1" si="136"/>
        <v>O.K</v>
      </c>
      <c r="CI56" s="471" t="str">
        <f t="shared" ca="1" si="137"/>
        <v>OK</v>
      </c>
      <c r="CJ56" s="471" t="str">
        <f t="shared" ca="1" si="138"/>
        <v>OK</v>
      </c>
      <c r="CK56" s="468">
        <f t="shared" si="139"/>
        <v>967.95999999999992</v>
      </c>
      <c r="CL56" s="482" t="s">
        <v>2507</v>
      </c>
      <c r="CM56" s="482"/>
      <c r="CN56" s="63" t="str">
        <f t="shared" si="140"/>
        <v xml:space="preserve"> </v>
      </c>
      <c r="CO56" s="498">
        <f t="shared" si="141"/>
        <v>11.76</v>
      </c>
      <c r="CP56" s="472">
        <f t="shared" si="142"/>
        <v>0.3258163265306202</v>
      </c>
      <c r="CQ56" s="482" t="s">
        <v>2508</v>
      </c>
      <c r="CR56" s="204">
        <f t="shared" si="143"/>
        <v>11.76</v>
      </c>
      <c r="CS56" s="486">
        <v>1.2</v>
      </c>
      <c r="CT56" s="486">
        <v>1.2</v>
      </c>
      <c r="CU56" s="23">
        <f t="shared" si="144"/>
        <v>11.811482657143436</v>
      </c>
      <c r="CV56" s="499" t="s">
        <v>2509</v>
      </c>
      <c r="CW56" s="488" t="str">
        <f t="shared" ca="1" si="145"/>
        <v>E3</v>
      </c>
      <c r="CX56" s="204">
        <f ca="1">IF(AND(L56="",H56=""),"",IF(AND(BA56&lt;&gt;4,BA56&lt;&gt;5),VLOOKUP(AY56,'TABLA (2)'!$A$9:$D$43,4),IF(BA56=4,VLOOKUP(AY56,'TABLA (2)'!$A$74:$D$89,4),VLOOKUP(AY56,'TABLA (2)'!$A$51:$D$66,4))))</f>
        <v>7.1999999999999995E-2</v>
      </c>
      <c r="CY56" s="482"/>
      <c r="CZ56" s="482"/>
      <c r="DA56" s="482"/>
      <c r="DB56" s="490"/>
    </row>
    <row r="57" spans="1:106" ht="15.75" hidden="1" customHeight="1">
      <c r="A57" s="465"/>
      <c r="B57" s="491"/>
      <c r="C57" s="501"/>
      <c r="D57" s="501"/>
      <c r="E57" s="468"/>
      <c r="F57" s="468"/>
      <c r="G57" s="468"/>
      <c r="H57" s="468"/>
      <c r="I57" s="468"/>
      <c r="J57" s="468"/>
      <c r="K57" s="467"/>
      <c r="L57" s="468"/>
      <c r="M57" s="469"/>
      <c r="N57" s="470"/>
      <c r="O57" s="470"/>
      <c r="P57" s="470"/>
      <c r="Q57" s="469"/>
      <c r="R57" s="471"/>
      <c r="S57" s="471"/>
      <c r="T57" s="471"/>
      <c r="U57" s="471"/>
      <c r="V57" s="471"/>
      <c r="W57" s="471"/>
      <c r="X57" s="471"/>
      <c r="Y57" s="471"/>
      <c r="Z57" s="471"/>
      <c r="AA57" s="471" t="str">
        <f t="shared" si="0"/>
        <v/>
      </c>
      <c r="AB57" s="471"/>
      <c r="AC57" s="471"/>
      <c r="AD57" s="471"/>
      <c r="AE57" s="471"/>
      <c r="AF57" s="471"/>
      <c r="AG57" s="471"/>
      <c r="AH57" s="471"/>
      <c r="AI57" s="471"/>
      <c r="AJ57" s="471"/>
      <c r="AK57" s="472"/>
      <c r="AL57" s="471"/>
      <c r="AM57" s="473"/>
      <c r="AN57" s="474">
        <f t="shared" si="1"/>
        <v>12.342999999999998</v>
      </c>
      <c r="AO57" s="474"/>
      <c r="AP57" s="474"/>
      <c r="AQ57" s="475">
        <v>3</v>
      </c>
      <c r="AR57" s="474"/>
      <c r="AS57" s="474"/>
      <c r="AT57" s="471"/>
      <c r="AU57" s="492"/>
      <c r="AV57" s="471"/>
      <c r="AW57" s="471"/>
      <c r="AX57" s="478"/>
      <c r="AY57" s="493"/>
      <c r="AZ57" s="480"/>
      <c r="BA57" s="493"/>
      <c r="BB57" s="478" t="str">
        <f>IF(OR(C57="",D57=""),"",VLOOKUP(C57,'Base de Diseño (2)'!$A$2:$D$330,4,FALSE))</f>
        <v/>
      </c>
      <c r="BC57" s="478" t="str">
        <f>IF(OR(C57="",D57=""),"",VLOOKUP(D57,'Base de Diseño (2)'!$A$2:$D$330,4,FALSE))</f>
        <v/>
      </c>
      <c r="BD57" s="23"/>
      <c r="BE57" s="23"/>
      <c r="BF57" s="494"/>
      <c r="BG57" s="494"/>
      <c r="BH57" s="495"/>
      <c r="BI57" s="495"/>
      <c r="BJ57" s="468"/>
      <c r="BK57" s="475"/>
      <c r="BL57" s="475"/>
      <c r="BM57" s="475"/>
      <c r="BN57" s="475"/>
      <c r="BO57" s="204"/>
      <c r="BP57" s="496"/>
      <c r="BQ57" s="497"/>
      <c r="BR57" s="497"/>
      <c r="BS57" s="475"/>
      <c r="BT57" s="475"/>
      <c r="BU57" s="475"/>
      <c r="BV57" s="475"/>
      <c r="BW57" s="475"/>
      <c r="BX57" s="475"/>
      <c r="BY57" s="475"/>
      <c r="BZ57" s="475"/>
      <c r="CA57" s="471"/>
      <c r="CB57" s="471"/>
      <c r="CC57" s="471" t="e">
        <f t="shared" si="2"/>
        <v>#DIV/0!</v>
      </c>
      <c r="CD57" s="471"/>
      <c r="CE57" s="471"/>
      <c r="CF57" s="471"/>
      <c r="CG57" s="471"/>
      <c r="CH57" s="471"/>
      <c r="CI57" s="471"/>
      <c r="CJ57" s="471"/>
      <c r="CK57" s="468"/>
      <c r="CL57" s="482"/>
      <c r="CM57" s="482"/>
      <c r="CN57" s="63"/>
      <c r="CO57" s="498"/>
      <c r="CP57" s="472"/>
      <c r="CQ57" s="482"/>
      <c r="CR57" s="204"/>
      <c r="CS57" s="486"/>
      <c r="CT57" s="486"/>
      <c r="CU57" s="23"/>
      <c r="CV57" s="499"/>
      <c r="CW57" s="488"/>
      <c r="CX57" s="204"/>
      <c r="CY57" s="482"/>
      <c r="CZ57" s="482"/>
      <c r="DA57" s="482"/>
      <c r="DB57" s="490"/>
    </row>
    <row r="58" spans="1:106" ht="15.75" hidden="1" customHeight="1">
      <c r="A58" s="465">
        <v>28</v>
      </c>
      <c r="B58" s="491">
        <v>1</v>
      </c>
      <c r="C58" s="466" t="s">
        <v>2245</v>
      </c>
      <c r="D58" s="466" t="s">
        <v>2088</v>
      </c>
      <c r="E58" s="468"/>
      <c r="F58" s="468"/>
      <c r="G58" s="468">
        <f>IF(B58=1,0,SUMIF($D$22:$D$583,C58,$H$22:$H$583))</f>
        <v>0</v>
      </c>
      <c r="H58" s="468">
        <f>+E58+F58+G58</f>
        <v>0</v>
      </c>
      <c r="I58" s="468"/>
      <c r="J58" s="468"/>
      <c r="K58" s="467">
        <f>+IF(B58=1,0,SUMIF($D$22:$D$583,C58,$L$22:$L$580))</f>
        <v>0</v>
      </c>
      <c r="L58" s="468">
        <f>+I58+J58+K58</f>
        <v>0</v>
      </c>
      <c r="M58" s="469">
        <f>+$P$12</f>
        <v>242.33666300502347</v>
      </c>
      <c r="N58" s="470">
        <f>M58*E58</f>
        <v>0</v>
      </c>
      <c r="O58" s="470">
        <f>M58*F58</f>
        <v>0</v>
      </c>
      <c r="P58" s="470">
        <f>M58*H58</f>
        <v>0</v>
      </c>
      <c r="Q58" s="469">
        <f>+$H$14</f>
        <v>140</v>
      </c>
      <c r="R58" s="471">
        <f>Q58*P58*$P$14/86400</f>
        <v>0</v>
      </c>
      <c r="S58" s="471"/>
      <c r="T58" s="471"/>
      <c r="U58" s="471">
        <f>IF(C58="","",T58*$P$17)</f>
        <v>0</v>
      </c>
      <c r="V58" s="471"/>
      <c r="W58" s="471"/>
      <c r="X58" s="471">
        <f>IF(C58="","",W58*$P$16)</f>
        <v>0</v>
      </c>
      <c r="Y58" s="471">
        <f>IF(H58=0,0,$H$15*H58)</f>
        <v>0</v>
      </c>
      <c r="Z58" s="471">
        <f>IF(L58=0,$H$16*H58,0)</f>
        <v>0</v>
      </c>
      <c r="AA58" s="471">
        <f t="shared" si="0"/>
        <v>3.8</v>
      </c>
      <c r="AB58" s="471">
        <f>R58*AA58</f>
        <v>0</v>
      </c>
      <c r="AC58" s="471">
        <f>Q58*(N58+O58)*$P$14/86400</f>
        <v>0</v>
      </c>
      <c r="AD58" s="471">
        <f>IF(E58=0,0,$H$15*(E58+F58))</f>
        <v>0</v>
      </c>
      <c r="AE58" s="471">
        <f>IF(F58=0,0,$H$15*(F58+G58))</f>
        <v>0</v>
      </c>
      <c r="AF58" s="471">
        <f>IF(N58="","",IF(1+((14/(4+(((N58+O58)+O58)/1000)^1/2)))&lt;1.4,1.4,IF(1+((14/(4+((N58+O58)/1000)^1/2)))&gt;=4,4,(1+((14/(4+((N58+O58)/1000)^1/2)))))))</f>
        <v>4</v>
      </c>
      <c r="AG58" s="471">
        <f>AC58*AF58</f>
        <v>0</v>
      </c>
      <c r="AH58" s="471">
        <f>+AD58+AE58+AG58</f>
        <v>0</v>
      </c>
      <c r="AI58" s="471">
        <f>IF(H58="","",IF(AB58+Y58+Z58+X58+U58&lt;1.5,1.5,AB58+Y58+Z58+X58+U58))</f>
        <v>1.5</v>
      </c>
      <c r="AJ58" s="471">
        <f>+$P$17</f>
        <v>0.75</v>
      </c>
      <c r="AK58" s="472">
        <f>+BK58/100</f>
        <v>0.10895337463319481</v>
      </c>
      <c r="AL58" s="471">
        <f>IF(AJ58=0," ",0.14+0.65*AJ58+0.05*AK58)</f>
        <v>0.63294766873165975</v>
      </c>
      <c r="AM58" s="473">
        <f>((100/36)*$AM$14*(AP58+$AN$14)^$AO$14)</f>
        <v>336.32613267542746</v>
      </c>
      <c r="AN58" s="474">
        <f t="shared" si="1"/>
        <v>5</v>
      </c>
      <c r="AO58" s="474">
        <f>((1/60)*$AX58/$AQ58)</f>
        <v>0.1703888888888889</v>
      </c>
      <c r="AP58" s="474">
        <f>IF(B58=1,IF(($AN58+$AO58)&lt;10,10,IF(($AN58+$AO58)&gt;20,20,($AN58+$AO58))),($AN58+$AO58))</f>
        <v>10</v>
      </c>
      <c r="AQ58" s="475">
        <v>3</v>
      </c>
      <c r="AR58" s="474" t="e">
        <f>((1/60)*$AX58/$BT58)</f>
        <v>#VALUE!</v>
      </c>
      <c r="AS58" s="474" t="e">
        <f>AO58/AR58</f>
        <v>#VALUE!</v>
      </c>
      <c r="AT58" s="471" t="e">
        <f>IF(AS58&lt;0.9,"Disminuir vel.",IF(AS58&gt;1.1,"Aumentar vel.","Cumple"))</f>
        <v>#VALUE!</v>
      </c>
      <c r="AU58" s="492">
        <f>+I58*AL58*AM58</f>
        <v>0</v>
      </c>
      <c r="AV58" s="471">
        <f>+L58*AL58*AM58</f>
        <v>0</v>
      </c>
      <c r="AW58" s="471">
        <f>ROUND(IF(AI58&gt;(AV58*0.05),(AV58+AI58),AV58),2)</f>
        <v>1.5</v>
      </c>
      <c r="AX58" s="478">
        <f>IF(OR(C58="",D58=""),"",ROUND(((VLOOKUP(C58,'Base de Diseño (2)'!$A$2:$C$333,2,FALSE)-VLOOKUP(D58,'Base de Diseño (2)'!$A$2:$C$333,2,FALSE))^2+(VLOOKUP(C58,'Base de Diseño (2)'!$A$2:$C$333,3,0)-VLOOKUP(D58,'Base de Diseño (2)'!$A$2:$C$333,3,FALSE))^2)^0.5,2))</f>
        <v>30.67</v>
      </c>
      <c r="AY58" s="493">
        <v>13.08</v>
      </c>
      <c r="AZ58" s="480">
        <f>IF(AND(L58="",H58=""),"",IF(BA58=4,VLOOKUP(AY58,'TABLA (2)'!$A$74:$C$89,2),IF(BA58=5,VLOOKUP(AY58,'TABLA (2)'!$A$51:$B$66,2),IF(BA58=6,VLOOKUP(AY58,'TABLA (2)'!$A$9:$B$43,2)))))</f>
        <v>300</v>
      </c>
      <c r="BA58" s="493">
        <v>6</v>
      </c>
      <c r="BB58" s="478">
        <f>IF(OR(C58="",D58=""),"",VLOOKUP(C58,'Base de Diseño (2)'!$A$2:$D$330,4,FALSE))</f>
        <v>963.75160000000005</v>
      </c>
      <c r="BC58" s="478">
        <f>IF(OR(C58="",D58=""),"",VLOOKUP(D58,'Base de Diseño (2)'!$A$2:$D$330,4,FALSE))</f>
        <v>960.41</v>
      </c>
      <c r="BD58" s="23">
        <f>+BF58-((AZ58/1000)+CX58)</f>
        <v>0.19299999999996365</v>
      </c>
      <c r="BE58" s="23">
        <f>+BG58-((AZ58/1000)+CX58)</f>
        <v>0.15300000000000002</v>
      </c>
      <c r="BF58" s="494">
        <v>0.53999999999996362</v>
      </c>
      <c r="BG58" s="494">
        <v>0.5</v>
      </c>
      <c r="BH58" s="495">
        <f>BB58-BF58</f>
        <v>963.21160000000009</v>
      </c>
      <c r="BI58" s="495">
        <f>BC58-BG58</f>
        <v>959.91</v>
      </c>
      <c r="BJ58" s="468">
        <f>IF(A58="",0,BI58-BH59)</f>
        <v>959.91</v>
      </c>
      <c r="BK58" s="475">
        <f>ABS((BB58-BC58)/AX58)*100</f>
        <v>10.89533746331948</v>
      </c>
      <c r="BL58" s="475">
        <f>((BH58-BI58)/AX58)*100</f>
        <v>10.764916856863779</v>
      </c>
      <c r="BM58" s="475">
        <f>IF(BA58=6,(1/0.013)*((AZ58/4000)^(2/3))*((BL58/100)^(0.5)),(1/0.009)*((AZ58/4000)^(2/3))*((BL58/100)^(0.5)))</f>
        <v>4.4885165401851381</v>
      </c>
      <c r="BN58" s="475">
        <f>1000*BM58*PI()*((AZ58/1000/2)^2)</f>
        <v>317.27453823364289</v>
      </c>
      <c r="BO58" s="204">
        <f>AI58/BN58</f>
        <v>4.7277667106567214E-3</v>
      </c>
      <c r="BP58" s="496" t="str">
        <f>IF(L58=0," ",AW58/BN58)</f>
        <v xml:space="preserve"> </v>
      </c>
      <c r="BQ58" s="497">
        <f>IF($BO58&gt;0 =AND($BO58&lt;=0.06),10^(0.029806+0.29095*LOG($BO58)),IF($BO58&gt;0.06 =AND($BO58&lt;=0.26),10^(0.013778+0.282597*LOG($BO58)),IF($BO58&gt;0.26 =AND($BO58&lt;=0.91),10^(0.021763+0.28995*LOG($BO58)),1)))</f>
        <v>0.22555225550093977</v>
      </c>
      <c r="BR58" s="497" t="str">
        <f>IF($BP58&gt;0 =AND($BP58&lt;=0.06),10^(0.029806+0.29095*LOG($BP58)),IF($BP58&gt;0.06 =AND($BP58&lt;=0.26),10^(0.013778+0.282597*LOG($BP58)),IF($BP58&gt;0.26 =AND($BP58&lt;=2),10^(0.021763+0.28995*LOG($BP58))," ")))</f>
        <v xml:space="preserve"> </v>
      </c>
      <c r="BS58" s="475">
        <f>BM58*BQ58</f>
        <v>1.0123950294920325</v>
      </c>
      <c r="BT58" s="475" t="str">
        <f>IF(BP58=" "," ",(BM58*BR58))</f>
        <v xml:space="preserve"> </v>
      </c>
      <c r="BU58" s="475">
        <f>IF(BO58&lt;=0.11,0.3827+0.0645*LN(BO58),IF(BO58&lt;=0.21,0.60025+0.15471*LN(BO58),IF(BO58&lt;1,0.225+0.6666666667*BO58,0)))</f>
        <v>3.7347498929816869E-2</v>
      </c>
      <c r="BV58" s="475" t="str">
        <f>IF(BP58&lt;=0.11,0.3827+0.0645*LN(BP58),IF(BP58&lt;=0.21,0.60025+0.15471*LN(BP58),IF(BP58&lt;1,0.225+0.6666666667*BP58," ")))</f>
        <v xml:space="preserve"> </v>
      </c>
      <c r="BW58" s="475">
        <f>2*ACOS(1-2*(BU58))</f>
        <v>0.77791448035704081</v>
      </c>
      <c r="BX58" s="475" t="str">
        <f>IF(BP58=" "," ",(2*ACOS(1-2*(BV58))))</f>
        <v xml:space="preserve"> </v>
      </c>
      <c r="BY58" s="475">
        <f>(1/4)*(1-(SIN(BW58))/BW58)</f>
        <v>2.4462590545094809E-2</v>
      </c>
      <c r="BZ58" s="475" t="str">
        <f>IF(BP58=" "," ",((1/4)*(1-(SIN(BX58))/BX58)))</f>
        <v xml:space="preserve"> </v>
      </c>
      <c r="CA58" s="471">
        <f>BY58*AZ58/1000</f>
        <v>7.3387771635284428E-3</v>
      </c>
      <c r="CB58" s="471" t="str">
        <f>IF(BP58=" "," ",(BZ58*AZ58/1000))</f>
        <v xml:space="preserve"> </v>
      </c>
      <c r="CC58" s="471" t="e">
        <f t="shared" si="2"/>
        <v>#VALUE!</v>
      </c>
      <c r="CD58" s="471" t="e">
        <f>IF(CC58="","",IF(CC58&lt;0.7,"F. Subcrítico",IF(AND(CC58&gt;0.7,CC58&lt;1),"F. Subcrítico Inestable",IF(CC58=1,"F. Crítico",IF(AND(CC58&gt;1,CC58&lt;1.5),"F. Supercrítico Inestable",IF(CC58&gt;1.5,"F. Supercrítico",""))))))</f>
        <v>#VALUE!</v>
      </c>
      <c r="CE58" s="471">
        <f>1000*BL58*CA58/100</f>
        <v>0.79001325996434291</v>
      </c>
      <c r="CF58" s="471" t="str">
        <f>IF(BP58=" "," ",(1000*BL58*CB58/100))</f>
        <v xml:space="preserve"> </v>
      </c>
      <c r="CG58" s="471" t="str">
        <f>IF(BS58&lt;0.45,"No cumple",IF(BS58&gt;5,"No cumple","O.K"))</f>
        <v>O.K</v>
      </c>
      <c r="CH58" s="471" t="str">
        <f>IF(BT58&lt;0.75,"No cumple",IF(BT58&gt;10,"No cumple","O.K"))</f>
        <v>No cumple</v>
      </c>
      <c r="CI58" s="471" t="str">
        <f>IF(CE58&gt;0.1,"OK","V.C.H.")</f>
        <v>OK</v>
      </c>
      <c r="CJ58" s="471" t="str">
        <f>IF(CF58&gt;0.2,"OK","V.C.H.")</f>
        <v>OK</v>
      </c>
      <c r="CK58" s="468">
        <f>+BJ58</f>
        <v>959.91</v>
      </c>
      <c r="CL58" s="482" t="s">
        <v>2507</v>
      </c>
      <c r="CM58" s="482"/>
      <c r="CN58" s="63" t="str">
        <f>IF(B58=1,"dato"," ")</f>
        <v>dato</v>
      </c>
      <c r="CO58" s="498">
        <f>+CR58</f>
        <v>30.67</v>
      </c>
      <c r="CP58" s="472">
        <f>+BK58/100</f>
        <v>0.10895337463319481</v>
      </c>
      <c r="CQ58" s="482" t="s">
        <v>2508</v>
      </c>
      <c r="CR58" s="204">
        <f>IF(BA58="","",AX58)</f>
        <v>30.67</v>
      </c>
      <c r="CS58" s="486">
        <v>1.2</v>
      </c>
      <c r="CT58" s="486">
        <v>1.2</v>
      </c>
      <c r="CU58" s="23">
        <f>IF($BA58="","",SQRT((BH58-BI58)^2+$CR58^2))</f>
        <v>30.847195375917096</v>
      </c>
      <c r="CV58" s="499" t="s">
        <v>2509</v>
      </c>
      <c r="CW58" s="488" t="str">
        <f>+IF(BD58&lt;=0.9,"E1",IF(BD58&lt;=2.5,"E2","E3"))</f>
        <v>E1</v>
      </c>
      <c r="CX58" s="204">
        <f>IF(AND(L58="",H58=""),"",IF(AND(BA58&lt;&gt;4,BA58&lt;&gt;5),VLOOKUP(AY58,'TABLA (2)'!$A$9:$D$43,4),IF(BA58=4,VLOOKUP(AY58,'TABLA (2)'!$A$74:$D$89,4),VLOOKUP(AY58,'TABLA (2)'!$A$51:$D$66,4))))</f>
        <v>4.7E-2</v>
      </c>
      <c r="CY58" s="482"/>
      <c r="CZ58" s="482"/>
      <c r="DA58" s="482"/>
      <c r="DB58" s="490"/>
    </row>
    <row r="59" spans="1:106" ht="15.75" hidden="1" customHeight="1">
      <c r="A59" s="465"/>
      <c r="B59" s="491"/>
      <c r="C59" s="501"/>
      <c r="D59" s="501"/>
      <c r="E59" s="468"/>
      <c r="F59" s="468"/>
      <c r="G59" s="468"/>
      <c r="H59" s="468"/>
      <c r="I59" s="468"/>
      <c r="J59" s="468"/>
      <c r="K59" s="467"/>
      <c r="L59" s="468"/>
      <c r="M59" s="469"/>
      <c r="N59" s="470"/>
      <c r="O59" s="470"/>
      <c r="P59" s="470"/>
      <c r="Q59" s="469"/>
      <c r="R59" s="471"/>
      <c r="S59" s="471"/>
      <c r="T59" s="471"/>
      <c r="U59" s="471"/>
      <c r="V59" s="471"/>
      <c r="W59" s="471"/>
      <c r="X59" s="471"/>
      <c r="Y59" s="471"/>
      <c r="Z59" s="471"/>
      <c r="AA59" s="471" t="str">
        <f t="shared" si="0"/>
        <v/>
      </c>
      <c r="AB59" s="471"/>
      <c r="AC59" s="471"/>
      <c r="AD59" s="471"/>
      <c r="AE59" s="471"/>
      <c r="AF59" s="471"/>
      <c r="AG59" s="471"/>
      <c r="AH59" s="471"/>
      <c r="AI59" s="471"/>
      <c r="AJ59" s="471"/>
      <c r="AK59" s="472"/>
      <c r="AL59" s="471"/>
      <c r="AM59" s="473"/>
      <c r="AN59" s="474">
        <f t="shared" si="1"/>
        <v>10</v>
      </c>
      <c r="AO59" s="474"/>
      <c r="AP59" s="474"/>
      <c r="AQ59" s="475">
        <v>3</v>
      </c>
      <c r="AR59" s="474"/>
      <c r="AS59" s="474"/>
      <c r="AT59" s="471"/>
      <c r="AU59" s="492"/>
      <c r="AV59" s="471"/>
      <c r="AW59" s="471"/>
      <c r="AX59" s="478"/>
      <c r="AY59" s="493"/>
      <c r="AZ59" s="480"/>
      <c r="BA59" s="493"/>
      <c r="BB59" s="478" t="str">
        <f>IF(OR(C59="",D59=""),"",VLOOKUP(C59,'Base de Diseño (2)'!$A$2:$D$330,4,FALSE))</f>
        <v/>
      </c>
      <c r="BC59" s="478" t="str">
        <f>IF(OR(C59="",D59=""),"",VLOOKUP(D59,'Base de Diseño (2)'!$A$2:$D$330,4,FALSE))</f>
        <v/>
      </c>
      <c r="BD59" s="23"/>
      <c r="BE59" s="23"/>
      <c r="BF59" s="494"/>
      <c r="BG59" s="494"/>
      <c r="BH59" s="495"/>
      <c r="BI59" s="495"/>
      <c r="BJ59" s="468"/>
      <c r="BK59" s="475"/>
      <c r="BL59" s="475"/>
      <c r="BM59" s="475"/>
      <c r="BN59" s="475"/>
      <c r="BO59" s="204"/>
      <c r="BP59" s="496"/>
      <c r="BQ59" s="497"/>
      <c r="BR59" s="497"/>
      <c r="BS59" s="475"/>
      <c r="BT59" s="475"/>
      <c r="BU59" s="475"/>
      <c r="BV59" s="475"/>
      <c r="BW59" s="475"/>
      <c r="BX59" s="475"/>
      <c r="BY59" s="475"/>
      <c r="BZ59" s="475"/>
      <c r="CA59" s="471"/>
      <c r="CB59" s="471"/>
      <c r="CC59" s="471" t="e">
        <f t="shared" si="2"/>
        <v>#DIV/0!</v>
      </c>
      <c r="CD59" s="471"/>
      <c r="CE59" s="471"/>
      <c r="CF59" s="471"/>
      <c r="CG59" s="471"/>
      <c r="CH59" s="471"/>
      <c r="CI59" s="471"/>
      <c r="CJ59" s="471"/>
      <c r="CK59" s="468"/>
      <c r="CL59" s="482"/>
      <c r="CM59" s="482"/>
      <c r="CN59" s="63"/>
      <c r="CO59" s="498"/>
      <c r="CP59" s="472"/>
      <c r="CQ59" s="482"/>
      <c r="CR59" s="204"/>
      <c r="CS59" s="486"/>
      <c r="CT59" s="486"/>
      <c r="CU59" s="23"/>
      <c r="CV59" s="499"/>
      <c r="CW59" s="488"/>
      <c r="CX59" s="204"/>
      <c r="CY59" s="482"/>
      <c r="CZ59" s="482"/>
      <c r="DA59" s="482"/>
      <c r="DB59" s="490"/>
    </row>
    <row r="60" spans="1:106" ht="15.75" hidden="1" customHeight="1">
      <c r="A60" s="465">
        <v>29</v>
      </c>
      <c r="B60" s="491">
        <v>1</v>
      </c>
      <c r="C60" s="466" t="s">
        <v>2357</v>
      </c>
      <c r="D60" s="466" t="s">
        <v>2089</v>
      </c>
      <c r="E60" s="468"/>
      <c r="F60" s="468"/>
      <c r="G60" s="468">
        <f>IF(B60=1,0,SUMIF($D$22:$D$583,C60,$H$22:$H$583))</f>
        <v>0</v>
      </c>
      <c r="H60" s="468">
        <f>+E60+F60+G60</f>
        <v>0</v>
      </c>
      <c r="I60" s="468"/>
      <c r="J60" s="468"/>
      <c r="K60" s="467">
        <f>+IF(B60=1,0,SUMIF($D$22:$D$583,C60,$L$22:$L$580))</f>
        <v>0</v>
      </c>
      <c r="L60" s="468">
        <f>+I60+J60+K60</f>
        <v>0</v>
      </c>
      <c r="M60" s="469">
        <f>+$P$12</f>
        <v>242.33666300502347</v>
      </c>
      <c r="N60" s="470">
        <f>M60*E60</f>
        <v>0</v>
      </c>
      <c r="O60" s="470">
        <f>M60*F60</f>
        <v>0</v>
      </c>
      <c r="P60" s="470">
        <f>M60*H60</f>
        <v>0</v>
      </c>
      <c r="Q60" s="469">
        <f>+$H$14</f>
        <v>140</v>
      </c>
      <c r="R60" s="471">
        <f>Q60*P60*$P$14/86400</f>
        <v>0</v>
      </c>
      <c r="S60" s="471"/>
      <c r="T60" s="471"/>
      <c r="U60" s="471">
        <f>IF(C60="","",T60*$P$17)</f>
        <v>0</v>
      </c>
      <c r="V60" s="471"/>
      <c r="W60" s="471"/>
      <c r="X60" s="471">
        <f>IF(C60="","",W60*$P$16)</f>
        <v>0</v>
      </c>
      <c r="Y60" s="471">
        <f>IF(H60=0,0,$H$15*H60)</f>
        <v>0</v>
      </c>
      <c r="Z60" s="471">
        <f>IF(L60=0,$H$16*H60,0)</f>
        <v>0</v>
      </c>
      <c r="AA60" s="471">
        <f t="shared" si="0"/>
        <v>3.8</v>
      </c>
      <c r="AB60" s="471">
        <f>R60*AA60</f>
        <v>0</v>
      </c>
      <c r="AC60" s="471">
        <f>Q60*(N60+O60)*$P$14/86400</f>
        <v>0</v>
      </c>
      <c r="AD60" s="471">
        <f>IF(E60=0,0,$H$15*(E60+F60))</f>
        <v>0</v>
      </c>
      <c r="AE60" s="471">
        <f>IF(F60=0,0,$H$15*(F60+G60))</f>
        <v>0</v>
      </c>
      <c r="AF60" s="471">
        <f>IF(N60="","",IF(1+((14/(4+(((N60+O60)+O60)/1000)^1/2)))&lt;1.4,1.4,IF(1+((14/(4+((N60+O60)/1000)^1/2)))&gt;=4,4,(1+((14/(4+((N60+O60)/1000)^1/2)))))))</f>
        <v>4</v>
      </c>
      <c r="AG60" s="471">
        <f>AC60*AF60</f>
        <v>0</v>
      </c>
      <c r="AH60" s="471">
        <f>+AD60+AE60+AG60</f>
        <v>0</v>
      </c>
      <c r="AI60" s="471">
        <f>IF(H60="","",IF(AB60+Y60+Z60+X60+U60&lt;1.5,1.5,AB60+Y60+Z60+X60+U60))</f>
        <v>1.5</v>
      </c>
      <c r="AJ60" s="471">
        <f>+$P$17</f>
        <v>0.75</v>
      </c>
      <c r="AK60" s="472">
        <f>+BK60/100</f>
        <v>7.3463911993562017E-2</v>
      </c>
      <c r="AL60" s="471">
        <f>IF(AJ60=0," ",0.14+0.65*AJ60+0.05*AK60)</f>
        <v>0.63117319559967811</v>
      </c>
      <c r="AM60" s="473">
        <f>((100/36)*$AM$14*(AP60+$AN$14)^$AO$14)</f>
        <v>336.32613267542746</v>
      </c>
      <c r="AN60" s="474">
        <f t="shared" si="1"/>
        <v>5</v>
      </c>
      <c r="AO60" s="474">
        <f>((1/60)*$AX60/$AQ60)</f>
        <v>0.20705555555555558</v>
      </c>
      <c r="AP60" s="474">
        <f>IF(B60=1,IF(($AN60+$AO60)&lt;10,10,IF(($AN60+$AO60)&gt;20,20,($AN60+$AO60))),($AN60+$AO60))</f>
        <v>10</v>
      </c>
      <c r="AQ60" s="475">
        <v>3</v>
      </c>
      <c r="AR60" s="474" t="e">
        <f>((1/60)*$AX60/$BT60)</f>
        <v>#VALUE!</v>
      </c>
      <c r="AS60" s="474" t="e">
        <f>AO60/AR60</f>
        <v>#VALUE!</v>
      </c>
      <c r="AT60" s="471" t="e">
        <f>IF(AS60&lt;0.9,"Disminuir vel.",IF(AS60&gt;1.1,"Aumentar vel.","Cumple"))</f>
        <v>#VALUE!</v>
      </c>
      <c r="AU60" s="492">
        <f>+I60*AL60*AM60</f>
        <v>0</v>
      </c>
      <c r="AV60" s="471">
        <f>+L60*AL60*AM60</f>
        <v>0</v>
      </c>
      <c r="AW60" s="471">
        <f>ROUND(IF(AI60&gt;(AV60*0.05),(AV60+AI60),AV60),2)</f>
        <v>1.5</v>
      </c>
      <c r="AX60" s="478">
        <f>IF(OR(C60="",D60=""),"",ROUND(((VLOOKUP(C60,'Base de Diseño (2)'!$A$2:$C$333,2,FALSE)-VLOOKUP(D60,'Base de Diseño (2)'!$A$2:$C$333,2,FALSE))^2+(VLOOKUP(C60,'Base de Diseño (2)'!$A$2:$C$333,3,0)-VLOOKUP(D60,'Base de Diseño (2)'!$A$2:$C$333,3,FALSE))^2)^0.5,2))</f>
        <v>37.270000000000003</v>
      </c>
      <c r="AY60" s="493">
        <v>24</v>
      </c>
      <c r="AZ60" s="480">
        <f>IF(AND(L60="",H60=""),"",IF(BA60=4,VLOOKUP(AY60,'TABLA (2)'!$A$74:$C$89,2),IF(BA60=5,VLOOKUP(AY60,'TABLA (2)'!$A$51:$B$66,2),IF(BA60=6,VLOOKUP(AY60,'TABLA (2)'!$A$9:$B$43,2)))))</f>
        <v>600</v>
      </c>
      <c r="BA60" s="493">
        <v>6</v>
      </c>
      <c r="BB60" s="478">
        <f>IF(OR(C60="",D60=""),"",VLOOKUP(C60,'Base de Diseño (2)'!$A$2:$D$330,4,FALSE))</f>
        <v>965.06799999999998</v>
      </c>
      <c r="BC60" s="478">
        <f>IF(OR(C60="",D60=""),"",VLOOKUP(D60,'Base de Diseño (2)'!$A$2:$D$330,4,FALSE))</f>
        <v>962.32999999999993</v>
      </c>
      <c r="BD60" s="23">
        <f>+BF60-((AZ60/1000)+CX60)</f>
        <v>0.62799999999995459</v>
      </c>
      <c r="BE60" s="23">
        <f>+BG60-((AZ60/1000)+CX60)</f>
        <v>0.22799999999997733</v>
      </c>
      <c r="BF60" s="494">
        <v>1.2999999999999545</v>
      </c>
      <c r="BG60" s="494">
        <v>0.89999999999997726</v>
      </c>
      <c r="BH60" s="495">
        <f>BB60-BF60</f>
        <v>963.76800000000003</v>
      </c>
      <c r="BI60" s="495">
        <f>BC60-BG60</f>
        <v>961.43</v>
      </c>
      <c r="BJ60" s="468">
        <f>IF(A60="",0,BI60-BH61)</f>
        <v>961.43</v>
      </c>
      <c r="BK60" s="475">
        <f>ABS((BB60-BC60)/AX60)*100</f>
        <v>7.3463911993562014</v>
      </c>
      <c r="BL60" s="475">
        <f>((BH60-BI60)/AX60)*100</f>
        <v>6.2731419372151302</v>
      </c>
      <c r="BM60" s="475">
        <f>IF(BA60=6,(1/0.013)*((AZ60/4000)^(2/3))*((BL60/100)^(0.5)),(1/0.009)*((AZ60/4000)^(2/3))*((BL60/100)^(0.5)))</f>
        <v>5.439095832045945</v>
      </c>
      <c r="BN60" s="475">
        <f>1000*BM60*PI()*((AZ60/1000/2)^2)</f>
        <v>1537.8681157313763</v>
      </c>
      <c r="BO60" s="204">
        <f>AI60/BN60</f>
        <v>9.7537622677522839E-4</v>
      </c>
      <c r="BP60" s="496" t="str">
        <f>IF(L60=0," ",AW60/BN60)</f>
        <v xml:space="preserve"> </v>
      </c>
      <c r="BQ60" s="497">
        <f>IF($BO60&gt;0 =AND($BO60&lt;=0.06),10^(0.029806+0.29095*LOG($BO60)),IF($BO60&gt;0.06 =AND($BO60&lt;=0.26),10^(0.013778+0.282597*LOG($BO60)),IF($BO60&gt;0.26 =AND($BO60&lt;=0.91),10^(0.021763+0.28995*LOG($BO60)),1)))</f>
        <v>0.14249697392712002</v>
      </c>
      <c r="BR60" s="497" t="str">
        <f>IF($BP60&gt;0 =AND($BP60&lt;=0.06),10^(0.029806+0.29095*LOG($BP60)),IF($BP60&gt;0.06 =AND($BP60&lt;=0.26),10^(0.013778+0.282597*LOG($BP60)),IF($BP60&gt;0.26 =AND($BP60&lt;=2),10^(0.021763+0.28995*LOG($BP60))," ")))</f>
        <v xml:space="preserve"> </v>
      </c>
      <c r="BS60" s="475">
        <f>BM60*BQ60</f>
        <v>0.77505469696615814</v>
      </c>
      <c r="BT60" s="475" t="str">
        <f>IF(BP60=" "," ",(BM60*BR60))</f>
        <v xml:space="preserve"> </v>
      </c>
      <c r="BU60" s="475">
        <f>IF(BO60&lt;=0.11,0.3827+0.0645*LN(BO60),IF(BO60&lt;=0.21,0.60025+0.15471*LN(BO60),IF(BO60&lt;1,0.225+0.6666666667*BO60,0)))</f>
        <v>-6.4458330061867131E-2</v>
      </c>
      <c r="BV60" s="475" t="str">
        <f>IF(BP60&lt;=0.11,0.3827+0.0645*LN(BP60),IF(BP60&lt;=0.21,0.60025+0.15471*LN(BP60),IF(BP60&lt;1,0.225+0.6666666667*BP60," ")))</f>
        <v xml:space="preserve"> </v>
      </c>
      <c r="BW60" s="475" t="e">
        <f>2*ACOS(1-2*(BU60))</f>
        <v>#NUM!</v>
      </c>
      <c r="BX60" s="475" t="str">
        <f>IF(BP60=" "," ",(2*ACOS(1-2*(BV60))))</f>
        <v xml:space="preserve"> </v>
      </c>
      <c r="BY60" s="475" t="e">
        <f>(1/4)*(1-(SIN(BW60))/BW60)</f>
        <v>#NUM!</v>
      </c>
      <c r="BZ60" s="475" t="str">
        <f>IF(BP60=" "," ",((1/4)*(1-(SIN(BX60))/BX60)))</f>
        <v xml:space="preserve"> </v>
      </c>
      <c r="CA60" s="471" t="e">
        <f>BY60*AZ60/1000</f>
        <v>#NUM!</v>
      </c>
      <c r="CB60" s="471" t="str">
        <f>IF(BP60=" "," ",(BZ60*AZ60/1000))</f>
        <v xml:space="preserve"> </v>
      </c>
      <c r="CC60" s="471" t="e">
        <f t="shared" si="2"/>
        <v>#VALUE!</v>
      </c>
      <c r="CD60" s="471" t="e">
        <f>IF(CC60="","",IF(CC60&lt;0.7,"F. Subcrítico",IF(AND(CC60&gt;0.7,CC60&lt;1),"F. Subcrítico Inestable",IF(CC60=1,"F. Crítico",IF(AND(CC60&gt;1,CC60&lt;1.5),"F. Supercrítico Inestable",IF(CC60&gt;1.5,"F. Supercrítico",""))))))</f>
        <v>#VALUE!</v>
      </c>
      <c r="CE60" s="471" t="e">
        <f>1000*BL60*CA60/100</f>
        <v>#NUM!</v>
      </c>
      <c r="CF60" s="471" t="str">
        <f>IF(BP60=" "," ",(1000*BL60*CB60/100))</f>
        <v xml:space="preserve"> </v>
      </c>
      <c r="CG60" s="471" t="str">
        <f>IF(BS60&lt;0.45,"No cumple",IF(BS60&gt;5,"No cumple","O.K"))</f>
        <v>O.K</v>
      </c>
      <c r="CH60" s="471" t="str">
        <f>IF(BT60&lt;0.75,"No cumple",IF(BT60&gt;10,"No cumple","O.K"))</f>
        <v>No cumple</v>
      </c>
      <c r="CI60" s="471" t="e">
        <f>IF(CE60&gt;0.1,"OK","V.C.H.")</f>
        <v>#NUM!</v>
      </c>
      <c r="CJ60" s="471" t="str">
        <f>IF(CF60&gt;0.2,"OK","V.C.H.")</f>
        <v>OK</v>
      </c>
      <c r="CK60" s="468">
        <f>+BJ60</f>
        <v>961.43</v>
      </c>
      <c r="CL60" s="482" t="s">
        <v>2507</v>
      </c>
      <c r="CM60" s="482"/>
      <c r="CN60" s="63" t="str">
        <f>IF(B60=1,"dato"," ")</f>
        <v>dato</v>
      </c>
      <c r="CO60" s="498">
        <f>+CR60</f>
        <v>37.270000000000003</v>
      </c>
      <c r="CP60" s="472">
        <f>+BK60/100</f>
        <v>7.3463911993562017E-2</v>
      </c>
      <c r="CQ60" s="482" t="s">
        <v>2508</v>
      </c>
      <c r="CR60" s="204">
        <f>IF(BA60="","",AX60)</f>
        <v>37.270000000000003</v>
      </c>
      <c r="CS60" s="486">
        <v>1.2</v>
      </c>
      <c r="CT60" s="486">
        <v>1.2</v>
      </c>
      <c r="CU60" s="23">
        <f>IF($BA60="","",SQRT((BH60-BI60)^2+$CR60^2))</f>
        <v>37.343261025250598</v>
      </c>
      <c r="CV60" s="499" t="s">
        <v>2509</v>
      </c>
      <c r="CW60" s="488" t="str">
        <f>+IF(BD60&lt;=0.9,"E1",IF(BD60&lt;=2.5,"E2","E3"))</f>
        <v>E1</v>
      </c>
      <c r="CX60" s="204">
        <f>IF(AND(L60="",H60=""),"",IF(AND(BA60&lt;&gt;4,BA60&lt;&gt;5),VLOOKUP(AY60,'TABLA (2)'!$A$9:$D$43,4),IF(BA60=4,VLOOKUP(AY60,'TABLA (2)'!$A$74:$D$89,4),VLOOKUP(AY60,'TABLA (2)'!$A$51:$D$66,4))))</f>
        <v>7.1999999999999995E-2</v>
      </c>
      <c r="CY60" s="482"/>
      <c r="CZ60" s="482"/>
      <c r="DA60" s="482"/>
      <c r="DB60" s="490"/>
    </row>
    <row r="61" spans="1:106" ht="15.75" hidden="1" customHeight="1">
      <c r="A61" s="465"/>
      <c r="B61" s="491"/>
      <c r="C61" s="468"/>
      <c r="D61" s="468"/>
      <c r="E61" s="468"/>
      <c r="F61" s="468"/>
      <c r="G61" s="468"/>
      <c r="H61" s="468"/>
      <c r="I61" s="468"/>
      <c r="J61" s="468"/>
      <c r="K61" s="467"/>
      <c r="L61" s="468"/>
      <c r="M61" s="469"/>
      <c r="N61" s="470"/>
      <c r="O61" s="470"/>
      <c r="P61" s="470"/>
      <c r="Q61" s="469"/>
      <c r="R61" s="471"/>
      <c r="S61" s="471"/>
      <c r="T61" s="471"/>
      <c r="U61" s="471"/>
      <c r="V61" s="471"/>
      <c r="W61" s="471"/>
      <c r="X61" s="471"/>
      <c r="Y61" s="471"/>
      <c r="Z61" s="471"/>
      <c r="AA61" s="471" t="str">
        <f t="shared" si="0"/>
        <v/>
      </c>
      <c r="AB61" s="471"/>
      <c r="AC61" s="471"/>
      <c r="AD61" s="471"/>
      <c r="AE61" s="471"/>
      <c r="AF61" s="471"/>
      <c r="AG61" s="471"/>
      <c r="AH61" s="471"/>
      <c r="AI61" s="471"/>
      <c r="AJ61" s="471"/>
      <c r="AK61" s="472"/>
      <c r="AL61" s="471"/>
      <c r="AM61" s="473"/>
      <c r="AN61" s="474">
        <f t="shared" si="1"/>
        <v>10</v>
      </c>
      <c r="AO61" s="474"/>
      <c r="AP61" s="474"/>
      <c r="AQ61" s="475"/>
      <c r="AR61" s="474"/>
      <c r="AS61" s="474"/>
      <c r="AT61" s="471"/>
      <c r="AU61" s="492"/>
      <c r="AV61" s="471"/>
      <c r="AW61" s="471"/>
      <c r="AX61" s="478"/>
      <c r="AY61" s="493"/>
      <c r="AZ61" s="480"/>
      <c r="BA61" s="493"/>
      <c r="BB61" s="478" t="str">
        <f>IF(OR(C61="",D61=""),"",VLOOKUP(C61,'Base de Diseño (2)'!$A$2:$D$330,4,FALSE))</f>
        <v/>
      </c>
      <c r="BC61" s="494"/>
      <c r="BD61" s="494"/>
      <c r="BE61" s="494"/>
      <c r="BF61" s="494"/>
      <c r="BG61" s="494"/>
      <c r="BH61" s="495"/>
      <c r="BI61" s="495"/>
      <c r="BJ61" s="468"/>
      <c r="BK61" s="475"/>
      <c r="BL61" s="475"/>
      <c r="BM61" s="475"/>
      <c r="BN61" s="475"/>
      <c r="BO61" s="204"/>
      <c r="BP61" s="496"/>
      <c r="BQ61" s="475"/>
      <c r="BR61" s="475"/>
      <c r="BS61" s="475"/>
      <c r="BT61" s="475"/>
      <c r="BU61" s="475"/>
      <c r="BV61" s="475"/>
      <c r="BW61" s="475"/>
      <c r="BX61" s="475"/>
      <c r="BY61" s="475"/>
      <c r="BZ61" s="475"/>
      <c r="CA61" s="471"/>
      <c r="CB61" s="471"/>
      <c r="CC61" s="471"/>
      <c r="CD61" s="471"/>
      <c r="CE61" s="471"/>
      <c r="CF61" s="471"/>
      <c r="CG61" s="471"/>
      <c r="CH61" s="471"/>
      <c r="CI61" s="471"/>
      <c r="CJ61" s="471"/>
      <c r="CK61" s="468"/>
      <c r="CL61" s="482"/>
      <c r="CM61" s="482"/>
      <c r="CN61" s="63"/>
      <c r="CO61" s="498"/>
      <c r="CP61" s="472"/>
      <c r="CQ61" s="482"/>
      <c r="CR61" s="204"/>
      <c r="CS61" s="486"/>
      <c r="CT61" s="486"/>
      <c r="CU61" s="23"/>
      <c r="CV61" s="499"/>
      <c r="CW61" s="488"/>
      <c r="CX61" s="204"/>
      <c r="CY61" s="482"/>
      <c r="CZ61" s="482"/>
      <c r="DA61" s="482"/>
      <c r="DB61" s="490"/>
    </row>
    <row r="62" spans="1:106" ht="15.75" hidden="1" customHeight="1">
      <c r="A62" s="465">
        <v>30</v>
      </c>
      <c r="B62" s="491">
        <v>1</v>
      </c>
      <c r="C62" s="466" t="s">
        <v>2243</v>
      </c>
      <c r="D62" s="466" t="s">
        <v>2360</v>
      </c>
      <c r="E62" s="468">
        <v>0.27233390819999997</v>
      </c>
      <c r="F62" s="468"/>
      <c r="G62" s="468">
        <f>IF(B62=1,0,SUMIF($D$22:$D$583,C62,$H$22:$H$583))</f>
        <v>0</v>
      </c>
      <c r="H62" s="468">
        <f>+E62+F62+G62</f>
        <v>0.27233390819999997</v>
      </c>
      <c r="I62" s="468">
        <v>0.27233390819999997</v>
      </c>
      <c r="J62" s="468"/>
      <c r="K62" s="467">
        <f>+IF(B62=1,0,SUMIF($D$22:$D$583,C62,$L$22:$L$580))</f>
        <v>0</v>
      </c>
      <c r="L62" s="468">
        <f>+I62+J62+K62</f>
        <v>0.27233390819999997</v>
      </c>
      <c r="M62" s="469">
        <f>+$P$12</f>
        <v>242.33666300502347</v>
      </c>
      <c r="N62" s="470">
        <f>M62*E62</f>
        <v>65.996490536304393</v>
      </c>
      <c r="O62" s="470">
        <f>M62*F62</f>
        <v>0</v>
      </c>
      <c r="P62" s="470">
        <f>M62*H62</f>
        <v>65.996490536304393</v>
      </c>
      <c r="Q62" s="469">
        <f>+$H$14</f>
        <v>140</v>
      </c>
      <c r="R62" s="471">
        <f>Q62*P62*$P$14/86400</f>
        <v>9.0897944141437773E-2</v>
      </c>
      <c r="S62" s="471"/>
      <c r="T62" s="471"/>
      <c r="U62" s="471">
        <f>IF(C62="","",T62*$P$17)</f>
        <v>0</v>
      </c>
      <c r="V62" s="471"/>
      <c r="W62" s="471"/>
      <c r="X62" s="471">
        <f>IF(C62="","",W62*$P$16)</f>
        <v>0</v>
      </c>
      <c r="Y62" s="471">
        <f>IF(H62=0,0,$H$15*H62)</f>
        <v>5.4466781639999996E-2</v>
      </c>
      <c r="Z62" s="471">
        <f>IF(L62=0,$H$16*H62,0)</f>
        <v>0</v>
      </c>
      <c r="AA62" s="471">
        <f t="shared" si="0"/>
        <v>3.8</v>
      </c>
      <c r="AB62" s="471">
        <f>R62*AA62</f>
        <v>0.34541218773746352</v>
      </c>
      <c r="AC62" s="471">
        <f>Q62*(N62+O62)*$P$14/86400</f>
        <v>9.0897944141437773E-2</v>
      </c>
      <c r="AD62" s="471">
        <f t="shared" ref="AD62:AE64" si="146">IF(E62=0,0,$H$15*(E62+F62))</f>
        <v>5.4466781639999996E-2</v>
      </c>
      <c r="AE62" s="471">
        <f t="shared" si="146"/>
        <v>0</v>
      </c>
      <c r="AF62" s="471">
        <f>IF(N62="","",IF(1+((14/(4+(((N62+O62)+O62)/1000)^1/2)))&lt;1.4,1.4,IF(1+((14/(4+((N62+O62)/1000)^1/2)))&gt;=4,4,(1+((14/(4+((N62+O62)/1000)^1/2)))))))</f>
        <v>4</v>
      </c>
      <c r="AG62" s="471">
        <f>AC62*AF62</f>
        <v>0.36359177656575109</v>
      </c>
      <c r="AH62" s="471">
        <f>+AD62+AE62+AG62</f>
        <v>0.41805855820575111</v>
      </c>
      <c r="AI62" s="471">
        <f>IF(H62="","",IF(AB62+Y62+Z62+X62+U62&lt;1.5,1.5,AB62+Y62+Z62+X62+U62))</f>
        <v>1.5</v>
      </c>
      <c r="AJ62" s="471">
        <f>+$P$17</f>
        <v>0.75</v>
      </c>
      <c r="AK62" s="472">
        <f>+BK62/100</f>
        <v>0.13614719683872611</v>
      </c>
      <c r="AL62" s="471">
        <f>IF(AJ62=0," ",0.14+0.65*AJ62+0.05*AK62)</f>
        <v>0.63430735984193631</v>
      </c>
      <c r="AM62" s="473">
        <f>((100/36)*$AM$14*(AP62+$AN$14)^$AO$14)</f>
        <v>336.32613267542746</v>
      </c>
      <c r="AN62" s="474">
        <f t="shared" si="1"/>
        <v>5</v>
      </c>
      <c r="AO62" s="474">
        <f>((1/60)*$AX62/$AQ62)</f>
        <v>0.22494444444444447</v>
      </c>
      <c r="AP62" s="474">
        <f>IF(B62=1,IF(($AN62+$AO62)&lt;10,10,IF(($AN62+$AO62)&gt;20,20,($AN62+$AO62))),($AN62+$AO62))</f>
        <v>10</v>
      </c>
      <c r="AQ62" s="475">
        <v>3</v>
      </c>
      <c r="AR62" s="474">
        <f>((1/60)*$AX62/$BT62)</f>
        <v>0.20416822446467289</v>
      </c>
      <c r="AS62" s="474">
        <f>AO62/AR62</f>
        <v>1.101760301017686</v>
      </c>
      <c r="AT62" s="471" t="str">
        <f>IF(AS62&lt;0.9,"Disminuir vel.",IF(AS62&gt;1.1,"Aumentar vel.","Cumple"))</f>
        <v>Aumentar vel.</v>
      </c>
      <c r="AU62" s="492">
        <f>+I62*AL62*AM62</f>
        <v>58.098120442697912</v>
      </c>
      <c r="AV62" s="471">
        <f>+L62*AL62*AM62</f>
        <v>58.098120442697912</v>
      </c>
      <c r="AW62" s="471">
        <f>ROUND(IF(AI62&gt;(AV62*0.05),(AV62+AI62),AV62),2)</f>
        <v>58.1</v>
      </c>
      <c r="AX62" s="478">
        <f>IF(OR(C62="",D62=""),"",ROUND(((VLOOKUP(C62,'Base de Diseño (2)'!$A$2:$C$333,2,FALSE)-VLOOKUP(D62,'Base de Diseño (2)'!$A$2:$C$333,2,FALSE))^2+(VLOOKUP(C62,'Base de Diseño (2)'!$A$2:$C$333,3,0)-VLOOKUP(D62,'Base de Diseño (2)'!$A$2:$C$333,3,FALSE))^2)^0.5,2))</f>
        <v>40.49</v>
      </c>
      <c r="AY62" s="493">
        <v>8</v>
      </c>
      <c r="AZ62" s="480">
        <f>IF(AND(L62="",H62=""),"",IF(BA62=4,VLOOKUP(AY62,'TABLA (2)'!$A$74:$C$89,2),IF(BA62=5,VLOOKUP(AY62,'TABLA (2)'!$A$51:$B$66,2),IF(BA62=6,VLOOKUP(AY62,'TABLA (2)'!$A$9:$B$43,2)))))</f>
        <v>200</v>
      </c>
      <c r="BA62" s="493">
        <v>6</v>
      </c>
      <c r="BB62" s="478">
        <f>IF(OR(C62="",D62=""),"",VLOOKUP(C62,'Base de Diseño (2)'!$A$2:$D$330,4,FALSE))</f>
        <v>979.58159999999998</v>
      </c>
      <c r="BC62" s="478">
        <f>IF(OR(C62="",D62=""),"",VLOOKUP(D62,'Base de Diseño (2)'!$A$2:$D$330,4,FALSE))</f>
        <v>974.06899999999996</v>
      </c>
      <c r="BD62" s="23">
        <f>+BF62-((AZ62/1000)+CX62)</f>
        <v>1.2929999999999726</v>
      </c>
      <c r="BE62" s="23">
        <f>+BG62-((AZ62/1000)+CX62)</f>
        <v>1.4429999999999499</v>
      </c>
      <c r="BF62" s="494">
        <v>1.5299999999999727</v>
      </c>
      <c r="BG62" s="494">
        <v>1.67999999999995</v>
      </c>
      <c r="BH62" s="495">
        <f t="shared" ref="BH62:BI64" si="147">BB62-BF62</f>
        <v>978.05160000000001</v>
      </c>
      <c r="BI62" s="495">
        <f t="shared" si="147"/>
        <v>972.38900000000001</v>
      </c>
      <c r="BJ62" s="468">
        <f>IF(A62="",0,BI62-BH63)</f>
        <v>0.17000000000007276</v>
      </c>
      <c r="BK62" s="475">
        <f>ABS((BB62-BC62)/AX62)*100</f>
        <v>13.614719683872611</v>
      </c>
      <c r="BL62" s="475">
        <f>((BH62-BI62)/AX62)*100</f>
        <v>13.985181526302783</v>
      </c>
      <c r="BM62" s="475">
        <f>IF(BA62=6,(1/0.013)*((AZ62/4000)^(2/3))*((BL62/100)^(0.5)),(1/0.009)*((AZ62/4000)^(2/3))*((BL62/100)^(0.5)))</f>
        <v>3.9042477723348941</v>
      </c>
      <c r="BN62" s="475">
        <f>1000*BM62*PI()*((AZ62/1000/2)^2)</f>
        <v>122.65556119361619</v>
      </c>
      <c r="BO62" s="204">
        <f>AI62/BN62</f>
        <v>1.2229368040085816E-2</v>
      </c>
      <c r="BP62" s="496">
        <f>IF(L62=0," ",AW62/BN62)</f>
        <v>0.47368418875265728</v>
      </c>
      <c r="BQ62" s="497">
        <f>IF($BO62&gt;0 =AND($BO62&lt;=0.06),10^(0.029806+0.29095*LOG($BO62)),IF($BO62&gt;0.06 =AND($BO62&lt;=0.26),10^(0.013778+0.282597*LOG($BO62)),IF($BO62&gt;0.26 =AND($BO62&lt;=0.91),10^(0.021763+0.28995*LOG($BO62)),1)))</f>
        <v>0.29739673633722169</v>
      </c>
      <c r="BR62" s="497">
        <f>IF($BP62&gt;0 =AND($BP62&lt;=0.06),10^(0.029806+0.29095*LOG($BP62)),IF($BP62&gt;0.06 =AND($BP62&lt;=0.26),10^(0.013778+0.282597*LOG($BP62)),IF($BP62&gt;0.26 =AND($BP62&lt;=2),10^(0.021763+0.28995*LOG($BP62))," ")))</f>
        <v>0.84658584592759312</v>
      </c>
      <c r="BS62" s="475">
        <f>BM62*BQ62</f>
        <v>1.1611105453442656</v>
      </c>
      <c r="BT62" s="475">
        <f>IF(BP62=" "," ",(BM62*BR62))</f>
        <v>3.3052809030530574</v>
      </c>
      <c r="BU62" s="475">
        <f>IF(BO62&lt;=0.11,0.3827+0.0645*LN(BO62),IF(BO62&lt;=0.21,0.60025+0.15471*LN(BO62),IF(BO62&lt;1,0.225+0.6666666667*BO62,0)))</f>
        <v>9.8647482271248421E-2</v>
      </c>
      <c r="BV62" s="475">
        <f>IF(BP62&lt;=0.11,0.3827+0.0645*LN(BP62),IF(BP62&lt;=0.21,0.60025+0.15471*LN(BP62),IF(BP62&lt;1,0.225+0.6666666667*BP62," ")))</f>
        <v>0.54078945918422761</v>
      </c>
      <c r="BW62" s="475">
        <f>2*ACOS(1-2*(BU62))</f>
        <v>1.2779581368188999</v>
      </c>
      <c r="BX62" s="475">
        <f>IF(BP62=" "," ",(2*ACOS(1-2*(BV62))))</f>
        <v>3.304932006955553</v>
      </c>
      <c r="BY62" s="475">
        <f>(1/4)*(1-(SIN(BW62))/BW62)</f>
        <v>6.270348323624142E-2</v>
      </c>
      <c r="BZ62" s="475">
        <f>IF(BP62=" "," ",((1/4)*(1-(SIN(BX62))/BX62)))</f>
        <v>0.26230085918532048</v>
      </c>
      <c r="CA62" s="471">
        <f>BY62*AZ62/1000</f>
        <v>1.2540696647248283E-2</v>
      </c>
      <c r="CB62" s="471">
        <f>IF(BP62=" "," ",(BZ62*AZ62/1000))</f>
        <v>5.2460171837064098E-2</v>
      </c>
      <c r="CC62" s="471">
        <f>+(BT62/SQRT(9.81*(0.125*(BX62-SIN(BX62))*(AZ62/1000)^2)/((AZ62/1000)*SIN(BX62/2))))</f>
        <v>3.5782259749725438</v>
      </c>
      <c r="CD62" s="471" t="str">
        <f>IF(CC62="","",IF(CC62&lt;0.7,"F. Subcrítico",IF(AND(CC62&gt;0.7,CC62&lt;1),"F. Subcrítico Inestable",IF(CC62=1,"F. Crítico",IF(AND(CC62&gt;1,CC62&lt;1.5),"F. Supercrítico Inestable",IF(CC62&gt;1.5,"F. Supercrítico",""))))))</f>
        <v>F. Supercrítico</v>
      </c>
      <c r="CE62" s="471">
        <f>1000*BL62*CA62/100</f>
        <v>1.7538391907806394</v>
      </c>
      <c r="CF62" s="471">
        <f>IF(BP62=" "," ",(1000*BL62*CB62/100))</f>
        <v>7.3366502604237835</v>
      </c>
      <c r="CG62" s="471" t="str">
        <f>IF(BS62&lt;0.45,"No cumple",IF(BS62&gt;5,"No cumple","O.K"))</f>
        <v>O.K</v>
      </c>
      <c r="CH62" s="471" t="str">
        <f>IF(BT62&lt;0.75,"No cumple",IF(BT62&gt;10,"No cumple","O.K"))</f>
        <v>O.K</v>
      </c>
      <c r="CI62" s="471" t="str">
        <f>IF(CE62&gt;0.1,"OK","V.C.H.")</f>
        <v>OK</v>
      </c>
      <c r="CJ62" s="471" t="str">
        <f>IF(CF62&gt;0.2,"OK","V.C.H.")</f>
        <v>OK</v>
      </c>
      <c r="CK62" s="468">
        <f>+BJ62</f>
        <v>0.17000000000007276</v>
      </c>
      <c r="CL62" s="482" t="s">
        <v>2507</v>
      </c>
      <c r="CM62" s="482"/>
      <c r="CN62" s="63" t="str">
        <f>IF(B62=1,"dato"," ")</f>
        <v>dato</v>
      </c>
      <c r="CO62" s="498">
        <f>+CR62</f>
        <v>40.49</v>
      </c>
      <c r="CP62" s="472">
        <f>+BK62/100</f>
        <v>0.13614719683872611</v>
      </c>
      <c r="CQ62" s="482" t="s">
        <v>2508</v>
      </c>
      <c r="CR62" s="204">
        <f>IF(BA62="","",AX62)</f>
        <v>40.49</v>
      </c>
      <c r="CS62" s="486">
        <v>1.2</v>
      </c>
      <c r="CT62" s="486">
        <v>1.2</v>
      </c>
      <c r="CU62" s="23">
        <f>IF($BA62="","",SQRT((BH62-BI62)^2+$CR62^2))</f>
        <v>40.884045039110305</v>
      </c>
      <c r="CV62" s="499" t="s">
        <v>2509</v>
      </c>
      <c r="CW62" s="488" t="str">
        <f>+IF(BD62&lt;=0.9,"E1",IF(BD62&lt;=2.5,"E2","E3"))</f>
        <v>E2</v>
      </c>
      <c r="CX62" s="204">
        <f>IF(AND(L62="",H62=""),"",IF(AND(BA62&lt;&gt;4,BA62&lt;&gt;5),VLOOKUP(AY62,'TABLA (2)'!$A$9:$D$43,4),IF(BA62=4,VLOOKUP(AY62,'TABLA (2)'!$A$74:$D$89,4),VLOOKUP(AY62,'TABLA (2)'!$A$51:$D$66,4))))</f>
        <v>3.6999999999999998E-2</v>
      </c>
      <c r="CY62" s="482"/>
      <c r="CZ62" s="482"/>
      <c r="DA62" s="482"/>
      <c r="DB62" s="490"/>
    </row>
    <row r="63" spans="1:106" ht="15.75" hidden="1" customHeight="1">
      <c r="A63" s="465">
        <v>31</v>
      </c>
      <c r="B63" s="491"/>
      <c r="C63" s="466" t="s">
        <v>2360</v>
      </c>
      <c r="D63" s="466" t="s">
        <v>2359</v>
      </c>
      <c r="E63" s="468">
        <v>0.2021</v>
      </c>
      <c r="F63" s="468"/>
      <c r="G63" s="468">
        <f>IF(B63=1,0,SUMIF($D$22:$D$583,C63,$H$22:$H$583))</f>
        <v>0.27233390819999997</v>
      </c>
      <c r="H63" s="468">
        <f>+E63+F63+G63</f>
        <v>0.47443390819999998</v>
      </c>
      <c r="I63" s="468">
        <v>0.1843040447</v>
      </c>
      <c r="J63" s="468"/>
      <c r="K63" s="467">
        <f ca="1">+IF(B63=1,0,SUMIF($D$22:$D$583,C63,$L$22:$L$580))</f>
        <v>0.27233390819999997</v>
      </c>
      <c r="L63" s="468">
        <f ca="1">+I63+J63+K63</f>
        <v>0.45663795289999998</v>
      </c>
      <c r="M63" s="469">
        <f>+$P$12</f>
        <v>242.33666300502347</v>
      </c>
      <c r="N63" s="470">
        <f>M63*E63</f>
        <v>48.976239593315242</v>
      </c>
      <c r="O63" s="470">
        <f>M63*F63</f>
        <v>0</v>
      </c>
      <c r="P63" s="470">
        <f>M63*H63</f>
        <v>114.97273012961963</v>
      </c>
      <c r="Q63" s="469">
        <f>+$H$14</f>
        <v>140</v>
      </c>
      <c r="R63" s="471">
        <f>Q63*P63*$P$14/86400</f>
        <v>0.15835364450723075</v>
      </c>
      <c r="S63" s="471"/>
      <c r="T63" s="471"/>
      <c r="U63" s="471">
        <f>IF(C63="","",T63*$P$17)</f>
        <v>0</v>
      </c>
      <c r="V63" s="471"/>
      <c r="W63" s="471"/>
      <c r="X63" s="471">
        <f>IF(C63="","",W63*$P$16)</f>
        <v>0</v>
      </c>
      <c r="Y63" s="471">
        <f>IF(H63=0,0,$H$15*H63)</f>
        <v>9.4886781640000001E-2</v>
      </c>
      <c r="Z63" s="471">
        <f ca="1">IF(L63=0,$H$16*H63,0)</f>
        <v>0</v>
      </c>
      <c r="AA63" s="471">
        <f t="shared" si="0"/>
        <v>3.8</v>
      </c>
      <c r="AB63" s="471">
        <f>R63*AA63</f>
        <v>0.6017438491274768</v>
      </c>
      <c r="AC63" s="471">
        <f>Q63*(N63+O63)*$P$14/86400</f>
        <v>6.7455700365792987E-2</v>
      </c>
      <c r="AD63" s="471">
        <f t="shared" si="146"/>
        <v>4.0420000000000005E-2</v>
      </c>
      <c r="AE63" s="471">
        <f t="shared" si="146"/>
        <v>0</v>
      </c>
      <c r="AF63" s="471">
        <f>IF(N63="","",IF(1+((14/(4+(((N63+O63)+O63)/1000)^1/2)))&lt;1.4,1.4,IF(1+((14/(4+((N63+O63)/1000)^1/2)))&gt;=4,4,(1+((14/(4+((N63+O63)/1000)^1/2)))))))</f>
        <v>4</v>
      </c>
      <c r="AG63" s="471">
        <f>AC63*AF63</f>
        <v>0.26982280146317195</v>
      </c>
      <c r="AH63" s="471">
        <f>+AD63+AE63+AG63</f>
        <v>0.31024280146317196</v>
      </c>
      <c r="AI63" s="471">
        <f ca="1">IF(H63="","",IF(AB63+Y63+Z63+X63+U63&lt;1.5,1.5,AB63+Y63+Z63+X63+U63))</f>
        <v>1.5</v>
      </c>
      <c r="AJ63" s="471">
        <f>+$P$17</f>
        <v>0.75</v>
      </c>
      <c r="AK63" s="472">
        <f>+BK63/100</f>
        <v>0.26719319562575744</v>
      </c>
      <c r="AL63" s="471">
        <f>IF(AJ63=0," ",0.14+0.65*AJ63+0.05*AK63)</f>
        <v>0.64085965978128789</v>
      </c>
      <c r="AM63" s="473">
        <f>((100/36)*$AM$14*(AP63+$AN$14)^$AO$14)</f>
        <v>335.42078052074419</v>
      </c>
      <c r="AN63" s="474">
        <f t="shared" si="1"/>
        <v>10</v>
      </c>
      <c r="AO63" s="474">
        <f>((1/60)*$AX63/$AQ63)</f>
        <v>9.1444444444444439E-2</v>
      </c>
      <c r="AP63" s="474">
        <f>IF(B63=1,IF(($AN63+$AO63)&lt;10,10,IF(($AN63+$AO63)&gt;20,20,($AN63+$AO63))),($AN63+$AO63))</f>
        <v>10.091444444444445</v>
      </c>
      <c r="AQ63" s="475">
        <v>6</v>
      </c>
      <c r="AR63" s="474">
        <f ca="1">((1/60)*$AX63/$BT63)</f>
        <v>9.1662523083879108E-2</v>
      </c>
      <c r="AS63" s="474">
        <f ca="1">AO63/AR63</f>
        <v>0.99762085275314638</v>
      </c>
      <c r="AT63" s="471" t="str">
        <f ca="1">IF(AS63&lt;0.9,"Disminuir vel.",IF(AS63&gt;1.1,"Aumentar vel.","Cumple"))</f>
        <v>Cumple</v>
      </c>
      <c r="AU63" s="492">
        <f>+I63*AL63*AM63</f>
        <v>39.617563834392477</v>
      </c>
      <c r="AV63" s="471">
        <f ca="1">+L63*AL63*AM63</f>
        <v>98.157820017837366</v>
      </c>
      <c r="AW63" s="471">
        <f ca="1">ROUND(IF(AI63&gt;(AV63*0.05),(AV63+AI63),AV63),2)</f>
        <v>98.16</v>
      </c>
      <c r="AX63" s="478">
        <f>IF(OR(C63="",D63=""),"",ROUND(((VLOOKUP(C63,'Base de Diseño (2)'!$A$2:$C$333,2,FALSE)-VLOOKUP(D63,'Base de Diseño (2)'!$A$2:$C$333,2,FALSE))^2+(VLOOKUP(C63,'Base de Diseño (2)'!$A$2:$C$333,3,0)-VLOOKUP(D63,'Base de Diseño (2)'!$A$2:$C$333,3,FALSE))^2)^0.5,2))</f>
        <v>32.92</v>
      </c>
      <c r="AY63" s="493">
        <v>12</v>
      </c>
      <c r="AZ63" s="480">
        <f ca="1">IF(AND(L63="",H63=""),"",IF(BA63=4,VLOOKUP(AY63,'TABLA (2)'!$A$74:$C$89,2),IF(BA63=5,VLOOKUP(AY63,'TABLA (2)'!$A$51:$B$66,2),IF(BA63=6,VLOOKUP(AY63,'TABLA (2)'!$A$9:$B$43,2)))))</f>
        <v>284</v>
      </c>
      <c r="BA63" s="493">
        <v>4</v>
      </c>
      <c r="BB63" s="478">
        <f>IF(OR(C63="",D63=""),"",VLOOKUP(C63,'Base de Diseño (2)'!$A$2:$D$330,4,FALSE))</f>
        <v>974.06899999999996</v>
      </c>
      <c r="BC63" s="478">
        <f>IF(OR(C63="",D63=""),"",VLOOKUP(D63,'Base de Diseño (2)'!$A$2:$D$330,4,FALSE))</f>
        <v>965.27300000000002</v>
      </c>
      <c r="BD63" s="23">
        <f ca="1">+BF63-((AZ63/1000)+CX63)</f>
        <v>1.5505</v>
      </c>
      <c r="BE63" s="23">
        <f ca="1">+BG63-((AZ63/1000)+CX63)</f>
        <v>1.3805000000000001</v>
      </c>
      <c r="BF63" s="494">
        <v>1.85</v>
      </c>
      <c r="BG63" s="494">
        <v>1.68</v>
      </c>
      <c r="BH63" s="495">
        <f t="shared" si="147"/>
        <v>972.21899999999994</v>
      </c>
      <c r="BI63" s="495">
        <f t="shared" si="147"/>
        <v>963.59300000000007</v>
      </c>
      <c r="BJ63" s="468">
        <f>IF(A63="",0,BI63-BH64)</f>
        <v>3.0000000000086402E-2</v>
      </c>
      <c r="BK63" s="475">
        <f>ABS((BB63-BC63)/AX63)*100</f>
        <v>26.719319562575745</v>
      </c>
      <c r="BL63" s="475">
        <f>((BH63-BI63)/AX63)*100</f>
        <v>26.202916160388401</v>
      </c>
      <c r="BM63" s="475">
        <f ca="1">IF(BA63=6,(1/0.013)*((AZ63/4000)^(2/3))*((BL63/100)^(0.5)),(1/0.009)*((AZ63/4000)^(2/3))*((BL63/100)^(0.5)))</f>
        <v>9.7522435044479607</v>
      </c>
      <c r="BN63" s="475">
        <f ca="1">1000*BM63*PI()*((AZ63/1000/2)^2)</f>
        <v>617.77609354598292</v>
      </c>
      <c r="BO63" s="204">
        <f ca="1">AI63/BN63</f>
        <v>2.4280641735262461E-3</v>
      </c>
      <c r="BP63" s="496">
        <f ca="1">IF(L63=0," ",AW63/BN63)</f>
        <v>0.15889251951555755</v>
      </c>
      <c r="BQ63" s="497">
        <f ca="1">IF($BO63&gt;0 =AND($BO63&lt;=0.06),10^(0.029806+0.29095*LOG($BO63)),IF($BO63&gt;0.06 =AND($BO63&lt;=0.26),10^(0.013778+0.282597*LOG($BO63)),IF($BO63&gt;0.26 =AND($BO63&lt;=0.91),10^(0.021763+0.28995*LOG($BO63)),1)))</f>
        <v>0.18580074191129381</v>
      </c>
      <c r="BR63" s="497">
        <f ca="1">IF($BP63&gt;0 =AND($BP63&lt;=0.06),10^(0.029806+0.29095*LOG($BP63)),IF($BP63&gt;0.06 =AND($BP63&lt;=0.26),10^(0.013778+0.282597*LOG($BP63)),IF($BP63&gt;0.26 =AND($BP63&lt;=2),10^(0.021763+0.28995*LOG($BP63))," ")))</f>
        <v>0.6137792923022084</v>
      </c>
      <c r="BS63" s="475">
        <f ca="1">BM63*BQ63</f>
        <v>1.811974078426027</v>
      </c>
      <c r="BT63" s="475">
        <f ca="1">IF(BP63=" "," ",(BM63*BR63))</f>
        <v>5.9857251165188785</v>
      </c>
      <c r="BU63" s="475">
        <f ca="1">IF(BO63&lt;=0.11,0.3827+0.0645*LN(BO63),IF(BO63&lt;=0.21,0.60025+0.15471*LN(BO63),IF(BO63&lt;1,0.225+0.6666666667*BO63,0)))</f>
        <v>-5.6326329211716097E-3</v>
      </c>
      <c r="BV63" s="475">
        <f ca="1">IF(BP63&lt;=0.11,0.3827+0.0645*LN(BP63),IF(BP63&lt;=0.21,0.60025+0.15471*LN(BP63),IF(BP63&lt;1,0.225+0.6666666667*BP63," ")))</f>
        <v>0.315656734011866</v>
      </c>
      <c r="BW63" s="475" t="e">
        <f ca="1">2*ACOS(1-2*(BU63))</f>
        <v>#NUM!</v>
      </c>
      <c r="BX63" s="475">
        <f ca="1">IF(BP63=" "," ",(2*ACOS(1-2*(BV63))))</f>
        <v>2.3864014238280316</v>
      </c>
      <c r="BY63" s="475" t="e">
        <f ca="1">(1/4)*(1-(SIN(BW63))/BW63)</f>
        <v>#NUM!</v>
      </c>
      <c r="BZ63" s="475">
        <f ca="1">IF(BP63=" "," ",((1/4)*(1-(SIN(BX63))/BX63)))</f>
        <v>0.17819440219945154</v>
      </c>
      <c r="CA63" s="471" t="e">
        <f ca="1">BY63*AZ63/1000</f>
        <v>#NUM!</v>
      </c>
      <c r="CB63" s="471">
        <f ca="1">IF(BP63=" "," ",(BZ63*AZ63/1000))</f>
        <v>5.0607210224644233E-2</v>
      </c>
      <c r="CC63" s="471">
        <f ca="1">+(BT63/SQRT(9.81*(0.125*(BX63-SIN(BX63))*(AZ63/1000)^2)/((AZ63/1000)*SIN(BX63/2))))</f>
        <v>7.4981923429225539</v>
      </c>
      <c r="CD63" s="471" t="str">
        <f ca="1">IF(CC63="","",IF(CC63&lt;0.7,"F. Subcrítico",IF(AND(CC63&gt;0.7,CC63&lt;1),"F. Subcrítico Inestable",IF(CC63=1,"F. Crítico",IF(AND(CC63&gt;1,CC63&lt;1.5),"F. Supercrítico Inestable",IF(CC63&gt;1.5,"F. Supercrítico",""))))))</f>
        <v>F. Supercrítico</v>
      </c>
      <c r="CE63" s="471" t="e">
        <f ca="1">1000*BL63*CA63/100</f>
        <v>#NUM!</v>
      </c>
      <c r="CF63" s="471">
        <f ca="1">IF(BP63=" "," ",(1000*BL63*CB63/100))</f>
        <v>13.260564866275036</v>
      </c>
      <c r="CG63" s="471" t="str">
        <f ca="1">IF(BS63&lt;0.45,"No cumple",IF(BS63&gt;5,"No cumple","O.K"))</f>
        <v>O.K</v>
      </c>
      <c r="CH63" s="471" t="str">
        <f ca="1">IF(BT63&lt;0.75,"No cumple",IF(BT63&gt;10,"No cumple","O.K"))</f>
        <v>O.K</v>
      </c>
      <c r="CI63" s="471" t="e">
        <f ca="1">IF(CE63&gt;0.1,"OK","V.C.H.")</f>
        <v>#NUM!</v>
      </c>
      <c r="CJ63" s="471" t="str">
        <f ca="1">IF(CF63&gt;0.2,"OK","V.C.H.")</f>
        <v>OK</v>
      </c>
      <c r="CK63" s="468">
        <f>+BJ63</f>
        <v>3.0000000000086402E-2</v>
      </c>
      <c r="CL63" s="482" t="s">
        <v>2507</v>
      </c>
      <c r="CM63" s="482"/>
      <c r="CN63" s="63" t="str">
        <f>IF(B63=1,"dato"," ")</f>
        <v xml:space="preserve"> </v>
      </c>
      <c r="CO63" s="498"/>
      <c r="CP63" s="472"/>
      <c r="CQ63" s="482" t="s">
        <v>2508</v>
      </c>
      <c r="CR63" s="204">
        <f>IF(BA63="","",AX63)</f>
        <v>32.92</v>
      </c>
      <c r="CS63" s="486">
        <v>1.2</v>
      </c>
      <c r="CT63" s="486">
        <v>1.2</v>
      </c>
      <c r="CU63" s="23">
        <f>IF($BA63="","",SQRT((BH63-BI63)^2+$CR63^2))</f>
        <v>34.031371938257173</v>
      </c>
      <c r="CV63" s="499" t="s">
        <v>2509</v>
      </c>
      <c r="CW63" s="488" t="str">
        <f ca="1">+IF(BD63&lt;=0.9,"E1",IF(BD63&lt;=2.5,"E2","E3"))</f>
        <v>E2</v>
      </c>
      <c r="CX63" s="204">
        <f ca="1">IF(AND(L63="",H63=""),"",IF(AND(BA63&lt;&gt;4,BA63&lt;&gt;5),VLOOKUP(AY63,'TABLA (2)'!$A$9:$D$43,4),IF(BA63=4,VLOOKUP(AY63,'TABLA (2)'!$A$74:$D$89,4),VLOOKUP(AY63,'TABLA (2)'!$A$51:$D$66,4))))</f>
        <v>1.55E-2</v>
      </c>
      <c r="CY63" s="482"/>
      <c r="CZ63" s="482"/>
      <c r="DA63" s="482"/>
      <c r="DB63" s="490"/>
    </row>
    <row r="64" spans="1:106" ht="15.75" hidden="1" customHeight="1">
      <c r="A64" s="465">
        <v>32</v>
      </c>
      <c r="B64" s="491"/>
      <c r="C64" s="466" t="s">
        <v>2359</v>
      </c>
      <c r="D64" s="466" t="s">
        <v>2358</v>
      </c>
      <c r="E64" s="468">
        <v>9.0399999999999994E-2</v>
      </c>
      <c r="F64" s="468"/>
      <c r="G64" s="468">
        <f>IF(B64=1,0,SUMIF($D$22:$D$583,C64,$H$22:$H$583))</f>
        <v>0.47443390819999998</v>
      </c>
      <c r="H64" s="468">
        <f>+E64+F64+G64</f>
        <v>0.56483390820000001</v>
      </c>
      <c r="I64" s="468">
        <v>0.12191661489999998</v>
      </c>
      <c r="J64" s="468"/>
      <c r="K64" s="467">
        <f ca="1">+IF(B64=1,0,SUMIF($D$22:$D$583,C64,$L$22:$L$580))</f>
        <v>0.45663795289999998</v>
      </c>
      <c r="L64" s="468">
        <f ca="1">+I64+J64+K64</f>
        <v>0.57855456779999992</v>
      </c>
      <c r="M64" s="469">
        <f>+$P$12</f>
        <v>242.33666300502347</v>
      </c>
      <c r="N64" s="470">
        <f>M64*E64</f>
        <v>21.90723433565412</v>
      </c>
      <c r="O64" s="470">
        <f>M64*F64</f>
        <v>0</v>
      </c>
      <c r="P64" s="470">
        <f>M64*H64</f>
        <v>136.87996446527376</v>
      </c>
      <c r="Q64" s="469">
        <f>+$H$14</f>
        <v>140</v>
      </c>
      <c r="R64" s="471">
        <f>Q64*P64*$P$14/86400</f>
        <v>0.18852680290934698</v>
      </c>
      <c r="S64" s="471"/>
      <c r="T64" s="471"/>
      <c r="U64" s="471">
        <f>IF(C64="","",T64*$P$17)</f>
        <v>0</v>
      </c>
      <c r="V64" s="471"/>
      <c r="W64" s="471"/>
      <c r="X64" s="471">
        <f>IF(C64="","",W64*$P$16)</f>
        <v>0</v>
      </c>
      <c r="Y64" s="471">
        <f>IF(H64=0,0,$H$15*H64)</f>
        <v>0.11296678164000001</v>
      </c>
      <c r="Z64" s="471">
        <f ca="1">IF(L64=0,$H$16*H64,0)</f>
        <v>0</v>
      </c>
      <c r="AA64" s="471">
        <f t="shared" si="0"/>
        <v>3.8</v>
      </c>
      <c r="AB64" s="471">
        <f>R64*AA64</f>
        <v>0.71640185105551846</v>
      </c>
      <c r="AC64" s="471">
        <f>Q64*(N64+O64)*$P$14/86400</f>
        <v>3.0173158402116207E-2</v>
      </c>
      <c r="AD64" s="471">
        <f t="shared" si="146"/>
        <v>1.8079999999999999E-2</v>
      </c>
      <c r="AE64" s="471">
        <f t="shared" si="146"/>
        <v>0</v>
      </c>
      <c r="AF64" s="471">
        <f>IF(N64="","",IF(1+((14/(4+(((N64+O64)+O64)/1000)^1/2)))&lt;1.4,1.4,IF(1+((14/(4+((N64+O64)/1000)^1/2)))&gt;=4,4,(1+((14/(4+((N64+O64)/1000)^1/2)))))))</f>
        <v>4</v>
      </c>
      <c r="AG64" s="471">
        <f>AC64*AF64</f>
        <v>0.12069263360846483</v>
      </c>
      <c r="AH64" s="471">
        <f>+AD64+AE64+AG64</f>
        <v>0.13877263360846481</v>
      </c>
      <c r="AI64" s="471">
        <f ca="1">IF(H64="","",IF(AB64+Y64+Z64+X64+U64&lt;1.5,1.5,AB64+Y64+Z64+X64+U64))</f>
        <v>1.5</v>
      </c>
      <c r="AJ64" s="471">
        <f>+$P$17</f>
        <v>0.75</v>
      </c>
      <c r="AK64" s="472">
        <f>+BK64/100</f>
        <v>3.443148688046764E-2</v>
      </c>
      <c r="AL64" s="471">
        <f>IF(AJ64=0," ",0.14+0.65*AJ64+0.05*AK64)</f>
        <v>0.62922157434402348</v>
      </c>
      <c r="AM64" s="473">
        <f>((100/36)*$AM$14*(AP64+$AN$14)^$AO$14)</f>
        <v>332.62073782072133</v>
      </c>
      <c r="AN64" s="474">
        <f t="shared" si="1"/>
        <v>10.091444444444445</v>
      </c>
      <c r="AO64" s="474">
        <f>((1/60)*$AX64/$AQ64)</f>
        <v>0.28583333333333333</v>
      </c>
      <c r="AP64" s="474">
        <f>IF(B64=1,IF(($AN64+$AO64)&lt;10,10,IF(($AN64+$AO64)&gt;20,20,($AN64+$AO64))),($AN64+$AO64))</f>
        <v>10.377277777777778</v>
      </c>
      <c r="AQ64" s="475">
        <v>2</v>
      </c>
      <c r="AR64" s="474">
        <f ca="1">((1/60)*$AX64/$BT64)</f>
        <v>0.31468785825648343</v>
      </c>
      <c r="AS64" s="474">
        <f ca="1">AO64/AR64</f>
        <v>0.90830747305276549</v>
      </c>
      <c r="AT64" s="471" t="str">
        <f ca="1">IF(AS64&lt;0.9,"Disminuir vel.",IF(AS64&gt;1.1,"Aumentar vel.","Cumple"))</f>
        <v>Cumple</v>
      </c>
      <c r="AU64" s="492">
        <f>+I64*AL64*AM64</f>
        <v>25.516189759562451</v>
      </c>
      <c r="AV64" s="471">
        <f ca="1">+L64*AL64*AM64</f>
        <v>121.08692609580025</v>
      </c>
      <c r="AW64" s="471">
        <f ca="1">ROUND(IF(AI64&gt;(AV64*0.05),(AV64+AI64),AV64),2)</f>
        <v>121.09</v>
      </c>
      <c r="AX64" s="478">
        <f>IF(OR(C64="",D64=""),"",ROUND(((VLOOKUP(C64,'Base de Diseño (2)'!$A$2:$C$333,2,FALSE)-VLOOKUP(D64,'Base de Diseño (2)'!$A$2:$C$333,2,FALSE))^2+(VLOOKUP(C64,'Base de Diseño (2)'!$A$2:$C$333,3,0)-VLOOKUP(D64,'Base de Diseño (2)'!$A$2:$C$333,3,FALSE))^2)^0.5,2))</f>
        <v>34.299999999999997</v>
      </c>
      <c r="AY64" s="493">
        <v>14</v>
      </c>
      <c r="AZ64" s="480">
        <f ca="1">IF(AND(L64="",H64=""),"",IF(BA64=4,VLOOKUP(AY64,'TABLA (2)'!$A$74:$C$89,2),IF(BA64=5,VLOOKUP(AY64,'TABLA (2)'!$A$51:$B$66,2),IF(BA64=6,VLOOKUP(AY64,'TABLA (2)'!$A$9:$B$43,2)))))</f>
        <v>327</v>
      </c>
      <c r="BA64" s="493">
        <v>4</v>
      </c>
      <c r="BB64" s="478">
        <f>IF(OR(C64="",D64=""),"",VLOOKUP(C64,'Base de Diseño (2)'!$A$2:$D$330,4,FALSE))</f>
        <v>965.27300000000002</v>
      </c>
      <c r="BC64" s="478">
        <f>IF(OR(C64="",D64=""),"",VLOOKUP(D64,'Base de Diseño (2)'!$A$2:$D$330,4,FALSE))</f>
        <v>964.09199999999998</v>
      </c>
      <c r="BD64" s="23">
        <f ca="1">+BF64-((AZ64/1000)+CX64)</f>
        <v>1.369</v>
      </c>
      <c r="BE64" s="23">
        <f ca="1">+BG64-((AZ64/1000)+CX64)</f>
        <v>0.45900000000000002</v>
      </c>
      <c r="BF64" s="494">
        <v>1.71</v>
      </c>
      <c r="BG64" s="494">
        <v>0.8</v>
      </c>
      <c r="BH64" s="495">
        <f t="shared" si="147"/>
        <v>963.56299999999999</v>
      </c>
      <c r="BI64" s="495">
        <f t="shared" si="147"/>
        <v>963.29200000000003</v>
      </c>
      <c r="BJ64" s="468">
        <f>IF(A64="",0,BI64-BH365)</f>
        <v>2.0000000000095497E-2</v>
      </c>
      <c r="BK64" s="475">
        <f>ABS((BB64-BC64)/AX64)*100</f>
        <v>3.4431486880467639</v>
      </c>
      <c r="BL64" s="475">
        <f>((BH64-BI64)/AX64)*100</f>
        <v>0.79008746355672932</v>
      </c>
      <c r="BM64" s="475">
        <f ca="1">IF(BA64=6,(1/0.013)*((AZ64/4000)^(2/3))*((BL64/100)^(0.5)),(1/0.009)*((AZ64/4000)^(2/3))*((BL64/100)^(0.5)))</f>
        <v>1.8603168376459569</v>
      </c>
      <c r="BN64" s="475">
        <f ca="1">1000*BM64*PI()*((AZ64/1000/2)^2)</f>
        <v>156.23283140645842</v>
      </c>
      <c r="BO64" s="204">
        <f ca="1">AI64/BN64</f>
        <v>9.6010549543045168E-3</v>
      </c>
      <c r="BP64" s="496">
        <f ca="1">IF(L64=0," ",AW64/BN64)</f>
        <v>0.77506116294448935</v>
      </c>
      <c r="BQ64" s="497">
        <f ca="1">IF($BO64&gt;0 =AND($BO64&lt;=0.06),10^(0.029806+0.29095*LOG($BO64)),IF($BO64&gt;0.06 =AND($BO64&lt;=0.26),10^(0.013778+0.282597*LOG($BO64)),IF($BO64&gt;0.26 =AND($BO64&lt;=0.91),10^(0.021763+0.28995*LOG($BO64)),1)))</f>
        <v>0.2771798785274231</v>
      </c>
      <c r="BR64" s="497">
        <f ca="1">IF($BP64&gt;0 =AND($BP64&lt;=0.06),10^(0.029806+0.29095*LOG($BP64)),IF($BP64&gt;0.06 =AND($BP64&lt;=0.26),10^(0.013778+0.282597*LOG($BP64)),IF($BP64&gt;0.26 =AND($BP64&lt;=2),10^(0.021763+0.28995*LOG($BP64))," ")))</f>
        <v>0.97650836101890781</v>
      </c>
      <c r="BS64" s="475">
        <f ca="1">BM64*BQ64</f>
        <v>0.51564239508122622</v>
      </c>
      <c r="BT64" s="475">
        <f ca="1">IF(BP64=" "," ",(BM64*BR64))</f>
        <v>1.816614946105531</v>
      </c>
      <c r="BU64" s="475">
        <f ca="1">IF(BO64&lt;=0.11,0.3827+0.0645*LN(BO64),IF(BO64&lt;=0.21,0.60025+0.15471*LN(BO64),IF(BO64&lt;1,0.225+0.6666666667*BO64,0)))</f>
        <v>8.3040591942021069E-2</v>
      </c>
      <c r="BV64" s="475">
        <f ca="1">IF(BP64&lt;=0.11,0.3827+0.0645*LN(BP64),IF(BP64&lt;=0.21,0.60025+0.15471*LN(BP64),IF(BP64&lt;1,0.225+0.6666666667*BP64," ")))</f>
        <v>0.74170744198882821</v>
      </c>
      <c r="BW64" s="475">
        <f ca="1">2*ACOS(1-2*(BU64))</f>
        <v>1.1692510361333484</v>
      </c>
      <c r="BX64" s="475">
        <f ca="1">IF(BP64=" "," ",(2*ACOS(1-2*(BV64))))</f>
        <v>4.150695671985666</v>
      </c>
      <c r="BY64" s="475">
        <f ca="1">(1/4)*(1-(SIN(BW64))/BW64)</f>
        <v>5.3194929583464695E-2</v>
      </c>
      <c r="BZ64" s="475">
        <f ca="1">IF(BP64=" "," ",((1/4)*(1-(SIN(BX64))/BX64)))</f>
        <v>0.30097666160163228</v>
      </c>
      <c r="CA64" s="471">
        <f ca="1">BY64*AZ64/1000</f>
        <v>1.7394741973792954E-2</v>
      </c>
      <c r="CB64" s="471">
        <f ca="1">IF(BP64=" "," ",(BZ64*AZ64/1000))</f>
        <v>9.8419368343733757E-2</v>
      </c>
      <c r="CC64" s="471">
        <f ca="1">+(BT64/SQRT(9.81*(0.125*(BX64-SIN(BX64))*(AZ64/1000)^2)/((AZ64/1000)*SIN(BX64/2))))</f>
        <v>1.2007256126739994</v>
      </c>
      <c r="CD64" s="471" t="str">
        <f ca="1">IF(CC64="","",IF(CC64&lt;0.7,"F. Subcrítico",IF(AND(CC64&gt;0.7,CC64&lt;1),"F. Subcrítico Inestable",IF(CC64=1,"F. Crítico",IF(AND(CC64&gt;1,CC64&lt;1.5),"F. Supercrítico Inestable",IF(CC64&gt;1.5,"F. Supercrítico",""))))))</f>
        <v>F. Supercrítico Inestable</v>
      </c>
      <c r="CE64" s="471">
        <f ca="1">1000*BL64*CA64/100</f>
        <v>0.13743367565297851</v>
      </c>
      <c r="CF64" s="471">
        <f ca="1">IF(BP64=" "," ",(1000*BL64*CB64/100))</f>
        <v>0.77759909099556057</v>
      </c>
      <c r="CG64" s="471" t="str">
        <f ca="1">IF(BS64&lt;0.45,"No cumple",IF(BS64&gt;5,"No cumple","O.K"))</f>
        <v>O.K</v>
      </c>
      <c r="CH64" s="471" t="str">
        <f ca="1">IF(BT64&lt;0.75,"No cumple",IF(BT64&gt;10,"No cumple","O.K"))</f>
        <v>O.K</v>
      </c>
      <c r="CI64" s="471" t="str">
        <f ca="1">IF(CE64&gt;0.1,"OK","V.C.H.")</f>
        <v>OK</v>
      </c>
      <c r="CJ64" s="471" t="str">
        <f ca="1">IF(CF64&gt;0.2,"OK","V.C.H.")</f>
        <v>OK</v>
      </c>
      <c r="CK64" s="468">
        <f>+BJ64</f>
        <v>2.0000000000095497E-2</v>
      </c>
      <c r="CL64" s="482" t="s">
        <v>2507</v>
      </c>
      <c r="CM64" s="482"/>
      <c r="CN64" s="63" t="str">
        <f>IF(B64=1,"dato"," ")</f>
        <v xml:space="preserve"> </v>
      </c>
      <c r="CO64" s="498"/>
      <c r="CP64" s="472"/>
      <c r="CQ64" s="482" t="s">
        <v>2508</v>
      </c>
      <c r="CR64" s="204">
        <f>IF(BA64="","",AX64)</f>
        <v>34.299999999999997</v>
      </c>
      <c r="CS64" s="486">
        <v>1.2</v>
      </c>
      <c r="CT64" s="486">
        <v>1.2</v>
      </c>
      <c r="CU64" s="23">
        <f>IF($BA64="","",SQRT((BH64-BI64)^2+$CR64^2))</f>
        <v>34.301070551806397</v>
      </c>
      <c r="CV64" s="499" t="s">
        <v>2509</v>
      </c>
      <c r="CW64" s="488" t="str">
        <f ca="1">+IF(BD64&lt;=0.9,"E1",IF(BD64&lt;=2.5,"E2","E3"))</f>
        <v>E2</v>
      </c>
      <c r="CX64" s="204">
        <f ca="1">IF(AND(L64="",H64=""),"",IF(AND(BA64&lt;&gt;4,BA64&lt;&gt;5),VLOOKUP(AY64,'TABLA (2)'!$A$9:$D$43,4),IF(BA64=4,VLOOKUP(AY64,'TABLA (2)'!$A$74:$D$89,4),VLOOKUP(AY64,'TABLA (2)'!$A$51:$D$66,4))))</f>
        <v>1.4E-2</v>
      </c>
      <c r="CY64" s="482"/>
      <c r="CZ64" s="482"/>
      <c r="DA64" s="482"/>
      <c r="DB64" s="490"/>
    </row>
    <row r="65" spans="1:106" ht="15.75" hidden="1" customHeight="1">
      <c r="A65" s="465"/>
      <c r="B65" s="491"/>
      <c r="C65" s="501"/>
      <c r="D65" s="501"/>
      <c r="E65" s="468"/>
      <c r="F65" s="468"/>
      <c r="G65" s="468"/>
      <c r="H65" s="468"/>
      <c r="I65" s="468"/>
      <c r="J65" s="468"/>
      <c r="K65" s="467"/>
      <c r="L65" s="468"/>
      <c r="M65" s="469"/>
      <c r="N65" s="470"/>
      <c r="O65" s="470"/>
      <c r="P65" s="470"/>
      <c r="Q65" s="469"/>
      <c r="R65" s="471"/>
      <c r="S65" s="471"/>
      <c r="T65" s="471"/>
      <c r="U65" s="471"/>
      <c r="V65" s="471"/>
      <c r="W65" s="471"/>
      <c r="X65" s="471"/>
      <c r="Y65" s="471"/>
      <c r="Z65" s="471"/>
      <c r="AA65" s="471" t="str">
        <f t="shared" si="0"/>
        <v/>
      </c>
      <c r="AB65" s="471"/>
      <c r="AC65" s="471"/>
      <c r="AD65" s="471"/>
      <c r="AE65" s="471"/>
      <c r="AF65" s="471"/>
      <c r="AG65" s="471"/>
      <c r="AH65" s="471"/>
      <c r="AI65" s="471"/>
      <c r="AJ65" s="471"/>
      <c r="AK65" s="472"/>
      <c r="AL65" s="471"/>
      <c r="AM65" s="473"/>
      <c r="AN65" s="474"/>
      <c r="AO65" s="474"/>
      <c r="AP65" s="474"/>
      <c r="AQ65" s="475"/>
      <c r="AR65" s="474"/>
      <c r="AS65" s="474"/>
      <c r="AT65" s="471"/>
      <c r="AU65" s="492"/>
      <c r="AV65" s="471"/>
      <c r="AW65" s="471"/>
      <c r="AX65" s="478"/>
      <c r="AY65" s="493"/>
      <c r="AZ65" s="480"/>
      <c r="BA65" s="493"/>
      <c r="BB65" s="478" t="str">
        <f>IF(OR(C65="",D65=""),"",VLOOKUP(C65,'Base de Diseño (2)'!$A$2:$D$330,4,FALSE))</f>
        <v/>
      </c>
      <c r="BC65" s="494"/>
      <c r="BD65" s="494"/>
      <c r="BE65" s="494"/>
      <c r="BF65" s="494"/>
      <c r="BG65" s="494"/>
      <c r="BH65" s="495"/>
      <c r="BI65" s="495"/>
      <c r="BJ65" s="468"/>
      <c r="BK65" s="475"/>
      <c r="BL65" s="475"/>
      <c r="BM65" s="475"/>
      <c r="BN65" s="475"/>
      <c r="BO65" s="204"/>
      <c r="BP65" s="496"/>
      <c r="BQ65" s="497"/>
      <c r="BR65" s="497"/>
      <c r="BS65" s="475"/>
      <c r="BT65" s="475"/>
      <c r="BU65" s="475"/>
      <c r="BV65" s="475"/>
      <c r="BW65" s="475"/>
      <c r="BX65" s="475"/>
      <c r="BY65" s="475"/>
      <c r="BZ65" s="475"/>
      <c r="CA65" s="471"/>
      <c r="CB65" s="471"/>
      <c r="CC65" s="471"/>
      <c r="CD65" s="471"/>
      <c r="CE65" s="471"/>
      <c r="CF65" s="471"/>
      <c r="CG65" s="471"/>
      <c r="CH65" s="471"/>
      <c r="CI65" s="471"/>
      <c r="CJ65" s="471"/>
      <c r="CK65" s="468"/>
      <c r="CL65" s="482"/>
      <c r="CM65" s="482"/>
      <c r="CN65" s="63"/>
      <c r="CO65" s="498"/>
      <c r="CP65" s="472"/>
      <c r="CQ65" s="482"/>
      <c r="CR65" s="204"/>
      <c r="CS65" s="486"/>
      <c r="CT65" s="486"/>
      <c r="CU65" s="23"/>
      <c r="CV65" s="499"/>
      <c r="CW65" s="488"/>
      <c r="CX65" s="204"/>
      <c r="CY65" s="482"/>
      <c r="CZ65" s="482"/>
      <c r="DA65" s="482"/>
      <c r="DB65" s="490"/>
    </row>
    <row r="66" spans="1:106" ht="15.75" hidden="1" customHeight="1">
      <c r="A66" s="465">
        <v>33</v>
      </c>
      <c r="B66" s="491">
        <v>1</v>
      </c>
      <c r="C66" s="466" t="s">
        <v>2358</v>
      </c>
      <c r="D66" s="466" t="s">
        <v>2090</v>
      </c>
      <c r="E66" s="468"/>
      <c r="F66" s="468"/>
      <c r="G66" s="468">
        <f>IF(B66=1,0,SUMIF($D$22:$D$583,C66,$H$22:$H$583))</f>
        <v>0</v>
      </c>
      <c r="H66" s="468">
        <f>+E66+F66+G66</f>
        <v>0</v>
      </c>
      <c r="I66" s="468"/>
      <c r="J66" s="468"/>
      <c r="K66" s="467">
        <f>+IF(B66=1,0,SUMIF($D$22:$D$583,C66,$L$22:$L$580))</f>
        <v>0</v>
      </c>
      <c r="L66" s="468">
        <f>+I66+J66+K66</f>
        <v>0</v>
      </c>
      <c r="M66" s="469">
        <f>+$P$12</f>
        <v>242.33666300502347</v>
      </c>
      <c r="N66" s="470">
        <f>M66*E66</f>
        <v>0</v>
      </c>
      <c r="O66" s="470">
        <f>M66*F66</f>
        <v>0</v>
      </c>
      <c r="P66" s="470">
        <f>M66*H66</f>
        <v>0</v>
      </c>
      <c r="Q66" s="469">
        <f>+$H$14</f>
        <v>140</v>
      </c>
      <c r="R66" s="471">
        <f>Q66*P66*$P$14/86400</f>
        <v>0</v>
      </c>
      <c r="S66" s="471"/>
      <c r="T66" s="471"/>
      <c r="U66" s="471">
        <f>IF(C66="","",T66*$P$17)</f>
        <v>0</v>
      </c>
      <c r="V66" s="471"/>
      <c r="W66" s="471"/>
      <c r="X66" s="471">
        <f>IF(C66="","",W66*$P$16)</f>
        <v>0</v>
      </c>
      <c r="Y66" s="471">
        <f>IF(H66=0,0,$H$15*H66)</f>
        <v>0</v>
      </c>
      <c r="Z66" s="471">
        <f>IF(L66=0,$H$16*H66,0)</f>
        <v>0</v>
      </c>
      <c r="AA66" s="471">
        <f t="shared" si="0"/>
        <v>3.8</v>
      </c>
      <c r="AB66" s="471">
        <f>R66*AA66</f>
        <v>0</v>
      </c>
      <c r="AC66" s="471">
        <f>Q66*(N66+O66)*$P$14/86400</f>
        <v>0</v>
      </c>
      <c r="AD66" s="471">
        <f>IF(E66=0,0,$H$15*(E66+F66))</f>
        <v>0</v>
      </c>
      <c r="AE66" s="471">
        <f>IF(F66=0,0,$H$15*(F66+G66))</f>
        <v>0</v>
      </c>
      <c r="AF66" s="471">
        <f>IF(N66="","",IF(1+((14/(4+(((N66+O66)+O66)/1000)^1/2)))&lt;1.4,1.4,IF(1+((14/(4+((N66+O66)/1000)^1/2)))&gt;=4,4,(1+((14/(4+((N66+O66)/1000)^1/2)))))))</f>
        <v>4</v>
      </c>
      <c r="AG66" s="471">
        <f>AC66*AF66</f>
        <v>0</v>
      </c>
      <c r="AH66" s="471">
        <f>+AD66+AE66+AG66</f>
        <v>0</v>
      </c>
      <c r="AI66" s="471">
        <f>IF(H66="","",IF(AB66+Y66+Z66+X66+U66&lt;1.5,1.5,AB66+Y66+Z66+X66+U66))</f>
        <v>1.5</v>
      </c>
      <c r="AJ66" s="471">
        <f>+$P$17</f>
        <v>0.75</v>
      </c>
      <c r="AK66" s="472">
        <f>+BK66/100</f>
        <v>6.6351118760758609E-2</v>
      </c>
      <c r="AL66" s="471">
        <f>IF(AJ66=0," ",0.14+0.65*AJ66+0.05*AK66)</f>
        <v>0.63081755593803801</v>
      </c>
      <c r="AM66" s="473">
        <f t="shared" ref="AM66:AM97" si="148">((100/36)*$AM$14*(AP66+$AN$14)^$AO$14)</f>
        <v>336.32613267542746</v>
      </c>
      <c r="AN66" s="474">
        <f t="shared" ref="AN66:AN97" si="149">IF(B66=1,IF((0.702*(1.1-$AJ66)*SQRT($CO66))/(($CP66)^(1/3))&lt;5,5,(0.702*(1.1-$AJ66)*SQRT($CO66))/(($CP66)^(1/3))),AP65)</f>
        <v>5</v>
      </c>
      <c r="AO66" s="474">
        <f>((1/60)*$AX66/$AQ66)</f>
        <v>0.12911111111111109</v>
      </c>
      <c r="AP66" s="474">
        <f>IF(B66=1,IF(($AN66+$AO66)&lt;10,10,IF(($AN66+$AO66)&gt;20,20,($AN66+$AO66))),($AN66+$AO66))</f>
        <v>10</v>
      </c>
      <c r="AQ66" s="475">
        <v>3</v>
      </c>
      <c r="AR66" s="474" t="e">
        <f>((1/60)*$AX66/$BT66)</f>
        <v>#VALUE!</v>
      </c>
      <c r="AS66" s="474" t="e">
        <f>AO66/AR66</f>
        <v>#VALUE!</v>
      </c>
      <c r="AT66" s="471" t="e">
        <f>IF(AS66&lt;0.9,"Disminuir vel.",IF(AS66&gt;1.1,"Aumentar vel.","Cumple"))</f>
        <v>#VALUE!</v>
      </c>
      <c r="AU66" s="492">
        <f>+I66*AL66*AM66</f>
        <v>0</v>
      </c>
      <c r="AV66" s="471">
        <f>+L66*AL66*AM66</f>
        <v>0</v>
      </c>
      <c r="AW66" s="471">
        <f>ROUND(IF(AI66&gt;(AV66*0.05),(AV66+AI66),AV66),2)</f>
        <v>1.5</v>
      </c>
      <c r="AX66" s="478">
        <f>IF(OR(C66="",D66=""),"",ROUND(((VLOOKUP(C66,'Base de Diseño (2)'!$A$2:$C$333,2,FALSE)-VLOOKUP(D66,'Base de Diseño (2)'!$A$2:$C$333,2,FALSE))^2+(VLOOKUP(C66,'Base de Diseño (2)'!$A$2:$C$333,3,0)-VLOOKUP(D66,'Base de Diseño (2)'!$A$2:$C$333,3,FALSE))^2)^0.5,2))</f>
        <v>23.24</v>
      </c>
      <c r="AY66" s="493">
        <v>23.8048</v>
      </c>
      <c r="AZ66" s="480">
        <f>IF(AND(L66="",H66=""),"",IF(BA66=4,VLOOKUP(AY66,'TABLA (2)'!$A$74:$C$89,2),IF(BA66=5,VLOOKUP(AY66,'TABLA (2)'!$A$51:$B$66,2),IF(BA66=6,VLOOKUP(AY66,'TABLA (2)'!$A$9:$B$43,2)))))</f>
        <v>525</v>
      </c>
      <c r="BA66" s="493">
        <v>6</v>
      </c>
      <c r="BB66" s="478">
        <f>IF(OR(C66="",D66=""),"",VLOOKUP(C66,'Base de Diseño (2)'!$A$2:$D$330,4,FALSE))</f>
        <v>964.09199999999998</v>
      </c>
      <c r="BC66" s="478">
        <f>IF(OR(C66="",D66=""),"",VLOOKUP(D66,'Base de Diseño (2)'!$A$2:$D$330,4,FALSE))</f>
        <v>962.55</v>
      </c>
      <c r="BD66" s="23">
        <f>+BF66-((AZ66/1000)+CX66)</f>
        <v>0.20499999999995455</v>
      </c>
      <c r="BE66" s="23">
        <f>+BG66-((AZ66/1000)+CX66)</f>
        <v>0.1050000000000455</v>
      </c>
      <c r="BF66" s="494">
        <v>0.79999999999995453</v>
      </c>
      <c r="BG66" s="494">
        <v>0.70000000000004547</v>
      </c>
      <c r="BH66" s="495">
        <f>BB66-BF66</f>
        <v>963.29200000000003</v>
      </c>
      <c r="BI66" s="495">
        <f>BC66-BG66</f>
        <v>961.84999999999991</v>
      </c>
      <c r="BJ66" s="468">
        <f>IF(A66="",0,BI66-BH67)</f>
        <v>961.84999999999991</v>
      </c>
      <c r="BK66" s="475">
        <f>ABS((BB66-BC66)/AX66)*100</f>
        <v>6.6351118760758609</v>
      </c>
      <c r="BL66" s="475">
        <f>((BH66-BI66)/AX66)*100</f>
        <v>6.204819277108955</v>
      </c>
      <c r="BM66" s="475">
        <f>IF(BA66=6,(1/0.013)*((AZ66/4000)^(2/3))*((BL66/100)^(0.5)),(1/0.009)*((AZ66/4000)^(2/3))*((BL66/100)^(0.5)))</f>
        <v>4.9486578081949828</v>
      </c>
      <c r="BN66" s="475">
        <f>1000*BM66*PI()*((AZ66/1000/2)^2)</f>
        <v>1071.2625240268142</v>
      </c>
      <c r="BO66" s="204">
        <f>AI66/BN66</f>
        <v>1.400217002235443E-3</v>
      </c>
      <c r="BP66" s="496" t="str">
        <f>IF(L66=0," ",AW66/BN66)</f>
        <v xml:space="preserve"> </v>
      </c>
      <c r="BQ66" s="497">
        <f>IF($BO66&gt;0 =AND($BO66&lt;=0.06),10^(0.029806+0.29095*LOG($BO66)),IF($BO66&gt;0.06 =AND($BO66&lt;=0.26),10^(0.013778+0.282597*LOG($BO66)),IF($BO66&gt;0.26 =AND($BO66&lt;=0.91),10^(0.021763+0.28995*LOG($BO66)),1)))</f>
        <v>0.15830387149892258</v>
      </c>
      <c r="BR66" s="497" t="str">
        <f>IF($BP66&gt;0 =AND($BP66&lt;=0.06),10^(0.029806+0.29095*LOG($BP66)),IF($BP66&gt;0.06 =AND($BP66&lt;=0.26),10^(0.013778+0.282597*LOG($BP66)),IF($BP66&gt;0.26 =AND($BP66&lt;=2),10^(0.021763+0.28995*LOG($BP66))," ")))</f>
        <v xml:space="preserve"> </v>
      </c>
      <c r="BS66" s="475">
        <f>BM66*BQ66</f>
        <v>0.78339168976063844</v>
      </c>
      <c r="BT66" s="475" t="str">
        <f>IF(BP66=" "," ",(BM66*BR66))</f>
        <v xml:space="preserve"> </v>
      </c>
      <c r="BU66" s="475">
        <f>IF(BO66&lt;=0.11,0.3827+0.0645*LN(BO66),IF(BO66&lt;=0.21,0.60025+0.15471*LN(BO66),IF(BO66&lt;1,0.225+0.6666666667*BO66,0)))</f>
        <v>-4.1137759404031693E-2</v>
      </c>
      <c r="BV66" s="475" t="str">
        <f>IF(BP66&lt;=0.11,0.3827+0.0645*LN(BP66),IF(BP66&lt;=0.21,0.60025+0.15471*LN(BP66),IF(BP66&lt;1,0.225+0.6666666667*BP66," ")))</f>
        <v xml:space="preserve"> </v>
      </c>
      <c r="BW66" s="475" t="e">
        <f>2*ACOS(1-2*(BU66))</f>
        <v>#NUM!</v>
      </c>
      <c r="BX66" s="475" t="str">
        <f>IF(BP66=" "," ",(2*ACOS(1-2*(BV66))))</f>
        <v xml:space="preserve"> </v>
      </c>
      <c r="BY66" s="475" t="e">
        <f>(1/4)*(1-(SIN(BW66))/BW66)</f>
        <v>#NUM!</v>
      </c>
      <c r="BZ66" s="475" t="str">
        <f>IF(BP66=" "," ",((1/4)*(1-(SIN(BX66))/BX66)))</f>
        <v xml:space="preserve"> </v>
      </c>
      <c r="CA66" s="471" t="e">
        <f>BY66*AZ66/1000</f>
        <v>#NUM!</v>
      </c>
      <c r="CB66" s="471" t="str">
        <f>IF(BP66=" "," ",(BZ66*AZ66/1000))</f>
        <v xml:space="preserve"> </v>
      </c>
      <c r="CC66" s="471" t="e">
        <f t="shared" ref="CC66:CC97" si="150">+(BT66/SQRT(9.81*(0.125*(BX66-SIN(BX66))*(AZ66/1000)^2)/((AZ66/1000)*SIN(BX66/2))))</f>
        <v>#VALUE!</v>
      </c>
      <c r="CD66" s="471" t="e">
        <f>IF(CC66="","",IF(CC66&lt;0.7,"F. Subcrítico",IF(AND(CC66&gt;0.7,CC66&lt;1),"F. Subcrítico Inestable",IF(CC66=1,"F. Crítico",IF(AND(CC66&gt;1,CC66&lt;1.5),"F. Supercrítico Inestable",IF(CC66&gt;1.5,"F. Supercrítico",""))))))</f>
        <v>#VALUE!</v>
      </c>
      <c r="CE66" s="471" t="e">
        <f>1000*BL66*CA66/100</f>
        <v>#NUM!</v>
      </c>
      <c r="CF66" s="471" t="str">
        <f>IF(BP66=" "," ",(1000*BL66*CB66/100))</f>
        <v xml:space="preserve"> </v>
      </c>
      <c r="CG66" s="471" t="str">
        <f>IF(BS66&lt;0.45,"No cumple",IF(BS66&gt;5,"No cumple","O.K"))</f>
        <v>O.K</v>
      </c>
      <c r="CH66" s="471" t="str">
        <f>IF(BT66&lt;0.75,"No cumple",IF(BT66&gt;10,"No cumple","O.K"))</f>
        <v>No cumple</v>
      </c>
      <c r="CI66" s="471" t="e">
        <f>IF(CE66&gt;0.1,"OK","V.C.H.")</f>
        <v>#NUM!</v>
      </c>
      <c r="CJ66" s="471" t="str">
        <f>IF(CF66&gt;0.2,"OK","V.C.H.")</f>
        <v>OK</v>
      </c>
      <c r="CK66" s="468">
        <f>+BJ66</f>
        <v>961.84999999999991</v>
      </c>
      <c r="CL66" s="482" t="s">
        <v>2507</v>
      </c>
      <c r="CM66" s="482"/>
      <c r="CN66" s="63" t="str">
        <f>IF(B66=1,"dato"," ")</f>
        <v>dato</v>
      </c>
      <c r="CO66" s="498">
        <f>+CR66</f>
        <v>23.24</v>
      </c>
      <c r="CP66" s="472">
        <f>+BK66/100</f>
        <v>6.6351118760758609E-2</v>
      </c>
      <c r="CQ66" s="482" t="s">
        <v>2508</v>
      </c>
      <c r="CR66" s="204">
        <f>IF(BA66="","",AX66)</f>
        <v>23.24</v>
      </c>
      <c r="CS66" s="486">
        <v>1.2</v>
      </c>
      <c r="CT66" s="486">
        <v>1.2</v>
      </c>
      <c r="CU66" s="23">
        <f>IF($BA66="","",SQRT((BH66-BI66)^2+$CR66^2))</f>
        <v>23.284693770801461</v>
      </c>
      <c r="CV66" s="499" t="s">
        <v>2509</v>
      </c>
      <c r="CW66" s="488" t="str">
        <f>+IF(BD66&lt;=0.9,"E1",IF(BD66&lt;=2.5,"E2","E3"))</f>
        <v>E1</v>
      </c>
      <c r="CX66" s="204">
        <f>IF(AND(L66="",H66=""),"",IF(AND(BA66&lt;&gt;4,BA66&lt;&gt;5),VLOOKUP(AY66,'TABLA (2)'!$A$9:$D$43,4),IF(BA66=4,VLOOKUP(AY66,'TABLA (2)'!$A$74:$D$89,4),VLOOKUP(AY66,'TABLA (2)'!$A$51:$D$66,4))))</f>
        <v>7.0000000000000007E-2</v>
      </c>
      <c r="CY66" s="482"/>
      <c r="CZ66" s="482"/>
      <c r="DA66" s="482"/>
      <c r="DB66" s="490"/>
    </row>
    <row r="67" spans="1:106" ht="15.75" hidden="1" customHeight="1">
      <c r="A67" s="465"/>
      <c r="B67" s="491"/>
      <c r="C67" s="501"/>
      <c r="D67" s="501"/>
      <c r="E67" s="468"/>
      <c r="F67" s="468"/>
      <c r="G67" s="468"/>
      <c r="H67" s="468"/>
      <c r="I67" s="468"/>
      <c r="J67" s="468"/>
      <c r="K67" s="467"/>
      <c r="L67" s="468"/>
      <c r="M67" s="469"/>
      <c r="N67" s="470"/>
      <c r="O67" s="470"/>
      <c r="P67" s="470"/>
      <c r="Q67" s="469"/>
      <c r="R67" s="471"/>
      <c r="S67" s="471"/>
      <c r="T67" s="471"/>
      <c r="U67" s="471"/>
      <c r="V67" s="471"/>
      <c r="W67" s="471"/>
      <c r="X67" s="471"/>
      <c r="Y67" s="471"/>
      <c r="Z67" s="471"/>
      <c r="AA67" s="471" t="str">
        <f t="shared" si="0"/>
        <v/>
      </c>
      <c r="AB67" s="471"/>
      <c r="AC67" s="471"/>
      <c r="AD67" s="471"/>
      <c r="AE67" s="471"/>
      <c r="AF67" s="471"/>
      <c r="AG67" s="471"/>
      <c r="AH67" s="471"/>
      <c r="AI67" s="471"/>
      <c r="AJ67" s="471"/>
      <c r="AK67" s="472"/>
      <c r="AL67" s="471"/>
      <c r="AM67" s="473">
        <f t="shared" si="148"/>
        <v>474.44695720875893</v>
      </c>
      <c r="AN67" s="474">
        <f t="shared" si="149"/>
        <v>10</v>
      </c>
      <c r="AO67" s="474"/>
      <c r="AP67" s="474"/>
      <c r="AQ67" s="475">
        <v>3</v>
      </c>
      <c r="AR67" s="474"/>
      <c r="AS67" s="474"/>
      <c r="AT67" s="471"/>
      <c r="AU67" s="492"/>
      <c r="AV67" s="471"/>
      <c r="AW67" s="471"/>
      <c r="AX67" s="478"/>
      <c r="AY67" s="493"/>
      <c r="AZ67" s="480"/>
      <c r="BA67" s="493"/>
      <c r="BB67" s="478" t="str">
        <f>IF(OR(C67="",D67=""),"",VLOOKUP(C67,'Base de Diseño (2)'!$A$2:$D$330,4,FALSE))</f>
        <v/>
      </c>
      <c r="BC67" s="478" t="str">
        <f>IF(OR(C67="",D67=""),"",VLOOKUP(D67,'Base de Diseño (2)'!$A$2:$D$330,4,FALSE))</f>
        <v/>
      </c>
      <c r="BD67" s="494"/>
      <c r="BE67" s="494"/>
      <c r="BF67" s="494"/>
      <c r="BG67" s="494"/>
      <c r="BH67" s="495"/>
      <c r="BI67" s="495"/>
      <c r="BJ67" s="468"/>
      <c r="BK67" s="475"/>
      <c r="BL67" s="475"/>
      <c r="BM67" s="475"/>
      <c r="BN67" s="475"/>
      <c r="BO67" s="204"/>
      <c r="BP67" s="496"/>
      <c r="BQ67" s="497"/>
      <c r="BR67" s="497"/>
      <c r="BS67" s="475"/>
      <c r="BT67" s="475"/>
      <c r="BU67" s="475"/>
      <c r="BV67" s="475"/>
      <c r="BW67" s="475"/>
      <c r="BX67" s="475"/>
      <c r="BY67" s="475"/>
      <c r="BZ67" s="475"/>
      <c r="CA67" s="471"/>
      <c r="CB67" s="471"/>
      <c r="CC67" s="471" t="e">
        <f t="shared" si="150"/>
        <v>#DIV/0!</v>
      </c>
      <c r="CD67" s="471"/>
      <c r="CE67" s="471"/>
      <c r="CF67" s="471"/>
      <c r="CG67" s="471"/>
      <c r="CH67" s="471"/>
      <c r="CI67" s="471"/>
      <c r="CJ67" s="471"/>
      <c r="CK67" s="468"/>
      <c r="CL67" s="482"/>
      <c r="CM67" s="482"/>
      <c r="CN67" s="63"/>
      <c r="CO67" s="498"/>
      <c r="CP67" s="472"/>
      <c r="CQ67" s="482"/>
      <c r="CR67" s="204"/>
      <c r="CS67" s="486"/>
      <c r="CT67" s="486"/>
      <c r="CU67" s="23"/>
      <c r="CV67" s="499"/>
      <c r="CW67" s="488"/>
      <c r="CX67" s="204"/>
      <c r="CY67" s="482"/>
      <c r="CZ67" s="482"/>
      <c r="DA67" s="482"/>
      <c r="DB67" s="490"/>
    </row>
    <row r="68" spans="1:106" ht="15.75" hidden="1" customHeight="1">
      <c r="A68" s="465">
        <v>34</v>
      </c>
      <c r="B68" s="491">
        <v>1</v>
      </c>
      <c r="C68" s="466" t="s">
        <v>2210</v>
      </c>
      <c r="D68" s="466" t="s">
        <v>2204</v>
      </c>
      <c r="E68" s="468">
        <v>0.19971614529999998</v>
      </c>
      <c r="F68" s="468"/>
      <c r="G68" s="468">
        <f>IF(B68=1,0,SUMIF($D$22:$D$583,C68,$H$22:$H$583))</f>
        <v>0</v>
      </c>
      <c r="H68" s="468">
        <f>+E68+F68+G68</f>
        <v>0.19971614529999998</v>
      </c>
      <c r="I68" s="468">
        <v>0.19971614529999998</v>
      </c>
      <c r="J68" s="468"/>
      <c r="K68" s="467">
        <f>+IF(B68=1,0,SUMIF($D$22:$D$583,C68,$L$22:$L$580))</f>
        <v>0</v>
      </c>
      <c r="L68" s="468">
        <f>+I68+J68+K68</f>
        <v>0.19971614529999998</v>
      </c>
      <c r="M68" s="469">
        <f>+$P$12</f>
        <v>242.33666300502347</v>
      </c>
      <c r="N68" s="470">
        <f>M68*E68</f>
        <v>48.3985442002284</v>
      </c>
      <c r="O68" s="470">
        <f>M68*F68</f>
        <v>0</v>
      </c>
      <c r="P68" s="470">
        <f>M68*H68</f>
        <v>48.3985442002284</v>
      </c>
      <c r="Q68" s="469">
        <f>+$H$14</f>
        <v>140</v>
      </c>
      <c r="R68" s="471">
        <f>Q68*P68*$P$14/86400</f>
        <v>6.6660031942444214E-2</v>
      </c>
      <c r="S68" s="471"/>
      <c r="T68" s="471"/>
      <c r="U68" s="471">
        <f>IF(C68="","",T68*$P$17)</f>
        <v>0</v>
      </c>
      <c r="V68" s="471"/>
      <c r="W68" s="471"/>
      <c r="X68" s="471">
        <f>IF(C68="","",W68*$P$16)</f>
        <v>0</v>
      </c>
      <c r="Y68" s="471">
        <f>IF(H68=0,0,$H$15*H68)</f>
        <v>3.9943229060000002E-2</v>
      </c>
      <c r="Z68" s="471">
        <f>IF(L68=0,$H$16*H68,0)</f>
        <v>0</v>
      </c>
      <c r="AA68" s="471">
        <f t="shared" si="0"/>
        <v>3.8</v>
      </c>
      <c r="AB68" s="471">
        <f>R68*AA68</f>
        <v>0.253308121381288</v>
      </c>
      <c r="AC68" s="471">
        <f>Q68*(N68+O68)*$P$14/86400</f>
        <v>6.6660031942444214E-2</v>
      </c>
      <c r="AD68" s="471">
        <f>IF(E68=0,0,$H$15*(E68+F68))</f>
        <v>3.9943229060000002E-2</v>
      </c>
      <c r="AE68" s="471">
        <f>IF(F68=0,0,$H$15*(F68+G68))</f>
        <v>0</v>
      </c>
      <c r="AF68" s="471">
        <f>IF(N68="","",IF(1+((14/(4+(((N68+O68)+O68)/1000)^1/2)))&lt;1.4,1.4,IF(1+((14/(4+((N68+O68)/1000)^1/2)))&gt;=4,4,(1+((14/(4+((N68+O68)/1000)^1/2)))))))</f>
        <v>4</v>
      </c>
      <c r="AG68" s="471">
        <f>AC68*AF68</f>
        <v>0.26664012776977686</v>
      </c>
      <c r="AH68" s="471">
        <f>+AD68+AE68+AG68</f>
        <v>0.30658335682977689</v>
      </c>
      <c r="AI68" s="471">
        <f>IF(H68="","",IF(AB68+Y68+Z68+X68+U68&lt;1.5,1.5,AB68+Y68+Z68+X68+U68))</f>
        <v>1.5</v>
      </c>
      <c r="AJ68" s="471">
        <f>+$P$17</f>
        <v>0.75</v>
      </c>
      <c r="AK68" s="472">
        <f>+BK68/100</f>
        <v>7.0386988222097338E-2</v>
      </c>
      <c r="AL68" s="471">
        <f>IF(AJ68=0," ",0.14+0.65*AJ68+0.05*AK68)</f>
        <v>0.63101934941110494</v>
      </c>
      <c r="AM68" s="473">
        <f t="shared" si="148"/>
        <v>336.32613267542746</v>
      </c>
      <c r="AN68" s="474">
        <f t="shared" si="149"/>
        <v>5</v>
      </c>
      <c r="AO68" s="474">
        <f>((1/60)*$AX68/$AQ68)</f>
        <v>0.1981111111111111</v>
      </c>
      <c r="AP68" s="474">
        <f>IF(B68=1,IF(($AN68+$AO68)&lt;10,10,IF(($AN68+$AO68)&gt;20,20,($AN68+$AO68))),($AN68+$AO68))</f>
        <v>10</v>
      </c>
      <c r="AQ68" s="475">
        <v>3</v>
      </c>
      <c r="AR68" s="474">
        <f>((1/60)*$AX68/$BT68)</f>
        <v>0.32286344144137852</v>
      </c>
      <c r="AS68" s="474">
        <f>AO68/AR68</f>
        <v>0.61360651496085106</v>
      </c>
      <c r="AT68" s="471" t="str">
        <f>IF(AS68&lt;0.9,"Disminuir vel.",IF(AS68&gt;1.1,"Aumentar vel.","Cumple"))</f>
        <v>Disminuir vel.</v>
      </c>
      <c r="AU68" s="492">
        <f>+I68*AL68*AM68</f>
        <v>42.385417486461506</v>
      </c>
      <c r="AV68" s="471">
        <f>+L68*AL68*AM68</f>
        <v>42.385417486461506</v>
      </c>
      <c r="AW68" s="471">
        <f>ROUND(IF(AI68&gt;(AV68*0.05),(AV68+AI68),AV68),2)</f>
        <v>42.39</v>
      </c>
      <c r="AX68" s="478">
        <f>IF(OR(C68="",D68=""),"",ROUND(((VLOOKUP(C68,'Base de Diseño (2)'!$A$2:$C$333,2,FALSE)-VLOOKUP(D68,'Base de Diseño (2)'!$A$2:$C$333,2,FALSE))^2+(VLOOKUP(C68,'Base de Diseño (2)'!$A$2:$C$333,3,0)-VLOOKUP(D68,'Base de Diseño (2)'!$A$2:$C$333,3,FALSE))^2)^0.5,2))</f>
        <v>35.659999999999997</v>
      </c>
      <c r="AY68" s="493">
        <v>12</v>
      </c>
      <c r="AZ68" s="480">
        <f>IF(AND(L68="",H68=""),"",IF(BA68=4,VLOOKUP(AY68,'TABLA (2)'!$A$74:$C$89,2),IF(BA68=5,VLOOKUP(AY68,'TABLA (2)'!$A$51:$B$66,2),IF(BA68=6,VLOOKUP(AY68,'TABLA (2)'!$A$9:$B$43,2)))))</f>
        <v>300</v>
      </c>
      <c r="BA68" s="493">
        <v>6</v>
      </c>
      <c r="BB68" s="478">
        <f>IF(OR(C68="",D68=""),"",VLOOKUP(C68,'Base de Diseño (2)'!$A$2:$D$330,4,FALSE))</f>
        <v>971.75160000000005</v>
      </c>
      <c r="BC68" s="478">
        <f>IF(OR(C68="",D68=""),"",VLOOKUP(D68,'Base de Diseño (2)'!$A$2:$D$330,4,FALSE))</f>
        <v>969.24160000000006</v>
      </c>
      <c r="BD68" s="23">
        <f>+BF68-((AZ68/1000)+CX68)</f>
        <v>2.3129999999999682</v>
      </c>
      <c r="BE68" s="23">
        <f>+BG68-((AZ68/1000)+CX68)</f>
        <v>1.233000000000041</v>
      </c>
      <c r="BF68" s="494">
        <v>2.6599999999999682</v>
      </c>
      <c r="BG68" s="494">
        <v>1.5800000000000409</v>
      </c>
      <c r="BH68" s="495">
        <f>BB68-BF68</f>
        <v>969.09160000000008</v>
      </c>
      <c r="BI68" s="495">
        <f>BC68-BG68</f>
        <v>967.66160000000002</v>
      </c>
      <c r="BJ68" s="468">
        <f>IF(A68="",0,BI68-BH69)</f>
        <v>0</v>
      </c>
      <c r="BK68" s="475">
        <f>ABS((BB68-BC68)/AX68)*100</f>
        <v>7.0386988222097342</v>
      </c>
      <c r="BL68" s="475">
        <f>((BH68-BI68)/AX68)*100</f>
        <v>4.0100953449244638</v>
      </c>
      <c r="BM68" s="475">
        <f>IF(BA68=6,(1/0.013)*((AZ68/4000)^(2/3))*((BL68/100)^(0.5)),(1/0.009)*((AZ68/4000)^(2/3))*((BL68/100)^(0.5)))</f>
        <v>2.7395222954534408</v>
      </c>
      <c r="BN68" s="475">
        <f>1000*BM68*PI()*((AZ68/1000/2)^2)</f>
        <v>193.64542014919445</v>
      </c>
      <c r="BO68" s="204">
        <f>AI68/BN68</f>
        <v>7.7461165817622867E-3</v>
      </c>
      <c r="BP68" s="496">
        <f>IF(L68=0," ",AW68/BN68)</f>
        <v>0.21890525460060223</v>
      </c>
      <c r="BQ68" s="497">
        <f>IF($BO68&gt;0 =AND($BO68&lt;=0.06),10^(0.029806+0.29095*LOG($BO68)),IF($BO68&gt;0.06 =AND($BO68&lt;=0.26),10^(0.013778+0.282597*LOG($BO68)),IF($BO68&gt;0.26 =AND($BO68&lt;=0.91),10^(0.021763+0.28995*LOG($BO68)),1)))</f>
        <v>0.26039641346016235</v>
      </c>
      <c r="BR68" s="497">
        <f>IF($BP68&gt;0 =AND($BP68&lt;=0.06),10^(0.029806+0.29095*LOG($BP68)),IF($BP68&gt;0.06 =AND($BP68&lt;=0.26),10^(0.013778+0.282597*LOG($BP68)),IF($BP68&gt;0.26 =AND($BP68&lt;=2),10^(0.021763+0.28995*LOG($BP68))," ")))</f>
        <v>0.67194910146838716</v>
      </c>
      <c r="BS68" s="475">
        <f>BM68*BQ68</f>
        <v>0.71336178033022724</v>
      </c>
      <c r="BT68" s="475">
        <f>IF(BP68=" "," ",(BM68*BR68))</f>
        <v>1.8408195448825531</v>
      </c>
      <c r="BU68" s="475">
        <f>IF(BO68&lt;=0.11,0.3827+0.0645*LN(BO68),IF(BO68&lt;=0.21,0.60025+0.15471*LN(BO68),IF(BO68&lt;1,0.225+0.6666666667*BO68,0)))</f>
        <v>6.9193644740974003E-2</v>
      </c>
      <c r="BV68" s="475">
        <f>IF(BP68&lt;=0.11,0.3827+0.0645*LN(BP68),IF(BP68&lt;=0.21,0.60025+0.15471*LN(BP68),IF(BP68&lt;1,0.225+0.6666666667*BP68," ")))</f>
        <v>0.37093683640769831</v>
      </c>
      <c r="BW68" s="475">
        <f>2*ACOS(1-2*(BU68))</f>
        <v>1.0647156643178493</v>
      </c>
      <c r="BX68" s="475">
        <f>IF(BP68=" "," ",(2*ACOS(1-2*(BV68))))</f>
        <v>2.6194280490521393</v>
      </c>
      <c r="BY68" s="475">
        <f>(1/4)*(1-(SIN(BW68))/BW68)</f>
        <v>4.4628002511495068E-2</v>
      </c>
      <c r="BZ68" s="475">
        <f>IF(BP68=" "," ",((1/4)*(1-(SIN(BX68))/BX68)))</f>
        <v>0.20239824798558642</v>
      </c>
      <c r="CA68" s="471">
        <f>BY68*AZ68/1000</f>
        <v>1.3388400753448521E-2</v>
      </c>
      <c r="CB68" s="471">
        <f>IF(BP68=" "," ",(BZ68*AZ68/1000))</f>
        <v>6.0719474395675925E-2</v>
      </c>
      <c r="CC68" s="471">
        <f t="shared" si="150"/>
        <v>2.0485097001634287</v>
      </c>
      <c r="CD68" s="471" t="str">
        <f>IF(CC68="","",IF(CC68&lt;0.7,"F. Subcrítico",IF(AND(CC68&gt;0.7,CC68&lt;1),"F. Subcrítico Inestable",IF(CC68=1,"F. Crítico",IF(AND(CC68&gt;1,CC68&lt;1.5),"F. Supercrítico Inestable",IF(CC68&gt;1.5,"F. Supercrítico",""))))))</f>
        <v>F. Supercrítico</v>
      </c>
      <c r="CE68" s="471">
        <f>1000*BL68*CA68/100</f>
        <v>0.53688763537387096</v>
      </c>
      <c r="CF68" s="471">
        <f>IF(BP68=" "," ",(1000*BL68*CB68/100))</f>
        <v>2.4349088162036021</v>
      </c>
      <c r="CG68" s="471" t="str">
        <f>IF(BS68&lt;0.45,"No cumple",IF(BS68&gt;5,"No cumple","O.K"))</f>
        <v>O.K</v>
      </c>
      <c r="CH68" s="471" t="str">
        <f>IF(BT68&lt;0.75,"No cumple",IF(BT68&gt;10,"No cumple","O.K"))</f>
        <v>O.K</v>
      </c>
      <c r="CI68" s="471" t="str">
        <f>IF(CE68&gt;0.1,"OK","V.C.H.")</f>
        <v>OK</v>
      </c>
      <c r="CJ68" s="471" t="str">
        <f>IF(CF68&gt;0.2,"OK","V.C.H.")</f>
        <v>OK</v>
      </c>
      <c r="CK68" s="468">
        <f>+BJ68</f>
        <v>0</v>
      </c>
      <c r="CL68" s="482" t="s">
        <v>2507</v>
      </c>
      <c r="CM68" s="482"/>
      <c r="CN68" s="63" t="str">
        <f>IF(B68=1,"dato"," ")</f>
        <v>dato</v>
      </c>
      <c r="CO68" s="498">
        <f>+CR68</f>
        <v>35.659999999999997</v>
      </c>
      <c r="CP68" s="472">
        <f>+BK68/100</f>
        <v>7.0386988222097338E-2</v>
      </c>
      <c r="CQ68" s="482" t="s">
        <v>2508</v>
      </c>
      <c r="CR68" s="204">
        <f>IF(BA68="","",AX68)</f>
        <v>35.659999999999997</v>
      </c>
      <c r="CS68" s="486">
        <v>1.2</v>
      </c>
      <c r="CT68" s="486">
        <v>1.2</v>
      </c>
      <c r="CU68" s="23">
        <f>IF($BA68="","",SQRT((BH68-BI68)^2+$CR68^2))</f>
        <v>35.688660664138126</v>
      </c>
      <c r="CV68" s="499" t="s">
        <v>2509</v>
      </c>
      <c r="CW68" s="488" t="str">
        <f>+IF(BD68&lt;=0.9,"E1",IF(BD68&lt;=2.5,"E2","E3"))</f>
        <v>E2</v>
      </c>
      <c r="CX68" s="204">
        <f>IF(AND(L68="",H68=""),"",IF(AND(BA68&lt;&gt;4,BA68&lt;&gt;5),VLOOKUP(AY68,'TABLA (2)'!$A$9:$D$43,4),IF(BA68=4,VLOOKUP(AY68,'TABLA (2)'!$A$74:$D$89,4),VLOOKUP(AY68,'TABLA (2)'!$A$51:$D$66,4))))</f>
        <v>4.7E-2</v>
      </c>
      <c r="CY68" s="482"/>
      <c r="CZ68" s="482"/>
      <c r="DA68" s="482"/>
      <c r="DB68" s="490"/>
    </row>
    <row r="69" spans="1:106" ht="16.149999999999999" hidden="1" customHeight="1">
      <c r="A69" s="465">
        <v>35</v>
      </c>
      <c r="B69" s="491"/>
      <c r="C69" s="466" t="s">
        <v>2204</v>
      </c>
      <c r="D69" s="466" t="s">
        <v>2227</v>
      </c>
      <c r="E69" s="468"/>
      <c r="F69" s="468"/>
      <c r="G69" s="468">
        <f>IF(B69=1,0,SUMIF($D$22:$D$583,C69,$H$22:$H$583))</f>
        <v>0.19971614529999998</v>
      </c>
      <c r="H69" s="468">
        <f>+E69+F69+G69</f>
        <v>0.19971614529999998</v>
      </c>
      <c r="I69" s="468"/>
      <c r="J69" s="468"/>
      <c r="K69" s="467">
        <f ca="1">+IF(B69=1,0,SUMIF($D$22:$D$583,C69,$L$22:$L$580))</f>
        <v>0.19971614529999998</v>
      </c>
      <c r="L69" s="468">
        <f ca="1">+I69+J69+K69</f>
        <v>0.19971614529999998</v>
      </c>
      <c r="M69" s="469">
        <f>+$P$12</f>
        <v>242.33666300502347</v>
      </c>
      <c r="N69" s="470">
        <f>M69*E69</f>
        <v>0</v>
      </c>
      <c r="O69" s="470">
        <f>M69*F69</f>
        <v>0</v>
      </c>
      <c r="P69" s="470">
        <f>M69*H69</f>
        <v>48.3985442002284</v>
      </c>
      <c r="Q69" s="469">
        <f>+$H$14</f>
        <v>140</v>
      </c>
      <c r="R69" s="471">
        <f>Q69*P69*$P$14/86400</f>
        <v>6.6660031942444214E-2</v>
      </c>
      <c r="S69" s="471"/>
      <c r="T69" s="471"/>
      <c r="U69" s="471">
        <f>IF(C69="","",T69*$P$17)</f>
        <v>0</v>
      </c>
      <c r="V69" s="471"/>
      <c r="W69" s="471"/>
      <c r="X69" s="471">
        <f>IF(C69="","",W69*$P$16)</f>
        <v>0</v>
      </c>
      <c r="Y69" s="471">
        <f>IF(H69=0,0,$H$15*H69)</f>
        <v>3.9943229060000002E-2</v>
      </c>
      <c r="Z69" s="471">
        <f ca="1">IF(L69=0,$H$16*H69,0)</f>
        <v>0</v>
      </c>
      <c r="AA69" s="471">
        <f t="shared" si="0"/>
        <v>3.8</v>
      </c>
      <c r="AB69" s="471">
        <f>R69*AA69</f>
        <v>0.253308121381288</v>
      </c>
      <c r="AC69" s="471">
        <f>Q69*(N69+O69)*$P$14/86400</f>
        <v>0</v>
      </c>
      <c r="AD69" s="471">
        <f>IF(E69=0,0,$H$15*(E69+F69))</f>
        <v>0</v>
      </c>
      <c r="AE69" s="471">
        <f>IF(F69=0,0,$H$15*(F69+G69))</f>
        <v>0</v>
      </c>
      <c r="AF69" s="471">
        <f>IF(N69="","",IF(1+((14/(4+(((N69+O69)+O69)/1000)^1/2)))&lt;1.4,1.4,IF(1+((14/(4+((N69+O69)/1000)^1/2)))&gt;=4,4,(1+((14/(4+((N69+O69)/1000)^1/2)))))))</f>
        <v>4</v>
      </c>
      <c r="AG69" s="471">
        <f>AC69*AF69</f>
        <v>0</v>
      </c>
      <c r="AH69" s="471">
        <f>+AD69+AE69+AG69</f>
        <v>0</v>
      </c>
      <c r="AI69" s="471">
        <f ca="1">IF(H69="","",IF(AB69+Y69+Z69+X69+U69&lt;1.5,1.5,AB69+Y69+Z69+X69+U69))</f>
        <v>1.5</v>
      </c>
      <c r="AJ69" s="471">
        <f>+$P$17</f>
        <v>0.75</v>
      </c>
      <c r="AK69" s="472">
        <f>+BK69/100</f>
        <v>7.6461168935151397E-2</v>
      </c>
      <c r="AL69" s="471">
        <f>IF(AJ69=0," ",0.14+0.65*AJ69+0.05*AK69)</f>
        <v>0.63132305844675762</v>
      </c>
      <c r="AM69" s="473">
        <f t="shared" si="148"/>
        <v>334.95398507082251</v>
      </c>
      <c r="AN69" s="474">
        <f t="shared" si="149"/>
        <v>10</v>
      </c>
      <c r="AO69" s="474">
        <f>((1/60)*$AX69/$AQ69)</f>
        <v>0.13877777777777778</v>
      </c>
      <c r="AP69" s="474">
        <f>IF(B69=1,IF(($AN69+$AO69)&lt;10,10,IF(($AN69+$AO69)&gt;20,20,($AN69+$AO69))),($AN69+$AO69))</f>
        <v>10.138777777777777</v>
      </c>
      <c r="AQ69" s="475">
        <v>3</v>
      </c>
      <c r="AR69" s="474">
        <f ca="1">((1/60)*$AX69/$BT69)</f>
        <v>0.15473988967113042</v>
      </c>
      <c r="AS69" s="474">
        <f ca="1">AO69/AR69</f>
        <v>0.89684552620997071</v>
      </c>
      <c r="AT69" s="471" t="str">
        <f ca="1">IF(AS69&lt;0.9,"Disminuir vel.",IF(AS69&gt;1.1,"Aumentar vel.","Cumple"))</f>
        <v>Disminuir vel.</v>
      </c>
      <c r="AU69" s="492">
        <f>+I69*AL69*AM69</f>
        <v>0</v>
      </c>
      <c r="AV69" s="471">
        <f ca="1">+L69*AL69*AM69</f>
        <v>42.232809759013321</v>
      </c>
      <c r="AW69" s="471">
        <f ca="1">ROUND(IF(AI69&gt;(AV69*0.05),(AV69+AI69),AV69),2)</f>
        <v>42.23</v>
      </c>
      <c r="AX69" s="478">
        <f>IF(OR(C69="",D69=""),"",ROUND(((VLOOKUP(C69,'Base de Diseño (2)'!$A$2:$C$333,2,FALSE)-VLOOKUP(D69,'Base de Diseño (2)'!$A$2:$C$333,2,FALSE))^2+(VLOOKUP(C69,'Base de Diseño (2)'!$A$2:$C$333,3,0)-VLOOKUP(D69,'Base de Diseño (2)'!$A$2:$C$333,3,FALSE))^2)^0.5,2))</f>
        <v>24.98</v>
      </c>
      <c r="AY69" s="493">
        <v>14</v>
      </c>
      <c r="AZ69" s="480">
        <f ca="1">IF(AND(L69="",H69=""),"",IF(BA69=4,VLOOKUP(AY69,'TABLA (2)'!$A$74:$C$89,2),IF(BA69=5,VLOOKUP(AY69,'TABLA (2)'!$A$51:$B$66,2),IF(BA69=6,VLOOKUP(AY69,'TABLA (2)'!$A$9:$B$43,2)))))</f>
        <v>350</v>
      </c>
      <c r="BA69" s="493">
        <v>6</v>
      </c>
      <c r="BB69" s="478">
        <f>IF(OR(C69="",D69=""),"",VLOOKUP(C69,'Base de Diseño (2)'!$A$2:$D$330,4,FALSE))</f>
        <v>969.24160000000006</v>
      </c>
      <c r="BC69" s="478">
        <f>IF(OR(C69="",D69=""),"",VLOOKUP(D69,'Base de Diseño (2)'!$A$2:$D$330,4,FALSE))</f>
        <v>967.33159999999998</v>
      </c>
      <c r="BD69" s="23">
        <f ca="1">+BF69-((AZ69/1000)+CX69)</f>
        <v>1.170000000000041</v>
      </c>
      <c r="BE69" s="23">
        <f ca="1">+BG69-((AZ69/1000)+CX69)</f>
        <v>2.264530179435237</v>
      </c>
      <c r="BF69" s="494">
        <v>1.5800000000000409</v>
      </c>
      <c r="BG69" s="494">
        <v>2.6745301794352372</v>
      </c>
      <c r="BH69" s="495">
        <f>BB69-BF69</f>
        <v>967.66160000000002</v>
      </c>
      <c r="BI69" s="495">
        <f>BC69-BG69</f>
        <v>964.65706982056474</v>
      </c>
      <c r="BJ69" s="468">
        <f>IF(A69="",0,BI69-BH70)</f>
        <v>964.65706982056474</v>
      </c>
      <c r="BK69" s="475">
        <f>ABS((BB69-BC69)/AX69)*100</f>
        <v>7.6461168935151393</v>
      </c>
      <c r="BL69" s="475">
        <f>((BH69-BI69)/AX69)*100</f>
        <v>12.027742912070769</v>
      </c>
      <c r="BM69" s="475">
        <f ca="1">IF(BA69=6,(1/0.013)*((AZ69/4000)^(2/3))*((BL69/100)^(0.5)),(1/0.009)*((AZ69/4000)^(2/3))*((BL69/100)^(0.5)))</f>
        <v>5.258002053397516</v>
      </c>
      <c r="BN69" s="475">
        <f ca="1">1000*BM69*PI()*((AZ69/1000/2)^2)</f>
        <v>505.87908159510647</v>
      </c>
      <c r="BO69" s="204">
        <f ca="1">AI69/BN69</f>
        <v>2.9651354534571644E-3</v>
      </c>
      <c r="BP69" s="496">
        <f ca="1">IF(L69=0," ",AW69/BN69)</f>
        <v>8.3478446799664041E-2</v>
      </c>
      <c r="BQ69" s="497">
        <f ca="1">IF($BO69&gt;0 =AND($BO69&lt;=0.06),10^(0.029806+0.29095*LOG($BO69)),IF($BO69&gt;0.06 =AND($BO69&lt;=0.26),10^(0.013778+0.282597*LOG($BO69)),IF($BO69&gt;0.26 =AND($BO69&lt;=0.91),10^(0.021763+0.28995*LOG($BO69)),1)))</f>
        <v>0.196923414827298</v>
      </c>
      <c r="BR69" s="497">
        <f ca="1">IF($BP69&gt;0 =AND($BP69&lt;=0.06),10^(0.029806+0.29095*LOG($BP69)),IF($BP69&gt;0.06 =AND($BP69&lt;=0.26),10^(0.013778+0.282597*LOG($BP69)),IF($BP69&gt;0.26 =AND($BP69&lt;=2),10^(0.021763+0.28995*LOG($BP69))," ")))</f>
        <v>0.51170321945602748</v>
      </c>
      <c r="BS69" s="475">
        <f ca="1">BM69*BQ69</f>
        <v>1.0354237195239837</v>
      </c>
      <c r="BT69" s="475">
        <f ca="1">IF(BP69=" "," ",(BM69*BR69))</f>
        <v>2.6905365786299122</v>
      </c>
      <c r="BU69" s="475">
        <f ca="1">IF(BO69&lt;=0.11,0.3827+0.0645*LN(BO69),IF(BO69&lt;=0.21,0.60025+0.15471*LN(BO69),IF(BO69&lt;1,0.225+0.6666666667*BO69,0)))</f>
        <v>7.2562996579919048E-3</v>
      </c>
      <c r="BV69" s="475">
        <f ca="1">IF(BP69&lt;=0.11,0.3827+0.0645*LN(BP69),IF(BP69&lt;=0.21,0.60025+0.15471*LN(BP69),IF(BP69&lt;1,0.225+0.6666666667*BP69," ")))</f>
        <v>0.22253574123202277</v>
      </c>
      <c r="BW69" s="475">
        <f ca="1">2*ACOS(1-2*(BU69))</f>
        <v>0.34114909808751248</v>
      </c>
      <c r="BX69" s="475">
        <f ca="1">IF(BP69=" "," ",(2*ACOS(1-2*(BV69))))</f>
        <v>1.9650385801499906</v>
      </c>
      <c r="BY69" s="475">
        <f ca="1">(1/4)*(1-(SIN(BW69))/BW69)</f>
        <v>4.8211389179927677E-3</v>
      </c>
      <c r="BZ69" s="475">
        <f ca="1">IF(BP69=" "," ",((1/4)*(1-(SIN(BX69))/BX69)))</f>
        <v>0.13253565403335743</v>
      </c>
      <c r="CA69" s="471">
        <f ca="1">BY69*AZ69/1000</f>
        <v>1.6873986212974687E-3</v>
      </c>
      <c r="CB69" s="471">
        <f ca="1">IF(BP69=" "," ",(BZ69*AZ69/1000))</f>
        <v>4.6387478911675106E-2</v>
      </c>
      <c r="CC69" s="471">
        <f t="shared" ca="1" si="150"/>
        <v>3.6700207392604325</v>
      </c>
      <c r="CD69" s="471" t="str">
        <f ca="1">IF(CC69="","",IF(CC69&lt;0.7,"F. Subcrítico",IF(AND(CC69&gt;0.7,CC69&lt;1),"F. Subcrítico Inestable",IF(CC69=1,"F. Crítico",IF(AND(CC69&gt;1,CC69&lt;1.5),"F. Supercrítico Inestable",IF(CC69&gt;1.5,"F. Supercrítico",""))))))</f>
        <v>F. Supercrítico</v>
      </c>
      <c r="CE69" s="471">
        <f ca="1">1000*BL69*CA69/100</f>
        <v>0.20295596807148616</v>
      </c>
      <c r="CF69" s="471">
        <f ca="1">IF(BP69=" "," ",(1000*BL69*CB69/100))</f>
        <v>5.5793667068873249</v>
      </c>
      <c r="CG69" s="471" t="str">
        <f ca="1">IF(BS69&lt;0.45,"No cumple",IF(BS69&gt;5,"No cumple","O.K"))</f>
        <v>O.K</v>
      </c>
      <c r="CH69" s="471" t="str">
        <f ca="1">IF(BT69&lt;0.75,"No cumple",IF(BT69&gt;10,"No cumple","O.K"))</f>
        <v>O.K</v>
      </c>
      <c r="CI69" s="471" t="str">
        <f ca="1">IF(CE69&gt;0.1,"OK","V.C.H.")</f>
        <v>OK</v>
      </c>
      <c r="CJ69" s="471" t="str">
        <f ca="1">IF(CF69&gt;0.2,"OK","V.C.H.")</f>
        <v>OK</v>
      </c>
      <c r="CK69" s="468">
        <f>+BJ69</f>
        <v>964.65706982056474</v>
      </c>
      <c r="CL69" s="482" t="s">
        <v>2507</v>
      </c>
      <c r="CM69" s="482"/>
      <c r="CN69" s="63" t="str">
        <f>IF(B69=1,"dato"," ")</f>
        <v xml:space="preserve"> </v>
      </c>
      <c r="CO69" s="498">
        <f>+CR69</f>
        <v>24.98</v>
      </c>
      <c r="CP69" s="472">
        <f>+BK69/100</f>
        <v>7.6461168935151397E-2</v>
      </c>
      <c r="CQ69" s="482" t="s">
        <v>2508</v>
      </c>
      <c r="CR69" s="204">
        <f>IF(BA69="","",AX69)</f>
        <v>24.98</v>
      </c>
      <c r="CS69" s="486">
        <v>1.2</v>
      </c>
      <c r="CT69" s="486">
        <v>1.2</v>
      </c>
      <c r="CU69" s="23">
        <f>IF($BA69="","",SQRT((BH69-BI69)^2+$CR69^2))</f>
        <v>25.160039777375896</v>
      </c>
      <c r="CV69" s="499" t="s">
        <v>2509</v>
      </c>
      <c r="CW69" s="488" t="str">
        <f ca="1">+IF(BD69&lt;=0.9,"E1",IF(BD69&lt;=2.5,"E2","E3"))</f>
        <v>E2</v>
      </c>
      <c r="CX69" s="204">
        <f ca="1">IF(AND(L69="",H69=""),"",IF(AND(BA69&lt;&gt;4,BA69&lt;&gt;5),VLOOKUP(AY69,'TABLA (2)'!$A$9:$D$43,4),IF(BA69=4,VLOOKUP(AY69,'TABLA (2)'!$A$74:$D$89,4),VLOOKUP(AY69,'TABLA (2)'!$A$51:$D$66,4))))</f>
        <v>0.06</v>
      </c>
      <c r="CY69" s="482"/>
      <c r="CZ69" s="482"/>
      <c r="DA69" s="482"/>
      <c r="DB69" s="490"/>
    </row>
    <row r="70" spans="1:106" ht="15.75" hidden="1" customHeight="1">
      <c r="A70" s="465"/>
      <c r="B70" s="491"/>
      <c r="C70" s="501"/>
      <c r="D70" s="501"/>
      <c r="E70" s="468"/>
      <c r="F70" s="468"/>
      <c r="G70" s="468"/>
      <c r="H70" s="468"/>
      <c r="I70" s="468"/>
      <c r="J70" s="468"/>
      <c r="K70" s="467"/>
      <c r="L70" s="468"/>
      <c r="M70" s="469"/>
      <c r="N70" s="470"/>
      <c r="O70" s="470"/>
      <c r="P70" s="470"/>
      <c r="Q70" s="469"/>
      <c r="R70" s="471"/>
      <c r="S70" s="471"/>
      <c r="T70" s="471"/>
      <c r="U70" s="471"/>
      <c r="V70" s="471"/>
      <c r="W70" s="471"/>
      <c r="X70" s="471"/>
      <c r="Y70" s="471"/>
      <c r="Z70" s="471"/>
      <c r="AA70" s="471" t="str">
        <f t="shared" si="0"/>
        <v/>
      </c>
      <c r="AB70" s="471"/>
      <c r="AC70" s="471"/>
      <c r="AD70" s="471"/>
      <c r="AE70" s="471"/>
      <c r="AF70" s="471"/>
      <c r="AG70" s="471"/>
      <c r="AH70" s="471"/>
      <c r="AI70" s="471"/>
      <c r="AJ70" s="471"/>
      <c r="AK70" s="472"/>
      <c r="AL70" s="471"/>
      <c r="AM70" s="473">
        <f t="shared" si="148"/>
        <v>474.44695720875893</v>
      </c>
      <c r="AN70" s="474">
        <f t="shared" si="149"/>
        <v>10.138777777777777</v>
      </c>
      <c r="AO70" s="474"/>
      <c r="AP70" s="474"/>
      <c r="AQ70" s="475">
        <v>3</v>
      </c>
      <c r="AR70" s="474"/>
      <c r="AS70" s="474"/>
      <c r="AT70" s="471"/>
      <c r="AU70" s="492"/>
      <c r="AV70" s="471"/>
      <c r="AW70" s="471"/>
      <c r="AX70" s="478"/>
      <c r="AY70" s="493"/>
      <c r="AZ70" s="480"/>
      <c r="BA70" s="493"/>
      <c r="BB70" s="478" t="str">
        <f>IF(OR(C70="",D70=""),"",VLOOKUP(C70,'Base de Diseño (2)'!$A$2:$D$330,4,FALSE))</f>
        <v/>
      </c>
      <c r="BC70" s="478" t="str">
        <f>IF(OR(C70="",D70=""),"",VLOOKUP(D70,'Base de Diseño (2)'!$A$2:$D$330,4,FALSE))</f>
        <v/>
      </c>
      <c r="BD70" s="494"/>
      <c r="BE70" s="494"/>
      <c r="BF70" s="494"/>
      <c r="BG70" s="494"/>
      <c r="BH70" s="495"/>
      <c r="BI70" s="495"/>
      <c r="BJ70" s="468"/>
      <c r="BK70" s="475"/>
      <c r="BL70" s="475"/>
      <c r="BM70" s="475"/>
      <c r="BN70" s="475"/>
      <c r="BO70" s="204"/>
      <c r="BP70" s="496"/>
      <c r="BQ70" s="497"/>
      <c r="BR70" s="497"/>
      <c r="BS70" s="475"/>
      <c r="BT70" s="475"/>
      <c r="BU70" s="475"/>
      <c r="BV70" s="475"/>
      <c r="BW70" s="475"/>
      <c r="BX70" s="475"/>
      <c r="BY70" s="475"/>
      <c r="BZ70" s="475"/>
      <c r="CA70" s="471"/>
      <c r="CB70" s="471"/>
      <c r="CC70" s="471" t="e">
        <f t="shared" si="150"/>
        <v>#DIV/0!</v>
      </c>
      <c r="CD70" s="471"/>
      <c r="CE70" s="471"/>
      <c r="CF70" s="471"/>
      <c r="CG70" s="471"/>
      <c r="CH70" s="471"/>
      <c r="CI70" s="471"/>
      <c r="CJ70" s="471"/>
      <c r="CK70" s="468"/>
      <c r="CL70" s="482" t="s">
        <v>2507</v>
      </c>
      <c r="CM70" s="482"/>
      <c r="CN70" s="63"/>
      <c r="CO70" s="498"/>
      <c r="CP70" s="472"/>
      <c r="CQ70" s="482"/>
      <c r="CR70" s="204"/>
      <c r="CS70" s="486"/>
      <c r="CT70" s="486"/>
      <c r="CU70" s="23"/>
      <c r="CV70" s="499"/>
      <c r="CW70" s="488"/>
      <c r="CX70" s="204"/>
      <c r="CY70" s="482"/>
      <c r="CZ70" s="482"/>
      <c r="DA70" s="482"/>
      <c r="DB70" s="490"/>
    </row>
    <row r="71" spans="1:106" ht="15.75" hidden="1" customHeight="1">
      <c r="A71" s="465">
        <v>36</v>
      </c>
      <c r="B71" s="491">
        <v>1</v>
      </c>
      <c r="C71" s="466" t="s">
        <v>2111</v>
      </c>
      <c r="D71" s="466" t="s">
        <v>2112</v>
      </c>
      <c r="E71" s="468">
        <v>0.21739733510000001</v>
      </c>
      <c r="F71" s="468"/>
      <c r="G71" s="468">
        <f>IF(B71=1,0,SUMIF($D$22:$D$583,C71,$H$22:$H$583))</f>
        <v>0</v>
      </c>
      <c r="H71" s="468">
        <f>+E71+F71+G71</f>
        <v>0.21739733510000001</v>
      </c>
      <c r="I71" s="468">
        <v>0.21739733510000001</v>
      </c>
      <c r="J71" s="468"/>
      <c r="K71" s="467">
        <f>+IF(B71=1,0,SUMIF($D$22:$D$583,C71,$L$22:$L$580))</f>
        <v>0</v>
      </c>
      <c r="L71" s="468">
        <f>+I71+J71+K71</f>
        <v>0.21739733510000001</v>
      </c>
      <c r="M71" s="469">
        <f>+$P$12</f>
        <v>242.33666300502347</v>
      </c>
      <c r="N71" s="470">
        <f>M71*E71</f>
        <v>52.683344734318858</v>
      </c>
      <c r="O71" s="470">
        <f>M71*F71</f>
        <v>0</v>
      </c>
      <c r="P71" s="470">
        <f>M71*H71</f>
        <v>52.683344734318858</v>
      </c>
      <c r="Q71" s="469">
        <f>+$H$14</f>
        <v>140</v>
      </c>
      <c r="R71" s="471">
        <f>Q71*P71*$P$14/86400</f>
        <v>7.2561551196573426E-2</v>
      </c>
      <c r="S71" s="471"/>
      <c r="T71" s="471"/>
      <c r="U71" s="471">
        <f>IF(C71="","",T71*$P$17)</f>
        <v>0</v>
      </c>
      <c r="V71" s="471"/>
      <c r="W71" s="471"/>
      <c r="X71" s="471">
        <f>IF(C71="","",W71*$P$16)</f>
        <v>0</v>
      </c>
      <c r="Y71" s="471">
        <f>IF(H71=0,0,$H$15*H71)</f>
        <v>4.3479467020000002E-2</v>
      </c>
      <c r="Z71" s="471">
        <f>IF(L71=0,$H$16*H71,0)</f>
        <v>0</v>
      </c>
      <c r="AA71" s="471">
        <f t="shared" si="0"/>
        <v>3.8</v>
      </c>
      <c r="AB71" s="471">
        <f>R71*AA71</f>
        <v>0.275733894546979</v>
      </c>
      <c r="AC71" s="471">
        <f>Q71*(N71+O71)*$P$14/86400</f>
        <v>7.2561551196573426E-2</v>
      </c>
      <c r="AD71" s="471">
        <f>IF(E71=0,0,$H$15*(E71+F71))</f>
        <v>4.3479467020000002E-2</v>
      </c>
      <c r="AE71" s="471">
        <f>IF(F71=0,0,$H$15*(F71+G71))</f>
        <v>0</v>
      </c>
      <c r="AF71" s="471">
        <f>IF(N71="","",IF(1+((14/(4+(((N71+O71)+O71)/1000)^1/2)))&lt;1.4,1.4,IF(1+((14/(4+((N71+O71)/1000)^1/2)))&gt;=4,4,(1+((14/(4+((N71+O71)/1000)^1/2)))))))</f>
        <v>4</v>
      </c>
      <c r="AG71" s="471">
        <f>AC71*AF71</f>
        <v>0.2902462047862937</v>
      </c>
      <c r="AH71" s="471">
        <f>+AD71+AE71+AG71</f>
        <v>0.3337256718062937</v>
      </c>
      <c r="AI71" s="471">
        <f>IF(H71="","",IF(AB71+Y71+Z71+X71+U71&lt;1.5,1.5,AB71+Y71+Z71+X71+U71))</f>
        <v>1.5</v>
      </c>
      <c r="AJ71" s="471">
        <f>+$P$17</f>
        <v>0.75</v>
      </c>
      <c r="AK71" s="472">
        <f>+BK71/100</f>
        <v>1.9884009942005725E-3</v>
      </c>
      <c r="AL71" s="471">
        <f>IF(AJ71=0," ",0.14+0.65*AJ71+0.05*AK71)</f>
        <v>0.62759942004971003</v>
      </c>
      <c r="AM71" s="473">
        <f t="shared" si="148"/>
        <v>288.98623552124423</v>
      </c>
      <c r="AN71" s="474">
        <f t="shared" si="149"/>
        <v>15.178975843954857</v>
      </c>
      <c r="AO71" s="474">
        <f>((1/60)*$AX71/$AQ71)</f>
        <v>0.33527777777777779</v>
      </c>
      <c r="AP71" s="474">
        <f>IF(B71=1,IF(($AN71+$AO71)&lt;10,10,IF(($AN71+$AO71)&gt;20,20,($AN71+$AO71))),($AN71+$AO71))</f>
        <v>15.514253621732635</v>
      </c>
      <c r="AQ71" s="475">
        <v>3</v>
      </c>
      <c r="AR71" s="474">
        <f>((1/60)*$AX71/$BT71)</f>
        <v>0.8482874909664776</v>
      </c>
      <c r="AS71" s="474">
        <f>AO71/AR71</f>
        <v>0.39524074249378177</v>
      </c>
      <c r="AT71" s="471" t="str">
        <f>IF(AS71&lt;0.9,"Disminuir vel.",IF(AS71&gt;1.1,"Aumentar vel.","Cumple"))</f>
        <v>Disminuir vel.</v>
      </c>
      <c r="AU71" s="492">
        <f>+I71*AL71*AM71</f>
        <v>39.428831568984982</v>
      </c>
      <c r="AV71" s="471">
        <f>+L71*AL71*AM71</f>
        <v>39.428831568984982</v>
      </c>
      <c r="AW71" s="471">
        <f>ROUND(IF(AI71&gt;(AV71*0.05),(AV71+AI71),AV71),2)</f>
        <v>39.43</v>
      </c>
      <c r="AX71" s="478">
        <f>IF(OR(C71="",D71=""),"",ROUND(((VLOOKUP(C71,'Base de Diseño (2)'!$A$2:$C$333,2,FALSE)-VLOOKUP(D71,'Base de Diseño (2)'!$A$2:$C$333,2,FALSE))^2+(VLOOKUP(C71,'Base de Diseño (2)'!$A$2:$C$333,3,0)-VLOOKUP(D71,'Base de Diseño (2)'!$A$2:$C$333,3,FALSE))^2)^0.5,2))</f>
        <v>60.35</v>
      </c>
      <c r="AY71" s="493">
        <v>11.36</v>
      </c>
      <c r="AZ71" s="480">
        <f>IF(AND(L71="",H71=""),"",IF(BA71=4,VLOOKUP(AY71,'TABLA (2)'!$A$74:$C$89,2),IF(BA71=5,VLOOKUP(AY71,'TABLA (2)'!$A$51:$B$66,2),IF(BA71=6,VLOOKUP(AY71,'TABLA (2)'!$A$9:$B$43,2)))))</f>
        <v>250</v>
      </c>
      <c r="BA71" s="493">
        <v>6</v>
      </c>
      <c r="BB71" s="478">
        <f>IF(OR(C71="",D71=""),"",VLOOKUP(C71,'Base de Diseño (2)'!$A$2:$D$330,4,FALSE))</f>
        <v>993.26160000000004</v>
      </c>
      <c r="BC71" s="478">
        <f>IF(OR(C71="",D71=""),"",VLOOKUP(D71,'Base de Diseño (2)'!$A$2:$D$330,4,FALSE))</f>
        <v>993.38160000000005</v>
      </c>
      <c r="BD71" s="23">
        <f>+BF71-((AZ71/1000)+CX71)</f>
        <v>1.0730000000000137</v>
      </c>
      <c r="BE71" s="23">
        <f>+BG71-((AZ71/1000)+CX71)</f>
        <v>1.8829999999999592</v>
      </c>
      <c r="BF71" s="494">
        <v>1.3600000000000136</v>
      </c>
      <c r="BG71" s="494">
        <v>2.1699999999999591</v>
      </c>
      <c r="BH71" s="495">
        <f>BB71-BF71</f>
        <v>991.90160000000003</v>
      </c>
      <c r="BI71" s="495">
        <f>BC71-BG71</f>
        <v>991.21160000000009</v>
      </c>
      <c r="BJ71" s="468">
        <f t="shared" ref="BJ71:BJ100" si="151">IF(A71="",0,BI71-BH72)</f>
        <v>3.0000000000086402E-2</v>
      </c>
      <c r="BK71" s="475">
        <f>ABS((BB71-BC71)/AX71)*100</f>
        <v>0.19884009942005726</v>
      </c>
      <c r="BL71" s="475">
        <f>((BH71-BI71)/AX71)*100</f>
        <v>1.1433305716651878</v>
      </c>
      <c r="BM71" s="475">
        <f>IF(BA71=6,(1/0.013)*((AZ71/4000)^(2/3))*((BL71/100)^(0.5)),(1/0.009)*((AZ71/4000)^(2/3))*((BL71/100)^(0.5)))</f>
        <v>1.295376162001042</v>
      </c>
      <c r="BN71" s="475">
        <f>1000*BM71*PI()*((AZ71/1000/2)^2)</f>
        <v>63.586628659028371</v>
      </c>
      <c r="BO71" s="204">
        <f>AI71/BN71</f>
        <v>2.3589865222191204E-2</v>
      </c>
      <c r="BP71" s="496">
        <f>IF(L71=0," ",AW71/BN71)</f>
        <v>0.62009892380733278</v>
      </c>
      <c r="BQ71" s="497">
        <f>IF($BO71&gt;0 =AND($BO71&lt;=0.06),10^(0.029806+0.29095*LOG($BO71)),IF($BO71&gt;0.06 =AND($BO71&lt;=0.26),10^(0.013778+0.282597*LOG($BO71)),IF($BO71&gt;0.26 =AND($BO71&lt;=0.91),10^(0.021763+0.28995*LOG($BO71)),1)))</f>
        <v>0.36003976741176114</v>
      </c>
      <c r="BR71" s="497">
        <f>IF($BP71&gt;0 =AND($BP71&lt;=0.06),10^(0.029806+0.29095*LOG($BP71)),IF($BP71&gt;0.06 =AND($BP71&lt;=0.26),10^(0.013778+0.282597*LOG($BP71)),IF($BP71&gt;0.26 =AND($BP71&lt;=2),10^(0.021763+0.28995*LOG($BP71))," ")))</f>
        <v>0.91534973567036459</v>
      </c>
      <c r="BS71" s="475">
        <f>BM71*BQ71</f>
        <v>0.46638693207759496</v>
      </c>
      <c r="BT71" s="475">
        <f>IF(BP71=" "," ",(BM71*BR71))</f>
        <v>1.1857222274813453</v>
      </c>
      <c r="BU71" s="475">
        <f>IF(BO71&lt;=0.11,0.3827+0.0645*LN(BO71),IF(BO71&lt;=0.21,0.60025+0.15471*LN(BO71),IF(BO71&lt;1,0.225+0.6666666667*BO71,0)))</f>
        <v>0.14102249261940938</v>
      </c>
      <c r="BV71" s="475">
        <f>IF(BP71&lt;=0.11,0.3827+0.0645*LN(BP71),IF(BP71&lt;=0.21,0.60025+0.15471*LN(BP71),IF(BP71&lt;1,0.225+0.6666666667*BP71," ")))</f>
        <v>0.63839928255889178</v>
      </c>
      <c r="BW71" s="475">
        <f>2*ACOS(1-2*(BU71))</f>
        <v>1.5398725919777649</v>
      </c>
      <c r="BX71" s="475">
        <f>IF(BP71=" "," ",(2*ACOS(1-2*(BV71))))</f>
        <v>3.7025144441630413</v>
      </c>
      <c r="BY71" s="475">
        <f>(1/4)*(1-(SIN(BW71))/BW71)</f>
        <v>8.7726526106572639E-2</v>
      </c>
      <c r="BZ71" s="475">
        <f>IF(BP71=" "," ",((1/4)*(1-(SIN(BX71))/BX71)))</f>
        <v>0.28591930375514918</v>
      </c>
      <c r="CA71" s="471">
        <f>BY71*AZ71/1000</f>
        <v>2.193163152664316E-2</v>
      </c>
      <c r="CB71" s="471">
        <f>IF(BP71=" "," ",(BZ71*AZ71/1000))</f>
        <v>7.1479825938787295E-2</v>
      </c>
      <c r="CC71" s="471">
        <f t="shared" si="150"/>
        <v>1.0201610727971631</v>
      </c>
      <c r="CD71" s="471" t="str">
        <f>IF(CC71="","",IF(CC71&lt;0.7,"F. Subcrítico",IF(AND(CC71&gt;0.7,CC71&lt;1),"F. Subcrítico Inestable",IF(CC71=1,"F. Crítico",IF(AND(CC71&gt;1,CC71&lt;1.5),"F. Supercrítico Inestable",IF(CC71&gt;1.5,"F. Supercrítico",""))))))</f>
        <v>F. Supercrítico Inestable</v>
      </c>
      <c r="CE71" s="471">
        <f>1000*BL71*CA71/100</f>
        <v>0.25075104810907178</v>
      </c>
      <c r="CF71" s="471">
        <f>IF(BP71=" "," ",(1000*BL71*CB71/100))</f>
        <v>0.81725070253121801</v>
      </c>
      <c r="CG71" s="471" t="str">
        <f>IF(BS71&lt;0.45,"No cumple",IF(BS71&gt;5,"No cumple","O.K"))</f>
        <v>O.K</v>
      </c>
      <c r="CH71" s="471" t="str">
        <f>IF(BT71&lt;0.75,"No cumple",IF(BT71&gt;10,"No cumple","O.K"))</f>
        <v>O.K</v>
      </c>
      <c r="CI71" s="471" t="str">
        <f>IF(CE71&gt;0.1,"OK","V.C.H.")</f>
        <v>OK</v>
      </c>
      <c r="CJ71" s="471" t="str">
        <f>IF(CF71&gt;0.2,"OK","V.C.H.")</f>
        <v>OK</v>
      </c>
      <c r="CK71" s="468">
        <f>+BJ71</f>
        <v>3.0000000000086402E-2</v>
      </c>
      <c r="CL71" s="482" t="s">
        <v>2507</v>
      </c>
      <c r="CM71" s="482"/>
      <c r="CN71" s="63" t="str">
        <f>IF(B71=1,"dato"," ")</f>
        <v>dato</v>
      </c>
      <c r="CO71" s="498">
        <f>+CR71</f>
        <v>60.35</v>
      </c>
      <c r="CP71" s="472">
        <f>+BK71/100</f>
        <v>1.9884009942005725E-3</v>
      </c>
      <c r="CQ71" s="482" t="s">
        <v>2508</v>
      </c>
      <c r="CR71" s="204">
        <f>IF(BA71="","",AX71)</f>
        <v>60.35</v>
      </c>
      <c r="CS71" s="486">
        <v>1.2</v>
      </c>
      <c r="CT71" s="486">
        <v>1.2</v>
      </c>
      <c r="CU71" s="23">
        <f>IF($BA71="","",SQRT((BH71-BI71)^2+$CR71^2))</f>
        <v>60.35394436157425</v>
      </c>
      <c r="CV71" s="499" t="s">
        <v>2509</v>
      </c>
      <c r="CW71" s="488" t="str">
        <f>+IF(BD71&lt;=0.9,"E1",IF(BD71&lt;=2.5,"E2","E3"))</f>
        <v>E2</v>
      </c>
      <c r="CX71" s="204">
        <f>IF(AND(L71="",H71=""),"",IF(AND(BA71&lt;&gt;4,BA71&lt;&gt;5),VLOOKUP(AY71,'TABLA (2)'!$A$9:$D$43,4),IF(BA71=4,VLOOKUP(AY71,'TABLA (2)'!$A$74:$D$89,4),VLOOKUP(AY71,'TABLA (2)'!$A$51:$D$66,4))))</f>
        <v>3.6999999999999998E-2</v>
      </c>
      <c r="CY71" s="482"/>
      <c r="CZ71" s="482"/>
      <c r="DA71" s="482"/>
      <c r="DB71" s="490"/>
    </row>
    <row r="72" spans="1:106" ht="15.75" hidden="1" customHeight="1">
      <c r="A72" s="465">
        <v>37</v>
      </c>
      <c r="B72" s="491"/>
      <c r="C72" s="466" t="s">
        <v>2112</v>
      </c>
      <c r="D72" s="466" t="s">
        <v>2106</v>
      </c>
      <c r="E72" s="468"/>
      <c r="F72" s="468"/>
      <c r="G72" s="468">
        <f>IF(B72=1,0,SUMIF($D$22:$D$583,C72,$H$22:$H$583))</f>
        <v>0.21739733510000001</v>
      </c>
      <c r="H72" s="468">
        <f>+E72+F72+G72</f>
        <v>0.21739733510000001</v>
      </c>
      <c r="I72" s="468"/>
      <c r="J72" s="468"/>
      <c r="K72" s="467">
        <f ca="1">+IF(B72=1,0,SUMIF($D$22:$D$583,C72,$L$22:$L$580))</f>
        <v>0.21739733510000001</v>
      </c>
      <c r="L72" s="468">
        <f ca="1">+I72+J72+K72</f>
        <v>0.21739733510000001</v>
      </c>
      <c r="M72" s="469">
        <f>+$P$12</f>
        <v>242.33666300502347</v>
      </c>
      <c r="N72" s="470">
        <f>M72*E72</f>
        <v>0</v>
      </c>
      <c r="O72" s="470">
        <f>M72*F72</f>
        <v>0</v>
      </c>
      <c r="P72" s="470">
        <f>M72*H72</f>
        <v>52.683344734318858</v>
      </c>
      <c r="Q72" s="469">
        <f>+$H$14</f>
        <v>140</v>
      </c>
      <c r="R72" s="471">
        <f>Q72*P72*$P$14/86400</f>
        <v>7.2561551196573426E-2</v>
      </c>
      <c r="S72" s="471"/>
      <c r="T72" s="471"/>
      <c r="U72" s="471">
        <f>IF(C72="","",T72*$P$17)</f>
        <v>0</v>
      </c>
      <c r="V72" s="471"/>
      <c r="W72" s="471"/>
      <c r="X72" s="471">
        <f>IF(C72="","",W72*$P$16)</f>
        <v>0</v>
      </c>
      <c r="Y72" s="471">
        <f>IF(H72=0,0,$H$15*H72)</f>
        <v>4.3479467020000002E-2</v>
      </c>
      <c r="Z72" s="471">
        <f ca="1">IF(L72=0,$H$16*H72,0)</f>
        <v>0</v>
      </c>
      <c r="AA72" s="471">
        <f t="shared" si="0"/>
        <v>3.8</v>
      </c>
      <c r="AB72" s="471">
        <f>R72*AA72</f>
        <v>0.275733894546979</v>
      </c>
      <c r="AC72" s="471">
        <f>Q72*(N72+O72)*$P$14/86400</f>
        <v>0</v>
      </c>
      <c r="AD72" s="471">
        <f>IF(E72=0,0,$H$15*(E72+F72))</f>
        <v>0</v>
      </c>
      <c r="AE72" s="471">
        <f>IF(F72=0,0,$H$15*(F72+G72))</f>
        <v>0</v>
      </c>
      <c r="AF72" s="471">
        <f>IF(N72="","",IF(1+((14/(4+(((N72+O72)+O72)/1000)^1/2)))&lt;1.4,1.4,IF(1+((14/(4+((N72+O72)/1000)^1/2)))&gt;=4,4,(1+((14/(4+((N72+O72)/1000)^1/2)))))))</f>
        <v>4</v>
      </c>
      <c r="AG72" s="471">
        <f>AC72*AF72</f>
        <v>0</v>
      </c>
      <c r="AH72" s="471">
        <f>+AD72+AE72+AG72</f>
        <v>0</v>
      </c>
      <c r="AI72" s="471">
        <f ca="1">IF(H72="","",IF(AB72+Y72+Z72+X72+U72&lt;1.5,1.5,AB72+Y72+Z72+X72+U72))</f>
        <v>1.5</v>
      </c>
      <c r="AJ72" s="471">
        <f>+$P$17</f>
        <v>0.75</v>
      </c>
      <c r="AK72" s="472">
        <f>+BK72/100</f>
        <v>7.4930770483779552E-3</v>
      </c>
      <c r="AL72" s="471">
        <f>IF(AJ72=0," ",0.14+0.65*AJ72+0.05*AK72)</f>
        <v>0.62787465385241892</v>
      </c>
      <c r="AM72" s="473">
        <f t="shared" si="148"/>
        <v>286.47573167735601</v>
      </c>
      <c r="AN72" s="474">
        <f t="shared" si="149"/>
        <v>15.514253621732635</v>
      </c>
      <c r="AO72" s="474">
        <f>((1/60)*$AX72/$AQ72)</f>
        <v>0.3410555555555555</v>
      </c>
      <c r="AP72" s="474">
        <f>IF(B72=1,IF(($AN72+$AO72)&lt;10,10,IF(($AN72+$AO72)&gt;20,20,($AN72+$AO72))),($AN72+$AO72))</f>
        <v>15.855309177288191</v>
      </c>
      <c r="AQ72" s="475">
        <v>3</v>
      </c>
      <c r="AR72" s="474">
        <f ca="1">((1/60)*$AX72/$BT72)</f>
        <v>0.77399420997337764</v>
      </c>
      <c r="AS72" s="474">
        <f ca="1">AO72/AR72</f>
        <v>0.44064354895792629</v>
      </c>
      <c r="AT72" s="471" t="str">
        <f ca="1">IF(AS72&lt;0.9,"Disminuir vel.",IF(AS72&gt;1.1,"Aumentar vel.","Cumple"))</f>
        <v>Disminuir vel.</v>
      </c>
      <c r="AU72" s="492">
        <f>+I72*AL72*AM72</f>
        <v>0</v>
      </c>
      <c r="AV72" s="471">
        <f ca="1">+L72*AL72*AM72</f>
        <v>39.10344364001147</v>
      </c>
      <c r="AW72" s="471">
        <f ca="1">ROUND(IF(AI72&gt;(AV72*0.05),(AV72+AI72),AV72),2)</f>
        <v>39.1</v>
      </c>
      <c r="AX72" s="478">
        <f>IF(OR(C72="",D72=""),"",ROUND(((VLOOKUP(C72,'Base de Diseño (2)'!$A$2:$C$333,2,FALSE)-VLOOKUP(D72,'Base de Diseño (2)'!$A$2:$C$333,2,FALSE))^2+(VLOOKUP(C72,'Base de Diseño (2)'!$A$2:$C$333,3,0)-VLOOKUP(D72,'Base de Diseño (2)'!$A$2:$C$333,3,FALSE))^2)^0.5,2))</f>
        <v>61.39</v>
      </c>
      <c r="AY72" s="493">
        <v>11.36</v>
      </c>
      <c r="AZ72" s="480">
        <f ca="1">IF(AND(L72="",H72=""),"",IF(BA72=4,VLOOKUP(AY72,'TABLA (2)'!$A$74:$C$89,2),IF(BA72=5,VLOOKUP(AY72,'TABLA (2)'!$A$51:$B$66,2),IF(BA72=6,VLOOKUP(AY72,'TABLA (2)'!$A$9:$B$43,2)))))</f>
        <v>250</v>
      </c>
      <c r="BA72" s="493">
        <v>6</v>
      </c>
      <c r="BB72" s="478">
        <f>IF(OR(C72="",D72=""),"",VLOOKUP(C72,'Base de Diseño (2)'!$A$2:$D$330,4,FALSE))</f>
        <v>993.38160000000005</v>
      </c>
      <c r="BC72" s="478">
        <f>IF(OR(C72="",D72=""),"",VLOOKUP(D72,'Base de Diseño (2)'!$A$2:$D$330,4,FALSE))</f>
        <v>993.84159999999997</v>
      </c>
      <c r="BD72" s="23">
        <f ca="1">+BF72-((AZ72/1000)+CX72)</f>
        <v>1.9130000000000456</v>
      </c>
      <c r="BE72" s="23">
        <f ca="1">+BG72-((AZ72/1000)+CX72)</f>
        <v>3.3330000000000046</v>
      </c>
      <c r="BF72" s="494">
        <v>2.2000000000000455</v>
      </c>
      <c r="BG72" s="494">
        <v>3.6200000000000045</v>
      </c>
      <c r="BH72" s="495">
        <f>BB72-BF72</f>
        <v>991.1816</v>
      </c>
      <c r="BI72" s="495">
        <f>BC72-BG72</f>
        <v>990.22159999999997</v>
      </c>
      <c r="BJ72" s="468">
        <f t="shared" si="151"/>
        <v>990.22159999999997</v>
      </c>
      <c r="BK72" s="475">
        <f>ABS((BB72-BC72)/AX72)*100</f>
        <v>0.74930770483779552</v>
      </c>
      <c r="BL72" s="475">
        <f>((BH72-BI72)/AX72)*100</f>
        <v>1.5637726014009388</v>
      </c>
      <c r="BM72" s="475">
        <f ca="1">IF(BA72=6,(1/0.013)*((AZ72/4000)^(2/3))*((BL72/100)^(0.5)),(1/0.009)*((AZ72/4000)^(2/3))*((BL72/100)^(0.5)))</f>
        <v>1.5149447430284235</v>
      </c>
      <c r="BN72" s="475">
        <f ca="1">1000*BM72*PI()*((AZ72/1000/2)^2)</f>
        <v>74.364676176446437</v>
      </c>
      <c r="BO72" s="204">
        <f ca="1">AI72/BN72</f>
        <v>2.0170867098794627E-2</v>
      </c>
      <c r="BP72" s="496">
        <f ca="1">IF(L72=0," ",AW72/BN72)</f>
        <v>0.52578726904191331</v>
      </c>
      <c r="BQ72" s="497">
        <f ca="1">IF($BO72&gt;0 =AND($BO72&lt;=0.06),10^(0.029806+0.29095*LOG($BO72)),IF($BO72&gt;0.06 =AND($BO72&lt;=0.26),10^(0.013778+0.282597*LOG($BO72)),IF($BO72&gt;0.26 =AND($BO72&lt;=0.91),10^(0.021763+0.28995*LOG($BO72)),1)))</f>
        <v>0.3440056796966417</v>
      </c>
      <c r="BR72" s="497">
        <f ca="1">IF($BP72&gt;0 =AND($BP72&lt;=0.06),10^(0.029806+0.29095*LOG($BP72)),IF($BP72&gt;0.06 =AND($BP72&lt;=0.26),10^(0.013778+0.282597*LOG($BP72)),IF($BP72&gt;0.26 =AND($BP72&lt;=2),10^(0.021763+0.28995*LOG($BP72))," ")))</f>
        <v>0.87259330939767266</v>
      </c>
      <c r="BS72" s="475">
        <f ca="1">BM72*BQ72</f>
        <v>0.52114959602834698</v>
      </c>
      <c r="BT72" s="475">
        <f ca="1">IF(BP72=" "," ",(BM72*BR72))</f>
        <v>1.3219306468737788</v>
      </c>
      <c r="BU72" s="475">
        <f ca="1">IF(BO72&lt;=0.11,0.3827+0.0645*LN(BO72),IF(BO72&lt;=0.21,0.60025+0.15471*LN(BO72),IF(BO72&lt;1,0.225+0.6666666667*BO72,0)))</f>
        <v>0.13092322197247092</v>
      </c>
      <c r="BV72" s="475">
        <f ca="1">IF(BP72&lt;=0.11,0.3827+0.0645*LN(BP72),IF(BP72&lt;=0.21,0.60025+0.15471*LN(BP72),IF(BP72&lt;1,0.225+0.6666666667*BP72," ")))</f>
        <v>0.57552484604546839</v>
      </c>
      <c r="BW72" s="475">
        <f ca="1">2*ACOS(1-2*(BU72))</f>
        <v>1.4809340880636557</v>
      </c>
      <c r="BX72" s="475">
        <f ca="1">IF(BP72=" "," ",(2*ACOS(1-2*(BV72))))</f>
        <v>3.444852779019008</v>
      </c>
      <c r="BY72" s="475">
        <f ca="1">(1/4)*(1-(SIN(BW72))/BW72)</f>
        <v>8.1868765569693941E-2</v>
      </c>
      <c r="BZ72" s="475">
        <f ca="1">IF(BP72=" "," ",((1/4)*(1-(SIN(BX72))/BX72)))</f>
        <v>0.27167241727208524</v>
      </c>
      <c r="CA72" s="471">
        <f ca="1">BY72*AZ72/1000</f>
        <v>2.0467191392423485E-2</v>
      </c>
      <c r="CB72" s="471">
        <f ca="1">IF(BP72=" "," ",(BZ72*AZ72/1000))</f>
        <v>6.7918104318021311E-2</v>
      </c>
      <c r="CC72" s="471">
        <f t="shared" ca="1" si="150"/>
        <v>1.22688862520188</v>
      </c>
      <c r="CD72" s="471" t="str">
        <f ca="1">IF(CC72="","",IF(CC72&lt;0.7,"F. Subcrítico",IF(AND(CC72&gt;0.7,CC72&lt;1),"F. Subcrítico Inestable",IF(CC72=1,"F. Crítico",IF(AND(CC72&gt;1,CC72&lt;1.5),"F. Supercrítico Inestable",IF(CC72&gt;1.5,"F. Supercrítico",""))))))</f>
        <v>F. Supercrítico Inestable</v>
      </c>
      <c r="CE72" s="471">
        <f ca="1">1000*BL72*CA72/100</f>
        <v>0.32006033127100975</v>
      </c>
      <c r="CF72" s="471">
        <f ca="1">IF(BP72=" "," ",(1000*BL72*CB72/100))</f>
        <v>1.0620847067161252</v>
      </c>
      <c r="CG72" s="471" t="str">
        <f ca="1">IF(BS72&lt;0.45,"No cumple",IF(BS72&gt;5,"No cumple","O.K"))</f>
        <v>O.K</v>
      </c>
      <c r="CH72" s="471" t="str">
        <f ca="1">IF(BT72&lt;0.75,"No cumple",IF(BT72&gt;10,"No cumple","O.K"))</f>
        <v>O.K</v>
      </c>
      <c r="CI72" s="471" t="str">
        <f ca="1">IF(CE72&gt;0.1,"OK","V.C.H.")</f>
        <v>OK</v>
      </c>
      <c r="CJ72" s="471" t="str">
        <f ca="1">IF(CF72&gt;0.2,"OK","V.C.H.")</f>
        <v>OK</v>
      </c>
      <c r="CK72" s="468">
        <f>+BJ72</f>
        <v>990.22159999999997</v>
      </c>
      <c r="CL72" s="482" t="s">
        <v>2507</v>
      </c>
      <c r="CM72" s="482"/>
      <c r="CN72" s="63" t="str">
        <f>IF(B72=1,"dato"," ")</f>
        <v xml:space="preserve"> </v>
      </c>
      <c r="CO72" s="498">
        <f>+CR72</f>
        <v>61.39</v>
      </c>
      <c r="CP72" s="472">
        <f>+BK72/100</f>
        <v>7.4930770483779552E-3</v>
      </c>
      <c r="CQ72" s="482" t="s">
        <v>2508</v>
      </c>
      <c r="CR72" s="204">
        <f>IF(BA72="","",AX72)</f>
        <v>61.39</v>
      </c>
      <c r="CS72" s="486">
        <v>1.2</v>
      </c>
      <c r="CT72" s="486">
        <v>1.2</v>
      </c>
      <c r="CU72" s="23">
        <f>IF($BA72="","",SQRT((BH72-BI72)^2+$CR72^2))</f>
        <v>61.397505649659742</v>
      </c>
      <c r="CV72" s="499" t="s">
        <v>2509</v>
      </c>
      <c r="CW72" s="488" t="str">
        <f ca="1">+IF(BD72&lt;=0.9,"E1",IF(BD72&lt;=2.5,"E2","E3"))</f>
        <v>E2</v>
      </c>
      <c r="CX72" s="204">
        <f ca="1">IF(AND(L72="",H72=""),"",IF(AND(BA72&lt;&gt;4,BA72&lt;&gt;5),VLOOKUP(AY72,'TABLA (2)'!$A$9:$D$43,4),IF(BA72=4,VLOOKUP(AY72,'TABLA (2)'!$A$74:$D$89,4),VLOOKUP(AY72,'TABLA (2)'!$A$51:$D$66,4))))</f>
        <v>3.6999999999999998E-2</v>
      </c>
      <c r="CY72" s="482"/>
      <c r="CZ72" s="482"/>
      <c r="DA72" s="482"/>
      <c r="DB72" s="490"/>
    </row>
    <row r="73" spans="1:106" ht="15.75" hidden="1" customHeight="1">
      <c r="A73" s="465"/>
      <c r="B73" s="491"/>
      <c r="C73" s="501"/>
      <c r="D73" s="501"/>
      <c r="E73" s="468"/>
      <c r="F73" s="468"/>
      <c r="G73" s="468"/>
      <c r="H73" s="468"/>
      <c r="I73" s="468"/>
      <c r="J73" s="468"/>
      <c r="K73" s="467"/>
      <c r="L73" s="468"/>
      <c r="M73" s="469"/>
      <c r="N73" s="470"/>
      <c r="O73" s="470"/>
      <c r="P73" s="470"/>
      <c r="Q73" s="469"/>
      <c r="R73" s="471"/>
      <c r="S73" s="471"/>
      <c r="T73" s="471"/>
      <c r="U73" s="471"/>
      <c r="V73" s="471"/>
      <c r="W73" s="471"/>
      <c r="X73" s="471"/>
      <c r="Y73" s="471"/>
      <c r="Z73" s="471"/>
      <c r="AA73" s="471" t="str">
        <f t="shared" si="0"/>
        <v/>
      </c>
      <c r="AB73" s="471"/>
      <c r="AC73" s="471"/>
      <c r="AD73" s="471"/>
      <c r="AE73" s="471"/>
      <c r="AF73" s="471"/>
      <c r="AG73" s="471"/>
      <c r="AH73" s="471"/>
      <c r="AI73" s="471"/>
      <c r="AJ73" s="471"/>
      <c r="AK73" s="472"/>
      <c r="AL73" s="471"/>
      <c r="AM73" s="473">
        <f t="shared" si="148"/>
        <v>474.44695720875893</v>
      </c>
      <c r="AN73" s="474">
        <f t="shared" si="149"/>
        <v>15.855309177288191</v>
      </c>
      <c r="AO73" s="474"/>
      <c r="AP73" s="474"/>
      <c r="AQ73" s="475">
        <v>3</v>
      </c>
      <c r="AR73" s="474"/>
      <c r="AS73" s="474"/>
      <c r="AT73" s="471"/>
      <c r="AU73" s="492"/>
      <c r="AV73" s="471"/>
      <c r="AW73" s="471"/>
      <c r="AX73" s="478"/>
      <c r="AY73" s="493"/>
      <c r="AZ73" s="480"/>
      <c r="BA73" s="493"/>
      <c r="BB73" s="478" t="str">
        <f>IF(OR(C73="",D73=""),"",VLOOKUP(C73,'Base de Diseño (2)'!$A$2:$D$330,4,FALSE))</f>
        <v/>
      </c>
      <c r="BC73" s="494"/>
      <c r="BD73" s="494"/>
      <c r="BE73" s="494"/>
      <c r="BF73" s="494"/>
      <c r="BG73" s="494"/>
      <c r="BH73" s="495"/>
      <c r="BI73" s="495"/>
      <c r="BJ73" s="468">
        <f t="shared" si="151"/>
        <v>0</v>
      </c>
      <c r="BK73" s="475"/>
      <c r="BL73" s="475"/>
      <c r="BM73" s="475"/>
      <c r="BN73" s="475"/>
      <c r="BO73" s="204"/>
      <c r="BP73" s="496"/>
      <c r="BQ73" s="497"/>
      <c r="BR73" s="497"/>
      <c r="BS73" s="475"/>
      <c r="BT73" s="475"/>
      <c r="BU73" s="475"/>
      <c r="BV73" s="475"/>
      <c r="BW73" s="475"/>
      <c r="BX73" s="475"/>
      <c r="BY73" s="475"/>
      <c r="BZ73" s="475"/>
      <c r="CA73" s="471"/>
      <c r="CB73" s="471"/>
      <c r="CC73" s="471" t="e">
        <f t="shared" si="150"/>
        <v>#DIV/0!</v>
      </c>
      <c r="CD73" s="471"/>
      <c r="CE73" s="471"/>
      <c r="CF73" s="471"/>
      <c r="CG73" s="471"/>
      <c r="CH73" s="471"/>
      <c r="CI73" s="471"/>
      <c r="CJ73" s="471"/>
      <c r="CK73" s="468"/>
      <c r="CL73" s="482" t="s">
        <v>2507</v>
      </c>
      <c r="CM73" s="482"/>
      <c r="CN73" s="63"/>
      <c r="CO73" s="498"/>
      <c r="CP73" s="472"/>
      <c r="CQ73" s="482"/>
      <c r="CR73" s="204"/>
      <c r="CS73" s="486"/>
      <c r="CT73" s="486"/>
      <c r="CU73" s="23"/>
      <c r="CV73" s="499"/>
      <c r="CW73" s="488"/>
      <c r="CX73" s="204"/>
      <c r="CY73" s="482"/>
      <c r="CZ73" s="482"/>
      <c r="DA73" s="482"/>
      <c r="DB73" s="490"/>
    </row>
    <row r="74" spans="1:106" ht="15.75" hidden="1" customHeight="1">
      <c r="A74" s="465">
        <v>38</v>
      </c>
      <c r="B74" s="491">
        <v>1</v>
      </c>
      <c r="C74" s="466" t="s">
        <v>2113</v>
      </c>
      <c r="D74" s="466" t="s">
        <v>2114</v>
      </c>
      <c r="E74" s="468">
        <v>0.311</v>
      </c>
      <c r="F74" s="468"/>
      <c r="G74" s="468">
        <f>IF(B74=1,0,SUMIF($D$22:$D$583,C74,$H$22:$H$583))</f>
        <v>0</v>
      </c>
      <c r="H74" s="468">
        <f>+E74+F74+G74</f>
        <v>0.311</v>
      </c>
      <c r="I74" s="468">
        <f>+E74</f>
        <v>0.311</v>
      </c>
      <c r="J74" s="468"/>
      <c r="K74" s="467">
        <f>+IF(B74=1,0,SUMIF($D$22:$D$583,C74,$L$22:$L$580))</f>
        <v>0</v>
      </c>
      <c r="L74" s="468">
        <f>+I74+J74+K74</f>
        <v>0.311</v>
      </c>
      <c r="M74" s="469">
        <f>+$P$12</f>
        <v>242.33666300502347</v>
      </c>
      <c r="N74" s="470">
        <f>M74*E74</f>
        <v>75.366702194562293</v>
      </c>
      <c r="O74" s="470">
        <f>M74*F74</f>
        <v>0</v>
      </c>
      <c r="P74" s="470">
        <f>M74*H74</f>
        <v>75.366702194562293</v>
      </c>
      <c r="Q74" s="469">
        <f>+$H$14</f>
        <v>140</v>
      </c>
      <c r="R74" s="471">
        <f>Q74*P74*$P$14/86400</f>
        <v>0.10380367547630687</v>
      </c>
      <c r="S74" s="471"/>
      <c r="T74" s="471"/>
      <c r="U74" s="471">
        <f>IF(C74="","",T74*$P$17)</f>
        <v>0</v>
      </c>
      <c r="V74" s="471"/>
      <c r="W74" s="471"/>
      <c r="X74" s="471">
        <f>IF(C74="","",W74*$P$16)</f>
        <v>0</v>
      </c>
      <c r="Y74" s="471">
        <f>IF(H74=0,0,$H$15*H74)</f>
        <v>6.2200000000000005E-2</v>
      </c>
      <c r="Z74" s="471">
        <f>IF(L74=0,$H$16*H74,0)</f>
        <v>0</v>
      </c>
      <c r="AA74" s="471">
        <f t="shared" si="0"/>
        <v>3.8</v>
      </c>
      <c r="AB74" s="471">
        <f>R74*AA74</f>
        <v>0.39445396680996608</v>
      </c>
      <c r="AC74" s="471">
        <f>Q74*(N74+O74)*$P$14/86400</f>
        <v>0.10380367547630687</v>
      </c>
      <c r="AD74" s="471">
        <f>IF(E74=0,0,$H$15*(E74+F74))</f>
        <v>6.2200000000000005E-2</v>
      </c>
      <c r="AE74" s="471">
        <f>IF(F74=0,0,$H$15*(F74+G74))</f>
        <v>0</v>
      </c>
      <c r="AF74" s="471">
        <f>IF(N74="","",IF(1+((14/(4+(((N74+O74)+O74)/1000)^1/2)))&lt;1.4,1.4,IF(1+((14/(4+((N74+O74)/1000)^1/2)))&gt;=4,4,(1+((14/(4+((N74+O74)/1000)^1/2)))))))</f>
        <v>4</v>
      </c>
      <c r="AG74" s="471">
        <f>AC74*AF74</f>
        <v>0.41521470190522747</v>
      </c>
      <c r="AH74" s="471">
        <f>+AD74+AE74+AG74</f>
        <v>0.4774147019052275</v>
      </c>
      <c r="AI74" s="471">
        <f>IF(H74="","",IF(AB74+Y74+Z74+X74+U74&lt;1.5,1.5,AB74+Y74+Z74+X74+U74))</f>
        <v>1.5</v>
      </c>
      <c r="AJ74" s="471">
        <f>+$P$17</f>
        <v>0.75</v>
      </c>
      <c r="AK74" s="472">
        <f>+BK74/100</f>
        <v>1.5939904727006314E-2</v>
      </c>
      <c r="AL74" s="471">
        <f>IF(AJ74=0," ",0.14+0.65*AJ74+0.05*AK74)</f>
        <v>0.62829699523635041</v>
      </c>
      <c r="AM74" s="473">
        <f t="shared" si="148"/>
        <v>336.32613267542746</v>
      </c>
      <c r="AN74" s="474">
        <f t="shared" si="149"/>
        <v>7.2126249255879973</v>
      </c>
      <c r="AO74" s="474">
        <f>((1/60)*$AX74/$AQ74)</f>
        <v>0.30322222222222223</v>
      </c>
      <c r="AP74" s="474">
        <f>IF(B74=1,IF(($AN74+$AO74)&lt;10,10,IF(($AN74+$AO74)&gt;20,20,($AN74+$AO74))),($AN74+$AO74))</f>
        <v>10</v>
      </c>
      <c r="AQ74" s="475">
        <v>3</v>
      </c>
      <c r="AR74" s="474">
        <f>((1/60)*$AX74/$BT74)</f>
        <v>0.61822434212482835</v>
      </c>
      <c r="AS74" s="474">
        <f>AO74/AR74</f>
        <v>0.49047279694625373</v>
      </c>
      <c r="AT74" s="471" t="str">
        <f>IF(AS74&lt;0.9,"Disminuir vel.",IF(AS74&gt;1.1,"Aumentar vel.","Cumple"))</f>
        <v>Disminuir vel.</v>
      </c>
      <c r="AU74" s="492">
        <f>+I74*AL74*AM74</f>
        <v>65.718249258203727</v>
      </c>
      <c r="AV74" s="471">
        <f>+L74*AL74*AM74</f>
        <v>65.718249258203727</v>
      </c>
      <c r="AW74" s="471">
        <f>ROUND(IF(AI74&gt;(AV74*0.05),(AV74+AI74),AV74),2)</f>
        <v>65.72</v>
      </c>
      <c r="AX74" s="478">
        <f>IF(OR(C74="",D74=""),"",ROUND(((VLOOKUP(C74,'Base de Diseño (2)'!$A$2:$C$333,2,FALSE)-VLOOKUP(D74,'Base de Diseño (2)'!$A$2:$C$333,2,FALSE))^2+(VLOOKUP(C74,'Base de Diseño (2)'!$A$2:$C$333,3,0)-VLOOKUP(D74,'Base de Diseño (2)'!$A$2:$C$333,3,FALSE))^2)^0.5,2))</f>
        <v>54.58</v>
      </c>
      <c r="AY74" s="493">
        <v>8</v>
      </c>
      <c r="AZ74" s="480">
        <f>IF(AND(L74="",H74=""),"",IF(BA74=4,VLOOKUP(AY74,'TABLA (2)'!$A$74:$C$89,2),IF(BA74=5,VLOOKUP(AY74,'TABLA (2)'!$A$51:$B$66,2),IF(BA74=6,VLOOKUP(AY74,'TABLA (2)'!$A$9:$B$43,2)))))</f>
        <v>200</v>
      </c>
      <c r="BA74" s="493">
        <v>6</v>
      </c>
      <c r="BB74" s="478">
        <f>IF(OR(C74="",D74=""),"",VLOOKUP(C74,'Base de Diseño (2)'!$A$2:$D$330,4,FALSE))</f>
        <v>991.14160000000004</v>
      </c>
      <c r="BC74" s="478">
        <f>IF(OR(C74="",D74=""),"",VLOOKUP(D74,'Base de Diseño (2)'!$A$2:$D$330,4,FALSE))</f>
        <v>992.01160000000004</v>
      </c>
      <c r="BD74" s="23">
        <f>+BF74-((AZ74/1000)+CX74)</f>
        <v>0.66299999999997727</v>
      </c>
      <c r="BE74" s="23">
        <f>+BG74-((AZ74/1000)+CX74)</f>
        <v>2.2393138597054421</v>
      </c>
      <c r="BF74" s="494">
        <v>0.89999999999997726</v>
      </c>
      <c r="BG74" s="494">
        <v>2.4763138597054422</v>
      </c>
      <c r="BH74" s="495">
        <f>BB74-BF74</f>
        <v>990.24160000000006</v>
      </c>
      <c r="BI74" s="495">
        <f>BC74-BG74</f>
        <v>989.5352861402946</v>
      </c>
      <c r="BJ74" s="468">
        <f t="shared" si="151"/>
        <v>0</v>
      </c>
      <c r="BK74" s="475">
        <f>ABS((BB74-BC74)/AX74)*100</f>
        <v>1.5939904727006313</v>
      </c>
      <c r="BL74" s="475">
        <f>((BH74-BI74)/AX74)*100</f>
        <v>1.2940891529964462</v>
      </c>
      <c r="BM74" s="475">
        <f>IF(BA74=6,(1/0.013)*((AZ74/4000)^(2/3))*((BL74/100)^(0.5)),(1/0.009)*((AZ74/4000)^(2/3))*((BL74/100)^(0.5)))</f>
        <v>1.187641639225079</v>
      </c>
      <c r="BN74" s="475">
        <f>1000*BM74*PI()*((AZ74/1000/2)^2)</f>
        <v>37.31086248886848</v>
      </c>
      <c r="BO74" s="204">
        <f>AI74/BN74</f>
        <v>4.0202769379762207E-2</v>
      </c>
      <c r="BP74" s="496">
        <f>IF(L74=0," ",AW74/BN74)</f>
        <v>1.761417335758648</v>
      </c>
      <c r="BQ74" s="497">
        <f>IF($BO74&gt;0 =AND($BO74&lt;=0.06),10^(0.029806+0.29095*LOG($BO74)),IF($BO74&gt;0.06 =AND($BO74&lt;=0.26),10^(0.013778+0.282597*LOG($BO74)),IF($BO74&gt;0.26 =AND($BO74&lt;=0.91),10^(0.021763+0.28995*LOG($BO74)),1)))</f>
        <v>0.42044992045512636</v>
      </c>
      <c r="BR74" s="497">
        <f>IF($BP74&gt;0 =AND($BP74&lt;=0.06),10^(0.029806+0.29095*LOG($BP74)),IF($BP74&gt;0.06 =AND($BP74&lt;=0.26),10^(0.013778+0.282597*LOG($BP74)),IF($BP74&gt;0.26 =AND($BP74&lt;=2),10^(0.021763+0.28995*LOG($BP74))," ")))</f>
        <v>1.2389413963279721</v>
      </c>
      <c r="BS74" s="475">
        <f>BM74*BQ74</f>
        <v>0.49934383274138033</v>
      </c>
      <c r="BT74" s="475">
        <f>IF(BP74=" "," ",(BM74*BR74))</f>
        <v>1.471418390838761</v>
      </c>
      <c r="BU74" s="475">
        <f>IF(BO74&lt;=0.11,0.3827+0.0645*LN(BO74),IF(BO74&lt;=0.21,0.60025+0.15471*LN(BO74),IF(BO74&lt;1,0.225+0.6666666667*BO74,0)))</f>
        <v>0.17540864897824421</v>
      </c>
      <c r="BV74" s="475" t="str">
        <f>IF(BP74&lt;=0.11,0.3827+0.0645*LN(BP74),IF(BP74&lt;=0.21,0.60025+0.15471*LN(BP74),IF(BP74&lt;1,0.225+0.6666666667*BP74," ")))</f>
        <v xml:space="preserve"> </v>
      </c>
      <c r="BW74" s="475">
        <f>2*ACOS(1-2*(BU74))</f>
        <v>1.728573762423534</v>
      </c>
      <c r="BX74" s="475" t="e">
        <f>IF(BP74=" "," ",(2*ACOS(1-2*(BV74))))</f>
        <v>#VALUE!</v>
      </c>
      <c r="BY74" s="475">
        <f>(1/4)*(1-(SIN(BW74))/BW74)</f>
        <v>0.10716852801217763</v>
      </c>
      <c r="BZ74" s="475" t="e">
        <f>IF(BP74=" "," ",((1/4)*(1-(SIN(BX74))/BX74)))</f>
        <v>#VALUE!</v>
      </c>
      <c r="CA74" s="471">
        <f>BY74*AZ74/1000</f>
        <v>2.1433705602435526E-2</v>
      </c>
      <c r="CB74" s="471" t="e">
        <f>IF(BP74=" "," ",(BZ74*AZ74/1000))</f>
        <v>#VALUE!</v>
      </c>
      <c r="CC74" s="471" t="e">
        <f t="shared" si="150"/>
        <v>#VALUE!</v>
      </c>
      <c r="CD74" s="471" t="e">
        <f>IF(CC74="","",IF(CC74&lt;0.7,"F. Subcrítico",IF(AND(CC74&gt;0.7,CC74&lt;1),"F. Subcrítico Inestable",IF(CC74=1,"F. Crítico",IF(AND(CC74&gt;1,CC74&lt;1.5),"F. Supercrítico Inestable",IF(CC74&gt;1.5,"F. Supercrítico",""))))))</f>
        <v>#VALUE!</v>
      </c>
      <c r="CE74" s="471">
        <f>1000*BL74*CA74/100</f>
        <v>0.27737125928630973</v>
      </c>
      <c r="CF74" s="471" t="e">
        <f>IF(BP74=" "," ",(1000*BL74*CB74/100))</f>
        <v>#VALUE!</v>
      </c>
      <c r="CG74" s="471" t="str">
        <f>IF(BS74&lt;0.45,"No cumple",IF(BS74&gt;5,"No cumple","O.K"))</f>
        <v>O.K</v>
      </c>
      <c r="CH74" s="471" t="str">
        <f>IF(BT74&lt;0.75,"No cumple",IF(BT74&gt;10,"No cumple","O.K"))</f>
        <v>O.K</v>
      </c>
      <c r="CI74" s="471" t="str">
        <f>IF(CE74&gt;0.1,"OK","V.C.H.")</f>
        <v>OK</v>
      </c>
      <c r="CJ74" s="471" t="e">
        <f>IF(CF74&gt;0.2,"OK","V.C.H.")</f>
        <v>#VALUE!</v>
      </c>
      <c r="CK74" s="468">
        <f>+BJ74</f>
        <v>0</v>
      </c>
      <c r="CL74" s="482" t="s">
        <v>2507</v>
      </c>
      <c r="CM74" s="482"/>
      <c r="CN74" s="63" t="str">
        <f>IF(B74=1,"dato"," ")</f>
        <v>dato</v>
      </c>
      <c r="CO74" s="498">
        <f>+CR74</f>
        <v>54.58</v>
      </c>
      <c r="CP74" s="472">
        <f>+BK74/100</f>
        <v>1.5939904727006314E-2</v>
      </c>
      <c r="CQ74" s="482" t="s">
        <v>2508</v>
      </c>
      <c r="CR74" s="204">
        <f>IF(BA74="","",AX74)</f>
        <v>54.58</v>
      </c>
      <c r="CS74" s="486">
        <v>1.2</v>
      </c>
      <c r="CT74" s="486">
        <v>1.2</v>
      </c>
      <c r="CU74" s="23">
        <f>IF($BA74="","",SQRT((BH74-BI74)^2+$CR74^2))</f>
        <v>54.584569974200697</v>
      </c>
      <c r="CV74" s="499" t="s">
        <v>2509</v>
      </c>
      <c r="CW74" s="488" t="str">
        <f>+IF(BD74&lt;=0.9,"E1",IF(BD74&lt;=2.5,"E2","E3"))</f>
        <v>E1</v>
      </c>
      <c r="CX74" s="204">
        <f>IF(AND(L74="",H74=""),"",IF(AND(BA74&lt;&gt;4,BA74&lt;&gt;5),VLOOKUP(AY74,'TABLA (2)'!$A$9:$D$43,4),IF(BA74=4,VLOOKUP(AY74,'TABLA (2)'!$A$74:$D$89,4),VLOOKUP(AY74,'TABLA (2)'!$A$51:$D$66,4))))</f>
        <v>3.6999999999999998E-2</v>
      </c>
      <c r="CY74" s="482"/>
      <c r="CZ74" s="482"/>
      <c r="DA74" s="482"/>
      <c r="DB74" s="490"/>
    </row>
    <row r="75" spans="1:106" ht="15.75" hidden="1" customHeight="1">
      <c r="A75" s="465">
        <v>39</v>
      </c>
      <c r="B75" s="491"/>
      <c r="C75" s="466" t="s">
        <v>2114</v>
      </c>
      <c r="D75" s="466" t="s">
        <v>2123</v>
      </c>
      <c r="E75" s="468"/>
      <c r="F75" s="468"/>
      <c r="G75" s="468">
        <f>IF(B75=1,0,SUMIF($D$22:$D$583,C75,$H$22:$H$583))</f>
        <v>0.311</v>
      </c>
      <c r="H75" s="468">
        <f>+E75+F75+G75</f>
        <v>0.311</v>
      </c>
      <c r="I75" s="468"/>
      <c r="J75" s="468"/>
      <c r="K75" s="467">
        <f ca="1">+IF(B75=1,0,SUMIF($D$22:$D$583,C75,$L$22:$L$580))</f>
        <v>0.311</v>
      </c>
      <c r="L75" s="468">
        <f ca="1">+I75+J75+K75</f>
        <v>0.311</v>
      </c>
      <c r="M75" s="469">
        <f>+$P$12</f>
        <v>242.33666300502347</v>
      </c>
      <c r="N75" s="470">
        <f>M75*E75</f>
        <v>0</v>
      </c>
      <c r="O75" s="470">
        <f>M75*F75</f>
        <v>0</v>
      </c>
      <c r="P75" s="470">
        <f>M75*H75</f>
        <v>75.366702194562293</v>
      </c>
      <c r="Q75" s="469">
        <f>+$H$14</f>
        <v>140</v>
      </c>
      <c r="R75" s="471">
        <f>Q75*P75*$P$14/86400</f>
        <v>0.10380367547630687</v>
      </c>
      <c r="S75" s="471"/>
      <c r="T75" s="471"/>
      <c r="U75" s="471">
        <f>IF(C75="","",T75*$P$17)</f>
        <v>0</v>
      </c>
      <c r="V75" s="471"/>
      <c r="W75" s="471"/>
      <c r="X75" s="471">
        <f>IF(C75="","",W75*$P$16)</f>
        <v>0</v>
      </c>
      <c r="Y75" s="471">
        <f>IF(H75=0,0,$H$15*H75)</f>
        <v>6.2200000000000005E-2</v>
      </c>
      <c r="Z75" s="471">
        <f ca="1">IF(L75=0,$H$16*H75,0)</f>
        <v>0</v>
      </c>
      <c r="AA75" s="471">
        <f t="shared" si="0"/>
        <v>3.8</v>
      </c>
      <c r="AB75" s="471">
        <f>R75*AA75</f>
        <v>0.39445396680996608</v>
      </c>
      <c r="AC75" s="471">
        <f>Q75*(N75+O75)*$P$14/86400</f>
        <v>0</v>
      </c>
      <c r="AD75" s="471">
        <f>IF(E75=0,0,$H$15*(E75+F75))</f>
        <v>0</v>
      </c>
      <c r="AE75" s="471">
        <f>IF(F75=0,0,$H$15*(F75+G75))</f>
        <v>0</v>
      </c>
      <c r="AF75" s="471">
        <f>IF(N75="","",IF(1+((14/(4+(((N75+O75)+O75)/1000)^1/2)))&lt;1.4,1.4,IF(1+((14/(4+((N75+O75)/1000)^1/2)))&gt;=4,4,(1+((14/(4+((N75+O75)/1000)^1/2)))))))</f>
        <v>4</v>
      </c>
      <c r="AG75" s="471">
        <f>AC75*AF75</f>
        <v>0</v>
      </c>
      <c r="AH75" s="471">
        <f>+AD75+AE75+AG75</f>
        <v>0</v>
      </c>
      <c r="AI75" s="471">
        <f ca="1">IF(H75="","",IF(AB75+Y75+Z75+X75+U75&lt;1.5,1.5,AB75+Y75+Z75+X75+U75))</f>
        <v>1.5</v>
      </c>
      <c r="AJ75" s="471">
        <f>+$P$17</f>
        <v>0.75</v>
      </c>
      <c r="AK75" s="472">
        <f>+BK75/100</f>
        <v>2.4801878485470222E-2</v>
      </c>
      <c r="AL75" s="471">
        <f>IF(AJ75=0," ",0.14+0.65*AJ75+0.05*AK75)</f>
        <v>0.62874009392427355</v>
      </c>
      <c r="AM75" s="473">
        <f t="shared" si="148"/>
        <v>332.60832118058858</v>
      </c>
      <c r="AN75" s="474">
        <f t="shared" si="149"/>
        <v>10</v>
      </c>
      <c r="AO75" s="474">
        <f>((1/60)*$AX75/$AQ75)</f>
        <v>0.37855555555555553</v>
      </c>
      <c r="AP75" s="474">
        <f>IF(B75=1,IF(($AN75+$AO75)&lt;10,10,IF(($AN75+$AO75)&gt;20,20,($AN75+$AO75))),($AN75+$AO75))</f>
        <v>10.378555555555556</v>
      </c>
      <c r="AQ75" s="475">
        <v>3</v>
      </c>
      <c r="AR75" s="474" t="e">
        <f ca="1">((1/60)*$AX75/$BT75)</f>
        <v>#VALUE!</v>
      </c>
      <c r="AS75" s="474" t="e">
        <f ca="1">AO75/AR75</f>
        <v>#VALUE!</v>
      </c>
      <c r="AT75" s="471" t="e">
        <f ca="1">IF(AS75&lt;0.9,"Disminuir vel.",IF(AS75&gt;1.1,"Aumentar vel.","Cumple"))</f>
        <v>#VALUE!</v>
      </c>
      <c r="AU75" s="492">
        <f>+I75*AL75*AM75</f>
        <v>0</v>
      </c>
      <c r="AV75" s="471">
        <f ca="1">+L75*AL75*AM75</f>
        <v>65.037622187813312</v>
      </c>
      <c r="AW75" s="471">
        <f ca="1">ROUND(IF(AI75&gt;(AV75*0.05),(AV75+AI75),AV75),2)</f>
        <v>65.040000000000006</v>
      </c>
      <c r="AX75" s="478">
        <f>IF(OR(C75="",D75=""),"",ROUND(((VLOOKUP(C75,'Base de Diseño (2)'!$A$2:$C$333,2,FALSE)-VLOOKUP(D75,'Base de Diseño (2)'!$A$2:$C$333,2,FALSE))^2+(VLOOKUP(C75,'Base de Diseño (2)'!$A$2:$C$333,3,0)-VLOOKUP(D75,'Base de Diseño (2)'!$A$2:$C$333,3,FALSE))^2)^0.5,2))</f>
        <v>68.14</v>
      </c>
      <c r="AY75" s="493">
        <v>7.28</v>
      </c>
      <c r="AZ75" s="480">
        <f ca="1">IF(AND(L75="",H75=""),"",IF(BA75=4,VLOOKUP(AY75,'TABLA (2)'!$A$74:$C$89,2),IF(BA75=5,VLOOKUP(AY75,'TABLA (2)'!$A$51:$B$66,2),IF(BA75=6,VLOOKUP(AY75,'TABLA (2)'!$A$9:$B$43,2)))))</f>
        <v>150</v>
      </c>
      <c r="BA75" s="493">
        <v>6</v>
      </c>
      <c r="BB75" s="478">
        <f>IF(OR(C75="",D75=""),"",VLOOKUP(C75,'Base de Diseño (2)'!$A$2:$D$330,4,FALSE))</f>
        <v>992.01160000000004</v>
      </c>
      <c r="BC75" s="478">
        <f>IF(OR(C75="",D75=""),"",VLOOKUP(D75,'Base de Diseño (2)'!$A$2:$D$330,4,FALSE))</f>
        <v>993.70159999999998</v>
      </c>
      <c r="BD75" s="23">
        <f ca="1">+BF75-((AZ75/1000)+CX75)</f>
        <v>2.2943138597054422</v>
      </c>
      <c r="BE75" s="23">
        <f ca="1">+BG75-((AZ75/1000)+CX75)</f>
        <v>4.0779999999999905</v>
      </c>
      <c r="BF75" s="494">
        <v>2.4763138597054422</v>
      </c>
      <c r="BG75" s="494">
        <v>4.2599999999999909</v>
      </c>
      <c r="BH75" s="495">
        <f>BB75-BF75</f>
        <v>989.5352861402946</v>
      </c>
      <c r="BI75" s="495">
        <f>BC75-BG75</f>
        <v>989.44159999999999</v>
      </c>
      <c r="BJ75" s="468">
        <f t="shared" si="151"/>
        <v>989.44159999999999</v>
      </c>
      <c r="BK75" s="475">
        <f>ABS((BB75-BC75)/AX75)*100</f>
        <v>2.4801878485470223</v>
      </c>
      <c r="BL75" s="475">
        <f>((BH75-BI75)/AX75)*100</f>
        <v>0.13749066670767224</v>
      </c>
      <c r="BM75" s="475">
        <f ca="1">IF(BA75=6,(1/0.013)*((AZ75/4000)^(2/3))*((BL75/100)^(0.5)),(1/0.009)*((AZ75/4000)^(2/3))*((BL75/100)^(0.5)))</f>
        <v>0.31955633761514018</v>
      </c>
      <c r="BN75" s="475">
        <f ca="1">1000*BM75*PI()*((AZ75/1000/2)^2)</f>
        <v>5.6470266149612849</v>
      </c>
      <c r="BO75" s="204">
        <f ca="1">AI75/BN75</f>
        <v>0.26562651502755202</v>
      </c>
      <c r="BP75" s="496">
        <f ca="1">IF(L75=0," ",AW75/BN75)</f>
        <v>11.517565691594656</v>
      </c>
      <c r="BQ75" s="497">
        <f ca="1">IF($BO75&gt;0 =AND($BO75&lt;=0.06),10^(0.029806+0.29095*LOG($BO75)),IF($BO75&gt;0.06 =AND($BO75&lt;=0.26),10^(0.013778+0.282597*LOG($BO75)),IF($BO75&gt;0.26 =AND($BO75&lt;=0.91),10^(0.021763+0.28995*LOG($BO75)),1)))</f>
        <v>0.71586396165026855</v>
      </c>
      <c r="BR75" s="497" t="str">
        <f ca="1">IF($BP75&gt;0 =AND($BP75&lt;=0.06),10^(0.029806+0.29095*LOG($BP75)),IF($BP75&gt;0.06 =AND($BP75&lt;=0.26),10^(0.013778+0.282597*LOG($BP75)),IF($BP75&gt;0.26 =AND($BP75&lt;=2),10^(0.021763+0.28995*LOG($BP75))," ")))</f>
        <v xml:space="preserve"> </v>
      </c>
      <c r="BS75" s="475">
        <f ca="1">BM75*BQ75</f>
        <v>0.22875886581562499</v>
      </c>
      <c r="BT75" s="475" t="e">
        <f ca="1">IF(BP75=" "," ",(BM75*BR75))</f>
        <v>#VALUE!</v>
      </c>
      <c r="BU75" s="475">
        <f ca="1">IF(BO75&lt;=0.11,0.3827+0.0645*LN(BO75),IF(BO75&lt;=0.21,0.60025+0.15471*LN(BO75),IF(BO75&lt;1,0.225+0.6666666667*BO75,0)))</f>
        <v>0.40208434336055554</v>
      </c>
      <c r="BV75" s="475" t="str">
        <f ca="1">IF(BP75&lt;=0.11,0.3827+0.0645*LN(BP75),IF(BP75&lt;=0.21,0.60025+0.15471*LN(BP75),IF(BP75&lt;1,0.225+0.6666666667*BP75," ")))</f>
        <v xml:space="preserve"> </v>
      </c>
      <c r="BW75" s="475">
        <f ca="1">2*ACOS(1-2*(BU75))</f>
        <v>2.7473824419128707</v>
      </c>
      <c r="BX75" s="475" t="e">
        <f ca="1">IF(BP75=" "," ",(2*ACOS(1-2*(BV75))))</f>
        <v>#VALUE!</v>
      </c>
      <c r="BY75" s="475">
        <f ca="1">(1/4)*(1-(SIN(BW75))/BW75)</f>
        <v>0.215050452104805</v>
      </c>
      <c r="BZ75" s="475" t="e">
        <f ca="1">IF(BP75=" "," ",((1/4)*(1-(SIN(BX75))/BX75)))</f>
        <v>#VALUE!</v>
      </c>
      <c r="CA75" s="471">
        <f ca="1">BY75*AZ75/1000</f>
        <v>3.2257567815720749E-2</v>
      </c>
      <c r="CB75" s="471" t="e">
        <f ca="1">IF(BP75=" "," ",(BZ75*AZ75/1000))</f>
        <v>#VALUE!</v>
      </c>
      <c r="CC75" s="471" t="e">
        <f t="shared" ca="1" si="150"/>
        <v>#VALUE!</v>
      </c>
      <c r="CD75" s="471" t="e">
        <f ca="1">IF(CC75="","",IF(CC75&lt;0.7,"F. Subcrítico",IF(AND(CC75&gt;0.7,CC75&lt;1),"F. Subcrítico Inestable",IF(CC75=1,"F. Crítico",IF(AND(CC75&gt;1,CC75&lt;1.5),"F. Supercrítico Inestable",IF(CC75&gt;1.5,"F. Supercrítico",""))))))</f>
        <v>#VALUE!</v>
      </c>
      <c r="CE75" s="471">
        <f ca="1">1000*BL75*CA75/100</f>
        <v>4.4351145053513959E-2</v>
      </c>
      <c r="CF75" s="471" t="e">
        <f ca="1">IF(BP75=" "," ",(1000*BL75*CB75/100))</f>
        <v>#VALUE!</v>
      </c>
      <c r="CG75" s="471" t="str">
        <f ca="1">IF(BS75&lt;0.45,"No cumple",IF(BS75&gt;5,"No cumple","O.K"))</f>
        <v>No cumple</v>
      </c>
      <c r="CH75" s="471" t="e">
        <f ca="1">IF(BT75&lt;0.75,"No cumple",IF(BT75&gt;10,"No cumple","O.K"))</f>
        <v>#VALUE!</v>
      </c>
      <c r="CI75" s="471" t="str">
        <f ca="1">IF(CE75&gt;0.1,"OK","V.C.H.")</f>
        <v>V.C.H.</v>
      </c>
      <c r="CJ75" s="471" t="e">
        <f ca="1">IF(CF75&gt;0.2,"OK","V.C.H.")</f>
        <v>#VALUE!</v>
      </c>
      <c r="CK75" s="468">
        <f>+BJ75</f>
        <v>989.44159999999999</v>
      </c>
      <c r="CL75" s="482" t="s">
        <v>2507</v>
      </c>
      <c r="CM75" s="482"/>
      <c r="CN75" s="63" t="str">
        <f>IF(B75=1,"dato"," ")</f>
        <v xml:space="preserve"> </v>
      </c>
      <c r="CO75" s="498">
        <f>+CR75</f>
        <v>68.14</v>
      </c>
      <c r="CP75" s="472">
        <f>+BK75/100</f>
        <v>2.4801878485470222E-2</v>
      </c>
      <c r="CQ75" s="482" t="s">
        <v>2508</v>
      </c>
      <c r="CR75" s="204">
        <f>IF(BA75="","",AX75)</f>
        <v>68.14</v>
      </c>
      <c r="CS75" s="486">
        <v>1.2</v>
      </c>
      <c r="CT75" s="486">
        <v>1.2</v>
      </c>
      <c r="CU75" s="23">
        <f>IF($BA75="","",SQRT((BH75-BI75)^2+$CR75^2))</f>
        <v>68.140064404819014</v>
      </c>
      <c r="CV75" s="499" t="s">
        <v>2509</v>
      </c>
      <c r="CW75" s="488" t="str">
        <f ca="1">+IF(BD75&lt;=0.9,"E1",IF(BD75&lt;=2.5,"E2","E3"))</f>
        <v>E2</v>
      </c>
      <c r="CX75" s="204">
        <f ca="1">IF(AND(L75="",H75=""),"",IF(AND(BA75&lt;&gt;4,BA75&lt;&gt;5),VLOOKUP(AY75,'TABLA (2)'!$A$9:$D$43,4),IF(BA75=4,VLOOKUP(AY75,'TABLA (2)'!$A$74:$D$89,4),VLOOKUP(AY75,'TABLA (2)'!$A$51:$D$66,4))))</f>
        <v>3.2000000000000001E-2</v>
      </c>
      <c r="CY75" s="482"/>
      <c r="CZ75" s="482"/>
      <c r="DA75" s="482"/>
      <c r="DB75" s="490"/>
    </row>
    <row r="76" spans="1:106" ht="15.75" hidden="1" customHeight="1">
      <c r="A76" s="465"/>
      <c r="B76" s="491"/>
      <c r="C76" s="501"/>
      <c r="D76" s="501"/>
      <c r="E76" s="468"/>
      <c r="F76" s="468"/>
      <c r="G76" s="468"/>
      <c r="H76" s="468"/>
      <c r="I76" s="468"/>
      <c r="J76" s="468"/>
      <c r="K76" s="467"/>
      <c r="L76" s="468"/>
      <c r="M76" s="469"/>
      <c r="N76" s="470"/>
      <c r="O76" s="470"/>
      <c r="P76" s="470"/>
      <c r="Q76" s="469"/>
      <c r="R76" s="471"/>
      <c r="S76" s="471"/>
      <c r="T76" s="471"/>
      <c r="U76" s="471"/>
      <c r="V76" s="471"/>
      <c r="W76" s="471"/>
      <c r="X76" s="471"/>
      <c r="Y76" s="471"/>
      <c r="Z76" s="471"/>
      <c r="AA76" s="471" t="str">
        <f t="shared" si="0"/>
        <v/>
      </c>
      <c r="AB76" s="471"/>
      <c r="AC76" s="471"/>
      <c r="AD76" s="471"/>
      <c r="AE76" s="471"/>
      <c r="AF76" s="471"/>
      <c r="AG76" s="471"/>
      <c r="AH76" s="471"/>
      <c r="AI76" s="471"/>
      <c r="AJ76" s="471"/>
      <c r="AK76" s="472"/>
      <c r="AL76" s="471"/>
      <c r="AM76" s="473">
        <f t="shared" si="148"/>
        <v>474.44695720875893</v>
      </c>
      <c r="AN76" s="474">
        <f t="shared" si="149"/>
        <v>10.378555555555556</v>
      </c>
      <c r="AO76" s="474"/>
      <c r="AP76" s="474"/>
      <c r="AQ76" s="475">
        <v>3</v>
      </c>
      <c r="AR76" s="474"/>
      <c r="AS76" s="474"/>
      <c r="AT76" s="471"/>
      <c r="AU76" s="492"/>
      <c r="AV76" s="471"/>
      <c r="AW76" s="471"/>
      <c r="AX76" s="478"/>
      <c r="AY76" s="493"/>
      <c r="AZ76" s="480"/>
      <c r="BA76" s="493"/>
      <c r="BB76" s="478" t="str">
        <f>IF(OR(C76="",D76=""),"",VLOOKUP(C76,'Base de Diseño (2)'!$A$2:$D$330,4,FALSE))</f>
        <v/>
      </c>
      <c r="BC76" s="478" t="str">
        <f>IF(OR(C76="",D76=""),"",VLOOKUP(D76,'Base de Diseño (2)'!$A$2:$D$330,4,FALSE))</f>
        <v/>
      </c>
      <c r="BD76" s="494"/>
      <c r="BE76" s="494"/>
      <c r="BF76" s="494"/>
      <c r="BG76" s="494"/>
      <c r="BH76" s="495"/>
      <c r="BI76" s="495"/>
      <c r="BJ76" s="468">
        <f t="shared" si="151"/>
        <v>0</v>
      </c>
      <c r="BK76" s="475"/>
      <c r="BL76" s="475"/>
      <c r="BM76" s="475"/>
      <c r="BN76" s="475"/>
      <c r="BO76" s="204"/>
      <c r="BP76" s="496"/>
      <c r="BQ76" s="497"/>
      <c r="BR76" s="497"/>
      <c r="BS76" s="475"/>
      <c r="BT76" s="475"/>
      <c r="BU76" s="475"/>
      <c r="BV76" s="475"/>
      <c r="BW76" s="475"/>
      <c r="BX76" s="475"/>
      <c r="BY76" s="475"/>
      <c r="BZ76" s="475"/>
      <c r="CA76" s="471"/>
      <c r="CB76" s="471"/>
      <c r="CC76" s="471" t="e">
        <f t="shared" si="150"/>
        <v>#DIV/0!</v>
      </c>
      <c r="CD76" s="471"/>
      <c r="CE76" s="471"/>
      <c r="CF76" s="471"/>
      <c r="CG76" s="471"/>
      <c r="CH76" s="471"/>
      <c r="CI76" s="471"/>
      <c r="CJ76" s="471"/>
      <c r="CK76" s="468"/>
      <c r="CL76" s="482" t="s">
        <v>2507</v>
      </c>
      <c r="CM76" s="482"/>
      <c r="CN76" s="63"/>
      <c r="CO76" s="498"/>
      <c r="CP76" s="472"/>
      <c r="CQ76" s="482"/>
      <c r="CR76" s="204"/>
      <c r="CS76" s="486"/>
      <c r="CT76" s="486"/>
      <c r="CU76" s="23"/>
      <c r="CV76" s="499"/>
      <c r="CW76" s="488"/>
      <c r="CX76" s="204"/>
      <c r="CY76" s="482"/>
      <c r="CZ76" s="482"/>
      <c r="DA76" s="482"/>
      <c r="DB76" s="490"/>
    </row>
    <row r="77" spans="1:106" ht="15.75" hidden="1" customHeight="1">
      <c r="A77" s="465">
        <v>40</v>
      </c>
      <c r="B77" s="491">
        <v>1</v>
      </c>
      <c r="C77" s="466" t="s">
        <v>2115</v>
      </c>
      <c r="D77" s="466" t="s">
        <v>2116</v>
      </c>
      <c r="E77" s="468">
        <v>0.1168</v>
      </c>
      <c r="F77" s="468"/>
      <c r="G77" s="468">
        <f t="shared" ref="G77:G83" si="152">IF(B77=1,0,SUMIF($D$22:$D$583,C77,$H$22:$H$583))</f>
        <v>0</v>
      </c>
      <c r="H77" s="468">
        <f t="shared" ref="H77:H83" si="153">+E77+F77+G77</f>
        <v>0.1168</v>
      </c>
      <c r="I77" s="468">
        <f>+E77</f>
        <v>0.1168</v>
      </c>
      <c r="J77" s="468"/>
      <c r="K77" s="467">
        <f t="shared" ref="K77:K83" si="154">+IF(B77=1,0,SUMIF($D$22:$D$583,C77,$L$22:$L$580))</f>
        <v>0</v>
      </c>
      <c r="L77" s="468">
        <f t="shared" ref="L77:L83" si="155">+I77+J77+K77</f>
        <v>0.1168</v>
      </c>
      <c r="M77" s="469">
        <f t="shared" ref="M77:M83" si="156">+$P$12</f>
        <v>242.33666300502347</v>
      </c>
      <c r="N77" s="470">
        <f t="shared" ref="N77:N83" si="157">M77*E77</f>
        <v>28.304922238986741</v>
      </c>
      <c r="O77" s="470">
        <f t="shared" ref="O77:O83" si="158">M77*F77</f>
        <v>0</v>
      </c>
      <c r="P77" s="470">
        <f t="shared" ref="P77:P83" si="159">M77*H77</f>
        <v>28.304922238986741</v>
      </c>
      <c r="Q77" s="469">
        <f t="shared" ref="Q77:Q83" si="160">+$H$14</f>
        <v>140</v>
      </c>
      <c r="R77" s="471">
        <f t="shared" ref="R77:R83" si="161">Q77*P77*$P$14/86400</f>
        <v>3.8984788731937753E-2</v>
      </c>
      <c r="S77" s="471"/>
      <c r="T77" s="471"/>
      <c r="U77" s="471">
        <f t="shared" ref="U77:U83" si="162">IF(C77="","",T77*$P$17)</f>
        <v>0</v>
      </c>
      <c r="V77" s="471"/>
      <c r="W77" s="471"/>
      <c r="X77" s="471">
        <f t="shared" ref="X77:X83" si="163">IF(C77="","",W77*$P$16)</f>
        <v>0</v>
      </c>
      <c r="Y77" s="471">
        <f t="shared" ref="Y77:Y83" si="164">IF(H77=0,0,$H$15*H77)</f>
        <v>2.3360000000000002E-2</v>
      </c>
      <c r="Z77" s="471">
        <f t="shared" ref="Z77:Z83" si="165">IF(L77=0,$H$16*H77,0)</f>
        <v>0</v>
      </c>
      <c r="AA77" s="471">
        <f t="shared" si="0"/>
        <v>3.8</v>
      </c>
      <c r="AB77" s="471">
        <f t="shared" ref="AB77:AB83" si="166">R77*AA77</f>
        <v>0.14814219718136346</v>
      </c>
      <c r="AC77" s="471">
        <f t="shared" ref="AC77:AC83" si="167">Q77*(N77+O77)*$P$14/86400</f>
        <v>3.8984788731937753E-2</v>
      </c>
      <c r="AD77" s="471">
        <f t="shared" ref="AD77:AE83" si="168">IF(E77=0,0,$H$15*(E77+F77))</f>
        <v>2.3360000000000002E-2</v>
      </c>
      <c r="AE77" s="471">
        <f t="shared" si="168"/>
        <v>0</v>
      </c>
      <c r="AF77" s="471">
        <f t="shared" ref="AF77:AF83" si="169">IF(N77="","",IF(1+((14/(4+(((N77+O77)+O77)/1000)^1/2)))&lt;1.4,1.4,IF(1+((14/(4+((N77+O77)/1000)^1/2)))&gt;=4,4,(1+((14/(4+((N77+O77)/1000)^1/2)))))))</f>
        <v>4</v>
      </c>
      <c r="AG77" s="471">
        <f t="shared" ref="AG77:AG83" si="170">AC77*AF77</f>
        <v>0.15593915492775101</v>
      </c>
      <c r="AH77" s="471">
        <f t="shared" ref="AH77:AH83" si="171">+AD77+AE77+AG77</f>
        <v>0.179299154927751</v>
      </c>
      <c r="AI77" s="471">
        <f t="shared" ref="AI77:AI83" si="172">IF(H77="","",IF(AB77+Y77+Z77+X77+U77&lt;1.5,1.5,AB77+Y77+Z77+X77+U77))</f>
        <v>1.5</v>
      </c>
      <c r="AJ77" s="471">
        <f t="shared" ref="AJ77:AJ83" si="173">+$P$17</f>
        <v>0.75</v>
      </c>
      <c r="AK77" s="472">
        <f t="shared" ref="AK77:AK83" si="174">+BK77/100</f>
        <v>5.7453999248970572E-2</v>
      </c>
      <c r="AL77" s="471">
        <f t="shared" ref="AL77:AL83" si="175">IF(AJ77=0," ",0.14+0.65*AJ77+0.05*AK77)</f>
        <v>0.6303726999624486</v>
      </c>
      <c r="AM77" s="473">
        <f t="shared" si="148"/>
        <v>336.32613267542746</v>
      </c>
      <c r="AN77" s="474">
        <f t="shared" si="149"/>
        <v>5</v>
      </c>
      <c r="AO77" s="474">
        <f t="shared" ref="AO77:AO83" si="176">((1/60)*$AX77/$AQ77)</f>
        <v>0.14794444444444443</v>
      </c>
      <c r="AP77" s="474">
        <f t="shared" ref="AP77:AP83" si="177">IF(B77=1,IF(($AN77+$AO77)&lt;10,10,IF(($AN77+$AO77)&gt;20,20,($AN77+$AO77))),($AN77+$AO77))</f>
        <v>10</v>
      </c>
      <c r="AQ77" s="475">
        <v>3</v>
      </c>
      <c r="AR77" s="474">
        <f t="shared" ref="AR77:AR83" si="178">((1/60)*$AX77/$BT77)</f>
        <v>0.15327746070201051</v>
      </c>
      <c r="AS77" s="474">
        <f t="shared" ref="AS77:AS83" si="179">AO77/AR77</f>
        <v>0.96520678100262836</v>
      </c>
      <c r="AT77" s="471" t="str">
        <f t="shared" ref="AT77:AT83" si="180">IF(AS77&lt;0.9,"Disminuir vel.",IF(AS77&gt;1.1,"Aumentar vel.","Cumple"))</f>
        <v>Cumple</v>
      </c>
      <c r="AU77" s="492">
        <f t="shared" ref="AU77:AU83" si="181">+I77*AL77*AM77</f>
        <v>24.762862879272426</v>
      </c>
      <c r="AV77" s="471">
        <f t="shared" ref="AV77:AV83" si="182">+L77*AL77*AM77</f>
        <v>24.762862879272426</v>
      </c>
      <c r="AW77" s="471">
        <f t="shared" ref="AW77:AW83" si="183">ROUND(IF(AI77&gt;(AV77*0.05),(AV77+AI77),AV77),2)</f>
        <v>26.26</v>
      </c>
      <c r="AX77" s="478">
        <f>IF(OR(C77="",D77=""),"",ROUND(((VLOOKUP(C77,'Base de Diseño (2)'!$A$2:$C$333,2,FALSE)-VLOOKUP(D77,'Base de Diseño (2)'!$A$2:$C$333,2,FALSE))^2+(VLOOKUP(C77,'Base de Diseño (2)'!$A$2:$C$333,3,0)-VLOOKUP(D77,'Base de Diseño (2)'!$A$2:$C$333,3,FALSE))^2)^0.5,2))</f>
        <v>26.63</v>
      </c>
      <c r="AY77" s="493">
        <v>8</v>
      </c>
      <c r="AZ77" s="480">
        <f>IF(AND(L77="",H77=""),"",IF(BA77=4,VLOOKUP(AY77,'TABLA (2)'!$A$74:$C$89,2),IF(BA77=5,VLOOKUP(AY77,'TABLA (2)'!$A$51:$B$66,2),IF(BA77=6,VLOOKUP(AY77,'TABLA (2)'!$A$9:$B$43,2)))))</f>
        <v>182</v>
      </c>
      <c r="BA77" s="493">
        <v>4</v>
      </c>
      <c r="BB77" s="478">
        <f>IF(OR(C77="",D77=""),"",VLOOKUP(C77,'Base de Diseño (2)'!$A$2:$D$330,4,FALSE))</f>
        <v>991.45</v>
      </c>
      <c r="BC77" s="478">
        <f>IF(OR(C77="",D77=""),"",VLOOKUP(D77,'Base de Diseño (2)'!$A$2:$D$330,4,FALSE))</f>
        <v>989.92</v>
      </c>
      <c r="BD77" s="23">
        <f t="shared" ref="BD77:BD83" si="184">+BF77-((AZ77/1000)+CX77)</f>
        <v>0.25900000000004547</v>
      </c>
      <c r="BE77" s="23">
        <f t="shared" ref="BE77:BE83" si="185">+BG77-((AZ77/1000)+CX77)</f>
        <v>1.0668788642121025</v>
      </c>
      <c r="BF77" s="494">
        <v>0.45000000000004547</v>
      </c>
      <c r="BG77" s="494">
        <v>1.2578788642121026</v>
      </c>
      <c r="BH77" s="495">
        <f t="shared" ref="BH77:BI83" si="186">BB77-BF77</f>
        <v>991</v>
      </c>
      <c r="BI77" s="495">
        <f t="shared" si="186"/>
        <v>988.66212113578786</v>
      </c>
      <c r="BJ77" s="468">
        <f t="shared" si="151"/>
        <v>0</v>
      </c>
      <c r="BK77" s="475">
        <f t="shared" ref="BK77:BK83" si="187">ABS((BB77-BC77)/AX77)*100</f>
        <v>5.7453999248970575</v>
      </c>
      <c r="BL77" s="475">
        <f t="shared" ref="BL77:BL83" si="188">((BH77-BI77)/AX77)*100</f>
        <v>8.7791170267072616</v>
      </c>
      <c r="BM77" s="475">
        <f t="shared" ref="BM77:BM83" si="189">IF(BA77=6,(1/0.013)*((AZ77/4000)^(2/3))*((BL77/100)^(0.5)),(1/0.009)*((AZ77/4000)^(2/3))*((BL77/100)^(0.5)))</f>
        <v>4.1958875522543995</v>
      </c>
      <c r="BN77" s="475">
        <f t="shared" ref="BN77:BN83" si="190">1000*BM77*PI()*((AZ77/1000/2)^2)</f>
        <v>109.15823330776605</v>
      </c>
      <c r="BO77" s="204">
        <f t="shared" ref="BO77:BO83" si="191">AI77/BN77</f>
        <v>1.37415195770971E-2</v>
      </c>
      <c r="BP77" s="496">
        <f t="shared" ref="BP77:BP83" si="192">IF(L77=0," ",AW77/BN77)</f>
        <v>0.24056820272971324</v>
      </c>
      <c r="BQ77" s="497">
        <f t="shared" ref="BQ77:BQ83" si="193">IF($BO77&gt;0 =AND($BO77&lt;=0.06),10^(0.029806+0.29095*LOG($BO77)),IF($BO77&gt;0.06 =AND($BO77&lt;=0.26),10^(0.013778+0.282597*LOG($BO77)),IF($BO77&gt;0.26 =AND($BO77&lt;=0.91),10^(0.021763+0.28995*LOG($BO77)),1)))</f>
        <v>0.3076572924449531</v>
      </c>
      <c r="BR77" s="497">
        <f t="shared" ref="BR77:BR83" si="194">IF($BP77&gt;0 =AND($BP77&lt;=0.06),10^(0.029806+0.29095*LOG($BP77)),IF($BP77&gt;0.06 =AND($BP77&lt;=0.26),10^(0.013778+0.282597*LOG($BP77)),IF($BP77&gt;0.26 =AND($BP77&lt;=2),10^(0.021763+0.28995*LOG($BP77))," ")))</f>
        <v>0.69010913828043452</v>
      </c>
      <c r="BS77" s="475">
        <f t="shared" ref="BS77:BS83" si="195">BM77*BQ77</f>
        <v>1.2908954037300702</v>
      </c>
      <c r="BT77" s="475">
        <f t="shared" ref="BT77:BT83" si="196">IF(BP77=" "," ",(BM77*BR77))</f>
        <v>2.8956203430078853</v>
      </c>
      <c r="BU77" s="475">
        <f t="shared" ref="BU77:BU83" si="197">IF(BO77&lt;=0.11,0.3827+0.0645*LN(BO77),IF(BO77&lt;=0.21,0.60025+0.15471*LN(BO77),IF(BO77&lt;1,0.225+0.6666666667*BO77,0)))</f>
        <v>0.10616699549538461</v>
      </c>
      <c r="BV77" s="475">
        <f t="shared" ref="BV77:BV83" si="198">IF(BP77&lt;=0.11,0.3827+0.0645*LN(BP77),IF(BP77&lt;=0.21,0.60025+0.15471*LN(BP77),IF(BP77&lt;1,0.225+0.6666666667*BP77," ")))</f>
        <v>0.3853788018278278</v>
      </c>
      <c r="BW77" s="475">
        <f t="shared" ref="BW77:BW83" si="199">2*ACOS(1-2*(BU77))</f>
        <v>1.3275697466264478</v>
      </c>
      <c r="BX77" s="475">
        <f t="shared" ref="BX77:BX83" si="200">IF(BP77=" "," ",(2*ACOS(1-2*(BV77))))</f>
        <v>2.6789940929342597</v>
      </c>
      <c r="BY77" s="475">
        <f t="shared" ref="BY77:BY83" si="201">(1/4)*(1-(SIN(BW77))/BW77)</f>
        <v>6.7228820583450255E-2</v>
      </c>
      <c r="BZ77" s="475">
        <f t="shared" ref="BZ77:BZ83" si="202">IF(BP77=" "," ",((1/4)*(1-(SIN(BX77))/BX77)))</f>
        <v>0.20835423327317115</v>
      </c>
      <c r="CA77" s="471">
        <f t="shared" ref="CA77:CA83" si="203">BY77*AZ77/1000</f>
        <v>1.2235645346187946E-2</v>
      </c>
      <c r="CB77" s="471">
        <f t="shared" ref="CB77:CB83" si="204">IF(BP77=" "," ",(BZ77*AZ77/1000))</f>
        <v>3.7920470455717149E-2</v>
      </c>
      <c r="CC77" s="471">
        <f t="shared" si="150"/>
        <v>4.0470466821609214</v>
      </c>
      <c r="CD77" s="471" t="str">
        <f t="shared" ref="CD77:CD83" si="205">IF(CC77="","",IF(CC77&lt;0.7,"F. Subcrítico",IF(AND(CC77&gt;0.7,CC77&lt;1),"F. Subcrítico Inestable",IF(CC77=1,"F. Crítico",IF(AND(CC77&gt;1,CC77&lt;1.5),"F. Supercrítico Inestable",IF(CC77&gt;1.5,"F. Supercrítico",""))))))</f>
        <v>F. Supercrítico</v>
      </c>
      <c r="CE77" s="471">
        <f t="shared" ref="CE77:CE83" si="206">1000*BL77*CA77/100</f>
        <v>1.0741816239147006</v>
      </c>
      <c r="CF77" s="471">
        <f t="shared" ref="CF77:CF83" si="207">IF(BP77=" "," ",(1000*BL77*CB77/100))</f>
        <v>3.3290824783853608</v>
      </c>
      <c r="CG77" s="471" t="str">
        <f t="shared" ref="CG77:CG83" si="208">IF(BS77&lt;0.45,"No cumple",IF(BS77&gt;5,"No cumple","O.K"))</f>
        <v>O.K</v>
      </c>
      <c r="CH77" s="471" t="str">
        <f t="shared" ref="CH77:CH83" si="209">IF(BT77&lt;0.75,"No cumple",IF(BT77&gt;10,"No cumple","O.K"))</f>
        <v>O.K</v>
      </c>
      <c r="CI77" s="471" t="str">
        <f t="shared" ref="CI77:CI83" si="210">IF(CE77&gt;0.1,"OK","V.C.H.")</f>
        <v>OK</v>
      </c>
      <c r="CJ77" s="471" t="str">
        <f t="shared" ref="CJ77:CJ83" si="211">IF(CF77&gt;0.2,"OK","V.C.H.")</f>
        <v>OK</v>
      </c>
      <c r="CK77" s="468">
        <f t="shared" ref="CK77:CK83" si="212">+BJ77</f>
        <v>0</v>
      </c>
      <c r="CL77" s="482" t="s">
        <v>2507</v>
      </c>
      <c r="CM77" s="482"/>
      <c r="CN77" s="63" t="str">
        <f t="shared" ref="CN77:CN83" si="213">IF(B77=1,"dato"," ")</f>
        <v>dato</v>
      </c>
      <c r="CO77" s="498">
        <f t="shared" ref="CO77:CO83" si="214">+CR77</f>
        <v>26.63</v>
      </c>
      <c r="CP77" s="472">
        <f t="shared" ref="CP77:CP83" si="215">+BK77/100</f>
        <v>5.7453999248970572E-2</v>
      </c>
      <c r="CQ77" s="482" t="s">
        <v>2508</v>
      </c>
      <c r="CR77" s="204">
        <f t="shared" ref="CR77:CR83" si="216">IF(BA77="","",AX77)</f>
        <v>26.63</v>
      </c>
      <c r="CS77" s="486">
        <v>1.2</v>
      </c>
      <c r="CT77" s="486">
        <v>1.2</v>
      </c>
      <c r="CU77" s="23">
        <f t="shared" ref="CU77:CU83" si="217">IF($BA77="","",SQRT((BH77-BI77)^2+$CR77^2))</f>
        <v>26.73242558361904</v>
      </c>
      <c r="CV77" s="499" t="s">
        <v>2509</v>
      </c>
      <c r="CW77" s="488" t="str">
        <f t="shared" ref="CW77:CW83" si="218">+IF(BD77&lt;=0.9,"E1",IF(BD77&lt;=2.5,"E2","E3"))</f>
        <v>E1</v>
      </c>
      <c r="CX77" s="204">
        <f>IF(AND(L77="",H77=""),"",IF(AND(BA77&lt;&gt;4,BA77&lt;&gt;5),VLOOKUP(AY77,'TABLA (2)'!$A$9:$D$43,4),IF(BA77=4,VLOOKUP(AY77,'TABLA (2)'!$A$74:$D$89,4),VLOOKUP(AY77,'TABLA (2)'!$A$51:$D$66,4))))</f>
        <v>8.9999999999999993E-3</v>
      </c>
      <c r="CY77" s="482"/>
      <c r="CZ77" s="482"/>
      <c r="DA77" s="482"/>
      <c r="DB77" s="490"/>
    </row>
    <row r="78" spans="1:106" ht="15.75" hidden="1" customHeight="1">
      <c r="A78" s="465">
        <v>41</v>
      </c>
      <c r="B78" s="491"/>
      <c r="C78" s="466" t="s">
        <v>2116</v>
      </c>
      <c r="D78" s="466" t="s">
        <v>2117</v>
      </c>
      <c r="E78" s="468"/>
      <c r="F78" s="468"/>
      <c r="G78" s="468">
        <f t="shared" si="152"/>
        <v>0.20529999999999998</v>
      </c>
      <c r="H78" s="468">
        <f t="shared" si="153"/>
        <v>0.20529999999999998</v>
      </c>
      <c r="I78" s="468"/>
      <c r="J78" s="468"/>
      <c r="K78" s="467">
        <f t="shared" ca="1" si="154"/>
        <v>0.20529999999999998</v>
      </c>
      <c r="L78" s="468">
        <f t="shared" ca="1" si="155"/>
        <v>0.20529999999999998</v>
      </c>
      <c r="M78" s="469">
        <f t="shared" si="156"/>
        <v>242.33666300502347</v>
      </c>
      <c r="N78" s="470">
        <f t="shared" si="157"/>
        <v>0</v>
      </c>
      <c r="O78" s="470">
        <f t="shared" si="158"/>
        <v>0</v>
      </c>
      <c r="P78" s="470">
        <f t="shared" si="159"/>
        <v>49.751716914931315</v>
      </c>
      <c r="Q78" s="469">
        <f t="shared" si="160"/>
        <v>140</v>
      </c>
      <c r="R78" s="471">
        <f t="shared" si="161"/>
        <v>6.8523776769407713E-2</v>
      </c>
      <c r="S78" s="471"/>
      <c r="T78" s="471"/>
      <c r="U78" s="471">
        <f t="shared" si="162"/>
        <v>0</v>
      </c>
      <c r="V78" s="471"/>
      <c r="W78" s="471"/>
      <c r="X78" s="471">
        <f t="shared" si="163"/>
        <v>0</v>
      </c>
      <c r="Y78" s="471">
        <f t="shared" si="164"/>
        <v>4.1059999999999999E-2</v>
      </c>
      <c r="Z78" s="471">
        <f t="shared" ca="1" si="165"/>
        <v>0</v>
      </c>
      <c r="AA78" s="471">
        <f t="shared" si="0"/>
        <v>3.8</v>
      </c>
      <c r="AB78" s="471">
        <f t="shared" si="166"/>
        <v>0.2603903517237493</v>
      </c>
      <c r="AC78" s="471">
        <f t="shared" si="167"/>
        <v>0</v>
      </c>
      <c r="AD78" s="471">
        <f t="shared" si="168"/>
        <v>0</v>
      </c>
      <c r="AE78" s="471">
        <f t="shared" si="168"/>
        <v>0</v>
      </c>
      <c r="AF78" s="471">
        <f t="shared" si="169"/>
        <v>4</v>
      </c>
      <c r="AG78" s="471">
        <f t="shared" si="170"/>
        <v>0</v>
      </c>
      <c r="AH78" s="471">
        <f t="shared" si="171"/>
        <v>0</v>
      </c>
      <c r="AI78" s="471">
        <f t="shared" ca="1" si="172"/>
        <v>1.5</v>
      </c>
      <c r="AJ78" s="471">
        <f t="shared" si="173"/>
        <v>0.75</v>
      </c>
      <c r="AK78" s="472">
        <f t="shared" si="174"/>
        <v>5.5286449399659238E-2</v>
      </c>
      <c r="AL78" s="471">
        <f t="shared" si="175"/>
        <v>0.63026432246998298</v>
      </c>
      <c r="AM78" s="473">
        <f t="shared" si="148"/>
        <v>334.72597162852708</v>
      </c>
      <c r="AN78" s="474">
        <f t="shared" si="149"/>
        <v>10</v>
      </c>
      <c r="AO78" s="474">
        <f t="shared" si="176"/>
        <v>0.16194444444444442</v>
      </c>
      <c r="AP78" s="474">
        <f t="shared" si="177"/>
        <v>10.161944444444444</v>
      </c>
      <c r="AQ78" s="475">
        <v>3</v>
      </c>
      <c r="AR78" s="474" t="e">
        <f t="shared" ca="1" si="178"/>
        <v>#NUM!</v>
      </c>
      <c r="AS78" s="474" t="e">
        <f t="shared" ca="1" si="179"/>
        <v>#NUM!</v>
      </c>
      <c r="AT78" s="471" t="e">
        <f t="shared" ca="1" si="180"/>
        <v>#NUM!</v>
      </c>
      <c r="AU78" s="492">
        <f t="shared" si="181"/>
        <v>0</v>
      </c>
      <c r="AV78" s="471">
        <f t="shared" ca="1" si="182"/>
        <v>43.311286484236334</v>
      </c>
      <c r="AW78" s="471">
        <f t="shared" ca="1" si="183"/>
        <v>43.31</v>
      </c>
      <c r="AX78" s="478">
        <f>IF(OR(C78="",D78=""),"",ROUND(((VLOOKUP(C78,'Base de Diseño (2)'!$A$2:$C$333,2,FALSE)-VLOOKUP(D78,'Base de Diseño (2)'!$A$2:$C$333,2,FALSE))^2+(VLOOKUP(C78,'Base de Diseño (2)'!$A$2:$C$333,3,0)-VLOOKUP(D78,'Base de Diseño (2)'!$A$2:$C$333,3,FALSE))^2)^0.5,2))</f>
        <v>29.15</v>
      </c>
      <c r="AY78" s="493">
        <v>8</v>
      </c>
      <c r="AZ78" s="480">
        <f ca="1">IF(AND(L78="",H78=""),"",IF(BA78=4,VLOOKUP(AY78,'TABLA (2)'!$A$74:$C$89,2),IF(BA78=5,VLOOKUP(AY78,'TABLA (2)'!$A$51:$B$66,2),IF(BA78=6,VLOOKUP(AY78,'TABLA (2)'!$A$9:$B$43,2)))))</f>
        <v>182</v>
      </c>
      <c r="BA78" s="493">
        <v>4</v>
      </c>
      <c r="BB78" s="478">
        <f>IF(OR(C78="",D78=""),"",VLOOKUP(C78,'Base de Diseño (2)'!$A$2:$D$330,4,FALSE))</f>
        <v>989.92</v>
      </c>
      <c r="BC78" s="478">
        <f>IF(OR(C78="",D78=""),"",VLOOKUP(D78,'Base de Diseño (2)'!$A$2:$D$330,4,FALSE))</f>
        <v>991.53160000000003</v>
      </c>
      <c r="BD78" s="23">
        <f t="shared" ca="1" si="184"/>
        <v>1.0668788642121025</v>
      </c>
      <c r="BE78" s="23">
        <f t="shared" ca="1" si="185"/>
        <v>1.978999999999959</v>
      </c>
      <c r="BF78" s="494">
        <v>1.2578788642121026</v>
      </c>
      <c r="BG78" s="494">
        <v>2.1699999999999591</v>
      </c>
      <c r="BH78" s="495">
        <f t="shared" si="186"/>
        <v>988.66212113578786</v>
      </c>
      <c r="BI78" s="495">
        <f t="shared" si="186"/>
        <v>989.36160000000007</v>
      </c>
      <c r="BJ78" s="468">
        <f t="shared" si="151"/>
        <v>5.0000000000068212E-2</v>
      </c>
      <c r="BK78" s="475">
        <f t="shared" si="187"/>
        <v>5.5286449399659237</v>
      </c>
      <c r="BL78" s="475">
        <f t="shared" si="188"/>
        <v>-2.399584439836056</v>
      </c>
      <c r="BM78" s="475" t="e">
        <f t="shared" ca="1" si="189"/>
        <v>#NUM!</v>
      </c>
      <c r="BN78" s="475" t="e">
        <f t="shared" ca="1" si="190"/>
        <v>#NUM!</v>
      </c>
      <c r="BO78" s="204" t="e">
        <f t="shared" ca="1" si="191"/>
        <v>#NUM!</v>
      </c>
      <c r="BP78" s="496" t="e">
        <f t="shared" ca="1" si="192"/>
        <v>#NUM!</v>
      </c>
      <c r="BQ78" s="497" t="e">
        <f t="shared" ca="1" si="193"/>
        <v>#NUM!</v>
      </c>
      <c r="BR78" s="497" t="e">
        <f t="shared" ca="1" si="194"/>
        <v>#NUM!</v>
      </c>
      <c r="BS78" s="475" t="e">
        <f t="shared" ca="1" si="195"/>
        <v>#NUM!</v>
      </c>
      <c r="BT78" s="475" t="e">
        <f t="shared" ca="1" si="196"/>
        <v>#NUM!</v>
      </c>
      <c r="BU78" s="475" t="e">
        <f t="shared" ca="1" si="197"/>
        <v>#NUM!</v>
      </c>
      <c r="BV78" s="475" t="e">
        <f t="shared" ca="1" si="198"/>
        <v>#NUM!</v>
      </c>
      <c r="BW78" s="475" t="e">
        <f t="shared" ca="1" si="199"/>
        <v>#NUM!</v>
      </c>
      <c r="BX78" s="475" t="e">
        <f t="shared" ca="1" si="200"/>
        <v>#NUM!</v>
      </c>
      <c r="BY78" s="475" t="e">
        <f t="shared" ca="1" si="201"/>
        <v>#NUM!</v>
      </c>
      <c r="BZ78" s="475" t="e">
        <f t="shared" ca="1" si="202"/>
        <v>#NUM!</v>
      </c>
      <c r="CA78" s="471" t="e">
        <f t="shared" ca="1" si="203"/>
        <v>#NUM!</v>
      </c>
      <c r="CB78" s="471" t="e">
        <f t="shared" ca="1" si="204"/>
        <v>#NUM!</v>
      </c>
      <c r="CC78" s="471" t="e">
        <f t="shared" ca="1" si="150"/>
        <v>#NUM!</v>
      </c>
      <c r="CD78" s="471" t="e">
        <f t="shared" ca="1" si="205"/>
        <v>#NUM!</v>
      </c>
      <c r="CE78" s="471" t="e">
        <f t="shared" ca="1" si="206"/>
        <v>#NUM!</v>
      </c>
      <c r="CF78" s="471" t="e">
        <f t="shared" ca="1" si="207"/>
        <v>#NUM!</v>
      </c>
      <c r="CG78" s="471" t="e">
        <f t="shared" ca="1" si="208"/>
        <v>#NUM!</v>
      </c>
      <c r="CH78" s="471" t="e">
        <f t="shared" ca="1" si="209"/>
        <v>#NUM!</v>
      </c>
      <c r="CI78" s="471" t="e">
        <f t="shared" ca="1" si="210"/>
        <v>#NUM!</v>
      </c>
      <c r="CJ78" s="471" t="e">
        <f t="shared" ca="1" si="211"/>
        <v>#NUM!</v>
      </c>
      <c r="CK78" s="468">
        <f t="shared" si="212"/>
        <v>5.0000000000068212E-2</v>
      </c>
      <c r="CL78" s="482" t="s">
        <v>2507</v>
      </c>
      <c r="CM78" s="482"/>
      <c r="CN78" s="63" t="str">
        <f t="shared" si="213"/>
        <v xml:space="preserve"> </v>
      </c>
      <c r="CO78" s="498">
        <f t="shared" si="214"/>
        <v>29.15</v>
      </c>
      <c r="CP78" s="472">
        <f t="shared" si="215"/>
        <v>5.5286449399659238E-2</v>
      </c>
      <c r="CQ78" s="482" t="s">
        <v>2508</v>
      </c>
      <c r="CR78" s="204">
        <f t="shared" si="216"/>
        <v>29.15</v>
      </c>
      <c r="CS78" s="486">
        <v>1.2</v>
      </c>
      <c r="CT78" s="486">
        <v>1.2</v>
      </c>
      <c r="CU78" s="23">
        <f t="shared" si="217"/>
        <v>29.15839108526874</v>
      </c>
      <c r="CV78" s="499" t="s">
        <v>2509</v>
      </c>
      <c r="CW78" s="488" t="str">
        <f t="shared" ca="1" si="218"/>
        <v>E2</v>
      </c>
      <c r="CX78" s="204">
        <f ca="1">IF(AND(L78="",H78=""),"",IF(AND(BA78&lt;&gt;4,BA78&lt;&gt;5),VLOOKUP(AY78,'TABLA (2)'!$A$9:$D$43,4),IF(BA78=4,VLOOKUP(AY78,'TABLA (2)'!$A$74:$D$89,4),VLOOKUP(AY78,'TABLA (2)'!$A$51:$D$66,4))))</f>
        <v>8.9999999999999993E-3</v>
      </c>
      <c r="CY78" s="482"/>
      <c r="CZ78" s="482"/>
      <c r="DA78" s="482"/>
      <c r="DB78" s="490"/>
    </row>
    <row r="79" spans="1:106" ht="15.75" hidden="1" customHeight="1">
      <c r="A79" s="465">
        <v>42</v>
      </c>
      <c r="B79" s="491"/>
      <c r="C79" s="466" t="s">
        <v>2117</v>
      </c>
      <c r="D79" s="466" t="s">
        <v>2118</v>
      </c>
      <c r="E79" s="468"/>
      <c r="F79" s="468"/>
      <c r="G79" s="468">
        <f t="shared" si="152"/>
        <v>0.30389999999999995</v>
      </c>
      <c r="H79" s="468">
        <f t="shared" si="153"/>
        <v>0.30389999999999995</v>
      </c>
      <c r="I79" s="468"/>
      <c r="J79" s="468"/>
      <c r="K79" s="467">
        <f t="shared" ca="1" si="154"/>
        <v>0.30389999999999995</v>
      </c>
      <c r="L79" s="468">
        <f t="shared" ca="1" si="155"/>
        <v>0.30389999999999995</v>
      </c>
      <c r="M79" s="469">
        <f t="shared" si="156"/>
        <v>242.33666300502347</v>
      </c>
      <c r="N79" s="470">
        <f t="shared" si="157"/>
        <v>0</v>
      </c>
      <c r="O79" s="470">
        <f t="shared" si="158"/>
        <v>0</v>
      </c>
      <c r="P79" s="470">
        <f t="shared" si="159"/>
        <v>73.646111887226624</v>
      </c>
      <c r="Q79" s="469">
        <f t="shared" si="160"/>
        <v>140</v>
      </c>
      <c r="R79" s="471">
        <f t="shared" si="161"/>
        <v>0.10143388095578666</v>
      </c>
      <c r="S79" s="471"/>
      <c r="T79" s="471"/>
      <c r="U79" s="471">
        <f t="shared" si="162"/>
        <v>0</v>
      </c>
      <c r="V79" s="471"/>
      <c r="W79" s="471"/>
      <c r="X79" s="471">
        <f t="shared" si="163"/>
        <v>0</v>
      </c>
      <c r="Y79" s="471">
        <f t="shared" si="164"/>
        <v>6.0779999999999994E-2</v>
      </c>
      <c r="Z79" s="471">
        <f t="shared" ca="1" si="165"/>
        <v>0</v>
      </c>
      <c r="AA79" s="471">
        <f t="shared" si="0"/>
        <v>3.8</v>
      </c>
      <c r="AB79" s="471">
        <f t="shared" si="166"/>
        <v>0.38544874763198927</v>
      </c>
      <c r="AC79" s="471">
        <f t="shared" si="167"/>
        <v>0</v>
      </c>
      <c r="AD79" s="471">
        <f t="shared" si="168"/>
        <v>0</v>
      </c>
      <c r="AE79" s="471">
        <f t="shared" si="168"/>
        <v>0</v>
      </c>
      <c r="AF79" s="471">
        <f t="shared" si="169"/>
        <v>4</v>
      </c>
      <c r="AG79" s="471">
        <f t="shared" si="170"/>
        <v>0</v>
      </c>
      <c r="AH79" s="471">
        <f t="shared" si="171"/>
        <v>0</v>
      </c>
      <c r="AI79" s="471">
        <f t="shared" ca="1" si="172"/>
        <v>1.5</v>
      </c>
      <c r="AJ79" s="471">
        <f t="shared" si="173"/>
        <v>0.75</v>
      </c>
      <c r="AK79" s="472">
        <f t="shared" si="174"/>
        <v>1.2716354645002249E-2</v>
      </c>
      <c r="AL79" s="471">
        <f t="shared" si="175"/>
        <v>0.62813581773225013</v>
      </c>
      <c r="AM79" s="473">
        <f t="shared" si="148"/>
        <v>333.18582340023835</v>
      </c>
      <c r="AN79" s="474">
        <f t="shared" si="149"/>
        <v>10.161944444444444</v>
      </c>
      <c r="AO79" s="474">
        <f t="shared" si="176"/>
        <v>0.15727777777777777</v>
      </c>
      <c r="AP79" s="474">
        <f t="shared" si="177"/>
        <v>10.319222222222221</v>
      </c>
      <c r="AQ79" s="475">
        <v>3</v>
      </c>
      <c r="AR79" s="474">
        <f t="shared" ca="1" si="178"/>
        <v>0.24006002283399228</v>
      </c>
      <c r="AS79" s="474">
        <f t="shared" ca="1" si="179"/>
        <v>0.65516022168563826</v>
      </c>
      <c r="AT79" s="471" t="str">
        <f t="shared" ca="1" si="180"/>
        <v>Disminuir vel.</v>
      </c>
      <c r="AU79" s="492">
        <f t="shared" si="181"/>
        <v>0</v>
      </c>
      <c r="AV79" s="471">
        <f t="shared" ca="1" si="182"/>
        <v>63.602000095079902</v>
      </c>
      <c r="AW79" s="471">
        <f t="shared" ca="1" si="183"/>
        <v>63.6</v>
      </c>
      <c r="AX79" s="478">
        <f>IF(OR(C79="",D79=""),"",ROUND(((VLOOKUP(C79,'Base de Diseño (2)'!$A$2:$C$333,2,FALSE)-VLOOKUP(D79,'Base de Diseño (2)'!$A$2:$C$333,2,FALSE))^2+(VLOOKUP(C79,'Base de Diseño (2)'!$A$2:$C$333,3,0)-VLOOKUP(D79,'Base de Diseño (2)'!$A$2:$C$333,3,FALSE))^2)^0.5,2))</f>
        <v>28.31</v>
      </c>
      <c r="AY79" s="493">
        <v>8</v>
      </c>
      <c r="AZ79" s="480">
        <f ca="1">IF(AND(L79="",H79=""),"",IF(BA79=4,VLOOKUP(AY79,'TABLA (2)'!$A$74:$C$89,2),IF(BA79=5,VLOOKUP(AY79,'TABLA (2)'!$A$51:$B$66,2),IF(BA79=6,VLOOKUP(AY79,'TABLA (2)'!$A$9:$B$43,2)))))</f>
        <v>182</v>
      </c>
      <c r="BA79" s="493">
        <v>4</v>
      </c>
      <c r="BB79" s="478">
        <f>IF(OR(C79="",D79=""),"",VLOOKUP(C79,'Base de Diseño (2)'!$A$2:$D$330,4,FALSE))</f>
        <v>991.53160000000003</v>
      </c>
      <c r="BC79" s="478">
        <f>IF(OR(C79="",D79=""),"",VLOOKUP(D79,'Base de Diseño (2)'!$A$2:$D$330,4,FALSE))</f>
        <v>991.89160000000004</v>
      </c>
      <c r="BD79" s="23">
        <f t="shared" ca="1" si="184"/>
        <v>2.0290000000000274</v>
      </c>
      <c r="BE79" s="23">
        <f t="shared" ca="1" si="185"/>
        <v>2.7852720254166199</v>
      </c>
      <c r="BF79" s="494">
        <v>2.2200000000000273</v>
      </c>
      <c r="BG79" s="494">
        <v>2.9762720254166197</v>
      </c>
      <c r="BH79" s="495">
        <f t="shared" si="186"/>
        <v>989.3116</v>
      </c>
      <c r="BI79" s="495">
        <f t="shared" si="186"/>
        <v>988.91532797458342</v>
      </c>
      <c r="BJ79" s="468">
        <f t="shared" si="151"/>
        <v>0</v>
      </c>
      <c r="BK79" s="475">
        <f t="shared" si="187"/>
        <v>1.2716354645002248</v>
      </c>
      <c r="BL79" s="475">
        <f t="shared" si="188"/>
        <v>1.3997598919695473</v>
      </c>
      <c r="BM79" s="475">
        <f t="shared" ca="1" si="189"/>
        <v>1.6754257823465037</v>
      </c>
      <c r="BN79" s="475">
        <f t="shared" ca="1" si="190"/>
        <v>43.587087633214438</v>
      </c>
      <c r="BO79" s="204">
        <f t="shared" ca="1" si="191"/>
        <v>3.4413861568878094E-2</v>
      </c>
      <c r="BP79" s="496">
        <f t="shared" ca="1" si="192"/>
        <v>1.4591477305204312</v>
      </c>
      <c r="BQ79" s="497">
        <f t="shared" ca="1" si="193"/>
        <v>0.40185426768219157</v>
      </c>
      <c r="BR79" s="497">
        <f t="shared" ca="1" si="194"/>
        <v>1.1731230865411282</v>
      </c>
      <c r="BS79" s="475">
        <f t="shared" ca="1" si="195"/>
        <v>0.67327700082071718</v>
      </c>
      <c r="BT79" s="475">
        <f t="shared" ca="1" si="196"/>
        <v>1.965480665056915</v>
      </c>
      <c r="BU79" s="475">
        <f t="shared" ca="1" si="197"/>
        <v>0.16538041811471527</v>
      </c>
      <c r="BV79" s="475" t="str">
        <f t="shared" ca="1" si="198"/>
        <v xml:space="preserve"> </v>
      </c>
      <c r="BW79" s="475">
        <f t="shared" ca="1" si="199"/>
        <v>1.6752239058848768</v>
      </c>
      <c r="BX79" s="475" t="e">
        <f t="shared" ca="1" si="200"/>
        <v>#VALUE!</v>
      </c>
      <c r="BY79" s="475">
        <f t="shared" ca="1" si="201"/>
        <v>0.10157918440993463</v>
      </c>
      <c r="BZ79" s="475" t="e">
        <f t="shared" ca="1" si="202"/>
        <v>#VALUE!</v>
      </c>
      <c r="CA79" s="471">
        <f t="shared" ca="1" si="203"/>
        <v>1.8487411562608101E-2</v>
      </c>
      <c r="CB79" s="471" t="e">
        <f t="shared" ca="1" si="204"/>
        <v>#VALUE!</v>
      </c>
      <c r="CC79" s="471" t="e">
        <f t="shared" ca="1" si="150"/>
        <v>#VALUE!</v>
      </c>
      <c r="CD79" s="471" t="e">
        <f t="shared" ca="1" si="205"/>
        <v>#VALUE!</v>
      </c>
      <c r="CE79" s="471">
        <f t="shared" ca="1" si="206"/>
        <v>0.25877937211672875</v>
      </c>
      <c r="CF79" s="471" t="e">
        <f t="shared" ca="1" si="207"/>
        <v>#VALUE!</v>
      </c>
      <c r="CG79" s="471" t="str">
        <f t="shared" ca="1" si="208"/>
        <v>O.K</v>
      </c>
      <c r="CH79" s="471" t="str">
        <f t="shared" ca="1" si="209"/>
        <v>O.K</v>
      </c>
      <c r="CI79" s="471" t="str">
        <f t="shared" ca="1" si="210"/>
        <v>OK</v>
      </c>
      <c r="CJ79" s="471" t="e">
        <f t="shared" ca="1" si="211"/>
        <v>#VALUE!</v>
      </c>
      <c r="CK79" s="468">
        <f t="shared" si="212"/>
        <v>0</v>
      </c>
      <c r="CL79" s="482" t="s">
        <v>2507</v>
      </c>
      <c r="CM79" s="482"/>
      <c r="CN79" s="63" t="str">
        <f t="shared" si="213"/>
        <v xml:space="preserve"> </v>
      </c>
      <c r="CO79" s="498">
        <f t="shared" si="214"/>
        <v>28.31</v>
      </c>
      <c r="CP79" s="472">
        <f t="shared" si="215"/>
        <v>1.2716354645002249E-2</v>
      </c>
      <c r="CQ79" s="482" t="s">
        <v>2508</v>
      </c>
      <c r="CR79" s="204">
        <f t="shared" si="216"/>
        <v>28.31</v>
      </c>
      <c r="CS79" s="486">
        <v>1.2</v>
      </c>
      <c r="CT79" s="486">
        <v>1.2</v>
      </c>
      <c r="CU79" s="23">
        <f t="shared" si="217"/>
        <v>28.31277329259936</v>
      </c>
      <c r="CV79" s="499" t="s">
        <v>2509</v>
      </c>
      <c r="CW79" s="488" t="str">
        <f t="shared" ca="1" si="218"/>
        <v>E2</v>
      </c>
      <c r="CX79" s="204">
        <f ca="1">IF(AND(L79="",H79=""),"",IF(AND(BA79&lt;&gt;4,BA79&lt;&gt;5),VLOOKUP(AY79,'TABLA (2)'!$A$9:$D$43,4),IF(BA79=4,VLOOKUP(AY79,'TABLA (2)'!$A$74:$D$89,4),VLOOKUP(AY79,'TABLA (2)'!$A$51:$D$66,4))))</f>
        <v>8.9999999999999993E-3</v>
      </c>
      <c r="CY79" s="482"/>
      <c r="CZ79" s="482"/>
      <c r="DA79" s="482"/>
      <c r="DB79" s="490"/>
    </row>
    <row r="80" spans="1:106" ht="15.75" hidden="1" customHeight="1">
      <c r="A80" s="465">
        <v>43</v>
      </c>
      <c r="B80" s="491"/>
      <c r="C80" s="466" t="s">
        <v>2118</v>
      </c>
      <c r="D80" s="466" t="s">
        <v>2119</v>
      </c>
      <c r="E80" s="468"/>
      <c r="F80" s="468"/>
      <c r="G80" s="468">
        <f t="shared" si="152"/>
        <v>0.40839999999999993</v>
      </c>
      <c r="H80" s="468">
        <f t="shared" si="153"/>
        <v>0.40839999999999993</v>
      </c>
      <c r="I80" s="468"/>
      <c r="J80" s="468"/>
      <c r="K80" s="467">
        <f t="shared" ca="1" si="154"/>
        <v>0.40839999999999993</v>
      </c>
      <c r="L80" s="468">
        <f t="shared" ca="1" si="155"/>
        <v>0.40839999999999993</v>
      </c>
      <c r="M80" s="469">
        <f t="shared" si="156"/>
        <v>242.33666300502347</v>
      </c>
      <c r="N80" s="470">
        <f t="shared" si="157"/>
        <v>0</v>
      </c>
      <c r="O80" s="470">
        <f t="shared" si="158"/>
        <v>0</v>
      </c>
      <c r="P80" s="470">
        <f t="shared" si="159"/>
        <v>98.970293171251569</v>
      </c>
      <c r="Q80" s="469">
        <f t="shared" si="160"/>
        <v>140</v>
      </c>
      <c r="R80" s="471">
        <f t="shared" si="161"/>
        <v>0.13631325101133027</v>
      </c>
      <c r="S80" s="471"/>
      <c r="T80" s="471"/>
      <c r="U80" s="471">
        <f t="shared" si="162"/>
        <v>0</v>
      </c>
      <c r="V80" s="471"/>
      <c r="W80" s="471"/>
      <c r="X80" s="471">
        <f t="shared" si="163"/>
        <v>0</v>
      </c>
      <c r="Y80" s="471">
        <f t="shared" si="164"/>
        <v>8.1679999999999989E-2</v>
      </c>
      <c r="Z80" s="471">
        <f t="shared" ca="1" si="165"/>
        <v>0</v>
      </c>
      <c r="AA80" s="471">
        <f t="shared" si="0"/>
        <v>3.8</v>
      </c>
      <c r="AB80" s="471">
        <f t="shared" si="166"/>
        <v>0.51799035384305503</v>
      </c>
      <c r="AC80" s="471">
        <f t="shared" si="167"/>
        <v>0</v>
      </c>
      <c r="AD80" s="471">
        <f t="shared" si="168"/>
        <v>0</v>
      </c>
      <c r="AE80" s="471">
        <f t="shared" si="168"/>
        <v>0</v>
      </c>
      <c r="AF80" s="471">
        <f t="shared" si="169"/>
        <v>4</v>
      </c>
      <c r="AG80" s="471">
        <f t="shared" si="170"/>
        <v>0</v>
      </c>
      <c r="AH80" s="471">
        <f t="shared" si="171"/>
        <v>0</v>
      </c>
      <c r="AI80" s="471">
        <f t="shared" ca="1" si="172"/>
        <v>1.5</v>
      </c>
      <c r="AJ80" s="471">
        <f t="shared" si="173"/>
        <v>0.75</v>
      </c>
      <c r="AK80" s="472">
        <f t="shared" si="174"/>
        <v>2.7334851936219713E-2</v>
      </c>
      <c r="AL80" s="471">
        <f t="shared" si="175"/>
        <v>0.62886674259681108</v>
      </c>
      <c r="AM80" s="473">
        <f t="shared" si="148"/>
        <v>332.47395437664949</v>
      </c>
      <c r="AN80" s="474">
        <f t="shared" si="149"/>
        <v>10.319222222222221</v>
      </c>
      <c r="AO80" s="474">
        <f t="shared" si="176"/>
        <v>7.3166666666666672E-2</v>
      </c>
      <c r="AP80" s="474">
        <f t="shared" si="177"/>
        <v>10.392388888888888</v>
      </c>
      <c r="AQ80" s="475">
        <v>3</v>
      </c>
      <c r="AR80" s="474" t="e">
        <f t="shared" ca="1" si="178"/>
        <v>#VALUE!</v>
      </c>
      <c r="AS80" s="474" t="e">
        <f t="shared" ca="1" si="179"/>
        <v>#VALUE!</v>
      </c>
      <c r="AT80" s="471" t="e">
        <f t="shared" ca="1" si="180"/>
        <v>#VALUE!</v>
      </c>
      <c r="AU80" s="492">
        <f t="shared" si="181"/>
        <v>0</v>
      </c>
      <c r="AV80" s="471">
        <f t="shared" ca="1" si="182"/>
        <v>85.389012301421573</v>
      </c>
      <c r="AW80" s="471">
        <f t="shared" ca="1" si="183"/>
        <v>85.39</v>
      </c>
      <c r="AX80" s="478">
        <f>IF(OR(C80="",D80=""),"",ROUND(((VLOOKUP(C80,'Base de Diseño (2)'!$A$2:$C$333,2,FALSE)-VLOOKUP(D80,'Base de Diseño (2)'!$A$2:$C$333,2,FALSE))^2+(VLOOKUP(C80,'Base de Diseño (2)'!$A$2:$C$333,3,0)-VLOOKUP(D80,'Base de Diseño (2)'!$A$2:$C$333,3,FALSE))^2)^0.5,2))</f>
        <v>13.17</v>
      </c>
      <c r="AY80" s="493">
        <v>8</v>
      </c>
      <c r="AZ80" s="480">
        <f ca="1">IF(AND(L80="",H80=""),"",IF(BA80=4,VLOOKUP(AY80,'TABLA (2)'!$A$74:$C$89,2),IF(BA80=5,VLOOKUP(AY80,'TABLA (2)'!$A$51:$B$66,2),IF(BA80=6,VLOOKUP(AY80,'TABLA (2)'!$A$9:$B$43,2)))))</f>
        <v>182</v>
      </c>
      <c r="BA80" s="493">
        <v>4</v>
      </c>
      <c r="BB80" s="478">
        <f>IF(OR(C80="",D80=""),"",VLOOKUP(C80,'Base de Diseño (2)'!$A$2:$D$330,4,FALSE))</f>
        <v>991.89160000000004</v>
      </c>
      <c r="BC80" s="478">
        <f>IF(OR(C80="",D80=""),"",VLOOKUP(D80,'Base de Diseño (2)'!$A$2:$D$330,4,FALSE))</f>
        <v>992.25160000000005</v>
      </c>
      <c r="BD80" s="23">
        <f t="shared" ca="1" si="184"/>
        <v>2.7852720254166199</v>
      </c>
      <c r="BE80" s="23">
        <f t="shared" ca="1" si="185"/>
        <v>3.1690000000000138</v>
      </c>
      <c r="BF80" s="494">
        <v>2.9762720254166197</v>
      </c>
      <c r="BG80" s="494">
        <v>3.3600000000000136</v>
      </c>
      <c r="BH80" s="495">
        <f t="shared" si="186"/>
        <v>988.91532797458342</v>
      </c>
      <c r="BI80" s="495">
        <f t="shared" si="186"/>
        <v>988.89160000000004</v>
      </c>
      <c r="BJ80" s="468">
        <f t="shared" si="151"/>
        <v>3.999999999996362E-2</v>
      </c>
      <c r="BK80" s="475">
        <f t="shared" si="187"/>
        <v>2.7334851936219713</v>
      </c>
      <c r="BL80" s="475">
        <f t="shared" si="188"/>
        <v>0.18016685332862775</v>
      </c>
      <c r="BM80" s="475">
        <f t="shared" ca="1" si="189"/>
        <v>0.6010849696696573</v>
      </c>
      <c r="BN80" s="475">
        <f t="shared" ca="1" si="190"/>
        <v>15.637543318275693</v>
      </c>
      <c r="BO80" s="204">
        <f t="shared" ca="1" si="191"/>
        <v>9.5922995669463038E-2</v>
      </c>
      <c r="BP80" s="496">
        <f t="shared" ca="1" si="192"/>
        <v>5.4605764001436325</v>
      </c>
      <c r="BQ80" s="497">
        <f t="shared" ca="1" si="193"/>
        <v>0.53219699578545598</v>
      </c>
      <c r="BR80" s="497" t="str">
        <f t="shared" ca="1" si="194"/>
        <v xml:space="preserve"> </v>
      </c>
      <c r="BS80" s="475">
        <f t="shared" ca="1" si="195"/>
        <v>0.31989561506998354</v>
      </c>
      <c r="BT80" s="475" t="e">
        <f t="shared" ca="1" si="196"/>
        <v>#VALUE!</v>
      </c>
      <c r="BU80" s="475">
        <f t="shared" ca="1" si="197"/>
        <v>0.2314984848096715</v>
      </c>
      <c r="BV80" s="475" t="str">
        <f t="shared" ca="1" si="198"/>
        <v xml:space="preserve"> </v>
      </c>
      <c r="BW80" s="475">
        <f t="shared" ca="1" si="199"/>
        <v>2.0078318595396785</v>
      </c>
      <c r="BX80" s="475" t="e">
        <f t="shared" ca="1" si="200"/>
        <v>#VALUE!</v>
      </c>
      <c r="BY80" s="475">
        <f t="shared" ca="1" si="201"/>
        <v>0.13719045806089739</v>
      </c>
      <c r="BZ80" s="475" t="e">
        <f t="shared" ca="1" si="202"/>
        <v>#VALUE!</v>
      </c>
      <c r="CA80" s="471">
        <f t="shared" ca="1" si="203"/>
        <v>2.4968663367083324E-2</v>
      </c>
      <c r="CB80" s="471" t="e">
        <f t="shared" ca="1" si="204"/>
        <v>#VALUE!</v>
      </c>
      <c r="CC80" s="471" t="e">
        <f t="shared" ca="1" si="150"/>
        <v>#VALUE!</v>
      </c>
      <c r="CD80" s="471" t="e">
        <f t="shared" ca="1" si="205"/>
        <v>#VALUE!</v>
      </c>
      <c r="CE80" s="471">
        <f t="shared" ca="1" si="206"/>
        <v>4.4985255106691824E-2</v>
      </c>
      <c r="CF80" s="471" t="e">
        <f t="shared" ca="1" si="207"/>
        <v>#VALUE!</v>
      </c>
      <c r="CG80" s="471" t="str">
        <f t="shared" ca="1" si="208"/>
        <v>No cumple</v>
      </c>
      <c r="CH80" s="471" t="e">
        <f t="shared" ca="1" si="209"/>
        <v>#VALUE!</v>
      </c>
      <c r="CI80" s="471" t="str">
        <f t="shared" ca="1" si="210"/>
        <v>V.C.H.</v>
      </c>
      <c r="CJ80" s="471" t="e">
        <f t="shared" ca="1" si="211"/>
        <v>#VALUE!</v>
      </c>
      <c r="CK80" s="468">
        <f t="shared" si="212"/>
        <v>3.999999999996362E-2</v>
      </c>
      <c r="CL80" s="482" t="s">
        <v>2507</v>
      </c>
      <c r="CM80" s="482"/>
      <c r="CN80" s="63" t="str">
        <f t="shared" si="213"/>
        <v xml:space="preserve"> </v>
      </c>
      <c r="CO80" s="498">
        <f t="shared" si="214"/>
        <v>13.17</v>
      </c>
      <c r="CP80" s="472">
        <f t="shared" si="215"/>
        <v>2.7334851936219713E-2</v>
      </c>
      <c r="CQ80" s="482" t="s">
        <v>2508</v>
      </c>
      <c r="CR80" s="204">
        <f t="shared" si="216"/>
        <v>13.17</v>
      </c>
      <c r="CS80" s="486">
        <v>1.2</v>
      </c>
      <c r="CT80" s="486">
        <v>1.2</v>
      </c>
      <c r="CU80" s="23">
        <f t="shared" si="217"/>
        <v>13.170021374955237</v>
      </c>
      <c r="CV80" s="499" t="s">
        <v>2509</v>
      </c>
      <c r="CW80" s="488" t="str">
        <f t="shared" ca="1" si="218"/>
        <v>E3</v>
      </c>
      <c r="CX80" s="204">
        <f ca="1">IF(AND(L80="",H80=""),"",IF(AND(BA80&lt;&gt;4,BA80&lt;&gt;5),VLOOKUP(AY80,'TABLA (2)'!$A$9:$D$43,4),IF(BA80=4,VLOOKUP(AY80,'TABLA (2)'!$A$74:$D$89,4),VLOOKUP(AY80,'TABLA (2)'!$A$51:$D$66,4))))</f>
        <v>8.9999999999999993E-3</v>
      </c>
      <c r="CY80" s="482"/>
      <c r="CZ80" s="482"/>
      <c r="DA80" s="482"/>
      <c r="DB80" s="490"/>
    </row>
    <row r="81" spans="1:106" ht="15.75" hidden="1" customHeight="1">
      <c r="A81" s="465">
        <v>44</v>
      </c>
      <c r="B81" s="491"/>
      <c r="C81" s="466" t="s">
        <v>2119</v>
      </c>
      <c r="D81" s="466" t="s">
        <v>2120</v>
      </c>
      <c r="E81" s="468"/>
      <c r="F81" s="468"/>
      <c r="G81" s="468">
        <f t="shared" si="152"/>
        <v>0.40839999999999993</v>
      </c>
      <c r="H81" s="468">
        <f t="shared" si="153"/>
        <v>0.40839999999999993</v>
      </c>
      <c r="I81" s="468"/>
      <c r="J81" s="468"/>
      <c r="K81" s="467">
        <f t="shared" ca="1" si="154"/>
        <v>0.40839999999999993</v>
      </c>
      <c r="L81" s="468">
        <f t="shared" ca="1" si="155"/>
        <v>0.40839999999999993</v>
      </c>
      <c r="M81" s="469">
        <f t="shared" si="156"/>
        <v>242.33666300502347</v>
      </c>
      <c r="N81" s="470">
        <f t="shared" si="157"/>
        <v>0</v>
      </c>
      <c r="O81" s="470">
        <f t="shared" si="158"/>
        <v>0</v>
      </c>
      <c r="P81" s="470">
        <f t="shared" si="159"/>
        <v>98.970293171251569</v>
      </c>
      <c r="Q81" s="469">
        <f t="shared" si="160"/>
        <v>140</v>
      </c>
      <c r="R81" s="471">
        <f t="shared" si="161"/>
        <v>0.13631325101133027</v>
      </c>
      <c r="S81" s="471"/>
      <c r="T81" s="471"/>
      <c r="U81" s="471">
        <f t="shared" si="162"/>
        <v>0</v>
      </c>
      <c r="V81" s="471"/>
      <c r="W81" s="471"/>
      <c r="X81" s="471">
        <f t="shared" si="163"/>
        <v>0</v>
      </c>
      <c r="Y81" s="471">
        <f t="shared" si="164"/>
        <v>8.1679999999999989E-2</v>
      </c>
      <c r="Z81" s="471">
        <f t="shared" ca="1" si="165"/>
        <v>0</v>
      </c>
      <c r="AA81" s="471">
        <f t="shared" si="0"/>
        <v>3.8</v>
      </c>
      <c r="AB81" s="471">
        <f t="shared" si="166"/>
        <v>0.51799035384305503</v>
      </c>
      <c r="AC81" s="471">
        <f t="shared" si="167"/>
        <v>0</v>
      </c>
      <c r="AD81" s="471">
        <f t="shared" si="168"/>
        <v>0</v>
      </c>
      <c r="AE81" s="471">
        <f t="shared" si="168"/>
        <v>0</v>
      </c>
      <c r="AF81" s="471">
        <f t="shared" si="169"/>
        <v>4</v>
      </c>
      <c r="AG81" s="471">
        <f t="shared" si="170"/>
        <v>0</v>
      </c>
      <c r="AH81" s="471">
        <f t="shared" si="171"/>
        <v>0</v>
      </c>
      <c r="AI81" s="471">
        <f t="shared" ca="1" si="172"/>
        <v>1.5</v>
      </c>
      <c r="AJ81" s="471">
        <f t="shared" si="173"/>
        <v>0.75</v>
      </c>
      <c r="AK81" s="472">
        <f t="shared" si="174"/>
        <v>1.3869132290180393E-2</v>
      </c>
      <c r="AL81" s="471">
        <f t="shared" si="175"/>
        <v>0.62819345661450909</v>
      </c>
      <c r="AM81" s="473">
        <f t="shared" si="148"/>
        <v>331.71718783800094</v>
      </c>
      <c r="AN81" s="474">
        <f t="shared" si="149"/>
        <v>10.392388888888888</v>
      </c>
      <c r="AO81" s="474">
        <f t="shared" si="176"/>
        <v>7.8111111111111117E-2</v>
      </c>
      <c r="AP81" s="474">
        <f t="shared" si="177"/>
        <v>10.470499999999999</v>
      </c>
      <c r="AQ81" s="475">
        <v>3</v>
      </c>
      <c r="AR81" s="474">
        <f t="shared" ca="1" si="178"/>
        <v>0.10956920908658951</v>
      </c>
      <c r="AS81" s="474">
        <f t="shared" ca="1" si="179"/>
        <v>0.71289289903865294</v>
      </c>
      <c r="AT81" s="471" t="str">
        <f t="shared" ca="1" si="180"/>
        <v>Disminuir vel.</v>
      </c>
      <c r="AU81" s="492">
        <f t="shared" si="181"/>
        <v>0</v>
      </c>
      <c r="AV81" s="471">
        <f t="shared" ca="1" si="182"/>
        <v>85.103440300069011</v>
      </c>
      <c r="AW81" s="471">
        <f t="shared" ca="1" si="183"/>
        <v>85.1</v>
      </c>
      <c r="AX81" s="478">
        <f>IF(OR(C81="",D81=""),"",ROUND(((VLOOKUP(C81,'Base de Diseño (2)'!$A$2:$C$333,2,FALSE)-VLOOKUP(D81,'Base de Diseño (2)'!$A$2:$C$333,2,FALSE))^2+(VLOOKUP(C81,'Base de Diseño (2)'!$A$2:$C$333,3,0)-VLOOKUP(D81,'Base de Diseño (2)'!$A$2:$C$333,3,FALSE))^2)^0.5,2))</f>
        <v>14.06</v>
      </c>
      <c r="AY81" s="493">
        <v>8</v>
      </c>
      <c r="AZ81" s="480">
        <f ca="1">IF(AND(L81="",H81=""),"",IF(BA81=4,VLOOKUP(AY81,'TABLA (2)'!$A$74:$C$89,2),IF(BA81=5,VLOOKUP(AY81,'TABLA (2)'!$A$51:$B$66,2),IF(BA81=6,VLOOKUP(AY81,'TABLA (2)'!$A$9:$B$43,2)))))</f>
        <v>182</v>
      </c>
      <c r="BA81" s="493">
        <v>4</v>
      </c>
      <c r="BB81" s="478">
        <f>IF(OR(C81="",D81=""),"",VLOOKUP(C81,'Base de Diseño (2)'!$A$2:$D$330,4,FALSE))</f>
        <v>992.25160000000005</v>
      </c>
      <c r="BC81" s="478">
        <f>IF(OR(C81="",D81=""),"",VLOOKUP(D81,'Base de Diseño (2)'!$A$2:$D$330,4,FALSE))</f>
        <v>992.44659999999999</v>
      </c>
      <c r="BD81" s="23">
        <f t="shared" ca="1" si="184"/>
        <v>3.2089999999999774</v>
      </c>
      <c r="BE81" s="23">
        <f t="shared" ca="1" si="185"/>
        <v>3.6008140046630244</v>
      </c>
      <c r="BF81" s="494">
        <v>3.3999999999999773</v>
      </c>
      <c r="BG81" s="494">
        <v>3.7918140046630242</v>
      </c>
      <c r="BH81" s="495">
        <f t="shared" si="186"/>
        <v>988.85160000000008</v>
      </c>
      <c r="BI81" s="495">
        <f t="shared" si="186"/>
        <v>988.65478599533697</v>
      </c>
      <c r="BJ81" s="468">
        <f t="shared" si="151"/>
        <v>0</v>
      </c>
      <c r="BK81" s="475">
        <f t="shared" si="187"/>
        <v>1.3869132290180393</v>
      </c>
      <c r="BL81" s="475">
        <f t="shared" si="188"/>
        <v>1.3998151114019246</v>
      </c>
      <c r="BM81" s="475">
        <f t="shared" ca="1" si="189"/>
        <v>1.675458829138607</v>
      </c>
      <c r="BN81" s="475">
        <f t="shared" ca="1" si="190"/>
        <v>43.58794736298497</v>
      </c>
      <c r="BO81" s="204">
        <f t="shared" ca="1" si="191"/>
        <v>3.4413182789006604E-2</v>
      </c>
      <c r="BP81" s="496">
        <f t="shared" ca="1" si="192"/>
        <v>1.9523745702296409</v>
      </c>
      <c r="BQ81" s="497">
        <f t="shared" ca="1" si="193"/>
        <v>0.40185196154292163</v>
      </c>
      <c r="BR81" s="497">
        <f t="shared" ca="1" si="194"/>
        <v>1.2764734411382128</v>
      </c>
      <c r="BS81" s="475">
        <f t="shared" ca="1" si="195"/>
        <v>0.67328641697375602</v>
      </c>
      <c r="BT81" s="475">
        <f t="shared" ca="1" si="196"/>
        <v>2.1386786971159588</v>
      </c>
      <c r="BU81" s="475">
        <f t="shared" ca="1" si="197"/>
        <v>0.16537914590254574</v>
      </c>
      <c r="BV81" s="475" t="str">
        <f t="shared" ca="1" si="198"/>
        <v xml:space="preserve"> </v>
      </c>
      <c r="BW81" s="475">
        <f t="shared" ca="1" si="199"/>
        <v>1.6752170572520495</v>
      </c>
      <c r="BX81" s="475" t="e">
        <f t="shared" ca="1" si="200"/>
        <v>#VALUE!</v>
      </c>
      <c r="BY81" s="475">
        <f t="shared" ca="1" si="201"/>
        <v>0.10157847110201962</v>
      </c>
      <c r="BZ81" s="475" t="e">
        <f t="shared" ca="1" si="202"/>
        <v>#VALUE!</v>
      </c>
      <c r="CA81" s="471">
        <f t="shared" ca="1" si="203"/>
        <v>1.848728174056757E-2</v>
      </c>
      <c r="CB81" s="471" t="e">
        <f t="shared" ca="1" si="204"/>
        <v>#VALUE!</v>
      </c>
      <c r="CC81" s="471" t="e">
        <f t="shared" ca="1" si="150"/>
        <v>#VALUE!</v>
      </c>
      <c r="CD81" s="471" t="e">
        <f t="shared" ca="1" si="205"/>
        <v>#VALUE!</v>
      </c>
      <c r="CE81" s="471">
        <f t="shared" ca="1" si="206"/>
        <v>0.25878776349191362</v>
      </c>
      <c r="CF81" s="471" t="e">
        <f t="shared" ca="1" si="207"/>
        <v>#VALUE!</v>
      </c>
      <c r="CG81" s="471" t="str">
        <f t="shared" ca="1" si="208"/>
        <v>O.K</v>
      </c>
      <c r="CH81" s="471" t="str">
        <f t="shared" ca="1" si="209"/>
        <v>O.K</v>
      </c>
      <c r="CI81" s="471" t="str">
        <f t="shared" ca="1" si="210"/>
        <v>OK</v>
      </c>
      <c r="CJ81" s="471" t="e">
        <f t="shared" ca="1" si="211"/>
        <v>#VALUE!</v>
      </c>
      <c r="CK81" s="468">
        <f t="shared" si="212"/>
        <v>0</v>
      </c>
      <c r="CL81" s="482" t="s">
        <v>2507</v>
      </c>
      <c r="CM81" s="482"/>
      <c r="CN81" s="63" t="str">
        <f t="shared" si="213"/>
        <v xml:space="preserve"> </v>
      </c>
      <c r="CO81" s="498">
        <f t="shared" si="214"/>
        <v>14.06</v>
      </c>
      <c r="CP81" s="472">
        <f t="shared" si="215"/>
        <v>1.3869132290180393E-2</v>
      </c>
      <c r="CQ81" s="482" t="s">
        <v>2508</v>
      </c>
      <c r="CR81" s="204">
        <f t="shared" si="216"/>
        <v>14.06</v>
      </c>
      <c r="CS81" s="486">
        <v>1.2</v>
      </c>
      <c r="CT81" s="486">
        <v>1.2</v>
      </c>
      <c r="CU81" s="23">
        <f t="shared" si="217"/>
        <v>14.061377448615465</v>
      </c>
      <c r="CV81" s="499" t="s">
        <v>2509</v>
      </c>
      <c r="CW81" s="488" t="str">
        <f t="shared" ca="1" si="218"/>
        <v>E3</v>
      </c>
      <c r="CX81" s="204">
        <f ca="1">IF(AND(L81="",H81=""),"",IF(AND(BA81&lt;&gt;4,BA81&lt;&gt;5),VLOOKUP(AY81,'TABLA (2)'!$A$9:$D$43,4),IF(BA81=4,VLOOKUP(AY81,'TABLA (2)'!$A$74:$D$89,4),VLOOKUP(AY81,'TABLA (2)'!$A$51:$D$66,4))))</f>
        <v>8.9999999999999993E-3</v>
      </c>
      <c r="CY81" s="482"/>
      <c r="CZ81" s="482"/>
      <c r="DA81" s="482"/>
      <c r="DB81" s="490"/>
    </row>
    <row r="82" spans="1:106" ht="15.75" hidden="1" customHeight="1">
      <c r="A82" s="465">
        <v>45</v>
      </c>
      <c r="B82" s="491"/>
      <c r="C82" s="466" t="s">
        <v>2120</v>
      </c>
      <c r="D82" s="466" t="s">
        <v>2121</v>
      </c>
      <c r="E82" s="468"/>
      <c r="F82" s="468"/>
      <c r="G82" s="468">
        <f t="shared" si="152"/>
        <v>0.5109999999999999</v>
      </c>
      <c r="H82" s="468">
        <f t="shared" si="153"/>
        <v>0.5109999999999999</v>
      </c>
      <c r="I82" s="468"/>
      <c r="J82" s="468"/>
      <c r="K82" s="467">
        <f t="shared" ca="1" si="154"/>
        <v>0.5109999999999999</v>
      </c>
      <c r="L82" s="468">
        <f t="shared" ca="1" si="155"/>
        <v>0.5109999999999999</v>
      </c>
      <c r="M82" s="469">
        <f t="shared" si="156"/>
        <v>242.33666300502347</v>
      </c>
      <c r="N82" s="470">
        <f t="shared" si="157"/>
        <v>0</v>
      </c>
      <c r="O82" s="470">
        <f t="shared" si="158"/>
        <v>0</v>
      </c>
      <c r="P82" s="470">
        <f t="shared" si="159"/>
        <v>123.83403479556696</v>
      </c>
      <c r="Q82" s="469">
        <f t="shared" si="160"/>
        <v>140</v>
      </c>
      <c r="R82" s="471">
        <f t="shared" si="161"/>
        <v>0.17055845070222764</v>
      </c>
      <c r="S82" s="471"/>
      <c r="T82" s="471"/>
      <c r="U82" s="471">
        <f t="shared" si="162"/>
        <v>0</v>
      </c>
      <c r="V82" s="471"/>
      <c r="W82" s="471"/>
      <c r="X82" s="471">
        <f t="shared" si="163"/>
        <v>0</v>
      </c>
      <c r="Y82" s="471">
        <f t="shared" si="164"/>
        <v>0.10219999999999999</v>
      </c>
      <c r="Z82" s="471">
        <f t="shared" ca="1" si="165"/>
        <v>0</v>
      </c>
      <c r="AA82" s="471">
        <f t="shared" si="0"/>
        <v>3.8</v>
      </c>
      <c r="AB82" s="471">
        <f t="shared" si="166"/>
        <v>0.64812211266846498</v>
      </c>
      <c r="AC82" s="471">
        <f t="shared" si="167"/>
        <v>0</v>
      </c>
      <c r="AD82" s="471">
        <f t="shared" si="168"/>
        <v>0</v>
      </c>
      <c r="AE82" s="471">
        <f t="shared" si="168"/>
        <v>0</v>
      </c>
      <c r="AF82" s="471">
        <f t="shared" si="169"/>
        <v>4</v>
      </c>
      <c r="AG82" s="471">
        <f t="shared" si="170"/>
        <v>0</v>
      </c>
      <c r="AH82" s="471">
        <f t="shared" si="171"/>
        <v>0</v>
      </c>
      <c r="AI82" s="471">
        <f t="shared" ca="1" si="172"/>
        <v>1.5</v>
      </c>
      <c r="AJ82" s="471">
        <f t="shared" si="173"/>
        <v>0.75</v>
      </c>
      <c r="AK82" s="472">
        <f t="shared" si="174"/>
        <v>1.2326169405818585E-2</v>
      </c>
      <c r="AL82" s="471">
        <f t="shared" si="175"/>
        <v>0.62811630847029098</v>
      </c>
      <c r="AM82" s="473">
        <f t="shared" si="148"/>
        <v>330.86962706452215</v>
      </c>
      <c r="AN82" s="474">
        <f t="shared" si="149"/>
        <v>10.470499999999999</v>
      </c>
      <c r="AO82" s="474">
        <f t="shared" si="176"/>
        <v>8.7888888888888891E-2</v>
      </c>
      <c r="AP82" s="474">
        <f t="shared" si="177"/>
        <v>10.558388888888889</v>
      </c>
      <c r="AQ82" s="475">
        <v>3</v>
      </c>
      <c r="AR82" s="474" t="e">
        <f t="shared" ca="1" si="178"/>
        <v>#VALUE!</v>
      </c>
      <c r="AS82" s="474" t="e">
        <f t="shared" ca="1" si="179"/>
        <v>#VALUE!</v>
      </c>
      <c r="AT82" s="471" t="e">
        <f t="shared" ca="1" si="180"/>
        <v>#VALUE!</v>
      </c>
      <c r="AU82" s="492">
        <f t="shared" si="181"/>
        <v>0</v>
      </c>
      <c r="AV82" s="471">
        <f t="shared" ca="1" si="182"/>
        <v>106.19837506445856</v>
      </c>
      <c r="AW82" s="471">
        <f t="shared" ca="1" si="183"/>
        <v>106.2</v>
      </c>
      <c r="AX82" s="478">
        <f>IF(OR(C82="",D82=""),"",ROUND(((VLOOKUP(C82,'Base de Diseño (2)'!$A$2:$C$333,2,FALSE)-VLOOKUP(D82,'Base de Diseño (2)'!$A$2:$C$333,2,FALSE))^2+(VLOOKUP(C82,'Base de Diseño (2)'!$A$2:$C$333,3,0)-VLOOKUP(D82,'Base de Diseño (2)'!$A$2:$C$333,3,FALSE))^2)^0.5,2))</f>
        <v>15.82</v>
      </c>
      <c r="AY82" s="493">
        <v>8</v>
      </c>
      <c r="AZ82" s="480">
        <f ca="1">IF(AND(L82="",H82=""),"",IF(BA82=4,VLOOKUP(AY82,'TABLA (2)'!$A$74:$C$89,2),IF(BA82=5,VLOOKUP(AY82,'TABLA (2)'!$A$51:$B$66,2),IF(BA82=6,VLOOKUP(AY82,'TABLA (2)'!$A$9:$B$43,2)))))</f>
        <v>182</v>
      </c>
      <c r="BA82" s="493">
        <v>4</v>
      </c>
      <c r="BB82" s="478">
        <f>IF(OR(C82="",D82=""),"",VLOOKUP(C82,'Base de Diseño (2)'!$A$2:$D$330,4,FALSE))</f>
        <v>992.44659999999999</v>
      </c>
      <c r="BC82" s="478">
        <f>IF(OR(C82="",D82=""),"",VLOOKUP(D82,'Base de Diseño (2)'!$A$2:$D$330,4,FALSE))</f>
        <v>992.64160000000004</v>
      </c>
      <c r="BD82" s="23">
        <f t="shared" ca="1" si="184"/>
        <v>3.6008140046630244</v>
      </c>
      <c r="BE82" s="23">
        <f t="shared" ca="1" si="185"/>
        <v>3.8090000000000002</v>
      </c>
      <c r="BF82" s="494">
        <v>3.7918140046630242</v>
      </c>
      <c r="BG82" s="494">
        <v>4</v>
      </c>
      <c r="BH82" s="495">
        <f t="shared" si="186"/>
        <v>988.65478599533697</v>
      </c>
      <c r="BI82" s="495">
        <f t="shared" si="186"/>
        <v>988.64160000000004</v>
      </c>
      <c r="BJ82" s="468">
        <f t="shared" si="151"/>
        <v>2.9999999999972715E-2</v>
      </c>
      <c r="BK82" s="475">
        <f t="shared" si="187"/>
        <v>1.2326169405818586</v>
      </c>
      <c r="BL82" s="475">
        <f t="shared" si="188"/>
        <v>8.3350160157558612E-2</v>
      </c>
      <c r="BM82" s="475">
        <f t="shared" ca="1" si="189"/>
        <v>0.40883836328698619</v>
      </c>
      <c r="BN82" s="475">
        <f t="shared" ca="1" si="190"/>
        <v>10.636146200073433</v>
      </c>
      <c r="BO82" s="204">
        <f t="shared" ca="1" si="191"/>
        <v>0.14102852403341765</v>
      </c>
      <c r="BP82" s="496">
        <f t="shared" ca="1" si="192"/>
        <v>9.9848195015659691</v>
      </c>
      <c r="BQ82" s="497">
        <f t="shared" ca="1" si="193"/>
        <v>0.59343710750679868</v>
      </c>
      <c r="BR82" s="497" t="str">
        <f t="shared" ca="1" si="194"/>
        <v xml:space="preserve"> </v>
      </c>
      <c r="BS82" s="475">
        <f t="shared" ca="1" si="195"/>
        <v>0.24261985574684283</v>
      </c>
      <c r="BT82" s="475" t="e">
        <f t="shared" ca="1" si="196"/>
        <v>#VALUE!</v>
      </c>
      <c r="BU82" s="475">
        <f t="shared" ca="1" si="197"/>
        <v>0.29720511780428699</v>
      </c>
      <c r="BV82" s="475" t="str">
        <f t="shared" ca="1" si="198"/>
        <v xml:space="preserve"> </v>
      </c>
      <c r="BW82" s="475">
        <f t="shared" ca="1" si="199"/>
        <v>2.3063447420029175</v>
      </c>
      <c r="BX82" s="475" t="e">
        <f t="shared" ca="1" si="200"/>
        <v>#VALUE!</v>
      </c>
      <c r="BY82" s="475">
        <f t="shared" ca="1" si="201"/>
        <v>0.16962792160180606</v>
      </c>
      <c r="BZ82" s="475" t="e">
        <f t="shared" ca="1" si="202"/>
        <v>#VALUE!</v>
      </c>
      <c r="CA82" s="471">
        <f t="shared" ca="1" si="203"/>
        <v>3.0872281731528704E-2</v>
      </c>
      <c r="CB82" s="471" t="e">
        <f t="shared" ca="1" si="204"/>
        <v>#VALUE!</v>
      </c>
      <c r="CC82" s="471" t="e">
        <f t="shared" ca="1" si="150"/>
        <v>#VALUE!</v>
      </c>
      <c r="CD82" s="471" t="e">
        <f t="shared" ca="1" si="205"/>
        <v>#VALUE!</v>
      </c>
      <c r="CE82" s="471">
        <f t="shared" ca="1" si="206"/>
        <v>2.5732096267521883E-2</v>
      </c>
      <c r="CF82" s="471" t="e">
        <f t="shared" ca="1" si="207"/>
        <v>#VALUE!</v>
      </c>
      <c r="CG82" s="471" t="str">
        <f t="shared" ca="1" si="208"/>
        <v>No cumple</v>
      </c>
      <c r="CH82" s="471" t="e">
        <f t="shared" ca="1" si="209"/>
        <v>#VALUE!</v>
      </c>
      <c r="CI82" s="471" t="str">
        <f t="shared" ca="1" si="210"/>
        <v>V.C.H.</v>
      </c>
      <c r="CJ82" s="471" t="e">
        <f t="shared" ca="1" si="211"/>
        <v>#VALUE!</v>
      </c>
      <c r="CK82" s="468">
        <f t="shared" si="212"/>
        <v>2.9999999999972715E-2</v>
      </c>
      <c r="CL82" s="482" t="s">
        <v>2507</v>
      </c>
      <c r="CM82" s="482"/>
      <c r="CN82" s="63" t="str">
        <f t="shared" si="213"/>
        <v xml:space="preserve"> </v>
      </c>
      <c r="CO82" s="498">
        <f t="shared" si="214"/>
        <v>15.82</v>
      </c>
      <c r="CP82" s="472">
        <f t="shared" si="215"/>
        <v>1.2326169405818585E-2</v>
      </c>
      <c r="CQ82" s="482" t="s">
        <v>2508</v>
      </c>
      <c r="CR82" s="204">
        <f t="shared" si="216"/>
        <v>15.82</v>
      </c>
      <c r="CS82" s="486">
        <v>1.2</v>
      </c>
      <c r="CT82" s="486">
        <v>1.2</v>
      </c>
      <c r="CU82" s="23">
        <f t="shared" si="217"/>
        <v>15.820005495273161</v>
      </c>
      <c r="CV82" s="499" t="s">
        <v>2509</v>
      </c>
      <c r="CW82" s="488" t="str">
        <f t="shared" ca="1" si="218"/>
        <v>E3</v>
      </c>
      <c r="CX82" s="204">
        <f ca="1">IF(AND(L82="",H82=""),"",IF(AND(BA82&lt;&gt;4,BA82&lt;&gt;5),VLOOKUP(AY82,'TABLA (2)'!$A$9:$D$43,4),IF(BA82=4,VLOOKUP(AY82,'TABLA (2)'!$A$74:$D$89,4),VLOOKUP(AY82,'TABLA (2)'!$A$51:$D$66,4))))</f>
        <v>8.9999999999999993E-3</v>
      </c>
      <c r="CY82" s="482"/>
      <c r="CZ82" s="482"/>
      <c r="DA82" s="482"/>
      <c r="DB82" s="490"/>
    </row>
    <row r="83" spans="1:106" ht="15.75" hidden="1" customHeight="1">
      <c r="A83" s="465">
        <v>46</v>
      </c>
      <c r="B83" s="491"/>
      <c r="C83" s="466" t="s">
        <v>2121</v>
      </c>
      <c r="D83" s="466" t="s">
        <v>2125</v>
      </c>
      <c r="E83" s="468"/>
      <c r="F83" s="468"/>
      <c r="G83" s="468">
        <f t="shared" si="152"/>
        <v>0.5109999999999999</v>
      </c>
      <c r="H83" s="468">
        <f t="shared" si="153"/>
        <v>0.5109999999999999</v>
      </c>
      <c r="I83" s="468"/>
      <c r="J83" s="468"/>
      <c r="K83" s="467">
        <f t="shared" ca="1" si="154"/>
        <v>0.5109999999999999</v>
      </c>
      <c r="L83" s="468">
        <f t="shared" ca="1" si="155"/>
        <v>0.5109999999999999</v>
      </c>
      <c r="M83" s="469">
        <f t="shared" si="156"/>
        <v>242.33666300502347</v>
      </c>
      <c r="N83" s="470">
        <f t="shared" si="157"/>
        <v>0</v>
      </c>
      <c r="O83" s="470">
        <f t="shared" si="158"/>
        <v>0</v>
      </c>
      <c r="P83" s="470">
        <f t="shared" si="159"/>
        <v>123.83403479556696</v>
      </c>
      <c r="Q83" s="469">
        <f t="shared" si="160"/>
        <v>140</v>
      </c>
      <c r="R83" s="471">
        <f t="shared" si="161"/>
        <v>0.17055845070222764</v>
      </c>
      <c r="S83" s="471"/>
      <c r="T83" s="471"/>
      <c r="U83" s="471">
        <f t="shared" si="162"/>
        <v>0</v>
      </c>
      <c r="V83" s="471"/>
      <c r="W83" s="471"/>
      <c r="X83" s="471">
        <f t="shared" si="163"/>
        <v>0</v>
      </c>
      <c r="Y83" s="471">
        <f t="shared" si="164"/>
        <v>0.10219999999999999</v>
      </c>
      <c r="Z83" s="471">
        <f t="shared" ca="1" si="165"/>
        <v>0</v>
      </c>
      <c r="AA83" s="471">
        <f t="shared" si="0"/>
        <v>3.8</v>
      </c>
      <c r="AB83" s="471">
        <f t="shared" si="166"/>
        <v>0.64812211266846498</v>
      </c>
      <c r="AC83" s="471">
        <f t="shared" si="167"/>
        <v>0</v>
      </c>
      <c r="AD83" s="471">
        <f t="shared" si="168"/>
        <v>0</v>
      </c>
      <c r="AE83" s="471">
        <f t="shared" si="168"/>
        <v>0</v>
      </c>
      <c r="AF83" s="471">
        <f t="shared" si="169"/>
        <v>4</v>
      </c>
      <c r="AG83" s="471">
        <f t="shared" si="170"/>
        <v>0</v>
      </c>
      <c r="AH83" s="471">
        <f t="shared" si="171"/>
        <v>0</v>
      </c>
      <c r="AI83" s="471">
        <f t="shared" ca="1" si="172"/>
        <v>1.5</v>
      </c>
      <c r="AJ83" s="471">
        <f t="shared" si="173"/>
        <v>0.75</v>
      </c>
      <c r="AK83" s="472">
        <f t="shared" si="174"/>
        <v>9.5928872250822098E-2</v>
      </c>
      <c r="AL83" s="471">
        <f t="shared" si="175"/>
        <v>0.63229644361254111</v>
      </c>
      <c r="AM83" s="473">
        <f t="shared" si="148"/>
        <v>329.73128981698494</v>
      </c>
      <c r="AN83" s="474">
        <f t="shared" si="149"/>
        <v>10.558388888888889</v>
      </c>
      <c r="AO83" s="474">
        <f t="shared" si="176"/>
        <v>0.11872222222222223</v>
      </c>
      <c r="AP83" s="474">
        <f t="shared" si="177"/>
        <v>10.677111111111111</v>
      </c>
      <c r="AQ83" s="475">
        <v>3</v>
      </c>
      <c r="AR83" s="474" t="e">
        <f t="shared" ca="1" si="178"/>
        <v>#VALUE!</v>
      </c>
      <c r="AS83" s="474" t="e">
        <f t="shared" ca="1" si="179"/>
        <v>#VALUE!</v>
      </c>
      <c r="AT83" s="471" t="e">
        <f t="shared" ca="1" si="180"/>
        <v>#VALUE!</v>
      </c>
      <c r="AU83" s="492">
        <f t="shared" si="181"/>
        <v>0</v>
      </c>
      <c r="AV83" s="471">
        <f t="shared" ca="1" si="182"/>
        <v>106.53732809041743</v>
      </c>
      <c r="AW83" s="471">
        <f t="shared" ca="1" si="183"/>
        <v>106.54</v>
      </c>
      <c r="AX83" s="478">
        <f>IF(OR(C83="",D83=""),"",ROUND(((VLOOKUP(C83,'Base de Diseño (2)'!$A$2:$C$333,2,FALSE)-VLOOKUP(D83,'Base de Diseño (2)'!$A$2:$C$333,2,FALSE))^2+(VLOOKUP(C83,'Base de Diseño (2)'!$A$2:$C$333,3,0)-VLOOKUP(D83,'Base de Diseño (2)'!$A$2:$C$333,3,FALSE))^2)^0.5,2))</f>
        <v>21.37</v>
      </c>
      <c r="AY83" s="493">
        <v>8</v>
      </c>
      <c r="AZ83" s="480">
        <f ca="1">IF(AND(L83="",H83=""),"",IF(BA83=4,VLOOKUP(AY83,'TABLA (2)'!$A$74:$C$89,2),IF(BA83=5,VLOOKUP(AY83,'TABLA (2)'!$A$51:$B$66,2),IF(BA83=6,VLOOKUP(AY83,'TABLA (2)'!$A$9:$B$43,2)))))</f>
        <v>182</v>
      </c>
      <c r="BA83" s="493">
        <v>4</v>
      </c>
      <c r="BB83" s="478">
        <f>IF(OR(C83="",D83=""),"",VLOOKUP(C83,'Base de Diseño (2)'!$A$2:$D$330,4,FALSE))</f>
        <v>992.64160000000004</v>
      </c>
      <c r="BC83" s="478">
        <f>IF(OR(C83="",D83=""),"",VLOOKUP(D83,'Base de Diseño (2)'!$A$2:$D$330,4,FALSE))</f>
        <v>990.59159999999997</v>
      </c>
      <c r="BD83" s="23">
        <f t="shared" ca="1" si="184"/>
        <v>3.8389999999999729</v>
      </c>
      <c r="BE83" s="23">
        <f t="shared" ca="1" si="185"/>
        <v>1.9689999999999681</v>
      </c>
      <c r="BF83" s="494">
        <v>4.0299999999999727</v>
      </c>
      <c r="BG83" s="494">
        <v>2.1599999999999682</v>
      </c>
      <c r="BH83" s="495">
        <f t="shared" si="186"/>
        <v>988.61160000000007</v>
      </c>
      <c r="BI83" s="495">
        <f t="shared" si="186"/>
        <v>988.4316</v>
      </c>
      <c r="BJ83" s="468">
        <f t="shared" si="151"/>
        <v>988.4316</v>
      </c>
      <c r="BK83" s="475">
        <f t="shared" si="187"/>
        <v>9.5928872250822099</v>
      </c>
      <c r="BL83" s="475">
        <f t="shared" si="188"/>
        <v>0.84230229293431758</v>
      </c>
      <c r="BM83" s="475">
        <f t="shared" ca="1" si="189"/>
        <v>1.2996679614629549</v>
      </c>
      <c r="BN83" s="475">
        <f t="shared" ca="1" si="190"/>
        <v>33.811549235578823</v>
      </c>
      <c r="BO83" s="204">
        <f t="shared" ca="1" si="191"/>
        <v>4.4363539497965315E-2</v>
      </c>
      <c r="BP83" s="496">
        <f t="shared" ca="1" si="192"/>
        <v>3.150994332075483</v>
      </c>
      <c r="BQ83" s="497">
        <f t="shared" ca="1" si="193"/>
        <v>0.43267148040678299</v>
      </c>
      <c r="BR83" s="497" t="str">
        <f t="shared" ca="1" si="194"/>
        <v xml:space="preserve"> </v>
      </c>
      <c r="BS83" s="475">
        <f t="shared" ca="1" si="195"/>
        <v>0.56232926092344249</v>
      </c>
      <c r="BT83" s="475" t="e">
        <f t="shared" ca="1" si="196"/>
        <v>#VALUE!</v>
      </c>
      <c r="BU83" s="475">
        <f t="shared" ca="1" si="197"/>
        <v>0.18176074225516753</v>
      </c>
      <c r="BV83" s="475" t="str">
        <f t="shared" ca="1" si="198"/>
        <v xml:space="preserve"> </v>
      </c>
      <c r="BW83" s="475">
        <f t="shared" ca="1" si="199"/>
        <v>1.761744783752542</v>
      </c>
      <c r="BX83" s="475" t="e">
        <f t="shared" ca="1" si="200"/>
        <v>#VALUE!</v>
      </c>
      <c r="BY83" s="475">
        <f t="shared" ca="1" si="201"/>
        <v>0.11067438967680168</v>
      </c>
      <c r="BZ83" s="475" t="e">
        <f t="shared" ca="1" si="202"/>
        <v>#VALUE!</v>
      </c>
      <c r="CA83" s="471">
        <f t="shared" ca="1" si="203"/>
        <v>2.0142738921177905E-2</v>
      </c>
      <c r="CB83" s="471" t="e">
        <f t="shared" ca="1" si="204"/>
        <v>#VALUE!</v>
      </c>
      <c r="CC83" s="471" t="e">
        <f t="shared" ca="1" si="150"/>
        <v>#VALUE!</v>
      </c>
      <c r="CD83" s="471" t="e">
        <f t="shared" ca="1" si="205"/>
        <v>#VALUE!</v>
      </c>
      <c r="CE83" s="471">
        <f t="shared" ca="1" si="206"/>
        <v>0.16966275179285473</v>
      </c>
      <c r="CF83" s="471" t="e">
        <f t="shared" ca="1" si="207"/>
        <v>#VALUE!</v>
      </c>
      <c r="CG83" s="471" t="str">
        <f t="shared" ca="1" si="208"/>
        <v>O.K</v>
      </c>
      <c r="CH83" s="471" t="e">
        <f t="shared" ca="1" si="209"/>
        <v>#VALUE!</v>
      </c>
      <c r="CI83" s="471" t="str">
        <f t="shared" ca="1" si="210"/>
        <v>OK</v>
      </c>
      <c r="CJ83" s="471" t="e">
        <f t="shared" ca="1" si="211"/>
        <v>#VALUE!</v>
      </c>
      <c r="CK83" s="468">
        <f t="shared" si="212"/>
        <v>988.4316</v>
      </c>
      <c r="CL83" s="482" t="s">
        <v>2507</v>
      </c>
      <c r="CM83" s="482"/>
      <c r="CN83" s="63" t="str">
        <f t="shared" si="213"/>
        <v xml:space="preserve"> </v>
      </c>
      <c r="CO83" s="498">
        <f t="shared" si="214"/>
        <v>21.37</v>
      </c>
      <c r="CP83" s="472">
        <f t="shared" si="215"/>
        <v>9.5928872250822098E-2</v>
      </c>
      <c r="CQ83" s="482" t="s">
        <v>2508</v>
      </c>
      <c r="CR83" s="204">
        <f t="shared" si="216"/>
        <v>21.37</v>
      </c>
      <c r="CS83" s="486">
        <v>1.2</v>
      </c>
      <c r="CT83" s="486">
        <v>1.2</v>
      </c>
      <c r="CU83" s="23">
        <f t="shared" si="217"/>
        <v>21.370758058618325</v>
      </c>
      <c r="CV83" s="499" t="s">
        <v>2509</v>
      </c>
      <c r="CW83" s="488" t="str">
        <f t="shared" ca="1" si="218"/>
        <v>E3</v>
      </c>
      <c r="CX83" s="204">
        <f ca="1">IF(AND(L83="",H83=""),"",IF(AND(BA83&lt;&gt;4,BA83&lt;&gt;5),VLOOKUP(AY83,'TABLA (2)'!$A$9:$D$43,4),IF(BA83=4,VLOOKUP(AY83,'TABLA (2)'!$A$74:$D$89,4),VLOOKUP(AY83,'TABLA (2)'!$A$51:$D$66,4))))</f>
        <v>8.9999999999999993E-3</v>
      </c>
      <c r="CY83" s="482"/>
      <c r="CZ83" s="482"/>
      <c r="DA83" s="482"/>
      <c r="DB83" s="490"/>
    </row>
    <row r="84" spans="1:106" ht="15.75" hidden="1" customHeight="1">
      <c r="A84" s="465"/>
      <c r="B84" s="491"/>
      <c r="C84" s="501"/>
      <c r="D84" s="501"/>
      <c r="E84" s="468"/>
      <c r="F84" s="468"/>
      <c r="G84" s="468"/>
      <c r="H84" s="468"/>
      <c r="I84" s="468"/>
      <c r="J84" s="468"/>
      <c r="K84" s="467"/>
      <c r="L84" s="468"/>
      <c r="M84" s="469"/>
      <c r="N84" s="470"/>
      <c r="O84" s="470"/>
      <c r="P84" s="470"/>
      <c r="Q84" s="469"/>
      <c r="R84" s="471"/>
      <c r="S84" s="471"/>
      <c r="T84" s="471"/>
      <c r="U84" s="471"/>
      <c r="V84" s="471"/>
      <c r="W84" s="471"/>
      <c r="X84" s="471"/>
      <c r="Y84" s="471"/>
      <c r="Z84" s="471"/>
      <c r="AA84" s="471" t="str">
        <f t="shared" si="0"/>
        <v/>
      </c>
      <c r="AB84" s="471"/>
      <c r="AC84" s="471"/>
      <c r="AD84" s="471"/>
      <c r="AE84" s="471"/>
      <c r="AF84" s="471"/>
      <c r="AG84" s="471"/>
      <c r="AH84" s="471"/>
      <c r="AI84" s="471"/>
      <c r="AJ84" s="471"/>
      <c r="AK84" s="472"/>
      <c r="AL84" s="471"/>
      <c r="AM84" s="473">
        <f t="shared" si="148"/>
        <v>474.44695720875893</v>
      </c>
      <c r="AN84" s="474">
        <f t="shared" si="149"/>
        <v>10.677111111111111</v>
      </c>
      <c r="AO84" s="474"/>
      <c r="AP84" s="474"/>
      <c r="AQ84" s="475">
        <v>3</v>
      </c>
      <c r="AR84" s="474"/>
      <c r="AS84" s="474"/>
      <c r="AT84" s="471"/>
      <c r="AU84" s="492"/>
      <c r="AV84" s="471"/>
      <c r="AW84" s="471"/>
      <c r="AX84" s="478"/>
      <c r="AY84" s="493"/>
      <c r="AZ84" s="480"/>
      <c r="BA84" s="493"/>
      <c r="BB84" s="478" t="str">
        <f>IF(OR(C84="",D84=""),"",VLOOKUP(C84,'Base de Diseño (2)'!$A$2:$D$330,4,FALSE))</f>
        <v/>
      </c>
      <c r="BC84" s="478" t="str">
        <f>IF(OR(C84="",D84=""),"",VLOOKUP(D84,'Base de Diseño (2)'!$A$2:$D$330,4,FALSE))</f>
        <v/>
      </c>
      <c r="BD84" s="23"/>
      <c r="BE84" s="23"/>
      <c r="BF84" s="494"/>
      <c r="BG84" s="494"/>
      <c r="BH84" s="495"/>
      <c r="BI84" s="495"/>
      <c r="BJ84" s="468">
        <f t="shared" si="151"/>
        <v>0</v>
      </c>
      <c r="BK84" s="475"/>
      <c r="BL84" s="475"/>
      <c r="BM84" s="475"/>
      <c r="BN84" s="475"/>
      <c r="BO84" s="204"/>
      <c r="BP84" s="496"/>
      <c r="BQ84" s="497"/>
      <c r="BR84" s="497"/>
      <c r="BS84" s="475"/>
      <c r="BT84" s="475"/>
      <c r="BU84" s="475"/>
      <c r="BV84" s="475"/>
      <c r="BW84" s="475"/>
      <c r="BX84" s="475"/>
      <c r="BY84" s="475"/>
      <c r="BZ84" s="475"/>
      <c r="CA84" s="471"/>
      <c r="CB84" s="471"/>
      <c r="CC84" s="471" t="e">
        <f t="shared" si="150"/>
        <v>#DIV/0!</v>
      </c>
      <c r="CD84" s="471"/>
      <c r="CE84" s="471"/>
      <c r="CF84" s="471"/>
      <c r="CG84" s="471"/>
      <c r="CH84" s="471"/>
      <c r="CI84" s="471"/>
      <c r="CJ84" s="471"/>
      <c r="CK84" s="468"/>
      <c r="CL84" s="482" t="s">
        <v>2507</v>
      </c>
      <c r="CM84" s="482"/>
      <c r="CN84" s="63"/>
      <c r="CO84" s="498"/>
      <c r="CP84" s="472"/>
      <c r="CQ84" s="482"/>
      <c r="CR84" s="204"/>
      <c r="CS84" s="486"/>
      <c r="CT84" s="486"/>
      <c r="CU84" s="23"/>
      <c r="CV84" s="499"/>
      <c r="CW84" s="488"/>
      <c r="CX84" s="204"/>
      <c r="CY84" s="482"/>
      <c r="CZ84" s="482"/>
      <c r="DA84" s="482"/>
      <c r="DB84" s="490"/>
    </row>
    <row r="85" spans="1:106" ht="15.75" hidden="1" customHeight="1">
      <c r="A85" s="465">
        <v>47</v>
      </c>
      <c r="B85" s="491">
        <v>1</v>
      </c>
      <c r="C85" s="466" t="s">
        <v>2107</v>
      </c>
      <c r="D85" s="466" t="s">
        <v>2116</v>
      </c>
      <c r="E85" s="468">
        <v>8.8499999999999995E-2</v>
      </c>
      <c r="F85" s="468"/>
      <c r="G85" s="468">
        <f>IF(B85=1,0,SUMIF($D$22:$D$583,C85,$H$22:$H$583))</f>
        <v>0</v>
      </c>
      <c r="H85" s="468">
        <f>+E85+F85+G85</f>
        <v>8.8499999999999995E-2</v>
      </c>
      <c r="I85" s="468">
        <f>+E85</f>
        <v>8.8499999999999995E-2</v>
      </c>
      <c r="J85" s="468"/>
      <c r="K85" s="467">
        <f>+IF(B85=1,0,SUMIF($D$22:$D$583,C85,$L$22:$L$580))</f>
        <v>0</v>
      </c>
      <c r="L85" s="468">
        <f>+I85+J85+K85</f>
        <v>8.8499999999999995E-2</v>
      </c>
      <c r="M85" s="469">
        <f>+$P$12</f>
        <v>242.33666300502347</v>
      </c>
      <c r="N85" s="470">
        <f>M85*E85</f>
        <v>21.446794675944577</v>
      </c>
      <c r="O85" s="470">
        <f>M85*F85</f>
        <v>0</v>
      </c>
      <c r="P85" s="470">
        <f>M85*H85</f>
        <v>21.446794675944577</v>
      </c>
      <c r="Q85" s="469">
        <f>+$H$14</f>
        <v>140</v>
      </c>
      <c r="R85" s="471">
        <f>Q85*P85*$P$14/86400</f>
        <v>2.953898803746996E-2</v>
      </c>
      <c r="S85" s="471"/>
      <c r="T85" s="471"/>
      <c r="U85" s="471">
        <f>IF(C85="","",T85*$P$17)</f>
        <v>0</v>
      </c>
      <c r="V85" s="471"/>
      <c r="W85" s="471"/>
      <c r="X85" s="471">
        <f>IF(C85="","",W85*$P$16)</f>
        <v>0</v>
      </c>
      <c r="Y85" s="471">
        <f>IF(H85=0,0,$H$15*H85)</f>
        <v>1.77E-2</v>
      </c>
      <c r="Z85" s="471">
        <f>IF(L85=0,$H$16*H85,0)</f>
        <v>0</v>
      </c>
      <c r="AA85" s="471">
        <f t="shared" si="0"/>
        <v>3.8</v>
      </c>
      <c r="AB85" s="471">
        <f>R85*AA85</f>
        <v>0.11224815454238585</v>
      </c>
      <c r="AC85" s="471">
        <f>Q85*(N85+O85)*$P$14/86400</f>
        <v>2.953898803746996E-2</v>
      </c>
      <c r="AD85" s="471">
        <f>IF(E85=0,0,$H$15*(E85+F85))</f>
        <v>1.77E-2</v>
      </c>
      <c r="AE85" s="471">
        <f>IF(F85=0,0,$H$15*(F85+G85))</f>
        <v>0</v>
      </c>
      <c r="AF85" s="471">
        <f>IF(N85="","",IF(1+((14/(4+(((N85+O85)+O85)/1000)^1/2)))&lt;1.4,1.4,IF(1+((14/(4+((N85+O85)/1000)^1/2)))&gt;=4,4,(1+((14/(4+((N85+O85)/1000)^1/2)))))))</f>
        <v>4</v>
      </c>
      <c r="AG85" s="471">
        <f>AC85*AF85</f>
        <v>0.11815595214987984</v>
      </c>
      <c r="AH85" s="471">
        <f>+AD85+AE85+AG85</f>
        <v>0.13585595214987983</v>
      </c>
      <c r="AI85" s="471">
        <f>IF(H85="","",IF(AB85+Y85+Z85+X85+U85&lt;1.5,1.5,AB85+Y85+Z85+X85+U85))</f>
        <v>1.5</v>
      </c>
      <c r="AJ85" s="471">
        <f>+$P$17</f>
        <v>0.75</v>
      </c>
      <c r="AK85" s="472">
        <f>+BK85/100</f>
        <v>3.6341991341992001E-2</v>
      </c>
      <c r="AL85" s="471">
        <f>IF(AJ85=0," ",0.14+0.65*AJ85+0.05*AK85)</f>
        <v>0.62931709956709969</v>
      </c>
      <c r="AM85" s="473">
        <f t="shared" si="148"/>
        <v>336.32613267542746</v>
      </c>
      <c r="AN85" s="474">
        <f t="shared" si="149"/>
        <v>5</v>
      </c>
      <c r="AO85" s="474">
        <f>((1/60)*$AX85/$AQ85)</f>
        <v>0.10266666666666667</v>
      </c>
      <c r="AP85" s="474">
        <f>IF(B85=1,IF(($AN85+$AO85)&lt;10,10,IF(($AN85+$AO85)&gt;20,20,($AN85+$AO85))),($AN85+$AO85))</f>
        <v>10</v>
      </c>
      <c r="AQ85" s="475">
        <v>3</v>
      </c>
      <c r="AR85" s="474">
        <f>((1/60)*$AX85/$BT85)</f>
        <v>0.15728121401922782</v>
      </c>
      <c r="AS85" s="474">
        <f>AO85/AR85</f>
        <v>0.65275861015490089</v>
      </c>
      <c r="AT85" s="471" t="str">
        <f>IF(AS85&lt;0.9,"Disminuir vel.",IF(AS85&gt;1.1,"Aumentar vel.","Cumple"))</f>
        <v>Disminuir vel.</v>
      </c>
      <c r="AU85" s="492">
        <f>+I85*AL85*AM85</f>
        <v>18.73153708966688</v>
      </c>
      <c r="AV85" s="471">
        <f>+L85*AL85*AM85</f>
        <v>18.73153708966688</v>
      </c>
      <c r="AW85" s="471">
        <f>ROUND(IF(AI85&gt;(AV85*0.05),(AV85+AI85),AV85),2)</f>
        <v>20.23</v>
      </c>
      <c r="AX85" s="478">
        <f>IF(OR(C85="",D85=""),"",ROUND(((VLOOKUP(C85,'Base de Diseño (2)'!$A$2:$C$333,2,FALSE)-VLOOKUP(D85,'Base de Diseño (2)'!$A$2:$C$333,2,FALSE))^2+(VLOOKUP(C85,'Base de Diseño (2)'!$A$2:$C$333,3,0)-VLOOKUP(D85,'Base de Diseño (2)'!$A$2:$C$333,3,FALSE))^2)^0.5,2))</f>
        <v>18.48</v>
      </c>
      <c r="AY85" s="493">
        <v>8</v>
      </c>
      <c r="AZ85" s="480">
        <f>IF(AND(L85="",H85=""),"",IF(BA85=4,VLOOKUP(AY85,'TABLA (2)'!$A$74:$C$89,2),IF(BA85=5,VLOOKUP(AY85,'TABLA (2)'!$A$51:$B$66,2),IF(BA85=6,VLOOKUP(AY85,'TABLA (2)'!$A$9:$B$43,2)))))</f>
        <v>200</v>
      </c>
      <c r="BA85" s="493">
        <v>6</v>
      </c>
      <c r="BB85" s="478">
        <f>IF(OR(C85="",D85=""),"",VLOOKUP(C85,'Base de Diseño (2)'!$A$2:$D$330,4,FALSE))</f>
        <v>990.59159999999997</v>
      </c>
      <c r="BC85" s="478">
        <f>IF(OR(C85="",D85=""),"",VLOOKUP(D85,'Base de Diseño (2)'!$A$2:$D$330,4,FALSE))</f>
        <v>989.92</v>
      </c>
      <c r="BD85" s="23">
        <f>+BF85-((AZ85/1000)+CX85)</f>
        <v>0.26300000000000001</v>
      </c>
      <c r="BE85" s="23">
        <f>+BG85-((AZ85/1000)+CX85)</f>
        <v>1.0208788642121025</v>
      </c>
      <c r="BF85" s="494">
        <v>0.5</v>
      </c>
      <c r="BG85" s="494">
        <v>1.2578788642121026</v>
      </c>
      <c r="BH85" s="495">
        <f>BB85-BF85</f>
        <v>990.09159999999997</v>
      </c>
      <c r="BI85" s="495">
        <f>BC85-BG85</f>
        <v>988.66212113578786</v>
      </c>
      <c r="BJ85" s="468">
        <f t="shared" si="151"/>
        <v>988.66212113578786</v>
      </c>
      <c r="BK85" s="475">
        <f>ABS((BB85-BC85)/AX85)*100</f>
        <v>3.6341991341991999</v>
      </c>
      <c r="BL85" s="475">
        <f>((BH85-BI85)/AX85)*100</f>
        <v>7.7352752392430446</v>
      </c>
      <c r="BM85" s="475">
        <f>IF(BA85=6,(1/0.013)*((AZ85/4000)^(2/3))*((BL85/100)^(0.5)),(1/0.009)*((AZ85/4000)^(2/3))*((BL85/100)^(0.5)))</f>
        <v>2.9036295197860396</v>
      </c>
      <c r="BN85" s="475">
        <f>1000*BM85*PI()*((AZ85/1000/2)^2)</f>
        <v>91.220211681062821</v>
      </c>
      <c r="BO85" s="204">
        <f>AI85/BN85</f>
        <v>1.6443724174248959E-2</v>
      </c>
      <c r="BP85" s="496">
        <f>IF(L85=0," ",AW85/BN85)</f>
        <v>0.22177102669670429</v>
      </c>
      <c r="BQ85" s="497">
        <f>IF($BO85&gt;0 =AND($BO85&lt;=0.06),10^(0.029806+0.29095*LOG($BO85)),IF($BO85&gt;0.06 =AND($BO85&lt;=0.26),10^(0.013778+0.282597*LOG($BO85)),IF($BO85&gt;0.26 =AND($BO85&lt;=0.91),10^(0.021763+0.28995*LOG($BO85)),1)))</f>
        <v>0.32415390167026437</v>
      </c>
      <c r="BR85" s="497">
        <f>IF($BP85&gt;0 =AND($BP85&lt;=0.06),10^(0.029806+0.29095*LOG($BP85)),IF($BP85&gt;0.06 =AND($BP85&lt;=0.26),10^(0.013778+0.282597*LOG($BP85)),IF($BP85&gt;0.26 =AND($BP85&lt;=2),10^(0.021763+0.28995*LOG($BP85))," ")))</f>
        <v>0.67442344731672332</v>
      </c>
      <c r="BS85" s="475">
        <f>BM85*BQ85</f>
        <v>0.94122283784360083</v>
      </c>
      <c r="BT85" s="475">
        <f>IF(BP85=" "," ",(BM85*BR85))</f>
        <v>1.9582758304647028</v>
      </c>
      <c r="BU85" s="475">
        <f>IF(BO85&lt;=0.11,0.3827+0.0645*LN(BO85),IF(BO85&lt;=0.21,0.60025+0.15471*LN(BO85),IF(BO85&lt;1,0.225+0.6666666667*BO85,0)))</f>
        <v>0.11774616574953822</v>
      </c>
      <c r="BV85" s="475">
        <f>IF(BP85&lt;=0.11,0.3827+0.0645*LN(BP85),IF(BP85&lt;=0.21,0.60025+0.15471*LN(BP85),IF(BP85&lt;1,0.225+0.6666666667*BP85," ")))</f>
        <v>0.37284735113852857</v>
      </c>
      <c r="BW85" s="475">
        <f>2*ACOS(1-2*(BU85))</f>
        <v>1.4010382072853247</v>
      </c>
      <c r="BX85" s="475">
        <f>IF(BP85=" "," ",(2*ACOS(1-2*(BV85))))</f>
        <v>2.6273340183928964</v>
      </c>
      <c r="BY85" s="475">
        <f>(1/4)*(1-(SIN(BW85))/BW85)</f>
        <v>7.4125842025198035E-2</v>
      </c>
      <c r="BZ85" s="475">
        <f>IF(BP85=" "," ",((1/4)*(1-(SIN(BX85))/BX85)))</f>
        <v>0.20319499672433605</v>
      </c>
      <c r="CA85" s="471">
        <f>BY85*AZ85/1000</f>
        <v>1.4825168405039607E-2</v>
      </c>
      <c r="CB85" s="471">
        <f>IF(BP85=" "," ",(BZ85*AZ85/1000))</f>
        <v>4.0638999344867206E-2</v>
      </c>
      <c r="CC85" s="471">
        <f t="shared" si="150"/>
        <v>2.6611312138728573</v>
      </c>
      <c r="CD85" s="471" t="str">
        <f>IF(CC85="","",IF(CC85&lt;0.7,"F. Subcrítico",IF(AND(CC85&gt;0.7,CC85&lt;1),"F. Subcrítico Inestable",IF(CC85=1,"F. Crítico",IF(AND(CC85&gt;1,CC85&lt;1.5),"F. Supercrítico Inestable",IF(CC85&gt;1.5,"F. Supercrítico",""))))))</f>
        <v>F. Supercrítico</v>
      </c>
      <c r="CE85" s="471">
        <f>1000*BL85*CA85/100</f>
        <v>1.1467675808111117</v>
      </c>
      <c r="CF85" s="471">
        <f>IF(BP85=" "," ",(1000*BL85*CB85/100))</f>
        <v>3.143538453799656</v>
      </c>
      <c r="CG85" s="471" t="str">
        <f>IF(BS85&lt;0.45,"No cumple",IF(BS85&gt;5,"No cumple","O.K"))</f>
        <v>O.K</v>
      </c>
      <c r="CH85" s="471" t="str">
        <f>IF(BT85&lt;0.75,"No cumple",IF(BT85&gt;10,"No cumple","O.K"))</f>
        <v>O.K</v>
      </c>
      <c r="CI85" s="471" t="str">
        <f>IF(CE85&gt;0.1,"OK","V.C.H.")</f>
        <v>OK</v>
      </c>
      <c r="CJ85" s="471" t="str">
        <f>IF(CF85&gt;0.2,"OK","V.C.H.")</f>
        <v>OK</v>
      </c>
      <c r="CK85" s="468">
        <f>+BJ85</f>
        <v>988.66212113578786</v>
      </c>
      <c r="CL85" s="482" t="s">
        <v>2507</v>
      </c>
      <c r="CM85" s="482"/>
      <c r="CN85" s="63" t="str">
        <f>IF(B85=1,"dato"," ")</f>
        <v>dato</v>
      </c>
      <c r="CO85" s="498">
        <f>+CR85</f>
        <v>18.48</v>
      </c>
      <c r="CP85" s="472">
        <f>+BK85/100</f>
        <v>3.6341991341992001E-2</v>
      </c>
      <c r="CQ85" s="482" t="s">
        <v>2508</v>
      </c>
      <c r="CR85" s="204">
        <f>IF(BA85="","",AX85)</f>
        <v>18.48</v>
      </c>
      <c r="CS85" s="486">
        <v>1.2</v>
      </c>
      <c r="CT85" s="486">
        <v>1.2</v>
      </c>
      <c r="CU85" s="23">
        <f>IF($BA85="","",SQRT((BH85-BI85)^2+$CR85^2))</f>
        <v>18.535204606996633</v>
      </c>
      <c r="CV85" s="499" t="s">
        <v>2509</v>
      </c>
      <c r="CW85" s="488" t="str">
        <f>+IF(BD85&lt;=0.9,"E1",IF(BD85&lt;=2.5,"E2","E3"))</f>
        <v>E1</v>
      </c>
      <c r="CX85" s="204">
        <f>IF(AND(L85="",H85=""),"",IF(AND(BA85&lt;&gt;4,BA85&lt;&gt;5),VLOOKUP(AY85,'TABLA (2)'!$A$9:$D$43,4),IF(BA85=4,VLOOKUP(AY85,'TABLA (2)'!$A$74:$D$89,4),VLOOKUP(AY85,'TABLA (2)'!$A$51:$D$66,4))))</f>
        <v>3.6999999999999998E-2</v>
      </c>
      <c r="CY85" s="482"/>
      <c r="CZ85" s="482"/>
      <c r="DA85" s="482"/>
      <c r="DB85" s="490"/>
    </row>
    <row r="86" spans="1:106" ht="15.75" hidden="1" customHeight="1">
      <c r="A86" s="465"/>
      <c r="B86" s="491"/>
      <c r="C86" s="501"/>
      <c r="D86" s="501"/>
      <c r="E86" s="468"/>
      <c r="F86" s="468"/>
      <c r="G86" s="468"/>
      <c r="H86" s="468"/>
      <c r="I86" s="468"/>
      <c r="J86" s="468"/>
      <c r="K86" s="467"/>
      <c r="L86" s="468"/>
      <c r="M86" s="469"/>
      <c r="N86" s="470"/>
      <c r="O86" s="470"/>
      <c r="P86" s="470"/>
      <c r="Q86" s="469"/>
      <c r="R86" s="471"/>
      <c r="S86" s="471"/>
      <c r="T86" s="471"/>
      <c r="U86" s="471"/>
      <c r="V86" s="471"/>
      <c r="W86" s="471"/>
      <c r="X86" s="471"/>
      <c r="Y86" s="471"/>
      <c r="Z86" s="471"/>
      <c r="AA86" s="471" t="str">
        <f t="shared" ref="AA86:AA149" si="219">IF(P86="","",IF(1+((14/(4+(P86/1000)^1/2)))&lt;1.4,1.4,IF(1+((14/(4+(P86/1000)^1/2)))&gt;=3.8,3.8,(1+((14/(4+(P86/1000)^1/2)))))))</f>
        <v/>
      </c>
      <c r="AB86" s="471"/>
      <c r="AC86" s="471"/>
      <c r="AD86" s="471"/>
      <c r="AE86" s="471"/>
      <c r="AF86" s="471"/>
      <c r="AG86" s="471"/>
      <c r="AH86" s="471"/>
      <c r="AI86" s="471"/>
      <c r="AJ86" s="471"/>
      <c r="AK86" s="472"/>
      <c r="AL86" s="471"/>
      <c r="AM86" s="473">
        <f t="shared" si="148"/>
        <v>474.44695720875893</v>
      </c>
      <c r="AN86" s="474">
        <f t="shared" si="149"/>
        <v>10</v>
      </c>
      <c r="AO86" s="474"/>
      <c r="AP86" s="474"/>
      <c r="AQ86" s="475">
        <v>3</v>
      </c>
      <c r="AR86" s="474"/>
      <c r="AS86" s="474"/>
      <c r="AT86" s="471"/>
      <c r="AU86" s="492"/>
      <c r="AV86" s="471"/>
      <c r="AW86" s="471"/>
      <c r="AX86" s="478"/>
      <c r="AY86" s="493"/>
      <c r="AZ86" s="480"/>
      <c r="BA86" s="493"/>
      <c r="BB86" s="478" t="str">
        <f>IF(OR(C86="",D86=""),"",VLOOKUP(C86,'Base de Diseño (2)'!$A$2:$D$330,4,FALSE))</f>
        <v/>
      </c>
      <c r="BC86" s="478" t="str">
        <f>IF(OR(C86="",D86=""),"",VLOOKUP(D86,'Base de Diseño (2)'!$A$2:$D$330,4,FALSE))</f>
        <v/>
      </c>
      <c r="BD86" s="23"/>
      <c r="BE86" s="23"/>
      <c r="BF86" s="494"/>
      <c r="BG86" s="494"/>
      <c r="BH86" s="495"/>
      <c r="BI86" s="495"/>
      <c r="BJ86" s="468">
        <f t="shared" si="151"/>
        <v>0</v>
      </c>
      <c r="BK86" s="475"/>
      <c r="BL86" s="475"/>
      <c r="BM86" s="475"/>
      <c r="BN86" s="475"/>
      <c r="BO86" s="204"/>
      <c r="BP86" s="496"/>
      <c r="BQ86" s="497"/>
      <c r="BR86" s="497"/>
      <c r="BS86" s="475"/>
      <c r="BT86" s="475"/>
      <c r="BU86" s="475"/>
      <c r="BV86" s="475"/>
      <c r="BW86" s="475"/>
      <c r="BX86" s="475"/>
      <c r="BY86" s="475"/>
      <c r="BZ86" s="475"/>
      <c r="CA86" s="471"/>
      <c r="CB86" s="471"/>
      <c r="CC86" s="471" t="e">
        <f t="shared" si="150"/>
        <v>#DIV/0!</v>
      </c>
      <c r="CD86" s="471"/>
      <c r="CE86" s="471"/>
      <c r="CF86" s="471"/>
      <c r="CG86" s="471"/>
      <c r="CH86" s="471"/>
      <c r="CI86" s="471"/>
      <c r="CJ86" s="471"/>
      <c r="CK86" s="468"/>
      <c r="CL86" s="482" t="s">
        <v>2507</v>
      </c>
      <c r="CM86" s="482"/>
      <c r="CN86" s="63"/>
      <c r="CO86" s="498"/>
      <c r="CP86" s="472"/>
      <c r="CQ86" s="482"/>
      <c r="CR86" s="204"/>
      <c r="CS86" s="486"/>
      <c r="CT86" s="486"/>
      <c r="CU86" s="23"/>
      <c r="CV86" s="499"/>
      <c r="CW86" s="488"/>
      <c r="CX86" s="204"/>
      <c r="CY86" s="482"/>
      <c r="CZ86" s="482"/>
      <c r="DA86" s="482"/>
      <c r="DB86" s="490"/>
    </row>
    <row r="87" spans="1:106" ht="15.75" hidden="1" customHeight="1">
      <c r="A87" s="465">
        <v>48</v>
      </c>
      <c r="B87" s="491">
        <v>1</v>
      </c>
      <c r="C87" s="466" t="s">
        <v>2108</v>
      </c>
      <c r="D87" s="466" t="s">
        <v>2117</v>
      </c>
      <c r="E87" s="468">
        <v>9.8599999999999993E-2</v>
      </c>
      <c r="F87" s="468"/>
      <c r="G87" s="468">
        <f>IF(B87=1,0,SUMIF($D$22:$D$583,C87,$H$22:$H$583))</f>
        <v>0</v>
      </c>
      <c r="H87" s="468">
        <f>+E87+F87+G87</f>
        <v>9.8599999999999993E-2</v>
      </c>
      <c r="I87" s="468">
        <f>+E87</f>
        <v>9.8599999999999993E-2</v>
      </c>
      <c r="J87" s="468"/>
      <c r="K87" s="467">
        <f>+IF(B87=1,0,SUMIF($D$22:$D$583,C87,$L$22:$L$580))</f>
        <v>0</v>
      </c>
      <c r="L87" s="468">
        <f>+I87+J87+K87</f>
        <v>9.8599999999999993E-2</v>
      </c>
      <c r="M87" s="469">
        <f>+$P$12</f>
        <v>242.33666300502347</v>
      </c>
      <c r="N87" s="470">
        <f>M87*E87</f>
        <v>23.894394972295313</v>
      </c>
      <c r="O87" s="470">
        <f>M87*F87</f>
        <v>0</v>
      </c>
      <c r="P87" s="470">
        <f>M87*H87</f>
        <v>23.894394972295313</v>
      </c>
      <c r="Q87" s="469">
        <f>+$H$14</f>
        <v>140</v>
      </c>
      <c r="R87" s="471">
        <f>Q87*P87*$P$14/86400</f>
        <v>3.2910104186378956E-2</v>
      </c>
      <c r="S87" s="471"/>
      <c r="T87" s="471"/>
      <c r="U87" s="471">
        <f>IF(C87="","",T87*$P$17)</f>
        <v>0</v>
      </c>
      <c r="V87" s="471"/>
      <c r="W87" s="471"/>
      <c r="X87" s="471">
        <f>IF(C87="","",W87*$P$16)</f>
        <v>0</v>
      </c>
      <c r="Y87" s="471">
        <f>IF(H87=0,0,$H$15*H87)</f>
        <v>1.9720000000000001E-2</v>
      </c>
      <c r="Z87" s="471">
        <f>IF(L87=0,$H$16*H87,0)</f>
        <v>0</v>
      </c>
      <c r="AA87" s="471">
        <f t="shared" si="219"/>
        <v>3.8</v>
      </c>
      <c r="AB87" s="471">
        <f>R87*AA87</f>
        <v>0.12505839590824003</v>
      </c>
      <c r="AC87" s="471">
        <f>Q87*(N87+O87)*$P$14/86400</f>
        <v>3.2910104186378956E-2</v>
      </c>
      <c r="AD87" s="471">
        <f>IF(E87=0,0,$H$15*(E87+F87))</f>
        <v>1.9720000000000001E-2</v>
      </c>
      <c r="AE87" s="471">
        <f>IF(F87=0,0,$H$15*(F87+G87))</f>
        <v>0</v>
      </c>
      <c r="AF87" s="471">
        <f>IF(N87="","",IF(1+((14/(4+(((N87+O87)+O87)/1000)^1/2)))&lt;1.4,1.4,IF(1+((14/(4+((N87+O87)/1000)^1/2)))&gt;=4,4,(1+((14/(4+((N87+O87)/1000)^1/2)))))))</f>
        <v>4</v>
      </c>
      <c r="AG87" s="471">
        <f>AC87*AF87</f>
        <v>0.13164041674551583</v>
      </c>
      <c r="AH87" s="471">
        <f>+AD87+AE87+AG87</f>
        <v>0.15136041674551581</v>
      </c>
      <c r="AI87" s="471">
        <f>IF(H87="","",IF(AB87+Y87+Z87+X87+U87&lt;1.5,1.5,AB87+Y87+Z87+X87+U87))</f>
        <v>1.5</v>
      </c>
      <c r="AJ87" s="471">
        <f>+$P$17</f>
        <v>0.75</v>
      </c>
      <c r="AK87" s="472">
        <f>+BK87/100</f>
        <v>4.0575433419403277E-2</v>
      </c>
      <c r="AL87" s="471">
        <f>IF(AJ87=0," ",0.14+0.65*AJ87+0.05*AK87)</f>
        <v>0.62952877167097021</v>
      </c>
      <c r="AM87" s="473">
        <f t="shared" si="148"/>
        <v>336.32613267542746</v>
      </c>
      <c r="AN87" s="474">
        <f t="shared" si="149"/>
        <v>5</v>
      </c>
      <c r="AO87" s="474">
        <f>((1/60)*$AX87/$AQ87)</f>
        <v>0.15061111111111111</v>
      </c>
      <c r="AP87" s="474">
        <f>IF(B87=1,IF(($AN87+$AO87)&lt;10,10,IF(($AN87+$AO87)&gt;20,20,($AN87+$AO87))),($AN87+$AO87))</f>
        <v>10</v>
      </c>
      <c r="AQ87" s="475">
        <v>3</v>
      </c>
      <c r="AR87" s="474">
        <f>((1/60)*$AX87/$BT87)</f>
        <v>0.37827001485900441</v>
      </c>
      <c r="AS87" s="474">
        <f>AO87/AR87</f>
        <v>0.39815767889307746</v>
      </c>
      <c r="AT87" s="471" t="str">
        <f>IF(AS87&lt;0.9,"Disminuir vel.",IF(AS87&gt;1.1,"Aumentar vel.","Cumple"))</f>
        <v>Disminuir vel.</v>
      </c>
      <c r="AU87" s="492">
        <f>+I87*AL87*AM87</f>
        <v>20.876279950343346</v>
      </c>
      <c r="AV87" s="471">
        <f>+L87*AL87*AM87</f>
        <v>20.876279950343346</v>
      </c>
      <c r="AW87" s="471">
        <f>ROUND(IF(AI87&gt;(AV87*0.05),(AV87+AI87),AV87),2)</f>
        <v>22.38</v>
      </c>
      <c r="AX87" s="478">
        <f>IF(OR(C87="",D87=""),"",ROUND(((VLOOKUP(C87,'Base de Diseño (2)'!$A$2:$C$333,2,FALSE)-VLOOKUP(D87,'Base de Diseño (2)'!$A$2:$C$333,2,FALSE))^2+(VLOOKUP(C87,'Base de Diseño (2)'!$A$2:$C$333,3,0)-VLOOKUP(D87,'Base de Diseño (2)'!$A$2:$C$333,3,FALSE))^2)^0.5,2))</f>
        <v>27.11</v>
      </c>
      <c r="AY87" s="493">
        <v>8</v>
      </c>
      <c r="AZ87" s="480">
        <f>IF(AND(L87="",H87=""),"",IF(BA87=4,VLOOKUP(AY87,'TABLA (2)'!$A$74:$C$89,2),IF(BA87=5,VLOOKUP(AY87,'TABLA (2)'!$A$51:$B$66,2),IF(BA87=6,VLOOKUP(AY87,'TABLA (2)'!$A$9:$B$43,2)))))</f>
        <v>200</v>
      </c>
      <c r="BA87" s="493">
        <v>6</v>
      </c>
      <c r="BB87" s="478">
        <f>IF(OR(C87="",D87=""),"",VLOOKUP(C87,'Base de Diseño (2)'!$A$2:$D$330,4,FALSE))</f>
        <v>990.4316</v>
      </c>
      <c r="BC87" s="478">
        <f>IF(OR(C87="",D87=""),"",VLOOKUP(D87,'Base de Diseño (2)'!$A$2:$D$330,4,FALSE))</f>
        <v>991.53160000000003</v>
      </c>
      <c r="BD87" s="23">
        <f>+BF87-((AZ87/1000)+CX87)</f>
        <v>0.41299999999997727</v>
      </c>
      <c r="BE87" s="23">
        <f>+BG87-((AZ87/1000)+CX87)</f>
        <v>1.9830000000000272</v>
      </c>
      <c r="BF87" s="494">
        <v>0.64999999999997726</v>
      </c>
      <c r="BG87" s="494">
        <v>2.2200000000000273</v>
      </c>
      <c r="BH87" s="495">
        <f>BB87-BF87</f>
        <v>989.78160000000003</v>
      </c>
      <c r="BI87" s="495">
        <f>BC87-BG87</f>
        <v>989.3116</v>
      </c>
      <c r="BJ87" s="468">
        <f t="shared" si="151"/>
        <v>989.3116</v>
      </c>
      <c r="BK87" s="475">
        <f>ABS((BB87-BC87)/AX87)*100</f>
        <v>4.0575433419403275</v>
      </c>
      <c r="BL87" s="475">
        <f>((BH87-BI87)/AX87)*100</f>
        <v>1.7336776097382049</v>
      </c>
      <c r="BM87" s="475">
        <f>IF(BA87=6,(1/0.013)*((AZ87/4000)^(2/3))*((BL87/100)^(0.5)),(1/0.009)*((AZ87/4000)^(2/3))*((BL87/100)^(0.5)))</f>
        <v>1.3746352849021319</v>
      </c>
      <c r="BN87" s="475">
        <f>1000*BM87*PI()*((AZ87/1000/2)^2)</f>
        <v>43.185441124138507</v>
      </c>
      <c r="BO87" s="204">
        <f>AI87/BN87</f>
        <v>3.4733927938542575E-2</v>
      </c>
      <c r="BP87" s="496">
        <f>IF(L87=0," ",AW87/BN87)</f>
        <v>0.51823020484305526</v>
      </c>
      <c r="BQ87" s="497">
        <f>IF($BO87&gt;0 =AND($BO87&lt;=0.06),10^(0.029806+0.29095*LOG($BO87)),IF($BO87&gt;0.06 =AND($BO87&lt;=0.26),10^(0.013778+0.282597*LOG($BO87)),IF($BO87&gt;0.26 =AND($BO87&lt;=0.91),10^(0.021763+0.28995*LOG($BO87)),1)))</f>
        <v>0.4029381117342502</v>
      </c>
      <c r="BR87" s="497">
        <f>IF($BP87&gt;0 =AND($BP87&lt;=0.06),10^(0.029806+0.29095*LOG($BP87)),IF($BP87&gt;0.06 =AND($BP87&lt;=0.26),10^(0.013778+0.282597*LOG($BP87)),IF($BP87&gt;0.26 =AND($BP87&lt;=2),10^(0.021763+0.28995*LOG($BP87))," ")))</f>
        <v>0.86893814657483748</v>
      </c>
      <c r="BS87" s="475">
        <f>BM87*BQ87</f>
        <v>0.55389294602173811</v>
      </c>
      <c r="BT87" s="475">
        <f>IF(BP87=" "," ",(BM87*BR87))</f>
        <v>1.1944730366792322</v>
      </c>
      <c r="BU87" s="475">
        <f>IF(BO87&lt;=0.11,0.3827+0.0645*LN(BO87),IF(BO87&lt;=0.21,0.60025+0.15471*LN(BO87),IF(BO87&lt;1,0.225+0.6666666667*BO87,0)))</f>
        <v>0.16597752840349789</v>
      </c>
      <c r="BV87" s="475">
        <f>IF(BP87&lt;=0.11,0.3827+0.0645*LN(BP87),IF(BP87&lt;=0.21,0.60025+0.15471*LN(BP87),IF(BP87&lt;1,0.225+0.6666666667*BP87," ")))</f>
        <v>0.57048680324597789</v>
      </c>
      <c r="BW87" s="475">
        <f>2*ACOS(1-2*(BU87))</f>
        <v>1.6784359715745487</v>
      </c>
      <c r="BX87" s="475">
        <f>IF(BP87=" "," ",(2*ACOS(1-2*(BV87))))</f>
        <v>3.4244822009006772</v>
      </c>
      <c r="BY87" s="475">
        <f>(1/4)*(1-(SIN(BW87))/BW87)</f>
        <v>0.10191385588454852</v>
      </c>
      <c r="BZ87" s="475">
        <f>IF(BP87=" "," ",((1/4)*(1-(SIN(BX87))/BX87)))</f>
        <v>0.27037764322960695</v>
      </c>
      <c r="CA87" s="471">
        <f>BY87*AZ87/1000</f>
        <v>2.0382771176909703E-2</v>
      </c>
      <c r="CB87" s="471">
        <f>IF(BP87=" "," ",(BZ87*AZ87/1000))</f>
        <v>5.407552864592139E-2</v>
      </c>
      <c r="CC87" s="471">
        <f t="shared" si="150"/>
        <v>1.2470375411044217</v>
      </c>
      <c r="CD87" s="471" t="str">
        <f>IF(CC87="","",IF(CC87&lt;0.7,"F. Subcrítico",IF(AND(CC87&gt;0.7,CC87&lt;1),"F. Subcrítico Inestable",IF(CC87=1,"F. Crítico",IF(AND(CC87&gt;1,CC87&lt;1.5),"F. Supercrítico Inestable",IF(CC87&gt;1.5,"F. Supercrítico",""))))))</f>
        <v>F. Supercrítico Inestable</v>
      </c>
      <c r="CE87" s="471">
        <f>1000*BL87*CA87/100</f>
        <v>0.35337154013825589</v>
      </c>
      <c r="CF87" s="471">
        <f>IF(BP87=" "," ",(1000*BL87*CB87/100))</f>
        <v>0.93749533248190831</v>
      </c>
      <c r="CG87" s="471" t="str">
        <f>IF(BS87&lt;0.45,"No cumple",IF(BS87&gt;5,"No cumple","O.K"))</f>
        <v>O.K</v>
      </c>
      <c r="CH87" s="471" t="str">
        <f>IF(BT87&lt;0.75,"No cumple",IF(BT87&gt;10,"No cumple","O.K"))</f>
        <v>O.K</v>
      </c>
      <c r="CI87" s="471" t="str">
        <f>IF(CE87&gt;0.1,"OK","V.C.H.")</f>
        <v>OK</v>
      </c>
      <c r="CJ87" s="471" t="str">
        <f>IF(CF87&gt;0.2,"OK","V.C.H.")</f>
        <v>OK</v>
      </c>
      <c r="CK87" s="468">
        <f>+BJ87</f>
        <v>989.3116</v>
      </c>
      <c r="CL87" s="482" t="s">
        <v>2507</v>
      </c>
      <c r="CM87" s="482"/>
      <c r="CN87" s="63" t="str">
        <f>IF(B87=1,"dato"," ")</f>
        <v>dato</v>
      </c>
      <c r="CO87" s="498">
        <f>+CR87</f>
        <v>27.11</v>
      </c>
      <c r="CP87" s="472">
        <f>+BK87/100</f>
        <v>4.0575433419403277E-2</v>
      </c>
      <c r="CQ87" s="482" t="s">
        <v>2508</v>
      </c>
      <c r="CR87" s="204">
        <f>IF(BA87="","",AX87)</f>
        <v>27.11</v>
      </c>
      <c r="CS87" s="486">
        <v>1.2</v>
      </c>
      <c r="CT87" s="486">
        <v>1.2</v>
      </c>
      <c r="CU87" s="23">
        <f>IF($BA87="","",SQRT((BH87-BI87)^2+$CR87^2))</f>
        <v>27.114073836293947</v>
      </c>
      <c r="CV87" s="499" t="s">
        <v>2509</v>
      </c>
      <c r="CW87" s="488" t="str">
        <f>+IF(BD87&lt;=0.9,"E1",IF(BD87&lt;=2.5,"E2","E3"))</f>
        <v>E1</v>
      </c>
      <c r="CX87" s="204">
        <f>IF(AND(L87="",H87=""),"",IF(AND(BA87&lt;&gt;4,BA87&lt;&gt;5),VLOOKUP(AY87,'TABLA (2)'!$A$9:$D$43,4),IF(BA87=4,VLOOKUP(AY87,'TABLA (2)'!$A$74:$D$89,4),VLOOKUP(AY87,'TABLA (2)'!$A$51:$D$66,4))))</f>
        <v>3.6999999999999998E-2</v>
      </c>
      <c r="CY87" s="482"/>
      <c r="CZ87" s="482"/>
      <c r="DA87" s="482"/>
      <c r="DB87" s="490"/>
    </row>
    <row r="88" spans="1:106" ht="15.75" hidden="1" customHeight="1">
      <c r="A88" s="465"/>
      <c r="B88" s="491"/>
      <c r="C88" s="501"/>
      <c r="D88" s="501"/>
      <c r="E88" s="468"/>
      <c r="F88" s="468"/>
      <c r="G88" s="468"/>
      <c r="H88" s="468"/>
      <c r="I88" s="468"/>
      <c r="J88" s="468"/>
      <c r="K88" s="467"/>
      <c r="L88" s="468"/>
      <c r="M88" s="469"/>
      <c r="N88" s="470"/>
      <c r="O88" s="470"/>
      <c r="P88" s="470"/>
      <c r="Q88" s="469"/>
      <c r="R88" s="471"/>
      <c r="S88" s="471"/>
      <c r="T88" s="471"/>
      <c r="U88" s="471"/>
      <c r="V88" s="471"/>
      <c r="W88" s="471"/>
      <c r="X88" s="471"/>
      <c r="Y88" s="471"/>
      <c r="Z88" s="471"/>
      <c r="AA88" s="471" t="str">
        <f t="shared" si="219"/>
        <v/>
      </c>
      <c r="AB88" s="471"/>
      <c r="AC88" s="471"/>
      <c r="AD88" s="471"/>
      <c r="AE88" s="471"/>
      <c r="AF88" s="471"/>
      <c r="AG88" s="471"/>
      <c r="AH88" s="471"/>
      <c r="AI88" s="471"/>
      <c r="AJ88" s="471"/>
      <c r="AK88" s="472"/>
      <c r="AL88" s="471"/>
      <c r="AM88" s="473">
        <f t="shared" si="148"/>
        <v>474.44695720875893</v>
      </c>
      <c r="AN88" s="474">
        <f t="shared" si="149"/>
        <v>10</v>
      </c>
      <c r="AO88" s="474"/>
      <c r="AP88" s="474"/>
      <c r="AQ88" s="475">
        <v>3</v>
      </c>
      <c r="AR88" s="474"/>
      <c r="AS88" s="474"/>
      <c r="AT88" s="471"/>
      <c r="AU88" s="492"/>
      <c r="AV88" s="471"/>
      <c r="AW88" s="471"/>
      <c r="AX88" s="478"/>
      <c r="AY88" s="493"/>
      <c r="AZ88" s="480"/>
      <c r="BA88" s="493"/>
      <c r="BB88" s="478" t="str">
        <f>IF(OR(C88="",D88=""),"",VLOOKUP(C88,'Base de Diseño (2)'!$A$2:$D$330,4,FALSE))</f>
        <v/>
      </c>
      <c r="BC88" s="478" t="str">
        <f>IF(OR(C88="",D88=""),"",VLOOKUP(D88,'Base de Diseño (2)'!$A$2:$D$330,4,FALSE))</f>
        <v/>
      </c>
      <c r="BD88" s="23"/>
      <c r="BE88" s="23"/>
      <c r="BF88" s="494"/>
      <c r="BG88" s="494"/>
      <c r="BH88" s="495"/>
      <c r="BI88" s="495"/>
      <c r="BJ88" s="468">
        <f t="shared" si="151"/>
        <v>0</v>
      </c>
      <c r="BK88" s="475"/>
      <c r="BL88" s="475"/>
      <c r="BM88" s="475"/>
      <c r="BN88" s="475"/>
      <c r="BO88" s="204"/>
      <c r="BP88" s="496"/>
      <c r="BQ88" s="497"/>
      <c r="BR88" s="497"/>
      <c r="BS88" s="475"/>
      <c r="BT88" s="475"/>
      <c r="BU88" s="475"/>
      <c r="BV88" s="475"/>
      <c r="BW88" s="475"/>
      <c r="BX88" s="475"/>
      <c r="BY88" s="475"/>
      <c r="BZ88" s="475"/>
      <c r="CA88" s="471"/>
      <c r="CB88" s="471"/>
      <c r="CC88" s="471" t="e">
        <f t="shared" si="150"/>
        <v>#DIV/0!</v>
      </c>
      <c r="CD88" s="471"/>
      <c r="CE88" s="471"/>
      <c r="CF88" s="471"/>
      <c r="CG88" s="471"/>
      <c r="CH88" s="471"/>
      <c r="CI88" s="471"/>
      <c r="CJ88" s="471"/>
      <c r="CK88" s="468"/>
      <c r="CL88" s="482" t="s">
        <v>2507</v>
      </c>
      <c r="CM88" s="482"/>
      <c r="CN88" s="63"/>
      <c r="CO88" s="498"/>
      <c r="CP88" s="472"/>
      <c r="CQ88" s="482"/>
      <c r="CR88" s="204"/>
      <c r="CS88" s="486"/>
      <c r="CT88" s="486"/>
      <c r="CU88" s="23"/>
      <c r="CV88" s="499"/>
      <c r="CW88" s="488"/>
      <c r="CX88" s="204"/>
      <c r="CY88" s="482"/>
      <c r="CZ88" s="482"/>
      <c r="DA88" s="482"/>
      <c r="DB88" s="490"/>
    </row>
    <row r="89" spans="1:106" ht="15.75" hidden="1" customHeight="1">
      <c r="A89" s="465">
        <v>49</v>
      </c>
      <c r="B89" s="491">
        <v>1</v>
      </c>
      <c r="C89" s="466" t="s">
        <v>2109</v>
      </c>
      <c r="D89" s="466" t="s">
        <v>2118</v>
      </c>
      <c r="E89" s="468">
        <v>0.1045</v>
      </c>
      <c r="F89" s="468"/>
      <c r="G89" s="468">
        <f>IF(B89=1,0,SUMIF($D$22:$D$583,C89,$H$22:$H$583))</f>
        <v>0</v>
      </c>
      <c r="H89" s="468">
        <f>+E89+F89+G89</f>
        <v>0.1045</v>
      </c>
      <c r="I89" s="468">
        <f>+E89</f>
        <v>0.1045</v>
      </c>
      <c r="J89" s="468"/>
      <c r="K89" s="467">
        <f>+IF(B89=1,0,SUMIF($D$22:$D$583,C89,$L$22:$L$580))</f>
        <v>0</v>
      </c>
      <c r="L89" s="468">
        <f>+I89+J89+K89</f>
        <v>0.1045</v>
      </c>
      <c r="M89" s="469">
        <f>+$P$12</f>
        <v>242.33666300502347</v>
      </c>
      <c r="N89" s="470">
        <f>M89*E89</f>
        <v>25.324181284024952</v>
      </c>
      <c r="O89" s="470">
        <f>M89*F89</f>
        <v>0</v>
      </c>
      <c r="P89" s="470">
        <f>M89*H89</f>
        <v>25.324181284024952</v>
      </c>
      <c r="Q89" s="469">
        <f>+$H$14</f>
        <v>140</v>
      </c>
      <c r="R89" s="471">
        <f>Q89*P89*$P$14/86400</f>
        <v>3.4879370055543625E-2</v>
      </c>
      <c r="S89" s="471"/>
      <c r="T89" s="471"/>
      <c r="U89" s="471">
        <f>IF(C89="","",T89*$P$17)</f>
        <v>0</v>
      </c>
      <c r="V89" s="471"/>
      <c r="W89" s="471"/>
      <c r="X89" s="471">
        <f>IF(C89="","",W89*$P$16)</f>
        <v>0</v>
      </c>
      <c r="Y89" s="471">
        <f>IF(H89=0,0,$H$15*H89)</f>
        <v>2.0900000000000002E-2</v>
      </c>
      <c r="Z89" s="471">
        <f>IF(L89=0,$H$16*H89,0)</f>
        <v>0</v>
      </c>
      <c r="AA89" s="471">
        <f t="shared" si="219"/>
        <v>3.8</v>
      </c>
      <c r="AB89" s="471">
        <f>R89*AA89</f>
        <v>0.13254160621106578</v>
      </c>
      <c r="AC89" s="471">
        <f>Q89*(N89+O89)*$P$14/86400</f>
        <v>3.4879370055543625E-2</v>
      </c>
      <c r="AD89" s="471">
        <f>IF(E89=0,0,$H$15*(E89+F89))</f>
        <v>2.0900000000000002E-2</v>
      </c>
      <c r="AE89" s="471">
        <f>IF(F89=0,0,$H$15*(F89+G89))</f>
        <v>0</v>
      </c>
      <c r="AF89" s="471">
        <f>IF(N89="","",IF(1+((14/(4+(((N89+O89)+O89)/1000)^1/2)))&lt;1.4,1.4,IF(1+((14/(4+((N89+O89)/1000)^1/2)))&gt;=4,4,(1+((14/(4+((N89+O89)/1000)^1/2)))))))</f>
        <v>4</v>
      </c>
      <c r="AG89" s="471">
        <f>AC89*AF89</f>
        <v>0.1395174802221745</v>
      </c>
      <c r="AH89" s="471">
        <f>+AD89+AE89+AG89</f>
        <v>0.1604174802221745</v>
      </c>
      <c r="AI89" s="471">
        <f>IF(H89="","",IF(AB89+Y89+Z89+X89+U89&lt;1.5,1.5,AB89+Y89+Z89+X89+U89))</f>
        <v>1.5</v>
      </c>
      <c r="AJ89" s="471">
        <f>+$P$17</f>
        <v>0.75</v>
      </c>
      <c r="AK89" s="472">
        <f>+BK89/100</f>
        <v>4.1830532713620278E-2</v>
      </c>
      <c r="AL89" s="471">
        <f>IF(AJ89=0," ",0.14+0.65*AJ89+0.05*AK89)</f>
        <v>0.62959152663568108</v>
      </c>
      <c r="AM89" s="473">
        <f t="shared" si="148"/>
        <v>336.32613267542746</v>
      </c>
      <c r="AN89" s="474">
        <f t="shared" si="149"/>
        <v>5</v>
      </c>
      <c r="AO89" s="474">
        <f>((1/60)*$AX89/$AQ89)</f>
        <v>0.15538888888888888</v>
      </c>
      <c r="AP89" s="474">
        <f>IF(B89=1,IF(($AN89+$AO89)&lt;10,10,IF(($AN89+$AO89)&gt;20,20,($AN89+$AO89))),($AN89+$AO89))</f>
        <v>10</v>
      </c>
      <c r="AQ89" s="475">
        <v>3</v>
      </c>
      <c r="AR89" s="474">
        <f>((1/60)*$AX89/$BT89)</f>
        <v>0.30767838871282427</v>
      </c>
      <c r="AS89" s="474">
        <f>AO89/AR89</f>
        <v>0.50503673507573899</v>
      </c>
      <c r="AT89" s="471" t="str">
        <f>IF(AS89&lt;0.9,"Disminuir vel.",IF(AS89&gt;1.1,"Aumentar vel.","Cumple"))</f>
        <v>Disminuir vel.</v>
      </c>
      <c r="AU89" s="492">
        <f>+I89*AL89*AM89</f>
        <v>22.127674706793385</v>
      </c>
      <c r="AV89" s="471">
        <f>+L89*AL89*AM89</f>
        <v>22.127674706793385</v>
      </c>
      <c r="AW89" s="471">
        <f>ROUND(IF(AI89&gt;(AV89*0.05),(AV89+AI89),AV89),2)</f>
        <v>23.63</v>
      </c>
      <c r="AX89" s="478">
        <f>IF(OR(C89="",D89=""),"",ROUND(((VLOOKUP(C89,'Base de Diseño (2)'!$A$2:$C$333,2,FALSE)-VLOOKUP(D89,'Base de Diseño (2)'!$A$2:$C$333,2,FALSE))^2+(VLOOKUP(C89,'Base de Diseño (2)'!$A$2:$C$333,3,0)-VLOOKUP(D89,'Base de Diseño (2)'!$A$2:$C$333,3,FALSE))^2)^0.5,2))</f>
        <v>27.97</v>
      </c>
      <c r="AY89" s="493">
        <v>8</v>
      </c>
      <c r="AZ89" s="480">
        <f>IF(AND(L89="",H89=""),"",IF(BA89=4,VLOOKUP(AY89,'TABLA (2)'!$A$74:$C$89,2),IF(BA89=5,VLOOKUP(AY89,'TABLA (2)'!$A$51:$B$66,2),IF(BA89=6,VLOOKUP(AY89,'TABLA (2)'!$A$9:$B$43,2)))))</f>
        <v>200</v>
      </c>
      <c r="BA89" s="493">
        <v>6</v>
      </c>
      <c r="BB89" s="478">
        <f>IF(OR(C89="",D89=""),"",VLOOKUP(C89,'Base de Diseño (2)'!$A$2:$D$330,4,FALSE))</f>
        <v>990.72160000000008</v>
      </c>
      <c r="BC89" s="478">
        <f>IF(OR(C89="",D89=""),"",VLOOKUP(D89,'Base de Diseño (2)'!$A$2:$D$330,4,FALSE))</f>
        <v>991.89160000000004</v>
      </c>
      <c r="BD89" s="23">
        <f>+BF89-((AZ89/1000)+CX89)</f>
        <v>0.66299999999997727</v>
      </c>
      <c r="BE89" s="23">
        <f>+BG89-((AZ89/1000)+CX89)</f>
        <v>2.7392720254166196</v>
      </c>
      <c r="BF89" s="494">
        <v>0.89999999999997726</v>
      </c>
      <c r="BG89" s="494">
        <v>2.9762720254166197</v>
      </c>
      <c r="BH89" s="495">
        <f>BB89-BF89</f>
        <v>989.8216000000001</v>
      </c>
      <c r="BI89" s="495">
        <f>BC89-BG89</f>
        <v>988.91532797458342</v>
      </c>
      <c r="BJ89" s="468">
        <f t="shared" si="151"/>
        <v>988.91532797458342</v>
      </c>
      <c r="BK89" s="475">
        <f>ABS((BB89-BC89)/AX89)*100</f>
        <v>4.1830532713620281</v>
      </c>
      <c r="BL89" s="475">
        <f>((BH89-BI89)/AX89)*100</f>
        <v>3.2401574022763087</v>
      </c>
      <c r="BM89" s="475">
        <f>IF(BA89=6,(1/0.013)*((AZ89/4000)^(2/3))*((BL89/100)^(0.5)),(1/0.009)*((AZ89/4000)^(2/3))*((BL89/100)^(0.5)))</f>
        <v>1.879257842506165</v>
      </c>
      <c r="BN89" s="475">
        <f>1000*BM89*PI()*((AZ89/1000/2)^2)</f>
        <v>59.038626322183731</v>
      </c>
      <c r="BO89" s="204">
        <f>AI89/BN89</f>
        <v>2.5407095209401508E-2</v>
      </c>
      <c r="BP89" s="496">
        <f>IF(L89=0," ",AW89/BN89)</f>
        <v>0.4002464398654384</v>
      </c>
      <c r="BQ89" s="497">
        <f>IF($BO89&gt;0 =AND($BO89&lt;=0.06),10^(0.029806+0.29095*LOG($BO89)),IF($BO89&gt;0.06 =AND($BO89&lt;=0.26),10^(0.013778+0.282597*LOG($BO89)),IF($BO89&gt;0.26 =AND($BO89&lt;=0.91),10^(0.021763+0.28995*LOG($BO89)),1)))</f>
        <v>0.36789819885237213</v>
      </c>
      <c r="BR89" s="497">
        <f>IF($BP89&gt;0 =AND($BP89&lt;=0.06),10^(0.029806+0.29095*LOG($BP89)),IF($BP89&gt;0.06 =AND($BP89&lt;=0.26),10^(0.013778+0.282597*LOG($BP89)),IF($BP89&gt;0.26 =AND($BP89&lt;=2),10^(0.021763+0.28995*LOG($BP89))," ")))</f>
        <v>0.8062279539068874</v>
      </c>
      <c r="BS89" s="475">
        <f>BM89*BQ89</f>
        <v>0.69137557543721295</v>
      </c>
      <c r="BT89" s="475">
        <f>IF(BP89=" "," ",(BM89*BR89))</f>
        <v>1.515110205227217</v>
      </c>
      <c r="BU89" s="475">
        <f>IF(BO89&lt;=0.11,0.3827+0.0645*LN(BO89),IF(BO89&lt;=0.21,0.60025+0.15471*LN(BO89),IF(BO89&lt;1,0.225+0.6666666667*BO89,0)))</f>
        <v>0.14580912107668134</v>
      </c>
      <c r="BV89" s="475">
        <f>IF(BP89&lt;=0.11,0.3827+0.0645*LN(BP89),IF(BP89&lt;=0.21,0.60025+0.15471*LN(BP89),IF(BP89&lt;1,0.225+0.6666666667*BP89," ")))</f>
        <v>0.49183095992363379</v>
      </c>
      <c r="BW89" s="475">
        <f>2*ACOS(1-2*(BU89))</f>
        <v>1.567186889257802</v>
      </c>
      <c r="BX89" s="475">
        <f>IF(BP89=" "," ",(2*ACOS(1-2*(BV89))))</f>
        <v>3.1089150393861753</v>
      </c>
      <c r="BY89" s="475">
        <f>(1/4)*(1-(SIN(BW89))/BW89)</f>
        <v>9.0479541265657853E-2</v>
      </c>
      <c r="BZ89" s="475">
        <f>IF(BP89=" "," ",((1/4)*(1-(SIN(BX89))/BX89)))</f>
        <v>0.24737273305719462</v>
      </c>
      <c r="CA89" s="471">
        <f>BY89*AZ89/1000</f>
        <v>1.8095908253131572E-2</v>
      </c>
      <c r="CB89" s="471">
        <f>IF(BP89=" "," ",(BZ89*AZ89/1000))</f>
        <v>4.9474546611438922E-2</v>
      </c>
      <c r="CC89" s="471">
        <f t="shared" si="150"/>
        <v>1.7442165118359105</v>
      </c>
      <c r="CD89" s="471" t="str">
        <f>IF(CC89="","",IF(CC89&lt;0.7,"F. Subcrítico",IF(AND(CC89&gt;0.7,CC89&lt;1),"F. Subcrítico Inestable",IF(CC89=1,"F. Crítico",IF(AND(CC89&gt;1,CC89&lt;1.5),"F. Supercrítico Inestable",IF(CC89&gt;1.5,"F. Supercrítico",""))))))</f>
        <v>F. Supercrítico</v>
      </c>
      <c r="CE89" s="471">
        <f>1000*BL89*CA89/100</f>
        <v>0.58633591077297209</v>
      </c>
      <c r="CF89" s="471">
        <f>IF(BP89=" "," ",(1000*BL89*CB89/100))</f>
        <v>1.603053184273181</v>
      </c>
      <c r="CG89" s="471" t="str">
        <f>IF(BS89&lt;0.45,"No cumple",IF(BS89&gt;5,"No cumple","O.K"))</f>
        <v>O.K</v>
      </c>
      <c r="CH89" s="471" t="str">
        <f>IF(BT89&lt;0.75,"No cumple",IF(BT89&gt;10,"No cumple","O.K"))</f>
        <v>O.K</v>
      </c>
      <c r="CI89" s="471" t="str">
        <f>IF(CE89&gt;0.1,"OK","V.C.H.")</f>
        <v>OK</v>
      </c>
      <c r="CJ89" s="471" t="str">
        <f>IF(CF89&gt;0.2,"OK","V.C.H.")</f>
        <v>OK</v>
      </c>
      <c r="CK89" s="468">
        <f>+BJ89</f>
        <v>988.91532797458342</v>
      </c>
      <c r="CL89" s="482" t="s">
        <v>2507</v>
      </c>
      <c r="CM89" s="482"/>
      <c r="CN89" s="63" t="str">
        <f>IF(B89=1,"dato"," ")</f>
        <v>dato</v>
      </c>
      <c r="CO89" s="498">
        <f>+CR89</f>
        <v>27.97</v>
      </c>
      <c r="CP89" s="472">
        <f>+BK89/100</f>
        <v>4.1830532713620278E-2</v>
      </c>
      <c r="CQ89" s="482" t="s">
        <v>2508</v>
      </c>
      <c r="CR89" s="204">
        <f>IF(BA89="","",AX89)</f>
        <v>27.97</v>
      </c>
      <c r="CS89" s="486">
        <v>1.2</v>
      </c>
      <c r="CT89" s="486">
        <v>1.2</v>
      </c>
      <c r="CU89" s="23">
        <f>IF($BA89="","",SQRT((BH89-BI89)^2+$CR89^2))</f>
        <v>27.984678468477227</v>
      </c>
      <c r="CV89" s="499" t="s">
        <v>2509</v>
      </c>
      <c r="CW89" s="488" t="str">
        <f>+IF(BD89&lt;=0.9,"E1",IF(BD89&lt;=2.5,"E2","E3"))</f>
        <v>E1</v>
      </c>
      <c r="CX89" s="204">
        <f>IF(AND(L89="",H89=""),"",IF(AND(BA89&lt;&gt;4,BA89&lt;&gt;5),VLOOKUP(AY89,'TABLA (2)'!$A$9:$D$43,4),IF(BA89=4,VLOOKUP(AY89,'TABLA (2)'!$A$74:$D$89,4),VLOOKUP(AY89,'TABLA (2)'!$A$51:$D$66,4))))</f>
        <v>3.6999999999999998E-2</v>
      </c>
      <c r="CY89" s="482"/>
      <c r="CZ89" s="482"/>
      <c r="DA89" s="482"/>
      <c r="DB89" s="490"/>
    </row>
    <row r="90" spans="1:106" ht="15.75" hidden="1" customHeight="1">
      <c r="A90" s="465"/>
      <c r="B90" s="491"/>
      <c r="C90" s="501"/>
      <c r="D90" s="501"/>
      <c r="E90" s="468"/>
      <c r="F90" s="468"/>
      <c r="G90" s="468"/>
      <c r="H90" s="468"/>
      <c r="I90" s="468"/>
      <c r="J90" s="468"/>
      <c r="K90" s="467"/>
      <c r="L90" s="468"/>
      <c r="M90" s="469"/>
      <c r="N90" s="470"/>
      <c r="O90" s="470"/>
      <c r="P90" s="470"/>
      <c r="Q90" s="469"/>
      <c r="R90" s="471"/>
      <c r="S90" s="471"/>
      <c r="T90" s="471"/>
      <c r="U90" s="471"/>
      <c r="V90" s="471"/>
      <c r="W90" s="471"/>
      <c r="X90" s="471"/>
      <c r="Y90" s="471"/>
      <c r="Z90" s="471"/>
      <c r="AA90" s="471" t="str">
        <f t="shared" si="219"/>
        <v/>
      </c>
      <c r="AB90" s="471"/>
      <c r="AC90" s="471"/>
      <c r="AD90" s="471"/>
      <c r="AE90" s="471"/>
      <c r="AF90" s="471"/>
      <c r="AG90" s="471"/>
      <c r="AH90" s="471"/>
      <c r="AI90" s="471"/>
      <c r="AJ90" s="471"/>
      <c r="AK90" s="472"/>
      <c r="AL90" s="471"/>
      <c r="AM90" s="473">
        <f t="shared" si="148"/>
        <v>474.44695720875893</v>
      </c>
      <c r="AN90" s="474">
        <f t="shared" si="149"/>
        <v>10</v>
      </c>
      <c r="AO90" s="474"/>
      <c r="AP90" s="474"/>
      <c r="AQ90" s="475">
        <v>3</v>
      </c>
      <c r="AR90" s="474"/>
      <c r="AS90" s="474"/>
      <c r="AT90" s="471"/>
      <c r="AU90" s="492"/>
      <c r="AV90" s="471"/>
      <c r="AW90" s="471"/>
      <c r="AX90" s="478"/>
      <c r="AY90" s="493"/>
      <c r="AZ90" s="480"/>
      <c r="BA90" s="493"/>
      <c r="BB90" s="478" t="str">
        <f>IF(OR(C90="",D90=""),"",VLOOKUP(C90,'Base de Diseño (2)'!$A$2:$D$330,4,FALSE))</f>
        <v/>
      </c>
      <c r="BC90" s="478" t="str">
        <f>IF(OR(C90="",D90=""),"",VLOOKUP(D90,'Base de Diseño (2)'!$A$2:$D$330,4,FALSE))</f>
        <v/>
      </c>
      <c r="BD90" s="23"/>
      <c r="BE90" s="23"/>
      <c r="BF90" s="494"/>
      <c r="BG90" s="494"/>
      <c r="BH90" s="495"/>
      <c r="BI90" s="495"/>
      <c r="BJ90" s="468">
        <f t="shared" si="151"/>
        <v>0</v>
      </c>
      <c r="BK90" s="475"/>
      <c r="BL90" s="475"/>
      <c r="BM90" s="475"/>
      <c r="BN90" s="475"/>
      <c r="BO90" s="204"/>
      <c r="BP90" s="496"/>
      <c r="BQ90" s="497"/>
      <c r="BR90" s="497"/>
      <c r="BS90" s="475"/>
      <c r="BT90" s="475"/>
      <c r="BU90" s="475"/>
      <c r="BV90" s="475"/>
      <c r="BW90" s="475"/>
      <c r="BX90" s="475"/>
      <c r="BY90" s="475"/>
      <c r="BZ90" s="475"/>
      <c r="CA90" s="471"/>
      <c r="CB90" s="471"/>
      <c r="CC90" s="471" t="e">
        <f t="shared" si="150"/>
        <v>#DIV/0!</v>
      </c>
      <c r="CD90" s="471"/>
      <c r="CE90" s="471"/>
      <c r="CF90" s="471"/>
      <c r="CG90" s="471"/>
      <c r="CH90" s="471"/>
      <c r="CI90" s="471"/>
      <c r="CJ90" s="471"/>
      <c r="CK90" s="468"/>
      <c r="CL90" s="482" t="s">
        <v>2507</v>
      </c>
      <c r="CM90" s="482"/>
      <c r="CN90" s="63"/>
      <c r="CO90" s="498"/>
      <c r="CP90" s="472"/>
      <c r="CQ90" s="482"/>
      <c r="CR90" s="204"/>
      <c r="CS90" s="486"/>
      <c r="CT90" s="486"/>
      <c r="CU90" s="23"/>
      <c r="CV90" s="499"/>
      <c r="CW90" s="488"/>
      <c r="CX90" s="204"/>
      <c r="CY90" s="482"/>
      <c r="CZ90" s="482"/>
      <c r="DA90" s="482"/>
      <c r="DB90" s="490"/>
    </row>
    <row r="91" spans="1:106" ht="15.75" hidden="1" customHeight="1">
      <c r="A91" s="465">
        <v>50</v>
      </c>
      <c r="B91" s="491">
        <v>1</v>
      </c>
      <c r="C91" s="466" t="s">
        <v>2110</v>
      </c>
      <c r="D91" s="466" t="s">
        <v>2120</v>
      </c>
      <c r="E91" s="468">
        <v>0.1026</v>
      </c>
      <c r="F91" s="468"/>
      <c r="G91" s="468">
        <f>IF(B91=1,0,SUMIF($D$22:$D$583,C91,$H$22:$H$583))</f>
        <v>0</v>
      </c>
      <c r="H91" s="468">
        <f>+E91+F91+G91</f>
        <v>0.1026</v>
      </c>
      <c r="I91" s="468">
        <f>+E91</f>
        <v>0.1026</v>
      </c>
      <c r="J91" s="468"/>
      <c r="K91" s="467">
        <f>+IF(B91=1,0,SUMIF($D$22:$D$583,C91,$L$22:$L$580))</f>
        <v>0</v>
      </c>
      <c r="L91" s="468">
        <f>+I91+J91+K91</f>
        <v>0.1026</v>
      </c>
      <c r="M91" s="469">
        <f>+$P$12</f>
        <v>242.33666300502347</v>
      </c>
      <c r="N91" s="470">
        <f>M91*E91</f>
        <v>24.863741624315406</v>
      </c>
      <c r="O91" s="470">
        <f>M91*F91</f>
        <v>0</v>
      </c>
      <c r="P91" s="470">
        <f>M91*H91</f>
        <v>24.863741624315406</v>
      </c>
      <c r="Q91" s="469">
        <f>+$H$14</f>
        <v>140</v>
      </c>
      <c r="R91" s="471">
        <f>Q91*P91*$P$14/86400</f>
        <v>3.4245199690897371E-2</v>
      </c>
      <c r="S91" s="471"/>
      <c r="T91" s="471"/>
      <c r="U91" s="471">
        <f>IF(C91="","",T91*$P$17)</f>
        <v>0</v>
      </c>
      <c r="V91" s="471"/>
      <c r="W91" s="471"/>
      <c r="X91" s="471">
        <f>IF(C91="","",W91*$P$16)</f>
        <v>0</v>
      </c>
      <c r="Y91" s="471">
        <f>IF(H91=0,0,$H$15*H91)</f>
        <v>2.052E-2</v>
      </c>
      <c r="Z91" s="471">
        <f>IF(L91=0,$H$16*H91,0)</f>
        <v>0</v>
      </c>
      <c r="AA91" s="471">
        <f t="shared" si="219"/>
        <v>3.8</v>
      </c>
      <c r="AB91" s="471">
        <f>R91*AA91</f>
        <v>0.13013175882541</v>
      </c>
      <c r="AC91" s="471">
        <f>Q91*(N91+O91)*$P$14/86400</f>
        <v>3.4245199690897371E-2</v>
      </c>
      <c r="AD91" s="471">
        <f>IF(E91=0,0,$H$15*(E91+F91))</f>
        <v>2.052E-2</v>
      </c>
      <c r="AE91" s="471">
        <f>IF(F91=0,0,$H$15*(F91+G91))</f>
        <v>0</v>
      </c>
      <c r="AF91" s="471">
        <f>IF(N91="","",IF(1+((14/(4+(((N91+O91)+O91)/1000)^1/2)))&lt;1.4,1.4,IF(1+((14/(4+((N91+O91)/1000)^1/2)))&gt;=4,4,(1+((14/(4+((N91+O91)/1000)^1/2)))))))</f>
        <v>4</v>
      </c>
      <c r="AG91" s="471">
        <f>AC91*AF91</f>
        <v>0.13698079876358948</v>
      </c>
      <c r="AH91" s="471">
        <f>+AD91+AE91+AG91</f>
        <v>0.15750079876358949</v>
      </c>
      <c r="AI91" s="471">
        <f>IF(H91="","",IF(AB91+Y91+Z91+X91+U91&lt;1.5,1.5,AB91+Y91+Z91+X91+U91))</f>
        <v>1.5</v>
      </c>
      <c r="AJ91" s="471">
        <f>+$P$17</f>
        <v>0.75</v>
      </c>
      <c r="AK91" s="472">
        <f>+BK91/100</f>
        <v>0</v>
      </c>
      <c r="AL91" s="471">
        <f>IF(AJ91=0," ",0.14+0.65*AJ91+0.05*AK91)</f>
        <v>0.62750000000000006</v>
      </c>
      <c r="AM91" s="473" t="e">
        <f t="shared" si="148"/>
        <v>#DIV/0!</v>
      </c>
      <c r="AN91" s="474" t="e">
        <f t="shared" si="149"/>
        <v>#DIV/0!</v>
      </c>
      <c r="AO91" s="474">
        <f>((1/60)*$AX91/$AQ91)</f>
        <v>0.125</v>
      </c>
      <c r="AP91" s="474" t="e">
        <f>IF(B91=1,IF(($AN91+$AO91)&lt;10,10,IF(($AN91+$AO91)&gt;20,20,($AN91+$AO91))),($AN91+$AO91))</f>
        <v>#DIV/0!</v>
      </c>
      <c r="AQ91" s="475">
        <v>3</v>
      </c>
      <c r="AR91" s="474" t="e">
        <f>((1/60)*$AX91/$BT91)</f>
        <v>#DIV/0!</v>
      </c>
      <c r="AS91" s="474" t="e">
        <f>AO91/AR91</f>
        <v>#DIV/0!</v>
      </c>
      <c r="AT91" s="471" t="e">
        <f>IF(AS91&lt;0.9,"Disminuir vel.",IF(AS91&gt;1.1,"Aumentar vel.","Cumple"))</f>
        <v>#DIV/0!</v>
      </c>
      <c r="AU91" s="492" t="e">
        <f>+I91*AL91*AM91</f>
        <v>#DIV/0!</v>
      </c>
      <c r="AV91" s="471" t="e">
        <f>+L91*AL91*AM91</f>
        <v>#DIV/0!</v>
      </c>
      <c r="AW91" s="471" t="e">
        <f>ROUND(IF(AI91&gt;(AV91*0.05),(AV91+AI91),AV91),2)</f>
        <v>#DIV/0!</v>
      </c>
      <c r="AX91" s="478">
        <f>IF(OR(C91="",D91=""),"",ROUND(((VLOOKUP(C91,'Base de Diseño (2)'!$A$2:$C$333,2,FALSE)-VLOOKUP(D91,'Base de Diseño (2)'!$A$2:$C$333,2,FALSE))^2+(VLOOKUP(C91,'Base de Diseño (2)'!$A$2:$C$333,3,0)-VLOOKUP(D91,'Base de Diseño (2)'!$A$2:$C$333,3,FALSE))^2)^0.5,2))</f>
        <v>22.5</v>
      </c>
      <c r="AY91" s="493">
        <v>8</v>
      </c>
      <c r="AZ91" s="480">
        <f>IF(AND(L91="",H91=""),"",IF(BA91=4,VLOOKUP(AY91,'TABLA (2)'!$A$74:$C$89,2),IF(BA91=5,VLOOKUP(AY91,'TABLA (2)'!$A$51:$B$66,2),IF(BA91=6,VLOOKUP(AY91,'TABLA (2)'!$A$9:$B$43,2)))))</f>
        <v>200</v>
      </c>
      <c r="BA91" s="493">
        <v>6</v>
      </c>
      <c r="BB91" s="478">
        <f>IF(OR(C91="",D91=""),"",VLOOKUP(C91,'Base de Diseño (2)'!$A$2:$D$330,4,FALSE))</f>
        <v>992.44659999999999</v>
      </c>
      <c r="BC91" s="478">
        <f>IF(OR(C91="",D91=""),"",VLOOKUP(D91,'Base de Diseño (2)'!$A$2:$D$330,4,FALSE))</f>
        <v>992.44659999999999</v>
      </c>
      <c r="BD91" s="23">
        <f>+BF91-((AZ91/1000)+CX91)</f>
        <v>0.60300000000003184</v>
      </c>
      <c r="BE91" s="23">
        <f>+BG91-((AZ91/1000)+CX91)</f>
        <v>3.5548140046630241</v>
      </c>
      <c r="BF91" s="494">
        <v>0.84000000000003183</v>
      </c>
      <c r="BG91" s="494">
        <v>3.7918140046630242</v>
      </c>
      <c r="BH91" s="495">
        <f>BB91-BF91</f>
        <v>991.60659999999996</v>
      </c>
      <c r="BI91" s="495">
        <f>BC91-BG91</f>
        <v>988.65478599533697</v>
      </c>
      <c r="BJ91" s="468">
        <f t="shared" si="151"/>
        <v>988.65478599533697</v>
      </c>
      <c r="BK91" s="475">
        <f>ABS((BB91-BC91)/AX91)*100</f>
        <v>0</v>
      </c>
      <c r="BL91" s="475">
        <f>((BH91-BI91)/AX91)*100</f>
        <v>13.119173354057745</v>
      </c>
      <c r="BM91" s="475">
        <f>IF(BA91=6,(1/0.013)*((AZ91/4000)^(2/3))*((BL91/100)^(0.5)),(1/0.009)*((AZ91/4000)^(2/3))*((BL91/100)^(0.5)))</f>
        <v>3.7814342428084262</v>
      </c>
      <c r="BN91" s="475">
        <f>1000*BM91*PI()*((AZ91/1000/2)^2)</f>
        <v>118.79726037239834</v>
      </c>
      <c r="BO91" s="204">
        <f>AI91/BN91</f>
        <v>1.2626553805179448E-2</v>
      </c>
      <c r="BP91" s="496" t="e">
        <f>IF(L91=0," ",AW91/BN91)</f>
        <v>#DIV/0!</v>
      </c>
      <c r="BQ91" s="497">
        <f>IF($BO91&gt;0 =AND($BO91&lt;=0.06),10^(0.029806+0.29095*LOG($BO91)),IF($BO91&gt;0.06 =AND($BO91&lt;=0.26),10^(0.013778+0.282597*LOG($BO91)),IF($BO91&gt;0.26 =AND($BO91&lt;=0.91),10^(0.021763+0.28995*LOG($BO91)),1)))</f>
        <v>0.30017520947228693</v>
      </c>
      <c r="BR91" s="497" t="e">
        <f>IF($BP91&gt;0 =AND($BP91&lt;=0.06),10^(0.029806+0.29095*LOG($BP91)),IF($BP91&gt;0.06 =AND($BP91&lt;=0.26),10^(0.013778+0.282597*LOG($BP91)),IF($BP91&gt;0.26 =AND($BP91&lt;=2),10^(0.021763+0.28995*LOG($BP91))," ")))</f>
        <v>#DIV/0!</v>
      </c>
      <c r="BS91" s="475">
        <f>BM91*BQ91</f>
        <v>1.1350928159406981</v>
      </c>
      <c r="BT91" s="475" t="e">
        <f>IF(BP91=" "," ",(BM91*BR91))</f>
        <v>#DIV/0!</v>
      </c>
      <c r="BU91" s="475">
        <f>IF(BO91&lt;=0.11,0.3827+0.0645*LN(BO91),IF(BO91&lt;=0.21,0.60025+0.15471*LN(BO91),IF(BO91&lt;1,0.225+0.6666666667*BO91,0)))</f>
        <v>0.10070901616731298</v>
      </c>
      <c r="BV91" s="475" t="e">
        <f>IF(BP91&lt;=0.11,0.3827+0.0645*LN(BP91),IF(BP91&lt;=0.21,0.60025+0.15471*LN(BP91),IF(BP91&lt;1,0.225+0.6666666667*BP91," ")))</f>
        <v>#DIV/0!</v>
      </c>
      <c r="BW91" s="475">
        <f>2*ACOS(1-2*(BU91))</f>
        <v>1.2917215723153688</v>
      </c>
      <c r="BX91" s="475" t="e">
        <f>IF(BP91=" "," ",(2*ACOS(1-2*(BV91))))</f>
        <v>#DIV/0!</v>
      </c>
      <c r="BY91" s="475">
        <f>(1/4)*(1-(SIN(BW91))/BW91)</f>
        <v>6.3947768556797041E-2</v>
      </c>
      <c r="BZ91" s="475" t="e">
        <f>IF(BP91=" "," ",((1/4)*(1-(SIN(BX91))/BX91)))</f>
        <v>#DIV/0!</v>
      </c>
      <c r="CA91" s="471">
        <f>BY91*AZ91/1000</f>
        <v>1.2789553711359409E-2</v>
      </c>
      <c r="CB91" s="471" t="e">
        <f>IF(BP91=" "," ",(BZ91*AZ91/1000))</f>
        <v>#DIV/0!</v>
      </c>
      <c r="CC91" s="471" t="e">
        <f t="shared" si="150"/>
        <v>#DIV/0!</v>
      </c>
      <c r="CD91" s="471" t="e">
        <f>IF(CC91="","",IF(CC91&lt;0.7,"F. Subcrítico",IF(AND(CC91&gt;0.7,CC91&lt;1),"F. Subcrítico Inestable",IF(CC91=1,"F. Crítico",IF(AND(CC91&gt;1,CC91&lt;1.5),"F. Supercrítico Inestable",IF(CC91&gt;1.5,"F. Supercrítico",""))))))</f>
        <v>#DIV/0!</v>
      </c>
      <c r="CE91" s="471">
        <f>1000*BL91*CA91/100</f>
        <v>1.6778837226035668</v>
      </c>
      <c r="CF91" s="471" t="e">
        <f>IF(BP91=" "," ",(1000*BL91*CB91/100))</f>
        <v>#DIV/0!</v>
      </c>
      <c r="CG91" s="471" t="str">
        <f>IF(BS91&lt;0.45,"No cumple",IF(BS91&gt;5,"No cumple","O.K"))</f>
        <v>O.K</v>
      </c>
      <c r="CH91" s="471" t="e">
        <f>IF(BT91&lt;0.75,"No cumple",IF(BT91&gt;10,"No cumple","O.K"))</f>
        <v>#DIV/0!</v>
      </c>
      <c r="CI91" s="471" t="str">
        <f>IF(CE91&gt;0.1,"OK","V.C.H.")</f>
        <v>OK</v>
      </c>
      <c r="CJ91" s="471" t="e">
        <f>IF(CF91&gt;0.2,"OK","V.C.H.")</f>
        <v>#DIV/0!</v>
      </c>
      <c r="CK91" s="468">
        <f>+BJ91</f>
        <v>988.65478599533697</v>
      </c>
      <c r="CL91" s="482" t="s">
        <v>2507</v>
      </c>
      <c r="CM91" s="482"/>
      <c r="CN91" s="63" t="str">
        <f>IF(B91=1,"dato"," ")</f>
        <v>dato</v>
      </c>
      <c r="CO91" s="498">
        <f>+CR91</f>
        <v>22.5</v>
      </c>
      <c r="CP91" s="472">
        <f>+BK91/100</f>
        <v>0</v>
      </c>
      <c r="CQ91" s="482" t="s">
        <v>2508</v>
      </c>
      <c r="CR91" s="204">
        <f>IF(BA91="","",AX91)</f>
        <v>22.5</v>
      </c>
      <c r="CS91" s="486">
        <v>1.2</v>
      </c>
      <c r="CT91" s="486">
        <v>1.2</v>
      </c>
      <c r="CU91" s="23">
        <f>IF($BA91="","",SQRT((BH91-BI91)^2+$CR91^2))</f>
        <v>22.692800750857629</v>
      </c>
      <c r="CV91" s="499" t="s">
        <v>2509</v>
      </c>
      <c r="CW91" s="488" t="str">
        <f>+IF(BD91&lt;=0.9,"E1",IF(BD91&lt;=2.5,"E2","E3"))</f>
        <v>E1</v>
      </c>
      <c r="CX91" s="204">
        <f>IF(AND(L91="",H91=""),"",IF(AND(BA91&lt;&gt;4,BA91&lt;&gt;5),VLOOKUP(AY91,'TABLA (2)'!$A$9:$D$43,4),IF(BA91=4,VLOOKUP(AY91,'TABLA (2)'!$A$74:$D$89,4),VLOOKUP(AY91,'TABLA (2)'!$A$51:$D$66,4))))</f>
        <v>3.6999999999999998E-2</v>
      </c>
      <c r="CY91" s="482"/>
      <c r="CZ91" s="482"/>
      <c r="DA91" s="482"/>
      <c r="DB91" s="490"/>
    </row>
    <row r="92" spans="1:106" ht="15.75" hidden="1" customHeight="1">
      <c r="A92" s="465"/>
      <c r="B92" s="491"/>
      <c r="C92" s="501"/>
      <c r="D92" s="501"/>
      <c r="E92" s="468"/>
      <c r="F92" s="468"/>
      <c r="G92" s="468"/>
      <c r="H92" s="468"/>
      <c r="I92" s="468"/>
      <c r="J92" s="468"/>
      <c r="K92" s="467"/>
      <c r="L92" s="468"/>
      <c r="M92" s="469"/>
      <c r="N92" s="470"/>
      <c r="O92" s="470"/>
      <c r="P92" s="470"/>
      <c r="Q92" s="469"/>
      <c r="R92" s="471"/>
      <c r="S92" s="471"/>
      <c r="T92" s="471"/>
      <c r="U92" s="471"/>
      <c r="V92" s="471"/>
      <c r="W92" s="471"/>
      <c r="X92" s="471"/>
      <c r="Y92" s="471"/>
      <c r="Z92" s="471"/>
      <c r="AA92" s="471" t="str">
        <f t="shared" si="219"/>
        <v/>
      </c>
      <c r="AB92" s="471"/>
      <c r="AC92" s="471"/>
      <c r="AD92" s="471"/>
      <c r="AE92" s="471"/>
      <c r="AF92" s="471"/>
      <c r="AG92" s="471"/>
      <c r="AH92" s="471"/>
      <c r="AI92" s="471"/>
      <c r="AJ92" s="471"/>
      <c r="AK92" s="472"/>
      <c r="AL92" s="471"/>
      <c r="AM92" s="473">
        <f t="shared" si="148"/>
        <v>474.44695720875893</v>
      </c>
      <c r="AN92" s="474" t="e">
        <f t="shared" si="149"/>
        <v>#DIV/0!</v>
      </c>
      <c r="AO92" s="474"/>
      <c r="AP92" s="474"/>
      <c r="AQ92" s="475">
        <v>3</v>
      </c>
      <c r="AR92" s="474"/>
      <c r="AS92" s="474"/>
      <c r="AT92" s="471"/>
      <c r="AU92" s="492"/>
      <c r="AV92" s="471"/>
      <c r="AW92" s="471"/>
      <c r="AX92" s="478"/>
      <c r="AY92" s="493"/>
      <c r="AZ92" s="480"/>
      <c r="BA92" s="493"/>
      <c r="BB92" s="478" t="str">
        <f>IF(OR(C92="",D92=""),"",VLOOKUP(C92,'Base de Diseño (2)'!$A$2:$D$330,4,FALSE))</f>
        <v/>
      </c>
      <c r="BC92" s="478" t="str">
        <f>IF(OR(C92="",D92=""),"",VLOOKUP(D92,'Base de Diseño (2)'!$A$2:$D$330,4,FALSE))</f>
        <v/>
      </c>
      <c r="BD92" s="23"/>
      <c r="BE92" s="23"/>
      <c r="BF92" s="494"/>
      <c r="BG92" s="494"/>
      <c r="BH92" s="495"/>
      <c r="BI92" s="495"/>
      <c r="BJ92" s="468">
        <f t="shared" si="151"/>
        <v>0</v>
      </c>
      <c r="BK92" s="475"/>
      <c r="BL92" s="475"/>
      <c r="BM92" s="475"/>
      <c r="BN92" s="475"/>
      <c r="BO92" s="204"/>
      <c r="BP92" s="496"/>
      <c r="BQ92" s="497"/>
      <c r="BR92" s="497"/>
      <c r="BS92" s="475"/>
      <c r="BT92" s="475"/>
      <c r="BU92" s="475"/>
      <c r="BV92" s="475"/>
      <c r="BW92" s="475"/>
      <c r="BX92" s="475"/>
      <c r="BY92" s="475"/>
      <c r="BZ92" s="475"/>
      <c r="CA92" s="471"/>
      <c r="CB92" s="471"/>
      <c r="CC92" s="471" t="e">
        <f t="shared" si="150"/>
        <v>#DIV/0!</v>
      </c>
      <c r="CD92" s="471"/>
      <c r="CE92" s="471"/>
      <c r="CF92" s="471"/>
      <c r="CG92" s="471"/>
      <c r="CH92" s="471"/>
      <c r="CI92" s="471"/>
      <c r="CJ92" s="471"/>
      <c r="CK92" s="468"/>
      <c r="CL92" s="482" t="s">
        <v>2507</v>
      </c>
      <c r="CM92" s="482"/>
      <c r="CN92" s="63"/>
      <c r="CO92" s="498"/>
      <c r="CP92" s="472"/>
      <c r="CQ92" s="482"/>
      <c r="CR92" s="204"/>
      <c r="CS92" s="486"/>
      <c r="CT92" s="486"/>
      <c r="CU92" s="23"/>
      <c r="CV92" s="499"/>
      <c r="CW92" s="488"/>
      <c r="CX92" s="204"/>
      <c r="CY92" s="482"/>
      <c r="CZ92" s="482"/>
      <c r="DA92" s="482"/>
      <c r="DB92" s="490"/>
    </row>
    <row r="93" spans="1:106" ht="16.149999999999999" hidden="1" customHeight="1">
      <c r="A93" s="465">
        <v>51</v>
      </c>
      <c r="B93" s="491">
        <v>1</v>
      </c>
      <c r="C93" s="466" t="s">
        <v>2510</v>
      </c>
      <c r="D93" s="466" t="s">
        <v>2333</v>
      </c>
      <c r="E93" s="468">
        <v>7.6817593199999992E-2</v>
      </c>
      <c r="F93" s="468"/>
      <c r="G93" s="468">
        <f>IF(B93=1,0,SUMIF($D$22:$D$583,C93,$H$22:$H$583))</f>
        <v>0</v>
      </c>
      <c r="H93" s="468">
        <f>+E93+F93+G93</f>
        <v>7.6817593199999992E-2</v>
      </c>
      <c r="I93" s="468">
        <v>7.6817593199999992E-2</v>
      </c>
      <c r="J93" s="468"/>
      <c r="K93" s="467">
        <f>+IF(B93=1,0,SUMIF($D$22:$D$583,C93,$L$22:$L$580))</f>
        <v>0</v>
      </c>
      <c r="L93" s="468">
        <f>+I93+J93+K93</f>
        <v>7.6817593199999992E-2</v>
      </c>
      <c r="M93" s="469">
        <f>+$P$12</f>
        <v>242.33666300502347</v>
      </c>
      <c r="N93" s="470">
        <f>M93*E93</f>
        <v>18.615719196165379</v>
      </c>
      <c r="O93" s="470">
        <f>M93*F93</f>
        <v>0</v>
      </c>
      <c r="P93" s="470">
        <f>M93*H93</f>
        <v>18.615719196165379</v>
      </c>
      <c r="Q93" s="469">
        <f>+$H$14</f>
        <v>140</v>
      </c>
      <c r="R93" s="471">
        <f>Q93*P93*$P$14/86400</f>
        <v>2.5639705837311108E-2</v>
      </c>
      <c r="S93" s="471"/>
      <c r="T93" s="471"/>
      <c r="U93" s="471">
        <f>IF(C93="","",T93*$P$17)</f>
        <v>0</v>
      </c>
      <c r="V93" s="471"/>
      <c r="W93" s="471"/>
      <c r="X93" s="471">
        <f>IF(C93="","",W93*$P$16)</f>
        <v>0</v>
      </c>
      <c r="Y93" s="471">
        <f>IF(H93=0,0,$H$15*H93)</f>
        <v>1.5363518639999999E-2</v>
      </c>
      <c r="Z93" s="471">
        <f>IF(L93=0,$H$16*H93,0)</f>
        <v>0</v>
      </c>
      <c r="AA93" s="471">
        <f t="shared" si="219"/>
        <v>3.8</v>
      </c>
      <c r="AB93" s="471">
        <f>R93*AA93</f>
        <v>9.7430882181782211E-2</v>
      </c>
      <c r="AC93" s="471">
        <f>Q93*(N93+O93)*$P$14/86400</f>
        <v>2.5639705837311108E-2</v>
      </c>
      <c r="AD93" s="471">
        <f>IF(E93=0,0,$H$15*(E93+F93))</f>
        <v>1.5363518639999999E-2</v>
      </c>
      <c r="AE93" s="471">
        <f>IF(F93=0,0,$H$15*(F93+G93))</f>
        <v>0</v>
      </c>
      <c r="AF93" s="471">
        <f>IF(N93="","",IF(1+((14/(4+(((N93+O93)+O93)/1000)^1/2)))&lt;1.4,1.4,IF(1+((14/(4+((N93+O93)/1000)^1/2)))&gt;=4,4,(1+((14/(4+((N93+O93)/1000)^1/2)))))))</f>
        <v>4</v>
      </c>
      <c r="AG93" s="471">
        <f>AC93*AF93</f>
        <v>0.10255882334924443</v>
      </c>
      <c r="AH93" s="471">
        <f>+AD93+AE93+AG93</f>
        <v>0.11792234198924444</v>
      </c>
      <c r="AI93" s="471">
        <f>IF(H93="","",IF(AB93+Y93+Z93+X93+U93&lt;1.5,1.5,AB93+Y93+Z93+X93+U93))</f>
        <v>1.5</v>
      </c>
      <c r="AJ93" s="471">
        <f>+$P$17</f>
        <v>0.75</v>
      </c>
      <c r="AK93" s="472" t="e">
        <f>+BK93/100</f>
        <v>#N/A</v>
      </c>
      <c r="AL93" s="471" t="e">
        <f>IF(AJ93=0," ",0.14+0.65*AJ93+0.05*AK93)</f>
        <v>#N/A</v>
      </c>
      <c r="AM93" s="473" t="e">
        <f t="shared" si="148"/>
        <v>#N/A</v>
      </c>
      <c r="AN93" s="474" t="e">
        <f t="shared" si="149"/>
        <v>#N/A</v>
      </c>
      <c r="AO93" s="474" t="e">
        <f>((1/60)*$AX93/$AQ93)</f>
        <v>#N/A</v>
      </c>
      <c r="AP93" s="474" t="e">
        <f>IF(B93=1,IF(($AN93+$AO93)&lt;10,10,IF(($AN93+$AO93)&gt;20,20,($AN93+$AO93))),($AN93+$AO93))</f>
        <v>#N/A</v>
      </c>
      <c r="AQ93" s="475">
        <v>3</v>
      </c>
      <c r="AR93" s="474" t="e">
        <f>((1/60)*$AX93/$BT93)</f>
        <v>#N/A</v>
      </c>
      <c r="AS93" s="474" t="e">
        <f>AO93/AR93</f>
        <v>#N/A</v>
      </c>
      <c r="AT93" s="471" t="e">
        <f>IF(AS93&lt;0.9,"Disminuir vel.",IF(AS93&gt;1.1,"Aumentar vel.","Cumple"))</f>
        <v>#N/A</v>
      </c>
      <c r="AU93" s="492" t="e">
        <f>+I93*AL93*AM93</f>
        <v>#N/A</v>
      </c>
      <c r="AV93" s="471" t="e">
        <f>+L93*AL93*AM93</f>
        <v>#N/A</v>
      </c>
      <c r="AW93" s="471" t="e">
        <f>ROUND(IF(AI93&gt;(AV93*0.05),(AV93+AI93),AV93),2)</f>
        <v>#N/A</v>
      </c>
      <c r="AX93" s="478" t="e">
        <f>IF(OR(C93="",D93=""),"",ROUND(((VLOOKUP(C93,'Base de Diseño (2)'!$A$2:$C$333,2,FALSE)-VLOOKUP(D93,'Base de Diseño (2)'!$A$2:$C$333,2,FALSE))^2+(VLOOKUP(C93,'Base de Diseño (2)'!$A$2:$C$333,3,0)-VLOOKUP(D93,'Base de Diseño (2)'!$A$2:$C$333,3,FALSE))^2)^0.5,2))</f>
        <v>#N/A</v>
      </c>
      <c r="AY93" s="493">
        <v>8</v>
      </c>
      <c r="AZ93" s="480">
        <f>IF(AND(L93="",H93=""),"",IF(BA93=4,VLOOKUP(AY93,'TABLA (2)'!$A$74:$C$89,2),IF(BA93=5,VLOOKUP(AY93,'TABLA (2)'!$A$51:$B$66,2),IF(BA93=6,VLOOKUP(AY93,'TABLA (2)'!$A$9:$B$43,2)))))</f>
        <v>200</v>
      </c>
      <c r="BA93" s="493">
        <v>6</v>
      </c>
      <c r="BB93" s="478" t="e">
        <f>IF(OR(C93="",D93=""),"",VLOOKUP(C93,'Base de Diseño (2)'!$A$2:$D$330,4,FALSE))</f>
        <v>#N/A</v>
      </c>
      <c r="BC93" s="478">
        <f>IF(OR(C93="",D93=""),"",VLOOKUP(D93,'Base de Diseño (2)'!$A$2:$D$330,4,FALSE))</f>
        <v>968.77300000000002</v>
      </c>
      <c r="BD93" s="23">
        <f>+BF93-((AZ93/1000)+CX93)</f>
        <v>0.96300000000004549</v>
      </c>
      <c r="BE93" s="23">
        <f>+BG93-((AZ93/1000)+CX93)</f>
        <v>1.4129999999999772</v>
      </c>
      <c r="BF93" s="494">
        <v>1.2000000000000455</v>
      </c>
      <c r="BG93" s="494">
        <v>1.6499999999999773</v>
      </c>
      <c r="BH93" s="495" t="e">
        <f>BB93-BF93</f>
        <v>#N/A</v>
      </c>
      <c r="BI93" s="495">
        <f>BC93-BG93</f>
        <v>967.12300000000005</v>
      </c>
      <c r="BJ93" s="468">
        <f t="shared" si="151"/>
        <v>967.12300000000005</v>
      </c>
      <c r="BK93" s="475" t="e">
        <f>ABS((BB93-BC93)/AX93)*100</f>
        <v>#N/A</v>
      </c>
      <c r="BL93" s="475" t="e">
        <f>((BH93-BI93)/AX93)*100</f>
        <v>#N/A</v>
      </c>
      <c r="BM93" s="475" t="e">
        <f>IF(BA93=6,(1/0.013)*((AZ93/4000)^(2/3))*((BL93/100)^(0.5)),(1/0.009)*((AZ93/4000)^(2/3))*((BL93/100)^(0.5)))</f>
        <v>#N/A</v>
      </c>
      <c r="BN93" s="475" t="e">
        <f>1000*BM93*PI()*((AZ93/1000/2)^2)</f>
        <v>#N/A</v>
      </c>
      <c r="BO93" s="204" t="e">
        <f>AI93/BN93</f>
        <v>#N/A</v>
      </c>
      <c r="BP93" s="496" t="e">
        <f>IF(L93=0," ",AW93/BN93)</f>
        <v>#N/A</v>
      </c>
      <c r="BQ93" s="497" t="e">
        <f>IF($BO93&gt;0 =AND($BO93&lt;=0.06),10^(0.029806+0.29095*LOG($BO93)),IF($BO93&gt;0.06 =AND($BO93&lt;=0.26),10^(0.013778+0.282597*LOG($BO93)),IF($BO93&gt;0.26 =AND($BO93&lt;=0.91),10^(0.021763+0.28995*LOG($BO93)),1)))</f>
        <v>#N/A</v>
      </c>
      <c r="BR93" s="497" t="e">
        <f>IF($BP93&gt;0 =AND($BP93&lt;=0.06),10^(0.029806+0.29095*LOG($BP93)),IF($BP93&gt;0.06 =AND($BP93&lt;=0.26),10^(0.013778+0.282597*LOG($BP93)),IF($BP93&gt;0.26 =AND($BP93&lt;=2),10^(0.021763+0.28995*LOG($BP93))," ")))</f>
        <v>#N/A</v>
      </c>
      <c r="BS93" s="475" t="e">
        <f>BM93*BQ93</f>
        <v>#N/A</v>
      </c>
      <c r="BT93" s="475" t="e">
        <f>IF(BP93=" "," ",(BM93*BR93))</f>
        <v>#N/A</v>
      </c>
      <c r="BU93" s="475" t="e">
        <f>IF(BO93&lt;=0.11,0.3827+0.0645*LN(BO93),IF(BO93&lt;=0.21,0.60025+0.15471*LN(BO93),IF(BO93&lt;1,0.225+0.6666666667*BO93,0)))</f>
        <v>#N/A</v>
      </c>
      <c r="BV93" s="475" t="e">
        <f>IF(BP93&lt;=0.11,0.3827+0.0645*LN(BP93),IF(BP93&lt;=0.21,0.60025+0.15471*LN(BP93),IF(BP93&lt;1,0.225+0.6666666667*BP93," ")))</f>
        <v>#N/A</v>
      </c>
      <c r="BW93" s="475" t="e">
        <f>2*ACOS(1-2*(BU93))</f>
        <v>#N/A</v>
      </c>
      <c r="BX93" s="475" t="e">
        <f>IF(BP93=" "," ",(2*ACOS(1-2*(BV93))))</f>
        <v>#N/A</v>
      </c>
      <c r="BY93" s="475" t="e">
        <f>(1/4)*(1-(SIN(BW93))/BW93)</f>
        <v>#N/A</v>
      </c>
      <c r="BZ93" s="475" t="e">
        <f>IF(BP93=" "," ",((1/4)*(1-(SIN(BX93))/BX93)))</f>
        <v>#N/A</v>
      </c>
      <c r="CA93" s="471" t="e">
        <f>BY93*AZ93/1000</f>
        <v>#N/A</v>
      </c>
      <c r="CB93" s="471" t="e">
        <f>IF(BP93=" "," ",(BZ93*AZ93/1000))</f>
        <v>#N/A</v>
      </c>
      <c r="CC93" s="471" t="e">
        <f t="shared" si="150"/>
        <v>#N/A</v>
      </c>
      <c r="CD93" s="471" t="e">
        <f>IF(CC93="","",IF(CC93&lt;0.7,"F. Subcrítico",IF(AND(CC93&gt;0.7,CC93&lt;1),"F. Subcrítico Inestable",IF(CC93=1,"F. Crítico",IF(AND(CC93&gt;1,CC93&lt;1.5),"F. Supercrítico Inestable",IF(CC93&gt;1.5,"F. Supercrítico",""))))))</f>
        <v>#N/A</v>
      </c>
      <c r="CE93" s="471" t="e">
        <f>1000*BL93*CA93/100</f>
        <v>#N/A</v>
      </c>
      <c r="CF93" s="471" t="e">
        <f>IF(BP93=" "," ",(1000*BL93*CB93/100))</f>
        <v>#N/A</v>
      </c>
      <c r="CG93" s="471" t="e">
        <f>IF(BS93&lt;0.45,"No cumple",IF(BS93&gt;5,"No cumple","O.K"))</f>
        <v>#N/A</v>
      </c>
      <c r="CH93" s="471" t="e">
        <f>IF(BT93&lt;0.75,"No cumple",IF(BT93&gt;10,"No cumple","O.K"))</f>
        <v>#N/A</v>
      </c>
      <c r="CI93" s="471" t="e">
        <f>IF(CE93&gt;0.1,"OK","V.C.H.")</f>
        <v>#N/A</v>
      </c>
      <c r="CJ93" s="471" t="e">
        <f>IF(CF93&gt;0.2,"OK","V.C.H.")</f>
        <v>#N/A</v>
      </c>
      <c r="CK93" s="468">
        <f>+BJ93</f>
        <v>967.12300000000005</v>
      </c>
      <c r="CL93" s="482" t="s">
        <v>2507</v>
      </c>
      <c r="CM93" s="482"/>
      <c r="CN93" s="63" t="str">
        <f>IF(B93=1,"dato"," ")</f>
        <v>dato</v>
      </c>
      <c r="CO93" s="498" t="e">
        <f>+CR93</f>
        <v>#N/A</v>
      </c>
      <c r="CP93" s="472" t="e">
        <f>+BK93/100</f>
        <v>#N/A</v>
      </c>
      <c r="CQ93" s="482" t="s">
        <v>2508</v>
      </c>
      <c r="CR93" s="204" t="e">
        <f>IF(BA93="","",AX93)</f>
        <v>#N/A</v>
      </c>
      <c r="CS93" s="486">
        <v>1.2</v>
      </c>
      <c r="CT93" s="486">
        <v>1.2</v>
      </c>
      <c r="CU93" s="23" t="e">
        <f>IF($BA93="","",SQRT((BH93-BI93)^2+$CR93^2))</f>
        <v>#N/A</v>
      </c>
      <c r="CV93" s="499" t="s">
        <v>2509</v>
      </c>
      <c r="CW93" s="488" t="str">
        <f>+IF(BD93&lt;=0.9,"E1",IF(BD93&lt;=2.5,"E2","E3"))</f>
        <v>E2</v>
      </c>
      <c r="CX93" s="204">
        <f>IF(AND(L93="",H93=""),"",IF(AND(BA93&lt;&gt;4,BA93&lt;&gt;5),VLOOKUP(AY93,'TABLA (2)'!$A$9:$D$43,4),IF(BA93=4,VLOOKUP(AY93,'TABLA (2)'!$A$74:$D$89,4),VLOOKUP(AY93,'TABLA (2)'!$A$51:$D$66,4))))</f>
        <v>3.6999999999999998E-2</v>
      </c>
      <c r="CY93" s="482"/>
      <c r="CZ93" s="482"/>
      <c r="DA93" s="482"/>
      <c r="DB93" s="490"/>
    </row>
    <row r="94" spans="1:106" ht="15.75" hidden="1" customHeight="1">
      <c r="A94" s="465"/>
      <c r="B94" s="491"/>
      <c r="C94" s="501"/>
      <c r="D94" s="501"/>
      <c r="E94" s="468"/>
      <c r="F94" s="468"/>
      <c r="G94" s="468"/>
      <c r="H94" s="468"/>
      <c r="I94" s="468"/>
      <c r="J94" s="468"/>
      <c r="K94" s="467"/>
      <c r="L94" s="468"/>
      <c r="M94" s="469"/>
      <c r="N94" s="470"/>
      <c r="O94" s="470"/>
      <c r="P94" s="470"/>
      <c r="Q94" s="469"/>
      <c r="R94" s="471"/>
      <c r="S94" s="471"/>
      <c r="T94" s="471"/>
      <c r="U94" s="471"/>
      <c r="V94" s="471"/>
      <c r="W94" s="471"/>
      <c r="X94" s="471"/>
      <c r="Y94" s="471"/>
      <c r="Z94" s="471"/>
      <c r="AA94" s="471" t="str">
        <f t="shared" si="219"/>
        <v/>
      </c>
      <c r="AB94" s="471"/>
      <c r="AC94" s="471"/>
      <c r="AD94" s="471"/>
      <c r="AE94" s="471"/>
      <c r="AF94" s="471"/>
      <c r="AG94" s="471"/>
      <c r="AH94" s="471"/>
      <c r="AI94" s="471"/>
      <c r="AJ94" s="471"/>
      <c r="AK94" s="472"/>
      <c r="AL94" s="471"/>
      <c r="AM94" s="473">
        <f t="shared" si="148"/>
        <v>474.44695720875893</v>
      </c>
      <c r="AN94" s="474" t="e">
        <f t="shared" si="149"/>
        <v>#N/A</v>
      </c>
      <c r="AO94" s="474"/>
      <c r="AP94" s="474"/>
      <c r="AQ94" s="475">
        <v>3</v>
      </c>
      <c r="AR94" s="474"/>
      <c r="AS94" s="474"/>
      <c r="AT94" s="471"/>
      <c r="AU94" s="492"/>
      <c r="AV94" s="471"/>
      <c r="AW94" s="471"/>
      <c r="AX94" s="478"/>
      <c r="AY94" s="493"/>
      <c r="AZ94" s="480"/>
      <c r="BA94" s="493"/>
      <c r="BB94" s="478" t="str">
        <f>IF(OR(C94="",D94=""),"",VLOOKUP(C94,'Base de Diseño (2)'!$A$2:$D$330,4,FALSE))</f>
        <v/>
      </c>
      <c r="BC94" s="478" t="str">
        <f>IF(OR(C94="",D94=""),"",VLOOKUP(D94,'Base de Diseño (2)'!$A$2:$D$330,4,FALSE))</f>
        <v/>
      </c>
      <c r="BD94" s="23"/>
      <c r="BE94" s="23"/>
      <c r="BF94" s="494"/>
      <c r="BG94" s="494"/>
      <c r="BH94" s="495"/>
      <c r="BI94" s="495"/>
      <c r="BJ94" s="468">
        <f t="shared" si="151"/>
        <v>0</v>
      </c>
      <c r="BK94" s="475"/>
      <c r="BL94" s="475"/>
      <c r="BM94" s="475"/>
      <c r="BN94" s="475"/>
      <c r="BO94" s="204"/>
      <c r="BP94" s="496"/>
      <c r="BQ94" s="497"/>
      <c r="BR94" s="497"/>
      <c r="BS94" s="475"/>
      <c r="BT94" s="475"/>
      <c r="BU94" s="475"/>
      <c r="BV94" s="475"/>
      <c r="BW94" s="475"/>
      <c r="BX94" s="475"/>
      <c r="BY94" s="475"/>
      <c r="BZ94" s="475"/>
      <c r="CA94" s="471"/>
      <c r="CB94" s="471"/>
      <c r="CC94" s="471" t="e">
        <f t="shared" si="150"/>
        <v>#DIV/0!</v>
      </c>
      <c r="CD94" s="471"/>
      <c r="CE94" s="471"/>
      <c r="CF94" s="471"/>
      <c r="CG94" s="471"/>
      <c r="CH94" s="471"/>
      <c r="CI94" s="471"/>
      <c r="CJ94" s="471"/>
      <c r="CK94" s="468"/>
      <c r="CL94" s="482" t="s">
        <v>2507</v>
      </c>
      <c r="CM94" s="482"/>
      <c r="CN94" s="63"/>
      <c r="CO94" s="498"/>
      <c r="CP94" s="472"/>
      <c r="CQ94" s="482"/>
      <c r="CR94" s="204"/>
      <c r="CS94" s="486"/>
      <c r="CT94" s="486"/>
      <c r="CU94" s="23"/>
      <c r="CV94" s="499"/>
      <c r="CW94" s="488"/>
      <c r="CX94" s="204"/>
      <c r="CY94" s="482"/>
      <c r="CZ94" s="482"/>
      <c r="DA94" s="482"/>
      <c r="DB94" s="490"/>
    </row>
    <row r="95" spans="1:106" ht="15.75" hidden="1" customHeight="1">
      <c r="A95" s="465">
        <v>52</v>
      </c>
      <c r="B95" s="491">
        <v>1</v>
      </c>
      <c r="C95" s="466" t="s">
        <v>2511</v>
      </c>
      <c r="D95" s="466" t="s">
        <v>2335</v>
      </c>
      <c r="E95" s="468">
        <v>5.8454908299999997E-2</v>
      </c>
      <c r="F95" s="468"/>
      <c r="G95" s="468">
        <f>IF(B95=1,0,SUMIF($D$22:$D$583,C95,$H$22:$H$583))</f>
        <v>0</v>
      </c>
      <c r="H95" s="468">
        <f>+E95+F95+G95</f>
        <v>5.8454908299999997E-2</v>
      </c>
      <c r="I95" s="468">
        <v>5.8454908299999997E-2</v>
      </c>
      <c r="J95" s="468"/>
      <c r="K95" s="467">
        <f>+IF(B95=1,0,SUMIF($D$22:$D$583,C95,$L$22:$L$580))</f>
        <v>0</v>
      </c>
      <c r="L95" s="468">
        <f>+I95+J95+K95</f>
        <v>5.8454908299999997E-2</v>
      </c>
      <c r="M95" s="469">
        <f>+$P$12</f>
        <v>242.33666300502347</v>
      </c>
      <c r="N95" s="470">
        <f>M95*E95</f>
        <v>14.165767413686648</v>
      </c>
      <c r="O95" s="470">
        <f>M95*F95</f>
        <v>0</v>
      </c>
      <c r="P95" s="470">
        <f>M95*H95</f>
        <v>14.165767413686648</v>
      </c>
      <c r="Q95" s="469">
        <f>+$H$14</f>
        <v>140</v>
      </c>
      <c r="R95" s="471">
        <f>Q95*P95*$P$14/86400</f>
        <v>1.9510721322091567E-2</v>
      </c>
      <c r="S95" s="471"/>
      <c r="T95" s="471"/>
      <c r="U95" s="471">
        <f>IF(C95="","",T95*$P$17)</f>
        <v>0</v>
      </c>
      <c r="V95" s="471"/>
      <c r="W95" s="471"/>
      <c r="X95" s="471">
        <f>IF(C95="","",W95*$P$16)</f>
        <v>0</v>
      </c>
      <c r="Y95" s="471">
        <f>IF(H95=0,0,$H$15*H95)</f>
        <v>1.169098166E-2</v>
      </c>
      <c r="Z95" s="471">
        <f>IF(L95=0,$H$16*H95,0)</f>
        <v>0</v>
      </c>
      <c r="AA95" s="471">
        <f t="shared" si="219"/>
        <v>3.8</v>
      </c>
      <c r="AB95" s="471">
        <f>R95*AA95</f>
        <v>7.4140741023947951E-2</v>
      </c>
      <c r="AC95" s="471">
        <f>Q95*(N95+O95)*$P$14/86400</f>
        <v>1.9510721322091567E-2</v>
      </c>
      <c r="AD95" s="471">
        <f>IF(E95=0,0,$H$15*(E95+F95))</f>
        <v>1.169098166E-2</v>
      </c>
      <c r="AE95" s="471">
        <f>IF(F95=0,0,$H$15*(F95+G95))</f>
        <v>0</v>
      </c>
      <c r="AF95" s="471">
        <f>IF(N95="","",IF(1+((14/(4+(((N95+O95)+O95)/1000)^1/2)))&lt;1.4,1.4,IF(1+((14/(4+((N95+O95)/1000)^1/2)))&gt;=4,4,(1+((14/(4+((N95+O95)/1000)^1/2)))))))</f>
        <v>4</v>
      </c>
      <c r="AG95" s="471">
        <f>AC95*AF95</f>
        <v>7.8042885288366268E-2</v>
      </c>
      <c r="AH95" s="471">
        <f>+AD95+AE95+AG95</f>
        <v>8.973386694836627E-2</v>
      </c>
      <c r="AI95" s="471">
        <f>IF(H95="","",IF(AB95+Y95+Z95+X95+U95&lt;1.5,1.5,AB95+Y95+Z95+X95+U95))</f>
        <v>1.5</v>
      </c>
      <c r="AJ95" s="471">
        <f>+$P$17</f>
        <v>0.75</v>
      </c>
      <c r="AK95" s="472" t="e">
        <f>+BK95/100</f>
        <v>#N/A</v>
      </c>
      <c r="AL95" s="471" t="e">
        <f>IF(AJ95=0," ",0.14+0.65*AJ95+0.05*AK95)</f>
        <v>#N/A</v>
      </c>
      <c r="AM95" s="473" t="e">
        <f t="shared" si="148"/>
        <v>#N/A</v>
      </c>
      <c r="AN95" s="474" t="e">
        <f t="shared" si="149"/>
        <v>#N/A</v>
      </c>
      <c r="AO95" s="474" t="e">
        <f>((1/60)*$AX95/$AQ95)</f>
        <v>#N/A</v>
      </c>
      <c r="AP95" s="474" t="e">
        <f>IF(B95=1,IF(($AN95+$AO95)&lt;10,10,IF(($AN95+$AO95)&gt;20,20,($AN95+$AO95))),($AN95+$AO95))</f>
        <v>#N/A</v>
      </c>
      <c r="AQ95" s="475">
        <v>3</v>
      </c>
      <c r="AR95" s="474" t="e">
        <f>((1/60)*$AX95/$BT95)</f>
        <v>#N/A</v>
      </c>
      <c r="AS95" s="474" t="e">
        <f>AO95/AR95</f>
        <v>#N/A</v>
      </c>
      <c r="AT95" s="471" t="e">
        <f>IF(AS95&lt;0.9,"Disminuir vel.",IF(AS95&gt;1.1,"Aumentar vel.","Cumple"))</f>
        <v>#N/A</v>
      </c>
      <c r="AU95" s="492" t="e">
        <f>+I95*AL95*AM95</f>
        <v>#N/A</v>
      </c>
      <c r="AV95" s="471" t="e">
        <f>+L95*AL95*AM95</f>
        <v>#N/A</v>
      </c>
      <c r="AW95" s="471" t="e">
        <f>ROUND(IF(AI95&gt;(AV95*0.05),(AV95+AI95),AV95),2)</f>
        <v>#N/A</v>
      </c>
      <c r="AX95" s="478" t="e">
        <f>IF(OR(C95="",D95=""),"",ROUND(((VLOOKUP(C95,'Base de Diseño (2)'!$A$2:$C$333,2,FALSE)-VLOOKUP(D95,'Base de Diseño (2)'!$A$2:$C$333,2,FALSE))^2+(VLOOKUP(C95,'Base de Diseño (2)'!$A$2:$C$333,3,0)-VLOOKUP(D95,'Base de Diseño (2)'!$A$2:$C$333,3,FALSE))^2)^0.5,2))</f>
        <v>#N/A</v>
      </c>
      <c r="AY95" s="493">
        <v>8</v>
      </c>
      <c r="AZ95" s="480">
        <f>IF(AND(L95="",H95=""),"",IF(BA95=4,VLOOKUP(AY95,'TABLA (2)'!$A$74:$C$89,2),IF(BA95=5,VLOOKUP(AY95,'TABLA (2)'!$A$51:$B$66,2),IF(BA95=6,VLOOKUP(AY95,'TABLA (2)'!$A$9:$B$43,2)))))</f>
        <v>200</v>
      </c>
      <c r="BA95" s="493">
        <v>6</v>
      </c>
      <c r="BB95" s="478" t="e">
        <f>IF(OR(C95="",D95=""),"",VLOOKUP(C95,'Base de Diseño (2)'!$A$2:$D$330,4,FALSE))</f>
        <v>#N/A</v>
      </c>
      <c r="BC95" s="478">
        <f>IF(OR(C95="",D95=""),"",VLOOKUP(D95,'Base de Diseño (2)'!$A$2:$D$330,4,FALSE))</f>
        <v>968.57100000000003</v>
      </c>
      <c r="BD95" s="23">
        <f>+BF95-((AZ95/1000)+CX95)</f>
        <v>1.003000000000009</v>
      </c>
      <c r="BE95" s="23">
        <f>+BG95-((AZ95/1000)+CX95)</f>
        <v>1.4630000000000454</v>
      </c>
      <c r="BF95" s="494">
        <v>1.2400000000000091</v>
      </c>
      <c r="BG95" s="494">
        <v>1.7000000000000455</v>
      </c>
      <c r="BH95" s="495" t="e">
        <f>BB95-BF95</f>
        <v>#N/A</v>
      </c>
      <c r="BI95" s="495">
        <f>BC95-BG95</f>
        <v>966.87099999999998</v>
      </c>
      <c r="BJ95" s="468">
        <f t="shared" si="151"/>
        <v>966.87099999999998</v>
      </c>
      <c r="BK95" s="475" t="e">
        <f>ABS((BB95-BC95)/AX95)*100</f>
        <v>#N/A</v>
      </c>
      <c r="BL95" s="475" t="e">
        <f>((BH95-BI95)/AX95)*100</f>
        <v>#N/A</v>
      </c>
      <c r="BM95" s="475" t="e">
        <f>IF(BA95=6,(1/0.013)*((AZ95/4000)^(2/3))*((BL95/100)^(0.5)),(1/0.009)*((AZ95/4000)^(2/3))*((BL95/100)^(0.5)))</f>
        <v>#N/A</v>
      </c>
      <c r="BN95" s="475" t="e">
        <f>1000*BM95*PI()*((AZ95/1000/2)^2)</f>
        <v>#N/A</v>
      </c>
      <c r="BO95" s="204" t="e">
        <f>AI95/BN95</f>
        <v>#N/A</v>
      </c>
      <c r="BP95" s="496" t="e">
        <f>IF(L95=0," ",AW95/BN95)</f>
        <v>#N/A</v>
      </c>
      <c r="BQ95" s="497" t="e">
        <f>IF($BO95&gt;0 =AND($BO95&lt;=0.06),10^(0.029806+0.29095*LOG($BO95)),IF($BO95&gt;0.06 =AND($BO95&lt;=0.26),10^(0.013778+0.282597*LOG($BO95)),IF($BO95&gt;0.26 =AND($BO95&lt;=0.91),10^(0.021763+0.28995*LOG($BO95)),1)))</f>
        <v>#N/A</v>
      </c>
      <c r="BR95" s="497" t="e">
        <f>IF($BP95&gt;0 =AND($BP95&lt;=0.06),10^(0.029806+0.29095*LOG($BP95)),IF($BP95&gt;0.06 =AND($BP95&lt;=0.26),10^(0.013778+0.282597*LOG($BP95)),IF($BP95&gt;0.26 =AND($BP95&lt;=2),10^(0.021763+0.28995*LOG($BP95))," ")))</f>
        <v>#N/A</v>
      </c>
      <c r="BS95" s="475" t="e">
        <f>BM95*BQ95</f>
        <v>#N/A</v>
      </c>
      <c r="BT95" s="475" t="e">
        <f>IF(BP95=" "," ",(BM95*BR95))</f>
        <v>#N/A</v>
      </c>
      <c r="BU95" s="475" t="e">
        <f>IF(BO95&lt;=0.11,0.3827+0.0645*LN(BO95),IF(BO95&lt;=0.21,0.60025+0.15471*LN(BO95),IF(BO95&lt;1,0.225+0.6666666667*BO95,0)))</f>
        <v>#N/A</v>
      </c>
      <c r="BV95" s="475" t="e">
        <f>IF(BP95&lt;=0.11,0.3827+0.0645*LN(BP95),IF(BP95&lt;=0.21,0.60025+0.15471*LN(BP95),IF(BP95&lt;1,0.225+0.6666666667*BP95," ")))</f>
        <v>#N/A</v>
      </c>
      <c r="BW95" s="475" t="e">
        <f>2*ACOS(1-2*(BU95))</f>
        <v>#N/A</v>
      </c>
      <c r="BX95" s="475" t="e">
        <f>IF(BP95=" "," ",(2*ACOS(1-2*(BV95))))</f>
        <v>#N/A</v>
      </c>
      <c r="BY95" s="475" t="e">
        <f>(1/4)*(1-(SIN(BW95))/BW95)</f>
        <v>#N/A</v>
      </c>
      <c r="BZ95" s="475" t="e">
        <f>IF(BP95=" "," ",((1/4)*(1-(SIN(BX95))/BX95)))</f>
        <v>#N/A</v>
      </c>
      <c r="CA95" s="471" t="e">
        <f>BY95*AZ95/1000</f>
        <v>#N/A</v>
      </c>
      <c r="CB95" s="471" t="e">
        <f>IF(BP95=" "," ",(BZ95*AZ95/1000))</f>
        <v>#N/A</v>
      </c>
      <c r="CC95" s="471" t="e">
        <f t="shared" si="150"/>
        <v>#N/A</v>
      </c>
      <c r="CD95" s="471" t="e">
        <f>IF(CC95="","",IF(CC95&lt;0.7,"F. Subcrítico",IF(AND(CC95&gt;0.7,CC95&lt;1),"F. Subcrítico Inestable",IF(CC95=1,"F. Crítico",IF(AND(CC95&gt;1,CC95&lt;1.5),"F. Supercrítico Inestable",IF(CC95&gt;1.5,"F. Supercrítico",""))))))</f>
        <v>#N/A</v>
      </c>
      <c r="CE95" s="471" t="e">
        <f>1000*BL95*CA95/100</f>
        <v>#N/A</v>
      </c>
      <c r="CF95" s="471" t="e">
        <f>IF(BP95=" "," ",(1000*BL95*CB95/100))</f>
        <v>#N/A</v>
      </c>
      <c r="CG95" s="471" t="e">
        <f>IF(BS95&lt;0.45,"No cumple",IF(BS95&gt;5,"No cumple","O.K"))</f>
        <v>#N/A</v>
      </c>
      <c r="CH95" s="471" t="e">
        <f>IF(BT95&lt;0.75,"No cumple",IF(BT95&gt;10,"No cumple","O.K"))</f>
        <v>#N/A</v>
      </c>
      <c r="CI95" s="471" t="e">
        <f>IF(CE95&gt;0.1,"OK","V.C.H.")</f>
        <v>#N/A</v>
      </c>
      <c r="CJ95" s="471" t="e">
        <f>IF(CF95&gt;0.2,"OK","V.C.H.")</f>
        <v>#N/A</v>
      </c>
      <c r="CK95" s="468">
        <f>+BJ95</f>
        <v>966.87099999999998</v>
      </c>
      <c r="CL95" s="482" t="s">
        <v>2507</v>
      </c>
      <c r="CM95" s="482"/>
      <c r="CN95" s="63" t="str">
        <f>IF(B95=1,"dato"," ")</f>
        <v>dato</v>
      </c>
      <c r="CO95" s="498" t="e">
        <f>+CR95</f>
        <v>#N/A</v>
      </c>
      <c r="CP95" s="472" t="e">
        <f>+BK95/100</f>
        <v>#N/A</v>
      </c>
      <c r="CQ95" s="482" t="s">
        <v>2508</v>
      </c>
      <c r="CR95" s="204" t="e">
        <f>IF(BA95="","",AX95)</f>
        <v>#N/A</v>
      </c>
      <c r="CS95" s="486">
        <v>1.2</v>
      </c>
      <c r="CT95" s="486">
        <v>1.2</v>
      </c>
      <c r="CU95" s="23" t="e">
        <f>IF($BA95="","",SQRT((BH95-BI95)^2+$CR95^2))</f>
        <v>#N/A</v>
      </c>
      <c r="CV95" s="499" t="s">
        <v>2509</v>
      </c>
      <c r="CW95" s="488" t="str">
        <f>+IF(BD95&lt;=0.9,"E1",IF(BD95&lt;=2.5,"E2","E3"))</f>
        <v>E2</v>
      </c>
      <c r="CX95" s="204">
        <f>IF(AND(L95="",H95=""),"",IF(AND(BA95&lt;&gt;4,BA95&lt;&gt;5),VLOOKUP(AY95,'TABLA (2)'!$A$9:$D$43,4),IF(BA95=4,VLOOKUP(AY95,'TABLA (2)'!$A$74:$D$89,4),VLOOKUP(AY95,'TABLA (2)'!$A$51:$D$66,4))))</f>
        <v>3.6999999999999998E-2</v>
      </c>
      <c r="CY95" s="482"/>
      <c r="CZ95" s="482"/>
      <c r="DA95" s="482"/>
      <c r="DB95" s="490"/>
    </row>
    <row r="96" spans="1:106" ht="15.75" hidden="1" customHeight="1">
      <c r="A96" s="465"/>
      <c r="B96" s="491"/>
      <c r="C96" s="501"/>
      <c r="D96" s="501"/>
      <c r="E96" s="468"/>
      <c r="F96" s="468"/>
      <c r="G96" s="468"/>
      <c r="H96" s="468"/>
      <c r="I96" s="468"/>
      <c r="J96" s="468"/>
      <c r="K96" s="467"/>
      <c r="L96" s="468"/>
      <c r="M96" s="469"/>
      <c r="N96" s="470"/>
      <c r="O96" s="470"/>
      <c r="P96" s="470"/>
      <c r="Q96" s="469"/>
      <c r="R96" s="471"/>
      <c r="S96" s="471"/>
      <c r="T96" s="471"/>
      <c r="U96" s="471"/>
      <c r="V96" s="471"/>
      <c r="W96" s="471"/>
      <c r="X96" s="471"/>
      <c r="Y96" s="471"/>
      <c r="Z96" s="471"/>
      <c r="AA96" s="471" t="str">
        <f t="shared" si="219"/>
        <v/>
      </c>
      <c r="AB96" s="471"/>
      <c r="AC96" s="471"/>
      <c r="AD96" s="471"/>
      <c r="AE96" s="471"/>
      <c r="AF96" s="471"/>
      <c r="AG96" s="471"/>
      <c r="AH96" s="471"/>
      <c r="AI96" s="471"/>
      <c r="AJ96" s="471"/>
      <c r="AK96" s="472"/>
      <c r="AL96" s="471"/>
      <c r="AM96" s="473">
        <f t="shared" si="148"/>
        <v>474.44695720875893</v>
      </c>
      <c r="AN96" s="474" t="e">
        <f t="shared" si="149"/>
        <v>#N/A</v>
      </c>
      <c r="AO96" s="474"/>
      <c r="AP96" s="474"/>
      <c r="AQ96" s="475">
        <v>3</v>
      </c>
      <c r="AR96" s="474"/>
      <c r="AS96" s="474"/>
      <c r="AT96" s="471"/>
      <c r="AU96" s="492"/>
      <c r="AV96" s="471"/>
      <c r="AW96" s="471"/>
      <c r="AX96" s="478"/>
      <c r="AY96" s="493"/>
      <c r="AZ96" s="480"/>
      <c r="BA96" s="493"/>
      <c r="BB96" s="478" t="str">
        <f>IF(OR(C96="",D96=""),"",VLOOKUP(C96,'Base de Diseño (2)'!$A$2:$D$330,4,FALSE))</f>
        <v/>
      </c>
      <c r="BC96" s="478" t="str">
        <f>IF(OR(C96="",D96=""),"",VLOOKUP(D96,'Base de Diseño (2)'!$A$2:$D$330,4,FALSE))</f>
        <v/>
      </c>
      <c r="BD96" s="23"/>
      <c r="BE96" s="23"/>
      <c r="BF96" s="494"/>
      <c r="BG96" s="494"/>
      <c r="BH96" s="495"/>
      <c r="BI96" s="495"/>
      <c r="BJ96" s="468">
        <f t="shared" si="151"/>
        <v>0</v>
      </c>
      <c r="BK96" s="475"/>
      <c r="BL96" s="475"/>
      <c r="BM96" s="475"/>
      <c r="BN96" s="475"/>
      <c r="BO96" s="204"/>
      <c r="BP96" s="496"/>
      <c r="BQ96" s="497"/>
      <c r="BR96" s="497"/>
      <c r="BS96" s="475"/>
      <c r="BT96" s="475"/>
      <c r="BU96" s="475"/>
      <c r="BV96" s="475"/>
      <c r="BW96" s="475"/>
      <c r="BX96" s="475"/>
      <c r="BY96" s="475"/>
      <c r="BZ96" s="475"/>
      <c r="CA96" s="471"/>
      <c r="CB96" s="471"/>
      <c r="CC96" s="471" t="e">
        <f t="shared" si="150"/>
        <v>#DIV/0!</v>
      </c>
      <c r="CD96" s="471"/>
      <c r="CE96" s="471"/>
      <c r="CF96" s="471"/>
      <c r="CG96" s="471"/>
      <c r="CH96" s="471"/>
      <c r="CI96" s="471"/>
      <c r="CJ96" s="471"/>
      <c r="CK96" s="468"/>
      <c r="CL96" s="482" t="s">
        <v>2507</v>
      </c>
      <c r="CM96" s="482"/>
      <c r="CN96" s="63"/>
      <c r="CO96" s="498"/>
      <c r="CP96" s="472"/>
      <c r="CQ96" s="482"/>
      <c r="CR96" s="204"/>
      <c r="CS96" s="486"/>
      <c r="CT96" s="486"/>
      <c r="CU96" s="23"/>
      <c r="CV96" s="499"/>
      <c r="CW96" s="488"/>
      <c r="CX96" s="204"/>
      <c r="CY96" s="482"/>
      <c r="CZ96" s="482"/>
      <c r="DA96" s="482"/>
      <c r="DB96" s="490"/>
    </row>
    <row r="97" spans="1:106" ht="15.75" hidden="1" customHeight="1">
      <c r="A97" s="465">
        <v>53</v>
      </c>
      <c r="B97" s="491">
        <v>1</v>
      </c>
      <c r="C97" s="466" t="s">
        <v>2512</v>
      </c>
      <c r="D97" s="466" t="s">
        <v>2336</v>
      </c>
      <c r="E97" s="468">
        <v>6.8135347100000007E-2</v>
      </c>
      <c r="F97" s="468"/>
      <c r="G97" s="468">
        <f>IF(B97=1,0,SUMIF($D$22:$D$583,C97,$H$22:$H$583))</f>
        <v>0</v>
      </c>
      <c r="H97" s="468">
        <f>+E97+F97+G97</f>
        <v>6.8135347100000007E-2</v>
      </c>
      <c r="I97" s="468">
        <v>6.8135347100000007E-2</v>
      </c>
      <c r="J97" s="468"/>
      <c r="K97" s="467">
        <f>+IF(B97=1,0,SUMIF($D$22:$D$583,C97,$L$22:$L$580))</f>
        <v>0</v>
      </c>
      <c r="L97" s="468">
        <f>+I97+J97+K97</f>
        <v>6.8135347100000007E-2</v>
      </c>
      <c r="M97" s="469">
        <f>+$P$12</f>
        <v>242.33666300502347</v>
      </c>
      <c r="N97" s="470">
        <f>M97*E97</f>
        <v>16.511692648903004</v>
      </c>
      <c r="O97" s="470">
        <f>M97*F97</f>
        <v>0</v>
      </c>
      <c r="P97" s="470">
        <f>M97*H97</f>
        <v>16.511692648903004</v>
      </c>
      <c r="Q97" s="469">
        <f>+$H$14</f>
        <v>140</v>
      </c>
      <c r="R97" s="471">
        <f>Q97*P97*$P$14/86400</f>
        <v>2.2741798903002982E-2</v>
      </c>
      <c r="S97" s="471"/>
      <c r="T97" s="471"/>
      <c r="U97" s="471">
        <f>IF(C97="","",T97*$P$17)</f>
        <v>0</v>
      </c>
      <c r="V97" s="471"/>
      <c r="W97" s="471"/>
      <c r="X97" s="471">
        <f>IF(C97="","",W97*$P$16)</f>
        <v>0</v>
      </c>
      <c r="Y97" s="471">
        <f>IF(H97=0,0,$H$15*H97)</f>
        <v>1.3627069420000002E-2</v>
      </c>
      <c r="Z97" s="471">
        <f>IF(L97=0,$H$16*H97,0)</f>
        <v>0</v>
      </c>
      <c r="AA97" s="471">
        <f t="shared" si="219"/>
        <v>3.8</v>
      </c>
      <c r="AB97" s="471">
        <f>R97*AA97</f>
        <v>8.6418835831411328E-2</v>
      </c>
      <c r="AC97" s="471">
        <f>Q97*(N97+O97)*$P$14/86400</f>
        <v>2.2741798903002982E-2</v>
      </c>
      <c r="AD97" s="471">
        <f>IF(E97=0,0,$H$15*(E97+F97))</f>
        <v>1.3627069420000002E-2</v>
      </c>
      <c r="AE97" s="471">
        <f>IF(F97=0,0,$H$15*(F97+G97))</f>
        <v>0</v>
      </c>
      <c r="AF97" s="471">
        <f>IF(N97="","",IF(1+((14/(4+(((N97+O97)+O97)/1000)^1/2)))&lt;1.4,1.4,IF(1+((14/(4+((N97+O97)/1000)^1/2)))&gt;=4,4,(1+((14/(4+((N97+O97)/1000)^1/2)))))))</f>
        <v>4</v>
      </c>
      <c r="AG97" s="471">
        <f>AC97*AF97</f>
        <v>9.0967195612011928E-2</v>
      </c>
      <c r="AH97" s="471">
        <f>+AD97+AE97+AG97</f>
        <v>0.10459426503201193</v>
      </c>
      <c r="AI97" s="471">
        <f>IF(H97="","",IF(AB97+Y97+Z97+X97+U97&lt;1.5,1.5,AB97+Y97+Z97+X97+U97))</f>
        <v>1.5</v>
      </c>
      <c r="AJ97" s="471">
        <f>+$P$17</f>
        <v>0.75</v>
      </c>
      <c r="AK97" s="472" t="e">
        <f>+BK97/100</f>
        <v>#N/A</v>
      </c>
      <c r="AL97" s="471" t="e">
        <f>IF(AJ97=0," ",0.14+0.65*AJ97+0.05*AK97)</f>
        <v>#N/A</v>
      </c>
      <c r="AM97" s="473" t="e">
        <f t="shared" si="148"/>
        <v>#N/A</v>
      </c>
      <c r="AN97" s="474" t="e">
        <f t="shared" si="149"/>
        <v>#N/A</v>
      </c>
      <c r="AO97" s="474" t="e">
        <f>((1/60)*$AX97/$AQ97)</f>
        <v>#N/A</v>
      </c>
      <c r="AP97" s="474" t="e">
        <f>IF(B97=1,IF(($AN97+$AO97)&lt;10,10,IF(($AN97+$AO97)&gt;20,20,($AN97+$AO97))),($AN97+$AO97))</f>
        <v>#N/A</v>
      </c>
      <c r="AQ97" s="475">
        <v>3</v>
      </c>
      <c r="AR97" s="474" t="e">
        <f>((1/60)*$AX97/$BT97)</f>
        <v>#N/A</v>
      </c>
      <c r="AS97" s="474" t="e">
        <f>AO97/AR97</f>
        <v>#N/A</v>
      </c>
      <c r="AT97" s="471" t="e">
        <f>IF(AS97&lt;0.9,"Disminuir vel.",IF(AS97&gt;1.1,"Aumentar vel.","Cumple"))</f>
        <v>#N/A</v>
      </c>
      <c r="AU97" s="492" t="e">
        <f>+I97*AL97*AM97</f>
        <v>#N/A</v>
      </c>
      <c r="AV97" s="471" t="e">
        <f>+L97*AL97*AM97</f>
        <v>#N/A</v>
      </c>
      <c r="AW97" s="471" t="e">
        <f>ROUND(IF(AI97&gt;(AV97*0.05),(AV97+AI97),AV97),2)</f>
        <v>#N/A</v>
      </c>
      <c r="AX97" s="478" t="e">
        <f>IF(OR(C97="",D97=""),"",ROUND(((VLOOKUP(C97,'Base de Diseño (2)'!$A$2:$C$333,2,FALSE)-VLOOKUP(D97,'Base de Diseño (2)'!$A$2:$C$333,2,FALSE))^2+(VLOOKUP(C97,'Base de Diseño (2)'!$A$2:$C$333,3,0)-VLOOKUP(D97,'Base de Diseño (2)'!$A$2:$C$333,3,FALSE))^2)^0.5,2))</f>
        <v>#N/A</v>
      </c>
      <c r="AY97" s="493">
        <v>8</v>
      </c>
      <c r="AZ97" s="480">
        <f>IF(AND(L97="",H97=""),"",IF(BA97=4,VLOOKUP(AY97,'TABLA (2)'!$A$74:$C$89,2),IF(BA97=5,VLOOKUP(AY97,'TABLA (2)'!$A$51:$B$66,2),IF(BA97=6,VLOOKUP(AY97,'TABLA (2)'!$A$9:$B$43,2)))))</f>
        <v>200</v>
      </c>
      <c r="BA97" s="493">
        <v>6</v>
      </c>
      <c r="BB97" s="478" t="e">
        <f>IF(OR(C97="",D97=""),"",VLOOKUP(C97,'Base de Diseño (2)'!$A$2:$D$330,4,FALSE))</f>
        <v>#N/A</v>
      </c>
      <c r="BC97" s="478">
        <f>IF(OR(C97="",D97=""),"",VLOOKUP(D97,'Base de Diseño (2)'!$A$2:$D$330,4,FALSE))</f>
        <v>968.31200000000001</v>
      </c>
      <c r="BD97" s="23">
        <f>+BF97-((AZ97/1000)+CX97)</f>
        <v>0.9930000000000182</v>
      </c>
      <c r="BE97" s="23">
        <f>+BG97-((AZ97/1000)+CX97)</f>
        <v>2.1429999999999954</v>
      </c>
      <c r="BF97" s="494">
        <v>1.2300000000000182</v>
      </c>
      <c r="BG97" s="494">
        <v>2.3799999999999955</v>
      </c>
      <c r="BH97" s="495" t="e">
        <f>BB97-BF97</f>
        <v>#N/A</v>
      </c>
      <c r="BI97" s="495">
        <f>BC97-BG97</f>
        <v>965.93200000000002</v>
      </c>
      <c r="BJ97" s="468">
        <f t="shared" si="151"/>
        <v>965.93200000000002</v>
      </c>
      <c r="BK97" s="475" t="e">
        <f>ABS((BB97-BC97)/AX97)*100</f>
        <v>#N/A</v>
      </c>
      <c r="BL97" s="475" t="e">
        <f>((BH97-BI97)/AX97)*100</f>
        <v>#N/A</v>
      </c>
      <c r="BM97" s="475" t="e">
        <f>IF(BA97=6,(1/0.013)*((AZ97/4000)^(2/3))*((BL97/100)^(0.5)),(1/0.009)*((AZ97/4000)^(2/3))*((BL97/100)^(0.5)))</f>
        <v>#N/A</v>
      </c>
      <c r="BN97" s="475" t="e">
        <f>1000*BM97*PI()*((AZ97/1000/2)^2)</f>
        <v>#N/A</v>
      </c>
      <c r="BO97" s="204" t="e">
        <f>AI97/BN97</f>
        <v>#N/A</v>
      </c>
      <c r="BP97" s="496" t="e">
        <f>IF(L97=0," ",AW97/BN97)</f>
        <v>#N/A</v>
      </c>
      <c r="BQ97" s="497" t="e">
        <f>IF($BO97&gt;0 =AND($BO97&lt;=0.06),10^(0.029806+0.29095*LOG($BO97)),IF($BO97&gt;0.06 =AND($BO97&lt;=0.26),10^(0.013778+0.282597*LOG($BO97)),IF($BO97&gt;0.26 =AND($BO97&lt;=0.91),10^(0.021763+0.28995*LOG($BO97)),1)))</f>
        <v>#N/A</v>
      </c>
      <c r="BR97" s="497" t="e">
        <f>IF($BP97&gt;0 =AND($BP97&lt;=0.06),10^(0.029806+0.29095*LOG($BP97)),IF($BP97&gt;0.06 =AND($BP97&lt;=0.26),10^(0.013778+0.282597*LOG($BP97)),IF($BP97&gt;0.26 =AND($BP97&lt;=2),10^(0.021763+0.28995*LOG($BP97))," ")))</f>
        <v>#N/A</v>
      </c>
      <c r="BS97" s="475" t="e">
        <f>BM97*BQ97</f>
        <v>#N/A</v>
      </c>
      <c r="BT97" s="475" t="e">
        <f>IF(BP97=" "," ",(BM97*BR97))</f>
        <v>#N/A</v>
      </c>
      <c r="BU97" s="475" t="e">
        <f>IF(BO97&lt;=0.11,0.3827+0.0645*LN(BO97),IF(BO97&lt;=0.21,0.60025+0.15471*LN(BO97),IF(BO97&lt;1,0.225+0.6666666667*BO97,0)))</f>
        <v>#N/A</v>
      </c>
      <c r="BV97" s="475" t="e">
        <f>IF(BP97&lt;=0.11,0.3827+0.0645*LN(BP97),IF(BP97&lt;=0.21,0.60025+0.15471*LN(BP97),IF(BP97&lt;1,0.225+0.6666666667*BP97," ")))</f>
        <v>#N/A</v>
      </c>
      <c r="BW97" s="475" t="e">
        <f>2*ACOS(1-2*(BU97))</f>
        <v>#N/A</v>
      </c>
      <c r="BX97" s="475" t="e">
        <f>IF(BP97=" "," ",(2*ACOS(1-2*(BV97))))</f>
        <v>#N/A</v>
      </c>
      <c r="BY97" s="475" t="e">
        <f>(1/4)*(1-(SIN(BW97))/BW97)</f>
        <v>#N/A</v>
      </c>
      <c r="BZ97" s="475" t="e">
        <f>IF(BP97=" "," ",((1/4)*(1-(SIN(BX97))/BX97)))</f>
        <v>#N/A</v>
      </c>
      <c r="CA97" s="471" t="e">
        <f>BY97*AZ97/1000</f>
        <v>#N/A</v>
      </c>
      <c r="CB97" s="471" t="e">
        <f>IF(BP97=" "," ",(BZ97*AZ97/1000))</f>
        <v>#N/A</v>
      </c>
      <c r="CC97" s="471" t="e">
        <f t="shared" si="150"/>
        <v>#N/A</v>
      </c>
      <c r="CD97" s="471" t="e">
        <f>IF(CC97="","",IF(CC97&lt;0.7,"F. Subcrítico",IF(AND(CC97&gt;0.7,CC97&lt;1),"F. Subcrítico Inestable",IF(CC97=1,"F. Crítico",IF(AND(CC97&gt;1,CC97&lt;1.5),"F. Supercrítico Inestable",IF(CC97&gt;1.5,"F. Supercrítico",""))))))</f>
        <v>#N/A</v>
      </c>
      <c r="CE97" s="471" t="e">
        <f>1000*BL97*CA97/100</f>
        <v>#N/A</v>
      </c>
      <c r="CF97" s="471" t="e">
        <f>IF(BP97=" "," ",(1000*BL97*CB97/100))</f>
        <v>#N/A</v>
      </c>
      <c r="CG97" s="471" t="e">
        <f>IF(BS97&lt;0.45,"No cumple",IF(BS97&gt;5,"No cumple","O.K"))</f>
        <v>#N/A</v>
      </c>
      <c r="CH97" s="471" t="e">
        <f>IF(BT97&lt;0.75,"No cumple",IF(BT97&gt;10,"No cumple","O.K"))</f>
        <v>#N/A</v>
      </c>
      <c r="CI97" s="471" t="e">
        <f>IF(CE97&gt;0.1,"OK","V.C.H.")</f>
        <v>#N/A</v>
      </c>
      <c r="CJ97" s="471" t="e">
        <f>IF(CF97&gt;0.2,"OK","V.C.H.")</f>
        <v>#N/A</v>
      </c>
      <c r="CK97" s="468">
        <f>+BJ97</f>
        <v>965.93200000000002</v>
      </c>
      <c r="CL97" s="482" t="s">
        <v>2507</v>
      </c>
      <c r="CM97" s="482"/>
      <c r="CN97" s="63" t="str">
        <f>IF(B97=1,"dato"," ")</f>
        <v>dato</v>
      </c>
      <c r="CO97" s="498" t="e">
        <f>+CR97</f>
        <v>#N/A</v>
      </c>
      <c r="CP97" s="472" t="e">
        <f>+BK97/100</f>
        <v>#N/A</v>
      </c>
      <c r="CQ97" s="482" t="s">
        <v>2508</v>
      </c>
      <c r="CR97" s="204" t="e">
        <f>IF(BA97="","",AX97)</f>
        <v>#N/A</v>
      </c>
      <c r="CS97" s="486">
        <v>1.2</v>
      </c>
      <c r="CT97" s="486">
        <v>1.2</v>
      </c>
      <c r="CU97" s="23" t="e">
        <f>IF($BA97="","",SQRT((BH97-BI97)^2+$CR97^2))</f>
        <v>#N/A</v>
      </c>
      <c r="CV97" s="499" t="s">
        <v>2509</v>
      </c>
      <c r="CW97" s="488" t="str">
        <f>+IF(BD97&lt;=0.9,"E1",IF(BD97&lt;=2.5,"E2","E3"))</f>
        <v>E2</v>
      </c>
      <c r="CX97" s="204">
        <f>IF(AND(L97="",H97=""),"",IF(AND(BA97&lt;&gt;4,BA97&lt;&gt;5),VLOOKUP(AY97,'TABLA (2)'!$A$9:$D$43,4),IF(BA97=4,VLOOKUP(AY97,'TABLA (2)'!$A$74:$D$89,4),VLOOKUP(AY97,'TABLA (2)'!$A$51:$D$66,4))))</f>
        <v>3.6999999999999998E-2</v>
      </c>
      <c r="CY97" s="482"/>
      <c r="CZ97" s="482"/>
      <c r="DA97" s="482"/>
      <c r="DB97" s="490"/>
    </row>
    <row r="98" spans="1:106" ht="15.75" hidden="1" customHeight="1">
      <c r="A98" s="465"/>
      <c r="B98" s="491"/>
      <c r="C98" s="501"/>
      <c r="D98" s="501"/>
      <c r="E98" s="468"/>
      <c r="F98" s="468"/>
      <c r="G98" s="468"/>
      <c r="H98" s="468"/>
      <c r="I98" s="468"/>
      <c r="J98" s="468"/>
      <c r="K98" s="467"/>
      <c r="L98" s="468"/>
      <c r="M98" s="469"/>
      <c r="N98" s="470"/>
      <c r="O98" s="470"/>
      <c r="P98" s="470"/>
      <c r="Q98" s="469"/>
      <c r="R98" s="471"/>
      <c r="S98" s="471"/>
      <c r="T98" s="471"/>
      <c r="U98" s="471"/>
      <c r="V98" s="471"/>
      <c r="W98" s="471"/>
      <c r="X98" s="471"/>
      <c r="Y98" s="471"/>
      <c r="Z98" s="471"/>
      <c r="AA98" s="471" t="str">
        <f t="shared" si="219"/>
        <v/>
      </c>
      <c r="AB98" s="471"/>
      <c r="AC98" s="471"/>
      <c r="AD98" s="471"/>
      <c r="AE98" s="471"/>
      <c r="AF98" s="471"/>
      <c r="AG98" s="471"/>
      <c r="AH98" s="471"/>
      <c r="AI98" s="471"/>
      <c r="AJ98" s="471"/>
      <c r="AK98" s="472"/>
      <c r="AL98" s="471"/>
      <c r="AM98" s="473">
        <f t="shared" ref="AM98:AM133" si="220">((100/36)*$AM$14*(AP98+$AN$14)^$AO$14)</f>
        <v>474.44695720875893</v>
      </c>
      <c r="AN98" s="474" t="e">
        <f t="shared" ref="AN98:AN133" si="221">IF(B98=1,IF((0.702*(1.1-$AJ98)*SQRT($CO98))/(($CP98)^(1/3))&lt;5,5,(0.702*(1.1-$AJ98)*SQRT($CO98))/(($CP98)^(1/3))),AP97)</f>
        <v>#N/A</v>
      </c>
      <c r="AO98" s="474"/>
      <c r="AP98" s="474"/>
      <c r="AQ98" s="475">
        <v>3</v>
      </c>
      <c r="AR98" s="474"/>
      <c r="AS98" s="474"/>
      <c r="AT98" s="471"/>
      <c r="AU98" s="492"/>
      <c r="AV98" s="471"/>
      <c r="AW98" s="471"/>
      <c r="AX98" s="478"/>
      <c r="AY98" s="493"/>
      <c r="AZ98" s="480"/>
      <c r="BA98" s="493"/>
      <c r="BB98" s="478" t="str">
        <f>IF(OR(C98="",D98=""),"",VLOOKUP(C98,'Base de Diseño (2)'!$A$2:$D$330,4,FALSE))</f>
        <v/>
      </c>
      <c r="BC98" s="478" t="str">
        <f>IF(OR(C98="",D98=""),"",VLOOKUP(D98,'Base de Diseño (2)'!$A$2:$D$330,4,FALSE))</f>
        <v/>
      </c>
      <c r="BD98" s="23"/>
      <c r="BE98" s="23"/>
      <c r="BF98" s="494"/>
      <c r="BG98" s="494"/>
      <c r="BH98" s="495"/>
      <c r="BI98" s="495"/>
      <c r="BJ98" s="468">
        <f t="shared" si="151"/>
        <v>0</v>
      </c>
      <c r="BK98" s="475"/>
      <c r="BL98" s="475"/>
      <c r="BM98" s="475"/>
      <c r="BN98" s="475"/>
      <c r="BO98" s="204"/>
      <c r="BP98" s="496"/>
      <c r="BQ98" s="497"/>
      <c r="BR98" s="497"/>
      <c r="BS98" s="475"/>
      <c r="BT98" s="475"/>
      <c r="BU98" s="475"/>
      <c r="BV98" s="475"/>
      <c r="BW98" s="475"/>
      <c r="BX98" s="475"/>
      <c r="BY98" s="475"/>
      <c r="BZ98" s="475"/>
      <c r="CA98" s="471"/>
      <c r="CB98" s="471"/>
      <c r="CC98" s="471" t="e">
        <f t="shared" ref="CC98:CC133" si="222">+(BT98/SQRT(9.81*(0.125*(BX98-SIN(BX98))*(AZ98/1000)^2)/((AZ98/1000)*SIN(BX98/2))))</f>
        <v>#DIV/0!</v>
      </c>
      <c r="CD98" s="471"/>
      <c r="CE98" s="471"/>
      <c r="CF98" s="471"/>
      <c r="CG98" s="471"/>
      <c r="CH98" s="471"/>
      <c r="CI98" s="471"/>
      <c r="CJ98" s="471"/>
      <c r="CK98" s="468"/>
      <c r="CL98" s="482" t="s">
        <v>2507</v>
      </c>
      <c r="CM98" s="482"/>
      <c r="CN98" s="63"/>
      <c r="CO98" s="498"/>
      <c r="CP98" s="472"/>
      <c r="CQ98" s="482"/>
      <c r="CR98" s="204"/>
      <c r="CS98" s="486"/>
      <c r="CT98" s="486"/>
      <c r="CU98" s="23"/>
      <c r="CV98" s="499"/>
      <c r="CW98" s="488"/>
      <c r="CX98" s="204"/>
      <c r="CY98" s="482"/>
      <c r="CZ98" s="482"/>
      <c r="DA98" s="482"/>
      <c r="DB98" s="490"/>
    </row>
    <row r="99" spans="1:106" ht="15.75" hidden="1" customHeight="1">
      <c r="A99" s="465">
        <v>54</v>
      </c>
      <c r="B99" s="491">
        <v>1</v>
      </c>
      <c r="C99" s="466" t="s">
        <v>2229</v>
      </c>
      <c r="D99" s="466" t="s">
        <v>2513</v>
      </c>
      <c r="E99" s="468"/>
      <c r="F99" s="468"/>
      <c r="G99" s="468">
        <f>IF(B99=1,0,SUMIF($D$22:$D$583,C99,$H$22:$H$583))</f>
        <v>0</v>
      </c>
      <c r="H99" s="468">
        <f>+E99+F99+G99</f>
        <v>0</v>
      </c>
      <c r="I99" s="468"/>
      <c r="J99" s="468"/>
      <c r="K99" s="467">
        <f>+IF(B99=1,0,SUMIF($D$22:$D$583,C99,$L$22:$L$580))</f>
        <v>0</v>
      </c>
      <c r="L99" s="468">
        <f>+I99+J99+K99</f>
        <v>0</v>
      </c>
      <c r="M99" s="469">
        <f>+$P$12</f>
        <v>242.33666300502347</v>
      </c>
      <c r="N99" s="470">
        <f>M99*E99</f>
        <v>0</v>
      </c>
      <c r="O99" s="470">
        <f>M99*F99</f>
        <v>0</v>
      </c>
      <c r="P99" s="470">
        <f>M99*H99</f>
        <v>0</v>
      </c>
      <c r="Q99" s="469">
        <f>+$H$14</f>
        <v>140</v>
      </c>
      <c r="R99" s="471">
        <f>Q99*P99*$P$14/86400</f>
        <v>0</v>
      </c>
      <c r="S99" s="471"/>
      <c r="T99" s="471"/>
      <c r="U99" s="471">
        <f>IF(C99="","",T99*$P$17)</f>
        <v>0</v>
      </c>
      <c r="V99" s="471"/>
      <c r="W99" s="471"/>
      <c r="X99" s="471">
        <f>IF(C99="","",W99*$P$16)</f>
        <v>0</v>
      </c>
      <c r="Y99" s="471">
        <f>IF(H99=0,0,$H$15*H99)</f>
        <v>0</v>
      </c>
      <c r="Z99" s="471">
        <f>IF(L99=0,$H$16*H99,0)</f>
        <v>0</v>
      </c>
      <c r="AA99" s="471">
        <f t="shared" si="219"/>
        <v>3.8</v>
      </c>
      <c r="AB99" s="471">
        <f>R99*AA99</f>
        <v>0</v>
      </c>
      <c r="AC99" s="471">
        <f>Q99*(N99+O99)*$P$14/86400</f>
        <v>0</v>
      </c>
      <c r="AD99" s="471">
        <f>IF(E99=0,0,$H$15*(E99+F99))</f>
        <v>0</v>
      </c>
      <c r="AE99" s="471">
        <f>IF(F99=0,0,$H$15*(F99+G99))</f>
        <v>0</v>
      </c>
      <c r="AF99" s="471">
        <f>IF(N99="","",IF(1+((14/(4+(((N99+O99)+O99)/1000)^1/2)))&lt;1.4,1.4,IF(1+((14/(4+((N99+O99)/1000)^1/2)))&gt;=4,4,(1+((14/(4+((N99+O99)/1000)^1/2)))))))</f>
        <v>4</v>
      </c>
      <c r="AG99" s="471">
        <f>AC99*AF99</f>
        <v>0</v>
      </c>
      <c r="AH99" s="471">
        <f>+AD99+AE99+AG99</f>
        <v>0</v>
      </c>
      <c r="AI99" s="471">
        <f>IF(H99="","",IF(AB99+Y99+Z99+X99+U99&lt;1.5,1.5,AB99+Y99+Z99+X99+U99))</f>
        <v>1.5</v>
      </c>
      <c r="AJ99" s="471">
        <f>+$P$17</f>
        <v>0.75</v>
      </c>
      <c r="AK99" s="472" t="e">
        <f>+BK99/100</f>
        <v>#N/A</v>
      </c>
      <c r="AL99" s="471" t="e">
        <f>IF(AJ99=0," ",0.14+0.65*AJ99+0.05*AK99)</f>
        <v>#N/A</v>
      </c>
      <c r="AM99" s="473" t="e">
        <f t="shared" si="220"/>
        <v>#N/A</v>
      </c>
      <c r="AN99" s="474" t="e">
        <f t="shared" si="221"/>
        <v>#N/A</v>
      </c>
      <c r="AO99" s="474" t="e">
        <f>((1/60)*$AX99/$AQ99)</f>
        <v>#N/A</v>
      </c>
      <c r="AP99" s="474" t="e">
        <f>IF(B99=1,IF(($AN99+$AO99)&lt;10,10,IF(($AN99+$AO99)&gt;20,20,($AN99+$AO99))),($AN99+$AO99))</f>
        <v>#N/A</v>
      </c>
      <c r="AQ99" s="475">
        <v>3</v>
      </c>
      <c r="AR99" s="474" t="e">
        <f>((1/60)*$AX99/$BT99)</f>
        <v>#N/A</v>
      </c>
      <c r="AS99" s="474" t="e">
        <f>AO99/AR99</f>
        <v>#N/A</v>
      </c>
      <c r="AT99" s="471" t="e">
        <f>IF(AS99&lt;0.9,"Disminuir vel.",IF(AS99&gt;1.1,"Aumentar vel.","Cumple"))</f>
        <v>#N/A</v>
      </c>
      <c r="AU99" s="492" t="e">
        <f>+I99*AL99*AM99</f>
        <v>#N/A</v>
      </c>
      <c r="AV99" s="471" t="e">
        <f>+L99*AL99*AM99</f>
        <v>#N/A</v>
      </c>
      <c r="AW99" s="471" t="e">
        <f>ROUND(IF(AI99&gt;(AV99*0.05),(AV99+AI99),AV99),2)</f>
        <v>#N/A</v>
      </c>
      <c r="AX99" s="478" t="e">
        <f>IF(OR(C99="",D99=""),"",ROUND(((VLOOKUP(C99,'Base de Diseño (2)'!$A$2:$C$333,2,FALSE)-VLOOKUP(D99,'Base de Diseño (2)'!$A$2:$C$333,2,FALSE))^2+(VLOOKUP(C99,'Base de Diseño (2)'!$A$2:$C$333,3,0)-VLOOKUP(D99,'Base de Diseño (2)'!$A$2:$C$333,3,FALSE))^2)^0.5,2))</f>
        <v>#N/A</v>
      </c>
      <c r="AY99" s="493">
        <v>8</v>
      </c>
      <c r="AZ99" s="480">
        <f>IF(AND(L99="",H99=""),"",IF(BA99=4,VLOOKUP(AY99,'TABLA (2)'!$A$74:$C$89,2),IF(BA99=5,VLOOKUP(AY99,'TABLA (2)'!$A$51:$B$66,2),IF(BA99=6,VLOOKUP(AY99,'TABLA (2)'!$A$9:$B$43,2)))))</f>
        <v>200</v>
      </c>
      <c r="BA99" s="493">
        <v>6</v>
      </c>
      <c r="BB99" s="478">
        <f>IF(OR(C99="",D99=""),"",VLOOKUP(C99,'Base de Diseño (2)'!$A$2:$D$330,4,FALSE))</f>
        <v>973.49160000000006</v>
      </c>
      <c r="BC99" s="478" t="e">
        <f>IF(OR(C99="",D99=""),"",VLOOKUP(D99,'Base de Diseño (2)'!$A$2:$D$330,4,FALSE))</f>
        <v>#N/A</v>
      </c>
      <c r="BD99" s="23">
        <f>+BF99-((AZ99/1000)+CX99)</f>
        <v>1.1629999999999772</v>
      </c>
      <c r="BE99" s="23">
        <f>+BG99-((AZ99/1000)+CX99)</f>
        <v>1.0830000000000499</v>
      </c>
      <c r="BF99" s="494">
        <v>1.3999999999999773</v>
      </c>
      <c r="BG99" s="494">
        <v>1.32000000000005</v>
      </c>
      <c r="BH99" s="495">
        <f>BB99-BF99</f>
        <v>972.09160000000008</v>
      </c>
      <c r="BI99" s="495" t="e">
        <f>BC99-BG99</f>
        <v>#N/A</v>
      </c>
      <c r="BJ99" s="468" t="e">
        <f t="shared" si="151"/>
        <v>#N/A</v>
      </c>
      <c r="BK99" s="475" t="e">
        <f>ABS((BB99-BC99)/AX99)*100</f>
        <v>#N/A</v>
      </c>
      <c r="BL99" s="475" t="e">
        <f>((BH99-BI99)/AX99)*100</f>
        <v>#N/A</v>
      </c>
      <c r="BM99" s="475" t="e">
        <f>IF(BA99=6,(1/0.013)*((AZ99/4000)^(2/3))*((BL99/100)^(0.5)),(1/0.009)*((AZ99/4000)^(2/3))*((BL99/100)^(0.5)))</f>
        <v>#N/A</v>
      </c>
      <c r="BN99" s="475" t="e">
        <f>1000*BM99*PI()*((AZ99/1000/2)^2)</f>
        <v>#N/A</v>
      </c>
      <c r="BO99" s="204" t="e">
        <f>AI99/BN99</f>
        <v>#N/A</v>
      </c>
      <c r="BP99" s="496" t="str">
        <f>IF(L99=0," ",AW99/BN99)</f>
        <v xml:space="preserve"> </v>
      </c>
      <c r="BQ99" s="497" t="e">
        <f>IF($BO99&gt;0 =AND($BO99&lt;=0.06),10^(0.029806+0.29095*LOG($BO99)),IF($BO99&gt;0.06 =AND($BO99&lt;=0.26),10^(0.013778+0.282597*LOG($BO99)),IF($BO99&gt;0.26 =AND($BO99&lt;=0.91),10^(0.021763+0.28995*LOG($BO99)),1)))</f>
        <v>#N/A</v>
      </c>
      <c r="BR99" s="497" t="str">
        <f>IF($BP99&gt;0 =AND($BP99&lt;=0.06),10^(0.029806+0.29095*LOG($BP99)),IF($BP99&gt;0.06 =AND($BP99&lt;=0.26),10^(0.013778+0.282597*LOG($BP99)),IF($BP99&gt;0.26 =AND($BP99&lt;=2),10^(0.021763+0.28995*LOG($BP99))," ")))</f>
        <v xml:space="preserve"> </v>
      </c>
      <c r="BS99" s="475" t="e">
        <f>BM99*BQ99</f>
        <v>#N/A</v>
      </c>
      <c r="BT99" s="475" t="str">
        <f>IF(BP99=" "," ",(BM99*BR99))</f>
        <v xml:space="preserve"> </v>
      </c>
      <c r="BU99" s="475" t="e">
        <f>IF(BO99&lt;=0.11,0.3827+0.0645*LN(BO99),IF(BO99&lt;=0.21,0.60025+0.15471*LN(BO99),IF(BO99&lt;1,0.225+0.6666666667*BO99,0)))</f>
        <v>#N/A</v>
      </c>
      <c r="BV99" s="475" t="str">
        <f>IF(BP99&lt;=0.11,0.3827+0.0645*LN(BP99),IF(BP99&lt;=0.21,0.60025+0.15471*LN(BP99),IF(BP99&lt;1,0.225+0.6666666667*BP99," ")))</f>
        <v xml:space="preserve"> </v>
      </c>
      <c r="BW99" s="475" t="e">
        <f>2*ACOS(1-2*(BU99))</f>
        <v>#N/A</v>
      </c>
      <c r="BX99" s="475" t="str">
        <f>IF(BP99=" "," ",(2*ACOS(1-2*(BV99))))</f>
        <v xml:space="preserve"> </v>
      </c>
      <c r="BY99" s="475" t="e">
        <f>(1/4)*(1-(SIN(BW99))/BW99)</f>
        <v>#N/A</v>
      </c>
      <c r="BZ99" s="475" t="str">
        <f>IF(BP99=" "," ",((1/4)*(1-(SIN(BX99))/BX99)))</f>
        <v xml:space="preserve"> </v>
      </c>
      <c r="CA99" s="471" t="e">
        <f>BY99*AZ99/1000</f>
        <v>#N/A</v>
      </c>
      <c r="CB99" s="471" t="str">
        <f>IF(BP99=" "," ",(BZ99*AZ99/1000))</f>
        <v xml:space="preserve"> </v>
      </c>
      <c r="CC99" s="471" t="e">
        <f t="shared" si="222"/>
        <v>#VALUE!</v>
      </c>
      <c r="CD99" s="471" t="e">
        <f>IF(CC99="","",IF(CC99&lt;0.7,"F. Subcrítico",IF(AND(CC99&gt;0.7,CC99&lt;1),"F. Subcrítico Inestable",IF(CC99=1,"F. Crítico",IF(AND(CC99&gt;1,CC99&lt;1.5),"F. Supercrítico Inestable",IF(CC99&gt;1.5,"F. Supercrítico",""))))))</f>
        <v>#VALUE!</v>
      </c>
      <c r="CE99" s="471" t="e">
        <f>1000*BL99*CA99/100</f>
        <v>#N/A</v>
      </c>
      <c r="CF99" s="471" t="str">
        <f>IF(BP99=" "," ",(1000*BL99*CB99/100))</f>
        <v xml:space="preserve"> </v>
      </c>
      <c r="CG99" s="471" t="e">
        <f>IF(BS99&lt;0.45,"No cumple",IF(BS99&gt;5,"No cumple","O.K"))</f>
        <v>#N/A</v>
      </c>
      <c r="CH99" s="471" t="str">
        <f>IF(BT99&lt;0.75,"No cumple",IF(BT99&gt;10,"No cumple","O.K"))</f>
        <v>No cumple</v>
      </c>
      <c r="CI99" s="471" t="e">
        <f>IF(CE99&gt;0.1,"OK","V.C.H.")</f>
        <v>#N/A</v>
      </c>
      <c r="CJ99" s="471" t="str">
        <f>IF(CF99&gt;0.2,"OK","V.C.H.")</f>
        <v>OK</v>
      </c>
      <c r="CK99" s="468" t="e">
        <f>+BJ99</f>
        <v>#N/A</v>
      </c>
      <c r="CL99" s="482" t="s">
        <v>2507</v>
      </c>
      <c r="CM99" s="482"/>
      <c r="CN99" s="63" t="str">
        <f>IF(B99=1,"dato"," ")</f>
        <v>dato</v>
      </c>
      <c r="CO99" s="498" t="e">
        <f>+CR99</f>
        <v>#N/A</v>
      </c>
      <c r="CP99" s="472" t="e">
        <f>+BK99/100</f>
        <v>#N/A</v>
      </c>
      <c r="CQ99" s="482" t="s">
        <v>2508</v>
      </c>
      <c r="CR99" s="204" t="e">
        <f>IF(BA99="","",AX99)</f>
        <v>#N/A</v>
      </c>
      <c r="CS99" s="486">
        <v>1.2</v>
      </c>
      <c r="CT99" s="486">
        <v>1.2</v>
      </c>
      <c r="CU99" s="23" t="e">
        <f>IF($BA99="","",SQRT((BH99-BI99)^2+$CR99^2))</f>
        <v>#N/A</v>
      </c>
      <c r="CV99" s="499" t="s">
        <v>2509</v>
      </c>
      <c r="CW99" s="488" t="str">
        <f>+IF(BD99&lt;=0.9,"E1",IF(BD99&lt;=2.5,"E2","E3"))</f>
        <v>E2</v>
      </c>
      <c r="CX99" s="204">
        <f>IF(AND(L99="",H99=""),"",IF(AND(BA99&lt;&gt;4,BA99&lt;&gt;5),VLOOKUP(AY99,'TABLA (2)'!$A$9:$D$43,4),IF(BA99=4,VLOOKUP(AY99,'TABLA (2)'!$A$74:$D$89,4),VLOOKUP(AY99,'TABLA (2)'!$A$51:$D$66,4))))</f>
        <v>3.6999999999999998E-2</v>
      </c>
      <c r="CY99" s="482"/>
      <c r="CZ99" s="482"/>
      <c r="DA99" s="482"/>
      <c r="DB99" s="490"/>
    </row>
    <row r="100" spans="1:106" ht="15.75" hidden="1" customHeight="1">
      <c r="A100" s="465">
        <v>55</v>
      </c>
      <c r="B100" s="491"/>
      <c r="C100" s="466" t="s">
        <v>2513</v>
      </c>
      <c r="D100" s="466" t="s">
        <v>2337</v>
      </c>
      <c r="E100" s="468"/>
      <c r="F100" s="468"/>
      <c r="G100" s="468">
        <f>IF(B100=1,0,SUMIF($D$22:$D$583,C100,$H$22:$H$583))</f>
        <v>0</v>
      </c>
      <c r="H100" s="468">
        <f>+E100+F100+G100</f>
        <v>0</v>
      </c>
      <c r="I100" s="468"/>
      <c r="J100" s="468"/>
      <c r="K100" s="467">
        <f ca="1">+IF(B100=1,0,SUMIF($D$22:$D$583,C100,$L$22:$L$580))</f>
        <v>0</v>
      </c>
      <c r="L100" s="468">
        <f ca="1">+I100+J100+K100</f>
        <v>0</v>
      </c>
      <c r="M100" s="469">
        <f>+$P$12</f>
        <v>242.33666300502347</v>
      </c>
      <c r="N100" s="470">
        <f>M100*E100</f>
        <v>0</v>
      </c>
      <c r="O100" s="470">
        <f>M100*F100</f>
        <v>0</v>
      </c>
      <c r="P100" s="470">
        <f>M100*H100</f>
        <v>0</v>
      </c>
      <c r="Q100" s="469">
        <f>+$H$14</f>
        <v>140</v>
      </c>
      <c r="R100" s="471">
        <f>Q100*P100*$P$14/86400</f>
        <v>0</v>
      </c>
      <c r="S100" s="471"/>
      <c r="T100" s="471"/>
      <c r="U100" s="471">
        <f>IF(C100="","",T100*$P$17)</f>
        <v>0</v>
      </c>
      <c r="V100" s="471"/>
      <c r="W100" s="471"/>
      <c r="X100" s="471">
        <f>IF(C100="","",W100*$P$16)</f>
        <v>0</v>
      </c>
      <c r="Y100" s="471">
        <f>IF(H100=0,0,$H$15*H100)</f>
        <v>0</v>
      </c>
      <c r="Z100" s="471">
        <f ca="1">IF(L100=0,$H$16*H100,0)</f>
        <v>0</v>
      </c>
      <c r="AA100" s="471">
        <f t="shared" si="219"/>
        <v>3.8</v>
      </c>
      <c r="AB100" s="471">
        <f>R100*AA100</f>
        <v>0</v>
      </c>
      <c r="AC100" s="471">
        <f>Q100*(N100+O100)*$P$14/86400</f>
        <v>0</v>
      </c>
      <c r="AD100" s="471">
        <f>IF(E100=0,0,$H$15*(E100+F100))</f>
        <v>0</v>
      </c>
      <c r="AE100" s="471">
        <f>IF(F100=0,0,$H$15*(F100+G100))</f>
        <v>0</v>
      </c>
      <c r="AF100" s="471">
        <f>IF(N100="","",IF(1+((14/(4+(((N100+O100)+O100)/1000)^1/2)))&lt;1.4,1.4,IF(1+((14/(4+((N100+O100)/1000)^1/2)))&gt;=4,4,(1+((14/(4+((N100+O100)/1000)^1/2)))))))</f>
        <v>4</v>
      </c>
      <c r="AG100" s="471">
        <f>AC100*AF100</f>
        <v>0</v>
      </c>
      <c r="AH100" s="471">
        <f>+AD100+AE100+AG100</f>
        <v>0</v>
      </c>
      <c r="AI100" s="471">
        <f ca="1">IF(H100="","",IF(AB100+Y100+Z100+X100+U100&lt;1.5,1.5,AB100+Y100+Z100+X100+U100))</f>
        <v>1.5</v>
      </c>
      <c r="AJ100" s="471">
        <f>+$P$17</f>
        <v>0.75</v>
      </c>
      <c r="AK100" s="472" t="e">
        <f>+BK100/100</f>
        <v>#N/A</v>
      </c>
      <c r="AL100" s="471" t="e">
        <f>IF(AJ100=0," ",0.14+0.65*AJ100+0.05*AK100)</f>
        <v>#N/A</v>
      </c>
      <c r="AM100" s="473" t="e">
        <f t="shared" si="220"/>
        <v>#N/A</v>
      </c>
      <c r="AN100" s="474" t="e">
        <f t="shared" si="221"/>
        <v>#N/A</v>
      </c>
      <c r="AO100" s="474" t="e">
        <f>((1/60)*$AX100/$AQ100)</f>
        <v>#N/A</v>
      </c>
      <c r="AP100" s="474" t="e">
        <f>IF(B100=1,IF(($AN100+$AO100)&lt;10,10,IF(($AN100+$AO100)&gt;20,20,($AN100+$AO100))),($AN100+$AO100))</f>
        <v>#N/A</v>
      </c>
      <c r="AQ100" s="475">
        <v>3</v>
      </c>
      <c r="AR100" s="474" t="e">
        <f ca="1">((1/60)*$AX100/$BT100)</f>
        <v>#N/A</v>
      </c>
      <c r="AS100" s="474" t="e">
        <f ca="1">AO100/AR100</f>
        <v>#N/A</v>
      </c>
      <c r="AT100" s="471" t="e">
        <f ca="1">IF(AS100&lt;0.9,"Disminuir vel.",IF(AS100&gt;1.1,"Aumentar vel.","Cumple"))</f>
        <v>#N/A</v>
      </c>
      <c r="AU100" s="492" t="e">
        <f>+I100*AL100*AM100</f>
        <v>#N/A</v>
      </c>
      <c r="AV100" s="471" t="e">
        <f ca="1">+L100*AL100*AM100</f>
        <v>#N/A</v>
      </c>
      <c r="AW100" s="471" t="e">
        <f ca="1">ROUND(IF(AI100&gt;(AV100*0.05),(AV100+AI100),AV100),2)</f>
        <v>#N/A</v>
      </c>
      <c r="AX100" s="478" t="e">
        <f>IF(OR(C100="",D100=""),"",ROUND(((VLOOKUP(C100,'Base de Diseño (2)'!$A$2:$C$333,2,FALSE)-VLOOKUP(D100,'Base de Diseño (2)'!$A$2:$C$333,2,FALSE))^2+(VLOOKUP(C100,'Base de Diseño (2)'!$A$2:$C$333,3,0)-VLOOKUP(D100,'Base de Diseño (2)'!$A$2:$C$333,3,FALSE))^2)^0.5,2))</f>
        <v>#N/A</v>
      </c>
      <c r="AY100" s="493">
        <v>8</v>
      </c>
      <c r="AZ100" s="480">
        <f ca="1">IF(AND(L100="",H100=""),"",IF(BA100=4,VLOOKUP(AY100,'TABLA (2)'!$A$74:$C$89,2),IF(BA100=5,VLOOKUP(AY100,'TABLA (2)'!$A$51:$B$66,2),IF(BA100=6,VLOOKUP(AY100,'TABLA (2)'!$A$9:$B$43,2)))))</f>
        <v>200</v>
      </c>
      <c r="BA100" s="493">
        <v>6</v>
      </c>
      <c r="BB100" s="478" t="e">
        <f>IF(OR(C100="",D100=""),"",VLOOKUP(C100,'Base de Diseño (2)'!$A$2:$D$330,4,FALSE))</f>
        <v>#N/A</v>
      </c>
      <c r="BC100" s="478">
        <f>IF(OR(C100="",D100=""),"",VLOOKUP(D100,'Base de Diseño (2)'!$A$2:$D$330,4,FALSE))</f>
        <v>968.1</v>
      </c>
      <c r="BD100" s="23">
        <f ca="1">+BF100-((AZ100/1000)+CX100)</f>
        <v>1.1030000000000317</v>
      </c>
      <c r="BE100" s="23">
        <f ca="1">+BG100-((AZ100/1000)+CX100)</f>
        <v>1.4630000000000454</v>
      </c>
      <c r="BF100" s="494">
        <v>1.3400000000000318</v>
      </c>
      <c r="BG100" s="494">
        <v>1.7000000000000455</v>
      </c>
      <c r="BH100" s="495" t="e">
        <f>BB100-BF100</f>
        <v>#N/A</v>
      </c>
      <c r="BI100" s="495">
        <f>BC100-BG100</f>
        <v>966.4</v>
      </c>
      <c r="BJ100" s="468">
        <f t="shared" si="151"/>
        <v>966.4</v>
      </c>
      <c r="BK100" s="475" t="e">
        <f>ABS((BB100-BC100)/AX100)*100</f>
        <v>#N/A</v>
      </c>
      <c r="BL100" s="475" t="e">
        <f>((BH100-BI100)/AX100)*100</f>
        <v>#N/A</v>
      </c>
      <c r="BM100" s="475" t="e">
        <f ca="1">IF(BA100=6,(1/0.013)*((AZ100/4000)^(2/3))*((BL100/100)^(0.5)),(1/0.009)*((AZ100/4000)^(2/3))*((BL100/100)^(0.5)))</f>
        <v>#N/A</v>
      </c>
      <c r="BN100" s="475" t="e">
        <f ca="1">1000*BM100*PI()*((AZ100/1000/2)^2)</f>
        <v>#N/A</v>
      </c>
      <c r="BO100" s="204" t="e">
        <f ca="1">AI100/BN100</f>
        <v>#N/A</v>
      </c>
      <c r="BP100" s="496" t="str">
        <f ca="1">IF(L100=0," ",AW100/BN100)</f>
        <v xml:space="preserve"> </v>
      </c>
      <c r="BQ100" s="497" t="e">
        <f ca="1">IF($BO100&gt;0 =AND($BO100&lt;=0.06),10^(0.029806+0.29095*LOG($BO100)),IF($BO100&gt;0.06 =AND($BO100&lt;=0.26),10^(0.013778+0.282597*LOG($BO100)),IF($BO100&gt;0.26 =AND($BO100&lt;=0.91),10^(0.021763+0.28995*LOG($BO100)),1)))</f>
        <v>#N/A</v>
      </c>
      <c r="BR100" s="497" t="str">
        <f ca="1">IF($BP100&gt;0 =AND($BP100&lt;=0.06),10^(0.029806+0.29095*LOG($BP100)),IF($BP100&gt;0.06 =AND($BP100&lt;=0.26),10^(0.013778+0.282597*LOG($BP100)),IF($BP100&gt;0.26 =AND($BP100&lt;=2),10^(0.021763+0.28995*LOG($BP100))," ")))</f>
        <v xml:space="preserve"> </v>
      </c>
      <c r="BS100" s="475" t="e">
        <f ca="1">BM100*BQ100</f>
        <v>#N/A</v>
      </c>
      <c r="BT100" s="475" t="str">
        <f ca="1">IF(BP100=" "," ",(BM100*BR100))</f>
        <v xml:space="preserve"> </v>
      </c>
      <c r="BU100" s="475" t="e">
        <f ca="1">IF(BO100&lt;=0.11,0.3827+0.0645*LN(BO100),IF(BO100&lt;=0.21,0.60025+0.15471*LN(BO100),IF(BO100&lt;1,0.225+0.6666666667*BO100,0)))</f>
        <v>#N/A</v>
      </c>
      <c r="BV100" s="475" t="str">
        <f ca="1">IF(BP100&lt;=0.11,0.3827+0.0645*LN(BP100),IF(BP100&lt;=0.21,0.60025+0.15471*LN(BP100),IF(BP100&lt;1,0.225+0.6666666667*BP100," ")))</f>
        <v xml:space="preserve"> </v>
      </c>
      <c r="BW100" s="475" t="e">
        <f ca="1">2*ACOS(1-2*(BU100))</f>
        <v>#N/A</v>
      </c>
      <c r="BX100" s="475" t="str">
        <f ca="1">IF(BP100=" "," ",(2*ACOS(1-2*(BV100))))</f>
        <v xml:space="preserve"> </v>
      </c>
      <c r="BY100" s="475" t="e">
        <f ca="1">(1/4)*(1-(SIN(BW100))/BW100)</f>
        <v>#N/A</v>
      </c>
      <c r="BZ100" s="475" t="str">
        <f ca="1">IF(BP100=" "," ",((1/4)*(1-(SIN(BX100))/BX100)))</f>
        <v xml:space="preserve"> </v>
      </c>
      <c r="CA100" s="471" t="e">
        <f ca="1">BY100*AZ100/1000</f>
        <v>#N/A</v>
      </c>
      <c r="CB100" s="471" t="str">
        <f ca="1">IF(BP100=" "," ",(BZ100*AZ100/1000))</f>
        <v xml:space="preserve"> </v>
      </c>
      <c r="CC100" s="471" t="e">
        <f t="shared" ca="1" si="222"/>
        <v>#VALUE!</v>
      </c>
      <c r="CD100" s="471" t="e">
        <f ca="1">IF(CC100="","",IF(CC100&lt;0.7,"F. Subcrítico",IF(AND(CC100&gt;0.7,CC100&lt;1),"F. Subcrítico Inestable",IF(CC100=1,"F. Crítico",IF(AND(CC100&gt;1,CC100&lt;1.5),"F. Supercrítico Inestable",IF(CC100&gt;1.5,"F. Supercrítico",""))))))</f>
        <v>#VALUE!</v>
      </c>
      <c r="CE100" s="471" t="e">
        <f ca="1">1000*BL100*CA100/100</f>
        <v>#N/A</v>
      </c>
      <c r="CF100" s="471" t="str">
        <f ca="1">IF(BP100=" "," ",(1000*BL100*CB100/100))</f>
        <v xml:space="preserve"> </v>
      </c>
      <c r="CG100" s="471" t="e">
        <f ca="1">IF(BS100&lt;0.45,"No cumple",IF(BS100&gt;5,"No cumple","O.K"))</f>
        <v>#N/A</v>
      </c>
      <c r="CH100" s="471" t="str">
        <f ca="1">IF(BT100&lt;0.75,"No cumple",IF(BT100&gt;10,"No cumple","O.K"))</f>
        <v>No cumple</v>
      </c>
      <c r="CI100" s="471" t="e">
        <f ca="1">IF(CE100&gt;0.1,"OK","V.C.H.")</f>
        <v>#N/A</v>
      </c>
      <c r="CJ100" s="471" t="str">
        <f ca="1">IF(CF100&gt;0.2,"OK","V.C.H.")</f>
        <v>OK</v>
      </c>
      <c r="CK100" s="468">
        <f>+BJ100</f>
        <v>966.4</v>
      </c>
      <c r="CL100" s="482" t="s">
        <v>2507</v>
      </c>
      <c r="CM100" s="482"/>
      <c r="CN100" s="63" t="str">
        <f>IF(B100=1,"dato"," ")</f>
        <v xml:space="preserve"> </v>
      </c>
      <c r="CO100" s="498" t="e">
        <f>+CR100</f>
        <v>#N/A</v>
      </c>
      <c r="CP100" s="472" t="e">
        <f>+BK100/100</f>
        <v>#N/A</v>
      </c>
      <c r="CQ100" s="482" t="s">
        <v>2508</v>
      </c>
      <c r="CR100" s="204" t="e">
        <f>IF(BA100="","",AX100)</f>
        <v>#N/A</v>
      </c>
      <c r="CS100" s="486">
        <v>1.2</v>
      </c>
      <c r="CT100" s="486">
        <v>1.2</v>
      </c>
      <c r="CU100" s="23" t="e">
        <f>IF($BA100="","",SQRT((BH100-BI100)^2+$CR100^2))</f>
        <v>#N/A</v>
      </c>
      <c r="CV100" s="499" t="s">
        <v>2509</v>
      </c>
      <c r="CW100" s="488" t="str">
        <f ca="1">+IF(BD100&lt;=0.9,"E1",IF(BD100&lt;=2.5,"E2","E3"))</f>
        <v>E2</v>
      </c>
      <c r="CX100" s="204">
        <f ca="1">IF(AND(L100="",H100=""),"",IF(AND(BA100&lt;&gt;4,BA100&lt;&gt;5),VLOOKUP(AY100,'TABLA (2)'!$A$9:$D$43,4),IF(BA100=4,VLOOKUP(AY100,'TABLA (2)'!$A$74:$D$89,4),VLOOKUP(AY100,'TABLA (2)'!$A$51:$D$66,4))))</f>
        <v>3.6999999999999998E-2</v>
      </c>
      <c r="CY100" s="482"/>
      <c r="CZ100" s="482"/>
      <c r="DA100" s="482"/>
      <c r="DB100" s="490"/>
    </row>
    <row r="101" spans="1:106" ht="15.75" hidden="1" customHeight="1">
      <c r="A101" s="465"/>
      <c r="B101" s="491"/>
      <c r="C101" s="501"/>
      <c r="D101" s="501"/>
      <c r="E101" s="468"/>
      <c r="F101" s="468"/>
      <c r="G101" s="468"/>
      <c r="H101" s="468"/>
      <c r="I101" s="468"/>
      <c r="J101" s="468"/>
      <c r="K101" s="467"/>
      <c r="L101" s="468"/>
      <c r="M101" s="469"/>
      <c r="N101" s="470"/>
      <c r="O101" s="470"/>
      <c r="P101" s="470"/>
      <c r="Q101" s="469"/>
      <c r="R101" s="471"/>
      <c r="S101" s="471"/>
      <c r="T101" s="471"/>
      <c r="U101" s="471"/>
      <c r="V101" s="471"/>
      <c r="W101" s="471"/>
      <c r="X101" s="471"/>
      <c r="Y101" s="471"/>
      <c r="Z101" s="471"/>
      <c r="AA101" s="471" t="str">
        <f t="shared" si="219"/>
        <v/>
      </c>
      <c r="AB101" s="471"/>
      <c r="AC101" s="471"/>
      <c r="AD101" s="471"/>
      <c r="AE101" s="471"/>
      <c r="AF101" s="471"/>
      <c r="AG101" s="471"/>
      <c r="AH101" s="471"/>
      <c r="AI101" s="471"/>
      <c r="AJ101" s="471"/>
      <c r="AK101" s="472"/>
      <c r="AL101" s="471"/>
      <c r="AM101" s="473">
        <f t="shared" si="220"/>
        <v>474.44695720875893</v>
      </c>
      <c r="AN101" s="474" t="e">
        <f t="shared" si="221"/>
        <v>#N/A</v>
      </c>
      <c r="AO101" s="474"/>
      <c r="AP101" s="474"/>
      <c r="AQ101" s="475">
        <v>3</v>
      </c>
      <c r="AR101" s="474"/>
      <c r="AS101" s="474"/>
      <c r="AT101" s="471"/>
      <c r="AU101" s="492"/>
      <c r="AV101" s="471"/>
      <c r="AW101" s="471"/>
      <c r="AX101" s="478"/>
      <c r="AY101" s="493"/>
      <c r="AZ101" s="480"/>
      <c r="BA101" s="493"/>
      <c r="BB101" s="478" t="str">
        <f>IF(OR(C101="",D101=""),"",VLOOKUP(C101,'Base de Diseño (2)'!$A$2:$D$330,4,FALSE))</f>
        <v/>
      </c>
      <c r="BC101" s="478" t="str">
        <f>IF(OR(C101="",D101=""),"",VLOOKUP(D101,'Base de Diseño (2)'!$A$2:$D$330,4,FALSE))</f>
        <v/>
      </c>
      <c r="BD101" s="23"/>
      <c r="BE101" s="23"/>
      <c r="BF101" s="494"/>
      <c r="BG101" s="494"/>
      <c r="BH101" s="495"/>
      <c r="BI101" s="495"/>
      <c r="BJ101" s="468"/>
      <c r="BK101" s="475"/>
      <c r="BL101" s="475"/>
      <c r="BM101" s="475"/>
      <c r="BN101" s="475"/>
      <c r="BO101" s="204"/>
      <c r="BP101" s="496"/>
      <c r="BQ101" s="497"/>
      <c r="BR101" s="497"/>
      <c r="BS101" s="475"/>
      <c r="BT101" s="475"/>
      <c r="BU101" s="475"/>
      <c r="BV101" s="475"/>
      <c r="BW101" s="475"/>
      <c r="BX101" s="475"/>
      <c r="BY101" s="475"/>
      <c r="BZ101" s="475"/>
      <c r="CA101" s="471"/>
      <c r="CB101" s="471"/>
      <c r="CC101" s="471" t="e">
        <f t="shared" si="222"/>
        <v>#DIV/0!</v>
      </c>
      <c r="CD101" s="471"/>
      <c r="CE101" s="471"/>
      <c r="CF101" s="471"/>
      <c r="CG101" s="471"/>
      <c r="CH101" s="471"/>
      <c r="CI101" s="471"/>
      <c r="CJ101" s="471"/>
      <c r="CK101" s="468"/>
      <c r="CL101" s="482" t="s">
        <v>2507</v>
      </c>
      <c r="CM101" s="482"/>
      <c r="CN101" s="63"/>
      <c r="CO101" s="498"/>
      <c r="CP101" s="472"/>
      <c r="CQ101" s="482"/>
      <c r="CR101" s="204"/>
      <c r="CS101" s="486"/>
      <c r="CT101" s="486"/>
      <c r="CU101" s="23"/>
      <c r="CV101" s="499"/>
      <c r="CW101" s="488"/>
      <c r="CX101" s="204"/>
      <c r="CY101" s="482"/>
      <c r="CZ101" s="482"/>
      <c r="DA101" s="482"/>
      <c r="DB101" s="490"/>
    </row>
    <row r="102" spans="1:106" ht="15" hidden="1" customHeight="1">
      <c r="A102" s="465">
        <v>56</v>
      </c>
      <c r="B102" s="491">
        <v>1</v>
      </c>
      <c r="C102" s="466" t="s">
        <v>2230</v>
      </c>
      <c r="D102" s="466" t="s">
        <v>2514</v>
      </c>
      <c r="E102" s="468">
        <v>3.19569756E-2</v>
      </c>
      <c r="F102" s="468"/>
      <c r="G102" s="468">
        <f>IF(B102=1,0,SUMIF($D$22:$D$583,C102,$H$22:$H$583))</f>
        <v>0</v>
      </c>
      <c r="H102" s="468">
        <f>+E102+F102+G102</f>
        <v>3.19569756E-2</v>
      </c>
      <c r="I102" s="468">
        <v>3.19569756E-2</v>
      </c>
      <c r="J102" s="468"/>
      <c r="K102" s="467">
        <f>+IF(B102=1,0,SUMIF($D$22:$D$583,C102,$L$22:$L$580))</f>
        <v>0</v>
      </c>
      <c r="L102" s="468">
        <f>+I102+J102+K102</f>
        <v>3.19569756E-2</v>
      </c>
      <c r="M102" s="469">
        <f>+$P$12</f>
        <v>242.33666300502347</v>
      </c>
      <c r="N102" s="470">
        <f>M102*E102</f>
        <v>7.7443468266369573</v>
      </c>
      <c r="O102" s="470">
        <f>M102*F102</f>
        <v>0</v>
      </c>
      <c r="P102" s="470">
        <f>M102*H102</f>
        <v>7.7443468266369573</v>
      </c>
      <c r="Q102" s="469">
        <f t="shared" ref="Q102:Q113" si="223">+$H$14</f>
        <v>140</v>
      </c>
      <c r="R102" s="471">
        <f>Q102*P102*$P$14/86400</f>
        <v>1.066640361539118E-2</v>
      </c>
      <c r="S102" s="471"/>
      <c r="T102" s="471"/>
      <c r="U102" s="471">
        <f>IF(C102="","",T102*$P$17)</f>
        <v>0</v>
      </c>
      <c r="V102" s="471"/>
      <c r="W102" s="471"/>
      <c r="X102" s="471">
        <f>IF(C102="","",W102*$P$16)</f>
        <v>0</v>
      </c>
      <c r="Y102" s="471">
        <f>IF(H102=0,0,$H$15*H102)</f>
        <v>6.3913951200000006E-3</v>
      </c>
      <c r="Z102" s="471">
        <f>IF(L102=0,$H$16*H102,0)</f>
        <v>0</v>
      </c>
      <c r="AA102" s="471">
        <f t="shared" si="219"/>
        <v>3.8</v>
      </c>
      <c r="AB102" s="471">
        <f>R102*AA102</f>
        <v>4.0532333738486484E-2</v>
      </c>
      <c r="AC102" s="471">
        <f>Q102*(N102+O102)*$P$14/86400</f>
        <v>1.066640361539118E-2</v>
      </c>
      <c r="AD102" s="471">
        <f>IF(E102=0,0,$H$15*(E102+F102))</f>
        <v>6.3913951200000006E-3</v>
      </c>
      <c r="AE102" s="471">
        <f>IF(F102=0,0,$H$15*(F102+G102))</f>
        <v>0</v>
      </c>
      <c r="AF102" s="471">
        <f>IF(N102="","",IF(1+((14/(4+(((N102+O102)+O102)/1000)^1/2)))&lt;1.4,1.4,IF(1+((14/(4+((N102+O102)/1000)^1/2)))&gt;=4,4,(1+((14/(4+((N102+O102)/1000)^1/2)))))))</f>
        <v>4</v>
      </c>
      <c r="AG102" s="471">
        <f>AC102*AF102</f>
        <v>4.2665614461564721E-2</v>
      </c>
      <c r="AH102" s="471">
        <f>+AD102+AE102+AG102</f>
        <v>4.9057009581564726E-2</v>
      </c>
      <c r="AI102" s="471">
        <f>IF(H102="","",IF(AB102+Y102+Z102+X102+U102&lt;1.5,1.5,AB102+Y102+Z102+X102+U102))</f>
        <v>1.5</v>
      </c>
      <c r="AJ102" s="471">
        <f>+$P$17</f>
        <v>0.75</v>
      </c>
      <c r="AK102" s="472" t="e">
        <f>+BK102/100</f>
        <v>#N/A</v>
      </c>
      <c r="AL102" s="471" t="e">
        <f>IF(AJ102=0," ",0.14+0.65*AJ102+0.05*AK102)</f>
        <v>#N/A</v>
      </c>
      <c r="AM102" s="473" t="e">
        <f t="shared" si="220"/>
        <v>#N/A</v>
      </c>
      <c r="AN102" s="474" t="e">
        <f t="shared" si="221"/>
        <v>#N/A</v>
      </c>
      <c r="AO102" s="474" t="e">
        <f>((1/60)*$AX102/$AQ102)</f>
        <v>#N/A</v>
      </c>
      <c r="AP102" s="474" t="e">
        <f>IF(B102=1,IF(($AN102+$AO102)&lt;10,10,IF(($AN102+$AO102)&gt;20,20,($AN102+$AO102))),($AN102+$AO102))</f>
        <v>#N/A</v>
      </c>
      <c r="AQ102" s="475">
        <v>3</v>
      </c>
      <c r="AR102" s="474" t="e">
        <f>((1/60)*$AX102/$BT102)</f>
        <v>#N/A</v>
      </c>
      <c r="AS102" s="474" t="e">
        <f>AO102/AR102</f>
        <v>#N/A</v>
      </c>
      <c r="AT102" s="471" t="e">
        <f>IF(AS102&lt;0.9,"Disminuir vel.",IF(AS102&gt;1.1,"Aumentar vel.","Cumple"))</f>
        <v>#N/A</v>
      </c>
      <c r="AU102" s="492" t="e">
        <f>+I102*AL102*AM102</f>
        <v>#N/A</v>
      </c>
      <c r="AV102" s="471" t="e">
        <f>+L102*AL102*AM102</f>
        <v>#N/A</v>
      </c>
      <c r="AW102" s="471" t="e">
        <f>ROUND(IF(AI102&gt;(AV102*0.05),(AV102+AI102),AV102),2)</f>
        <v>#N/A</v>
      </c>
      <c r="AX102" s="478" t="e">
        <f>IF(OR(C102="",D102=""),"",ROUND(((VLOOKUP(C102,'Base de Diseño (2)'!$A$2:$C$333,2,FALSE)-VLOOKUP(D102,'Base de Diseño (2)'!$A$2:$C$333,2,FALSE))^2+(VLOOKUP(C102,'Base de Diseño (2)'!$A$2:$C$333,3,0)-VLOOKUP(D102,'Base de Diseño (2)'!$A$2:$C$333,3,FALSE))^2)^0.5,2))</f>
        <v>#N/A</v>
      </c>
      <c r="AY102" s="493">
        <v>8</v>
      </c>
      <c r="AZ102" s="480">
        <f>IF(AND(L102="",H102=""),"",IF(BA102=4,VLOOKUP(AY102,'TABLA (2)'!$A$74:$C$89,2),IF(BA102=5,VLOOKUP(AY102,'TABLA (2)'!$A$51:$B$66,2),IF(BA102=6,VLOOKUP(AY102,'TABLA (2)'!$A$9:$B$43,2)))))</f>
        <v>200</v>
      </c>
      <c r="BA102" s="493">
        <v>6</v>
      </c>
      <c r="BB102" s="478">
        <f>IF(OR(C102="",D102=""),"",VLOOKUP(C102,'Base de Diseño (2)'!$A$2:$D$330,4,FALSE))</f>
        <v>968.86160000000007</v>
      </c>
      <c r="BC102" s="478" t="e">
        <f>IF(OR(C102="",D102=""),"",VLOOKUP(D102,'Base de Diseño (2)'!$A$2:$D$330,4,FALSE))</f>
        <v>#N/A</v>
      </c>
      <c r="BD102" s="23">
        <f>+BF102-((AZ102/1000)+CX102)</f>
        <v>0.96300000000004549</v>
      </c>
      <c r="BE102" s="23">
        <f>+BG102-((AZ102/1000)+CX102)</f>
        <v>1.682999999999959</v>
      </c>
      <c r="BF102" s="494">
        <v>1.2000000000000455</v>
      </c>
      <c r="BG102" s="494">
        <v>1.9199999999999591</v>
      </c>
      <c r="BH102" s="495">
        <f>BB102-BF102</f>
        <v>967.66160000000002</v>
      </c>
      <c r="BI102" s="495" t="e">
        <f>BC102-BG102</f>
        <v>#N/A</v>
      </c>
      <c r="BJ102" s="468" t="e">
        <f>IF(A102="",0,BI102-BH103)</f>
        <v>#N/A</v>
      </c>
      <c r="BK102" s="475" t="e">
        <f>ABS((BB102-BC102)/AX102)*100</f>
        <v>#N/A</v>
      </c>
      <c r="BL102" s="475" t="e">
        <f>((BH102-BI102)/AX102)*100</f>
        <v>#N/A</v>
      </c>
      <c r="BM102" s="475" t="e">
        <f>IF(BA102=6,(1/0.013)*((AZ102/4000)^(2/3))*((BL102/100)^(0.5)),(1/0.009)*((AZ102/4000)^(2/3))*((BL102/100)^(0.5)))</f>
        <v>#N/A</v>
      </c>
      <c r="BN102" s="475" t="e">
        <f>1000*BM102*PI()*((AZ102/1000/2)^2)</f>
        <v>#N/A</v>
      </c>
      <c r="BO102" s="204" t="e">
        <f>AI102/BN102</f>
        <v>#N/A</v>
      </c>
      <c r="BP102" s="496" t="e">
        <f>IF(L102=0," ",AW102/BN102)</f>
        <v>#N/A</v>
      </c>
      <c r="BQ102" s="497" t="e">
        <f>IF($BO102&gt;0 =AND($BO102&lt;=0.06),10^(0.029806+0.29095*LOG($BO102)),IF($BO102&gt;0.06 =AND($BO102&lt;=0.26),10^(0.013778+0.282597*LOG($BO102)),IF($BO102&gt;0.26 =AND($BO102&lt;=0.91),10^(0.021763+0.28995*LOG($BO102)),1)))</f>
        <v>#N/A</v>
      </c>
      <c r="BR102" s="497" t="e">
        <f>IF($BP102&gt;0 =AND($BP102&lt;=0.06),10^(0.029806+0.29095*LOG($BP102)),IF($BP102&gt;0.06 =AND($BP102&lt;=0.26),10^(0.013778+0.282597*LOG($BP102)),IF($BP102&gt;0.26 =AND($BP102&lt;=2),10^(0.021763+0.28995*LOG($BP102))," ")))</f>
        <v>#N/A</v>
      </c>
      <c r="BS102" s="475" t="e">
        <f>BM102*BQ102</f>
        <v>#N/A</v>
      </c>
      <c r="BT102" s="475" t="e">
        <f>IF(BP102=" "," ",(BM102*BR102))</f>
        <v>#N/A</v>
      </c>
      <c r="BU102" s="475" t="e">
        <f>IF(BO102&lt;=0.11,0.3827+0.0645*LN(BO102),IF(BO102&lt;=0.21,0.60025+0.15471*LN(BO102),IF(BO102&lt;1,0.225+0.6666666667*BO102,0)))</f>
        <v>#N/A</v>
      </c>
      <c r="BV102" s="475" t="e">
        <f>IF(BP102&lt;=0.11,0.3827+0.0645*LN(BP102),IF(BP102&lt;=0.21,0.60025+0.15471*LN(BP102),IF(BP102&lt;1,0.225+0.6666666667*BP102," ")))</f>
        <v>#N/A</v>
      </c>
      <c r="BW102" s="475" t="e">
        <f>2*ACOS(1-2*(BU102))</f>
        <v>#N/A</v>
      </c>
      <c r="BX102" s="475" t="e">
        <f>IF(BP102=" "," ",(2*ACOS(1-2*(BV102))))</f>
        <v>#N/A</v>
      </c>
      <c r="BY102" s="475" t="e">
        <f>(1/4)*(1-(SIN(BW102))/BW102)</f>
        <v>#N/A</v>
      </c>
      <c r="BZ102" s="475" t="e">
        <f>IF(BP102=" "," ",((1/4)*(1-(SIN(BX102))/BX102)))</f>
        <v>#N/A</v>
      </c>
      <c r="CA102" s="471" t="e">
        <f>BY102*AZ102/1000</f>
        <v>#N/A</v>
      </c>
      <c r="CB102" s="471" t="e">
        <f>IF(BP102=" "," ",(BZ102*AZ102/1000))</f>
        <v>#N/A</v>
      </c>
      <c r="CC102" s="471" t="e">
        <f t="shared" si="222"/>
        <v>#N/A</v>
      </c>
      <c r="CD102" s="471" t="e">
        <f>IF(CC102="","",IF(CC102&lt;0.7,"F. Subcrítico",IF(AND(CC102&gt;0.7,CC102&lt;1),"F. Subcrítico Inestable",IF(CC102=1,"F. Crítico",IF(AND(CC102&gt;1,CC102&lt;1.5),"F. Supercrítico Inestable",IF(CC102&gt;1.5,"F. Supercrítico",""))))))</f>
        <v>#N/A</v>
      </c>
      <c r="CE102" s="471" t="e">
        <f>1000*BL102*CA102/100</f>
        <v>#N/A</v>
      </c>
      <c r="CF102" s="471" t="e">
        <f>IF(BP102=" "," ",(1000*BL102*CB102/100))</f>
        <v>#N/A</v>
      </c>
      <c r="CG102" s="471" t="e">
        <f>IF(BS102&lt;0.45,"No cumple",IF(BS102&gt;5,"No cumple","O.K"))</f>
        <v>#N/A</v>
      </c>
      <c r="CH102" s="471" t="e">
        <f>IF(BT102&lt;0.75,"No cumple",IF(BT102&gt;10,"No cumple","O.K"))</f>
        <v>#N/A</v>
      </c>
      <c r="CI102" s="471" t="e">
        <f>IF(CE102&gt;0.1,"OK","V.C.H.")</f>
        <v>#N/A</v>
      </c>
      <c r="CJ102" s="471" t="e">
        <f>IF(CF102&gt;0.2,"OK","V.C.H.")</f>
        <v>#N/A</v>
      </c>
      <c r="CK102" s="468" t="e">
        <f>+BJ102</f>
        <v>#N/A</v>
      </c>
      <c r="CL102" s="482" t="s">
        <v>2507</v>
      </c>
      <c r="CM102" s="482"/>
      <c r="CN102" s="63" t="str">
        <f>IF(B102=1,"dato"," ")</f>
        <v>dato</v>
      </c>
      <c r="CO102" s="498" t="e">
        <f>+CR102</f>
        <v>#N/A</v>
      </c>
      <c r="CP102" s="472" t="e">
        <f>+BK102/100</f>
        <v>#N/A</v>
      </c>
      <c r="CQ102" s="482" t="s">
        <v>2508</v>
      </c>
      <c r="CR102" s="204" t="e">
        <f>IF(BA102="","",AX102)</f>
        <v>#N/A</v>
      </c>
      <c r="CS102" s="486">
        <v>1.2</v>
      </c>
      <c r="CT102" s="486">
        <v>1.2</v>
      </c>
      <c r="CU102" s="23" t="e">
        <f>IF($BA102="","",SQRT((BH102-BI102)^2+$CR102^2))</f>
        <v>#N/A</v>
      </c>
      <c r="CV102" s="499" t="s">
        <v>2509</v>
      </c>
      <c r="CW102" s="488" t="str">
        <f>+IF(BD102&lt;=0.9,"E1",IF(BD102&lt;=2.5,"E2","E3"))</f>
        <v>E2</v>
      </c>
      <c r="CX102" s="204">
        <f>IF(AND(L102="",H102=""),"",IF(AND(BA102&lt;&gt;4,BA102&lt;&gt;5),VLOOKUP(AY102,'TABLA (2)'!$A$9:$D$43,4),IF(BA102=4,VLOOKUP(AY102,'TABLA (2)'!$A$74:$D$89,4),VLOOKUP(AY102,'TABLA (2)'!$A$51:$D$66,4))))</f>
        <v>3.6999999999999998E-2</v>
      </c>
      <c r="CY102" s="482"/>
      <c r="CZ102" s="482"/>
      <c r="DA102" s="482"/>
      <c r="DB102" s="490"/>
    </row>
    <row r="103" spans="1:106" ht="15" hidden="1" customHeight="1">
      <c r="A103" s="465">
        <v>57</v>
      </c>
      <c r="B103" s="491"/>
      <c r="C103" s="466" t="s">
        <v>2514</v>
      </c>
      <c r="D103" s="466" t="s">
        <v>2337</v>
      </c>
      <c r="E103" s="468"/>
      <c r="F103" s="468"/>
      <c r="G103" s="468">
        <f>IF(B103=1,0,SUMIF($D$22:$D$583,C103,$H$22:$H$583))</f>
        <v>3.19569756E-2</v>
      </c>
      <c r="H103" s="468">
        <f>+E103+F103+G103</f>
        <v>3.19569756E-2</v>
      </c>
      <c r="I103" s="468"/>
      <c r="J103" s="468"/>
      <c r="K103" s="467">
        <f ca="1">+IF(B103=1,0,SUMIF($D$22:$D$583,C103,$L$22:$L$580))</f>
        <v>3.19569756E-2</v>
      </c>
      <c r="L103" s="468">
        <f ca="1">+I103+J103+K103</f>
        <v>3.19569756E-2</v>
      </c>
      <c r="M103" s="469">
        <f>+$P$12</f>
        <v>242.33666300502347</v>
      </c>
      <c r="N103" s="470">
        <f>M103*E103</f>
        <v>0</v>
      </c>
      <c r="O103" s="470">
        <f>M103*F103</f>
        <v>0</v>
      </c>
      <c r="P103" s="470">
        <f>M103*H103</f>
        <v>7.7443468266369573</v>
      </c>
      <c r="Q103" s="469">
        <f t="shared" si="223"/>
        <v>140</v>
      </c>
      <c r="R103" s="471">
        <f>Q103*P103*$P$14/86400</f>
        <v>1.066640361539118E-2</v>
      </c>
      <c r="S103" s="471"/>
      <c r="T103" s="471"/>
      <c r="U103" s="471">
        <f>IF(C103="","",T103*$P$17)</f>
        <v>0</v>
      </c>
      <c r="V103" s="471"/>
      <c r="W103" s="471"/>
      <c r="X103" s="471">
        <f>IF(C103="","",W103*$P$16)</f>
        <v>0</v>
      </c>
      <c r="Y103" s="471">
        <f>IF(H103=0,0,$H$15*H103)</f>
        <v>6.3913951200000006E-3</v>
      </c>
      <c r="Z103" s="471">
        <f ca="1">IF(L103=0,$H$16*H103,0)</f>
        <v>0</v>
      </c>
      <c r="AA103" s="471">
        <f t="shared" si="219"/>
        <v>3.8</v>
      </c>
      <c r="AB103" s="471">
        <f>R103*AA103</f>
        <v>4.0532333738486484E-2</v>
      </c>
      <c r="AC103" s="471">
        <f>Q103*(N103+O103)*$P$14/86400</f>
        <v>0</v>
      </c>
      <c r="AD103" s="471">
        <f>IF(E103=0,0,$H$15*(E103+F103))</f>
        <v>0</v>
      </c>
      <c r="AE103" s="471">
        <f>IF(F103=0,0,$H$15*(F103+G103))</f>
        <v>0</v>
      </c>
      <c r="AF103" s="471">
        <f>IF(N103="","",IF(1+((14/(4+(((N103+O103)+O103)/1000)^1/2)))&lt;1.4,1.4,IF(1+((14/(4+((N103+O103)/1000)^1/2)))&gt;=4,4,(1+((14/(4+((N103+O103)/1000)^1/2)))))))</f>
        <v>4</v>
      </c>
      <c r="AG103" s="471">
        <f>AC103*AF103</f>
        <v>0</v>
      </c>
      <c r="AH103" s="471">
        <f>+AD103+AE103+AG103</f>
        <v>0</v>
      </c>
      <c r="AI103" s="471">
        <f ca="1">IF(H103="","",IF(AB103+Y103+Z103+X103+U103&lt;1.5,1.5,AB103+Y103+Z103+X103+U103))</f>
        <v>1.5</v>
      </c>
      <c r="AJ103" s="471">
        <f>+$P$17</f>
        <v>0.75</v>
      </c>
      <c r="AK103" s="472" t="e">
        <f>+BK103/100</f>
        <v>#N/A</v>
      </c>
      <c r="AL103" s="471" t="e">
        <f>IF(AJ103=0," ",0.14+0.65*AJ103+0.05*AK103)</f>
        <v>#N/A</v>
      </c>
      <c r="AM103" s="473" t="e">
        <f t="shared" si="220"/>
        <v>#N/A</v>
      </c>
      <c r="AN103" s="474" t="e">
        <f t="shared" si="221"/>
        <v>#N/A</v>
      </c>
      <c r="AO103" s="474" t="e">
        <f>((1/60)*$AX103/$AQ103)</f>
        <v>#N/A</v>
      </c>
      <c r="AP103" s="474" t="e">
        <f>IF(B103=1,IF(($AN103+$AO103)&lt;10,10,IF(($AN103+$AO103)&gt;20,20,($AN103+$AO103))),($AN103+$AO103))</f>
        <v>#N/A</v>
      </c>
      <c r="AQ103" s="475">
        <v>3</v>
      </c>
      <c r="AR103" s="474" t="e">
        <f ca="1">((1/60)*$AX103/$BT103)</f>
        <v>#N/A</v>
      </c>
      <c r="AS103" s="474" t="e">
        <f ca="1">AO103/AR103</f>
        <v>#N/A</v>
      </c>
      <c r="AT103" s="471" t="e">
        <f ca="1">IF(AS103&lt;0.9,"Disminuir vel.",IF(AS103&gt;1.1,"Aumentar vel.","Cumple"))</f>
        <v>#N/A</v>
      </c>
      <c r="AU103" s="492" t="e">
        <f>+I103*AL103*AM103</f>
        <v>#N/A</v>
      </c>
      <c r="AV103" s="471" t="e">
        <f ca="1">+L103*AL103*AM103</f>
        <v>#N/A</v>
      </c>
      <c r="AW103" s="471" t="e">
        <f ca="1">ROUND(IF(AI103&gt;(AV103*0.05),(AV103+AI103),AV103),2)</f>
        <v>#N/A</v>
      </c>
      <c r="AX103" s="478" t="e">
        <f>IF(OR(C103="",D103=""),"",ROUND(((VLOOKUP(C103,'Base de Diseño (2)'!$A$2:$C$333,2,FALSE)-VLOOKUP(D103,'Base de Diseño (2)'!$A$2:$C$333,2,FALSE))^2+(VLOOKUP(C103,'Base de Diseño (2)'!$A$2:$C$333,3,0)-VLOOKUP(D103,'Base de Diseño (2)'!$A$2:$C$333,3,FALSE))^2)^0.5,2))</f>
        <v>#N/A</v>
      </c>
      <c r="AY103" s="493">
        <v>8</v>
      </c>
      <c r="AZ103" s="480">
        <f ca="1">IF(AND(L103="",H103=""),"",IF(BA103=4,VLOOKUP(AY103,'TABLA (2)'!$A$74:$C$89,2),IF(BA103=5,VLOOKUP(AY103,'TABLA (2)'!$A$51:$B$66,2),IF(BA103=6,VLOOKUP(AY103,'TABLA (2)'!$A$9:$B$43,2)))))</f>
        <v>200</v>
      </c>
      <c r="BA103" s="493">
        <v>6</v>
      </c>
      <c r="BB103" s="478" t="e">
        <f>IF(OR(C103="",D103=""),"",VLOOKUP(C103,'Base de Diseño (2)'!$A$2:$D$330,4,FALSE))</f>
        <v>#N/A</v>
      </c>
      <c r="BC103" s="478">
        <f>IF(OR(C103="",D103=""),"",VLOOKUP(D103,'Base de Diseño (2)'!$A$2:$D$330,4,FALSE))</f>
        <v>968.1</v>
      </c>
      <c r="BD103" s="23">
        <f ca="1">+BF103-((AZ103/1000)+CX103)</f>
        <v>1.7629999999999999</v>
      </c>
      <c r="BE103" s="23">
        <f ca="1">+BG103-((AZ103/1000)+CX103)</f>
        <v>1.5629999999999544</v>
      </c>
      <c r="BF103" s="494">
        <v>2</v>
      </c>
      <c r="BG103" s="494">
        <v>1.7999999999999545</v>
      </c>
      <c r="BH103" s="495" t="e">
        <f>BB103-BF103</f>
        <v>#N/A</v>
      </c>
      <c r="BI103" s="495">
        <f>BC103-BG103</f>
        <v>966.30000000000007</v>
      </c>
      <c r="BJ103" s="468">
        <f>IF(A103="",0,BI103-BH104)</f>
        <v>966.30000000000007</v>
      </c>
      <c r="BK103" s="475" t="e">
        <f>ABS((BB103-BC103)/AX103)*100</f>
        <v>#N/A</v>
      </c>
      <c r="BL103" s="475" t="e">
        <f>((BH103-BI103)/AX103)*100</f>
        <v>#N/A</v>
      </c>
      <c r="BM103" s="475" t="e">
        <f ca="1">IF(BA103=6,(1/0.013)*((AZ103/4000)^(2/3))*((BL103/100)^(0.5)),(1/0.009)*((AZ103/4000)^(2/3))*((BL103/100)^(0.5)))</f>
        <v>#N/A</v>
      </c>
      <c r="BN103" s="475" t="e">
        <f ca="1">1000*BM103*PI()*((AZ103/1000/2)^2)</f>
        <v>#N/A</v>
      </c>
      <c r="BO103" s="204" t="e">
        <f ca="1">AI103/BN103</f>
        <v>#N/A</v>
      </c>
      <c r="BP103" s="496" t="e">
        <f ca="1">IF(L103=0," ",AW103/BN103)</f>
        <v>#N/A</v>
      </c>
      <c r="BQ103" s="497" t="e">
        <f ca="1">IF($BO103&gt;0 =AND($BO103&lt;=0.06),10^(0.029806+0.29095*LOG($BO103)),IF($BO103&gt;0.06 =AND($BO103&lt;=0.26),10^(0.013778+0.282597*LOG($BO103)),IF($BO103&gt;0.26 =AND($BO103&lt;=0.91),10^(0.021763+0.28995*LOG($BO103)),1)))</f>
        <v>#N/A</v>
      </c>
      <c r="BR103" s="497" t="e">
        <f ca="1">IF($BP103&gt;0 =AND($BP103&lt;=0.06),10^(0.029806+0.29095*LOG($BP103)),IF($BP103&gt;0.06 =AND($BP103&lt;=0.26),10^(0.013778+0.282597*LOG($BP103)),IF($BP103&gt;0.26 =AND($BP103&lt;=2),10^(0.021763+0.28995*LOG($BP103))," ")))</f>
        <v>#N/A</v>
      </c>
      <c r="BS103" s="475" t="e">
        <f ca="1">BM103*BQ103</f>
        <v>#N/A</v>
      </c>
      <c r="BT103" s="475" t="e">
        <f ca="1">IF(BP103=" "," ",(BM103*BR103))</f>
        <v>#N/A</v>
      </c>
      <c r="BU103" s="475" t="e">
        <f ca="1">IF(BO103&lt;=0.11,0.3827+0.0645*LN(BO103),IF(BO103&lt;=0.21,0.60025+0.15471*LN(BO103),IF(BO103&lt;1,0.225+0.6666666667*BO103,0)))</f>
        <v>#N/A</v>
      </c>
      <c r="BV103" s="475" t="e">
        <f ca="1">IF(BP103&lt;=0.11,0.3827+0.0645*LN(BP103),IF(BP103&lt;=0.21,0.60025+0.15471*LN(BP103),IF(BP103&lt;1,0.225+0.6666666667*BP103," ")))</f>
        <v>#N/A</v>
      </c>
      <c r="BW103" s="475" t="e">
        <f ca="1">2*ACOS(1-2*(BU103))</f>
        <v>#N/A</v>
      </c>
      <c r="BX103" s="475" t="e">
        <f ca="1">IF(BP103=" "," ",(2*ACOS(1-2*(BV103))))</f>
        <v>#N/A</v>
      </c>
      <c r="BY103" s="475" t="e">
        <f ca="1">(1/4)*(1-(SIN(BW103))/BW103)</f>
        <v>#N/A</v>
      </c>
      <c r="BZ103" s="475" t="e">
        <f ca="1">IF(BP103=" "," ",((1/4)*(1-(SIN(BX103))/BX103)))</f>
        <v>#N/A</v>
      </c>
      <c r="CA103" s="471" t="e">
        <f ca="1">BY103*AZ103/1000</f>
        <v>#N/A</v>
      </c>
      <c r="CB103" s="471" t="e">
        <f ca="1">IF(BP103=" "," ",(BZ103*AZ103/1000))</f>
        <v>#N/A</v>
      </c>
      <c r="CC103" s="471" t="e">
        <f t="shared" ca="1" si="222"/>
        <v>#N/A</v>
      </c>
      <c r="CD103" s="471" t="e">
        <f ca="1">IF(CC103="","",IF(CC103&lt;0.7,"F. Subcrítico",IF(AND(CC103&gt;0.7,CC103&lt;1),"F. Subcrítico Inestable",IF(CC103=1,"F. Crítico",IF(AND(CC103&gt;1,CC103&lt;1.5),"F. Supercrítico Inestable",IF(CC103&gt;1.5,"F. Supercrítico",""))))))</f>
        <v>#N/A</v>
      </c>
      <c r="CE103" s="471" t="e">
        <f ca="1">1000*BL103*CA103/100</f>
        <v>#N/A</v>
      </c>
      <c r="CF103" s="471" t="e">
        <f ca="1">IF(BP103=" "," ",(1000*BL103*CB103/100))</f>
        <v>#N/A</v>
      </c>
      <c r="CG103" s="471" t="e">
        <f ca="1">IF(BS103&lt;0.45,"No cumple",IF(BS103&gt;5,"No cumple","O.K"))</f>
        <v>#N/A</v>
      </c>
      <c r="CH103" s="471" t="e">
        <f ca="1">IF(BT103&lt;0.75,"No cumple",IF(BT103&gt;10,"No cumple","O.K"))</f>
        <v>#N/A</v>
      </c>
      <c r="CI103" s="471" t="e">
        <f ca="1">IF(CE103&gt;0.1,"OK","V.C.H.")</f>
        <v>#N/A</v>
      </c>
      <c r="CJ103" s="471" t="e">
        <f ca="1">IF(CF103&gt;0.2,"OK","V.C.H.")</f>
        <v>#N/A</v>
      </c>
      <c r="CK103" s="468">
        <f>+BJ103</f>
        <v>966.30000000000007</v>
      </c>
      <c r="CL103" s="482" t="s">
        <v>2507</v>
      </c>
      <c r="CM103" s="482"/>
      <c r="CN103" s="63" t="str">
        <f>IF(B103=1,"dato"," ")</f>
        <v xml:space="preserve"> </v>
      </c>
      <c r="CO103" s="498" t="e">
        <f>+CR103</f>
        <v>#N/A</v>
      </c>
      <c r="CP103" s="472" t="e">
        <f>+BK103/100</f>
        <v>#N/A</v>
      </c>
      <c r="CQ103" s="482" t="s">
        <v>2508</v>
      </c>
      <c r="CR103" s="204" t="e">
        <f>IF(BA103="","",AX103)</f>
        <v>#N/A</v>
      </c>
      <c r="CS103" s="486">
        <v>1.2</v>
      </c>
      <c r="CT103" s="486">
        <v>1.2</v>
      </c>
      <c r="CU103" s="23" t="e">
        <f>IF($BA103="","",SQRT((BH103-BI103)^2+$CR103^2))</f>
        <v>#N/A</v>
      </c>
      <c r="CV103" s="499" t="s">
        <v>2509</v>
      </c>
      <c r="CW103" s="488" t="str">
        <f ca="1">+IF(BD103&lt;=0.9,"E1",IF(BD103&lt;=2.5,"E2","E3"))</f>
        <v>E2</v>
      </c>
      <c r="CX103" s="204">
        <f ca="1">IF(AND(L103="",H103=""),"",IF(AND(BA103&lt;&gt;4,BA103&lt;&gt;5),VLOOKUP(AY103,'TABLA (2)'!$A$9:$D$43,4),IF(BA103=4,VLOOKUP(AY103,'TABLA (2)'!$A$74:$D$89,4),VLOOKUP(AY103,'TABLA (2)'!$A$51:$D$66,4))))</f>
        <v>3.6999999999999998E-2</v>
      </c>
      <c r="CY103" s="482"/>
      <c r="CZ103" s="482"/>
      <c r="DA103" s="482"/>
      <c r="DB103" s="490"/>
    </row>
    <row r="104" spans="1:106" ht="15" hidden="1" customHeight="1">
      <c r="A104" s="465"/>
      <c r="B104" s="491"/>
      <c r="C104" s="501"/>
      <c r="D104" s="501"/>
      <c r="E104" s="468"/>
      <c r="F104" s="468"/>
      <c r="G104" s="468"/>
      <c r="H104" s="468"/>
      <c r="I104" s="468"/>
      <c r="J104" s="468"/>
      <c r="K104" s="467"/>
      <c r="L104" s="468"/>
      <c r="M104" s="469"/>
      <c r="N104" s="470"/>
      <c r="O104" s="470"/>
      <c r="P104" s="470"/>
      <c r="Q104" s="469">
        <f t="shared" si="223"/>
        <v>140</v>
      </c>
      <c r="R104" s="471"/>
      <c r="S104" s="471"/>
      <c r="T104" s="471"/>
      <c r="U104" s="471"/>
      <c r="V104" s="471"/>
      <c r="W104" s="471"/>
      <c r="X104" s="471"/>
      <c r="Y104" s="471"/>
      <c r="Z104" s="471"/>
      <c r="AA104" s="471" t="str">
        <f t="shared" si="219"/>
        <v/>
      </c>
      <c r="AB104" s="471"/>
      <c r="AC104" s="471"/>
      <c r="AD104" s="471"/>
      <c r="AE104" s="471"/>
      <c r="AF104" s="471"/>
      <c r="AG104" s="471"/>
      <c r="AH104" s="471"/>
      <c r="AI104" s="471"/>
      <c r="AJ104" s="471"/>
      <c r="AK104" s="472"/>
      <c r="AL104" s="471"/>
      <c r="AM104" s="473">
        <f t="shared" si="220"/>
        <v>474.44695720875893</v>
      </c>
      <c r="AN104" s="474" t="e">
        <f t="shared" si="221"/>
        <v>#N/A</v>
      </c>
      <c r="AO104" s="474"/>
      <c r="AP104" s="474"/>
      <c r="AQ104" s="475">
        <v>3</v>
      </c>
      <c r="AR104" s="474"/>
      <c r="AS104" s="474"/>
      <c r="AT104" s="471"/>
      <c r="AU104" s="492"/>
      <c r="AV104" s="471"/>
      <c r="AW104" s="471"/>
      <c r="AX104" s="478"/>
      <c r="AY104" s="493"/>
      <c r="AZ104" s="480"/>
      <c r="BA104" s="493"/>
      <c r="BB104" s="478" t="str">
        <f>IF(OR(C104="",D104=""),"",VLOOKUP(C104,'Base de Diseño (2)'!$A$2:$D$330,4,FALSE))</f>
        <v/>
      </c>
      <c r="BC104" s="478" t="str">
        <f>IF(OR(C104="",D104=""),"",VLOOKUP(D104,'Base de Diseño (2)'!$A$2:$D$330,4,FALSE))</f>
        <v/>
      </c>
      <c r="BD104" s="23"/>
      <c r="BE104" s="23"/>
      <c r="BF104" s="494"/>
      <c r="BG104" s="494"/>
      <c r="BH104" s="495"/>
      <c r="BI104" s="495"/>
      <c r="BJ104" s="468"/>
      <c r="BK104" s="475"/>
      <c r="BL104" s="475"/>
      <c r="BM104" s="475"/>
      <c r="BN104" s="475"/>
      <c r="BO104" s="204"/>
      <c r="BP104" s="496"/>
      <c r="BQ104" s="497"/>
      <c r="BR104" s="497"/>
      <c r="BS104" s="475"/>
      <c r="BT104" s="475"/>
      <c r="BU104" s="475"/>
      <c r="BV104" s="475"/>
      <c r="BW104" s="475"/>
      <c r="BX104" s="475"/>
      <c r="BY104" s="475"/>
      <c r="BZ104" s="475"/>
      <c r="CA104" s="471"/>
      <c r="CB104" s="471"/>
      <c r="CC104" s="471" t="e">
        <f t="shared" si="222"/>
        <v>#DIV/0!</v>
      </c>
      <c r="CD104" s="471"/>
      <c r="CE104" s="471"/>
      <c r="CF104" s="471"/>
      <c r="CG104" s="471"/>
      <c r="CH104" s="471"/>
      <c r="CI104" s="471"/>
      <c r="CJ104" s="471"/>
      <c r="CK104" s="468"/>
      <c r="CL104" s="482" t="s">
        <v>2507</v>
      </c>
      <c r="CM104" s="482"/>
      <c r="CN104" s="63"/>
      <c r="CO104" s="498"/>
      <c r="CP104" s="472"/>
      <c r="CQ104" s="482"/>
      <c r="CR104" s="204"/>
      <c r="CS104" s="486"/>
      <c r="CT104" s="486"/>
      <c r="CU104" s="23"/>
      <c r="CV104" s="499"/>
      <c r="CW104" s="488"/>
      <c r="CX104" s="204"/>
      <c r="CY104" s="482"/>
      <c r="CZ104" s="482"/>
      <c r="DA104" s="482"/>
      <c r="DB104" s="490"/>
    </row>
    <row r="105" spans="1:106" ht="15" hidden="1" customHeight="1">
      <c r="A105" s="465">
        <v>58</v>
      </c>
      <c r="B105" s="491">
        <v>1</v>
      </c>
      <c r="C105" s="466" t="s">
        <v>2093</v>
      </c>
      <c r="D105" s="466" t="s">
        <v>2096</v>
      </c>
      <c r="E105" s="468">
        <v>0.1338</v>
      </c>
      <c r="F105" s="468">
        <v>9.2369000000000003</v>
      </c>
      <c r="G105" s="468">
        <f t="shared" ref="G105:G113" si="224">IF(B105=1,0,SUMIF($D$22:$D$583,C105,$H$22:$H$583))</f>
        <v>0</v>
      </c>
      <c r="H105" s="468">
        <f t="shared" ref="H105:H113" si="225">+E105+F105+G105</f>
        <v>9.3707000000000011</v>
      </c>
      <c r="I105" s="468">
        <f>+E105</f>
        <v>0.1338</v>
      </c>
      <c r="J105" s="468">
        <v>9.2369000000000003</v>
      </c>
      <c r="K105" s="467">
        <f t="shared" ref="K105:K111" si="226">+IF(B105=1,0,SUMIF($D$22:$D$583,C105,$L$22:$L$580))</f>
        <v>0</v>
      </c>
      <c r="L105" s="468">
        <f t="shared" ref="L105:L111" si="227">+I105+J105+K105</f>
        <v>9.3707000000000011</v>
      </c>
      <c r="M105" s="469">
        <f t="shared" ref="M105:M113" si="228">+$P$12</f>
        <v>242.33666300502347</v>
      </c>
      <c r="N105" s="470">
        <f t="shared" ref="N105:N113" si="229">M105*E105</f>
        <v>32.424645510072139</v>
      </c>
      <c r="O105" s="470">
        <f t="shared" ref="O105:O113" si="230">M105*F105</f>
        <v>2238.4395225111011</v>
      </c>
      <c r="P105" s="470">
        <f t="shared" ref="P105:P113" si="231">M105*H105</f>
        <v>2270.8641680211736</v>
      </c>
      <c r="Q105" s="469">
        <f t="shared" si="223"/>
        <v>140</v>
      </c>
      <c r="R105" s="471">
        <f t="shared" ref="R105:R113" si="232">Q105*P105*$P$14/86400</f>
        <v>3.1276948610476811</v>
      </c>
      <c r="S105" s="471"/>
      <c r="T105" s="471"/>
      <c r="U105" s="471">
        <f t="shared" ref="U105:U113" si="233">IF(C105="","",T105*$P$17)</f>
        <v>0</v>
      </c>
      <c r="V105" s="471"/>
      <c r="W105" s="471"/>
      <c r="X105" s="471">
        <f t="shared" ref="X105:X113" si="234">IF(C105="","",W105*$P$16)</f>
        <v>0</v>
      </c>
      <c r="Y105" s="471">
        <f t="shared" ref="Y105:Y113" si="235">IF(H105=0,0,$H$15*H105)</f>
        <v>1.8741400000000004</v>
      </c>
      <c r="Z105" s="471">
        <f t="shared" ref="Z105:Z113" si="236">IF(L105=0,$H$16*H105,0)</f>
        <v>0</v>
      </c>
      <c r="AA105" s="471">
        <f t="shared" si="219"/>
        <v>3.7261581442367175</v>
      </c>
      <c r="AB105" s="471">
        <f t="shared" ref="AB105:AB113" si="237">R105*AA105</f>
        <v>11.654285679180145</v>
      </c>
      <c r="AC105" s="471">
        <f t="shared" ref="AC105:AC113" si="238">Q105*(N105+O105)*$P$14/86400</f>
        <v>3.1276948610476802</v>
      </c>
      <c r="AD105" s="471">
        <f t="shared" ref="AD105:AD113" si="239">IF(E105=0,0,$H$15*(E105+F105))</f>
        <v>1.8741400000000004</v>
      </c>
      <c r="AE105" s="471">
        <f t="shared" ref="AE105:AE113" si="240">IF(F105=0,0,$H$15*(F105+G105))</f>
        <v>1.8473800000000002</v>
      </c>
      <c r="AF105" s="471">
        <f t="shared" ref="AF105:AF113" si="241">IF(N105="","",IF(1+((14/(4+(((N105+O105)+O105)/1000)^1/2)))&lt;1.4,1.4,IF(1+((14/(4+((N105+O105)/1000)^1/2)))&gt;=4,4,(1+((14/(4+((N105+O105)/1000)^1/2)))))))</f>
        <v>3.7261581442367175</v>
      </c>
      <c r="AG105" s="471">
        <f t="shared" ref="AG105:AG113" si="242">AC105*AF105</f>
        <v>11.654285679180143</v>
      </c>
      <c r="AH105" s="471">
        <f t="shared" ref="AH105:AH113" si="243">+AD105+AE105+AG105</f>
        <v>15.375805679180143</v>
      </c>
      <c r="AI105" s="471">
        <f t="shared" ref="AI105:AI113" si="244">IF(H105="","",IF(AB105+Y105+Z105+X105+U105&lt;1.5,1.5,AB105+Y105+Z105+X105+U105))</f>
        <v>13.528425679180145</v>
      </c>
      <c r="AJ105" s="471">
        <f t="shared" ref="AJ105:AJ113" si="245">+$P$17</f>
        <v>0.75</v>
      </c>
      <c r="AK105" s="472">
        <f t="shared" ref="AK105:AK113" si="246">+BK105/100</f>
        <v>1.7494532958450555E-2</v>
      </c>
      <c r="AL105" s="471">
        <f t="shared" ref="AL105:AL113" si="247">IF(AJ105=0," ",0.14+0.65*AJ105+0.05*AK105)</f>
        <v>0.6283747266479226</v>
      </c>
      <c r="AM105" s="473">
        <f t="shared" si="220"/>
        <v>336.32613267542746</v>
      </c>
      <c r="AN105" s="474">
        <f t="shared" si="221"/>
        <v>7.572899739917383</v>
      </c>
      <c r="AO105" s="474">
        <f t="shared" ref="AO105:AO113" si="248">((1/60)*$AX105/$AQ105)</f>
        <v>0.35566666666666663</v>
      </c>
      <c r="AP105" s="474">
        <f t="shared" ref="AP105:AP113" si="249">IF(B105=1,IF(($AN105+$AO105)&lt;10,10,IF(($AN105+$AO105)&gt;20,20,($AN105+$AO105))),($AN105+$AO105))</f>
        <v>10</v>
      </c>
      <c r="AQ105" s="475">
        <v>3</v>
      </c>
      <c r="AR105" s="474" t="e">
        <f t="shared" ref="AR105:AR113" si="250">((1/60)*$AX105/$BT105)</f>
        <v>#VALUE!</v>
      </c>
      <c r="AS105" s="474" t="e">
        <f t="shared" ref="AS105:AS113" si="251">AO105/AR105</f>
        <v>#VALUE!</v>
      </c>
      <c r="AT105" s="471" t="e">
        <f t="shared" ref="AT105:AT113" si="252">IF(AS105&lt;0.9,"Disminuir vel.",IF(AS105&gt;1.1,"Aumentar vel.","Cumple"))</f>
        <v>#VALUE!</v>
      </c>
      <c r="AU105" s="492">
        <f t="shared" ref="AU105:AU113" si="253">+I105*AL105*AM105</f>
        <v>28.277137017382714</v>
      </c>
      <c r="AV105" s="471">
        <f t="shared" ref="AV105:AV113" si="254">+L105*AL105*AM105</f>
        <v>1980.3928837727071</v>
      </c>
      <c r="AW105" s="471">
        <f t="shared" ref="AW105:AW113" si="255">ROUND(IF(AI105&gt;(AV105*0.05),(AV105+AI105),AV105),2)</f>
        <v>1980.39</v>
      </c>
      <c r="AX105" s="478">
        <f>IF(OR(C105="",D105=""),"",ROUND(((VLOOKUP(C105,'Base de Diseño (2)'!$A$2:$C$333,2,FALSE)-VLOOKUP(D105,'Base de Diseño (2)'!$A$2:$C$333,2,FALSE))^2+(VLOOKUP(C105,'Base de Diseño (2)'!$A$2:$C$333,3,0)-VLOOKUP(D105,'Base de Diseño (2)'!$A$2:$C$333,3,FALSE))^2)^0.5,2))</f>
        <v>64.02</v>
      </c>
      <c r="AY105" s="493">
        <v>20</v>
      </c>
      <c r="AZ105" s="480">
        <f>IF(AND(L105="",H105=""),"",IF(BA105=4,VLOOKUP(AY105,'TABLA (2)'!$A$74:$C$89,2),IF(BA105=5,VLOOKUP(AY105,'TABLA (2)'!$A$51:$B$66,2),IF(BA105=6,VLOOKUP(AY105,'TABLA (2)'!$A$9:$B$43,2)))))</f>
        <v>500</v>
      </c>
      <c r="BA105" s="493">
        <v>6</v>
      </c>
      <c r="BB105" s="478">
        <f>IF(OR(C105="",D105=""),"",VLOOKUP(C105,'Base de Diseño (2)'!$A$2:$D$330,4,FALSE))</f>
        <v>979.75160000000005</v>
      </c>
      <c r="BC105" s="478">
        <f>IF(OR(C105="",D105=""),"",VLOOKUP(D105,'Base de Diseño (2)'!$A$2:$D$330,4,FALSE))</f>
        <v>978.63160000000005</v>
      </c>
      <c r="BD105" s="23">
        <f t="shared" ref="BD105:BD113" si="256">+BF105-((AZ105/1000)+CX105)</f>
        <v>0.8299999999999772</v>
      </c>
      <c r="BE105" s="23">
        <f t="shared" ref="BE105:BE113" si="257">+BG105-((AZ105/1000)+CX105)</f>
        <v>0.92999999999999994</v>
      </c>
      <c r="BF105" s="494">
        <v>1.3999999999999773</v>
      </c>
      <c r="BG105" s="494">
        <v>1.5</v>
      </c>
      <c r="BH105" s="495">
        <f t="shared" ref="BH105:BH113" si="258">BB105-BF105</f>
        <v>978.35160000000008</v>
      </c>
      <c r="BI105" s="495">
        <f t="shared" ref="BI105:BI113" si="259">BC105-BG105</f>
        <v>977.13160000000005</v>
      </c>
      <c r="BJ105" s="468">
        <f t="shared" ref="BJ105:BJ113" si="260">IF(A105="",0,BI105-BH106)</f>
        <v>2.9999999999972715E-2</v>
      </c>
      <c r="BK105" s="475">
        <f t="shared" ref="BK105:BK113" si="261">ABS((BB105-BC105)/AX105)*100</f>
        <v>1.7494532958450555</v>
      </c>
      <c r="BL105" s="475">
        <f t="shared" ref="BL105:BL113" si="262">((BH105-BI105)/AX105)*100</f>
        <v>1.9056544829741136</v>
      </c>
      <c r="BM105" s="475">
        <f t="shared" ref="BM105:BM113" si="263">IF(BA105=6,(1/0.013)*((AZ105/4000)^(2/3))*((BL105/100)^(0.5)),(1/0.009)*((AZ105/4000)^(2/3))*((BL105/100)^(0.5)))</f>
        <v>2.6547200922875827</v>
      </c>
      <c r="BN105" s="475">
        <f t="shared" ref="BN105:BN113" si="264">1000*BM105*PI()*((AZ105/1000/2)^2)</f>
        <v>521.25307120424293</v>
      </c>
      <c r="BO105" s="204">
        <f t="shared" ref="BO105:BO113" si="265">AI105/BN105</f>
        <v>2.5953661333688899E-2</v>
      </c>
      <c r="BP105" s="496">
        <f t="shared" ref="BP105:BP113" si="266">IF(L105=0," ",AW105/BN105)</f>
        <v>3.7992869671246936</v>
      </c>
      <c r="BQ105" s="497">
        <f t="shared" ref="BQ105:BQ113" si="267">IF($BO105&gt;0 =AND($BO105&lt;=0.06),10^(0.029806+0.29095*LOG($BO105)),IF($BO105&gt;0.06 =AND($BO105&lt;=0.26),10^(0.013778+0.282597*LOG($BO105)),IF($BO105&gt;0.26 =AND($BO105&lt;=0.91),10^(0.021763+0.28995*LOG($BO105)),1)))</f>
        <v>0.37018352990974723</v>
      </c>
      <c r="BR105" s="497" t="str">
        <f t="shared" ref="BR105:BR113" si="268">IF($BP105&gt;0 =AND($BP105&lt;=0.06),10^(0.029806+0.29095*LOG($BP105)),IF($BP105&gt;0.06 =AND($BP105&lt;=0.26),10^(0.013778+0.282597*LOG($BP105)),IF($BP105&gt;0.26 =AND($BP105&lt;=2),10^(0.021763+0.28995*LOG($BP105))," ")))</f>
        <v xml:space="preserve"> </v>
      </c>
      <c r="BS105" s="475">
        <f t="shared" ref="BS105:BS113" si="269">BM105*BQ105</f>
        <v>0.98273365468534724</v>
      </c>
      <c r="BT105" s="475" t="e">
        <f t="shared" ref="BT105:BT113" si="270">IF(BP105=" "," ",(BM105*BR105))</f>
        <v>#VALUE!</v>
      </c>
      <c r="BU105" s="475">
        <f t="shared" ref="BU105:BU113" si="271">IF(BO105&lt;=0.11,0.3827+0.0645*LN(BO105),IF(BO105&lt;=0.21,0.60025+0.15471*LN(BO105),IF(BO105&lt;1,0.225+0.6666666667*BO105,0)))</f>
        <v>0.14718195310845786</v>
      </c>
      <c r="BV105" s="475" t="str">
        <f t="shared" ref="BV105:BV113" si="272">IF(BP105&lt;=0.11,0.3827+0.0645*LN(BP105),IF(BP105&lt;=0.21,0.60025+0.15471*LN(BP105),IF(BP105&lt;1,0.225+0.6666666667*BP105," ")))</f>
        <v xml:space="preserve"> </v>
      </c>
      <c r="BW105" s="475">
        <f t="shared" ref="BW105:BW113" si="273">2*ACOS(1-2*(BU105))</f>
        <v>1.5749517450549346</v>
      </c>
      <c r="BX105" s="475" t="e">
        <f t="shared" ref="BX105:BX113" si="274">IF(BP105=" "," ",(2*ACOS(1-2*(BV105))))</f>
        <v>#VALUE!</v>
      </c>
      <c r="BY105" s="475">
        <f t="shared" ref="BY105:BY113" si="275">(1/4)*(1-(SIN(BW105))/BW105)</f>
        <v>9.1266348413251569E-2</v>
      </c>
      <c r="BZ105" s="475" t="e">
        <f t="shared" ref="BZ105:BZ113" si="276">IF(BP105=" "," ",((1/4)*(1-(SIN(BX105))/BX105)))</f>
        <v>#VALUE!</v>
      </c>
      <c r="CA105" s="471">
        <f t="shared" ref="CA105:CA113" si="277">BY105*AZ105/1000</f>
        <v>4.5633174206625784E-2</v>
      </c>
      <c r="CB105" s="471" t="e">
        <f t="shared" ref="CB105:CB113" si="278">IF(BP105=" "," ",(BZ105*AZ105/1000))</f>
        <v>#VALUE!</v>
      </c>
      <c r="CC105" s="471" t="e">
        <f t="shared" si="222"/>
        <v>#VALUE!</v>
      </c>
      <c r="CD105" s="471" t="e">
        <f t="shared" ref="CD105:CD113" si="279">IF(CC105="","",IF(CC105&lt;0.7,"F. Subcrítico",IF(AND(CC105&gt;0.7,CC105&lt;1),"F. Subcrítico Inestable",IF(CC105=1,"F. Crítico",IF(AND(CC105&gt;1,CC105&lt;1.5),"F. Supercrítico Inestable",IF(CC105&gt;1.5,"F. Supercrítico",""))))))</f>
        <v>#VALUE!</v>
      </c>
      <c r="CE105" s="471">
        <f t="shared" ref="CE105:CE113" si="280">1000*BL105*CA105/100</f>
        <v>0.86961062999195105</v>
      </c>
      <c r="CF105" s="471" t="e">
        <f t="shared" ref="CF105:CF113" si="281">IF(BP105=" "," ",(1000*BL105*CB105/100))</f>
        <v>#VALUE!</v>
      </c>
      <c r="CG105" s="471" t="str">
        <f t="shared" ref="CG105:CG113" si="282">IF(BS105&lt;0.45,"No cumple",IF(BS105&gt;5,"No cumple","O.K"))</f>
        <v>O.K</v>
      </c>
      <c r="CH105" s="471" t="e">
        <f t="shared" ref="CH105:CH113" si="283">IF(BT105&lt;0.75,"No cumple",IF(BT105&gt;10,"No cumple","O.K"))</f>
        <v>#VALUE!</v>
      </c>
      <c r="CI105" s="471" t="str">
        <f t="shared" ref="CI105:CI113" si="284">IF(CE105&gt;0.1,"OK","V.C.H.")</f>
        <v>OK</v>
      </c>
      <c r="CJ105" s="471" t="e">
        <f t="shared" ref="CJ105:CJ113" si="285">IF(CF105&gt;0.2,"OK","V.C.H.")</f>
        <v>#VALUE!</v>
      </c>
      <c r="CK105" s="468">
        <f t="shared" ref="CK105:CK113" si="286">+BJ105</f>
        <v>2.9999999999972715E-2</v>
      </c>
      <c r="CL105" s="482" t="s">
        <v>2507</v>
      </c>
      <c r="CM105" s="482"/>
      <c r="CN105" s="63" t="str">
        <f t="shared" ref="CN105:CN113" si="287">IF(B105=1,"dato"," ")</f>
        <v>dato</v>
      </c>
      <c r="CO105" s="498">
        <f t="shared" ref="CO105:CO113" si="288">+CR105</f>
        <v>64.02</v>
      </c>
      <c r="CP105" s="472">
        <f t="shared" ref="CP105:CP113" si="289">+BK105/100</f>
        <v>1.7494532958450555E-2</v>
      </c>
      <c r="CQ105" s="482" t="s">
        <v>2508</v>
      </c>
      <c r="CR105" s="204">
        <f t="shared" ref="CR105:CR113" si="290">IF(BA105="","",AX105)</f>
        <v>64.02</v>
      </c>
      <c r="CS105" s="486">
        <v>1.2</v>
      </c>
      <c r="CT105" s="486">
        <v>1.2</v>
      </c>
      <c r="CU105" s="23">
        <f t="shared" ref="CU105:CU113" si="291">IF($BA105="","",SQRT((BH105-BI105)^2+$CR105^2))</f>
        <v>64.031623437173607</v>
      </c>
      <c r="CV105" s="499" t="s">
        <v>2509</v>
      </c>
      <c r="CW105" s="488" t="str">
        <f t="shared" ref="CW105:CW113" si="292">+IF(BD105&lt;=0.9,"E1",IF(BD105&lt;=2.5,"E2","E3"))</f>
        <v>E1</v>
      </c>
      <c r="CX105" s="204">
        <f>IF(AND(L105="",H105=""),"",IF(AND(BA105&lt;&gt;4,BA105&lt;&gt;5),VLOOKUP(AY105,'TABLA (2)'!$A$9:$D$43,4),IF(BA105=4,VLOOKUP(AY105,'TABLA (2)'!$A$74:$D$89,4),VLOOKUP(AY105,'TABLA (2)'!$A$51:$D$66,4))))</f>
        <v>7.0000000000000007E-2</v>
      </c>
      <c r="CY105" s="482"/>
      <c r="CZ105" s="482"/>
      <c r="DA105" s="482"/>
      <c r="DB105" s="490"/>
    </row>
    <row r="106" spans="1:106" ht="15" hidden="1" customHeight="1">
      <c r="A106" s="465">
        <v>59</v>
      </c>
      <c r="B106" s="491"/>
      <c r="C106" s="466" t="s">
        <v>2096</v>
      </c>
      <c r="D106" s="466" t="s">
        <v>2097</v>
      </c>
      <c r="E106" s="468">
        <v>0.1719</v>
      </c>
      <c r="F106" s="468"/>
      <c r="G106" s="468">
        <f t="shared" si="224"/>
        <v>9.3707000000000011</v>
      </c>
      <c r="H106" s="468">
        <f t="shared" si="225"/>
        <v>9.542600000000002</v>
      </c>
      <c r="I106" s="468">
        <f>+E106</f>
        <v>0.1719</v>
      </c>
      <c r="J106" s="468"/>
      <c r="K106" s="467">
        <f t="shared" ca="1" si="226"/>
        <v>9.3707000000000011</v>
      </c>
      <c r="L106" s="468">
        <f t="shared" ca="1" si="227"/>
        <v>9.542600000000002</v>
      </c>
      <c r="M106" s="469">
        <f t="shared" si="228"/>
        <v>242.33666300502347</v>
      </c>
      <c r="N106" s="470">
        <f t="shared" si="229"/>
        <v>41.657672370563532</v>
      </c>
      <c r="O106" s="470">
        <f t="shared" si="230"/>
        <v>0</v>
      </c>
      <c r="P106" s="470">
        <f t="shared" si="231"/>
        <v>2312.5218403917374</v>
      </c>
      <c r="Q106" s="469">
        <f t="shared" si="223"/>
        <v>140</v>
      </c>
      <c r="R106" s="471">
        <f t="shared" si="232"/>
        <v>3.1850705903543606</v>
      </c>
      <c r="S106" s="471"/>
      <c r="T106" s="471"/>
      <c r="U106" s="471">
        <f t="shared" si="233"/>
        <v>0</v>
      </c>
      <c r="V106" s="471"/>
      <c r="W106" s="471"/>
      <c r="X106" s="471">
        <f t="shared" si="234"/>
        <v>0</v>
      </c>
      <c r="Y106" s="471">
        <f t="shared" si="235"/>
        <v>1.9085200000000004</v>
      </c>
      <c r="Z106" s="471">
        <f t="shared" ca="1" si="236"/>
        <v>0</v>
      </c>
      <c r="AA106" s="471">
        <f t="shared" si="219"/>
        <v>3.7151457648633088</v>
      </c>
      <c r="AB106" s="471">
        <f t="shared" si="237"/>
        <v>11.833001514545682</v>
      </c>
      <c r="AC106" s="471">
        <f t="shared" si="238"/>
        <v>5.7375729306678933E-2</v>
      </c>
      <c r="AD106" s="471">
        <f t="shared" si="239"/>
        <v>3.4380000000000001E-2</v>
      </c>
      <c r="AE106" s="471">
        <f t="shared" si="240"/>
        <v>0</v>
      </c>
      <c r="AF106" s="471">
        <f t="shared" si="241"/>
        <v>4</v>
      </c>
      <c r="AG106" s="471">
        <f t="shared" si="242"/>
        <v>0.22950291722671573</v>
      </c>
      <c r="AH106" s="471">
        <f t="shared" si="243"/>
        <v>0.26388291722671575</v>
      </c>
      <c r="AI106" s="471">
        <f t="shared" ca="1" si="244"/>
        <v>13.741521514545683</v>
      </c>
      <c r="AJ106" s="471">
        <f t="shared" si="245"/>
        <v>0.75</v>
      </c>
      <c r="AK106" s="472">
        <f t="shared" si="246"/>
        <v>1.5151515151514422E-2</v>
      </c>
      <c r="AL106" s="471">
        <f t="shared" si="247"/>
        <v>0.62825757575757579</v>
      </c>
      <c r="AM106" s="473">
        <f t="shared" si="220"/>
        <v>333.940324449797</v>
      </c>
      <c r="AN106" s="474">
        <f t="shared" si="221"/>
        <v>10</v>
      </c>
      <c r="AO106" s="474">
        <f t="shared" si="248"/>
        <v>0.24199999999999999</v>
      </c>
      <c r="AP106" s="474">
        <f t="shared" si="249"/>
        <v>10.242000000000001</v>
      </c>
      <c r="AQ106" s="475">
        <v>3</v>
      </c>
      <c r="AR106" s="474" t="e">
        <f t="shared" ca="1" si="250"/>
        <v>#VALUE!</v>
      </c>
      <c r="AS106" s="474" t="e">
        <f t="shared" ca="1" si="251"/>
        <v>#VALUE!</v>
      </c>
      <c r="AT106" s="471" t="e">
        <f t="shared" ca="1" si="252"/>
        <v>#VALUE!</v>
      </c>
      <c r="AU106" s="492">
        <f t="shared" si="253"/>
        <v>36.064712600214129</v>
      </c>
      <c r="AV106" s="471">
        <f t="shared" ca="1" si="254"/>
        <v>2002.0426204700605</v>
      </c>
      <c r="AW106" s="471">
        <f t="shared" ca="1" si="255"/>
        <v>2002.04</v>
      </c>
      <c r="AX106" s="478">
        <f>IF(OR(C106="",D106=""),"",ROUND(((VLOOKUP(C106,'Base de Diseño (2)'!$A$2:$C$333,2,FALSE)-VLOOKUP(D106,'Base de Diseño (2)'!$A$2:$C$333,2,FALSE))^2+(VLOOKUP(C106,'Base de Diseño (2)'!$A$2:$C$333,3,0)-VLOOKUP(D106,'Base de Diseño (2)'!$A$2:$C$333,3,FALSE))^2)^0.5,2))</f>
        <v>43.56</v>
      </c>
      <c r="AY106" s="493">
        <v>14</v>
      </c>
      <c r="AZ106" s="480">
        <f ca="1">IF(AND(L106="",H106=""),"",IF(BA106=4,VLOOKUP(AY106,'TABLA (2)'!$A$74:$C$89,2),IF(BA106=5,VLOOKUP(AY106,'TABLA (2)'!$A$51:$B$66,2),IF(BA106=6,VLOOKUP(AY106,'TABLA (2)'!$A$9:$B$43,2)))))</f>
        <v>350</v>
      </c>
      <c r="BA106" s="493">
        <v>6</v>
      </c>
      <c r="BB106" s="478">
        <f>IF(OR(C106="",D106=""),"",VLOOKUP(C106,'Base de Diseño (2)'!$A$2:$D$330,4,FALSE))</f>
        <v>978.63160000000005</v>
      </c>
      <c r="BC106" s="478">
        <f>IF(OR(C106="",D106=""),"",VLOOKUP(D106,'Base de Diseño (2)'!$A$2:$D$330,4,FALSE))</f>
        <v>977.97160000000008</v>
      </c>
      <c r="BD106" s="23">
        <f t="shared" ca="1" si="256"/>
        <v>1.1199999999999728</v>
      </c>
      <c r="BE106" s="23">
        <f t="shared" ca="1" si="257"/>
        <v>0.8799999999999637</v>
      </c>
      <c r="BF106" s="494">
        <v>1.5299999999999727</v>
      </c>
      <c r="BG106" s="494">
        <v>1.2899999999999636</v>
      </c>
      <c r="BH106" s="495">
        <f t="shared" si="258"/>
        <v>977.10160000000008</v>
      </c>
      <c r="BI106" s="495">
        <f t="shared" si="259"/>
        <v>976.68160000000012</v>
      </c>
      <c r="BJ106" s="468">
        <f t="shared" si="260"/>
        <v>9.9999999999909051E-3</v>
      </c>
      <c r="BK106" s="475">
        <f t="shared" si="261"/>
        <v>1.5151515151514421</v>
      </c>
      <c r="BL106" s="475">
        <f t="shared" si="262"/>
        <v>0.96418732782359751</v>
      </c>
      <c r="BM106" s="475">
        <f t="shared" ca="1" si="263"/>
        <v>1.4887075561481002</v>
      </c>
      <c r="BN106" s="475">
        <f t="shared" ca="1" si="264"/>
        <v>143.23045210324111</v>
      </c>
      <c r="BO106" s="204">
        <f t="shared" ca="1" si="265"/>
        <v>9.5939943725379978E-2</v>
      </c>
      <c r="BP106" s="496">
        <f t="shared" ca="1" si="266"/>
        <v>13.977753826797398</v>
      </c>
      <c r="BQ106" s="497">
        <f t="shared" ca="1" si="267"/>
        <v>0.53222356688940642</v>
      </c>
      <c r="BR106" s="497" t="str">
        <f t="shared" ca="1" si="268"/>
        <v xml:space="preserve"> </v>
      </c>
      <c r="BS106" s="475">
        <f t="shared" ca="1" si="269"/>
        <v>0.79232524558835316</v>
      </c>
      <c r="BT106" s="475" t="e">
        <f t="shared" ca="1" si="270"/>
        <v>#VALUE!</v>
      </c>
      <c r="BU106" s="475">
        <f t="shared" ca="1" si="271"/>
        <v>0.2315098799192527</v>
      </c>
      <c r="BV106" s="475" t="str">
        <f t="shared" ca="1" si="272"/>
        <v xml:space="preserve"> </v>
      </c>
      <c r="BW106" s="475">
        <f t="shared" ca="1" si="273"/>
        <v>2.0078858912017088</v>
      </c>
      <c r="BX106" s="475" t="e">
        <f t="shared" ca="1" si="274"/>
        <v>#VALUE!</v>
      </c>
      <c r="BY106" s="475">
        <f t="shared" ca="1" si="275"/>
        <v>0.13719634132205671</v>
      </c>
      <c r="BZ106" s="475" t="e">
        <f t="shared" ca="1" si="276"/>
        <v>#VALUE!</v>
      </c>
      <c r="CA106" s="471">
        <f t="shared" ca="1" si="277"/>
        <v>4.801871946271985E-2</v>
      </c>
      <c r="CB106" s="471" t="e">
        <f t="shared" ca="1" si="278"/>
        <v>#VALUE!</v>
      </c>
      <c r="CC106" s="471" t="e">
        <f t="shared" ca="1" si="222"/>
        <v>#VALUE!</v>
      </c>
      <c r="CD106" s="471" t="e">
        <f t="shared" ca="1" si="279"/>
        <v>#VALUE!</v>
      </c>
      <c r="CE106" s="471">
        <f t="shared" ca="1" si="280"/>
        <v>0.46299040804270825</v>
      </c>
      <c r="CF106" s="471" t="e">
        <f t="shared" ca="1" si="281"/>
        <v>#VALUE!</v>
      </c>
      <c r="CG106" s="471" t="str">
        <f t="shared" ca="1" si="282"/>
        <v>O.K</v>
      </c>
      <c r="CH106" s="471" t="e">
        <f t="shared" ca="1" si="283"/>
        <v>#VALUE!</v>
      </c>
      <c r="CI106" s="471" t="str">
        <f t="shared" ca="1" si="284"/>
        <v>OK</v>
      </c>
      <c r="CJ106" s="471" t="e">
        <f t="shared" ca="1" si="285"/>
        <v>#VALUE!</v>
      </c>
      <c r="CK106" s="468">
        <f t="shared" si="286"/>
        <v>9.9999999999909051E-3</v>
      </c>
      <c r="CL106" s="482" t="s">
        <v>2507</v>
      </c>
      <c r="CM106" s="482"/>
      <c r="CN106" s="63" t="str">
        <f t="shared" si="287"/>
        <v xml:space="preserve"> </v>
      </c>
      <c r="CO106" s="498">
        <f t="shared" si="288"/>
        <v>43.56</v>
      </c>
      <c r="CP106" s="472">
        <f t="shared" si="289"/>
        <v>1.5151515151514422E-2</v>
      </c>
      <c r="CQ106" s="482" t="s">
        <v>2508</v>
      </c>
      <c r="CR106" s="204">
        <f t="shared" si="290"/>
        <v>43.56</v>
      </c>
      <c r="CS106" s="486">
        <v>1.2</v>
      </c>
      <c r="CT106" s="486">
        <v>1.2</v>
      </c>
      <c r="CU106" s="23">
        <f t="shared" si="291"/>
        <v>43.562024746331524</v>
      </c>
      <c r="CV106" s="499" t="s">
        <v>2509</v>
      </c>
      <c r="CW106" s="488" t="str">
        <f t="shared" ca="1" si="292"/>
        <v>E2</v>
      </c>
      <c r="CX106" s="204">
        <f ca="1">IF(AND(L106="",H106=""),"",IF(AND(BA106&lt;&gt;4,BA106&lt;&gt;5),VLOOKUP(AY106,'TABLA (2)'!$A$9:$D$43,4),IF(BA106=4,VLOOKUP(AY106,'TABLA (2)'!$A$74:$D$89,4),VLOOKUP(AY106,'TABLA (2)'!$A$51:$D$66,4))))</f>
        <v>0.06</v>
      </c>
      <c r="CY106" s="482"/>
      <c r="CZ106" s="482"/>
      <c r="DA106" s="482"/>
      <c r="DB106" s="490"/>
    </row>
    <row r="107" spans="1:106" ht="15" hidden="1" customHeight="1">
      <c r="A107" s="465">
        <v>60</v>
      </c>
      <c r="B107" s="491"/>
      <c r="C107" s="466" t="s">
        <v>2097</v>
      </c>
      <c r="D107" s="466" t="s">
        <v>2098</v>
      </c>
      <c r="E107" s="468">
        <v>0.41139999999999999</v>
      </c>
      <c r="F107" s="468"/>
      <c r="G107" s="468">
        <f t="shared" si="224"/>
        <v>9.542600000000002</v>
      </c>
      <c r="H107" s="468">
        <f t="shared" si="225"/>
        <v>9.9540000000000024</v>
      </c>
      <c r="I107" s="468">
        <f>+E107</f>
        <v>0.41139999999999999</v>
      </c>
      <c r="J107" s="468"/>
      <c r="K107" s="467">
        <f t="shared" ca="1" si="226"/>
        <v>9.542600000000002</v>
      </c>
      <c r="L107" s="468">
        <f t="shared" ca="1" si="227"/>
        <v>9.9540000000000024</v>
      </c>
      <c r="M107" s="469">
        <f t="shared" si="228"/>
        <v>242.33666300502347</v>
      </c>
      <c r="N107" s="470">
        <f t="shared" si="229"/>
        <v>99.697303160266657</v>
      </c>
      <c r="O107" s="470">
        <f t="shared" si="230"/>
        <v>0</v>
      </c>
      <c r="P107" s="470">
        <f t="shared" si="231"/>
        <v>2412.219143552004</v>
      </c>
      <c r="Q107" s="469">
        <f t="shared" si="223"/>
        <v>140</v>
      </c>
      <c r="R107" s="471">
        <f t="shared" si="232"/>
        <v>3.3223851629940793</v>
      </c>
      <c r="S107" s="471"/>
      <c r="T107" s="471"/>
      <c r="U107" s="471">
        <f t="shared" si="233"/>
        <v>0</v>
      </c>
      <c r="V107" s="471"/>
      <c r="W107" s="471"/>
      <c r="X107" s="471">
        <f t="shared" si="234"/>
        <v>0</v>
      </c>
      <c r="Y107" s="471">
        <f t="shared" si="235"/>
        <v>1.9908000000000006</v>
      </c>
      <c r="Z107" s="471">
        <f t="shared" ca="1" si="236"/>
        <v>0</v>
      </c>
      <c r="AA107" s="471">
        <f t="shared" si="219"/>
        <v>3.6891481646676265</v>
      </c>
      <c r="AB107" s="471">
        <f t="shared" si="237"/>
        <v>12.256771126378561</v>
      </c>
      <c r="AC107" s="471">
        <f t="shared" si="238"/>
        <v>0.13731457263971911</v>
      </c>
      <c r="AD107" s="471">
        <f t="shared" si="239"/>
        <v>8.2280000000000006E-2</v>
      </c>
      <c r="AE107" s="471">
        <f t="shared" si="240"/>
        <v>0</v>
      </c>
      <c r="AF107" s="471">
        <f t="shared" si="241"/>
        <v>4</v>
      </c>
      <c r="AG107" s="471">
        <f t="shared" si="242"/>
        <v>0.54925829055887643</v>
      </c>
      <c r="AH107" s="471">
        <f t="shared" si="243"/>
        <v>0.63153829055887645</v>
      </c>
      <c r="AI107" s="471">
        <f t="shared" ca="1" si="244"/>
        <v>14.247571126378562</v>
      </c>
      <c r="AJ107" s="471">
        <f t="shared" si="245"/>
        <v>0.75</v>
      </c>
      <c r="AK107" s="472">
        <f t="shared" si="246"/>
        <v>1.3773783121280071E-2</v>
      </c>
      <c r="AL107" s="471">
        <f t="shared" si="247"/>
        <v>0.62818868915606407</v>
      </c>
      <c r="AM107" s="473">
        <f t="shared" si="220"/>
        <v>329.34150225029765</v>
      </c>
      <c r="AN107" s="474">
        <f t="shared" si="221"/>
        <v>10.242000000000001</v>
      </c>
      <c r="AO107" s="474">
        <f t="shared" si="248"/>
        <v>0.47594444444444445</v>
      </c>
      <c r="AP107" s="474">
        <f t="shared" si="249"/>
        <v>10.717944444444445</v>
      </c>
      <c r="AQ107" s="475">
        <v>3</v>
      </c>
      <c r="AR107" s="474" t="e">
        <f t="shared" ca="1" si="250"/>
        <v>#VALUE!</v>
      </c>
      <c r="AS107" s="474" t="e">
        <f t="shared" ca="1" si="251"/>
        <v>#VALUE!</v>
      </c>
      <c r="AT107" s="471" t="e">
        <f t="shared" ca="1" si="252"/>
        <v>#VALUE!</v>
      </c>
      <c r="AU107" s="492">
        <f t="shared" si="253"/>
        <v>85.113972748371012</v>
      </c>
      <c r="AV107" s="471">
        <f t="shared" ca="1" si="254"/>
        <v>2059.3691899302025</v>
      </c>
      <c r="AW107" s="471">
        <f t="shared" ca="1" si="255"/>
        <v>2059.37</v>
      </c>
      <c r="AX107" s="478">
        <f>IF(OR(C107="",D107=""),"",ROUND(((VLOOKUP(C107,'Base de Diseño (2)'!$A$2:$C$333,2,FALSE)-VLOOKUP(D107,'Base de Diseño (2)'!$A$2:$C$333,2,FALSE))^2+(VLOOKUP(C107,'Base de Diseño (2)'!$A$2:$C$333,3,0)-VLOOKUP(D107,'Base de Diseño (2)'!$A$2:$C$333,3,FALSE))^2)^0.5,2))</f>
        <v>85.67</v>
      </c>
      <c r="AY107" s="493">
        <v>14</v>
      </c>
      <c r="AZ107" s="480">
        <f ca="1">IF(AND(L107="",H107=""),"",IF(BA107=4,VLOOKUP(AY107,'TABLA (2)'!$A$74:$C$89,2),IF(BA107=5,VLOOKUP(AY107,'TABLA (2)'!$A$51:$B$66,2),IF(BA107=6,VLOOKUP(AY107,'TABLA (2)'!$A$9:$B$43,2)))))</f>
        <v>350</v>
      </c>
      <c r="BA107" s="493">
        <v>6</v>
      </c>
      <c r="BB107" s="478">
        <f>IF(OR(C107="",D107=""),"",VLOOKUP(C107,'Base de Diseño (2)'!$A$2:$D$330,4,FALSE))</f>
        <v>977.97160000000008</v>
      </c>
      <c r="BC107" s="478">
        <f>IF(OR(C107="",D107=""),"",VLOOKUP(D107,'Base de Diseño (2)'!$A$2:$D$330,4,FALSE))</f>
        <v>976.79160000000002</v>
      </c>
      <c r="BD107" s="23">
        <f t="shared" ca="1" si="256"/>
        <v>0.88999999999995461</v>
      </c>
      <c r="BE107" s="23">
        <f t="shared" ca="1" si="257"/>
        <v>1.8999999999999455</v>
      </c>
      <c r="BF107" s="494">
        <v>1.2999999999999545</v>
      </c>
      <c r="BG107" s="494">
        <v>2.3099999999999454</v>
      </c>
      <c r="BH107" s="495">
        <f t="shared" si="258"/>
        <v>976.67160000000013</v>
      </c>
      <c r="BI107" s="495">
        <f t="shared" si="259"/>
        <v>974.48160000000007</v>
      </c>
      <c r="BJ107" s="468">
        <f t="shared" si="260"/>
        <v>2.0000000000095497E-2</v>
      </c>
      <c r="BK107" s="475">
        <f t="shared" si="261"/>
        <v>1.377378312128007</v>
      </c>
      <c r="BL107" s="475">
        <f t="shared" si="262"/>
        <v>2.5563207657290237</v>
      </c>
      <c r="BM107" s="475">
        <f t="shared" ca="1" si="263"/>
        <v>2.4240208832395607</v>
      </c>
      <c r="BN107" s="475">
        <f t="shared" ca="1" si="264"/>
        <v>233.21813984234285</v>
      </c>
      <c r="BO107" s="204">
        <f t="shared" ca="1" si="265"/>
        <v>6.1091178996668195E-2</v>
      </c>
      <c r="BP107" s="496">
        <f t="shared" ca="1" si="266"/>
        <v>8.8302307933342963</v>
      </c>
      <c r="BQ107" s="497">
        <f t="shared" ca="1" si="267"/>
        <v>0.46848875169803267</v>
      </c>
      <c r="BR107" s="497" t="str">
        <f t="shared" ca="1" si="268"/>
        <v xml:space="preserve"> </v>
      </c>
      <c r="BS107" s="475">
        <f t="shared" ca="1" si="269"/>
        <v>1.1356265176788645</v>
      </c>
      <c r="BT107" s="475" t="e">
        <f t="shared" ca="1" si="270"/>
        <v>#VALUE!</v>
      </c>
      <c r="BU107" s="475">
        <f t="shared" ca="1" si="271"/>
        <v>0.20239748734073529</v>
      </c>
      <c r="BV107" s="475" t="str">
        <f t="shared" ca="1" si="272"/>
        <v xml:space="preserve"> </v>
      </c>
      <c r="BW107" s="475">
        <f t="shared" ca="1" si="273"/>
        <v>1.866551120710358</v>
      </c>
      <c r="BX107" s="475" t="e">
        <f t="shared" ca="1" si="274"/>
        <v>#VALUE!</v>
      </c>
      <c r="BY107" s="475">
        <f t="shared" ca="1" si="275"/>
        <v>0.12187835220443344</v>
      </c>
      <c r="BZ107" s="475" t="e">
        <f t="shared" ca="1" si="276"/>
        <v>#VALUE!</v>
      </c>
      <c r="CA107" s="471">
        <f t="shared" ca="1" si="277"/>
        <v>4.2657423271551698E-2</v>
      </c>
      <c r="CB107" s="471" t="e">
        <f t="shared" ca="1" si="278"/>
        <v>#VALUE!</v>
      </c>
      <c r="CC107" s="471" t="e">
        <f t="shared" ca="1" si="222"/>
        <v>#VALUE!</v>
      </c>
      <c r="CD107" s="471" t="e">
        <f t="shared" ca="1" si="279"/>
        <v>#VALUE!</v>
      </c>
      <c r="CE107" s="471">
        <f t="shared" ca="1" si="280"/>
        <v>1.0904605692156011</v>
      </c>
      <c r="CF107" s="471" t="e">
        <f t="shared" ca="1" si="281"/>
        <v>#VALUE!</v>
      </c>
      <c r="CG107" s="471" t="str">
        <f t="shared" ca="1" si="282"/>
        <v>O.K</v>
      </c>
      <c r="CH107" s="471" t="e">
        <f t="shared" ca="1" si="283"/>
        <v>#VALUE!</v>
      </c>
      <c r="CI107" s="471" t="str">
        <f t="shared" ca="1" si="284"/>
        <v>OK</v>
      </c>
      <c r="CJ107" s="471" t="e">
        <f t="shared" ca="1" si="285"/>
        <v>#VALUE!</v>
      </c>
      <c r="CK107" s="468">
        <f t="shared" si="286"/>
        <v>2.0000000000095497E-2</v>
      </c>
      <c r="CL107" s="482" t="s">
        <v>2507</v>
      </c>
      <c r="CM107" s="482"/>
      <c r="CN107" s="63" t="str">
        <f t="shared" si="287"/>
        <v xml:space="preserve"> </v>
      </c>
      <c r="CO107" s="498">
        <f t="shared" si="288"/>
        <v>85.67</v>
      </c>
      <c r="CP107" s="472">
        <f t="shared" si="289"/>
        <v>1.3773783121280071E-2</v>
      </c>
      <c r="CQ107" s="482" t="s">
        <v>2508</v>
      </c>
      <c r="CR107" s="204">
        <f t="shared" si="290"/>
        <v>85.67</v>
      </c>
      <c r="CS107" s="486">
        <v>1.2</v>
      </c>
      <c r="CT107" s="486">
        <v>1.2</v>
      </c>
      <c r="CU107" s="23">
        <f t="shared" si="291"/>
        <v>85.69798714088914</v>
      </c>
      <c r="CV107" s="499" t="s">
        <v>2509</v>
      </c>
      <c r="CW107" s="488" t="str">
        <f t="shared" ca="1" si="292"/>
        <v>E1</v>
      </c>
      <c r="CX107" s="204">
        <f ca="1">IF(AND(L107="",H107=""),"",IF(AND(BA107&lt;&gt;4,BA107&lt;&gt;5),VLOOKUP(AY107,'TABLA (2)'!$A$9:$D$43,4),IF(BA107=4,VLOOKUP(AY107,'TABLA (2)'!$A$74:$D$89,4),VLOOKUP(AY107,'TABLA (2)'!$A$51:$D$66,4))))</f>
        <v>0.06</v>
      </c>
      <c r="CY107" s="482"/>
      <c r="CZ107" s="482"/>
      <c r="DA107" s="482"/>
      <c r="DB107" s="490"/>
    </row>
    <row r="108" spans="1:106" ht="15" hidden="1" customHeight="1">
      <c r="A108" s="465">
        <v>61</v>
      </c>
      <c r="B108" s="491"/>
      <c r="C108" s="466" t="s">
        <v>2098</v>
      </c>
      <c r="D108" s="466" t="s">
        <v>2100</v>
      </c>
      <c r="E108" s="468">
        <f>0.5975+1.351</f>
        <v>1.9485000000000001</v>
      </c>
      <c r="F108" s="468"/>
      <c r="G108" s="468">
        <f t="shared" si="224"/>
        <v>10.206586312700002</v>
      </c>
      <c r="H108" s="468">
        <f t="shared" si="225"/>
        <v>12.155086312700004</v>
      </c>
      <c r="I108" s="468">
        <f>+E108</f>
        <v>1.9485000000000001</v>
      </c>
      <c r="J108" s="468"/>
      <c r="K108" s="467">
        <f t="shared" ca="1" si="226"/>
        <v>10.206586312700002</v>
      </c>
      <c r="L108" s="468">
        <f t="shared" ca="1" si="227"/>
        <v>12.155086312700004</v>
      </c>
      <c r="M108" s="469">
        <f t="shared" si="228"/>
        <v>242.33666300502347</v>
      </c>
      <c r="N108" s="470">
        <f t="shared" si="229"/>
        <v>472.19298786528827</v>
      </c>
      <c r="O108" s="470">
        <f t="shared" si="230"/>
        <v>0</v>
      </c>
      <c r="P108" s="470">
        <f t="shared" si="231"/>
        <v>2945.623055557754</v>
      </c>
      <c r="Q108" s="469">
        <f t="shared" si="223"/>
        <v>140</v>
      </c>
      <c r="R108" s="471">
        <f t="shared" si="232"/>
        <v>4.0570502732797769</v>
      </c>
      <c r="S108" s="471"/>
      <c r="T108" s="471"/>
      <c r="U108" s="471">
        <f t="shared" si="233"/>
        <v>0</v>
      </c>
      <c r="V108" s="471"/>
      <c r="W108" s="471"/>
      <c r="X108" s="471">
        <f t="shared" si="234"/>
        <v>0</v>
      </c>
      <c r="Y108" s="471">
        <f t="shared" si="235"/>
        <v>2.4310172625400011</v>
      </c>
      <c r="Z108" s="471">
        <f t="shared" ca="1" si="236"/>
        <v>0</v>
      </c>
      <c r="AA108" s="471">
        <f t="shared" si="219"/>
        <v>3.5581001518029356</v>
      </c>
      <c r="AB108" s="471">
        <f t="shared" si="237"/>
        <v>14.435391193228915</v>
      </c>
      <c r="AC108" s="471">
        <f t="shared" si="238"/>
        <v>0.65035839763853354</v>
      </c>
      <c r="AD108" s="471">
        <f t="shared" si="239"/>
        <v>0.38970000000000005</v>
      </c>
      <c r="AE108" s="471">
        <f t="shared" si="240"/>
        <v>0</v>
      </c>
      <c r="AF108" s="471">
        <f t="shared" si="241"/>
        <v>4</v>
      </c>
      <c r="AG108" s="471">
        <f t="shared" si="242"/>
        <v>2.6014335905541341</v>
      </c>
      <c r="AH108" s="471">
        <f t="shared" si="243"/>
        <v>2.9911335905541341</v>
      </c>
      <c r="AI108" s="471">
        <f t="shared" ca="1" si="244"/>
        <v>16.866408455768916</v>
      </c>
      <c r="AJ108" s="471">
        <f t="shared" si="245"/>
        <v>0.75</v>
      </c>
      <c r="AK108" s="472">
        <f t="shared" si="246"/>
        <v>1.3121333744983371E-2</v>
      </c>
      <c r="AL108" s="471">
        <f t="shared" si="247"/>
        <v>0.62815606668724921</v>
      </c>
      <c r="AM108" s="473">
        <f t="shared" si="220"/>
        <v>322.61276620006151</v>
      </c>
      <c r="AN108" s="474">
        <f t="shared" si="221"/>
        <v>10.717944444444445</v>
      </c>
      <c r="AO108" s="474">
        <f t="shared" si="248"/>
        <v>0.71977777777777785</v>
      </c>
      <c r="AP108" s="474">
        <f t="shared" si="249"/>
        <v>11.437722222222224</v>
      </c>
      <c r="AQ108" s="475">
        <v>3</v>
      </c>
      <c r="AR108" s="474" t="e">
        <f t="shared" ca="1" si="250"/>
        <v>#VALUE!</v>
      </c>
      <c r="AS108" s="474" t="e">
        <f t="shared" ca="1" si="251"/>
        <v>#VALUE!</v>
      </c>
      <c r="AT108" s="471" t="e">
        <f t="shared" ca="1" si="252"/>
        <v>#VALUE!</v>
      </c>
      <c r="AU108" s="492">
        <f t="shared" si="253"/>
        <v>394.86579749526243</v>
      </c>
      <c r="AV108" s="471">
        <f t="shared" ca="1" si="254"/>
        <v>2463.2424174945008</v>
      </c>
      <c r="AW108" s="471">
        <f t="shared" ca="1" si="255"/>
        <v>2463.2399999999998</v>
      </c>
      <c r="AX108" s="478">
        <f>IF(OR(C108="",D108=""),"",ROUND(((VLOOKUP(C108,'Base de Diseño (2)'!$A$2:$C$333,2,FALSE)-VLOOKUP(D108,'Base de Diseño (2)'!$A$2:$C$333,2,FALSE))^2+(VLOOKUP(C108,'Base de Diseño (2)'!$A$2:$C$333,3,0)-VLOOKUP(D108,'Base de Diseño (2)'!$A$2:$C$333,3,FALSE))^2)^0.5,2))</f>
        <v>129.56</v>
      </c>
      <c r="AY108" s="493">
        <v>16</v>
      </c>
      <c r="AZ108" s="480">
        <f ca="1">IF(AND(L108="",H108=""),"",IF(BA108=4,VLOOKUP(AY108,'TABLA (2)'!$A$74:$C$89,2),IF(BA108=5,VLOOKUP(AY108,'TABLA (2)'!$A$51:$B$66,2),IF(BA108=6,VLOOKUP(AY108,'TABLA (2)'!$A$9:$B$43,2)))))</f>
        <v>400</v>
      </c>
      <c r="BA108" s="493">
        <v>6</v>
      </c>
      <c r="BB108" s="478">
        <f>IF(OR(C108="",D108=""),"",VLOOKUP(C108,'Base de Diseño (2)'!$A$2:$D$330,4,FALSE))</f>
        <v>976.79160000000002</v>
      </c>
      <c r="BC108" s="478">
        <f>IF(OR(C108="",D108=""),"",VLOOKUP(D108,'Base de Diseño (2)'!$A$2:$D$330,4,FALSE))</f>
        <v>975.09159999999997</v>
      </c>
      <c r="BD108" s="23">
        <f t="shared" ca="1" si="256"/>
        <v>1.868000000000041</v>
      </c>
      <c r="BE108" s="23">
        <f t="shared" ca="1" si="257"/>
        <v>3.6380000000000225</v>
      </c>
      <c r="BF108" s="494">
        <v>2.3300000000000409</v>
      </c>
      <c r="BG108" s="494">
        <v>4.1000000000000227</v>
      </c>
      <c r="BH108" s="495">
        <f t="shared" si="258"/>
        <v>974.46159999999998</v>
      </c>
      <c r="BI108" s="495">
        <f t="shared" si="259"/>
        <v>970.99159999999995</v>
      </c>
      <c r="BJ108" s="468">
        <f t="shared" si="260"/>
        <v>-0.24000000000000909</v>
      </c>
      <c r="BK108" s="475">
        <f t="shared" si="261"/>
        <v>1.312133374498337</v>
      </c>
      <c r="BL108" s="475">
        <f t="shared" si="262"/>
        <v>2.6782957702994961</v>
      </c>
      <c r="BM108" s="475">
        <f t="shared" ca="1" si="263"/>
        <v>2.7121846191954351</v>
      </c>
      <c r="BN108" s="475">
        <f t="shared" ca="1" si="264"/>
        <v>340.82317099374444</v>
      </c>
      <c r="BO108" s="204">
        <f t="shared" ca="1" si="265"/>
        <v>4.9487270500392373E-2</v>
      </c>
      <c r="BP108" s="496">
        <f t="shared" ca="1" si="266"/>
        <v>7.2273255155096567</v>
      </c>
      <c r="BQ108" s="497">
        <f t="shared" ca="1" si="267"/>
        <v>0.44665158968236007</v>
      </c>
      <c r="BR108" s="497" t="str">
        <f t="shared" ca="1" si="268"/>
        <v xml:space="preserve"> </v>
      </c>
      <c r="BS108" s="475">
        <f t="shared" ca="1" si="269"/>
        <v>1.2114015716756874</v>
      </c>
      <c r="BT108" s="475" t="e">
        <f t="shared" ca="1" si="270"/>
        <v>#VALUE!</v>
      </c>
      <c r="BU108" s="475">
        <f t="shared" ca="1" si="271"/>
        <v>0.18881043263635985</v>
      </c>
      <c r="BV108" s="475" t="str">
        <f t="shared" ca="1" si="272"/>
        <v xml:space="preserve"> </v>
      </c>
      <c r="BW108" s="475">
        <f t="shared" ca="1" si="273"/>
        <v>1.7980353886117855</v>
      </c>
      <c r="BX108" s="475" t="e">
        <f t="shared" ca="1" si="274"/>
        <v>#VALUE!</v>
      </c>
      <c r="BY108" s="475">
        <f t="shared" ca="1" si="275"/>
        <v>0.11453379599668015</v>
      </c>
      <c r="BZ108" s="475" t="e">
        <f t="shared" ca="1" si="276"/>
        <v>#VALUE!</v>
      </c>
      <c r="CA108" s="471">
        <f t="shared" ca="1" si="277"/>
        <v>4.5813518398672058E-2</v>
      </c>
      <c r="CB108" s="471" t="e">
        <f t="shared" ca="1" si="278"/>
        <v>#VALUE!</v>
      </c>
      <c r="CC108" s="471" t="e">
        <f t="shared" ca="1" si="222"/>
        <v>#VALUE!</v>
      </c>
      <c r="CD108" s="471" t="e">
        <f t="shared" ca="1" si="279"/>
        <v>#VALUE!</v>
      </c>
      <c r="CE108" s="471">
        <f t="shared" ca="1" si="280"/>
        <v>1.2270215254970152</v>
      </c>
      <c r="CF108" s="471" t="e">
        <f t="shared" ca="1" si="281"/>
        <v>#VALUE!</v>
      </c>
      <c r="CG108" s="471" t="str">
        <f t="shared" ca="1" si="282"/>
        <v>O.K</v>
      </c>
      <c r="CH108" s="471" t="e">
        <f t="shared" ca="1" si="283"/>
        <v>#VALUE!</v>
      </c>
      <c r="CI108" s="471" t="str">
        <f t="shared" ca="1" si="284"/>
        <v>OK</v>
      </c>
      <c r="CJ108" s="471" t="e">
        <f t="shared" ca="1" si="285"/>
        <v>#VALUE!</v>
      </c>
      <c r="CK108" s="468">
        <f t="shared" si="286"/>
        <v>-0.24000000000000909</v>
      </c>
      <c r="CL108" s="482" t="s">
        <v>2507</v>
      </c>
      <c r="CM108" s="482"/>
      <c r="CN108" s="63" t="str">
        <f t="shared" si="287"/>
        <v xml:space="preserve"> </v>
      </c>
      <c r="CO108" s="498">
        <f t="shared" si="288"/>
        <v>129.56</v>
      </c>
      <c r="CP108" s="472">
        <f t="shared" si="289"/>
        <v>1.3121333744983371E-2</v>
      </c>
      <c r="CQ108" s="482" t="s">
        <v>2508</v>
      </c>
      <c r="CR108" s="204">
        <f t="shared" si="290"/>
        <v>129.56</v>
      </c>
      <c r="CS108" s="486">
        <v>1.2</v>
      </c>
      <c r="CT108" s="486">
        <v>1.2</v>
      </c>
      <c r="CU108" s="23">
        <f t="shared" si="291"/>
        <v>129.60646010133908</v>
      </c>
      <c r="CV108" s="499" t="s">
        <v>2509</v>
      </c>
      <c r="CW108" s="488" t="str">
        <f t="shared" ca="1" si="292"/>
        <v>E2</v>
      </c>
      <c r="CX108" s="204">
        <f ca="1">IF(AND(L108="",H108=""),"",IF(AND(BA108&lt;&gt;4,BA108&lt;&gt;5),VLOOKUP(AY108,'TABLA (2)'!$A$9:$D$43,4),IF(BA108=4,VLOOKUP(AY108,'TABLA (2)'!$A$74:$D$89,4),VLOOKUP(AY108,'TABLA (2)'!$A$51:$D$66,4))))</f>
        <v>6.2E-2</v>
      </c>
      <c r="CY108" s="482"/>
      <c r="CZ108" s="482"/>
      <c r="DA108" s="482"/>
      <c r="DB108" s="490"/>
    </row>
    <row r="109" spans="1:106" ht="15" hidden="1" customHeight="1">
      <c r="A109" s="465">
        <v>62</v>
      </c>
      <c r="B109" s="491"/>
      <c r="C109" s="466" t="s">
        <v>2100</v>
      </c>
      <c r="D109" s="466" t="s">
        <v>2101</v>
      </c>
      <c r="E109" s="468"/>
      <c r="F109" s="468"/>
      <c r="G109" s="468">
        <f t="shared" si="224"/>
        <v>12.858653852200003</v>
      </c>
      <c r="H109" s="468">
        <f t="shared" si="225"/>
        <v>12.858653852200003</v>
      </c>
      <c r="I109" s="468"/>
      <c r="J109" s="468"/>
      <c r="K109" s="467">
        <f t="shared" ca="1" si="226"/>
        <v>12.762453852200004</v>
      </c>
      <c r="L109" s="468">
        <f t="shared" ca="1" si="227"/>
        <v>12.762453852200004</v>
      </c>
      <c r="M109" s="469">
        <f t="shared" si="228"/>
        <v>242.33666300502347</v>
      </c>
      <c r="N109" s="470">
        <f t="shared" si="229"/>
        <v>0</v>
      </c>
      <c r="O109" s="470">
        <f t="shared" si="230"/>
        <v>0</v>
      </c>
      <c r="P109" s="470">
        <f t="shared" si="231"/>
        <v>3116.123265278839</v>
      </c>
      <c r="Q109" s="469">
        <f t="shared" si="223"/>
        <v>140</v>
      </c>
      <c r="R109" s="471">
        <f t="shared" si="232"/>
        <v>4.2918827380576605</v>
      </c>
      <c r="S109" s="471"/>
      <c r="T109" s="471"/>
      <c r="U109" s="471">
        <f t="shared" si="233"/>
        <v>0</v>
      </c>
      <c r="V109" s="471"/>
      <c r="W109" s="471"/>
      <c r="X109" s="471">
        <f t="shared" si="234"/>
        <v>0</v>
      </c>
      <c r="Y109" s="471">
        <f t="shared" si="235"/>
        <v>2.5717307704400008</v>
      </c>
      <c r="Z109" s="471">
        <f t="shared" ca="1" si="236"/>
        <v>0</v>
      </c>
      <c r="AA109" s="471">
        <f t="shared" si="219"/>
        <v>3.518863755987474</v>
      </c>
      <c r="AB109" s="471">
        <f t="shared" si="237"/>
        <v>15.102550611899384</v>
      </c>
      <c r="AC109" s="471">
        <f t="shared" si="238"/>
        <v>0</v>
      </c>
      <c r="AD109" s="471">
        <f t="shared" si="239"/>
        <v>0</v>
      </c>
      <c r="AE109" s="471">
        <f t="shared" si="240"/>
        <v>0</v>
      </c>
      <c r="AF109" s="471">
        <f t="shared" si="241"/>
        <v>4</v>
      </c>
      <c r="AG109" s="471">
        <f t="shared" si="242"/>
        <v>0</v>
      </c>
      <c r="AH109" s="471">
        <f t="shared" si="243"/>
        <v>0</v>
      </c>
      <c r="AI109" s="471">
        <f t="shared" ca="1" si="244"/>
        <v>17.674281382339384</v>
      </c>
      <c r="AJ109" s="471">
        <f t="shared" si="245"/>
        <v>0.75</v>
      </c>
      <c r="AK109" s="472">
        <f t="shared" si="246"/>
        <v>0.37922705314008126</v>
      </c>
      <c r="AL109" s="471">
        <f t="shared" si="247"/>
        <v>0.64646135265700411</v>
      </c>
      <c r="AM109" s="473">
        <f t="shared" si="220"/>
        <v>322.40209622736199</v>
      </c>
      <c r="AN109" s="474">
        <f t="shared" si="221"/>
        <v>11.437722222222224</v>
      </c>
      <c r="AO109" s="474">
        <f t="shared" si="248"/>
        <v>2.2999999999999996E-2</v>
      </c>
      <c r="AP109" s="474">
        <f t="shared" si="249"/>
        <v>11.460722222222223</v>
      </c>
      <c r="AQ109" s="475">
        <v>3</v>
      </c>
      <c r="AR109" s="474" t="e">
        <f t="shared" ca="1" si="250"/>
        <v>#NUM!</v>
      </c>
      <c r="AS109" s="474" t="e">
        <f t="shared" ca="1" si="251"/>
        <v>#NUM!</v>
      </c>
      <c r="AT109" s="471" t="e">
        <f t="shared" ca="1" si="252"/>
        <v>#NUM!</v>
      </c>
      <c r="AU109" s="492">
        <f t="shared" si="253"/>
        <v>0</v>
      </c>
      <c r="AV109" s="471">
        <f t="shared" ca="1" si="254"/>
        <v>2659.9569521820777</v>
      </c>
      <c r="AW109" s="471">
        <f t="shared" ca="1" si="255"/>
        <v>2659.96</v>
      </c>
      <c r="AX109" s="478">
        <f>IF(OR(C109="",D109=""),"",ROUND(((VLOOKUP(C109,'Base de Diseño (2)'!$A$2:$C$333,2,FALSE)-VLOOKUP(D109,'Base de Diseño (2)'!$A$2:$C$333,2,FALSE))^2+(VLOOKUP(C109,'Base de Diseño (2)'!$A$2:$C$333,3,0)-VLOOKUP(D109,'Base de Diseño (2)'!$A$2:$C$333,3,FALSE))^2)^0.5,2))</f>
        <v>4.1399999999999997</v>
      </c>
      <c r="AY109" s="493">
        <v>24</v>
      </c>
      <c r="AZ109" s="480">
        <f ca="1">IF(AND(L109="",H109=""),"",IF(BA109=4,VLOOKUP(AY109,'TABLA (2)'!$A$74:$C$89,2),IF(BA109=5,VLOOKUP(AY109,'TABLA (2)'!$A$51:$B$66,2),IF(BA109=6,VLOOKUP(AY109,'TABLA (2)'!$A$9:$B$43,2)))))</f>
        <v>600</v>
      </c>
      <c r="BA109" s="493">
        <v>6</v>
      </c>
      <c r="BB109" s="478">
        <f>IF(OR(C109="",D109=""),"",VLOOKUP(C109,'Base de Diseño (2)'!$A$2:$D$330,4,FALSE))</f>
        <v>975.09159999999997</v>
      </c>
      <c r="BC109" s="478">
        <f>IF(OR(C109="",D109=""),"",VLOOKUP(D109,'Base de Diseño (2)'!$A$2:$D$330,4,FALSE))</f>
        <v>973.52160000000003</v>
      </c>
      <c r="BD109" s="23">
        <f t="shared" ca="1" si="256"/>
        <v>3.1880000000000139</v>
      </c>
      <c r="BE109" s="23">
        <f t="shared" ca="1" si="257"/>
        <v>1.5280000000000455</v>
      </c>
      <c r="BF109" s="494">
        <v>3.8600000000000136</v>
      </c>
      <c r="BG109" s="494">
        <v>2.2000000000000455</v>
      </c>
      <c r="BH109" s="495">
        <f t="shared" si="258"/>
        <v>971.23159999999996</v>
      </c>
      <c r="BI109" s="495">
        <f t="shared" si="259"/>
        <v>971.32159999999999</v>
      </c>
      <c r="BJ109" s="468">
        <f t="shared" si="260"/>
        <v>0</v>
      </c>
      <c r="BK109" s="475">
        <f t="shared" si="261"/>
        <v>37.922705314008127</v>
      </c>
      <c r="BL109" s="475">
        <f t="shared" si="262"/>
        <v>-2.1739130434790299</v>
      </c>
      <c r="BM109" s="475" t="e">
        <f t="shared" ca="1" si="263"/>
        <v>#NUM!</v>
      </c>
      <c r="BN109" s="475" t="e">
        <f t="shared" ca="1" si="264"/>
        <v>#NUM!</v>
      </c>
      <c r="BO109" s="204" t="e">
        <f t="shared" ca="1" si="265"/>
        <v>#NUM!</v>
      </c>
      <c r="BP109" s="496" t="e">
        <f t="shared" ca="1" si="266"/>
        <v>#NUM!</v>
      </c>
      <c r="BQ109" s="497" t="e">
        <f t="shared" ca="1" si="267"/>
        <v>#NUM!</v>
      </c>
      <c r="BR109" s="497" t="e">
        <f t="shared" ca="1" si="268"/>
        <v>#NUM!</v>
      </c>
      <c r="BS109" s="475" t="e">
        <f t="shared" ca="1" si="269"/>
        <v>#NUM!</v>
      </c>
      <c r="BT109" s="475" t="e">
        <f t="shared" ca="1" si="270"/>
        <v>#NUM!</v>
      </c>
      <c r="BU109" s="475" t="e">
        <f t="shared" ca="1" si="271"/>
        <v>#NUM!</v>
      </c>
      <c r="BV109" s="475" t="e">
        <f t="shared" ca="1" si="272"/>
        <v>#NUM!</v>
      </c>
      <c r="BW109" s="475" t="e">
        <f t="shared" ca="1" si="273"/>
        <v>#NUM!</v>
      </c>
      <c r="BX109" s="475" t="e">
        <f t="shared" ca="1" si="274"/>
        <v>#NUM!</v>
      </c>
      <c r="BY109" s="475" t="e">
        <f t="shared" ca="1" si="275"/>
        <v>#NUM!</v>
      </c>
      <c r="BZ109" s="475" t="e">
        <f t="shared" ca="1" si="276"/>
        <v>#NUM!</v>
      </c>
      <c r="CA109" s="471" t="e">
        <f t="shared" ca="1" si="277"/>
        <v>#NUM!</v>
      </c>
      <c r="CB109" s="471" t="e">
        <f t="shared" ca="1" si="278"/>
        <v>#NUM!</v>
      </c>
      <c r="CC109" s="471" t="e">
        <f t="shared" ca="1" si="222"/>
        <v>#NUM!</v>
      </c>
      <c r="CD109" s="471" t="e">
        <f t="shared" ca="1" si="279"/>
        <v>#NUM!</v>
      </c>
      <c r="CE109" s="471" t="e">
        <f t="shared" ca="1" si="280"/>
        <v>#NUM!</v>
      </c>
      <c r="CF109" s="471" t="e">
        <f t="shared" ca="1" si="281"/>
        <v>#NUM!</v>
      </c>
      <c r="CG109" s="471" t="e">
        <f t="shared" ca="1" si="282"/>
        <v>#NUM!</v>
      </c>
      <c r="CH109" s="471" t="e">
        <f t="shared" ca="1" si="283"/>
        <v>#NUM!</v>
      </c>
      <c r="CI109" s="471" t="e">
        <f t="shared" ca="1" si="284"/>
        <v>#NUM!</v>
      </c>
      <c r="CJ109" s="471" t="e">
        <f t="shared" ca="1" si="285"/>
        <v>#NUM!</v>
      </c>
      <c r="CK109" s="468">
        <f t="shared" si="286"/>
        <v>0</v>
      </c>
      <c r="CL109" s="482" t="s">
        <v>2507</v>
      </c>
      <c r="CM109" s="482"/>
      <c r="CN109" s="63" t="str">
        <f t="shared" si="287"/>
        <v xml:space="preserve"> </v>
      </c>
      <c r="CO109" s="498">
        <f t="shared" si="288"/>
        <v>4.1399999999999997</v>
      </c>
      <c r="CP109" s="472">
        <f t="shared" si="289"/>
        <v>0.37922705314008126</v>
      </c>
      <c r="CQ109" s="482" t="s">
        <v>2508</v>
      </c>
      <c r="CR109" s="204">
        <f t="shared" si="290"/>
        <v>4.1399999999999997</v>
      </c>
      <c r="CS109" s="486">
        <v>1.2</v>
      </c>
      <c r="CT109" s="486">
        <v>1.2</v>
      </c>
      <c r="CU109" s="23">
        <f t="shared" si="291"/>
        <v>4.1409781453178427</v>
      </c>
      <c r="CV109" s="499" t="s">
        <v>2509</v>
      </c>
      <c r="CW109" s="488" t="str">
        <f t="shared" ca="1" si="292"/>
        <v>E3</v>
      </c>
      <c r="CX109" s="204">
        <f ca="1">IF(AND(L109="",H109=""),"",IF(AND(BA109&lt;&gt;4,BA109&lt;&gt;5),VLOOKUP(AY109,'TABLA (2)'!$A$9:$D$43,4),IF(BA109=4,VLOOKUP(AY109,'TABLA (2)'!$A$74:$D$89,4),VLOOKUP(AY109,'TABLA (2)'!$A$51:$D$66,4))))</f>
        <v>7.1999999999999995E-2</v>
      </c>
      <c r="CY109" s="482"/>
      <c r="CZ109" s="482"/>
      <c r="DA109" s="482"/>
      <c r="DB109" s="490"/>
    </row>
    <row r="110" spans="1:106" ht="15" hidden="1" customHeight="1">
      <c r="A110" s="465">
        <v>63</v>
      </c>
      <c r="B110" s="491"/>
      <c r="C110" s="466" t="s">
        <v>2101</v>
      </c>
      <c r="D110" s="466" t="s">
        <v>2102</v>
      </c>
      <c r="E110" s="468">
        <f>0.675+0.2438</f>
        <v>0.91880000000000006</v>
      </c>
      <c r="F110" s="468"/>
      <c r="G110" s="468">
        <f t="shared" si="224"/>
        <v>12.858653852200003</v>
      </c>
      <c r="H110" s="468">
        <f t="shared" si="225"/>
        <v>13.777453852200004</v>
      </c>
      <c r="I110" s="468">
        <f>+E110</f>
        <v>0.91880000000000006</v>
      </c>
      <c r="J110" s="468"/>
      <c r="K110" s="467">
        <f t="shared" ca="1" si="226"/>
        <v>12.762453852200004</v>
      </c>
      <c r="L110" s="468">
        <f t="shared" ca="1" si="227"/>
        <v>13.681253852200005</v>
      </c>
      <c r="M110" s="469">
        <f t="shared" si="228"/>
        <v>242.33666300502347</v>
      </c>
      <c r="N110" s="470">
        <f t="shared" si="229"/>
        <v>222.65892596901557</v>
      </c>
      <c r="O110" s="470">
        <f t="shared" si="230"/>
        <v>0</v>
      </c>
      <c r="P110" s="470">
        <f t="shared" si="231"/>
        <v>3338.7821912478548</v>
      </c>
      <c r="Q110" s="469">
        <f t="shared" si="223"/>
        <v>140</v>
      </c>
      <c r="R110" s="471">
        <f t="shared" si="232"/>
        <v>4.5985541754455408</v>
      </c>
      <c r="S110" s="471"/>
      <c r="T110" s="471"/>
      <c r="U110" s="471">
        <f t="shared" si="233"/>
        <v>0</v>
      </c>
      <c r="V110" s="471"/>
      <c r="W110" s="471"/>
      <c r="X110" s="471">
        <f t="shared" si="234"/>
        <v>0</v>
      </c>
      <c r="Y110" s="471">
        <f t="shared" si="235"/>
        <v>2.7554907704400011</v>
      </c>
      <c r="Z110" s="471">
        <f t="shared" ca="1" si="236"/>
        <v>0</v>
      </c>
      <c r="AA110" s="471">
        <f t="shared" si="219"/>
        <v>3.4694009927814431</v>
      </c>
      <c r="AB110" s="471">
        <f t="shared" si="237"/>
        <v>15.95422842165001</v>
      </c>
      <c r="AC110" s="471">
        <f t="shared" si="238"/>
        <v>0.30667143738788027</v>
      </c>
      <c r="AD110" s="471">
        <f t="shared" si="239"/>
        <v>0.18376000000000003</v>
      </c>
      <c r="AE110" s="471">
        <f t="shared" si="240"/>
        <v>0</v>
      </c>
      <c r="AF110" s="471">
        <f t="shared" si="241"/>
        <v>4</v>
      </c>
      <c r="AG110" s="471">
        <f t="shared" si="242"/>
        <v>1.2266857495515211</v>
      </c>
      <c r="AH110" s="471">
        <f t="shared" si="243"/>
        <v>1.410445749551521</v>
      </c>
      <c r="AI110" s="471">
        <f t="shared" ca="1" si="244"/>
        <v>18.709719192090009</v>
      </c>
      <c r="AJ110" s="471">
        <f t="shared" si="245"/>
        <v>0.75</v>
      </c>
      <c r="AK110" s="472">
        <f t="shared" si="246"/>
        <v>2.7636773829667741E-2</v>
      </c>
      <c r="AL110" s="471">
        <f t="shared" si="247"/>
        <v>0.6288818386914834</v>
      </c>
      <c r="AM110" s="473">
        <f t="shared" si="220"/>
        <v>319.71870594324048</v>
      </c>
      <c r="AN110" s="474">
        <f t="shared" si="221"/>
        <v>11.460722222222223</v>
      </c>
      <c r="AO110" s="474">
        <f t="shared" si="248"/>
        <v>0.29549999999999998</v>
      </c>
      <c r="AP110" s="474">
        <f t="shared" si="249"/>
        <v>11.756222222222224</v>
      </c>
      <c r="AQ110" s="475">
        <v>3</v>
      </c>
      <c r="AR110" s="474" t="e">
        <f t="shared" ca="1" si="250"/>
        <v>#VALUE!</v>
      </c>
      <c r="AS110" s="474" t="e">
        <f t="shared" ca="1" si="251"/>
        <v>#VALUE!</v>
      </c>
      <c r="AT110" s="471" t="e">
        <f t="shared" ca="1" si="252"/>
        <v>#VALUE!</v>
      </c>
      <c r="AU110" s="492">
        <f t="shared" si="253"/>
        <v>184.73878629984586</v>
      </c>
      <c r="AV110" s="471">
        <f t="shared" ca="1" si="254"/>
        <v>2750.8252413098817</v>
      </c>
      <c r="AW110" s="471">
        <f t="shared" ca="1" si="255"/>
        <v>2750.83</v>
      </c>
      <c r="AX110" s="478">
        <f>IF(OR(C110="",D110=""),"",ROUND(((VLOOKUP(C110,'Base de Diseño (2)'!$A$2:$C$333,2,FALSE)-VLOOKUP(D110,'Base de Diseño (2)'!$A$2:$C$333,2,FALSE))^2+(VLOOKUP(C110,'Base de Diseño (2)'!$A$2:$C$333,3,0)-VLOOKUP(D110,'Base de Diseño (2)'!$A$2:$C$333,3,FALSE))^2)^0.5,2))</f>
        <v>53.19</v>
      </c>
      <c r="AY110" s="493">
        <v>10</v>
      </c>
      <c r="AZ110" s="480">
        <f ca="1">IF(AND(L110="",H110=""),"",IF(BA110=4,VLOOKUP(AY110,'TABLA (2)'!$A$74:$C$89,2),IF(BA110=5,VLOOKUP(AY110,'TABLA (2)'!$A$51:$B$66,2),IF(BA110=6,VLOOKUP(AY110,'TABLA (2)'!$A$9:$B$43,2)))))</f>
        <v>250</v>
      </c>
      <c r="BA110" s="493">
        <v>6</v>
      </c>
      <c r="BB110" s="478">
        <f>IF(OR(C110="",D110=""),"",VLOOKUP(C110,'Base de Diseño (2)'!$A$2:$D$330,4,FALSE))</f>
        <v>973.52160000000003</v>
      </c>
      <c r="BC110" s="478">
        <f>IF(OR(C110="",D110=""),"",VLOOKUP(D110,'Base de Diseño (2)'!$A$2:$D$330,4,FALSE))</f>
        <v>974.99160000000006</v>
      </c>
      <c r="BD110" s="23">
        <f t="shared" ca="1" si="256"/>
        <v>1.9130000000000456</v>
      </c>
      <c r="BE110" s="23">
        <f t="shared" ca="1" si="257"/>
        <v>3.9530000000000092</v>
      </c>
      <c r="BF110" s="494">
        <v>2.2000000000000455</v>
      </c>
      <c r="BG110" s="494">
        <v>4.2400000000000091</v>
      </c>
      <c r="BH110" s="495">
        <f t="shared" si="258"/>
        <v>971.32159999999999</v>
      </c>
      <c r="BI110" s="495">
        <f t="shared" si="259"/>
        <v>970.75160000000005</v>
      </c>
      <c r="BJ110" s="468">
        <f t="shared" si="260"/>
        <v>0</v>
      </c>
      <c r="BK110" s="475">
        <f t="shared" si="261"/>
        <v>2.7636773829667742</v>
      </c>
      <c r="BL110" s="475">
        <f t="shared" si="262"/>
        <v>1.0716300056400383</v>
      </c>
      <c r="BM110" s="475">
        <f t="shared" ca="1" si="263"/>
        <v>1.2541007433374034</v>
      </c>
      <c r="BN110" s="475">
        <f t="shared" ca="1" si="264"/>
        <v>61.560526283285704</v>
      </c>
      <c r="BO110" s="204">
        <f t="shared" ca="1" si="265"/>
        <v>0.30392396429479329</v>
      </c>
      <c r="BP110" s="496">
        <f t="shared" ca="1" si="266"/>
        <v>44.684965611589931</v>
      </c>
      <c r="BQ110" s="497">
        <f t="shared" ca="1" si="267"/>
        <v>0.74437314390867371</v>
      </c>
      <c r="BR110" s="497" t="str">
        <f t="shared" ca="1" si="268"/>
        <v xml:space="preserve"> </v>
      </c>
      <c r="BS110" s="475">
        <f t="shared" ca="1" si="269"/>
        <v>0.93351891309626767</v>
      </c>
      <c r="BT110" s="475" t="e">
        <f t="shared" ca="1" si="270"/>
        <v>#VALUE!</v>
      </c>
      <c r="BU110" s="475">
        <f t="shared" ca="1" si="271"/>
        <v>0.42761597620665964</v>
      </c>
      <c r="BV110" s="475" t="str">
        <f t="shared" ca="1" si="272"/>
        <v xml:space="preserve"> </v>
      </c>
      <c r="BW110" s="475">
        <f t="shared" ca="1" si="273"/>
        <v>2.851035560431407</v>
      </c>
      <c r="BX110" s="475" t="e">
        <f t="shared" ca="1" si="274"/>
        <v>#VALUE!</v>
      </c>
      <c r="BY110" s="475">
        <f t="shared" ca="1" si="275"/>
        <v>0.2248787759974526</v>
      </c>
      <c r="BZ110" s="475" t="e">
        <f t="shared" ca="1" si="276"/>
        <v>#VALUE!</v>
      </c>
      <c r="CA110" s="471">
        <f t="shared" ca="1" si="277"/>
        <v>5.6219693999363149E-2</v>
      </c>
      <c r="CB110" s="471" t="e">
        <f t="shared" ca="1" si="278"/>
        <v>#VALUE!</v>
      </c>
      <c r="CC110" s="471" t="e">
        <f t="shared" ca="1" si="222"/>
        <v>#VALUE!</v>
      </c>
      <c r="CD110" s="471" t="e">
        <f t="shared" ca="1" si="279"/>
        <v>#VALUE!</v>
      </c>
      <c r="CE110" s="471">
        <f t="shared" ca="1" si="280"/>
        <v>0.60246710997618758</v>
      </c>
      <c r="CF110" s="471" t="e">
        <f t="shared" ca="1" si="281"/>
        <v>#VALUE!</v>
      </c>
      <c r="CG110" s="471" t="str">
        <f t="shared" ca="1" si="282"/>
        <v>O.K</v>
      </c>
      <c r="CH110" s="471" t="e">
        <f t="shared" ca="1" si="283"/>
        <v>#VALUE!</v>
      </c>
      <c r="CI110" s="471" t="str">
        <f t="shared" ca="1" si="284"/>
        <v>OK</v>
      </c>
      <c r="CJ110" s="471" t="e">
        <f t="shared" ca="1" si="285"/>
        <v>#VALUE!</v>
      </c>
      <c r="CK110" s="468">
        <f t="shared" si="286"/>
        <v>0</v>
      </c>
      <c r="CL110" s="482" t="s">
        <v>2507</v>
      </c>
      <c r="CM110" s="482"/>
      <c r="CN110" s="63" t="str">
        <f t="shared" si="287"/>
        <v xml:space="preserve"> </v>
      </c>
      <c r="CO110" s="498">
        <f t="shared" si="288"/>
        <v>53.19</v>
      </c>
      <c r="CP110" s="472">
        <f t="shared" si="289"/>
        <v>2.7636773829667741E-2</v>
      </c>
      <c r="CQ110" s="482" t="s">
        <v>2508</v>
      </c>
      <c r="CR110" s="204">
        <f t="shared" si="290"/>
        <v>53.19</v>
      </c>
      <c r="CS110" s="486">
        <v>1.2</v>
      </c>
      <c r="CT110" s="486">
        <v>1.2</v>
      </c>
      <c r="CU110" s="23">
        <f t="shared" si="291"/>
        <v>53.193054057837287</v>
      </c>
      <c r="CV110" s="499" t="s">
        <v>2509</v>
      </c>
      <c r="CW110" s="488" t="str">
        <f t="shared" ca="1" si="292"/>
        <v>E2</v>
      </c>
      <c r="CX110" s="204">
        <f ca="1">IF(AND(L110="",H110=""),"",IF(AND(BA110&lt;&gt;4,BA110&lt;&gt;5),VLOOKUP(AY110,'TABLA (2)'!$A$9:$D$43,4),IF(BA110=4,VLOOKUP(AY110,'TABLA (2)'!$A$74:$D$89,4),VLOOKUP(AY110,'TABLA (2)'!$A$51:$D$66,4))))</f>
        <v>3.6999999999999998E-2</v>
      </c>
      <c r="CY110" s="482"/>
      <c r="CZ110" s="482"/>
      <c r="DA110" s="482"/>
      <c r="DB110" s="490"/>
    </row>
    <row r="111" spans="1:106" ht="15" hidden="1" customHeight="1">
      <c r="A111" s="465">
        <v>64</v>
      </c>
      <c r="B111" s="491"/>
      <c r="C111" s="466" t="s">
        <v>2102</v>
      </c>
      <c r="D111" s="466" t="s">
        <v>2352</v>
      </c>
      <c r="E111" s="468">
        <v>0.30420000000000003</v>
      </c>
      <c r="F111" s="468"/>
      <c r="G111" s="468">
        <f t="shared" si="224"/>
        <v>13.777453852200004</v>
      </c>
      <c r="H111" s="468">
        <f t="shared" si="225"/>
        <v>14.081653852200004</v>
      </c>
      <c r="I111" s="468">
        <f>+E111</f>
        <v>0.30420000000000003</v>
      </c>
      <c r="J111" s="468"/>
      <c r="K111" s="467">
        <f t="shared" ca="1" si="226"/>
        <v>13.681253852200005</v>
      </c>
      <c r="L111" s="468">
        <f t="shared" ca="1" si="227"/>
        <v>13.985453852200004</v>
      </c>
      <c r="M111" s="469">
        <f t="shared" si="228"/>
        <v>242.33666300502347</v>
      </c>
      <c r="N111" s="470">
        <f t="shared" si="229"/>
        <v>73.718812886128148</v>
      </c>
      <c r="O111" s="470">
        <f t="shared" si="230"/>
        <v>0</v>
      </c>
      <c r="P111" s="470">
        <f t="shared" si="231"/>
        <v>3412.5010041339829</v>
      </c>
      <c r="Q111" s="469">
        <f t="shared" si="223"/>
        <v>140</v>
      </c>
      <c r="R111" s="471">
        <f t="shared" si="232"/>
        <v>4.7000881885641661</v>
      </c>
      <c r="S111" s="471"/>
      <c r="T111" s="471"/>
      <c r="U111" s="471">
        <f t="shared" si="233"/>
        <v>0</v>
      </c>
      <c r="V111" s="471"/>
      <c r="W111" s="471"/>
      <c r="X111" s="471">
        <f t="shared" si="234"/>
        <v>0</v>
      </c>
      <c r="Y111" s="471">
        <f t="shared" si="235"/>
        <v>2.8163307704400009</v>
      </c>
      <c r="Z111" s="471">
        <f t="shared" ca="1" si="236"/>
        <v>0</v>
      </c>
      <c r="AA111" s="471">
        <f t="shared" si="219"/>
        <v>3.4534499484256327</v>
      </c>
      <c r="AB111" s="471">
        <f t="shared" si="237"/>
        <v>16.231519312392845</v>
      </c>
      <c r="AC111" s="471">
        <f t="shared" si="238"/>
        <v>0.10153401311862557</v>
      </c>
      <c r="AD111" s="471">
        <f t="shared" si="239"/>
        <v>6.0840000000000005E-2</v>
      </c>
      <c r="AE111" s="471">
        <f t="shared" si="240"/>
        <v>0</v>
      </c>
      <c r="AF111" s="471">
        <f t="shared" si="241"/>
        <v>4</v>
      </c>
      <c r="AG111" s="471">
        <f t="shared" si="242"/>
        <v>0.4061360524745023</v>
      </c>
      <c r="AH111" s="471">
        <f t="shared" si="243"/>
        <v>0.4669760524745023</v>
      </c>
      <c r="AI111" s="471">
        <f t="shared" ca="1" si="244"/>
        <v>19.047850082832845</v>
      </c>
      <c r="AJ111" s="471">
        <f t="shared" si="245"/>
        <v>0.75</v>
      </c>
      <c r="AK111" s="472">
        <f t="shared" si="246"/>
        <v>1.7062770562771629E-2</v>
      </c>
      <c r="AL111" s="471">
        <f t="shared" si="247"/>
        <v>0.62835313852813868</v>
      </c>
      <c r="AM111" s="473">
        <f t="shared" si="220"/>
        <v>315.15758173898041</v>
      </c>
      <c r="AN111" s="474">
        <f t="shared" si="221"/>
        <v>11.756222222222224</v>
      </c>
      <c r="AO111" s="474">
        <f t="shared" si="248"/>
        <v>0.51333333333333331</v>
      </c>
      <c r="AP111" s="474">
        <f t="shared" si="249"/>
        <v>12.269555555555558</v>
      </c>
      <c r="AQ111" s="475">
        <v>3</v>
      </c>
      <c r="AR111" s="474" t="e">
        <f t="shared" ca="1" si="250"/>
        <v>#VALUE!</v>
      </c>
      <c r="AS111" s="474" t="e">
        <f t="shared" ca="1" si="251"/>
        <v>#VALUE!</v>
      </c>
      <c r="AT111" s="471" t="e">
        <f t="shared" ca="1" si="252"/>
        <v>#VALUE!</v>
      </c>
      <c r="AU111" s="492">
        <f t="shared" si="253"/>
        <v>60.240803758577862</v>
      </c>
      <c r="AV111" s="471">
        <f t="shared" ca="1" si="254"/>
        <v>2769.5430012657039</v>
      </c>
      <c r="AW111" s="471">
        <f t="shared" ca="1" si="255"/>
        <v>2769.54</v>
      </c>
      <c r="AX111" s="478">
        <f>IF(OR(C111="",D111=""),"",ROUND(((VLOOKUP(C111,'Base de Diseño (2)'!$A$2:$C$333,2,FALSE)-VLOOKUP(D111,'Base de Diseño (2)'!$A$2:$C$333,2,FALSE))^2+(VLOOKUP(C111,'Base de Diseño (2)'!$A$2:$C$333,3,0)-VLOOKUP(D111,'Base de Diseño (2)'!$A$2:$C$333,3,FALSE))^2)^0.5,2))</f>
        <v>92.4</v>
      </c>
      <c r="AY111" s="493">
        <v>10</v>
      </c>
      <c r="AZ111" s="480">
        <f ca="1">IF(AND(L111="",H111=""),"",IF(BA111=4,VLOOKUP(AY111,'TABLA (2)'!$A$74:$C$89,2),IF(BA111=5,VLOOKUP(AY111,'TABLA (2)'!$A$51:$B$66,2),IF(BA111=6,VLOOKUP(AY111,'TABLA (2)'!$A$9:$B$43,2)))))</f>
        <v>250</v>
      </c>
      <c r="BA111" s="493">
        <v>6</v>
      </c>
      <c r="BB111" s="478">
        <f>IF(OR(C111="",D111=""),"",VLOOKUP(C111,'Base de Diseño (2)'!$A$2:$D$330,4,FALSE))</f>
        <v>974.99160000000006</v>
      </c>
      <c r="BC111" s="478">
        <f>IF(OR(C111="",D111=""),"",VLOOKUP(D111,'Base de Diseño (2)'!$A$2:$D$330,4,FALSE))</f>
        <v>973.41499999999996</v>
      </c>
      <c r="BD111" s="23">
        <f t="shared" ca="1" si="256"/>
        <v>3.9530000000000092</v>
      </c>
      <c r="BE111" s="23">
        <f t="shared" ca="1" si="257"/>
        <v>3.5757777966407849</v>
      </c>
      <c r="BF111" s="494">
        <v>4.2400000000000091</v>
      </c>
      <c r="BG111" s="494">
        <v>3.8627777966407848</v>
      </c>
      <c r="BH111" s="495">
        <f t="shared" si="258"/>
        <v>970.75160000000005</v>
      </c>
      <c r="BI111" s="495">
        <f t="shared" si="259"/>
        <v>969.55222220335918</v>
      </c>
      <c r="BJ111" s="468">
        <f t="shared" si="260"/>
        <v>0</v>
      </c>
      <c r="BK111" s="475">
        <f t="shared" si="261"/>
        <v>1.706277056277163</v>
      </c>
      <c r="BL111" s="475">
        <f t="shared" si="262"/>
        <v>1.2980279184425045</v>
      </c>
      <c r="BM111" s="475">
        <f t="shared" ca="1" si="263"/>
        <v>1.3802317370453523</v>
      </c>
      <c r="BN111" s="475">
        <f t="shared" ca="1" si="264"/>
        <v>67.751966958643095</v>
      </c>
      <c r="BO111" s="204">
        <f t="shared" ca="1" si="265"/>
        <v>0.28114091646165734</v>
      </c>
      <c r="BP111" s="496">
        <f t="shared" ca="1" si="266"/>
        <v>40.87763240424551</v>
      </c>
      <c r="BQ111" s="497">
        <f t="shared" ca="1" si="267"/>
        <v>0.72774382670277415</v>
      </c>
      <c r="BR111" s="497" t="str">
        <f t="shared" ca="1" si="268"/>
        <v xml:space="preserve"> </v>
      </c>
      <c r="BS111" s="475">
        <f t="shared" ca="1" si="269"/>
        <v>1.0044551260540018</v>
      </c>
      <c r="BT111" s="475" t="e">
        <f t="shared" ca="1" si="270"/>
        <v>#VALUE!</v>
      </c>
      <c r="BU111" s="475">
        <f t="shared" ca="1" si="271"/>
        <v>0.41242727765047626</v>
      </c>
      <c r="BV111" s="475" t="str">
        <f t="shared" ca="1" si="272"/>
        <v xml:space="preserve"> </v>
      </c>
      <c r="BW111" s="475">
        <f t="shared" ca="1" si="273"/>
        <v>2.7894856647490305</v>
      </c>
      <c r="BX111" s="475" t="e">
        <f t="shared" ca="1" si="274"/>
        <v>#VALUE!</v>
      </c>
      <c r="BY111" s="475">
        <f t="shared" ca="1" si="275"/>
        <v>0.21909140840530184</v>
      </c>
      <c r="BZ111" s="475" t="e">
        <f t="shared" ca="1" si="276"/>
        <v>#VALUE!</v>
      </c>
      <c r="CA111" s="471">
        <f t="shared" ca="1" si="277"/>
        <v>5.4772852101325459E-2</v>
      </c>
      <c r="CB111" s="471" t="e">
        <f t="shared" ca="1" si="278"/>
        <v>#VALUE!</v>
      </c>
      <c r="CC111" s="471" t="e">
        <f t="shared" ca="1" si="222"/>
        <v>#VALUE!</v>
      </c>
      <c r="CD111" s="471" t="e">
        <f t="shared" ca="1" si="279"/>
        <v>#VALUE!</v>
      </c>
      <c r="CE111" s="471">
        <f t="shared" ca="1" si="280"/>
        <v>0.71096691200242645</v>
      </c>
      <c r="CF111" s="471" t="e">
        <f t="shared" ca="1" si="281"/>
        <v>#VALUE!</v>
      </c>
      <c r="CG111" s="471" t="str">
        <f t="shared" ca="1" si="282"/>
        <v>O.K</v>
      </c>
      <c r="CH111" s="471" t="e">
        <f t="shared" ca="1" si="283"/>
        <v>#VALUE!</v>
      </c>
      <c r="CI111" s="471" t="str">
        <f t="shared" ca="1" si="284"/>
        <v>OK</v>
      </c>
      <c r="CJ111" s="471" t="e">
        <f t="shared" ca="1" si="285"/>
        <v>#VALUE!</v>
      </c>
      <c r="CK111" s="468">
        <f t="shared" si="286"/>
        <v>0</v>
      </c>
      <c r="CL111" s="482" t="s">
        <v>2507</v>
      </c>
      <c r="CM111" s="482"/>
      <c r="CN111" s="63" t="str">
        <f t="shared" si="287"/>
        <v xml:space="preserve"> </v>
      </c>
      <c r="CO111" s="498">
        <f t="shared" si="288"/>
        <v>92.4</v>
      </c>
      <c r="CP111" s="472">
        <f t="shared" si="289"/>
        <v>1.7062770562771629E-2</v>
      </c>
      <c r="CQ111" s="482" t="s">
        <v>2508</v>
      </c>
      <c r="CR111" s="204">
        <f t="shared" si="290"/>
        <v>92.4</v>
      </c>
      <c r="CS111" s="486">
        <v>1.2</v>
      </c>
      <c r="CT111" s="486">
        <v>1.2</v>
      </c>
      <c r="CU111" s="23">
        <f t="shared" si="291"/>
        <v>92.407783801469208</v>
      </c>
      <c r="CV111" s="499" t="s">
        <v>2509</v>
      </c>
      <c r="CW111" s="488" t="str">
        <f t="shared" ca="1" si="292"/>
        <v>E3</v>
      </c>
      <c r="CX111" s="204">
        <f ca="1">IF(AND(L111="",H111=""),"",IF(AND(BA111&lt;&gt;4,BA111&lt;&gt;5),VLOOKUP(AY111,'TABLA (2)'!$A$9:$D$43,4),IF(BA111=4,VLOOKUP(AY111,'TABLA (2)'!$A$74:$D$89,4),VLOOKUP(AY111,'TABLA (2)'!$A$51:$D$66,4))))</f>
        <v>3.6999999999999998E-2</v>
      </c>
      <c r="CY111" s="482"/>
      <c r="CZ111" s="482"/>
      <c r="DA111" s="482"/>
      <c r="DB111" s="490"/>
    </row>
    <row r="112" spans="1:106" ht="15" hidden="1" customHeight="1">
      <c r="A112" s="465">
        <v>65</v>
      </c>
      <c r="B112" s="491"/>
      <c r="C112" s="466" t="s">
        <v>2352</v>
      </c>
      <c r="D112" s="466" t="s">
        <v>2353</v>
      </c>
      <c r="E112" s="468">
        <v>0.29620000000000002</v>
      </c>
      <c r="F112" s="468"/>
      <c r="G112" s="468">
        <f t="shared" si="224"/>
        <v>14.081653852200004</v>
      </c>
      <c r="H112" s="468">
        <f t="shared" si="225"/>
        <v>14.377853852200005</v>
      </c>
      <c r="I112" s="468">
        <f>+E112</f>
        <v>0.29620000000000002</v>
      </c>
      <c r="J112" s="468"/>
      <c r="K112" s="467"/>
      <c r="L112" s="468"/>
      <c r="M112" s="469">
        <f t="shared" si="228"/>
        <v>242.33666300502347</v>
      </c>
      <c r="N112" s="470">
        <f t="shared" si="229"/>
        <v>71.780119582087963</v>
      </c>
      <c r="O112" s="470">
        <f t="shared" si="230"/>
        <v>0</v>
      </c>
      <c r="P112" s="470">
        <f t="shared" si="231"/>
        <v>3484.2811237160709</v>
      </c>
      <c r="Q112" s="469">
        <f t="shared" si="223"/>
        <v>140</v>
      </c>
      <c r="R112" s="471">
        <f t="shared" si="232"/>
        <v>4.7989520106737551</v>
      </c>
      <c r="S112" s="471"/>
      <c r="T112" s="471"/>
      <c r="U112" s="471">
        <f t="shared" si="233"/>
        <v>0</v>
      </c>
      <c r="V112" s="471"/>
      <c r="W112" s="471"/>
      <c r="X112" s="471">
        <f t="shared" si="234"/>
        <v>0</v>
      </c>
      <c r="Y112" s="471">
        <f t="shared" si="235"/>
        <v>2.8755707704400013</v>
      </c>
      <c r="Z112" s="471">
        <f t="shared" si="236"/>
        <v>2.8755707704400013</v>
      </c>
      <c r="AA112" s="471">
        <f t="shared" si="219"/>
        <v>3.4381151678860844</v>
      </c>
      <c r="AB112" s="471">
        <f t="shared" si="237"/>
        <v>16.499349697854861</v>
      </c>
      <c r="AC112" s="471">
        <f t="shared" si="238"/>
        <v>9.8863822109588731E-2</v>
      </c>
      <c r="AD112" s="471">
        <f t="shared" si="239"/>
        <v>5.9240000000000008E-2</v>
      </c>
      <c r="AE112" s="471">
        <f t="shared" si="240"/>
        <v>0</v>
      </c>
      <c r="AF112" s="471">
        <f t="shared" si="241"/>
        <v>4</v>
      </c>
      <c r="AG112" s="471">
        <f t="shared" si="242"/>
        <v>0.39545528843835492</v>
      </c>
      <c r="AH112" s="471">
        <f t="shared" si="243"/>
        <v>0.45469528843835494</v>
      </c>
      <c r="AI112" s="471">
        <f t="shared" si="244"/>
        <v>22.25049123873486</v>
      </c>
      <c r="AJ112" s="471">
        <f t="shared" si="245"/>
        <v>0.75</v>
      </c>
      <c r="AK112" s="472">
        <f t="shared" si="246"/>
        <v>0.27854154213986931</v>
      </c>
      <c r="AL112" s="471">
        <f t="shared" si="247"/>
        <v>0.64142707710699354</v>
      </c>
      <c r="AM112" s="473">
        <f t="shared" si="220"/>
        <v>311.13463792653312</v>
      </c>
      <c r="AN112" s="474">
        <f t="shared" si="221"/>
        <v>12.269555555555558</v>
      </c>
      <c r="AO112" s="474">
        <f t="shared" si="248"/>
        <v>0.46472222222222226</v>
      </c>
      <c r="AP112" s="474">
        <f t="shared" si="249"/>
        <v>12.73427777777778</v>
      </c>
      <c r="AQ112" s="475">
        <v>3</v>
      </c>
      <c r="AR112" s="474" t="e">
        <f t="shared" si="250"/>
        <v>#VALUE!</v>
      </c>
      <c r="AS112" s="474" t="e">
        <f t="shared" si="251"/>
        <v>#VALUE!</v>
      </c>
      <c r="AT112" s="471" t="e">
        <f t="shared" si="252"/>
        <v>#VALUE!</v>
      </c>
      <c r="AU112" s="492">
        <f t="shared" si="253"/>
        <v>59.112687728298226</v>
      </c>
      <c r="AV112" s="471">
        <f t="shared" si="254"/>
        <v>0</v>
      </c>
      <c r="AW112" s="471">
        <f t="shared" si="255"/>
        <v>22.25</v>
      </c>
      <c r="AX112" s="478">
        <f>IF(OR(C112="",D112=""),"",ROUND(((VLOOKUP(C112,'Base de Diseño (2)'!$A$2:$C$333,2,FALSE)-VLOOKUP(D112,'Base de Diseño (2)'!$A$2:$C$333,2,FALSE))^2+(VLOOKUP(C112,'Base de Diseño (2)'!$A$2:$C$333,3,0)-VLOOKUP(D112,'Base de Diseño (2)'!$A$2:$C$333,3,FALSE))^2)^0.5,2))</f>
        <v>83.65</v>
      </c>
      <c r="AY112" s="493">
        <v>10</v>
      </c>
      <c r="AZ112" s="480">
        <f>IF(AND(L112="",H112=""),"",IF(BA112=4,VLOOKUP(AY112,'TABLA (2)'!$A$74:$C$89,2),IF(BA112=5,VLOOKUP(AY112,'TABLA (2)'!$A$51:$B$66,2),IF(BA112=6,VLOOKUP(AY112,'TABLA (2)'!$A$9:$B$43,2)))))</f>
        <v>250</v>
      </c>
      <c r="BA112" s="493">
        <v>6</v>
      </c>
      <c r="BB112" s="478">
        <f>IF(OR(C112="",D112=""),"",VLOOKUP(C112,'Base de Diseño (2)'!$A$2:$D$330,4,FALSE))</f>
        <v>973.41499999999996</v>
      </c>
      <c r="BC112" s="478">
        <f>IF(OR(C112="",D112=""),"",VLOOKUP(D112,'Base de Diseño (2)'!$A$2:$D$330,4,FALSE))</f>
        <v>996.71500000000003</v>
      </c>
      <c r="BD112" s="23">
        <f t="shared" si="256"/>
        <v>3.5757777966407849</v>
      </c>
      <c r="BE112" s="23">
        <f t="shared" si="257"/>
        <v>4.6429999999999501</v>
      </c>
      <c r="BF112" s="494">
        <v>3.8627777966407848</v>
      </c>
      <c r="BG112" s="494">
        <v>4.92999999999995</v>
      </c>
      <c r="BH112" s="495">
        <f t="shared" si="258"/>
        <v>969.55222220335918</v>
      </c>
      <c r="BI112" s="495">
        <f t="shared" si="259"/>
        <v>991.78500000000008</v>
      </c>
      <c r="BJ112" s="468">
        <f t="shared" si="260"/>
        <v>2.0000000000095497E-2</v>
      </c>
      <c r="BK112" s="475">
        <f t="shared" si="261"/>
        <v>27.854154213986931</v>
      </c>
      <c r="BL112" s="475">
        <f t="shared" si="262"/>
        <v>-26.578335680383624</v>
      </c>
      <c r="BM112" s="475" t="e">
        <f t="shared" si="263"/>
        <v>#NUM!</v>
      </c>
      <c r="BN112" s="475" t="e">
        <f t="shared" si="264"/>
        <v>#NUM!</v>
      </c>
      <c r="BO112" s="204" t="e">
        <f t="shared" si="265"/>
        <v>#NUM!</v>
      </c>
      <c r="BP112" s="496" t="str">
        <f t="shared" si="266"/>
        <v xml:space="preserve"> </v>
      </c>
      <c r="BQ112" s="497" t="e">
        <f t="shared" si="267"/>
        <v>#NUM!</v>
      </c>
      <c r="BR112" s="497" t="str">
        <f t="shared" si="268"/>
        <v xml:space="preserve"> </v>
      </c>
      <c r="BS112" s="475" t="e">
        <f t="shared" si="269"/>
        <v>#NUM!</v>
      </c>
      <c r="BT112" s="475" t="str">
        <f t="shared" si="270"/>
        <v xml:space="preserve"> </v>
      </c>
      <c r="BU112" s="475" t="e">
        <f t="shared" si="271"/>
        <v>#NUM!</v>
      </c>
      <c r="BV112" s="475" t="str">
        <f t="shared" si="272"/>
        <v xml:space="preserve"> </v>
      </c>
      <c r="BW112" s="475" t="e">
        <f t="shared" si="273"/>
        <v>#NUM!</v>
      </c>
      <c r="BX112" s="475" t="str">
        <f t="shared" si="274"/>
        <v xml:space="preserve"> </v>
      </c>
      <c r="BY112" s="475" t="e">
        <f t="shared" si="275"/>
        <v>#NUM!</v>
      </c>
      <c r="BZ112" s="475" t="str">
        <f t="shared" si="276"/>
        <v xml:space="preserve"> </v>
      </c>
      <c r="CA112" s="471" t="e">
        <f t="shared" si="277"/>
        <v>#NUM!</v>
      </c>
      <c r="CB112" s="471" t="str">
        <f t="shared" si="278"/>
        <v xml:space="preserve"> </v>
      </c>
      <c r="CC112" s="471" t="e">
        <f t="shared" si="222"/>
        <v>#VALUE!</v>
      </c>
      <c r="CD112" s="471" t="e">
        <f t="shared" si="279"/>
        <v>#VALUE!</v>
      </c>
      <c r="CE112" s="471" t="e">
        <f t="shared" si="280"/>
        <v>#NUM!</v>
      </c>
      <c r="CF112" s="471" t="str">
        <f t="shared" si="281"/>
        <v xml:space="preserve"> </v>
      </c>
      <c r="CG112" s="471" t="e">
        <f t="shared" si="282"/>
        <v>#NUM!</v>
      </c>
      <c r="CH112" s="471" t="str">
        <f t="shared" si="283"/>
        <v>No cumple</v>
      </c>
      <c r="CI112" s="471" t="e">
        <f t="shared" si="284"/>
        <v>#NUM!</v>
      </c>
      <c r="CJ112" s="471" t="str">
        <f t="shared" si="285"/>
        <v>OK</v>
      </c>
      <c r="CK112" s="468">
        <f t="shared" si="286"/>
        <v>2.0000000000095497E-2</v>
      </c>
      <c r="CL112" s="482" t="s">
        <v>2507</v>
      </c>
      <c r="CM112" s="482"/>
      <c r="CN112" s="63" t="str">
        <f t="shared" si="287"/>
        <v xml:space="preserve"> </v>
      </c>
      <c r="CO112" s="498">
        <f t="shared" si="288"/>
        <v>83.65</v>
      </c>
      <c r="CP112" s="472">
        <f t="shared" si="289"/>
        <v>0.27854154213986931</v>
      </c>
      <c r="CQ112" s="482" t="s">
        <v>2508</v>
      </c>
      <c r="CR112" s="204">
        <f t="shared" si="290"/>
        <v>83.65</v>
      </c>
      <c r="CS112" s="486">
        <v>1.2</v>
      </c>
      <c r="CT112" s="486">
        <v>1.2</v>
      </c>
      <c r="CU112" s="23">
        <f t="shared" si="291"/>
        <v>86.55413859865287</v>
      </c>
      <c r="CV112" s="499" t="s">
        <v>2509</v>
      </c>
      <c r="CW112" s="488" t="str">
        <f t="shared" si="292"/>
        <v>E3</v>
      </c>
      <c r="CX112" s="204">
        <f>IF(AND(L112="",H112=""),"",IF(AND(BA112&lt;&gt;4,BA112&lt;&gt;5),VLOOKUP(AY112,'TABLA (2)'!$A$9:$D$43,4),IF(BA112=4,VLOOKUP(AY112,'TABLA (2)'!$A$74:$D$89,4),VLOOKUP(AY112,'TABLA (2)'!$A$51:$D$66,4))))</f>
        <v>3.6999999999999998E-2</v>
      </c>
      <c r="CY112" s="482"/>
      <c r="CZ112" s="482"/>
      <c r="DA112" s="482"/>
      <c r="DB112" s="490"/>
    </row>
    <row r="113" spans="1:106" ht="15" hidden="1" customHeight="1">
      <c r="A113" s="465">
        <v>66</v>
      </c>
      <c r="B113" s="491"/>
      <c r="C113" s="466" t="s">
        <v>2353</v>
      </c>
      <c r="D113" s="466" t="s">
        <v>2324</v>
      </c>
      <c r="E113" s="468"/>
      <c r="F113" s="468"/>
      <c r="G113" s="468">
        <f t="shared" si="224"/>
        <v>14.377853852200005</v>
      </c>
      <c r="H113" s="468">
        <f t="shared" si="225"/>
        <v>14.377853852200005</v>
      </c>
      <c r="I113" s="468"/>
      <c r="J113" s="468"/>
      <c r="K113" s="467">
        <f ca="1">+IF(B113=1,0,SUMIF($D$22:$D$583,C113,$L$22:$L$580))</f>
        <v>0</v>
      </c>
      <c r="L113" s="468">
        <f ca="1">+I113+J113+K113</f>
        <v>0</v>
      </c>
      <c r="M113" s="469">
        <f t="shared" si="228"/>
        <v>242.33666300502347</v>
      </c>
      <c r="N113" s="470">
        <f t="shared" si="229"/>
        <v>0</v>
      </c>
      <c r="O113" s="470">
        <f t="shared" si="230"/>
        <v>0</v>
      </c>
      <c r="P113" s="470">
        <f t="shared" si="231"/>
        <v>3484.2811237160709</v>
      </c>
      <c r="Q113" s="469">
        <f t="shared" si="223"/>
        <v>140</v>
      </c>
      <c r="R113" s="471">
        <f t="shared" si="232"/>
        <v>4.7989520106737551</v>
      </c>
      <c r="S113" s="471"/>
      <c r="T113" s="471"/>
      <c r="U113" s="471">
        <f t="shared" si="233"/>
        <v>0</v>
      </c>
      <c r="V113" s="471"/>
      <c r="W113" s="471"/>
      <c r="X113" s="471">
        <f t="shared" si="234"/>
        <v>0</v>
      </c>
      <c r="Y113" s="471">
        <f t="shared" si="235"/>
        <v>2.8755707704400013</v>
      </c>
      <c r="Z113" s="471">
        <f t="shared" ca="1" si="236"/>
        <v>2.8755707704400013</v>
      </c>
      <c r="AA113" s="471">
        <f t="shared" si="219"/>
        <v>3.4381151678860844</v>
      </c>
      <c r="AB113" s="471">
        <f t="shared" si="237"/>
        <v>16.499349697854861</v>
      </c>
      <c r="AC113" s="471">
        <f t="shared" si="238"/>
        <v>0</v>
      </c>
      <c r="AD113" s="471">
        <f t="shared" si="239"/>
        <v>0</v>
      </c>
      <c r="AE113" s="471">
        <f t="shared" si="240"/>
        <v>0</v>
      </c>
      <c r="AF113" s="471">
        <f t="shared" si="241"/>
        <v>4</v>
      </c>
      <c r="AG113" s="471">
        <f t="shared" si="242"/>
        <v>0</v>
      </c>
      <c r="AH113" s="471">
        <f t="shared" si="243"/>
        <v>0</v>
      </c>
      <c r="AI113" s="471">
        <f t="shared" ca="1" si="244"/>
        <v>22.25049123873486</v>
      </c>
      <c r="AJ113" s="471">
        <f t="shared" si="245"/>
        <v>0.75</v>
      </c>
      <c r="AK113" s="472">
        <f t="shared" si="246"/>
        <v>1.1655929721815539</v>
      </c>
      <c r="AL113" s="471">
        <f t="shared" si="247"/>
        <v>0.6857796486090777</v>
      </c>
      <c r="AM113" s="473">
        <f t="shared" si="220"/>
        <v>310.16418250149468</v>
      </c>
      <c r="AN113" s="474">
        <f t="shared" si="221"/>
        <v>12.73427777777778</v>
      </c>
      <c r="AO113" s="474">
        <f t="shared" si="248"/>
        <v>0.11383333333333333</v>
      </c>
      <c r="AP113" s="474">
        <f t="shared" si="249"/>
        <v>12.848111111111114</v>
      </c>
      <c r="AQ113" s="475">
        <v>3</v>
      </c>
      <c r="AR113" s="474" t="e">
        <f t="shared" ca="1" si="250"/>
        <v>#VALUE!</v>
      </c>
      <c r="AS113" s="474" t="e">
        <f t="shared" ca="1" si="251"/>
        <v>#VALUE!</v>
      </c>
      <c r="AT113" s="471" t="e">
        <f t="shared" ca="1" si="252"/>
        <v>#VALUE!</v>
      </c>
      <c r="AU113" s="492">
        <f t="shared" si="253"/>
        <v>0</v>
      </c>
      <c r="AV113" s="471">
        <f t="shared" ca="1" si="254"/>
        <v>0</v>
      </c>
      <c r="AW113" s="471">
        <f t="shared" ca="1" si="255"/>
        <v>22.25</v>
      </c>
      <c r="AX113" s="478">
        <f>IF(OR(C113="",D113=""),"",ROUND(((VLOOKUP(C113,'Base de Diseño (2)'!$A$2:$C$333,2,FALSE)-VLOOKUP(D113,'Base de Diseño (2)'!$A$2:$C$333,2,FALSE))^2+(VLOOKUP(C113,'Base de Diseño (2)'!$A$2:$C$333,3,0)-VLOOKUP(D113,'Base de Diseño (2)'!$A$2:$C$333,3,FALSE))^2)^0.5,2))</f>
        <v>20.49</v>
      </c>
      <c r="AY113" s="493">
        <v>10</v>
      </c>
      <c r="AZ113" s="480">
        <f ca="1">IF(AND(L113="",H113=""),"",IF(BA113=4,VLOOKUP(AY113,'TABLA (2)'!$A$74:$C$89,2),IF(BA113=5,VLOOKUP(AY113,'TABLA (2)'!$A$51:$B$66,2),IF(BA113=6,VLOOKUP(AY113,'TABLA (2)'!$A$9:$B$43,2)))))</f>
        <v>250</v>
      </c>
      <c r="BA113" s="493">
        <v>6</v>
      </c>
      <c r="BB113" s="478">
        <f>IF(OR(C113="",D113=""),"",VLOOKUP(C113,'Base de Diseño (2)'!$A$2:$D$330,4,FALSE))</f>
        <v>996.71500000000003</v>
      </c>
      <c r="BC113" s="478">
        <f>IF(OR(C113="",D113=""),"",VLOOKUP(D113,'Base de Diseño (2)'!$A$2:$D$330,4,FALSE))</f>
        <v>972.83199999999999</v>
      </c>
      <c r="BD113" s="23">
        <f t="shared" ca="1" si="256"/>
        <v>4.6630000000000456</v>
      </c>
      <c r="BE113" s="23">
        <f t="shared" ca="1" si="257"/>
        <v>4.2976049711806246</v>
      </c>
      <c r="BF113" s="494">
        <v>4.9500000000000455</v>
      </c>
      <c r="BG113" s="494">
        <v>4.5846049711806245</v>
      </c>
      <c r="BH113" s="495">
        <f t="shared" si="258"/>
        <v>991.76499999999999</v>
      </c>
      <c r="BI113" s="495">
        <f t="shared" si="259"/>
        <v>968.24739502881937</v>
      </c>
      <c r="BJ113" s="468">
        <f t="shared" si="260"/>
        <v>968.24739502881937</v>
      </c>
      <c r="BK113" s="475">
        <f t="shared" si="261"/>
        <v>116.55929721815539</v>
      </c>
      <c r="BL113" s="475">
        <f t="shared" si="262"/>
        <v>114.77601254846567</v>
      </c>
      <c r="BM113" s="475">
        <f t="shared" ca="1" si="263"/>
        <v>12.978830448523819</v>
      </c>
      <c r="BN113" s="475">
        <f t="shared" ca="1" si="264"/>
        <v>637.09684983234297</v>
      </c>
      <c r="BO113" s="204">
        <f t="shared" ca="1" si="265"/>
        <v>3.4924817544758305E-2</v>
      </c>
      <c r="BP113" s="496" t="str">
        <f t="shared" ca="1" si="266"/>
        <v xml:space="preserve"> </v>
      </c>
      <c r="BQ113" s="497">
        <f t="shared" ca="1" si="267"/>
        <v>0.40358115580322057</v>
      </c>
      <c r="BR113" s="497" t="str">
        <f t="shared" ca="1" si="268"/>
        <v xml:space="preserve"> </v>
      </c>
      <c r="BS113" s="475">
        <f t="shared" ca="1" si="269"/>
        <v>5.2380113933892742</v>
      </c>
      <c r="BT113" s="475" t="str">
        <f t="shared" ca="1" si="270"/>
        <v xml:space="preserve"> </v>
      </c>
      <c r="BU113" s="475">
        <f t="shared" ca="1" si="271"/>
        <v>0.16633103492549242</v>
      </c>
      <c r="BV113" s="475" t="str">
        <f t="shared" ca="1" si="272"/>
        <v xml:space="preserve"> </v>
      </c>
      <c r="BW113" s="475">
        <f t="shared" ca="1" si="273"/>
        <v>1.6803354259307643</v>
      </c>
      <c r="BX113" s="475" t="str">
        <f t="shared" ca="1" si="274"/>
        <v xml:space="preserve"> </v>
      </c>
      <c r="BY113" s="475">
        <f t="shared" ca="1" si="275"/>
        <v>0.1021118798728565</v>
      </c>
      <c r="BZ113" s="475" t="str">
        <f t="shared" ca="1" si="276"/>
        <v xml:space="preserve"> </v>
      </c>
      <c r="CA113" s="471">
        <f t="shared" ca="1" si="277"/>
        <v>2.5527969968214125E-2</v>
      </c>
      <c r="CB113" s="471" t="str">
        <f t="shared" ca="1" si="278"/>
        <v xml:space="preserve"> </v>
      </c>
      <c r="CC113" s="471" t="e">
        <f t="shared" ca="1" si="222"/>
        <v>#VALUE!</v>
      </c>
      <c r="CD113" s="471" t="e">
        <f t="shared" ca="1" si="279"/>
        <v>#VALUE!</v>
      </c>
      <c r="CE113" s="471">
        <f t="shared" ca="1" si="280"/>
        <v>29.299986014085995</v>
      </c>
      <c r="CF113" s="471" t="str">
        <f t="shared" ca="1" si="281"/>
        <v xml:space="preserve"> </v>
      </c>
      <c r="CG113" s="471" t="str">
        <f t="shared" ca="1" si="282"/>
        <v>No cumple</v>
      </c>
      <c r="CH113" s="471" t="str">
        <f t="shared" ca="1" si="283"/>
        <v>No cumple</v>
      </c>
      <c r="CI113" s="471" t="str">
        <f t="shared" ca="1" si="284"/>
        <v>OK</v>
      </c>
      <c r="CJ113" s="471" t="str">
        <f t="shared" ca="1" si="285"/>
        <v>OK</v>
      </c>
      <c r="CK113" s="468">
        <f t="shared" si="286"/>
        <v>968.24739502881937</v>
      </c>
      <c r="CL113" s="482" t="s">
        <v>2507</v>
      </c>
      <c r="CM113" s="482"/>
      <c r="CN113" s="63" t="str">
        <f t="shared" si="287"/>
        <v xml:space="preserve"> </v>
      </c>
      <c r="CO113" s="498">
        <f t="shared" si="288"/>
        <v>20.49</v>
      </c>
      <c r="CP113" s="472">
        <f t="shared" si="289"/>
        <v>1.1655929721815539</v>
      </c>
      <c r="CQ113" s="482" t="s">
        <v>2508</v>
      </c>
      <c r="CR113" s="204">
        <f t="shared" si="290"/>
        <v>20.49</v>
      </c>
      <c r="CS113" s="486">
        <v>1.2</v>
      </c>
      <c r="CT113" s="486">
        <v>1.2</v>
      </c>
      <c r="CU113" s="23">
        <f t="shared" si="291"/>
        <v>31.191630986219675</v>
      </c>
      <c r="CV113" s="499" t="s">
        <v>2509</v>
      </c>
      <c r="CW113" s="488" t="str">
        <f t="shared" ca="1" si="292"/>
        <v>E3</v>
      </c>
      <c r="CX113" s="204">
        <f ca="1">IF(AND(L113="",H113=""),"",IF(AND(BA113&lt;&gt;4,BA113&lt;&gt;5),VLOOKUP(AY113,'TABLA (2)'!$A$9:$D$43,4),IF(BA113=4,VLOOKUP(AY113,'TABLA (2)'!$A$74:$D$89,4),VLOOKUP(AY113,'TABLA (2)'!$A$51:$D$66,4))))</f>
        <v>3.6999999999999998E-2</v>
      </c>
      <c r="CY113" s="482"/>
      <c r="CZ113" s="482"/>
      <c r="DA113" s="482"/>
      <c r="DB113" s="490"/>
    </row>
    <row r="114" spans="1:106" ht="15" hidden="1" customHeight="1">
      <c r="A114" s="465"/>
      <c r="B114" s="491"/>
      <c r="C114" s="501"/>
      <c r="D114" s="501"/>
      <c r="E114" s="468"/>
      <c r="F114" s="468"/>
      <c r="G114" s="468"/>
      <c r="H114" s="468"/>
      <c r="I114" s="468"/>
      <c r="J114" s="468"/>
      <c r="K114" s="467"/>
      <c r="L114" s="468"/>
      <c r="M114" s="469"/>
      <c r="N114" s="470"/>
      <c r="O114" s="470"/>
      <c r="P114" s="470"/>
      <c r="Q114" s="469"/>
      <c r="R114" s="471"/>
      <c r="S114" s="471"/>
      <c r="T114" s="471"/>
      <c r="U114" s="471"/>
      <c r="V114" s="471"/>
      <c r="W114" s="471"/>
      <c r="X114" s="471"/>
      <c r="Y114" s="471"/>
      <c r="Z114" s="471"/>
      <c r="AA114" s="471" t="str">
        <f t="shared" si="219"/>
        <v/>
      </c>
      <c r="AB114" s="471"/>
      <c r="AC114" s="471"/>
      <c r="AD114" s="471"/>
      <c r="AE114" s="471"/>
      <c r="AF114" s="471"/>
      <c r="AG114" s="471"/>
      <c r="AH114" s="471"/>
      <c r="AI114" s="471"/>
      <c r="AJ114" s="471"/>
      <c r="AK114" s="472"/>
      <c r="AL114" s="471"/>
      <c r="AM114" s="473">
        <f t="shared" si="220"/>
        <v>474.44695720875893</v>
      </c>
      <c r="AN114" s="474">
        <f t="shared" si="221"/>
        <v>12.848111111111114</v>
      </c>
      <c r="AO114" s="474"/>
      <c r="AP114" s="474"/>
      <c r="AQ114" s="475">
        <v>3</v>
      </c>
      <c r="AR114" s="474"/>
      <c r="AS114" s="474"/>
      <c r="AT114" s="471"/>
      <c r="AU114" s="492"/>
      <c r="AV114" s="471"/>
      <c r="AW114" s="471"/>
      <c r="AX114" s="478"/>
      <c r="AY114" s="493"/>
      <c r="AZ114" s="480"/>
      <c r="BA114" s="493"/>
      <c r="BB114" s="478" t="str">
        <f>IF(OR(C114="",D114=""),"",VLOOKUP(C114,'Base de Diseño (2)'!$A$2:$D$330,4,FALSE))</f>
        <v/>
      </c>
      <c r="BC114" s="478" t="str">
        <f>IF(OR(C114="",D114=""),"",VLOOKUP(D114,'Base de Diseño (2)'!$A$2:$D$330,4,FALSE))</f>
        <v/>
      </c>
      <c r="BD114" s="23"/>
      <c r="BE114" s="23"/>
      <c r="BF114" s="494"/>
      <c r="BG114" s="494"/>
      <c r="BH114" s="495"/>
      <c r="BI114" s="495"/>
      <c r="BJ114" s="468"/>
      <c r="BK114" s="475"/>
      <c r="BL114" s="475"/>
      <c r="BM114" s="475"/>
      <c r="BN114" s="475"/>
      <c r="BO114" s="204"/>
      <c r="BP114" s="496"/>
      <c r="BQ114" s="497"/>
      <c r="BR114" s="497"/>
      <c r="BS114" s="475"/>
      <c r="BT114" s="475"/>
      <c r="BU114" s="475"/>
      <c r="BV114" s="475"/>
      <c r="BW114" s="475"/>
      <c r="BX114" s="475"/>
      <c r="BY114" s="475"/>
      <c r="BZ114" s="475"/>
      <c r="CA114" s="471"/>
      <c r="CB114" s="471"/>
      <c r="CC114" s="471" t="e">
        <f t="shared" si="222"/>
        <v>#DIV/0!</v>
      </c>
      <c r="CD114" s="471"/>
      <c r="CE114" s="471"/>
      <c r="CF114" s="471"/>
      <c r="CG114" s="471"/>
      <c r="CH114" s="471"/>
      <c r="CI114" s="471"/>
      <c r="CJ114" s="471"/>
      <c r="CK114" s="468"/>
      <c r="CL114" s="482" t="s">
        <v>2507</v>
      </c>
      <c r="CM114" s="482"/>
      <c r="CN114" s="63"/>
      <c r="CO114" s="498"/>
      <c r="CP114" s="472"/>
      <c r="CQ114" s="482"/>
      <c r="CR114" s="204"/>
      <c r="CS114" s="486"/>
      <c r="CT114" s="486"/>
      <c r="CU114" s="23"/>
      <c r="CV114" s="499"/>
      <c r="CW114" s="488"/>
      <c r="CX114" s="204"/>
      <c r="CY114" s="482"/>
      <c r="CZ114" s="482"/>
      <c r="DA114" s="482"/>
      <c r="DB114" s="490"/>
    </row>
    <row r="115" spans="1:106" ht="15" hidden="1" customHeight="1">
      <c r="A115" s="465">
        <v>67</v>
      </c>
      <c r="B115" s="491"/>
      <c r="C115" s="466" t="s">
        <v>2101</v>
      </c>
      <c r="D115" s="466" t="s">
        <v>2091</v>
      </c>
      <c r="E115" s="468"/>
      <c r="F115" s="468"/>
      <c r="G115" s="468">
        <f>IF(B115=1,0,SUMIF($D$22:$D$583,C115,$H$22:$H$583))</f>
        <v>12.858653852200003</v>
      </c>
      <c r="H115" s="468">
        <f>+E115+F115+G115</f>
        <v>12.858653852200003</v>
      </c>
      <c r="I115" s="468"/>
      <c r="J115" s="468"/>
      <c r="K115" s="467">
        <f ca="1">+IF(B115=1,0,SUMIF($D$22:$D$583,C115,$L$22:$L$580))</f>
        <v>12.762453852200004</v>
      </c>
      <c r="L115" s="468">
        <f ca="1">+I115+J115+K115</f>
        <v>12.762453852200004</v>
      </c>
      <c r="M115" s="469">
        <f>+$P$12</f>
        <v>242.33666300502347</v>
      </c>
      <c r="N115" s="470">
        <f>M115*E115</f>
        <v>0</v>
      </c>
      <c r="O115" s="470">
        <f>M115*F115</f>
        <v>0</v>
      </c>
      <c r="P115" s="470">
        <f>M115*H115</f>
        <v>3116.123265278839</v>
      </c>
      <c r="Q115" s="469">
        <f>+$H$14</f>
        <v>140</v>
      </c>
      <c r="R115" s="471">
        <f>Q115*P115*$P$14/86400</f>
        <v>4.2918827380576605</v>
      </c>
      <c r="S115" s="471"/>
      <c r="T115" s="471"/>
      <c r="U115" s="471">
        <f>IF(C115="","",T115*$P$17)</f>
        <v>0</v>
      </c>
      <c r="V115" s="471"/>
      <c r="W115" s="471"/>
      <c r="X115" s="471">
        <f>IF(C115="","",W115*$P$16)</f>
        <v>0</v>
      </c>
      <c r="Y115" s="471">
        <f>IF(H115=0,0,$H$15*H115)</f>
        <v>2.5717307704400008</v>
      </c>
      <c r="Z115" s="471">
        <f ca="1">IF(L115=0,$H$16*H115,0)</f>
        <v>0</v>
      </c>
      <c r="AA115" s="471">
        <f t="shared" si="219"/>
        <v>3.518863755987474</v>
      </c>
      <c r="AB115" s="471">
        <f>R115*AA115</f>
        <v>15.102550611899384</v>
      </c>
      <c r="AC115" s="471">
        <f>Q115*(N115+O115)*$P$14/86400</f>
        <v>0</v>
      </c>
      <c r="AD115" s="471">
        <f>IF(E115=0,0,$H$15*(E115+F115))</f>
        <v>0</v>
      </c>
      <c r="AE115" s="471">
        <f>IF(F115=0,0,$H$15*(F115+G115))</f>
        <v>0</v>
      </c>
      <c r="AF115" s="471">
        <f>IF(N115="","",IF(1+((14/(4+(((N115+O115)+O115)/1000)^1/2)))&lt;1.4,1.4,IF(1+((14/(4+((N115+O115)/1000)^1/2)))&gt;=4,4,(1+((14/(4+((N115+O115)/1000)^1/2)))))))</f>
        <v>4</v>
      </c>
      <c r="AG115" s="471">
        <f>AC115*AF115</f>
        <v>0</v>
      </c>
      <c r="AH115" s="471">
        <f>+AD115+AE115+AG115</f>
        <v>0</v>
      </c>
      <c r="AI115" s="471">
        <f ca="1">IF(H115="","",IF(AB115+Y115+Z115+X115+U115&lt;1.5,1.5,AB115+Y115+Z115+X115+U115))</f>
        <v>17.674281382339384</v>
      </c>
      <c r="AJ115" s="471">
        <f>+$P$17</f>
        <v>0.75</v>
      </c>
      <c r="AK115" s="472">
        <f>+BK115/100</f>
        <v>0.12797385620916321</v>
      </c>
      <c r="AL115" s="471">
        <f>IF(AJ115=0," ",0.14+0.65*AJ115+0.05*AK115)</f>
        <v>0.63389869281045819</v>
      </c>
      <c r="AM115" s="473">
        <f t="shared" si="220"/>
        <v>474.12096326678113</v>
      </c>
      <c r="AN115" s="474">
        <f t="shared" si="221"/>
        <v>0</v>
      </c>
      <c r="AO115" s="474">
        <f>((1/60)*$AX115/$AQ115)</f>
        <v>1.6999999999999998E-2</v>
      </c>
      <c r="AP115" s="474">
        <f>IF(B115=1,IF(($AN115+$AO115)&lt;10,10,IF(($AN115+$AO115)&gt;20,20,($AN115+$AO115))),($AN115+$AO115))</f>
        <v>1.6999999999999998E-2</v>
      </c>
      <c r="AQ115" s="475">
        <v>3</v>
      </c>
      <c r="AR115" s="474" t="e">
        <f ca="1">((1/60)*$AX115/$BT115)</f>
        <v>#NUM!</v>
      </c>
      <c r="AS115" s="474" t="e">
        <f ca="1">AO115/AR115</f>
        <v>#NUM!</v>
      </c>
      <c r="AT115" s="471" t="e">
        <f ca="1">IF(AS115&lt;0.9,"Disminuir vel.",IF(AS115&gt;1.1,"Aumentar vel.","Cumple"))</f>
        <v>#NUM!</v>
      </c>
      <c r="AU115" s="492">
        <f>+I115*AL115*AM115</f>
        <v>0</v>
      </c>
      <c r="AV115" s="471">
        <f ca="1">+L115*AL115*AM115</f>
        <v>3835.6873390836136</v>
      </c>
      <c r="AW115" s="471">
        <f ca="1">ROUND(IF(AI115&gt;(AV115*0.05),(AV115+AI115),AV115),2)</f>
        <v>3835.69</v>
      </c>
      <c r="AX115" s="478">
        <f>IF(OR(C115="",D115=""),"",ROUND(((VLOOKUP(C115,'Base de Diseño (2)'!$A$2:$C$333,2,FALSE)-VLOOKUP(D115,'Base de Diseño (2)'!$A$2:$C$333,2,FALSE))^2+(VLOOKUP(C115,'Base de Diseño (2)'!$A$2:$C$333,3,0)-VLOOKUP(D115,'Base de Diseño (2)'!$A$2:$C$333,3,FALSE))^2)^0.5,2))</f>
        <v>3.06</v>
      </c>
      <c r="AY115" s="493">
        <v>24</v>
      </c>
      <c r="AZ115" s="480">
        <f ca="1">IF(AND(L115="",H115=""),"",IF(BA115=4,VLOOKUP(AY115,'TABLA (2)'!$A$74:$C$89,2),IF(BA115=5,VLOOKUP(AY115,'TABLA (2)'!$A$51:$B$66,2),IF(BA115=6,VLOOKUP(AY115,'TABLA (2)'!$A$9:$B$43,2)))))</f>
        <v>600</v>
      </c>
      <c r="BA115" s="493">
        <v>6</v>
      </c>
      <c r="BB115" s="478">
        <f>IF(OR(C115="",D115=""),"",VLOOKUP(C115,'Base de Diseño (2)'!$A$2:$D$330,4,FALSE))</f>
        <v>973.52160000000003</v>
      </c>
      <c r="BC115" s="478">
        <f>IF(OR(C115="",D115=""),"",VLOOKUP(D115,'Base de Diseño (2)'!$A$2:$D$330,4,FALSE))</f>
        <v>973.13</v>
      </c>
      <c r="BD115" s="23">
        <f ca="1">+BF115-((AZ115/1000)+CX115)</f>
        <v>1.5480000000000274</v>
      </c>
      <c r="BE115" s="23">
        <f ca="1">+BG115-((AZ115/1000)+CX115)</f>
        <v>-0.67199999999999993</v>
      </c>
      <c r="BF115" s="494">
        <v>2.2200000000000273</v>
      </c>
      <c r="BG115" s="494">
        <v>0</v>
      </c>
      <c r="BH115" s="495">
        <f>BB115-BF115</f>
        <v>971.30160000000001</v>
      </c>
      <c r="BI115" s="495">
        <f>BC115-BG115</f>
        <v>973.13</v>
      </c>
      <c r="BJ115" s="468">
        <f>IF(A115="",0,BI115-BH116)</f>
        <v>973.13</v>
      </c>
      <c r="BK115" s="475">
        <f>ABS((BB115-BC115)/AX115)*100</f>
        <v>12.797385620916321</v>
      </c>
      <c r="BL115" s="475">
        <f>((BH115-BI115)/AX115)*100</f>
        <v>-59.751633986927708</v>
      </c>
      <c r="BM115" s="475" t="e">
        <f ca="1">IF(BA115=6,(1/0.013)*((AZ115/4000)^(2/3))*((BL115/100)^(0.5)),(1/0.009)*((AZ115/4000)^(2/3))*((BL115/100)^(0.5)))</f>
        <v>#NUM!</v>
      </c>
      <c r="BN115" s="475" t="e">
        <f ca="1">1000*BM115*PI()*((AZ115/1000/2)^2)</f>
        <v>#NUM!</v>
      </c>
      <c r="BO115" s="204" t="e">
        <f ca="1">AI115/BN115</f>
        <v>#NUM!</v>
      </c>
      <c r="BP115" s="496" t="e">
        <f ca="1">IF(L115=0," ",AW115/BN115)</f>
        <v>#NUM!</v>
      </c>
      <c r="BQ115" s="497" t="e">
        <f ca="1">IF($BO115&gt;0 =AND($BO115&lt;=0.06),10^(0.029806+0.29095*LOG($BO115)),IF($BO115&gt;0.06 =AND($BO115&lt;=0.26),10^(0.013778+0.282597*LOG($BO115)),IF($BO115&gt;0.26 =AND($BO115&lt;=0.91),10^(0.021763+0.28995*LOG($BO115)),1)))</f>
        <v>#NUM!</v>
      </c>
      <c r="BR115" s="497" t="e">
        <f ca="1">IF($BP115&gt;0 =AND($BP115&lt;=0.06),10^(0.029806+0.29095*LOG($BP115)),IF($BP115&gt;0.06 =AND($BP115&lt;=0.26),10^(0.013778+0.282597*LOG($BP115)),IF($BP115&gt;0.26 =AND($BP115&lt;=2),10^(0.021763+0.28995*LOG($BP115))," ")))</f>
        <v>#NUM!</v>
      </c>
      <c r="BS115" s="475" t="e">
        <f ca="1">BM115*BQ115</f>
        <v>#NUM!</v>
      </c>
      <c r="BT115" s="475" t="e">
        <f ca="1">IF(BP115=" "," ",(BM115*BR115))</f>
        <v>#NUM!</v>
      </c>
      <c r="BU115" s="475" t="e">
        <f ca="1">IF(BO115&lt;=0.11,0.3827+0.0645*LN(BO115),IF(BO115&lt;=0.21,0.60025+0.15471*LN(BO115),IF(BO115&lt;1,0.225+0.6666666667*BO115,0)))</f>
        <v>#NUM!</v>
      </c>
      <c r="BV115" s="475" t="e">
        <f ca="1">IF(BP115&lt;=0.11,0.3827+0.0645*LN(BP115),IF(BP115&lt;=0.21,0.60025+0.15471*LN(BP115),IF(BP115&lt;1,0.225+0.6666666667*BP115," ")))</f>
        <v>#NUM!</v>
      </c>
      <c r="BW115" s="475" t="e">
        <f ca="1">2*ACOS(1-2*(BU115))</f>
        <v>#NUM!</v>
      </c>
      <c r="BX115" s="475" t="e">
        <f ca="1">IF(BP115=" "," ",(2*ACOS(1-2*(BV115))))</f>
        <v>#NUM!</v>
      </c>
      <c r="BY115" s="475" t="e">
        <f ca="1">(1/4)*(1-(SIN(BW115))/BW115)</f>
        <v>#NUM!</v>
      </c>
      <c r="BZ115" s="475" t="e">
        <f ca="1">IF(BP115=" "," ",((1/4)*(1-(SIN(BX115))/BX115)))</f>
        <v>#NUM!</v>
      </c>
      <c r="CA115" s="471" t="e">
        <f ca="1">BY115*AZ115/1000</f>
        <v>#NUM!</v>
      </c>
      <c r="CB115" s="471" t="e">
        <f ca="1">IF(BP115=" "," ",(BZ115*AZ115/1000))</f>
        <v>#NUM!</v>
      </c>
      <c r="CC115" s="471" t="e">
        <f t="shared" ca="1" si="222"/>
        <v>#NUM!</v>
      </c>
      <c r="CD115" s="471" t="e">
        <f ca="1">IF(CC115="","",IF(CC115&lt;0.7,"F. Subcrítico",IF(AND(CC115&gt;0.7,CC115&lt;1),"F. Subcrítico Inestable",IF(CC115=1,"F. Crítico",IF(AND(CC115&gt;1,CC115&lt;1.5),"F. Supercrítico Inestable",IF(CC115&gt;1.5,"F. Supercrítico",""))))))</f>
        <v>#NUM!</v>
      </c>
      <c r="CE115" s="471" t="e">
        <f ca="1">1000*BL115*CA115/100</f>
        <v>#NUM!</v>
      </c>
      <c r="CF115" s="471" t="e">
        <f ca="1">IF(BP115=" "," ",(1000*BL115*CB115/100))</f>
        <v>#NUM!</v>
      </c>
      <c r="CG115" s="471" t="e">
        <f ca="1">IF(BS115&lt;0.45,"No cumple",IF(BS115&gt;5,"No cumple","O.K"))</f>
        <v>#NUM!</v>
      </c>
      <c r="CH115" s="471" t="e">
        <f ca="1">IF(BT115&lt;0.75,"No cumple",IF(BT115&gt;10,"No cumple","O.K"))</f>
        <v>#NUM!</v>
      </c>
      <c r="CI115" s="471" t="e">
        <f ca="1">IF(CE115&gt;0.1,"OK","V.C.H.")</f>
        <v>#NUM!</v>
      </c>
      <c r="CJ115" s="471" t="e">
        <f ca="1">IF(CF115&gt;0.2,"OK","V.C.H.")</f>
        <v>#NUM!</v>
      </c>
      <c r="CK115" s="468">
        <f>+BJ115</f>
        <v>973.13</v>
      </c>
      <c r="CL115" s="482" t="s">
        <v>2507</v>
      </c>
      <c r="CM115" s="482"/>
      <c r="CN115" s="63" t="str">
        <f>IF(B115=1,"dato"," ")</f>
        <v xml:space="preserve"> </v>
      </c>
      <c r="CO115" s="498">
        <f>+CR115</f>
        <v>3.06</v>
      </c>
      <c r="CP115" s="472">
        <f>+BK115/100</f>
        <v>0.12797385620916321</v>
      </c>
      <c r="CQ115" s="482" t="s">
        <v>2508</v>
      </c>
      <c r="CR115" s="204">
        <f>IF(BA115="","",AX115)</f>
        <v>3.06</v>
      </c>
      <c r="CS115" s="486">
        <v>1.2</v>
      </c>
      <c r="CT115" s="486">
        <v>1.2</v>
      </c>
      <c r="CU115" s="23">
        <f>IF($BA115="","",SQRT((BH115-BI115)^2+$CR115^2))</f>
        <v>3.5646383491176148</v>
      </c>
      <c r="CV115" s="499" t="s">
        <v>2509</v>
      </c>
      <c r="CW115" s="488" t="str">
        <f ca="1">+IF(BD115&lt;=0.9,"E1",IF(BD115&lt;=2.5,"E2","E3"))</f>
        <v>E2</v>
      </c>
      <c r="CX115" s="204">
        <f ca="1">IF(AND(L115="",H115=""),"",IF(AND(BA115&lt;&gt;4,BA115&lt;&gt;5),VLOOKUP(AY115,'TABLA (2)'!$A$9:$D$43,4),IF(BA115=4,VLOOKUP(AY115,'TABLA (2)'!$A$74:$D$89,4),VLOOKUP(AY115,'TABLA (2)'!$A$51:$D$66,4))))</f>
        <v>7.1999999999999995E-2</v>
      </c>
      <c r="CY115" s="482"/>
      <c r="CZ115" s="482"/>
      <c r="DA115" s="482"/>
      <c r="DB115" s="490"/>
    </row>
    <row r="116" spans="1:106" ht="15" hidden="1" customHeight="1">
      <c r="A116" s="465"/>
      <c r="B116" s="491"/>
      <c r="C116" s="501"/>
      <c r="D116" s="501"/>
      <c r="E116" s="468"/>
      <c r="F116" s="468"/>
      <c r="G116" s="468"/>
      <c r="H116" s="468"/>
      <c r="I116" s="468"/>
      <c r="J116" s="468"/>
      <c r="K116" s="467"/>
      <c r="L116" s="468"/>
      <c r="M116" s="469"/>
      <c r="N116" s="470"/>
      <c r="O116" s="470"/>
      <c r="P116" s="470"/>
      <c r="Q116" s="469"/>
      <c r="R116" s="471"/>
      <c r="S116" s="471"/>
      <c r="T116" s="471"/>
      <c r="U116" s="471"/>
      <c r="V116" s="471"/>
      <c r="W116" s="471"/>
      <c r="X116" s="471"/>
      <c r="Y116" s="471"/>
      <c r="Z116" s="471"/>
      <c r="AA116" s="471" t="str">
        <f t="shared" si="219"/>
        <v/>
      </c>
      <c r="AB116" s="471"/>
      <c r="AC116" s="471"/>
      <c r="AD116" s="471"/>
      <c r="AE116" s="471"/>
      <c r="AF116" s="471"/>
      <c r="AG116" s="471"/>
      <c r="AH116" s="471"/>
      <c r="AI116" s="471"/>
      <c r="AJ116" s="471"/>
      <c r="AK116" s="472"/>
      <c r="AL116" s="471"/>
      <c r="AM116" s="473">
        <f t="shared" si="220"/>
        <v>474.44695720875893</v>
      </c>
      <c r="AN116" s="474">
        <f t="shared" si="221"/>
        <v>1.6999999999999998E-2</v>
      </c>
      <c r="AO116" s="474"/>
      <c r="AP116" s="474"/>
      <c r="AQ116" s="475">
        <v>3</v>
      </c>
      <c r="AR116" s="474"/>
      <c r="AS116" s="474"/>
      <c r="AT116" s="471"/>
      <c r="AU116" s="492"/>
      <c r="AV116" s="471"/>
      <c r="AW116" s="471"/>
      <c r="AX116" s="478"/>
      <c r="AY116" s="493"/>
      <c r="AZ116" s="480"/>
      <c r="BA116" s="493"/>
      <c r="BB116" s="478" t="str">
        <f>IF(OR(C116="",D116=""),"",VLOOKUP(C116,'Base de Diseño (2)'!$A$2:$D$330,4,FALSE))</f>
        <v/>
      </c>
      <c r="BC116" s="478" t="str">
        <f>IF(OR(C116="",D116=""),"",VLOOKUP(D116,'Base de Diseño (2)'!$A$2:$D$330,4,FALSE))</f>
        <v/>
      </c>
      <c r="BD116" s="23"/>
      <c r="BE116" s="23"/>
      <c r="BF116" s="494"/>
      <c r="BG116" s="494"/>
      <c r="BH116" s="495"/>
      <c r="BI116" s="495"/>
      <c r="BJ116" s="468"/>
      <c r="BK116" s="475"/>
      <c r="BL116" s="475"/>
      <c r="BM116" s="475"/>
      <c r="BN116" s="475"/>
      <c r="BO116" s="204"/>
      <c r="BP116" s="496"/>
      <c r="BQ116" s="497"/>
      <c r="BR116" s="497"/>
      <c r="BS116" s="475"/>
      <c r="BT116" s="475"/>
      <c r="BU116" s="475"/>
      <c r="BV116" s="475"/>
      <c r="BW116" s="475"/>
      <c r="BX116" s="475"/>
      <c r="BY116" s="475"/>
      <c r="BZ116" s="475"/>
      <c r="CA116" s="471"/>
      <c r="CB116" s="471"/>
      <c r="CC116" s="471" t="e">
        <f t="shared" si="222"/>
        <v>#DIV/0!</v>
      </c>
      <c r="CD116" s="471"/>
      <c r="CE116" s="471"/>
      <c r="CF116" s="471"/>
      <c r="CG116" s="471"/>
      <c r="CH116" s="471"/>
      <c r="CI116" s="471"/>
      <c r="CJ116" s="471"/>
      <c r="CK116" s="468"/>
      <c r="CL116" s="482" t="s">
        <v>2507</v>
      </c>
      <c r="CM116" s="482"/>
      <c r="CN116" s="63"/>
      <c r="CO116" s="498"/>
      <c r="CP116" s="472"/>
      <c r="CQ116" s="482"/>
      <c r="CR116" s="204"/>
      <c r="CS116" s="486"/>
      <c r="CT116" s="486"/>
      <c r="CU116" s="23"/>
      <c r="CV116" s="499"/>
      <c r="CW116" s="488"/>
      <c r="CX116" s="204"/>
      <c r="CY116" s="482"/>
      <c r="CZ116" s="482"/>
      <c r="DA116" s="482"/>
      <c r="DB116" s="490"/>
    </row>
    <row r="117" spans="1:106" ht="15" hidden="1" customHeight="1">
      <c r="A117" s="465">
        <v>68</v>
      </c>
      <c r="B117" s="491">
        <v>1</v>
      </c>
      <c r="C117" s="466" t="s">
        <v>2096</v>
      </c>
      <c r="D117" s="466" t="s">
        <v>2095</v>
      </c>
      <c r="E117" s="468">
        <f>0.256+0.3425</f>
        <v>0.59850000000000003</v>
      </c>
      <c r="F117" s="468"/>
      <c r="G117" s="468">
        <f>IF(B117=1,0,SUMIF($D$22:$D$583,C117,$H$22:$H$583))</f>
        <v>0</v>
      </c>
      <c r="H117" s="468">
        <f>+E117+F117+G117</f>
        <v>0.59850000000000003</v>
      </c>
      <c r="I117" s="468">
        <f>+E117</f>
        <v>0.59850000000000003</v>
      </c>
      <c r="J117" s="468"/>
      <c r="K117" s="467">
        <f>+IF(B117=1,0,SUMIF($D$22:$D$583,C117,$L$22:$L$580))</f>
        <v>0</v>
      </c>
      <c r="L117" s="468">
        <f>+I117+J117+K117</f>
        <v>0.59850000000000003</v>
      </c>
      <c r="M117" s="469">
        <f>+$P$12</f>
        <v>242.33666300502347</v>
      </c>
      <c r="N117" s="470">
        <f>M117*E117</f>
        <v>145.03849280850656</v>
      </c>
      <c r="O117" s="470">
        <f>M117*F117</f>
        <v>0</v>
      </c>
      <c r="P117" s="470">
        <f>M117*H117</f>
        <v>145.03849280850656</v>
      </c>
      <c r="Q117" s="469">
        <f>+$H$14</f>
        <v>140</v>
      </c>
      <c r="R117" s="471">
        <f>Q117*P117*$P$14/86400</f>
        <v>0.19976366486356806</v>
      </c>
      <c r="S117" s="471"/>
      <c r="T117" s="471"/>
      <c r="U117" s="471">
        <f>IF(C117="","",T117*$P$17)</f>
        <v>0</v>
      </c>
      <c r="V117" s="471"/>
      <c r="W117" s="471"/>
      <c r="X117" s="471">
        <f>IF(C117="","",W117*$P$16)</f>
        <v>0</v>
      </c>
      <c r="Y117" s="471">
        <f>IF(H117=0,0,$H$15*H117)</f>
        <v>0.11970000000000001</v>
      </c>
      <c r="Z117" s="471">
        <f>IF(L117=0,$H$16*H117,0)</f>
        <v>0</v>
      </c>
      <c r="AA117" s="471">
        <f t="shared" si="219"/>
        <v>3.8</v>
      </c>
      <c r="AB117" s="471">
        <f>R117*AA117</f>
        <v>0.75910192648155861</v>
      </c>
      <c r="AC117" s="471">
        <f>Q117*(N117+O117)*$P$14/86400</f>
        <v>0.19976366486356806</v>
      </c>
      <c r="AD117" s="471">
        <f>IF(E117=0,0,$H$15*(E117+F117))</f>
        <v>0.11970000000000001</v>
      </c>
      <c r="AE117" s="471">
        <f>IF(F117=0,0,$H$15*(F117+G117))</f>
        <v>0</v>
      </c>
      <c r="AF117" s="471">
        <f>IF(N117="","",IF(1+((14/(4+(((N117+O117)+O117)/1000)^1/2)))&lt;1.4,1.4,IF(1+((14/(4+((N117+O117)/1000)^1/2)))&gt;=4,4,(1+((14/(4+((N117+O117)/1000)^1/2)))))))</f>
        <v>4</v>
      </c>
      <c r="AG117" s="471">
        <f>AC117*AF117</f>
        <v>0.79905465945427223</v>
      </c>
      <c r="AH117" s="471">
        <f>+AD117+AE117+AG117</f>
        <v>0.91875465945427226</v>
      </c>
      <c r="AI117" s="471">
        <f>IF(H117="","",IF(AB117+Y117+Z117+X117+U117&lt;1.5,1.5,AB117+Y117+Z117+X117+U117))</f>
        <v>1.5</v>
      </c>
      <c r="AJ117" s="471">
        <f>+$P$17</f>
        <v>0.75</v>
      </c>
      <c r="AK117" s="472">
        <f>+BK117/100</f>
        <v>3.9516366853435382E-2</v>
      </c>
      <c r="AL117" s="471">
        <f>IF(AJ117=0," ",0.14+0.65*AJ117+0.05*AK117)</f>
        <v>0.62947581834267186</v>
      </c>
      <c r="AM117" s="473">
        <f t="shared" si="220"/>
        <v>336.32613267542746</v>
      </c>
      <c r="AN117" s="474">
        <f t="shared" si="221"/>
        <v>7.2756311866050503</v>
      </c>
      <c r="AO117" s="474">
        <f>((1/60)*$AX117/$AQ117)</f>
        <v>0.56516666666666671</v>
      </c>
      <c r="AP117" s="474">
        <f>IF(B117=1,IF(($AN117+$AO117)&lt;10,10,IF(($AN117+$AO117)&gt;20,20,($AN117+$AO117))),($AN117+$AO117))</f>
        <v>10</v>
      </c>
      <c r="AQ117" s="475">
        <v>3</v>
      </c>
      <c r="AR117" s="474" t="e">
        <f>((1/60)*$AX117/$BT117)</f>
        <v>#VALUE!</v>
      </c>
      <c r="AS117" s="474" t="e">
        <f>AO117/AR117</f>
        <v>#VALUE!</v>
      </c>
      <c r="AT117" s="471" t="e">
        <f>IF(AS117&lt;0.9,"Disminuir vel.",IF(AS117&gt;1.1,"Aumentar vel.","Cumple"))</f>
        <v>#VALUE!</v>
      </c>
      <c r="AU117" s="492">
        <f>+I117*AL117*AM117</f>
        <v>126.70793680614061</v>
      </c>
      <c r="AV117" s="471">
        <f>+L117*AL117*AM117</f>
        <v>126.70793680614061</v>
      </c>
      <c r="AW117" s="471">
        <f>ROUND(IF(AI117&gt;(AV117*0.05),(AV117+AI117),AV117),2)</f>
        <v>126.71</v>
      </c>
      <c r="AX117" s="478">
        <f>IF(OR(C117="",D117=""),"",ROUND(((VLOOKUP(C117,'Base de Diseño (2)'!$A$2:$C$333,2,FALSE)-VLOOKUP(D117,'Base de Diseño (2)'!$A$2:$C$333,2,FALSE))^2+(VLOOKUP(C117,'Base de Diseño (2)'!$A$2:$C$333,3,0)-VLOOKUP(D117,'Base de Diseño (2)'!$A$2:$C$333,3,FALSE))^2)^0.5,2))</f>
        <v>101.73</v>
      </c>
      <c r="AY117" s="493">
        <v>8</v>
      </c>
      <c r="AZ117" s="480">
        <f>IF(AND(L117="",H117=""),"",IF(BA117=4,VLOOKUP(AY117,'TABLA (2)'!$A$74:$C$89,2),IF(BA117=5,VLOOKUP(AY117,'TABLA (2)'!$A$51:$B$66,2),IF(BA117=6,VLOOKUP(AY117,'TABLA (2)'!$A$9:$B$43,2)))))</f>
        <v>200</v>
      </c>
      <c r="BA117" s="493">
        <v>6</v>
      </c>
      <c r="BB117" s="478">
        <f>IF(OR(C117="",D117=""),"",VLOOKUP(C117,'Base de Diseño (2)'!$A$2:$D$330,4,FALSE))</f>
        <v>978.63160000000005</v>
      </c>
      <c r="BC117" s="478">
        <f>IF(OR(C117="",D117=""),"",VLOOKUP(D117,'Base de Diseño (2)'!$A$2:$D$330,4,FALSE))</f>
        <v>974.61160000000007</v>
      </c>
      <c r="BD117" s="23">
        <f>+BF117-((AZ117/1000)+CX117)</f>
        <v>1.2629999999999999</v>
      </c>
      <c r="BE117" s="23">
        <f>+BG117-((AZ117/1000)+CX117)</f>
        <v>0.69299999999994999</v>
      </c>
      <c r="BF117" s="494">
        <v>1.5</v>
      </c>
      <c r="BG117" s="494">
        <v>0.92999999999994998</v>
      </c>
      <c r="BH117" s="495">
        <f>BB117-BF117</f>
        <v>977.13160000000005</v>
      </c>
      <c r="BI117" s="495">
        <f>BC117-BG117</f>
        <v>973.68160000000012</v>
      </c>
      <c r="BJ117" s="468">
        <f>IF(A117="",0,BI117-BH118)</f>
        <v>3.0000000000086402E-2</v>
      </c>
      <c r="BK117" s="475">
        <f>ABS((BB117-BC117)/AX117)*100</f>
        <v>3.9516366853435381</v>
      </c>
      <c r="BL117" s="475">
        <f>((BH117-BI117)/AX117)*100</f>
        <v>3.3913299911529853</v>
      </c>
      <c r="BM117" s="475">
        <f>IF(BA117=6,(1/0.013)*((AZ117/4000)^(2/3))*((BL117/100)^(0.5)),(1/0.009)*((AZ117/4000)^(2/3))*((BL117/100)^(0.5)))</f>
        <v>1.922597364028428</v>
      </c>
      <c r="BN117" s="475">
        <f>1000*BM117*PI()*((AZ117/1000/2)^2)</f>
        <v>60.400177546428118</v>
      </c>
      <c r="BO117" s="204">
        <f>AI117/BN117</f>
        <v>2.4834364085221227E-2</v>
      </c>
      <c r="BP117" s="496">
        <f>IF(L117=0," ",AW117/BN117)</f>
        <v>2.0978415154922545</v>
      </c>
      <c r="BQ117" s="497">
        <f>IF($BO117&gt;0 =AND($BO117&lt;=0.06),10^(0.029806+0.29095*LOG($BO117)),IF($BO117&gt;0.06 =AND($BO117&lt;=0.26),10^(0.013778+0.282597*LOG($BO117)),IF($BO117&gt;0.26 =AND($BO117&lt;=0.91),10^(0.021763+0.28995*LOG($BO117)),1)))</f>
        <v>0.36546575021470568</v>
      </c>
      <c r="BR117" s="497" t="str">
        <f>IF($BP117&gt;0 =AND($BP117&lt;=0.06),10^(0.029806+0.29095*LOG($BP117)),IF($BP117&gt;0.06 =AND($BP117&lt;=0.26),10^(0.013778+0.282597*LOG($BP117)),IF($BP117&gt;0.26 =AND($BP117&lt;=2),10^(0.021763+0.28995*LOG($BP117))," ")))</f>
        <v xml:space="preserve"> </v>
      </c>
      <c r="BS117" s="475">
        <f>BM117*BQ117</f>
        <v>0.70264348800546506</v>
      </c>
      <c r="BT117" s="475" t="e">
        <f>IF(BP117=" "," ",(BM117*BR117))</f>
        <v>#VALUE!</v>
      </c>
      <c r="BU117" s="475">
        <f>IF(BO117&lt;=0.11,0.3827+0.0645*LN(BO117),IF(BO117&lt;=0.21,0.60025+0.15471*LN(BO117),IF(BO117&lt;1,0.225+0.6666666667*BO117,0)))</f>
        <v>0.14433851260615485</v>
      </c>
      <c r="BV117" s="475" t="str">
        <f>IF(BP117&lt;=0.11,0.3827+0.0645*LN(BP117),IF(BP117&lt;=0.21,0.60025+0.15471*LN(BP117),IF(BP117&lt;1,0.225+0.6666666667*BP117," ")))</f>
        <v xml:space="preserve"> </v>
      </c>
      <c r="BW117" s="475">
        <f>2*ACOS(1-2*(BU117))</f>
        <v>1.5588352926717612</v>
      </c>
      <c r="BX117" s="475" t="e">
        <f>IF(BP117=" "," ",(2*ACOS(1-2*(BV117))))</f>
        <v>#VALUE!</v>
      </c>
      <c r="BY117" s="475">
        <f>(1/4)*(1-(SIN(BW117))/BW117)</f>
        <v>8.9635323823988422E-2</v>
      </c>
      <c r="BZ117" s="475" t="e">
        <f>IF(BP117=" "," ",((1/4)*(1-(SIN(BX117))/BX117)))</f>
        <v>#VALUE!</v>
      </c>
      <c r="CA117" s="471">
        <f>BY117*AZ117/1000</f>
        <v>1.7927064764797683E-2</v>
      </c>
      <c r="CB117" s="471" t="e">
        <f>IF(BP117=" "," ",(BZ117*AZ117/1000))</f>
        <v>#VALUE!</v>
      </c>
      <c r="CC117" s="471" t="e">
        <f t="shared" si="222"/>
        <v>#VALUE!</v>
      </c>
      <c r="CD117" s="471" t="e">
        <f>IF(CC117="","",IF(CC117&lt;0.7,"F. Subcrítico",IF(AND(CC117&gt;0.7,CC117&lt;1),"F. Subcrítico Inestable",IF(CC117=1,"F. Crítico",IF(AND(CC117&gt;1,CC117&lt;1.5),"F. Supercrítico Inestable",IF(CC117&gt;1.5,"F. Supercrítico",""))))))</f>
        <v>#VALUE!</v>
      </c>
      <c r="CE117" s="471">
        <f>1000*BL117*CA117/100</f>
        <v>0.60796592390200321</v>
      </c>
      <c r="CF117" s="471" t="e">
        <f>IF(BP117=" "," ",(1000*BL117*CB117/100))</f>
        <v>#VALUE!</v>
      </c>
      <c r="CG117" s="471" t="str">
        <f>IF(BS117&lt;0.45,"No cumple",IF(BS117&gt;5,"No cumple","O.K"))</f>
        <v>O.K</v>
      </c>
      <c r="CH117" s="471" t="e">
        <f>IF(BT117&lt;0.75,"No cumple",IF(BT117&gt;10,"No cumple","O.K"))</f>
        <v>#VALUE!</v>
      </c>
      <c r="CI117" s="471" t="str">
        <f>IF(CE117&gt;0.1,"OK","V.C.H.")</f>
        <v>OK</v>
      </c>
      <c r="CJ117" s="471" t="e">
        <f>IF(CF117&gt;0.2,"OK","V.C.H.")</f>
        <v>#VALUE!</v>
      </c>
      <c r="CK117" s="468">
        <f>+BJ117</f>
        <v>3.0000000000086402E-2</v>
      </c>
      <c r="CL117" s="482" t="s">
        <v>2507</v>
      </c>
      <c r="CM117" s="482"/>
      <c r="CN117" s="63" t="str">
        <f>IF(B117=1,"dato"," ")</f>
        <v>dato</v>
      </c>
      <c r="CO117" s="498">
        <f>+CR117</f>
        <v>101.73</v>
      </c>
      <c r="CP117" s="472">
        <f>+BK117/100</f>
        <v>3.9516366853435382E-2</v>
      </c>
      <c r="CQ117" s="482" t="s">
        <v>2508</v>
      </c>
      <c r="CR117" s="204">
        <f>IF(BA117="","",AX117)</f>
        <v>101.73</v>
      </c>
      <c r="CS117" s="486">
        <v>1.2</v>
      </c>
      <c r="CT117" s="486">
        <v>1.2</v>
      </c>
      <c r="CU117" s="23">
        <f>IF($BA117="","",SQRT((BH117-BI117)^2+$CR117^2))</f>
        <v>101.7884836314993</v>
      </c>
      <c r="CV117" s="499" t="s">
        <v>2509</v>
      </c>
      <c r="CW117" s="488" t="str">
        <f>+IF(BD117&lt;=0.9,"E1",IF(BD117&lt;=2.5,"E2","E3"))</f>
        <v>E2</v>
      </c>
      <c r="CX117" s="204">
        <f>IF(AND(L117="",H117=""),"",IF(AND(BA117&lt;&gt;4,BA117&lt;&gt;5),VLOOKUP(AY117,'TABLA (2)'!$A$9:$D$43,4),IF(BA117=4,VLOOKUP(AY117,'TABLA (2)'!$A$74:$D$89,4),VLOOKUP(AY117,'TABLA (2)'!$A$51:$D$66,4))))</f>
        <v>3.6999999999999998E-2</v>
      </c>
      <c r="CY117" s="482"/>
      <c r="CZ117" s="482"/>
      <c r="DA117" s="482"/>
      <c r="DB117" s="490"/>
    </row>
    <row r="118" spans="1:106" ht="15" hidden="1" customHeight="1">
      <c r="A118" s="465">
        <v>69</v>
      </c>
      <c r="B118" s="491"/>
      <c r="C118" s="466" t="s">
        <v>2095</v>
      </c>
      <c r="D118" s="466" t="s">
        <v>2094</v>
      </c>
      <c r="E118" s="468">
        <f>0.2411+0.4962</f>
        <v>0.73729999999999996</v>
      </c>
      <c r="F118" s="468"/>
      <c r="G118" s="468">
        <f>IF(B118=1,0,SUMIF($D$22:$D$583,C118,$H$22:$H$583))</f>
        <v>0.59850000000000003</v>
      </c>
      <c r="H118" s="468">
        <f>+E118+F118+G118</f>
        <v>1.3357999999999999</v>
      </c>
      <c r="I118" s="468">
        <f>+E118</f>
        <v>0.73729999999999996</v>
      </c>
      <c r="J118" s="468"/>
      <c r="K118" s="467">
        <f ca="1">+IF(B118=1,0,SUMIF($D$22:$D$583,C118,$L$22:$L$580))</f>
        <v>0.59850000000000003</v>
      </c>
      <c r="L118" s="468">
        <f ca="1">+I118+J118+K118</f>
        <v>1.3357999999999999</v>
      </c>
      <c r="M118" s="469">
        <f>+$P$12</f>
        <v>242.33666300502347</v>
      </c>
      <c r="N118" s="470">
        <f>M118*E118</f>
        <v>178.67482163360378</v>
      </c>
      <c r="O118" s="470">
        <f>M118*F118</f>
        <v>0</v>
      </c>
      <c r="P118" s="470">
        <f>M118*H118</f>
        <v>323.71331444211035</v>
      </c>
      <c r="Q118" s="469">
        <f>+$H$14</f>
        <v>140</v>
      </c>
      <c r="R118" s="471">
        <f>Q118*P118*$P$14/86400</f>
        <v>0.44585514373392515</v>
      </c>
      <c r="S118" s="471"/>
      <c r="T118" s="471"/>
      <c r="U118" s="471">
        <f>IF(C118="","",T118*$P$17)</f>
        <v>0</v>
      </c>
      <c r="V118" s="471"/>
      <c r="W118" s="471"/>
      <c r="X118" s="471">
        <f>IF(C118="","",W118*$P$16)</f>
        <v>0</v>
      </c>
      <c r="Y118" s="471">
        <f>IF(H118=0,0,$H$15*H118)</f>
        <v>0.26716000000000001</v>
      </c>
      <c r="Z118" s="471">
        <f ca="1">IF(L118=0,$H$16*H118,0)</f>
        <v>0</v>
      </c>
      <c r="AA118" s="471">
        <f t="shared" si="219"/>
        <v>3.8</v>
      </c>
      <c r="AB118" s="471">
        <f>R118*AA118</f>
        <v>1.6942495461889155</v>
      </c>
      <c r="AC118" s="471">
        <f>Q118*(N118+O118)*$P$14/86400</f>
        <v>0.24609147887035707</v>
      </c>
      <c r="AD118" s="471">
        <f>IF(E118=0,0,$H$15*(E118+F118))</f>
        <v>0.14746000000000001</v>
      </c>
      <c r="AE118" s="471">
        <f>IF(F118=0,0,$H$15*(F118+G118))</f>
        <v>0</v>
      </c>
      <c r="AF118" s="471">
        <f>IF(N118="","",IF(1+((14/(4+(((N118+O118)+O118)/1000)^1/2)))&lt;1.4,1.4,IF(1+((14/(4+((N118+O118)/1000)^1/2)))&gt;=4,4,(1+((14/(4+((N118+O118)/1000)^1/2)))))))</f>
        <v>4</v>
      </c>
      <c r="AG118" s="471">
        <f>AC118*AF118</f>
        <v>0.98436591548142827</v>
      </c>
      <c r="AH118" s="471">
        <f>+AD118+AE118+AG118</f>
        <v>1.1318259154814283</v>
      </c>
      <c r="AI118" s="471">
        <f ca="1">IF(H118="","",IF(AB118+Y118+Z118+X118+U118&lt;1.5,1.5,AB118+Y118+Z118+X118+U118))</f>
        <v>1.9614095461889156</v>
      </c>
      <c r="AJ118" s="471">
        <f>+$P$17</f>
        <v>0.75</v>
      </c>
      <c r="AK118" s="472">
        <f>+BK118/100</f>
        <v>9.6795727636855965E-3</v>
      </c>
      <c r="AL118" s="471">
        <f>IF(AJ118=0," ",0.14+0.65*AJ118+0.05*AK118)</f>
        <v>0.62798397863818434</v>
      </c>
      <c r="AM118" s="473">
        <f t="shared" si="220"/>
        <v>333.05263302485145</v>
      </c>
      <c r="AN118" s="474">
        <f t="shared" si="221"/>
        <v>10</v>
      </c>
      <c r="AO118" s="474">
        <f>((1/60)*$AX118/$AQ118)</f>
        <v>0.3328888888888889</v>
      </c>
      <c r="AP118" s="474">
        <f>IF(B118=1,IF(($AN118+$AO118)&lt;10,10,IF(($AN118+$AO118)&gt;20,20,($AN118+$AO118))),($AN118+$AO118))</f>
        <v>10.332888888888888</v>
      </c>
      <c r="AQ118" s="475">
        <v>3</v>
      </c>
      <c r="AR118" s="474" t="e">
        <f ca="1">((1/60)*$AX118/$BT118)</f>
        <v>#VALUE!</v>
      </c>
      <c r="AS118" s="474" t="e">
        <f ca="1">AO118/AR118</f>
        <v>#VALUE!</v>
      </c>
      <c r="AT118" s="471" t="e">
        <f ca="1">IF(AS118&lt;0.9,"Disminuir vel.",IF(AS118&gt;1.1,"Aumentar vel.","Cumple"))</f>
        <v>#VALUE!</v>
      </c>
      <c r="AU118" s="492">
        <f>+I118*AL118*AM118</f>
        <v>154.20756137384956</v>
      </c>
      <c r="AV118" s="471">
        <f ca="1">+L118*AL118*AM118</f>
        <v>279.38486434719687</v>
      </c>
      <c r="AW118" s="471">
        <f ca="1">ROUND(IF(AI118&gt;(AV118*0.05),(AV118+AI118),AV118),2)</f>
        <v>279.38</v>
      </c>
      <c r="AX118" s="478">
        <f>IF(OR(C118="",D118=""),"",ROUND(((VLOOKUP(C118,'Base de Diseño (2)'!$A$2:$C$333,2,FALSE)-VLOOKUP(D118,'Base de Diseño (2)'!$A$2:$C$333,2,FALSE))^2+(VLOOKUP(C118,'Base de Diseño (2)'!$A$2:$C$333,3,0)-VLOOKUP(D118,'Base de Diseño (2)'!$A$2:$C$333,3,FALSE))^2)^0.5,2))</f>
        <v>59.92</v>
      </c>
      <c r="AY118" s="493">
        <v>8</v>
      </c>
      <c r="AZ118" s="480">
        <f ca="1">IF(AND(L118="",H118=""),"",IF(BA118=4,VLOOKUP(AY118,'TABLA (2)'!$A$74:$C$89,2),IF(BA118=5,VLOOKUP(AY118,'TABLA (2)'!$A$51:$B$66,2),IF(BA118=6,VLOOKUP(AY118,'TABLA (2)'!$A$9:$B$43,2)))))</f>
        <v>200</v>
      </c>
      <c r="BA118" s="493">
        <v>6</v>
      </c>
      <c r="BB118" s="478">
        <f>IF(OR(C118="",D118=""),"",VLOOKUP(C118,'Base de Diseño (2)'!$A$2:$D$330,4,FALSE))</f>
        <v>974.61160000000007</v>
      </c>
      <c r="BC118" s="478">
        <f>IF(OR(C118="",D118=""),"",VLOOKUP(D118,'Base de Diseño (2)'!$A$2:$D$330,4,FALSE))</f>
        <v>974.03160000000003</v>
      </c>
      <c r="BD118" s="23">
        <f ca="1">+BF118-((AZ118/1000)+CX118)</f>
        <v>0.72300000000003639</v>
      </c>
      <c r="BE118" s="23">
        <f ca="1">+BG118-((AZ118/1000)+CX118)</f>
        <v>0.70300000000005458</v>
      </c>
      <c r="BF118" s="494">
        <v>0.96000000000003638</v>
      </c>
      <c r="BG118" s="494">
        <v>0.94000000000005457</v>
      </c>
      <c r="BH118" s="495">
        <f>BB118-BF118</f>
        <v>973.65160000000003</v>
      </c>
      <c r="BI118" s="495">
        <f>BC118-BG118</f>
        <v>973.09159999999997</v>
      </c>
      <c r="BJ118" s="468">
        <f>IF(A118="",0,BI118-BH119)</f>
        <v>973.09159999999997</v>
      </c>
      <c r="BK118" s="475">
        <f>ABS((BB118-BC118)/AX118)*100</f>
        <v>0.96795727636855966</v>
      </c>
      <c r="BL118" s="475">
        <f>((BH118-BI118)/AX118)*100</f>
        <v>0.93457943925243514</v>
      </c>
      <c r="BM118" s="475">
        <f ca="1">IF(BA118=6,(1/0.013)*((AZ118/4000)^(2/3))*((BL118/100)^(0.5)),(1/0.009)*((AZ118/4000)^(2/3))*((BL118/100)^(0.5)))</f>
        <v>1.0092794447964604</v>
      </c>
      <c r="BN118" s="475">
        <f ca="1">1000*BM118*PI()*((AZ118/1000/2)^2)</f>
        <v>31.707448891917455</v>
      </c>
      <c r="BO118" s="204">
        <f ca="1">AI118/BN118</f>
        <v>6.1859582361067797E-2</v>
      </c>
      <c r="BP118" s="496">
        <f ca="1">IF(L118=0," ",AW118/BN118)</f>
        <v>8.8111787533691093</v>
      </c>
      <c r="BQ118" s="497">
        <f ca="1">IF($BO118&gt;0 =AND($BO118&lt;=0.06),10^(0.029806+0.29095*LOG($BO118)),IF($BO118&gt;0.06 =AND($BO118&lt;=0.26),10^(0.013778+0.282597*LOG($BO118)),IF($BO118&gt;0.26 =AND($BO118&lt;=0.91),10^(0.021763+0.28995*LOG($BO118)),1)))</f>
        <v>0.47014653462254402</v>
      </c>
      <c r="BR118" s="497" t="str">
        <f ca="1">IF($BP118&gt;0 =AND($BP118&lt;=0.06),10^(0.029806+0.29095*LOG($BP118)),IF($BP118&gt;0.06 =AND($BP118&lt;=0.26),10^(0.013778+0.282597*LOG($BP118)),IF($BP118&gt;0.26 =AND($BP118&lt;=2),10^(0.021763+0.28995*LOG($BP118))," ")))</f>
        <v xml:space="preserve"> </v>
      </c>
      <c r="BS118" s="475">
        <f ca="1">BM118*BQ118</f>
        <v>0.47450923343682105</v>
      </c>
      <c r="BT118" s="475" t="e">
        <f ca="1">IF(BP118=" "," ",(BM118*BR118))</f>
        <v>#VALUE!</v>
      </c>
      <c r="BU118" s="475">
        <f ca="1">IF(BO118&lt;=0.11,0.3827+0.0645*LN(BO118),IF(BO118&lt;=0.21,0.60025+0.15471*LN(BO118),IF(BO118&lt;1,0.225+0.6666666667*BO118,0)))</f>
        <v>0.20320370702973956</v>
      </c>
      <c r="BV118" s="475" t="str">
        <f ca="1">IF(BP118&lt;=0.11,0.3827+0.0645*LN(BP118),IF(BP118&lt;=0.21,0.60025+0.15471*LN(BP118),IF(BP118&lt;1,0.225+0.6666666667*BP118," ")))</f>
        <v xml:space="preserve"> </v>
      </c>
      <c r="BW118" s="475">
        <f ca="1">2*ACOS(1-2*(BU118))</f>
        <v>1.8705613157048258</v>
      </c>
      <c r="BX118" s="475" t="e">
        <f ca="1">IF(BP118=" "," ",(2*ACOS(1-2*(BV118))))</f>
        <v>#VALUE!</v>
      </c>
      <c r="BY118" s="475">
        <f ca="1">(1/4)*(1-(SIN(BW118))/BW118)</f>
        <v>0.12231026520652202</v>
      </c>
      <c r="BZ118" s="475" t="e">
        <f ca="1">IF(BP118=" "," ",((1/4)*(1-(SIN(BX118))/BX118)))</f>
        <v>#VALUE!</v>
      </c>
      <c r="CA118" s="471">
        <f ca="1">BY118*AZ118/1000</f>
        <v>2.4462053041304405E-2</v>
      </c>
      <c r="CB118" s="471" t="e">
        <f ca="1">IF(BP118=" "," ",(BZ118*AZ118/1000))</f>
        <v>#VALUE!</v>
      </c>
      <c r="CC118" s="471" t="e">
        <f t="shared" ca="1" si="222"/>
        <v>#VALUE!</v>
      </c>
      <c r="CD118" s="471" t="e">
        <f ca="1">IF(CC118="","",IF(CC118&lt;0.7,"F. Subcrítico",IF(AND(CC118&gt;0.7,CC118&lt;1),"F. Subcrítico Inestable",IF(CC118=1,"F. Crítico",IF(AND(CC118&gt;1,CC118&lt;1.5),"F. Supercrítico Inestable",IF(CC118&gt;1.5,"F. Supercrítico",""))))))</f>
        <v>#VALUE!</v>
      </c>
      <c r="CE118" s="471">
        <f ca="1">1000*BL118*CA118/100</f>
        <v>0.22861731814305597</v>
      </c>
      <c r="CF118" s="471" t="e">
        <f ca="1">IF(BP118=" "," ",(1000*BL118*CB118/100))</f>
        <v>#VALUE!</v>
      </c>
      <c r="CG118" s="471" t="str">
        <f ca="1">IF(BS118&lt;0.45,"No cumple",IF(BS118&gt;5,"No cumple","O.K"))</f>
        <v>O.K</v>
      </c>
      <c r="CH118" s="471" t="e">
        <f ca="1">IF(BT118&lt;0.75,"No cumple",IF(BT118&gt;10,"No cumple","O.K"))</f>
        <v>#VALUE!</v>
      </c>
      <c r="CI118" s="471" t="str">
        <f ca="1">IF(CE118&gt;0.1,"OK","V.C.H.")</f>
        <v>OK</v>
      </c>
      <c r="CJ118" s="471" t="e">
        <f ca="1">IF(CF118&gt;0.2,"OK","V.C.H.")</f>
        <v>#VALUE!</v>
      </c>
      <c r="CK118" s="468">
        <f>+BJ118</f>
        <v>973.09159999999997</v>
      </c>
      <c r="CL118" s="482" t="s">
        <v>2507</v>
      </c>
      <c r="CM118" s="482"/>
      <c r="CN118" s="63" t="str">
        <f>IF(B118=1,"dato"," ")</f>
        <v xml:space="preserve"> </v>
      </c>
      <c r="CO118" s="498">
        <f>+CR118</f>
        <v>59.92</v>
      </c>
      <c r="CP118" s="472">
        <f>+BK118/100</f>
        <v>9.6795727636855965E-3</v>
      </c>
      <c r="CQ118" s="482" t="s">
        <v>2508</v>
      </c>
      <c r="CR118" s="204">
        <f>IF(BA118="","",AX118)</f>
        <v>59.92</v>
      </c>
      <c r="CS118" s="486">
        <v>1.2</v>
      </c>
      <c r="CT118" s="486">
        <v>1.2</v>
      </c>
      <c r="CU118" s="23">
        <f>IF($BA118="","",SQRT((BH118-BI118)^2+$CR118^2))</f>
        <v>59.922616765291551</v>
      </c>
      <c r="CV118" s="499" t="s">
        <v>2509</v>
      </c>
      <c r="CW118" s="488" t="str">
        <f ca="1">+IF(BD118&lt;=0.9,"E1",IF(BD118&lt;=2.5,"E2","E3"))</f>
        <v>E1</v>
      </c>
      <c r="CX118" s="204">
        <f ca="1">IF(AND(L118="",H118=""),"",IF(AND(BA118&lt;&gt;4,BA118&lt;&gt;5),VLOOKUP(AY118,'TABLA (2)'!$A$9:$D$43,4),IF(BA118=4,VLOOKUP(AY118,'TABLA (2)'!$A$74:$D$89,4),VLOOKUP(AY118,'TABLA (2)'!$A$51:$D$66,4))))</f>
        <v>3.6999999999999998E-2</v>
      </c>
      <c r="CY118" s="482"/>
      <c r="CZ118" s="482"/>
      <c r="DA118" s="482"/>
      <c r="DB118" s="490"/>
    </row>
    <row r="119" spans="1:106" ht="15" hidden="1" customHeight="1">
      <c r="A119" s="465"/>
      <c r="B119" s="491"/>
      <c r="C119" s="466"/>
      <c r="D119" s="466"/>
      <c r="E119" s="468"/>
      <c r="F119" s="468"/>
      <c r="G119" s="468"/>
      <c r="H119" s="468"/>
      <c r="I119" s="468"/>
      <c r="J119" s="468"/>
      <c r="K119" s="467"/>
      <c r="L119" s="468"/>
      <c r="M119" s="469"/>
      <c r="N119" s="470"/>
      <c r="O119" s="470"/>
      <c r="P119" s="470"/>
      <c r="Q119" s="469"/>
      <c r="R119" s="471"/>
      <c r="S119" s="471"/>
      <c r="T119" s="471"/>
      <c r="U119" s="471"/>
      <c r="V119" s="471"/>
      <c r="W119" s="471"/>
      <c r="X119" s="471"/>
      <c r="Y119" s="471"/>
      <c r="Z119" s="471"/>
      <c r="AA119" s="471" t="str">
        <f t="shared" si="219"/>
        <v/>
      </c>
      <c r="AB119" s="471"/>
      <c r="AC119" s="471"/>
      <c r="AD119" s="471"/>
      <c r="AE119" s="471"/>
      <c r="AF119" s="471"/>
      <c r="AG119" s="471"/>
      <c r="AH119" s="471"/>
      <c r="AI119" s="471"/>
      <c r="AJ119" s="471"/>
      <c r="AK119" s="472"/>
      <c r="AL119" s="471"/>
      <c r="AM119" s="473">
        <f t="shared" si="220"/>
        <v>474.44695720875893</v>
      </c>
      <c r="AN119" s="474">
        <f t="shared" si="221"/>
        <v>10.332888888888888</v>
      </c>
      <c r="AO119" s="474"/>
      <c r="AP119" s="474"/>
      <c r="AQ119" s="475">
        <v>3</v>
      </c>
      <c r="AR119" s="474"/>
      <c r="AS119" s="474"/>
      <c r="AT119" s="471"/>
      <c r="AU119" s="492"/>
      <c r="AV119" s="471"/>
      <c r="AW119" s="471"/>
      <c r="AX119" s="478"/>
      <c r="AY119" s="493"/>
      <c r="AZ119" s="480"/>
      <c r="BA119" s="493"/>
      <c r="BB119" s="478" t="str">
        <f>IF(OR(C119="",D119=""),"",VLOOKUP(C119,'Base de Diseño (2)'!$A$2:$D$330,4,FALSE))</f>
        <v/>
      </c>
      <c r="BC119" s="478" t="str">
        <f>IF(OR(C119="",D119=""),"",VLOOKUP(D119,'Base de Diseño (2)'!$A$2:$D$330,4,FALSE))</f>
        <v/>
      </c>
      <c r="BD119" s="23"/>
      <c r="BE119" s="23"/>
      <c r="BF119" s="494"/>
      <c r="BG119" s="494"/>
      <c r="BH119" s="495"/>
      <c r="BI119" s="495"/>
      <c r="BJ119" s="468"/>
      <c r="BK119" s="475"/>
      <c r="BL119" s="475"/>
      <c r="BM119" s="475"/>
      <c r="BN119" s="475"/>
      <c r="BO119" s="204"/>
      <c r="BP119" s="496"/>
      <c r="BQ119" s="497"/>
      <c r="BR119" s="497"/>
      <c r="BS119" s="475"/>
      <c r="BT119" s="475"/>
      <c r="BU119" s="475"/>
      <c r="BV119" s="475"/>
      <c r="BW119" s="475"/>
      <c r="BX119" s="475"/>
      <c r="BY119" s="475"/>
      <c r="BZ119" s="475"/>
      <c r="CA119" s="471"/>
      <c r="CB119" s="471"/>
      <c r="CC119" s="471" t="e">
        <f t="shared" si="222"/>
        <v>#DIV/0!</v>
      </c>
      <c r="CD119" s="471"/>
      <c r="CE119" s="471"/>
      <c r="CF119" s="471"/>
      <c r="CG119" s="471"/>
      <c r="CH119" s="471"/>
      <c r="CI119" s="471"/>
      <c r="CJ119" s="471"/>
      <c r="CK119" s="468"/>
      <c r="CL119" s="482" t="s">
        <v>2507</v>
      </c>
      <c r="CM119" s="482"/>
      <c r="CN119" s="63"/>
      <c r="CO119" s="498"/>
      <c r="CP119" s="472"/>
      <c r="CQ119" s="482"/>
      <c r="CR119" s="204"/>
      <c r="CS119" s="486"/>
      <c r="CT119" s="486"/>
      <c r="CU119" s="23"/>
      <c r="CV119" s="499"/>
      <c r="CW119" s="488"/>
      <c r="CX119" s="204"/>
      <c r="CY119" s="482"/>
      <c r="CZ119" s="482"/>
      <c r="DA119" s="482"/>
      <c r="DB119" s="490"/>
    </row>
    <row r="120" spans="1:106" ht="15" hidden="1" customHeight="1">
      <c r="A120" s="465">
        <v>70</v>
      </c>
      <c r="B120" s="491">
        <v>1</v>
      </c>
      <c r="C120" s="466" t="s">
        <v>2099</v>
      </c>
      <c r="D120" s="466" t="s">
        <v>2098</v>
      </c>
      <c r="E120" s="468">
        <v>0.25258631269999998</v>
      </c>
      <c r="F120" s="468"/>
      <c r="G120" s="468">
        <f>IF(B120=1,0,SUMIF($D$22:$D$583,C120,$H$22:$H$583))</f>
        <v>0</v>
      </c>
      <c r="H120" s="468">
        <f>+E120+F120+G120</f>
        <v>0.25258631269999998</v>
      </c>
      <c r="I120" s="468">
        <v>0.25258631269999998</v>
      </c>
      <c r="J120" s="468"/>
      <c r="K120" s="467">
        <f>+IF(B120=1,0,SUMIF($D$22:$D$583,C120,$L$22:$L$580))</f>
        <v>0</v>
      </c>
      <c r="L120" s="468">
        <f>+I120+J120+K120</f>
        <v>0.25258631269999998</v>
      </c>
      <c r="M120" s="469">
        <f>+$P$12</f>
        <v>242.33666300502347</v>
      </c>
      <c r="N120" s="470">
        <f>M120*E120</f>
        <v>61.210924140461373</v>
      </c>
      <c r="O120" s="470">
        <f>M120*F120</f>
        <v>0</v>
      </c>
      <c r="P120" s="470">
        <f>M120*H120</f>
        <v>61.210924140461373</v>
      </c>
      <c r="Q120" s="469">
        <f>+$H$14</f>
        <v>140</v>
      </c>
      <c r="R120" s="471">
        <f>Q120*P120*$P$14/86400</f>
        <v>8.4306712647163232E-2</v>
      </c>
      <c r="S120" s="471"/>
      <c r="T120" s="471"/>
      <c r="U120" s="471">
        <f>IF(C120="","",T120*$P$17)</f>
        <v>0</v>
      </c>
      <c r="V120" s="471"/>
      <c r="W120" s="471"/>
      <c r="X120" s="471">
        <f>IF(C120="","",W120*$P$16)</f>
        <v>0</v>
      </c>
      <c r="Y120" s="471">
        <f>IF(H120=0,0,$H$15*H120)</f>
        <v>5.0517262539999996E-2</v>
      </c>
      <c r="Z120" s="471">
        <f>IF(L120=0,$H$16*H120,0)</f>
        <v>0</v>
      </c>
      <c r="AA120" s="471">
        <f t="shared" si="219"/>
        <v>3.8</v>
      </c>
      <c r="AB120" s="471">
        <f>R120*AA120</f>
        <v>0.32036550805922026</v>
      </c>
      <c r="AC120" s="471">
        <f>Q120*(N120+O120)*$P$14/86400</f>
        <v>8.4306712647163232E-2</v>
      </c>
      <c r="AD120" s="471">
        <f>IF(E120=0,0,$H$15*(E120+F120))</f>
        <v>5.0517262539999996E-2</v>
      </c>
      <c r="AE120" s="471">
        <f>IF(F120=0,0,$H$15*(F120+G120))</f>
        <v>0</v>
      </c>
      <c r="AF120" s="471">
        <f>IF(N120="","",IF(1+((14/(4+(((N120+O120)+O120)/1000)^1/2)))&lt;1.4,1.4,IF(1+((14/(4+((N120+O120)/1000)^1/2)))&gt;=4,4,(1+((14/(4+((N120+O120)/1000)^1/2)))))))</f>
        <v>4</v>
      </c>
      <c r="AG120" s="471">
        <f>AC120*AF120</f>
        <v>0.33722685058865293</v>
      </c>
      <c r="AH120" s="471">
        <f>+AD120+AE120+AG120</f>
        <v>0.38774411312865292</v>
      </c>
      <c r="AI120" s="471">
        <f>IF(H120="","",IF(AB120+Y120+Z120+X120+U120&lt;1.5,1.5,AB120+Y120+Z120+X120+U120))</f>
        <v>1.5</v>
      </c>
      <c r="AJ120" s="471">
        <f>+$P$17</f>
        <v>0.75</v>
      </c>
      <c r="AK120" s="472">
        <f>+BK120/100</f>
        <v>4.5629282968410803E-2</v>
      </c>
      <c r="AL120" s="471">
        <f>IF(AJ120=0," ",0.14+0.65*AJ120+0.05*AK120)</f>
        <v>0.62978146414842062</v>
      </c>
      <c r="AM120" s="473">
        <f t="shared" si="220"/>
        <v>336.32613267542746</v>
      </c>
      <c r="AN120" s="474">
        <f t="shared" si="221"/>
        <v>5.3184299466228362</v>
      </c>
      <c r="AO120" s="474">
        <f>((1/60)*$AX120/$AQ120)</f>
        <v>0.3323888888888889</v>
      </c>
      <c r="AP120" s="474">
        <f>IF(B120=1,IF(($AN120+$AO120)&lt;10,10,IF(($AN120+$AO120)&gt;20,20,($AN120+$AO120))),($AN120+$AO120))</f>
        <v>10</v>
      </c>
      <c r="AQ120" s="475">
        <v>3</v>
      </c>
      <c r="AR120" s="474">
        <f>((1/60)*$AX120/$BT120)</f>
        <v>0.48145567040884818</v>
      </c>
      <c r="AS120" s="474">
        <f>AO120/AR120</f>
        <v>0.69038316363919239</v>
      </c>
      <c r="AT120" s="471" t="str">
        <f>IF(AS120&lt;0.9,"Disminuir vel.",IF(AS120&gt;1.1,"Aumentar vel.","Cumple"))</f>
        <v>Disminuir vel.</v>
      </c>
      <c r="AU120" s="492">
        <f>+I120*AL120*AM120</f>
        <v>53.500803040124175</v>
      </c>
      <c r="AV120" s="471">
        <f>+L120*AL120*AM120</f>
        <v>53.500803040124175</v>
      </c>
      <c r="AW120" s="471">
        <f>ROUND(IF(AI120&gt;(AV120*0.05),(AV120+AI120),AV120),2)</f>
        <v>53.5</v>
      </c>
      <c r="AX120" s="478">
        <f>IF(OR(C120="",D120=""),"",ROUND(((VLOOKUP(C120,'Base de Diseño (2)'!$A$2:$C$333,2,FALSE)-VLOOKUP(D120,'Base de Diseño (2)'!$A$2:$C$333,2,FALSE))^2+(VLOOKUP(C120,'Base de Diseño (2)'!$A$2:$C$333,3,0)-VLOOKUP(D120,'Base de Diseño (2)'!$A$2:$C$333,3,FALSE))^2)^0.5,2))</f>
        <v>59.83</v>
      </c>
      <c r="AY120" s="493">
        <v>14</v>
      </c>
      <c r="AZ120" s="480">
        <f>IF(AND(L120="",H120=""),"",IF(BA120=4,VLOOKUP(AY120,'TABLA (2)'!$A$74:$C$89,2),IF(BA120=5,VLOOKUP(AY120,'TABLA (2)'!$A$51:$B$66,2),IF(BA120=6,VLOOKUP(AY120,'TABLA (2)'!$A$9:$B$43,2)))))</f>
        <v>350</v>
      </c>
      <c r="BA120" s="493">
        <v>6</v>
      </c>
      <c r="BB120" s="478">
        <f>IF(OR(C120="",D120=""),"",VLOOKUP(C120,'Base de Diseño (2)'!$A$2:$D$330,4,FALSE))</f>
        <v>979.52160000000003</v>
      </c>
      <c r="BC120" s="478">
        <f>IF(OR(C120="",D120=""),"",VLOOKUP(D120,'Base de Diseño (2)'!$A$2:$D$330,4,FALSE))</f>
        <v>976.79160000000002</v>
      </c>
      <c r="BD120" s="23">
        <f>+BF120-((AZ120/1000)+CX120)</f>
        <v>1.7399999999999773</v>
      </c>
      <c r="BE120" s="23">
        <f>+BG120-((AZ120/1000)+CX120)</f>
        <v>1.8899999999999546</v>
      </c>
      <c r="BF120" s="494">
        <v>2.1499999999999773</v>
      </c>
      <c r="BG120" s="494">
        <v>2.2999999999999545</v>
      </c>
      <c r="BH120" s="495">
        <f>BB120-BF120</f>
        <v>977.37160000000006</v>
      </c>
      <c r="BI120" s="495">
        <f>BC120-BG120</f>
        <v>974.49160000000006</v>
      </c>
      <c r="BJ120" s="468">
        <f>IF(A120="",0,BI120-BH121)</f>
        <v>974.49160000000006</v>
      </c>
      <c r="BK120" s="475">
        <f>ABS((BB120-BC120)/AX120)*100</f>
        <v>4.56292829684108</v>
      </c>
      <c r="BL120" s="475">
        <f>((BH120-BI120)/AX120)*100</f>
        <v>4.8136386428213198</v>
      </c>
      <c r="BM120" s="475">
        <f>IF(BA120=6,(1/0.013)*((AZ120/4000)^(2/3))*((BL120/100)^(0.5)),(1/0.009)*((AZ120/4000)^(2/3))*((BL120/100)^(0.5)))</f>
        <v>3.3263307107881226</v>
      </c>
      <c r="BN120" s="475">
        <f>1000*BM120*PI()*((AZ120/1000/2)^2)</f>
        <v>320.0305188104262</v>
      </c>
      <c r="BO120" s="204">
        <f>AI120/BN120</f>
        <v>4.6870529897448387E-3</v>
      </c>
      <c r="BP120" s="496">
        <f>IF(L120=0," ",AW120/BN120)</f>
        <v>0.16717155663423258</v>
      </c>
      <c r="BQ120" s="497">
        <f>IF($BO120&gt;0 =AND($BO120&lt;=0.06),10^(0.029806+0.29095*LOG($BO120)),IF($BO120&gt;0.06 =AND($BO120&lt;=0.26),10^(0.013778+0.282597*LOG($BO120)),IF($BO120&gt;0.26 =AND($BO120&lt;=0.91),10^(0.021763+0.28995*LOG($BO120)),1)))</f>
        <v>0.22498538910622443</v>
      </c>
      <c r="BR120" s="497">
        <f>IF($BP120&gt;0 =AND($BP120&lt;=0.06),10^(0.029806+0.29095*LOG($BP120)),IF($BP120&gt;0.06 =AND($BP120&lt;=0.26),10^(0.013778+0.282597*LOG($BP120)),IF($BP120&gt;0.26 =AND($BP120&lt;=2),10^(0.021763+0.28995*LOG($BP120))," ")))</f>
        <v>0.62265290826324671</v>
      </c>
      <c r="BS120" s="475">
        <f>BM120*BQ120</f>
        <v>0.74837580926264979</v>
      </c>
      <c r="BT120" s="475">
        <f>IF(BP120=" "," ",(BM120*BR120))</f>
        <v>2.0711494909175769</v>
      </c>
      <c r="BU120" s="475">
        <f>IF(BO120&lt;=0.11,0.3827+0.0645*LN(BO120),IF(BO120&lt;=0.21,0.60025+0.15471*LN(BO120),IF(BO120&lt;1,0.225+0.6666666667*BO120,0)))</f>
        <v>3.6789644089868789E-2</v>
      </c>
      <c r="BV120" s="475">
        <f>IF(BP120&lt;=0.11,0.3827+0.0645*LN(BP120),IF(BP120&lt;=0.21,0.60025+0.15471*LN(BP120),IF(BP120&lt;1,0.225+0.6666666667*BP120," ")))</f>
        <v>0.32351485322834128</v>
      </c>
      <c r="BW120" s="475">
        <f>2*ACOS(1-2*(BU120))</f>
        <v>0.77200902222820522</v>
      </c>
      <c r="BX120" s="475">
        <f>IF(BP120=" "," ",(2*ACOS(1-2*(BV120))))</f>
        <v>2.4201049729583497</v>
      </c>
      <c r="BY120" s="475">
        <f>(1/4)*(1-(SIN(BW120))/BW120)</f>
        <v>2.4103633764165577E-2</v>
      </c>
      <c r="BZ120" s="475">
        <f>IF(BP120=" "," ",((1/4)*(1-(SIN(BX120))/BX120)))</f>
        <v>0.18176924182130494</v>
      </c>
      <c r="CA120" s="471">
        <f>BY120*AZ120/1000</f>
        <v>8.4362718174579524E-3</v>
      </c>
      <c r="CB120" s="471">
        <f>IF(BP120=" "," ",(BZ120*AZ120/1000))</f>
        <v>6.3619234637456723E-2</v>
      </c>
      <c r="CC120" s="471">
        <f t="shared" si="222"/>
        <v>2.3053333811421162</v>
      </c>
      <c r="CD120" s="471" t="str">
        <f>IF(CC120="","",IF(CC120&lt;0.7,"F. Subcrítico",IF(AND(CC120&gt;0.7,CC120&lt;1),"F. Subcrítico Inestable",IF(CC120=1,"F. Crítico",IF(AND(CC120&gt;1,CC120&lt;1.5),"F. Supercrítico Inestable",IF(CC120&gt;1.5,"F. Supercrítico",""))))))</f>
        <v>F. Supercrítico</v>
      </c>
      <c r="CE120" s="471">
        <f>1000*BL120*CA120/100</f>
        <v>0.40609164021860045</v>
      </c>
      <c r="CF120" s="471">
        <f>IF(BP120=" "," ",(1000*BL120*CB120/100))</f>
        <v>3.062400062775783</v>
      </c>
      <c r="CG120" s="471" t="str">
        <f>IF(BS120&lt;0.45,"No cumple",IF(BS120&gt;5,"No cumple","O.K"))</f>
        <v>O.K</v>
      </c>
      <c r="CH120" s="471" t="str">
        <f>IF(BT120&lt;0.75,"No cumple",IF(BT120&gt;10,"No cumple","O.K"))</f>
        <v>O.K</v>
      </c>
      <c r="CI120" s="471" t="str">
        <f>IF(CE120&gt;0.1,"OK","V.C.H.")</f>
        <v>OK</v>
      </c>
      <c r="CJ120" s="471" t="str">
        <f>IF(CF120&gt;0.2,"OK","V.C.H.")</f>
        <v>OK</v>
      </c>
      <c r="CK120" s="468">
        <f>+BJ120</f>
        <v>974.49160000000006</v>
      </c>
      <c r="CL120" s="482" t="s">
        <v>2507</v>
      </c>
      <c r="CM120" s="482"/>
      <c r="CN120" s="63" t="str">
        <f>IF(B120=1,"dato"," ")</f>
        <v>dato</v>
      </c>
      <c r="CO120" s="498">
        <f>+CR120</f>
        <v>59.83</v>
      </c>
      <c r="CP120" s="472">
        <f>+BK120/100</f>
        <v>4.5629282968410803E-2</v>
      </c>
      <c r="CQ120" s="482" t="s">
        <v>2508</v>
      </c>
      <c r="CR120" s="204">
        <f>IF(BA120="","",AX120)</f>
        <v>59.83</v>
      </c>
      <c r="CS120" s="486">
        <v>1.2</v>
      </c>
      <c r="CT120" s="486">
        <v>1.2</v>
      </c>
      <c r="CU120" s="23">
        <f>IF($BA120="","",SQRT((BH120-BI120)^2+$CR120^2))</f>
        <v>59.899276289451109</v>
      </c>
      <c r="CV120" s="499" t="s">
        <v>2509</v>
      </c>
      <c r="CW120" s="488" t="str">
        <f>+IF(BD120&lt;=0.9,"E1",IF(BD120&lt;=2.5,"E2","E3"))</f>
        <v>E2</v>
      </c>
      <c r="CX120" s="204">
        <f>IF(AND(L120="",H120=""),"",IF(AND(BA120&lt;&gt;4,BA120&lt;&gt;5),VLOOKUP(AY120,'TABLA (2)'!$A$9:$D$43,4),IF(BA120=4,VLOOKUP(AY120,'TABLA (2)'!$A$74:$D$89,4),VLOOKUP(AY120,'TABLA (2)'!$A$51:$D$66,4))))</f>
        <v>0.06</v>
      </c>
      <c r="CY120" s="482"/>
      <c r="CZ120" s="482"/>
      <c r="DA120" s="482"/>
      <c r="DB120" s="490"/>
    </row>
    <row r="121" spans="1:106" ht="15" hidden="1" customHeight="1">
      <c r="A121" s="465"/>
      <c r="B121" s="491"/>
      <c r="C121" s="466"/>
      <c r="D121" s="466"/>
      <c r="E121" s="468"/>
      <c r="F121" s="468"/>
      <c r="G121" s="468"/>
      <c r="H121" s="468"/>
      <c r="I121" s="468"/>
      <c r="J121" s="468"/>
      <c r="K121" s="467"/>
      <c r="L121" s="468"/>
      <c r="M121" s="469"/>
      <c r="N121" s="470"/>
      <c r="O121" s="470"/>
      <c r="P121" s="470"/>
      <c r="Q121" s="469"/>
      <c r="R121" s="471"/>
      <c r="S121" s="471"/>
      <c r="T121" s="471"/>
      <c r="U121" s="471"/>
      <c r="V121" s="471"/>
      <c r="W121" s="471"/>
      <c r="X121" s="471"/>
      <c r="Y121" s="471"/>
      <c r="Z121" s="471"/>
      <c r="AA121" s="471" t="str">
        <f t="shared" si="219"/>
        <v/>
      </c>
      <c r="AB121" s="471"/>
      <c r="AC121" s="471"/>
      <c r="AD121" s="471"/>
      <c r="AE121" s="471"/>
      <c r="AF121" s="471"/>
      <c r="AG121" s="471"/>
      <c r="AH121" s="471"/>
      <c r="AI121" s="471"/>
      <c r="AJ121" s="471"/>
      <c r="AK121" s="472"/>
      <c r="AL121" s="471"/>
      <c r="AM121" s="473">
        <f t="shared" si="220"/>
        <v>474.44695720875893</v>
      </c>
      <c r="AN121" s="474">
        <f t="shared" si="221"/>
        <v>10</v>
      </c>
      <c r="AO121" s="474"/>
      <c r="AP121" s="474"/>
      <c r="AQ121" s="475">
        <v>3</v>
      </c>
      <c r="AR121" s="474"/>
      <c r="AS121" s="474"/>
      <c r="AT121" s="471"/>
      <c r="AU121" s="492"/>
      <c r="AV121" s="471"/>
      <c r="AW121" s="471"/>
      <c r="AX121" s="478"/>
      <c r="AY121" s="493"/>
      <c r="AZ121" s="480"/>
      <c r="BA121" s="493"/>
      <c r="BB121" s="478" t="str">
        <f>IF(OR(C121="",D121=""),"",VLOOKUP(C121,'Base de Diseño (2)'!$A$2:$D$330,4,FALSE))</f>
        <v/>
      </c>
      <c r="BC121" s="478" t="str">
        <f>IF(OR(C121="",D121=""),"",VLOOKUP(D121,'Base de Diseño (2)'!$A$2:$D$330,4,FALSE))</f>
        <v/>
      </c>
      <c r="BD121" s="23"/>
      <c r="BE121" s="23"/>
      <c r="BF121" s="494"/>
      <c r="BG121" s="494"/>
      <c r="BH121" s="495"/>
      <c r="BI121" s="495"/>
      <c r="BJ121" s="468"/>
      <c r="BK121" s="475"/>
      <c r="BL121" s="475"/>
      <c r="BM121" s="475"/>
      <c r="BN121" s="475"/>
      <c r="BO121" s="204"/>
      <c r="BP121" s="496"/>
      <c r="BQ121" s="497"/>
      <c r="BR121" s="497"/>
      <c r="BS121" s="475"/>
      <c r="BT121" s="475"/>
      <c r="BU121" s="475"/>
      <c r="BV121" s="475"/>
      <c r="BW121" s="475"/>
      <c r="BX121" s="475"/>
      <c r="BY121" s="475"/>
      <c r="BZ121" s="475"/>
      <c r="CA121" s="471"/>
      <c r="CB121" s="471"/>
      <c r="CC121" s="471" t="e">
        <f t="shared" si="222"/>
        <v>#DIV/0!</v>
      </c>
      <c r="CD121" s="471"/>
      <c r="CE121" s="471"/>
      <c r="CF121" s="471"/>
      <c r="CG121" s="471"/>
      <c r="CH121" s="471"/>
      <c r="CI121" s="471"/>
      <c r="CJ121" s="471"/>
      <c r="CK121" s="468"/>
      <c r="CL121" s="482" t="s">
        <v>2507</v>
      </c>
      <c r="CM121" s="482"/>
      <c r="CN121" s="63"/>
      <c r="CO121" s="498"/>
      <c r="CP121" s="472"/>
      <c r="CQ121" s="482"/>
      <c r="CR121" s="204"/>
      <c r="CS121" s="486"/>
      <c r="CT121" s="486"/>
      <c r="CU121" s="23"/>
      <c r="CV121" s="499"/>
      <c r="CW121" s="488"/>
      <c r="CX121" s="204"/>
      <c r="CY121" s="482"/>
      <c r="CZ121" s="482"/>
      <c r="DA121" s="482"/>
      <c r="DB121" s="490"/>
    </row>
    <row r="122" spans="1:106" ht="15" hidden="1" customHeight="1">
      <c r="A122" s="465">
        <v>71</v>
      </c>
      <c r="B122" s="491">
        <v>1</v>
      </c>
      <c r="C122" s="466" t="s">
        <v>2129</v>
      </c>
      <c r="D122" s="466" t="s">
        <v>2130</v>
      </c>
      <c r="E122" s="468">
        <v>3.4930068599999996E-2</v>
      </c>
      <c r="F122" s="468"/>
      <c r="G122" s="468">
        <f t="shared" ref="G122:G127" si="293">IF(B122=1,0,SUMIF($D$22:$D$583,C122,$H$22:$H$583))</f>
        <v>0</v>
      </c>
      <c r="H122" s="468">
        <f t="shared" ref="H122:H127" si="294">+E122+F122+G122</f>
        <v>3.4930068599999996E-2</v>
      </c>
      <c r="I122" s="468">
        <v>3.4930068599999996E-2</v>
      </c>
      <c r="J122" s="468"/>
      <c r="K122" s="467">
        <f t="shared" ref="K122:K127" si="295">+IF(B122=1,0,SUMIF($D$22:$D$583,C122,$L$22:$L$580))</f>
        <v>0</v>
      </c>
      <c r="L122" s="468">
        <f t="shared" ref="L122:L127" si="296">+I122+J122+K122</f>
        <v>3.4930068599999996E-2</v>
      </c>
      <c r="M122" s="469">
        <f t="shared" ref="M122:M127" si="297">+$P$12</f>
        <v>242.33666300502347</v>
      </c>
      <c r="N122" s="470">
        <f t="shared" ref="N122:N127" si="298">M122*E122</f>
        <v>8.4648362630605511</v>
      </c>
      <c r="O122" s="470">
        <f t="shared" ref="O122:O127" si="299">M122*F122</f>
        <v>0</v>
      </c>
      <c r="P122" s="470">
        <f t="shared" ref="P122:P127" si="300">M122*H122</f>
        <v>8.4648362630605511</v>
      </c>
      <c r="Q122" s="469">
        <f t="shared" ref="Q122:Q127" si="301">+$H$14</f>
        <v>140</v>
      </c>
      <c r="R122" s="471">
        <f t="shared" ref="R122:R127" si="302">Q122*P122*$P$14/86400</f>
        <v>1.1658744390094971E-2</v>
      </c>
      <c r="S122" s="471"/>
      <c r="T122" s="471"/>
      <c r="U122" s="471">
        <f t="shared" ref="U122:U127" si="303">IF(C122="","",T122*$P$17)</f>
        <v>0</v>
      </c>
      <c r="V122" s="471"/>
      <c r="W122" s="471"/>
      <c r="X122" s="471">
        <f t="shared" ref="X122:X127" si="304">IF(C122="","",W122*$P$16)</f>
        <v>0</v>
      </c>
      <c r="Y122" s="471">
        <f t="shared" ref="Y122:Y127" si="305">IF(H122=0,0,$H$15*H122)</f>
        <v>6.9860137199999998E-3</v>
      </c>
      <c r="Z122" s="471">
        <f t="shared" ref="Z122:Z127" si="306">IF(L122=0,$H$16*H122,0)</f>
        <v>0</v>
      </c>
      <c r="AA122" s="471">
        <f t="shared" si="219"/>
        <v>3.8</v>
      </c>
      <c r="AB122" s="471">
        <f t="shared" ref="AB122:AB127" si="307">R122*AA122</f>
        <v>4.4303228682360883E-2</v>
      </c>
      <c r="AC122" s="471">
        <f t="shared" ref="AC122:AC127" si="308">Q122*(N122+O122)*$P$14/86400</f>
        <v>1.1658744390094971E-2</v>
      </c>
      <c r="AD122" s="471">
        <f t="shared" ref="AD122:AE127" si="309">IF(E122=0,0,$H$15*(E122+F122))</f>
        <v>6.9860137199999998E-3</v>
      </c>
      <c r="AE122" s="471">
        <f t="shared" si="309"/>
        <v>0</v>
      </c>
      <c r="AF122" s="471">
        <f t="shared" ref="AF122:AF127" si="310">IF(N122="","",IF(1+((14/(4+(((N122+O122)+O122)/1000)^1/2)))&lt;1.4,1.4,IF(1+((14/(4+((N122+O122)/1000)^1/2)))&gt;=4,4,(1+((14/(4+((N122+O122)/1000)^1/2)))))))</f>
        <v>4</v>
      </c>
      <c r="AG122" s="471">
        <f t="shared" ref="AG122:AG127" si="311">AC122*AF122</f>
        <v>4.6634977560379882E-2</v>
      </c>
      <c r="AH122" s="471">
        <f t="shared" ref="AH122:AH127" si="312">+AD122+AE122+AG122</f>
        <v>5.3620991280379879E-2</v>
      </c>
      <c r="AI122" s="471">
        <f t="shared" ref="AI122:AI127" si="313">IF(H122="","",IF(AB122+Y122+Z122+X122+U122&lt;1.5,1.5,AB122+Y122+Z122+X122+U122))</f>
        <v>1.5</v>
      </c>
      <c r="AJ122" s="471">
        <f t="shared" ref="AJ122:AJ127" si="314">+$P$17</f>
        <v>0.75</v>
      </c>
      <c r="AK122" s="472">
        <f t="shared" ref="AK122:AK127" si="315">+BK122/100</f>
        <v>5.0971647021334247E-3</v>
      </c>
      <c r="AL122" s="471">
        <f t="shared" ref="AL122:AL127" si="316">IF(AJ122=0," ",0.14+0.65*AJ122+0.05*AK122)</f>
        <v>0.62775485823510668</v>
      </c>
      <c r="AM122" s="473">
        <f t="shared" si="220"/>
        <v>336.32613267542746</v>
      </c>
      <c r="AN122" s="474">
        <f t="shared" si="221"/>
        <v>7.9987954706328486</v>
      </c>
      <c r="AO122" s="474">
        <f t="shared" ref="AO122:AO127" si="317">((1/60)*$AX122/$AQ122)</f>
        <v>0.1743888888888889</v>
      </c>
      <c r="AP122" s="474">
        <f t="shared" ref="AP122:AP127" si="318">IF(B122=1,IF(($AN122+$AO122)&lt;10,10,IF(($AN122+$AO122)&gt;20,20,($AN122+$AO122))),($AN122+$AO122))</f>
        <v>10</v>
      </c>
      <c r="AQ122" s="475">
        <v>3</v>
      </c>
      <c r="AR122" s="474">
        <f t="shared" ref="AR122:AR127" si="319">((1/60)*$AX122/$BT122)</f>
        <v>0.57079158700695209</v>
      </c>
      <c r="AS122" s="474">
        <f t="shared" ref="AS122:AS127" si="320">AO122/AR122</f>
        <v>0.30552112690260252</v>
      </c>
      <c r="AT122" s="471" t="str">
        <f t="shared" ref="AT122:AT127" si="321">IF(AS122&lt;0.9,"Disminuir vel.",IF(AS122&gt;1.1,"Aumentar vel.","Cumple"))</f>
        <v>Disminuir vel.</v>
      </c>
      <c r="AU122" s="492">
        <f t="shared" ref="AU122:AU127" si="322">+I122*AL122*AM122</f>
        <v>7.3747980889261244</v>
      </c>
      <c r="AV122" s="471">
        <f t="shared" ref="AV122:AV127" si="323">+L122*AL122*AM122</f>
        <v>7.3747980889261244</v>
      </c>
      <c r="AW122" s="471">
        <f t="shared" ref="AW122:AW127" si="324">ROUND(IF(AI122&gt;(AV122*0.05),(AV122+AI122),AV122),2)</f>
        <v>8.8699999999999992</v>
      </c>
      <c r="AX122" s="478">
        <f>IF(OR(C122="",D122=""),"",ROUND(((VLOOKUP(C122,'Base de Diseño (2)'!$A$2:$C$333,2,FALSE)-VLOOKUP(D122,'Base de Diseño (2)'!$A$2:$C$333,2,FALSE))^2+(VLOOKUP(C122,'Base de Diseño (2)'!$A$2:$C$333,3,0)-VLOOKUP(D122,'Base de Diseño (2)'!$A$2:$C$333,3,FALSE))^2)^0.5,2))</f>
        <v>31.39</v>
      </c>
      <c r="AY122" s="493">
        <v>8</v>
      </c>
      <c r="AZ122" s="480">
        <f>IF(AND(L122="",H122=""),"",IF(BA122=4,VLOOKUP(AY122,'TABLA (2)'!$A$74:$C$89,2),IF(BA122=5,VLOOKUP(AY122,'TABLA (2)'!$A$51:$B$66,2),IF(BA122=6,VLOOKUP(AY122,'TABLA (2)'!$A$9:$B$43,2)))))</f>
        <v>200</v>
      </c>
      <c r="BA122" s="493">
        <v>6</v>
      </c>
      <c r="BB122" s="478">
        <f>IF(OR(C122="",D122=""),"",VLOOKUP(C122,'Base de Diseño (2)'!$A$2:$D$330,4,FALSE))</f>
        <v>984.9316</v>
      </c>
      <c r="BC122" s="478">
        <f>IF(OR(C122="",D122=""),"",VLOOKUP(D122,'Base de Diseño (2)'!$A$2:$D$330,4,FALSE))</f>
        <v>985.09159999999997</v>
      </c>
      <c r="BD122" s="23">
        <f t="shared" ref="BD122:BD127" si="325">+BF122-((AZ122/1000)+CX122)</f>
        <v>1.2430000000000181</v>
      </c>
      <c r="BE122" s="23">
        <f t="shared" ref="BE122:BE127" si="326">+BG122-((AZ122/1000)+CX122)</f>
        <v>1.9630000000000454</v>
      </c>
      <c r="BF122" s="494">
        <v>1.4800000000000182</v>
      </c>
      <c r="BG122" s="494">
        <v>2.2000000000000455</v>
      </c>
      <c r="BH122" s="495">
        <f t="shared" ref="BH122:BI127" si="327">BB122-BF122</f>
        <v>983.45159999999998</v>
      </c>
      <c r="BI122" s="495">
        <f t="shared" si="327"/>
        <v>982.89159999999993</v>
      </c>
      <c r="BJ122" s="468">
        <f t="shared" ref="BJ122:BJ127" si="328">IF(A122="",0,BI122-BH123)</f>
        <v>4.9999999999954525E-2</v>
      </c>
      <c r="BK122" s="475">
        <f t="shared" ref="BK122:BK127" si="329">ABS((BB122-BC122)/AX122)*100</f>
        <v>0.50971647021334243</v>
      </c>
      <c r="BL122" s="475">
        <f t="shared" ref="BL122:BL127" si="330">((BH122-BI122)/AX122)*100</f>
        <v>1.7840076457472414</v>
      </c>
      <c r="BM122" s="475">
        <f t="shared" ref="BM122:BM127" si="331">IF(BA122=6,(1/0.013)*((AZ122/4000)^(2/3))*((BL122/100)^(0.5)),(1/0.009)*((AZ122/4000)^(2/3))*((BL122/100)^(0.5)))</f>
        <v>1.3944459102708289</v>
      </c>
      <c r="BN122" s="475">
        <f t="shared" ref="BN122:BN127" si="332">1000*BM122*PI()*((AZ122/1000/2)^2)</f>
        <v>43.807810275351684</v>
      </c>
      <c r="BO122" s="204">
        <f t="shared" ref="BO122:BO127" si="333">AI122/BN122</f>
        <v>3.4240469691861543E-2</v>
      </c>
      <c r="BP122" s="496">
        <f t="shared" ref="BP122:BP127" si="334">IF(L122=0," ",AW122/BN122)</f>
        <v>0.20247531077787456</v>
      </c>
      <c r="BQ122" s="497">
        <f t="shared" ref="BQ122:BQ127" si="335">IF($BO122&gt;0 =AND($BO122&lt;=0.06),10^(0.029806+0.29095*LOG($BO122)),IF($BO122&gt;0.06 =AND($BO122&lt;=0.26),10^(0.013778+0.282597*LOG($BO122)),IF($BO122&gt;0.26 =AND($BO122&lt;=0.91),10^(0.021763+0.28995*LOG($BO122)),1)))</f>
        <v>0.40126412152469915</v>
      </c>
      <c r="BR122" s="497">
        <f t="shared" ref="BR122:BR127" si="336">IF($BP122&gt;0 =AND($BP122&lt;=0.06),10^(0.029806+0.29095*LOG($BP122)),IF($BP122&gt;0.06 =AND($BP122&lt;=0.26),10^(0.013778+0.282597*LOG($BP122)),IF($BP122&gt;0.26 =AND($BP122&lt;=2),10^(0.021763+0.28995*LOG($BP122))," ")))</f>
        <v>0.65729575737347379</v>
      </c>
      <c r="BS122" s="475">
        <f t="shared" ref="BS122:BS127" si="337">BM122*BQ122</f>
        <v>0.55954111319853361</v>
      </c>
      <c r="BT122" s="475">
        <f t="shared" ref="BT122:BT127" si="338">IF(BP122=" "," ",(BM122*BR122))</f>
        <v>0.91656338070780752</v>
      </c>
      <c r="BU122" s="475">
        <f t="shared" ref="BU122:BU127" si="339">IF(BO122&lt;=0.11,0.3827+0.0645*LN(BO122),IF(BO122&lt;=0.21,0.60025+0.15471*LN(BO122),IF(BO122&lt;1,0.225+0.6666666667*BO122,0)))</f>
        <v>0.16505461784425823</v>
      </c>
      <c r="BV122" s="475">
        <f t="shared" ref="BV122:BV127" si="340">IF(BP122&lt;=0.11,0.3827+0.0645*LN(BP122),IF(BP122&lt;=0.21,0.60025+0.15471*LN(BP122),IF(BP122&lt;1,0.225+0.6666666667*BP122," ")))</f>
        <v>0.35315688492061814</v>
      </c>
      <c r="BW122" s="475">
        <f t="shared" ref="BW122:BW127" si="341">2*ACOS(1-2*(BU122))</f>
        <v>1.67346935174431</v>
      </c>
      <c r="BX122" s="475">
        <f t="shared" ref="BX122:BX127" si="342">IF(BP122=" "," ",(2*ACOS(1-2*(BV122))))</f>
        <v>2.545430952301877</v>
      </c>
      <c r="BY122" s="475">
        <f t="shared" ref="BY122:BY127" si="343">(1/4)*(1-(SIN(BW122))/BW122)</f>
        <v>0.10139647871886806</v>
      </c>
      <c r="BZ122" s="475">
        <f t="shared" ref="BZ122:BZ127" si="344">IF(BP122=" "," ",((1/4)*(1-(SIN(BX122))/BX122)))</f>
        <v>0.19485507093257884</v>
      </c>
      <c r="CA122" s="471">
        <f t="shared" ref="CA122:CA127" si="345">BY122*AZ122/1000</f>
        <v>2.0279295743773611E-2</v>
      </c>
      <c r="CB122" s="471">
        <f t="shared" ref="CB122:CB127" si="346">IF(BP122=" "," ",(BZ122*AZ122/1000))</f>
        <v>3.8971014186515766E-2</v>
      </c>
      <c r="CC122" s="471">
        <f t="shared" si="222"/>
        <v>1.2846893942906963</v>
      </c>
      <c r="CD122" s="471" t="str">
        <f t="shared" ref="CD122:CD127" si="347">IF(CC122="","",IF(CC122&lt;0.7,"F. Subcrítico",IF(AND(CC122&gt;0.7,CC122&lt;1),"F. Subcrítico Inestable",IF(CC122=1,"F. Crítico",IF(AND(CC122&gt;1,CC122&lt;1.5),"F. Supercrítico Inestable",IF(CC122&gt;1.5,"F. Supercrítico",""))))))</f>
        <v>F. Supercrítico Inestable</v>
      </c>
      <c r="CE122" s="471">
        <f t="shared" ref="CE122:CE127" si="348">1000*BL122*CA122/100</f>
        <v>0.36178418657261618</v>
      </c>
      <c r="CF122" s="471">
        <f t="shared" ref="CF122:CF127" si="349">IF(BP122=" "," ",(1000*BL122*CB122/100))</f>
        <v>0.69524587271268345</v>
      </c>
      <c r="CG122" s="471" t="str">
        <f t="shared" ref="CG122:CG127" si="350">IF(BS122&lt;0.45,"No cumple",IF(BS122&gt;5,"No cumple","O.K"))</f>
        <v>O.K</v>
      </c>
      <c r="CH122" s="471" t="str">
        <f t="shared" ref="CH122:CH127" si="351">IF(BT122&lt;0.75,"No cumple",IF(BT122&gt;10,"No cumple","O.K"))</f>
        <v>O.K</v>
      </c>
      <c r="CI122" s="471" t="str">
        <f t="shared" ref="CI122:CI127" si="352">IF(CE122&gt;0.1,"OK","V.C.H.")</f>
        <v>OK</v>
      </c>
      <c r="CJ122" s="471" t="str">
        <f t="shared" ref="CJ122:CJ127" si="353">IF(CF122&gt;0.2,"OK","V.C.H.")</f>
        <v>OK</v>
      </c>
      <c r="CK122" s="468">
        <f t="shared" ref="CK122:CK127" si="354">+BJ122</f>
        <v>4.9999999999954525E-2</v>
      </c>
      <c r="CL122" s="482" t="s">
        <v>2507</v>
      </c>
      <c r="CM122" s="482"/>
      <c r="CN122" s="63" t="str">
        <f t="shared" ref="CN122:CN127" si="355">IF(B122=1,"dato"," ")</f>
        <v>dato</v>
      </c>
      <c r="CO122" s="498">
        <f t="shared" ref="CO122:CO127" si="356">+CR122</f>
        <v>31.39</v>
      </c>
      <c r="CP122" s="472">
        <f t="shared" ref="CP122:CP127" si="357">+BK122/100</f>
        <v>5.0971647021334247E-3</v>
      </c>
      <c r="CQ122" s="482" t="s">
        <v>2508</v>
      </c>
      <c r="CR122" s="204">
        <f t="shared" ref="CR122:CR127" si="358">IF(BA122="","",AX122)</f>
        <v>31.39</v>
      </c>
      <c r="CS122" s="486">
        <v>1.2</v>
      </c>
      <c r="CT122" s="486">
        <v>1.2</v>
      </c>
      <c r="CU122" s="23">
        <f t="shared" ref="CU122:CU127" si="359">IF($BA122="","",SQRT((BH122-BI122)^2+$CR122^2))</f>
        <v>31.394994824016138</v>
      </c>
      <c r="CV122" s="499" t="s">
        <v>2509</v>
      </c>
      <c r="CW122" s="488" t="str">
        <f t="shared" ref="CW122:CW127" si="360">+IF(BD122&lt;=0.9,"E1",IF(BD122&lt;=2.5,"E2","E3"))</f>
        <v>E2</v>
      </c>
      <c r="CX122" s="204">
        <f>IF(AND(L122="",H122=""),"",IF(AND(BA122&lt;&gt;4,BA122&lt;&gt;5),VLOOKUP(AY122,'TABLA (2)'!$A$9:$D$43,4),IF(BA122=4,VLOOKUP(AY122,'TABLA (2)'!$A$74:$D$89,4),VLOOKUP(AY122,'TABLA (2)'!$A$51:$D$66,4))))</f>
        <v>3.6999999999999998E-2</v>
      </c>
      <c r="CY122" s="482"/>
      <c r="CZ122" s="482"/>
      <c r="DA122" s="482"/>
      <c r="DB122" s="490"/>
    </row>
    <row r="123" spans="1:106" ht="15" hidden="1" customHeight="1">
      <c r="A123" s="465">
        <v>72</v>
      </c>
      <c r="B123" s="491"/>
      <c r="C123" s="466" t="s">
        <v>2130</v>
      </c>
      <c r="D123" s="466" t="s">
        <v>2131</v>
      </c>
      <c r="E123" s="468">
        <v>3.9290844700000001E-2</v>
      </c>
      <c r="F123" s="468"/>
      <c r="G123" s="468">
        <f t="shared" si="293"/>
        <v>3.4930068599999996E-2</v>
      </c>
      <c r="H123" s="468">
        <f t="shared" si="294"/>
        <v>7.4220913299999997E-2</v>
      </c>
      <c r="I123" s="468">
        <v>3.9290844700000001E-2</v>
      </c>
      <c r="J123" s="468"/>
      <c r="K123" s="467">
        <f t="shared" ca="1" si="295"/>
        <v>3.4930068599999996E-2</v>
      </c>
      <c r="L123" s="468">
        <f t="shared" ca="1" si="296"/>
        <v>7.4220913299999997E-2</v>
      </c>
      <c r="M123" s="469">
        <f t="shared" si="297"/>
        <v>242.33666300502347</v>
      </c>
      <c r="N123" s="470">
        <f t="shared" si="298"/>
        <v>9.5216121912466125</v>
      </c>
      <c r="O123" s="470">
        <f t="shared" si="299"/>
        <v>0</v>
      </c>
      <c r="P123" s="470">
        <f t="shared" si="300"/>
        <v>17.986448454307162</v>
      </c>
      <c r="Q123" s="469">
        <f t="shared" si="301"/>
        <v>140</v>
      </c>
      <c r="R123" s="471">
        <f t="shared" si="302"/>
        <v>2.4773001922020279E-2</v>
      </c>
      <c r="S123" s="471"/>
      <c r="T123" s="471"/>
      <c r="U123" s="471">
        <f t="shared" si="303"/>
        <v>0</v>
      </c>
      <c r="V123" s="471"/>
      <c r="W123" s="471"/>
      <c r="X123" s="471">
        <f t="shared" si="304"/>
        <v>0</v>
      </c>
      <c r="Y123" s="471">
        <f t="shared" si="305"/>
        <v>1.484418266E-2</v>
      </c>
      <c r="Z123" s="471">
        <f t="shared" ca="1" si="306"/>
        <v>0</v>
      </c>
      <c r="AA123" s="471">
        <f t="shared" si="219"/>
        <v>3.8</v>
      </c>
      <c r="AB123" s="471">
        <f t="shared" si="307"/>
        <v>9.4137407303677062E-2</v>
      </c>
      <c r="AC123" s="471">
        <f t="shared" si="308"/>
        <v>1.3114257531925312E-2</v>
      </c>
      <c r="AD123" s="471">
        <f t="shared" si="309"/>
        <v>7.8581689400000002E-3</v>
      </c>
      <c r="AE123" s="471">
        <f t="shared" si="309"/>
        <v>0</v>
      </c>
      <c r="AF123" s="471">
        <f t="shared" si="310"/>
        <v>4</v>
      </c>
      <c r="AG123" s="471">
        <f t="shared" si="311"/>
        <v>5.2457030127701247E-2</v>
      </c>
      <c r="AH123" s="471">
        <f t="shared" si="312"/>
        <v>6.0315199067701247E-2</v>
      </c>
      <c r="AI123" s="471">
        <f t="shared" ca="1" si="313"/>
        <v>1.5</v>
      </c>
      <c r="AJ123" s="471">
        <f t="shared" si="314"/>
        <v>0.75</v>
      </c>
      <c r="AK123" s="472">
        <f t="shared" si="315"/>
        <v>4.1863851474334822E-2</v>
      </c>
      <c r="AL123" s="471">
        <f t="shared" si="316"/>
        <v>0.62959319257371682</v>
      </c>
      <c r="AM123" s="473">
        <f t="shared" si="220"/>
        <v>334.8177973823897</v>
      </c>
      <c r="AN123" s="474">
        <f t="shared" si="221"/>
        <v>10</v>
      </c>
      <c r="AO123" s="474">
        <f t="shared" si="317"/>
        <v>0.15261111111111111</v>
      </c>
      <c r="AP123" s="474">
        <f t="shared" si="318"/>
        <v>10.152611111111112</v>
      </c>
      <c r="AQ123" s="475">
        <v>3</v>
      </c>
      <c r="AR123" s="474">
        <f t="shared" ca="1" si="319"/>
        <v>0.34440870061818318</v>
      </c>
      <c r="AS123" s="474">
        <f t="shared" ca="1" si="320"/>
        <v>0.44311049876843311</v>
      </c>
      <c r="AT123" s="471" t="str">
        <f t="shared" ca="1" si="321"/>
        <v>Disminuir vel.</v>
      </c>
      <c r="AU123" s="492">
        <f t="shared" si="322"/>
        <v>8.2824710070505176</v>
      </c>
      <c r="AV123" s="471">
        <f t="shared" ca="1" si="323"/>
        <v>15.645694746900165</v>
      </c>
      <c r="AW123" s="471">
        <f t="shared" ca="1" si="324"/>
        <v>17.149999999999999</v>
      </c>
      <c r="AX123" s="478">
        <f>IF(OR(C123="",D123=""),"",ROUND(((VLOOKUP(C123,'Base de Diseño (2)'!$A$2:$C$333,2,FALSE)-VLOOKUP(D123,'Base de Diseño (2)'!$A$2:$C$333,2,FALSE))^2+(VLOOKUP(C123,'Base de Diseño (2)'!$A$2:$C$333,3,0)-VLOOKUP(D123,'Base de Diseño (2)'!$A$2:$C$333,3,FALSE))^2)^0.5,2))</f>
        <v>27.47</v>
      </c>
      <c r="AY123" s="493">
        <v>8</v>
      </c>
      <c r="AZ123" s="480">
        <f ca="1">IF(AND(L123="",H123=""),"",IF(BA123=4,VLOOKUP(AY123,'TABLA (2)'!$A$74:$C$89,2),IF(BA123=5,VLOOKUP(AY123,'TABLA (2)'!$A$51:$B$66,2),IF(BA123=6,VLOOKUP(AY123,'TABLA (2)'!$A$9:$B$43,2)))))</f>
        <v>200</v>
      </c>
      <c r="BA123" s="493">
        <v>6</v>
      </c>
      <c r="BB123" s="478">
        <f>IF(OR(C123="",D123=""),"",VLOOKUP(C123,'Base de Diseño (2)'!$A$2:$D$330,4,FALSE))</f>
        <v>985.09159999999997</v>
      </c>
      <c r="BC123" s="478">
        <f>IF(OR(C123="",D123=""),"",VLOOKUP(D123,'Base de Diseño (2)'!$A$2:$D$330,4,FALSE))</f>
        <v>983.94159999999999</v>
      </c>
      <c r="BD123" s="23">
        <f t="shared" ca="1" si="325"/>
        <v>2.0129999999999999</v>
      </c>
      <c r="BE123" s="23">
        <f t="shared" ca="1" si="326"/>
        <v>1.6629999999999772</v>
      </c>
      <c r="BF123" s="494">
        <v>2.25</v>
      </c>
      <c r="BG123" s="494">
        <v>1.8999999999999773</v>
      </c>
      <c r="BH123" s="495">
        <f t="shared" si="327"/>
        <v>982.84159999999997</v>
      </c>
      <c r="BI123" s="495">
        <f t="shared" si="327"/>
        <v>982.04160000000002</v>
      </c>
      <c r="BJ123" s="468">
        <f t="shared" si="328"/>
        <v>0.10000000000002274</v>
      </c>
      <c r="BK123" s="475">
        <f t="shared" si="329"/>
        <v>4.1863851474334819</v>
      </c>
      <c r="BL123" s="475">
        <f t="shared" si="330"/>
        <v>2.9122679286492703</v>
      </c>
      <c r="BM123" s="475">
        <f t="shared" ca="1" si="331"/>
        <v>1.7816360061664309</v>
      </c>
      <c r="BN123" s="475">
        <f t="shared" ca="1" si="332"/>
        <v>55.971745883435197</v>
      </c>
      <c r="BO123" s="204">
        <f t="shared" ca="1" si="333"/>
        <v>2.6799235512929107E-2</v>
      </c>
      <c r="BP123" s="496">
        <f t="shared" ca="1" si="334"/>
        <v>0.30640459269782272</v>
      </c>
      <c r="BQ123" s="497">
        <f t="shared" ca="1" si="335"/>
        <v>0.37365277659910495</v>
      </c>
      <c r="BR123" s="497">
        <f t="shared" ca="1" si="336"/>
        <v>0.74612967615401926</v>
      </c>
      <c r="BS123" s="475">
        <f t="shared" ca="1" si="337"/>
        <v>0.66571324059302694</v>
      </c>
      <c r="BT123" s="475">
        <f t="shared" ca="1" si="338"/>
        <v>1.3293314963052993</v>
      </c>
      <c r="BU123" s="475">
        <f t="shared" ca="1" si="339"/>
        <v>0.14924986632065892</v>
      </c>
      <c r="BV123" s="475">
        <f t="shared" ca="1" si="340"/>
        <v>0.42926972847542866</v>
      </c>
      <c r="BW123" s="475">
        <f t="shared" ca="1" si="341"/>
        <v>1.5865917333902493</v>
      </c>
      <c r="BX123" s="475">
        <f t="shared" ca="1" si="342"/>
        <v>2.8577193748422216</v>
      </c>
      <c r="BY123" s="475">
        <f t="shared" ca="1" si="343"/>
        <v>9.2449189335190557E-2</v>
      </c>
      <c r="BZ123" s="475">
        <f t="shared" ca="1" si="344"/>
        <v>0.22549829381903849</v>
      </c>
      <c r="CA123" s="471">
        <f t="shared" ca="1" si="345"/>
        <v>1.8489837867038113E-2</v>
      </c>
      <c r="CB123" s="471">
        <f t="shared" ca="1" si="346"/>
        <v>4.5099658763807698E-2</v>
      </c>
      <c r="CC123" s="471">
        <f t="shared" ca="1" si="222"/>
        <v>1.6634994518839266</v>
      </c>
      <c r="CD123" s="471" t="str">
        <f t="shared" ca="1" si="347"/>
        <v>F. Supercrítico</v>
      </c>
      <c r="CE123" s="471">
        <f t="shared" ca="1" si="348"/>
        <v>0.53847361826099926</v>
      </c>
      <c r="CF123" s="471">
        <f t="shared" ca="1" si="349"/>
        <v>1.3134228981086316</v>
      </c>
      <c r="CG123" s="471" t="str">
        <f t="shared" ca="1" si="350"/>
        <v>O.K</v>
      </c>
      <c r="CH123" s="471" t="str">
        <f t="shared" ca="1" si="351"/>
        <v>O.K</v>
      </c>
      <c r="CI123" s="471" t="str">
        <f t="shared" ca="1" si="352"/>
        <v>OK</v>
      </c>
      <c r="CJ123" s="471" t="str">
        <f t="shared" ca="1" si="353"/>
        <v>OK</v>
      </c>
      <c r="CK123" s="468">
        <f t="shared" si="354"/>
        <v>0.10000000000002274</v>
      </c>
      <c r="CL123" s="482" t="s">
        <v>2507</v>
      </c>
      <c r="CM123" s="482"/>
      <c r="CN123" s="63" t="str">
        <f t="shared" si="355"/>
        <v xml:space="preserve"> </v>
      </c>
      <c r="CO123" s="498">
        <f t="shared" si="356"/>
        <v>27.47</v>
      </c>
      <c r="CP123" s="472">
        <f t="shared" si="357"/>
        <v>4.1863851474334822E-2</v>
      </c>
      <c r="CQ123" s="482" t="s">
        <v>2508</v>
      </c>
      <c r="CR123" s="204">
        <f t="shared" si="358"/>
        <v>27.47</v>
      </c>
      <c r="CS123" s="486">
        <v>1.2</v>
      </c>
      <c r="CT123" s="486">
        <v>1.2</v>
      </c>
      <c r="CU123" s="23">
        <f t="shared" si="359"/>
        <v>27.481646602778369</v>
      </c>
      <c r="CV123" s="499" t="s">
        <v>2509</v>
      </c>
      <c r="CW123" s="488" t="str">
        <f t="shared" ca="1" si="360"/>
        <v>E2</v>
      </c>
      <c r="CX123" s="204">
        <f ca="1">IF(AND(L123="",H123=""),"",IF(AND(BA123&lt;&gt;4,BA123&lt;&gt;5),VLOOKUP(AY123,'TABLA (2)'!$A$9:$D$43,4),IF(BA123=4,VLOOKUP(AY123,'TABLA (2)'!$A$74:$D$89,4),VLOOKUP(AY123,'TABLA (2)'!$A$51:$D$66,4))))</f>
        <v>3.6999999999999998E-2</v>
      </c>
      <c r="CY123" s="482"/>
      <c r="CZ123" s="482"/>
      <c r="DA123" s="482"/>
      <c r="DB123" s="490"/>
    </row>
    <row r="124" spans="1:106" ht="15" hidden="1" customHeight="1">
      <c r="A124" s="465">
        <v>73</v>
      </c>
      <c r="B124" s="491"/>
      <c r="C124" s="466" t="s">
        <v>2131</v>
      </c>
      <c r="D124" s="466" t="s">
        <v>2350</v>
      </c>
      <c r="E124" s="468">
        <v>5.1686446999999996E-2</v>
      </c>
      <c r="F124" s="468"/>
      <c r="G124" s="468">
        <f t="shared" si="293"/>
        <v>7.4220913299999997E-2</v>
      </c>
      <c r="H124" s="468">
        <f t="shared" si="294"/>
        <v>0.12590736029999999</v>
      </c>
      <c r="I124" s="468">
        <v>5.1686446999999996E-2</v>
      </c>
      <c r="J124" s="468"/>
      <c r="K124" s="467">
        <f t="shared" ca="1" si="295"/>
        <v>7.4220913299999997E-2</v>
      </c>
      <c r="L124" s="468">
        <f t="shared" ca="1" si="296"/>
        <v>0.12590736029999999</v>
      </c>
      <c r="M124" s="469">
        <f t="shared" si="297"/>
        <v>242.33666300502347</v>
      </c>
      <c r="N124" s="470">
        <f t="shared" si="298"/>
        <v>12.525521088566006</v>
      </c>
      <c r="O124" s="470">
        <f t="shared" si="299"/>
        <v>0</v>
      </c>
      <c r="P124" s="470">
        <f t="shared" si="300"/>
        <v>30.511969542873167</v>
      </c>
      <c r="Q124" s="469">
        <f t="shared" si="301"/>
        <v>140</v>
      </c>
      <c r="R124" s="471">
        <f t="shared" si="302"/>
        <v>4.2024587680577631E-2</v>
      </c>
      <c r="S124" s="471"/>
      <c r="T124" s="471"/>
      <c r="U124" s="471">
        <f t="shared" si="303"/>
        <v>0</v>
      </c>
      <c r="V124" s="471"/>
      <c r="W124" s="471"/>
      <c r="X124" s="471">
        <f t="shared" si="304"/>
        <v>0</v>
      </c>
      <c r="Y124" s="471">
        <f t="shared" si="305"/>
        <v>2.5181472060000001E-2</v>
      </c>
      <c r="Z124" s="471">
        <f t="shared" ca="1" si="306"/>
        <v>0</v>
      </c>
      <c r="AA124" s="471">
        <f t="shared" si="219"/>
        <v>3.8</v>
      </c>
      <c r="AB124" s="471">
        <f t="shared" si="307"/>
        <v>0.159693433186195</v>
      </c>
      <c r="AC124" s="471">
        <f t="shared" si="308"/>
        <v>1.7251585758557349E-2</v>
      </c>
      <c r="AD124" s="471">
        <f t="shared" si="309"/>
        <v>1.03372894E-2</v>
      </c>
      <c r="AE124" s="471">
        <f t="shared" si="309"/>
        <v>0</v>
      </c>
      <c r="AF124" s="471">
        <f t="shared" si="310"/>
        <v>4</v>
      </c>
      <c r="AG124" s="471">
        <f t="shared" si="311"/>
        <v>6.9006343034229395E-2</v>
      </c>
      <c r="AH124" s="471">
        <f t="shared" si="312"/>
        <v>7.93436324342294E-2</v>
      </c>
      <c r="AI124" s="471">
        <f t="shared" ca="1" si="313"/>
        <v>1.5</v>
      </c>
      <c r="AJ124" s="471">
        <f t="shared" si="314"/>
        <v>0.75</v>
      </c>
      <c r="AK124" s="472">
        <f t="shared" si="315"/>
        <v>4.5036612543774286E-2</v>
      </c>
      <c r="AL124" s="471">
        <f t="shared" si="316"/>
        <v>0.62975183062718876</v>
      </c>
      <c r="AM124" s="473">
        <f t="shared" si="220"/>
        <v>333.10892870319583</v>
      </c>
      <c r="AN124" s="474">
        <f t="shared" si="221"/>
        <v>10.152611111111112</v>
      </c>
      <c r="AO124" s="474">
        <f t="shared" si="317"/>
        <v>0.17449999999999999</v>
      </c>
      <c r="AP124" s="474">
        <f t="shared" si="318"/>
        <v>10.327111111111112</v>
      </c>
      <c r="AQ124" s="475">
        <v>3</v>
      </c>
      <c r="AR124" s="474">
        <f t="shared" ca="1" si="319"/>
        <v>0.38301518920631156</v>
      </c>
      <c r="AS124" s="474">
        <f t="shared" ca="1" si="320"/>
        <v>0.455595508788048</v>
      </c>
      <c r="AT124" s="471" t="str">
        <f t="shared" ca="1" si="321"/>
        <v>Disminuir vel.</v>
      </c>
      <c r="AU124" s="492">
        <f t="shared" si="322"/>
        <v>10.842573916904414</v>
      </c>
      <c r="AV124" s="471">
        <f t="shared" ca="1" si="323"/>
        <v>26.412337082002683</v>
      </c>
      <c r="AW124" s="471">
        <f t="shared" ca="1" si="324"/>
        <v>27.91</v>
      </c>
      <c r="AX124" s="478">
        <f>IF(OR(C124="",D124=""),"",ROUND(((VLOOKUP(C124,'Base de Diseño (2)'!$A$2:$C$333,2,FALSE)-VLOOKUP(D124,'Base de Diseño (2)'!$A$2:$C$333,2,FALSE))^2+(VLOOKUP(C124,'Base de Diseño (2)'!$A$2:$C$333,3,0)-VLOOKUP(D124,'Base de Diseño (2)'!$A$2:$C$333,3,FALSE))^2)^0.5,2))</f>
        <v>31.41</v>
      </c>
      <c r="AY124" s="493">
        <v>8</v>
      </c>
      <c r="AZ124" s="480">
        <f ca="1">IF(AND(L124="",H124=""),"",IF(BA124=4,VLOOKUP(AY124,'TABLA (2)'!$A$74:$C$89,2),IF(BA124=5,VLOOKUP(AY124,'TABLA (2)'!$A$51:$B$66,2),IF(BA124=6,VLOOKUP(AY124,'TABLA (2)'!$A$9:$B$43,2)))))</f>
        <v>200</v>
      </c>
      <c r="BA124" s="493">
        <v>6</v>
      </c>
      <c r="BB124" s="478">
        <f>IF(OR(C124="",D124=""),"",VLOOKUP(C124,'Base de Diseño (2)'!$A$2:$D$330,4,FALSE))</f>
        <v>983.94159999999999</v>
      </c>
      <c r="BC124" s="478">
        <f>IF(OR(C124="",D124=""),"",VLOOKUP(D124,'Base de Diseño (2)'!$A$2:$D$330,4,FALSE))</f>
        <v>982.52700000000004</v>
      </c>
      <c r="BD124" s="23">
        <f t="shared" ca="1" si="325"/>
        <v>1.7629999999999999</v>
      </c>
      <c r="BE124" s="23">
        <f t="shared" ca="1" si="326"/>
        <v>1.0129999999999999</v>
      </c>
      <c r="BF124" s="494">
        <v>2</v>
      </c>
      <c r="BG124" s="494">
        <v>1.25</v>
      </c>
      <c r="BH124" s="495">
        <f t="shared" si="327"/>
        <v>981.94159999999999</v>
      </c>
      <c r="BI124" s="495">
        <f t="shared" si="327"/>
        <v>981.27700000000004</v>
      </c>
      <c r="BJ124" s="468">
        <f t="shared" si="328"/>
        <v>2.9999999999972715E-2</v>
      </c>
      <c r="BK124" s="475">
        <f t="shared" si="329"/>
        <v>4.5036612543774286</v>
      </c>
      <c r="BL124" s="475">
        <f t="shared" si="330"/>
        <v>2.1158866602991098</v>
      </c>
      <c r="BM124" s="475">
        <f t="shared" ca="1" si="331"/>
        <v>1.5186214069157855</v>
      </c>
      <c r="BN124" s="475">
        <f t="shared" ca="1" si="332"/>
        <v>47.708898555508284</v>
      </c>
      <c r="BO124" s="204">
        <f t="shared" ca="1" si="333"/>
        <v>3.1440675543049523E-2</v>
      </c>
      <c r="BP124" s="496">
        <f t="shared" ca="1" si="334"/>
        <v>0.58500616960434149</v>
      </c>
      <c r="BQ124" s="497">
        <f t="shared" ca="1" si="335"/>
        <v>0.39142743257993917</v>
      </c>
      <c r="BR124" s="497">
        <f t="shared" ca="1" si="336"/>
        <v>0.90001795058321521</v>
      </c>
      <c r="BS124" s="475">
        <f t="shared" ca="1" si="337"/>
        <v>0.59443007836998096</v>
      </c>
      <c r="BT124" s="475">
        <f t="shared" ca="1" si="338"/>
        <v>1.3667865263641441</v>
      </c>
      <c r="BU124" s="475">
        <f t="shared" ca="1" si="339"/>
        <v>0.15955239279306299</v>
      </c>
      <c r="BV124" s="475">
        <f t="shared" ca="1" si="340"/>
        <v>0.61500411308906122</v>
      </c>
      <c r="BW124" s="475">
        <f t="shared" ca="1" si="341"/>
        <v>1.6436241020564917</v>
      </c>
      <c r="BX124" s="475">
        <f t="shared" ca="1" si="342"/>
        <v>3.6057649249164361</v>
      </c>
      <c r="BY124" s="475">
        <f t="shared" ca="1" si="343"/>
        <v>9.8300285288278277E-2</v>
      </c>
      <c r="BZ124" s="475">
        <f t="shared" ca="1" si="344"/>
        <v>0.28103937829410491</v>
      </c>
      <c r="CA124" s="471">
        <f t="shared" ca="1" si="345"/>
        <v>1.9660057057655656E-2</v>
      </c>
      <c r="CB124" s="471">
        <f t="shared" ca="1" si="346"/>
        <v>5.6207875658820981E-2</v>
      </c>
      <c r="CC124" s="471">
        <f t="shared" ca="1" si="222"/>
        <v>1.3523291752768523</v>
      </c>
      <c r="CD124" s="471" t="str">
        <f t="shared" ca="1" si="347"/>
        <v>F. Supercrítico Inestable</v>
      </c>
      <c r="CE124" s="471">
        <f t="shared" ca="1" si="348"/>
        <v>0.4159845246901297</v>
      </c>
      <c r="CF124" s="471">
        <f t="shared" ca="1" si="349"/>
        <v>1.1892949431025035</v>
      </c>
      <c r="CG124" s="471" t="str">
        <f t="shared" ca="1" si="350"/>
        <v>O.K</v>
      </c>
      <c r="CH124" s="471" t="str">
        <f t="shared" ca="1" si="351"/>
        <v>O.K</v>
      </c>
      <c r="CI124" s="471" t="str">
        <f t="shared" ca="1" si="352"/>
        <v>OK</v>
      </c>
      <c r="CJ124" s="471" t="str">
        <f t="shared" ca="1" si="353"/>
        <v>OK</v>
      </c>
      <c r="CK124" s="468">
        <f t="shared" si="354"/>
        <v>2.9999999999972715E-2</v>
      </c>
      <c r="CL124" s="482" t="s">
        <v>2507</v>
      </c>
      <c r="CM124" s="482"/>
      <c r="CN124" s="63" t="str">
        <f t="shared" si="355"/>
        <v xml:space="preserve"> </v>
      </c>
      <c r="CO124" s="498">
        <f t="shared" si="356"/>
        <v>31.41</v>
      </c>
      <c r="CP124" s="472">
        <f t="shared" si="357"/>
        <v>4.5036612543774286E-2</v>
      </c>
      <c r="CQ124" s="482" t="s">
        <v>2508</v>
      </c>
      <c r="CR124" s="204">
        <f t="shared" si="358"/>
        <v>31.41</v>
      </c>
      <c r="CS124" s="486">
        <v>1.2</v>
      </c>
      <c r="CT124" s="486">
        <v>1.2</v>
      </c>
      <c r="CU124" s="23">
        <f t="shared" si="359"/>
        <v>31.417030304597535</v>
      </c>
      <c r="CV124" s="499" t="s">
        <v>2509</v>
      </c>
      <c r="CW124" s="488" t="str">
        <f t="shared" ca="1" si="360"/>
        <v>E2</v>
      </c>
      <c r="CX124" s="204">
        <f ca="1">IF(AND(L124="",H124=""),"",IF(AND(BA124&lt;&gt;4,BA124&lt;&gt;5),VLOOKUP(AY124,'TABLA (2)'!$A$9:$D$43,4),IF(BA124=4,VLOOKUP(AY124,'TABLA (2)'!$A$74:$D$89,4),VLOOKUP(AY124,'TABLA (2)'!$A$51:$D$66,4))))</f>
        <v>3.6999999999999998E-2</v>
      </c>
      <c r="CY124" s="482"/>
      <c r="CZ124" s="482"/>
      <c r="DA124" s="482"/>
      <c r="DB124" s="490"/>
    </row>
    <row r="125" spans="1:106" ht="15" hidden="1" customHeight="1">
      <c r="A125" s="465">
        <v>74</v>
      </c>
      <c r="B125" s="491"/>
      <c r="C125" s="466" t="s">
        <v>2350</v>
      </c>
      <c r="D125" s="466" t="s">
        <v>2132</v>
      </c>
      <c r="E125" s="468">
        <v>9.6199999999999994E-2</v>
      </c>
      <c r="F125" s="468"/>
      <c r="G125" s="468">
        <f t="shared" si="293"/>
        <v>0.12590736029999999</v>
      </c>
      <c r="H125" s="468">
        <f t="shared" si="294"/>
        <v>0.2221073603</v>
      </c>
      <c r="I125" s="468"/>
      <c r="J125" s="468"/>
      <c r="K125" s="467">
        <f t="shared" ca="1" si="295"/>
        <v>0.12590736029999999</v>
      </c>
      <c r="L125" s="468">
        <f t="shared" ca="1" si="296"/>
        <v>0.12590736029999999</v>
      </c>
      <c r="M125" s="469">
        <f t="shared" si="297"/>
        <v>242.33666300502347</v>
      </c>
      <c r="N125" s="470">
        <f t="shared" si="298"/>
        <v>23.312786981083256</v>
      </c>
      <c r="O125" s="470">
        <f t="shared" si="299"/>
        <v>0</v>
      </c>
      <c r="P125" s="470">
        <f t="shared" si="300"/>
        <v>53.824756523956431</v>
      </c>
      <c r="Q125" s="469">
        <f t="shared" si="301"/>
        <v>140</v>
      </c>
      <c r="R125" s="471">
        <f t="shared" si="302"/>
        <v>7.4133634564245543E-2</v>
      </c>
      <c r="S125" s="471"/>
      <c r="T125" s="471"/>
      <c r="U125" s="471">
        <f t="shared" si="303"/>
        <v>0</v>
      </c>
      <c r="V125" s="471"/>
      <c r="W125" s="471"/>
      <c r="X125" s="471">
        <f t="shared" si="304"/>
        <v>0</v>
      </c>
      <c r="Y125" s="471">
        <f t="shared" si="305"/>
        <v>4.4421472060000002E-2</v>
      </c>
      <c r="Z125" s="471">
        <f t="shared" ca="1" si="306"/>
        <v>0</v>
      </c>
      <c r="AA125" s="471">
        <f t="shared" si="219"/>
        <v>3.8</v>
      </c>
      <c r="AB125" s="471">
        <f t="shared" si="307"/>
        <v>0.28170781134413303</v>
      </c>
      <c r="AC125" s="471">
        <f t="shared" si="308"/>
        <v>3.2109046883667912E-2</v>
      </c>
      <c r="AD125" s="471">
        <f t="shared" si="309"/>
        <v>1.924E-2</v>
      </c>
      <c r="AE125" s="471">
        <f t="shared" si="309"/>
        <v>0</v>
      </c>
      <c r="AF125" s="471">
        <f t="shared" si="310"/>
        <v>4</v>
      </c>
      <c r="AG125" s="471">
        <f t="shared" si="311"/>
        <v>0.12843618753467165</v>
      </c>
      <c r="AH125" s="471">
        <f t="shared" si="312"/>
        <v>0.14767618753467165</v>
      </c>
      <c r="AI125" s="471">
        <f t="shared" ca="1" si="313"/>
        <v>1.5</v>
      </c>
      <c r="AJ125" s="471">
        <f t="shared" si="314"/>
        <v>0.75</v>
      </c>
      <c r="AK125" s="472">
        <f t="shared" si="315"/>
        <v>4.4101717305153547E-2</v>
      </c>
      <c r="AL125" s="471">
        <f t="shared" si="316"/>
        <v>0.62970508586525775</v>
      </c>
      <c r="AM125" s="473">
        <f t="shared" si="220"/>
        <v>331.47728511443682</v>
      </c>
      <c r="AN125" s="474">
        <f t="shared" si="221"/>
        <v>10.327111111111112</v>
      </c>
      <c r="AO125" s="474">
        <f t="shared" si="317"/>
        <v>0.16822222222222225</v>
      </c>
      <c r="AP125" s="474">
        <f t="shared" si="318"/>
        <v>10.495333333333335</v>
      </c>
      <c r="AQ125" s="475">
        <v>3</v>
      </c>
      <c r="AR125" s="474">
        <f t="shared" ca="1" si="319"/>
        <v>0.26395574273300987</v>
      </c>
      <c r="AS125" s="474">
        <f t="shared" ca="1" si="320"/>
        <v>0.63731222696820933</v>
      </c>
      <c r="AT125" s="471" t="str">
        <f t="shared" ca="1" si="321"/>
        <v>Disminuir vel.</v>
      </c>
      <c r="AU125" s="492">
        <f t="shared" si="322"/>
        <v>0</v>
      </c>
      <c r="AV125" s="471">
        <f t="shared" ca="1" si="323"/>
        <v>26.28101251172945</v>
      </c>
      <c r="AW125" s="471">
        <f t="shared" ca="1" si="324"/>
        <v>27.78</v>
      </c>
      <c r="AX125" s="478">
        <f>IF(OR(C125="",D125=""),"",ROUND(((VLOOKUP(C125,'Base de Diseño (2)'!$A$2:$C$333,2,FALSE)-VLOOKUP(D125,'Base de Diseño (2)'!$A$2:$C$333,2,FALSE))^2+(VLOOKUP(C125,'Base de Diseño (2)'!$A$2:$C$333,3,0)-VLOOKUP(D125,'Base de Diseño (2)'!$A$2:$C$333,3,FALSE))^2)^0.5,2))</f>
        <v>30.28</v>
      </c>
      <c r="AY125" s="493">
        <v>8</v>
      </c>
      <c r="AZ125" s="480">
        <f ca="1">IF(AND(L125="",H125=""),"",IF(BA125=4,VLOOKUP(AY125,'TABLA (2)'!$A$74:$C$89,2),IF(BA125=5,VLOOKUP(AY125,'TABLA (2)'!$A$51:$B$66,2),IF(BA125=6,VLOOKUP(AY125,'TABLA (2)'!$A$9:$B$43,2)))))</f>
        <v>200</v>
      </c>
      <c r="BA125" s="493">
        <v>6</v>
      </c>
      <c r="BB125" s="478">
        <f>IF(OR(C125="",D125=""),"",VLOOKUP(C125,'Base de Diseño (2)'!$A$2:$D$330,4,FALSE))</f>
        <v>982.52700000000004</v>
      </c>
      <c r="BC125" s="478">
        <f>IF(OR(C125="",D125=""),"",VLOOKUP(D125,'Base de Diseño (2)'!$A$2:$D$330,4,FALSE))</f>
        <v>981.19159999999999</v>
      </c>
      <c r="BD125" s="23">
        <f t="shared" ca="1" si="325"/>
        <v>1.0429999999999726</v>
      </c>
      <c r="BE125" s="23">
        <f t="shared" ca="1" si="326"/>
        <v>1.3630000000000226</v>
      </c>
      <c r="BF125" s="494">
        <v>1.2799999999999727</v>
      </c>
      <c r="BG125" s="494">
        <v>1.6000000000000227</v>
      </c>
      <c r="BH125" s="495">
        <f t="shared" si="327"/>
        <v>981.24700000000007</v>
      </c>
      <c r="BI125" s="495">
        <f t="shared" si="327"/>
        <v>979.59159999999997</v>
      </c>
      <c r="BJ125" s="468">
        <f t="shared" si="328"/>
        <v>2.9999999999972715E-2</v>
      </c>
      <c r="BK125" s="475">
        <f t="shared" si="329"/>
        <v>4.4101717305153549</v>
      </c>
      <c r="BL125" s="475">
        <f t="shared" si="330"/>
        <v>5.4669749009250319</v>
      </c>
      <c r="BM125" s="475">
        <f t="shared" ca="1" si="331"/>
        <v>2.4410510235937783</v>
      </c>
      <c r="BN125" s="475">
        <f t="shared" ca="1" si="332"/>
        <v>76.687879627600594</v>
      </c>
      <c r="BO125" s="204">
        <f t="shared" ca="1" si="333"/>
        <v>1.9559805373209688E-2</v>
      </c>
      <c r="BP125" s="496">
        <f t="shared" ca="1" si="334"/>
        <v>0.36224759551184349</v>
      </c>
      <c r="BQ125" s="497">
        <f t="shared" ca="1" si="335"/>
        <v>0.34094043406818703</v>
      </c>
      <c r="BR125" s="497">
        <f t="shared" ca="1" si="336"/>
        <v>0.78324322696451687</v>
      </c>
      <c r="BS125" s="475">
        <f t="shared" ca="1" si="337"/>
        <v>0.832252995566655</v>
      </c>
      <c r="BT125" s="475">
        <f t="shared" ca="1" si="338"/>
        <v>1.9119366809046279</v>
      </c>
      <c r="BU125" s="475">
        <f t="shared" ca="1" si="339"/>
        <v>0.12893903257879313</v>
      </c>
      <c r="BV125" s="475">
        <f t="shared" ca="1" si="340"/>
        <v>0.46649839701997053</v>
      </c>
      <c r="BW125" s="475">
        <f t="shared" ca="1" si="341"/>
        <v>1.4691313540232449</v>
      </c>
      <c r="BX125" s="475">
        <f t="shared" ca="1" si="342"/>
        <v>3.0074857698338997</v>
      </c>
      <c r="BY125" s="475">
        <f t="shared" ca="1" si="343"/>
        <v>8.0710071708744474E-2</v>
      </c>
      <c r="BZ125" s="475">
        <f t="shared" ca="1" si="344"/>
        <v>0.23888562759693813</v>
      </c>
      <c r="CA125" s="471">
        <f t="shared" ca="1" si="345"/>
        <v>1.6142014341748893E-2</v>
      </c>
      <c r="CB125" s="471">
        <f t="shared" ca="1" si="346"/>
        <v>4.7777125519387627E-2</v>
      </c>
      <c r="CC125" s="471">
        <f t="shared" ca="1" si="222"/>
        <v>2.2748547352438</v>
      </c>
      <c r="CD125" s="471" t="str">
        <f t="shared" ca="1" si="347"/>
        <v>F. Supercrítico</v>
      </c>
      <c r="CE125" s="471">
        <f t="shared" ca="1" si="348"/>
        <v>0.8824798725671309</v>
      </c>
      <c r="CF125" s="471">
        <f t="shared" ca="1" si="349"/>
        <v>2.6119634605283699</v>
      </c>
      <c r="CG125" s="471" t="str">
        <f t="shared" ca="1" si="350"/>
        <v>O.K</v>
      </c>
      <c r="CH125" s="471" t="str">
        <f t="shared" ca="1" si="351"/>
        <v>O.K</v>
      </c>
      <c r="CI125" s="471" t="str">
        <f t="shared" ca="1" si="352"/>
        <v>OK</v>
      </c>
      <c r="CJ125" s="471" t="str">
        <f t="shared" ca="1" si="353"/>
        <v>OK</v>
      </c>
      <c r="CK125" s="468">
        <f t="shared" si="354"/>
        <v>2.9999999999972715E-2</v>
      </c>
      <c r="CL125" s="482" t="s">
        <v>2507</v>
      </c>
      <c r="CM125" s="482"/>
      <c r="CN125" s="63" t="str">
        <f t="shared" si="355"/>
        <v xml:space="preserve"> </v>
      </c>
      <c r="CO125" s="498">
        <f t="shared" si="356"/>
        <v>30.28</v>
      </c>
      <c r="CP125" s="472">
        <f t="shared" si="357"/>
        <v>4.4101717305153547E-2</v>
      </c>
      <c r="CQ125" s="482" t="s">
        <v>2508</v>
      </c>
      <c r="CR125" s="204">
        <f t="shared" si="358"/>
        <v>30.28</v>
      </c>
      <c r="CS125" s="486">
        <v>1.2</v>
      </c>
      <c r="CT125" s="486">
        <v>1.2</v>
      </c>
      <c r="CU125" s="23">
        <f t="shared" si="359"/>
        <v>30.325216390983929</v>
      </c>
      <c r="CV125" s="499" t="s">
        <v>2509</v>
      </c>
      <c r="CW125" s="488" t="str">
        <f t="shared" ca="1" si="360"/>
        <v>E2</v>
      </c>
      <c r="CX125" s="204">
        <f ca="1">IF(AND(L125="",H125=""),"",IF(AND(BA125&lt;&gt;4,BA125&lt;&gt;5),VLOOKUP(AY125,'TABLA (2)'!$A$9:$D$43,4),IF(BA125=4,VLOOKUP(AY125,'TABLA (2)'!$A$74:$D$89,4),VLOOKUP(AY125,'TABLA (2)'!$A$51:$D$66,4))))</f>
        <v>3.6999999999999998E-2</v>
      </c>
      <c r="CY125" s="482"/>
      <c r="CZ125" s="482"/>
      <c r="DA125" s="482"/>
      <c r="DB125" s="490"/>
    </row>
    <row r="126" spans="1:106" ht="15" hidden="1" customHeight="1">
      <c r="A126" s="465">
        <v>75</v>
      </c>
      <c r="B126" s="491"/>
      <c r="C126" s="466" t="s">
        <v>2132</v>
      </c>
      <c r="D126" s="466" t="s">
        <v>2135</v>
      </c>
      <c r="E126" s="468">
        <v>0.31967482690000004</v>
      </c>
      <c r="F126" s="468"/>
      <c r="G126" s="468">
        <f t="shared" si="293"/>
        <v>0.2221073603</v>
      </c>
      <c r="H126" s="468">
        <f t="shared" si="294"/>
        <v>0.54178218720000004</v>
      </c>
      <c r="I126" s="468">
        <v>0.31967482690000004</v>
      </c>
      <c r="J126" s="468"/>
      <c r="K126" s="467">
        <f t="shared" ca="1" si="295"/>
        <v>0.12590736029999999</v>
      </c>
      <c r="L126" s="468">
        <f t="shared" ca="1" si="296"/>
        <v>0.44558218720000003</v>
      </c>
      <c r="M126" s="469">
        <f t="shared" si="297"/>
        <v>242.33666300502347</v>
      </c>
      <c r="N126" s="470">
        <f t="shared" si="298"/>
        <v>77.468930797654522</v>
      </c>
      <c r="O126" s="470">
        <f t="shared" si="299"/>
        <v>0</v>
      </c>
      <c r="P126" s="470">
        <f t="shared" si="300"/>
        <v>131.29368732161095</v>
      </c>
      <c r="Q126" s="469">
        <f t="shared" si="301"/>
        <v>140</v>
      </c>
      <c r="R126" s="471">
        <f t="shared" si="302"/>
        <v>0.1808327406397188</v>
      </c>
      <c r="S126" s="471"/>
      <c r="T126" s="471"/>
      <c r="U126" s="471">
        <f t="shared" si="303"/>
        <v>0</v>
      </c>
      <c r="V126" s="471"/>
      <c r="W126" s="471"/>
      <c r="X126" s="471">
        <f t="shared" si="304"/>
        <v>0</v>
      </c>
      <c r="Y126" s="471">
        <f t="shared" si="305"/>
        <v>0.10835643744000001</v>
      </c>
      <c r="Z126" s="471">
        <f t="shared" ca="1" si="306"/>
        <v>0</v>
      </c>
      <c r="AA126" s="471">
        <f t="shared" si="219"/>
        <v>3.8</v>
      </c>
      <c r="AB126" s="471">
        <f t="shared" si="307"/>
        <v>0.68716441443093135</v>
      </c>
      <c r="AC126" s="471">
        <f t="shared" si="308"/>
        <v>0.10669910607547325</v>
      </c>
      <c r="AD126" s="471">
        <f t="shared" si="309"/>
        <v>6.3934965380000014E-2</v>
      </c>
      <c r="AE126" s="471">
        <f t="shared" si="309"/>
        <v>0</v>
      </c>
      <c r="AF126" s="471">
        <f t="shared" si="310"/>
        <v>4</v>
      </c>
      <c r="AG126" s="471">
        <f t="shared" si="311"/>
        <v>0.42679642430189302</v>
      </c>
      <c r="AH126" s="471">
        <f t="shared" si="312"/>
        <v>0.490731389681893</v>
      </c>
      <c r="AI126" s="471">
        <f t="shared" ca="1" si="313"/>
        <v>1.5</v>
      </c>
      <c r="AJ126" s="471">
        <f t="shared" si="314"/>
        <v>0.75</v>
      </c>
      <c r="AK126" s="472">
        <f t="shared" si="315"/>
        <v>7.7599586135470037E-4</v>
      </c>
      <c r="AL126" s="471">
        <f t="shared" si="316"/>
        <v>0.62753879979306781</v>
      </c>
      <c r="AM126" s="473">
        <f t="shared" si="220"/>
        <v>327.37954585971551</v>
      </c>
      <c r="AN126" s="474">
        <f t="shared" si="221"/>
        <v>10.495333333333335</v>
      </c>
      <c r="AO126" s="474">
        <f t="shared" si="317"/>
        <v>0.42955555555555552</v>
      </c>
      <c r="AP126" s="474">
        <f t="shared" si="318"/>
        <v>10.924888888888891</v>
      </c>
      <c r="AQ126" s="475">
        <v>3</v>
      </c>
      <c r="AR126" s="474">
        <f t="shared" ca="1" si="319"/>
        <v>0.66901481558620146</v>
      </c>
      <c r="AS126" s="474">
        <f t="shared" ca="1" si="320"/>
        <v>0.64207181298245553</v>
      </c>
      <c r="AT126" s="471" t="str">
        <f t="shared" ca="1" si="321"/>
        <v>Disminuir vel.</v>
      </c>
      <c r="AU126" s="492">
        <f t="shared" si="322"/>
        <v>65.675072874779062</v>
      </c>
      <c r="AV126" s="471">
        <f t="shared" ca="1" si="323"/>
        <v>91.54190494085303</v>
      </c>
      <c r="AW126" s="471">
        <f t="shared" ca="1" si="324"/>
        <v>91.54</v>
      </c>
      <c r="AX126" s="478">
        <f>IF(OR(C126="",D126=""),"",ROUND(((VLOOKUP(C126,'Base de Diseño (2)'!$A$2:$C$333,2,FALSE)-VLOOKUP(D126,'Base de Diseño (2)'!$A$2:$C$333,2,FALSE))^2+(VLOOKUP(C126,'Base de Diseño (2)'!$A$2:$C$333,3,0)-VLOOKUP(D126,'Base de Diseño (2)'!$A$2:$C$333,3,FALSE))^2)^0.5,2))</f>
        <v>77.319999999999993</v>
      </c>
      <c r="AY126" s="493">
        <v>8</v>
      </c>
      <c r="AZ126" s="480">
        <f ca="1">IF(AND(L126="",H126=""),"",IF(BA126=4,VLOOKUP(AY126,'TABLA (2)'!$A$74:$C$89,2),IF(BA126=5,VLOOKUP(AY126,'TABLA (2)'!$A$51:$B$66,2),IF(BA126=6,VLOOKUP(AY126,'TABLA (2)'!$A$9:$B$43,2)))))</f>
        <v>200</v>
      </c>
      <c r="BA126" s="493">
        <v>6</v>
      </c>
      <c r="BB126" s="478">
        <f>IF(OR(C126="",D126=""),"",VLOOKUP(C126,'Base de Diseño (2)'!$A$2:$D$330,4,FALSE))</f>
        <v>981.19159999999999</v>
      </c>
      <c r="BC126" s="478">
        <f>IF(OR(C126="",D126=""),"",VLOOKUP(D126,'Base de Diseño (2)'!$A$2:$D$330,4,FALSE))</f>
        <v>981.13160000000005</v>
      </c>
      <c r="BD126" s="23">
        <f t="shared" ca="1" si="325"/>
        <v>1.3929999999999954</v>
      </c>
      <c r="BE126" s="23">
        <f t="shared" ca="1" si="326"/>
        <v>2.9630000000000454</v>
      </c>
      <c r="BF126" s="494">
        <v>1.6299999999999955</v>
      </c>
      <c r="BG126" s="494">
        <v>3.2000000000000455</v>
      </c>
      <c r="BH126" s="495">
        <f t="shared" si="327"/>
        <v>979.5616</v>
      </c>
      <c r="BI126" s="495">
        <f t="shared" si="327"/>
        <v>977.9316</v>
      </c>
      <c r="BJ126" s="468">
        <f t="shared" si="328"/>
        <v>3.999999999996362E-2</v>
      </c>
      <c r="BK126" s="475">
        <f t="shared" si="329"/>
        <v>7.7599586135470036E-2</v>
      </c>
      <c r="BL126" s="475">
        <f t="shared" si="330"/>
        <v>2.1081220900155144</v>
      </c>
      <c r="BM126" s="475">
        <f t="shared" ca="1" si="331"/>
        <v>1.5158324389644104</v>
      </c>
      <c r="BN126" s="475">
        <f t="shared" ca="1" si="332"/>
        <v>47.621280543236907</v>
      </c>
      <c r="BO126" s="204">
        <f t="shared" ca="1" si="333"/>
        <v>3.1498522989907872E-2</v>
      </c>
      <c r="BP126" s="496">
        <f t="shared" ca="1" si="334"/>
        <v>1.9222498629974443</v>
      </c>
      <c r="BQ126" s="497">
        <f t="shared" ca="1" si="335"/>
        <v>0.39163683363575141</v>
      </c>
      <c r="BR126" s="497">
        <f t="shared" ca="1" si="336"/>
        <v>1.2707311107969972</v>
      </c>
      <c r="BS126" s="475">
        <f t="shared" ca="1" si="337"/>
        <v>0.59365581671838008</v>
      </c>
      <c r="BT126" s="475">
        <f t="shared" ca="1" si="338"/>
        <v>1.9262154389473667</v>
      </c>
      <c r="BU126" s="475">
        <f t="shared" ca="1" si="339"/>
        <v>0.15967095678688434</v>
      </c>
      <c r="BV126" s="475" t="str">
        <f t="shared" ca="1" si="340"/>
        <v xml:space="preserve"> </v>
      </c>
      <c r="BW126" s="475">
        <f t="shared" ca="1" si="341"/>
        <v>1.6442715583995746</v>
      </c>
      <c r="BX126" s="475" t="e">
        <f t="shared" ca="1" si="342"/>
        <v>#VALUE!</v>
      </c>
      <c r="BY126" s="475">
        <f t="shared" ca="1" si="343"/>
        <v>9.8367214005552622E-2</v>
      </c>
      <c r="BZ126" s="475" t="e">
        <f t="shared" ca="1" si="344"/>
        <v>#VALUE!</v>
      </c>
      <c r="CA126" s="471">
        <f t="shared" ca="1" si="345"/>
        <v>1.9673442801110524E-2</v>
      </c>
      <c r="CB126" s="471" t="e">
        <f t="shared" ca="1" si="346"/>
        <v>#VALUE!</v>
      </c>
      <c r="CC126" s="471" t="e">
        <f t="shared" ca="1" si="222"/>
        <v>#VALUE!</v>
      </c>
      <c r="CD126" s="471" t="e">
        <f t="shared" ca="1" si="347"/>
        <v>#VALUE!</v>
      </c>
      <c r="CE126" s="471">
        <f t="shared" ca="1" si="348"/>
        <v>0.41474019355677799</v>
      </c>
      <c r="CF126" s="471" t="e">
        <f t="shared" ca="1" si="349"/>
        <v>#VALUE!</v>
      </c>
      <c r="CG126" s="471" t="str">
        <f t="shared" ca="1" si="350"/>
        <v>O.K</v>
      </c>
      <c r="CH126" s="471" t="str">
        <f t="shared" ca="1" si="351"/>
        <v>O.K</v>
      </c>
      <c r="CI126" s="471" t="str">
        <f t="shared" ca="1" si="352"/>
        <v>OK</v>
      </c>
      <c r="CJ126" s="471" t="e">
        <f t="shared" ca="1" si="353"/>
        <v>#VALUE!</v>
      </c>
      <c r="CK126" s="468">
        <f t="shared" si="354"/>
        <v>3.999999999996362E-2</v>
      </c>
      <c r="CL126" s="482" t="s">
        <v>2507</v>
      </c>
      <c r="CM126" s="482"/>
      <c r="CN126" s="63" t="str">
        <f t="shared" si="355"/>
        <v xml:space="preserve"> </v>
      </c>
      <c r="CO126" s="498">
        <f t="shared" si="356"/>
        <v>77.319999999999993</v>
      </c>
      <c r="CP126" s="472">
        <f t="shared" si="357"/>
        <v>7.7599586135470037E-4</v>
      </c>
      <c r="CQ126" s="482" t="s">
        <v>2508</v>
      </c>
      <c r="CR126" s="204">
        <f t="shared" si="358"/>
        <v>77.319999999999993</v>
      </c>
      <c r="CS126" s="486">
        <v>1.2</v>
      </c>
      <c r="CT126" s="486">
        <v>1.2</v>
      </c>
      <c r="CU126" s="23">
        <f t="shared" si="359"/>
        <v>77.337179286550125</v>
      </c>
      <c r="CV126" s="499" t="s">
        <v>2509</v>
      </c>
      <c r="CW126" s="488" t="str">
        <f t="shared" ca="1" si="360"/>
        <v>E2</v>
      </c>
      <c r="CX126" s="204">
        <f ca="1">IF(AND(L126="",H126=""),"",IF(AND(BA126&lt;&gt;4,BA126&lt;&gt;5),VLOOKUP(AY126,'TABLA (2)'!$A$9:$D$43,4),IF(BA126=4,VLOOKUP(AY126,'TABLA (2)'!$A$74:$D$89,4),VLOOKUP(AY126,'TABLA (2)'!$A$51:$D$66,4))))</f>
        <v>3.6999999999999998E-2</v>
      </c>
      <c r="CY126" s="482"/>
      <c r="CZ126" s="482"/>
      <c r="DA126" s="482"/>
      <c r="DB126" s="490"/>
    </row>
    <row r="127" spans="1:106" ht="15" hidden="1" customHeight="1">
      <c r="A127" s="465">
        <v>76</v>
      </c>
      <c r="B127" s="491"/>
      <c r="C127" s="466" t="s">
        <v>2135</v>
      </c>
      <c r="D127" s="466" t="s">
        <v>2100</v>
      </c>
      <c r="E127" s="468"/>
      <c r="F127" s="468"/>
      <c r="G127" s="468">
        <f t="shared" si="293"/>
        <v>0.70356753950000006</v>
      </c>
      <c r="H127" s="468">
        <f t="shared" si="294"/>
        <v>0.70356753950000006</v>
      </c>
      <c r="I127" s="468"/>
      <c r="J127" s="468"/>
      <c r="K127" s="467">
        <f t="shared" ca="1" si="295"/>
        <v>0.6073675395</v>
      </c>
      <c r="L127" s="468">
        <f t="shared" ca="1" si="296"/>
        <v>0.6073675395</v>
      </c>
      <c r="M127" s="469">
        <f t="shared" si="297"/>
        <v>242.33666300502347</v>
      </c>
      <c r="N127" s="470">
        <f t="shared" si="298"/>
        <v>0</v>
      </c>
      <c r="O127" s="470">
        <f t="shared" si="299"/>
        <v>0</v>
      </c>
      <c r="P127" s="470">
        <f t="shared" si="300"/>
        <v>170.50020972108504</v>
      </c>
      <c r="Q127" s="469">
        <f t="shared" si="301"/>
        <v>140</v>
      </c>
      <c r="R127" s="471">
        <f t="shared" si="302"/>
        <v>0.23483246477788333</v>
      </c>
      <c r="S127" s="471"/>
      <c r="T127" s="471"/>
      <c r="U127" s="471">
        <f t="shared" si="303"/>
        <v>0</v>
      </c>
      <c r="V127" s="471"/>
      <c r="W127" s="471"/>
      <c r="X127" s="471">
        <f t="shared" si="304"/>
        <v>0</v>
      </c>
      <c r="Y127" s="471">
        <f t="shared" si="305"/>
        <v>0.14071350790000001</v>
      </c>
      <c r="Z127" s="471">
        <f t="shared" ca="1" si="306"/>
        <v>0</v>
      </c>
      <c r="AA127" s="471">
        <f t="shared" si="219"/>
        <v>3.8</v>
      </c>
      <c r="AB127" s="471">
        <f t="shared" si="307"/>
        <v>0.89236336615595657</v>
      </c>
      <c r="AC127" s="471">
        <f t="shared" si="308"/>
        <v>0</v>
      </c>
      <c r="AD127" s="471">
        <f t="shared" si="309"/>
        <v>0</v>
      </c>
      <c r="AE127" s="471">
        <f t="shared" si="309"/>
        <v>0</v>
      </c>
      <c r="AF127" s="471">
        <f t="shared" si="310"/>
        <v>4</v>
      </c>
      <c r="AG127" s="471">
        <f t="shared" si="311"/>
        <v>0</v>
      </c>
      <c r="AH127" s="471">
        <f t="shared" si="312"/>
        <v>0</v>
      </c>
      <c r="AI127" s="471">
        <f t="shared" ca="1" si="313"/>
        <v>1.5</v>
      </c>
      <c r="AJ127" s="471">
        <f t="shared" si="314"/>
        <v>0.75</v>
      </c>
      <c r="AK127" s="472">
        <f t="shared" si="315"/>
        <v>8.9680772086118452E-2</v>
      </c>
      <c r="AL127" s="471">
        <f t="shared" si="316"/>
        <v>0.63198403860430596</v>
      </c>
      <c r="AM127" s="473">
        <f t="shared" si="220"/>
        <v>323.88850112443578</v>
      </c>
      <c r="AN127" s="474">
        <f t="shared" si="221"/>
        <v>10.924888888888891</v>
      </c>
      <c r="AO127" s="474">
        <f t="shared" si="317"/>
        <v>0.37416666666666659</v>
      </c>
      <c r="AP127" s="474">
        <f t="shared" si="318"/>
        <v>11.299055555555558</v>
      </c>
      <c r="AQ127" s="475">
        <v>3</v>
      </c>
      <c r="AR127" s="474">
        <f t="shared" ca="1" si="319"/>
        <v>0.32696200225638133</v>
      </c>
      <c r="AS127" s="474">
        <f t="shared" ca="1" si="320"/>
        <v>1.1443735482549149</v>
      </c>
      <c r="AT127" s="471" t="str">
        <f t="shared" ca="1" si="321"/>
        <v>Aumentar vel.</v>
      </c>
      <c r="AU127" s="492">
        <f t="shared" si="322"/>
        <v>0</v>
      </c>
      <c r="AV127" s="471">
        <f t="shared" ca="1" si="323"/>
        <v>124.3234968686067</v>
      </c>
      <c r="AW127" s="471">
        <f t="shared" ca="1" si="324"/>
        <v>124.32</v>
      </c>
      <c r="AX127" s="478">
        <f>IF(OR(C127="",D127=""),"",ROUND(((VLOOKUP(C127,'Base de Diseño (2)'!$A$2:$C$333,2,FALSE)-VLOOKUP(D127,'Base de Diseño (2)'!$A$2:$C$333,2,FALSE))^2+(VLOOKUP(C127,'Base de Diseño (2)'!$A$2:$C$333,3,0)-VLOOKUP(D127,'Base de Diseño (2)'!$A$2:$C$333,3,FALSE))^2)^0.5,2))</f>
        <v>67.349999999999994</v>
      </c>
      <c r="AY127" s="493">
        <v>12</v>
      </c>
      <c r="AZ127" s="480">
        <f ca="1">IF(AND(L127="",H127=""),"",IF(BA127=4,VLOOKUP(AY127,'TABLA (2)'!$A$74:$C$89,2),IF(BA127=5,VLOOKUP(AY127,'TABLA (2)'!$A$51:$B$66,2),IF(BA127=6,VLOOKUP(AY127,'TABLA (2)'!$A$9:$B$43,2)))))</f>
        <v>300</v>
      </c>
      <c r="BA127" s="493">
        <v>6</v>
      </c>
      <c r="BB127" s="478">
        <f>IF(OR(C127="",D127=""),"",VLOOKUP(C127,'Base de Diseño (2)'!$A$2:$D$330,4,FALSE))</f>
        <v>981.13160000000005</v>
      </c>
      <c r="BC127" s="478">
        <f>IF(OR(C127="",D127=""),"",VLOOKUP(D127,'Base de Diseño (2)'!$A$2:$D$330,4,FALSE))</f>
        <v>975.09159999999997</v>
      </c>
      <c r="BD127" s="23">
        <f t="shared" ca="1" si="325"/>
        <v>2.8930000000000091</v>
      </c>
      <c r="BE127" s="23">
        <f t="shared" ca="1" si="326"/>
        <v>3.2129999999999455</v>
      </c>
      <c r="BF127" s="494">
        <v>3.2400000000000091</v>
      </c>
      <c r="BG127" s="494">
        <v>3.5599999999999454</v>
      </c>
      <c r="BH127" s="495">
        <f t="shared" si="327"/>
        <v>977.89160000000004</v>
      </c>
      <c r="BI127" s="495">
        <f t="shared" si="327"/>
        <v>971.53160000000003</v>
      </c>
      <c r="BJ127" s="468">
        <f t="shared" si="328"/>
        <v>971.53160000000003</v>
      </c>
      <c r="BK127" s="475">
        <f t="shared" si="329"/>
        <v>8.9680772086118452</v>
      </c>
      <c r="BL127" s="475">
        <f t="shared" si="330"/>
        <v>9.4432071269487974</v>
      </c>
      <c r="BM127" s="475">
        <f t="shared" ca="1" si="331"/>
        <v>4.203947150964682</v>
      </c>
      <c r="BN127" s="475">
        <f t="shared" ca="1" si="332"/>
        <v>297.15951342488364</v>
      </c>
      <c r="BO127" s="204">
        <f t="shared" ca="1" si="333"/>
        <v>5.0477939700193106E-3</v>
      </c>
      <c r="BP127" s="496">
        <f t="shared" ca="1" si="334"/>
        <v>0.41836116423520042</v>
      </c>
      <c r="BQ127" s="497">
        <f t="shared" ca="1" si="335"/>
        <v>0.22989176599966865</v>
      </c>
      <c r="BR127" s="497">
        <f t="shared" ca="1" si="336"/>
        <v>0.81664219874337496</v>
      </c>
      <c r="BS127" s="475">
        <f t="shared" ca="1" si="337"/>
        <v>0.96645283470454635</v>
      </c>
      <c r="BT127" s="475">
        <f t="shared" ca="1" si="338"/>
        <v>3.4331206447647449</v>
      </c>
      <c r="BU127" s="475">
        <f t="shared" ca="1" si="339"/>
        <v>4.1572144015227908E-2</v>
      </c>
      <c r="BV127" s="475">
        <f t="shared" ca="1" si="340"/>
        <v>0.50390744283741229</v>
      </c>
      <c r="BW127" s="475">
        <f t="shared" ca="1" si="341"/>
        <v>0.82132916274821577</v>
      </c>
      <c r="BX127" s="475">
        <f t="shared" ca="1" si="342"/>
        <v>3.1572225840351886</v>
      </c>
      <c r="BY127" s="475">
        <f t="shared" ca="1" si="343"/>
        <v>2.7174609209889872E-2</v>
      </c>
      <c r="BZ127" s="475">
        <f t="shared" ca="1" si="344"/>
        <v>0.2512375825311835</v>
      </c>
      <c r="CA127" s="471">
        <f t="shared" ca="1" si="345"/>
        <v>8.1523827629669619E-3</v>
      </c>
      <c r="CB127" s="471">
        <f t="shared" ca="1" si="346"/>
        <v>7.5371274759355039E-2</v>
      </c>
      <c r="CC127" s="471">
        <f t="shared" ca="1" si="222"/>
        <v>3.1776597855868771</v>
      </c>
      <c r="CD127" s="471" t="str">
        <f t="shared" ca="1" si="347"/>
        <v>F. Supercrítico</v>
      </c>
      <c r="CE127" s="471">
        <f t="shared" ca="1" si="348"/>
        <v>0.76984639008864131</v>
      </c>
      <c r="CF127" s="471">
        <f t="shared" ca="1" si="349"/>
        <v>7.1174655897475745</v>
      </c>
      <c r="CG127" s="471" t="str">
        <f t="shared" ca="1" si="350"/>
        <v>O.K</v>
      </c>
      <c r="CH127" s="471" t="str">
        <f t="shared" ca="1" si="351"/>
        <v>O.K</v>
      </c>
      <c r="CI127" s="471" t="str">
        <f t="shared" ca="1" si="352"/>
        <v>OK</v>
      </c>
      <c r="CJ127" s="471" t="str">
        <f t="shared" ca="1" si="353"/>
        <v>OK</v>
      </c>
      <c r="CK127" s="468">
        <f t="shared" si="354"/>
        <v>971.53160000000003</v>
      </c>
      <c r="CL127" s="482" t="s">
        <v>2507</v>
      </c>
      <c r="CM127" s="482"/>
      <c r="CN127" s="63" t="str">
        <f t="shared" si="355"/>
        <v xml:space="preserve"> </v>
      </c>
      <c r="CO127" s="498">
        <f t="shared" si="356"/>
        <v>67.349999999999994</v>
      </c>
      <c r="CP127" s="472">
        <f t="shared" si="357"/>
        <v>8.9680772086118452E-2</v>
      </c>
      <c r="CQ127" s="482" t="s">
        <v>2508</v>
      </c>
      <c r="CR127" s="204">
        <f t="shared" si="358"/>
        <v>67.349999999999994</v>
      </c>
      <c r="CS127" s="486">
        <v>1.2</v>
      </c>
      <c r="CT127" s="486">
        <v>1.2</v>
      </c>
      <c r="CU127" s="23">
        <f t="shared" si="359"/>
        <v>67.649627493431169</v>
      </c>
      <c r="CV127" s="499" t="s">
        <v>2509</v>
      </c>
      <c r="CW127" s="488" t="str">
        <f t="shared" ca="1" si="360"/>
        <v>E3</v>
      </c>
      <c r="CX127" s="204">
        <f ca="1">IF(AND(L127="",H127=""),"",IF(AND(BA127&lt;&gt;4,BA127&lt;&gt;5),VLOOKUP(AY127,'TABLA (2)'!$A$9:$D$43,4),IF(BA127=4,VLOOKUP(AY127,'TABLA (2)'!$A$74:$D$89,4),VLOOKUP(AY127,'TABLA (2)'!$A$51:$D$66,4))))</f>
        <v>4.7E-2</v>
      </c>
      <c r="CY127" s="482"/>
      <c r="CZ127" s="482"/>
      <c r="DA127" s="482"/>
      <c r="DB127" s="490"/>
    </row>
    <row r="128" spans="1:106" ht="15" hidden="1" customHeight="1">
      <c r="A128" s="465"/>
      <c r="B128" s="491"/>
      <c r="C128" s="466"/>
      <c r="D128" s="466"/>
      <c r="E128" s="468"/>
      <c r="F128" s="468"/>
      <c r="G128" s="468"/>
      <c r="H128" s="468"/>
      <c r="I128" s="468"/>
      <c r="J128" s="468"/>
      <c r="K128" s="467"/>
      <c r="L128" s="468"/>
      <c r="M128" s="469"/>
      <c r="N128" s="470"/>
      <c r="O128" s="470"/>
      <c r="P128" s="470"/>
      <c r="Q128" s="469"/>
      <c r="R128" s="471"/>
      <c r="S128" s="471"/>
      <c r="T128" s="471"/>
      <c r="U128" s="471"/>
      <c r="V128" s="471"/>
      <c r="W128" s="471"/>
      <c r="X128" s="471"/>
      <c r="Y128" s="471"/>
      <c r="Z128" s="471"/>
      <c r="AA128" s="471" t="str">
        <f t="shared" si="219"/>
        <v/>
      </c>
      <c r="AB128" s="471"/>
      <c r="AC128" s="471"/>
      <c r="AD128" s="471"/>
      <c r="AE128" s="471"/>
      <c r="AF128" s="471"/>
      <c r="AG128" s="471"/>
      <c r="AH128" s="471"/>
      <c r="AI128" s="471"/>
      <c r="AJ128" s="471"/>
      <c r="AK128" s="472"/>
      <c r="AL128" s="471"/>
      <c r="AM128" s="473">
        <f t="shared" si="220"/>
        <v>474.44695720875893</v>
      </c>
      <c r="AN128" s="474">
        <f t="shared" si="221"/>
        <v>11.299055555555558</v>
      </c>
      <c r="AO128" s="474"/>
      <c r="AP128" s="474"/>
      <c r="AQ128" s="475">
        <v>3</v>
      </c>
      <c r="AR128" s="474"/>
      <c r="AS128" s="474"/>
      <c r="AT128" s="471"/>
      <c r="AU128" s="492"/>
      <c r="AV128" s="471"/>
      <c r="AW128" s="471"/>
      <c r="AX128" s="478"/>
      <c r="AY128" s="493"/>
      <c r="AZ128" s="480"/>
      <c r="BA128" s="493"/>
      <c r="BB128" s="478" t="str">
        <f>IF(OR(C128="",D128=""),"",VLOOKUP(C128,'Base de Diseño (2)'!$A$2:$D$330,4,FALSE))</f>
        <v/>
      </c>
      <c r="BC128" s="478" t="str">
        <f>IF(OR(C128="",D128=""),"",VLOOKUP(D128,'Base de Diseño (2)'!$A$2:$D$330,4,FALSE))</f>
        <v/>
      </c>
      <c r="BD128" s="23"/>
      <c r="BE128" s="23"/>
      <c r="BF128" s="494"/>
      <c r="BG128" s="494"/>
      <c r="BH128" s="495"/>
      <c r="BI128" s="495"/>
      <c r="BJ128" s="468"/>
      <c r="BK128" s="475"/>
      <c r="BL128" s="475"/>
      <c r="BM128" s="475"/>
      <c r="BN128" s="475"/>
      <c r="BO128" s="204"/>
      <c r="BP128" s="496"/>
      <c r="BQ128" s="497"/>
      <c r="BR128" s="497"/>
      <c r="BS128" s="475"/>
      <c r="BT128" s="475"/>
      <c r="BU128" s="475"/>
      <c r="BV128" s="475"/>
      <c r="BW128" s="475"/>
      <c r="BX128" s="475"/>
      <c r="BY128" s="475"/>
      <c r="BZ128" s="475"/>
      <c r="CA128" s="471"/>
      <c r="CB128" s="471"/>
      <c r="CC128" s="471" t="e">
        <f t="shared" si="222"/>
        <v>#DIV/0!</v>
      </c>
      <c r="CD128" s="471"/>
      <c r="CE128" s="471"/>
      <c r="CF128" s="471"/>
      <c r="CG128" s="471"/>
      <c r="CH128" s="471"/>
      <c r="CI128" s="471"/>
      <c r="CJ128" s="471"/>
      <c r="CK128" s="468"/>
      <c r="CL128" s="482" t="s">
        <v>2507</v>
      </c>
      <c r="CM128" s="482"/>
      <c r="CN128" s="63"/>
      <c r="CO128" s="498"/>
      <c r="CP128" s="472"/>
      <c r="CQ128" s="482"/>
      <c r="CR128" s="204"/>
      <c r="CS128" s="486"/>
      <c r="CT128" s="486"/>
      <c r="CU128" s="23"/>
      <c r="CV128" s="499"/>
      <c r="CW128" s="488"/>
      <c r="CX128" s="204"/>
      <c r="CY128" s="482"/>
      <c r="CZ128" s="482"/>
      <c r="DA128" s="482"/>
      <c r="DB128" s="490"/>
    </row>
    <row r="129" spans="1:106" ht="15" hidden="1" customHeight="1">
      <c r="A129" s="465">
        <v>77</v>
      </c>
      <c r="B129" s="491">
        <v>1</v>
      </c>
      <c r="C129" s="466" t="s">
        <v>2131</v>
      </c>
      <c r="D129" s="466" t="s">
        <v>2134</v>
      </c>
      <c r="E129" s="468">
        <v>0.11552385630000001</v>
      </c>
      <c r="F129" s="468"/>
      <c r="G129" s="468">
        <f>IF(B129=1,0,SUMIF($D$22:$D$583,C129,$H$22:$H$583))</f>
        <v>0</v>
      </c>
      <c r="H129" s="468">
        <f>+E129+F129+G129</f>
        <v>0.11552385630000001</v>
      </c>
      <c r="I129" s="468">
        <v>0.11552385630000001</v>
      </c>
      <c r="J129" s="468"/>
      <c r="K129" s="467">
        <f>+IF(B129=1,0,SUMIF($D$22:$D$583,C129,$L$22:$L$580))</f>
        <v>0</v>
      </c>
      <c r="L129" s="468">
        <f>+I129+J129+K129</f>
        <v>0.11552385630000001</v>
      </c>
      <c r="M129" s="469">
        <f>+$P$12</f>
        <v>242.33666300502347</v>
      </c>
      <c r="N129" s="470">
        <f>M129*E129</f>
        <v>27.995665833213859</v>
      </c>
      <c r="O129" s="470">
        <f>M129*F129</f>
        <v>0</v>
      </c>
      <c r="P129" s="470">
        <f>M129*H129</f>
        <v>27.995665833213859</v>
      </c>
      <c r="Q129" s="469">
        <f>+$H$14</f>
        <v>140</v>
      </c>
      <c r="R129" s="471">
        <f>Q129*P129*$P$14/86400</f>
        <v>3.8558845302690381E-2</v>
      </c>
      <c r="S129" s="471"/>
      <c r="T129" s="471"/>
      <c r="U129" s="471">
        <f>IF(C129="","",T129*$P$17)</f>
        <v>0</v>
      </c>
      <c r="V129" s="471"/>
      <c r="W129" s="471"/>
      <c r="X129" s="471">
        <f>IF(C129="","",W129*$P$16)</f>
        <v>0</v>
      </c>
      <c r="Y129" s="471">
        <f>IF(H129=0,0,$H$15*H129)</f>
        <v>2.3104771260000004E-2</v>
      </c>
      <c r="Z129" s="471">
        <f>IF(L129=0,$H$16*H129,0)</f>
        <v>0</v>
      </c>
      <c r="AA129" s="471">
        <f t="shared" si="219"/>
        <v>3.8</v>
      </c>
      <c r="AB129" s="471">
        <f>R129*AA129</f>
        <v>0.14652361215022344</v>
      </c>
      <c r="AC129" s="471">
        <f>Q129*(N129+O129)*$P$14/86400</f>
        <v>3.8558845302690381E-2</v>
      </c>
      <c r="AD129" s="471">
        <f>IF(E129=0,0,$H$15*(E129+F129))</f>
        <v>2.3104771260000004E-2</v>
      </c>
      <c r="AE129" s="471">
        <f>IF(F129=0,0,$H$15*(F129+G129))</f>
        <v>0</v>
      </c>
      <c r="AF129" s="471">
        <f>IF(N129="","",IF(1+((14/(4+(((N129+O129)+O129)/1000)^1/2)))&lt;1.4,1.4,IF(1+((14/(4+((N129+O129)/1000)^1/2)))&gt;=4,4,(1+((14/(4+((N129+O129)/1000)^1/2)))))))</f>
        <v>4</v>
      </c>
      <c r="AG129" s="471">
        <f>AC129*AF129</f>
        <v>0.15423538121076152</v>
      </c>
      <c r="AH129" s="471">
        <f>+AD129+AE129+AG129</f>
        <v>0.17734015247076151</v>
      </c>
      <c r="AI129" s="471">
        <f>IF(H129="","",IF(AB129+Y129+Z129+X129+U129&lt;1.5,1.5,AB129+Y129+Z129+X129+U129))</f>
        <v>1.5</v>
      </c>
      <c r="AJ129" s="471">
        <f>+$P$17</f>
        <v>0.75</v>
      </c>
      <c r="AK129" s="472">
        <f>+BK129/100</f>
        <v>3.7198172721338324E-2</v>
      </c>
      <c r="AL129" s="471">
        <f>IF(AJ129=0," ",0.14+0.65*AJ129+0.05*AK129)</f>
        <v>0.62935990863606694</v>
      </c>
      <c r="AM129" s="473">
        <f t="shared" si="220"/>
        <v>336.32613267542746</v>
      </c>
      <c r="AN129" s="474">
        <f t="shared" si="221"/>
        <v>5</v>
      </c>
      <c r="AO129" s="474">
        <f>((1/60)*$AX129/$AQ129)</f>
        <v>0.25538888888888889</v>
      </c>
      <c r="AP129" s="474">
        <f>IF(B129=1,IF(($AN129+$AO129)&lt;10,10,IF(($AN129+$AO129)&gt;20,20,($AN129+$AO129))),($AN129+$AO129))</f>
        <v>10</v>
      </c>
      <c r="AQ129" s="475">
        <v>3</v>
      </c>
      <c r="AR129" s="474">
        <f>((1/60)*$AX129/$BT129)</f>
        <v>0.52523349901959138</v>
      </c>
      <c r="AS129" s="474">
        <f>AO129/AR129</f>
        <v>0.48623876688292267</v>
      </c>
      <c r="AT129" s="471" t="str">
        <f>IF(AS129&lt;0.9,"Disminuir vel.",IF(AS129&gt;1.1,"Aumentar vel.","Cumple"))</f>
        <v>Disminuir vel.</v>
      </c>
      <c r="AU129" s="492">
        <f>+I129*AL129*AM129</f>
        <v>24.452955934720791</v>
      </c>
      <c r="AV129" s="471">
        <f>+L129*AL129*AM129</f>
        <v>24.452955934720791</v>
      </c>
      <c r="AW129" s="471">
        <f>ROUND(IF(AI129&gt;(AV129*0.05),(AV129+AI129),AV129),2)</f>
        <v>25.95</v>
      </c>
      <c r="AX129" s="478">
        <f>IF(OR(C129="",D129=""),"",ROUND(((VLOOKUP(C129,'Base de Diseño (2)'!$A$2:$C$333,2,FALSE)-VLOOKUP(D129,'Base de Diseño (2)'!$A$2:$C$333,2,FALSE))^2+(VLOOKUP(C129,'Base de Diseño (2)'!$A$2:$C$333,3,0)-VLOOKUP(D129,'Base de Diseño (2)'!$A$2:$C$333,3,FALSE))^2)^0.5,2))</f>
        <v>45.97</v>
      </c>
      <c r="AY129" s="493">
        <v>8</v>
      </c>
      <c r="AZ129" s="480">
        <f>IF(AND(L129="",H129=""),"",IF(BA129=4,VLOOKUP(AY129,'TABLA (2)'!$A$74:$C$89,2),IF(BA129=5,VLOOKUP(AY129,'TABLA (2)'!$A$51:$B$66,2),IF(BA129=6,VLOOKUP(AY129,'TABLA (2)'!$A$9:$B$43,2)))))</f>
        <v>200</v>
      </c>
      <c r="BA129" s="493">
        <v>6</v>
      </c>
      <c r="BB129" s="478">
        <f>IF(OR(C129="",D129=""),"",VLOOKUP(C129,'Base de Diseño (2)'!$A$2:$D$330,4,FALSE))</f>
        <v>983.94159999999999</v>
      </c>
      <c r="BC129" s="478">
        <f>IF(OR(C129="",D129=""),"",VLOOKUP(D129,'Base de Diseño (2)'!$A$2:$D$330,4,FALSE))</f>
        <v>982.23160000000007</v>
      </c>
      <c r="BD129" s="23">
        <f>+BF129-((AZ129/1000)+CX129)</f>
        <v>1.5629999999999544</v>
      </c>
      <c r="BE129" s="23">
        <f>+BG129-((AZ129/1000)+CX129)</f>
        <v>1.0930000000000408</v>
      </c>
      <c r="BF129" s="494">
        <v>1.7999999999999545</v>
      </c>
      <c r="BG129" s="494">
        <v>1.3300000000000409</v>
      </c>
      <c r="BH129" s="495">
        <f>BB129-BF129</f>
        <v>982.14160000000004</v>
      </c>
      <c r="BI129" s="495">
        <f>BC129-BG129</f>
        <v>980.90160000000003</v>
      </c>
      <c r="BJ129" s="468">
        <f>IF(A129="",0,BI129-BH130)</f>
        <v>9.9999999999909051E-3</v>
      </c>
      <c r="BK129" s="475">
        <f>ABS((BB129-BC129)/AX129)*100</f>
        <v>3.7198172721338323</v>
      </c>
      <c r="BL129" s="475">
        <f>((BH129-BI129)/AX129)*100</f>
        <v>2.6974113552316927</v>
      </c>
      <c r="BM129" s="475">
        <f>IF(BA129=6,(1/0.013)*((AZ129/4000)^(2/3))*((BL129/100)^(0.5)),(1/0.009)*((AZ129/4000)^(2/3))*((BL129/100)^(0.5)))</f>
        <v>1.7146556227345162</v>
      </c>
      <c r="BN129" s="475">
        <f>1000*BM129*PI()*((AZ129/1000/2)^2)</f>
        <v>53.867495078191901</v>
      </c>
      <c r="BO129" s="204">
        <f>AI129/BN129</f>
        <v>2.7846106410232368E-2</v>
      </c>
      <c r="BP129" s="496">
        <f>IF(L129=0," ",AW129/BN129)</f>
        <v>0.48173764089701993</v>
      </c>
      <c r="BQ129" s="497">
        <f>IF($BO129&gt;0 =AND($BO129&lt;=0.06),10^(0.029806+0.29095*LOG($BO129)),IF($BO129&gt;0.06 =AND($BO129&lt;=0.26),10^(0.013778+0.282597*LOG($BO129)),IF($BO129&gt;0.26 =AND($BO129&lt;=0.91),10^(0.021763+0.28995*LOG($BO129)),1)))</f>
        <v>0.377841994433608</v>
      </c>
      <c r="BR129" s="497">
        <f>IF($BP129&gt;0 =AND($BP129&lt;=0.06),10^(0.029806+0.29095*LOG($BP129)),IF($BP129&gt;0.06 =AND($BP129&lt;=0.26),10^(0.013778+0.282597*LOG($BP129)),IF($BP129&gt;0.26 =AND($BP129&lt;=2),10^(0.021763+0.28995*LOG($BP129))," ")))</f>
        <v>0.85073427066504548</v>
      </c>
      <c r="BS129" s="475">
        <f>BM129*BQ129</f>
        <v>0.64786890026080968</v>
      </c>
      <c r="BT129" s="475">
        <f>IF(BP129=" "," ",(BM129*BR129))</f>
        <v>1.458716300648768</v>
      </c>
      <c r="BU129" s="475">
        <f>IF(BO129&lt;=0.11,0.3827+0.0645*LN(BO129),IF(BO129&lt;=0.21,0.60025+0.15471*LN(BO129),IF(BO129&lt;1,0.225+0.6666666667*BO129,0)))</f>
        <v>0.15172149273630536</v>
      </c>
      <c r="BV129" s="475">
        <f>IF(BP129&lt;=0.11,0.3827+0.0645*LN(BP129),IF(BP129&lt;=0.21,0.60025+0.15471*LN(BP129),IF(BP129&lt;1,0.225+0.6666666667*BP129," ")))</f>
        <v>0.54615842728073782</v>
      </c>
      <c r="BW129" s="475">
        <f>2*ACOS(1-2*(BU129))</f>
        <v>1.6004173092180847</v>
      </c>
      <c r="BX129" s="475">
        <f>IF(BP129=" "," ",(2*ACOS(1-2*(BV129))))</f>
        <v>3.3264896273797935</v>
      </c>
      <c r="BY129" s="475">
        <f>(1/4)*(1-(SIN(BW129))/BW129)</f>
        <v>9.3859266420951243E-2</v>
      </c>
      <c r="BZ129" s="475">
        <f>IF(BP129=" "," ",((1/4)*(1-(SIN(BX129))/BX129)))</f>
        <v>0.26381676218394046</v>
      </c>
      <c r="CA129" s="471">
        <f>BY129*AZ129/1000</f>
        <v>1.8771853284190249E-2</v>
      </c>
      <c r="CB129" s="471">
        <f>IF(BP129=" "," ",(BZ129*AZ129/1000))</f>
        <v>5.2763352436788091E-2</v>
      </c>
      <c r="CC129" s="471">
        <f t="shared" si="222"/>
        <v>1.5687826556241062</v>
      </c>
      <c r="CD129" s="471" t="str">
        <f>IF(CC129="","",IF(CC129&lt;0.7,"F. Subcrítico",IF(AND(CC129&gt;0.7,CC129&lt;1),"F. Subcrítico Inestable",IF(CC129=1,"F. Crítico",IF(AND(CC129&gt;1,CC129&lt;1.5),"F. Supercrítico Inestable",IF(CC129&gt;1.5,"F. Supercrítico",""))))))</f>
        <v>F. Supercrítico</v>
      </c>
      <c r="CE129" s="471">
        <f>1000*BL129*CA129/100</f>
        <v>0.50635410207518117</v>
      </c>
      <c r="CF129" s="471">
        <f>IF(BP129=" "," ",(1000*BL129*CB129/100))</f>
        <v>1.4232446600308399</v>
      </c>
      <c r="CG129" s="471" t="str">
        <f>IF(BS129&lt;0.45,"No cumple",IF(BS129&gt;5,"No cumple","O.K"))</f>
        <v>O.K</v>
      </c>
      <c r="CH129" s="471" t="str">
        <f>IF(BT129&lt;0.75,"No cumple",IF(BT129&gt;10,"No cumple","O.K"))</f>
        <v>O.K</v>
      </c>
      <c r="CI129" s="471" t="str">
        <f>IF(CE129&gt;0.1,"OK","V.C.H.")</f>
        <v>OK</v>
      </c>
      <c r="CJ129" s="471" t="str">
        <f>IF(CF129&gt;0.2,"OK","V.C.H.")</f>
        <v>OK</v>
      </c>
      <c r="CK129" s="468">
        <f>+BJ129</f>
        <v>9.9999999999909051E-3</v>
      </c>
      <c r="CL129" s="482" t="s">
        <v>2507</v>
      </c>
      <c r="CM129" s="482"/>
      <c r="CN129" s="63" t="str">
        <f>IF(B129=1,"dato"," ")</f>
        <v>dato</v>
      </c>
      <c r="CO129" s="498">
        <f>+CR129</f>
        <v>45.97</v>
      </c>
      <c r="CP129" s="472">
        <f>+BK129/100</f>
        <v>3.7198172721338324E-2</v>
      </c>
      <c r="CQ129" s="482" t="s">
        <v>2508</v>
      </c>
      <c r="CR129" s="204">
        <f>IF(BA129="","",AX129)</f>
        <v>45.97</v>
      </c>
      <c r="CS129" s="486">
        <v>1.2</v>
      </c>
      <c r="CT129" s="486">
        <v>1.2</v>
      </c>
      <c r="CU129" s="23">
        <f>IF($BA129="","",SQRT((BH129-BI129)^2+$CR129^2))</f>
        <v>45.986720909410359</v>
      </c>
      <c r="CV129" s="499" t="s">
        <v>2509</v>
      </c>
      <c r="CW129" s="488" t="str">
        <f>+IF(BD129&lt;=0.9,"E1",IF(BD129&lt;=2.5,"E2","E3"))</f>
        <v>E2</v>
      </c>
      <c r="CX129" s="204">
        <f>IF(AND(L129="",H129=""),"",IF(AND(BA129&lt;&gt;4,BA129&lt;&gt;5),VLOOKUP(AY129,'TABLA (2)'!$A$9:$D$43,4),IF(BA129=4,VLOOKUP(AY129,'TABLA (2)'!$A$74:$D$89,4),VLOOKUP(AY129,'TABLA (2)'!$A$51:$D$66,4))))</f>
        <v>3.6999999999999998E-2</v>
      </c>
      <c r="CY129" s="482"/>
      <c r="CZ129" s="482"/>
      <c r="DA129" s="482"/>
      <c r="DB129" s="490"/>
    </row>
    <row r="130" spans="1:106" ht="15" hidden="1" customHeight="1">
      <c r="A130" s="465">
        <v>78</v>
      </c>
      <c r="B130" s="491"/>
      <c r="C130" s="466" t="s">
        <v>2134</v>
      </c>
      <c r="D130" s="466" t="s">
        <v>2135</v>
      </c>
      <c r="E130" s="468"/>
      <c r="F130" s="468"/>
      <c r="G130" s="468">
        <f>IF(B130=1,0,SUMIF($D$22:$D$583,C130,$H$22:$H$583))</f>
        <v>0.16178535230000002</v>
      </c>
      <c r="H130" s="468">
        <f>+E130+F130+G130</f>
        <v>0.16178535230000002</v>
      </c>
      <c r="I130" s="468"/>
      <c r="J130" s="468"/>
      <c r="K130" s="467">
        <f ca="1">+IF(B130=1,0,SUMIF($D$22:$D$583,C130,$L$22:$L$580))</f>
        <v>0.16178535230000002</v>
      </c>
      <c r="L130" s="468">
        <f ca="1">+I130+J130+K130</f>
        <v>0.16178535230000002</v>
      </c>
      <c r="M130" s="469">
        <f>+$P$12</f>
        <v>242.33666300502347</v>
      </c>
      <c r="N130" s="470">
        <f>M130*E130</f>
        <v>0</v>
      </c>
      <c r="O130" s="470">
        <f>M130*F130</f>
        <v>0</v>
      </c>
      <c r="P130" s="470">
        <f>M130*H130</f>
        <v>39.206522399474103</v>
      </c>
      <c r="Q130" s="469">
        <f>+$H$14</f>
        <v>140</v>
      </c>
      <c r="R130" s="471">
        <f>Q130*P130*$P$14/86400</f>
        <v>5.3999724138164562E-2</v>
      </c>
      <c r="S130" s="471"/>
      <c r="T130" s="471"/>
      <c r="U130" s="471">
        <f>IF(C130="","",T130*$P$17)</f>
        <v>0</v>
      </c>
      <c r="V130" s="471"/>
      <c r="W130" s="471"/>
      <c r="X130" s="471">
        <f>IF(C130="","",W130*$P$16)</f>
        <v>0</v>
      </c>
      <c r="Y130" s="471">
        <f>IF(H130=0,0,$H$15*H130)</f>
        <v>3.2357070460000005E-2</v>
      </c>
      <c r="Z130" s="471">
        <f ca="1">IF(L130=0,$H$16*H130,0)</f>
        <v>0</v>
      </c>
      <c r="AA130" s="471">
        <f t="shared" si="219"/>
        <v>3.8</v>
      </c>
      <c r="AB130" s="471">
        <f>R130*AA130</f>
        <v>0.20519895172502534</v>
      </c>
      <c r="AC130" s="471">
        <f>Q130*(N130+O130)*$P$14/86400</f>
        <v>0</v>
      </c>
      <c r="AD130" s="471">
        <f>IF(E130=0,0,$H$15*(E130+F130))</f>
        <v>0</v>
      </c>
      <c r="AE130" s="471">
        <f>IF(F130=0,0,$H$15*(F130+G130))</f>
        <v>0</v>
      </c>
      <c r="AF130" s="471">
        <f>IF(N130="","",IF(1+((14/(4+(((N130+O130)+O130)/1000)^1/2)))&lt;1.4,1.4,IF(1+((14/(4+((N130+O130)/1000)^1/2)))&gt;=4,4,(1+((14/(4+((N130+O130)/1000)^1/2)))))))</f>
        <v>4</v>
      </c>
      <c r="AG130" s="471">
        <f>AC130*AF130</f>
        <v>0</v>
      </c>
      <c r="AH130" s="471">
        <f>+AD130+AE130+AG130</f>
        <v>0</v>
      </c>
      <c r="AI130" s="471">
        <f ca="1">IF(H130="","",IF(AB130+Y130+Z130+X130+U130&lt;1.5,1.5,AB130+Y130+Z130+X130+U130))</f>
        <v>1.5</v>
      </c>
      <c r="AJ130" s="471">
        <f>+$P$17</f>
        <v>0.75</v>
      </c>
      <c r="AK130" s="472">
        <f>+BK130/100</f>
        <v>3.5959463877084756E-2</v>
      </c>
      <c r="AL130" s="471">
        <f>IF(AJ130=0," ",0.14+0.65*AJ130+0.05*AK130)</f>
        <v>0.62929797319385428</v>
      </c>
      <c r="AM130" s="473">
        <f t="shared" si="220"/>
        <v>334.64730223099792</v>
      </c>
      <c r="AN130" s="474">
        <f t="shared" si="221"/>
        <v>10</v>
      </c>
      <c r="AO130" s="474">
        <f>((1/60)*$AX130/$AQ130)</f>
        <v>0.16994444444444445</v>
      </c>
      <c r="AP130" s="474">
        <f>IF(B130=1,IF(($AN130+$AO130)&lt;10,10,IF(($AN130+$AO130)&gt;20,20,($AN130+$AO130))),($AN130+$AO130))</f>
        <v>10.169944444444445</v>
      </c>
      <c r="AQ130" s="475">
        <v>3</v>
      </c>
      <c r="AR130" s="474">
        <f ca="1">((1/60)*$AX130/$BT130)</f>
        <v>0.20522003424509278</v>
      </c>
      <c r="AS130" s="474">
        <f ca="1">AO130/AR130</f>
        <v>0.82810844988692023</v>
      </c>
      <c r="AT130" s="471" t="str">
        <f ca="1">IF(AS130&lt;0.9,"Disminuir vel.",IF(AS130&gt;1.1,"Aumentar vel.","Cumple"))</f>
        <v>Disminuir vel.</v>
      </c>
      <c r="AU130" s="492">
        <f>+I130*AL130*AM130</f>
        <v>0</v>
      </c>
      <c r="AV130" s="471">
        <f ca="1">+L130*AL130*AM130</f>
        <v>34.070841507685408</v>
      </c>
      <c r="AW130" s="471">
        <f ca="1">ROUND(IF(AI130&gt;(AV130*0.05),(AV130+AI130),AV130),2)</f>
        <v>34.07</v>
      </c>
      <c r="AX130" s="478">
        <f>IF(OR(C130="",D130=""),"",ROUND(((VLOOKUP(C130,'Base de Diseño (2)'!$A$2:$C$333,2,FALSE)-VLOOKUP(D130,'Base de Diseño (2)'!$A$2:$C$333,2,FALSE))^2+(VLOOKUP(C130,'Base de Diseño (2)'!$A$2:$C$333,3,0)-VLOOKUP(D130,'Base de Diseño (2)'!$A$2:$C$333,3,FALSE))^2)^0.5,2))</f>
        <v>30.59</v>
      </c>
      <c r="AY130" s="493">
        <v>8</v>
      </c>
      <c r="AZ130" s="480">
        <f ca="1">IF(AND(L130="",H130=""),"",IF(BA130=4,VLOOKUP(AY130,'TABLA (2)'!$A$74:$C$89,2),IF(BA130=5,VLOOKUP(AY130,'TABLA (2)'!$A$51:$B$66,2),IF(BA130=6,VLOOKUP(AY130,'TABLA (2)'!$A$9:$B$43,2)))))</f>
        <v>200</v>
      </c>
      <c r="BA130" s="493">
        <v>6</v>
      </c>
      <c r="BB130" s="478">
        <f>IF(OR(C130="",D130=""),"",VLOOKUP(C130,'Base de Diseño (2)'!$A$2:$D$330,4,FALSE))</f>
        <v>982.23160000000007</v>
      </c>
      <c r="BC130" s="478">
        <f>IF(OR(C130="",D130=""),"",VLOOKUP(D130,'Base de Diseño (2)'!$A$2:$D$330,4,FALSE))</f>
        <v>981.13160000000005</v>
      </c>
      <c r="BD130" s="23">
        <f ca="1">+BF130-((AZ130/1000)+CX130)</f>
        <v>1.1030000000000317</v>
      </c>
      <c r="BE130" s="23">
        <f ca="1">+BG130-((AZ130/1000)+CX130)</f>
        <v>2.9630000000000454</v>
      </c>
      <c r="BF130" s="494">
        <v>1.3400000000000318</v>
      </c>
      <c r="BG130" s="494">
        <v>3.2000000000000455</v>
      </c>
      <c r="BH130" s="495">
        <f>BB130-BF130</f>
        <v>980.89160000000004</v>
      </c>
      <c r="BI130" s="495">
        <f>BC130-BG130</f>
        <v>977.9316</v>
      </c>
      <c r="BJ130" s="468">
        <f>IF(A130="",0,BI130-BH131)</f>
        <v>977.9316</v>
      </c>
      <c r="BK130" s="475">
        <f>ABS((BB130-BC130)/AX130)*100</f>
        <v>3.5959463877084756</v>
      </c>
      <c r="BL130" s="475">
        <f>((BH130-BI130)/AX130)*100</f>
        <v>9.6763648251063614</v>
      </c>
      <c r="BM130" s="475">
        <f ca="1">IF(BA130=6,(1/0.013)*((AZ130/4000)^(2/3))*((BL130/100)^(0.5)),(1/0.009)*((AZ130/4000)^(2/3))*((BL130/100)^(0.5)))</f>
        <v>3.2475768302916643</v>
      </c>
      <c r="BN130" s="475">
        <f ca="1">1000*BM130*PI()*((AZ130/1000/2)^2)</f>
        <v>102.02563512012721</v>
      </c>
      <c r="BO130" s="204">
        <f ca="1">AI130/BN130</f>
        <v>1.4702187330016298E-2</v>
      </c>
      <c r="BP130" s="496">
        <f ca="1">IF(L130=0," ",AW130/BN130)</f>
        <v>0.33393568155577019</v>
      </c>
      <c r="BQ130" s="497">
        <f ca="1">IF($BO130&gt;0 =AND($BO130&lt;=0.06),10^(0.029806+0.29095*LOG($BO130)),IF($BO130&gt;0.06 =AND($BO130&lt;=0.26),10^(0.013778+0.282597*LOG($BO130)),IF($BO130&gt;0.26 =AND($BO130&lt;=0.91),10^(0.021763+0.28995*LOG($BO130)),1)))</f>
        <v>0.31376592612222642</v>
      </c>
      <c r="BR130" s="497">
        <f ca="1">IF($BP130&gt;0 =AND($BP130&lt;=0.06),10^(0.029806+0.29095*LOG($BP130)),IF($BP130&gt;0.06 =AND($BP130&lt;=0.26),10^(0.013778+0.282597*LOG($BP130)),IF($BP130&gt;0.26 =AND($BP130&lt;=2),10^(0.021763+0.28995*LOG($BP130))," ")))</f>
        <v>0.76497816048208589</v>
      </c>
      <c r="BS130" s="475">
        <f ca="1">BM130*BQ130</f>
        <v>1.0189789518095487</v>
      </c>
      <c r="BT130" s="475">
        <f ca="1">IF(BP130=" "," ",(BM130*BR130))</f>
        <v>2.4843253496607605</v>
      </c>
      <c r="BU130" s="475">
        <f ca="1">IF(BO130&lt;=0.11,0.3827+0.0645*LN(BO130),IF(BO130&lt;=0.21,0.60025+0.15471*LN(BO130),IF(BO130&lt;1,0.225+0.6666666667*BO130,0)))</f>
        <v>0.11052554460923247</v>
      </c>
      <c r="BV130" s="475">
        <f ca="1">IF(BP130&lt;=0.11,0.3827+0.0645*LN(BP130),IF(BP130&lt;=0.21,0.60025+0.15471*LN(BP130),IF(BP130&lt;1,0.225+0.6666666667*BP130," ")))</f>
        <v>0.44762378771497802</v>
      </c>
      <c r="BW130" s="475">
        <f ca="1">2*ACOS(1-2*(BU130))</f>
        <v>1.3556168072543204</v>
      </c>
      <c r="BX130" s="475">
        <f ca="1">IF(BP130=" "," ",(2*ACOS(1-2*(BV130))))</f>
        <v>2.9317027481287035</v>
      </c>
      <c r="BY130" s="475">
        <f ca="1">(1/4)*(1-(SIN(BW130))/BW130)</f>
        <v>6.9835134603631527E-2</v>
      </c>
      <c r="BZ130" s="475">
        <f ca="1">IF(BP130=" "," ",((1/4)*(1-(SIN(BX130))/BX130)))</f>
        <v>0.2322328318540002</v>
      </c>
      <c r="CA130" s="471">
        <f ca="1">BY130*AZ130/1000</f>
        <v>1.3967026920726305E-2</v>
      </c>
      <c r="CB130" s="471">
        <f ca="1">IF(BP130=" "," ",(BZ130*AZ130/1000))</f>
        <v>4.6446566370800045E-2</v>
      </c>
      <c r="CC130" s="471">
        <f t="shared" ca="1" si="222"/>
        <v>3.0314766004260867</v>
      </c>
      <c r="CD130" s="471" t="str">
        <f ca="1">IF(CC130="","",IF(CC130&lt;0.7,"F. Subcrítico",IF(AND(CC130&gt;0.7,CC130&lt;1),"F. Subcrítico Inestable",IF(CC130=1,"F. Crítico",IF(AND(CC130&gt;1,CC130&lt;1.5),"F. Supercrítico Inestable",IF(CC130&gt;1.5,"F. Supercrítico",""))))))</f>
        <v>F. Supercrítico</v>
      </c>
      <c r="CE130" s="471">
        <f ca="1">1000*BL130*CA130/100</f>
        <v>1.3515004800702963</v>
      </c>
      <c r="CF130" s="471">
        <f ca="1">IF(BP130=" "," ",(1000*BL130*CB130/100))</f>
        <v>4.4943392107737754</v>
      </c>
      <c r="CG130" s="471" t="str">
        <f ca="1">IF(BS130&lt;0.45,"No cumple",IF(BS130&gt;5,"No cumple","O.K"))</f>
        <v>O.K</v>
      </c>
      <c r="CH130" s="471" t="str">
        <f ca="1">IF(BT130&lt;0.75,"No cumple",IF(BT130&gt;10,"No cumple","O.K"))</f>
        <v>O.K</v>
      </c>
      <c r="CI130" s="471" t="str">
        <f ca="1">IF(CE130&gt;0.1,"OK","V.C.H.")</f>
        <v>OK</v>
      </c>
      <c r="CJ130" s="471" t="str">
        <f ca="1">IF(CF130&gt;0.2,"OK","V.C.H.")</f>
        <v>OK</v>
      </c>
      <c r="CK130" s="468">
        <f>+BJ130</f>
        <v>977.9316</v>
      </c>
      <c r="CL130" s="482" t="s">
        <v>2507</v>
      </c>
      <c r="CM130" s="482"/>
      <c r="CN130" s="63" t="str">
        <f>IF(B130=1,"dato"," ")</f>
        <v xml:space="preserve"> </v>
      </c>
      <c r="CO130" s="498">
        <f>+CR130</f>
        <v>30.59</v>
      </c>
      <c r="CP130" s="472">
        <f>+BK130/100</f>
        <v>3.5959463877084756E-2</v>
      </c>
      <c r="CQ130" s="482" t="s">
        <v>2508</v>
      </c>
      <c r="CR130" s="204">
        <f>IF(BA130="","",AX130)</f>
        <v>30.59</v>
      </c>
      <c r="CS130" s="486">
        <v>1.2</v>
      </c>
      <c r="CT130" s="486">
        <v>1.2</v>
      </c>
      <c r="CU130" s="23">
        <f>IF($BA130="","",SQRT((BH130-BI130)^2+$CR130^2))</f>
        <v>30.732876533120038</v>
      </c>
      <c r="CV130" s="499" t="s">
        <v>2509</v>
      </c>
      <c r="CW130" s="488" t="str">
        <f ca="1">+IF(BD130&lt;=0.9,"E1",IF(BD130&lt;=2.5,"E2","E3"))</f>
        <v>E2</v>
      </c>
      <c r="CX130" s="204">
        <f ca="1">IF(AND(L130="",H130=""),"",IF(AND(BA130&lt;&gt;4,BA130&lt;&gt;5),VLOOKUP(AY130,'TABLA (2)'!$A$9:$D$43,4),IF(BA130=4,VLOOKUP(AY130,'TABLA (2)'!$A$74:$D$89,4),VLOOKUP(AY130,'TABLA (2)'!$A$51:$D$66,4))))</f>
        <v>3.6999999999999998E-2</v>
      </c>
      <c r="CY130" s="482"/>
      <c r="CZ130" s="482"/>
      <c r="DA130" s="482"/>
      <c r="DB130" s="490"/>
    </row>
    <row r="131" spans="1:106" ht="15" hidden="1" customHeight="1">
      <c r="A131" s="465"/>
      <c r="B131" s="491"/>
      <c r="C131" s="466"/>
      <c r="D131" s="466"/>
      <c r="E131" s="468"/>
      <c r="F131" s="468"/>
      <c r="G131" s="468"/>
      <c r="H131" s="468"/>
      <c r="I131" s="468"/>
      <c r="J131" s="468"/>
      <c r="K131" s="467"/>
      <c r="L131" s="468"/>
      <c r="M131" s="469"/>
      <c r="N131" s="470"/>
      <c r="O131" s="470"/>
      <c r="P131" s="470"/>
      <c r="Q131" s="469"/>
      <c r="R131" s="471"/>
      <c r="S131" s="471"/>
      <c r="T131" s="471"/>
      <c r="U131" s="471"/>
      <c r="V131" s="471"/>
      <c r="W131" s="471"/>
      <c r="X131" s="471"/>
      <c r="Y131" s="471"/>
      <c r="Z131" s="471"/>
      <c r="AA131" s="471" t="str">
        <f t="shared" si="219"/>
        <v/>
      </c>
      <c r="AB131" s="471"/>
      <c r="AC131" s="471"/>
      <c r="AD131" s="471"/>
      <c r="AE131" s="471"/>
      <c r="AF131" s="471"/>
      <c r="AG131" s="471"/>
      <c r="AH131" s="471"/>
      <c r="AI131" s="471"/>
      <c r="AJ131" s="471"/>
      <c r="AK131" s="472"/>
      <c r="AL131" s="471"/>
      <c r="AM131" s="473">
        <f t="shared" si="220"/>
        <v>474.44695720875893</v>
      </c>
      <c r="AN131" s="474">
        <f t="shared" si="221"/>
        <v>10.169944444444445</v>
      </c>
      <c r="AO131" s="474"/>
      <c r="AP131" s="474"/>
      <c r="AQ131" s="475">
        <v>3</v>
      </c>
      <c r="AR131" s="474"/>
      <c r="AS131" s="474"/>
      <c r="AT131" s="471"/>
      <c r="AU131" s="492"/>
      <c r="AV131" s="471"/>
      <c r="AW131" s="471"/>
      <c r="AX131" s="478"/>
      <c r="AY131" s="493"/>
      <c r="AZ131" s="480"/>
      <c r="BA131" s="493"/>
      <c r="BB131" s="478" t="str">
        <f>IF(OR(C131="",D131=""),"",VLOOKUP(C131,'Base de Diseño (2)'!$A$2:$D$330,4,FALSE))</f>
        <v/>
      </c>
      <c r="BC131" s="478" t="str">
        <f>IF(OR(C131="",D131=""),"",VLOOKUP(D131,'Base de Diseño (2)'!$A$2:$D$330,4,FALSE))</f>
        <v/>
      </c>
      <c r="BD131" s="23"/>
      <c r="BE131" s="23"/>
      <c r="BF131" s="494"/>
      <c r="BG131" s="494"/>
      <c r="BH131" s="495"/>
      <c r="BI131" s="495"/>
      <c r="BJ131" s="468"/>
      <c r="BK131" s="475"/>
      <c r="BL131" s="475"/>
      <c r="BM131" s="475"/>
      <c r="BN131" s="475"/>
      <c r="BO131" s="204"/>
      <c r="BP131" s="496"/>
      <c r="BQ131" s="497"/>
      <c r="BR131" s="497"/>
      <c r="BS131" s="475"/>
      <c r="BT131" s="475"/>
      <c r="BU131" s="475"/>
      <c r="BV131" s="475"/>
      <c r="BW131" s="475"/>
      <c r="BX131" s="475"/>
      <c r="BY131" s="475"/>
      <c r="BZ131" s="475"/>
      <c r="CA131" s="471"/>
      <c r="CB131" s="471"/>
      <c r="CC131" s="471" t="e">
        <f t="shared" si="222"/>
        <v>#DIV/0!</v>
      </c>
      <c r="CD131" s="471"/>
      <c r="CE131" s="471"/>
      <c r="CF131" s="471"/>
      <c r="CG131" s="471"/>
      <c r="CH131" s="471"/>
      <c r="CI131" s="471"/>
      <c r="CJ131" s="471"/>
      <c r="CK131" s="468"/>
      <c r="CL131" s="482" t="s">
        <v>2507</v>
      </c>
      <c r="CM131" s="482"/>
      <c r="CN131" s="63"/>
      <c r="CO131" s="498"/>
      <c r="CP131" s="472"/>
      <c r="CQ131" s="482"/>
      <c r="CR131" s="204"/>
      <c r="CS131" s="486"/>
      <c r="CT131" s="486"/>
      <c r="CU131" s="23"/>
      <c r="CV131" s="499"/>
      <c r="CW131" s="488"/>
      <c r="CX131" s="204"/>
      <c r="CY131" s="482"/>
      <c r="CZ131" s="482"/>
      <c r="DA131" s="482"/>
      <c r="DB131" s="490"/>
    </row>
    <row r="132" spans="1:106" ht="15" hidden="1" customHeight="1">
      <c r="A132" s="465">
        <v>79</v>
      </c>
      <c r="B132" s="491">
        <v>1</v>
      </c>
      <c r="C132" s="466" t="s">
        <v>2103</v>
      </c>
      <c r="D132" s="466" t="s">
        <v>2133</v>
      </c>
      <c r="E132" s="468">
        <v>4.6261495999999999E-2</v>
      </c>
      <c r="F132" s="468"/>
      <c r="G132" s="468">
        <f>IF(B132=1,0,SUMIF($D$22:$D$583,C132,$H$22:$H$583))</f>
        <v>0</v>
      </c>
      <c r="H132" s="468">
        <f>+E132+F132+G132</f>
        <v>4.6261495999999999E-2</v>
      </c>
      <c r="I132" s="468">
        <v>4.6261495999999999E-2</v>
      </c>
      <c r="J132" s="468"/>
      <c r="K132" s="467">
        <f>+IF(B132=1,0,SUMIF($D$22:$D$583,C132,$L$22:$L$580))</f>
        <v>0</v>
      </c>
      <c r="L132" s="468">
        <f>+I132+J132+K132</f>
        <v>4.6261495999999999E-2</v>
      </c>
      <c r="M132" s="469">
        <f>+$P$12</f>
        <v>242.33666300502347</v>
      </c>
      <c r="N132" s="470">
        <f>M132*E132</f>
        <v>11.21085656626024</v>
      </c>
      <c r="O132" s="470">
        <f>M132*F132</f>
        <v>0</v>
      </c>
      <c r="P132" s="470">
        <f>M132*H132</f>
        <v>11.21085656626024</v>
      </c>
      <c r="Q132" s="469">
        <f>+$H$14</f>
        <v>140</v>
      </c>
      <c r="R132" s="471">
        <f>Q132*P132*$P$14/86400</f>
        <v>1.5440878835474174E-2</v>
      </c>
      <c r="S132" s="471"/>
      <c r="T132" s="471"/>
      <c r="U132" s="471">
        <f>IF(C132="","",T132*$P$17)</f>
        <v>0</v>
      </c>
      <c r="V132" s="471"/>
      <c r="W132" s="471"/>
      <c r="X132" s="471">
        <f>IF(C132="","",W132*$P$16)</f>
        <v>0</v>
      </c>
      <c r="Y132" s="471">
        <f>IF(H132=0,0,$H$15*H132)</f>
        <v>9.2522991999999995E-3</v>
      </c>
      <c r="Z132" s="471">
        <f>IF(L132=0,$H$16*H132,0)</f>
        <v>0</v>
      </c>
      <c r="AA132" s="471">
        <f t="shared" si="219"/>
        <v>3.8</v>
      </c>
      <c r="AB132" s="471">
        <f>R132*AA132</f>
        <v>5.8675339574801859E-2</v>
      </c>
      <c r="AC132" s="471">
        <f>Q132*(N132+O132)*$P$14/86400</f>
        <v>1.5440878835474174E-2</v>
      </c>
      <c r="AD132" s="471">
        <f>IF(E132=0,0,$H$15*(E132+F132))</f>
        <v>9.2522991999999995E-3</v>
      </c>
      <c r="AE132" s="471">
        <f>IF(F132=0,0,$H$15*(F132+G132))</f>
        <v>0</v>
      </c>
      <c r="AF132" s="471">
        <f>IF(N132="","",IF(1+((14/(4+(((N132+O132)+O132)/1000)^1/2)))&lt;1.4,1.4,IF(1+((14/(4+((N132+O132)/1000)^1/2)))&gt;=4,4,(1+((14/(4+((N132+O132)/1000)^1/2)))))))</f>
        <v>4</v>
      </c>
      <c r="AG132" s="471">
        <f>AC132*AF132</f>
        <v>6.1763515341896696E-2</v>
      </c>
      <c r="AH132" s="471">
        <f>+AD132+AE132+AG132</f>
        <v>7.1015814541896691E-2</v>
      </c>
      <c r="AI132" s="471">
        <f>IF(H132="","",IF(AB132+Y132+Z132+X132+U132&lt;1.5,1.5,AB132+Y132+Z132+X132+U132))</f>
        <v>1.5</v>
      </c>
      <c r="AJ132" s="471">
        <f>+$P$17</f>
        <v>0.75</v>
      </c>
      <c r="AK132" s="472">
        <f>+BK132/100</f>
        <v>5.0868486352358071E-2</v>
      </c>
      <c r="AL132" s="471">
        <f>IF(AJ132=0," ",0.14+0.65*AJ132+0.05*AK132)</f>
        <v>0.63004342431761795</v>
      </c>
      <c r="AM132" s="473">
        <f t="shared" si="220"/>
        <v>336.32613267542746</v>
      </c>
      <c r="AN132" s="474">
        <f t="shared" si="221"/>
        <v>5</v>
      </c>
      <c r="AO132" s="474">
        <f>((1/60)*$AX132/$AQ132)</f>
        <v>0.13433333333333333</v>
      </c>
      <c r="AP132" s="474">
        <f>IF(B132=1,IF(($AN132+$AO132)&lt;10,10,IF(($AN132+$AO132)&gt;20,20,($AN132+$AO132))),($AN132+$AO132))</f>
        <v>10</v>
      </c>
      <c r="AQ132" s="475">
        <v>3</v>
      </c>
      <c r="AR132" s="474">
        <f>((1/60)*$AX132/$BT132)</f>
        <v>0.30261973693539723</v>
      </c>
      <c r="AS132" s="474">
        <f>AO132/AR132</f>
        <v>0.44390142789004733</v>
      </c>
      <c r="AT132" s="471" t="str">
        <f>IF(AS132&lt;0.9,"Disminuir vel.",IF(AS132&gt;1.1,"Aumentar vel.","Cumple"))</f>
        <v>Disminuir vel.</v>
      </c>
      <c r="AU132" s="492">
        <f>+I132*AL132*AM132</f>
        <v>9.8028141629080494</v>
      </c>
      <c r="AV132" s="471">
        <f>+L132*AL132*AM132</f>
        <v>9.8028141629080494</v>
      </c>
      <c r="AW132" s="471">
        <f>ROUND(IF(AI132&gt;(AV132*0.05),(AV132+AI132),AV132),2)</f>
        <v>11.3</v>
      </c>
      <c r="AX132" s="478">
        <f>IF(OR(C132="",D132=""),"",ROUND(((VLOOKUP(C132,'Base de Diseño (2)'!$A$2:$C$333,2,FALSE)-VLOOKUP(D132,'Base de Diseño (2)'!$A$2:$C$333,2,FALSE))^2+(VLOOKUP(C132,'Base de Diseño (2)'!$A$2:$C$333,3,0)-VLOOKUP(D132,'Base de Diseño (2)'!$A$2:$C$333,3,FALSE))^2)^0.5,2))</f>
        <v>24.18</v>
      </c>
      <c r="AY132" s="493">
        <v>8</v>
      </c>
      <c r="AZ132" s="480">
        <f>IF(AND(L132="",H132=""),"",IF(BA132=4,VLOOKUP(AY132,'TABLA (2)'!$A$74:$C$89,2),IF(BA132=5,VLOOKUP(AY132,'TABLA (2)'!$A$51:$B$66,2),IF(BA132=6,VLOOKUP(AY132,'TABLA (2)'!$A$9:$B$43,2)))))</f>
        <v>200</v>
      </c>
      <c r="BA132" s="493">
        <v>6</v>
      </c>
      <c r="BB132" s="478">
        <f>IF(OR(C132="",D132=""),"",VLOOKUP(C132,'Base de Diseño (2)'!$A$2:$D$330,4,FALSE))</f>
        <v>983.91160000000002</v>
      </c>
      <c r="BC132" s="478">
        <f>IF(OR(C132="",D132=""),"",VLOOKUP(D132,'Base de Diseño (2)'!$A$2:$D$330,4,FALSE))</f>
        <v>982.6816</v>
      </c>
      <c r="BD132" s="23">
        <f>+BF132-((AZ132/1000)+CX132)</f>
        <v>1.2330000000000272</v>
      </c>
      <c r="BE132" s="23">
        <f>+BG132-((AZ132/1000)+CX132)</f>
        <v>1.0129999999999999</v>
      </c>
      <c r="BF132" s="494">
        <v>1.4700000000000273</v>
      </c>
      <c r="BG132" s="494">
        <v>1.25</v>
      </c>
      <c r="BH132" s="495">
        <f>BB132-BF132</f>
        <v>982.44159999999999</v>
      </c>
      <c r="BI132" s="495">
        <f>BC132-BG132</f>
        <v>981.4316</v>
      </c>
      <c r="BJ132" s="468">
        <f>IF(A132="",0,BI132-BH133)</f>
        <v>2.9999999999972715E-2</v>
      </c>
      <c r="BK132" s="475">
        <f>ABS((BB132-BC132)/AX132)*100</f>
        <v>5.0868486352358069</v>
      </c>
      <c r="BL132" s="475">
        <f>((BH132-BI132)/AX132)*100</f>
        <v>4.1770057899089785</v>
      </c>
      <c r="BM132" s="475">
        <f>IF(BA132=6,(1/0.013)*((AZ132/4000)^(2/3))*((BL132/100)^(0.5)),(1/0.009)*((AZ132/4000)^(2/3))*((BL132/100)^(0.5)))</f>
        <v>2.1337122760417686</v>
      </c>
      <c r="BN132" s="475">
        <f>1000*BM132*PI()*((AZ132/1000/2)^2)</f>
        <v>67.03254811287178</v>
      </c>
      <c r="BO132" s="204">
        <f>AI132/BN132</f>
        <v>2.2377189025758751E-2</v>
      </c>
      <c r="BP132" s="496">
        <f>IF(L132=0," ",AW132/BN132)</f>
        <v>0.16857482399404927</v>
      </c>
      <c r="BQ132" s="497">
        <f>IF($BO132&gt;0 =AND($BO132&lt;=0.06),10^(0.029806+0.29095*LOG($BO132)),IF($BO132&gt;0.06 =AND($BO132&lt;=0.26),10^(0.013778+0.282597*LOG($BO132)),IF($BO132&gt;0.26 =AND($BO132&lt;=0.91),10^(0.021763+0.28995*LOG($BO132)),1)))</f>
        <v>0.35455361608514707</v>
      </c>
      <c r="BR132" s="497">
        <f>IF($BP132&gt;0 =AND($BP132&lt;=0.06),10^(0.029806+0.29095*LOG($BP132)),IF($BP132&gt;0.06 =AND($BP132&lt;=0.26),10^(0.013778+0.282597*LOG($BP132)),IF($BP132&gt;0.26 =AND($BP132&lt;=2),10^(0.021763+0.28995*LOG($BP132))," ")))</f>
        <v>0.62412551993213217</v>
      </c>
      <c r="BS132" s="475">
        <f>BM132*BQ132</f>
        <v>0.75651540315587862</v>
      </c>
      <c r="BT132" s="475">
        <f>IF(BP132=" "," ",(BM132*BR132))</f>
        <v>1.331704283670142</v>
      </c>
      <c r="BU132" s="475">
        <f>IF(BO132&lt;=0.11,0.3827+0.0645*LN(BO132),IF(BO132&lt;=0.21,0.60025+0.15471*LN(BO132),IF(BO132&lt;1,0.225+0.6666666667*BO132,0)))</f>
        <v>0.13761849949957219</v>
      </c>
      <c r="BV132" s="475">
        <f>IF(BP132&lt;=0.11,0.3827+0.0645*LN(BP132),IF(BP132&lt;=0.21,0.60025+0.15471*LN(BP132),IF(BP132&lt;1,0.225+0.6666666667*BP132," ")))</f>
        <v>0.32480809580618136</v>
      </c>
      <c r="BW132" s="475">
        <f>2*ACOS(1-2*(BU132))</f>
        <v>1.5202119419298268</v>
      </c>
      <c r="BX132" s="475">
        <f>IF(BP132=" "," ",(2*ACOS(1-2*(BV132))))</f>
        <v>2.4256309364962818</v>
      </c>
      <c r="BY132" s="475">
        <f>(1/4)*(1-(SIN(BW132))/BW132)</f>
        <v>8.5759597849349528E-2</v>
      </c>
      <c r="BZ132" s="475">
        <f>IF(BP132=" "," ",((1/4)*(1-(SIN(BX132))/BX132)))</f>
        <v>0.18235334262965502</v>
      </c>
      <c r="CA132" s="471">
        <f>BY132*AZ132/1000</f>
        <v>1.7151919569869906E-2</v>
      </c>
      <c r="CB132" s="471">
        <f>IF(BP132=" "," ",(BZ132*AZ132/1000))</f>
        <v>3.6470668525931005E-2</v>
      </c>
      <c r="CC132" s="471">
        <f t="shared" si="222"/>
        <v>1.956512302335355</v>
      </c>
      <c r="CD132" s="471" t="str">
        <f>IF(CC132="","",IF(CC132&lt;0.7,"F. Subcrítico",IF(AND(CC132&gt;0.7,CC132&lt;1),"F. Subcrítico Inestable",IF(CC132=1,"F. Crítico",IF(AND(CC132&gt;1,CC132&lt;1.5),"F. Supercrítico Inestable",IF(CC132&gt;1.5,"F. Supercrítico",""))))))</f>
        <v>F. Supercrítico</v>
      </c>
      <c r="CE132" s="471">
        <f>1000*BL132*CA132/100</f>
        <v>0.71643667351399709</v>
      </c>
      <c r="CF132" s="471">
        <f>IF(BP132=" "," ",(1000*BL132*CB132/100))</f>
        <v>1.5233819359466496</v>
      </c>
      <c r="CG132" s="471" t="str">
        <f>IF(BS132&lt;0.45,"No cumple",IF(BS132&gt;5,"No cumple","O.K"))</f>
        <v>O.K</v>
      </c>
      <c r="CH132" s="471" t="str">
        <f>IF(BT132&lt;0.75,"No cumple",IF(BT132&gt;10,"No cumple","O.K"))</f>
        <v>O.K</v>
      </c>
      <c r="CI132" s="471" t="str">
        <f>IF(CE132&gt;0.1,"OK","V.C.H.")</f>
        <v>OK</v>
      </c>
      <c r="CJ132" s="471" t="str">
        <f>IF(CF132&gt;0.2,"OK","V.C.H.")</f>
        <v>OK</v>
      </c>
      <c r="CK132" s="468">
        <f>+BJ132</f>
        <v>2.9999999999972715E-2</v>
      </c>
      <c r="CL132" s="482" t="s">
        <v>2507</v>
      </c>
      <c r="CM132" s="482"/>
      <c r="CN132" s="63" t="str">
        <f>IF(B132=1,"dato"," ")</f>
        <v>dato</v>
      </c>
      <c r="CO132" s="498">
        <f>+CR132</f>
        <v>24.18</v>
      </c>
      <c r="CP132" s="472">
        <f>+BK132/100</f>
        <v>5.0868486352358071E-2</v>
      </c>
      <c r="CQ132" s="482" t="s">
        <v>2508</v>
      </c>
      <c r="CR132" s="204">
        <f>IF(BA132="","",AX132)</f>
        <v>24.18</v>
      </c>
      <c r="CS132" s="486">
        <v>1.2</v>
      </c>
      <c r="CT132" s="486">
        <v>1.2</v>
      </c>
      <c r="CU132" s="23">
        <f>IF($BA132="","",SQRT((BH132-BI132)^2+$CR132^2))</f>
        <v>24.201084686435028</v>
      </c>
      <c r="CV132" s="499" t="s">
        <v>2509</v>
      </c>
      <c r="CW132" s="488" t="str">
        <f>+IF(BD132&lt;=0.9,"E1",IF(BD132&lt;=2.5,"E2","E3"))</f>
        <v>E2</v>
      </c>
      <c r="CX132" s="204">
        <f>IF(AND(L132="",H132=""),"",IF(AND(BA132&lt;&gt;4,BA132&lt;&gt;5),VLOOKUP(AY132,'TABLA (2)'!$A$9:$D$43,4),IF(BA132=4,VLOOKUP(AY132,'TABLA (2)'!$A$74:$D$89,4),VLOOKUP(AY132,'TABLA (2)'!$A$51:$D$66,4))))</f>
        <v>3.6999999999999998E-2</v>
      </c>
      <c r="CY132" s="482"/>
      <c r="CZ132" s="482"/>
      <c r="DA132" s="482"/>
      <c r="DB132" s="490"/>
    </row>
    <row r="133" spans="1:106" ht="15" hidden="1" customHeight="1">
      <c r="A133" s="465">
        <v>80</v>
      </c>
      <c r="B133" s="491"/>
      <c r="C133" s="466" t="s">
        <v>2133</v>
      </c>
      <c r="D133" s="466" t="s">
        <v>2134</v>
      </c>
      <c r="E133" s="468"/>
      <c r="F133" s="468"/>
      <c r="G133" s="468">
        <f>IF(B133=1,0,SUMIF($D$22:$D$583,C133,$H$22:$H$583))</f>
        <v>4.6261495999999999E-2</v>
      </c>
      <c r="H133" s="468">
        <f>+E133+F133+G133</f>
        <v>4.6261495999999999E-2</v>
      </c>
      <c r="I133" s="468"/>
      <c r="J133" s="468"/>
      <c r="K133" s="467">
        <f ca="1">+IF(B133=1,0,SUMIF($D$22:$D$583,C133,$L$22:$L$580))</f>
        <v>4.6261495999999999E-2</v>
      </c>
      <c r="L133" s="468">
        <f ca="1">+I133+J133+K133</f>
        <v>4.6261495999999999E-2</v>
      </c>
      <c r="M133" s="469">
        <f>+$P$12</f>
        <v>242.33666300502347</v>
      </c>
      <c r="N133" s="470">
        <f>M133*E133</f>
        <v>0</v>
      </c>
      <c r="O133" s="470">
        <f>M133*F133</f>
        <v>0</v>
      </c>
      <c r="P133" s="470">
        <f>M133*H133</f>
        <v>11.21085656626024</v>
      </c>
      <c r="Q133" s="469">
        <f>+$H$14</f>
        <v>140</v>
      </c>
      <c r="R133" s="471">
        <f>Q133*P133*$P$14/86400</f>
        <v>1.5440878835474174E-2</v>
      </c>
      <c r="S133" s="471"/>
      <c r="T133" s="471"/>
      <c r="U133" s="471">
        <f>IF(C133="","",T133*$P$17)</f>
        <v>0</v>
      </c>
      <c r="V133" s="471"/>
      <c r="W133" s="471"/>
      <c r="X133" s="471">
        <f>IF(C133="","",W133*$P$16)</f>
        <v>0</v>
      </c>
      <c r="Y133" s="471">
        <f>IF(H133=0,0,$H$15*H133)</f>
        <v>9.2522991999999995E-3</v>
      </c>
      <c r="Z133" s="471">
        <f ca="1">IF(L133=0,$H$16*H133,0)</f>
        <v>0</v>
      </c>
      <c r="AA133" s="471">
        <f t="shared" si="219"/>
        <v>3.8</v>
      </c>
      <c r="AB133" s="471">
        <f>R133*AA133</f>
        <v>5.8675339574801859E-2</v>
      </c>
      <c r="AC133" s="471">
        <f>Q133*(N133+O133)*$P$14/86400</f>
        <v>0</v>
      </c>
      <c r="AD133" s="471">
        <f>IF(E133=0,0,$H$15*(E133+F133))</f>
        <v>0</v>
      </c>
      <c r="AE133" s="471">
        <f>IF(F133=0,0,$H$15*(F133+G133))</f>
        <v>0</v>
      </c>
      <c r="AF133" s="471">
        <f>IF(N133="","",IF(1+((14/(4+(((N133+O133)+O133)/1000)^1/2)))&lt;1.4,1.4,IF(1+((14/(4+((N133+O133)/1000)^1/2)))&gt;=4,4,(1+((14/(4+((N133+O133)/1000)^1/2)))))))</f>
        <v>4</v>
      </c>
      <c r="AG133" s="471">
        <f>AC133*AF133</f>
        <v>0</v>
      </c>
      <c r="AH133" s="471">
        <f>+AD133+AE133+AG133</f>
        <v>0</v>
      </c>
      <c r="AI133" s="471">
        <f ca="1">IF(H133="","",IF(AB133+Y133+Z133+X133+U133&lt;1.5,1.5,AB133+Y133+Z133+X133+U133))</f>
        <v>1.5</v>
      </c>
      <c r="AJ133" s="471">
        <f>+$P$17</f>
        <v>0.75</v>
      </c>
      <c r="AK133" s="472">
        <f>+BK133/100</f>
        <v>5.3507728894165482E-2</v>
      </c>
      <c r="AL133" s="471">
        <f>IF(AJ133=0," ",0.14+0.65*AJ133+0.05*AK133)</f>
        <v>0.63017538644470839</v>
      </c>
      <c r="AM133" s="473">
        <f t="shared" si="220"/>
        <v>335.86297192586846</v>
      </c>
      <c r="AN133" s="474">
        <f t="shared" si="221"/>
        <v>10</v>
      </c>
      <c r="AO133" s="474">
        <f>((1/60)*$AX133/$AQ133)</f>
        <v>4.6722222222222221E-2</v>
      </c>
      <c r="AP133" s="474">
        <f>IF(B133=1,IF(($AN133+$AO133)&lt;10,10,IF(($AN133+$AO133)&gt;20,20,($AN133+$AO133))),($AN133+$AO133))</f>
        <v>10.046722222222222</v>
      </c>
      <c r="AQ133" s="475">
        <v>3</v>
      </c>
      <c r="AR133" s="474">
        <f ca="1">((1/60)*$AX133/$BT133)</f>
        <v>9.2101895769228281E-2</v>
      </c>
      <c r="AS133" s="474">
        <f ca="1">AO133/AR133</f>
        <v>0.50728838784480657</v>
      </c>
      <c r="AT133" s="471" t="str">
        <f ca="1">IF(AS133&lt;0.9,"Disminuir vel.",IF(AS133&gt;1.1,"Aumentar vel.","Cumple"))</f>
        <v>Disminuir vel.</v>
      </c>
      <c r="AU133" s="492">
        <f>+I133*AL133*AM133</f>
        <v>0</v>
      </c>
      <c r="AV133" s="471">
        <f ca="1">+L133*AL133*AM133</f>
        <v>9.7913648963588074</v>
      </c>
      <c r="AW133" s="471">
        <f ca="1">ROUND(IF(AI133&gt;(AV133*0.05),(AV133+AI133),AV133),2)</f>
        <v>11.29</v>
      </c>
      <c r="AX133" s="478">
        <f>IF(OR(C133="",D133=""),"",ROUND(((VLOOKUP(C133,'Base de Diseño (2)'!$A$2:$C$333,2,FALSE)-VLOOKUP(D133,'Base de Diseño (2)'!$A$2:$C$333,2,FALSE))^2+(VLOOKUP(C133,'Base de Diseño (2)'!$A$2:$C$333,3,0)-VLOOKUP(D133,'Base de Diseño (2)'!$A$2:$C$333,3,FALSE))^2)^0.5,2))</f>
        <v>8.41</v>
      </c>
      <c r="AY133" s="493">
        <v>8</v>
      </c>
      <c r="AZ133" s="480">
        <f ca="1">IF(AND(L133="",H133=""),"",IF(BA133=4,VLOOKUP(AY133,'TABLA (2)'!$A$74:$C$89,2),IF(BA133=5,VLOOKUP(AY133,'TABLA (2)'!$A$51:$B$66,2),IF(BA133=6,VLOOKUP(AY133,'TABLA (2)'!$A$9:$B$43,2)))))</f>
        <v>200</v>
      </c>
      <c r="BA133" s="493">
        <v>6</v>
      </c>
      <c r="BB133" s="478">
        <f>IF(OR(C133="",D133=""),"",VLOOKUP(C133,'Base de Diseño (2)'!$A$2:$D$330,4,FALSE))</f>
        <v>982.6816</v>
      </c>
      <c r="BC133" s="478">
        <f>IF(OR(C133="",D133=""),"",VLOOKUP(D133,'Base de Diseño (2)'!$A$2:$D$330,4,FALSE))</f>
        <v>982.23160000000007</v>
      </c>
      <c r="BD133" s="23">
        <f ca="1">+BF133-((AZ133/1000)+CX133)</f>
        <v>1.0429999999999726</v>
      </c>
      <c r="BE133" s="23">
        <f ca="1">+BG133-((AZ133/1000)+CX133)</f>
        <v>1.1030000000000317</v>
      </c>
      <c r="BF133" s="494">
        <v>1.2799999999999727</v>
      </c>
      <c r="BG133" s="494">
        <v>1.3400000000000318</v>
      </c>
      <c r="BH133" s="495">
        <f>BB133-BF133</f>
        <v>981.40160000000003</v>
      </c>
      <c r="BI133" s="495">
        <f>BC133-BG133</f>
        <v>980.89160000000004</v>
      </c>
      <c r="BJ133" s="468">
        <f>IF(A133="",0,BI133-BH134)</f>
        <v>980.89160000000004</v>
      </c>
      <c r="BK133" s="475">
        <f>ABS((BB133-BC133)/AX133)*100</f>
        <v>5.3507728894165485</v>
      </c>
      <c r="BL133" s="475">
        <f>((BH133-BI133)/AX133)*100</f>
        <v>6.0642092746729004</v>
      </c>
      <c r="BM133" s="475">
        <f ca="1">IF(BA133=6,(1/0.013)*((AZ133/4000)^(2/3))*((BL133/100)^(0.5)),(1/0.009)*((AZ133/4000)^(2/3))*((BL133/100)^(0.5)))</f>
        <v>2.5709309196403476</v>
      </c>
      <c r="BN133" s="475">
        <f ca="1">1000*BM133*PI()*((AZ133/1000/2)^2)</f>
        <v>80.768176900289674</v>
      </c>
      <c r="BO133" s="204">
        <f ca="1">AI133/BN133</f>
        <v>1.8571670892755042E-2</v>
      </c>
      <c r="BP133" s="496">
        <f ca="1">IF(L133=0," ",AW133/BN133)</f>
        <v>0.13978277625280294</v>
      </c>
      <c r="BQ133" s="497">
        <f ca="1">IF($BO133&gt;0 =AND($BO133&lt;=0.06),10^(0.029806+0.29095*LOG($BO133)),IF($BO133&gt;0.06 =AND($BO133&lt;=0.26),10^(0.013778+0.282597*LOG($BO133)),IF($BO133&gt;0.26 =AND($BO133&lt;=0.91),10^(0.021763+0.28995*LOG($BO133)),1)))</f>
        <v>0.33583672979936624</v>
      </c>
      <c r="BR133" s="497">
        <f ca="1">IF($BP133&gt;0 =AND($BP133&lt;=0.06),10^(0.029806+0.29095*LOG($BP133)),IF($BP133&gt;0.06 =AND($BP133&lt;=0.26),10^(0.013778+0.282597*LOG($BP133)),IF($BP133&gt;0.26 =AND($BP133&lt;=2),10^(0.021763+0.28995*LOG($BP133))," ")))</f>
        <v>0.59195101350576784</v>
      </c>
      <c r="BS133" s="475">
        <f ca="1">BM133*BQ133</f>
        <v>0.86341303259209157</v>
      </c>
      <c r="BT133" s="475">
        <f ca="1">IF(BP133=" "," ",(BM133*BR133))</f>
        <v>1.5218651635344196</v>
      </c>
      <c r="BU133" s="475">
        <f ca="1">IF(BO133&lt;=0.11,0.3827+0.0645*LN(BO133),IF(BO133&lt;=0.21,0.60025+0.15471*LN(BO133),IF(BO133&lt;1,0.225+0.6666666667*BO133,0)))</f>
        <v>0.12559539354108584</v>
      </c>
      <c r="BV133" s="475">
        <f ca="1">IF(BP133&lt;=0.11,0.3827+0.0645*LN(BP133),IF(BP133&lt;=0.21,0.60025+0.15471*LN(BP133),IF(BP133&lt;1,0.225+0.6666666667*BP133," ")))</f>
        <v>0.29583244581223211</v>
      </c>
      <c r="BW133" s="475">
        <f ca="1">2*ACOS(1-2*(BU133))</f>
        <v>1.4490654316988569</v>
      </c>
      <c r="BX133" s="475">
        <f ca="1">IF(BP133=" "," ",(2*ACOS(1-2*(BV133))))</f>
        <v>2.3003337704619629</v>
      </c>
      <c r="BY133" s="475">
        <f ca="1">(1/4)*(1-(SIN(BW133))/BW133)</f>
        <v>7.8751704763392744E-2</v>
      </c>
      <c r="BZ133" s="475">
        <f ca="1">IF(BP133=" "," ",((1/4)*(1-(SIN(BX133))/BX133)))</f>
        <v>0.16898101951973188</v>
      </c>
      <c r="CA133" s="471">
        <f ca="1">BY133*AZ133/1000</f>
        <v>1.5750340952678549E-2</v>
      </c>
      <c r="CB133" s="471">
        <f ca="1">IF(BP133=" "," ",(BZ133*AZ133/1000))</f>
        <v>3.379620390394638E-2</v>
      </c>
      <c r="CC133" s="471">
        <f t="shared" ca="1" si="222"/>
        <v>2.3546303252214864</v>
      </c>
      <c r="CD133" s="471" t="str">
        <f ca="1">IF(CC133="","",IF(CC133&lt;0.7,"F. Subcrítico",IF(AND(CC133&gt;0.7,CC133&lt;1),"F. Subcrítico Inestable",IF(CC133=1,"F. Crítico",IF(AND(CC133&gt;1,CC133&lt;1.5),"F. Supercrítico Inestable",IF(CC133&gt;1.5,"F. Supercrítico",""))))))</f>
        <v>F. Supercrítico</v>
      </c>
      <c r="CE133" s="471">
        <f ca="1">1000*BL133*CA133/100</f>
        <v>0.95513363684493657</v>
      </c>
      <c r="CF133" s="471">
        <f ca="1">IF(BP133=" "," ",(1000*BL133*CB133/100))</f>
        <v>2.0494725316304812</v>
      </c>
      <c r="CG133" s="471" t="str">
        <f ca="1">IF(BS133&lt;0.45,"No cumple",IF(BS133&gt;5,"No cumple","O.K"))</f>
        <v>O.K</v>
      </c>
      <c r="CH133" s="471" t="str">
        <f ca="1">IF(BT133&lt;0.75,"No cumple",IF(BT133&gt;10,"No cumple","O.K"))</f>
        <v>O.K</v>
      </c>
      <c r="CI133" s="471" t="str">
        <f ca="1">IF(CE133&gt;0.1,"OK","V.C.H.")</f>
        <v>OK</v>
      </c>
      <c r="CJ133" s="471" t="str">
        <f ca="1">IF(CF133&gt;0.2,"OK","V.C.H.")</f>
        <v>OK</v>
      </c>
      <c r="CK133" s="468">
        <f>+BJ133</f>
        <v>980.89160000000004</v>
      </c>
      <c r="CL133" s="482" t="s">
        <v>2507</v>
      </c>
      <c r="CM133" s="482"/>
      <c r="CN133" s="63" t="str">
        <f>IF(B133=1,"dato"," ")</f>
        <v xml:space="preserve"> </v>
      </c>
      <c r="CO133" s="498">
        <f>+CR133</f>
        <v>8.41</v>
      </c>
      <c r="CP133" s="472">
        <f>+BK133/100</f>
        <v>5.3507728894165482E-2</v>
      </c>
      <c r="CQ133" s="482" t="s">
        <v>2508</v>
      </c>
      <c r="CR133" s="204">
        <f>IF(BA133="","",AX133)</f>
        <v>8.41</v>
      </c>
      <c r="CS133" s="486">
        <v>1.2</v>
      </c>
      <c r="CT133" s="486">
        <v>1.2</v>
      </c>
      <c r="CU133" s="23">
        <f>IF($BA133="","",SQRT((BH133-BI133)^2+$CR133^2))</f>
        <v>8.4254495429027401</v>
      </c>
      <c r="CV133" s="499" t="s">
        <v>2509</v>
      </c>
      <c r="CW133" s="488" t="str">
        <f ca="1">+IF(BD133&lt;=0.9,"E1",IF(BD133&lt;=2.5,"E2","E3"))</f>
        <v>E2</v>
      </c>
      <c r="CX133" s="204">
        <f ca="1">IF(AND(L133="",H133=""),"",IF(AND(BA133&lt;&gt;4,BA133&lt;&gt;5),VLOOKUP(AY133,'TABLA (2)'!$A$9:$D$43,4),IF(BA133=4,VLOOKUP(AY133,'TABLA (2)'!$A$74:$D$89,4),VLOOKUP(AY133,'TABLA (2)'!$A$51:$D$66,4))))</f>
        <v>3.6999999999999998E-2</v>
      </c>
      <c r="CY133" s="482"/>
      <c r="CZ133" s="482"/>
      <c r="DA133" s="482"/>
      <c r="DB133" s="490"/>
    </row>
    <row r="134" spans="1:106" ht="15" hidden="1" customHeight="1">
      <c r="A134" s="465"/>
      <c r="B134" s="491"/>
      <c r="C134" s="1983"/>
      <c r="D134" s="1984"/>
      <c r="E134" s="468"/>
      <c r="F134" s="468"/>
      <c r="G134" s="468"/>
      <c r="H134" s="468"/>
      <c r="I134" s="468"/>
      <c r="J134" s="468"/>
      <c r="K134" s="467"/>
      <c r="L134" s="468"/>
      <c r="M134" s="469"/>
      <c r="N134" s="470"/>
      <c r="O134" s="470"/>
      <c r="P134" s="470"/>
      <c r="Q134" s="469"/>
      <c r="R134" s="471"/>
      <c r="S134" s="471"/>
      <c r="T134" s="471"/>
      <c r="U134" s="471"/>
      <c r="V134" s="471"/>
      <c r="W134" s="471"/>
      <c r="X134" s="471"/>
      <c r="Y134" s="471"/>
      <c r="Z134" s="471"/>
      <c r="AA134" s="471" t="str">
        <f t="shared" si="219"/>
        <v/>
      </c>
      <c r="AB134" s="471"/>
      <c r="AC134" s="471"/>
      <c r="AD134" s="471"/>
      <c r="AE134" s="471"/>
      <c r="AF134" s="471"/>
      <c r="AG134" s="471"/>
      <c r="AH134" s="471"/>
      <c r="AI134" s="471"/>
      <c r="AJ134" s="471"/>
      <c r="AK134" s="472"/>
      <c r="AL134" s="471"/>
      <c r="AM134" s="473"/>
      <c r="AN134" s="474"/>
      <c r="AO134" s="474"/>
      <c r="AP134" s="474"/>
      <c r="AQ134" s="475"/>
      <c r="AR134" s="474"/>
      <c r="AS134" s="474"/>
      <c r="AT134" s="471"/>
      <c r="AU134" s="492"/>
      <c r="AV134" s="471"/>
      <c r="AW134" s="471"/>
      <c r="AX134" s="478"/>
      <c r="AY134" s="493"/>
      <c r="AZ134" s="480"/>
      <c r="BA134" s="493"/>
      <c r="BB134" s="478" t="str">
        <f>IF(OR(C134="",D134=""),"",VLOOKUP(C134,'Base de Diseño (2)'!$A$2:$D$330,4,FALSE))</f>
        <v/>
      </c>
      <c r="BC134" s="494"/>
      <c r="BD134" s="494"/>
      <c r="BE134" s="494"/>
      <c r="BF134" s="494"/>
      <c r="BG134" s="494"/>
      <c r="BH134" s="495"/>
      <c r="BI134" s="495"/>
      <c r="BJ134" s="468"/>
      <c r="BK134" s="475"/>
      <c r="BL134" s="475"/>
      <c r="BM134" s="475"/>
      <c r="BN134" s="475"/>
      <c r="BO134" s="204"/>
      <c r="BP134" s="496"/>
      <c r="BQ134" s="497"/>
      <c r="BR134" s="497"/>
      <c r="BS134" s="475"/>
      <c r="BT134" s="475"/>
      <c r="BU134" s="475"/>
      <c r="BV134" s="475"/>
      <c r="BW134" s="475"/>
      <c r="BX134" s="475"/>
      <c r="BY134" s="475"/>
      <c r="BZ134" s="475"/>
      <c r="CA134" s="471"/>
      <c r="CB134" s="471"/>
      <c r="CC134" s="471"/>
      <c r="CD134" s="471"/>
      <c r="CE134" s="471"/>
      <c r="CF134" s="471"/>
      <c r="CG134" s="471"/>
      <c r="CH134" s="471"/>
      <c r="CI134" s="471"/>
      <c r="CJ134" s="471"/>
      <c r="CK134" s="468"/>
      <c r="CL134" s="482" t="s">
        <v>2507</v>
      </c>
      <c r="CM134" s="482"/>
      <c r="CN134" s="63"/>
      <c r="CO134" s="498"/>
      <c r="CP134" s="472"/>
      <c r="CQ134" s="482"/>
      <c r="CR134" s="204"/>
      <c r="CS134" s="486"/>
      <c r="CT134" s="486"/>
      <c r="CU134" s="23"/>
      <c r="CV134" s="499"/>
      <c r="CW134" s="488"/>
      <c r="CX134" s="204"/>
      <c r="CY134" s="482"/>
      <c r="CZ134" s="482"/>
      <c r="DA134" s="482"/>
      <c r="DB134" s="490"/>
    </row>
    <row r="135" spans="1:106" s="532" customFormat="1" ht="15" customHeight="1">
      <c r="A135" s="503">
        <v>81</v>
      </c>
      <c r="B135" s="504">
        <v>1</v>
      </c>
      <c r="C135" s="505" t="s">
        <v>72</v>
      </c>
      <c r="D135" s="505" t="s">
        <v>73</v>
      </c>
      <c r="E135" s="506">
        <v>0.48071494789999997</v>
      </c>
      <c r="F135" s="506"/>
      <c r="G135" s="506">
        <f>IF(B135=1,0,SUMIF($D$22:$D$585,C135,$H$22:$H$585))</f>
        <v>0</v>
      </c>
      <c r="H135" s="506">
        <f>+E135+F135+G135</f>
        <v>0.48071494789999997</v>
      </c>
      <c r="I135" s="506">
        <v>0.48071494789999997</v>
      </c>
      <c r="J135" s="506"/>
      <c r="K135" s="507">
        <f>+IF(B135=1,0,SUMIF($D$22:$D$585,C135,$L$22:$L$582))</f>
        <v>0</v>
      </c>
      <c r="L135" s="506">
        <f>+I135+J135+K135</f>
        <v>0.48071494789999997</v>
      </c>
      <c r="M135" s="508">
        <f>+$P$12</f>
        <v>242.33666300502347</v>
      </c>
      <c r="N135" s="509">
        <f>M135*E135</f>
        <v>116.4948563307197</v>
      </c>
      <c r="O135" s="509">
        <f>M135*F135</f>
        <v>0</v>
      </c>
      <c r="P135" s="509">
        <f>M135*H135</f>
        <v>116.4948563307197</v>
      </c>
      <c r="Q135" s="508">
        <v>140</v>
      </c>
      <c r="R135" s="510">
        <f>Q135*P135*$P$14/86400</f>
        <v>0.16045009147402367</v>
      </c>
      <c r="S135" s="510"/>
      <c r="T135" s="510"/>
      <c r="U135" s="510">
        <f>IF(C135="","",T135*$P$17)</f>
        <v>0</v>
      </c>
      <c r="V135" s="510"/>
      <c r="W135" s="510"/>
      <c r="X135" s="510">
        <f>IF(C135="","",W135*$P$16)</f>
        <v>0</v>
      </c>
      <c r="Y135" s="510">
        <f>IF(H135=0,0,$H$15*H135)</f>
        <v>9.6142989580000005E-2</v>
      </c>
      <c r="Z135" s="510">
        <f>IF(L135=0,$H$16*H135,0)</f>
        <v>0</v>
      </c>
      <c r="AA135" s="471">
        <f t="shared" si="219"/>
        <v>3.8</v>
      </c>
      <c r="AB135" s="510">
        <f>R135*AA135</f>
        <v>0.60971034760128995</v>
      </c>
      <c r="AC135" s="510">
        <f>Q135*(N135+O135)*$P$14/86400</f>
        <v>0.16045009147402367</v>
      </c>
      <c r="AD135" s="510">
        <f>IF(E135=0,0,$H$15*(E135+F135))</f>
        <v>9.6142989580000005E-2</v>
      </c>
      <c r="AE135" s="510">
        <f>IF(F135=0,0,$H$15*(F135+G135))</f>
        <v>0</v>
      </c>
      <c r="AF135" s="510">
        <f t="shared" ref="AF135:AF198" si="361">IF(N135="","",IF(1+((14/(4+(((N135+O135)+O135)/1000)^1/2)))&lt;1.4,1.4,IF(1+((14/(4+((N135+O135)/1000)^1/2)))&gt;=3.8,3.8,(1+((14/(4+((N135+O135)/1000)^1/2)))))))</f>
        <v>3.8</v>
      </c>
      <c r="AG135" s="510">
        <f>AC135*AF135</f>
        <v>0.60971034760128995</v>
      </c>
      <c r="AH135" s="510">
        <f>+AD135+AE135+AG135</f>
        <v>0.70585333718128995</v>
      </c>
      <c r="AI135" s="510">
        <f>IF(H135="","",IF(AB135+Y135+Z135+X135+U135&lt;1.5,1.5,AB135+Y135+Z135+X135+U135))</f>
        <v>1.5</v>
      </c>
      <c r="AJ135" s="510">
        <f>+$P$17</f>
        <v>0.75</v>
      </c>
      <c r="AK135" s="511">
        <f>+BK135/100</f>
        <v>3.643859821340914E-2</v>
      </c>
      <c r="AL135" s="510">
        <f>IF(AJ135=0," ",0.14+0.65*AJ135+0.05*AK135)</f>
        <v>0.62932192991067049</v>
      </c>
      <c r="AM135" s="512">
        <f>((100/36)*$AM$14*(AP135+$AN$14)^$AO$14)</f>
        <v>336.32613267542746</v>
      </c>
      <c r="AN135" s="513">
        <f>IF(B135=1,IF((0.702*(1.1-$AJ135)*SQRT($CO135))/(($CP135)^(1/3))&lt;5,5,(0.702*(1.1-$AJ135)*SQRT($CO135))/(($CP135)^(1/3))),AP134)</f>
        <v>7.4801060603122496</v>
      </c>
      <c r="AO135" s="513">
        <f>((1/60)*$AX135/$AQ135)</f>
        <v>0.56594444444444447</v>
      </c>
      <c r="AP135" s="513">
        <f>IF(B135=1,IF(($AN135+$AO135)&lt;10,10,IF(($AN135+$AO135)&gt;20,20,($AN135+$AO135))),($AN135+$AO135))</f>
        <v>10</v>
      </c>
      <c r="AQ135" s="514">
        <v>3</v>
      </c>
      <c r="AR135" s="513">
        <f>((1/60)*$AX135/$BT135)</f>
        <v>0.54035962088702338</v>
      </c>
      <c r="AS135" s="513">
        <f>AO135/AR135</f>
        <v>1.04734777094451</v>
      </c>
      <c r="AT135" s="510" t="str">
        <f>IF(AS135&lt;0.9,"Disminuir vel.",IF(AS135&gt;1.1,"Aumentar vel.","Cumple"))</f>
        <v>Cumple</v>
      </c>
      <c r="AU135" s="515">
        <f>+I135*AL135*AM135</f>
        <v>101.74688125089085</v>
      </c>
      <c r="AV135" s="510">
        <f>+L135*AL135*AM135</f>
        <v>101.74688125089085</v>
      </c>
      <c r="AW135" s="510">
        <f>ROUND(IF(AI135&gt;(AV135*0.05),(AV135+AI135),AV135),2)</f>
        <v>101.75</v>
      </c>
      <c r="AX135" s="516">
        <f>IF(OR(C135="",D135=""),"",ROUND(((VLOOKUP(C135,'Base de Diseño (2)'!$A$2:$C$333,2,FALSE)-VLOOKUP(D135,'Base de Diseño (2)'!$A$2:$C$333,2,FALSE))^2+(VLOOKUP(C135,'Base de Diseño (2)'!$A$2:$C$333,3,0)-VLOOKUP(D135,'Base de Diseño (2)'!$A$2:$C$333,3,FALSE))^2)^0.5,2))</f>
        <v>101.87</v>
      </c>
      <c r="AY135" s="517">
        <v>12</v>
      </c>
      <c r="AZ135" s="518">
        <v>284</v>
      </c>
      <c r="BA135" s="517">
        <v>4</v>
      </c>
      <c r="BB135" s="516">
        <v>988.5</v>
      </c>
      <c r="BC135" s="516">
        <v>984.78800000000001</v>
      </c>
      <c r="BD135" s="519">
        <f>+BF135-((AZ135/1000)+CX135)</f>
        <v>1.5305</v>
      </c>
      <c r="BE135" s="519">
        <f>+BG135-((AZ135/1000)+CX135)</f>
        <v>1.9804999999999997</v>
      </c>
      <c r="BF135" s="520">
        <v>1.83</v>
      </c>
      <c r="BG135" s="520">
        <v>2.2799999999999998</v>
      </c>
      <c r="BH135" s="521">
        <f>BB135-BF135</f>
        <v>986.67</v>
      </c>
      <c r="BI135" s="521">
        <f>BC135-BG135</f>
        <v>982.50800000000004</v>
      </c>
      <c r="BJ135" s="506">
        <f>IF(A135="",0,BI135-BH336)</f>
        <v>0.35000000000002274</v>
      </c>
      <c r="BK135" s="514">
        <f>ABS((BB135-BC135)/AX135)*100</f>
        <v>3.6438598213409139</v>
      </c>
      <c r="BL135" s="514">
        <f>((BH135-BI135)/AX135)*100</f>
        <v>4.0855992932167666</v>
      </c>
      <c r="BM135" s="514">
        <f>IF(BA135=6,(1/0.013)*((AZ135/4000)^(2/3))*((BL135/100)^(0.5)),(1/0.009)*((AZ135/4000)^(2/3))*((BL135/100)^(0.5)))</f>
        <v>3.850858918133901</v>
      </c>
      <c r="BN135" s="514">
        <f>1000*BM135*PI()*((AZ135/1000/2)^2)</f>
        <v>243.94064587870812</v>
      </c>
      <c r="BO135" s="522">
        <f>AI135/BN135</f>
        <v>6.1490367650573006E-3</v>
      </c>
      <c r="BP135" s="523">
        <f>IF(L135=0," ",AW135/BN135)</f>
        <v>0.4171096605630536</v>
      </c>
      <c r="BQ135" s="524">
        <f>IF($BO135&gt;0 =AND($BO135&lt;=0.06),10^(0.029806+0.29095*LOG($BO135)),IF($BO135&gt;0.06 =AND($BO135&lt;=0.26),10^(0.013778+0.282597*LOG($BO135)),IF($BO135&gt;0.26 =AND($BO135&lt;=0.91),10^(0.021763+0.28995*LOG($BO135)),1)))</f>
        <v>0.24347783017125513</v>
      </c>
      <c r="BR135" s="524">
        <f>IF($BP135&gt;0 =AND($BP135&lt;=0.06),10^(0.029806+0.29095*LOG($BP135)),IF($BP135&gt;0.06 =AND($BP135&lt;=0.26),10^(0.013778+0.282597*LOG($BP135)),IF($BP135&gt;0.26 =AND($BP135&lt;=2),10^(0.021763+0.28995*LOG($BP135))," ")))</f>
        <v>0.81593311508699518</v>
      </c>
      <c r="BS135" s="514">
        <f>BM135*BQ135</f>
        <v>0.93759877368286926</v>
      </c>
      <c r="BT135" s="514">
        <f>IF(BP135=" "," ",(BM135*BR135))</f>
        <v>3.1420433128335299</v>
      </c>
      <c r="BU135" s="514">
        <f>IF(BO135&lt;=0.11,0.3827+0.0645*LN(BO135),IF(BO135&lt;=0.21,0.60025+0.15471*LN(BO135),IF(BO135&lt;1,0.225+0.6666666667*BO135,0)))</f>
        <v>5.4300840771604408E-2</v>
      </c>
      <c r="BV135" s="514">
        <f>IF(BP135&lt;=0.11,0.3827+0.0645*LN(BP135),IF(BP135&lt;=0.21,0.60025+0.15471*LN(BP135),IF(BP135&lt;1,0.225+0.6666666667*BP135," ")))</f>
        <v>0.50307310705593933</v>
      </c>
      <c r="BW135" s="514">
        <f>2*ACOS(1-2*(BU135))</f>
        <v>0.94075032962798133</v>
      </c>
      <c r="BX135" s="514">
        <f>IF(BP135=" "," ",(2*ACOS(1-2*(BV135))))</f>
        <v>3.1538851592078876</v>
      </c>
      <c r="BY135" s="514">
        <f>(1/4)*(1-(SIN(BW135))/BW135)</f>
        <v>3.527767064744794E-2</v>
      </c>
      <c r="BZ135" s="514">
        <f>IF(BP135=" "," ",((1/4)*(1-(SIN(BX135))/BX135)))</f>
        <v>0.25097436934304762</v>
      </c>
      <c r="CA135" s="510">
        <f>BY135*AZ135/1000</f>
        <v>1.0018858463875215E-2</v>
      </c>
      <c r="CB135" s="510">
        <f>IF(BP135=" "," ",(BZ135*AZ135/1000))</f>
        <v>7.1276720893425516E-2</v>
      </c>
      <c r="CC135" s="510">
        <f>+(BS135/SQRT(9.81*(0.125*(BW135-SIN(BW135))*(AZ135/1000)^2)/((AZ135/1000)*SIN(BW135/2))))</f>
        <v>2.9356623403348836</v>
      </c>
      <c r="CD135" s="510" t="str">
        <f>IF(CC135="","",IF(CC135&lt;0.7,"F. Subcrítico",IF(AND(CC135&gt;0.7,CC135&lt;1),"F. Subcrítico Inestable",IF(CC135=1,"F. Crítico",IF(AND(CC135&gt;1,CC135&lt;1.5),"F. Supercrítico Inestable",IF(CC135&gt;1.5,"F. Supercrítico",""))))))</f>
        <v>F. Supercrítico</v>
      </c>
      <c r="CE135" s="510">
        <f>1000*BL135*CA135/100</f>
        <v>0.40933041058847391</v>
      </c>
      <c r="CF135" s="510">
        <f>IF(BP135=" "," ",(1000*BL135*CB135/100))</f>
        <v>2.9120812050498803</v>
      </c>
      <c r="CG135" s="510" t="str">
        <f>IF(BS135&lt;0.45,"No cumple",IF(BS135&gt;5,"No cumple","O.K"))</f>
        <v>O.K</v>
      </c>
      <c r="CH135" s="510" t="str">
        <f>IF(BT135&lt;0.75,"No cumple",IF(BT135&gt;10,"No cumple","O.K"))</f>
        <v>O.K</v>
      </c>
      <c r="CI135" s="510" t="str">
        <f>IF(CE135&gt;0.1,"OK","V.C.H.")</f>
        <v>OK</v>
      </c>
      <c r="CJ135" s="510" t="str">
        <f>IF(CF135&gt;0.2,"OK","V.C.H.")</f>
        <v>OK</v>
      </c>
      <c r="CK135" s="506">
        <f>+BJ135</f>
        <v>0.35000000000002274</v>
      </c>
      <c r="CL135" s="525" t="s">
        <v>2515</v>
      </c>
      <c r="CM135" s="525"/>
      <c r="CN135" s="526" t="str">
        <f>IF(B135=1,"dato"," ")</f>
        <v>dato</v>
      </c>
      <c r="CO135" s="527">
        <f>+CR135</f>
        <v>101.87</v>
      </c>
      <c r="CP135" s="511">
        <f>+BK135/100</f>
        <v>3.643859821340914E-2</v>
      </c>
      <c r="CQ135" s="525" t="s">
        <v>2508</v>
      </c>
      <c r="CR135" s="522">
        <f>IF(BA135="","",AX135)</f>
        <v>101.87</v>
      </c>
      <c r="CS135" s="528">
        <v>1.2</v>
      </c>
      <c r="CT135" s="528">
        <v>1.2</v>
      </c>
      <c r="CU135" s="519">
        <f>IF($BA135="","",SQRT((BH135-BI135)^2+$CR135^2))</f>
        <v>101.95498587121671</v>
      </c>
      <c r="CV135" s="1379" t="s">
        <v>2509</v>
      </c>
      <c r="CW135" s="1378" t="str">
        <f>+IF(BD135&lt;=0.9,"E1",IF(BD135&lt;=2.5,"E2","E3"))</f>
        <v>E2</v>
      </c>
      <c r="CX135" s="522">
        <v>1.55E-2</v>
      </c>
      <c r="CY135" s="525"/>
      <c r="CZ135" s="525"/>
      <c r="DA135" s="525"/>
      <c r="DB135" s="531"/>
    </row>
    <row r="136" spans="1:106" ht="15" customHeight="1">
      <c r="A136" s="465"/>
      <c r="B136" s="491"/>
      <c r="C136" s="468"/>
      <c r="D136" s="468"/>
      <c r="E136" s="468"/>
      <c r="F136" s="468"/>
      <c r="G136" s="468"/>
      <c r="H136" s="468"/>
      <c r="I136" s="468"/>
      <c r="J136" s="468"/>
      <c r="K136" s="467"/>
      <c r="L136" s="468"/>
      <c r="M136" s="469"/>
      <c r="N136" s="470"/>
      <c r="O136" s="470"/>
      <c r="P136" s="470"/>
      <c r="Q136" s="469"/>
      <c r="R136" s="471"/>
      <c r="S136" s="471"/>
      <c r="T136" s="471"/>
      <c r="U136" s="471"/>
      <c r="V136" s="471"/>
      <c r="W136" s="471"/>
      <c r="X136" s="471"/>
      <c r="Y136" s="471"/>
      <c r="Z136" s="471"/>
      <c r="AA136" s="471" t="str">
        <f t="shared" si="219"/>
        <v/>
      </c>
      <c r="AB136" s="471"/>
      <c r="AC136" s="471"/>
      <c r="AD136" s="471"/>
      <c r="AE136" s="471"/>
      <c r="AF136" s="471" t="str">
        <f t="shared" si="361"/>
        <v/>
      </c>
      <c r="AG136" s="471"/>
      <c r="AH136" s="471"/>
      <c r="AI136" s="471"/>
      <c r="AJ136" s="471"/>
      <c r="AK136" s="472"/>
      <c r="AL136" s="471"/>
      <c r="AM136" s="473"/>
      <c r="AN136" s="474"/>
      <c r="AO136" s="474"/>
      <c r="AP136" s="474"/>
      <c r="AQ136" s="475"/>
      <c r="AR136" s="474"/>
      <c r="AS136" s="474"/>
      <c r="AT136" s="471"/>
      <c r="AU136" s="492"/>
      <c r="AV136" s="471"/>
      <c r="AW136" s="471"/>
      <c r="AX136" s="478"/>
      <c r="AY136" s="493"/>
      <c r="AZ136" s="480"/>
      <c r="BA136" s="493"/>
      <c r="BB136" s="478" t="str">
        <f>IF(OR(C136="",D136=""),"",VLOOKUP(C136,'Base de Diseño (2)'!$A$2:$D$330,4,FALSE))</f>
        <v/>
      </c>
      <c r="BC136" s="494"/>
      <c r="BD136" s="494"/>
      <c r="BE136" s="494"/>
      <c r="BF136" s="494"/>
      <c r="BG136" s="494"/>
      <c r="BH136" s="495"/>
      <c r="BI136" s="495"/>
      <c r="BJ136" s="468"/>
      <c r="BK136" s="475"/>
      <c r="BL136" s="475"/>
      <c r="BM136" s="475"/>
      <c r="BN136" s="475"/>
      <c r="BO136" s="204"/>
      <c r="BP136" s="496"/>
      <c r="BQ136" s="497"/>
      <c r="BR136" s="497"/>
      <c r="BS136" s="475"/>
      <c r="BT136" s="475"/>
      <c r="BU136" s="475"/>
      <c r="BV136" s="475"/>
      <c r="BW136" s="475"/>
      <c r="BX136" s="475"/>
      <c r="BY136" s="475"/>
      <c r="BZ136" s="475"/>
      <c r="CA136" s="471"/>
      <c r="CB136" s="471"/>
      <c r="CC136" s="471"/>
      <c r="CD136" s="471"/>
      <c r="CE136" s="471"/>
      <c r="CF136" s="471"/>
      <c r="CG136" s="471"/>
      <c r="CH136" s="471"/>
      <c r="CI136" s="471"/>
      <c r="CJ136" s="471"/>
      <c r="CK136" s="468"/>
      <c r="CL136" s="482" t="s">
        <v>2507</v>
      </c>
      <c r="CM136" s="482"/>
      <c r="CN136" s="63"/>
      <c r="CO136" s="498"/>
      <c r="CP136" s="472"/>
      <c r="CQ136" s="482"/>
      <c r="CR136" s="204"/>
      <c r="CS136" s="486"/>
      <c r="CT136" s="486"/>
      <c r="CU136" s="23"/>
      <c r="CV136" s="499"/>
      <c r="CW136" s="488"/>
      <c r="CX136" s="204"/>
      <c r="CY136" s="482"/>
      <c r="CZ136" s="482"/>
      <c r="DA136" s="482"/>
      <c r="DB136" s="490"/>
    </row>
    <row r="137" spans="1:106" s="532" customFormat="1" ht="15" customHeight="1">
      <c r="A137" s="503">
        <v>82</v>
      </c>
      <c r="B137" s="504">
        <v>1</v>
      </c>
      <c r="C137" s="505" t="s">
        <v>76</v>
      </c>
      <c r="D137" s="505" t="s">
        <v>73</v>
      </c>
      <c r="E137" s="506">
        <v>0.45427696910000004</v>
      </c>
      <c r="F137" s="506"/>
      <c r="G137" s="506">
        <f>IF(B137=1,0,SUMIF($D$22:$D$583,C137,$H$22:$H$583))</f>
        <v>0</v>
      </c>
      <c r="H137" s="506">
        <f>+E137+F137+G137</f>
        <v>0.45427696910000004</v>
      </c>
      <c r="I137" s="506">
        <v>0.45427696910000004</v>
      </c>
      <c r="J137" s="506"/>
      <c r="K137" s="507">
        <f>+IF(B137=1,0,SUMIF($D$22:$D$583,C137,$L$22:$L$580))</f>
        <v>0</v>
      </c>
      <c r="L137" s="506">
        <f>+I137+J137+K137</f>
        <v>0.45427696910000004</v>
      </c>
      <c r="M137" s="508">
        <f>+$P$12</f>
        <v>242.33666300502347</v>
      </c>
      <c r="N137" s="509">
        <f>M137*E137</f>
        <v>110.08796477173017</v>
      </c>
      <c r="O137" s="509">
        <f>M137*F137</f>
        <v>0</v>
      </c>
      <c r="P137" s="509">
        <f>M137*H137</f>
        <v>110.08796477173017</v>
      </c>
      <c r="Q137" s="508">
        <v>140</v>
      </c>
      <c r="R137" s="510">
        <f>Q137*P137*$P$14/86400</f>
        <v>0.15162578481291539</v>
      </c>
      <c r="S137" s="510"/>
      <c r="T137" s="510"/>
      <c r="U137" s="510">
        <f>IF(C137="","",T137*$P$17)</f>
        <v>0</v>
      </c>
      <c r="V137" s="510"/>
      <c r="W137" s="510"/>
      <c r="X137" s="510">
        <f>IF(C137="","",W137*$P$16)</f>
        <v>0</v>
      </c>
      <c r="Y137" s="510">
        <f>IF(H137=0,0,$H$15*H137)</f>
        <v>9.0855393820000019E-2</v>
      </c>
      <c r="Z137" s="510">
        <f>IF(L137=0,$H$16*H137,0)</f>
        <v>0</v>
      </c>
      <c r="AA137" s="471">
        <f t="shared" si="219"/>
        <v>3.8</v>
      </c>
      <c r="AB137" s="510">
        <f>R137*AA137</f>
        <v>0.57617798228907846</v>
      </c>
      <c r="AC137" s="510">
        <f>Q137*(N137+O137)*$P$14/86400</f>
        <v>0.15162578481291539</v>
      </c>
      <c r="AD137" s="510">
        <f>IF(E137=0,0,$H$15*(E137+F137))</f>
        <v>9.0855393820000019E-2</v>
      </c>
      <c r="AE137" s="510">
        <f>IF(F137=0,0,$H$15*(F137+G137))</f>
        <v>0</v>
      </c>
      <c r="AF137" s="510">
        <f t="shared" si="361"/>
        <v>3.8</v>
      </c>
      <c r="AG137" s="510">
        <f>AC137*AF137</f>
        <v>0.57617798228907846</v>
      </c>
      <c r="AH137" s="510">
        <f>+AD137+AE137+AG137</f>
        <v>0.66703337610907854</v>
      </c>
      <c r="AI137" s="510">
        <f>IF(H137="","",IF(AB137+Y137+Z137+X137+U137&lt;1.5,1.5,AB137+Y137+Z137+X137+U137))</f>
        <v>1.5</v>
      </c>
      <c r="AJ137" s="510">
        <f>+$P$17</f>
        <v>0.75</v>
      </c>
      <c r="AK137" s="511">
        <f>+BK137/100</f>
        <v>4.740570952281678E-2</v>
      </c>
      <c r="AL137" s="510">
        <f>IF(AJ137=0," ",0.14+0.65*AJ137+0.05*AK137)</f>
        <v>0.62987028547614088</v>
      </c>
      <c r="AM137" s="512">
        <f>((100/36)*$AM$14*(AP137+$AN$14)^$AO$14)</f>
        <v>336.32613267542746</v>
      </c>
      <c r="AN137" s="513">
        <f>IF(B137=1,IF((0.702*(1.1-$AJ137)*SQRT($CO137))/(($CP137)^(1/3))&lt;5,5,(0.702*(1.1-$AJ137)*SQRT($CO137))/(($CP137)^(1/3))),AP136)</f>
        <v>6.6509749520276351</v>
      </c>
      <c r="AO137" s="513">
        <f>((1/60)*$AX137/$AQ137)</f>
        <v>0.45704761904761909</v>
      </c>
      <c r="AP137" s="513">
        <f>IF(B137=1,IF(($AN137+$AO137)&lt;10,10,IF(($AN137+$AO137)&gt;20,20,($AN137+$AO137))),($AN137+$AO137))</f>
        <v>10</v>
      </c>
      <c r="AQ137" s="514">
        <v>3.5</v>
      </c>
      <c r="AR137" s="513">
        <f>((1/60)*$AX137/$BT137)</f>
        <v>0.47198325525145995</v>
      </c>
      <c r="AS137" s="513">
        <f>AO137/AR137</f>
        <v>0.96835558033540081</v>
      </c>
      <c r="AT137" s="510" t="str">
        <f>IF(AS137&lt;0.9,"Disminuir vel.",IF(AS137&gt;1.1,"Aumentar vel.","Cumple"))</f>
        <v>Cumple</v>
      </c>
      <c r="AU137" s="533">
        <f>+I137*AL137*AM137</f>
        <v>96.234867732408517</v>
      </c>
      <c r="AV137" s="510">
        <f>+L137*AL137*AM137</f>
        <v>96.234867732408517</v>
      </c>
      <c r="AW137" s="510">
        <f>ROUND(IF(AI137&gt;(AV137*0.05),(AV137+AI137),AV137),2)</f>
        <v>96.23</v>
      </c>
      <c r="AX137" s="516">
        <f>IF(OR(C137="",D137=""),"",ROUND(((VLOOKUP(C137,'Base de Diseño (2)'!$A$2:$C$333,2,FALSE)-VLOOKUP(D137,'Base de Diseño (2)'!$A$2:$C$333,2,FALSE))^2+(VLOOKUP(C137,'Base de Diseño (2)'!$A$2:$C$333,3,0)-VLOOKUP(D137,'Base de Diseño (2)'!$A$2:$C$333,3,FALSE))^2)^0.5,2))</f>
        <v>95.98</v>
      </c>
      <c r="AY137" s="517">
        <v>12</v>
      </c>
      <c r="AZ137" s="518">
        <f>IF(AND(L137="",H137=""),"",IF(BA137=4,VLOOKUP(AY137,'TABLA (2)'!$A$74:$C$89,2),IF(BA137=5,VLOOKUP(AY137,'TABLA (2)'!$A$51:$B$66,2),IF(BA137=6,VLOOKUP(AY137,'TABLA (2)'!$A$9:$B$43,2)))))</f>
        <v>284</v>
      </c>
      <c r="BA137" s="517">
        <v>4</v>
      </c>
      <c r="BB137" s="516">
        <f>IF(OR(C137="",D137=""),"",VLOOKUP(C137,'Base de Diseño (2)'!$A$2:$D$330,4,FALSE))</f>
        <v>989.33799999999997</v>
      </c>
      <c r="BC137" s="516">
        <f>IF(OR(C137="",D137=""),"",VLOOKUP(D137,'Base de Diseño (2)'!$A$2:$D$330,4,FALSE))</f>
        <v>984.78800000000001</v>
      </c>
      <c r="BD137" s="519">
        <f>+BF137-((AZ137/1000)+CX137)</f>
        <v>1.5105</v>
      </c>
      <c r="BE137" s="519">
        <f>+BG137-((AZ137/1000)+CX137)</f>
        <v>2.0404999999999998</v>
      </c>
      <c r="BF137" s="520">
        <v>1.81</v>
      </c>
      <c r="BG137" s="520">
        <v>2.34</v>
      </c>
      <c r="BH137" s="521">
        <f>BB137-BF137</f>
        <v>987.52800000000002</v>
      </c>
      <c r="BI137" s="521">
        <f>BC137-BG137</f>
        <v>982.44799999999998</v>
      </c>
      <c r="BJ137" s="506">
        <f>IF(A137="",0,BI137-BH336)</f>
        <v>0.28999999999996362</v>
      </c>
      <c r="BK137" s="514">
        <f>ABS((BB137-BC137)/AX137)*100</f>
        <v>4.7405709522816784</v>
      </c>
      <c r="BL137" s="514">
        <f>((BH137-BI137)/AX137)*100</f>
        <v>5.2927693269431559</v>
      </c>
      <c r="BM137" s="514">
        <f>IF(BA137=6,(1/0.013)*((AZ137/4000)^(2/3))*((BL137/100)^(0.5)),(1/0.009)*((AZ137/4000)^(2/3))*((BL137/100)^(0.5)))</f>
        <v>4.3829973329256493</v>
      </c>
      <c r="BN137" s="514">
        <f>1000*BM137*PI()*((AZ137/1000/2)^2)</f>
        <v>277.65005756083644</v>
      </c>
      <c r="BO137" s="522">
        <f>AI137/BN137</f>
        <v>5.4024840231532536E-3</v>
      </c>
      <c r="BP137" s="523">
        <f>IF(L137=0," ",AW137/BN137)</f>
        <v>0.34658735836535837</v>
      </c>
      <c r="BQ137" s="524">
        <f>IF($BO137&gt;0 =AND($BO137&lt;=0.06),10^(0.029806+0.29095*LOG($BO137)),IF($BO137&gt;0.06 =AND($BO137&lt;=0.26),10^(0.013778+0.282597*LOG($BO137)),IF($BO137&gt;0.26 =AND($BO137&lt;=0.91),10^(0.021763+0.28995*LOG($BO137)),1)))</f>
        <v>0.23447906640954516</v>
      </c>
      <c r="BR137" s="524">
        <f>IF($BP137&gt;0 =AND($BP137&lt;=0.06),10^(0.029806+0.29095*LOG($BP137)),IF($BP137&gt;0.06 =AND($BP137&lt;=0.26),10^(0.013778+0.282597*LOG($BP137)),IF($BP137&gt;0.26 =AND($BP137&lt;=2),10^(0.021763+0.28995*LOG($BP137))," ")))</f>
        <v>0.7732709544935048</v>
      </c>
      <c r="BS137" s="514">
        <f>BM137*BQ137</f>
        <v>1.0277211226999325</v>
      </c>
      <c r="BT137" s="514">
        <f>IF(BP137=" "," ",(BM137*BR137))</f>
        <v>3.3892445311739028</v>
      </c>
      <c r="BU137" s="514">
        <f>IF(BO137&lt;=0.11,0.3827+0.0645*LN(BO137),IF(BO137&lt;=0.21,0.60025+0.15471*LN(BO137),IF(BO137&lt;1,0.225+0.6666666667*BO137,0)))</f>
        <v>4.595218046534949E-2</v>
      </c>
      <c r="BV137" s="514">
        <f>IF(BP137&lt;=0.11,0.3827+0.0645*LN(BP137),IF(BP137&lt;=0.21,0.60025+0.15471*LN(BP137),IF(BP137&lt;1,0.225+0.6666666667*BP137," ")))</f>
        <v>0.45605823892179181</v>
      </c>
      <c r="BW137" s="514">
        <f>2*ACOS(1-2*(BU137))</f>
        <v>0.86416503239806719</v>
      </c>
      <c r="BX137" s="514">
        <f>IF(BP137=" "," ",(2*ACOS(1-2*(BV137))))</f>
        <v>2.9655985627474606</v>
      </c>
      <c r="BY137" s="514">
        <f>(1/4)*(1-(SIN(BW137))/BW137)</f>
        <v>2.9974490869202813E-2</v>
      </c>
      <c r="BZ137" s="514">
        <f>IF(BP137=" "," ",((1/4)*(1-(SIN(BX137))/BX137)))</f>
        <v>0.23524016692296199</v>
      </c>
      <c r="CA137" s="510">
        <f>BY137*AZ137/1000</f>
        <v>8.512755406853598E-3</v>
      </c>
      <c r="CB137" s="510">
        <f>IF(BP137=" "," ",(BZ137*AZ137/1000))</f>
        <v>6.6808207406121201E-2</v>
      </c>
      <c r="CC137" s="510">
        <f>+(BT137/SQRT(9.81*(0.125*(BX137-SIN(BX137))*(AZ137/1000)^2)/((AZ137/1000)*SIN(BX137/2))))</f>
        <v>3.4313931693235094</v>
      </c>
      <c r="CD137" s="510" t="str">
        <f>IF(CC137="","",IF(CC137&lt;0.7,"F. Subcrítico",IF(AND(CC137&gt;0.7,CC137&lt;1),"F. Subcrítico Inestable",IF(CC137=1,"F. Crítico",IF(AND(CC137&gt;1,CC137&lt;1.5),"F. Supercrítico Inestable",IF(CC137&gt;1.5,"F. Supercrítico",""))))))</f>
        <v>F. Supercrítico</v>
      </c>
      <c r="CE137" s="510">
        <f>1000*BL137*CA137/100</f>
        <v>0.45056050705164225</v>
      </c>
      <c r="CF137" s="510">
        <f>IF(BP137=" "," ",(1000*BL137*CB137/100))</f>
        <v>3.5360043094717484</v>
      </c>
      <c r="CG137" s="510" t="str">
        <f>IF(BS137&lt;0.45,"No cumple",IF(BS137&gt;5,"No cumple","O.K"))</f>
        <v>O.K</v>
      </c>
      <c r="CH137" s="510" t="str">
        <f>IF(BT137&lt;0.75,"No cumple",IF(BT137&gt;10,"No cumple","O.K"))</f>
        <v>O.K</v>
      </c>
      <c r="CI137" s="510" t="str">
        <f>IF(CE137&gt;0.1,"OK","V.C.H.")</f>
        <v>OK</v>
      </c>
      <c r="CJ137" s="510" t="str">
        <f>IF(CF137&gt;0.2,"OK","V.C.H.")</f>
        <v>OK</v>
      </c>
      <c r="CK137" s="506">
        <f>+BJ137</f>
        <v>0.28999999999996362</v>
      </c>
      <c r="CL137" s="525" t="s">
        <v>2515</v>
      </c>
      <c r="CM137" s="525"/>
      <c r="CN137" s="526" t="str">
        <f>IF(B137=1,"dato"," ")</f>
        <v>dato</v>
      </c>
      <c r="CO137" s="527">
        <f>+CR137</f>
        <v>95.98</v>
      </c>
      <c r="CP137" s="511">
        <f>+BK137/100</f>
        <v>4.740570952281678E-2</v>
      </c>
      <c r="CQ137" s="525" t="s">
        <v>2508</v>
      </c>
      <c r="CR137" s="522">
        <f>IF(BA137="","",AX137)</f>
        <v>95.98</v>
      </c>
      <c r="CS137" s="528">
        <v>1.2</v>
      </c>
      <c r="CT137" s="528">
        <v>1.2</v>
      </c>
      <c r="CU137" s="519">
        <f>IF($BA137="","",SQRT((BH137-BI137)^2+$CR137^2))</f>
        <v>96.114342322048913</v>
      </c>
      <c r="CV137" s="529" t="s">
        <v>2509</v>
      </c>
      <c r="CW137" s="530" t="str">
        <f>+IF(BD137&lt;=0.9,"E1",IF(BD137&lt;=2.5,"E2","E3"))</f>
        <v>E2</v>
      </c>
      <c r="CX137" s="522">
        <f>IF(AND(L137="",H137=""),"",IF(AND(BA137&lt;&gt;4,BA137&lt;&gt;5),VLOOKUP(AY137,'TABLA (2)'!$A$9:$D$43,4),IF(BA137=4,VLOOKUP(AY137,'TABLA (2)'!$A$74:$D$89,4),VLOOKUP(AY137,'TABLA (2)'!$A$51:$D$66,4))))</f>
        <v>1.55E-2</v>
      </c>
      <c r="CY137" s="525"/>
      <c r="CZ137" s="525"/>
      <c r="DA137" s="525"/>
      <c r="DB137" s="531"/>
    </row>
    <row r="138" spans="1:106" ht="15" customHeight="1">
      <c r="A138" s="465"/>
      <c r="B138" s="491"/>
      <c r="C138" s="468"/>
      <c r="D138" s="468"/>
      <c r="E138" s="468"/>
      <c r="F138" s="468"/>
      <c r="G138" s="468"/>
      <c r="H138" s="468"/>
      <c r="I138" s="468"/>
      <c r="J138" s="468"/>
      <c r="K138" s="467"/>
      <c r="L138" s="468"/>
      <c r="M138" s="469"/>
      <c r="N138" s="470"/>
      <c r="O138" s="470"/>
      <c r="P138" s="470"/>
      <c r="Q138" s="469"/>
      <c r="R138" s="471"/>
      <c r="S138" s="471"/>
      <c r="T138" s="471"/>
      <c r="U138" s="471"/>
      <c r="V138" s="471"/>
      <c r="W138" s="471"/>
      <c r="X138" s="471"/>
      <c r="Y138" s="471"/>
      <c r="Z138" s="471"/>
      <c r="AA138" s="471" t="str">
        <f t="shared" si="219"/>
        <v/>
      </c>
      <c r="AB138" s="471"/>
      <c r="AC138" s="471"/>
      <c r="AD138" s="471"/>
      <c r="AE138" s="471"/>
      <c r="AF138" s="471" t="str">
        <f t="shared" si="361"/>
        <v/>
      </c>
      <c r="AG138" s="471"/>
      <c r="AH138" s="471"/>
      <c r="AI138" s="471"/>
      <c r="AJ138" s="471"/>
      <c r="AK138" s="472"/>
      <c r="AL138" s="471"/>
      <c r="AM138" s="473"/>
      <c r="AN138" s="474"/>
      <c r="AO138" s="474"/>
      <c r="AP138" s="474"/>
      <c r="AQ138" s="475"/>
      <c r="AR138" s="474"/>
      <c r="AS138" s="474"/>
      <c r="AT138" s="471"/>
      <c r="AU138" s="492"/>
      <c r="AV138" s="471"/>
      <c r="AW138" s="471"/>
      <c r="AX138" s="478"/>
      <c r="AY138" s="493"/>
      <c r="AZ138" s="480"/>
      <c r="BA138" s="493"/>
      <c r="BB138" s="478" t="str">
        <f>IF(OR(C138="",D138=""),"",VLOOKUP(C138,'Base de Diseño (2)'!$A$2:$D$330,4,FALSE))</f>
        <v/>
      </c>
      <c r="BC138" s="494"/>
      <c r="BD138" s="494"/>
      <c r="BE138" s="494"/>
      <c r="BF138" s="494"/>
      <c r="BG138" s="494"/>
      <c r="BH138" s="495"/>
      <c r="BI138" s="495"/>
      <c r="BJ138" s="468"/>
      <c r="BK138" s="475"/>
      <c r="BL138" s="475"/>
      <c r="BM138" s="475"/>
      <c r="BN138" s="475"/>
      <c r="BO138" s="204"/>
      <c r="BP138" s="496"/>
      <c r="BQ138" s="497"/>
      <c r="BR138" s="497"/>
      <c r="BS138" s="475"/>
      <c r="BT138" s="475"/>
      <c r="BU138" s="475"/>
      <c r="BV138" s="475"/>
      <c r="BW138" s="475"/>
      <c r="BX138" s="475"/>
      <c r="BY138" s="475"/>
      <c r="BZ138" s="475"/>
      <c r="CA138" s="471"/>
      <c r="CB138" s="471"/>
      <c r="CC138" s="471"/>
      <c r="CD138" s="471"/>
      <c r="CE138" s="471"/>
      <c r="CF138" s="471"/>
      <c r="CG138" s="471"/>
      <c r="CH138" s="471"/>
      <c r="CI138" s="471"/>
      <c r="CJ138" s="471"/>
      <c r="CK138" s="468"/>
      <c r="CL138" s="482" t="s">
        <v>2507</v>
      </c>
      <c r="CM138" s="482"/>
      <c r="CN138" s="63"/>
      <c r="CO138" s="498"/>
      <c r="CP138" s="472"/>
      <c r="CQ138" s="482"/>
      <c r="CR138" s="204"/>
      <c r="CS138" s="486"/>
      <c r="CT138" s="486"/>
      <c r="CU138" s="23"/>
      <c r="CV138" s="499"/>
      <c r="CW138" s="488"/>
      <c r="CX138" s="204"/>
      <c r="CY138" s="482"/>
      <c r="CZ138" s="482"/>
      <c r="DA138" s="482"/>
      <c r="DB138" s="490"/>
    </row>
    <row r="139" spans="1:106" ht="15" hidden="1" customHeight="1">
      <c r="A139" s="465">
        <v>83</v>
      </c>
      <c r="B139" s="491">
        <v>1</v>
      </c>
      <c r="C139" s="466" t="s">
        <v>117</v>
      </c>
      <c r="D139" s="466" t="s">
        <v>80</v>
      </c>
      <c r="E139" s="468">
        <v>0.46051951000000002</v>
      </c>
      <c r="F139" s="468"/>
      <c r="G139" s="468">
        <f>IF(B139=1,0,SUMIF($D$22:$D$583,C139,$H$22:$H$583))</f>
        <v>0</v>
      </c>
      <c r="H139" s="468">
        <f>+E139+F139+G139</f>
        <v>0.46051951000000002</v>
      </c>
      <c r="I139" s="468">
        <v>0.46051950999999997</v>
      </c>
      <c r="J139" s="468"/>
      <c r="K139" s="467">
        <f>+IF(B139=1,0,SUMIF($D$22:$D$583,C139,$L$22:$L$580))</f>
        <v>0</v>
      </c>
      <c r="L139" s="468">
        <f>+I139+J139+K139</f>
        <v>0.46051950999999997</v>
      </c>
      <c r="M139" s="469">
        <f>+$P$12</f>
        <v>242.33666300502347</v>
      </c>
      <c r="N139" s="470">
        <f>M139*E139</f>
        <v>111.60076130210854</v>
      </c>
      <c r="O139" s="470">
        <f>M139*F139</f>
        <v>0</v>
      </c>
      <c r="P139" s="470">
        <f>M139*H139</f>
        <v>111.60076130210854</v>
      </c>
      <c r="Q139" s="469">
        <v>140</v>
      </c>
      <c r="R139" s="471">
        <f>Q139*P139*$P$14/86400</f>
        <v>0.15370938188600597</v>
      </c>
      <c r="S139" s="471"/>
      <c r="T139" s="471"/>
      <c r="U139" s="471">
        <f>IF(C139="","",T139*$P$17)</f>
        <v>0</v>
      </c>
      <c r="V139" s="471"/>
      <c r="W139" s="471"/>
      <c r="X139" s="471">
        <f>IF(C139="","",W139*$P$16)</f>
        <v>0</v>
      </c>
      <c r="Y139" s="471">
        <f>IF(H139=0,0,$H$15*H139)</f>
        <v>9.2103902000000015E-2</v>
      </c>
      <c r="Z139" s="471">
        <f>IF(L139=0,$H$16*H139,0)</f>
        <v>0</v>
      </c>
      <c r="AA139" s="471">
        <f t="shared" si="219"/>
        <v>3.8</v>
      </c>
      <c r="AB139" s="471">
        <f>R139*AA139</f>
        <v>0.5840956511668226</v>
      </c>
      <c r="AC139" s="471">
        <f>Q139*(N139+O139)*$P$14/86400</f>
        <v>0.15370938188600597</v>
      </c>
      <c r="AD139" s="471">
        <f>IF(E139=0,0,$H$15*(E139+F139))</f>
        <v>9.2103902000000015E-2</v>
      </c>
      <c r="AE139" s="471">
        <f>IF(F139=0,0,$H$15*(F139+G139))</f>
        <v>0</v>
      </c>
      <c r="AF139" s="510">
        <f t="shared" si="361"/>
        <v>3.8</v>
      </c>
      <c r="AG139" s="471">
        <f>AC139*AF139</f>
        <v>0.5840956511668226</v>
      </c>
      <c r="AH139" s="471">
        <f>+AD139+AE139+AG139</f>
        <v>0.67619955316682256</v>
      </c>
      <c r="AI139" s="471">
        <f>IF(H139="","",IF(AB139+Y139+Z139+X139+U139&lt;1.5,1.5,AB139+Y139+Z139+X139+U139))</f>
        <v>1.5</v>
      </c>
      <c r="AJ139" s="471">
        <f>+$P$17</f>
        <v>0.75</v>
      </c>
      <c r="AK139" s="472">
        <f>+BK139/100</f>
        <v>4.8569117200930295E-2</v>
      </c>
      <c r="AL139" s="471">
        <f>IF(AJ139=0," ",0.14+0.65*AJ139+0.05*AK139)</f>
        <v>0.62992845586004653</v>
      </c>
      <c r="AM139" s="473">
        <f>((100/36)*$AM$14*(AP139+$AN$14)^$AO$14)</f>
        <v>336.32613267542746</v>
      </c>
      <c r="AN139" s="474">
        <f>IF(B139=1,IF((0.702*(1.1-$AJ139)*SQRT($CO139))/(($CP139)^(1/3))&lt;5,5,(0.702*(1.1-$AJ139)*SQRT($CO139))/(($CP139)^(1/3))),AP138)</f>
        <v>6.6967066496380623</v>
      </c>
      <c r="AO139" s="474">
        <f>((1/60)*$AX139/$AQ139)</f>
        <v>0.47090476190476188</v>
      </c>
      <c r="AP139" s="474">
        <f>IF(B139=1,IF(($AN139+$AO139)&lt;10,10,IF(($AN139+$AO139)&gt;20,20,($AN139+$AO139))),($AN139+$AO139))</f>
        <v>10</v>
      </c>
      <c r="AQ139" s="475">
        <v>3.5</v>
      </c>
      <c r="AR139" s="474">
        <f>((1/60)*$AX139/$BT139)</f>
        <v>0.45291176321589494</v>
      </c>
      <c r="AS139" s="474">
        <f>AO139/AR139</f>
        <v>1.0397273821309208</v>
      </c>
      <c r="AT139" s="471" t="str">
        <f>IF(AS139&lt;0.9,"Disminuir vel.",IF(AS139&gt;1.1,"Aumentar vel.","Cumple"))</f>
        <v>Cumple</v>
      </c>
      <c r="AU139" s="492">
        <f>+I139*AL139*AM139</f>
        <v>97.566308770594588</v>
      </c>
      <c r="AV139" s="471">
        <f>+L139*AL139*AM139</f>
        <v>97.566308770594588</v>
      </c>
      <c r="AW139" s="510">
        <f>ROUND(IF(AI139&gt;(AV139*0.05),(AV139+AI139),AV139),2)</f>
        <v>97.57</v>
      </c>
      <c r="AX139" s="478">
        <f>IF(OR(C139="",D139=""),"",ROUND(((VLOOKUP(C139,'Base de Diseño (2)'!$A$2:$C$333,2,FALSE)-VLOOKUP(D139,'Base de Diseño (2)'!$A$2:$C$333,2,FALSE))^2+(VLOOKUP(C139,'Base de Diseño (2)'!$A$2:$C$333,3,0)-VLOOKUP(D139,'Base de Diseño (2)'!$A$2:$C$333,3,FALSE))^2)^0.5,2))</f>
        <v>98.89</v>
      </c>
      <c r="AY139" s="493">
        <v>12</v>
      </c>
      <c r="AZ139" s="480">
        <f>IF(AND(L139="",H139=""),"",IF(BA139=4,VLOOKUP(AY139,'TABLA (2)'!$A$74:$C$89,2),IF(BA139=5,VLOOKUP(AY139,'TABLA (2)'!$A$51:$B$66,2),IF(BA139=6,VLOOKUP(AY139,'TABLA (2)'!$A$9:$B$43,2)))))</f>
        <v>284</v>
      </c>
      <c r="BA139" s="493">
        <v>4</v>
      </c>
      <c r="BB139" s="478">
        <f>IF(OR(C139="",D139=""),"",VLOOKUP(C139,'Base de Diseño (2)'!$A$2:$D$330,4,FALSE))</f>
        <v>990.82500000000005</v>
      </c>
      <c r="BC139" s="478">
        <f>IF(OR(C139="",D139=""),"",VLOOKUP(D139,'Base de Diseño (2)'!$A$2:$D$330,4,FALSE))</f>
        <v>986.02200000000005</v>
      </c>
      <c r="BD139" s="23">
        <f>+BF139-((AZ139/1000)+CX139)</f>
        <v>1.2305000000000001</v>
      </c>
      <c r="BE139" s="23">
        <f>+BG139-((AZ139/1000)+CX139)</f>
        <v>2.7504999999999997</v>
      </c>
      <c r="BF139" s="494">
        <v>1.53</v>
      </c>
      <c r="BG139" s="494">
        <v>3.05</v>
      </c>
      <c r="BH139" s="495">
        <f>BB139-BF139</f>
        <v>989.29500000000007</v>
      </c>
      <c r="BI139" s="495">
        <f>BC139-BG139</f>
        <v>982.97200000000009</v>
      </c>
      <c r="BJ139" s="468">
        <f>IF(A139="",0,BI139-BH338)</f>
        <v>1.1800000000000637</v>
      </c>
      <c r="BK139" s="475">
        <f>ABS((BB139-BC139)/AX139)*100</f>
        <v>4.8569117200930298</v>
      </c>
      <c r="BL139" s="475">
        <f>((BH139-BI139)/AX139)*100</f>
        <v>6.3939731014258054</v>
      </c>
      <c r="BM139" s="475">
        <f>IF(BA139=6,(1/0.013)*((AZ139/4000)^(2/3))*((BL139/100)^(0.5)),(1/0.009)*((AZ139/4000)^(2/3))*((BL139/100)^(0.5)))</f>
        <v>4.8174268128210418</v>
      </c>
      <c r="BN139" s="475">
        <f>1000*BM139*PI()*((AZ139/1000/2)^2)</f>
        <v>305.16989408753733</v>
      </c>
      <c r="BO139" s="204">
        <f>AI139/BN139</f>
        <v>4.9152948212176136E-3</v>
      </c>
      <c r="BP139" s="496">
        <f>IF(L139=0," ",AW139/BN139)</f>
        <v>0.31972354380413504</v>
      </c>
      <c r="BQ139" s="497">
        <f>IF($BO139&gt;0 =AND($BO139&lt;=0.06),10^(0.029806+0.29095*LOG($BO139)),IF($BO139&gt;0.06 =AND($BO139&lt;=0.26),10^(0.013778+0.282597*LOG($BO139)),IF($BO139&gt;0.26 =AND($BO139&lt;=0.91),10^(0.021763+0.28995*LOG($BO139)),1)))</f>
        <v>0.22811946690205728</v>
      </c>
      <c r="BR139" s="497">
        <f>IF($BP139&gt;0 =AND($BP139&lt;=0.06),10^(0.029806+0.29095*LOG($BP139)),IF($BP139&gt;0.06 =AND($BP139&lt;=0.26),10^(0.013778+0.282597*LOG($BP139)),IF($BP139&gt;0.26 =AND($BP139&lt;=2),10^(0.021763+0.28995*LOG($BP139))," ")))</f>
        <v>0.75539203372499808</v>
      </c>
      <c r="BS139" s="475">
        <f>BM139*BQ139</f>
        <v>1.098948836380413</v>
      </c>
      <c r="BT139" s="475">
        <f>IF(BP139=" "," ",(BM139*BR139))</f>
        <v>3.6390458374582226</v>
      </c>
      <c r="BU139" s="475">
        <f>IF(BO139&lt;=0.11,0.3827+0.0645*LN(BO139),IF(BO139&lt;=0.21,0.60025+0.15471*LN(BO139),IF(BO139&lt;1,0.225+0.6666666667*BO139,0)))</f>
        <v>3.9856471462894116E-2</v>
      </c>
      <c r="BV139" s="475">
        <f>IF(BP139&lt;=0.11,0.3827+0.0645*LN(BP139),IF(BP139&lt;=0.21,0.60025+0.15471*LN(BP139),IF(BP139&lt;1,0.225+0.6666666667*BP139," ")))</f>
        <v>0.43814902921341414</v>
      </c>
      <c r="BW139" s="475">
        <f>2*ACOS(1-2*(BU139))</f>
        <v>0.80396553953820193</v>
      </c>
      <c r="BX139" s="475">
        <f>IF(BP139=" "," ",(2*ACOS(1-2*(BV139))))</f>
        <v>2.8935534162172538</v>
      </c>
      <c r="BY139" s="475">
        <f>(1/4)*(1-(SIN(BW139))/BW139)</f>
        <v>2.607458719906533E-2</v>
      </c>
      <c r="BZ139" s="475">
        <f>IF(BP139=" "," ",((1/4)*(1-(SIN(BX139))/BX139)))</f>
        <v>0.22878873807488095</v>
      </c>
      <c r="CA139" s="471">
        <f>BY139*AZ139/1000</f>
        <v>7.4051827645345535E-3</v>
      </c>
      <c r="CB139" s="471">
        <f>IF(BP139=" "," ",(BZ139*AZ139/1000))</f>
        <v>6.4976001613266193E-2</v>
      </c>
      <c r="CC139" s="471">
        <f>+(BT139/SQRT(9.81*(0.125*(BX139-SIN(BX139))*(AZ139/1000)^2)/((AZ139/1000)*SIN(BX139/2))))</f>
        <v>3.7748658449313548</v>
      </c>
      <c r="CD139" s="471" t="str">
        <f>IF(CC139="","",IF(CC139&lt;0.7,"F. Subcrítico",IF(AND(CC139&gt;0.7,CC139&lt;1),"F. Subcrítico Inestable",IF(CC139=1,"F. Crítico",IF(AND(CC139&gt;1,CC139&lt;1.5),"F. Supercrítico Inestable",IF(CC139&gt;1.5,"F. Supercrítico",""))))))</f>
        <v>F. Supercrítico</v>
      </c>
      <c r="CE139" s="471">
        <f>1000*BL139*CA139/100</f>
        <v>0.47348539407575913</v>
      </c>
      <c r="CF139" s="471">
        <f>IF(BP139=" "," ",(1000*BL139*CB139/100))</f>
        <v>4.1545480655342377</v>
      </c>
      <c r="CG139" s="471" t="str">
        <f>IF(BS139&lt;0.45,"No cumple",IF(BS139&gt;5,"No cumple","O.K"))</f>
        <v>O.K</v>
      </c>
      <c r="CH139" s="471" t="str">
        <f>IF(BT139&lt;0.75,"No cumple",IF(BT139&gt;10,"No cumple","O.K"))</f>
        <v>O.K</v>
      </c>
      <c r="CI139" s="471" t="str">
        <f>IF(CE139&gt;0.1,"OK","V.C.H.")</f>
        <v>OK</v>
      </c>
      <c r="CJ139" s="471" t="str">
        <f>IF(CF139&gt;0.2,"OK","V.C.H.")</f>
        <v>OK</v>
      </c>
      <c r="CK139" s="468">
        <f>+BJ139</f>
        <v>1.1800000000000637</v>
      </c>
      <c r="CL139" s="482" t="s">
        <v>2507</v>
      </c>
      <c r="CM139" s="482"/>
      <c r="CN139" s="63" t="str">
        <f>IF(B139=1,"dato"," ")</f>
        <v>dato</v>
      </c>
      <c r="CO139" s="498">
        <f>+CR139</f>
        <v>98.89</v>
      </c>
      <c r="CP139" s="472">
        <f>+BK139/100</f>
        <v>4.8569117200930295E-2</v>
      </c>
      <c r="CQ139" s="482" t="s">
        <v>2508</v>
      </c>
      <c r="CR139" s="204">
        <f>IF(BA139="","",AX139)</f>
        <v>98.89</v>
      </c>
      <c r="CS139" s="486">
        <v>1.2</v>
      </c>
      <c r="CT139" s="486">
        <v>1.2</v>
      </c>
      <c r="CU139" s="23">
        <f>IF($BA139="","",SQRT((BH139-BI139)^2+$CR139^2))</f>
        <v>99.091939273585723</v>
      </c>
      <c r="CV139" s="499" t="s">
        <v>2509</v>
      </c>
      <c r="CW139" s="488" t="str">
        <f>+IF(BD139&lt;=0.9,"E1",IF(BD139&lt;=2.5,"E2","E3"))</f>
        <v>E2</v>
      </c>
      <c r="CX139" s="204">
        <f>IF(AND(L139="",H139=""),"",IF(AND(BA139&lt;&gt;4,BA139&lt;&gt;5),VLOOKUP(AY139,'TABLA (2)'!$A$9:$D$43,4),IF(BA139=4,VLOOKUP(AY139,'TABLA (2)'!$A$74:$D$89,4),VLOOKUP(AY139,'TABLA (2)'!$A$51:$D$66,4))))</f>
        <v>1.55E-2</v>
      </c>
      <c r="CY139" s="482"/>
      <c r="CZ139" s="482"/>
      <c r="DA139" s="482"/>
      <c r="DB139" s="490"/>
    </row>
    <row r="140" spans="1:106" ht="15" hidden="1" customHeight="1">
      <c r="A140" s="465"/>
      <c r="B140" s="491"/>
      <c r="C140" s="1983"/>
      <c r="D140" s="1984"/>
      <c r="E140" s="468"/>
      <c r="F140" s="468"/>
      <c r="G140" s="468"/>
      <c r="H140" s="468"/>
      <c r="I140" s="468"/>
      <c r="J140" s="468"/>
      <c r="K140" s="467"/>
      <c r="L140" s="468"/>
      <c r="M140" s="469"/>
      <c r="N140" s="470"/>
      <c r="O140" s="470"/>
      <c r="P140" s="470"/>
      <c r="Q140" s="469"/>
      <c r="R140" s="471"/>
      <c r="S140" s="471"/>
      <c r="T140" s="471"/>
      <c r="U140" s="471"/>
      <c r="V140" s="471"/>
      <c r="W140" s="471"/>
      <c r="X140" s="471"/>
      <c r="Y140" s="471"/>
      <c r="Z140" s="471"/>
      <c r="AA140" s="471" t="str">
        <f t="shared" si="219"/>
        <v/>
      </c>
      <c r="AB140" s="471"/>
      <c r="AC140" s="471"/>
      <c r="AD140" s="471"/>
      <c r="AE140" s="471"/>
      <c r="AF140" s="510" t="str">
        <f t="shared" si="361"/>
        <v/>
      </c>
      <c r="AG140" s="471"/>
      <c r="AH140" s="471"/>
      <c r="AI140" s="471"/>
      <c r="AJ140" s="471"/>
      <c r="AK140" s="472"/>
      <c r="AL140" s="471"/>
      <c r="AM140" s="473"/>
      <c r="AN140" s="474"/>
      <c r="AO140" s="474"/>
      <c r="AP140" s="474"/>
      <c r="AQ140" s="475"/>
      <c r="AR140" s="474"/>
      <c r="AS140" s="474"/>
      <c r="AT140" s="471"/>
      <c r="AU140" s="492"/>
      <c r="AV140" s="471"/>
      <c r="AW140" s="510">
        <f>ROUND(IF(AI140&gt;(AV140*0.05),(AV140+AI140),AV140),2)</f>
        <v>0</v>
      </c>
      <c r="AX140" s="478"/>
      <c r="AY140" s="493"/>
      <c r="AZ140" s="480"/>
      <c r="BA140" s="493"/>
      <c r="BB140" s="478" t="str">
        <f>IF(OR(C140="",D140=""),"",VLOOKUP(C140,'Base de Diseño (2)'!$A$2:$D$330,4,FALSE))</f>
        <v/>
      </c>
      <c r="BC140" s="494"/>
      <c r="BD140" s="494"/>
      <c r="BE140" s="494"/>
      <c r="BF140" s="494"/>
      <c r="BG140" s="494"/>
      <c r="BH140" s="495"/>
      <c r="BI140" s="495"/>
      <c r="BJ140" s="468"/>
      <c r="BK140" s="475"/>
      <c r="BL140" s="475"/>
      <c r="BM140" s="475"/>
      <c r="BN140" s="475"/>
      <c r="BO140" s="204"/>
      <c r="BP140" s="496"/>
      <c r="BQ140" s="497"/>
      <c r="BR140" s="497"/>
      <c r="BS140" s="475"/>
      <c r="BT140" s="475"/>
      <c r="BU140" s="475"/>
      <c r="BV140" s="475"/>
      <c r="BW140" s="475"/>
      <c r="BX140" s="475"/>
      <c r="BY140" s="475"/>
      <c r="BZ140" s="475"/>
      <c r="CA140" s="471"/>
      <c r="CB140" s="471"/>
      <c r="CC140" s="471"/>
      <c r="CD140" s="471"/>
      <c r="CE140" s="471"/>
      <c r="CF140" s="471"/>
      <c r="CG140" s="471"/>
      <c r="CH140" s="471"/>
      <c r="CI140" s="471"/>
      <c r="CJ140" s="471"/>
      <c r="CK140" s="468"/>
      <c r="CL140" s="482" t="s">
        <v>2507</v>
      </c>
      <c r="CM140" s="482"/>
      <c r="CN140" s="63"/>
      <c r="CO140" s="498"/>
      <c r="CP140" s="472"/>
      <c r="CQ140" s="482"/>
      <c r="CR140" s="204"/>
      <c r="CS140" s="486"/>
      <c r="CT140" s="486"/>
      <c r="CU140" s="23"/>
      <c r="CV140" s="499"/>
      <c r="CW140" s="488"/>
      <c r="CX140" s="204"/>
      <c r="CY140" s="482"/>
      <c r="CZ140" s="482"/>
      <c r="DA140" s="482"/>
      <c r="DB140" s="490"/>
    </row>
    <row r="141" spans="1:106" s="532" customFormat="1" ht="15" customHeight="1">
      <c r="A141" s="503">
        <v>84</v>
      </c>
      <c r="B141" s="504">
        <v>1</v>
      </c>
      <c r="C141" s="505" t="s">
        <v>79</v>
      </c>
      <c r="D141" s="505" t="s">
        <v>80</v>
      </c>
      <c r="E141" s="506">
        <v>0.1222157311</v>
      </c>
      <c r="F141" s="506"/>
      <c r="G141" s="506">
        <f>IF(B141=1,0,SUMIF($D$22:$D$585,C141,$H$22:$H$585))</f>
        <v>0</v>
      </c>
      <c r="H141" s="506">
        <f>+E141+F141+G141</f>
        <v>0.1222157311</v>
      </c>
      <c r="I141" s="506">
        <v>0.12221573109999999</v>
      </c>
      <c r="J141" s="506"/>
      <c r="K141" s="507">
        <f>+IF(B141=1,0,SUMIF($D$22:$D$585,C141,$L$22:$L$582))</f>
        <v>0</v>
      </c>
      <c r="L141" s="506">
        <f>+I141+J141+K141</f>
        <v>0.12221573109999999</v>
      </c>
      <c r="M141" s="508">
        <f>+$P$12</f>
        <v>242.33666300502347</v>
      </c>
      <c r="N141" s="509">
        <f>M141*E141</f>
        <v>29.617352441493267</v>
      </c>
      <c r="O141" s="509">
        <f>M141*F141</f>
        <v>0</v>
      </c>
      <c r="P141" s="509">
        <f>M141*H141</f>
        <v>29.617352441493267</v>
      </c>
      <c r="Q141" s="508">
        <v>140</v>
      </c>
      <c r="R141" s="510">
        <f>Q141*P141*$P$14/86400</f>
        <v>4.0792418293260399E-2</v>
      </c>
      <c r="S141" s="510"/>
      <c r="T141" s="510"/>
      <c r="U141" s="510">
        <f>IF(C141="","",T141*$P$17)</f>
        <v>0</v>
      </c>
      <c r="V141" s="510"/>
      <c r="W141" s="510"/>
      <c r="X141" s="510">
        <f>IF(C141="","",W141*$P$16)</f>
        <v>0</v>
      </c>
      <c r="Y141" s="510">
        <f>IF(H141=0,0,$H$15*H141)</f>
        <v>2.4443146220000003E-2</v>
      </c>
      <c r="Z141" s="510">
        <f>IF(L141=0,$H$16*H141,0)</f>
        <v>0</v>
      </c>
      <c r="AA141" s="471">
        <f t="shared" si="219"/>
        <v>3.8</v>
      </c>
      <c r="AB141" s="510">
        <f>R141*AA141</f>
        <v>0.1550111895143895</v>
      </c>
      <c r="AC141" s="510">
        <f>Q141*(N141+O141)*$P$14/86400</f>
        <v>4.0792418293260399E-2</v>
      </c>
      <c r="AD141" s="510">
        <f>IF(E141=0,0,$H$15*(E141+F141))</f>
        <v>2.4443146220000003E-2</v>
      </c>
      <c r="AE141" s="510">
        <f>IF(F141=0,0,$H$15*(F141+G141))</f>
        <v>0</v>
      </c>
      <c r="AF141" s="510">
        <f t="shared" si="361"/>
        <v>3.8</v>
      </c>
      <c r="AG141" s="510">
        <f>AC141*AF141</f>
        <v>0.1550111895143895</v>
      </c>
      <c r="AH141" s="510">
        <f>+AD141+AE141+AG141</f>
        <v>0.17945433573438951</v>
      </c>
      <c r="AI141" s="510">
        <f>IF(H141="","",IF(AB141+Y141+Z141+X141+U141&lt;1.5,1.5,AB141+Y141+Z141+X141+U141))</f>
        <v>1.5</v>
      </c>
      <c r="AJ141" s="510">
        <f>+$P$17</f>
        <v>0.75</v>
      </c>
      <c r="AK141" s="511">
        <f>+BK141/100</f>
        <v>6.4182194616976386E-3</v>
      </c>
      <c r="AL141" s="510">
        <f>IF(AJ141=0," ",0.14+0.65*AJ141+0.05*AK141)</f>
        <v>0.6278209109730849</v>
      </c>
      <c r="AM141" s="512">
        <f>((100/36)*$AM$14*(AP141+$AN$14)^$AO$14)</f>
        <v>336.32613267542746</v>
      </c>
      <c r="AN141" s="513">
        <f>IF(B141=1,IF((0.702*(1.1-$AJ141)*SQRT($CO141))/(($CP141)^(1/3))&lt;5,5,(0.702*(1.1-$AJ141)*SQRT($CO141))/(($CP141)^(1/3))),AP138)</f>
        <v>8.7168944819615373</v>
      </c>
      <c r="AO141" s="513">
        <f>((1/60)*$AX141/$AQ141)</f>
        <v>0.28979999999999995</v>
      </c>
      <c r="AP141" s="513">
        <f>IF(B141=1,IF(($AN141+$AO141)&lt;10,10,IF(($AN141+$AO141)&gt;20,20,($AN141+$AO141))),($AN141+$AO141))</f>
        <v>10</v>
      </c>
      <c r="AQ141" s="514">
        <v>2.5</v>
      </c>
      <c r="AR141" s="513">
        <f>((1/60)*$AX141/$BT141)</f>
        <v>0.28962746136407042</v>
      </c>
      <c r="AS141" s="513">
        <f>AO141/AR141</f>
        <v>1.0005957260928122</v>
      </c>
      <c r="AT141" s="510" t="str">
        <f>IF(AS141&lt;0.9,"Disminuir vel.",IF(AS141&gt;1.1,"Aumentar vel.","Cumple"))</f>
        <v>Cumple</v>
      </c>
      <c r="AU141" s="515">
        <f>+I141*AL141*AM141</f>
        <v>25.806166816177239</v>
      </c>
      <c r="AV141" s="510">
        <f>+L141*AL141*AM141</f>
        <v>25.806166816177239</v>
      </c>
      <c r="AW141" s="510">
        <f>ROUND(IF(AI141&gt;(AV141*0.05),(AV141+AI141),AV141),2)</f>
        <v>27.31</v>
      </c>
      <c r="AX141" s="516">
        <f>IF(OR(C141="",D141=""),"",ROUND(((VLOOKUP(C141,'Base de Diseño (2)'!$A$2:$C$333,2,FALSE)-VLOOKUP(D141,'Base de Diseño (2)'!$A$2:$C$333,2,FALSE))^2+(VLOOKUP(C141,'Base de Diseño (2)'!$A$2:$C$333,3,0)-VLOOKUP(D141,'Base de Diseño (2)'!$A$2:$C$333,3,FALSE))^2)^0.5,2))</f>
        <v>43.47</v>
      </c>
      <c r="AY141" s="517">
        <v>12</v>
      </c>
      <c r="AZ141" s="518">
        <v>284</v>
      </c>
      <c r="BA141" s="517">
        <v>4</v>
      </c>
      <c r="BB141" s="516">
        <v>985.74300000000005</v>
      </c>
      <c r="BC141" s="516">
        <v>986.02200000000005</v>
      </c>
      <c r="BD141" s="519">
        <f>+BF141-((AZ141/1000)+CX141)</f>
        <v>0.85049999999999992</v>
      </c>
      <c r="BE141" s="519">
        <f>+BG141-((AZ141/1000)+CX141)</f>
        <v>3.8704999999999998</v>
      </c>
      <c r="BF141" s="520">
        <v>1.1499999999999999</v>
      </c>
      <c r="BG141" s="520">
        <v>4.17</v>
      </c>
      <c r="BH141" s="521">
        <f>BB141-BF141</f>
        <v>984.59300000000007</v>
      </c>
      <c r="BI141" s="521">
        <f>BC141-BG141</f>
        <v>981.85200000000009</v>
      </c>
      <c r="BJ141" s="506">
        <f>IF(A141="",0,BI141-BH338)</f>
        <v>6.0000000000059117E-2</v>
      </c>
      <c r="BK141" s="514">
        <f>ABS((BB141-BC141)/AX141)*100</f>
        <v>0.64182194616976385</v>
      </c>
      <c r="BL141" s="514">
        <f>((BH141-BI141)/AX141)*100</f>
        <v>6.3054980446284468</v>
      </c>
      <c r="BM141" s="514">
        <f>IF(BA141=6,(1/0.013)*((AZ141/4000)^(2/3))*((BL141/100)^(0.5)),(1/0.009)*((AZ141/4000)^(2/3))*((BL141/100)^(0.5)))</f>
        <v>4.7839807198666842</v>
      </c>
      <c r="BN141" s="514">
        <f>1000*BM141*PI()*((AZ141/1000/2)^2)</f>
        <v>303.05118195321717</v>
      </c>
      <c r="BO141" s="522">
        <f>AI141/BN141</f>
        <v>4.9496589662915719E-3</v>
      </c>
      <c r="BP141" s="523">
        <f>IF(L141=0," ",AW141/BN141)</f>
        <v>9.0116790912948552E-2</v>
      </c>
      <c r="BQ141" s="524">
        <f>IF($BO141&gt;0 =AND($BO141&lt;=0.06),10^(0.029806+0.29095*LOG($BO141)),IF($BO141&gt;0.06 =AND($BO141&lt;=0.26),10^(0.013778+0.282597*LOG($BO141)),IF($BO141&gt;0.26 =AND($BO141&lt;=0.91),10^(0.021763+0.28995*LOG($BO141)),1)))</f>
        <v>0.22858234133102456</v>
      </c>
      <c r="BR141" s="524">
        <f>IF($BP141&gt;0 =AND($BP141&lt;=0.06),10^(0.029806+0.29095*LOG($BP141)),IF($BP141&gt;0.06 =AND($BP141&lt;=0.26),10^(0.013778+0.282597*LOG($BP141)),IF($BP141&gt;0.26 =AND($BP141&lt;=2),10^(0.021763+0.28995*LOG($BP141))," ")))</f>
        <v>0.52288866985687599</v>
      </c>
      <c r="BS141" s="514">
        <f>BM141*BQ141</f>
        <v>1.093533513829607</v>
      </c>
      <c r="BT141" s="514">
        <f>IF(BP141=" "," ",(BM141*BR141))</f>
        <v>2.5014893152320306</v>
      </c>
      <c r="BU141" s="514">
        <f>IF(BO141&lt;=0.11,0.3827+0.0645*LN(BO141),IF(BO141&lt;=0.21,0.60025+0.15471*LN(BO141),IF(BO141&lt;1,0.225+0.6666666667*BO141,0)))</f>
        <v>4.0305839269450916E-2</v>
      </c>
      <c r="BV141" s="514">
        <f>IF(BP141&lt;=0.11,0.3827+0.0645*LN(BP141),IF(BP141&lt;=0.21,0.60025+0.15471*LN(BP141),IF(BP141&lt;1,0.225+0.6666666667*BP141," ")))</f>
        <v>0.22747115413529645</v>
      </c>
      <c r="BW141" s="514">
        <f>2*ACOS(1-2*(BU141))</f>
        <v>0.80854744620073182</v>
      </c>
      <c r="BX141" s="514">
        <f>IF(BP141=" "," ",(2*ACOS(1-2*(BV141))))</f>
        <v>1.9886768035556197</v>
      </c>
      <c r="BY141" s="514">
        <f>(1/4)*(1-(SIN(BW141))/BW141)</f>
        <v>2.6362883693026196E-2</v>
      </c>
      <c r="BZ141" s="514">
        <f>IF(BP141=" "," ",((1/4)*(1-(SIN(BX141))/BX141)))</f>
        <v>0.13510562088098804</v>
      </c>
      <c r="CA141" s="510">
        <f>BY141*AZ141/1000</f>
        <v>7.48705896881944E-3</v>
      </c>
      <c r="CB141" s="510">
        <f>IF(BP141=" "," ",(BZ141*AZ141/1000))</f>
        <v>3.8369996330200606E-2</v>
      </c>
      <c r="CC141" s="510">
        <f>+(BS141/SQRT(9.81*(0.125*(BW141-SIN(BW141))*(AZ141/1000)^2)/((AZ141/1000)*SIN(BW141/2))))</f>
        <v>3.9801039332952008</v>
      </c>
      <c r="CD141" s="510" t="str">
        <f>IF(CC141="","",IF(CC141&lt;0.7,"F. Subcrítico",IF(AND(CC141&gt;0.7,CC141&lt;1),"F. Subcrítico Inestable",IF(CC141=1,"F. Crítico",IF(AND(CC141&gt;1,CC141&lt;1.5),"F. Supercrítico Inestable",IF(CC141&gt;1.5,"F. Supercrítico",""))))))</f>
        <v>F. Supercrítico</v>
      </c>
      <c r="CE141" s="510">
        <f>1000*BL141*CA141/100</f>
        <v>0.47209635687908857</v>
      </c>
      <c r="CF141" s="510">
        <f>IF(BP141=" "," ",(1000*BL141*CB141/100))</f>
        <v>2.4194193683248062</v>
      </c>
      <c r="CG141" s="510" t="str">
        <f>IF(BS141&lt;0.45,"No cumple",IF(BS141&gt;5,"No cumple","O.K"))</f>
        <v>O.K</v>
      </c>
      <c r="CH141" s="510" t="str">
        <f>IF(BT141&lt;0.75,"No cumple",IF(BT141&gt;10,"No cumple","O.K"))</f>
        <v>O.K</v>
      </c>
      <c r="CI141" s="510" t="str">
        <f>IF(CE141&gt;0.1,"OK","V.C.H.")</f>
        <v>OK</v>
      </c>
      <c r="CJ141" s="510" t="str">
        <f>IF(CF141&gt;0.2,"OK","V.C.H.")</f>
        <v>OK</v>
      </c>
      <c r="CK141" s="506">
        <f>+BJ141</f>
        <v>6.0000000000059117E-2</v>
      </c>
      <c r="CL141" s="525" t="s">
        <v>2515</v>
      </c>
      <c r="CM141" s="525"/>
      <c r="CN141" s="526" t="str">
        <f>IF(B141=1,"dato"," ")</f>
        <v>dato</v>
      </c>
      <c r="CO141" s="527">
        <f>+CR141</f>
        <v>43.47</v>
      </c>
      <c r="CP141" s="511">
        <f>+BK141/100</f>
        <v>6.4182194616976386E-3</v>
      </c>
      <c r="CQ141" s="525" t="s">
        <v>2508</v>
      </c>
      <c r="CR141" s="522">
        <f>IF(BA141="","",AX141)</f>
        <v>43.47</v>
      </c>
      <c r="CS141" s="528">
        <v>1.2</v>
      </c>
      <c r="CT141" s="528">
        <v>1.2</v>
      </c>
      <c r="CU141" s="519">
        <f>IF($BA141="","",SQRT((BH141-BI141)^2+$CR141^2))</f>
        <v>43.55633112418905</v>
      </c>
      <c r="CV141" s="529" t="s">
        <v>2509</v>
      </c>
      <c r="CW141" s="530" t="str">
        <f>+IF(BD141&lt;=0.9,"E1",IF(BD141&lt;=2.5,"E2","E3"))</f>
        <v>E1</v>
      </c>
      <c r="CX141" s="522">
        <v>1.55E-2</v>
      </c>
      <c r="CY141" s="525"/>
      <c r="CZ141" s="525"/>
      <c r="DA141" s="525"/>
      <c r="DB141" s="531"/>
    </row>
    <row r="142" spans="1:106" ht="15" customHeight="1">
      <c r="A142" s="465"/>
      <c r="B142" s="491"/>
      <c r="C142" s="468"/>
      <c r="D142" s="468"/>
      <c r="E142" s="468"/>
      <c r="F142" s="468"/>
      <c r="G142" s="468"/>
      <c r="H142" s="468"/>
      <c r="I142" s="468"/>
      <c r="J142" s="468"/>
      <c r="K142" s="467"/>
      <c r="L142" s="468"/>
      <c r="M142" s="469"/>
      <c r="N142" s="470"/>
      <c r="O142" s="470"/>
      <c r="P142" s="470"/>
      <c r="Q142" s="469"/>
      <c r="R142" s="471"/>
      <c r="S142" s="471"/>
      <c r="T142" s="471"/>
      <c r="U142" s="471"/>
      <c r="V142" s="471"/>
      <c r="W142" s="471"/>
      <c r="X142" s="471"/>
      <c r="Y142" s="471"/>
      <c r="Z142" s="471"/>
      <c r="AA142" s="471" t="str">
        <f t="shared" si="219"/>
        <v/>
      </c>
      <c r="AB142" s="471"/>
      <c r="AC142" s="471"/>
      <c r="AD142" s="471"/>
      <c r="AE142" s="471"/>
      <c r="AF142" s="471" t="str">
        <f t="shared" si="361"/>
        <v/>
      </c>
      <c r="AG142" s="471"/>
      <c r="AH142" s="471"/>
      <c r="AI142" s="471"/>
      <c r="AJ142" s="471"/>
      <c r="AK142" s="472"/>
      <c r="AL142" s="471"/>
      <c r="AM142" s="473"/>
      <c r="AN142" s="474"/>
      <c r="AO142" s="474"/>
      <c r="AP142" s="474"/>
      <c r="AQ142" s="475"/>
      <c r="AR142" s="474"/>
      <c r="AS142" s="474"/>
      <c r="AT142" s="471"/>
      <c r="AU142" s="492"/>
      <c r="AV142" s="471"/>
      <c r="AW142" s="471"/>
      <c r="AX142" s="478"/>
      <c r="AY142" s="493"/>
      <c r="AZ142" s="480"/>
      <c r="BA142" s="493"/>
      <c r="BB142" s="478" t="str">
        <f>IF(OR(C147="",D147=""),"",VLOOKUP(C147,'Base de Diseño (2)'!$A$2:$D$330,4,FALSE))</f>
        <v/>
      </c>
      <c r="BC142" s="494"/>
      <c r="BD142" s="494"/>
      <c r="BE142" s="494"/>
      <c r="BF142" s="494"/>
      <c r="BG142" s="494"/>
      <c r="BH142" s="495"/>
      <c r="BI142" s="495"/>
      <c r="BJ142" s="468"/>
      <c r="BK142" s="475"/>
      <c r="BL142" s="475"/>
      <c r="BM142" s="475"/>
      <c r="BN142" s="475"/>
      <c r="BO142" s="204"/>
      <c r="BP142" s="496"/>
      <c r="BQ142" s="497"/>
      <c r="BR142" s="497"/>
      <c r="BS142" s="475"/>
      <c r="BT142" s="475"/>
      <c r="BU142" s="475"/>
      <c r="BV142" s="475"/>
      <c r="BW142" s="475"/>
      <c r="BX142" s="475"/>
      <c r="BY142" s="475"/>
      <c r="BZ142" s="475"/>
      <c r="CA142" s="471"/>
      <c r="CB142" s="471"/>
      <c r="CC142" s="471"/>
      <c r="CD142" s="471"/>
      <c r="CE142" s="471"/>
      <c r="CF142" s="471"/>
      <c r="CG142" s="471"/>
      <c r="CH142" s="471"/>
      <c r="CI142" s="471"/>
      <c r="CJ142" s="471"/>
      <c r="CK142" s="468"/>
      <c r="CL142" s="482" t="s">
        <v>2507</v>
      </c>
      <c r="CM142" s="482"/>
      <c r="CN142" s="63"/>
      <c r="CO142" s="498"/>
      <c r="CP142" s="472"/>
      <c r="CQ142" s="482"/>
      <c r="CR142" s="204"/>
      <c r="CS142" s="486"/>
      <c r="CT142" s="486"/>
      <c r="CU142" s="23"/>
      <c r="CV142" s="499"/>
      <c r="CW142" s="488"/>
      <c r="CX142" s="204"/>
      <c r="CY142" s="482"/>
      <c r="CZ142" s="482"/>
      <c r="DA142" s="482"/>
      <c r="DB142" s="490"/>
    </row>
    <row r="143" spans="1:106" ht="15" hidden="1" customHeight="1">
      <c r="A143" s="465">
        <v>85</v>
      </c>
      <c r="B143" s="491">
        <v>1</v>
      </c>
      <c r="C143" s="466" t="s">
        <v>2322</v>
      </c>
      <c r="D143" s="466" t="s">
        <v>2326</v>
      </c>
      <c r="E143" s="468">
        <v>0.41265338150000003</v>
      </c>
      <c r="F143" s="468"/>
      <c r="G143" s="468">
        <f>IF(B143=1,0,SUMIF($D$22:$D$583,C143,$H$22:$H$583))</f>
        <v>0</v>
      </c>
      <c r="H143" s="468">
        <f>+E143+F143+G143</f>
        <v>0.41265338150000003</v>
      </c>
      <c r="I143" s="468">
        <v>0.41265338149999997</v>
      </c>
      <c r="J143" s="468"/>
      <c r="K143" s="467">
        <f>+IF(B143=1,0,SUMIF($D$22:$D$583,C143,$L$22:$L$580))</f>
        <v>0</v>
      </c>
      <c r="L143" s="468">
        <f>+I143+J143+K143</f>
        <v>0.41265338149999997</v>
      </c>
      <c r="M143" s="469">
        <f>+$P$12</f>
        <v>242.33666300502347</v>
      </c>
      <c r="N143" s="470">
        <f>M143*E143</f>
        <v>100.00104345044889</v>
      </c>
      <c r="O143" s="470">
        <f>M143*F143</f>
        <v>0</v>
      </c>
      <c r="P143" s="470">
        <f>M143*H143</f>
        <v>100.00104345044889</v>
      </c>
      <c r="Q143" s="469">
        <v>140</v>
      </c>
      <c r="R143" s="471">
        <f>Q143*P143*$P$14/86400</f>
        <v>0.13773291864124323</v>
      </c>
      <c r="S143" s="471"/>
      <c r="T143" s="471"/>
      <c r="U143" s="471">
        <f>IF(C143="","",T143*$P$17)</f>
        <v>0</v>
      </c>
      <c r="V143" s="471"/>
      <c r="W143" s="471"/>
      <c r="X143" s="471">
        <f>IF(C143="","",W143*$P$16)</f>
        <v>0</v>
      </c>
      <c r="Y143" s="471">
        <f>IF(H143=0,0,$H$15*H143)</f>
        <v>8.2530676300000008E-2</v>
      </c>
      <c r="Z143" s="471">
        <f>IF(L143=0,$H$16*H143,0)</f>
        <v>0</v>
      </c>
      <c r="AA143" s="471">
        <f t="shared" si="219"/>
        <v>3.8</v>
      </c>
      <c r="AB143" s="471">
        <f>R143*AA143</f>
        <v>0.52338509083672424</v>
      </c>
      <c r="AC143" s="471">
        <f>Q143*(N143+O143)*$P$14/86400</f>
        <v>0.13773291864124323</v>
      </c>
      <c r="AD143" s="471">
        <f>IF(E143=0,0,$H$15*(E143+F143))</f>
        <v>8.2530676300000008E-2</v>
      </c>
      <c r="AE143" s="471">
        <f>IF(F143=0,0,$H$15*(F143+G143))</f>
        <v>0</v>
      </c>
      <c r="AF143" s="510">
        <f t="shared" si="361"/>
        <v>3.8</v>
      </c>
      <c r="AG143" s="471">
        <f>AC143*AF143</f>
        <v>0.52338509083672424</v>
      </c>
      <c r="AH143" s="471">
        <f>+AD143+AE143+AG143</f>
        <v>0.60591576713672424</v>
      </c>
      <c r="AI143" s="471">
        <f>IF(H143="","",IF(AB143+Y143+Z143+X143+U143&lt;1.5,1.5,AB143+Y143+Z143+X143+U143))</f>
        <v>1.5</v>
      </c>
      <c r="AJ143" s="471">
        <f>+$P$17</f>
        <v>0.75</v>
      </c>
      <c r="AK143" s="472">
        <f>+BK143/100</f>
        <v>1.4780219780217995E-2</v>
      </c>
      <c r="AL143" s="471">
        <f>IF(AJ143=0," ",0.14+0.65*AJ143+0.05*AK143)</f>
        <v>0.62823901098901092</v>
      </c>
      <c r="AM143" s="473">
        <f>((100/36)*$AM$14*(AP143+$AN$14)^$AO$14)</f>
        <v>336.32613267542746</v>
      </c>
      <c r="AN143" s="474">
        <f>IF(B143=1,IF((0.702*(1.1-$AJ143)*SQRT($CO143))/(($CP143)^(1/3))&lt;5,5,(0.702*(1.1-$AJ143)*SQRT($CO143))/(($CP143)^(1/3))),AP142)</f>
        <v>7.3978896201818198</v>
      </c>
      <c r="AO143" s="474">
        <f>((1/60)*$AX143/$AQ143)</f>
        <v>0.30333333333333334</v>
      </c>
      <c r="AP143" s="474">
        <f>IF(B143=1,IF(($AN143+$AO143)&lt;10,10,IF(($AN143+$AO143)&gt;20,20,($AN143+$AO143))),($AN143+$AO143))</f>
        <v>10</v>
      </c>
      <c r="AQ143" s="475">
        <v>3</v>
      </c>
      <c r="AR143" s="474">
        <f>((1/60)*$AX143/$BT143)</f>
        <v>0.30908315043320067</v>
      </c>
      <c r="AS143" s="474">
        <f>AO143/AR143</f>
        <v>0.98139718359991934</v>
      </c>
      <c r="AT143" s="471" t="str">
        <f>IF(AS143&lt;0.9,"Disminuir vel.",IF(AS143&gt;1.1,"Aumentar vel.","Cumple"))</f>
        <v>Cumple</v>
      </c>
      <c r="AU143" s="492">
        <f>+I143*AL143*AM143</f>
        <v>87.190852214219674</v>
      </c>
      <c r="AV143" s="471">
        <f>+L143*AL143*AM143</f>
        <v>87.190852214219674</v>
      </c>
      <c r="AW143" s="510">
        <f>ROUND(IF(AI143&gt;(AV143*0.05),(AV143+AI143),AV143),2)</f>
        <v>87.19</v>
      </c>
      <c r="AX143" s="478">
        <f>IF(OR(C143="",D143=""),"",ROUND(((VLOOKUP(C143,'Base de Diseño (2)'!$A$2:$C$333,2,FALSE)-VLOOKUP(D143,'Base de Diseño (2)'!$A$2:$C$333,2,FALSE))^2+(VLOOKUP(C143,'Base de Diseño (2)'!$A$2:$C$333,3,0)-VLOOKUP(D143,'Base de Diseño (2)'!$A$2:$C$333,3,FALSE))^2)^0.5,2))</f>
        <v>54.6</v>
      </c>
      <c r="AY143" s="493">
        <v>8</v>
      </c>
      <c r="AZ143" s="480">
        <f>IF(AND(L143="",H143=""),"",IF(BA143=4,VLOOKUP(AY143,'TABLA (2)'!$A$74:$C$89,2),IF(BA143=5,VLOOKUP(AY143,'TABLA (2)'!$A$51:$B$66,2),IF(BA143=6,VLOOKUP(AY143,'TABLA (2)'!$A$9:$B$43,2)))))</f>
        <v>200</v>
      </c>
      <c r="BA143" s="493">
        <v>6</v>
      </c>
      <c r="BB143" s="478">
        <f>IF(OR(C143="",D143=""),"",VLOOKUP(C143,'Base de Diseño (2)'!$A$2:$D$330,4,FALSE))</f>
        <v>984.94899999999996</v>
      </c>
      <c r="BC143" s="478">
        <f>IF(OR(C143="",D143=""),"",VLOOKUP(D143,'Base de Diseño (2)'!$A$2:$D$330,4,FALSE))</f>
        <v>984.14200000000005</v>
      </c>
      <c r="BD143" s="23">
        <f>+BF143-((AZ143/1000)+CX143)</f>
        <v>0.76300000000000001</v>
      </c>
      <c r="BE143" s="23">
        <f>+BG143-((AZ143/1000)+CX143)</f>
        <v>3.9129999999999772</v>
      </c>
      <c r="BF143" s="494">
        <v>1</v>
      </c>
      <c r="BG143" s="494">
        <v>4.1499999999999773</v>
      </c>
      <c r="BH143" s="495">
        <f>BB143-BF143</f>
        <v>983.94899999999996</v>
      </c>
      <c r="BI143" s="495">
        <f>BC143-BG143</f>
        <v>979.99200000000008</v>
      </c>
      <c r="BJ143" s="468">
        <f>IF(A143="",0,BI143-BH144)</f>
        <v>979.99200000000008</v>
      </c>
      <c r="BK143" s="475">
        <f>ABS((BB143-BC143)/AX143)*100</f>
        <v>1.4780219780217996</v>
      </c>
      <c r="BL143" s="475">
        <f>((BH143-BI143)/AX143)*100</f>
        <v>7.2472527472525279</v>
      </c>
      <c r="BM143" s="475">
        <f>IF(BA143=6,(1/0.013)*((AZ143/4000)^(2/3))*((BL143/100)^(0.5)),(1/0.009)*((AZ143/4000)^(2/3))*((BL143/100)^(0.5)))</f>
        <v>2.8105416205833844</v>
      </c>
      <c r="BN143" s="475">
        <f>1000*BM143*PI()*((AZ143/1000/2)^2)</f>
        <v>88.295769078331134</v>
      </c>
      <c r="BO143" s="204">
        <f>AI143/BN143</f>
        <v>1.6988356471183606E-2</v>
      </c>
      <c r="BP143" s="496">
        <f>IF(L143=0," ",AW143/BN143)</f>
        <v>0.987476533814999</v>
      </c>
      <c r="BQ143" s="497">
        <f>IF($BO143&gt;0 =AND($BO143&lt;=0.06),10^(0.029806+0.29095*LOG($BO143)),IF($BO143&gt;0.06 =AND($BO143&lt;=0.26),10^(0.013778+0.282597*LOG($BO143)),IF($BO143&gt;0.26 =AND($BO143&lt;=0.91),10^(0.021763+0.28995*LOG($BO143)),1)))</f>
        <v>0.32724162435995957</v>
      </c>
      <c r="BR143" s="497">
        <f>IF($BP143&gt;0 =AND($BP143&lt;=0.06),10^(0.029806+0.29095*LOG($BP143)),IF($BP143&gt;0.06 =AND($BP143&lt;=0.26),10^(0.013778+0.282597*LOG($BP143)),IF($BP143&gt;0.26 =AND($BP143&lt;=2),10^(0.021763+0.28995*LOG($BP143))," ")))</f>
        <v>1.0475530870055687</v>
      </c>
      <c r="BS143" s="475">
        <f>BM143*BQ143</f>
        <v>0.91972620525097992</v>
      </c>
      <c r="BT143" s="475">
        <f>IF(BP143=" "," ",(BM143*BR143))</f>
        <v>2.9441915507997583</v>
      </c>
      <c r="BU143" s="475">
        <f>IF(BO143&lt;=0.11,0.3827+0.0645*LN(BO143),IF(BO143&lt;=0.21,0.60025+0.15471*LN(BO143),IF(BO143&lt;1,0.225+0.6666666667*BO143,0)))</f>
        <v>0.11984785314352742</v>
      </c>
      <c r="BV143" s="475">
        <f>IF(BP143&lt;=0.11,0.3827+0.0645*LN(BP143),IF(BP143&lt;=0.21,0.60025+0.15471*LN(BP143),IF(BP143&lt;1,0.225+0.6666666667*BP143," ")))</f>
        <v>0.8833176892429152</v>
      </c>
      <c r="BW143" s="475">
        <f>2*ACOS(1-2*(BU143))</f>
        <v>1.4140297678750293</v>
      </c>
      <c r="BX143" s="475">
        <f>IF(BP143=" "," ",(2*ACOS(1-2*(BV143))))</f>
        <v>4.8887615786459824</v>
      </c>
      <c r="BY143" s="475">
        <f>(1/4)*(1-(SIN(BW143))/BW143)</f>
        <v>7.5368374457815301E-2</v>
      </c>
      <c r="BZ143" s="475">
        <f>IF(BP143=" "," ",((1/4)*(1-(SIN(BX143))/BX143)))</f>
        <v>0.30034437735357183</v>
      </c>
      <c r="CA143" s="471">
        <f>BY143*AZ143/1000</f>
        <v>1.507367489156306E-2</v>
      </c>
      <c r="CB143" s="471">
        <f>IF(BP143=" "," ",(BZ143*AZ143/1000))</f>
        <v>6.0068875470714364E-2</v>
      </c>
      <c r="CC143" s="471">
        <f>+(BT143/SQRT(9.81*(0.125*(BX143-SIN(BX143))*(AZ143/1000)^2)/((AZ143/1000)*SIN(BX143/2))))</f>
        <v>1.9657028239873044</v>
      </c>
      <c r="CD143" s="471" t="str">
        <f>IF(CC143="","",IF(CC143&lt;0.7,"F. Subcrítico",IF(AND(CC143&gt;0.7,CC143&lt;1),"F. Subcrítico Inestable",IF(CC143=1,"F. Crítico",IF(AND(CC143&gt;1,CC143&lt;1.5),"F. Supercrítico Inestable",IF(CC143&gt;1.5,"F. Supercrítico",""))))))</f>
        <v>F. Supercrítico</v>
      </c>
      <c r="CE143" s="471">
        <f>1000*BL143*CA143/100</f>
        <v>1.0924273176907184</v>
      </c>
      <c r="CF143" s="471">
        <f>IF(BP143=" "," ",(1000*BL143*CB143/100))</f>
        <v>4.3533432277950466</v>
      </c>
      <c r="CG143" s="471" t="str">
        <f>IF(BS143&lt;0.45,"No cumple",IF(BS143&gt;5,"No cumple","O.K"))</f>
        <v>O.K</v>
      </c>
      <c r="CH143" s="471" t="str">
        <f>IF(BT143&lt;0.75,"No cumple",IF(BT143&gt;10,"No cumple","O.K"))</f>
        <v>O.K</v>
      </c>
      <c r="CI143" s="471" t="str">
        <f>IF(CE143&gt;0.1,"OK","V.C.H.")</f>
        <v>OK</v>
      </c>
      <c r="CJ143" s="471" t="str">
        <f>IF(CF143&gt;0.2,"OK","V.C.H.")</f>
        <v>OK</v>
      </c>
      <c r="CK143" s="468">
        <f>+BJ143</f>
        <v>979.99200000000008</v>
      </c>
      <c r="CL143" s="482" t="s">
        <v>2507</v>
      </c>
      <c r="CM143" s="482"/>
      <c r="CN143" s="63" t="str">
        <f>IF(B143=1,"dato"," ")</f>
        <v>dato</v>
      </c>
      <c r="CO143" s="498">
        <f>+CR143</f>
        <v>54.6</v>
      </c>
      <c r="CP143" s="472">
        <f>+BK143/100</f>
        <v>1.4780219780217995E-2</v>
      </c>
      <c r="CQ143" s="482" t="s">
        <v>2508</v>
      </c>
      <c r="CR143" s="204">
        <f>IF(BA143="","",AX143)</f>
        <v>54.6</v>
      </c>
      <c r="CS143" s="486">
        <v>1.2</v>
      </c>
      <c r="CT143" s="486">
        <v>1.2</v>
      </c>
      <c r="CU143" s="23">
        <f>IF($BA143="","",SQRT((BH143-BI143)^2+$CR143^2))</f>
        <v>54.743199111853151</v>
      </c>
      <c r="CV143" s="499" t="s">
        <v>2509</v>
      </c>
      <c r="CW143" s="488" t="str">
        <f>+IF(BD143&lt;=0.9,"E1",IF(BD143&lt;=2.5,"E2","E3"))</f>
        <v>E1</v>
      </c>
      <c r="CX143" s="204">
        <f>IF(AND(L143="",H143=""),"",IF(AND(BA143&lt;&gt;4,BA143&lt;&gt;5),VLOOKUP(AY143,'TABLA (2)'!$A$9:$D$43,4),IF(BA143=4,VLOOKUP(AY143,'TABLA (2)'!$A$74:$D$89,4),VLOOKUP(AY143,'TABLA (2)'!$A$51:$D$66,4))))</f>
        <v>3.6999999999999998E-2</v>
      </c>
      <c r="CY143" s="482"/>
      <c r="CZ143" s="482"/>
      <c r="DA143" s="482"/>
      <c r="DB143" s="490"/>
    </row>
    <row r="144" spans="1:106" ht="15" hidden="1" customHeight="1">
      <c r="A144" s="465"/>
      <c r="B144" s="491"/>
      <c r="C144" s="466"/>
      <c r="D144" s="466"/>
      <c r="E144" s="468"/>
      <c r="F144" s="468"/>
      <c r="G144" s="468"/>
      <c r="H144" s="468"/>
      <c r="I144" s="468"/>
      <c r="J144" s="468"/>
      <c r="K144" s="467"/>
      <c r="L144" s="468"/>
      <c r="M144" s="469"/>
      <c r="N144" s="470"/>
      <c r="O144" s="470"/>
      <c r="P144" s="470"/>
      <c r="Q144" s="469"/>
      <c r="R144" s="471"/>
      <c r="S144" s="471"/>
      <c r="T144" s="471"/>
      <c r="U144" s="471"/>
      <c r="V144" s="471"/>
      <c r="W144" s="471"/>
      <c r="X144" s="471"/>
      <c r="Y144" s="471"/>
      <c r="Z144" s="471"/>
      <c r="AA144" s="471" t="str">
        <f t="shared" si="219"/>
        <v/>
      </c>
      <c r="AB144" s="471"/>
      <c r="AC144" s="471"/>
      <c r="AD144" s="471"/>
      <c r="AE144" s="471"/>
      <c r="AF144" s="510" t="str">
        <f t="shared" si="361"/>
        <v/>
      </c>
      <c r="AG144" s="471"/>
      <c r="AH144" s="471"/>
      <c r="AI144" s="471"/>
      <c r="AJ144" s="471"/>
      <c r="AK144" s="472"/>
      <c r="AL144" s="471"/>
      <c r="AM144" s="473">
        <f>((100/36)*$AM$14*(AP144+$AN$14)^$AO$14)</f>
        <v>474.44695720875893</v>
      </c>
      <c r="AN144" s="474">
        <f>IF(B144=1,IF((0.702*(1.1-$AJ144)*SQRT($CO144))/(($CP144)^(1/3))&lt;5,5,(0.702*(1.1-$AJ144)*SQRT($CO144))/(($CP144)^(1/3))),AP143)</f>
        <v>10</v>
      </c>
      <c r="AO144" s="474"/>
      <c r="AP144" s="474"/>
      <c r="AQ144" s="475">
        <v>3</v>
      </c>
      <c r="AR144" s="474"/>
      <c r="AS144" s="474"/>
      <c r="AT144" s="471"/>
      <c r="AU144" s="492"/>
      <c r="AV144" s="471"/>
      <c r="AW144" s="510">
        <f>ROUND(IF(AI144&gt;(AV144*0.05),(AV144+AI144),AV144),2)</f>
        <v>0</v>
      </c>
      <c r="AX144" s="478"/>
      <c r="AY144" s="493"/>
      <c r="AZ144" s="480"/>
      <c r="BA144" s="493"/>
      <c r="BB144" s="478" t="str">
        <f>IF(OR(C144="",D144=""),"",VLOOKUP(C144,'Base de Diseño (2)'!$A$2:$D$330,4,FALSE))</f>
        <v/>
      </c>
      <c r="BC144" s="478" t="str">
        <f>IF(OR(C144="",D144=""),"",VLOOKUP(D144,'Base de Diseño (2)'!$A$2:$D$330,4,FALSE))</f>
        <v/>
      </c>
      <c r="BD144" s="23"/>
      <c r="BE144" s="23"/>
      <c r="BF144" s="494"/>
      <c r="BG144" s="494"/>
      <c r="BH144" s="495"/>
      <c r="BI144" s="495"/>
      <c r="BJ144" s="468"/>
      <c r="BK144" s="475"/>
      <c r="BL144" s="475"/>
      <c r="BM144" s="475"/>
      <c r="BN144" s="475"/>
      <c r="BO144" s="204"/>
      <c r="BP144" s="496"/>
      <c r="BQ144" s="497"/>
      <c r="BR144" s="497"/>
      <c r="BS144" s="475"/>
      <c r="BT144" s="475"/>
      <c r="BU144" s="475"/>
      <c r="BV144" s="475"/>
      <c r="BW144" s="475"/>
      <c r="BX144" s="475"/>
      <c r="BY144" s="475"/>
      <c r="BZ144" s="475"/>
      <c r="CA144" s="471"/>
      <c r="CB144" s="471"/>
      <c r="CC144" s="471" t="e">
        <f>+(BT144/SQRT(9.81*(0.125*(BX144-SIN(BX144))*(AZ144/1000)^2)/((AZ144/1000)*SIN(BX144/2))))</f>
        <v>#DIV/0!</v>
      </c>
      <c r="CD144" s="471"/>
      <c r="CE144" s="471"/>
      <c r="CF144" s="471"/>
      <c r="CG144" s="471"/>
      <c r="CH144" s="471"/>
      <c r="CI144" s="471"/>
      <c r="CJ144" s="471"/>
      <c r="CK144" s="468"/>
      <c r="CL144" s="482" t="s">
        <v>2507</v>
      </c>
      <c r="CM144" s="482"/>
      <c r="CN144" s="63"/>
      <c r="CO144" s="498"/>
      <c r="CP144" s="472"/>
      <c r="CQ144" s="482"/>
      <c r="CR144" s="204"/>
      <c r="CS144" s="486"/>
      <c r="CT144" s="486"/>
      <c r="CU144" s="23"/>
      <c r="CV144" s="499"/>
      <c r="CW144" s="488"/>
      <c r="CX144" s="204"/>
      <c r="CY144" s="482"/>
      <c r="CZ144" s="482"/>
      <c r="DA144" s="482"/>
      <c r="DB144" s="490"/>
    </row>
    <row r="145" spans="1:106" ht="15" hidden="1" customHeight="1">
      <c r="A145" s="465">
        <v>86</v>
      </c>
      <c r="B145" s="491">
        <v>1</v>
      </c>
      <c r="C145" s="466" t="s">
        <v>2177</v>
      </c>
      <c r="D145" s="466" t="s">
        <v>2178</v>
      </c>
      <c r="E145" s="468">
        <v>0.2145</v>
      </c>
      <c r="F145" s="468"/>
      <c r="G145" s="468">
        <f>IF(B145=1,0,SUMIF($D$22:$D$583,C145,$H$22:$H$583))</f>
        <v>0</v>
      </c>
      <c r="H145" s="468">
        <f>+E145+F145+G145</f>
        <v>0.2145</v>
      </c>
      <c r="I145" s="468">
        <f>+E145</f>
        <v>0.2145</v>
      </c>
      <c r="J145" s="468"/>
      <c r="K145" s="467">
        <f>+IF(B145=1,0,SUMIF($D$22:$D$583,C145,$L$22:$L$580))</f>
        <v>0</v>
      </c>
      <c r="L145" s="468">
        <f>+I145+J145+K145</f>
        <v>0.2145</v>
      </c>
      <c r="M145" s="469">
        <f>+$P$12</f>
        <v>242.33666300502347</v>
      </c>
      <c r="N145" s="470">
        <f>M145*E145</f>
        <v>51.981214214577534</v>
      </c>
      <c r="O145" s="470">
        <f>M145*F145</f>
        <v>0</v>
      </c>
      <c r="P145" s="470">
        <f>M145*H145</f>
        <v>51.981214214577534</v>
      </c>
      <c r="Q145" s="469">
        <v>140</v>
      </c>
      <c r="R145" s="471">
        <f>Q145*P145*$P$14/86400</f>
        <v>7.1594496429800078E-2</v>
      </c>
      <c r="S145" s="471"/>
      <c r="T145" s="471"/>
      <c r="U145" s="471">
        <f>IF(C145="","",T145*$P$17)</f>
        <v>0</v>
      </c>
      <c r="V145" s="471"/>
      <c r="W145" s="471"/>
      <c r="X145" s="471">
        <f>IF(C145="","",W145*$P$16)</f>
        <v>0</v>
      </c>
      <c r="Y145" s="471">
        <f>IF(H145=0,0,$H$15*H145)</f>
        <v>4.2900000000000001E-2</v>
      </c>
      <c r="Z145" s="471">
        <f>IF(L145=0,$H$16*H145,0)</f>
        <v>0</v>
      </c>
      <c r="AA145" s="471">
        <f t="shared" si="219"/>
        <v>3.8</v>
      </c>
      <c r="AB145" s="471">
        <f>R145*AA145</f>
        <v>0.27205908643324028</v>
      </c>
      <c r="AC145" s="471">
        <f>Q145*(N145+O145)*$P$14/86400</f>
        <v>7.1594496429800078E-2</v>
      </c>
      <c r="AD145" s="471">
        <f>IF(E145=0,0,$H$15*(E145+F145))</f>
        <v>4.2900000000000001E-2</v>
      </c>
      <c r="AE145" s="471">
        <f>IF(F145=0,0,$H$15*(F145+G145))</f>
        <v>0</v>
      </c>
      <c r="AF145" s="510">
        <f t="shared" si="361"/>
        <v>3.8</v>
      </c>
      <c r="AG145" s="471">
        <f>AC145*AF145</f>
        <v>0.27205908643324028</v>
      </c>
      <c r="AH145" s="471">
        <f>+AD145+AE145+AG145</f>
        <v>0.31495908643324028</v>
      </c>
      <c r="AI145" s="471">
        <f>IF(H145="","",IF(AB145+Y145+Z145+X145+U145&lt;1.5,1.5,AB145+Y145+Z145+X145+U145))</f>
        <v>1.5</v>
      </c>
      <c r="AJ145" s="471">
        <f>+$P$17</f>
        <v>0.75</v>
      </c>
      <c r="AK145" s="472">
        <f>+BK145/100</f>
        <v>1.1866235167204446E-2</v>
      </c>
      <c r="AL145" s="471">
        <f>IF(AJ145=0," ",0.14+0.65*AJ145+0.05*AK145)</f>
        <v>0.62809331175836025</v>
      </c>
      <c r="AM145" s="473">
        <f>((100/36)*$AM$14*(AP145+$AN$14)^$AO$14)</f>
        <v>336.32613267542746</v>
      </c>
      <c r="AN145" s="474">
        <f>IF(B145=1,IF((0.702*(1.1-$AJ145)*SQRT($CO145))/(($CP145)^(1/3))&lt;5,5,(0.702*(1.1-$AJ145)*SQRT($CO145))/(($CP145)^(1/3))),AP144)</f>
        <v>6.559499483619228</v>
      </c>
      <c r="AO145" s="474">
        <f>((1/60)*$AX145/$AQ145)</f>
        <v>0.20599999999999999</v>
      </c>
      <c r="AP145" s="474">
        <f>IF(B145=1,IF(($AN145+$AO145)&lt;10,10,IF(($AN145+$AO145)&gt;20,20,($AN145+$AO145))),($AN145+$AO145))</f>
        <v>10</v>
      </c>
      <c r="AQ145" s="475">
        <v>3</v>
      </c>
      <c r="AR145" s="474">
        <f>((1/60)*$AX145/$BT145)</f>
        <v>0.53623994981235368</v>
      </c>
      <c r="AS145" s="474">
        <f>AO145/AR145</f>
        <v>0.38415638385779632</v>
      </c>
      <c r="AT145" s="471" t="str">
        <f>IF(AS145&lt;0.9,"Disminuir vel.",IF(AS145&gt;1.1,"Aumentar vel.","Cumple"))</f>
        <v>Disminuir vel.</v>
      </c>
      <c r="AU145" s="492">
        <f>+I145*AL145*AM145</f>
        <v>45.311879720891547</v>
      </c>
      <c r="AV145" s="471">
        <f>+L145*AL145*AM145</f>
        <v>45.311879720891547</v>
      </c>
      <c r="AW145" s="510">
        <f>ROUND(IF(AI145&gt;(AV145*0.05),(AV145+AI145),AV145),2)</f>
        <v>45.31</v>
      </c>
      <c r="AX145" s="478">
        <f>IF(OR(C145="",D145=""),"",ROUND(((VLOOKUP(C145,'Base de Diseño (2)'!$A$2:$C$333,2,FALSE)-VLOOKUP(D145,'Base de Diseño (2)'!$A$2:$C$333,2,FALSE))^2+(VLOOKUP(C145,'Base de Diseño (2)'!$A$2:$C$333,3,0)-VLOOKUP(D145,'Base de Diseño (2)'!$A$2:$C$333,3,FALSE))^2)^0.5,2))</f>
        <v>37.08</v>
      </c>
      <c r="AY145" s="493">
        <v>16</v>
      </c>
      <c r="AZ145" s="480">
        <f>IF(AND(L145="",H145=""),"",IF(BA145=4,VLOOKUP(AY145,'TABLA (2)'!$A$74:$C$89,2),IF(BA145=5,VLOOKUP(AY145,'TABLA (2)'!$A$51:$B$66,2),IF(BA145=6,VLOOKUP(AY145,'TABLA (2)'!$A$9:$B$43,2)))))</f>
        <v>400</v>
      </c>
      <c r="BA145" s="493">
        <v>6</v>
      </c>
      <c r="BB145" s="478">
        <f>IF(OR(C145="",D145=""),"",VLOOKUP(C145,'Base de Diseño (2)'!$A$2:$D$330,4,FALSE))</f>
        <v>987.32159999999999</v>
      </c>
      <c r="BC145" s="478">
        <f>IF(OR(C145="",D145=""),"",VLOOKUP(D145,'Base de Diseño (2)'!$A$2:$D$330,4,FALSE))</f>
        <v>986.88160000000005</v>
      </c>
      <c r="BD145" s="23">
        <f>+BF145-((AZ145/1000)+CX145)</f>
        <v>1.1679999999999955</v>
      </c>
      <c r="BE145" s="23">
        <f>+BG145-((AZ145/1000)+CX145)</f>
        <v>1.1380000000000228</v>
      </c>
      <c r="BF145" s="494">
        <v>1.6299999999999955</v>
      </c>
      <c r="BG145" s="494">
        <v>1.6000000000000227</v>
      </c>
      <c r="BH145" s="495">
        <f>BB145-BF145</f>
        <v>985.69159999999999</v>
      </c>
      <c r="BI145" s="495">
        <f>BC145-BG145</f>
        <v>985.28160000000003</v>
      </c>
      <c r="BJ145" s="468">
        <f>IF(A145="",0,BI145-BH146)</f>
        <v>2.9999999999972715E-2</v>
      </c>
      <c r="BK145" s="475">
        <f>ABS((BB145-BC145)/AX145)*100</f>
        <v>1.1866235167204446</v>
      </c>
      <c r="BL145" s="475">
        <f>((BH145-BI145)/AX145)*100</f>
        <v>1.1057173678532044</v>
      </c>
      <c r="BM145" s="475">
        <f>IF(BA145=6,(1/0.013)*((AZ145/4000)^(2/3))*((BL145/100)^(0.5)),(1/0.009)*((AZ145/4000)^(2/3))*((BL145/100)^(0.5)))</f>
        <v>1.7426575277515326</v>
      </c>
      <c r="BN145" s="475">
        <f>1000*BM145*PI()*((AZ145/1000/2)^2)</f>
        <v>218.98880347628668</v>
      </c>
      <c r="BO145" s="204">
        <f>AI145/BN145</f>
        <v>6.8496652622809934E-3</v>
      </c>
      <c r="BP145" s="496">
        <f>IF(L145=0," ",AW145/BN145)</f>
        <v>0.20690555535596786</v>
      </c>
      <c r="BQ145" s="497">
        <f>IF($BO145&gt;0 =AND($BO145&lt;=0.06),10^(0.029806+0.29095*LOG($BO145)),IF($BO145&gt;0.06 =AND($BO145&lt;=0.26),10^(0.013778+0.282597*LOG($BO145)),IF($BO145&gt;0.26 =AND($BO145&lt;=0.91),10^(0.021763+0.28995*LOG($BO145)),1)))</f>
        <v>0.25124301527200915</v>
      </c>
      <c r="BR145" s="497">
        <f>IF($BP145&gt;0 =AND($BP145&lt;=0.06),10^(0.029806+0.29095*LOG($BP145)),IF($BP145&gt;0.06 =AND($BP145&lt;=0.26),10^(0.013778+0.282597*LOG($BP145)),IF($BP145&gt;0.26 =AND($BP145&lt;=2),10^(0.021763+0.28995*LOG($BP145))," ")))</f>
        <v>0.66132853599775554</v>
      </c>
      <c r="BS145" s="475">
        <f>BM145*BQ145</f>
        <v>0.43783053185876003</v>
      </c>
      <c r="BT145" s="475">
        <f>IF(BP145=" "," ",(BM145*BR145))</f>
        <v>1.1524691515733891</v>
      </c>
      <c r="BU145" s="475">
        <f>IF(BO145&lt;=0.11,0.3827+0.0645*LN(BO145),IF(BO145&lt;=0.21,0.60025+0.15471*LN(BO145),IF(BO145&lt;1,0.225+0.6666666667*BO145,0)))</f>
        <v>6.126067059041046E-2</v>
      </c>
      <c r="BV145" s="475">
        <f>IF(BP145&lt;=0.11,0.3827+0.0645*LN(BP145),IF(BP145&lt;=0.21,0.60025+0.15471*LN(BP145),IF(BP145&lt;1,0.225+0.6666666667*BP145," ")))</f>
        <v>0.35650550208133136</v>
      </c>
      <c r="BW145" s="475">
        <f>2*ACOS(1-2*(BU145))</f>
        <v>1.0004333622724593</v>
      </c>
      <c r="BX145" s="475">
        <f>IF(BP145=" "," ",(2*ACOS(1-2*(BV145))))</f>
        <v>2.5594284062928709</v>
      </c>
      <c r="BY145" s="475">
        <f>(1/4)*(1-(SIN(BW145))/BW145)</f>
        <v>3.9664888196947329E-2</v>
      </c>
      <c r="BZ145" s="475">
        <f>IF(BP145=" "," ",((1/4)*(1-(SIN(BX145))/BX145)))</f>
        <v>0.196293383066169</v>
      </c>
      <c r="CA145" s="471">
        <f>BY145*AZ145/1000</f>
        <v>1.5865955278778932E-2</v>
      </c>
      <c r="CB145" s="471">
        <f>IF(BP145=" "," ",(BZ145*AZ145/1000))</f>
        <v>7.8517353226467607E-2</v>
      </c>
      <c r="CC145" s="471">
        <f>+(BT145/SQRT(9.81*(0.125*(BX145-SIN(BX145))*(AZ145/1000)^2)/((AZ145/1000)*SIN(BX145/2))))</f>
        <v>1.1361175052020773</v>
      </c>
      <c r="CD145" s="471" t="str">
        <f>IF(CC145="","",IF(CC145&lt;0.7,"F. Subcrítico",IF(AND(CC145&gt;0.7,CC145&lt;1),"F. Subcrítico Inestable",IF(CC145=1,"F. Crítico",IF(AND(CC145&gt;1,CC145&lt;1.5),"F. Supercrítico Inestable",IF(CC145&gt;1.5,"F. Supercrítico",""))))))</f>
        <v>F. Supercrítico Inestable</v>
      </c>
      <c r="CE145" s="471">
        <f>1000*BL145*CA145/100</f>
        <v>0.17543262309328095</v>
      </c>
      <c r="CF145" s="471">
        <f>IF(BP145=" "," ",(1000*BL145*CB145/100))</f>
        <v>0.86818001140370071</v>
      </c>
      <c r="CG145" s="471" t="str">
        <f>IF(BS145&lt;0.45,"No cumple",IF(BS145&gt;5,"No cumple","O.K"))</f>
        <v>No cumple</v>
      </c>
      <c r="CH145" s="471" t="str">
        <f>IF(BT145&lt;0.75,"No cumple",IF(BT145&gt;10,"No cumple","O.K"))</f>
        <v>O.K</v>
      </c>
      <c r="CI145" s="471" t="str">
        <f>IF(CE145&gt;0.1,"OK","V.C.H.")</f>
        <v>OK</v>
      </c>
      <c r="CJ145" s="471" t="str">
        <f>IF(CF145&gt;0.2,"OK","V.C.H.")</f>
        <v>OK</v>
      </c>
      <c r="CK145" s="468">
        <f>+BJ145</f>
        <v>2.9999999999972715E-2</v>
      </c>
      <c r="CL145" s="482" t="s">
        <v>2507</v>
      </c>
      <c r="CM145" s="482"/>
      <c r="CN145" s="63" t="str">
        <f>IF(B145=1,"dato"," ")</f>
        <v>dato</v>
      </c>
      <c r="CO145" s="498">
        <f>+CR145</f>
        <v>37.08</v>
      </c>
      <c r="CP145" s="472">
        <f>+BK145/100</f>
        <v>1.1866235167204446E-2</v>
      </c>
      <c r="CQ145" s="482" t="s">
        <v>2508</v>
      </c>
      <c r="CR145" s="204">
        <f>IF(BA145="","",AX145)</f>
        <v>37.08</v>
      </c>
      <c r="CS145" s="486">
        <v>1.2</v>
      </c>
      <c r="CT145" s="486">
        <v>1.2</v>
      </c>
      <c r="CU145" s="23">
        <f>IF($BA145="","",SQRT((BH145-BI145)^2+$CR145^2))</f>
        <v>37.082266651325398</v>
      </c>
      <c r="CV145" s="499" t="s">
        <v>2509</v>
      </c>
      <c r="CW145" s="488" t="str">
        <f>+IF(BD145&lt;=0.9,"E1",IF(BD145&lt;=2.5,"E2","E3"))</f>
        <v>E2</v>
      </c>
      <c r="CX145" s="204">
        <f>IF(AND(L145="",H145=""),"",IF(AND(BA145&lt;&gt;4,BA145&lt;&gt;5),VLOOKUP(AY145,'TABLA (2)'!$A$9:$D$43,4),IF(BA145=4,VLOOKUP(AY145,'TABLA (2)'!$A$74:$D$89,4),VLOOKUP(AY145,'TABLA (2)'!$A$51:$D$66,4))))</f>
        <v>6.2E-2</v>
      </c>
      <c r="CY145" s="482"/>
      <c r="CZ145" s="482"/>
      <c r="DA145" s="482"/>
      <c r="DB145" s="490"/>
    </row>
    <row r="146" spans="1:106" ht="15" hidden="1" customHeight="1">
      <c r="A146" s="465">
        <f>+A145+1</f>
        <v>87</v>
      </c>
      <c r="B146" s="491"/>
      <c r="C146" s="466" t="s">
        <v>2178</v>
      </c>
      <c r="D146" s="466" t="s">
        <v>92</v>
      </c>
      <c r="E146" s="468">
        <v>8.8999999999999996E-2</v>
      </c>
      <c r="F146" s="468"/>
      <c r="G146" s="468">
        <f>IF(B146=1,0,SUMIF($D$22:$D$583,C146,$H$22:$H$583))</f>
        <v>0.2145</v>
      </c>
      <c r="H146" s="468">
        <f>+E146+F146+G146</f>
        <v>0.30349999999999999</v>
      </c>
      <c r="I146" s="468">
        <f>+E146</f>
        <v>8.8999999999999996E-2</v>
      </c>
      <c r="J146" s="468"/>
      <c r="K146" s="467">
        <f ca="1">+IF(B146=1,0,SUMIF($D$22:$D$583,C146,$L$22:$L$580))</f>
        <v>0.2145</v>
      </c>
      <c r="L146" s="468">
        <f ca="1">+I146+J146+K146</f>
        <v>0.30349999999999999</v>
      </c>
      <c r="M146" s="469">
        <f>+$P$12</f>
        <v>242.33666300502347</v>
      </c>
      <c r="N146" s="470">
        <f>M146*E146</f>
        <v>21.567963007447087</v>
      </c>
      <c r="O146" s="470">
        <f>M146*F146</f>
        <v>0</v>
      </c>
      <c r="P146" s="470">
        <f>M146*H146</f>
        <v>73.549177222024625</v>
      </c>
      <c r="Q146" s="469">
        <f>+Q145</f>
        <v>140</v>
      </c>
      <c r="R146" s="471">
        <f>Q146*P146*$P$14/86400</f>
        <v>0.10130037140533485</v>
      </c>
      <c r="S146" s="471"/>
      <c r="T146" s="471"/>
      <c r="U146" s="471">
        <f>IF(C146="","",T146*$P$17)</f>
        <v>0</v>
      </c>
      <c r="V146" s="471"/>
      <c r="W146" s="471"/>
      <c r="X146" s="471">
        <f>IF(C146="","",W146*$P$16)</f>
        <v>0</v>
      </c>
      <c r="Y146" s="471">
        <f>IF(H146=0,0,$H$15*H146)</f>
        <v>6.0700000000000004E-2</v>
      </c>
      <c r="Z146" s="471">
        <f ca="1">IF(L146=0,$H$16*H146,0)</f>
        <v>0</v>
      </c>
      <c r="AA146" s="471">
        <f t="shared" si="219"/>
        <v>3.8</v>
      </c>
      <c r="AB146" s="471">
        <f>R146*AA146</f>
        <v>0.38494141134027243</v>
      </c>
      <c r="AC146" s="471">
        <f>Q146*(N146+O146)*$P$14/86400</f>
        <v>2.9705874975534761E-2</v>
      </c>
      <c r="AD146" s="471">
        <f>IF(E146=0,0,$H$15*(E146+F146))</f>
        <v>1.78E-2</v>
      </c>
      <c r="AE146" s="471">
        <f>IF(F146=0,0,$H$15*(F146+G146))</f>
        <v>0</v>
      </c>
      <c r="AF146" s="510">
        <f t="shared" si="361"/>
        <v>3.8</v>
      </c>
      <c r="AG146" s="471">
        <f>AC146*AF146</f>
        <v>0.11288232490703208</v>
      </c>
      <c r="AH146" s="471">
        <f>+AD146+AE146+AG146</f>
        <v>0.13068232490703208</v>
      </c>
      <c r="AI146" s="471">
        <f ca="1">IF(H146="","",IF(AB146+Y146+Z146+X146+U146&lt;1.5,1.5,AB146+Y146+Z146+X146+U146))</f>
        <v>1.5</v>
      </c>
      <c r="AJ146" s="471">
        <f>+$P$17</f>
        <v>0.75</v>
      </c>
      <c r="AK146" s="472">
        <f>+BK146/100</f>
        <v>2.0576254346745849E-2</v>
      </c>
      <c r="AL146" s="471">
        <f>IF(AJ146=0," ",0.14+0.65*AJ146+0.05*AK146)</f>
        <v>0.6285288127173374</v>
      </c>
      <c r="AM146" s="473">
        <f>((100/36)*$AM$14*(AP146+$AN$14)^$AO$14)</f>
        <v>334.11993160129151</v>
      </c>
      <c r="AN146" s="474">
        <f>IF(B146=1,IF((0.702*(1.1-$AJ146)*SQRT($CO146))/(($CP146)^(1/3))&lt;5,5,(0.702*(1.1-$AJ146)*SQRT($CO146))/(($CP146)^(1/3))),AP145)</f>
        <v>10</v>
      </c>
      <c r="AO146" s="474">
        <f>((1/60)*$AX146/$AQ146)</f>
        <v>0.22366666666666665</v>
      </c>
      <c r="AP146" s="474">
        <f>IF(B146=1,IF(($AN146+$AO146)&lt;10,10,IF(($AN146+$AO146)&gt;20,20,($AN146+$AO146))),($AN146+$AO146))</f>
        <v>10.223666666666666</v>
      </c>
      <c r="AQ146" s="475">
        <v>3</v>
      </c>
      <c r="AR146" s="474">
        <f ca="1">((1/60)*$AX146/$BT146)</f>
        <v>0.42072157325691106</v>
      </c>
      <c r="AS146" s="474">
        <f ca="1">AO146/AR146</f>
        <v>0.5316263317214921</v>
      </c>
      <c r="AT146" s="471" t="str">
        <f ca="1">IF(AS146&lt;0.9,"Disminuir vel.",IF(AS146&gt;1.1,"Aumentar vel.","Cumple"))</f>
        <v>Disminuir vel.</v>
      </c>
      <c r="AU146" s="492">
        <f>+I146*AL146*AM146</f>
        <v>18.690356348395639</v>
      </c>
      <c r="AV146" s="471">
        <f ca="1">+L146*AL146*AM146</f>
        <v>63.736215188068272</v>
      </c>
      <c r="AW146" s="510">
        <f ca="1">ROUND(IF(AI146&gt;(AV146*0.05),(AV146+AI146),AV146),2)</f>
        <v>63.74</v>
      </c>
      <c r="AX146" s="478">
        <f>IF(OR(C146="",D146=""),"",ROUND(((VLOOKUP(C146,'Base de Diseño (2)'!$A$2:$C$333,2,FALSE)-VLOOKUP(D146,'Base de Diseño (2)'!$A$2:$C$333,2,FALSE))^2+(VLOOKUP(C146,'Base de Diseño (2)'!$A$2:$C$333,3,0)-VLOOKUP(D146,'Base de Diseño (2)'!$A$2:$C$333,3,FALSE))^2)^0.5,2))</f>
        <v>40.26</v>
      </c>
      <c r="AY146" s="493">
        <v>16</v>
      </c>
      <c r="AZ146" s="480">
        <f ca="1">IF(AND(L146="",H146=""),"",IF(BA146=4,VLOOKUP(AY146,'TABLA (2)'!$A$74:$C$89,2),IF(BA146=5,VLOOKUP(AY146,'TABLA (2)'!$A$51:$B$66,2),IF(BA146=6,VLOOKUP(AY146,'TABLA (2)'!$A$9:$B$43,2)))))</f>
        <v>400</v>
      </c>
      <c r="BA146" s="493">
        <v>6</v>
      </c>
      <c r="BB146" s="478">
        <f>IF(OR(C146="",D146=""),"",VLOOKUP(C146,'Base de Diseño (2)'!$A$2:$D$330,4,FALSE))</f>
        <v>986.88160000000005</v>
      </c>
      <c r="BC146" s="478">
        <f>IF(OR(C146="",D146=""),"",VLOOKUP(D146,'Base de Diseño (2)'!$A$2:$D$330,4,FALSE))</f>
        <v>987.71</v>
      </c>
      <c r="BD146" s="23">
        <f ca="1">+BF146-((AZ146/1000)+CX146)</f>
        <v>1.1679999999999955</v>
      </c>
      <c r="BE146" s="23">
        <f ca="1">+BG146-((AZ146/1000)+CX146)</f>
        <v>2.8379999999999543</v>
      </c>
      <c r="BF146" s="494">
        <v>1.6299999999999955</v>
      </c>
      <c r="BG146" s="494">
        <v>3.2999999999999545</v>
      </c>
      <c r="BH146" s="495">
        <f>BB146-BF146</f>
        <v>985.25160000000005</v>
      </c>
      <c r="BI146" s="495">
        <f>BC146-BG146</f>
        <v>984.41000000000008</v>
      </c>
      <c r="BJ146" s="468">
        <f>IF(A146="",0,BI146-BH147)</f>
        <v>984.41000000000008</v>
      </c>
      <c r="BK146" s="475">
        <f>ABS((BB146-BC146)/AX146)*100</f>
        <v>2.057625434674585</v>
      </c>
      <c r="BL146" s="475">
        <f>((BH146-BI146)/AX146)*100</f>
        <v>2.0904123199204454</v>
      </c>
      <c r="BM146" s="475">
        <f ca="1">IF(BA146=6,(1/0.013)*((AZ146/4000)^(2/3))*((BL146/100)^(0.5)),(1/0.009)*((AZ146/4000)^(2/3))*((BL146/100)^(0.5)))</f>
        <v>2.3961056275910644</v>
      </c>
      <c r="BN146" s="475">
        <f ca="1">1000*BM146*PI()*((AZ146/1000/2)^2)</f>
        <v>301.10351347461005</v>
      </c>
      <c r="BO146" s="204">
        <f ca="1">AI146/BN146</f>
        <v>4.9816755131503456E-3</v>
      </c>
      <c r="BP146" s="496">
        <f ca="1">IF(L146=0," ",AW146/BN146)</f>
        <v>0.21168799813880201</v>
      </c>
      <c r="BQ146" s="497">
        <f ca="1">IF($BO146&gt;0 =AND($BO146&lt;=0.06),10^(0.029806+0.29095*LOG($BO146)),IF($BO146&gt;0.06 =AND($BO146&lt;=0.26),10^(0.013778+0.282597*LOG($BO146)),IF($BO146&gt;0.26 =AND($BO146&lt;=0.91),10^(0.021763+0.28995*LOG($BO146)),1)))</f>
        <v>0.22901154837006779</v>
      </c>
      <c r="BR146" s="497">
        <f ca="1">IF($BP146&gt;0 =AND($BP146&lt;=0.06),10^(0.029806+0.29095*LOG($BP146)),IF($BP146&gt;0.06 =AND($BP146&lt;=0.26),10^(0.013778+0.282597*LOG($BP146)),IF($BP146&gt;0.26 =AND($BP146&lt;=2),10^(0.021763+0.28995*LOG($BP146))," ")))</f>
        <v>0.66561297498720673</v>
      </c>
      <c r="BS146" s="475">
        <f ca="1">BM146*BQ146</f>
        <v>0.54873585983286266</v>
      </c>
      <c r="BT146" s="475">
        <f ca="1">IF(BP146=" "," ",(BM146*BR146))</f>
        <v>1.5948789951644764</v>
      </c>
      <c r="BU146" s="475">
        <f ca="1">IF(BO146&lt;=0.11,0.3827+0.0645*LN(BO146),IF(BO146&lt;=0.21,0.60025+0.15471*LN(BO146),IF(BO146&lt;1,0.225+0.6666666667*BO146,0)))</f>
        <v>4.0721709751041058E-2</v>
      </c>
      <c r="BV146" s="475">
        <f ca="1">IF(BP146&lt;=0.11,0.3827+0.0645*LN(BP146),IF(BP146&lt;=0.21,0.60025+0.15471*LN(BP146),IF(BP146&lt;1,0.225+0.6666666667*BP146," ")))</f>
        <v>0.36612533209959097</v>
      </c>
      <c r="BW146" s="475">
        <f ca="1">2*ACOS(1-2*(BU146))</f>
        <v>0.81276605017889025</v>
      </c>
      <c r="BX146" s="475">
        <f ca="1">IF(BP146=" "," ",(2*ACOS(1-2*(BV146))))</f>
        <v>2.5994800184905036</v>
      </c>
      <c r="BY146" s="475">
        <f ca="1">(1/4)*(1-(SIN(BW146))/BW146)</f>
        <v>2.6629576164277968E-2</v>
      </c>
      <c r="BZ146" s="475">
        <f ca="1">IF(BP146=" "," ",((1/4)*(1-(SIN(BX146))/BX146)))</f>
        <v>0.20037980050356269</v>
      </c>
      <c r="CA146" s="471">
        <f ca="1">BY146*AZ146/1000</f>
        <v>1.0651830465711188E-2</v>
      </c>
      <c r="CB146" s="471">
        <f ca="1">IF(BP146=" "," ",(BZ146*AZ146/1000))</f>
        <v>8.0151920201425073E-2</v>
      </c>
      <c r="CC146" s="471">
        <f ca="1">+(BT146/SQRT(9.81*(0.125*(BX146-SIN(BX146))*(AZ146/1000)^2)/((AZ146/1000)*SIN(BX146/2))))</f>
        <v>1.5485716940333267</v>
      </c>
      <c r="CD146" s="471" t="str">
        <f ca="1">IF(CC146="","",IF(CC146&lt;0.7,"F. Subcrítico",IF(AND(CC146&gt;0.7,CC146&lt;1),"F. Subcrítico Inestable",IF(CC146=1,"F. Crítico",IF(AND(CC146&gt;1,CC146&lt;1.5),"F. Supercrítico Inestable",IF(CC146&gt;1.5,"F. Supercrítico",""))))))</f>
        <v>F. Supercrítico</v>
      </c>
      <c r="CE146" s="471">
        <f ca="1">1000*BL146*CA146/100</f>
        <v>0.22266717635226602</v>
      </c>
      <c r="CF146" s="471">
        <f ca="1">IF(BP146=" "," ",(1000*BL146*CB146/100))</f>
        <v>1.675505614543394</v>
      </c>
      <c r="CG146" s="471" t="str">
        <f ca="1">IF(BS146&lt;0.45,"No cumple",IF(BS146&gt;5,"No cumple","O.K"))</f>
        <v>O.K</v>
      </c>
      <c r="CH146" s="471" t="str">
        <f ca="1">IF(BT146&lt;0.75,"No cumple",IF(BT146&gt;10,"No cumple","O.K"))</f>
        <v>O.K</v>
      </c>
      <c r="CI146" s="471" t="str">
        <f ca="1">IF(CE146&gt;0.1,"OK","V.C.H.")</f>
        <v>OK</v>
      </c>
      <c r="CJ146" s="471" t="str">
        <f ca="1">IF(CF146&gt;0.2,"OK","V.C.H.")</f>
        <v>OK</v>
      </c>
      <c r="CK146" s="468">
        <f>+BJ146</f>
        <v>984.41000000000008</v>
      </c>
      <c r="CL146" s="482" t="s">
        <v>2507</v>
      </c>
      <c r="CM146" s="482"/>
      <c r="CN146" s="63" t="str">
        <f>IF(B146=1,"dato"," ")</f>
        <v xml:space="preserve"> </v>
      </c>
      <c r="CO146" s="498">
        <f>+CR146</f>
        <v>40.26</v>
      </c>
      <c r="CP146" s="472">
        <f>+BK146/100</f>
        <v>2.0576254346745849E-2</v>
      </c>
      <c r="CQ146" s="482" t="s">
        <v>2508</v>
      </c>
      <c r="CR146" s="204">
        <f>IF(BA146="","",AX146)</f>
        <v>40.26</v>
      </c>
      <c r="CS146" s="486">
        <v>1.2</v>
      </c>
      <c r="CT146" s="486">
        <v>1.2</v>
      </c>
      <c r="CU146" s="23">
        <f>IF($BA146="","",SQRT((BH146-BI146)^2+$CR146^2))</f>
        <v>40.268795494278194</v>
      </c>
      <c r="CV146" s="499" t="s">
        <v>2509</v>
      </c>
      <c r="CW146" s="488" t="str">
        <f ca="1">+IF(BD146&lt;=0.9,"E1",IF(BD146&lt;=2.5,"E2","E3"))</f>
        <v>E2</v>
      </c>
      <c r="CX146" s="204">
        <f ca="1">IF(AND(L146="",H146=""),"",IF(AND(BA146&lt;&gt;4,BA146&lt;&gt;5),VLOOKUP(AY146,'TABLA (2)'!$A$9:$D$43,4),IF(BA146=4,VLOOKUP(AY146,'TABLA (2)'!$A$74:$D$89,4),VLOOKUP(AY146,'TABLA (2)'!$A$51:$D$66,4))))</f>
        <v>6.2E-2</v>
      </c>
      <c r="CY146" s="482"/>
      <c r="CZ146" s="482"/>
      <c r="DA146" s="482"/>
      <c r="DB146" s="490"/>
    </row>
    <row r="147" spans="1:106" ht="15" hidden="1" customHeight="1">
      <c r="A147" s="465"/>
      <c r="B147" s="491"/>
      <c r="C147" s="491"/>
      <c r="D147" s="491"/>
      <c r="E147" s="468"/>
      <c r="F147" s="468"/>
      <c r="G147" s="468"/>
      <c r="H147" s="468"/>
      <c r="I147" s="468"/>
      <c r="J147" s="468"/>
      <c r="K147" s="467"/>
      <c r="L147" s="468"/>
      <c r="M147" s="469"/>
      <c r="N147" s="470"/>
      <c r="O147" s="470"/>
      <c r="P147" s="470"/>
      <c r="Q147" s="469"/>
      <c r="R147" s="471"/>
      <c r="S147" s="471"/>
      <c r="T147" s="471"/>
      <c r="U147" s="471"/>
      <c r="V147" s="471"/>
      <c r="W147" s="471"/>
      <c r="X147" s="471"/>
      <c r="Y147" s="471"/>
      <c r="Z147" s="471"/>
      <c r="AA147" s="471" t="str">
        <f t="shared" si="219"/>
        <v/>
      </c>
      <c r="AB147" s="471"/>
      <c r="AC147" s="471"/>
      <c r="AD147" s="471"/>
      <c r="AE147" s="471"/>
      <c r="AF147" s="510" t="str">
        <f t="shared" si="361"/>
        <v/>
      </c>
      <c r="AG147" s="471"/>
      <c r="AH147" s="471"/>
      <c r="AI147" s="471"/>
      <c r="AJ147" s="471"/>
      <c r="AK147" s="472"/>
      <c r="AL147" s="471"/>
      <c r="AM147" s="473"/>
      <c r="AN147" s="474"/>
      <c r="AO147" s="474"/>
      <c r="AP147" s="474"/>
      <c r="AQ147" s="475"/>
      <c r="AR147" s="474"/>
      <c r="AS147" s="474"/>
      <c r="AT147" s="471"/>
      <c r="AU147" s="492"/>
      <c r="AV147" s="471"/>
      <c r="AW147" s="471"/>
      <c r="AX147" s="478"/>
      <c r="AY147" s="493"/>
      <c r="AZ147" s="480"/>
      <c r="BA147" s="493"/>
      <c r="BB147" s="478"/>
      <c r="BC147" s="494"/>
      <c r="BD147" s="494"/>
      <c r="BE147" s="494"/>
      <c r="BF147" s="494"/>
      <c r="BG147" s="494"/>
      <c r="BH147" s="495"/>
      <c r="BI147" s="495"/>
      <c r="BJ147" s="468"/>
      <c r="BK147" s="475"/>
      <c r="BL147" s="475"/>
      <c r="BM147" s="475"/>
      <c r="BN147" s="475"/>
      <c r="BO147" s="204"/>
      <c r="BP147" s="496"/>
      <c r="BQ147" s="497"/>
      <c r="BR147" s="497"/>
      <c r="BS147" s="475"/>
      <c r="BT147" s="475"/>
      <c r="BU147" s="475"/>
      <c r="BV147" s="475"/>
      <c r="BW147" s="475"/>
      <c r="BX147" s="475"/>
      <c r="BY147" s="475"/>
      <c r="BZ147" s="475"/>
      <c r="CA147" s="471"/>
      <c r="CB147" s="471"/>
      <c r="CC147" s="471"/>
      <c r="CD147" s="471"/>
      <c r="CE147" s="471"/>
      <c r="CF147" s="471"/>
      <c r="CG147" s="471"/>
      <c r="CH147" s="471"/>
      <c r="CI147" s="471"/>
      <c r="CJ147" s="471"/>
      <c r="CK147" s="468"/>
      <c r="CL147" s="482" t="s">
        <v>2507</v>
      </c>
      <c r="CM147" s="482"/>
      <c r="CN147" s="63"/>
      <c r="CO147" s="498"/>
      <c r="CP147" s="472"/>
      <c r="CQ147" s="482"/>
      <c r="CR147" s="204"/>
      <c r="CS147" s="486"/>
      <c r="CT147" s="486"/>
      <c r="CU147" s="23"/>
      <c r="CV147" s="499"/>
      <c r="CW147" s="488"/>
      <c r="CX147" s="204"/>
      <c r="CY147" s="482"/>
      <c r="CZ147" s="482"/>
      <c r="DA147" s="482"/>
      <c r="DB147" s="490"/>
    </row>
    <row r="148" spans="1:106" s="532" customFormat="1" ht="15" customHeight="1">
      <c r="A148" s="503">
        <f>+A146+1</f>
        <v>88</v>
      </c>
      <c r="B148" s="504">
        <v>1</v>
      </c>
      <c r="C148" s="505" t="s">
        <v>83</v>
      </c>
      <c r="D148" s="505" t="s">
        <v>84</v>
      </c>
      <c r="E148" s="506">
        <f>0.2108768549+0.133</f>
        <v>0.34387685489999997</v>
      </c>
      <c r="F148" s="506"/>
      <c r="G148" s="506">
        <f>IF(B148=1,0,SUMIF($D$22:$D$585,C148,$H$22:$H$585))</f>
        <v>0</v>
      </c>
      <c r="H148" s="506">
        <f>+E148+F148+G148</f>
        <v>0.34387685489999997</v>
      </c>
      <c r="I148" s="506">
        <f>+E148</f>
        <v>0.34387685489999997</v>
      </c>
      <c r="J148" s="506"/>
      <c r="K148" s="507">
        <f>+IF(B148=1,0,SUMIF($D$22:$D$585,C148,$L$22:$L$582))</f>
        <v>0</v>
      </c>
      <c r="L148" s="506">
        <f>+I148+J148+K148</f>
        <v>0.34387685489999997</v>
      </c>
      <c r="M148" s="508">
        <f>+$P$12</f>
        <v>242.33666300502347</v>
      </c>
      <c r="N148" s="509">
        <f>M148*E148</f>
        <v>83.333969501128649</v>
      </c>
      <c r="O148" s="509">
        <f>M148*F148</f>
        <v>0</v>
      </c>
      <c r="P148" s="509">
        <f>M148*H148</f>
        <v>83.333969501128649</v>
      </c>
      <c r="Q148" s="508">
        <v>140</v>
      </c>
      <c r="R148" s="510">
        <f>Q148*P148*$P$14/86400</f>
        <v>0.11477711077123043</v>
      </c>
      <c r="S148" s="510"/>
      <c r="T148" s="510"/>
      <c r="U148" s="510">
        <f>IF(C148="","",T148*$P$17)</f>
        <v>0</v>
      </c>
      <c r="V148" s="510"/>
      <c r="W148" s="510"/>
      <c r="X148" s="510">
        <f>IF(C148="","",W148*$P$16)</f>
        <v>0</v>
      </c>
      <c r="Y148" s="510">
        <f>IF(H148=0,0,$H$15*H148)</f>
        <v>6.877537098E-2</v>
      </c>
      <c r="Z148" s="510">
        <f>IF(L148=0,$H$16*H148,0)</f>
        <v>0</v>
      </c>
      <c r="AA148" s="471">
        <f t="shared" si="219"/>
        <v>3.8</v>
      </c>
      <c r="AB148" s="510">
        <f>R148*AA148</f>
        <v>0.43615302093067559</v>
      </c>
      <c r="AC148" s="510">
        <f>Q148*(N148+O148)*$P$14/86400</f>
        <v>0.11477711077123043</v>
      </c>
      <c r="AD148" s="510">
        <f>IF(E148=0,0,$H$15*(E148+F148))</f>
        <v>6.877537098E-2</v>
      </c>
      <c r="AE148" s="510">
        <f>IF(F148=0,0,$H$15*(F148+G148))</f>
        <v>0</v>
      </c>
      <c r="AF148" s="510">
        <f t="shared" si="361"/>
        <v>3.8</v>
      </c>
      <c r="AG148" s="510">
        <f>AC148*AF148</f>
        <v>0.43615302093067559</v>
      </c>
      <c r="AH148" s="510">
        <f>+AD148+AE148+AG148</f>
        <v>0.50492839191067562</v>
      </c>
      <c r="AI148" s="510">
        <f>IF(H148="","",IF(AB148+Y148+Z148+X148+U148&lt;1.5,1.5,AB148+Y148+Z148+X148+U148))</f>
        <v>1.5</v>
      </c>
      <c r="AJ148" s="510">
        <f>+$P$17</f>
        <v>0.75</v>
      </c>
      <c r="AK148" s="511">
        <f>+BK148/100</f>
        <v>8.1160115052733517E-2</v>
      </c>
      <c r="AL148" s="510">
        <f>IF(AJ148=0," ",0.14+0.65*AJ148+0.05*AK148)</f>
        <v>0.63155800575263676</v>
      </c>
      <c r="AM148" s="512">
        <f>((100/36)*$AM$14*(AP148+$AN$14)^$AO$14)</f>
        <v>336.32613267542746</v>
      </c>
      <c r="AN148" s="513">
        <f>IF(B148=1,IF((0.702*(1.1-$AJ148)*SQRT($CO148))/(($CP148)^(1/3))&lt;5,5,(0.702*(1.1-$AJ148)*SQRT($CO148))/(($CP148)^(1/3))),AP144)</f>
        <v>5</v>
      </c>
      <c r="AO148" s="513">
        <f>((1/60)*$AX148/$AQ148)</f>
        <v>0.30676470588235294</v>
      </c>
      <c r="AP148" s="513">
        <f>IF(B148=1,IF(($AN148+$AO148)&lt;10,10,IF(($AN148+$AO148)&gt;20,20,($AN148+$AO148))),($AN148+$AO148))</f>
        <v>10</v>
      </c>
      <c r="AQ148" s="514">
        <v>3.4</v>
      </c>
      <c r="AR148" s="513">
        <f>((1/60)*$AX148/$BT148)</f>
        <v>0.27922829865850796</v>
      </c>
      <c r="AS148" s="513">
        <f>AO148/AR148</f>
        <v>1.0986161050156367</v>
      </c>
      <c r="AT148" s="510" t="str">
        <f>IF(AS148&lt;0.9,"Disminuir vel.",IF(AS148&gt;1.1,"Aumentar vel.","Cumple"))</f>
        <v>Cumple</v>
      </c>
      <c r="AU148" s="515">
        <f>+I148*AL148*AM148</f>
        <v>73.042697618042453</v>
      </c>
      <c r="AV148" s="510">
        <f>+L148*AL148*AM148</f>
        <v>73.042697618042453</v>
      </c>
      <c r="AW148" s="510">
        <f>ROUND(IF(AI148&gt;(AV148*0.05),(AV148+AI148),AV148),2)</f>
        <v>73.040000000000006</v>
      </c>
      <c r="AX148" s="516">
        <f>IF(OR(C148="",D148=""),"",ROUND(((VLOOKUP(C148,'Base de Diseño (2)'!$A$2:$C$333,2,FALSE)-VLOOKUP(D148,'Base de Diseño (2)'!$A$2:$C$333,2,FALSE))^2+(VLOOKUP(C148,'Base de Diseño (2)'!$A$2:$C$333,3,0)-VLOOKUP(D148,'Base de Diseño (2)'!$A$2:$C$333,3,FALSE))^2)^0.5,2))</f>
        <v>62.58</v>
      </c>
      <c r="AY148" s="517">
        <v>12</v>
      </c>
      <c r="AZ148" s="518">
        <v>284</v>
      </c>
      <c r="BA148" s="517">
        <v>4</v>
      </c>
      <c r="BB148" s="516">
        <v>988.67200000000003</v>
      </c>
      <c r="BC148" s="516">
        <v>983.59299999999996</v>
      </c>
      <c r="BD148" s="519">
        <f>+BF148-((AZ148/1000)+CX148)</f>
        <v>1.3105000000000002</v>
      </c>
      <c r="BE148" s="519">
        <f>+BG148-((AZ148/1000)+CX148)</f>
        <v>1.7904999999999998</v>
      </c>
      <c r="BF148" s="520">
        <v>1.61</v>
      </c>
      <c r="BG148" s="520">
        <v>2.09</v>
      </c>
      <c r="BH148" s="521">
        <f>BB148-BF148</f>
        <v>987.06200000000001</v>
      </c>
      <c r="BI148" s="521">
        <f>BC148-BG148</f>
        <v>981.50299999999993</v>
      </c>
      <c r="BJ148" s="506">
        <f>IF(A148="",0,BI148-BH149)</f>
        <v>7.999999999992724E-2</v>
      </c>
      <c r="BK148" s="514">
        <f>ABS((BB148-BC148)/AX148)*100</f>
        <v>8.1160115052733524</v>
      </c>
      <c r="BL148" s="514">
        <f>((BH148-BI148)/AX148)*100</f>
        <v>8.8830297219560297</v>
      </c>
      <c r="BM148" s="514">
        <f>IF(BA148=6,(1/0.013)*((AZ148/4000)^(2/3))*((BL148/100)^(0.5)),(1/0.009)*((AZ148/4000)^(2/3))*((BL148/100)^(0.5)))</f>
        <v>5.6781947085821169</v>
      </c>
      <c r="BN148" s="514">
        <f>1000*BM148*PI()*((AZ148/1000/2)^2)</f>
        <v>359.69702190695023</v>
      </c>
      <c r="BO148" s="522">
        <f>AI148/BN148</f>
        <v>4.1701763112957715E-3</v>
      </c>
      <c r="BP148" s="523">
        <f>IF(L148=0," ",AW148/BN148)</f>
        <v>0.20305978518469545</v>
      </c>
      <c r="BQ148" s="524">
        <f>IF($BO148&gt;0 =AND($BO148&lt;=0.06),10^(0.029806+0.29095*LOG($BO148)),IF($BO148&gt;0.06 =AND($BO148&lt;=0.26),10^(0.013778+0.282597*LOG($BO148)),IF($BO148&gt;0.26 =AND($BO148&lt;=0.91),10^(0.021763+0.28995*LOG($BO148)),1)))</f>
        <v>0.21746527961394277</v>
      </c>
      <c r="BR148" s="524">
        <f>IF($BP148&gt;0 =AND($BP148&lt;=0.06),10^(0.029806+0.29095*LOG($BP148)),IF($BP148&gt;0.06 =AND($BP148&lt;=0.26),10^(0.013778+0.282597*LOG($BP148)),IF($BP148&gt;0.26 =AND($BP148&lt;=2),10^(0.021763+0.28995*LOG($BP148))," ")))</f>
        <v>0.65783139690641079</v>
      </c>
      <c r="BS148" s="514">
        <f>BM148*BQ148</f>
        <v>1.2348102000042203</v>
      </c>
      <c r="BT148" s="514">
        <f>IF(BP148=" "," ",(BM148*BR148))</f>
        <v>3.7352947570531643</v>
      </c>
      <c r="BU148" s="514">
        <f>IF(BO148&lt;=0.11,0.3827+0.0645*LN(BO148),IF(BO148&lt;=0.21,0.60025+0.15471*LN(BO148),IF(BO148&lt;1,0.225+0.6666666667*BO148,0)))</f>
        <v>2.9253095874956891E-2</v>
      </c>
      <c r="BV148" s="514">
        <f>IF(BP148&lt;=0.11,0.3827+0.0645*LN(BP148),IF(BP148&lt;=0.21,0.60025+0.15471*LN(BP148),IF(BP148&lt;1,0.225+0.6666666667*BP148," ")))</f>
        <v>0.35360283447708596</v>
      </c>
      <c r="BW148" s="514">
        <f>2*ACOS(1-2*(BU148))</f>
        <v>0.68752168904922328</v>
      </c>
      <c r="BX148" s="514">
        <f>IF(BP148=" "," ",(2*ACOS(1-2*(BV148))))</f>
        <v>2.5472967744389035</v>
      </c>
      <c r="BY148" s="514">
        <f>(1/4)*(1-(SIN(BW148))/BW148)</f>
        <v>1.9234973954488505E-2</v>
      </c>
      <c r="BZ148" s="514">
        <f>IF(BP148=" "," ",((1/4)*(1-(SIN(BX148))/BX148)))</f>
        <v>0.19504708829030803</v>
      </c>
      <c r="CA148" s="510">
        <f>BY148*AZ148/1000</f>
        <v>5.4627326030747348E-3</v>
      </c>
      <c r="CB148" s="510">
        <f>IF(BP148=" "," ",(BZ148*AZ148/1000))</f>
        <v>5.5393373074447479E-2</v>
      </c>
      <c r="CC148" s="510">
        <f>+(BS148/SQRT(9.81*(0.125*(BW148-SIN(BW148))*(AZ148/1000)^2)/((AZ148/1000)*SIN(BW148/2))))</f>
        <v>5.2816180289127974</v>
      </c>
      <c r="CD148" s="510" t="str">
        <f>IF(CC148="","",IF(CC148&lt;0.7,"F. Subcrítico",IF(AND(CC148&gt;0.7,CC148&lt;1),"F. Subcrítico Inestable",IF(CC148=1,"F. Crítico",IF(AND(CC148&gt;1,CC148&lt;1.5),"F. Supercrítico Inestable",IF(CC148&gt;1.5,"F. Supercrítico",""))))))</f>
        <v>F. Supercrítico</v>
      </c>
      <c r="CE148" s="510">
        <f>1000*BL148*CA148/100</f>
        <v>0.48525616076211092</v>
      </c>
      <c r="CF148" s="510">
        <f>IF(BP148=" "," ",(1000*BL148*CB148/100))</f>
        <v>4.9206097941971576</v>
      </c>
      <c r="CG148" s="510" t="str">
        <f>IF(BS148&lt;0.45,"No cumple",IF(BS148&gt;5,"No cumple","O.K"))</f>
        <v>O.K</v>
      </c>
      <c r="CH148" s="510" t="str">
        <f>IF(BT148&lt;0.75,"No cumple",IF(BT148&gt;10,"No cumple","O.K"))</f>
        <v>O.K</v>
      </c>
      <c r="CI148" s="510" t="str">
        <f>IF(CE148&gt;0.1,"OK","V.C.H.")</f>
        <v>OK</v>
      </c>
      <c r="CJ148" s="510" t="str">
        <f>IF(CF148&gt;0.2,"OK","V.C.H.")</f>
        <v>OK</v>
      </c>
      <c r="CK148" s="506">
        <f>+BJ148</f>
        <v>7.999999999992724E-2</v>
      </c>
      <c r="CL148" s="525" t="s">
        <v>2515</v>
      </c>
      <c r="CM148" s="525"/>
      <c r="CN148" s="526" t="str">
        <f>IF(B148=1,"dato"," ")</f>
        <v>dato</v>
      </c>
      <c r="CO148" s="527">
        <f>+CR148</f>
        <v>62.58</v>
      </c>
      <c r="CP148" s="511">
        <f>+BK148/100</f>
        <v>8.1160115052733517E-2</v>
      </c>
      <c r="CQ148" s="525" t="s">
        <v>2508</v>
      </c>
      <c r="CR148" s="522">
        <f>IF(BA148="","",AX148)</f>
        <v>62.58</v>
      </c>
      <c r="CS148" s="528">
        <v>1.2</v>
      </c>
      <c r="CT148" s="528">
        <v>1.2</v>
      </c>
      <c r="CU148" s="519">
        <f>IF($BA148="","",SQRT((BH148-BI148)^2+$CR148^2))</f>
        <v>62.826418654893907</v>
      </c>
      <c r="CV148" s="529" t="s">
        <v>2509</v>
      </c>
      <c r="CW148" s="530" t="str">
        <f>+IF(BD148&lt;=0.9,"E1",IF(BD148&lt;=2.5,"E2","E3"))</f>
        <v>E2</v>
      </c>
      <c r="CX148" s="522">
        <v>1.55E-2</v>
      </c>
      <c r="CY148" s="525"/>
      <c r="CZ148" s="525"/>
      <c r="DA148" s="525"/>
      <c r="DB148" s="531"/>
    </row>
    <row r="149" spans="1:106" s="532" customFormat="1" ht="15" customHeight="1">
      <c r="A149" s="503">
        <f>+A148+1</f>
        <v>89</v>
      </c>
      <c r="B149" s="504"/>
      <c r="C149" s="505" t="s">
        <v>84</v>
      </c>
      <c r="D149" s="505" t="s">
        <v>87</v>
      </c>
      <c r="E149" s="506">
        <v>0.17879305170000001</v>
      </c>
      <c r="F149" s="506"/>
      <c r="G149" s="506">
        <f>IF(B149=1,0,SUMIF($D$22:$D$585,C149,$H$22:$H$585))</f>
        <v>0.34387685489999997</v>
      </c>
      <c r="H149" s="506">
        <f>+E149+F149+G149</f>
        <v>0.52266990660000001</v>
      </c>
      <c r="I149" s="506">
        <v>0.17879305170000001</v>
      </c>
      <c r="J149" s="506"/>
      <c r="K149" s="507">
        <f ca="1">+IF(B149=1,0,SUMIF($D$22:$D$585,C149,$L$22:$L$582))</f>
        <v>0.34387685489999997</v>
      </c>
      <c r="L149" s="506">
        <f ca="1">+I149+J149+K149</f>
        <v>0.52266990660000001</v>
      </c>
      <c r="M149" s="508">
        <f>+$P$12</f>
        <v>242.33666300502347</v>
      </c>
      <c r="N149" s="509">
        <f>M149*E149</f>
        <v>43.328111517462638</v>
      </c>
      <c r="O149" s="509">
        <f>M149*F149</f>
        <v>0</v>
      </c>
      <c r="P149" s="509">
        <f>M149*H149</f>
        <v>126.66208101859129</v>
      </c>
      <c r="Q149" s="508">
        <v>140</v>
      </c>
      <c r="R149" s="510">
        <f>Q149*P149*$P$14/86400</f>
        <v>0.17445356066218015</v>
      </c>
      <c r="S149" s="510"/>
      <c r="T149" s="510"/>
      <c r="U149" s="510">
        <f>IF(C149="","",T149*$P$17)</f>
        <v>0</v>
      </c>
      <c r="V149" s="510"/>
      <c r="W149" s="510"/>
      <c r="X149" s="510">
        <f>IF(C149="","",W149*$P$16)</f>
        <v>0</v>
      </c>
      <c r="Y149" s="510">
        <f>IF(H149=0,0,$H$15*H149)</f>
        <v>0.10453398132000001</v>
      </c>
      <c r="Z149" s="510">
        <f ca="1">IF(L149=0,$H$16*H149,0)</f>
        <v>0</v>
      </c>
      <c r="AA149" s="471">
        <f t="shared" si="219"/>
        <v>3.8</v>
      </c>
      <c r="AB149" s="510">
        <f>R149*AA149</f>
        <v>0.6629235305162845</v>
      </c>
      <c r="AC149" s="510">
        <f>Q149*(N149+O149)*$P$14/86400</f>
        <v>5.9676449890949695E-2</v>
      </c>
      <c r="AD149" s="510">
        <f>IF(E149=0,0,$H$15*(E149+F149))</f>
        <v>3.5758610340000004E-2</v>
      </c>
      <c r="AE149" s="510">
        <f>IF(F149=0,0,$H$15*(F149+G149))</f>
        <v>0</v>
      </c>
      <c r="AF149" s="510">
        <f t="shared" si="361"/>
        <v>3.8</v>
      </c>
      <c r="AG149" s="510">
        <f>AC149*AF149</f>
        <v>0.22677050958560882</v>
      </c>
      <c r="AH149" s="510">
        <f>+AD149+AE149+AG149</f>
        <v>0.26252911992560884</v>
      </c>
      <c r="AI149" s="510">
        <f ca="1">IF(H149="","",IF(AB149+Y149+Z149+X149+U149&lt;1.5,1.5,AB149+Y149+Z149+X149+U149))</f>
        <v>1.5</v>
      </c>
      <c r="AJ149" s="510">
        <f>+$P$17</f>
        <v>0.75</v>
      </c>
      <c r="AK149" s="511">
        <f>+BK149/100</f>
        <v>3.0521396950319368E-2</v>
      </c>
      <c r="AL149" s="510">
        <f>IF(AJ149=0," ",0.14+0.65*AJ149+0.05*AK149)</f>
        <v>0.62902606984751608</v>
      </c>
      <c r="AM149" s="512">
        <f>((100/36)*$AM$14*(AP149+$AN$14)^$AO$14)</f>
        <v>334.09815118184696</v>
      </c>
      <c r="AN149" s="513">
        <f>IF(B149=1,IF((0.702*(1.1-$AJ149)*SQRT($CO149))/(($CP149)^(1/3))&lt;5,5,(0.702*(1.1-$AJ149)*SQRT($CO149))/(($CP149)^(1/3))),AP148)</f>
        <v>10</v>
      </c>
      <c r="AO149" s="513">
        <f>((1/60)*$AX149/$AQ149)</f>
        <v>0.22588888888888889</v>
      </c>
      <c r="AP149" s="513">
        <f>IF(B149=1,IF(($AN149+$AO149)&lt;10,10,IF(($AN149+$AO149)&gt;20,20,($AN149+$AO149))),($AN149+$AO149))</f>
        <v>10.225888888888889</v>
      </c>
      <c r="AQ149" s="514">
        <v>3</v>
      </c>
      <c r="AR149" s="513">
        <f ca="1">((1/60)*$AX149/$BT149)</f>
        <v>0.21186384492834956</v>
      </c>
      <c r="AS149" s="513">
        <f ca="1">AO149/AR149</f>
        <v>1.0661983830477657</v>
      </c>
      <c r="AT149" s="510" t="str">
        <f ca="1">IF(AS149&lt;0.9,"Disminuir vel.",IF(AS149&gt;1.1,"Aumentar vel.","Cumple"))</f>
        <v>Cumple</v>
      </c>
      <c r="AU149" s="515">
        <f>+I149*AL149*AM149</f>
        <v>37.574512490204874</v>
      </c>
      <c r="AV149" s="510">
        <f ca="1">+L149*AL149*AM149</f>
        <v>109.84245051507176</v>
      </c>
      <c r="AW149" s="510">
        <f ca="1">ROUND(IF(AI149&gt;(AV149*0.05),(AV149+AI149),AV149),2)</f>
        <v>109.84</v>
      </c>
      <c r="AX149" s="516">
        <f>IF(OR(C149="",D149=""),"",ROUND(((VLOOKUP(C149,'Base de Diseño (2)'!$A$2:$C$333,2,FALSE)-VLOOKUP(D149,'Base de Diseño (2)'!$A$2:$C$333,2,FALSE))^2+(VLOOKUP(C149,'Base de Diseño (2)'!$A$2:$C$333,3,0)-VLOOKUP(D149,'Base de Diseño (2)'!$A$2:$C$333,3,FALSE))^2)^0.5,2))</f>
        <v>40.659999999999997</v>
      </c>
      <c r="AY149" s="517">
        <v>12</v>
      </c>
      <c r="AZ149" s="518">
        <v>284</v>
      </c>
      <c r="BA149" s="517">
        <v>4</v>
      </c>
      <c r="BB149" s="516">
        <v>983.59299999999996</v>
      </c>
      <c r="BC149" s="516">
        <v>982.35199999999998</v>
      </c>
      <c r="BD149" s="519">
        <f>+BF149-((AZ149/1000)+CX149)</f>
        <v>1.8704999999999998</v>
      </c>
      <c r="BE149" s="519">
        <f>+BG149-((AZ149/1000)+CX149)</f>
        <v>2.2704999999999997</v>
      </c>
      <c r="BF149" s="520">
        <v>2.17</v>
      </c>
      <c r="BG149" s="520">
        <v>2.57</v>
      </c>
      <c r="BH149" s="521">
        <f>BB149-BF149</f>
        <v>981.423</v>
      </c>
      <c r="BI149" s="521">
        <f>BC149-BG149</f>
        <v>979.78199999999993</v>
      </c>
      <c r="BJ149" s="506">
        <f>IF(A149="",0,BI149-BH340)</f>
        <v>2.9999999999972715E-2</v>
      </c>
      <c r="BK149" s="514">
        <f>ABS((BB149-BC149)/AX149)*100</f>
        <v>3.0521396950319368</v>
      </c>
      <c r="BL149" s="514">
        <f>((BH149-BI149)/AX149)*100</f>
        <v>4.0359075258240935</v>
      </c>
      <c r="BM149" s="514">
        <f>IF(BA149=6,(1/0.013)*((AZ149/4000)^(2/3))*((BL149/100)^(0.5)),(1/0.009)*((AZ149/4000)^(2/3))*((BL149/100)^(0.5)))</f>
        <v>3.8273689247464193</v>
      </c>
      <c r="BN149" s="514">
        <f>1000*BM149*PI()*((AZ149/1000/2)^2)</f>
        <v>242.45262352306037</v>
      </c>
      <c r="BO149" s="522">
        <f ca="1">AI149/BN149</f>
        <v>6.1867757015932256E-3</v>
      </c>
      <c r="BP149" s="523">
        <f ca="1">IF(L149=0," ",AW149/BN149)</f>
        <v>0.45303696204199995</v>
      </c>
      <c r="BQ149" s="524">
        <f ca="1">IF($BO149&gt;0 =AND($BO149&lt;=0.06),10^(0.029806+0.29095*LOG($BO149)),IF($BO149&gt;0.06 =AND($BO149&lt;=0.26),10^(0.013778+0.282597*LOG($BO149)),IF($BO149&gt;0.26 =AND($BO149&lt;=0.91),10^(0.021763+0.28995*LOG($BO149)),1)))</f>
        <v>0.24391165825203778</v>
      </c>
      <c r="BR149" s="524">
        <f ca="1">IF($BP149&gt;0 =AND($BP149&lt;=0.06),10^(0.029806+0.29095*LOG($BP149)),IF($BP149&gt;0.06 =AND($BP149&lt;=0.26),10^(0.013778+0.282597*LOG($BP149)),IF($BP149&gt;0.26 =AND($BP149&lt;=2),10^(0.021763+0.28995*LOG($BP149))," ")))</f>
        <v>0.83571644438619641</v>
      </c>
      <c r="BS149" s="514">
        <f ca="1">BM149*BQ149</f>
        <v>0.93353990117721797</v>
      </c>
      <c r="BT149" s="514">
        <f ca="1">IF(BP149=" "," ",(BM149*BR149))</f>
        <v>3.1985951491432973</v>
      </c>
      <c r="BU149" s="514">
        <f ca="1">IF(BO149&lt;=0.11,0.3827+0.0645*LN(BO149),IF(BO149&lt;=0.21,0.60025+0.15471*LN(BO149),IF(BO149&lt;1,0.225+0.6666666667*BO149,0)))</f>
        <v>5.4695491550742603E-2</v>
      </c>
      <c r="BV149" s="514">
        <f ca="1">IF(BP149&lt;=0.11,0.3827+0.0645*LN(BP149),IF(BP149&lt;=0.21,0.60025+0.15471*LN(BP149),IF(BP149&lt;1,0.225+0.6666666667*BP149," ")))</f>
        <v>0.52702464137643457</v>
      </c>
      <c r="BW149" s="514">
        <f ca="1">2*ACOS(1-2*(BU149))</f>
        <v>0.94422746432610971</v>
      </c>
      <c r="BX149" s="514">
        <f ca="1">IF(BP149=" "," ",(2*ACOS(1-2*(BV149))))</f>
        <v>3.2497439202454039</v>
      </c>
      <c r="BY149" s="514">
        <f ca="1">(1/4)*(1-(SIN(BW149))/BW149)</f>
        <v>3.5527265592646212E-2</v>
      </c>
      <c r="BZ149" s="514">
        <f ca="1">IF(BP149=" "," ",((1/4)*(1-(SIN(BX149))/BX149)))</f>
        <v>0.25830377386271908</v>
      </c>
      <c r="CA149" s="510">
        <f ca="1">BY149*AZ149/1000</f>
        <v>1.0089743428311523E-2</v>
      </c>
      <c r="CB149" s="510">
        <f ca="1">IF(BP149=" "," ",(BZ149*AZ149/1000))</f>
        <v>7.3358271777012221E-2</v>
      </c>
      <c r="CC149" s="510">
        <f ca="1">+(BS149/SQRT(9.81*(0.125*(BW149-SIN(BW149))*(AZ149/1000)^2)/((AZ149/1000)*SIN(BW149/2))))</f>
        <v>2.9122645004805352</v>
      </c>
      <c r="CD149" s="510" t="str">
        <f ca="1">IF(CC149="","",IF(CC149&lt;0.7,"F. Subcrítico",IF(AND(CC149&gt;0.7,CC149&lt;1),"F. Subcrítico Inestable",IF(CC149=1,"F. Crítico",IF(AND(CC149&gt;1,CC149&lt;1.5),"F. Supercrítico Inestable",IF(CC149&gt;1.5,"F. Supercrítico",""))))))</f>
        <v>F. Supercrítico</v>
      </c>
      <c r="CE149" s="510">
        <f ca="1">1000*BL149*CA149/100</f>
        <v>0.40721271435956669</v>
      </c>
      <c r="CF149" s="510">
        <f ca="1">IF(BP149=" "," ",(1000*BL149*CB149/100))</f>
        <v>2.9606720114629286</v>
      </c>
      <c r="CG149" s="510" t="str">
        <f ca="1">IF(BS149&lt;0.45,"No cumple",IF(BS149&gt;5,"No cumple","O.K"))</f>
        <v>O.K</v>
      </c>
      <c r="CH149" s="510" t="str">
        <f ca="1">IF(BT149&lt;0.75,"No cumple",IF(BT149&gt;10,"No cumple","O.K"))</f>
        <v>O.K</v>
      </c>
      <c r="CI149" s="510" t="str">
        <f ca="1">IF(CE149&gt;0.1,"OK","V.C.H.")</f>
        <v>OK</v>
      </c>
      <c r="CJ149" s="510" t="str">
        <f ca="1">IF(CF149&gt;0.2,"OK","V.C.H.")</f>
        <v>OK</v>
      </c>
      <c r="CK149" s="506">
        <f>+BJ149</f>
        <v>2.9999999999972715E-2</v>
      </c>
      <c r="CL149" s="525" t="s">
        <v>2515</v>
      </c>
      <c r="CM149" s="525"/>
      <c r="CN149" s="526" t="str">
        <f>IF(B149=1,"dato"," ")</f>
        <v xml:space="preserve"> </v>
      </c>
      <c r="CO149" s="527">
        <f>+CR149</f>
        <v>40.659999999999997</v>
      </c>
      <c r="CP149" s="511">
        <f>+BK149/100</f>
        <v>3.0521396950319368E-2</v>
      </c>
      <c r="CQ149" s="525" t="s">
        <v>2508</v>
      </c>
      <c r="CR149" s="522">
        <f>IF(BA149="","",AX149)</f>
        <v>40.659999999999997</v>
      </c>
      <c r="CS149" s="528">
        <v>1.2</v>
      </c>
      <c r="CT149" s="528">
        <v>1.2</v>
      </c>
      <c r="CU149" s="519">
        <f>IF($BA149="","",SQRT((BH149-BI149)^2+$CR149^2))</f>
        <v>40.693101147491817</v>
      </c>
      <c r="CV149" s="529" t="s">
        <v>2509</v>
      </c>
      <c r="CW149" s="530" t="str">
        <f>+IF(BD149&lt;=0.9,"E1",IF(BD149&lt;=2.5,"E2","E3"))</f>
        <v>E2</v>
      </c>
      <c r="CX149" s="522">
        <v>1.55E-2</v>
      </c>
      <c r="CY149" s="525"/>
      <c r="CZ149" s="525"/>
      <c r="DA149" s="525"/>
      <c r="DB149" s="531"/>
    </row>
    <row r="150" spans="1:106" ht="15" customHeight="1">
      <c r="A150" s="465"/>
      <c r="B150" s="491"/>
      <c r="C150" s="466"/>
      <c r="D150" s="466"/>
      <c r="E150" s="468"/>
      <c r="F150" s="468"/>
      <c r="G150" s="468"/>
      <c r="H150" s="468"/>
      <c r="I150" s="468"/>
      <c r="J150" s="468"/>
      <c r="K150" s="467"/>
      <c r="L150" s="468"/>
      <c r="M150" s="469"/>
      <c r="N150" s="470"/>
      <c r="O150" s="470"/>
      <c r="P150" s="470"/>
      <c r="Q150" s="469"/>
      <c r="R150" s="471"/>
      <c r="S150" s="471"/>
      <c r="T150" s="471"/>
      <c r="U150" s="471"/>
      <c r="V150" s="471"/>
      <c r="W150" s="471"/>
      <c r="X150" s="471"/>
      <c r="Y150" s="471"/>
      <c r="Z150" s="471"/>
      <c r="AA150" s="471" t="str">
        <f t="shared" ref="AA150:AA213" si="362">IF(P150="","",IF(1+((14/(4+(P150/1000)^1/2)))&lt;1.4,1.4,IF(1+((14/(4+(P150/1000)^1/2)))&gt;=3.8,3.8,(1+((14/(4+(P150/1000)^1/2)))))))</f>
        <v/>
      </c>
      <c r="AB150" s="471"/>
      <c r="AC150" s="471"/>
      <c r="AD150" s="471"/>
      <c r="AE150" s="471"/>
      <c r="AF150" s="471" t="str">
        <f t="shared" si="361"/>
        <v/>
      </c>
      <c r="AG150" s="471"/>
      <c r="AH150" s="471"/>
      <c r="AI150" s="471"/>
      <c r="AJ150" s="471"/>
      <c r="AK150" s="472"/>
      <c r="AL150" s="471"/>
      <c r="AM150" s="473"/>
      <c r="AN150" s="474"/>
      <c r="AO150" s="474"/>
      <c r="AP150" s="474"/>
      <c r="AQ150" s="475"/>
      <c r="AR150" s="474"/>
      <c r="AS150" s="474"/>
      <c r="AT150" s="471"/>
      <c r="AU150" s="492"/>
      <c r="AV150" s="471"/>
      <c r="AW150" s="471"/>
      <c r="AX150" s="478"/>
      <c r="AY150" s="493"/>
      <c r="AZ150" s="480"/>
      <c r="BA150" s="493"/>
      <c r="BB150" s="478" t="str">
        <f>IF(OR(C150="",D150=""),"",VLOOKUP(C150,'Base de Diseño (2)'!$A$2:$D$330,4,FALSE))</f>
        <v/>
      </c>
      <c r="BC150" s="478" t="str">
        <f>IF(OR(C150="",D150=""),"",VLOOKUP(D150,'Base de Diseño (2)'!$A$2:$D$330,4,FALSE))</f>
        <v/>
      </c>
      <c r="BD150" s="494"/>
      <c r="BE150" s="494"/>
      <c r="BF150" s="494"/>
      <c r="BG150" s="494"/>
      <c r="BH150" s="495"/>
      <c r="BI150" s="495"/>
      <c r="BJ150" s="468"/>
      <c r="BK150" s="475"/>
      <c r="BL150" s="475"/>
      <c r="BM150" s="475"/>
      <c r="BN150" s="475"/>
      <c r="BO150" s="204"/>
      <c r="BP150" s="496"/>
      <c r="BQ150" s="497"/>
      <c r="BR150" s="497"/>
      <c r="BS150" s="475"/>
      <c r="BT150" s="475"/>
      <c r="BU150" s="475"/>
      <c r="BV150" s="475"/>
      <c r="BW150" s="475"/>
      <c r="BX150" s="475"/>
      <c r="BY150" s="475"/>
      <c r="BZ150" s="475"/>
      <c r="CA150" s="471"/>
      <c r="CB150" s="471"/>
      <c r="CC150" s="471"/>
      <c r="CD150" s="471"/>
      <c r="CE150" s="471"/>
      <c r="CF150" s="471"/>
      <c r="CG150" s="471"/>
      <c r="CH150" s="471"/>
      <c r="CI150" s="471"/>
      <c r="CJ150" s="471"/>
      <c r="CK150" s="468"/>
      <c r="CL150" s="482"/>
      <c r="CM150" s="482"/>
      <c r="CN150" s="63"/>
      <c r="CO150" s="498"/>
      <c r="CP150" s="472"/>
      <c r="CQ150" s="482"/>
      <c r="CR150" s="204"/>
      <c r="CS150" s="486"/>
      <c r="CT150" s="486"/>
      <c r="CU150" s="23"/>
      <c r="CV150" s="499"/>
      <c r="CW150" s="488"/>
      <c r="CX150" s="204"/>
      <c r="CY150" s="482"/>
      <c r="CZ150" s="482"/>
      <c r="DA150" s="482"/>
      <c r="DB150" s="490"/>
    </row>
    <row r="151" spans="1:106" ht="15" hidden="1" customHeight="1">
      <c r="A151" s="465">
        <f>+A149+1</f>
        <v>90</v>
      </c>
      <c r="B151" s="491">
        <v>1</v>
      </c>
      <c r="C151" s="466" t="str">
        <f>D346</f>
        <v>C113</v>
      </c>
      <c r="D151" s="466" t="s">
        <v>2327</v>
      </c>
      <c r="E151" s="468">
        <v>5.7291652200000001E-2</v>
      </c>
      <c r="F151" s="468"/>
      <c r="G151" s="468">
        <f>IF(B151=1,0,SUMIF($D$22:$D$583,C151,$H$22:$H$583))</f>
        <v>0</v>
      </c>
      <c r="H151" s="468">
        <f>+E151+F151+G151</f>
        <v>5.7291652200000001E-2</v>
      </c>
      <c r="I151" s="468">
        <v>5.7291652200000001E-2</v>
      </c>
      <c r="J151" s="468"/>
      <c r="K151" s="467">
        <f>+IF(B151=1,0,SUMIF($D$22:$D$583,C151,$L$22:$L$580))</f>
        <v>0</v>
      </c>
      <c r="L151" s="468">
        <f>+I151+J151+K151</f>
        <v>5.7291652200000001E-2</v>
      </c>
      <c r="M151" s="469">
        <f>+$P$12</f>
        <v>242.33666300502347</v>
      </c>
      <c r="N151" s="470">
        <f>M151*E151</f>
        <v>13.883867812192412</v>
      </c>
      <c r="O151" s="470">
        <f>M151*F151</f>
        <v>0</v>
      </c>
      <c r="P151" s="470">
        <f>M151*H151</f>
        <v>13.883867812192412</v>
      </c>
      <c r="Q151" s="469">
        <f t="shared" ref="Q151:Q160" si="363">+$H$14</f>
        <v>140</v>
      </c>
      <c r="R151" s="471">
        <f>Q151*P151*$P$14/86400</f>
        <v>1.912245682466316E-2</v>
      </c>
      <c r="S151" s="471"/>
      <c r="T151" s="471"/>
      <c r="U151" s="471">
        <f>IF(C151="","",T151*$P$17)</f>
        <v>0</v>
      </c>
      <c r="V151" s="471"/>
      <c r="W151" s="471"/>
      <c r="X151" s="471">
        <f>IF(C151="","",W151*$P$16)</f>
        <v>0</v>
      </c>
      <c r="Y151" s="471">
        <f>IF(H151=0,0,$H$15*H151)</f>
        <v>1.1458330440000001E-2</v>
      </c>
      <c r="Z151" s="471">
        <f>IF(L151=0,$H$16*H151,0)</f>
        <v>0</v>
      </c>
      <c r="AA151" s="471">
        <f t="shared" si="362"/>
        <v>3.8</v>
      </c>
      <c r="AB151" s="471">
        <f>R151*AA151</f>
        <v>7.2665335933720002E-2</v>
      </c>
      <c r="AC151" s="471">
        <f>Q151*(N151+O151)*$P$14/86400</f>
        <v>1.912245682466316E-2</v>
      </c>
      <c r="AD151" s="471">
        <f>IF(E151=0,0,$H$15*(E151+F151))</f>
        <v>1.1458330440000001E-2</v>
      </c>
      <c r="AE151" s="471">
        <f>IF(F151=0,0,$H$15*(F151+G151))</f>
        <v>0</v>
      </c>
      <c r="AF151" s="510">
        <f t="shared" si="361"/>
        <v>3.8</v>
      </c>
      <c r="AG151" s="471">
        <f>AC151*AF151</f>
        <v>7.2665335933720002E-2</v>
      </c>
      <c r="AH151" s="471">
        <f>+AD151+AE151+AG151</f>
        <v>8.4123666373719999E-2</v>
      </c>
      <c r="AI151" s="471">
        <f>IF(H151="","",IF(AB151+Y151+Z151+X151+U151&lt;1.5,1.5,AB151+Y151+Z151+X151+U151))</f>
        <v>1.5</v>
      </c>
      <c r="AJ151" s="471">
        <f>+$P$17</f>
        <v>0.75</v>
      </c>
      <c r="AK151" s="472">
        <f>+BK151/100</f>
        <v>7.2102853117295723E-2</v>
      </c>
      <c r="AL151" s="471">
        <f>IF(AJ151=0," ",0.14+0.65*AJ151+0.05*AK151)</f>
        <v>0.63110514265586481</v>
      </c>
      <c r="AM151" s="473">
        <f>((100/36)*$AM$14*(AP151+$AN$14)^$AO$14)</f>
        <v>336.32613267542746</v>
      </c>
      <c r="AN151" s="474">
        <f>IF(B151=1,IF((0.702*(1.1-$AJ151)*SQRT($CO151))/(($CP151)^(1/3))&lt;5,5,(0.702*(1.1-$AJ151)*SQRT($CO151))/(($CP151)^(1/3))),AP150)</f>
        <v>5</v>
      </c>
      <c r="AO151" s="474">
        <f>((1/60)*$AX151/$AQ151)</f>
        <v>0.15772222222222224</v>
      </c>
      <c r="AP151" s="474">
        <f>IF(B151=1,IF(($AN151+$AO151)&lt;10,10,IF(($AN151+$AO151)&gt;20,20,($AN151+$AO151))),($AN151+$AO151))</f>
        <v>10</v>
      </c>
      <c r="AQ151" s="475">
        <v>3</v>
      </c>
      <c r="AR151" s="474">
        <f>((1/60)*$AX151/$BT151)</f>
        <v>0.37078082678312235</v>
      </c>
      <c r="AS151" s="474">
        <f>AO151/AR151</f>
        <v>0.42537858170988258</v>
      </c>
      <c r="AT151" s="471" t="str">
        <f>IF(AS151&lt;0.9,"Disminuir vel.",IF(AS151&gt;1.1,"Aumentar vel.","Cumple"))</f>
        <v>Disminuir vel.</v>
      </c>
      <c r="AU151" s="492">
        <f>+I151*AL151*AM151</f>
        <v>12.160562925967529</v>
      </c>
      <c r="AV151" s="471">
        <f>+L151*AL151*AM151</f>
        <v>12.160562925967529</v>
      </c>
      <c r="AW151" s="510">
        <f t="shared" ref="AW151:AW156" si="364">ROUND(IF(AI151&gt;(AV151*0.05),(AV151+AI151),AV151),2)</f>
        <v>13.66</v>
      </c>
      <c r="AX151" s="478">
        <f>IF(OR(C151="",D151=""),"",ROUND(((VLOOKUP(C151,'Base de Diseño (2)'!$A$2:$C$333,2,FALSE)-VLOOKUP(D151,'Base de Diseño (2)'!$A$2:$C$333,2,FALSE))^2+(VLOOKUP(C151,'Base de Diseño (2)'!$A$2:$C$333,3,0)-VLOOKUP(D151,'Base de Diseño (2)'!$A$2:$C$333,3,FALSE))^2)^0.5,2))</f>
        <v>28.39</v>
      </c>
      <c r="AY151" s="493">
        <v>16</v>
      </c>
      <c r="AZ151" s="480">
        <f>IF(AND(L151="",H151=""),"",IF(BA151=4,VLOOKUP(AY151,'TABLA (2)'!$A$74:$C$89,2),IF(BA151=5,VLOOKUP(AY151,'TABLA (2)'!$A$51:$B$66,2),IF(BA151=6,VLOOKUP(AY151,'TABLA (2)'!$A$9:$B$43,2)))))</f>
        <v>400</v>
      </c>
      <c r="BA151" s="493">
        <v>6</v>
      </c>
      <c r="BB151" s="478">
        <f>IF(OR(C151="",D151=""),"",VLOOKUP(C151,'Base de Diseño (2)'!$A$2:$D$330,4,FALSE))</f>
        <v>975.803</v>
      </c>
      <c r="BC151" s="478">
        <f>IF(OR(C151="",D151=""),"",VLOOKUP(D151,'Base de Diseño (2)'!$A$2:$D$330,4,FALSE))</f>
        <v>973.75599999999997</v>
      </c>
      <c r="BD151" s="23">
        <f>+BF151-((AZ151/1000)+CX151)</f>
        <v>2.2380000000000453</v>
      </c>
      <c r="BE151" s="23">
        <f>+BG151-((AZ151/1000)+CX151)</f>
        <v>1.2380000000000455</v>
      </c>
      <c r="BF151" s="494">
        <v>2.7000000000000455</v>
      </c>
      <c r="BG151" s="494">
        <v>1.7000000000000455</v>
      </c>
      <c r="BH151" s="495">
        <f>BB151-BF151</f>
        <v>973.10299999999995</v>
      </c>
      <c r="BI151" s="495">
        <f>BC151-BG151</f>
        <v>972.05599999999993</v>
      </c>
      <c r="BJ151" s="468">
        <f>IF(A151="",0,BI151-BH152)</f>
        <v>0.24000000000000909</v>
      </c>
      <c r="BK151" s="475">
        <f>ABS((BB151-BC151)/AX151)*100</f>
        <v>7.2102853117295727</v>
      </c>
      <c r="BL151" s="475">
        <f>((BH151-BI151)/AX151)*100</f>
        <v>3.6879182810849787</v>
      </c>
      <c r="BM151" s="475">
        <f>IF(BA151=6,(1/0.013)*((AZ151/4000)^(2/3))*((BL151/100)^(0.5)),(1/0.009)*((AZ151/4000)^(2/3))*((BL151/100)^(0.5)))</f>
        <v>3.1825894998743309</v>
      </c>
      <c r="BN151" s="475">
        <f>1000*BM151*PI()*((AZ151/1000/2)^2)</f>
        <v>399.93599168788859</v>
      </c>
      <c r="BO151" s="204">
        <f>AI151/BN151</f>
        <v>3.7506001739663511E-3</v>
      </c>
      <c r="BP151" s="496">
        <f>IF(L151=0," ",AW151/BN151)</f>
        <v>3.4155465584253572E-2</v>
      </c>
      <c r="BQ151" s="497">
        <f>IF($BO151&gt;0 =AND($BO151&lt;=0.06),10^(0.029806+0.29095*LOG($BO151)),IF($BO151&gt;0.06 =AND($BO151&lt;=0.26),10^(0.013778+0.282597*LOG($BO151)),IF($BO151&gt;0.26 =AND($BO151&lt;=0.91),10^(0.021763+0.28995*LOG($BO151)),1)))</f>
        <v>0.21085826022444112</v>
      </c>
      <c r="BR151" s="497">
        <f>IF($BP151&gt;0 =AND($BP151&lt;=0.06),10^(0.029806+0.29095*LOG($BP151)),IF($BP151&gt;0.06 =AND($BP151&lt;=0.26),10^(0.013778+0.282597*LOG($BP151)),IF($BP151&gt;0.26 =AND($BP151&lt;=2),10^(0.021763+0.28995*LOG($BP151))," ")))</f>
        <v>0.40097403236579454</v>
      </c>
      <c r="BS151" s="475">
        <f>BM151*BQ151</f>
        <v>0.67107528495207558</v>
      </c>
      <c r="BT151" s="475">
        <f>IF(BP151=" "," ",(BM151*BR151))</f>
        <v>1.2761357451296478</v>
      </c>
      <c r="BU151" s="475">
        <f>IF(BO151&lt;=0.11,0.3827+0.0645*LN(BO151),IF(BO151&lt;=0.21,0.60025+0.15471*LN(BO151),IF(BO151&lt;1,0.225+0.6666666667*BO151,0)))</f>
        <v>2.2413358350742263E-2</v>
      </c>
      <c r="BV151" s="475">
        <f>IF(BP151&lt;=0.11,0.3827+0.0645*LN(BP151),IF(BP151&lt;=0.21,0.60025+0.15471*LN(BP151),IF(BP151&lt;1,0.225+0.6666666667*BP151," ")))</f>
        <v>0.16489429346996623</v>
      </c>
      <c r="BW151" s="475">
        <f>2*ACOS(1-2*(BU151))</f>
        <v>0.60110354827420531</v>
      </c>
      <c r="BX151" s="475">
        <f>IF(BP151=" "," ",(2*ACOS(1-2*(BV151))))</f>
        <v>1.6726054361203888</v>
      </c>
      <c r="BY151" s="475">
        <f>(1/4)*(1-(SIN(BW151))/BW151)</f>
        <v>1.478556452074728E-2</v>
      </c>
      <c r="BZ151" s="475">
        <f>IF(BP151=" "," ",((1/4)*(1-(SIN(BX151))/BX151)))</f>
        <v>0.10130654455833174</v>
      </c>
      <c r="CA151" s="471">
        <f>BY151*AZ151/1000</f>
        <v>5.9142258082989126E-3</v>
      </c>
      <c r="CB151" s="471">
        <f>IF(BP151=" "," ",(BZ151*AZ151/1000))</f>
        <v>4.0522617823332698E-2</v>
      </c>
      <c r="CC151" s="471">
        <f>+(BT151/SQRT(9.81*(0.125*(BX151-SIN(BX151))*(AZ151/1000)^2)/((AZ151/1000)*SIN(BX151/2))))</f>
        <v>1.9067055739739047</v>
      </c>
      <c r="CD151" s="471" t="str">
        <f>IF(CC151="","",IF(CC151&lt;0.7,"F. Subcrítico",IF(AND(CC151&gt;0.7,CC151&lt;1),"F. Subcrítico Inestable",IF(CC151=1,"F. Crítico",IF(AND(CC151&gt;1,CC151&lt;1.5),"F. Supercrítico Inestable",IF(CC151&gt;1.5,"F. Supercrítico",""))))))</f>
        <v>F. Supercrítico</v>
      </c>
      <c r="CE151" s="471">
        <f>1000*BL151*CA151/100</f>
        <v>0.21811181476890146</v>
      </c>
      <c r="CF151" s="471">
        <f>IF(BP151=" "," ",(1000*BL151*CB151/100))</f>
        <v>1.4944410306808864</v>
      </c>
      <c r="CG151" s="471" t="str">
        <f>IF(BS151&lt;0.45,"No cumple",IF(BS151&gt;5,"No cumple","O.K"))</f>
        <v>O.K</v>
      </c>
      <c r="CH151" s="471" t="str">
        <f>IF(BT151&lt;0.75,"No cumple",IF(BT151&gt;10,"No cumple","O.K"))</f>
        <v>O.K</v>
      </c>
      <c r="CI151" s="471" t="str">
        <f>IF(CE151&gt;0.1,"OK","V.C.H.")</f>
        <v>OK</v>
      </c>
      <c r="CJ151" s="471" t="str">
        <f>IF(CF151&gt;0.2,"OK","V.C.H.")</f>
        <v>OK</v>
      </c>
      <c r="CK151" s="468">
        <f>+BJ151</f>
        <v>0.24000000000000909</v>
      </c>
      <c r="CL151" s="482" t="s">
        <v>2507</v>
      </c>
      <c r="CM151" s="482"/>
      <c r="CN151" s="63" t="str">
        <f>IF(B151=1,"dato"," ")</f>
        <v>dato</v>
      </c>
      <c r="CO151" s="498">
        <f>+CR151</f>
        <v>28.39</v>
      </c>
      <c r="CP151" s="472">
        <f>+BK151/100</f>
        <v>7.2102853117295723E-2</v>
      </c>
      <c r="CQ151" s="482" t="s">
        <v>2508</v>
      </c>
      <c r="CR151" s="204">
        <f>IF(BA151="","",AX151)</f>
        <v>28.39</v>
      </c>
      <c r="CS151" s="486">
        <v>1.2</v>
      </c>
      <c r="CT151" s="486">
        <v>1.2</v>
      </c>
      <c r="CU151" s="23">
        <f>IF($BA151="","",SQRT((BH151-BI151)^2+$CR151^2))</f>
        <v>28.409299692178266</v>
      </c>
      <c r="CV151" s="499" t="s">
        <v>2509</v>
      </c>
      <c r="CW151" s="488" t="str">
        <f>+IF(BD151&lt;=0.9,"E1",IF(BD151&lt;=2.5,"E2","E3"))</f>
        <v>E2</v>
      </c>
      <c r="CX151" s="204">
        <f>IF(AND(L151="",H151=""),"",IF(AND(BA151&lt;&gt;4,BA151&lt;&gt;5),VLOOKUP(AY151,'TABLA (2)'!$A$9:$D$43,4),IF(BA151=4,VLOOKUP(AY151,'TABLA (2)'!$A$74:$D$89,4),VLOOKUP(AY151,'TABLA (2)'!$A$51:$D$66,4))))</f>
        <v>6.2E-2</v>
      </c>
      <c r="CY151" s="482"/>
      <c r="CZ151" s="482"/>
      <c r="DA151" s="482"/>
      <c r="DB151" s="490"/>
    </row>
    <row r="152" spans="1:106" ht="15" hidden="1" customHeight="1">
      <c r="A152" s="465">
        <f>+A151+1</f>
        <v>91</v>
      </c>
      <c r="B152" s="491"/>
      <c r="C152" s="466" t="s">
        <v>2327</v>
      </c>
      <c r="D152" s="466" t="s">
        <v>2354</v>
      </c>
      <c r="E152" s="468"/>
      <c r="F152" s="468"/>
      <c r="G152" s="468">
        <f>IF(B152=1,0,SUMIF($D$22:$D$583,C152,$H$22:$H$583))</f>
        <v>16.232334573499998</v>
      </c>
      <c r="H152" s="468">
        <f>+E152+F152+G152</f>
        <v>16.232334573499998</v>
      </c>
      <c r="I152" s="468"/>
      <c r="J152" s="468"/>
      <c r="K152" s="467">
        <f ca="1">+IF(B152=1,0,SUMIF($D$22:$D$583,C152,$L$22:$L$580))</f>
        <v>15.12312082</v>
      </c>
      <c r="L152" s="468">
        <f ca="1">+I152+J152+K152</f>
        <v>15.12312082</v>
      </c>
      <c r="M152" s="469">
        <f>+$P$12</f>
        <v>242.33666300502347</v>
      </c>
      <c r="N152" s="470">
        <f>M152*E152</f>
        <v>0</v>
      </c>
      <c r="O152" s="470">
        <f>M152*F152</f>
        <v>0</v>
      </c>
      <c r="P152" s="470">
        <f>M152*H152</f>
        <v>3933.6897933230603</v>
      </c>
      <c r="Q152" s="469">
        <f t="shared" si="363"/>
        <v>140</v>
      </c>
      <c r="R152" s="471">
        <f>Q152*P152*$P$14/86400</f>
        <v>5.4179292292296779</v>
      </c>
      <c r="S152" s="471"/>
      <c r="T152" s="471"/>
      <c r="U152" s="471">
        <f>IF(C152="","",T152*$P$17)</f>
        <v>0</v>
      </c>
      <c r="V152" s="471"/>
      <c r="W152" s="471"/>
      <c r="X152" s="471">
        <f>IF(C152="","",W152*$P$16)</f>
        <v>0</v>
      </c>
      <c r="Y152" s="471">
        <f>IF(H152=0,0,$H$15*H152)</f>
        <v>3.2464669146999996</v>
      </c>
      <c r="Z152" s="471">
        <f ca="1">IF(L152=0,$H$16*H152,0)</f>
        <v>0</v>
      </c>
      <c r="AA152" s="471">
        <f t="shared" si="362"/>
        <v>3.3462986289174448</v>
      </c>
      <c r="AB152" s="471">
        <f>R152*AA152</f>
        <v>18.130009151343021</v>
      </c>
      <c r="AC152" s="471">
        <f>Q152*(N152+O152)*$P$14/86400</f>
        <v>0</v>
      </c>
      <c r="AD152" s="471">
        <f>IF(E152=0,0,$H$15*(E152+F152))</f>
        <v>0</v>
      </c>
      <c r="AE152" s="471">
        <f>IF(F152=0,0,$H$15*(F152+G152))</f>
        <v>0</v>
      </c>
      <c r="AF152" s="510">
        <f t="shared" si="361"/>
        <v>3.8</v>
      </c>
      <c r="AG152" s="471">
        <f>AC152*AF152</f>
        <v>0</v>
      </c>
      <c r="AH152" s="471">
        <f>+AD152+AE152+AG152</f>
        <v>0</v>
      </c>
      <c r="AI152" s="471">
        <f ca="1">IF(H152="","",IF(AB152+Y152+Z152+X152+U152&lt;1.5,1.5,AB152+Y152+Z152+X152+U152))</f>
        <v>21.376476066043022</v>
      </c>
      <c r="AJ152" s="471">
        <f>+$P$17</f>
        <v>0.75</v>
      </c>
      <c r="AK152" s="472">
        <f>+BK152/100</f>
        <v>2.659441433930471E-2</v>
      </c>
      <c r="AL152" s="471">
        <f>IF(AJ152=0," ",0.14+0.65*AJ152+0.05*AK152)</f>
        <v>0.6288297207169653</v>
      </c>
      <c r="AM152" s="473">
        <f>((100/36)*$AM$14*(AP152+$AN$14)^$AO$14)</f>
        <v>335.00816147163192</v>
      </c>
      <c r="AN152" s="474">
        <f>IF(B152=1,IF((0.702*(1.1-$AJ152)*SQRT($CO152))/(($CP152)^(1/3))&lt;5,5,(0.702*(1.1-$AJ152)*SQRT($CO152))/(($CP152)^(1/3))),AP151)</f>
        <v>10</v>
      </c>
      <c r="AO152" s="474">
        <f>((1/60)*$AX152/$AQ152)</f>
        <v>0.13327777777777777</v>
      </c>
      <c r="AP152" s="474">
        <f>IF(B152=1,IF(($AN152+$AO152)&lt;10,10,IF(($AN152+$AO152)&gt;20,20,($AN152+$AO152))),($AN152+$AO152))</f>
        <v>10.133277777777778</v>
      </c>
      <c r="AQ152" s="475">
        <v>3</v>
      </c>
      <c r="AR152" s="474" t="e">
        <f ca="1">((1/60)*$AX152/$BT152)</f>
        <v>#VALUE!</v>
      </c>
      <c r="AS152" s="474" t="e">
        <f ca="1">AO152/AR152</f>
        <v>#VALUE!</v>
      </c>
      <c r="AT152" s="471" t="e">
        <f ca="1">IF(AS152&lt;0.9,"Disminuir vel.",IF(AS152&gt;1.1,"Aumentar vel.","Cumple"))</f>
        <v>#VALUE!</v>
      </c>
      <c r="AU152" s="492">
        <f>+I152*AL152*AM152</f>
        <v>0</v>
      </c>
      <c r="AV152" s="471">
        <f ca="1">+L152*AL152*AM152</f>
        <v>3185.883341455803</v>
      </c>
      <c r="AW152" s="510">
        <f t="shared" ca="1" si="364"/>
        <v>3185.88</v>
      </c>
      <c r="AX152" s="478">
        <f>IF(OR(C152="",D152=""),"",ROUND(((VLOOKUP(C152,'Base de Diseño (2)'!$A$2:$C$333,2,FALSE)-VLOOKUP(D152,'Base de Diseño (2)'!$A$2:$C$333,2,FALSE))^2+(VLOOKUP(C152,'Base de Diseño (2)'!$A$2:$C$333,3,0)-VLOOKUP(D152,'Base de Diseño (2)'!$A$2:$C$333,3,FALSE))^2)^0.5,2))</f>
        <v>23.99</v>
      </c>
      <c r="AY152" s="493">
        <v>16</v>
      </c>
      <c r="AZ152" s="480">
        <f ca="1">IF(AND(L152="",H152=""),"",IF(BA152=4,VLOOKUP(AY152,'TABLA (2)'!$A$74:$C$89,2),IF(BA152=5,VLOOKUP(AY152,'TABLA (2)'!$A$51:$B$66,2),IF(BA152=6,VLOOKUP(AY152,'TABLA (2)'!$A$9:$B$43,2)))))</f>
        <v>400</v>
      </c>
      <c r="BA152" s="493">
        <v>6</v>
      </c>
      <c r="BB152" s="478">
        <f>IF(OR(C152="",D152=""),"",VLOOKUP(C152,'Base de Diseño (2)'!$A$2:$D$330,4,FALSE))</f>
        <v>973.75599999999997</v>
      </c>
      <c r="BC152" s="478">
        <f>IF(OR(C152="",D152=""),"",VLOOKUP(D152,'Base de Diseño (2)'!$A$2:$D$330,4,FALSE))</f>
        <v>973.11800000000005</v>
      </c>
      <c r="BD152" s="23">
        <f ca="1">+BF152-((AZ152/1000)+CX152)</f>
        <v>1.4780000000000546</v>
      </c>
      <c r="BE152" s="23">
        <f ca="1">+BG152-((AZ152/1000)+CX152)</f>
        <v>1.9379999999999773</v>
      </c>
      <c r="BF152" s="494">
        <v>1.9400000000000546</v>
      </c>
      <c r="BG152" s="494">
        <v>2.3999999999999773</v>
      </c>
      <c r="BH152" s="495">
        <f>BB152-BF152</f>
        <v>971.81599999999992</v>
      </c>
      <c r="BI152" s="495">
        <f>BC152-BG152</f>
        <v>970.71800000000007</v>
      </c>
      <c r="BJ152" s="468" t="e">
        <f>IF(A152="",0,BI152-#REF!)</f>
        <v>#REF!</v>
      </c>
      <c r="BK152" s="475">
        <f>ABS((BB152-BC152)/AX152)*100</f>
        <v>2.6594414339304708</v>
      </c>
      <c r="BL152" s="475">
        <f>((BH152-BI152)/AX152)*100</f>
        <v>4.5769070446012616</v>
      </c>
      <c r="BM152" s="475">
        <f ca="1">IF(BA152=6,(1/0.013)*((AZ152/4000)^(2/3))*((BL152/100)^(0.5)),(1/0.009)*((AZ152/4000)^(2/3))*((BL152/100)^(0.5)))</f>
        <v>3.5454880595340827</v>
      </c>
      <c r="BN152" s="475">
        <f ca="1">1000*BM152*PI()*((AZ152/1000/2)^2)</f>
        <v>445.53916964890431</v>
      </c>
      <c r="BO152" s="204">
        <f ca="1">AI152/BN152</f>
        <v>4.7978892816288643E-2</v>
      </c>
      <c r="BP152" s="496">
        <f ca="1">IF(L152=0," ",AW152/BN152)</f>
        <v>7.1506170883034841</v>
      </c>
      <c r="BQ152" s="497">
        <f ca="1">IF($BO152&gt;0 =AND($BO152&lt;=0.06),10^(0.029806+0.29095*LOG($BO152)),IF($BO152&gt;0.06 =AND($BO152&lt;=0.26),10^(0.013778+0.282597*LOG($BO152)),IF($BO152&gt;0.26 =AND($BO152&lt;=0.91),10^(0.021763+0.28995*LOG($BO152)),1)))</f>
        <v>0.44264703755620532</v>
      </c>
      <c r="BR152" s="497" t="str">
        <f ca="1">IF($BP152&gt;0 =AND($BP152&lt;=0.06),10^(0.029806+0.29095*LOG($BP152)),IF($BP152&gt;0.06 =AND($BP152&lt;=0.26),10^(0.013778+0.282597*LOG($BP152)),IF($BP152&gt;0.26 =AND($BP152&lt;=2),10^(0.021763+0.28995*LOG($BP152))," ")))</f>
        <v xml:space="preserve"> </v>
      </c>
      <c r="BS152" s="475">
        <f ca="1">BM152*BQ152</f>
        <v>1.5693997862436606</v>
      </c>
      <c r="BT152" s="475" t="e">
        <f ca="1">IF(BP152=" "," ",(BM152*BR152))</f>
        <v>#VALUE!</v>
      </c>
      <c r="BU152" s="475">
        <f ca="1">IF(BO152&lt;=0.11,0.3827+0.0645*LN(BO152),IF(BO152&lt;=0.21,0.60025+0.15471*LN(BO152),IF(BO152&lt;1,0.225+0.6666666667*BO152,0)))</f>
        <v>0.18681388069324556</v>
      </c>
      <c r="BV152" s="475" t="str">
        <f ca="1">IF(BP152&lt;=0.11,0.3827+0.0645*LN(BP152),IF(BP152&lt;=0.21,0.60025+0.15471*LN(BP152),IF(BP152&lt;1,0.225+0.6666666667*BP152," ")))</f>
        <v xml:space="preserve"> </v>
      </c>
      <c r="BW152" s="475">
        <f ca="1">2*ACOS(1-2*(BU152))</f>
        <v>1.7878113637668855</v>
      </c>
      <c r="BX152" s="475" t="e">
        <f ca="1">IF(BP152=" "," ",(2*ACOS(1-2*(BV152))))</f>
        <v>#VALUE!</v>
      </c>
      <c r="BY152" s="475">
        <f ca="1">(1/4)*(1-(SIN(BW152))/BW152)</f>
        <v>0.11344413511834084</v>
      </c>
      <c r="BZ152" s="475" t="e">
        <f ca="1">IF(BP152=" "," ",((1/4)*(1-(SIN(BX152))/BX152)))</f>
        <v>#VALUE!</v>
      </c>
      <c r="CA152" s="471">
        <f ca="1">BY152*AZ152/1000</f>
        <v>4.5377654047336333E-2</v>
      </c>
      <c r="CB152" s="471" t="e">
        <f ca="1">IF(BP152=" "," ",(BZ152*AZ152/1000))</f>
        <v>#VALUE!</v>
      </c>
      <c r="CC152" s="471" t="e">
        <f ca="1">+(BT152/SQRT(9.81*(0.125*(BX152-SIN(BX152))*(AZ152/1000)^2)/((AZ152/1000)*SIN(BX152/2))))</f>
        <v>#VALUE!</v>
      </c>
      <c r="CD152" s="471" t="e">
        <f ca="1">IF(CC152="","",IF(CC152&lt;0.7,"F. Subcrítico",IF(AND(CC152&gt;0.7,CC152&lt;1),"F. Subcrítico Inestable",IF(CC152=1,"F. Crítico",IF(AND(CC152&gt;1,CC152&lt;1.5),"F. Supercrítico Inestable",IF(CC152&gt;1.5,"F. Supercrítico",""))))))</f>
        <v>#VALUE!</v>
      </c>
      <c r="CE152" s="471">
        <f ca="1">1000*BL152*CA152/100</f>
        <v>2.0768930447673259</v>
      </c>
      <c r="CF152" s="471" t="e">
        <f ca="1">IF(BP152=" "," ",(1000*BL152*CB152/100))</f>
        <v>#VALUE!</v>
      </c>
      <c r="CG152" s="471" t="str">
        <f ca="1">IF(BS152&lt;0.45,"No cumple",IF(BS152&gt;5,"No cumple","O.K"))</f>
        <v>O.K</v>
      </c>
      <c r="CH152" s="471" t="e">
        <f ca="1">IF(BT152&lt;0.75,"No cumple",IF(BT152&gt;10,"No cumple","O.K"))</f>
        <v>#VALUE!</v>
      </c>
      <c r="CI152" s="471" t="str">
        <f ca="1">IF(CE152&gt;0.1,"OK","V.C.H.")</f>
        <v>OK</v>
      </c>
      <c r="CJ152" s="471" t="e">
        <f ca="1">IF(CF152&gt;0.2,"OK","V.C.H.")</f>
        <v>#VALUE!</v>
      </c>
      <c r="CK152" s="468" t="e">
        <f>+BJ152</f>
        <v>#REF!</v>
      </c>
      <c r="CL152" s="482" t="s">
        <v>2507</v>
      </c>
      <c r="CM152" s="482"/>
      <c r="CN152" s="63" t="str">
        <f>IF(B152=1,"dato"," ")</f>
        <v xml:space="preserve"> </v>
      </c>
      <c r="CO152" s="498">
        <f>+CR152</f>
        <v>23.99</v>
      </c>
      <c r="CP152" s="472">
        <f>+BK152/100</f>
        <v>2.659441433930471E-2</v>
      </c>
      <c r="CQ152" s="482" t="s">
        <v>2508</v>
      </c>
      <c r="CR152" s="204">
        <f>IF(BA152="","",AX152)</f>
        <v>23.99</v>
      </c>
      <c r="CS152" s="486">
        <v>1.2</v>
      </c>
      <c r="CT152" s="486">
        <v>1.2</v>
      </c>
      <c r="CU152" s="23">
        <f>IF($BA152="","",SQRT((BH152-BI152)^2+$CR152^2))</f>
        <v>24.015114074265806</v>
      </c>
      <c r="CV152" s="499" t="s">
        <v>2509</v>
      </c>
      <c r="CW152" s="488" t="str">
        <f ca="1">+IF(BD152&lt;=0.9,"E1",IF(BD152&lt;=2.5,"E2","E3"))</f>
        <v>E2</v>
      </c>
      <c r="CX152" s="204">
        <f ca="1">IF(AND(L152="",H152=""),"",IF(AND(BA152&lt;&gt;4,BA152&lt;&gt;5),VLOOKUP(AY152,'TABLA (2)'!$A$9:$D$43,4),IF(BA152=4,VLOOKUP(AY152,'TABLA (2)'!$A$74:$D$89,4),VLOOKUP(AY152,'TABLA (2)'!$A$51:$D$66,4))))</f>
        <v>6.2E-2</v>
      </c>
      <c r="CY152" s="482"/>
      <c r="CZ152" s="482"/>
      <c r="DA152" s="482"/>
      <c r="DB152" s="490"/>
    </row>
    <row r="153" spans="1:106" ht="15" hidden="1" customHeight="1">
      <c r="A153" s="465"/>
      <c r="B153" s="491"/>
      <c r="C153" s="465"/>
      <c r="D153" s="465"/>
      <c r="E153" s="468"/>
      <c r="F153" s="468"/>
      <c r="G153" s="468"/>
      <c r="H153" s="468"/>
      <c r="I153" s="468"/>
      <c r="J153" s="468"/>
      <c r="K153" s="467"/>
      <c r="L153" s="468"/>
      <c r="M153" s="469"/>
      <c r="N153" s="470"/>
      <c r="O153" s="470"/>
      <c r="P153" s="470"/>
      <c r="Q153" s="469">
        <f t="shared" si="363"/>
        <v>140</v>
      </c>
      <c r="R153" s="471"/>
      <c r="S153" s="471"/>
      <c r="T153" s="471"/>
      <c r="U153" s="471"/>
      <c r="V153" s="471"/>
      <c r="W153" s="471"/>
      <c r="X153" s="471"/>
      <c r="Y153" s="471"/>
      <c r="Z153" s="471"/>
      <c r="AA153" s="471" t="str">
        <f t="shared" si="362"/>
        <v/>
      </c>
      <c r="AB153" s="471"/>
      <c r="AC153" s="471"/>
      <c r="AD153" s="471"/>
      <c r="AE153" s="471"/>
      <c r="AF153" s="510" t="str">
        <f t="shared" si="361"/>
        <v/>
      </c>
      <c r="AG153" s="471"/>
      <c r="AH153" s="471"/>
      <c r="AI153" s="471"/>
      <c r="AJ153" s="471"/>
      <c r="AK153" s="472"/>
      <c r="AL153" s="471"/>
      <c r="AM153" s="473"/>
      <c r="AN153" s="474"/>
      <c r="AO153" s="474"/>
      <c r="AP153" s="474"/>
      <c r="AQ153" s="475"/>
      <c r="AR153" s="474"/>
      <c r="AS153" s="474"/>
      <c r="AT153" s="471"/>
      <c r="AU153" s="492"/>
      <c r="AV153" s="471"/>
      <c r="AW153" s="510">
        <f t="shared" si="364"/>
        <v>0</v>
      </c>
      <c r="AX153" s="478"/>
      <c r="AY153" s="493"/>
      <c r="AZ153" s="480"/>
      <c r="BA153" s="493"/>
      <c r="BB153" s="478" t="str">
        <f>IF(OR(C153="",D153=""),"",VLOOKUP(C153,'Base de Diseño (2)'!$A$2:$D$330,4,FALSE))</f>
        <v/>
      </c>
      <c r="BC153" s="478" t="str">
        <f>IF(OR(C153="",D153=""),"",VLOOKUP(D153,'Base de Diseño (2)'!$A$2:$D$330,4,FALSE))</f>
        <v/>
      </c>
      <c r="BD153" s="478"/>
      <c r="BE153" s="478"/>
      <c r="BF153" s="494"/>
      <c r="BG153" s="494"/>
      <c r="BH153" s="495"/>
      <c r="BI153" s="495"/>
      <c r="BJ153" s="468"/>
      <c r="BK153" s="475"/>
      <c r="BL153" s="475"/>
      <c r="BM153" s="475"/>
      <c r="BN153" s="475"/>
      <c r="BO153" s="204"/>
      <c r="BP153" s="496"/>
      <c r="BQ153" s="497"/>
      <c r="BR153" s="475"/>
      <c r="BS153" s="475"/>
      <c r="BT153" s="475"/>
      <c r="BU153" s="475"/>
      <c r="BV153" s="475"/>
      <c r="BW153" s="475"/>
      <c r="BX153" s="475"/>
      <c r="BY153" s="475"/>
      <c r="BZ153" s="475"/>
      <c r="CA153" s="471"/>
      <c r="CB153" s="471"/>
      <c r="CC153" s="471"/>
      <c r="CD153" s="471"/>
      <c r="CE153" s="471"/>
      <c r="CF153" s="471"/>
      <c r="CG153" s="471"/>
      <c r="CH153" s="471"/>
      <c r="CI153" s="471"/>
      <c r="CJ153" s="471"/>
      <c r="CK153" s="468"/>
      <c r="CL153" s="482" t="s">
        <v>2507</v>
      </c>
      <c r="CM153" s="482"/>
      <c r="CN153" s="63"/>
      <c r="CO153" s="498"/>
      <c r="CP153" s="472"/>
      <c r="CQ153" s="482"/>
      <c r="CR153" s="204"/>
      <c r="CS153" s="486"/>
      <c r="CT153" s="486"/>
      <c r="CU153" s="23"/>
      <c r="CV153" s="499"/>
      <c r="CW153" s="488"/>
      <c r="CX153" s="204"/>
      <c r="CY153" s="482"/>
      <c r="CZ153" s="482"/>
      <c r="DA153" s="482"/>
      <c r="DB153" s="490"/>
    </row>
    <row r="154" spans="1:106" ht="15" hidden="1" customHeight="1">
      <c r="A154" s="465">
        <f>+A152+1</f>
        <v>92</v>
      </c>
      <c r="B154" s="491">
        <v>1</v>
      </c>
      <c r="C154" s="466" t="s">
        <v>2181</v>
      </c>
      <c r="D154" s="466" t="s">
        <v>2182</v>
      </c>
      <c r="E154" s="468">
        <v>0.28239999999999998</v>
      </c>
      <c r="F154" s="468"/>
      <c r="G154" s="468">
        <f>IF(B154=1,0,SUMIF($D$22:$D$583,C154,$H$22:$H$583))</f>
        <v>0</v>
      </c>
      <c r="H154" s="468">
        <f>+E154+F154+G154</f>
        <v>0.28239999999999998</v>
      </c>
      <c r="I154" s="468">
        <f>+E154</f>
        <v>0.28239999999999998</v>
      </c>
      <c r="J154" s="468"/>
      <c r="K154" s="467">
        <f>+IF(B154=1,0,SUMIF($D$22:$D$583,C154,$L$22:$L$580))</f>
        <v>0</v>
      </c>
      <c r="L154" s="468">
        <f>+I154+J154+K154</f>
        <v>0.28239999999999998</v>
      </c>
      <c r="M154" s="469">
        <f>+$P$12</f>
        <v>242.33666300502347</v>
      </c>
      <c r="N154" s="470">
        <f>M154*E154</f>
        <v>68.435873632618623</v>
      </c>
      <c r="O154" s="470">
        <f>M154*F154</f>
        <v>0</v>
      </c>
      <c r="P154" s="470">
        <f>M154*H154</f>
        <v>68.435873632618623</v>
      </c>
      <c r="Q154" s="469">
        <f t="shared" si="363"/>
        <v>140</v>
      </c>
      <c r="R154" s="471">
        <f>Q154*P154*$P$14/86400</f>
        <v>9.425774261900019E-2</v>
      </c>
      <c r="S154" s="471"/>
      <c r="T154" s="471"/>
      <c r="U154" s="471">
        <f>IF(C154="","",T154*$P$17)</f>
        <v>0</v>
      </c>
      <c r="V154" s="471"/>
      <c r="W154" s="471"/>
      <c r="X154" s="471">
        <f>IF(C154="","",W154*$P$16)</f>
        <v>0</v>
      </c>
      <c r="Y154" s="471">
        <f>IF(H154=0,0,$H$15*H154)</f>
        <v>5.6480000000000002E-2</v>
      </c>
      <c r="Z154" s="471">
        <f>IF(L154=0,$H$16*H154,0)</f>
        <v>0</v>
      </c>
      <c r="AA154" s="471">
        <f t="shared" si="362"/>
        <v>3.8</v>
      </c>
      <c r="AB154" s="471">
        <f>R154*AA154</f>
        <v>0.35817942195220071</v>
      </c>
      <c r="AC154" s="471">
        <f>Q154*(N154+O154)*$P$14/86400</f>
        <v>9.425774261900019E-2</v>
      </c>
      <c r="AD154" s="471">
        <f t="shared" ref="AD154:AE156" si="365">IF(E154=0,0,$H$15*(E154+F154))</f>
        <v>5.6480000000000002E-2</v>
      </c>
      <c r="AE154" s="471">
        <f t="shared" si="365"/>
        <v>0</v>
      </c>
      <c r="AF154" s="510">
        <f t="shared" si="361"/>
        <v>3.8</v>
      </c>
      <c r="AG154" s="471">
        <f>AC154*AF154</f>
        <v>0.35817942195220071</v>
      </c>
      <c r="AH154" s="471">
        <f>+AD154+AE154+AG154</f>
        <v>0.41465942195220074</v>
      </c>
      <c r="AI154" s="471">
        <f>IF(H154="","",IF(AB154+Y154+Z154+X154+U154&lt;1.5,1.5,AB154+Y154+Z154+X154+U154))</f>
        <v>1.5</v>
      </c>
      <c r="AJ154" s="471">
        <f>+$P$17</f>
        <v>0.75</v>
      </c>
      <c r="AK154" s="472">
        <f>+BK154/100</f>
        <v>3.0307204849156534E-3</v>
      </c>
      <c r="AL154" s="471">
        <f>IF(AJ154=0," ",0.14+0.65*AJ154+0.05*AK154)</f>
        <v>0.62765153602424584</v>
      </c>
      <c r="AM154" s="473">
        <f>((100/36)*$AM$14*(AP154+$AN$14)^$AO$14)</f>
        <v>293.85606914490461</v>
      </c>
      <c r="AN154" s="474">
        <f>IF(B154=1,IF((0.702*(1.1-$AJ154)*SQRT($CO154))/(($CP154)^(1/3))&lt;5,5,(0.702*(1.1-$AJ154)*SQRT($CO154))/(($CP154)^(1/3))),AP153)</f>
        <v>14.465327140389048</v>
      </c>
      <c r="AO154" s="474">
        <f>((1/60)*$AX154/$AQ154)</f>
        <v>0.40327777777777779</v>
      </c>
      <c r="AP154" s="474">
        <f>IF(B154=1,IF(($AN154+$AO154)&lt;10,10,IF(($AN154+$AO154)&gt;20,20,($AN154+$AO154))),($AN154+$AO154))</f>
        <v>14.868604918166826</v>
      </c>
      <c r="AQ154" s="475">
        <v>3</v>
      </c>
      <c r="AR154" s="474">
        <f>((1/60)*$AX154/$BT154)</f>
        <v>0.88882809339572477</v>
      </c>
      <c r="AS154" s="474">
        <f>AO154/AR154</f>
        <v>0.45371853204715273</v>
      </c>
      <c r="AT154" s="471" t="str">
        <f>IF(AS154&lt;0.9,"Disminuir vel.",IF(AS154&gt;1.1,"Aumentar vel.","Cumple"))</f>
        <v>Disminuir vel.</v>
      </c>
      <c r="AU154" s="492">
        <f>+I154*AL154*AM154</f>
        <v>52.085633798882213</v>
      </c>
      <c r="AV154" s="471">
        <f>+L154*AL154*AM154</f>
        <v>52.085633798882213</v>
      </c>
      <c r="AW154" s="510">
        <f t="shared" si="364"/>
        <v>52.09</v>
      </c>
      <c r="AX154" s="478">
        <f>IF(OR(C154="",D154=""),"",ROUND(((VLOOKUP(C154,'Base de Diseño (2)'!$A$2:$C$333,2,FALSE)-VLOOKUP(D154,'Base de Diseño (2)'!$A$2:$C$333,2,FALSE))^2+(VLOOKUP(C154,'Base de Diseño (2)'!$A$2:$C$333,3,0)-VLOOKUP(D154,'Base de Diseño (2)'!$A$2:$C$333,3,FALSE))^2)^0.5,2))</f>
        <v>72.59</v>
      </c>
      <c r="AY154" s="493">
        <v>12</v>
      </c>
      <c r="AZ154" s="480">
        <f>IF(AND(L154="",H154=""),"",IF(BA154=4,VLOOKUP(AY154,'TABLA (2)'!$A$74:$C$89,2),IF(BA154=5,VLOOKUP(AY154,'TABLA (2)'!$A$51:$B$66,2),IF(BA154=6,VLOOKUP(AY154,'TABLA (2)'!$A$9:$B$43,2)))))</f>
        <v>300</v>
      </c>
      <c r="BA154" s="493">
        <v>6</v>
      </c>
      <c r="BB154" s="478">
        <f>IF(OR(C154="",D154=""),"",VLOOKUP(C154,'Base de Diseño (2)'!$A$2:$D$330,4,FALSE))</f>
        <v>986.87160000000006</v>
      </c>
      <c r="BC154" s="478">
        <f>IF(OR(C154="",D154=""),"",VLOOKUP(D154,'Base de Diseño (2)'!$A$2:$D$330,4,FALSE))</f>
        <v>986.65160000000003</v>
      </c>
      <c r="BD154" s="23">
        <f>+BF154-((AZ154/1000)+CX154)</f>
        <v>0.6030000000000455</v>
      </c>
      <c r="BE154" s="23">
        <f>+BG154-((AZ154/1000)+CX154)</f>
        <v>1.4129999999999909</v>
      </c>
      <c r="BF154" s="494">
        <v>0.95000000000004547</v>
      </c>
      <c r="BG154" s="494">
        <v>1.7599999999999909</v>
      </c>
      <c r="BH154" s="495">
        <f t="shared" ref="BH154:BI156" si="366">BB154-BF154</f>
        <v>985.92160000000001</v>
      </c>
      <c r="BI154" s="495">
        <f t="shared" si="366"/>
        <v>984.89160000000004</v>
      </c>
      <c r="BJ154" s="468">
        <f>IF(A154="",0,BI154-BH155)</f>
        <v>3.999999999996362E-2</v>
      </c>
      <c r="BK154" s="475">
        <f>ABS((BB154-BC154)/AX154)*100</f>
        <v>0.30307204849156533</v>
      </c>
      <c r="BL154" s="475">
        <f>((BH154-BI154)/AX154)*100</f>
        <v>1.4189282270284787</v>
      </c>
      <c r="BM154" s="475">
        <f>IF(BA154=6,(1/0.013)*((AZ154/4000)^(2/3))*((BL154/100)^(0.5)),(1/0.009)*((AZ154/4000)^(2/3))*((BL154/100)^(0.5)))</f>
        <v>1.6295875728785296</v>
      </c>
      <c r="BN154" s="475">
        <f>1000*BM154*PI()*((AZ154/1000/2)^2)</f>
        <v>115.18875781506922</v>
      </c>
      <c r="BO154" s="204">
        <f>AI154/BN154</f>
        <v>1.3022104139782355E-2</v>
      </c>
      <c r="BP154" s="496">
        <f>IF(L154=0," ",AW154/BN154)</f>
        <v>0.45221426976084195</v>
      </c>
      <c r="BQ154" s="497">
        <f>IF($BO154&gt;0 =AND($BO154&lt;=0.06),10^(0.029806+0.29095*LOG($BO154)),IF($BO154&gt;0.06 =AND($BO154&lt;=0.26),10^(0.013778+0.282597*LOG($BO154)),IF($BO154&gt;0.26 =AND($BO154&lt;=0.91),10^(0.021763+0.28995*LOG($BO154)),1)))</f>
        <v>0.302881316768776</v>
      </c>
      <c r="BR154" s="497">
        <f>IF($BP154&gt;0 =AND($BP154&lt;=0.06),10^(0.029806+0.29095*LOG($BP154)),IF($BP154&gt;0.06 =AND($BP154&lt;=0.26),10^(0.013778+0.282597*LOG($BP154)),IF($BP154&gt;0.26 =AND($BP154&lt;=2),10^(0.021763+0.28995*LOG($BP154))," ")))</f>
        <v>0.83527612679145002</v>
      </c>
      <c r="BS154" s="475">
        <f>BM154*BQ154</f>
        <v>0.4935716298634828</v>
      </c>
      <c r="BT154" s="475">
        <f>IF(BP154=" "," ",(BM154*BR154))</f>
        <v>1.3611555961414581</v>
      </c>
      <c r="BU154" s="475">
        <f>IF(BO154&lt;=0.11,0.3827+0.0645*LN(BO154),IF(BO154&lt;=0.21,0.60025+0.15471*LN(BO154),IF(BO154&lt;1,0.225+0.6666666667*BO154,0)))</f>
        <v>0.10269859546974419</v>
      </c>
      <c r="BV154" s="475">
        <f>IF(BP154&lt;=0.11,0.3827+0.0645*LN(BP154),IF(BP154&lt;=0.21,0.60025+0.15471*LN(BP154),IF(BP154&lt;1,0.225+0.6666666667*BP154," ")))</f>
        <v>0.52647617985563511</v>
      </c>
      <c r="BW154" s="475">
        <f>2*ACOS(1-2*(BU154))</f>
        <v>1.3048864775191629</v>
      </c>
      <c r="BX154" s="475">
        <f>IF(BP154=" "," ",(2*ACOS(1-2*(BV154))))</f>
        <v>3.2475469275300095</v>
      </c>
      <c r="BY154" s="475">
        <f>(1/4)*(1-(SIN(BW154))/BW154)</f>
        <v>6.5146026088322484E-2</v>
      </c>
      <c r="BZ154" s="475">
        <f>IF(BP154=" "," ",((1/4)*(1-(SIN(BX154))/BX154)))</f>
        <v>0.25814123257188165</v>
      </c>
      <c r="CA154" s="471">
        <f>BY154*AZ154/1000</f>
        <v>1.9543807826496746E-2</v>
      </c>
      <c r="CB154" s="471">
        <f>IF(BP154=" "," ",(BZ154*AZ154/1000))</f>
        <v>7.7442369771564504E-2</v>
      </c>
      <c r="CC154" s="471">
        <f>+(BT154/SQRT(9.81*(0.125*(BX154-SIN(BX154))*(AZ154/1000)^2)/((AZ154/1000)*SIN(BX154/2))))</f>
        <v>1.2246623586601793</v>
      </c>
      <c r="CD154" s="471" t="str">
        <f>IF(CC154="","",IF(CC154&lt;0.7,"F. Subcrítico",IF(AND(CC154&gt;0.7,CC154&lt;1),"F. Subcrítico Inestable",IF(CC154=1,"F. Crítico",IF(AND(CC154&gt;1,CC154&lt;1.5),"F. Supercrítico Inestable",IF(CC154&gt;1.5,"F. Supercrítico",""))))))</f>
        <v>F. Supercrítico Inestable</v>
      </c>
      <c r="CE154" s="471">
        <f>1000*BL154*CA154/100</f>
        <v>0.27731260588636331</v>
      </c>
      <c r="CF154" s="471">
        <f>IF(BP154=" "," ",(1000*BL154*CB154/100))</f>
        <v>1.0988516443684988</v>
      </c>
      <c r="CG154" s="471" t="str">
        <f>IF(BS154&lt;0.45,"No cumple",IF(BS154&gt;5,"No cumple","O.K"))</f>
        <v>O.K</v>
      </c>
      <c r="CH154" s="471" t="str">
        <f>IF(BT154&lt;0.75,"No cumple",IF(BT154&gt;10,"No cumple","O.K"))</f>
        <v>O.K</v>
      </c>
      <c r="CI154" s="471" t="str">
        <f>IF(CE154&gt;0.1,"OK","V.C.H.")</f>
        <v>OK</v>
      </c>
      <c r="CJ154" s="471" t="str">
        <f>IF(CF154&gt;0.2,"OK","V.C.H.")</f>
        <v>OK</v>
      </c>
      <c r="CK154" s="468">
        <f>+BJ154</f>
        <v>3.999999999996362E-2</v>
      </c>
      <c r="CL154" s="482" t="s">
        <v>2507</v>
      </c>
      <c r="CM154" s="482"/>
      <c r="CN154" s="63" t="str">
        <f>IF(B154=1,"dato"," ")</f>
        <v>dato</v>
      </c>
      <c r="CO154" s="498">
        <f>+CR154</f>
        <v>72.59</v>
      </c>
      <c r="CP154" s="472">
        <f>+BK154/100</f>
        <v>3.0307204849156534E-3</v>
      </c>
      <c r="CQ154" s="482" t="s">
        <v>2508</v>
      </c>
      <c r="CR154" s="204">
        <f>IF(BA154="","",AX154)</f>
        <v>72.59</v>
      </c>
      <c r="CS154" s="486">
        <v>1.2</v>
      </c>
      <c r="CT154" s="486">
        <v>1.2</v>
      </c>
      <c r="CU154" s="23">
        <f>IF($BA154="","",SQRT((BH154-BI154)^2+$CR154^2))</f>
        <v>72.597307112591992</v>
      </c>
      <c r="CV154" s="499" t="s">
        <v>2509</v>
      </c>
      <c r="CW154" s="488" t="str">
        <f>+IF(BD154&lt;=0.9,"E1",IF(BD154&lt;=2.5,"E2","E3"))</f>
        <v>E1</v>
      </c>
      <c r="CX154" s="204">
        <f>IF(AND(L154="",H154=""),"",IF(AND(BA154&lt;&gt;4,BA154&lt;&gt;5),VLOOKUP(AY154,'TABLA (2)'!$A$9:$D$43,4),IF(BA154=4,VLOOKUP(AY154,'TABLA (2)'!$A$74:$D$89,4),VLOOKUP(AY154,'TABLA (2)'!$A$51:$D$66,4))))</f>
        <v>4.7E-2</v>
      </c>
      <c r="CY154" s="482"/>
      <c r="CZ154" s="482"/>
      <c r="DA154" s="482"/>
      <c r="DB154" s="490"/>
    </row>
    <row r="155" spans="1:106" ht="15" hidden="1" customHeight="1">
      <c r="A155" s="465">
        <f>+A154+1</f>
        <v>93</v>
      </c>
      <c r="B155" s="491"/>
      <c r="C155" s="466" t="s">
        <v>2182</v>
      </c>
      <c r="D155" s="466" t="s">
        <v>88</v>
      </c>
      <c r="E155" s="468">
        <v>0.1049633089</v>
      </c>
      <c r="F155" s="468"/>
      <c r="G155" s="468">
        <f>IF(B155=1,0,SUMIF($D$22:$D$583,C155,$H$22:$H$583))</f>
        <v>0.28239999999999998</v>
      </c>
      <c r="H155" s="468">
        <f>+E155+F155+G155</f>
        <v>0.38736330889999998</v>
      </c>
      <c r="I155" s="468">
        <v>0.1049633089</v>
      </c>
      <c r="J155" s="468"/>
      <c r="K155" s="467">
        <f ca="1">+IF(B155=1,0,SUMIF($D$22:$D$583,C155,$L$22:$L$580))</f>
        <v>0.28239999999999998</v>
      </c>
      <c r="L155" s="468">
        <f ca="1">+I155+J155+K155</f>
        <v>0.38736330889999998</v>
      </c>
      <c r="M155" s="469">
        <f>+$P$12</f>
        <v>242.33666300502347</v>
      </c>
      <c r="N155" s="470">
        <f>M155*E155</f>
        <v>25.43645801679148</v>
      </c>
      <c r="O155" s="470">
        <f>M155*F155</f>
        <v>0</v>
      </c>
      <c r="P155" s="470">
        <f>M155*H155</f>
        <v>93.8723316494101</v>
      </c>
      <c r="Q155" s="469">
        <f t="shared" si="363"/>
        <v>140</v>
      </c>
      <c r="R155" s="471">
        <f>Q155*P155*$P$14/86400</f>
        <v>0.12929175308194216</v>
      </c>
      <c r="S155" s="471"/>
      <c r="T155" s="471"/>
      <c r="U155" s="471">
        <f>IF(C155="","",T155*$P$17)</f>
        <v>0</v>
      </c>
      <c r="V155" s="471"/>
      <c r="W155" s="471"/>
      <c r="X155" s="471">
        <f>IF(C155="","",W155*$P$16)</f>
        <v>0</v>
      </c>
      <c r="Y155" s="471">
        <f>IF(H155=0,0,$H$15*H155)</f>
        <v>7.7472661780000007E-2</v>
      </c>
      <c r="Z155" s="471">
        <f ca="1">IF(L155=0,$H$16*H155,0)</f>
        <v>0</v>
      </c>
      <c r="AA155" s="471">
        <f t="shared" si="362"/>
        <v>3.8</v>
      </c>
      <c r="AB155" s="471">
        <f>R155*AA155</f>
        <v>0.49130866171138016</v>
      </c>
      <c r="AC155" s="471">
        <f>Q155*(N155+O155)*$P$14/86400</f>
        <v>3.5034010462941967E-2</v>
      </c>
      <c r="AD155" s="471">
        <f t="shared" si="365"/>
        <v>2.0992661780000001E-2</v>
      </c>
      <c r="AE155" s="471">
        <f t="shared" si="365"/>
        <v>0</v>
      </c>
      <c r="AF155" s="510">
        <f t="shared" si="361"/>
        <v>3.8</v>
      </c>
      <c r="AG155" s="471">
        <f>AC155*AF155</f>
        <v>0.13312923975917948</v>
      </c>
      <c r="AH155" s="471">
        <f>+AD155+AE155+AG155</f>
        <v>0.15412190153917948</v>
      </c>
      <c r="AI155" s="471">
        <f ca="1">IF(H155="","",IF(AB155+Y155+Z155+X155+U155&lt;1.5,1.5,AB155+Y155+Z155+X155+U155))</f>
        <v>1.5</v>
      </c>
      <c r="AJ155" s="471">
        <f>+$P$17</f>
        <v>0.75</v>
      </c>
      <c r="AK155" s="472">
        <f>+BK155/100</f>
        <v>5.2366706875754773E-2</v>
      </c>
      <c r="AL155" s="471">
        <f>IF(AJ155=0," ",0.14+0.65*AJ155+0.05*AK155)</f>
        <v>0.63011833534378781</v>
      </c>
      <c r="AM155" s="473">
        <f>((100/36)*$AM$14*(AP155+$AN$14)^$AO$14)</f>
        <v>292.10126241108435</v>
      </c>
      <c r="AN155" s="474">
        <f>IF(B155=1,IF((0.702*(1.1-$AJ155)*SQRT($CO155))/(($CP155)^(1/3))&lt;5,5,(0.702*(1.1-$AJ155)*SQRT($CO155))/(($CP155)^(1/3))),AP154)</f>
        <v>14.868604918166826</v>
      </c>
      <c r="AO155" s="474">
        <f>((1/60)*$AX155/$AQ155)</f>
        <v>0.2302777777777778</v>
      </c>
      <c r="AP155" s="474">
        <f>IF(B155=1,IF(($AN155+$AO155)&lt;10,10,IF(($AN155+$AO155)&gt;20,20,($AN155+$AO155))),($AN155+$AO155))</f>
        <v>15.098882695944603</v>
      </c>
      <c r="AQ155" s="475">
        <v>3</v>
      </c>
      <c r="AR155" s="474">
        <f ca="1">((1/60)*$AX155/$BT155)</f>
        <v>0.28242100016494054</v>
      </c>
      <c r="AS155" s="474">
        <f ca="1">AO155/AR155</f>
        <v>0.81537059086714569</v>
      </c>
      <c r="AT155" s="471" t="str">
        <f ca="1">IF(AS155&lt;0.9,"Disminuir vel.",IF(AS155&gt;1.1,"Aumentar vel.","Cumple"))</f>
        <v>Disminuir vel.</v>
      </c>
      <c r="AU155" s="492">
        <f>+I155*AL155*AM155</f>
        <v>19.319374624603157</v>
      </c>
      <c r="AV155" s="471">
        <f ca="1">+L155*AL155*AM155</f>
        <v>71.297455833778244</v>
      </c>
      <c r="AW155" s="510">
        <f t="shared" ca="1" si="364"/>
        <v>71.3</v>
      </c>
      <c r="AX155" s="478">
        <f>IF(OR(C155="",D155=""),"",ROUND(((VLOOKUP(C155,'Base de Diseño (2)'!$A$2:$C$333,2,FALSE)-VLOOKUP(D155,'Base de Diseño (2)'!$A$2:$C$333,2,FALSE))^2+(VLOOKUP(C155,'Base de Diseño (2)'!$A$2:$C$333,3,0)-VLOOKUP(D155,'Base de Diseño (2)'!$A$2:$C$333,3,FALSE))^2)^0.5,2))</f>
        <v>41.45</v>
      </c>
      <c r="AY155" s="493">
        <v>8</v>
      </c>
      <c r="AZ155" s="480">
        <f ca="1">IF(AND(L155="",H155=""),"",IF(BA155=4,VLOOKUP(AY155,'TABLA (2)'!$A$74:$C$89,2),IF(BA155=5,VLOOKUP(AY155,'TABLA (2)'!$A$51:$B$66,2),IF(BA155=6,VLOOKUP(AY155,'TABLA (2)'!$A$9:$B$43,2)))))</f>
        <v>200</v>
      </c>
      <c r="BA155" s="493">
        <v>6</v>
      </c>
      <c r="BB155" s="478">
        <f>IF(OR(C155="",D155=""),"",VLOOKUP(C155,'Base de Diseño (2)'!$A$2:$D$330,4,FALSE))</f>
        <v>986.65160000000003</v>
      </c>
      <c r="BC155" s="478">
        <f>IF(OR(C155="",D155=""),"",VLOOKUP(D155,'Base de Diseño (2)'!$A$2:$D$330,4,FALSE))</f>
        <v>984.48099999999999</v>
      </c>
      <c r="BD155" s="23">
        <f ca="1">+BF155-((AZ155/1000)+CX155)</f>
        <v>1.5629999999999544</v>
      </c>
      <c r="BE155" s="23">
        <f ca="1">+BG155-((AZ155/1000)+CX155)</f>
        <v>1.4930000000000181</v>
      </c>
      <c r="BF155" s="494">
        <v>1.7999999999999545</v>
      </c>
      <c r="BG155" s="494">
        <v>1.7300000000000182</v>
      </c>
      <c r="BH155" s="495">
        <f t="shared" si="366"/>
        <v>984.85160000000008</v>
      </c>
      <c r="BI155" s="495">
        <f t="shared" si="366"/>
        <v>982.75099999999998</v>
      </c>
      <c r="BJ155" s="468">
        <f>IF(A155="",0,BI155-BH156)</f>
        <v>1.999999999998181E-2</v>
      </c>
      <c r="BK155" s="475">
        <f>ABS((BB155-BC155)/AX155)*100</f>
        <v>5.2366706875754776</v>
      </c>
      <c r="BL155" s="475">
        <f>((BH155-BI155)/AX155)*100</f>
        <v>5.067792521110011</v>
      </c>
      <c r="BM155" s="475">
        <f ca="1">IF(BA155=6,(1/0.013)*((AZ155/4000)^(2/3))*((BL155/100)^(0.5)),(1/0.009)*((AZ155/4000)^(2/3))*((BL155/100)^(0.5)))</f>
        <v>2.3502427972485682</v>
      </c>
      <c r="BN155" s="475">
        <f ca="1">1000*BM155*PI()*((AZ155/1000/2)^2)</f>
        <v>73.835055059884297</v>
      </c>
      <c r="BO155" s="204">
        <f ca="1">AI155/BN155</f>
        <v>2.0315553347707498E-2</v>
      </c>
      <c r="BP155" s="496">
        <f ca="1">IF(L155=0," ",AW155/BN155)</f>
        <v>0.96566596912769642</v>
      </c>
      <c r="BQ155" s="497">
        <f ca="1">IF($BO155&gt;0 =AND($BO155&lt;=0.06),10^(0.029806+0.29095*LOG($BO155)),IF($BO155&gt;0.06 =AND($BO155&lt;=0.26),10^(0.013778+0.282597*LOG($BO155)),IF($BO155&gt;0.26 =AND($BO155&lt;=0.91),10^(0.021763+0.28995*LOG($BO155)),1)))</f>
        <v>0.34472179893495797</v>
      </c>
      <c r="BR155" s="497">
        <f ca="1">IF($BP155&gt;0 =AND($BP155&lt;=0.06),10^(0.029806+0.29095*LOG($BP155)),IF($BP155&gt;0.06 =AND($BP155&lt;=0.26),10^(0.013778+0.282597*LOG($BP155)),IF($BP155&gt;0.26 =AND($BP155&lt;=2),10^(0.021763+0.28995*LOG($BP155))," ")))</f>
        <v>1.0407910942074166</v>
      </c>
      <c r="BS155" s="475">
        <f ca="1">BM155*BQ155</f>
        <v>0.81017992500145408</v>
      </c>
      <c r="BT155" s="475">
        <f ca="1">IF(BP155=" "," ",(BM155*BR155))</f>
        <v>2.4461117726014368</v>
      </c>
      <c r="BU155" s="475">
        <f ca="1">IF(BO155&lt;=0.11,0.3827+0.0645*LN(BO155),IF(BO155&lt;=0.21,0.60025+0.15471*LN(BO155),IF(BO155&lt;1,0.225+0.6666666667*BO155,0)))</f>
        <v>0.13138423100615187</v>
      </c>
      <c r="BV155" s="475">
        <f ca="1">IF(BP155&lt;=0.11,0.3827+0.0645*LN(BP155),IF(BP155&lt;=0.21,0.60025+0.15471*LN(BP155),IF(BP155&lt;1,0.225+0.6666666667*BP155," ")))</f>
        <v>0.8687773127839864</v>
      </c>
      <c r="BW155" s="475">
        <f ca="1">2*ACOS(1-2*(BU155))</f>
        <v>1.4836654408449217</v>
      </c>
      <c r="BX155" s="475">
        <f ca="1">IF(BP155=" "," ",(2*ACOS(1-2*(BV155))))</f>
        <v>4.8004765054905389</v>
      </c>
      <c r="BY155" s="475">
        <f ca="1">(1/4)*(1-(SIN(BW155))/BW155)</f>
        <v>8.2137610374537456E-2</v>
      </c>
      <c r="BZ155" s="475">
        <f ca="1">IF(BP155=" "," ",((1/4)*(1-(SIN(BX155))/BX155)))</f>
        <v>0.30187624607988223</v>
      </c>
      <c r="CA155" s="471">
        <f ca="1">BY155*AZ155/1000</f>
        <v>1.642752207490749E-2</v>
      </c>
      <c r="CB155" s="471">
        <f ca="1">IF(BP155=" "," ",(BZ155*AZ155/1000))</f>
        <v>6.0375249215976444E-2</v>
      </c>
      <c r="CC155" s="471">
        <f ca="1">+(BT155/SQRT(9.81*(0.125*(BX155-SIN(BX155))*(AZ155/1000)^2)/((AZ155/1000)*SIN(BX155/2))))</f>
        <v>1.6858910181519111</v>
      </c>
      <c r="CD155" s="471" t="str">
        <f ca="1">IF(CC155="","",IF(CC155&lt;0.7,"F. Subcrítico",IF(AND(CC155&gt;0.7,CC155&lt;1),"F. Subcrítico Inestable",IF(CC155=1,"F. Crítico",IF(AND(CC155&gt;1,CC155&lt;1.5),"F. Supercrítico Inestable",IF(CC155&gt;1.5,"F. Supercrítico",""))))))</f>
        <v>F. Supercrítico</v>
      </c>
      <c r="CE155" s="471">
        <f ca="1">1000*BL155*CA155/100</f>
        <v>0.83251273511585788</v>
      </c>
      <c r="CF155" s="471">
        <f ca="1">IF(BP155=" "," ",(1000*BL155*CB155/100))</f>
        <v>3.0596923643687846</v>
      </c>
      <c r="CG155" s="471" t="str">
        <f ca="1">IF(BS155&lt;0.45,"No cumple",IF(BS155&gt;5,"No cumple","O.K"))</f>
        <v>O.K</v>
      </c>
      <c r="CH155" s="471" t="str">
        <f ca="1">IF(BT155&lt;0.75,"No cumple",IF(BT155&gt;10,"No cumple","O.K"))</f>
        <v>O.K</v>
      </c>
      <c r="CI155" s="471" t="str">
        <f ca="1">IF(CE155&gt;0.1,"OK","V.C.H.")</f>
        <v>OK</v>
      </c>
      <c r="CJ155" s="471" t="str">
        <f ca="1">IF(CF155&gt;0.2,"OK","V.C.H.")</f>
        <v>OK</v>
      </c>
      <c r="CK155" s="468">
        <f>+BJ155</f>
        <v>1.999999999998181E-2</v>
      </c>
      <c r="CL155" s="482" t="s">
        <v>2507</v>
      </c>
      <c r="CM155" s="482"/>
      <c r="CN155" s="63" t="str">
        <f>IF(B155=1,"dato"," ")</f>
        <v xml:space="preserve"> </v>
      </c>
      <c r="CO155" s="498"/>
      <c r="CP155" s="472"/>
      <c r="CQ155" s="482" t="s">
        <v>2508</v>
      </c>
      <c r="CR155" s="204">
        <f>IF(BA155="","",AX155)</f>
        <v>41.45</v>
      </c>
      <c r="CS155" s="486">
        <v>1.2</v>
      </c>
      <c r="CT155" s="486">
        <v>1.2</v>
      </c>
      <c r="CU155" s="23">
        <f>IF($BA155="","",SQRT((BH155-BI155)^2+$CR155^2))</f>
        <v>41.503192893559415</v>
      </c>
      <c r="CV155" s="499" t="s">
        <v>2509</v>
      </c>
      <c r="CW155" s="488" t="str">
        <f ca="1">+IF(BD155&lt;=0.9,"E1",IF(BD155&lt;=2.5,"E2","E3"))</f>
        <v>E2</v>
      </c>
      <c r="CX155" s="204">
        <f ca="1">IF(AND(L155="",H155=""),"",IF(AND(BA155&lt;&gt;4,BA155&lt;&gt;5),VLOOKUP(AY155,'TABLA (2)'!$A$9:$D$43,4),IF(BA155=4,VLOOKUP(AY155,'TABLA (2)'!$A$74:$D$89,4),VLOOKUP(AY155,'TABLA (2)'!$A$51:$D$66,4))))</f>
        <v>3.6999999999999998E-2</v>
      </c>
      <c r="CY155" s="482"/>
      <c r="CZ155" s="482"/>
      <c r="DA155" s="482"/>
      <c r="DB155" s="490"/>
    </row>
    <row r="156" spans="1:106" s="532" customFormat="1" ht="15" customHeight="1">
      <c r="A156" s="503">
        <f>+A155+1</f>
        <v>94</v>
      </c>
      <c r="B156" s="504"/>
      <c r="C156" s="505" t="s">
        <v>88</v>
      </c>
      <c r="D156" s="505" t="s">
        <v>89</v>
      </c>
      <c r="E156" s="506">
        <v>0.18729999999999999</v>
      </c>
      <c r="F156" s="506"/>
      <c r="G156" s="506">
        <f>IF(B156=1,0,SUMIF($D$22:$D$583,C156,$H$22:$H$583))</f>
        <v>0.38736330889999998</v>
      </c>
      <c r="H156" s="506">
        <f>+E156+F156+G156</f>
        <v>0.57466330889999995</v>
      </c>
      <c r="I156" s="506">
        <f>+E156</f>
        <v>0.18729999999999999</v>
      </c>
      <c r="J156" s="506"/>
      <c r="K156" s="507">
        <f ca="1">+IF(B156=1,0,SUMIF($D$22:$D$583,C156,$L$22:$L$580))</f>
        <v>0.38736330889999998</v>
      </c>
      <c r="L156" s="506">
        <f ca="1">+I156+J156+K156</f>
        <v>0.57466330889999995</v>
      </c>
      <c r="M156" s="508">
        <f>+$P$12</f>
        <v>242.33666300502347</v>
      </c>
      <c r="N156" s="509">
        <f>M156*E156</f>
        <v>45.389656980840897</v>
      </c>
      <c r="O156" s="509">
        <f>M156*F156</f>
        <v>0</v>
      </c>
      <c r="P156" s="509">
        <f>M156*H156</f>
        <v>139.26198863025098</v>
      </c>
      <c r="Q156" s="508">
        <f t="shared" si="363"/>
        <v>140</v>
      </c>
      <c r="R156" s="510">
        <f>Q156*P156*$P$14/86400</f>
        <v>0.19180760008101697</v>
      </c>
      <c r="S156" s="510"/>
      <c r="T156" s="510"/>
      <c r="U156" s="510">
        <f>IF(C156="","",T156*$P$17)</f>
        <v>0</v>
      </c>
      <c r="V156" s="510"/>
      <c r="W156" s="510"/>
      <c r="X156" s="510">
        <f>IF(C156="","",W156*$P$16)</f>
        <v>0</v>
      </c>
      <c r="Y156" s="510">
        <f>IF(H156=0,0,$H$15*H156)</f>
        <v>0.11493266178</v>
      </c>
      <c r="Z156" s="510">
        <f ca="1">IF(L156=0,$H$16*H156,0)</f>
        <v>0</v>
      </c>
      <c r="AA156" s="471">
        <f t="shared" si="362"/>
        <v>3.8</v>
      </c>
      <c r="AB156" s="510">
        <f>R156*AA156</f>
        <v>0.72886888030786445</v>
      </c>
      <c r="AC156" s="510">
        <f>Q156*(N156+O156)*$P$14/86400</f>
        <v>6.2515846999074851E-2</v>
      </c>
      <c r="AD156" s="510">
        <f t="shared" si="365"/>
        <v>3.746E-2</v>
      </c>
      <c r="AE156" s="510">
        <f t="shared" si="365"/>
        <v>0</v>
      </c>
      <c r="AF156" s="510">
        <f t="shared" si="361"/>
        <v>3.8</v>
      </c>
      <c r="AG156" s="510">
        <f>AC156*AF156</f>
        <v>0.23756021859648441</v>
      </c>
      <c r="AH156" s="510">
        <f>+AD156+AE156+AG156</f>
        <v>0.2750202185964844</v>
      </c>
      <c r="AI156" s="510">
        <f ca="1">IF(H156="","",IF(AB156+Y156+Z156+X156+U156&lt;1.5,1.5,AB156+Y156+Z156+X156+U156))</f>
        <v>1.5</v>
      </c>
      <c r="AJ156" s="510">
        <f>+$P$17</f>
        <v>0.75</v>
      </c>
      <c r="AK156" s="511">
        <f>+BK156/100</f>
        <v>2.7286925479695589E-2</v>
      </c>
      <c r="AL156" s="510">
        <f>IF(AJ156=0," ",0.14+0.65*AJ156+0.05*AK156)</f>
        <v>0.6288643462739848</v>
      </c>
      <c r="AM156" s="512">
        <f>((100/36)*$AM$14*(AP156+$AN$14)^$AO$14)</f>
        <v>289.85400186055659</v>
      </c>
      <c r="AN156" s="513">
        <f>IF(B156=1,IF((0.702*(1.1-$AJ156)*SQRT($CO156))/(($CP156)^(1/3))&lt;5,5,(0.702*(1.1-$AJ156)*SQRT($CO156))/(($CP156)^(1/3))),AP155)</f>
        <v>15.098882695944603</v>
      </c>
      <c r="AO156" s="513">
        <f>((1/60)*$AX156/$AQ156)</f>
        <v>0.29880000000000001</v>
      </c>
      <c r="AP156" s="513">
        <f>IF(B156=1,IF(($AN156+$AO156)&lt;10,10,IF(($AN156+$AO156)&gt;20,20,($AN156+$AO156))),($AN156+$AO156))</f>
        <v>15.397682695944603</v>
      </c>
      <c r="AQ156" s="514">
        <v>2.5</v>
      </c>
      <c r="AR156" s="513">
        <f ca="1">((1/60)*$AX156/$BT156)</f>
        <v>0.27697579213258433</v>
      </c>
      <c r="AS156" s="513">
        <f ca="1">AO156/AR156</f>
        <v>1.078794640135802</v>
      </c>
      <c r="AT156" s="510" t="str">
        <f ca="1">IF(AS156&lt;0.9,"Disminuir vel.",IF(AS156&gt;1.1,"Aumentar vel.","Cumple"))</f>
        <v>Cumple</v>
      </c>
      <c r="AU156" s="533">
        <f>+I156*AL156*AM156</f>
        <v>34.140828117071756</v>
      </c>
      <c r="AV156" s="510">
        <f ca="1">+L156*AL156*AM156</f>
        <v>104.74896558645281</v>
      </c>
      <c r="AW156" s="510">
        <f t="shared" ca="1" si="364"/>
        <v>104.75</v>
      </c>
      <c r="AX156" s="516">
        <f>IF(OR(C156="",D156=""),"",ROUND(((VLOOKUP(C156,'Base de Diseño (2)'!$A$2:$C$333,2,FALSE)-VLOOKUP(D156,'Base de Diseño (2)'!$A$2:$C$333,2,FALSE))^2+(VLOOKUP(C156,'Base de Diseño (2)'!$A$2:$C$333,3,0)-VLOOKUP(D156,'Base de Diseño (2)'!$A$2:$C$333,3,FALSE))^2)^0.5,2))</f>
        <v>44.82</v>
      </c>
      <c r="AY156" s="517">
        <v>12</v>
      </c>
      <c r="AZ156" s="518">
        <f ca="1">IF(AND(L156="",H156=""),"",IF(BA156=4,VLOOKUP(AY156,'TABLA (2)'!$A$74:$C$89,2),IF(BA156=5,VLOOKUP(AY156,'TABLA (2)'!$A$51:$B$66,2),IF(BA156=6,VLOOKUP(AY156,'TABLA (2)'!$A$9:$B$43,2)))))</f>
        <v>284</v>
      </c>
      <c r="BA156" s="517">
        <v>4</v>
      </c>
      <c r="BB156" s="516">
        <f>IF(OR(C156="",D156=""),"",VLOOKUP(C156,'Base de Diseño (2)'!$A$2:$D$330,4,FALSE))</f>
        <v>984.48099999999999</v>
      </c>
      <c r="BC156" s="516">
        <f>IF(OR(C156="",D156=""),"",VLOOKUP(D156,'Base de Diseño (2)'!$A$2:$D$330,4,FALSE))</f>
        <v>983.25800000000004</v>
      </c>
      <c r="BD156" s="519">
        <f ca="1">+BF156-((AZ156/1000)+CX156)</f>
        <v>1.4504999999999999</v>
      </c>
      <c r="BE156" s="519">
        <f ca="1">+BG156-((AZ156/1000)+CX156)</f>
        <v>1.3904999999999998</v>
      </c>
      <c r="BF156" s="520">
        <v>1.75</v>
      </c>
      <c r="BG156" s="520">
        <v>1.69</v>
      </c>
      <c r="BH156" s="521">
        <f t="shared" si="366"/>
        <v>982.73099999999999</v>
      </c>
      <c r="BI156" s="521">
        <f t="shared" si="366"/>
        <v>981.56799999999998</v>
      </c>
      <c r="BJ156" s="506">
        <f>IF(A156="",0,BI156-BH164)</f>
        <v>6.9999999999936335E-2</v>
      </c>
      <c r="BK156" s="514">
        <f>ABS((BB156-BC156)/AX156)*100</f>
        <v>2.7286925479695587</v>
      </c>
      <c r="BL156" s="514">
        <f>((BH156-BI156)/AX156)*100</f>
        <v>2.5948237394020768</v>
      </c>
      <c r="BM156" s="514">
        <f ca="1">IF(BA156=6,(1/0.013)*((AZ156/4000)^(2/3))*((BL156/100)^(0.5)),(1/0.009)*((AZ156/4000)^(2/3))*((BL156/100)^(0.5)))</f>
        <v>3.0689064806972919</v>
      </c>
      <c r="BN156" s="514">
        <f ca="1">1000*BM156*PI()*((AZ156/1000/2)^2)</f>
        <v>194.40624675116163</v>
      </c>
      <c r="BO156" s="522">
        <f ca="1">AI156/BN156</f>
        <v>7.7158014470594012E-3</v>
      </c>
      <c r="BP156" s="523">
        <f ca="1">IF(L156=0," ",AW156/BN156)</f>
        <v>0.53882013438631482</v>
      </c>
      <c r="BQ156" s="524">
        <f ca="1">IF($BO156&gt;0 =AND($BO156&lt;=0.06),10^(0.029806+0.29095*LOG($BO156)),IF($BO156&gt;0.06 =AND($BO156&lt;=0.26),10^(0.013778+0.282597*LOG($BO156)),IF($BO156&gt;0.26 =AND($BO156&lt;=0.91),10^(0.021763+0.28995*LOG($BO156)),1)))</f>
        <v>0.26009949832963225</v>
      </c>
      <c r="BR156" s="524">
        <f ca="1">IF($BP156&gt;0 =AND($BP156&lt;=0.06),10^(0.029806+0.29095*LOG($BP156)),IF($BP156&gt;0.06 =AND($BP156&lt;=0.26),10^(0.013778+0.282597*LOG($BP156)),IF($BP156&gt;0.26 =AND($BP156&lt;=2),10^(0.021763+0.28995*LOG($BP156))," ")))</f>
        <v>0.87881029197302807</v>
      </c>
      <c r="BS156" s="524">
        <f ca="1">BM156*BQ156</f>
        <v>0.79822103604992289</v>
      </c>
      <c r="BT156" s="514">
        <f ca="1">IF(BP156=" "," ",(BM156*BR156))</f>
        <v>2.6969866003395051</v>
      </c>
      <c r="BU156" s="514">
        <f ca="1">IF(BO156&lt;=0.11,0.3827+0.0645*LN(BO156),IF(BO156&lt;=0.21,0.60025+0.15471*LN(BO156),IF(BO156&lt;1,0.225+0.6666666667*BO156,0)))</f>
        <v>6.8940722860238002E-2</v>
      </c>
      <c r="BV156" s="514">
        <f ca="1">IF(BP156&lt;=0.11,0.3827+0.0645*LN(BP156),IF(BP156&lt;=0.21,0.60025+0.15471*LN(BP156),IF(BP156&lt;1,0.225+0.6666666667*BP156," ")))</f>
        <v>0.58421342294217049</v>
      </c>
      <c r="BW156" s="514">
        <f ca="1">2*ACOS(1-2*(BU156))</f>
        <v>1.0627207624899255</v>
      </c>
      <c r="BX156" s="514">
        <f ca="1">IF(BP156=" "," ",(2*ACOS(1-2*(BV156))))</f>
        <v>3.4800596478404628</v>
      </c>
      <c r="BY156" s="514">
        <f ca="1">(1/4)*(1-(SIN(BW156))/BW156)</f>
        <v>4.4470384992116835E-2</v>
      </c>
      <c r="BZ156" s="514">
        <f ca="1">IF(BP156=" "," ",((1/4)*(1-(SIN(BX156))/BX156)))</f>
        <v>0.27385314377624559</v>
      </c>
      <c r="CA156" s="510">
        <f ca="1">BY156*AZ156/1000</f>
        <v>1.2629589337761182E-2</v>
      </c>
      <c r="CB156" s="510">
        <f ca="1">IF(BP156=" "," ",(BZ156*AZ156/1000))</f>
        <v>7.7774292832453754E-2</v>
      </c>
      <c r="CC156" s="510">
        <f ca="1">+(BT156/SQRT(9.81*(0.125*(BX156-SIN(BX156))*(AZ156/1000)^2)/((AZ156/1000)*SIN(BX156/2))))</f>
        <v>2.3239319154135072</v>
      </c>
      <c r="CD156" s="510" t="str">
        <f ca="1">IF(CC156="","",IF(CC156&lt;0.7,"F. Subcrítico",IF(AND(CC156&gt;0.7,CC156&lt;1),"F. Subcrítico Inestable",IF(CC156=1,"F. Crítico",IF(AND(CC156&gt;1,CC156&lt;1.5),"F. Supercrítico Inestable",IF(CC156&gt;1.5,"F. Supercrítico",""))))))</f>
        <v>F. Supercrítico</v>
      </c>
      <c r="CE156" s="510">
        <f ca="1">1000*BL156*CA156/100</f>
        <v>0.32771558232522069</v>
      </c>
      <c r="CF156" s="510">
        <f ca="1">IF(BP156=" "," ",(1000*BL156*CB156/100))</f>
        <v>2.0181058135685976</v>
      </c>
      <c r="CG156" s="510" t="str">
        <f ca="1">IF(BS156&lt;0.45,"No cumple",IF(BS156&gt;5,"No cumple","O.K"))</f>
        <v>O.K</v>
      </c>
      <c r="CH156" s="510" t="str">
        <f ca="1">IF(BT156&lt;0.75,"No cumple",IF(BT156&gt;10,"No cumple","O.K"))</f>
        <v>O.K</v>
      </c>
      <c r="CI156" s="510" t="str">
        <f ca="1">IF(CE156&gt;0.1,"OK","V.C.H.")</f>
        <v>OK</v>
      </c>
      <c r="CJ156" s="510" t="str">
        <f ca="1">IF(CF156&gt;0.2,"OK","V.C.H.")</f>
        <v>OK</v>
      </c>
      <c r="CK156" s="506">
        <f>+BJ156</f>
        <v>6.9999999999936335E-2</v>
      </c>
      <c r="CL156" s="525" t="s">
        <v>2515</v>
      </c>
      <c r="CM156" s="525"/>
      <c r="CN156" s="526" t="str">
        <f>IF(B156=1,"dato"," ")</f>
        <v xml:space="preserve"> </v>
      </c>
      <c r="CO156" s="527"/>
      <c r="CP156" s="511"/>
      <c r="CQ156" s="525" t="s">
        <v>2508</v>
      </c>
      <c r="CR156" s="522">
        <f>IF(BA156="","",AX156)</f>
        <v>44.82</v>
      </c>
      <c r="CS156" s="528">
        <v>1.2</v>
      </c>
      <c r="CT156" s="528">
        <v>1.2</v>
      </c>
      <c r="CU156" s="519">
        <f>IF($BA156="","",SQRT((BH156-BI156)^2+$CR156^2))</f>
        <v>44.835086361018647</v>
      </c>
      <c r="CV156" s="529" t="s">
        <v>2509</v>
      </c>
      <c r="CW156" s="530" t="str">
        <f ca="1">+IF(BD156&lt;=0.9,"E1",IF(BD156&lt;=2.5,"E2","E3"))</f>
        <v>E2</v>
      </c>
      <c r="CX156" s="522">
        <f ca="1">IF(AND(L156="",H156=""),"",IF(AND(BA156&lt;&gt;4,BA156&lt;&gt;5),VLOOKUP(AY156,'TABLA (2)'!$A$9:$D$43,4),IF(BA156=4,VLOOKUP(AY156,'TABLA (2)'!$A$74:$D$89,4),VLOOKUP(AY156,'TABLA (2)'!$A$51:$D$66,4))))</f>
        <v>1.55E-2</v>
      </c>
      <c r="CY156" s="525"/>
      <c r="CZ156" s="525"/>
      <c r="DA156" s="525"/>
      <c r="DB156" s="531"/>
    </row>
    <row r="157" spans="1:106" ht="15" customHeight="1">
      <c r="A157" s="465"/>
      <c r="B157" s="491"/>
      <c r="C157" s="466"/>
      <c r="D157" s="466"/>
      <c r="E157" s="468"/>
      <c r="F157" s="468"/>
      <c r="G157" s="468"/>
      <c r="H157" s="468"/>
      <c r="I157" s="468"/>
      <c r="J157" s="468"/>
      <c r="K157" s="467"/>
      <c r="L157" s="468"/>
      <c r="M157" s="469"/>
      <c r="N157" s="470"/>
      <c r="O157" s="470"/>
      <c r="P157" s="470"/>
      <c r="Q157" s="469">
        <f t="shared" si="363"/>
        <v>140</v>
      </c>
      <c r="R157" s="471"/>
      <c r="S157" s="471"/>
      <c r="T157" s="471"/>
      <c r="U157" s="471"/>
      <c r="V157" s="471"/>
      <c r="W157" s="471"/>
      <c r="X157" s="471"/>
      <c r="Y157" s="471"/>
      <c r="Z157" s="471"/>
      <c r="AA157" s="471" t="str">
        <f t="shared" si="362"/>
        <v/>
      </c>
      <c r="AB157" s="471"/>
      <c r="AC157" s="471"/>
      <c r="AD157" s="471"/>
      <c r="AE157" s="471"/>
      <c r="AF157" s="471" t="str">
        <f t="shared" si="361"/>
        <v/>
      </c>
      <c r="AG157" s="471"/>
      <c r="AH157" s="471"/>
      <c r="AI157" s="471"/>
      <c r="AJ157" s="471"/>
      <c r="AK157" s="472"/>
      <c r="AL157" s="471"/>
      <c r="AM157" s="473"/>
      <c r="AN157" s="474"/>
      <c r="AO157" s="474"/>
      <c r="AP157" s="474"/>
      <c r="AQ157" s="475"/>
      <c r="AR157" s="474"/>
      <c r="AS157" s="474"/>
      <c r="AT157" s="471"/>
      <c r="AU157" s="492"/>
      <c r="AV157" s="471"/>
      <c r="AW157" s="471"/>
      <c r="AX157" s="471"/>
      <c r="AY157" s="493"/>
      <c r="AZ157" s="480"/>
      <c r="BA157" s="493"/>
      <c r="BB157" s="478" t="str">
        <f>IF(OR(C157="",D157=""),"",VLOOKUP(C157,'Base de Diseño (2)'!$A$2:$D$330,4,FALSE))</f>
        <v/>
      </c>
      <c r="BC157" s="478" t="str">
        <f>IF(OR(C157="",D157=""),"",VLOOKUP(D157,'Base de Diseño (2)'!$A$2:$D$330,4,FALSE))</f>
        <v/>
      </c>
      <c r="BD157" s="494"/>
      <c r="BE157" s="494"/>
      <c r="BF157" s="494"/>
      <c r="BG157" s="494"/>
      <c r="BH157" s="495"/>
      <c r="BI157" s="495"/>
      <c r="BJ157" s="468"/>
      <c r="BK157" s="475"/>
      <c r="BL157" s="475"/>
      <c r="BM157" s="475"/>
      <c r="BN157" s="475"/>
      <c r="BO157" s="204"/>
      <c r="BP157" s="496"/>
      <c r="BQ157" s="497"/>
      <c r="BR157" s="497"/>
      <c r="BS157" s="475"/>
      <c r="BT157" s="475"/>
      <c r="BU157" s="475"/>
      <c r="BV157" s="475"/>
      <c r="BW157" s="475"/>
      <c r="BX157" s="475"/>
      <c r="BY157" s="475"/>
      <c r="BZ157" s="475"/>
      <c r="CA157" s="471"/>
      <c r="CB157" s="471"/>
      <c r="CC157" s="471"/>
      <c r="CD157" s="471"/>
      <c r="CE157" s="471"/>
      <c r="CF157" s="471"/>
      <c r="CG157" s="471"/>
      <c r="CH157" s="471"/>
      <c r="CI157" s="471"/>
      <c r="CJ157" s="471"/>
      <c r="CK157" s="468"/>
      <c r="CL157" s="482"/>
      <c r="CM157" s="482"/>
      <c r="CN157" s="63"/>
      <c r="CO157" s="498"/>
      <c r="CP157" s="472"/>
      <c r="CQ157" s="482"/>
      <c r="CR157" s="204"/>
      <c r="CS157" s="486"/>
      <c r="CT157" s="486"/>
      <c r="CU157" s="23"/>
      <c r="CV157" s="499"/>
      <c r="CW157" s="488"/>
      <c r="CX157" s="204"/>
      <c r="CY157" s="482"/>
      <c r="CZ157" s="482"/>
      <c r="DA157" s="482"/>
      <c r="DB157" s="490"/>
    </row>
    <row r="158" spans="1:106" ht="15" hidden="1" customHeight="1">
      <c r="A158" s="465">
        <f>+A156+1</f>
        <v>95</v>
      </c>
      <c r="B158" s="491">
        <v>1</v>
      </c>
      <c r="C158" s="466" t="s">
        <v>2178</v>
      </c>
      <c r="D158" s="466" t="s">
        <v>2179</v>
      </c>
      <c r="E158" s="468"/>
      <c r="F158" s="468"/>
      <c r="G158" s="468">
        <f>IF(B158=1,0,SUMIF($D$22:$D$583,C158,$H$22:$H$583))</f>
        <v>0</v>
      </c>
      <c r="H158" s="468">
        <f>+E158+F158+G158</f>
        <v>0</v>
      </c>
      <c r="I158" s="468"/>
      <c r="J158" s="468"/>
      <c r="K158" s="467">
        <f>+IF(B158=1,0,SUMIF($D$22:$D$583,C158,$L$22:$L$580))</f>
        <v>0</v>
      </c>
      <c r="L158" s="468">
        <f>+I158+J158+K158</f>
        <v>0</v>
      </c>
      <c r="M158" s="469">
        <f>+$P$12</f>
        <v>242.33666300502347</v>
      </c>
      <c r="N158" s="470">
        <f>M158*E158</f>
        <v>0</v>
      </c>
      <c r="O158" s="470">
        <f>M158*F158</f>
        <v>0</v>
      </c>
      <c r="P158" s="470">
        <f>M158*H158</f>
        <v>0</v>
      </c>
      <c r="Q158" s="469">
        <f t="shared" si="363"/>
        <v>140</v>
      </c>
      <c r="R158" s="471">
        <f>Q158*P158*$P$14/86400</f>
        <v>0</v>
      </c>
      <c r="S158" s="471"/>
      <c r="T158" s="471"/>
      <c r="U158" s="471">
        <f>IF(C158="","",T158*$P$17)</f>
        <v>0</v>
      </c>
      <c r="V158" s="471"/>
      <c r="W158" s="471"/>
      <c r="X158" s="471">
        <f>IF(C158="","",W158*$P$16)</f>
        <v>0</v>
      </c>
      <c r="Y158" s="471">
        <f>IF(H158=0,0,$H$15*H158)</f>
        <v>0</v>
      </c>
      <c r="Z158" s="471">
        <f>IF(L158=0,$H$16*H158,0)</f>
        <v>0</v>
      </c>
      <c r="AA158" s="471">
        <f t="shared" si="362"/>
        <v>3.8</v>
      </c>
      <c r="AB158" s="471">
        <f>R158*AA158</f>
        <v>0</v>
      </c>
      <c r="AC158" s="471">
        <f>Q158*(N158+O158)*$P$14/86400</f>
        <v>0</v>
      </c>
      <c r="AD158" s="471">
        <f t="shared" ref="AD158:AE160" si="367">IF(E158=0,0,$H$15*(E158+F158))</f>
        <v>0</v>
      </c>
      <c r="AE158" s="471">
        <f t="shared" si="367"/>
        <v>0</v>
      </c>
      <c r="AF158" s="510">
        <f t="shared" si="361"/>
        <v>3.8</v>
      </c>
      <c r="AG158" s="471">
        <f>AC158*AF158</f>
        <v>0</v>
      </c>
      <c r="AH158" s="471">
        <f>+AD158+AE158+AG158</f>
        <v>0</v>
      </c>
      <c r="AI158" s="471">
        <f>IF(H158="","",IF(AB158+Y158+Z158+X158+U158&lt;1.5,1.5,AB158+Y158+Z158+X158+U158))</f>
        <v>1.5</v>
      </c>
      <c r="AJ158" s="471">
        <f>+$P$17</f>
        <v>0.75</v>
      </c>
      <c r="AK158" s="472">
        <f>+BK158/100</f>
        <v>3.8346115371789842E-2</v>
      </c>
      <c r="AL158" s="471">
        <f>IF(AJ158=0," ",0.14+0.65*AJ158+0.05*AK158)</f>
        <v>0.62941730576858956</v>
      </c>
      <c r="AM158" s="473">
        <f>((100/36)*$AM$14*(AP158+$AN$14)^$AO$14)</f>
        <v>336.32613267542746</v>
      </c>
      <c r="AN158" s="474">
        <f>IF(B158=1,IF((0.702*(1.1-$AJ158)*SQRT($CO158))/(($CP158)^(1/3))&lt;5,5,(0.702*(1.1-$AJ158)*SQRT($CO158))/(($CP158)^(1/3))),AP157)</f>
        <v>5</v>
      </c>
      <c r="AO158" s="474">
        <f>((1/60)*$AX158/$AQ158)</f>
        <v>0.1666111111111111</v>
      </c>
      <c r="AP158" s="474">
        <f>IF(B158=1,IF(($AN158+$AO158)&lt;10,10,IF(($AN158+$AO158)&gt;20,20,($AN158+$AO158))),($AN158+$AO158))</f>
        <v>10</v>
      </c>
      <c r="AQ158" s="475">
        <v>3</v>
      </c>
      <c r="AR158" s="474" t="e">
        <f>((1/60)*$AX158/$BT158)</f>
        <v>#VALUE!</v>
      </c>
      <c r="AS158" s="474" t="e">
        <f>AO158/AR158</f>
        <v>#VALUE!</v>
      </c>
      <c r="AT158" s="471" t="e">
        <f>IF(AS158&lt;0.9,"Disminuir vel.",IF(AS158&gt;1.1,"Aumentar vel.","Cumple"))</f>
        <v>#VALUE!</v>
      </c>
      <c r="AU158" s="492">
        <f>+I158*AL158*AM158</f>
        <v>0</v>
      </c>
      <c r="AV158" s="471">
        <f>+L158*AL158*AM158</f>
        <v>0</v>
      </c>
      <c r="AW158" s="471">
        <f>ROUND(IF(AI158&gt;(AV158*0.05),(AV158+AI158),AV158),2)</f>
        <v>1.5</v>
      </c>
      <c r="AX158" s="478">
        <f>IF(OR(C158="",D158=""),"",ROUND(((VLOOKUP(C158,'Base de Diseño (2)'!$A$2:$C$333,2,FALSE)-VLOOKUP(D158,'Base de Diseño (2)'!$A$2:$C$333,2,FALSE))^2+(VLOOKUP(C158,'Base de Diseño (2)'!$A$2:$C$333,3,0)-VLOOKUP(D158,'Base de Diseño (2)'!$A$2:$C$333,3,FALSE))^2)^0.5,2))</f>
        <v>29.99</v>
      </c>
      <c r="AY158" s="493">
        <v>24</v>
      </c>
      <c r="AZ158" s="480">
        <f>IF(AND(L158="",H158=""),"",IF(BA158=4,VLOOKUP(AY158,'TABLA (2)'!$A$74:$C$89,2),IF(BA158=5,VLOOKUP(AY158,'TABLA (2)'!$A$51:$B$66,2),IF(BA158=6,VLOOKUP(AY158,'TABLA (2)'!$A$9:$B$43,2)))))</f>
        <v>600</v>
      </c>
      <c r="BA158" s="493">
        <v>6</v>
      </c>
      <c r="BB158" s="478">
        <f>IF(OR(C158="",D158=""),"",VLOOKUP(C158,'Base de Diseño (2)'!$A$2:$D$330,4,FALSE))</f>
        <v>986.88160000000005</v>
      </c>
      <c r="BC158" s="478">
        <f>IF(OR(C158="",D158=""),"",VLOOKUP(D158,'Base de Diseño (2)'!$A$2:$D$330,4,FALSE))</f>
        <v>985.73160000000007</v>
      </c>
      <c r="BD158" s="23">
        <f>+BF158-((AZ158/1000)+CX158)</f>
        <v>1.1780000000000228</v>
      </c>
      <c r="BE158" s="23">
        <f>+BG158-((AZ158/1000)+CX158)</f>
        <v>2.6179999999999639</v>
      </c>
      <c r="BF158" s="494">
        <v>1.8500000000000227</v>
      </c>
      <c r="BG158" s="494">
        <v>3.2899999999999636</v>
      </c>
      <c r="BH158" s="495">
        <f t="shared" ref="BH158:BI160" si="368">BB158-BF158</f>
        <v>985.03160000000003</v>
      </c>
      <c r="BI158" s="495">
        <f t="shared" si="368"/>
        <v>982.44160000000011</v>
      </c>
      <c r="BJ158" s="468">
        <f>IF(A158="",0,BI158-BH159)</f>
        <v>1.999999999998181E-2</v>
      </c>
      <c r="BK158" s="475">
        <f>ABS((BB158-BC158)/AX158)*100</f>
        <v>3.8346115371789842</v>
      </c>
      <c r="BL158" s="475">
        <f>((BH158-BI158)/AX158)*100</f>
        <v>8.6362120706899574</v>
      </c>
      <c r="BM158" s="475">
        <f>IF(BA158=6,(1/0.013)*((AZ158/4000)^(2/3))*((BL158/100)^(0.5)),(1/0.009)*((AZ158/4000)^(2/3))*((BL158/100)^(0.5)))</f>
        <v>6.3818384005470312</v>
      </c>
      <c r="BN158" s="475">
        <f>1000*BM158*PI()*((AZ158/1000/2)^2)</f>
        <v>1804.4222972000211</v>
      </c>
      <c r="BO158" s="204">
        <f>AI158/BN158</f>
        <v>8.3129099120953962E-4</v>
      </c>
      <c r="BP158" s="496" t="str">
        <f>IF(L158=0," ",AW158/BN158)</f>
        <v xml:space="preserve"> </v>
      </c>
      <c r="BQ158" s="497">
        <f>IF($BO158&gt;0 =AND($BO158&lt;=0.06),10^(0.029806+0.29095*LOG($BO158)),IF($BO158&gt;0.06 =AND($BO158&lt;=0.26),10^(0.013778+0.282597*LOG($BO158)),IF($BO158&gt;0.26 =AND($BO158&lt;=0.91),10^(0.021763+0.28995*LOG($BO158)),1)))</f>
        <v>0.13602168701162548</v>
      </c>
      <c r="BR158" s="497" t="str">
        <f>IF($BP158&gt;0 =AND($BP158&lt;=0.06),10^(0.029806+0.29095*LOG($BP158)),IF($BP158&gt;0.06 =AND($BP158&lt;=0.26),10^(0.013778+0.282597*LOG($BP158)),IF($BP158&gt;0.26 =AND($BP158&lt;=2),10^(0.021763+0.28995*LOG($BP158))," ")))</f>
        <v xml:space="preserve"> </v>
      </c>
      <c r="BS158" s="475">
        <f>BM158*BQ158</f>
        <v>0.8680684254779808</v>
      </c>
      <c r="BT158" s="475" t="str">
        <f>IF(BP158=" "," ",(BM158*BR158))</f>
        <v xml:space="preserve"> </v>
      </c>
      <c r="BU158" s="475">
        <f>IF(BO158&lt;=0.11,0.3827+0.0645*LN(BO158),IF(BO158&lt;=0.21,0.60025+0.15471*LN(BO158),IF(BO158&lt;1,0.225+0.6666666667*BO158,0)))</f>
        <v>-7.4768227213751204E-2</v>
      </c>
      <c r="BV158" s="475" t="str">
        <f>IF(BP158&lt;=0.11,0.3827+0.0645*LN(BP158),IF(BP158&lt;=0.21,0.60025+0.15471*LN(BP158),IF(BP158&lt;1,0.225+0.6666666667*BP158," ")))</f>
        <v xml:space="preserve"> </v>
      </c>
      <c r="BW158" s="475" t="e">
        <f>2*ACOS(1-2*(BU158))</f>
        <v>#NUM!</v>
      </c>
      <c r="BX158" s="475" t="str">
        <f>IF(BP158=" "," ",(2*ACOS(1-2*(BV158))))</f>
        <v xml:space="preserve"> </v>
      </c>
      <c r="BY158" s="475" t="e">
        <f>(1/4)*(1-(SIN(BW158))/BW158)</f>
        <v>#NUM!</v>
      </c>
      <c r="BZ158" s="475" t="str">
        <f>IF(BP158=" "," ",((1/4)*(1-(SIN(BX158))/BX158)))</f>
        <v xml:space="preserve"> </v>
      </c>
      <c r="CA158" s="471" t="e">
        <f>BY158*AZ158/1000</f>
        <v>#NUM!</v>
      </c>
      <c r="CB158" s="471" t="str">
        <f>IF(BP158=" "," ",(BZ158*AZ158/1000))</f>
        <v xml:space="preserve"> </v>
      </c>
      <c r="CC158" s="471" t="e">
        <f>+(BT158/SQRT(9.81*(0.125*(BX158-SIN(BX158))*(AZ158/1000)^2)/((AZ158/1000)*SIN(BX158/2))))</f>
        <v>#VALUE!</v>
      </c>
      <c r="CD158" s="471" t="e">
        <f>IF(CC158="","",IF(CC158&lt;0.7,"F. Subcrítico",IF(AND(CC158&gt;0.7,CC158&lt;1),"F. Subcrítico Inestable",IF(CC158=1,"F. Crítico",IF(AND(CC158&gt;1,CC158&lt;1.5),"F. Supercrítico Inestable",IF(CC158&gt;1.5,"F. Supercrítico",""))))))</f>
        <v>#VALUE!</v>
      </c>
      <c r="CE158" s="471" t="e">
        <f>1000*BL158*CA158/100</f>
        <v>#NUM!</v>
      </c>
      <c r="CF158" s="471" t="str">
        <f>IF(BP158=" "," ",(1000*BL158*CB158/100))</f>
        <v xml:space="preserve"> </v>
      </c>
      <c r="CG158" s="471" t="str">
        <f>IF(BS158&lt;0.45,"No cumple",IF(BS158&gt;5,"No cumple","O.K"))</f>
        <v>O.K</v>
      </c>
      <c r="CH158" s="471" t="str">
        <f>IF(BT158&lt;0.75,"No cumple",IF(BT158&gt;10,"No cumple","O.K"))</f>
        <v>No cumple</v>
      </c>
      <c r="CI158" s="471" t="e">
        <f>IF(CE158&gt;0.1,"OK","V.C.H.")</f>
        <v>#NUM!</v>
      </c>
      <c r="CJ158" s="471" t="str">
        <f>IF(CF158&gt;0.2,"OK","V.C.H.")</f>
        <v>OK</v>
      </c>
      <c r="CK158" s="468">
        <f>+BJ158</f>
        <v>1.999999999998181E-2</v>
      </c>
      <c r="CL158" s="482" t="s">
        <v>2507</v>
      </c>
      <c r="CM158" s="482"/>
      <c r="CN158" s="63" t="str">
        <f>IF(B158=1,"dato"," ")</f>
        <v>dato</v>
      </c>
      <c r="CO158" s="498">
        <f>+CR158</f>
        <v>29.99</v>
      </c>
      <c r="CP158" s="472">
        <f>+BK158/100</f>
        <v>3.8346115371789842E-2</v>
      </c>
      <c r="CQ158" s="482" t="s">
        <v>2508</v>
      </c>
      <c r="CR158" s="204">
        <f>IF(BA158="","",AX158)</f>
        <v>29.99</v>
      </c>
      <c r="CS158" s="486">
        <v>1.2</v>
      </c>
      <c r="CT158" s="486">
        <v>1.2</v>
      </c>
      <c r="CU158" s="23">
        <f>IF($BA158="","",SQRT((BH158-BI158)^2+$CR158^2))</f>
        <v>30.101631185037125</v>
      </c>
      <c r="CV158" s="499" t="s">
        <v>2509</v>
      </c>
      <c r="CW158" s="488" t="str">
        <f>+IF(BD158&lt;=0.9,"E1",IF(BD158&lt;=2.5,"E2","E3"))</f>
        <v>E2</v>
      </c>
      <c r="CX158" s="204">
        <f>IF(AND(L158="",H158=""),"",IF(AND(BA158&lt;&gt;4,BA158&lt;&gt;5),VLOOKUP(AY158,'TABLA (2)'!$A$9:$D$43,4),IF(BA158=4,VLOOKUP(AY158,'TABLA (2)'!$A$74:$D$89,4),VLOOKUP(AY158,'TABLA (2)'!$A$51:$D$66,4))))</f>
        <v>7.1999999999999995E-2</v>
      </c>
      <c r="CY158" s="482"/>
      <c r="CZ158" s="482"/>
      <c r="DA158" s="482"/>
      <c r="DB158" s="490"/>
    </row>
    <row r="159" spans="1:106" ht="15" hidden="1" customHeight="1">
      <c r="A159" s="465">
        <f>+A158+1</f>
        <v>96</v>
      </c>
      <c r="B159" s="491"/>
      <c r="C159" s="466" t="s">
        <v>2179</v>
      </c>
      <c r="D159" s="466" t="s">
        <v>2180</v>
      </c>
      <c r="E159" s="468"/>
      <c r="F159" s="468"/>
      <c r="G159" s="468">
        <f>IF(B159=1,0,SUMIF($D$22:$D$583,C159,$H$22:$H$583))</f>
        <v>0</v>
      </c>
      <c r="H159" s="468">
        <f>+E159+F159+G159</f>
        <v>0</v>
      </c>
      <c r="I159" s="468"/>
      <c r="J159" s="468"/>
      <c r="K159" s="467">
        <f ca="1">+IF(B159=1,0,SUMIF($D$22:$D$583,C159,$L$22:$L$580))</f>
        <v>0</v>
      </c>
      <c r="L159" s="468">
        <f ca="1">+I159+J159+K159</f>
        <v>0</v>
      </c>
      <c r="M159" s="469">
        <f>+$P$12</f>
        <v>242.33666300502347</v>
      </c>
      <c r="N159" s="470">
        <f>M159*E159</f>
        <v>0</v>
      </c>
      <c r="O159" s="470">
        <f>M159*F159</f>
        <v>0</v>
      </c>
      <c r="P159" s="470">
        <f>M159*H159</f>
        <v>0</v>
      </c>
      <c r="Q159" s="469">
        <f t="shared" si="363"/>
        <v>140</v>
      </c>
      <c r="R159" s="471">
        <f>Q159*P159*$P$14/86400</f>
        <v>0</v>
      </c>
      <c r="S159" s="471"/>
      <c r="T159" s="471"/>
      <c r="U159" s="471">
        <f>IF(C159="","",T159*$P$17)</f>
        <v>0</v>
      </c>
      <c r="V159" s="471"/>
      <c r="W159" s="471"/>
      <c r="X159" s="471">
        <f>IF(C159="","",W159*$P$16)</f>
        <v>0</v>
      </c>
      <c r="Y159" s="471">
        <f>IF(H159=0,0,$H$15*H159)</f>
        <v>0</v>
      </c>
      <c r="Z159" s="471">
        <f ca="1">IF(L159=0,$H$16*H159,0)</f>
        <v>0</v>
      </c>
      <c r="AA159" s="471">
        <f t="shared" si="362"/>
        <v>3.8</v>
      </c>
      <c r="AB159" s="471">
        <f>R159*AA159</f>
        <v>0</v>
      </c>
      <c r="AC159" s="471">
        <f>Q159*(N159+O159)*$P$14/86400</f>
        <v>0</v>
      </c>
      <c r="AD159" s="471">
        <f t="shared" si="367"/>
        <v>0</v>
      </c>
      <c r="AE159" s="471">
        <f t="shared" si="367"/>
        <v>0</v>
      </c>
      <c r="AF159" s="510">
        <f t="shared" si="361"/>
        <v>3.8</v>
      </c>
      <c r="AG159" s="471">
        <f>AC159*AF159</f>
        <v>0</v>
      </c>
      <c r="AH159" s="471">
        <f>+AD159+AE159+AG159</f>
        <v>0</v>
      </c>
      <c r="AI159" s="471">
        <f ca="1">IF(H159="","",IF(AB159+Y159+Z159+X159+U159&lt;1.5,1.5,AB159+Y159+Z159+X159+U159))</f>
        <v>1.5</v>
      </c>
      <c r="AJ159" s="471">
        <f>+$P$17</f>
        <v>0.75</v>
      </c>
      <c r="AK159" s="472">
        <f>+BK159/100</f>
        <v>1.0807472595345071E-3</v>
      </c>
      <c r="AL159" s="471">
        <f>IF(AJ159=0," ",0.14+0.65*AJ159+0.05*AK159)</f>
        <v>0.62755403736297677</v>
      </c>
      <c r="AM159" s="473">
        <f>((100/36)*$AM$14*(AP159+$AN$14)^$AO$14)</f>
        <v>332.79034080922008</v>
      </c>
      <c r="AN159" s="474">
        <f>IF(B159=1,IF((0.702*(1.1-$AJ159)*SQRT($CO159))/(($CP159)^(1/3))&lt;5,5,(0.702*(1.1-$AJ159)*SQRT($CO159))/(($CP159)^(1/3))),AP158)</f>
        <v>10</v>
      </c>
      <c r="AO159" s="474">
        <f>((1/60)*$AX159/$AQ159)</f>
        <v>0.35983333333333328</v>
      </c>
      <c r="AP159" s="474">
        <f>IF(B159=1,IF(($AN159+$AO159)&lt;10,10,IF(($AN159+$AO159)&gt;20,20,($AN159+$AO159))),($AN159+$AO159))</f>
        <v>10.359833333333333</v>
      </c>
      <c r="AQ159" s="475">
        <v>3</v>
      </c>
      <c r="AR159" s="474" t="e">
        <f ca="1">((1/60)*$AX159/$BT159)</f>
        <v>#VALUE!</v>
      </c>
      <c r="AS159" s="474" t="e">
        <f ca="1">AO159/AR159</f>
        <v>#VALUE!</v>
      </c>
      <c r="AT159" s="471" t="e">
        <f ca="1">IF(AS159&lt;0.9,"Disminuir vel.",IF(AS159&gt;1.1,"Aumentar vel.","Cumple"))</f>
        <v>#VALUE!</v>
      </c>
      <c r="AU159" s="492">
        <f>+I159*AL159*AM159</f>
        <v>0</v>
      </c>
      <c r="AV159" s="471">
        <f ca="1">+L159*AL159*AM159</f>
        <v>0</v>
      </c>
      <c r="AW159" s="471">
        <f ca="1">ROUND(IF(AI159&gt;(AV159*0.05),(AV159+AI159),AV159),2)</f>
        <v>1.5</v>
      </c>
      <c r="AX159" s="478">
        <f>IF(OR(C159="",D159=""),"",ROUND(((VLOOKUP(C159,'Base de Diseño (2)'!$A$2:$C$333,2,FALSE)-VLOOKUP(D159,'Base de Diseño (2)'!$A$2:$C$333,2,FALSE))^2+(VLOOKUP(C159,'Base de Diseño (2)'!$A$2:$C$333,3,0)-VLOOKUP(D159,'Base de Diseño (2)'!$A$2:$C$333,3,FALSE))^2)^0.5,2))</f>
        <v>64.77</v>
      </c>
      <c r="AY159" s="493">
        <v>8</v>
      </c>
      <c r="AZ159" s="480">
        <f ca="1">IF(AND(L159="",H159=""),"",IF(BA159=4,VLOOKUP(AY159,'TABLA (2)'!$A$74:$C$89,2),IF(BA159=5,VLOOKUP(AY159,'TABLA (2)'!$A$51:$B$66,2),IF(BA159=6,VLOOKUP(AY159,'TABLA (2)'!$A$9:$B$43,2)))))</f>
        <v>200</v>
      </c>
      <c r="BA159" s="493">
        <v>6</v>
      </c>
      <c r="BB159" s="478">
        <f>IF(OR(C159="",D159=""),"",VLOOKUP(C159,'Base de Diseño (2)'!$A$2:$D$330,4,FALSE))</f>
        <v>985.73160000000007</v>
      </c>
      <c r="BC159" s="478">
        <f>IF(OR(C159="",D159=""),"",VLOOKUP(D159,'Base de Diseño (2)'!$A$2:$D$330,4,FALSE))</f>
        <v>985.66160000000002</v>
      </c>
      <c r="BD159" s="23">
        <f ca="1">+BF159-((AZ159/1000)+CX159)</f>
        <v>3.0729999999999453</v>
      </c>
      <c r="BE159" s="23">
        <f ca="1">+BG159-((AZ159/1000)+CX159)</f>
        <v>2.5629999999999544</v>
      </c>
      <c r="BF159" s="494">
        <v>3.3099999999999454</v>
      </c>
      <c r="BG159" s="494">
        <v>2.7999999999999545</v>
      </c>
      <c r="BH159" s="495">
        <f t="shared" si="368"/>
        <v>982.42160000000013</v>
      </c>
      <c r="BI159" s="495">
        <f t="shared" si="368"/>
        <v>982.86160000000007</v>
      </c>
      <c r="BJ159" s="468">
        <f>IF(A159="",0,BI159-BH160)</f>
        <v>3.0000000000086402E-2</v>
      </c>
      <c r="BK159" s="475">
        <f>ABS((BB159-BC159)/AX159)*100</f>
        <v>0.10807472595345072</v>
      </c>
      <c r="BL159" s="475">
        <f>((BH159-BI159)/AX159)*100</f>
        <v>-0.67932684884968486</v>
      </c>
      <c r="BM159" s="475" t="e">
        <f ca="1">IF(BA159=6,(1/0.013)*((AZ159/4000)^(2/3))*((BL159/100)^(0.5)),(1/0.009)*((AZ159/4000)^(2/3))*((BL159/100)^(0.5)))</f>
        <v>#NUM!</v>
      </c>
      <c r="BN159" s="475" t="e">
        <f ca="1">1000*BM159*PI()*((AZ159/1000/2)^2)</f>
        <v>#NUM!</v>
      </c>
      <c r="BO159" s="204" t="e">
        <f ca="1">AI159/BN159</f>
        <v>#NUM!</v>
      </c>
      <c r="BP159" s="496" t="str">
        <f ca="1">IF(L159=0," ",AW159/BN159)</f>
        <v xml:space="preserve"> </v>
      </c>
      <c r="BQ159" s="497" t="e">
        <f ca="1">IF($BO159&gt;0 =AND($BO159&lt;=0.06),10^(0.029806+0.29095*LOG($BO159)),IF($BO159&gt;0.06 =AND($BO159&lt;=0.26),10^(0.013778+0.282597*LOG($BO159)),IF($BO159&gt;0.26 =AND($BO159&lt;=0.91),10^(0.021763+0.28995*LOG($BO159)),1)))</f>
        <v>#NUM!</v>
      </c>
      <c r="BR159" s="497" t="str">
        <f ca="1">IF($BP159&gt;0 =AND($BP159&lt;=0.06),10^(0.029806+0.29095*LOG($BP159)),IF($BP159&gt;0.06 =AND($BP159&lt;=0.26),10^(0.013778+0.282597*LOG($BP159)),IF($BP159&gt;0.26 =AND($BP159&lt;=2),10^(0.021763+0.28995*LOG($BP159))," ")))</f>
        <v xml:space="preserve"> </v>
      </c>
      <c r="BS159" s="475" t="e">
        <f ca="1">BM159*BQ159</f>
        <v>#NUM!</v>
      </c>
      <c r="BT159" s="475" t="str">
        <f ca="1">IF(BP159=" "," ",(BM159*BR159))</f>
        <v xml:space="preserve"> </v>
      </c>
      <c r="BU159" s="475" t="e">
        <f ca="1">IF(BO159&lt;=0.11,0.3827+0.0645*LN(BO159),IF(BO159&lt;=0.21,0.60025+0.15471*LN(BO159),IF(BO159&lt;1,0.225+0.6666666667*BO159,0)))</f>
        <v>#NUM!</v>
      </c>
      <c r="BV159" s="475" t="str">
        <f ca="1">IF(BP159&lt;=0.11,0.3827+0.0645*LN(BP159),IF(BP159&lt;=0.21,0.60025+0.15471*LN(BP159),IF(BP159&lt;1,0.225+0.6666666667*BP159," ")))</f>
        <v xml:space="preserve"> </v>
      </c>
      <c r="BW159" s="475" t="e">
        <f ca="1">2*ACOS(1-2*(BU159))</f>
        <v>#NUM!</v>
      </c>
      <c r="BX159" s="475" t="str">
        <f ca="1">IF(BP159=" "," ",(2*ACOS(1-2*(BV159))))</f>
        <v xml:space="preserve"> </v>
      </c>
      <c r="BY159" s="475" t="e">
        <f ca="1">(1/4)*(1-(SIN(BW159))/BW159)</f>
        <v>#NUM!</v>
      </c>
      <c r="BZ159" s="475" t="str">
        <f ca="1">IF(BP159=" "," ",((1/4)*(1-(SIN(BX159))/BX159)))</f>
        <v xml:space="preserve"> </v>
      </c>
      <c r="CA159" s="471" t="e">
        <f ca="1">BY159*AZ159/1000</f>
        <v>#NUM!</v>
      </c>
      <c r="CB159" s="471" t="str">
        <f ca="1">IF(BP159=" "," ",(BZ159*AZ159/1000))</f>
        <v xml:space="preserve"> </v>
      </c>
      <c r="CC159" s="471" t="e">
        <f ca="1">+(BT159/SQRT(9.81*(0.125*(BX159-SIN(BX159))*(AZ159/1000)^2)/((AZ159/1000)*SIN(BX159/2))))</f>
        <v>#VALUE!</v>
      </c>
      <c r="CD159" s="471" t="e">
        <f ca="1">IF(CC159="","",IF(CC159&lt;0.7,"F. Subcrítico",IF(AND(CC159&gt;0.7,CC159&lt;1),"F. Subcrítico Inestable",IF(CC159=1,"F. Crítico",IF(AND(CC159&gt;1,CC159&lt;1.5),"F. Supercrítico Inestable",IF(CC159&gt;1.5,"F. Supercrítico",""))))))</f>
        <v>#VALUE!</v>
      </c>
      <c r="CE159" s="471" t="e">
        <f ca="1">1000*BL159*CA159/100</f>
        <v>#NUM!</v>
      </c>
      <c r="CF159" s="471" t="str">
        <f ca="1">IF(BP159=" "," ",(1000*BL159*CB159/100))</f>
        <v xml:space="preserve"> </v>
      </c>
      <c r="CG159" s="471" t="e">
        <f ca="1">IF(BS159&lt;0.45,"No cumple",IF(BS159&gt;5,"No cumple","O.K"))</f>
        <v>#NUM!</v>
      </c>
      <c r="CH159" s="471" t="str">
        <f ca="1">IF(BT159&lt;0.75,"No cumple",IF(BT159&gt;10,"No cumple","O.K"))</f>
        <v>No cumple</v>
      </c>
      <c r="CI159" s="471" t="e">
        <f ca="1">IF(CE159&gt;0.1,"OK","V.C.H.")</f>
        <v>#NUM!</v>
      </c>
      <c r="CJ159" s="471" t="str">
        <f ca="1">IF(CF159&gt;0.2,"OK","V.C.H.")</f>
        <v>OK</v>
      </c>
      <c r="CK159" s="468">
        <f>+BJ159</f>
        <v>3.0000000000086402E-2</v>
      </c>
      <c r="CL159" s="482" t="s">
        <v>2507</v>
      </c>
      <c r="CM159" s="482"/>
      <c r="CN159" s="63" t="str">
        <f>IF(B159=1,"dato"," ")</f>
        <v xml:space="preserve"> </v>
      </c>
      <c r="CO159" s="498">
        <f>+CR159</f>
        <v>64.77</v>
      </c>
      <c r="CP159" s="472">
        <f>+BK159/100</f>
        <v>1.0807472595345071E-3</v>
      </c>
      <c r="CQ159" s="482" t="s">
        <v>2508</v>
      </c>
      <c r="CR159" s="204">
        <f>IF(BA159="","",AX159)</f>
        <v>64.77</v>
      </c>
      <c r="CS159" s="486">
        <v>1.2</v>
      </c>
      <c r="CT159" s="486">
        <v>1.2</v>
      </c>
      <c r="CU159" s="23">
        <f>IF($BA159="","",SQRT((BH159-BI159)^2+$CR159^2))</f>
        <v>64.771494501825401</v>
      </c>
      <c r="CV159" s="499" t="s">
        <v>2509</v>
      </c>
      <c r="CW159" s="488" t="str">
        <f ca="1">+IF(BD159&lt;=0.9,"E1",IF(BD159&lt;=2.5,"E2","E3"))</f>
        <v>E3</v>
      </c>
      <c r="CX159" s="204">
        <f ca="1">IF(AND(L159="",H159=""),"",IF(AND(BA159&lt;&gt;4,BA159&lt;&gt;5),VLOOKUP(AY159,'TABLA (2)'!$A$9:$D$43,4),IF(BA159=4,VLOOKUP(AY159,'TABLA (2)'!$A$74:$D$89,4),VLOOKUP(AY159,'TABLA (2)'!$A$51:$D$66,4))))</f>
        <v>3.6999999999999998E-2</v>
      </c>
      <c r="CY159" s="482"/>
      <c r="CZ159" s="482"/>
      <c r="DA159" s="482"/>
      <c r="DB159" s="490"/>
    </row>
    <row r="160" spans="1:106" ht="15" hidden="1" customHeight="1">
      <c r="A160" s="465">
        <f>+A159+1</f>
        <v>97</v>
      </c>
      <c r="B160" s="491"/>
      <c r="C160" s="466" t="s">
        <v>2180</v>
      </c>
      <c r="D160" s="466" t="s">
        <v>93</v>
      </c>
      <c r="E160" s="468">
        <v>5.9499999999999997E-2</v>
      </c>
      <c r="F160" s="468"/>
      <c r="G160" s="468">
        <f>IF(B160=1,0,SUMIF($D$22:$D$583,C160,$H$22:$H$583))</f>
        <v>0</v>
      </c>
      <c r="H160" s="468">
        <f>+E160+F160+G160</f>
        <v>5.9499999999999997E-2</v>
      </c>
      <c r="I160" s="468">
        <f>+E160</f>
        <v>5.9499999999999997E-2</v>
      </c>
      <c r="J160" s="468"/>
      <c r="K160" s="467">
        <f ca="1">+IF(B160=1,0,SUMIF($D$22:$D$583,C160,$L$22:$L$580))</f>
        <v>0</v>
      </c>
      <c r="L160" s="468">
        <f ca="1">+I160+J160+K160</f>
        <v>5.9499999999999997E-2</v>
      </c>
      <c r="M160" s="469">
        <f>+$P$12</f>
        <v>242.33666300502347</v>
      </c>
      <c r="N160" s="470">
        <f>M160*E160</f>
        <v>14.419031448798895</v>
      </c>
      <c r="O160" s="470">
        <f>M160*F160</f>
        <v>0</v>
      </c>
      <c r="P160" s="470">
        <f>M160*H160</f>
        <v>14.419031448798895</v>
      </c>
      <c r="Q160" s="469">
        <f t="shared" si="363"/>
        <v>140</v>
      </c>
      <c r="R160" s="471">
        <f>Q160*P160*$P$14/86400</f>
        <v>1.9859545629711439E-2</v>
      </c>
      <c r="S160" s="471"/>
      <c r="T160" s="471"/>
      <c r="U160" s="471">
        <f>IF(C160="","",T160*$P$17)</f>
        <v>0</v>
      </c>
      <c r="V160" s="471"/>
      <c r="W160" s="471"/>
      <c r="X160" s="471">
        <f>IF(C160="","",W160*$P$16)</f>
        <v>0</v>
      </c>
      <c r="Y160" s="471">
        <f>IF(H160=0,0,$H$15*H160)</f>
        <v>1.1900000000000001E-2</v>
      </c>
      <c r="Z160" s="471">
        <f ca="1">IF(L160=0,$H$16*H160,0)</f>
        <v>0</v>
      </c>
      <c r="AA160" s="471">
        <f t="shared" si="362"/>
        <v>3.8</v>
      </c>
      <c r="AB160" s="471">
        <f>R160*AA160</f>
        <v>7.546627339290346E-2</v>
      </c>
      <c r="AC160" s="471">
        <f>Q160*(N160+O160)*$P$14/86400</f>
        <v>1.9859545629711439E-2</v>
      </c>
      <c r="AD160" s="471">
        <f t="shared" si="367"/>
        <v>1.1900000000000001E-2</v>
      </c>
      <c r="AE160" s="471">
        <f t="shared" si="367"/>
        <v>0</v>
      </c>
      <c r="AF160" s="510">
        <f t="shared" si="361"/>
        <v>3.8</v>
      </c>
      <c r="AG160" s="471">
        <f>AC160*AF160</f>
        <v>7.546627339290346E-2</v>
      </c>
      <c r="AH160" s="471">
        <f>+AD160+AE160+AG160</f>
        <v>8.7366273392903454E-2</v>
      </c>
      <c r="AI160" s="471">
        <f ca="1">IF(H160="","",IF(AB160+Y160+Z160+X160+U160&lt;1.5,1.5,AB160+Y160+Z160+X160+U160))</f>
        <v>1.5</v>
      </c>
      <c r="AJ160" s="471">
        <f>+$P$17</f>
        <v>0.75</v>
      </c>
      <c r="AK160" s="472">
        <f>+BK160/100</f>
        <v>6.6750160565191119E-2</v>
      </c>
      <c r="AL160" s="471">
        <f>IF(AJ160=0," ",0.14+0.65*AJ160+0.05*AK160)</f>
        <v>0.63083750802825966</v>
      </c>
      <c r="AM160" s="473">
        <f>((100/36)*$AM$14*(AP160+$AN$14)^$AO$14)</f>
        <v>331.11564519616576</v>
      </c>
      <c r="AN160" s="474">
        <f>IF(B160=1,IF((0.702*(1.1-$AJ160)*SQRT($CO160))/(($CP160)^(1/3))&lt;5,5,(0.702*(1.1-$AJ160)*SQRT($CO160))/(($CP160)^(1/3))),AP159)</f>
        <v>10.359833333333333</v>
      </c>
      <c r="AO160" s="474">
        <f>((1/60)*$AX160/$AQ160)</f>
        <v>0.17300000000000001</v>
      </c>
      <c r="AP160" s="474">
        <f>IF(B160=1,IF(($AN160+$AO160)&lt;10,10,IF(($AN160+$AO160)&gt;20,20,($AN160+$AO160))),($AN160+$AO160))</f>
        <v>10.532833333333333</v>
      </c>
      <c r="AQ160" s="475">
        <v>3</v>
      </c>
      <c r="AR160" s="474">
        <f ca="1">((1/60)*$AX160/$BT160)</f>
        <v>0.44352509543757757</v>
      </c>
      <c r="AS160" s="474">
        <f ca="1">AO160/AR160</f>
        <v>0.39005684634218923</v>
      </c>
      <c r="AT160" s="471" t="str">
        <f ca="1">IF(AS160&lt;0.9,"Disminuir vel.",IF(AS160&gt;1.1,"Aumentar vel.","Cumple"))</f>
        <v>Disminuir vel.</v>
      </c>
      <c r="AU160" s="492">
        <f>+I160*AL160*AM160</f>
        <v>12.428370024840756</v>
      </c>
      <c r="AV160" s="471">
        <f ca="1">+L160*AL160*AM160</f>
        <v>12.428370024840756</v>
      </c>
      <c r="AW160" s="471">
        <f ca="1">ROUND(IF(AI160&gt;(AV160*0.05),(AV160+AI160),AV160),2)</f>
        <v>13.93</v>
      </c>
      <c r="AX160" s="478">
        <f>IF(OR(C160="",D160=""),"",ROUND(((VLOOKUP(C160,'Base de Diseño (2)'!$A$2:$C$333,2,FALSE)-VLOOKUP(D160,'Base de Diseño (2)'!$A$2:$C$333,2,FALSE))^2+(VLOOKUP(C160,'Base de Diseño (2)'!$A$2:$C$333,3,0)-VLOOKUP(D160,'Base de Diseño (2)'!$A$2:$C$333,3,FALSE))^2)^0.5,2))</f>
        <v>31.14</v>
      </c>
      <c r="AY160" s="493">
        <v>12</v>
      </c>
      <c r="AZ160" s="480">
        <f ca="1">IF(AND(L160="",H160=""),"",IF(BA160=4,VLOOKUP(AY160,'TABLA (2)'!$A$74:$C$89,2),IF(BA160=5,VLOOKUP(AY160,'TABLA (2)'!$A$51:$B$66,2),IF(BA160=6,VLOOKUP(AY160,'TABLA (2)'!$A$9:$B$43,2)))))</f>
        <v>300</v>
      </c>
      <c r="BA160" s="493">
        <v>6</v>
      </c>
      <c r="BB160" s="478">
        <f>IF(OR(C160="",D160=""),"",VLOOKUP(C160,'Base de Diseño (2)'!$A$2:$D$330,4,FALSE))</f>
        <v>985.66160000000002</v>
      </c>
      <c r="BC160" s="478">
        <f>IF(OR(C160="",D160=""),"",VLOOKUP(D160,'Base de Diseño (2)'!$A$2:$D$330,4,FALSE))</f>
        <v>983.58299999999997</v>
      </c>
      <c r="BD160" s="23">
        <f ca="1">+BF160-((AZ160/1000)+CX160)</f>
        <v>2.483000000000041</v>
      </c>
      <c r="BE160" s="23">
        <f ca="1">+BG160-((AZ160/1000)+CX160)</f>
        <v>1.2530000000000228</v>
      </c>
      <c r="BF160" s="494">
        <v>2.8300000000000409</v>
      </c>
      <c r="BG160" s="494">
        <v>1.6000000000000227</v>
      </c>
      <c r="BH160" s="495">
        <f t="shared" si="368"/>
        <v>982.83159999999998</v>
      </c>
      <c r="BI160" s="495">
        <f t="shared" si="368"/>
        <v>981.98299999999995</v>
      </c>
      <c r="BJ160" s="468" t="e">
        <f>IF(A160="",0,BI160-#REF!)</f>
        <v>#REF!</v>
      </c>
      <c r="BK160" s="475">
        <f>ABS((BB160-BC160)/AX160)*100</f>
        <v>6.6750160565191123</v>
      </c>
      <c r="BL160" s="475">
        <f>((BH160-BI160)/AX160)*100</f>
        <v>2.725112395632733</v>
      </c>
      <c r="BM160" s="475">
        <f ca="1">IF(BA160=6,(1/0.013)*((AZ160/4000)^(2/3))*((BL160/100)^(0.5)),(1/0.009)*((AZ160/4000)^(2/3))*((BL160/100)^(0.5)))</f>
        <v>2.2583419379366649</v>
      </c>
      <c r="BN160" s="475">
        <f ca="1">1000*BM160*PI()*((AZ160/1000/2)^2)</f>
        <v>159.63278493410019</v>
      </c>
      <c r="BO160" s="204">
        <f ca="1">AI160/BN160</f>
        <v>9.3965660037769305E-3</v>
      </c>
      <c r="BP160" s="496">
        <f ca="1">IF(L160=0," ",AW160/BN160)</f>
        <v>8.7262776288408422E-2</v>
      </c>
      <c r="BQ160" s="497">
        <f ca="1">IF($BO160&gt;0 =AND($BO160&lt;=0.06),10^(0.029806+0.29095*LOG($BO160)),IF($BO160&gt;0.06 =AND($BO160&lt;=0.26),10^(0.013778+0.282597*LOG($BO160)),IF($BO160&gt;0.26 =AND($BO160&lt;=0.91),10^(0.021763+0.28995*LOG($BO160)),1)))</f>
        <v>0.27544911390940507</v>
      </c>
      <c r="BR160" s="497">
        <f ca="1">IF($BP160&gt;0 =AND($BP160&lt;=0.06),10^(0.029806+0.29095*LOG($BP160)),IF($BP160&gt;0.06 =AND($BP160&lt;=0.26),10^(0.013778+0.282597*LOG($BP160)),IF($BP160&gt;0.26 =AND($BP160&lt;=2),10^(0.021763+0.28995*LOG($BP160))," ")))</f>
        <v>0.51815472199736701</v>
      </c>
      <c r="BS160" s="475">
        <f ca="1">BM160*BQ160</f>
        <v>0.62205828570910304</v>
      </c>
      <c r="BT160" s="475">
        <f ca="1">IF(BP160=" "," ",(BM160*BR160))</f>
        <v>1.1701705390265678</v>
      </c>
      <c r="BU160" s="475">
        <f ca="1">IF(BO160&lt;=0.11,0.3827+0.0645*LN(BO160),IF(BO160&lt;=0.21,0.60025+0.15471*LN(BO160),IF(BO160&lt;1,0.225+0.6666666667*BO160,0)))</f>
        <v>8.1651992099699089E-2</v>
      </c>
      <c r="BV160" s="475">
        <f ca="1">IF(BP160&lt;=0.11,0.3827+0.0645*LN(BP160),IF(BP160&lt;=0.21,0.60025+0.15471*LN(BP160),IF(BP160&lt;1,0.225+0.6666666667*BP160," ")))</f>
        <v>0.22539538143928806</v>
      </c>
      <c r="BW160" s="475">
        <f ca="1">2*ACOS(1-2*(BU160))</f>
        <v>1.1591480599109805</v>
      </c>
      <c r="BX160" s="475">
        <f ca="1">IF(BP160=" "," ",(2*ACOS(1-2*(BV160))))</f>
        <v>1.9787572575213099</v>
      </c>
      <c r="BY160" s="475">
        <f ca="1">(1/4)*(1-(SIN(BW160))/BW160)</f>
        <v>5.2341349986738117E-2</v>
      </c>
      <c r="BZ160" s="475">
        <f ca="1">IF(BP160=" "," ",((1/4)*(1-(SIN(BX160))/BX160)))</f>
        <v>0.13402674150736305</v>
      </c>
      <c r="CA160" s="471">
        <f ca="1">BY160*AZ160/1000</f>
        <v>1.5702404996021435E-2</v>
      </c>
      <c r="CB160" s="471">
        <f ca="1">IF(BP160=" "," ",(BZ160*AZ160/1000))</f>
        <v>4.0208022452208912E-2</v>
      </c>
      <c r="CC160" s="471">
        <f ca="1">+(BT160/SQRT(9.81*(0.125*(BX160-SIN(BX160))*(AZ160/1000)^2)/((AZ160/1000)*SIN(BX160/2))))</f>
        <v>1.7123727509113555</v>
      </c>
      <c r="CD160" s="471" t="str">
        <f ca="1">IF(CC160="","",IF(CC160&lt;0.7,"F. Subcrítico",IF(AND(CC160&gt;0.7,CC160&lt;1),"F. Subcrítico Inestable",IF(CC160=1,"F. Crítico",IF(AND(CC160&gt;1,CC160&lt;1.5),"F. Supercrítico Inestable",IF(CC160&gt;1.5,"F. Supercrítico",""))))))</f>
        <v>F. Supercrítico</v>
      </c>
      <c r="CE160" s="471">
        <f ca="1">1000*BL160*CA160/100</f>
        <v>0.42790818495903366</v>
      </c>
      <c r="CF160" s="471">
        <f ca="1">IF(BP160=" "," ",(1000*BL160*CB160/100))</f>
        <v>1.0957138038839374</v>
      </c>
      <c r="CG160" s="471" t="str">
        <f ca="1">IF(BS160&lt;0.45,"No cumple",IF(BS160&gt;5,"No cumple","O.K"))</f>
        <v>O.K</v>
      </c>
      <c r="CH160" s="471" t="str">
        <f ca="1">IF(BT160&lt;0.75,"No cumple",IF(BT160&gt;10,"No cumple","O.K"))</f>
        <v>O.K</v>
      </c>
      <c r="CI160" s="471" t="str">
        <f ca="1">IF(CE160&gt;0.1,"OK","V.C.H.")</f>
        <v>OK</v>
      </c>
      <c r="CJ160" s="471" t="str">
        <f ca="1">IF(CF160&gt;0.2,"OK","V.C.H.")</f>
        <v>OK</v>
      </c>
      <c r="CK160" s="468" t="e">
        <f>+BJ160</f>
        <v>#REF!</v>
      </c>
      <c r="CL160" s="482" t="s">
        <v>2507</v>
      </c>
      <c r="CM160" s="482"/>
      <c r="CN160" s="63" t="str">
        <f>IF(B160=1,"dato"," ")</f>
        <v xml:space="preserve"> </v>
      </c>
      <c r="CO160" s="498">
        <f>+CR160</f>
        <v>31.14</v>
      </c>
      <c r="CP160" s="472">
        <f>+BK160/100</f>
        <v>6.6750160565191119E-2</v>
      </c>
      <c r="CQ160" s="482" t="s">
        <v>2508</v>
      </c>
      <c r="CR160" s="204">
        <f>IF(BA160="","",AX160)</f>
        <v>31.14</v>
      </c>
      <c r="CS160" s="486">
        <v>1.2</v>
      </c>
      <c r="CT160" s="486">
        <v>1.2</v>
      </c>
      <c r="CU160" s="23">
        <f>IF($BA160="","",SQRT((BH160-BI160)^2+$CR160^2))</f>
        <v>31.151560506016388</v>
      </c>
      <c r="CV160" s="499" t="s">
        <v>2509</v>
      </c>
      <c r="CW160" s="488" t="str">
        <f ca="1">+IF(BD160&lt;=0.9,"E1",IF(BD160&lt;=2.5,"E2","E3"))</f>
        <v>E2</v>
      </c>
      <c r="CX160" s="204">
        <f ca="1">IF(AND(L160="",H160=""),"",IF(AND(BA160&lt;&gt;4,BA160&lt;&gt;5),VLOOKUP(AY160,'TABLA (2)'!$A$9:$D$43,4),IF(BA160=4,VLOOKUP(AY160,'TABLA (2)'!$A$74:$D$89,4),VLOOKUP(AY160,'TABLA (2)'!$A$51:$D$66,4))))</f>
        <v>4.7E-2</v>
      </c>
      <c r="CY160" s="482"/>
      <c r="CZ160" s="482"/>
      <c r="DA160" s="482"/>
      <c r="DB160" s="490"/>
    </row>
    <row r="161" spans="1:106" ht="15" hidden="1" customHeight="1">
      <c r="A161" s="465"/>
      <c r="B161" s="491"/>
      <c r="C161" s="468"/>
      <c r="D161" s="468"/>
      <c r="E161" s="468"/>
      <c r="F161" s="468"/>
      <c r="G161" s="468"/>
      <c r="H161" s="468"/>
      <c r="I161" s="468"/>
      <c r="J161" s="468"/>
      <c r="K161" s="467"/>
      <c r="L161" s="468"/>
      <c r="M161" s="469"/>
      <c r="N161" s="470"/>
      <c r="O161" s="470"/>
      <c r="P161" s="470"/>
      <c r="Q161" s="469"/>
      <c r="R161" s="471"/>
      <c r="S161" s="471"/>
      <c r="T161" s="471"/>
      <c r="U161" s="471"/>
      <c r="V161" s="471"/>
      <c r="W161" s="471"/>
      <c r="X161" s="471"/>
      <c r="Y161" s="471"/>
      <c r="Z161" s="471"/>
      <c r="AA161" s="471" t="str">
        <f t="shared" si="362"/>
        <v/>
      </c>
      <c r="AB161" s="471"/>
      <c r="AC161" s="471"/>
      <c r="AD161" s="471"/>
      <c r="AE161" s="471"/>
      <c r="AF161" s="510" t="str">
        <f t="shared" si="361"/>
        <v/>
      </c>
      <c r="AG161" s="471"/>
      <c r="AH161" s="471"/>
      <c r="AI161" s="471"/>
      <c r="AJ161" s="471"/>
      <c r="AK161" s="472"/>
      <c r="AL161" s="471"/>
      <c r="AM161" s="473"/>
      <c r="AN161" s="474"/>
      <c r="AO161" s="474"/>
      <c r="AP161" s="474"/>
      <c r="AQ161" s="475"/>
      <c r="AR161" s="474"/>
      <c r="AS161" s="474"/>
      <c r="AT161" s="471"/>
      <c r="AU161" s="492"/>
      <c r="AV161" s="471"/>
      <c r="AW161" s="471"/>
      <c r="AX161" s="478"/>
      <c r="AY161" s="493"/>
      <c r="AZ161" s="480"/>
      <c r="BA161" s="493"/>
      <c r="BB161" s="478" t="str">
        <f>IF(OR(C161="",D161=""),"",VLOOKUP(C161,'Base de Diseño (2)'!$A$2:$D$330,4,FALSE))</f>
        <v/>
      </c>
      <c r="BC161" s="494"/>
      <c r="BD161" s="494"/>
      <c r="BE161" s="494"/>
      <c r="BF161" s="494"/>
      <c r="BG161" s="494"/>
      <c r="BH161" s="495"/>
      <c r="BI161" s="495"/>
      <c r="BJ161" s="468"/>
      <c r="BK161" s="475"/>
      <c r="BL161" s="475"/>
      <c r="BM161" s="475"/>
      <c r="BN161" s="475"/>
      <c r="BO161" s="475"/>
      <c r="BP161" s="475"/>
      <c r="BQ161" s="475"/>
      <c r="BR161" s="475"/>
      <c r="BS161" s="475"/>
      <c r="BT161" s="475"/>
      <c r="BU161" s="475"/>
      <c r="BV161" s="475"/>
      <c r="BW161" s="475"/>
      <c r="BX161" s="475"/>
      <c r="BY161" s="475"/>
      <c r="BZ161" s="475"/>
      <c r="CA161" s="471"/>
      <c r="CB161" s="471"/>
      <c r="CC161" s="471"/>
      <c r="CD161" s="471"/>
      <c r="CE161" s="471"/>
      <c r="CF161" s="471"/>
      <c r="CG161" s="471"/>
      <c r="CH161" s="471"/>
      <c r="CI161" s="471"/>
      <c r="CJ161" s="471"/>
      <c r="CK161" s="468"/>
      <c r="CL161" s="482" t="s">
        <v>2507</v>
      </c>
      <c r="CM161" s="482"/>
      <c r="CN161" s="63"/>
      <c r="CO161" s="498"/>
      <c r="CP161" s="472"/>
      <c r="CQ161" s="482"/>
      <c r="CR161" s="204"/>
      <c r="CS161" s="486"/>
      <c r="CT161" s="486"/>
      <c r="CU161" s="23"/>
      <c r="CV161" s="499"/>
      <c r="CW161" s="488"/>
      <c r="CX161" s="204"/>
      <c r="CY161" s="482"/>
      <c r="CZ161" s="482"/>
      <c r="DA161" s="482"/>
      <c r="DB161" s="490"/>
    </row>
    <row r="162" spans="1:106" s="532" customFormat="1" ht="15" customHeight="1">
      <c r="A162" s="503">
        <f>+A160+1</f>
        <v>98</v>
      </c>
      <c r="B162" s="504">
        <v>1</v>
      </c>
      <c r="C162" s="505" t="s">
        <v>92</v>
      </c>
      <c r="D162" s="505" t="s">
        <v>93</v>
      </c>
      <c r="E162" s="506">
        <v>0.41807529999999998</v>
      </c>
      <c r="F162" s="506"/>
      <c r="G162" s="506">
        <f>IF(B162=1,0,SUMIF($D$22:$D$583,C162,$H$22:$H$583))</f>
        <v>0</v>
      </c>
      <c r="H162" s="506">
        <f>+E162+F162+G162</f>
        <v>0.41807529999999998</v>
      </c>
      <c r="I162" s="506">
        <f>+E162</f>
        <v>0.41807529999999998</v>
      </c>
      <c r="J162" s="506"/>
      <c r="K162" s="507">
        <f>+IF(B162=1,0,SUMIF($D$22:$D$583,C162,$L$22:$L$580))</f>
        <v>0</v>
      </c>
      <c r="L162" s="506">
        <f>+I162+J162+K162</f>
        <v>0.41807529999999998</v>
      </c>
      <c r="M162" s="508">
        <f>+$P$12</f>
        <v>242.33666300502347</v>
      </c>
      <c r="N162" s="509">
        <f>M162*E162</f>
        <v>101.31497308682408</v>
      </c>
      <c r="O162" s="509">
        <f>M162*F162</f>
        <v>0</v>
      </c>
      <c r="P162" s="509">
        <f>M162*H162</f>
        <v>101.31497308682408</v>
      </c>
      <c r="Q162" s="508">
        <f t="shared" ref="Q162:Q180" si="369">+$H$14</f>
        <v>140</v>
      </c>
      <c r="R162" s="510">
        <f>Q162*P162*$P$14/86400</f>
        <v>0.13954261339504703</v>
      </c>
      <c r="S162" s="510"/>
      <c r="T162" s="510"/>
      <c r="U162" s="510">
        <f>IF(C162="","",T162*$P$17)</f>
        <v>0</v>
      </c>
      <c r="V162" s="510"/>
      <c r="W162" s="510"/>
      <c r="X162" s="510">
        <f>IF(C162="","",W162*$P$16)</f>
        <v>0</v>
      </c>
      <c r="Y162" s="510">
        <f>IF(H162=0,0,$H$15*H162)</f>
        <v>8.3615060000000005E-2</v>
      </c>
      <c r="Z162" s="510">
        <f>IF(L162=0,$H$16*H162,0)</f>
        <v>0</v>
      </c>
      <c r="AA162" s="471">
        <f t="shared" si="362"/>
        <v>3.8</v>
      </c>
      <c r="AB162" s="510">
        <f>R162*AA162</f>
        <v>0.53026193090117868</v>
      </c>
      <c r="AC162" s="510">
        <f>Q162*(N162+O162)*$P$14/86400</f>
        <v>0.13954261339504703</v>
      </c>
      <c r="AD162" s="510">
        <f t="shared" ref="AD162:AE164" si="370">IF(E162=0,0,$H$15*(E162+F162))</f>
        <v>8.3615060000000005E-2</v>
      </c>
      <c r="AE162" s="510">
        <f t="shared" si="370"/>
        <v>0</v>
      </c>
      <c r="AF162" s="510">
        <f t="shared" si="361"/>
        <v>3.8</v>
      </c>
      <c r="AG162" s="510">
        <f>AC162*AF162</f>
        <v>0.53026193090117868</v>
      </c>
      <c r="AH162" s="510">
        <f>+AD162+AE162+AG162</f>
        <v>0.61387699090117864</v>
      </c>
      <c r="AI162" s="510">
        <f>IF(H162="","",IF(AB162+Y162+Z162+X162+U162&lt;1.5,1.5,AB162+Y162+Z162+X162+U162))</f>
        <v>1.5</v>
      </c>
      <c r="AJ162" s="510">
        <f>+$P$17</f>
        <v>0.75</v>
      </c>
      <c r="AK162" s="511">
        <f>+BK162/100</f>
        <v>4.6796688967003813E-2</v>
      </c>
      <c r="AL162" s="510">
        <f>IF(AJ162=0," ",0.14+0.65*AJ162+0.05*AK162)</f>
        <v>0.62983983444835023</v>
      </c>
      <c r="AM162" s="512">
        <f>((100/36)*$AM$14*(AP162+$AN$14)^$AO$14)</f>
        <v>336.32613267542746</v>
      </c>
      <c r="AN162" s="513">
        <f>IF(B162=1,IF((0.702*(1.1-$AJ162)*SQRT($CO162))/(($CP162)^(1/3))&lt;5,5,(0.702*(1.1-$AJ162)*SQRT($CO162))/(($CP162)^(1/3))),AP161)</f>
        <v>6.4028960673576734</v>
      </c>
      <c r="AO162" s="513">
        <f>((1/60)*$AX162/$AQ162)</f>
        <v>0.41995238095238097</v>
      </c>
      <c r="AP162" s="513">
        <f>IF(B162=1,IF(($AN162+$AO162)&lt;10,10,IF(($AN162+$AO162)&gt;20,20,($AN162+$AO162))),($AN162+$AO162))</f>
        <v>10</v>
      </c>
      <c r="AQ162" s="514">
        <v>3.5</v>
      </c>
      <c r="AR162" s="513">
        <f>((1/60)*$AX162/$BT162)</f>
        <v>0.45377016956811295</v>
      </c>
      <c r="AS162" s="513">
        <f>AO162/AR162</f>
        <v>0.92547375106671537</v>
      </c>
      <c r="AT162" s="510" t="str">
        <f>IF(AS162&lt;0.9,"Disminuir vel.",IF(AS162&gt;1.1,"Aumentar vel.","Cumple"))</f>
        <v>Cumple</v>
      </c>
      <c r="AU162" s="533">
        <f>+I162*AL162*AM162</f>
        <v>88.561557932185138</v>
      </c>
      <c r="AV162" s="510">
        <f>+L162*AL162*AM162</f>
        <v>88.561557932185138</v>
      </c>
      <c r="AW162" s="510">
        <f>ROUND(IF(AI162&gt;(AV162*0.05),(AV162+AI162),AV162),2)</f>
        <v>88.56</v>
      </c>
      <c r="AX162" s="516">
        <f>IF(OR(C162="",D162=""),"",ROUND(((VLOOKUP(C162,'Base de Diseño (2)'!$A$2:$C$333,2,FALSE)-VLOOKUP(D162,'Base de Diseño (2)'!$A$2:$C$333,2,FALSE))^2+(VLOOKUP(C162,'Base de Diseño (2)'!$A$2:$C$333,3,0)-VLOOKUP(D162,'Base de Diseño (2)'!$A$2:$C$333,3,FALSE))^2)^0.5,2))</f>
        <v>88.19</v>
      </c>
      <c r="AY162" s="517">
        <v>12</v>
      </c>
      <c r="AZ162" s="518">
        <f>IF(AND(L162="",H162=""),"",IF(BA162=4,VLOOKUP(AY162,'TABLA (2)'!$A$74:$C$89,2),IF(BA162=5,VLOOKUP(AY162,'TABLA (2)'!$A$51:$B$66,2),IF(BA162=6,VLOOKUP(AY162,'TABLA (2)'!$A$9:$B$43,2)))))</f>
        <v>284</v>
      </c>
      <c r="BA162" s="517">
        <v>4</v>
      </c>
      <c r="BB162" s="516">
        <f>IF(OR(C162="",D162=""),"",VLOOKUP(C162,'Base de Diseño (2)'!$A$2:$D$330,4,FALSE))</f>
        <v>987.71</v>
      </c>
      <c r="BC162" s="516">
        <f>IF(OR(C162="",D162=""),"",VLOOKUP(D162,'Base de Diseño (2)'!$A$2:$D$330,4,FALSE))</f>
        <v>983.58299999999997</v>
      </c>
      <c r="BD162" s="519">
        <f>+BF162-((AZ162/1000)+CX162)</f>
        <v>1.1004999999999772</v>
      </c>
      <c r="BE162" s="519">
        <f>+BG162-((AZ162/1000)+CX162)</f>
        <v>1.3704999999999998</v>
      </c>
      <c r="BF162" s="520">
        <v>1.3999999999999773</v>
      </c>
      <c r="BG162" s="520">
        <v>1.67</v>
      </c>
      <c r="BH162" s="521">
        <f t="shared" ref="BH162:BI164" si="371">BB162-BF162</f>
        <v>986.31000000000006</v>
      </c>
      <c r="BI162" s="521">
        <f t="shared" si="371"/>
        <v>981.91300000000001</v>
      </c>
      <c r="BJ162" s="506">
        <f>IF(A162="",0,BI162-BH163)</f>
        <v>3.0000000000086402E-2</v>
      </c>
      <c r="BK162" s="514">
        <f>ABS((BB162-BC162)/AX162)*100</f>
        <v>4.679668896700381</v>
      </c>
      <c r="BL162" s="514">
        <f>((BH162-BI162)/AX162)*100</f>
        <v>4.9858260573761743</v>
      </c>
      <c r="BM162" s="514">
        <f>IF(BA162=6,(1/0.013)*((AZ162/4000)^(2/3))*((BL162/100)^(0.5)),(1/0.009)*((AZ162/4000)^(2/3))*((BL162/100)^(0.5)))</f>
        <v>4.254007826190068</v>
      </c>
      <c r="BN162" s="514">
        <f>1000*BM162*PI()*((AZ162/1000/2)^2)</f>
        <v>269.47894969799586</v>
      </c>
      <c r="BO162" s="522">
        <f>AI162/BN162</f>
        <v>5.5662974851321224E-3</v>
      </c>
      <c r="BP162" s="523">
        <f>IF(L162=0," ",AW162/BN162)</f>
        <v>0.32863420352220052</v>
      </c>
      <c r="BQ162" s="524">
        <f>IF($BO162&gt;0 =AND($BO162&lt;=0.06),10^(0.029806+0.29095*LOG($BO162)),IF($BO162&gt;0.06 =AND($BO162&lt;=0.26),10^(0.013778+0.282597*LOG($BO162)),IF($BO162&gt;0.26 =AND($BO162&lt;=0.91),10^(0.021763+0.28995*LOG($BO162)),1)))</f>
        <v>0.23652581514394874</v>
      </c>
      <c r="BR162" s="524">
        <f>IF($BP162&gt;0 =AND($BP162&lt;=0.06),10^(0.029806+0.29095*LOG($BP162)),IF($BP162&gt;0.06 =AND($BP162&lt;=0.26),10^(0.013778+0.282597*LOG($BP162)),IF($BP162&gt;0.26 =AND($BP162&lt;=2),10^(0.021763+0.28995*LOG($BP162))," ")))</f>
        <v>0.76143680526195134</v>
      </c>
      <c r="BS162" s="514">
        <f>BM162*BQ162</f>
        <v>1.0061826687183433</v>
      </c>
      <c r="BT162" s="514">
        <f>IF(BP162=" "," ",(BM162*BR162))</f>
        <v>3.2391581287335036</v>
      </c>
      <c r="BU162" s="514">
        <f>IF(BO162&lt;=0.11,0.3827+0.0645*LN(BO162),IF(BO162&lt;=0.21,0.60025+0.15471*LN(BO162),IF(BO162&lt;1,0.225+0.6666666667*BO162,0)))</f>
        <v>4.7878876505139445E-2</v>
      </c>
      <c r="BV162" s="514">
        <f>IF(BP162&lt;=0.11,0.3827+0.0645*LN(BP162),IF(BP162&lt;=0.21,0.60025+0.15471*LN(BP162),IF(BP162&lt;1,0.225+0.6666666667*BP162," ")))</f>
        <v>0.4440894690257548</v>
      </c>
      <c r="BW162" s="514">
        <f>2*ACOS(1-2*(BU162))</f>
        <v>0.88238893535086982</v>
      </c>
      <c r="BX162" s="514">
        <f>IF(BP162=" "," ",(2*ACOS(1-2*(BV162))))</f>
        <v>2.9174818192253147</v>
      </c>
      <c r="BY162" s="514">
        <f>(1/4)*(1-(SIN(BW162))/BW162)</f>
        <v>3.1202268042573367E-2</v>
      </c>
      <c r="BZ162" s="514">
        <f>IF(BP162=" "," ",((1/4)*(1-(SIN(BX162))/BX162)))</f>
        <v>0.23095622060400853</v>
      </c>
      <c r="CA162" s="510">
        <f>BY162*AZ162/1000</f>
        <v>8.8614441240908361E-3</v>
      </c>
      <c r="CB162" s="510">
        <f>IF(BP162=" "," ",(BZ162*AZ162/1000))</f>
        <v>6.5591566651538424E-2</v>
      </c>
      <c r="CC162" s="510">
        <f>+(BT162/SQRT(9.81*(0.125*(BX162-SIN(BX162))*(AZ162/1000)^2)/((AZ162/1000)*SIN(BX162/2))))</f>
        <v>3.3328702332439026</v>
      </c>
      <c r="CD162" s="510" t="str">
        <f>IF(CC162="","",IF(CC162&lt;0.7,"F. Subcrítico",IF(AND(CC162&gt;0.7,CC162&lt;1),"F. Subcrítico Inestable",IF(CC162=1,"F. Crítico",IF(AND(CC162&gt;1,CC162&lt;1.5),"F. Supercrítico Inestable",IF(CC162&gt;1.5,"F. Supercrítico",""))))))</f>
        <v>F. Supercrítico</v>
      </c>
      <c r="CE162" s="510">
        <f>1000*BL162*CA162/100</f>
        <v>0.44181619019875079</v>
      </c>
      <c r="CF162" s="510">
        <f>IF(BP162=" "," ",(1000*BL162*CB162/100))</f>
        <v>3.2702814215536637</v>
      </c>
      <c r="CG162" s="510" t="str">
        <f>IF(BS162&lt;0.45,"No cumple",IF(BS162&gt;5,"No cumple","O.K"))</f>
        <v>O.K</v>
      </c>
      <c r="CH162" s="510" t="str">
        <f>IF(BT162&lt;0.75,"No cumple",IF(BT162&gt;10,"No cumple","O.K"))</f>
        <v>O.K</v>
      </c>
      <c r="CI162" s="510" t="str">
        <f>IF(CE162&gt;0.1,"OK","V.C.H.")</f>
        <v>OK</v>
      </c>
      <c r="CJ162" s="510" t="str">
        <f>IF(CF162&gt;0.2,"OK","V.C.H.")</f>
        <v>OK</v>
      </c>
      <c r="CK162" s="506">
        <f>+BJ162</f>
        <v>3.0000000000086402E-2</v>
      </c>
      <c r="CL162" s="525" t="s">
        <v>2515</v>
      </c>
      <c r="CM162" s="525"/>
      <c r="CN162" s="526" t="str">
        <f>IF(B162=1,"dato"," ")</f>
        <v>dato</v>
      </c>
      <c r="CO162" s="527">
        <f>+CR162</f>
        <v>88.19</v>
      </c>
      <c r="CP162" s="511">
        <f>+BK162/100</f>
        <v>4.6796688967003813E-2</v>
      </c>
      <c r="CQ162" s="525" t="s">
        <v>2508</v>
      </c>
      <c r="CR162" s="522">
        <f>IF(BA162="","",AX162)</f>
        <v>88.19</v>
      </c>
      <c r="CS162" s="528">
        <v>1.2</v>
      </c>
      <c r="CT162" s="528">
        <v>1.2</v>
      </c>
      <c r="CU162" s="519">
        <f>IF($BA162="","",SQRT((BH162-BI162)^2+$CR162^2))</f>
        <v>88.299545349905401</v>
      </c>
      <c r="CV162" s="529" t="s">
        <v>2509</v>
      </c>
      <c r="CW162" s="530" t="str">
        <f>+IF(BD162&lt;=0.9,"E1",IF(BD162&lt;=2.5,"E2","E3"))</f>
        <v>E2</v>
      </c>
      <c r="CX162" s="522">
        <f>IF(AND(L162="",H162=""),"",IF(AND(BA162&lt;&gt;4,BA162&lt;&gt;5),VLOOKUP(AY162,'TABLA (2)'!$A$9:$D$43,4),IF(BA162=4,VLOOKUP(AY162,'TABLA (2)'!$A$74:$D$89,4),VLOOKUP(AY162,'TABLA (2)'!$A$51:$D$66,4))))</f>
        <v>1.55E-2</v>
      </c>
      <c r="CY162" s="525"/>
      <c r="CZ162" s="525"/>
      <c r="DA162" s="525"/>
      <c r="DB162" s="531"/>
    </row>
    <row r="163" spans="1:106" s="532" customFormat="1" ht="15" customHeight="1">
      <c r="A163" s="503">
        <f>+A162+1</f>
        <v>99</v>
      </c>
      <c r="B163" s="504"/>
      <c r="C163" s="505" t="s">
        <v>93</v>
      </c>
      <c r="D163" s="505" t="s">
        <v>89</v>
      </c>
      <c r="E163" s="506">
        <v>8.9338799999999996E-2</v>
      </c>
      <c r="F163" s="506"/>
      <c r="G163" s="506">
        <f>IF(B163=1,0,SUMIF($D$22:$D$583,C163,$H$22:$H$583))</f>
        <v>0.47757529999999998</v>
      </c>
      <c r="H163" s="506">
        <f>+E163+F163+G163</f>
        <v>0.56691409999999998</v>
      </c>
      <c r="I163" s="506">
        <f>+E163</f>
        <v>8.9338799999999996E-2</v>
      </c>
      <c r="J163" s="506"/>
      <c r="K163" s="507">
        <f ca="1">+IF(B163=1,0,SUMIF($D$22:$D$583,C163,$L$22:$L$580))</f>
        <v>0.47757529999999998</v>
      </c>
      <c r="L163" s="506">
        <f ca="1">+I163+J163+K163</f>
        <v>0.56691409999999998</v>
      </c>
      <c r="M163" s="508">
        <f>+$P$12</f>
        <v>242.33666300502347</v>
      </c>
      <c r="N163" s="509">
        <f>M163*E163</f>
        <v>21.65006666887319</v>
      </c>
      <c r="O163" s="509">
        <f>M163*F163</f>
        <v>0</v>
      </c>
      <c r="P163" s="509">
        <f>M163*H163</f>
        <v>137.38407120449617</v>
      </c>
      <c r="Q163" s="508">
        <f t="shared" si="369"/>
        <v>140</v>
      </c>
      <c r="R163" s="510">
        <f>Q163*P163*$P$14/86400</f>
        <v>0.18922111658952595</v>
      </c>
      <c r="S163" s="510"/>
      <c r="T163" s="510"/>
      <c r="U163" s="510">
        <f>IF(C163="","",T163*$P$17)</f>
        <v>0</v>
      </c>
      <c r="V163" s="510"/>
      <c r="W163" s="510"/>
      <c r="X163" s="510">
        <f>IF(C163="","",W163*$P$16)</f>
        <v>0</v>
      </c>
      <c r="Y163" s="510">
        <f>IF(H163=0,0,$H$15*H163)</f>
        <v>0.11338282</v>
      </c>
      <c r="Z163" s="510">
        <f ca="1">IF(L163=0,$H$16*H163,0)</f>
        <v>0</v>
      </c>
      <c r="AA163" s="471">
        <f t="shared" si="362"/>
        <v>3.8</v>
      </c>
      <c r="AB163" s="510">
        <f>R163*AA163</f>
        <v>0.71904024304019853</v>
      </c>
      <c r="AC163" s="510">
        <f>Q163*(N163+O163)*$P$14/86400</f>
        <v>2.9818957564767469E-2</v>
      </c>
      <c r="AD163" s="510">
        <f t="shared" si="370"/>
        <v>1.786776E-2</v>
      </c>
      <c r="AE163" s="510">
        <f t="shared" si="370"/>
        <v>0</v>
      </c>
      <c r="AF163" s="510">
        <f t="shared" si="361"/>
        <v>3.8</v>
      </c>
      <c r="AG163" s="510">
        <f>AC163*AF163</f>
        <v>0.11331203874611638</v>
      </c>
      <c r="AH163" s="510">
        <f>+AD163+AE163+AG163</f>
        <v>0.13117979874611638</v>
      </c>
      <c r="AI163" s="510">
        <f ca="1">IF(H163="","",IF(AB163+Y163+Z163+X163+U163&lt;1.5,1.5,AB163+Y163+Z163+X163+U163))</f>
        <v>1.5</v>
      </c>
      <c r="AJ163" s="510">
        <f>+$P$17</f>
        <v>0.75</v>
      </c>
      <c r="AK163" s="511">
        <f>+BK163/100</f>
        <v>1.1005756857430809E-2</v>
      </c>
      <c r="AL163" s="510">
        <f>IF(AJ163=0," ",0.14+0.65*AJ163+0.05*AK163)</f>
        <v>0.62805028784287165</v>
      </c>
      <c r="AM163" s="512">
        <f>((100/36)*$AM$14*(AP163+$AN$14)^$AO$14)</f>
        <v>334.2148502193196</v>
      </c>
      <c r="AN163" s="513">
        <f>IF(B163=1,IF((0.702*(1.1-$AJ163)*SQRT($CO163))/(($CP163)^(1/3))&lt;5,5,(0.702*(1.1-$AJ163)*SQRT($CO163))/(($CP163)^(1/3))),AP162)</f>
        <v>10</v>
      </c>
      <c r="AO163" s="513">
        <f>((1/60)*$AX163/$AQ163)</f>
        <v>0.21398550724637685</v>
      </c>
      <c r="AP163" s="513">
        <f>IF(B163=1,IF(($AN163+$AO163)&lt;10,10,IF(($AN163+$AO163)&gt;20,20,($AN163+$AO163))),($AN163+$AO163))</f>
        <v>10.213985507246377</v>
      </c>
      <c r="AQ163" s="514">
        <v>2.2999999999999998</v>
      </c>
      <c r="AR163" s="513">
        <f ca="1">((1/60)*$AX163/$BT163)</f>
        <v>0.23110073727052061</v>
      </c>
      <c r="AS163" s="513">
        <f ca="1">AO163/AR163</f>
        <v>0.92594039194211175</v>
      </c>
      <c r="AT163" s="510" t="str">
        <f ca="1">IF(AS163&lt;0.9,"Disminuir vel.",IF(AS163&gt;1.1,"Aumentar vel.","Cumple"))</f>
        <v>Cumple</v>
      </c>
      <c r="AU163" s="533">
        <f>+I163*AL163*AM163</f>
        <v>18.752547611163212</v>
      </c>
      <c r="AV163" s="510">
        <f ca="1">+L163*AL163*AM163</f>
        <v>118.99738581321603</v>
      </c>
      <c r="AW163" s="510">
        <f ca="1">ROUND(IF(AI163&gt;(AV163*0.05),(AV163+AI163),AV163),2)</f>
        <v>119</v>
      </c>
      <c r="AX163" s="516">
        <f>IF(OR(C163="",D163=""),"",ROUND(((VLOOKUP(C163,'Base de Diseño (2)'!$A$2:$C$333,2,FALSE)-VLOOKUP(D163,'Base de Diseño (2)'!$A$2:$C$333,2,FALSE))^2+(VLOOKUP(C163,'Base de Diseño (2)'!$A$2:$C$333,3,0)-VLOOKUP(D163,'Base de Diseño (2)'!$A$2:$C$333,3,FALSE))^2)^0.5,2))</f>
        <v>29.53</v>
      </c>
      <c r="AY163" s="517">
        <v>12</v>
      </c>
      <c r="AZ163" s="518">
        <f ca="1">IF(AND(L163="",H163=""),"",IF(BA163=4,VLOOKUP(AY163,'TABLA (2)'!$A$74:$C$89,2),IF(BA163=5,VLOOKUP(AY163,'TABLA (2)'!$A$51:$B$66,2),IF(BA163=6,VLOOKUP(AY163,'TABLA (2)'!$A$9:$B$43,2)))))</f>
        <v>284</v>
      </c>
      <c r="BA163" s="517">
        <v>4</v>
      </c>
      <c r="BB163" s="516">
        <f>IF(OR(C163="",D163=""),"",VLOOKUP(C163,'Base de Diseño (2)'!$A$2:$D$330,4,FALSE))</f>
        <v>983.58299999999997</v>
      </c>
      <c r="BC163" s="516">
        <f>IF(OR(C163="",D163=""),"",VLOOKUP(D163,'Base de Diseño (2)'!$A$2:$D$330,4,FALSE))</f>
        <v>983.25800000000004</v>
      </c>
      <c r="BD163" s="519">
        <f ca="1">+BF163-((AZ163/1000)+CX163)</f>
        <v>1.4005000000000001</v>
      </c>
      <c r="BE163" s="519">
        <f ca="1">+BG163-((AZ163/1000)+CX163)</f>
        <v>1.4304999999999999</v>
      </c>
      <c r="BF163" s="520">
        <v>1.7</v>
      </c>
      <c r="BG163" s="520">
        <v>1.73</v>
      </c>
      <c r="BH163" s="521">
        <f t="shared" si="371"/>
        <v>981.88299999999992</v>
      </c>
      <c r="BI163" s="521">
        <f t="shared" si="371"/>
        <v>981.52800000000002</v>
      </c>
      <c r="BJ163" s="506">
        <f>IF(A163="",0,BI163-BH164)</f>
        <v>2.9999999999972715E-2</v>
      </c>
      <c r="BK163" s="514">
        <f>ABS((BB163-BC163)/AX163)*100</f>
        <v>1.1005756857430808</v>
      </c>
      <c r="BL163" s="514">
        <f>((BH163-BI163)/AX163)*100</f>
        <v>1.2021672875039096</v>
      </c>
      <c r="BM163" s="514">
        <f ca="1">IF(BA163=6,(1/0.013)*((AZ163/4000)^(2/3))*((BL163/100)^(0.5)),(1/0.009)*((AZ163/4000)^(2/3))*((BL163/100)^(0.5)))</f>
        <v>2.0888736718502825</v>
      </c>
      <c r="BN163" s="514">
        <f ca="1">1000*BM163*PI()*((AZ163/1000/2)^2)</f>
        <v>132.32403562504862</v>
      </c>
      <c r="BO163" s="522">
        <f ca="1">AI163/BN163</f>
        <v>1.1335809045685223E-2</v>
      </c>
      <c r="BP163" s="523">
        <f ca="1">IF(L163=0," ",AW163/BN163)</f>
        <v>0.89930751762436112</v>
      </c>
      <c r="BQ163" s="524">
        <f ca="1">IF($BO163&gt;0 =AND($BO163&lt;=0.06),10^(0.029806+0.29095*LOG($BO163)),IF($BO163&gt;0.06 =AND($BO163&lt;=0.26),10^(0.013778+0.282597*LOG($BO163)),IF($BO163&gt;0.26 =AND($BO163&lt;=0.91),10^(0.021763+0.28995*LOG($BO163)),1)))</f>
        <v>0.29090350981237978</v>
      </c>
      <c r="BR163" s="524">
        <f ca="1">IF($BP163&gt;0 =AND($BP163&lt;=0.06),10^(0.029806+0.29095*LOG($BP163)),IF($BP163&gt;0.06 =AND($BP163&lt;=0.26),10^(0.013778+0.282597*LOG($BP163)),IF($BP163&gt;0.26 =AND($BP163&lt;=2),10^(0.021763+0.28995*LOG($BP163))," ")))</f>
        <v>1.0195269011076404</v>
      </c>
      <c r="BS163" s="514">
        <f ca="1">BM163*BQ163</f>
        <v>0.60766068269592044</v>
      </c>
      <c r="BT163" s="514">
        <f ca="1">IF(BP163=" "," ",(BM163*BR163))</f>
        <v>2.1296629014668569</v>
      </c>
      <c r="BU163" s="514">
        <f ca="1">IF(BO163&lt;=0.11,0.3827+0.0645*LN(BO163),IF(BO163&lt;=0.21,0.60025+0.15471*LN(BO163),IF(BO163&lt;1,0.225+0.6666666667*BO163,0)))</f>
        <v>9.3753633901495104E-2</v>
      </c>
      <c r="BV163" s="514">
        <f ca="1">IF(BP163&lt;=0.11,0.3827+0.0645*LN(BP163),IF(BP163&lt;=0.21,0.60025+0.15471*LN(BP163),IF(BP163&lt;1,0.225+0.6666666667*BP163," ")))</f>
        <v>0.82453834511288426</v>
      </c>
      <c r="BW163" s="514">
        <f ca="1">2*ACOS(1-2*(BU163))</f>
        <v>1.2447619109820165</v>
      </c>
      <c r="BX163" s="514">
        <f ca="1">IF(BP163=" "," ",(2*ACOS(1-2*(BV163))))</f>
        <v>4.554332814851894</v>
      </c>
      <c r="BY163" s="514">
        <f ca="1">(1/4)*(1-(SIN(BW163))/BW163)</f>
        <v>5.9738731347352747E-2</v>
      </c>
      <c r="BZ163" s="514">
        <f ca="1">IF(BP163=" "," ",((1/4)*(1-(SIN(BX163))/BX163)))</f>
        <v>0.30420854966212879</v>
      </c>
      <c r="CA163" s="510">
        <f ca="1">BY163*AZ163/1000</f>
        <v>1.6965799702648179E-2</v>
      </c>
      <c r="CB163" s="510">
        <f ca="1">IF(BP163=" "," ",(BZ163*AZ163/1000))</f>
        <v>8.6395228104044583E-2</v>
      </c>
      <c r="CC163" s="510">
        <f ca="1">+(BT163/SQRT(9.81*(0.125*(BX163-SIN(BX163))*(AZ163/1000)^2)/((AZ163/1000)*SIN(BX163/2))))</f>
        <v>1.3370491347135856</v>
      </c>
      <c r="CD163" s="510" t="str">
        <f ca="1">IF(CC163="","",IF(CC163&lt;0.7,"F. Subcrítico",IF(AND(CC163&gt;0.7,CC163&lt;1),"F. Subcrítico Inestable",IF(CC163=1,"F. Crítico",IF(AND(CC163&gt;1,CC163&lt;1.5),"F. Supercrítico Inestable",IF(CC163&gt;1.5,"F. Supercrítico",""))))))</f>
        <v>F. Supercrítico Inestable</v>
      </c>
      <c r="CE163" s="510">
        <f ca="1">1000*BL163*CA163/100</f>
        <v>0.20395729408867197</v>
      </c>
      <c r="CF163" s="510">
        <f ca="1">IF(BP163=" "," ",(1000*BL163*CB163/100))</f>
        <v>1.0386151702312081</v>
      </c>
      <c r="CG163" s="510" t="str">
        <f ca="1">IF(BS163&lt;0.45,"No cumple",IF(BS163&gt;5,"No cumple","O.K"))</f>
        <v>O.K</v>
      </c>
      <c r="CH163" s="510" t="str">
        <f ca="1">IF(BT163&lt;0.75,"No cumple",IF(BT163&gt;10,"No cumple","O.K"))</f>
        <v>O.K</v>
      </c>
      <c r="CI163" s="510" t="str">
        <f ca="1">IF(CE163&gt;0.1,"OK","V.C.H.")</f>
        <v>OK</v>
      </c>
      <c r="CJ163" s="510" t="str">
        <f ca="1">IF(CF163&gt;0.2,"OK","V.C.H.")</f>
        <v>OK</v>
      </c>
      <c r="CK163" s="506">
        <f>+BJ163</f>
        <v>2.9999999999972715E-2</v>
      </c>
      <c r="CL163" s="525" t="s">
        <v>2515</v>
      </c>
      <c r="CM163" s="525"/>
      <c r="CN163" s="526" t="str">
        <f>IF(B163=1,"dato"," ")</f>
        <v xml:space="preserve"> </v>
      </c>
      <c r="CO163" s="527">
        <f>+CR163</f>
        <v>29.53</v>
      </c>
      <c r="CP163" s="511"/>
      <c r="CQ163" s="525" t="s">
        <v>2508</v>
      </c>
      <c r="CR163" s="522">
        <f>IF(BA163="","",AX163)</f>
        <v>29.53</v>
      </c>
      <c r="CS163" s="528">
        <v>1.2</v>
      </c>
      <c r="CT163" s="528">
        <v>1.2</v>
      </c>
      <c r="CU163" s="519">
        <f>IF($BA163="","",SQRT((BH163-BI163)^2+$CR163^2))</f>
        <v>29.53213376984467</v>
      </c>
      <c r="CV163" s="529" t="s">
        <v>2509</v>
      </c>
      <c r="CW163" s="530" t="str">
        <f ca="1">+IF(BD163&lt;=0.9,"E1",IF(BD163&lt;=2.5,"E2","E3"))</f>
        <v>E2</v>
      </c>
      <c r="CX163" s="522">
        <f ca="1">IF(AND(L163="",H163=""),"",IF(AND(BA163&lt;&gt;4,BA163&lt;&gt;5),VLOOKUP(AY163,'TABLA (2)'!$A$9:$D$43,4),IF(BA163=4,VLOOKUP(AY163,'TABLA (2)'!$A$74:$D$89,4),VLOOKUP(AY163,'TABLA (2)'!$A$51:$D$66,4))))</f>
        <v>1.55E-2</v>
      </c>
      <c r="CY163" s="525"/>
      <c r="CZ163" s="525"/>
      <c r="DA163" s="525"/>
      <c r="DB163" s="531"/>
    </row>
    <row r="164" spans="1:106" s="532" customFormat="1" ht="15" customHeight="1">
      <c r="A164" s="503">
        <f>+A163+1</f>
        <v>100</v>
      </c>
      <c r="B164" s="504"/>
      <c r="C164" s="505" t="s">
        <v>89</v>
      </c>
      <c r="D164" s="505" t="s">
        <v>87</v>
      </c>
      <c r="E164" s="506">
        <f>0.2173444241+0.8039902</f>
        <v>1.0213346241000001</v>
      </c>
      <c r="F164" s="506"/>
      <c r="G164" s="506">
        <f>IF(B164=1,0,SUMIF($D$22:$D$583,C164,$H$22:$H$583))</f>
        <v>1.1415774088999999</v>
      </c>
      <c r="H164" s="506">
        <f>+E164+F164+G164</f>
        <v>2.162912033</v>
      </c>
      <c r="I164" s="506">
        <f>+E164</f>
        <v>1.0213346241000001</v>
      </c>
      <c r="J164" s="506"/>
      <c r="K164" s="507">
        <f ca="1">+IF(B164=1,0,SUMIF($D$22:$D$583,C164,$L$22:$L$580))</f>
        <v>1.1415774088999999</v>
      </c>
      <c r="L164" s="506">
        <f ca="1">+I164+J164+K164</f>
        <v>2.162912033</v>
      </c>
      <c r="M164" s="508">
        <f>+$P$12</f>
        <v>242.33666300502347</v>
      </c>
      <c r="N164" s="509">
        <f>M164*E164</f>
        <v>247.50682461588403</v>
      </c>
      <c r="O164" s="509">
        <f>M164*F164</f>
        <v>0</v>
      </c>
      <c r="P164" s="509">
        <f>M164*H164</f>
        <v>524.15288445063118</v>
      </c>
      <c r="Q164" s="508">
        <f t="shared" si="369"/>
        <v>140</v>
      </c>
      <c r="R164" s="510">
        <f>Q164*P164*$P$14/86400</f>
        <v>0.72192353298177203</v>
      </c>
      <c r="S164" s="510"/>
      <c r="T164" s="510"/>
      <c r="U164" s="510">
        <f>IF(C164="","",T164*$P$17)</f>
        <v>0</v>
      </c>
      <c r="V164" s="510"/>
      <c r="W164" s="510"/>
      <c r="X164" s="510">
        <f>IF(C164="","",W164*$P$16)</f>
        <v>0</v>
      </c>
      <c r="Y164" s="510">
        <f>IF(H164=0,0,$H$15*H164)</f>
        <v>0.43258240660000002</v>
      </c>
      <c r="Z164" s="510">
        <f ca="1">IF(L164=0,$H$16*H164,0)</f>
        <v>0</v>
      </c>
      <c r="AA164" s="471">
        <f t="shared" si="362"/>
        <v>3.8</v>
      </c>
      <c r="AB164" s="510">
        <f>R164*AA164</f>
        <v>2.7433094253307337</v>
      </c>
      <c r="AC164" s="510">
        <f>Q164*(N164+O164)*$P$14/86400</f>
        <v>0.34089481631122914</v>
      </c>
      <c r="AD164" s="510">
        <f t="shared" si="370"/>
        <v>0.20426692482000003</v>
      </c>
      <c r="AE164" s="510">
        <f t="shared" si="370"/>
        <v>0</v>
      </c>
      <c r="AF164" s="510">
        <f t="shared" si="361"/>
        <v>3.8</v>
      </c>
      <c r="AG164" s="510">
        <f>AC164*AF164</f>
        <v>1.2954003019826708</v>
      </c>
      <c r="AH164" s="510">
        <f>+AD164+AE164+AG164</f>
        <v>1.4996672268026707</v>
      </c>
      <c r="AI164" s="510">
        <f ca="1">IF(H164="","",IF(AB164+Y164+Z164+X164+U164&lt;1.5,1.5,AB164+Y164+Z164+X164+U164))</f>
        <v>3.1758918319307337</v>
      </c>
      <c r="AJ164" s="510">
        <f>+$P$17</f>
        <v>0.75</v>
      </c>
      <c r="AK164" s="511">
        <f>+BK164/100</f>
        <v>9.0881733373464023E-3</v>
      </c>
      <c r="AL164" s="510">
        <f>IF(AJ164=0," ",0.14+0.65*AJ164+0.05*AK164)</f>
        <v>0.62795440866686736</v>
      </c>
      <c r="AM164" s="512">
        <f>((100/36)*$AM$14*(AP164+$AN$14)^$AO$14)</f>
        <v>328.86660631335576</v>
      </c>
      <c r="AN164" s="513">
        <f>IF(B164=1,IF((0.702*(1.1-$AJ164)*SQRT($CO164))/(($CP164)^(1/3))&lt;5,5,(0.702*(1.1-$AJ164)*SQRT($CO164))/(($CP164)^(1/3))),AP163)</f>
        <v>10.213985507246377</v>
      </c>
      <c r="AO164" s="513">
        <f>((1/60)*$AX164/$AQ164)</f>
        <v>0.55383333333333329</v>
      </c>
      <c r="AP164" s="513">
        <f>IF(B164=1,IF(($AN164+$AO164)&lt;10,10,IF(($AN164+$AO164)&gt;20,20,($AN164+$AO164))),($AN164+$AO164))</f>
        <v>10.767818840579711</v>
      </c>
      <c r="AQ164" s="514">
        <v>3</v>
      </c>
      <c r="AR164" s="513">
        <f ca="1">((1/60)*$AX164/$BT164)</f>
        <v>0.55019072894560528</v>
      </c>
      <c r="AS164" s="513">
        <f ca="1">AO164/AR164</f>
        <v>1.0066206211702418</v>
      </c>
      <c r="AT164" s="510" t="str">
        <f ca="1">IF(AS164&lt;0.9,"Disminuir vel.",IF(AS164&gt;1.1,"Aumentar vel.","Cumple"))</f>
        <v>Cumple</v>
      </c>
      <c r="AU164" s="533">
        <f>+I164*AL164*AM164</f>
        <v>210.91911754453585</v>
      </c>
      <c r="AV164" s="510">
        <f ca="1">+L164*AL164*AM164</f>
        <v>446.66996159933473</v>
      </c>
      <c r="AW164" s="510">
        <f ca="1">ROUND(IF(AI164&gt;(AV164*0.05),(AV164+AI164),AV164),2)</f>
        <v>446.67</v>
      </c>
      <c r="AX164" s="516">
        <f>IF(OR(C164="",D164=""),"",ROUND(((VLOOKUP(C164,'Base de Diseño (2)'!$A$2:$C$333,2,FALSE)-VLOOKUP(D164,'Base de Diseño (2)'!$A$2:$C$333,2,FALSE))^2+(VLOOKUP(C164,'Base de Diseño (2)'!$A$2:$C$333,3,0)-VLOOKUP(D164,'Base de Diseño (2)'!$A$2:$C$333,3,FALSE))^2)^0.5,2))</f>
        <v>99.69</v>
      </c>
      <c r="AY164" s="517">
        <v>20</v>
      </c>
      <c r="AZ164" s="518">
        <f ca="1">IF(AND(L164="",H164=""),"",IF(BA164=4,VLOOKUP(AY164,'TABLA (2)'!$A$74:$C$89,2),IF(BA164=5,VLOOKUP(AY164,'TABLA (2)'!$A$51:$B$66,2),IF(BA164=6,VLOOKUP(AY164,'TABLA (2)'!$A$9:$B$43,2)))))</f>
        <v>452</v>
      </c>
      <c r="BA164" s="517">
        <v>4</v>
      </c>
      <c r="BB164" s="516">
        <f>IF(OR(C164="",D164=""),"",VLOOKUP(C164,'Base de Diseño (2)'!$A$2:$D$330,4,FALSE))</f>
        <v>983.25800000000004</v>
      </c>
      <c r="BC164" s="516">
        <f>IF(OR(C164="",D164=""),"",VLOOKUP(D164,'Base de Diseño (2)'!$A$2:$D$330,4,FALSE))</f>
        <v>982.35199999999998</v>
      </c>
      <c r="BD164" s="519">
        <f ca="1">+BF164-((AZ164/1000)+CX164)</f>
        <v>1.284</v>
      </c>
      <c r="BE164" s="519">
        <f ca="1">+BG164-((AZ164/1000)+CX164)</f>
        <v>1.629</v>
      </c>
      <c r="BF164" s="520">
        <v>1.76</v>
      </c>
      <c r="BG164" s="520">
        <v>2.105</v>
      </c>
      <c r="BH164" s="521">
        <f t="shared" si="371"/>
        <v>981.49800000000005</v>
      </c>
      <c r="BI164" s="521">
        <f t="shared" si="371"/>
        <v>980.24699999999996</v>
      </c>
      <c r="BJ164" s="506">
        <f>IF(A164="",0,BI164-BH340)</f>
        <v>0.49500000000000455</v>
      </c>
      <c r="BK164" s="514">
        <f>ABS((BB164-BC164)/AX164)*100</f>
        <v>0.90881733373464024</v>
      </c>
      <c r="BL164" s="514">
        <f>((BH164-BI164)/AX164)*100</f>
        <v>1.2548901594945232</v>
      </c>
      <c r="BM164" s="514">
        <f ca="1">IF(BA164=6,(1/0.013)*((AZ164/4000)^(2/3))*((BL164/100)^(0.5)),(1/0.009)*((AZ164/4000)^(2/3))*((BL164/100)^(0.5)))</f>
        <v>2.909238389260107</v>
      </c>
      <c r="BN164" s="514">
        <f ca="1">1000*BM164*PI()*((AZ164/1000/2)^2)</f>
        <v>466.81635230158309</v>
      </c>
      <c r="BO164" s="522">
        <f ca="1">AI164/BN164</f>
        <v>6.8033003048680119E-3</v>
      </c>
      <c r="BP164" s="523">
        <f ca="1">IF(L164=0," ",AW164/BN164)</f>
        <v>0.95684308786045336</v>
      </c>
      <c r="BQ164" s="524">
        <f ca="1">IF($BO164&gt;0 =AND($BO164&lt;=0.06),10^(0.029806+0.29095*LOG($BO164)),IF($BO164&gt;0.06 =AND($BO164&lt;=0.26),10^(0.013778+0.282597*LOG($BO164)),IF($BO164&gt;0.26 =AND($BO164&lt;=0.91),10^(0.021763+0.28995*LOG($BO164)),1)))</f>
        <v>0.25074701963533719</v>
      </c>
      <c r="BR164" s="524">
        <f ca="1">IF($BP164&gt;0 =AND($BP164&lt;=0.06),10^(0.029806+0.29095*LOG($BP164)),IF($BP164&gt;0.06 =AND($BP164&lt;=0.26),10^(0.013778+0.282597*LOG($BP164)),IF($BP164&gt;0.26 =AND($BP164&lt;=2),10^(0.021763+0.28995*LOG($BP164))," ")))</f>
        <v>1.0380248915520303</v>
      </c>
      <c r="BS164" s="514">
        <f ca="1">BM164*BQ164</f>
        <v>0.72948285551568082</v>
      </c>
      <c r="BT164" s="514">
        <f ca="1">IF(BP164=" "," ",(BM164*BR164))</f>
        <v>3.0198618635107257</v>
      </c>
      <c r="BU164" s="514">
        <f ca="1">IF(BO164&lt;=0.11,0.3827+0.0645*LN(BO164),IF(BO164&lt;=0.21,0.60025+0.15471*LN(BO164),IF(BO164&lt;1,0.225+0.6666666667*BO164,0)))</f>
        <v>6.0822589759589929E-2</v>
      </c>
      <c r="BV164" s="514">
        <f ca="1">IF(BP164&lt;=0.11,0.3827+0.0645*LN(BP164),IF(BP164&lt;=0.21,0.60025+0.15471*LN(BP164),IF(BP164&lt;1,0.225+0.6666666667*BP164," ")))</f>
        <v>0.86289539193886367</v>
      </c>
      <c r="BW164" s="514">
        <f ca="1">2*ACOS(1-2*(BU164))</f>
        <v>0.99677363529866492</v>
      </c>
      <c r="BX164" s="514">
        <f ca="1">IF(BP164=" "," ",(2*ACOS(1-2*(BV164))))</f>
        <v>4.7659591228756542</v>
      </c>
      <c r="BY164" s="514">
        <f ca="1">(1/4)*(1-(SIN(BW164))/BW164)</f>
        <v>3.9389645202549756E-2</v>
      </c>
      <c r="BZ164" s="514">
        <f ca="1">IF(BP164=" "," ",((1/4)*(1-(SIN(BX164))/BX164)))</f>
        <v>0.30238008957304202</v>
      </c>
      <c r="CA164" s="510">
        <f ca="1">BY164*AZ164/1000</f>
        <v>1.7804119631552488E-2</v>
      </c>
      <c r="CB164" s="510">
        <f ca="1">IF(BP164=" "," ",(BZ164*AZ164/1000))</f>
        <v>0.13667580048701497</v>
      </c>
      <c r="CC164" s="510">
        <f ca="1">+(BT164/SQRT(9.81*(0.125*(BX164-SIN(BX164))*(AZ164/1000)^2)/((AZ164/1000)*SIN(BX164/2))))</f>
        <v>1.4012452399429143</v>
      </c>
      <c r="CD164" s="510" t="str">
        <f ca="1">IF(CC164="","",IF(CC164&lt;0.7,"F. Subcrítico",IF(AND(CC164&gt;0.7,CC164&lt;1),"F. Subcrítico Inestable",IF(CC164=1,"F. Crítico",IF(AND(CC164&gt;1,CC164&lt;1.5),"F. Supercrítico Inestable",IF(CC164&gt;1.5,"F. Supercrítico",""))))))</f>
        <v>F. Supercrítico Inestable</v>
      </c>
      <c r="CE164" s="510">
        <f ca="1">1000*BL164*CA164/100</f>
        <v>0.22342214524098472</v>
      </c>
      <c r="CF164" s="510">
        <f ca="1">IF(BP164=" "," ",(1000*BL164*CB164/100))</f>
        <v>1.7151311707219186</v>
      </c>
      <c r="CG164" s="510" t="str">
        <f ca="1">IF(BS164&lt;0.45,"No cumple",IF(BS164&gt;5,"No cumple","O.K"))</f>
        <v>O.K</v>
      </c>
      <c r="CH164" s="510" t="str">
        <f ca="1">IF(BT164&lt;0.75,"No cumple",IF(BT164&gt;10,"No cumple","O.K"))</f>
        <v>O.K</v>
      </c>
      <c r="CI164" s="510" t="str">
        <f ca="1">IF(CE164&gt;0.1,"OK","V.C.H.")</f>
        <v>OK</v>
      </c>
      <c r="CJ164" s="510" t="str">
        <f ca="1">IF(CF164&gt;0.2,"OK","V.C.H.")</f>
        <v>OK</v>
      </c>
      <c r="CK164" s="506">
        <f>+BJ164</f>
        <v>0.49500000000000455</v>
      </c>
      <c r="CL164" s="525" t="s">
        <v>2515</v>
      </c>
      <c r="CM164" s="525"/>
      <c r="CN164" s="526" t="str">
        <f>IF(B164=1,"dato"," ")</f>
        <v xml:space="preserve"> </v>
      </c>
      <c r="CO164" s="527">
        <f>+CR164</f>
        <v>99.69</v>
      </c>
      <c r="CP164" s="511"/>
      <c r="CQ164" s="525" t="s">
        <v>2508</v>
      </c>
      <c r="CR164" s="522">
        <f>IF(BA164="","",AX164)</f>
        <v>99.69</v>
      </c>
      <c r="CS164" s="528">
        <v>1.2</v>
      </c>
      <c r="CT164" s="528">
        <v>1.2</v>
      </c>
      <c r="CU164" s="519">
        <f>IF($BA164="","",SQRT((BH164-BI164)^2+$CR164^2))</f>
        <v>99.69784902895347</v>
      </c>
      <c r="CV164" s="529" t="s">
        <v>2509</v>
      </c>
      <c r="CW164" s="530" t="str">
        <f ca="1">+IF(BD164&lt;=0.9,"E1",IF(BD164&lt;=2.5,"E2","E3"))</f>
        <v>E2</v>
      </c>
      <c r="CX164" s="522">
        <f ca="1">IF(AND(L164="",H164=""),"",IF(AND(BA164&lt;&gt;4,BA164&lt;&gt;5),VLOOKUP(AY164,'TABLA (2)'!$A$9:$D$43,4),IF(BA164=4,VLOOKUP(AY164,'TABLA (2)'!$A$74:$D$89,4),VLOOKUP(AY164,'TABLA (2)'!$A$51:$D$66,4))))</f>
        <v>2.4E-2</v>
      </c>
      <c r="CY164" s="525"/>
      <c r="CZ164" s="525"/>
      <c r="DA164" s="525"/>
      <c r="DB164" s="531"/>
    </row>
    <row r="165" spans="1:106" ht="15" customHeight="1">
      <c r="A165" s="465"/>
      <c r="B165" s="491"/>
      <c r="C165" s="468"/>
      <c r="D165" s="468"/>
      <c r="E165" s="468"/>
      <c r="F165" s="468"/>
      <c r="G165" s="468"/>
      <c r="H165" s="468"/>
      <c r="I165" s="468"/>
      <c r="J165" s="468"/>
      <c r="K165" s="467"/>
      <c r="L165" s="468"/>
      <c r="M165" s="469"/>
      <c r="N165" s="470"/>
      <c r="O165" s="470"/>
      <c r="P165" s="470"/>
      <c r="Q165" s="469">
        <f t="shared" si="369"/>
        <v>140</v>
      </c>
      <c r="R165" s="471"/>
      <c r="S165" s="471"/>
      <c r="T165" s="471"/>
      <c r="U165" s="471"/>
      <c r="V165" s="471"/>
      <c r="W165" s="471"/>
      <c r="X165" s="471"/>
      <c r="Y165" s="471"/>
      <c r="Z165" s="471"/>
      <c r="AA165" s="471" t="str">
        <f t="shared" si="362"/>
        <v/>
      </c>
      <c r="AB165" s="471"/>
      <c r="AC165" s="471"/>
      <c r="AD165" s="471"/>
      <c r="AE165" s="471"/>
      <c r="AF165" s="471" t="str">
        <f t="shared" si="361"/>
        <v/>
      </c>
      <c r="AG165" s="471"/>
      <c r="AH165" s="471"/>
      <c r="AI165" s="471"/>
      <c r="AJ165" s="471"/>
      <c r="AK165" s="472"/>
      <c r="AL165" s="471"/>
      <c r="AM165" s="473"/>
      <c r="AN165" s="474"/>
      <c r="AO165" s="474"/>
      <c r="AP165" s="474"/>
      <c r="AQ165" s="475"/>
      <c r="AR165" s="474"/>
      <c r="AS165" s="474"/>
      <c r="AT165" s="471"/>
      <c r="AU165" s="492"/>
      <c r="AV165" s="471"/>
      <c r="AW165" s="471"/>
      <c r="AX165" s="478"/>
      <c r="AY165" s="493"/>
      <c r="AZ165" s="480"/>
      <c r="BA165" s="493"/>
      <c r="BB165" s="494"/>
      <c r="BC165" s="494"/>
      <c r="BD165" s="494"/>
      <c r="BE165" s="494"/>
      <c r="BF165" s="494"/>
      <c r="BG165" s="494"/>
      <c r="BH165" s="495"/>
      <c r="BI165" s="495"/>
      <c r="BJ165" s="468"/>
      <c r="BK165" s="475"/>
      <c r="BL165" s="475"/>
      <c r="BM165" s="475"/>
      <c r="BN165" s="475"/>
      <c r="BO165" s="204"/>
      <c r="BP165" s="496"/>
      <c r="BQ165" s="475"/>
      <c r="BR165" s="475"/>
      <c r="BS165" s="475"/>
      <c r="BT165" s="475"/>
      <c r="BU165" s="475"/>
      <c r="BV165" s="475"/>
      <c r="BW165" s="475"/>
      <c r="BX165" s="475"/>
      <c r="BY165" s="475"/>
      <c r="BZ165" s="475"/>
      <c r="CA165" s="471"/>
      <c r="CB165" s="471"/>
      <c r="CC165" s="471"/>
      <c r="CD165" s="471"/>
      <c r="CE165" s="471"/>
      <c r="CF165" s="471"/>
      <c r="CG165" s="471"/>
      <c r="CH165" s="471"/>
      <c r="CI165" s="471"/>
      <c r="CJ165" s="471"/>
      <c r="CK165" s="468"/>
      <c r="CL165" s="482"/>
      <c r="CM165" s="482"/>
      <c r="CN165" s="63"/>
      <c r="CO165" s="498"/>
      <c r="CP165" s="472"/>
      <c r="CQ165" s="482"/>
      <c r="CR165" s="204"/>
      <c r="CS165" s="486"/>
      <c r="CT165" s="486"/>
      <c r="CU165" s="23"/>
      <c r="CV165" s="499"/>
      <c r="CW165" s="488"/>
      <c r="CX165" s="204"/>
      <c r="CY165" s="482"/>
      <c r="CZ165" s="482"/>
      <c r="DA165" s="482"/>
      <c r="DB165" s="490"/>
    </row>
    <row r="166" spans="1:106" ht="15" hidden="1" customHeight="1">
      <c r="A166" s="465">
        <f>+A164+1</f>
        <v>101</v>
      </c>
      <c r="B166" s="491">
        <v>1</v>
      </c>
      <c r="C166" s="466" t="s">
        <v>2140</v>
      </c>
      <c r="D166" s="466" t="s">
        <v>2141</v>
      </c>
      <c r="E166" s="468">
        <v>9.84984E-2</v>
      </c>
      <c r="F166" s="468"/>
      <c r="G166" s="468">
        <f t="shared" ref="G166:G172" si="372">IF(B166=1,0,SUMIF($D$22:$D$583,C166,$H$22:$H$583))</f>
        <v>0</v>
      </c>
      <c r="H166" s="468">
        <f t="shared" ref="H166:H172" si="373">+E166+F166+G166</f>
        <v>9.84984E-2</v>
      </c>
      <c r="I166" s="468">
        <v>9.84984E-2</v>
      </c>
      <c r="J166" s="468"/>
      <c r="K166" s="467">
        <f t="shared" ref="K166:K172" si="374">+IF(B166=1,0,SUMIF($D$22:$D$583,C166,$L$22:$L$580))</f>
        <v>0</v>
      </c>
      <c r="L166" s="468">
        <f t="shared" ref="L166:L172" si="375">+I166+J166+K166</f>
        <v>9.84984E-2</v>
      </c>
      <c r="M166" s="469">
        <f t="shared" ref="M166:M172" si="376">+$P$12</f>
        <v>242.33666300502347</v>
      </c>
      <c r="N166" s="470">
        <f t="shared" ref="N166:N172" si="377">M166*E166</f>
        <v>23.869773567334004</v>
      </c>
      <c r="O166" s="470">
        <f t="shared" ref="O166:O172" si="378">M166*F166</f>
        <v>0</v>
      </c>
      <c r="P166" s="470">
        <f t="shared" ref="P166:P172" si="379">M166*H166</f>
        <v>23.869773567334004</v>
      </c>
      <c r="Q166" s="469">
        <f t="shared" si="369"/>
        <v>140</v>
      </c>
      <c r="R166" s="471">
        <f t="shared" ref="R166:R172" si="380">Q166*P166*$P$14/86400</f>
        <v>3.2876192760564193E-2</v>
      </c>
      <c r="S166" s="471"/>
      <c r="T166" s="471"/>
      <c r="U166" s="471">
        <f t="shared" ref="U166:U172" si="381">IF(C166="","",T166*$P$17)</f>
        <v>0</v>
      </c>
      <c r="V166" s="471"/>
      <c r="W166" s="471"/>
      <c r="X166" s="471">
        <f t="shared" ref="X166:X172" si="382">IF(C166="","",W166*$P$16)</f>
        <v>0</v>
      </c>
      <c r="Y166" s="471">
        <f t="shared" ref="Y166:Y172" si="383">IF(H166=0,0,$H$15*H166)</f>
        <v>1.9699680000000001E-2</v>
      </c>
      <c r="Z166" s="471">
        <f t="shared" ref="Z166:Z172" si="384">IF(L166=0,$H$16*H166,0)</f>
        <v>0</v>
      </c>
      <c r="AA166" s="471">
        <f t="shared" si="362"/>
        <v>3.8</v>
      </c>
      <c r="AB166" s="471">
        <f t="shared" ref="AB166:AB172" si="385">R166*AA166</f>
        <v>0.12492953249014394</v>
      </c>
      <c r="AC166" s="471">
        <f t="shared" ref="AC166:AC172" si="386">Q166*(N166+O166)*$P$14/86400</f>
        <v>3.2876192760564193E-2</v>
      </c>
      <c r="AD166" s="471">
        <f t="shared" ref="AD166:AE172" si="387">IF(E166=0,0,$H$15*(E166+F166))</f>
        <v>1.9699680000000001E-2</v>
      </c>
      <c r="AE166" s="471">
        <f t="shared" si="387"/>
        <v>0</v>
      </c>
      <c r="AF166" s="510">
        <f t="shared" si="361"/>
        <v>3.8</v>
      </c>
      <c r="AG166" s="471">
        <f t="shared" ref="AG166:AG172" si="388">AC166*AF166</f>
        <v>0.12492953249014394</v>
      </c>
      <c r="AH166" s="471">
        <f t="shared" ref="AH166:AH172" si="389">+AD166+AE166+AG166</f>
        <v>0.14462921249014393</v>
      </c>
      <c r="AI166" s="471">
        <f t="shared" ref="AI166:AI172" si="390">IF(H166="","",IF(AB166+Y166+Z166+X166+U166&lt;1.5,1.5,AB166+Y166+Z166+X166+U166))</f>
        <v>1.5</v>
      </c>
      <c r="AJ166" s="471">
        <f t="shared" ref="AJ166:AJ172" si="391">+$P$17</f>
        <v>0.75</v>
      </c>
      <c r="AK166" s="472">
        <f t="shared" ref="AK166:AK172" si="392">+BK166/100</f>
        <v>3.2954545454541316E-2</v>
      </c>
      <c r="AL166" s="471">
        <f t="shared" ref="AL166:AL172" si="393">IF(AJ166=0," ",0.14+0.65*AJ166+0.05*AK166)</f>
        <v>0.62914772727272716</v>
      </c>
      <c r="AM166" s="473">
        <f t="shared" ref="AM166:AM180" si="394">((100/36)*$AM$14*(AP166+$AN$14)^$AO$14)</f>
        <v>336.32613267542746</v>
      </c>
      <c r="AN166" s="474">
        <f t="shared" ref="AN166:AN180" si="395">IF(B166=1,IF((0.702*(1.1-$AJ166)*SQRT($CO166))/(($CP166)^(1/3))&lt;5,5,(0.702*(1.1-$AJ166)*SQRT($CO166))/(($CP166)^(1/3))),AP165)</f>
        <v>5</v>
      </c>
      <c r="AO166" s="474">
        <f t="shared" ref="AO166:AO172" si="396">((1/60)*$AX166/$AQ166)</f>
        <v>9.7777777777777783E-2</v>
      </c>
      <c r="AP166" s="474">
        <f t="shared" ref="AP166:AP172" si="397">IF(B166=1,IF(($AN166+$AO166)&lt;10,10,IF(($AN166+$AO166)&gt;20,20,($AN166+$AO166))),($AN166+$AO166))</f>
        <v>10</v>
      </c>
      <c r="AQ166" s="475">
        <v>3</v>
      </c>
      <c r="AR166" s="474">
        <f t="shared" ref="AR166:AR172" si="398">((1/60)*$AX166/$BT166)</f>
        <v>0.14204287505477639</v>
      </c>
      <c r="AS166" s="474">
        <f t="shared" ref="AS166:AS172" si="399">AO166/AR166</f>
        <v>0.68836805605400109</v>
      </c>
      <c r="AT166" s="471" t="str">
        <f t="shared" ref="AT166:AT172" si="400">IF(AS166&lt;0.9,"Disminuir vel.",IF(AS166&gt;1.1,"Aumentar vel.","Cumple"))</f>
        <v>Disminuir vel.</v>
      </c>
      <c r="AU166" s="492">
        <f t="shared" ref="AU166:AU172" si="401">+I166*AL166*AM166</f>
        <v>20.842145408409138</v>
      </c>
      <c r="AV166" s="471">
        <f t="shared" ref="AV166:AV172" si="402">+L166*AL166*AM166</f>
        <v>20.842145408409138</v>
      </c>
      <c r="AW166" s="510">
        <f t="shared" ref="AW166:AW197" si="403">ROUND(IF(AI166&gt;(AV166*0.05),(AV166+AI166),AV166),2)</f>
        <v>22.34</v>
      </c>
      <c r="AX166" s="478">
        <f>IF(OR(C166="",D166=""),"",ROUND(((VLOOKUP(C166,'Base de Diseño (2)'!$A$2:$C$333,2,FALSE)-VLOOKUP(D166,'Base de Diseño (2)'!$A$2:$C$333,2,FALSE))^2+(VLOOKUP(C166,'Base de Diseño (2)'!$A$2:$C$333,3,0)-VLOOKUP(D166,'Base de Diseño (2)'!$A$2:$C$333,3,FALSE))^2)^0.5,2))</f>
        <v>17.600000000000001</v>
      </c>
      <c r="AY166" s="493">
        <v>8</v>
      </c>
      <c r="AZ166" s="480">
        <f>IF(AND(L166="",H166=""),"",IF(BA166=4,VLOOKUP(AY166,'TABLA (2)'!$A$74:$C$89,2),IF(BA166=5,VLOOKUP(AY166,'TABLA (2)'!$A$51:$B$66,2),IF(BA166=6,VLOOKUP(AY166,'TABLA (2)'!$A$9:$B$43,2)))))</f>
        <v>200</v>
      </c>
      <c r="BA166" s="493">
        <v>6</v>
      </c>
      <c r="BB166" s="478">
        <f>IF(OR(C166="",D166=""),"",VLOOKUP(C166,'Base de Diseño (2)'!$A$2:$D$330,4,FALSE))</f>
        <v>983.6816</v>
      </c>
      <c r="BC166" s="478">
        <f>IF(OR(C166="",D166=""),"",VLOOKUP(D166,'Base de Diseño (2)'!$A$2:$D$330,4,FALSE))</f>
        <v>983.10160000000008</v>
      </c>
      <c r="BD166" s="23">
        <f t="shared" ref="BD166:BD172" si="404">+BF166-((AZ166/1000)+CX166)</f>
        <v>0.55299999999996363</v>
      </c>
      <c r="BE166" s="23">
        <f t="shared" ref="BE166:BE172" si="405">+BG166-((AZ166/1000)+CX166)</f>
        <v>1.432999999999959</v>
      </c>
      <c r="BF166" s="494">
        <v>0.78999999999996362</v>
      </c>
      <c r="BG166" s="494">
        <v>1.6699999999999591</v>
      </c>
      <c r="BH166" s="495">
        <f t="shared" ref="BH166:BI172" si="406">BB166-BF166</f>
        <v>982.89160000000004</v>
      </c>
      <c r="BI166" s="495">
        <f t="shared" si="406"/>
        <v>981.43160000000012</v>
      </c>
      <c r="BJ166" s="468">
        <f t="shared" ref="BJ166:BJ172" si="407">IF(A166="",0,BI166-BH167)</f>
        <v>3.0000000000086402E-2</v>
      </c>
      <c r="BK166" s="475">
        <f t="shared" ref="BK166:BK172" si="408">ABS((BB166-BC166)/AX166)*100</f>
        <v>3.2954545454541315</v>
      </c>
      <c r="BL166" s="475">
        <f t="shared" ref="BL166:BL172" si="409">((BH166-BI166)/AX166)*100</f>
        <v>8.2954545454541062</v>
      </c>
      <c r="BM166" s="475">
        <f t="shared" ref="BM166:BM172" si="410">IF(BA166=6,(1/0.013)*((AZ166/4000)^(2/3))*((BL166/100)^(0.5)),(1/0.009)*((AZ166/4000)^(2/3))*((BL166/100)^(0.5)))</f>
        <v>3.0069306452958111</v>
      </c>
      <c r="BN166" s="475">
        <f t="shared" ref="BN166:BN172" si="411">1000*BM166*PI()*((AZ166/1000/2)^2)</f>
        <v>94.46551225115337</v>
      </c>
      <c r="BO166" s="204">
        <f t="shared" ref="BO166:BO172" si="412">AI166/BN166</f>
        <v>1.5878810840637619E-2</v>
      </c>
      <c r="BP166" s="496">
        <f t="shared" ref="BP166:BP172" si="413">IF(L166=0," ",AW166/BN166)</f>
        <v>0.23648842278656296</v>
      </c>
      <c r="BQ166" s="497">
        <f t="shared" ref="BQ166:BQ172" si="414">IF($BO166&gt;0 =AND($BO166&lt;=0.06),10^(0.029806+0.29095*LOG($BO166)),IF($BO166&gt;0.06 =AND($BO166&lt;=0.26),10^(0.013778+0.282597*LOG($BO166)),IF($BO166&gt;0.26 =AND($BO166&lt;=0.91),10^(0.021763+0.28995*LOG($BO166)),1)))</f>
        <v>0.32087360224948674</v>
      </c>
      <c r="BR166" s="497">
        <f t="shared" ref="BR166:BR172" si="415">IF($BP166&gt;0 =AND($BP166&lt;=0.06),10^(0.029806+0.29095*LOG($BP166)),IF($BP166&gt;0.06 =AND($BP166&lt;=0.26),10^(0.013778+0.282597*LOG($BP166)),IF($BP166&gt;0.26 =AND($BP166&lt;=2),10^(0.021763+0.28995*LOG($BP166))," ")))</f>
        <v>0.6867814431944923</v>
      </c>
      <c r="BS166" s="475">
        <f t="shared" ref="BS166:BS172" si="416">BM166*BQ166</f>
        <v>0.96484466787044065</v>
      </c>
      <c r="BT166" s="475">
        <f t="shared" ref="BT166:BT172" si="417">IF(BP166=" "," ",(BM166*BR166))</f>
        <v>2.0651041681620033</v>
      </c>
      <c r="BU166" s="475">
        <f t="shared" ref="BU166:BU172" si="418">IF(BO166&lt;=0.11,0.3827+0.0645*LN(BO166),IF(BO166&lt;=0.21,0.60025+0.15471*LN(BO166),IF(BO166&lt;1,0.225+0.6666666667*BO166,0)))</f>
        <v>0.1154913537012634</v>
      </c>
      <c r="BV166" s="475">
        <f t="shared" ref="BV166:BV172" si="419">IF(BP166&lt;=0.11,0.3827+0.0645*LN(BP166),IF(BP166&lt;=0.21,0.60025+0.15471*LN(BP166),IF(BP166&lt;1,0.225+0.6666666667*BP166," ")))</f>
        <v>0.38265894853225824</v>
      </c>
      <c r="BW166" s="475">
        <f t="shared" ref="BW166:BW172" si="420">2*ACOS(1-2*(BU166))</f>
        <v>1.3869878695783486</v>
      </c>
      <c r="BX166" s="475">
        <f t="shared" ref="BX166:BX172" si="421">IF(BP166=" "," ",(2*ACOS(1-2*(BV166))))</f>
        <v>2.6678096038552361</v>
      </c>
      <c r="BY166" s="475">
        <f t="shared" ref="BY166:BY172" si="422">(1/4)*(1-(SIN(BW166))/BW166)</f>
        <v>7.2789594175013739E-2</v>
      </c>
      <c r="BZ166" s="475">
        <f t="shared" ref="BZ166:BZ172" si="423">IF(BP166=" "," ",((1/4)*(1-(SIN(BX166))/BX166)))</f>
        <v>0.2072443360349478</v>
      </c>
      <c r="CA166" s="471">
        <f t="shared" ref="CA166:CA172" si="424">BY166*AZ166/1000</f>
        <v>1.4557918835002749E-2</v>
      </c>
      <c r="CB166" s="471">
        <f t="shared" ref="CB166:CB172" si="425">IF(BP166=" "," ",(BZ166*AZ166/1000))</f>
        <v>4.1448867206989565E-2</v>
      </c>
      <c r="CC166" s="471">
        <f t="shared" ref="CC166:CC180" si="426">+(BT166/SQRT(9.81*(0.125*(BX166-SIN(BX166))*(AZ166/1000)^2)/((AZ166/1000)*SIN(BX166/2))))</f>
        <v>2.7646360340906635</v>
      </c>
      <c r="CD166" s="471" t="str">
        <f t="shared" ref="CD166:CD172" si="427">IF(CC166="","",IF(CC166&lt;0.7,"F. Subcrítico",IF(AND(CC166&gt;0.7,CC166&lt;1),"F. Subcrítico Inestable",IF(CC166=1,"F. Crítico",IF(AND(CC166&gt;1,CC166&lt;1.5),"F. Supercrítico Inestable",IF(CC166&gt;1.5,"F. Supercrítico",""))))))</f>
        <v>F. Supercrítico</v>
      </c>
      <c r="CE166" s="471">
        <f t="shared" ref="CE166:CE172" si="428">1000*BL166*CA166/100</f>
        <v>1.2076455397217549</v>
      </c>
      <c r="CF166" s="471">
        <f t="shared" ref="CF166:CF172" si="429">IF(BP166=" "," ",(1000*BL166*CB166/100))</f>
        <v>3.4383719387614518</v>
      </c>
      <c r="CG166" s="471" t="str">
        <f t="shared" ref="CG166:CG172" si="430">IF(BS166&lt;0.45,"No cumple",IF(BS166&gt;5,"No cumple","O.K"))</f>
        <v>O.K</v>
      </c>
      <c r="CH166" s="471" t="str">
        <f t="shared" ref="CH166:CH172" si="431">IF(BT166&lt;0.75,"No cumple",IF(BT166&gt;10,"No cumple","O.K"))</f>
        <v>O.K</v>
      </c>
      <c r="CI166" s="471" t="str">
        <f t="shared" ref="CI166:CI172" si="432">IF(CE166&gt;0.1,"OK","V.C.H.")</f>
        <v>OK</v>
      </c>
      <c r="CJ166" s="471" t="str">
        <f t="shared" ref="CJ166:CJ172" si="433">IF(CF166&gt;0.2,"OK","V.C.H.")</f>
        <v>OK</v>
      </c>
      <c r="CK166" s="468">
        <f t="shared" ref="CK166:CK172" si="434">+BJ166</f>
        <v>3.0000000000086402E-2</v>
      </c>
      <c r="CL166" s="482" t="s">
        <v>2507</v>
      </c>
      <c r="CM166" s="482"/>
      <c r="CN166" s="63" t="str">
        <f t="shared" ref="CN166:CN172" si="435">IF(B166=1,"dato"," ")</f>
        <v>dato</v>
      </c>
      <c r="CO166" s="498">
        <f t="shared" ref="CO166:CO172" si="436">+CR166</f>
        <v>17.600000000000001</v>
      </c>
      <c r="CP166" s="472">
        <f t="shared" ref="CP166:CP172" si="437">+BK166/100</f>
        <v>3.2954545454541316E-2</v>
      </c>
      <c r="CQ166" s="482" t="s">
        <v>2508</v>
      </c>
      <c r="CR166" s="204">
        <f t="shared" ref="CR166:CR172" si="438">IF(BA166="","",AX166)</f>
        <v>17.600000000000001</v>
      </c>
      <c r="CS166" s="486">
        <v>1.2</v>
      </c>
      <c r="CT166" s="486">
        <v>1.2</v>
      </c>
      <c r="CU166" s="23">
        <f t="shared" ref="CU166:CU172" si="439">IF($BA166="","",SQRT((BH166-BI166)^2+$CR166^2))</f>
        <v>17.660452995322622</v>
      </c>
      <c r="CV166" s="499" t="s">
        <v>2509</v>
      </c>
      <c r="CW166" s="488" t="str">
        <f t="shared" ref="CW166:CW172" si="440">+IF(BD166&lt;=0.9,"E1",IF(BD166&lt;=2.5,"E2","E3"))</f>
        <v>E1</v>
      </c>
      <c r="CX166" s="204">
        <f>IF(AND(L166="",H166=""),"",IF(AND(BA166&lt;&gt;4,BA166&lt;&gt;5),VLOOKUP(AY166,'TABLA (2)'!$A$9:$D$43,4),IF(BA166=4,VLOOKUP(AY166,'TABLA (2)'!$A$74:$D$89,4),VLOOKUP(AY166,'TABLA (2)'!$A$51:$D$66,4))))</f>
        <v>3.6999999999999998E-2</v>
      </c>
      <c r="CY166" s="482"/>
      <c r="CZ166" s="482"/>
      <c r="DA166" s="482"/>
      <c r="DB166" s="490"/>
    </row>
    <row r="167" spans="1:106" ht="15" hidden="1" customHeight="1">
      <c r="A167" s="465">
        <f t="shared" ref="A167:A172" si="441">+A166+1</f>
        <v>102</v>
      </c>
      <c r="B167" s="491"/>
      <c r="C167" s="466" t="s">
        <v>2141</v>
      </c>
      <c r="D167" s="466" t="s">
        <v>2142</v>
      </c>
      <c r="E167" s="468"/>
      <c r="F167" s="468"/>
      <c r="G167" s="468">
        <f t="shared" si="372"/>
        <v>9.84984E-2</v>
      </c>
      <c r="H167" s="468">
        <f t="shared" si="373"/>
        <v>9.84984E-2</v>
      </c>
      <c r="I167" s="468"/>
      <c r="J167" s="468"/>
      <c r="K167" s="467">
        <f t="shared" ca="1" si="374"/>
        <v>9.84984E-2</v>
      </c>
      <c r="L167" s="468">
        <f t="shared" ca="1" si="375"/>
        <v>9.84984E-2</v>
      </c>
      <c r="M167" s="469">
        <f t="shared" si="376"/>
        <v>242.33666300502347</v>
      </c>
      <c r="N167" s="470">
        <f t="shared" si="377"/>
        <v>0</v>
      </c>
      <c r="O167" s="470">
        <f t="shared" si="378"/>
        <v>0</v>
      </c>
      <c r="P167" s="470">
        <f t="shared" si="379"/>
        <v>23.869773567334004</v>
      </c>
      <c r="Q167" s="469">
        <f t="shared" si="369"/>
        <v>140</v>
      </c>
      <c r="R167" s="471">
        <f t="shared" si="380"/>
        <v>3.2876192760564193E-2</v>
      </c>
      <c r="S167" s="471"/>
      <c r="T167" s="471"/>
      <c r="U167" s="471">
        <f t="shared" si="381"/>
        <v>0</v>
      </c>
      <c r="V167" s="471"/>
      <c r="W167" s="471"/>
      <c r="X167" s="471">
        <f t="shared" si="382"/>
        <v>0</v>
      </c>
      <c r="Y167" s="471">
        <f t="shared" si="383"/>
        <v>1.9699680000000001E-2</v>
      </c>
      <c r="Z167" s="471">
        <f t="shared" ca="1" si="384"/>
        <v>0</v>
      </c>
      <c r="AA167" s="471">
        <f t="shared" si="362"/>
        <v>3.8</v>
      </c>
      <c r="AB167" s="471">
        <f t="shared" si="385"/>
        <v>0.12492953249014394</v>
      </c>
      <c r="AC167" s="471">
        <f t="shared" si="386"/>
        <v>0</v>
      </c>
      <c r="AD167" s="471">
        <f t="shared" si="387"/>
        <v>0</v>
      </c>
      <c r="AE167" s="471">
        <f t="shared" si="387"/>
        <v>0</v>
      </c>
      <c r="AF167" s="510">
        <f t="shared" si="361"/>
        <v>3.8</v>
      </c>
      <c r="AG167" s="471">
        <f t="shared" si="388"/>
        <v>0</v>
      </c>
      <c r="AH167" s="471">
        <f t="shared" si="389"/>
        <v>0</v>
      </c>
      <c r="AI167" s="471">
        <f t="shared" ca="1" si="390"/>
        <v>1.5</v>
      </c>
      <c r="AJ167" s="471">
        <f t="shared" si="391"/>
        <v>0.75</v>
      </c>
      <c r="AK167" s="472">
        <f t="shared" si="392"/>
        <v>2.0822752666332246E-2</v>
      </c>
      <c r="AL167" s="471">
        <f t="shared" si="393"/>
        <v>0.62854113763331665</v>
      </c>
      <c r="AM167" s="473">
        <f t="shared" si="394"/>
        <v>335.24366804390581</v>
      </c>
      <c r="AN167" s="474">
        <f t="shared" si="395"/>
        <v>10</v>
      </c>
      <c r="AO167" s="474">
        <f t="shared" si="396"/>
        <v>0.10938888888888888</v>
      </c>
      <c r="AP167" s="474">
        <f t="shared" si="397"/>
        <v>10.109388888888889</v>
      </c>
      <c r="AQ167" s="475">
        <v>3</v>
      </c>
      <c r="AR167" s="474">
        <f t="shared" ca="1" si="398"/>
        <v>0.29156581078763677</v>
      </c>
      <c r="AS167" s="474">
        <f t="shared" ca="1" si="399"/>
        <v>0.37517735221899101</v>
      </c>
      <c r="AT167" s="471" t="str">
        <f t="shared" ca="1" si="400"/>
        <v>Disminuir vel.</v>
      </c>
      <c r="AU167" s="492">
        <f t="shared" si="401"/>
        <v>0</v>
      </c>
      <c r="AV167" s="471">
        <f t="shared" ca="1" si="402"/>
        <v>20.755034851824835</v>
      </c>
      <c r="AW167" s="510">
        <f t="shared" ca="1" si="403"/>
        <v>22.26</v>
      </c>
      <c r="AX167" s="478">
        <f>IF(OR(C167="",D167=""),"",ROUND(((VLOOKUP(C167,'Base de Diseño (2)'!$A$2:$C$333,2,FALSE)-VLOOKUP(D167,'Base de Diseño (2)'!$A$2:$C$333,2,FALSE))^2+(VLOOKUP(C167,'Base de Diseño (2)'!$A$2:$C$333,3,0)-VLOOKUP(D167,'Base de Diseño (2)'!$A$2:$C$333,3,FALSE))^2)^0.5,2))</f>
        <v>19.690000000000001</v>
      </c>
      <c r="AY167" s="493">
        <v>8</v>
      </c>
      <c r="AZ167" s="480">
        <f ca="1">IF(AND(L167="",H167=""),"",IF(BA167=4,VLOOKUP(AY167,'TABLA (2)'!$A$74:$C$89,2),IF(BA167=5,VLOOKUP(AY167,'TABLA (2)'!$A$51:$B$66,2),IF(BA167=6,VLOOKUP(AY167,'TABLA (2)'!$A$9:$B$43,2)))))</f>
        <v>200</v>
      </c>
      <c r="BA167" s="493">
        <v>6</v>
      </c>
      <c r="BB167" s="478">
        <f>IF(OR(C167="",D167=""),"",VLOOKUP(C167,'Base de Diseño (2)'!$A$2:$D$330,4,FALSE))</f>
        <v>983.10160000000008</v>
      </c>
      <c r="BC167" s="478">
        <f>IF(OR(C167="",D167=""),"",VLOOKUP(D167,'Base de Diseño (2)'!$A$2:$D$330,4,FALSE))</f>
        <v>982.69159999999999</v>
      </c>
      <c r="BD167" s="23">
        <f t="shared" ca="1" si="404"/>
        <v>1.4630000000000454</v>
      </c>
      <c r="BE167" s="23">
        <f t="shared" ca="1" si="405"/>
        <v>1.3430000000000408</v>
      </c>
      <c r="BF167" s="494">
        <v>1.7000000000000455</v>
      </c>
      <c r="BG167" s="494">
        <v>1.5800000000000409</v>
      </c>
      <c r="BH167" s="495">
        <f t="shared" si="406"/>
        <v>981.40160000000003</v>
      </c>
      <c r="BI167" s="495">
        <f t="shared" si="406"/>
        <v>981.11159999999995</v>
      </c>
      <c r="BJ167" s="468">
        <f t="shared" si="407"/>
        <v>5.999999999994543E-2</v>
      </c>
      <c r="BK167" s="475">
        <f t="shared" si="408"/>
        <v>2.0822752666332245</v>
      </c>
      <c r="BL167" s="475">
        <f t="shared" si="409"/>
        <v>1.4728288471309157</v>
      </c>
      <c r="BM167" s="475">
        <f t="shared" ca="1" si="410"/>
        <v>1.2670082948473473</v>
      </c>
      <c r="BN167" s="475">
        <f t="shared" ca="1" si="411"/>
        <v>39.804239511297574</v>
      </c>
      <c r="BO167" s="204">
        <f t="shared" ca="1" si="412"/>
        <v>3.7684428051294822E-2</v>
      </c>
      <c r="BP167" s="496">
        <f t="shared" ca="1" si="413"/>
        <v>0.55923691228121519</v>
      </c>
      <c r="BQ167" s="497">
        <f t="shared" ca="1" si="414"/>
        <v>0.41261053556384902</v>
      </c>
      <c r="BR167" s="497">
        <f t="shared" ca="1" si="415"/>
        <v>0.88833834887606666</v>
      </c>
      <c r="BS167" s="475">
        <f t="shared" ca="1" si="416"/>
        <v>0.52278097110080313</v>
      </c>
      <c r="BT167" s="475">
        <f t="shared" ca="1" si="417"/>
        <v>1.1255320566569731</v>
      </c>
      <c r="BU167" s="475">
        <f t="shared" ca="1" si="418"/>
        <v>0.17123621343135662</v>
      </c>
      <c r="BV167" s="475">
        <f t="shared" ca="1" si="419"/>
        <v>0.59782460820611805</v>
      </c>
      <c r="BW167" s="475">
        <f t="shared" ca="1" si="420"/>
        <v>1.7065276873836925</v>
      </c>
      <c r="BX167" s="475">
        <f t="shared" ca="1" si="421"/>
        <v>3.5354314875180326</v>
      </c>
      <c r="BY167" s="475">
        <f t="shared" ca="1" si="422"/>
        <v>0.10485107574309596</v>
      </c>
      <c r="BZ167" s="475">
        <f t="shared" ca="1" si="423"/>
        <v>0.27713503137377299</v>
      </c>
      <c r="CA167" s="471">
        <f t="shared" ca="1" si="424"/>
        <v>2.0970215148619194E-2</v>
      </c>
      <c r="CB167" s="471">
        <f t="shared" ca="1" si="425"/>
        <v>5.5427006274754595E-2</v>
      </c>
      <c r="CC167" s="471">
        <f t="shared" ca="1" si="426"/>
        <v>1.1368908137141442</v>
      </c>
      <c r="CD167" s="471" t="str">
        <f t="shared" ca="1" si="427"/>
        <v>F. Supercrítico Inestable</v>
      </c>
      <c r="CE167" s="471">
        <f t="shared" ca="1" si="428"/>
        <v>0.3088553780142807</v>
      </c>
      <c r="CF167" s="471">
        <f t="shared" ca="1" si="429"/>
        <v>0.81634493751564829</v>
      </c>
      <c r="CG167" s="471" t="str">
        <f t="shared" ca="1" si="430"/>
        <v>O.K</v>
      </c>
      <c r="CH167" s="471" t="str">
        <f t="shared" ca="1" si="431"/>
        <v>O.K</v>
      </c>
      <c r="CI167" s="471" t="str">
        <f t="shared" ca="1" si="432"/>
        <v>OK</v>
      </c>
      <c r="CJ167" s="471" t="str">
        <f t="shared" ca="1" si="433"/>
        <v>OK</v>
      </c>
      <c r="CK167" s="468">
        <f t="shared" si="434"/>
        <v>5.999999999994543E-2</v>
      </c>
      <c r="CL167" s="482" t="s">
        <v>2507</v>
      </c>
      <c r="CM167" s="482"/>
      <c r="CN167" s="63" t="str">
        <f t="shared" si="435"/>
        <v xml:space="preserve"> </v>
      </c>
      <c r="CO167" s="498">
        <f t="shared" si="436"/>
        <v>19.690000000000001</v>
      </c>
      <c r="CP167" s="472">
        <f t="shared" si="437"/>
        <v>2.0822752666332246E-2</v>
      </c>
      <c r="CQ167" s="482" t="s">
        <v>2508</v>
      </c>
      <c r="CR167" s="204">
        <f t="shared" si="438"/>
        <v>19.690000000000001</v>
      </c>
      <c r="CS167" s="486">
        <v>1.2</v>
      </c>
      <c r="CT167" s="486">
        <v>1.2</v>
      </c>
      <c r="CU167" s="23">
        <f t="shared" si="439"/>
        <v>19.69213548602589</v>
      </c>
      <c r="CV167" s="499" t="s">
        <v>2509</v>
      </c>
      <c r="CW167" s="488" t="str">
        <f t="shared" ca="1" si="440"/>
        <v>E2</v>
      </c>
      <c r="CX167" s="204">
        <f ca="1">IF(AND(L167="",H167=""),"",IF(AND(BA167&lt;&gt;4,BA167&lt;&gt;5),VLOOKUP(AY167,'TABLA (2)'!$A$9:$D$43,4),IF(BA167=4,VLOOKUP(AY167,'TABLA (2)'!$A$74:$D$89,4),VLOOKUP(AY167,'TABLA (2)'!$A$51:$D$66,4))))</f>
        <v>3.6999999999999998E-2</v>
      </c>
      <c r="CY167" s="482"/>
      <c r="CZ167" s="482"/>
      <c r="DA167" s="482"/>
      <c r="DB167" s="490"/>
    </row>
    <row r="168" spans="1:106" ht="15" hidden="1" customHeight="1">
      <c r="A168" s="465">
        <f t="shared" si="441"/>
        <v>103</v>
      </c>
      <c r="B168" s="491"/>
      <c r="C168" s="466" t="s">
        <v>2142</v>
      </c>
      <c r="D168" s="466" t="s">
        <v>2143</v>
      </c>
      <c r="E168" s="468"/>
      <c r="F168" s="468"/>
      <c r="G168" s="468">
        <f t="shared" si="372"/>
        <v>0.1592383</v>
      </c>
      <c r="H168" s="468">
        <f t="shared" si="373"/>
        <v>0.1592383</v>
      </c>
      <c r="I168" s="468"/>
      <c r="J168" s="468"/>
      <c r="K168" s="467">
        <f t="shared" ca="1" si="374"/>
        <v>0.1592383</v>
      </c>
      <c r="L168" s="468">
        <f t="shared" ca="1" si="375"/>
        <v>0.1592383</v>
      </c>
      <c r="M168" s="469">
        <f t="shared" si="376"/>
        <v>242.33666300502347</v>
      </c>
      <c r="N168" s="470">
        <f t="shared" si="377"/>
        <v>0</v>
      </c>
      <c r="O168" s="470">
        <f t="shared" si="378"/>
        <v>0</v>
      </c>
      <c r="P168" s="470">
        <f t="shared" si="379"/>
        <v>38.589278244592826</v>
      </c>
      <c r="Q168" s="469">
        <f t="shared" si="369"/>
        <v>140</v>
      </c>
      <c r="R168" s="471">
        <f t="shared" si="380"/>
        <v>5.3149584619288731E-2</v>
      </c>
      <c r="S168" s="471"/>
      <c r="T168" s="471"/>
      <c r="U168" s="471">
        <f t="shared" si="381"/>
        <v>0</v>
      </c>
      <c r="V168" s="471"/>
      <c r="W168" s="471"/>
      <c r="X168" s="471">
        <f t="shared" si="382"/>
        <v>0</v>
      </c>
      <c r="Y168" s="471">
        <f t="shared" si="383"/>
        <v>3.184766E-2</v>
      </c>
      <c r="Z168" s="471">
        <f t="shared" ca="1" si="384"/>
        <v>0</v>
      </c>
      <c r="AA168" s="471">
        <f t="shared" si="362"/>
        <v>3.8</v>
      </c>
      <c r="AB168" s="471">
        <f t="shared" si="385"/>
        <v>0.20196842155329717</v>
      </c>
      <c r="AC168" s="471">
        <f t="shared" si="386"/>
        <v>0</v>
      </c>
      <c r="AD168" s="471">
        <f t="shared" si="387"/>
        <v>0</v>
      </c>
      <c r="AE168" s="471">
        <f t="shared" si="387"/>
        <v>0</v>
      </c>
      <c r="AF168" s="510">
        <f t="shared" si="361"/>
        <v>3.8</v>
      </c>
      <c r="AG168" s="471">
        <f t="shared" si="388"/>
        <v>0</v>
      </c>
      <c r="AH168" s="471">
        <f t="shared" si="389"/>
        <v>0</v>
      </c>
      <c r="AI168" s="471">
        <f t="shared" ca="1" si="390"/>
        <v>1.5</v>
      </c>
      <c r="AJ168" s="471">
        <f t="shared" si="391"/>
        <v>0.75</v>
      </c>
      <c r="AK168" s="472">
        <f t="shared" si="392"/>
        <v>1.4598540145983187E-2</v>
      </c>
      <c r="AL168" s="471">
        <f t="shared" si="393"/>
        <v>0.62822992700729918</v>
      </c>
      <c r="AM168" s="473">
        <f t="shared" si="394"/>
        <v>334.12102069366847</v>
      </c>
      <c r="AN168" s="474">
        <f t="shared" si="395"/>
        <v>10.109388888888889</v>
      </c>
      <c r="AO168" s="474">
        <f t="shared" si="396"/>
        <v>0.11416666666666668</v>
      </c>
      <c r="AP168" s="474">
        <f t="shared" si="397"/>
        <v>10.223555555555555</v>
      </c>
      <c r="AQ168" s="475">
        <v>3</v>
      </c>
      <c r="AR168" s="474">
        <f t="shared" ca="1" si="398"/>
        <v>0.23877513664443986</v>
      </c>
      <c r="AS168" s="474">
        <f t="shared" ca="1" si="399"/>
        <v>0.47813465116626569</v>
      </c>
      <c r="AT168" s="471" t="str">
        <f t="shared" ca="1" si="400"/>
        <v>Disminuir vel.</v>
      </c>
      <c r="AU168" s="492">
        <f t="shared" si="401"/>
        <v>0</v>
      </c>
      <c r="AV168" s="471">
        <f t="shared" ca="1" si="402"/>
        <v>33.424887405940559</v>
      </c>
      <c r="AW168" s="510">
        <f t="shared" ca="1" si="403"/>
        <v>33.42</v>
      </c>
      <c r="AX168" s="478">
        <f>IF(OR(C168="",D168=""),"",ROUND(((VLOOKUP(C168,'Base de Diseño (2)'!$A$2:$C$333,2,FALSE)-VLOOKUP(D168,'Base de Diseño (2)'!$A$2:$C$333,2,FALSE))^2+(VLOOKUP(C168,'Base de Diseño (2)'!$A$2:$C$333,3,0)-VLOOKUP(D168,'Base de Diseño (2)'!$A$2:$C$333,3,FALSE))^2)^0.5,2))</f>
        <v>20.55</v>
      </c>
      <c r="AY168" s="493">
        <v>8</v>
      </c>
      <c r="AZ168" s="480">
        <f ca="1">IF(AND(L168="",H168=""),"",IF(BA168=4,VLOOKUP(AY168,'TABLA (2)'!$A$74:$C$89,2),IF(BA168=5,VLOOKUP(AY168,'TABLA (2)'!$A$51:$B$66,2),IF(BA168=6,VLOOKUP(AY168,'TABLA (2)'!$A$9:$B$43,2)))))</f>
        <v>200</v>
      </c>
      <c r="BA168" s="493">
        <v>6</v>
      </c>
      <c r="BB168" s="478">
        <f>IF(OR(C168="",D168=""),"",VLOOKUP(C168,'Base de Diseño (2)'!$A$2:$D$330,4,FALSE))</f>
        <v>982.69159999999999</v>
      </c>
      <c r="BC168" s="478">
        <f>IF(OR(C168="",D168=""),"",VLOOKUP(D168,'Base de Diseño (2)'!$A$2:$D$330,4,FALSE))</f>
        <v>982.39160000000004</v>
      </c>
      <c r="BD168" s="23">
        <f t="shared" ca="1" si="404"/>
        <v>1.4029999999999863</v>
      </c>
      <c r="BE168" s="23">
        <f t="shared" ca="1" si="405"/>
        <v>1.5329999999999817</v>
      </c>
      <c r="BF168" s="494">
        <v>1.6399999999999864</v>
      </c>
      <c r="BG168" s="494">
        <v>1.7699999999999818</v>
      </c>
      <c r="BH168" s="495">
        <f t="shared" si="406"/>
        <v>981.05160000000001</v>
      </c>
      <c r="BI168" s="495">
        <f t="shared" si="406"/>
        <v>980.62160000000006</v>
      </c>
      <c r="BJ168" s="468">
        <f t="shared" si="407"/>
        <v>2.9999999999972715E-2</v>
      </c>
      <c r="BK168" s="475">
        <f t="shared" si="408"/>
        <v>1.4598540145983188</v>
      </c>
      <c r="BL168" s="475">
        <f t="shared" si="409"/>
        <v>2.092457420924331</v>
      </c>
      <c r="BM168" s="475">
        <f t="shared" ca="1" si="410"/>
        <v>1.5101901451903001</v>
      </c>
      <c r="BN168" s="475">
        <f t="shared" ca="1" si="411"/>
        <v>47.444022656535509</v>
      </c>
      <c r="BO168" s="204">
        <f t="shared" ca="1" si="412"/>
        <v>3.1616206131150473E-2</v>
      </c>
      <c r="BP168" s="496">
        <f t="shared" ca="1" si="413"/>
        <v>0.70440907260203267</v>
      </c>
      <c r="BQ168" s="497">
        <f t="shared" ca="1" si="414"/>
        <v>0.39206199280350579</v>
      </c>
      <c r="BR168" s="497">
        <f t="shared" ca="1" si="415"/>
        <v>0.94981678834756722</v>
      </c>
      <c r="BS168" s="475">
        <f t="shared" ca="1" si="416"/>
        <v>0.59208815783552482</v>
      </c>
      <c r="BT168" s="475">
        <f t="shared" ca="1" si="417"/>
        <v>1.4344039534987971</v>
      </c>
      <c r="BU168" s="475">
        <f t="shared" ca="1" si="418"/>
        <v>0.15991148927470686</v>
      </c>
      <c r="BV168" s="475">
        <f t="shared" ca="1" si="419"/>
        <v>0.69460604842483542</v>
      </c>
      <c r="BW168" s="475">
        <f t="shared" ca="1" si="420"/>
        <v>1.6455844646002591</v>
      </c>
      <c r="BX168" s="475">
        <f t="shared" ca="1" si="421"/>
        <v>3.9411448315669753</v>
      </c>
      <c r="BY168" s="475">
        <f t="shared" ca="1" si="422"/>
        <v>9.8502964758656525E-2</v>
      </c>
      <c r="BZ168" s="475">
        <f t="shared" ca="1" si="423"/>
        <v>0.29548450063468212</v>
      </c>
      <c r="CA168" s="471">
        <f t="shared" ca="1" si="424"/>
        <v>1.9700592951731304E-2</v>
      </c>
      <c r="CB168" s="471">
        <f t="shared" ca="1" si="425"/>
        <v>5.9096900126936427E-2</v>
      </c>
      <c r="CC168" s="471">
        <f t="shared" ca="1" si="426"/>
        <v>1.2880216578031511</v>
      </c>
      <c r="CD168" s="471" t="str">
        <f t="shared" ca="1" si="427"/>
        <v>F. Supercrítico Inestable</v>
      </c>
      <c r="CE168" s="471">
        <f t="shared" ca="1" si="428"/>
        <v>0.41222651918459741</v>
      </c>
      <c r="CF168" s="471">
        <f t="shared" ca="1" si="429"/>
        <v>1.2365774722423217</v>
      </c>
      <c r="CG168" s="471" t="str">
        <f t="shared" ca="1" si="430"/>
        <v>O.K</v>
      </c>
      <c r="CH168" s="471" t="str">
        <f t="shared" ca="1" si="431"/>
        <v>O.K</v>
      </c>
      <c r="CI168" s="471" t="str">
        <f t="shared" ca="1" si="432"/>
        <v>OK</v>
      </c>
      <c r="CJ168" s="471" t="str">
        <f t="shared" ca="1" si="433"/>
        <v>OK</v>
      </c>
      <c r="CK168" s="468">
        <f t="shared" si="434"/>
        <v>2.9999999999972715E-2</v>
      </c>
      <c r="CL168" s="482" t="s">
        <v>2507</v>
      </c>
      <c r="CM168" s="482"/>
      <c r="CN168" s="63" t="str">
        <f t="shared" si="435"/>
        <v xml:space="preserve"> </v>
      </c>
      <c r="CO168" s="498">
        <f t="shared" si="436"/>
        <v>20.55</v>
      </c>
      <c r="CP168" s="472">
        <f t="shared" si="437"/>
        <v>1.4598540145983187E-2</v>
      </c>
      <c r="CQ168" s="482" t="s">
        <v>2508</v>
      </c>
      <c r="CR168" s="204">
        <f t="shared" si="438"/>
        <v>20.55</v>
      </c>
      <c r="CS168" s="486">
        <v>1.2</v>
      </c>
      <c r="CT168" s="486">
        <v>1.2</v>
      </c>
      <c r="CU168" s="23">
        <f t="shared" si="439"/>
        <v>20.554498291128393</v>
      </c>
      <c r="CV168" s="499" t="s">
        <v>2509</v>
      </c>
      <c r="CW168" s="488" t="str">
        <f t="shared" ca="1" si="440"/>
        <v>E2</v>
      </c>
      <c r="CX168" s="204">
        <f ca="1">IF(AND(L168="",H168=""),"",IF(AND(BA168&lt;&gt;4,BA168&lt;&gt;5),VLOOKUP(AY168,'TABLA (2)'!$A$9:$D$43,4),IF(BA168=4,VLOOKUP(AY168,'TABLA (2)'!$A$74:$D$89,4),VLOOKUP(AY168,'TABLA (2)'!$A$51:$D$66,4))))</f>
        <v>3.6999999999999998E-2</v>
      </c>
      <c r="CY168" s="482"/>
      <c r="CZ168" s="482"/>
      <c r="DA168" s="482"/>
      <c r="DB168" s="490"/>
    </row>
    <row r="169" spans="1:106" ht="15" hidden="1" customHeight="1">
      <c r="A169" s="465">
        <f t="shared" si="441"/>
        <v>104</v>
      </c>
      <c r="B169" s="491"/>
      <c r="C169" s="466" t="s">
        <v>2143</v>
      </c>
      <c r="D169" s="466" t="s">
        <v>2144</v>
      </c>
      <c r="E169" s="468"/>
      <c r="F169" s="468"/>
      <c r="G169" s="468">
        <f t="shared" si="372"/>
        <v>0.20004293079999999</v>
      </c>
      <c r="H169" s="468">
        <f t="shared" si="373"/>
        <v>0.20004293079999999</v>
      </c>
      <c r="I169" s="468"/>
      <c r="J169" s="468"/>
      <c r="K169" s="467">
        <f t="shared" ca="1" si="374"/>
        <v>0.20004293079999999</v>
      </c>
      <c r="L169" s="468">
        <f t="shared" ca="1" si="375"/>
        <v>0.20004293079999999</v>
      </c>
      <c r="M169" s="469">
        <f t="shared" si="376"/>
        <v>242.33666300502347</v>
      </c>
      <c r="N169" s="470">
        <f t="shared" si="377"/>
        <v>0</v>
      </c>
      <c r="O169" s="470">
        <f t="shared" si="378"/>
        <v>0</v>
      </c>
      <c r="P169" s="470">
        <f t="shared" si="379"/>
        <v>48.477736307816826</v>
      </c>
      <c r="Q169" s="469">
        <f t="shared" si="369"/>
        <v>140</v>
      </c>
      <c r="R169" s="471">
        <f t="shared" si="380"/>
        <v>6.6769104405442148E-2</v>
      </c>
      <c r="S169" s="471"/>
      <c r="T169" s="471"/>
      <c r="U169" s="471">
        <f t="shared" si="381"/>
        <v>0</v>
      </c>
      <c r="V169" s="471"/>
      <c r="W169" s="471"/>
      <c r="X169" s="471">
        <f t="shared" si="382"/>
        <v>0</v>
      </c>
      <c r="Y169" s="471">
        <f t="shared" si="383"/>
        <v>4.0008586159999998E-2</v>
      </c>
      <c r="Z169" s="471">
        <f t="shared" ca="1" si="384"/>
        <v>0</v>
      </c>
      <c r="AA169" s="471">
        <f t="shared" si="362"/>
        <v>3.8</v>
      </c>
      <c r="AB169" s="471">
        <f t="shared" si="385"/>
        <v>0.25372259674068015</v>
      </c>
      <c r="AC169" s="471">
        <f t="shared" si="386"/>
        <v>0</v>
      </c>
      <c r="AD169" s="471">
        <f t="shared" si="387"/>
        <v>0</v>
      </c>
      <c r="AE169" s="471">
        <f t="shared" si="387"/>
        <v>0</v>
      </c>
      <c r="AF169" s="510">
        <f t="shared" si="361"/>
        <v>3.8</v>
      </c>
      <c r="AG169" s="471">
        <f t="shared" si="388"/>
        <v>0</v>
      </c>
      <c r="AH169" s="471">
        <f t="shared" si="389"/>
        <v>0</v>
      </c>
      <c r="AI169" s="471">
        <f t="shared" ca="1" si="390"/>
        <v>1.5</v>
      </c>
      <c r="AJ169" s="471">
        <f t="shared" si="391"/>
        <v>0.75</v>
      </c>
      <c r="AK169" s="472">
        <f t="shared" si="392"/>
        <v>6.0263653483991188E-2</v>
      </c>
      <c r="AL169" s="471">
        <f t="shared" si="393"/>
        <v>0.63051318267419965</v>
      </c>
      <c r="AM169" s="473">
        <f t="shared" si="394"/>
        <v>332.96822367397846</v>
      </c>
      <c r="AN169" s="474">
        <f t="shared" si="395"/>
        <v>10.223555555555555</v>
      </c>
      <c r="AO169" s="474">
        <f t="shared" si="396"/>
        <v>0.11799999999999999</v>
      </c>
      <c r="AP169" s="474">
        <f t="shared" si="397"/>
        <v>10.341555555555555</v>
      </c>
      <c r="AQ169" s="475">
        <v>3</v>
      </c>
      <c r="AR169" s="474">
        <f t="shared" ca="1" si="398"/>
        <v>0.19272874123704561</v>
      </c>
      <c r="AS169" s="474">
        <f t="shared" ca="1" si="399"/>
        <v>0.61225948575498956</v>
      </c>
      <c r="AT169" s="471" t="str">
        <f t="shared" ca="1" si="400"/>
        <v>Disminuir vel.</v>
      </c>
      <c r="AU169" s="492">
        <f t="shared" si="401"/>
        <v>0</v>
      </c>
      <c r="AV169" s="471">
        <f t="shared" ca="1" si="402"/>
        <v>41.997183816444696</v>
      </c>
      <c r="AW169" s="510">
        <f t="shared" ca="1" si="403"/>
        <v>42</v>
      </c>
      <c r="AX169" s="478">
        <f>IF(OR(C169="",D169=""),"",ROUND(((VLOOKUP(C169,'Base de Diseño (2)'!$A$2:$C$333,2,FALSE)-VLOOKUP(D169,'Base de Diseño (2)'!$A$2:$C$333,2,FALSE))^2+(VLOOKUP(C169,'Base de Diseño (2)'!$A$2:$C$333,3,0)-VLOOKUP(D169,'Base de Diseño (2)'!$A$2:$C$333,3,FALSE))^2)^0.5,2))</f>
        <v>21.24</v>
      </c>
      <c r="AY169" s="493">
        <v>8</v>
      </c>
      <c r="AZ169" s="480">
        <f ca="1">IF(AND(L169="",H169=""),"",IF(BA169=4,VLOOKUP(AY169,'TABLA (2)'!$A$74:$C$89,2),IF(BA169=5,VLOOKUP(AY169,'TABLA (2)'!$A$51:$B$66,2),IF(BA169=6,VLOOKUP(AY169,'TABLA (2)'!$A$9:$B$43,2)))))</f>
        <v>200</v>
      </c>
      <c r="BA169" s="493">
        <v>6</v>
      </c>
      <c r="BB169" s="478">
        <f>IF(OR(C169="",D169=""),"",VLOOKUP(C169,'Base de Diseño (2)'!$A$2:$D$330,4,FALSE))</f>
        <v>982.39160000000004</v>
      </c>
      <c r="BC169" s="478">
        <f>IF(OR(C169="",D169=""),"",VLOOKUP(D169,'Base de Diseño (2)'!$A$2:$D$330,4,FALSE))</f>
        <v>981.11160000000007</v>
      </c>
      <c r="BD169" s="23">
        <f t="shared" ca="1" si="404"/>
        <v>1.5629999999999544</v>
      </c>
      <c r="BE169" s="23">
        <f t="shared" ca="1" si="405"/>
        <v>1.0229999999999908</v>
      </c>
      <c r="BF169" s="494">
        <v>1.7999999999999545</v>
      </c>
      <c r="BG169" s="494">
        <v>1.2599999999999909</v>
      </c>
      <c r="BH169" s="495">
        <f t="shared" si="406"/>
        <v>980.59160000000008</v>
      </c>
      <c r="BI169" s="495">
        <f t="shared" si="406"/>
        <v>979.85160000000008</v>
      </c>
      <c r="BJ169" s="468">
        <f t="shared" si="407"/>
        <v>9.9999999999909051E-3</v>
      </c>
      <c r="BK169" s="475">
        <f t="shared" si="408"/>
        <v>6.0263653483991186</v>
      </c>
      <c r="BL169" s="475">
        <f t="shared" si="409"/>
        <v>3.483992467043358</v>
      </c>
      <c r="BM169" s="475">
        <f t="shared" ca="1" si="410"/>
        <v>1.948686250640663</v>
      </c>
      <c r="BN169" s="475">
        <f t="shared" ca="1" si="411"/>
        <v>61.219784091641465</v>
      </c>
      <c r="BO169" s="204">
        <f t="shared" ca="1" si="412"/>
        <v>2.4501883210738075E-2</v>
      </c>
      <c r="BP169" s="496">
        <f t="shared" ca="1" si="413"/>
        <v>0.68605272990066613</v>
      </c>
      <c r="BQ169" s="497">
        <f t="shared" ca="1" si="414"/>
        <v>0.36403537195800773</v>
      </c>
      <c r="BR169" s="497">
        <f t="shared" ca="1" si="415"/>
        <v>0.94257269822738121</v>
      </c>
      <c r="BS169" s="475">
        <f t="shared" ca="1" si="416"/>
        <v>0.70939072408142922</v>
      </c>
      <c r="BT169" s="475">
        <f t="shared" ca="1" si="417"/>
        <v>1.8367784572649686</v>
      </c>
      <c r="BU169" s="475">
        <f t="shared" ca="1" si="418"/>
        <v>0.1434691582376513</v>
      </c>
      <c r="BV169" s="475">
        <f t="shared" ca="1" si="419"/>
        <v>0.68236848662331251</v>
      </c>
      <c r="BW169" s="475">
        <f t="shared" ca="1" si="420"/>
        <v>1.5538815912099659</v>
      </c>
      <c r="BX169" s="475">
        <f t="shared" ca="1" si="421"/>
        <v>3.8882932542239725</v>
      </c>
      <c r="BY169" s="475">
        <f t="shared" ca="1" si="422"/>
        <v>8.9135595188401806E-2</v>
      </c>
      <c r="BZ169" s="475">
        <f t="shared" ca="1" si="423"/>
        <v>0.29367089080195125</v>
      </c>
      <c r="CA169" s="471">
        <f t="shared" ca="1" si="424"/>
        <v>1.7827119037680361E-2</v>
      </c>
      <c r="CB169" s="471">
        <f t="shared" ca="1" si="425"/>
        <v>5.8734178160390248E-2</v>
      </c>
      <c r="CC169" s="471">
        <f t="shared" ca="1" si="426"/>
        <v>1.6746071896166459</v>
      </c>
      <c r="CD169" s="471" t="str">
        <f t="shared" ca="1" si="427"/>
        <v>F. Supercrítico</v>
      </c>
      <c r="CE169" s="471">
        <f t="shared" ca="1" si="428"/>
        <v>0.62109548436363615</v>
      </c>
      <c r="CF169" s="471">
        <f t="shared" ca="1" si="429"/>
        <v>2.0462943426878213</v>
      </c>
      <c r="CG169" s="471" t="str">
        <f t="shared" ca="1" si="430"/>
        <v>O.K</v>
      </c>
      <c r="CH169" s="471" t="str">
        <f t="shared" ca="1" si="431"/>
        <v>O.K</v>
      </c>
      <c r="CI169" s="471" t="str">
        <f t="shared" ca="1" si="432"/>
        <v>OK</v>
      </c>
      <c r="CJ169" s="471" t="str">
        <f t="shared" ca="1" si="433"/>
        <v>OK</v>
      </c>
      <c r="CK169" s="468">
        <f t="shared" si="434"/>
        <v>9.9999999999909051E-3</v>
      </c>
      <c r="CL169" s="482" t="s">
        <v>2507</v>
      </c>
      <c r="CM169" s="482"/>
      <c r="CN169" s="63" t="str">
        <f t="shared" si="435"/>
        <v xml:space="preserve"> </v>
      </c>
      <c r="CO169" s="498">
        <f t="shared" si="436"/>
        <v>21.24</v>
      </c>
      <c r="CP169" s="472">
        <f t="shared" si="437"/>
        <v>6.0263653483991188E-2</v>
      </c>
      <c r="CQ169" s="482" t="s">
        <v>2508</v>
      </c>
      <c r="CR169" s="204">
        <f t="shared" si="438"/>
        <v>21.24</v>
      </c>
      <c r="CS169" s="486">
        <v>1.2</v>
      </c>
      <c r="CT169" s="486">
        <v>1.2</v>
      </c>
      <c r="CU169" s="23">
        <f t="shared" si="439"/>
        <v>21.252886862729966</v>
      </c>
      <c r="CV169" s="499" t="s">
        <v>2509</v>
      </c>
      <c r="CW169" s="488" t="str">
        <f t="shared" ca="1" si="440"/>
        <v>E2</v>
      </c>
      <c r="CX169" s="204">
        <f ca="1">IF(AND(L169="",H169=""),"",IF(AND(BA169&lt;&gt;4,BA169&lt;&gt;5),VLOOKUP(AY169,'TABLA (2)'!$A$9:$D$43,4),IF(BA169=4,VLOOKUP(AY169,'TABLA (2)'!$A$74:$D$89,4),VLOOKUP(AY169,'TABLA (2)'!$A$51:$D$66,4))))</f>
        <v>3.6999999999999998E-2</v>
      </c>
      <c r="CY169" s="482"/>
      <c r="CZ169" s="482"/>
      <c r="DA169" s="482"/>
      <c r="DB169" s="490"/>
    </row>
    <row r="170" spans="1:106" ht="15" hidden="1" customHeight="1">
      <c r="A170" s="465">
        <f t="shared" si="441"/>
        <v>105</v>
      </c>
      <c r="B170" s="491"/>
      <c r="C170" s="466" t="s">
        <v>2144</v>
      </c>
      <c r="D170" s="466" t="s">
        <v>2145</v>
      </c>
      <c r="E170" s="468"/>
      <c r="F170" s="468"/>
      <c r="G170" s="468">
        <f t="shared" si="372"/>
        <v>0.24276804959999998</v>
      </c>
      <c r="H170" s="468">
        <f t="shared" si="373"/>
        <v>0.24276804959999998</v>
      </c>
      <c r="I170" s="468"/>
      <c r="J170" s="468"/>
      <c r="K170" s="467">
        <f t="shared" ca="1" si="374"/>
        <v>0.24276804959999998</v>
      </c>
      <c r="L170" s="468">
        <f t="shared" ca="1" si="375"/>
        <v>0.24276804959999998</v>
      </c>
      <c r="M170" s="469">
        <f t="shared" si="376"/>
        <v>242.33666300502347</v>
      </c>
      <c r="N170" s="470">
        <f t="shared" si="377"/>
        <v>0</v>
      </c>
      <c r="O170" s="470">
        <f t="shared" si="378"/>
        <v>0</v>
      </c>
      <c r="P170" s="470">
        <f t="shared" si="379"/>
        <v>58.831599024302015</v>
      </c>
      <c r="Q170" s="469">
        <f t="shared" si="369"/>
        <v>140</v>
      </c>
      <c r="R170" s="471">
        <f t="shared" si="380"/>
        <v>8.1029632915415969E-2</v>
      </c>
      <c r="S170" s="471"/>
      <c r="T170" s="471"/>
      <c r="U170" s="471">
        <f t="shared" si="381"/>
        <v>0</v>
      </c>
      <c r="V170" s="471"/>
      <c r="W170" s="471"/>
      <c r="X170" s="471">
        <f t="shared" si="382"/>
        <v>0</v>
      </c>
      <c r="Y170" s="471">
        <f t="shared" si="383"/>
        <v>4.8553609919999997E-2</v>
      </c>
      <c r="Z170" s="471">
        <f t="shared" ca="1" si="384"/>
        <v>0</v>
      </c>
      <c r="AA170" s="471">
        <f t="shared" si="362"/>
        <v>3.8</v>
      </c>
      <c r="AB170" s="471">
        <f t="shared" si="385"/>
        <v>0.30791260507858065</v>
      </c>
      <c r="AC170" s="471">
        <f t="shared" si="386"/>
        <v>0</v>
      </c>
      <c r="AD170" s="471">
        <f t="shared" si="387"/>
        <v>0</v>
      </c>
      <c r="AE170" s="471">
        <f t="shared" si="387"/>
        <v>0</v>
      </c>
      <c r="AF170" s="510">
        <f t="shared" si="361"/>
        <v>3.8</v>
      </c>
      <c r="AG170" s="471">
        <f t="shared" si="388"/>
        <v>0</v>
      </c>
      <c r="AH170" s="471">
        <f t="shared" si="389"/>
        <v>0</v>
      </c>
      <c r="AI170" s="471">
        <f t="shared" ca="1" si="390"/>
        <v>1.5</v>
      </c>
      <c r="AJ170" s="471">
        <f t="shared" si="391"/>
        <v>0.75</v>
      </c>
      <c r="AK170" s="472">
        <f t="shared" si="392"/>
        <v>6.6305818673884853E-2</v>
      </c>
      <c r="AL170" s="471">
        <f t="shared" si="393"/>
        <v>0.63081529093369426</v>
      </c>
      <c r="AM170" s="473">
        <f t="shared" si="394"/>
        <v>332.17052814780527</v>
      </c>
      <c r="AN170" s="474">
        <f t="shared" si="395"/>
        <v>10.341555555555555</v>
      </c>
      <c r="AO170" s="474">
        <f t="shared" si="396"/>
        <v>8.2111111111111107E-2</v>
      </c>
      <c r="AP170" s="474">
        <f t="shared" si="397"/>
        <v>10.423666666666666</v>
      </c>
      <c r="AQ170" s="475">
        <v>3</v>
      </c>
      <c r="AR170" s="474">
        <f t="shared" ca="1" si="398"/>
        <v>8.2338431011645119E-2</v>
      </c>
      <c r="AS170" s="474">
        <f t="shared" ca="1" si="399"/>
        <v>0.99723920048340653</v>
      </c>
      <c r="AT170" s="471" t="str">
        <f t="shared" ca="1" si="400"/>
        <v>Cumple</v>
      </c>
      <c r="AU170" s="492">
        <f t="shared" si="401"/>
        <v>0</v>
      </c>
      <c r="AV170" s="471">
        <f t="shared" ca="1" si="402"/>
        <v>50.869191869296245</v>
      </c>
      <c r="AW170" s="510">
        <f t="shared" ca="1" si="403"/>
        <v>50.87</v>
      </c>
      <c r="AX170" s="478">
        <f>IF(OR(C170="",D170=""),"",ROUND(((VLOOKUP(C170,'Base de Diseño (2)'!$A$2:$C$333,2,FALSE)-VLOOKUP(D170,'Base de Diseño (2)'!$A$2:$C$333,2,FALSE))^2+(VLOOKUP(C170,'Base de Diseño (2)'!$A$2:$C$333,3,0)-VLOOKUP(D170,'Base de Diseño (2)'!$A$2:$C$333,3,FALSE))^2)^0.5,2))</f>
        <v>14.78</v>
      </c>
      <c r="AY170" s="493">
        <v>8</v>
      </c>
      <c r="AZ170" s="480">
        <f ca="1">IF(AND(L170="",H170=""),"",IF(BA170=4,VLOOKUP(AY170,'TABLA (2)'!$A$74:$C$89,2),IF(BA170=5,VLOOKUP(AY170,'TABLA (2)'!$A$51:$B$66,2),IF(BA170=6,VLOOKUP(AY170,'TABLA (2)'!$A$9:$B$43,2)))))</f>
        <v>200</v>
      </c>
      <c r="BA170" s="493">
        <v>6</v>
      </c>
      <c r="BB170" s="478">
        <f>IF(OR(C170="",D170=""),"",VLOOKUP(C170,'Base de Diseño (2)'!$A$2:$D$330,4,FALSE))</f>
        <v>981.11160000000007</v>
      </c>
      <c r="BC170" s="478">
        <f>IF(OR(C170="",D170=""),"",VLOOKUP(D170,'Base de Diseño (2)'!$A$2:$D$330,4,FALSE))</f>
        <v>980.13160000000005</v>
      </c>
      <c r="BD170" s="23">
        <f t="shared" ca="1" si="404"/>
        <v>1.0329999999999817</v>
      </c>
      <c r="BE170" s="23">
        <f t="shared" ca="1" si="405"/>
        <v>1.7929999999999726</v>
      </c>
      <c r="BF170" s="494">
        <v>1.2699999999999818</v>
      </c>
      <c r="BG170" s="494">
        <v>2.0299999999999727</v>
      </c>
      <c r="BH170" s="495">
        <f t="shared" si="406"/>
        <v>979.84160000000008</v>
      </c>
      <c r="BI170" s="495">
        <f t="shared" si="406"/>
        <v>978.10160000000008</v>
      </c>
      <c r="BJ170" s="468">
        <f t="shared" si="407"/>
        <v>0.12000000000000455</v>
      </c>
      <c r="BK170" s="475">
        <f t="shared" si="408"/>
        <v>6.6305818673884858</v>
      </c>
      <c r="BL170" s="475">
        <f t="shared" si="409"/>
        <v>11.772665764546748</v>
      </c>
      <c r="BM170" s="475">
        <f t="shared" ca="1" si="410"/>
        <v>3.5821248982762657</v>
      </c>
      <c r="BN170" s="475">
        <f t="shared" ca="1" si="411"/>
        <v>112.53577264665805</v>
      </c>
      <c r="BO170" s="204">
        <f t="shared" ca="1" si="412"/>
        <v>1.3329094959962007E-2</v>
      </c>
      <c r="BP170" s="496">
        <f t="shared" ca="1" si="413"/>
        <v>0.45203404040884482</v>
      </c>
      <c r="BQ170" s="497">
        <f t="shared" ca="1" si="414"/>
        <v>0.30494165472449991</v>
      </c>
      <c r="BR170" s="497">
        <f t="shared" ca="1" si="415"/>
        <v>0.83517958932415992</v>
      </c>
      <c r="BS170" s="475">
        <f t="shared" ca="1" si="416"/>
        <v>1.0923390939101953</v>
      </c>
      <c r="BT170" s="475">
        <f t="shared" ca="1" si="417"/>
        <v>2.9917176014502198</v>
      </c>
      <c r="BU170" s="475">
        <f t="shared" ca="1" si="418"/>
        <v>0.10420151028628621</v>
      </c>
      <c r="BV170" s="475">
        <f t="shared" ca="1" si="419"/>
        <v>0.52635602695429762</v>
      </c>
      <c r="BW170" s="475">
        <f t="shared" ca="1" si="420"/>
        <v>1.3147564158882192</v>
      </c>
      <c r="BX170" s="475">
        <f t="shared" ca="1" si="421"/>
        <v>3.2470656437643739</v>
      </c>
      <c r="BY170" s="475">
        <f t="shared" ca="1" si="422"/>
        <v>6.6049488697855901E-2</v>
      </c>
      <c r="BZ170" s="475">
        <f t="shared" ca="1" si="423"/>
        <v>0.25810559085097928</v>
      </c>
      <c r="CA170" s="471">
        <f t="shared" ca="1" si="424"/>
        <v>1.320989773957118E-2</v>
      </c>
      <c r="CB170" s="471">
        <f t="shared" ca="1" si="425"/>
        <v>5.1621118170195858E-2</v>
      </c>
      <c r="CC170" s="471">
        <f t="shared" ca="1" si="426"/>
        <v>3.2971579642683233</v>
      </c>
      <c r="CD170" s="471" t="str">
        <f t="shared" ca="1" si="427"/>
        <v>F. Supercrítico</v>
      </c>
      <c r="CE170" s="471">
        <f t="shared" ca="1" si="428"/>
        <v>1.5551571087181311</v>
      </c>
      <c r="CF170" s="471">
        <f t="shared" ca="1" si="429"/>
        <v>6.0771817060988678</v>
      </c>
      <c r="CG170" s="471" t="str">
        <f t="shared" ca="1" si="430"/>
        <v>O.K</v>
      </c>
      <c r="CH170" s="471" t="str">
        <f t="shared" ca="1" si="431"/>
        <v>O.K</v>
      </c>
      <c r="CI170" s="471" t="str">
        <f t="shared" ca="1" si="432"/>
        <v>OK</v>
      </c>
      <c r="CJ170" s="471" t="str">
        <f t="shared" ca="1" si="433"/>
        <v>OK</v>
      </c>
      <c r="CK170" s="468">
        <f t="shared" si="434"/>
        <v>0.12000000000000455</v>
      </c>
      <c r="CL170" s="482" t="s">
        <v>2507</v>
      </c>
      <c r="CM170" s="482"/>
      <c r="CN170" s="63" t="str">
        <f t="shared" si="435"/>
        <v xml:space="preserve"> </v>
      </c>
      <c r="CO170" s="498">
        <f t="shared" si="436"/>
        <v>14.78</v>
      </c>
      <c r="CP170" s="472">
        <f t="shared" si="437"/>
        <v>6.6305818673884853E-2</v>
      </c>
      <c r="CQ170" s="482" t="s">
        <v>2508</v>
      </c>
      <c r="CR170" s="204">
        <f t="shared" si="438"/>
        <v>14.78</v>
      </c>
      <c r="CS170" s="486">
        <v>1.2</v>
      </c>
      <c r="CT170" s="486">
        <v>1.2</v>
      </c>
      <c r="CU170" s="23">
        <f t="shared" si="439"/>
        <v>14.882069748526245</v>
      </c>
      <c r="CV170" s="499" t="s">
        <v>2509</v>
      </c>
      <c r="CW170" s="488" t="str">
        <f t="shared" ca="1" si="440"/>
        <v>E2</v>
      </c>
      <c r="CX170" s="204">
        <f ca="1">IF(AND(L170="",H170=""),"",IF(AND(BA170&lt;&gt;4,BA170&lt;&gt;5),VLOOKUP(AY170,'TABLA (2)'!$A$9:$D$43,4),IF(BA170=4,VLOOKUP(AY170,'TABLA (2)'!$A$74:$D$89,4),VLOOKUP(AY170,'TABLA (2)'!$A$51:$D$66,4))))</f>
        <v>3.6999999999999998E-2</v>
      </c>
      <c r="CY170" s="482"/>
      <c r="CZ170" s="482"/>
      <c r="DA170" s="482"/>
      <c r="DB170" s="490"/>
    </row>
    <row r="171" spans="1:106" ht="15" hidden="1" customHeight="1">
      <c r="A171" s="465">
        <f t="shared" si="441"/>
        <v>106</v>
      </c>
      <c r="B171" s="491"/>
      <c r="C171" s="466" t="s">
        <v>2145</v>
      </c>
      <c r="D171" s="466" t="s">
        <v>2146</v>
      </c>
      <c r="E171" s="468"/>
      <c r="F171" s="468"/>
      <c r="G171" s="468">
        <f t="shared" si="372"/>
        <v>0.27378129159999998</v>
      </c>
      <c r="H171" s="468">
        <f t="shared" si="373"/>
        <v>0.27378129159999998</v>
      </c>
      <c r="I171" s="468"/>
      <c r="J171" s="468"/>
      <c r="K171" s="467">
        <f t="shared" ca="1" si="374"/>
        <v>0.27378129159999998</v>
      </c>
      <c r="L171" s="468">
        <f t="shared" ca="1" si="375"/>
        <v>0.27378129159999998</v>
      </c>
      <c r="M171" s="469">
        <f t="shared" si="376"/>
        <v>242.33666300502347</v>
      </c>
      <c r="N171" s="470">
        <f t="shared" si="377"/>
        <v>0</v>
      </c>
      <c r="O171" s="470">
        <f t="shared" si="378"/>
        <v>0</v>
      </c>
      <c r="P171" s="470">
        <f t="shared" si="379"/>
        <v>66.347244599549256</v>
      </c>
      <c r="Q171" s="469">
        <f t="shared" si="369"/>
        <v>140</v>
      </c>
      <c r="R171" s="471">
        <f t="shared" si="380"/>
        <v>9.1381042909101401E-2</v>
      </c>
      <c r="S171" s="471"/>
      <c r="T171" s="471"/>
      <c r="U171" s="471">
        <f t="shared" si="381"/>
        <v>0</v>
      </c>
      <c r="V171" s="471"/>
      <c r="W171" s="471"/>
      <c r="X171" s="471">
        <f t="shared" si="382"/>
        <v>0</v>
      </c>
      <c r="Y171" s="471">
        <f t="shared" si="383"/>
        <v>5.4756258320000001E-2</v>
      </c>
      <c r="Z171" s="471">
        <f t="shared" ca="1" si="384"/>
        <v>0</v>
      </c>
      <c r="AA171" s="471">
        <f t="shared" si="362"/>
        <v>3.8</v>
      </c>
      <c r="AB171" s="471">
        <f t="shared" si="385"/>
        <v>0.34724796305458533</v>
      </c>
      <c r="AC171" s="471">
        <f t="shared" si="386"/>
        <v>0</v>
      </c>
      <c r="AD171" s="471">
        <f t="shared" si="387"/>
        <v>0</v>
      </c>
      <c r="AE171" s="471">
        <f t="shared" si="387"/>
        <v>0</v>
      </c>
      <c r="AF171" s="510">
        <f t="shared" si="361"/>
        <v>3.8</v>
      </c>
      <c r="AG171" s="471">
        <f t="shared" si="388"/>
        <v>0</v>
      </c>
      <c r="AH171" s="471">
        <f t="shared" si="389"/>
        <v>0</v>
      </c>
      <c r="AI171" s="471">
        <f t="shared" ca="1" si="390"/>
        <v>1.5</v>
      </c>
      <c r="AJ171" s="471">
        <f t="shared" si="391"/>
        <v>0.75</v>
      </c>
      <c r="AK171" s="472">
        <f t="shared" si="392"/>
        <v>0.37377690802347713</v>
      </c>
      <c r="AL171" s="471">
        <f t="shared" si="393"/>
        <v>0.64618884540117394</v>
      </c>
      <c r="AM171" s="473">
        <f t="shared" si="394"/>
        <v>331.89558599768748</v>
      </c>
      <c r="AN171" s="474">
        <f t="shared" si="395"/>
        <v>10.423666666666666</v>
      </c>
      <c r="AO171" s="474">
        <f t="shared" si="396"/>
        <v>2.8388888888888891E-2</v>
      </c>
      <c r="AP171" s="474">
        <f t="shared" si="397"/>
        <v>10.452055555555555</v>
      </c>
      <c r="AQ171" s="475">
        <v>3</v>
      </c>
      <c r="AR171" s="474">
        <f t="shared" ca="1" si="398"/>
        <v>2.5772245390034587E-2</v>
      </c>
      <c r="AS171" s="474">
        <f t="shared" ca="1" si="399"/>
        <v>1.1015295120488837</v>
      </c>
      <c r="AT171" s="471" t="str">
        <f t="shared" ca="1" si="400"/>
        <v>Aumentar vel.</v>
      </c>
      <c r="AU171" s="492">
        <f t="shared" si="401"/>
        <v>0</v>
      </c>
      <c r="AV171" s="471">
        <f t="shared" ca="1" si="402"/>
        <v>58.717114005884483</v>
      </c>
      <c r="AW171" s="510">
        <f t="shared" ca="1" si="403"/>
        <v>58.72</v>
      </c>
      <c r="AX171" s="478">
        <f>IF(OR(C171="",D171=""),"",ROUND(((VLOOKUP(C171,'Base de Diseño (2)'!$A$2:$C$333,2,FALSE)-VLOOKUP(D171,'Base de Diseño (2)'!$A$2:$C$333,2,FALSE))^2+(VLOOKUP(C171,'Base de Diseño (2)'!$A$2:$C$333,3,0)-VLOOKUP(D171,'Base de Diseño (2)'!$A$2:$C$333,3,FALSE))^2)^0.5,2))</f>
        <v>5.1100000000000003</v>
      </c>
      <c r="AY171" s="493">
        <v>12</v>
      </c>
      <c r="AZ171" s="480">
        <f ca="1">IF(AND(L171="",H171=""),"",IF(BA171=4,VLOOKUP(AY171,'TABLA (2)'!$A$74:$C$89,2),IF(BA171=5,VLOOKUP(AY171,'TABLA (2)'!$A$51:$B$66,2),IF(BA171=6,VLOOKUP(AY171,'TABLA (2)'!$A$9:$B$43,2)))))</f>
        <v>300</v>
      </c>
      <c r="BA171" s="493">
        <v>6</v>
      </c>
      <c r="BB171" s="478">
        <f>IF(OR(C171="",D171=""),"",VLOOKUP(C171,'Base de Diseño (2)'!$A$2:$D$330,4,FALSE))</f>
        <v>980.13160000000005</v>
      </c>
      <c r="BC171" s="478">
        <f>IF(OR(C171="",D171=""),"",VLOOKUP(D171,'Base de Diseño (2)'!$A$2:$D$330,4,FALSE))</f>
        <v>978.22160000000008</v>
      </c>
      <c r="BD171" s="23">
        <f t="shared" ca="1" si="404"/>
        <v>1.8029999999999773</v>
      </c>
      <c r="BE171" s="23">
        <f t="shared" ca="1" si="405"/>
        <v>0.70299999999995455</v>
      </c>
      <c r="BF171" s="494">
        <v>2.1499999999999773</v>
      </c>
      <c r="BG171" s="494">
        <v>1.0499999999999545</v>
      </c>
      <c r="BH171" s="495">
        <f t="shared" si="406"/>
        <v>977.98160000000007</v>
      </c>
      <c r="BI171" s="495">
        <f t="shared" si="406"/>
        <v>977.17160000000013</v>
      </c>
      <c r="BJ171" s="468">
        <f t="shared" si="407"/>
        <v>0.59000000000003183</v>
      </c>
      <c r="BK171" s="475">
        <f t="shared" si="408"/>
        <v>37.377690802347715</v>
      </c>
      <c r="BL171" s="475">
        <f t="shared" si="409"/>
        <v>15.851272015654509</v>
      </c>
      <c r="BM171" s="475">
        <f t="shared" ca="1" si="410"/>
        <v>5.4466510131178669</v>
      </c>
      <c r="BN171" s="475">
        <f t="shared" ca="1" si="411"/>
        <v>385.00107321326607</v>
      </c>
      <c r="BO171" s="204">
        <f t="shared" ca="1" si="412"/>
        <v>3.8960930354838144E-3</v>
      </c>
      <c r="BP171" s="496">
        <f t="shared" ca="1" si="413"/>
        <v>0.15251905536240637</v>
      </c>
      <c r="BQ171" s="497">
        <f t="shared" ca="1" si="414"/>
        <v>0.21320608737837751</v>
      </c>
      <c r="BR171" s="497">
        <f t="shared" ca="1" si="415"/>
        <v>0.60671934518804072</v>
      </c>
      <c r="BS171" s="475">
        <f t="shared" ca="1" si="416"/>
        <v>1.1612591518223363</v>
      </c>
      <c r="BT171" s="475">
        <f t="shared" ca="1" si="417"/>
        <v>3.3045885361466509</v>
      </c>
      <c r="BU171" s="475">
        <f t="shared" ca="1" si="418"/>
        <v>2.4868124613598441E-2</v>
      </c>
      <c r="BV171" s="475">
        <f t="shared" ca="1" si="419"/>
        <v>0.3093231457444805</v>
      </c>
      <c r="BW171" s="475">
        <f t="shared" ca="1" si="420"/>
        <v>0.63342932509018679</v>
      </c>
      <c r="BX171" s="475">
        <f t="shared" ca="1" si="421"/>
        <v>2.3590721990945607</v>
      </c>
      <c r="BY171" s="475">
        <f t="shared" ca="1" si="422"/>
        <v>1.6385824816736949E-2</v>
      </c>
      <c r="BZ171" s="475">
        <f t="shared" ca="1" si="423"/>
        <v>0.17528111168669513</v>
      </c>
      <c r="CA171" s="471">
        <f t="shared" ca="1" si="424"/>
        <v>4.9157474450210849E-3</v>
      </c>
      <c r="CB171" s="471">
        <f t="shared" ca="1" si="425"/>
        <v>5.2584333506008538E-2</v>
      </c>
      <c r="CC171" s="471">
        <f t="shared" ca="1" si="426"/>
        <v>4.0732016485583182</v>
      </c>
      <c r="CD171" s="471" t="str">
        <f t="shared" ca="1" si="427"/>
        <v>F. Supercrítico</v>
      </c>
      <c r="CE171" s="471">
        <f t="shared" ca="1" si="428"/>
        <v>0.77920849911287871</v>
      </c>
      <c r="CF171" s="471">
        <f t="shared" ca="1" si="429"/>
        <v>8.335285741656369</v>
      </c>
      <c r="CG171" s="471" t="str">
        <f t="shared" ca="1" si="430"/>
        <v>O.K</v>
      </c>
      <c r="CH171" s="471" t="str">
        <f t="shared" ca="1" si="431"/>
        <v>O.K</v>
      </c>
      <c r="CI171" s="471" t="str">
        <f t="shared" ca="1" si="432"/>
        <v>OK</v>
      </c>
      <c r="CJ171" s="471" t="str">
        <f t="shared" ca="1" si="433"/>
        <v>OK</v>
      </c>
      <c r="CK171" s="468">
        <f t="shared" si="434"/>
        <v>0.59000000000003183</v>
      </c>
      <c r="CL171" s="482" t="s">
        <v>2507</v>
      </c>
      <c r="CM171" s="482"/>
      <c r="CN171" s="63" t="str">
        <f t="shared" si="435"/>
        <v xml:space="preserve"> </v>
      </c>
      <c r="CO171" s="498">
        <f t="shared" si="436"/>
        <v>5.1100000000000003</v>
      </c>
      <c r="CP171" s="472">
        <f t="shared" si="437"/>
        <v>0.37377690802347713</v>
      </c>
      <c r="CQ171" s="482" t="s">
        <v>2508</v>
      </c>
      <c r="CR171" s="204">
        <f t="shared" si="438"/>
        <v>5.1100000000000003</v>
      </c>
      <c r="CS171" s="486">
        <v>1.2</v>
      </c>
      <c r="CT171" s="486">
        <v>1.2</v>
      </c>
      <c r="CU171" s="23">
        <f t="shared" si="439"/>
        <v>5.173799377633415</v>
      </c>
      <c r="CV171" s="499" t="s">
        <v>2509</v>
      </c>
      <c r="CW171" s="488" t="str">
        <f t="shared" ca="1" si="440"/>
        <v>E2</v>
      </c>
      <c r="CX171" s="204">
        <f ca="1">IF(AND(L171="",H171=""),"",IF(AND(BA171&lt;&gt;4,BA171&lt;&gt;5),VLOOKUP(AY171,'TABLA (2)'!$A$9:$D$43,4),IF(BA171=4,VLOOKUP(AY171,'TABLA (2)'!$A$74:$D$89,4),VLOOKUP(AY171,'TABLA (2)'!$A$51:$D$66,4))))</f>
        <v>4.7E-2</v>
      </c>
      <c r="CY171" s="482"/>
      <c r="CZ171" s="482"/>
      <c r="DA171" s="482"/>
      <c r="DB171" s="490"/>
    </row>
    <row r="172" spans="1:106" ht="15" hidden="1" customHeight="1">
      <c r="A172" s="465">
        <f t="shared" si="441"/>
        <v>107</v>
      </c>
      <c r="B172" s="491"/>
      <c r="C172" s="466" t="s">
        <v>2146</v>
      </c>
      <c r="D172" s="466" t="s">
        <v>2368</v>
      </c>
      <c r="E172" s="468"/>
      <c r="F172" s="468"/>
      <c r="G172" s="468">
        <f t="shared" si="372"/>
        <v>0.27378129159999998</v>
      </c>
      <c r="H172" s="468">
        <f t="shared" si="373"/>
        <v>0.27378129159999998</v>
      </c>
      <c r="I172" s="468"/>
      <c r="J172" s="468"/>
      <c r="K172" s="467">
        <f t="shared" ca="1" si="374"/>
        <v>0.27378129159999998</v>
      </c>
      <c r="L172" s="468">
        <f t="shared" ca="1" si="375"/>
        <v>0.27378129159999998</v>
      </c>
      <c r="M172" s="469">
        <f t="shared" si="376"/>
        <v>242.33666300502347</v>
      </c>
      <c r="N172" s="470">
        <f t="shared" si="377"/>
        <v>0</v>
      </c>
      <c r="O172" s="470">
        <f t="shared" si="378"/>
        <v>0</v>
      </c>
      <c r="P172" s="470">
        <f t="shared" si="379"/>
        <v>66.347244599549256</v>
      </c>
      <c r="Q172" s="469">
        <f t="shared" si="369"/>
        <v>140</v>
      </c>
      <c r="R172" s="471">
        <f t="shared" si="380"/>
        <v>9.1381042909101401E-2</v>
      </c>
      <c r="S172" s="471"/>
      <c r="T172" s="471"/>
      <c r="U172" s="471">
        <f t="shared" si="381"/>
        <v>0</v>
      </c>
      <c r="V172" s="471"/>
      <c r="W172" s="471"/>
      <c r="X172" s="471">
        <f t="shared" si="382"/>
        <v>0</v>
      </c>
      <c r="Y172" s="471">
        <f t="shared" si="383"/>
        <v>5.4756258320000001E-2</v>
      </c>
      <c r="Z172" s="471">
        <f t="shared" ca="1" si="384"/>
        <v>0</v>
      </c>
      <c r="AA172" s="471">
        <f t="shared" si="362"/>
        <v>3.8</v>
      </c>
      <c r="AB172" s="471">
        <f t="shared" si="385"/>
        <v>0.34724796305458533</v>
      </c>
      <c r="AC172" s="471">
        <f t="shared" si="386"/>
        <v>0</v>
      </c>
      <c r="AD172" s="471">
        <f t="shared" si="387"/>
        <v>0</v>
      </c>
      <c r="AE172" s="471">
        <f t="shared" si="387"/>
        <v>0</v>
      </c>
      <c r="AF172" s="510">
        <f t="shared" si="361"/>
        <v>3.8</v>
      </c>
      <c r="AG172" s="471">
        <f t="shared" si="388"/>
        <v>0</v>
      </c>
      <c r="AH172" s="471">
        <f t="shared" si="389"/>
        <v>0</v>
      </c>
      <c r="AI172" s="471">
        <f t="shared" ca="1" si="390"/>
        <v>1.5</v>
      </c>
      <c r="AJ172" s="471">
        <f t="shared" si="391"/>
        <v>0.75</v>
      </c>
      <c r="AK172" s="472">
        <f t="shared" si="392"/>
        <v>0.17394302848576185</v>
      </c>
      <c r="AL172" s="471">
        <f t="shared" si="393"/>
        <v>0.63619715142428812</v>
      </c>
      <c r="AM172" s="473">
        <f t="shared" si="394"/>
        <v>330.8231369219954</v>
      </c>
      <c r="AN172" s="474">
        <f t="shared" si="395"/>
        <v>10.452055555555555</v>
      </c>
      <c r="AO172" s="474">
        <f t="shared" si="396"/>
        <v>0.11116666666666668</v>
      </c>
      <c r="AP172" s="474">
        <f t="shared" si="397"/>
        <v>10.563222222222223</v>
      </c>
      <c r="AQ172" s="475">
        <v>3</v>
      </c>
      <c r="AR172" s="474">
        <f t="shared" ca="1" si="398"/>
        <v>0.10835652707718563</v>
      </c>
      <c r="AS172" s="474">
        <f t="shared" ca="1" si="399"/>
        <v>1.0259341976462508</v>
      </c>
      <c r="AT172" s="471" t="str">
        <f t="shared" ca="1" si="400"/>
        <v>Cumple</v>
      </c>
      <c r="AU172" s="492">
        <f t="shared" si="401"/>
        <v>0</v>
      </c>
      <c r="AV172" s="471">
        <f t="shared" ca="1" si="402"/>
        <v>57.622402749003108</v>
      </c>
      <c r="AW172" s="510">
        <f t="shared" ca="1" si="403"/>
        <v>57.62</v>
      </c>
      <c r="AX172" s="478">
        <f>IF(OR(C172="",D172=""),"",ROUND(((VLOOKUP(C172,'Base de Diseño (2)'!$A$2:$C$333,2,FALSE)-VLOOKUP(D172,'Base de Diseño (2)'!$A$2:$C$333,2,FALSE))^2+(VLOOKUP(C172,'Base de Diseño (2)'!$A$2:$C$333,3,0)-VLOOKUP(D172,'Base de Diseño (2)'!$A$2:$C$333,3,FALSE))^2)^0.5,2))</f>
        <v>20.010000000000002</v>
      </c>
      <c r="AY172" s="493">
        <v>12</v>
      </c>
      <c r="AZ172" s="480">
        <f ca="1">IF(AND(L172="",H172=""),"",IF(BA172=4,VLOOKUP(AY172,'TABLA (2)'!$A$74:$C$89,2),IF(BA172=5,VLOOKUP(AY172,'TABLA (2)'!$A$51:$B$66,2),IF(BA172=6,VLOOKUP(AY172,'TABLA (2)'!$A$9:$B$43,2)))))</f>
        <v>300</v>
      </c>
      <c r="BA172" s="493">
        <v>6</v>
      </c>
      <c r="BB172" s="478">
        <f>IF(OR(C172="",D172=""),"",VLOOKUP(C172,'Base de Diseño (2)'!$A$2:$D$330,4,FALSE))</f>
        <v>978.22160000000008</v>
      </c>
      <c r="BC172" s="478">
        <f>IF(OR(C172="",D172=""),"",VLOOKUP(D172,'Base de Diseño (2)'!$A$2:$D$330,4,FALSE))</f>
        <v>974.74099999999999</v>
      </c>
      <c r="BD172" s="23">
        <f t="shared" ca="1" si="404"/>
        <v>1.2929999999999864</v>
      </c>
      <c r="BE172" s="23">
        <f t="shared" ca="1" si="405"/>
        <v>0.45299999999995455</v>
      </c>
      <c r="BF172" s="494">
        <v>1.6399999999999864</v>
      </c>
      <c r="BG172" s="494">
        <v>0.79999999999995453</v>
      </c>
      <c r="BH172" s="495">
        <f t="shared" si="406"/>
        <v>976.58160000000009</v>
      </c>
      <c r="BI172" s="495">
        <f t="shared" si="406"/>
        <v>973.94100000000003</v>
      </c>
      <c r="BJ172" s="468">
        <f t="shared" si="407"/>
        <v>973.94100000000003</v>
      </c>
      <c r="BK172" s="475">
        <f t="shared" si="408"/>
        <v>17.394302848576185</v>
      </c>
      <c r="BL172" s="475">
        <f t="shared" si="409"/>
        <v>13.196401799100766</v>
      </c>
      <c r="BM172" s="475">
        <f t="shared" ca="1" si="410"/>
        <v>4.9696437243142668</v>
      </c>
      <c r="BN172" s="475">
        <f t="shared" ca="1" si="411"/>
        <v>351.28341484344713</v>
      </c>
      <c r="BO172" s="204">
        <f t="shared" ca="1" si="412"/>
        <v>4.270056417746023E-3</v>
      </c>
      <c r="BP172" s="496">
        <f t="shared" ca="1" si="413"/>
        <v>0.16402710052701722</v>
      </c>
      <c r="BQ172" s="497">
        <f t="shared" ca="1" si="414"/>
        <v>0.21896800408108155</v>
      </c>
      <c r="BR172" s="497">
        <f t="shared" ca="1" si="415"/>
        <v>0.61932057179077571</v>
      </c>
      <c r="BS172" s="475">
        <f t="shared" ca="1" si="416"/>
        <v>1.0881929673071677</v>
      </c>
      <c r="BT172" s="475">
        <f t="shared" ca="1" si="417"/>
        <v>3.077802592938752</v>
      </c>
      <c r="BU172" s="475">
        <f t="shared" ca="1" si="418"/>
        <v>3.0779728568891107E-2</v>
      </c>
      <c r="BV172" s="475">
        <f t="shared" ca="1" si="419"/>
        <v>0.32057707910659516</v>
      </c>
      <c r="BW172" s="475">
        <f t="shared" ca="1" si="420"/>
        <v>0.70541692360619468</v>
      </c>
      <c r="BX172" s="475">
        <f t="shared" ca="1" si="421"/>
        <v>2.4075304833385336</v>
      </c>
      <c r="BY172" s="475">
        <f t="shared" ca="1" si="422"/>
        <v>2.0224074110567564E-2</v>
      </c>
      <c r="BZ172" s="475">
        <f t="shared" ca="1" si="423"/>
        <v>0.18043793686851547</v>
      </c>
      <c r="CA172" s="471">
        <f t="shared" ca="1" si="424"/>
        <v>6.0672222331702693E-3</v>
      </c>
      <c r="CB172" s="471">
        <f t="shared" ca="1" si="425"/>
        <v>5.4131381060554644E-2</v>
      </c>
      <c r="CC172" s="471">
        <f t="shared" ca="1" si="426"/>
        <v>3.7191523370632993</v>
      </c>
      <c r="CD172" s="471" t="str">
        <f t="shared" ca="1" si="427"/>
        <v>F. Supercrítico</v>
      </c>
      <c r="CE172" s="471">
        <f t="shared" ca="1" si="428"/>
        <v>0.80065502393352306</v>
      </c>
      <c r="CF172" s="471">
        <f t="shared" ca="1" si="429"/>
        <v>7.1433945441531241</v>
      </c>
      <c r="CG172" s="471" t="str">
        <f t="shared" ca="1" si="430"/>
        <v>O.K</v>
      </c>
      <c r="CH172" s="471" t="str">
        <f t="shared" ca="1" si="431"/>
        <v>O.K</v>
      </c>
      <c r="CI172" s="471" t="str">
        <f t="shared" ca="1" si="432"/>
        <v>OK</v>
      </c>
      <c r="CJ172" s="471" t="str">
        <f t="shared" ca="1" si="433"/>
        <v>OK</v>
      </c>
      <c r="CK172" s="468">
        <f t="shared" si="434"/>
        <v>973.94100000000003</v>
      </c>
      <c r="CL172" s="482" t="s">
        <v>2507</v>
      </c>
      <c r="CM172" s="482"/>
      <c r="CN172" s="63" t="str">
        <f t="shared" si="435"/>
        <v xml:space="preserve"> </v>
      </c>
      <c r="CO172" s="498">
        <f t="shared" si="436"/>
        <v>20.010000000000002</v>
      </c>
      <c r="CP172" s="472">
        <f t="shared" si="437"/>
        <v>0.17394302848576185</v>
      </c>
      <c r="CQ172" s="482" t="s">
        <v>2508</v>
      </c>
      <c r="CR172" s="204">
        <f t="shared" si="438"/>
        <v>20.010000000000002</v>
      </c>
      <c r="CS172" s="486">
        <v>1.2</v>
      </c>
      <c r="CT172" s="486">
        <v>1.2</v>
      </c>
      <c r="CU172" s="23">
        <f t="shared" si="439"/>
        <v>20.183480085456036</v>
      </c>
      <c r="CV172" s="499" t="s">
        <v>2509</v>
      </c>
      <c r="CW172" s="488" t="str">
        <f t="shared" ca="1" si="440"/>
        <v>E2</v>
      </c>
      <c r="CX172" s="204">
        <f ca="1">IF(AND(L172="",H172=""),"",IF(AND(BA172&lt;&gt;4,BA172&lt;&gt;5),VLOOKUP(AY172,'TABLA (2)'!$A$9:$D$43,4),IF(BA172=4,VLOOKUP(AY172,'TABLA (2)'!$A$74:$D$89,4),VLOOKUP(AY172,'TABLA (2)'!$A$51:$D$66,4))))</f>
        <v>4.7E-2</v>
      </c>
      <c r="CY172" s="482"/>
      <c r="CZ172" s="482"/>
      <c r="DA172" s="482"/>
      <c r="DB172" s="490"/>
    </row>
    <row r="173" spans="1:106" ht="15" hidden="1" customHeight="1">
      <c r="A173" s="465"/>
      <c r="B173" s="491"/>
      <c r="C173" s="466"/>
      <c r="D173" s="466"/>
      <c r="E173" s="468"/>
      <c r="F173" s="468"/>
      <c r="G173" s="468"/>
      <c r="H173" s="468"/>
      <c r="I173" s="468"/>
      <c r="J173" s="468"/>
      <c r="K173" s="467"/>
      <c r="L173" s="468"/>
      <c r="M173" s="469"/>
      <c r="N173" s="470"/>
      <c r="O173" s="470"/>
      <c r="P173" s="470"/>
      <c r="Q173" s="469">
        <f t="shared" si="369"/>
        <v>140</v>
      </c>
      <c r="R173" s="471"/>
      <c r="S173" s="471"/>
      <c r="T173" s="471"/>
      <c r="U173" s="471"/>
      <c r="V173" s="471"/>
      <c r="W173" s="471"/>
      <c r="X173" s="471"/>
      <c r="Y173" s="471"/>
      <c r="Z173" s="471"/>
      <c r="AA173" s="471" t="str">
        <f t="shared" si="362"/>
        <v/>
      </c>
      <c r="AB173" s="471"/>
      <c r="AC173" s="471"/>
      <c r="AD173" s="471"/>
      <c r="AE173" s="471"/>
      <c r="AF173" s="510" t="str">
        <f t="shared" si="361"/>
        <v/>
      </c>
      <c r="AG173" s="471"/>
      <c r="AH173" s="471"/>
      <c r="AI173" s="471"/>
      <c r="AJ173" s="471"/>
      <c r="AK173" s="472"/>
      <c r="AL173" s="471"/>
      <c r="AM173" s="473">
        <f t="shared" si="394"/>
        <v>474.44695720875893</v>
      </c>
      <c r="AN173" s="474">
        <f t="shared" si="395"/>
        <v>10.563222222222223</v>
      </c>
      <c r="AO173" s="474"/>
      <c r="AP173" s="474"/>
      <c r="AQ173" s="475">
        <v>3</v>
      </c>
      <c r="AR173" s="474"/>
      <c r="AS173" s="474"/>
      <c r="AT173" s="471"/>
      <c r="AU173" s="492"/>
      <c r="AV173" s="471"/>
      <c r="AW173" s="510">
        <f t="shared" si="403"/>
        <v>0</v>
      </c>
      <c r="AX173" s="478"/>
      <c r="AY173" s="493"/>
      <c r="AZ173" s="480"/>
      <c r="BA173" s="493"/>
      <c r="BB173" s="478" t="str">
        <f>IF(OR(C173="",D173=""),"",VLOOKUP(C173,'Base de Diseño (2)'!$A$2:$D$330,4,FALSE))</f>
        <v/>
      </c>
      <c r="BC173" s="478" t="str">
        <f>IF(OR(C173="",D173=""),"",VLOOKUP(D173,'Base de Diseño (2)'!$A$2:$D$330,4,FALSE))</f>
        <v/>
      </c>
      <c r="BD173" s="23"/>
      <c r="BE173" s="23"/>
      <c r="BF173" s="494"/>
      <c r="BG173" s="494"/>
      <c r="BH173" s="495"/>
      <c r="BI173" s="495"/>
      <c r="BJ173" s="468"/>
      <c r="BK173" s="475"/>
      <c r="BL173" s="475"/>
      <c r="BM173" s="475"/>
      <c r="BN173" s="475"/>
      <c r="BO173" s="204"/>
      <c r="BP173" s="496"/>
      <c r="BQ173" s="497"/>
      <c r="BR173" s="497"/>
      <c r="BS173" s="475"/>
      <c r="BT173" s="475"/>
      <c r="BU173" s="475"/>
      <c r="BV173" s="475"/>
      <c r="BW173" s="475"/>
      <c r="BX173" s="475"/>
      <c r="BY173" s="475"/>
      <c r="BZ173" s="475"/>
      <c r="CA173" s="471"/>
      <c r="CB173" s="471"/>
      <c r="CC173" s="471" t="e">
        <f t="shared" si="426"/>
        <v>#DIV/0!</v>
      </c>
      <c r="CD173" s="471"/>
      <c r="CE173" s="471"/>
      <c r="CF173" s="471"/>
      <c r="CG173" s="471"/>
      <c r="CH173" s="471"/>
      <c r="CI173" s="471"/>
      <c r="CJ173" s="471"/>
      <c r="CK173" s="468"/>
      <c r="CL173" s="482" t="s">
        <v>2507</v>
      </c>
      <c r="CM173" s="482"/>
      <c r="CN173" s="63"/>
      <c r="CO173" s="498"/>
      <c r="CP173" s="472"/>
      <c r="CQ173" s="482"/>
      <c r="CR173" s="204"/>
      <c r="CS173" s="486"/>
      <c r="CT173" s="486"/>
      <c r="CU173" s="23"/>
      <c r="CV173" s="499"/>
      <c r="CW173" s="488"/>
      <c r="CX173" s="204"/>
      <c r="CY173" s="482"/>
      <c r="CZ173" s="482"/>
      <c r="DA173" s="482"/>
      <c r="DB173" s="490"/>
    </row>
    <row r="174" spans="1:106" ht="15" hidden="1" customHeight="1">
      <c r="A174" s="465">
        <f>+A172+1</f>
        <v>108</v>
      </c>
      <c r="B174" s="491">
        <v>1</v>
      </c>
      <c r="C174" s="466" t="s">
        <v>2139</v>
      </c>
      <c r="D174" s="466" t="s">
        <v>2142</v>
      </c>
      <c r="E174" s="468">
        <v>6.0739899999999999E-2</v>
      </c>
      <c r="F174" s="468"/>
      <c r="G174" s="468">
        <f>IF(B174=1,0,SUMIF($D$22:$D$583,C174,$H$22:$H$583))</f>
        <v>0</v>
      </c>
      <c r="H174" s="468">
        <f>+E174+F174+G174</f>
        <v>6.0739899999999999E-2</v>
      </c>
      <c r="I174" s="468">
        <v>6.0739899999999999E-2</v>
      </c>
      <c r="J174" s="468"/>
      <c r="K174" s="467">
        <f>+IF(B174=1,0,SUMIF($D$22:$D$583,C174,$L$22:$L$580))</f>
        <v>0</v>
      </c>
      <c r="L174" s="468">
        <f>+I174+J174+K174</f>
        <v>6.0739899999999999E-2</v>
      </c>
      <c r="M174" s="469">
        <f>+$P$12</f>
        <v>242.33666300502347</v>
      </c>
      <c r="N174" s="470">
        <f>M174*E174</f>
        <v>14.719504677258826</v>
      </c>
      <c r="O174" s="470">
        <f>M174*F174</f>
        <v>0</v>
      </c>
      <c r="P174" s="470">
        <f>M174*H174</f>
        <v>14.719504677258826</v>
      </c>
      <c r="Q174" s="469">
        <f t="shared" si="369"/>
        <v>140</v>
      </c>
      <c r="R174" s="471">
        <f>Q174*P174*$P$14/86400</f>
        <v>2.0273391858724538E-2</v>
      </c>
      <c r="S174" s="471"/>
      <c r="T174" s="471"/>
      <c r="U174" s="471">
        <f>IF(C174="","",T174*$P$17)</f>
        <v>0</v>
      </c>
      <c r="V174" s="471"/>
      <c r="W174" s="471"/>
      <c r="X174" s="471">
        <f>IF(C174="","",W174*$P$16)</f>
        <v>0</v>
      </c>
      <c r="Y174" s="471">
        <f>IF(H174=0,0,$H$15*H174)</f>
        <v>1.2147980000000001E-2</v>
      </c>
      <c r="Z174" s="471">
        <f>IF(L174=0,$H$16*H174,0)</f>
        <v>0</v>
      </c>
      <c r="AA174" s="471">
        <f t="shared" si="362"/>
        <v>3.8</v>
      </c>
      <c r="AB174" s="471">
        <f>R174*AA174</f>
        <v>7.7038889063153246E-2</v>
      </c>
      <c r="AC174" s="471">
        <f>Q174*(N174+O174)*$P$14/86400</f>
        <v>2.0273391858724538E-2</v>
      </c>
      <c r="AD174" s="471">
        <f>IF(E174=0,0,$H$15*(E174+F174))</f>
        <v>1.2147980000000001E-2</v>
      </c>
      <c r="AE174" s="471">
        <f>IF(F174=0,0,$H$15*(F174+G174))</f>
        <v>0</v>
      </c>
      <c r="AF174" s="510">
        <f t="shared" si="361"/>
        <v>3.8</v>
      </c>
      <c r="AG174" s="471">
        <f>AC174*AF174</f>
        <v>7.7038889063153246E-2</v>
      </c>
      <c r="AH174" s="471">
        <f>+AD174+AE174+AG174</f>
        <v>8.9186869063153248E-2</v>
      </c>
      <c r="AI174" s="471">
        <f>IF(H174="","",IF(AB174+Y174+Z174+X174+U174&lt;1.5,1.5,AB174+Y174+Z174+X174+U174))</f>
        <v>1.5</v>
      </c>
      <c r="AJ174" s="471">
        <f>+$P$17</f>
        <v>0.75</v>
      </c>
      <c r="AK174" s="472">
        <f>+BK174/100</f>
        <v>1.2352309344791524E-2</v>
      </c>
      <c r="AL174" s="471">
        <f>IF(AJ174=0," ",0.14+0.65*AJ174+0.05*AK174)</f>
        <v>0.62811761546723965</v>
      </c>
      <c r="AM174" s="473">
        <f t="shared" si="394"/>
        <v>336.32613267542746</v>
      </c>
      <c r="AN174" s="474">
        <f t="shared" si="395"/>
        <v>5</v>
      </c>
      <c r="AO174" s="474">
        <f>((1/60)*$AX174/$AQ174)</f>
        <v>0.10344444444444445</v>
      </c>
      <c r="AP174" s="474">
        <f>IF(B174=1,IF(($AN174+$AO174)&lt;10,10,IF(($AN174+$AO174)&gt;20,20,($AN174+$AO174))),($AN174+$AO174))</f>
        <v>10</v>
      </c>
      <c r="AQ174" s="475">
        <v>3</v>
      </c>
      <c r="AR174" s="474">
        <f>((1/60)*$AX174/$BT174)</f>
        <v>0.19983761849642021</v>
      </c>
      <c r="AS174" s="474">
        <f>AO174/AR174</f>
        <v>0.51764250005960466</v>
      </c>
      <c r="AT174" s="471" t="str">
        <f>IF(AS174&lt;0.9,"Disminuir vel.",IF(AS174&gt;1.1,"Aumentar vel.","Cumple"))</f>
        <v>Disminuir vel.</v>
      </c>
      <c r="AU174" s="492">
        <f>+I174*AL174*AM174</f>
        <v>12.831447735959433</v>
      </c>
      <c r="AV174" s="471">
        <f>+L174*AL174*AM174</f>
        <v>12.831447735959433</v>
      </c>
      <c r="AW174" s="510">
        <f t="shared" si="403"/>
        <v>14.33</v>
      </c>
      <c r="AX174" s="478">
        <f>IF(OR(C174="",D174=""),"",ROUND(((VLOOKUP(C174,'Base de Diseño (2)'!$A$2:$C$333,2,FALSE)-VLOOKUP(D174,'Base de Diseño (2)'!$A$2:$C$333,2,FALSE))^2+(VLOOKUP(C174,'Base de Diseño (2)'!$A$2:$C$333,3,0)-VLOOKUP(D174,'Base de Diseño (2)'!$A$2:$C$333,3,FALSE))^2)^0.5,2))</f>
        <v>18.62</v>
      </c>
      <c r="AY174" s="493">
        <v>8</v>
      </c>
      <c r="AZ174" s="480">
        <f>IF(AND(L174="",H174=""),"",IF(BA174=4,VLOOKUP(AY174,'TABLA (2)'!$A$74:$C$89,2),IF(BA174=5,VLOOKUP(AY174,'TABLA (2)'!$A$51:$B$66,2),IF(BA174=6,VLOOKUP(AY174,'TABLA (2)'!$A$9:$B$43,2)))))</f>
        <v>200</v>
      </c>
      <c r="BA174" s="493">
        <v>6</v>
      </c>
      <c r="BB174" s="478">
        <f>IF(OR(C174="",D174=""),"",VLOOKUP(C174,'Base de Diseño (2)'!$A$2:$D$330,4,FALSE))</f>
        <v>982.92160000000001</v>
      </c>
      <c r="BC174" s="478">
        <f>IF(OR(C174="",D174=""),"",VLOOKUP(D174,'Base de Diseño (2)'!$A$2:$D$330,4,FALSE))</f>
        <v>982.69159999999999</v>
      </c>
      <c r="BD174" s="23">
        <f>+BF174-((AZ174/1000)+CX174)</f>
        <v>0.56299999999995454</v>
      </c>
      <c r="BE174" s="23">
        <f>+BG174-((AZ174/1000)+CX174)</f>
        <v>1.3229999999999453</v>
      </c>
      <c r="BF174" s="494">
        <v>0.79999999999995453</v>
      </c>
      <c r="BG174" s="494">
        <v>1.5599999999999454</v>
      </c>
      <c r="BH174" s="495">
        <f>BB174-BF174</f>
        <v>982.12160000000006</v>
      </c>
      <c r="BI174" s="495">
        <f>BC174-BG174</f>
        <v>981.13160000000005</v>
      </c>
      <c r="BJ174" s="468">
        <f>IF(A174="",0,BI174-BH175)</f>
        <v>981.13160000000005</v>
      </c>
      <c r="BK174" s="475">
        <f>ABS((BB174-BC174)/AX174)*100</f>
        <v>1.2352309344791523</v>
      </c>
      <c r="BL174" s="475">
        <f>((BH174-BI174)/AX174)*100</f>
        <v>5.3168635875403281</v>
      </c>
      <c r="BM174" s="475">
        <f>IF(BA174=6,(1/0.013)*((AZ174/4000)^(2/3))*((BL174/100)^(0.5)),(1/0.009)*((AZ174/4000)^(2/3))*((BL174/100)^(0.5)))</f>
        <v>2.407304769159722</v>
      </c>
      <c r="BN174" s="475">
        <f>1000*BM174*PI()*((AZ174/1000/2)^2)</f>
        <v>75.627709777438568</v>
      </c>
      <c r="BO174" s="204">
        <f>AI174/BN174</f>
        <v>1.9834000056517424E-2</v>
      </c>
      <c r="BP174" s="496">
        <f>IF(L174=0," ",AW174/BN174)</f>
        <v>0.18948081387326313</v>
      </c>
      <c r="BQ174" s="497">
        <f>IF($BO174&gt;0 =AND($BO174&lt;=0.06),10^(0.029806+0.29095*LOG($BO174)),IF($BO174&gt;0.06 =AND($BO174&lt;=0.26),10^(0.013778+0.282597*LOG($BO174)),IF($BO174&gt;0.26 =AND($BO174&lt;=0.91),10^(0.021763+0.28995*LOG($BO174)),1)))</f>
        <v>0.34232414311754095</v>
      </c>
      <c r="BR174" s="497">
        <f>IF($BP174&gt;0 =AND($BP174&lt;=0.06),10^(0.029806+0.29095*LOG($BP174)),IF($BP174&gt;0.06 =AND($BP174&lt;=0.26),10^(0.013778+0.282597*LOG($BP174)),IF($BP174&gt;0.26 =AND($BP174&lt;=2),10^(0.021763+0.28995*LOG($BP174))," ")))</f>
        <v>0.64508969536120209</v>
      </c>
      <c r="BS174" s="475">
        <f>BM174*BQ174</f>
        <v>0.82407854232537159</v>
      </c>
      <c r="BT174" s="475">
        <f>IF(BP174=" "," ",(BM174*BR174))</f>
        <v>1.5529275001788141</v>
      </c>
      <c r="BU174" s="475">
        <f>IF(BO174&lt;=0.11,0.3827+0.0645*LN(BO174),IF(BO174&lt;=0.21,0.60025+0.15471*LN(BO174),IF(BO174&lt;1,0.225+0.6666666667*BO174,0)))</f>
        <v>0.12983693226072002</v>
      </c>
      <c r="BV174" s="475">
        <f>IF(BP174&lt;=0.11,0.3827+0.0645*LN(BP174),IF(BP174&lt;=0.21,0.60025+0.15471*LN(BP174),IF(BP174&lt;1,0.225+0.6666666667*BP174," ")))</f>
        <v>0.34289494220293598</v>
      </c>
      <c r="BW174" s="475">
        <f>2*ACOS(1-2*(BU174))</f>
        <v>1.4744819125309245</v>
      </c>
      <c r="BX174" s="475">
        <f>IF(BP174=" "," ",(2*ACOS(1-2*(BV174))))</f>
        <v>2.5023436218922095</v>
      </c>
      <c r="BY174" s="475">
        <f>(1/4)*(1-(SIN(BW174))/BW174)</f>
        <v>8.1234730183977227E-2</v>
      </c>
      <c r="BZ174" s="475">
        <f>IF(BP174=" "," ",((1/4)*(1-(SIN(BX174))/BX174)))</f>
        <v>0.19039658269604309</v>
      </c>
      <c r="CA174" s="471">
        <f>BY174*AZ174/1000</f>
        <v>1.6246946036795447E-2</v>
      </c>
      <c r="CB174" s="471">
        <f>IF(BP174=" "," ",(BZ174*AZ174/1000))</f>
        <v>3.8079316539208617E-2</v>
      </c>
      <c r="CC174" s="471">
        <f t="shared" si="426"/>
        <v>2.2132353551451569</v>
      </c>
      <c r="CD174" s="471" t="str">
        <f>IF(CC174="","",IF(CC174&lt;0.7,"F. Subcrítico",IF(AND(CC174&gt;0.7,CC174&lt;1),"F. Subcrítico Inestable",IF(CC174=1,"F. Crítico",IF(AND(CC174&gt;1,CC174&lt;1.5),"F. Supercrítico Inestable",IF(CC174&gt;1.5,"F. Supercrítico",""))))))</f>
        <v>F. Supercrítico</v>
      </c>
      <c r="CE174" s="471">
        <f>1000*BL174*CA174/100</f>
        <v>0.8638279579177035</v>
      </c>
      <c r="CF174" s="471">
        <f>IF(BP174=" "," ",(1000*BL174*CB174/100))</f>
        <v>2.0246253154574045</v>
      </c>
      <c r="CG174" s="471" t="str">
        <f>IF(BS174&lt;0.45,"No cumple",IF(BS174&gt;5,"No cumple","O.K"))</f>
        <v>O.K</v>
      </c>
      <c r="CH174" s="471" t="str">
        <f>IF(BT174&lt;0.75,"No cumple",IF(BT174&gt;10,"No cumple","O.K"))</f>
        <v>O.K</v>
      </c>
      <c r="CI174" s="471" t="str">
        <f>IF(CE174&gt;0.1,"OK","V.C.H.")</f>
        <v>OK</v>
      </c>
      <c r="CJ174" s="471" t="str">
        <f>IF(CF174&gt;0.2,"OK","V.C.H.")</f>
        <v>OK</v>
      </c>
      <c r="CK174" s="468">
        <f>+BJ174</f>
        <v>981.13160000000005</v>
      </c>
      <c r="CL174" s="482" t="s">
        <v>2507</v>
      </c>
      <c r="CM174" s="482"/>
      <c r="CN174" s="63" t="str">
        <f>IF(B174=1,"dato"," ")</f>
        <v>dato</v>
      </c>
      <c r="CO174" s="498">
        <f>+CR174</f>
        <v>18.62</v>
      </c>
      <c r="CP174" s="472">
        <f>+BK174/100</f>
        <v>1.2352309344791524E-2</v>
      </c>
      <c r="CQ174" s="482" t="s">
        <v>2508</v>
      </c>
      <c r="CR174" s="204">
        <f>IF(BA174="","",AX174)</f>
        <v>18.62</v>
      </c>
      <c r="CS174" s="486">
        <v>1.2</v>
      </c>
      <c r="CT174" s="486">
        <v>1.2</v>
      </c>
      <c r="CU174" s="23">
        <f>IF($BA174="","",SQRT((BH174-BI174)^2+$CR174^2))</f>
        <v>18.646299901052757</v>
      </c>
      <c r="CV174" s="499" t="s">
        <v>2509</v>
      </c>
      <c r="CW174" s="488" t="str">
        <f>+IF(BD174&lt;=0.9,"E1",IF(BD174&lt;=2.5,"E2","E3"))</f>
        <v>E1</v>
      </c>
      <c r="CX174" s="204">
        <f>IF(AND(L174="",H174=""),"",IF(AND(BA174&lt;&gt;4,BA174&lt;&gt;5),VLOOKUP(AY174,'TABLA (2)'!$A$9:$D$43,4),IF(BA174=4,VLOOKUP(AY174,'TABLA (2)'!$A$74:$D$89,4),VLOOKUP(AY174,'TABLA (2)'!$A$51:$D$66,4))))</f>
        <v>3.6999999999999998E-2</v>
      </c>
      <c r="CY174" s="482"/>
      <c r="CZ174" s="482"/>
      <c r="DA174" s="482"/>
      <c r="DB174" s="490"/>
    </row>
    <row r="175" spans="1:106" ht="15" hidden="1" customHeight="1">
      <c r="A175" s="465"/>
      <c r="B175" s="491"/>
      <c r="C175" s="466"/>
      <c r="D175" s="466"/>
      <c r="E175" s="468"/>
      <c r="F175" s="468"/>
      <c r="G175" s="468"/>
      <c r="H175" s="468"/>
      <c r="I175" s="468"/>
      <c r="J175" s="468"/>
      <c r="K175" s="467"/>
      <c r="L175" s="468"/>
      <c r="M175" s="469"/>
      <c r="N175" s="470"/>
      <c r="O175" s="470"/>
      <c r="P175" s="470"/>
      <c r="Q175" s="469">
        <f t="shared" si="369"/>
        <v>140</v>
      </c>
      <c r="R175" s="471"/>
      <c r="S175" s="471"/>
      <c r="T175" s="471"/>
      <c r="U175" s="471"/>
      <c r="V175" s="471"/>
      <c r="W175" s="471"/>
      <c r="X175" s="471"/>
      <c r="Y175" s="471"/>
      <c r="Z175" s="471"/>
      <c r="AA175" s="471" t="str">
        <f t="shared" si="362"/>
        <v/>
      </c>
      <c r="AB175" s="471"/>
      <c r="AC175" s="471"/>
      <c r="AD175" s="471"/>
      <c r="AE175" s="471"/>
      <c r="AF175" s="510" t="str">
        <f t="shared" si="361"/>
        <v/>
      </c>
      <c r="AG175" s="471"/>
      <c r="AH175" s="471"/>
      <c r="AI175" s="471"/>
      <c r="AJ175" s="471"/>
      <c r="AK175" s="472"/>
      <c r="AL175" s="471"/>
      <c r="AM175" s="473">
        <f t="shared" si="394"/>
        <v>474.44695720875893</v>
      </c>
      <c r="AN175" s="474">
        <f t="shared" si="395"/>
        <v>10</v>
      </c>
      <c r="AO175" s="474"/>
      <c r="AP175" s="474"/>
      <c r="AQ175" s="475">
        <v>3</v>
      </c>
      <c r="AR175" s="474"/>
      <c r="AS175" s="474"/>
      <c r="AT175" s="471"/>
      <c r="AU175" s="492"/>
      <c r="AV175" s="471"/>
      <c r="AW175" s="510">
        <f t="shared" si="403"/>
        <v>0</v>
      </c>
      <c r="AX175" s="478"/>
      <c r="AY175" s="493"/>
      <c r="AZ175" s="480"/>
      <c r="BA175" s="493"/>
      <c r="BB175" s="478" t="str">
        <f>IF(OR(C175="",D175=""),"",VLOOKUP(C175,'Base de Diseño (2)'!$A$2:$D$330,4,FALSE))</f>
        <v/>
      </c>
      <c r="BC175" s="478" t="str">
        <f>IF(OR(C175="",D175=""),"",VLOOKUP(D175,'Base de Diseño (2)'!$A$2:$D$330,4,FALSE))</f>
        <v/>
      </c>
      <c r="BD175" s="23"/>
      <c r="BE175" s="23"/>
      <c r="BF175" s="494"/>
      <c r="BG175" s="494"/>
      <c r="BH175" s="495"/>
      <c r="BI175" s="495"/>
      <c r="BJ175" s="468"/>
      <c r="BK175" s="475"/>
      <c r="BL175" s="475"/>
      <c r="BM175" s="475"/>
      <c r="BN175" s="475"/>
      <c r="BO175" s="204"/>
      <c r="BP175" s="496"/>
      <c r="BQ175" s="497"/>
      <c r="BR175" s="497"/>
      <c r="BS175" s="475"/>
      <c r="BT175" s="475"/>
      <c r="BU175" s="475"/>
      <c r="BV175" s="475"/>
      <c r="BW175" s="475"/>
      <c r="BX175" s="475"/>
      <c r="BY175" s="475"/>
      <c r="BZ175" s="475"/>
      <c r="CA175" s="471"/>
      <c r="CB175" s="471"/>
      <c r="CC175" s="471" t="e">
        <f t="shared" si="426"/>
        <v>#DIV/0!</v>
      </c>
      <c r="CD175" s="471"/>
      <c r="CE175" s="471"/>
      <c r="CF175" s="471"/>
      <c r="CG175" s="471"/>
      <c r="CH175" s="471"/>
      <c r="CI175" s="471"/>
      <c r="CJ175" s="471"/>
      <c r="CK175" s="468"/>
      <c r="CL175" s="482" t="s">
        <v>2507</v>
      </c>
      <c r="CM175" s="482"/>
      <c r="CN175" s="63"/>
      <c r="CO175" s="498"/>
      <c r="CP175" s="472"/>
      <c r="CQ175" s="482"/>
      <c r="CR175" s="204"/>
      <c r="CS175" s="486"/>
      <c r="CT175" s="486"/>
      <c r="CU175" s="23"/>
      <c r="CV175" s="499"/>
      <c r="CW175" s="488"/>
      <c r="CX175" s="204"/>
      <c r="CY175" s="482"/>
      <c r="CZ175" s="482"/>
      <c r="DA175" s="482"/>
      <c r="DB175" s="490"/>
    </row>
    <row r="176" spans="1:106" ht="15" hidden="1" customHeight="1">
      <c r="A176" s="465">
        <f>+A174+1</f>
        <v>109</v>
      </c>
      <c r="B176" s="491">
        <v>1</v>
      </c>
      <c r="C176" s="466" t="s">
        <v>2138</v>
      </c>
      <c r="D176" s="466" t="s">
        <v>2143</v>
      </c>
      <c r="E176" s="468">
        <v>4.0804630799999998E-2</v>
      </c>
      <c r="F176" s="468"/>
      <c r="G176" s="468">
        <f>IF(B176=1,0,SUMIF($D$22:$D$583,C176,$H$22:$H$583))</f>
        <v>0</v>
      </c>
      <c r="H176" s="468">
        <f>+E176+F176+G176</f>
        <v>4.0804630799999998E-2</v>
      </c>
      <c r="I176" s="468">
        <v>4.0804630799999998E-2</v>
      </c>
      <c r="J176" s="468"/>
      <c r="K176" s="467">
        <f>+IF(B176=1,0,SUMIF($D$22:$D$583,C176,$L$22:$L$580))</f>
        <v>0</v>
      </c>
      <c r="L176" s="468">
        <f>+I176+J176+K176</f>
        <v>4.0804630799999998E-2</v>
      </c>
      <c r="M176" s="469">
        <f>+$P$12</f>
        <v>242.33666300502347</v>
      </c>
      <c r="N176" s="470">
        <f>M176*E176</f>
        <v>9.8884580632240002</v>
      </c>
      <c r="O176" s="470">
        <f>M176*F176</f>
        <v>0</v>
      </c>
      <c r="P176" s="470">
        <f>M176*H176</f>
        <v>9.8884580632240002</v>
      </c>
      <c r="Q176" s="469">
        <f t="shared" si="369"/>
        <v>140</v>
      </c>
      <c r="R176" s="471">
        <f>Q176*P176*$P$14/86400</f>
        <v>1.3619519786153425E-2</v>
      </c>
      <c r="S176" s="471"/>
      <c r="T176" s="471"/>
      <c r="U176" s="471">
        <f>IF(C176="","",T176*$P$17)</f>
        <v>0</v>
      </c>
      <c r="V176" s="471"/>
      <c r="W176" s="471"/>
      <c r="X176" s="471">
        <f>IF(C176="","",W176*$P$16)</f>
        <v>0</v>
      </c>
      <c r="Y176" s="471">
        <f>IF(H176=0,0,$H$15*H176)</f>
        <v>8.16092616E-3</v>
      </c>
      <c r="Z176" s="471">
        <f>IF(L176=0,$H$16*H176,0)</f>
        <v>0</v>
      </c>
      <c r="AA176" s="471">
        <f t="shared" si="362"/>
        <v>3.8</v>
      </c>
      <c r="AB176" s="471">
        <f>R176*AA176</f>
        <v>5.1754175187383011E-2</v>
      </c>
      <c r="AC176" s="471">
        <f>Q176*(N176+O176)*$P$14/86400</f>
        <v>1.3619519786153425E-2</v>
      </c>
      <c r="AD176" s="471">
        <f>IF(E176=0,0,$H$15*(E176+F176))</f>
        <v>8.16092616E-3</v>
      </c>
      <c r="AE176" s="471">
        <f>IF(F176=0,0,$H$15*(F176+G176))</f>
        <v>0</v>
      </c>
      <c r="AF176" s="510">
        <f t="shared" si="361"/>
        <v>3.8</v>
      </c>
      <c r="AG176" s="471">
        <f>AC176*AF176</f>
        <v>5.1754175187383011E-2</v>
      </c>
      <c r="AH176" s="471">
        <f>+AD176+AE176+AG176</f>
        <v>5.991510134738301E-2</v>
      </c>
      <c r="AI176" s="471">
        <f>IF(H176="","",IF(AB176+Y176+Z176+X176+U176&lt;1.5,1.5,AB176+Y176+Z176+X176+U176))</f>
        <v>1.5</v>
      </c>
      <c r="AJ176" s="471">
        <f>+$P$17</f>
        <v>0.75</v>
      </c>
      <c r="AK176" s="472">
        <f>+BK176/100</f>
        <v>2.0661157024774598E-3</v>
      </c>
      <c r="AL176" s="471">
        <f>IF(AJ176=0," ",0.14+0.65*AJ176+0.05*AK176)</f>
        <v>0.62760330578512391</v>
      </c>
      <c r="AM176" s="473">
        <f t="shared" si="394"/>
        <v>336.32613267542746</v>
      </c>
      <c r="AN176" s="474">
        <f t="shared" si="395"/>
        <v>8.4880179017488224</v>
      </c>
      <c r="AO176" s="474">
        <f>((1/60)*$AX176/$AQ176)</f>
        <v>0.10755555555555556</v>
      </c>
      <c r="AP176" s="474">
        <f>IF(B176=1,IF(($AN176+$AO176)&lt;10,10,IF(($AN176+$AO176)&gt;20,20,($AN176+$AO176))),($AN176+$AO176))</f>
        <v>10</v>
      </c>
      <c r="AQ176" s="475">
        <v>3</v>
      </c>
      <c r="AR176" s="474">
        <f>((1/60)*$AX176/$BT176)</f>
        <v>0.25100497789954973</v>
      </c>
      <c r="AS176" s="474">
        <f>AO176/AR176</f>
        <v>0.42849969134316718</v>
      </c>
      <c r="AT176" s="471" t="str">
        <f>IF(AS176&lt;0.9,"Disminuir vel.",IF(AS176&gt;1.1,"Aumentar vel.","Cumple"))</f>
        <v>Disminuir vel.</v>
      </c>
      <c r="AU176" s="492">
        <f>+I176*AL176*AM176</f>
        <v>8.6130166881638619</v>
      </c>
      <c r="AV176" s="471">
        <f>+L176*AL176*AM176</f>
        <v>8.6130166881638619</v>
      </c>
      <c r="AW176" s="510">
        <f t="shared" si="403"/>
        <v>10.11</v>
      </c>
      <c r="AX176" s="478">
        <f>IF(OR(C176="",D176=""),"",ROUND(((VLOOKUP(C176,'Base de Diseño (2)'!$A$2:$C$333,2,FALSE)-VLOOKUP(D176,'Base de Diseño (2)'!$A$2:$C$333,2,FALSE))^2+(VLOOKUP(C176,'Base de Diseño (2)'!$A$2:$C$333,3,0)-VLOOKUP(D176,'Base de Diseño (2)'!$A$2:$C$333,3,FALSE))^2)^0.5,2))</f>
        <v>19.36</v>
      </c>
      <c r="AY176" s="493">
        <v>8</v>
      </c>
      <c r="AZ176" s="480">
        <f>IF(AND(L176="",H176=""),"",IF(BA176=4,VLOOKUP(AY176,'TABLA (2)'!$A$74:$C$89,2),IF(BA176=5,VLOOKUP(AY176,'TABLA (2)'!$A$51:$B$66,2),IF(BA176=6,VLOOKUP(AY176,'TABLA (2)'!$A$9:$B$43,2)))))</f>
        <v>200</v>
      </c>
      <c r="BA176" s="493">
        <v>6</v>
      </c>
      <c r="BB176" s="478">
        <f>IF(OR(C176="",D176=""),"",VLOOKUP(C176,'Base de Diseño (2)'!$A$2:$D$330,4,FALSE))</f>
        <v>982.35160000000008</v>
      </c>
      <c r="BC176" s="478">
        <f>IF(OR(C176="",D176=""),"",VLOOKUP(D176,'Base de Diseño (2)'!$A$2:$D$330,4,FALSE))</f>
        <v>982.39160000000004</v>
      </c>
      <c r="BD176" s="23">
        <f>+BF176-((AZ176/1000)+CX176)</f>
        <v>0.62300000000001365</v>
      </c>
      <c r="BE176" s="23">
        <f>+BG176-((AZ176/1000)+CX176)</f>
        <v>1.4630000000000454</v>
      </c>
      <c r="BF176" s="494">
        <v>0.86000000000001364</v>
      </c>
      <c r="BG176" s="494">
        <v>1.7000000000000455</v>
      </c>
      <c r="BH176" s="495">
        <f>BB176-BF176</f>
        <v>981.49160000000006</v>
      </c>
      <c r="BI176" s="495">
        <f>BC176-BG176</f>
        <v>980.69159999999999</v>
      </c>
      <c r="BJ176" s="468">
        <f>IF(A176="",0,BI176-BH177)</f>
        <v>980.69159999999999</v>
      </c>
      <c r="BK176" s="475">
        <f>ABS((BB176-BC176)/AX176)*100</f>
        <v>0.20661157024774598</v>
      </c>
      <c r="BL176" s="475">
        <f>((BH176-BI176)/AX176)*100</f>
        <v>4.1322314049590307</v>
      </c>
      <c r="BM176" s="475">
        <f>IF(BA176=6,(1/0.013)*((AZ176/4000)^(2/3))*((BL176/100)^(0.5)),(1/0.009)*((AZ176/4000)^(2/3))*((BL176/100)^(0.5)))</f>
        <v>2.122245562947354</v>
      </c>
      <c r="BN176" s="475">
        <f>1000*BM176*PI()*((AZ176/1000/2)^2)</f>
        <v>66.672310696689436</v>
      </c>
      <c r="BO176" s="204">
        <f>AI176/BN176</f>
        <v>2.2498095301119979E-2</v>
      </c>
      <c r="BP176" s="496">
        <f>IF(L176=0," ",AW176/BN176)</f>
        <v>0.15163716232954866</v>
      </c>
      <c r="BQ176" s="497">
        <f>IF($BO176&gt;0 =AND($BO176&lt;=0.06),10^(0.029806+0.29095*LOG($BO176)),IF($BO176&gt;0.06 =AND($BO176&lt;=0.26),10^(0.013778+0.282597*LOG($BO176)),IF($BO176&gt;0.26 =AND($BO176&lt;=0.91),10^(0.021763+0.28995*LOG($BO176)),1)))</f>
        <v>0.35510992170162781</v>
      </c>
      <c r="BR176" s="497">
        <f>IF($BP176&gt;0 =AND($BP176&lt;=0.06),10^(0.029806+0.29095*LOG($BP176)),IF($BP176&gt;0.06 =AND($BP176&lt;=0.26),10^(0.013778+0.282597*LOG($BP176)),IF($BP176&gt;0.26 =AND($BP176&lt;=2),10^(0.021763+0.28995*LOG($BP176))," ")))</f>
        <v>0.60572588604883826</v>
      </c>
      <c r="BS176" s="475">
        <f>BM176*BQ176</f>
        <v>0.75363045568986187</v>
      </c>
      <c r="BT176" s="475">
        <f>IF(BP176=" "," ",(BM176*BR176))</f>
        <v>1.2854990740295016</v>
      </c>
      <c r="BU176" s="475">
        <f>IF(BO176&lt;=0.11,0.3827+0.0645*LN(BO176),IF(BO176&lt;=0.21,0.60025+0.15471*LN(BO176),IF(BO176&lt;1,0.225+0.6666666667*BO176,0)))</f>
        <v>0.1379660615818096</v>
      </c>
      <c r="BV176" s="475">
        <f>IF(BP176&lt;=0.11,0.3827+0.0645*LN(BP176),IF(BP176&lt;=0.21,0.60025+0.15471*LN(BP176),IF(BP176&lt;1,0.225+0.6666666667*BP176," ")))</f>
        <v>0.30842598799776594</v>
      </c>
      <c r="BW176" s="475">
        <f>2*ACOS(1-2*(BU176))</f>
        <v>1.5222286547913397</v>
      </c>
      <c r="BX176" s="475">
        <f>IF(BP176=" "," ",(2*ACOS(1-2*(BV176))))</f>
        <v>2.3551886446487962</v>
      </c>
      <c r="BY176" s="475">
        <f>(1/4)*(1-(SIN(BW176))/BW176)</f>
        <v>8.5960777099683056E-2</v>
      </c>
      <c r="BZ176" s="475">
        <f>IF(BP176=" "," ",((1/4)*(1-(SIN(BX176))/BX176)))</f>
        <v>0.17486613915400701</v>
      </c>
      <c r="CA176" s="471">
        <f>BY176*AZ176/1000</f>
        <v>1.719215541993661E-2</v>
      </c>
      <c r="CB176" s="471">
        <f>IF(BP176=" "," ",(BZ176*AZ176/1000))</f>
        <v>3.4973227830801396E-2</v>
      </c>
      <c r="CC176" s="471">
        <f t="shared" si="426"/>
        <v>1.9437211467424802</v>
      </c>
      <c r="CD176" s="471" t="str">
        <f>IF(CC176="","",IF(CC176&lt;0.7,"F. Subcrítico",IF(AND(CC176&gt;0.7,CC176&lt;1),"F. Subcrítico Inestable",IF(CC176=1,"F. Crítico",IF(AND(CC176&gt;1,CC176&lt;1.5),"F. Supercrítico Inestable",IF(CC176&gt;1.5,"F. Supercrítico",""))))))</f>
        <v>F. Supercrítico</v>
      </c>
      <c r="CE176" s="471">
        <f>1000*BL176*CA176/100</f>
        <v>0.71041964545198666</v>
      </c>
      <c r="CF176" s="471">
        <f>IF(BP176=" "," ",(1000*BL176*CB176/100))</f>
        <v>1.4451747037522471</v>
      </c>
      <c r="CG176" s="471" t="str">
        <f>IF(BS176&lt;0.45,"No cumple",IF(BS176&gt;5,"No cumple","O.K"))</f>
        <v>O.K</v>
      </c>
      <c r="CH176" s="471" t="str">
        <f>IF(BT176&lt;0.75,"No cumple",IF(BT176&gt;10,"No cumple","O.K"))</f>
        <v>O.K</v>
      </c>
      <c r="CI176" s="471" t="str">
        <f>IF(CE176&gt;0.1,"OK","V.C.H.")</f>
        <v>OK</v>
      </c>
      <c r="CJ176" s="471" t="str">
        <f>IF(CF176&gt;0.2,"OK","V.C.H.")</f>
        <v>OK</v>
      </c>
      <c r="CK176" s="468">
        <f>+BJ176</f>
        <v>980.69159999999999</v>
      </c>
      <c r="CL176" s="482" t="s">
        <v>2507</v>
      </c>
      <c r="CM176" s="482"/>
      <c r="CN176" s="63" t="str">
        <f>IF(B176=1,"dato"," ")</f>
        <v>dato</v>
      </c>
      <c r="CO176" s="498">
        <f>+CR176</f>
        <v>19.36</v>
      </c>
      <c r="CP176" s="472">
        <f>+BK176/100</f>
        <v>2.0661157024774598E-3</v>
      </c>
      <c r="CQ176" s="482" t="s">
        <v>2508</v>
      </c>
      <c r="CR176" s="204">
        <f>IF(BA176="","",AX176)</f>
        <v>19.36</v>
      </c>
      <c r="CS176" s="486">
        <v>1.2</v>
      </c>
      <c r="CT176" s="486">
        <v>1.2</v>
      </c>
      <c r="CU176" s="23">
        <f>IF($BA176="","",SQRT((BH176-BI176)^2+$CR176^2))</f>
        <v>19.376521875713404</v>
      </c>
      <c r="CV176" s="499" t="s">
        <v>2509</v>
      </c>
      <c r="CW176" s="488" t="str">
        <f>+IF(BD176&lt;=0.9,"E1",IF(BD176&lt;=2.5,"E2","E3"))</f>
        <v>E1</v>
      </c>
      <c r="CX176" s="204">
        <f>IF(AND(L176="",H176=""),"",IF(AND(BA176&lt;&gt;4,BA176&lt;&gt;5),VLOOKUP(AY176,'TABLA (2)'!$A$9:$D$43,4),IF(BA176=4,VLOOKUP(AY176,'TABLA (2)'!$A$74:$D$89,4),VLOOKUP(AY176,'TABLA (2)'!$A$51:$D$66,4))))</f>
        <v>3.6999999999999998E-2</v>
      </c>
      <c r="CY176" s="482"/>
      <c r="CZ176" s="482"/>
      <c r="DA176" s="482"/>
      <c r="DB176" s="490"/>
    </row>
    <row r="177" spans="1:106" ht="15" hidden="1" customHeight="1">
      <c r="A177" s="465"/>
      <c r="B177" s="491"/>
      <c r="C177" s="466"/>
      <c r="D177" s="466"/>
      <c r="E177" s="468"/>
      <c r="F177" s="468"/>
      <c r="G177" s="468"/>
      <c r="H177" s="468"/>
      <c r="I177" s="468"/>
      <c r="J177" s="468"/>
      <c r="K177" s="467"/>
      <c r="L177" s="468"/>
      <c r="M177" s="469"/>
      <c r="N177" s="470"/>
      <c r="O177" s="470"/>
      <c r="P177" s="470"/>
      <c r="Q177" s="469">
        <f t="shared" si="369"/>
        <v>140</v>
      </c>
      <c r="R177" s="471"/>
      <c r="S177" s="471"/>
      <c r="T177" s="471"/>
      <c r="U177" s="471"/>
      <c r="V177" s="471"/>
      <c r="W177" s="471"/>
      <c r="X177" s="471"/>
      <c r="Y177" s="471"/>
      <c r="Z177" s="471"/>
      <c r="AA177" s="471" t="str">
        <f t="shared" si="362"/>
        <v/>
      </c>
      <c r="AB177" s="471"/>
      <c r="AC177" s="471"/>
      <c r="AD177" s="471"/>
      <c r="AE177" s="471"/>
      <c r="AF177" s="510" t="str">
        <f t="shared" si="361"/>
        <v/>
      </c>
      <c r="AG177" s="471"/>
      <c r="AH177" s="471"/>
      <c r="AI177" s="471"/>
      <c r="AJ177" s="471"/>
      <c r="AK177" s="472"/>
      <c r="AL177" s="471"/>
      <c r="AM177" s="473">
        <f t="shared" si="394"/>
        <v>474.44695720875893</v>
      </c>
      <c r="AN177" s="474">
        <f t="shared" si="395"/>
        <v>10</v>
      </c>
      <c r="AO177" s="474"/>
      <c r="AP177" s="474"/>
      <c r="AQ177" s="475">
        <v>3</v>
      </c>
      <c r="AR177" s="474"/>
      <c r="AS177" s="474"/>
      <c r="AT177" s="471"/>
      <c r="AU177" s="492"/>
      <c r="AV177" s="471"/>
      <c r="AW177" s="510">
        <f t="shared" si="403"/>
        <v>0</v>
      </c>
      <c r="AX177" s="478"/>
      <c r="AY177" s="493"/>
      <c r="AZ177" s="480"/>
      <c r="BA177" s="493"/>
      <c r="BB177" s="478" t="str">
        <f>IF(OR(C177="",D177=""),"",VLOOKUP(C177,'Base de Diseño (2)'!$A$2:$D$330,4,FALSE))</f>
        <v/>
      </c>
      <c r="BC177" s="478" t="str">
        <f>IF(OR(C177="",D177=""),"",VLOOKUP(D177,'Base de Diseño (2)'!$A$2:$D$330,4,FALSE))</f>
        <v/>
      </c>
      <c r="BD177" s="23"/>
      <c r="BE177" s="23"/>
      <c r="BF177" s="494"/>
      <c r="BG177" s="494"/>
      <c r="BH177" s="495"/>
      <c r="BI177" s="495"/>
      <c r="BJ177" s="468"/>
      <c r="BK177" s="475"/>
      <c r="BL177" s="475"/>
      <c r="BM177" s="475"/>
      <c r="BN177" s="475"/>
      <c r="BO177" s="204"/>
      <c r="BP177" s="496"/>
      <c r="BQ177" s="497"/>
      <c r="BR177" s="497"/>
      <c r="BS177" s="475"/>
      <c r="BT177" s="475"/>
      <c r="BU177" s="475"/>
      <c r="BV177" s="475"/>
      <c r="BW177" s="475"/>
      <c r="BX177" s="475"/>
      <c r="BY177" s="475"/>
      <c r="BZ177" s="475"/>
      <c r="CA177" s="471"/>
      <c r="CB177" s="471"/>
      <c r="CC177" s="471" t="e">
        <f t="shared" si="426"/>
        <v>#DIV/0!</v>
      </c>
      <c r="CD177" s="471"/>
      <c r="CE177" s="471"/>
      <c r="CF177" s="471"/>
      <c r="CG177" s="471"/>
      <c r="CH177" s="471"/>
      <c r="CI177" s="471"/>
      <c r="CJ177" s="471"/>
      <c r="CK177" s="468"/>
      <c r="CL177" s="482" t="s">
        <v>2507</v>
      </c>
      <c r="CM177" s="482"/>
      <c r="CN177" s="63"/>
      <c r="CO177" s="498"/>
      <c r="CP177" s="472"/>
      <c r="CQ177" s="482"/>
      <c r="CR177" s="204"/>
      <c r="CS177" s="486"/>
      <c r="CT177" s="486"/>
      <c r="CU177" s="23"/>
      <c r="CV177" s="499"/>
      <c r="CW177" s="488"/>
      <c r="CX177" s="204"/>
      <c r="CY177" s="482"/>
      <c r="CZ177" s="482"/>
      <c r="DA177" s="482"/>
      <c r="DB177" s="490"/>
    </row>
    <row r="178" spans="1:106" ht="15" hidden="1" customHeight="1">
      <c r="A178" s="465">
        <f>+A176+1</f>
        <v>110</v>
      </c>
      <c r="B178" s="491">
        <v>1</v>
      </c>
      <c r="C178" s="466" t="s">
        <v>2137</v>
      </c>
      <c r="D178" s="466" t="s">
        <v>2144</v>
      </c>
      <c r="E178" s="468">
        <v>4.2725118800000003E-2</v>
      </c>
      <c r="F178" s="468"/>
      <c r="G178" s="468">
        <f>IF(B178=1,0,SUMIF($D$22:$D$583,C178,$H$22:$H$583))</f>
        <v>0</v>
      </c>
      <c r="H178" s="468">
        <f>+E178+F178+G178</f>
        <v>4.2725118800000003E-2</v>
      </c>
      <c r="I178" s="468">
        <v>4.2725118800000003E-2</v>
      </c>
      <c r="J178" s="468"/>
      <c r="K178" s="467">
        <f>+IF(B178=1,0,SUMIF($D$22:$D$583,C178,$L$22:$L$580))</f>
        <v>0</v>
      </c>
      <c r="L178" s="468">
        <f>+I178+J178+K178</f>
        <v>4.2725118800000003E-2</v>
      </c>
      <c r="M178" s="469">
        <f>+$P$12</f>
        <v>242.33666300502347</v>
      </c>
      <c r="N178" s="470">
        <f>M178*E178</f>
        <v>10.353862716485194</v>
      </c>
      <c r="O178" s="470">
        <f>M178*F178</f>
        <v>0</v>
      </c>
      <c r="P178" s="470">
        <f>M178*H178</f>
        <v>10.353862716485194</v>
      </c>
      <c r="Q178" s="469">
        <f t="shared" si="369"/>
        <v>140</v>
      </c>
      <c r="R178" s="471">
        <f>Q178*P178*$P$14/86400</f>
        <v>1.4260528509973822E-2</v>
      </c>
      <c r="S178" s="471"/>
      <c r="T178" s="471"/>
      <c r="U178" s="471">
        <f>IF(C178="","",T178*$P$17)</f>
        <v>0</v>
      </c>
      <c r="V178" s="471"/>
      <c r="W178" s="471"/>
      <c r="X178" s="471">
        <f>IF(C178="","",W178*$P$16)</f>
        <v>0</v>
      </c>
      <c r="Y178" s="471">
        <f>IF(H178=0,0,$H$15*H178)</f>
        <v>8.545023760000001E-3</v>
      </c>
      <c r="Z178" s="471">
        <f>IF(L178=0,$H$16*H178,0)</f>
        <v>0</v>
      </c>
      <c r="AA178" s="471">
        <f t="shared" si="362"/>
        <v>3.8</v>
      </c>
      <c r="AB178" s="471">
        <f>R178*AA178</f>
        <v>5.4190008337900518E-2</v>
      </c>
      <c r="AC178" s="471">
        <f>Q178*(N178+O178)*$P$14/86400</f>
        <v>1.4260528509973822E-2</v>
      </c>
      <c r="AD178" s="471">
        <f>IF(E178=0,0,$H$15*(E178+F178))</f>
        <v>8.545023760000001E-3</v>
      </c>
      <c r="AE178" s="471">
        <f>IF(F178=0,0,$H$15*(F178+G178))</f>
        <v>0</v>
      </c>
      <c r="AF178" s="510">
        <f t="shared" si="361"/>
        <v>3.8</v>
      </c>
      <c r="AG178" s="471">
        <f>AC178*AF178</f>
        <v>5.4190008337900518E-2</v>
      </c>
      <c r="AH178" s="471">
        <f>+AD178+AE178+AG178</f>
        <v>6.2735032097900517E-2</v>
      </c>
      <c r="AI178" s="471">
        <f>IF(H178="","",IF(AB178+Y178+Z178+X178+U178&lt;1.5,1.5,AB178+Y178+Z178+X178+U178))</f>
        <v>1.5</v>
      </c>
      <c r="AJ178" s="471">
        <f>+$P$17</f>
        <v>0.75</v>
      </c>
      <c r="AK178" s="472">
        <f>+BK178/100</f>
        <v>2.0040080160359372E-3</v>
      </c>
      <c r="AL178" s="471">
        <f>IF(AJ178=0," ",0.14+0.65*AJ178+0.05*AK178)</f>
        <v>0.62760020040080189</v>
      </c>
      <c r="AM178" s="473">
        <f t="shared" si="394"/>
        <v>336.32613267542746</v>
      </c>
      <c r="AN178" s="474">
        <f t="shared" si="395"/>
        <v>8.7066737959471023</v>
      </c>
      <c r="AO178" s="474">
        <f>((1/60)*$AX178/$AQ178)</f>
        <v>0.11088888888888888</v>
      </c>
      <c r="AP178" s="474">
        <f>IF(B178=1,IF(($AN178+$AO178)&lt;10,10,IF(($AN178+$AO178)&gt;20,20,($AN178+$AO178))),($AN178+$AO178))</f>
        <v>10</v>
      </c>
      <c r="AQ178" s="475">
        <v>3</v>
      </c>
      <c r="AR178" s="474">
        <f>((1/60)*$AX178/$BT178)</f>
        <v>0.41390409913959991</v>
      </c>
      <c r="AS178" s="474">
        <f>AO178/AR178</f>
        <v>0.26790961751622744</v>
      </c>
      <c r="AT178" s="471" t="str">
        <f>IF(AS178&lt;0.9,"Disminuir vel.",IF(AS178&gt;1.1,"Aumentar vel.","Cumple"))</f>
        <v>Disminuir vel.</v>
      </c>
      <c r="AU178" s="492">
        <f>+I178*AL178*AM178</f>
        <v>9.0183475058206888</v>
      </c>
      <c r="AV178" s="471">
        <f>+L178*AL178*AM178</f>
        <v>9.0183475058206888</v>
      </c>
      <c r="AW178" s="510">
        <f t="shared" si="403"/>
        <v>10.52</v>
      </c>
      <c r="AX178" s="478">
        <f>IF(OR(C178="",D178=""),"",ROUND(((VLOOKUP(C178,'Base de Diseño (2)'!$A$2:$C$333,2,FALSE)-VLOOKUP(D178,'Base de Diseño (2)'!$A$2:$C$333,2,FALSE))^2+(VLOOKUP(C178,'Base de Diseño (2)'!$A$2:$C$333,3,0)-VLOOKUP(D178,'Base de Diseño (2)'!$A$2:$C$333,3,FALSE))^2)^0.5,2))</f>
        <v>19.96</v>
      </c>
      <c r="AY178" s="493">
        <v>8</v>
      </c>
      <c r="AZ178" s="480">
        <f>IF(AND(L178="",H178=""),"",IF(BA178=4,VLOOKUP(AY178,'TABLA (2)'!$A$74:$C$89,2),IF(BA178=5,VLOOKUP(AY178,'TABLA (2)'!$A$51:$B$66,2),IF(BA178=6,VLOOKUP(AY178,'TABLA (2)'!$A$9:$B$43,2)))))</f>
        <v>200</v>
      </c>
      <c r="BA178" s="493">
        <v>6</v>
      </c>
      <c r="BB178" s="478">
        <f>IF(OR(C178="",D178=""),"",VLOOKUP(C178,'Base de Diseño (2)'!$A$2:$D$330,4,FALSE))</f>
        <v>981.07159999999999</v>
      </c>
      <c r="BC178" s="478">
        <f>IF(OR(C178="",D178=""),"",VLOOKUP(D178,'Base de Diseño (2)'!$A$2:$D$330,4,FALSE))</f>
        <v>981.11160000000007</v>
      </c>
      <c r="BD178" s="23">
        <f>+BF178-((AZ178/1000)+CX178)</f>
        <v>0.76300000000000001</v>
      </c>
      <c r="BE178" s="23">
        <f>+BG178-((AZ178/1000)+CX178)</f>
        <v>1.0129999999999999</v>
      </c>
      <c r="BF178" s="494">
        <v>1</v>
      </c>
      <c r="BG178" s="494">
        <v>1.25</v>
      </c>
      <c r="BH178" s="495">
        <f>BB178-BF178</f>
        <v>980.07159999999999</v>
      </c>
      <c r="BI178" s="495">
        <f>BC178-BG178</f>
        <v>979.86160000000007</v>
      </c>
      <c r="BJ178" s="468">
        <f>IF(A178="",0,BI178-BH179)</f>
        <v>979.86160000000007</v>
      </c>
      <c r="BK178" s="475">
        <f>ABS((BB178-BC178)/AX178)*100</f>
        <v>0.20040080160359372</v>
      </c>
      <c r="BL178" s="475">
        <f>((BH178-BI178)/AX178)*100</f>
        <v>1.0521042084164463</v>
      </c>
      <c r="BM178" s="475">
        <f>IF(BA178=6,(1/0.013)*((AZ178/4000)^(2/3))*((BL178/100)^(0.5)),(1/0.009)*((AZ178/4000)^(2/3))*((BL178/100)^(0.5)))</f>
        <v>1.0708599988686716</v>
      </c>
      <c r="BN178" s="475">
        <f>1000*BM178*PI()*((AZ178/1000/2)^2)</f>
        <v>33.642059054689931</v>
      </c>
      <c r="BO178" s="204">
        <f>AI178/BN178</f>
        <v>4.4587044971341902E-2</v>
      </c>
      <c r="BP178" s="496">
        <f>IF(L178=0," ",AW178/BN178)</f>
        <v>0.31270380873234455</v>
      </c>
      <c r="BQ178" s="497">
        <f>IF($BO178&gt;0 =AND($BO178&lt;=0.06),10^(0.029806+0.29095*LOG($BO178)),IF($BO178&gt;0.06 =AND($BO178&lt;=0.26),10^(0.013778+0.282597*LOG($BO178)),IF($BO178&gt;0.26 =AND($BO178&lt;=0.91),10^(0.021763+0.28995*LOG($BO178)),1)))</f>
        <v>0.43330456892293567</v>
      </c>
      <c r="BR178" s="497">
        <f>IF($BP178&gt;0 =AND($BP178&lt;=0.06),10^(0.029806+0.29095*LOG($BP178)),IF($BP178&gt;0.06 =AND($BP178&lt;=0.26),10^(0.013778+0.282597*LOG($BP178)),IF($BP178&gt;0.26 =AND($BP178&lt;=2),10^(0.021763+0.28995*LOG($BP178))," ")))</f>
        <v>0.75054521916758066</v>
      </c>
      <c r="BS178" s="475">
        <f>BM178*BQ178</f>
        <v>0.46400853018660509</v>
      </c>
      <c r="BT178" s="475">
        <f>IF(BP178=" "," ",(BM178*BR178))</f>
        <v>0.80372885254868232</v>
      </c>
      <c r="BU178" s="475">
        <f>IF(BO178&lt;=0.11,0.3827+0.0645*LN(BO178),IF(BO178&lt;=0.21,0.60025+0.15471*LN(BO178),IF(BO178&lt;1,0.225+0.6666666667*BO178,0)))</f>
        <v>0.18208488027985165</v>
      </c>
      <c r="BV178" s="475">
        <f>IF(BP178&lt;=0.11,0.3827+0.0645*LN(BP178),IF(BP178&lt;=0.21,0.60025+0.15471*LN(BP178),IF(BP178&lt;1,0.225+0.6666666667*BP178," ")))</f>
        <v>0.43346920583198645</v>
      </c>
      <c r="BW178" s="475">
        <f>2*ACOS(1-2*(BU178))</f>
        <v>1.7634252093751219</v>
      </c>
      <c r="BX178" s="475">
        <f>IF(BP178=" "," ",(2*ACOS(1-2*(BV178))))</f>
        <v>2.8746778510623665</v>
      </c>
      <c r="BY178" s="475">
        <f>(1/4)*(1-(SIN(BW178))/BW178)</f>
        <v>0.11085256844369631</v>
      </c>
      <c r="BZ178" s="475">
        <f>IF(BP178=" "," ",((1/4)*(1-(SIN(BX178))/BX178)))</f>
        <v>0.22706206033297199</v>
      </c>
      <c r="CA178" s="471">
        <f>BY178*AZ178/1000</f>
        <v>2.2170513688739263E-2</v>
      </c>
      <c r="CB178" s="471">
        <f>IF(BP178=" "," ",(BZ178*AZ178/1000))</f>
        <v>4.5412412066594396E-2</v>
      </c>
      <c r="CC178" s="471">
        <f t="shared" si="426"/>
        <v>0.99992774172673837</v>
      </c>
      <c r="CD178" s="471" t="str">
        <f>IF(CC178="","",IF(CC178&lt;0.7,"F. Subcrítico",IF(AND(CC178&gt;0.7,CC178&lt;1),"F. Subcrítico Inestable",IF(CC178=1,"F. Crítico",IF(AND(CC178&gt;1,CC178&lt;1.5),"F. Supercrítico Inestable",IF(CC178&gt;1.5,"F. Supercrítico",""))))))</f>
        <v>F. Subcrítico Inestable</v>
      </c>
      <c r="CE178" s="471">
        <f>1000*BL178*CA178/100</f>
        <v>0.23325690754677009</v>
      </c>
      <c r="CF178" s="471">
        <f>IF(BP178=" "," ",(1000*BL178*CB178/100))</f>
        <v>0.47778589849605768</v>
      </c>
      <c r="CG178" s="471" t="str">
        <f>IF(BS178&lt;0.45,"No cumple",IF(BS178&gt;5,"No cumple","O.K"))</f>
        <v>O.K</v>
      </c>
      <c r="CH178" s="471" t="str">
        <f>IF(BT178&lt;0.75,"No cumple",IF(BT178&gt;10,"No cumple","O.K"))</f>
        <v>O.K</v>
      </c>
      <c r="CI178" s="471" t="str">
        <f>IF(CE178&gt;0.1,"OK","V.C.H.")</f>
        <v>OK</v>
      </c>
      <c r="CJ178" s="471" t="str">
        <f>IF(CF178&gt;0.2,"OK","V.C.H.")</f>
        <v>OK</v>
      </c>
      <c r="CK178" s="468">
        <f>+BJ178</f>
        <v>979.86160000000007</v>
      </c>
      <c r="CL178" s="482" t="s">
        <v>2507</v>
      </c>
      <c r="CM178" s="482"/>
      <c r="CN178" s="63" t="str">
        <f>IF(B178=1,"dato"," ")</f>
        <v>dato</v>
      </c>
      <c r="CO178" s="498">
        <f>+CR178</f>
        <v>19.96</v>
      </c>
      <c r="CP178" s="472">
        <f>+BK178/100</f>
        <v>2.0040080160359372E-3</v>
      </c>
      <c r="CQ178" s="482" t="s">
        <v>2508</v>
      </c>
      <c r="CR178" s="204">
        <f>IF(BA178="","",AX178)</f>
        <v>19.96</v>
      </c>
      <c r="CS178" s="486">
        <v>1.2</v>
      </c>
      <c r="CT178" s="486">
        <v>1.2</v>
      </c>
      <c r="CU178" s="23">
        <f>IF($BA178="","",SQRT((BH178-BI178)^2+$CR178^2))</f>
        <v>19.961104678849814</v>
      </c>
      <c r="CV178" s="499" t="s">
        <v>2509</v>
      </c>
      <c r="CW178" s="488" t="str">
        <f>+IF(BD178&lt;=0.9,"E1",IF(BD178&lt;=2.5,"E2","E3"))</f>
        <v>E1</v>
      </c>
      <c r="CX178" s="204">
        <f>IF(AND(L178="",H178=""),"",IF(AND(BA178&lt;&gt;4,BA178&lt;&gt;5),VLOOKUP(AY178,'TABLA (2)'!$A$9:$D$43,4),IF(BA178=4,VLOOKUP(AY178,'TABLA (2)'!$A$74:$D$89,4),VLOOKUP(AY178,'TABLA (2)'!$A$51:$D$66,4))))</f>
        <v>3.6999999999999998E-2</v>
      </c>
      <c r="CY178" s="482"/>
      <c r="CZ178" s="482"/>
      <c r="DA178" s="482"/>
      <c r="DB178" s="490"/>
    </row>
    <row r="179" spans="1:106" ht="15" hidden="1" customHeight="1">
      <c r="A179" s="465"/>
      <c r="B179" s="491"/>
      <c r="C179" s="466"/>
      <c r="D179" s="466"/>
      <c r="E179" s="468"/>
      <c r="F179" s="468"/>
      <c r="G179" s="468"/>
      <c r="H179" s="468"/>
      <c r="I179" s="468"/>
      <c r="J179" s="468"/>
      <c r="K179" s="467"/>
      <c r="L179" s="468"/>
      <c r="M179" s="469"/>
      <c r="N179" s="470"/>
      <c r="O179" s="470"/>
      <c r="P179" s="470"/>
      <c r="Q179" s="469">
        <f t="shared" si="369"/>
        <v>140</v>
      </c>
      <c r="R179" s="471"/>
      <c r="S179" s="471"/>
      <c r="T179" s="471"/>
      <c r="U179" s="471"/>
      <c r="V179" s="471"/>
      <c r="W179" s="471"/>
      <c r="X179" s="471"/>
      <c r="Y179" s="471"/>
      <c r="Z179" s="471"/>
      <c r="AA179" s="471" t="str">
        <f t="shared" si="362"/>
        <v/>
      </c>
      <c r="AB179" s="471"/>
      <c r="AC179" s="471"/>
      <c r="AD179" s="471"/>
      <c r="AE179" s="471"/>
      <c r="AF179" s="510" t="str">
        <f t="shared" si="361"/>
        <v/>
      </c>
      <c r="AG179" s="471"/>
      <c r="AH179" s="471"/>
      <c r="AI179" s="471"/>
      <c r="AJ179" s="471"/>
      <c r="AK179" s="472"/>
      <c r="AL179" s="471"/>
      <c r="AM179" s="473">
        <f t="shared" si="394"/>
        <v>474.44695720875893</v>
      </c>
      <c r="AN179" s="474">
        <f t="shared" si="395"/>
        <v>10</v>
      </c>
      <c r="AO179" s="474"/>
      <c r="AP179" s="474"/>
      <c r="AQ179" s="475">
        <v>3</v>
      </c>
      <c r="AR179" s="474"/>
      <c r="AS179" s="474"/>
      <c r="AT179" s="471"/>
      <c r="AU179" s="492"/>
      <c r="AV179" s="471"/>
      <c r="AW179" s="510">
        <f t="shared" si="403"/>
        <v>0</v>
      </c>
      <c r="AX179" s="478"/>
      <c r="AY179" s="493"/>
      <c r="AZ179" s="480"/>
      <c r="BA179" s="493"/>
      <c r="BB179" s="478" t="str">
        <f>IF(OR(C179="",D179=""),"",VLOOKUP(C179,'Base de Diseño (2)'!$A$2:$D$330,4,FALSE))</f>
        <v/>
      </c>
      <c r="BC179" s="478" t="str">
        <f>IF(OR(C179="",D179=""),"",VLOOKUP(D179,'Base de Diseño (2)'!$A$2:$D$330,4,FALSE))</f>
        <v/>
      </c>
      <c r="BD179" s="23"/>
      <c r="BE179" s="23"/>
      <c r="BF179" s="494"/>
      <c r="BG179" s="494"/>
      <c r="BH179" s="495"/>
      <c r="BI179" s="495"/>
      <c r="BJ179" s="468"/>
      <c r="BK179" s="475"/>
      <c r="BL179" s="475"/>
      <c r="BM179" s="475"/>
      <c r="BN179" s="475"/>
      <c r="BO179" s="204"/>
      <c r="BP179" s="496"/>
      <c r="BQ179" s="497"/>
      <c r="BR179" s="497"/>
      <c r="BS179" s="475"/>
      <c r="BT179" s="475"/>
      <c r="BU179" s="475"/>
      <c r="BV179" s="475"/>
      <c r="BW179" s="475"/>
      <c r="BX179" s="475"/>
      <c r="BY179" s="475"/>
      <c r="BZ179" s="475"/>
      <c r="CA179" s="471"/>
      <c r="CB179" s="471"/>
      <c r="CC179" s="471" t="e">
        <f t="shared" si="426"/>
        <v>#DIV/0!</v>
      </c>
      <c r="CD179" s="471"/>
      <c r="CE179" s="471"/>
      <c r="CF179" s="471"/>
      <c r="CG179" s="471"/>
      <c r="CH179" s="471"/>
      <c r="CI179" s="471"/>
      <c r="CJ179" s="471"/>
      <c r="CK179" s="468"/>
      <c r="CL179" s="482" t="s">
        <v>2507</v>
      </c>
      <c r="CM179" s="482"/>
      <c r="CN179" s="63"/>
      <c r="CO179" s="498"/>
      <c r="CP179" s="472"/>
      <c r="CQ179" s="482"/>
      <c r="CR179" s="204"/>
      <c r="CS179" s="486"/>
      <c r="CT179" s="486"/>
      <c r="CU179" s="23"/>
      <c r="CV179" s="499"/>
      <c r="CW179" s="488"/>
      <c r="CX179" s="204"/>
      <c r="CY179" s="482"/>
      <c r="CZ179" s="482"/>
      <c r="DA179" s="482"/>
      <c r="DB179" s="490"/>
    </row>
    <row r="180" spans="1:106" ht="15" hidden="1" customHeight="1">
      <c r="A180" s="465">
        <f>+A178+1</f>
        <v>111</v>
      </c>
      <c r="B180" s="491">
        <v>1</v>
      </c>
      <c r="C180" s="466" t="s">
        <v>2136</v>
      </c>
      <c r="D180" s="466" t="s">
        <v>2145</v>
      </c>
      <c r="E180" s="468">
        <v>3.1013242000000003E-2</v>
      </c>
      <c r="F180" s="468"/>
      <c r="G180" s="468">
        <f>IF(B180=1,0,SUMIF($D$22:$D$583,C180,$H$22:$H$583))</f>
        <v>0</v>
      </c>
      <c r="H180" s="468">
        <f>+E180+F180+G180</f>
        <v>3.1013242000000003E-2</v>
      </c>
      <c r="I180" s="468">
        <v>3.1013242000000003E-2</v>
      </c>
      <c r="J180" s="468"/>
      <c r="K180" s="467">
        <f>+IF(B180=1,0,SUMIF($D$22:$D$583,C180,$L$22:$L$580))</f>
        <v>0</v>
      </c>
      <c r="L180" s="468">
        <f>+I180+J180+K180</f>
        <v>3.1013242000000003E-2</v>
      </c>
      <c r="M180" s="469">
        <f>+$P$12</f>
        <v>242.33666300502347</v>
      </c>
      <c r="N180" s="470">
        <f>M180*E180</f>
        <v>7.5156455752472411</v>
      </c>
      <c r="O180" s="470">
        <f>M180*F180</f>
        <v>0</v>
      </c>
      <c r="P180" s="470">
        <f>M180*H180</f>
        <v>7.5156455752472411</v>
      </c>
      <c r="Q180" s="469">
        <f t="shared" si="369"/>
        <v>140</v>
      </c>
      <c r="R180" s="471">
        <f>Q180*P180*$P$14/86400</f>
        <v>1.0351409993685435E-2</v>
      </c>
      <c r="S180" s="471"/>
      <c r="T180" s="471"/>
      <c r="U180" s="471">
        <f>IF(C180="","",T180*$P$17)</f>
        <v>0</v>
      </c>
      <c r="V180" s="471"/>
      <c r="W180" s="471"/>
      <c r="X180" s="471">
        <f>IF(C180="","",W180*$P$16)</f>
        <v>0</v>
      </c>
      <c r="Y180" s="471">
        <f>IF(H180=0,0,$H$15*H180)</f>
        <v>6.2026484000000008E-3</v>
      </c>
      <c r="Z180" s="471">
        <f>IF(L180=0,$H$16*H180,0)</f>
        <v>0</v>
      </c>
      <c r="AA180" s="471">
        <f t="shared" si="362"/>
        <v>3.8</v>
      </c>
      <c r="AB180" s="471">
        <f>R180*AA180</f>
        <v>3.9335357976004653E-2</v>
      </c>
      <c r="AC180" s="471">
        <f>Q180*(N180+O180)*$P$14/86400</f>
        <v>1.0351409993685435E-2</v>
      </c>
      <c r="AD180" s="471">
        <f>IF(E180=0,0,$H$15*(E180+F180))</f>
        <v>6.2026484000000008E-3</v>
      </c>
      <c r="AE180" s="471">
        <f>IF(F180=0,0,$H$15*(F180+G180))</f>
        <v>0</v>
      </c>
      <c r="AF180" s="510">
        <f t="shared" si="361"/>
        <v>3.8</v>
      </c>
      <c r="AG180" s="471">
        <f>AC180*AF180</f>
        <v>3.9335357976004653E-2</v>
      </c>
      <c r="AH180" s="471">
        <f>+AD180+AE180+AG180</f>
        <v>4.5538006376004657E-2</v>
      </c>
      <c r="AI180" s="471">
        <f>IF(H180="","",IF(AB180+Y180+Z180+X180+U180&lt;1.5,1.5,AB180+Y180+Z180+X180+U180))</f>
        <v>1.5</v>
      </c>
      <c r="AJ180" s="471">
        <f>+$P$17</f>
        <v>0.75</v>
      </c>
      <c r="AK180" s="472">
        <f>+BK180/100</f>
        <v>0</v>
      </c>
      <c r="AL180" s="471">
        <f>IF(AJ180=0," ",0.14+0.65*AJ180+0.05*AK180)</f>
        <v>0.62750000000000006</v>
      </c>
      <c r="AM180" s="473" t="e">
        <f t="shared" si="394"/>
        <v>#DIV/0!</v>
      </c>
      <c r="AN180" s="474" t="e">
        <f t="shared" si="395"/>
        <v>#DIV/0!</v>
      </c>
      <c r="AO180" s="474">
        <f>((1/60)*$AX180/$AQ180)</f>
        <v>0.15027777777777779</v>
      </c>
      <c r="AP180" s="474" t="e">
        <f>IF(B180=1,IF(($AN180+$AO180)&lt;10,10,IF(($AN180+$AO180)&gt;20,20,($AN180+$AO180))),($AN180+$AO180))</f>
        <v>#DIV/0!</v>
      </c>
      <c r="AQ180" s="475">
        <v>3</v>
      </c>
      <c r="AR180" s="474" t="e">
        <f>((1/60)*$AX180/$BT180)</f>
        <v>#DIV/0!</v>
      </c>
      <c r="AS180" s="474" t="e">
        <f>AO180/AR180</f>
        <v>#DIV/0!</v>
      </c>
      <c r="AT180" s="471" t="e">
        <f>IF(AS180&lt;0.9,"Disminuir vel.",IF(AS180&gt;1.1,"Aumentar vel.","Cumple"))</f>
        <v>#DIV/0!</v>
      </c>
      <c r="AU180" s="492" t="e">
        <f>+I180*AL180*AM180</f>
        <v>#DIV/0!</v>
      </c>
      <c r="AV180" s="471" t="e">
        <f>+L180*AL180*AM180</f>
        <v>#DIV/0!</v>
      </c>
      <c r="AW180" s="510" t="e">
        <f t="shared" si="403"/>
        <v>#DIV/0!</v>
      </c>
      <c r="AX180" s="478">
        <f>IF(OR(C180="",D180=""),"",ROUND(((VLOOKUP(C180,'Base de Diseño (2)'!$A$2:$C$333,2,FALSE)-VLOOKUP(D180,'Base de Diseño (2)'!$A$2:$C$333,2,FALSE))^2+(VLOOKUP(C180,'Base de Diseño (2)'!$A$2:$C$333,3,0)-VLOOKUP(D180,'Base de Diseño (2)'!$A$2:$C$333,3,FALSE))^2)^0.5,2))</f>
        <v>27.05</v>
      </c>
      <c r="AY180" s="493">
        <v>8</v>
      </c>
      <c r="AZ180" s="480">
        <f>IF(AND(L180="",H180=""),"",IF(BA180=4,VLOOKUP(AY180,'TABLA (2)'!$A$74:$C$89,2),IF(BA180=5,VLOOKUP(AY180,'TABLA (2)'!$A$51:$B$66,2),IF(BA180=6,VLOOKUP(AY180,'TABLA (2)'!$A$9:$B$43,2)))))</f>
        <v>200</v>
      </c>
      <c r="BA180" s="493">
        <v>6</v>
      </c>
      <c r="BB180" s="478">
        <f>IF(OR(C180="",D180=""),"",VLOOKUP(C180,'Base de Diseño (2)'!$A$2:$D$330,4,FALSE))</f>
        <v>980.13160000000005</v>
      </c>
      <c r="BC180" s="478">
        <f>IF(OR(C180="",D180=""),"",VLOOKUP(D180,'Base de Diseño (2)'!$A$2:$D$330,4,FALSE))</f>
        <v>980.13160000000005</v>
      </c>
      <c r="BD180" s="23">
        <f>+BF180-((AZ180/1000)+CX180)</f>
        <v>0.76300000000000001</v>
      </c>
      <c r="BE180" s="23">
        <f>+BG180-((AZ180/1000)+CX180)</f>
        <v>1.8630000000000226</v>
      </c>
      <c r="BF180" s="494">
        <v>1</v>
      </c>
      <c r="BG180" s="494">
        <v>2.1000000000000227</v>
      </c>
      <c r="BH180" s="495">
        <f>BB180-BF180</f>
        <v>979.13160000000005</v>
      </c>
      <c r="BI180" s="495">
        <f>BC180-BG180</f>
        <v>978.03160000000003</v>
      </c>
      <c r="BJ180" s="468">
        <f>IF(A180="",0,BI180-BH181)</f>
        <v>978.03160000000003</v>
      </c>
      <c r="BK180" s="475">
        <f>ABS((BB180-BC180)/AX180)*100</f>
        <v>0</v>
      </c>
      <c r="BL180" s="475">
        <f>((BH180-BI180)/AX180)*100</f>
        <v>4.0665434380777183</v>
      </c>
      <c r="BM180" s="475">
        <f>IF(BA180=6,(1/0.013)*((AZ180/4000)^(2/3))*((BL180/100)^(0.5)),(1/0.009)*((AZ180/4000)^(2/3))*((BL180/100)^(0.5)))</f>
        <v>2.1053098632402576</v>
      </c>
      <c r="BN180" s="475">
        <f>1000*BM180*PI()*((AZ180/1000/2)^2)</f>
        <v>66.140259998857275</v>
      </c>
      <c r="BO180" s="204">
        <f>AI180/BN180</f>
        <v>2.2679076254401118E-2</v>
      </c>
      <c r="BP180" s="496" t="e">
        <f>IF(L180=0," ",AW180/BN180)</f>
        <v>#DIV/0!</v>
      </c>
      <c r="BQ180" s="497">
        <f>IF($BO180&gt;0 =AND($BO180&lt;=0.06),10^(0.029806+0.29095*LOG($BO180)),IF($BO180&gt;0.06 =AND($BO180&lt;=0.26),10^(0.013778+0.282597*LOG($BO180)),IF($BO180&gt;0.26 =AND($BO180&lt;=0.91),10^(0.021763+0.28995*LOG($BO180)),1)))</f>
        <v>0.35593869092632491</v>
      </c>
      <c r="BR180" s="497" t="e">
        <f>IF($BP180&gt;0 =AND($BP180&lt;=0.06),10^(0.029806+0.29095*LOG($BP180)),IF($BP180&gt;0.06 =AND($BP180&lt;=0.26),10^(0.013778+0.282597*LOG($BP180)),IF($BP180&gt;0.26 =AND($BP180&lt;=2),10^(0.021763+0.28995*LOG($BP180))," ")))</f>
        <v>#DIV/0!</v>
      </c>
      <c r="BS180" s="475">
        <f>BM180*BQ180</f>
        <v>0.7493612367160174</v>
      </c>
      <c r="BT180" s="475" t="e">
        <f>IF(BP180=" "," ",(BM180*BR180))</f>
        <v>#DIV/0!</v>
      </c>
      <c r="BU180" s="475">
        <f>IF(BO180&lt;=0.11,0.3827+0.0645*LN(BO180),IF(BO180&lt;=0.21,0.60025+0.15471*LN(BO180),IF(BO180&lt;1,0.225+0.6666666667*BO180,0)))</f>
        <v>0.13848284178430989</v>
      </c>
      <c r="BV180" s="475" t="e">
        <f>IF(BP180&lt;=0.11,0.3827+0.0645*LN(BP180),IF(BP180&lt;=0.21,0.60025+0.15471*LN(BP180),IF(BP180&lt;1,0.225+0.6666666667*BP180," ")))</f>
        <v>#DIV/0!</v>
      </c>
      <c r="BW180" s="475">
        <f>2*ACOS(1-2*(BU180))</f>
        <v>1.525223307857271</v>
      </c>
      <c r="BX180" s="475" t="e">
        <f>IF(BP180=" "," ",(2*ACOS(1-2*(BV180))))</f>
        <v>#DIV/0!</v>
      </c>
      <c r="BY180" s="475">
        <f>(1/4)*(1-(SIN(BW180))/BW180)</f>
        <v>8.6259758727861235E-2</v>
      </c>
      <c r="BZ180" s="475" t="e">
        <f>IF(BP180=" "," ",((1/4)*(1-(SIN(BX180))/BX180)))</f>
        <v>#DIV/0!</v>
      </c>
      <c r="CA180" s="471">
        <f>BY180*AZ180/1000</f>
        <v>1.7251951745572244E-2</v>
      </c>
      <c r="CB180" s="471" t="e">
        <f>IF(BP180=" "," ",(BZ180*AZ180/1000))</f>
        <v>#DIV/0!</v>
      </c>
      <c r="CC180" s="471" t="e">
        <f t="shared" si="426"/>
        <v>#DIV/0!</v>
      </c>
      <c r="CD180" s="471" t="e">
        <f>IF(CC180="","",IF(CC180&lt;0.7,"F. Subcrítico",IF(AND(CC180&gt;0.7,CC180&lt;1),"F. Subcrítico Inestable",IF(CC180=1,"F. Crítico",IF(AND(CC180&gt;1,CC180&lt;1.5),"F. Supercrítico Inestable",IF(CC180&gt;1.5,"F. Supercrítico",""))))))</f>
        <v>#DIV/0!</v>
      </c>
      <c r="CE180" s="471">
        <f>1000*BL180*CA180/100</f>
        <v>0.70155811164990256</v>
      </c>
      <c r="CF180" s="471" t="e">
        <f>IF(BP180=" "," ",(1000*BL180*CB180/100))</f>
        <v>#DIV/0!</v>
      </c>
      <c r="CG180" s="471" t="str">
        <f>IF(BS180&lt;0.45,"No cumple",IF(BS180&gt;5,"No cumple","O.K"))</f>
        <v>O.K</v>
      </c>
      <c r="CH180" s="471" t="e">
        <f>IF(BT180&lt;0.75,"No cumple",IF(BT180&gt;10,"No cumple","O.K"))</f>
        <v>#DIV/0!</v>
      </c>
      <c r="CI180" s="471" t="str">
        <f>IF(CE180&gt;0.1,"OK","V.C.H.")</f>
        <v>OK</v>
      </c>
      <c r="CJ180" s="471" t="e">
        <f>IF(CF180&gt;0.2,"OK","V.C.H.")</f>
        <v>#DIV/0!</v>
      </c>
      <c r="CK180" s="468">
        <f>+BJ180</f>
        <v>978.03160000000003</v>
      </c>
      <c r="CL180" s="482" t="s">
        <v>2507</v>
      </c>
      <c r="CM180" s="482"/>
      <c r="CN180" s="63" t="str">
        <f>IF(B180=1,"dato"," ")</f>
        <v>dato</v>
      </c>
      <c r="CO180" s="498">
        <f>+CR180</f>
        <v>27.05</v>
      </c>
      <c r="CP180" s="472">
        <f>+BK180/100</f>
        <v>0</v>
      </c>
      <c r="CQ180" s="482" t="s">
        <v>2508</v>
      </c>
      <c r="CR180" s="204">
        <f>IF(BA180="","",AX180)</f>
        <v>27.05</v>
      </c>
      <c r="CS180" s="486">
        <v>1.2</v>
      </c>
      <c r="CT180" s="486">
        <v>1.2</v>
      </c>
      <c r="CU180" s="23">
        <f>IF($BA180="","",SQRT((BH180-BI180)^2+$CR180^2))</f>
        <v>27.072356750013473</v>
      </c>
      <c r="CV180" s="499" t="s">
        <v>2509</v>
      </c>
      <c r="CW180" s="488" t="str">
        <f>+IF(BD180&lt;=0.9,"E1",IF(BD180&lt;=2.5,"E2","E3"))</f>
        <v>E1</v>
      </c>
      <c r="CX180" s="204">
        <f>IF(AND(L180="",H180=""),"",IF(AND(BA180&lt;&gt;4,BA180&lt;&gt;5),VLOOKUP(AY180,'TABLA (2)'!$A$9:$D$43,4),IF(BA180=4,VLOOKUP(AY180,'TABLA (2)'!$A$74:$D$89,4),VLOOKUP(AY180,'TABLA (2)'!$A$51:$D$66,4))))</f>
        <v>3.6999999999999998E-2</v>
      </c>
      <c r="CY180" s="482"/>
      <c r="CZ180" s="482"/>
      <c r="DA180" s="482"/>
      <c r="DB180" s="490"/>
    </row>
    <row r="181" spans="1:106" ht="15" hidden="1" customHeight="1">
      <c r="A181" s="465"/>
      <c r="B181" s="491"/>
      <c r="C181" s="466"/>
      <c r="D181" s="466"/>
      <c r="E181" s="468"/>
      <c r="F181" s="468"/>
      <c r="G181" s="468"/>
      <c r="H181" s="468"/>
      <c r="I181" s="468"/>
      <c r="J181" s="468"/>
      <c r="K181" s="467"/>
      <c r="L181" s="468"/>
      <c r="M181" s="469"/>
      <c r="N181" s="470"/>
      <c r="O181" s="470"/>
      <c r="P181" s="470"/>
      <c r="Q181" s="469"/>
      <c r="R181" s="471"/>
      <c r="S181" s="471"/>
      <c r="T181" s="471"/>
      <c r="U181" s="471"/>
      <c r="V181" s="471"/>
      <c r="W181" s="471"/>
      <c r="X181" s="471"/>
      <c r="Y181" s="471"/>
      <c r="Z181" s="471"/>
      <c r="AA181" s="471" t="str">
        <f t="shared" si="362"/>
        <v/>
      </c>
      <c r="AB181" s="471"/>
      <c r="AC181" s="471"/>
      <c r="AD181" s="471"/>
      <c r="AE181" s="471"/>
      <c r="AF181" s="510" t="str">
        <f t="shared" si="361"/>
        <v/>
      </c>
      <c r="AG181" s="471"/>
      <c r="AH181" s="471"/>
      <c r="AI181" s="471"/>
      <c r="AJ181" s="471"/>
      <c r="AK181" s="472"/>
      <c r="AL181" s="471"/>
      <c r="AM181" s="473"/>
      <c r="AN181" s="474"/>
      <c r="AO181" s="474"/>
      <c r="AP181" s="474"/>
      <c r="AQ181" s="475">
        <v>3</v>
      </c>
      <c r="AR181" s="474"/>
      <c r="AS181" s="474"/>
      <c r="AT181" s="471"/>
      <c r="AU181" s="492"/>
      <c r="AV181" s="471"/>
      <c r="AW181" s="510">
        <f t="shared" si="403"/>
        <v>0</v>
      </c>
      <c r="AX181" s="478"/>
      <c r="AY181" s="493"/>
      <c r="AZ181" s="480"/>
      <c r="BA181" s="493"/>
      <c r="BB181" s="478" t="str">
        <f>IF(OR(C181="",D181=""),"",VLOOKUP(C181,'Base de Diseño (2)'!$A$2:$D$330,4,FALSE))</f>
        <v/>
      </c>
      <c r="BC181" s="478" t="str">
        <f>IF(OR(C181="",D181=""),"",VLOOKUP(D181,'Base de Diseño (2)'!$A$2:$D$330,4,FALSE))</f>
        <v/>
      </c>
      <c r="BD181" s="23"/>
      <c r="BE181" s="23"/>
      <c r="BF181" s="494"/>
      <c r="BG181" s="494"/>
      <c r="BH181" s="495"/>
      <c r="BI181" s="495"/>
      <c r="BJ181" s="468"/>
      <c r="BK181" s="475"/>
      <c r="BL181" s="475"/>
      <c r="BM181" s="475"/>
      <c r="BN181" s="475"/>
      <c r="BO181" s="204"/>
      <c r="BP181" s="496"/>
      <c r="BQ181" s="497"/>
      <c r="BR181" s="497"/>
      <c r="BS181" s="475"/>
      <c r="BT181" s="475"/>
      <c r="BU181" s="475"/>
      <c r="BV181" s="475"/>
      <c r="BW181" s="475"/>
      <c r="BX181" s="475"/>
      <c r="BY181" s="475"/>
      <c r="BZ181" s="475"/>
      <c r="CA181" s="471"/>
      <c r="CB181" s="471"/>
      <c r="CC181" s="471"/>
      <c r="CD181" s="471"/>
      <c r="CE181" s="471"/>
      <c r="CF181" s="471"/>
      <c r="CG181" s="471"/>
      <c r="CH181" s="471"/>
      <c r="CI181" s="471"/>
      <c r="CJ181" s="471"/>
      <c r="CK181" s="468"/>
      <c r="CL181" s="482" t="s">
        <v>2507</v>
      </c>
      <c r="CM181" s="482"/>
      <c r="CN181" s="63"/>
      <c r="CO181" s="498"/>
      <c r="CP181" s="472"/>
      <c r="CQ181" s="482"/>
      <c r="CR181" s="204"/>
      <c r="CS181" s="486"/>
      <c r="CT181" s="486"/>
      <c r="CU181" s="23"/>
      <c r="CV181" s="499"/>
      <c r="CW181" s="488"/>
      <c r="CX181" s="204"/>
      <c r="CY181" s="482"/>
      <c r="CZ181" s="482"/>
      <c r="DA181" s="482"/>
      <c r="DB181" s="490"/>
    </row>
    <row r="182" spans="1:106" ht="15" hidden="1" customHeight="1">
      <c r="A182" s="465">
        <f>+A180+1</f>
        <v>112</v>
      </c>
      <c r="B182" s="491">
        <v>1</v>
      </c>
      <c r="C182" s="466" t="s">
        <v>72</v>
      </c>
      <c r="D182" s="466" t="s">
        <v>2339</v>
      </c>
      <c r="E182" s="468">
        <v>6.1489426400000005E-2</v>
      </c>
      <c r="F182" s="468"/>
      <c r="G182" s="468">
        <f t="shared" ref="G182:G191" si="442">IF(B182=1,0,SUMIF($D$22:$D$583,C182,$H$22:$H$583))</f>
        <v>0</v>
      </c>
      <c r="H182" s="468">
        <f t="shared" ref="H182:H191" si="443">+E182+F182+G182</f>
        <v>6.1489426400000005E-2</v>
      </c>
      <c r="I182" s="468">
        <v>6.1489426400000005E-2</v>
      </c>
      <c r="J182" s="468"/>
      <c r="K182" s="467">
        <f t="shared" ref="K182:K191" si="444">+IF(B182=1,0,SUMIF($D$22:$D$583,C182,$L$22:$L$580))</f>
        <v>0</v>
      </c>
      <c r="L182" s="468">
        <f t="shared" ref="L182:L191" si="445">+I182+J182+K182</f>
        <v>6.1489426400000005E-2</v>
      </c>
      <c r="M182" s="469">
        <f t="shared" ref="M182:M191" si="446">+$P$12</f>
        <v>242.33666300502347</v>
      </c>
      <c r="N182" s="470">
        <f t="shared" ref="N182:N191" si="447">M182*E182</f>
        <v>14.901142403868995</v>
      </c>
      <c r="O182" s="470">
        <f t="shared" ref="O182:O191" si="448">M182*F182</f>
        <v>0</v>
      </c>
      <c r="P182" s="470">
        <f t="shared" ref="P182:P191" si="449">M182*H182</f>
        <v>14.901142403868995</v>
      </c>
      <c r="Q182" s="469">
        <v>140</v>
      </c>
      <c r="R182" s="471">
        <f t="shared" ref="R182:R191" si="450">Q182*P182*$P$14/86400</f>
        <v>2.0523564190514008E-2</v>
      </c>
      <c r="S182" s="471"/>
      <c r="T182" s="471"/>
      <c r="U182" s="471">
        <f t="shared" ref="U182:U191" si="451">IF(C182="","",T182*$P$17)</f>
        <v>0</v>
      </c>
      <c r="V182" s="471"/>
      <c r="W182" s="471"/>
      <c r="X182" s="471">
        <f t="shared" ref="X182:X191" si="452">IF(C182="","",W182*$P$16)</f>
        <v>0</v>
      </c>
      <c r="Y182" s="471">
        <f t="shared" ref="Y182:Y191" si="453">IF(H182=0,0,$H$15*H182)</f>
        <v>1.2297885280000002E-2</v>
      </c>
      <c r="Z182" s="471">
        <f t="shared" ref="Z182:Z191" si="454">IF(L182=0,$H$16*H182,0)</f>
        <v>0</v>
      </c>
      <c r="AA182" s="471">
        <f t="shared" si="362"/>
        <v>3.8</v>
      </c>
      <c r="AB182" s="471">
        <f t="shared" ref="AB182:AB191" si="455">R182*AA182</f>
        <v>7.7989543923953228E-2</v>
      </c>
      <c r="AC182" s="471">
        <f t="shared" ref="AC182:AC191" si="456">Q182*(N182+O182)*$P$14/86400</f>
        <v>2.0523564190514008E-2</v>
      </c>
      <c r="AD182" s="471">
        <f t="shared" ref="AD182:AD191" si="457">IF(E182=0,0,$H$15*(E182+F182))</f>
        <v>1.2297885280000002E-2</v>
      </c>
      <c r="AE182" s="471">
        <f t="shared" ref="AE182:AE191" si="458">IF(F182=0,0,$H$15*(F182+G182))</f>
        <v>0</v>
      </c>
      <c r="AF182" s="510">
        <f t="shared" si="361"/>
        <v>3.8</v>
      </c>
      <c r="AG182" s="471">
        <f t="shared" ref="AG182:AG191" si="459">AC182*AF182</f>
        <v>7.7989543923953228E-2</v>
      </c>
      <c r="AH182" s="471">
        <f t="shared" ref="AH182:AH191" si="460">+AD182+AE182+AG182</f>
        <v>9.0287429203953232E-2</v>
      </c>
      <c r="AI182" s="471">
        <f t="shared" ref="AI182:AI191" si="461">IF(H182="","",IF(AB182+Y182+Z182+X182+U182&lt;1.5,1.5,AB182+Y182+Z182+X182+U182))</f>
        <v>1.5</v>
      </c>
      <c r="AJ182" s="471">
        <f t="shared" ref="AJ182:AJ191" si="462">+$P$17</f>
        <v>0.75</v>
      </c>
      <c r="AK182" s="472">
        <f t="shared" ref="AK182:AK191" si="463">+BK182/100</f>
        <v>8.5594989561580005E-3</v>
      </c>
      <c r="AL182" s="471">
        <f t="shared" ref="AL182:AL191" si="464">IF(AJ182=0," ",0.14+0.65*AJ182+0.05*AK182)</f>
        <v>0.62792797494780794</v>
      </c>
      <c r="AM182" s="473">
        <f t="shared" ref="AM182:AM191" si="465">((100/36)*$AM$14*(AP182+$AN$14)^$AO$14)</f>
        <v>336.32613267542746</v>
      </c>
      <c r="AN182" s="474">
        <f t="shared" ref="AN182:AN191" si="466">IF(B182=1,IF((0.702*(1.1-$AJ182)*SQRT($CO182))/(($CP182)^(1/3))&lt;5,5,(0.702*(1.1-$AJ182)*SQRT($CO182))/(($CP182)^(1/3))),AP181)</f>
        <v>6.4392075551604577</v>
      </c>
      <c r="AO182" s="474">
        <f t="shared" ref="AO182:AO191" si="467">((1/60)*$AX182/$AQ182)</f>
        <v>0.59874999999999989</v>
      </c>
      <c r="AP182" s="474">
        <f t="shared" ref="AP182:AP191" si="468">IF(B182=1,IF(($AN182+$AO182)&lt;10,10,IF(($AN182+$AO182)&gt;20,20,($AN182+$AO182))),($AN182+$AO182))</f>
        <v>10</v>
      </c>
      <c r="AQ182" s="475">
        <v>0.8</v>
      </c>
      <c r="AR182" s="474">
        <f t="shared" ref="AR182:AR191" si="469">((1/60)*$AX182/$BT182)</f>
        <v>0.55459901630961728</v>
      </c>
      <c r="AS182" s="474">
        <f t="shared" ref="AS182:AS191" si="470">AO182/AR182</f>
        <v>1.0796088388042404</v>
      </c>
      <c r="AT182" s="471" t="str">
        <f t="shared" ref="AT182:AT191" si="471">IF(AS182&lt;0.9,"Disminuir vel.",IF(AS182&gt;1.1,"Aumentar vel.","Cumple"))</f>
        <v>Cumple</v>
      </c>
      <c r="AU182" s="492">
        <f t="shared" ref="AU182:AU191" si="472">+I182*AL182*AM182</f>
        <v>12.985865102246033</v>
      </c>
      <c r="AV182" s="471">
        <f t="shared" ref="AV182:AV191" si="473">+L182*AL182*AM182</f>
        <v>12.985865102246033</v>
      </c>
      <c r="AW182" s="510">
        <f t="shared" si="403"/>
        <v>14.49</v>
      </c>
      <c r="AX182" s="478">
        <f>IF(OR(C182="",D182=""),"",ROUND(((VLOOKUP(C182,'Base de Diseño (2)'!$A$2:$C$333,2,FALSE)-VLOOKUP(D182,'Base de Diseño (2)'!$A$2:$C$333,2,FALSE))^2+(VLOOKUP(C182,'Base de Diseño (2)'!$A$2:$C$333,3,0)-VLOOKUP(D182,'Base de Diseño (2)'!$A$2:$C$333,3,FALSE))^2)^0.5,2))</f>
        <v>28.74</v>
      </c>
      <c r="AY182" s="493">
        <v>12</v>
      </c>
      <c r="AZ182" s="480">
        <f>IF(AND(L182="",H182=""),"",IF(BA182=4,VLOOKUP(AY182,'TABLA (2)'!$A$74:$C$89,2),IF(BA182=5,VLOOKUP(AY182,'TABLA (2)'!$A$51:$B$66,2),IF(BA182=6,VLOOKUP(AY182,'TABLA (2)'!$A$9:$B$43,2)))))</f>
        <v>284</v>
      </c>
      <c r="BA182" s="493">
        <v>4</v>
      </c>
      <c r="BB182" s="478">
        <f>IF(OR(C182="",D182=""),"",VLOOKUP(C182,'Base de Diseño (2)'!$A$2:$D$330,4,FALSE))</f>
        <v>988.5</v>
      </c>
      <c r="BC182" s="478">
        <f>IF(OR(C182="",D182=""),"",VLOOKUP(D182,'Base de Diseño (2)'!$A$2:$D$330,4,FALSE))</f>
        <v>988.74599999999998</v>
      </c>
      <c r="BD182" s="23">
        <f t="shared" ref="BD182:BD191" si="474">+BF182-((AZ182/1000)+CX182)</f>
        <v>1.2004999999999999</v>
      </c>
      <c r="BE182" s="23">
        <f t="shared" ref="BE182:BE191" si="475">+BG182-((AZ182/1000)+CX182)</f>
        <v>1.6004999999999998</v>
      </c>
      <c r="BF182" s="494">
        <v>1.5</v>
      </c>
      <c r="BG182" s="494">
        <v>1.9</v>
      </c>
      <c r="BH182" s="495">
        <f t="shared" ref="BH182:BH191" si="476">BB182-BF182</f>
        <v>987</v>
      </c>
      <c r="BI182" s="495">
        <f t="shared" ref="BI182:BI191" si="477">BC182-BG182</f>
        <v>986.846</v>
      </c>
      <c r="BJ182" s="468">
        <f t="shared" ref="BJ182:BJ191" si="478">IF(A182="",0,BI182-BH183)</f>
        <v>2.9999999999972715E-2</v>
      </c>
      <c r="BK182" s="475">
        <f t="shared" ref="BK182:BK191" si="479">ABS((BB182-BC182)/AX182)*100</f>
        <v>0.85594989561580004</v>
      </c>
      <c r="BL182" s="475">
        <f t="shared" ref="BL182:BL191" si="480">((BH182-BI182)/AX182)*100</f>
        <v>0.53583855254000123</v>
      </c>
      <c r="BM182" s="475">
        <f t="shared" ref="BM182:BM191" si="481">IF(BA182=6,(1/0.013)*((AZ182/4000)^(2/3))*((BL182/100)^(0.5)),(1/0.009)*((AZ182/4000)^(2/3))*((BL182/100)^(0.5)))</f>
        <v>1.3945904971408951</v>
      </c>
      <c r="BN182" s="475">
        <f t="shared" ref="BN182:BN191" si="482">1000*BM182*PI()*((AZ182/1000/2)^2)</f>
        <v>88.343227794415228</v>
      </c>
      <c r="BO182" s="204">
        <f t="shared" ref="BO182:BO191" si="483">AI182/BN182</f>
        <v>1.6979230184917753E-2</v>
      </c>
      <c r="BP182" s="496">
        <f t="shared" ref="BP182:BP191" si="484">IF(L182=0," ",AW182/BN182)</f>
        <v>0.16401936358630551</v>
      </c>
      <c r="BQ182" s="497">
        <f t="shared" ref="BQ182:BQ191" si="485">IF($BO182&gt;0 =AND($BO182&lt;=0.06),10^(0.029806+0.29095*LOG($BO182)),IF($BO182&gt;0.06 =AND($BO182&lt;=0.26),10^(0.013778+0.282597*LOG($BO182)),IF($BO182&gt;0.26 =AND($BO182&lt;=0.91),10^(0.021763+0.28995*LOG($BO182)),1)))</f>
        <v>0.32719046650177741</v>
      </c>
      <c r="BR182" s="497">
        <f t="shared" ref="BR182:BR191" si="486">IF($BP182&gt;0 =AND($BP182&lt;=0.06),10^(0.029806+0.29095*LOG($BP182)),IF($BP182&gt;0.06 =AND($BP182&lt;=0.26),10^(0.013778+0.282597*LOG($BP182)),IF($BP182&gt;0.26 =AND($BP182&lt;=2),10^(0.021763+0.28995*LOG($BP182))," ")))</f>
        <v>0.61931231627784022</v>
      </c>
      <c r="BS182" s="475">
        <f t="shared" ref="BS182:BS191" si="487">BM182*BQ182</f>
        <v>0.45629671533847516</v>
      </c>
      <c r="BT182" s="475">
        <f t="shared" ref="BT182:BT191" si="488">IF(BP182=" "," ",(BM182*BR182))</f>
        <v>0.86368707104339248</v>
      </c>
      <c r="BU182" s="475">
        <f t="shared" ref="BU182:BU191" si="489">IF(BO182&lt;=0.11,0.3827+0.0645*LN(BO182),IF(BO182&lt;=0.21,0.60025+0.15471*LN(BO182),IF(BO182&lt;1,0.225+0.6666666667*BO182,0)))</f>
        <v>0.1198131938970951</v>
      </c>
      <c r="BV182" s="475">
        <f t="shared" ref="BV182:BV191" si="490">IF(BP182&lt;=0.11,0.3827+0.0645*LN(BP182),IF(BP182&lt;=0.21,0.60025+0.15471*LN(BP182),IF(BP182&lt;1,0.225+0.6666666667*BP182," ")))</f>
        <v>0.32056978146904269</v>
      </c>
      <c r="BW182" s="475">
        <f t="shared" ref="BW182:BW191" si="491">2*ACOS(1-2*(BU182))</f>
        <v>1.4138163247196391</v>
      </c>
      <c r="BX182" s="475">
        <f t="shared" ref="BX182:BX191" si="492">IF(BP182=" "," ",(2*ACOS(1-2*(BV182))))</f>
        <v>2.4074992097829719</v>
      </c>
      <c r="BY182" s="475">
        <f t="shared" ref="BY182:BY191" si="493">(1/4)*(1-(SIN(BW182))/BW182)</f>
        <v>7.5347906923265873E-2</v>
      </c>
      <c r="BZ182" s="475">
        <f t="shared" ref="BZ182:BZ191" si="494">IF(BP182=" "," ",((1/4)*(1-(SIN(BX182))/BX182)))</f>
        <v>0.18043462213975314</v>
      </c>
      <c r="CA182" s="471">
        <f t="shared" ref="CA182:CA191" si="495">BY182*AZ182/1000</f>
        <v>2.1398805566207508E-2</v>
      </c>
      <c r="CB182" s="471">
        <f t="shared" ref="CB182:CB191" si="496">IF(BP182=" "," ",(BZ182*AZ182/1000))</f>
        <v>5.124343268768989E-2</v>
      </c>
      <c r="CC182" s="471">
        <f t="shared" ref="CC182:CC191" si="497">+(BT182/SQRT(9.81*(0.125*(BX182-SIN(BX182))*(AZ182/1000)^2)/((AZ182/1000)*SIN(BX182/2))))</f>
        <v>1.0726711162455218</v>
      </c>
      <c r="CD182" s="471" t="str">
        <f t="shared" ref="CD182:CD191" si="498">IF(CC182="","",IF(CC182&lt;0.7,"F. Subcrítico",IF(AND(CC182&gt;0.7,CC182&lt;1),"F. Subcrítico Inestable",IF(CC182=1,"F. Crítico",IF(AND(CC182&gt;1,CC182&lt;1.5),"F. Supercrítico Inestable",IF(CC182&gt;1.5,"F. Supercrítico",""))))))</f>
        <v>F. Supercrítico Inestable</v>
      </c>
      <c r="CE182" s="471">
        <f t="shared" ref="CE182:CE191" si="499">1000*BL182*CA182/100</f>
        <v>0.11466305000681552</v>
      </c>
      <c r="CF182" s="471">
        <f t="shared" ref="CF182:CF191" si="500">IF(BP182=" "," ",(1000*BL182*CB182/100))</f>
        <v>0.27458206798552737</v>
      </c>
      <c r="CG182" s="471" t="str">
        <f t="shared" ref="CG182:CG191" si="501">IF(BS182&lt;0.45,"No cumple",IF(BS182&gt;5,"No cumple","O.K"))</f>
        <v>O.K</v>
      </c>
      <c r="CH182" s="471" t="str">
        <f t="shared" ref="CH182:CH191" si="502">IF(BT182&lt;0.75,"No cumple",IF(BT182&gt;10,"No cumple","O.K"))</f>
        <v>O.K</v>
      </c>
      <c r="CI182" s="471" t="str">
        <f t="shared" ref="CI182:CI191" si="503">IF(CE182&gt;0.1,"OK","V.C.H.")</f>
        <v>OK</v>
      </c>
      <c r="CJ182" s="471" t="str">
        <f t="shared" ref="CJ182:CJ191" si="504">IF(CF182&gt;0.2,"OK","V.C.H.")</f>
        <v>OK</v>
      </c>
      <c r="CK182" s="468">
        <f t="shared" ref="CK182:CK191" si="505">+BJ182</f>
        <v>2.9999999999972715E-2</v>
      </c>
      <c r="CL182" s="482" t="s">
        <v>2507</v>
      </c>
      <c r="CM182" s="482"/>
      <c r="CN182" s="63" t="str">
        <f t="shared" ref="CN182:CN191" si="506">IF(B182=1,"dato"," ")</f>
        <v>dato</v>
      </c>
      <c r="CO182" s="498">
        <f>+CR182</f>
        <v>28.74</v>
      </c>
      <c r="CP182" s="472">
        <f>+BK182/100</f>
        <v>8.5594989561580005E-3</v>
      </c>
      <c r="CQ182" s="482" t="s">
        <v>2508</v>
      </c>
      <c r="CR182" s="204">
        <f t="shared" ref="CR182:CR191" si="507">IF(BA182="","",AX182)</f>
        <v>28.74</v>
      </c>
      <c r="CS182" s="486">
        <v>1.2</v>
      </c>
      <c r="CT182" s="486">
        <v>1.2</v>
      </c>
      <c r="CU182" s="23">
        <f t="shared" ref="CU182:CU191" si="508">IF($BA182="","",SQRT((BH182-BI182)^2+$CR182^2))</f>
        <v>28.740412592723857</v>
      </c>
      <c r="CV182" s="499" t="s">
        <v>2509</v>
      </c>
      <c r="CW182" s="488" t="str">
        <f t="shared" ref="CW182:CW191" si="509">+IF(BD182&lt;=0.9,"E1",IF(BD182&lt;=2.5,"E2","E3"))</f>
        <v>E2</v>
      </c>
      <c r="CX182" s="204">
        <f>IF(AND(L182="",H182=""),"",IF(AND(BA182&lt;&gt;4,BA182&lt;&gt;5),VLOOKUP(AY182,'TABLA (2)'!$A$9:$D$43,4),IF(BA182=4,VLOOKUP(AY182,'TABLA (2)'!$A$74:$D$89,4),VLOOKUP(AY182,'TABLA (2)'!$A$51:$D$66,4))))</f>
        <v>1.55E-2</v>
      </c>
      <c r="CY182" s="482"/>
      <c r="CZ182" s="482"/>
      <c r="DA182" s="482"/>
      <c r="DB182" s="490"/>
    </row>
    <row r="183" spans="1:106" ht="15" hidden="1" customHeight="1">
      <c r="A183" s="465">
        <f t="shared" ref="A183:A191" si="510">+A182+1</f>
        <v>113</v>
      </c>
      <c r="B183" s="491"/>
      <c r="C183" s="466" t="s">
        <v>2339</v>
      </c>
      <c r="D183" s="466" t="s">
        <v>2342</v>
      </c>
      <c r="E183" s="468">
        <v>0.27982581770000003</v>
      </c>
      <c r="F183" s="468"/>
      <c r="G183" s="468">
        <f t="shared" si="442"/>
        <v>0.28580947740000001</v>
      </c>
      <c r="H183" s="468">
        <f t="shared" si="443"/>
        <v>0.5656352951000001</v>
      </c>
      <c r="I183" s="468">
        <v>0.27982581770000003</v>
      </c>
      <c r="J183" s="468"/>
      <c r="K183" s="467">
        <f t="shared" ca="1" si="444"/>
        <v>0.28580947740000001</v>
      </c>
      <c r="L183" s="468">
        <f t="shared" ca="1" si="445"/>
        <v>0.5656352951000001</v>
      </c>
      <c r="M183" s="469">
        <f t="shared" si="446"/>
        <v>242.33666300502347</v>
      </c>
      <c r="N183" s="470">
        <f t="shared" si="447"/>
        <v>67.812054884070037</v>
      </c>
      <c r="O183" s="470">
        <f t="shared" si="448"/>
        <v>0</v>
      </c>
      <c r="P183" s="470">
        <f t="shared" si="449"/>
        <v>137.07416989239573</v>
      </c>
      <c r="Q183" s="469">
        <v>140</v>
      </c>
      <c r="R183" s="471">
        <f t="shared" si="450"/>
        <v>0.18879428492123948</v>
      </c>
      <c r="S183" s="471"/>
      <c r="T183" s="471"/>
      <c r="U183" s="471">
        <f t="shared" si="451"/>
        <v>0</v>
      </c>
      <c r="V183" s="471"/>
      <c r="W183" s="471"/>
      <c r="X183" s="471">
        <f t="shared" si="452"/>
        <v>0</v>
      </c>
      <c r="Y183" s="471">
        <f t="shared" si="453"/>
        <v>0.11312705902000003</v>
      </c>
      <c r="Z183" s="471">
        <f t="shared" ca="1" si="454"/>
        <v>0</v>
      </c>
      <c r="AA183" s="471">
        <f t="shared" si="362"/>
        <v>3.8</v>
      </c>
      <c r="AB183" s="471">
        <f t="shared" si="455"/>
        <v>0.71741828270070995</v>
      </c>
      <c r="AC183" s="471">
        <f t="shared" si="456"/>
        <v>9.3398547814864979E-2</v>
      </c>
      <c r="AD183" s="471">
        <f t="shared" si="457"/>
        <v>5.5965163540000008E-2</v>
      </c>
      <c r="AE183" s="471">
        <f t="shared" si="458"/>
        <v>0</v>
      </c>
      <c r="AF183" s="510">
        <f t="shared" si="361"/>
        <v>3.8</v>
      </c>
      <c r="AG183" s="471">
        <f t="shared" si="459"/>
        <v>0.35491448169648693</v>
      </c>
      <c r="AH183" s="471">
        <f t="shared" si="460"/>
        <v>0.41087964523648696</v>
      </c>
      <c r="AI183" s="471">
        <f t="shared" ca="1" si="461"/>
        <v>1.5</v>
      </c>
      <c r="AJ183" s="471">
        <f t="shared" si="462"/>
        <v>0.75</v>
      </c>
      <c r="AK183" s="472">
        <f t="shared" si="463"/>
        <v>2.684852835606774E-3</v>
      </c>
      <c r="AL183" s="471">
        <f t="shared" si="464"/>
        <v>0.62763424264178036</v>
      </c>
      <c r="AM183" s="473">
        <f t="shared" si="465"/>
        <v>330.65785097544875</v>
      </c>
      <c r="AN183" s="474">
        <f t="shared" si="466"/>
        <v>10</v>
      </c>
      <c r="AO183" s="474">
        <f t="shared" si="467"/>
        <v>0.58041666666666669</v>
      </c>
      <c r="AP183" s="474">
        <f t="shared" si="468"/>
        <v>10.580416666666666</v>
      </c>
      <c r="AQ183" s="475">
        <v>2</v>
      </c>
      <c r="AR183" s="474">
        <f t="shared" ca="1" si="469"/>
        <v>0.6227207367818548</v>
      </c>
      <c r="AS183" s="474">
        <f t="shared" ca="1" si="470"/>
        <v>0.9320657437332015</v>
      </c>
      <c r="AT183" s="471" t="str">
        <f t="shared" ca="1" si="471"/>
        <v>Cumple</v>
      </c>
      <c r="AU183" s="492">
        <f t="shared" si="472"/>
        <v>58.072864729593974</v>
      </c>
      <c r="AV183" s="471">
        <f t="shared" ca="1" si="473"/>
        <v>117.387531460169</v>
      </c>
      <c r="AW183" s="510">
        <f t="shared" ca="1" si="403"/>
        <v>117.39</v>
      </c>
      <c r="AX183" s="478">
        <f>IF(OR(C183="",D183=""),"",ROUND(((VLOOKUP(C183,'Base de Diseño (2)'!$A$2:$C$333,2,FALSE)-VLOOKUP(D183,'Base de Diseño (2)'!$A$2:$C$333,2,FALSE))^2+(VLOOKUP(C183,'Base de Diseño (2)'!$A$2:$C$333,3,0)-VLOOKUP(D183,'Base de Diseño (2)'!$A$2:$C$333,3,FALSE))^2)^0.5,2))</f>
        <v>69.650000000000006</v>
      </c>
      <c r="AY183" s="493">
        <v>14</v>
      </c>
      <c r="AZ183" s="480">
        <f ca="1">IF(AND(L183="",H183=""),"",IF(BA183=4,VLOOKUP(AY183,'TABLA (2)'!$A$74:$C$89,2),IF(BA183=5,VLOOKUP(AY183,'TABLA (2)'!$A$51:$B$66,2),IF(BA183=6,VLOOKUP(AY183,'TABLA (2)'!$A$9:$B$43,2)))))</f>
        <v>327</v>
      </c>
      <c r="BA183" s="493">
        <v>4</v>
      </c>
      <c r="BB183" s="478">
        <f>IF(OR(C183="",D183=""),"",VLOOKUP(C183,'Base de Diseño (2)'!$A$2:$D$330,4,FALSE))</f>
        <v>988.74599999999998</v>
      </c>
      <c r="BC183" s="478">
        <f>IF(OR(C183="",D183=""),"",VLOOKUP(D183,'Base de Diseño (2)'!$A$2:$D$330,4,FALSE))</f>
        <v>988.55899999999997</v>
      </c>
      <c r="BD183" s="23">
        <f t="shared" ca="1" si="474"/>
        <v>1.589</v>
      </c>
      <c r="BE183" s="23">
        <f t="shared" ca="1" si="475"/>
        <v>2.0089999999999999</v>
      </c>
      <c r="BF183" s="494">
        <v>1.93</v>
      </c>
      <c r="BG183" s="494">
        <v>2.35</v>
      </c>
      <c r="BH183" s="495">
        <f t="shared" si="476"/>
        <v>986.81600000000003</v>
      </c>
      <c r="BI183" s="495">
        <f t="shared" si="477"/>
        <v>986.20899999999995</v>
      </c>
      <c r="BJ183" s="468">
        <f t="shared" si="478"/>
        <v>2.9999999999972715E-2</v>
      </c>
      <c r="BK183" s="475">
        <f t="shared" si="479"/>
        <v>0.26848528356067741</v>
      </c>
      <c r="BL183" s="475">
        <f t="shared" si="480"/>
        <v>0.87150035893766631</v>
      </c>
      <c r="BM183" s="475">
        <f t="shared" ca="1" si="481"/>
        <v>1.9538135474328076</v>
      </c>
      <c r="BN183" s="475">
        <f t="shared" ca="1" si="482"/>
        <v>164.0848571483055</v>
      </c>
      <c r="BO183" s="204">
        <f t="shared" ca="1" si="483"/>
        <v>9.1416113958904133E-3</v>
      </c>
      <c r="BP183" s="496">
        <f t="shared" ca="1" si="484"/>
        <v>0.7154225078423837</v>
      </c>
      <c r="BQ183" s="497">
        <f t="shared" ca="1" si="485"/>
        <v>0.27325339770583496</v>
      </c>
      <c r="BR183" s="497">
        <f t="shared" ca="1" si="486"/>
        <v>0.95409896707685271</v>
      </c>
      <c r="BS183" s="475">
        <f t="shared" ca="1" si="487"/>
        <v>0.53388619031970519</v>
      </c>
      <c r="BT183" s="475">
        <f t="shared" ca="1" si="488"/>
        <v>1.864131487466403</v>
      </c>
      <c r="BU183" s="475">
        <f t="shared" ca="1" si="489"/>
        <v>7.9877749813952126E-2</v>
      </c>
      <c r="BV183" s="475">
        <f t="shared" ca="1" si="490"/>
        <v>0.70194833858543648</v>
      </c>
      <c r="BW183" s="475">
        <f t="shared" ca="1" si="491"/>
        <v>1.1461246539044403</v>
      </c>
      <c r="BX183" s="475">
        <f t="shared" ca="1" si="492"/>
        <v>3.9731375219792264</v>
      </c>
      <c r="BY183" s="475">
        <f t="shared" ca="1" si="493"/>
        <v>5.124891807500212E-2</v>
      </c>
      <c r="BZ183" s="475">
        <f t="shared" ca="1" si="494"/>
        <v>0.29649808119249049</v>
      </c>
      <c r="CA183" s="471">
        <f t="shared" ca="1" si="495"/>
        <v>1.6758396210525692E-2</v>
      </c>
      <c r="CB183" s="471">
        <f t="shared" ca="1" si="496"/>
        <v>9.6954872549944393E-2</v>
      </c>
      <c r="CC183" s="471">
        <f t="shared" ca="1" si="497"/>
        <v>1.2970884434762981</v>
      </c>
      <c r="CD183" s="471" t="str">
        <f t="shared" ca="1" si="498"/>
        <v>F. Supercrítico Inestable</v>
      </c>
      <c r="CE183" s="471">
        <f t="shared" ca="1" si="499"/>
        <v>0.14604948312692767</v>
      </c>
      <c r="CF183" s="471">
        <f t="shared" ca="1" si="500"/>
        <v>0.84496206228032233</v>
      </c>
      <c r="CG183" s="471" t="str">
        <f t="shared" ca="1" si="501"/>
        <v>O.K</v>
      </c>
      <c r="CH183" s="471" t="str">
        <f t="shared" ca="1" si="502"/>
        <v>O.K</v>
      </c>
      <c r="CI183" s="471" t="str">
        <f t="shared" ca="1" si="503"/>
        <v>OK</v>
      </c>
      <c r="CJ183" s="471" t="str">
        <f t="shared" ca="1" si="504"/>
        <v>OK</v>
      </c>
      <c r="CK183" s="468">
        <f t="shared" si="505"/>
        <v>2.9999999999972715E-2</v>
      </c>
      <c r="CL183" s="482" t="s">
        <v>2507</v>
      </c>
      <c r="CM183" s="482"/>
      <c r="CN183" s="63" t="str">
        <f t="shared" si="506"/>
        <v xml:space="preserve"> </v>
      </c>
      <c r="CO183" s="498"/>
      <c r="CP183" s="472"/>
      <c r="CQ183" s="482" t="s">
        <v>2508</v>
      </c>
      <c r="CR183" s="204">
        <f t="shared" si="507"/>
        <v>69.650000000000006</v>
      </c>
      <c r="CS183" s="486">
        <v>1.2</v>
      </c>
      <c r="CT183" s="486">
        <v>1.2</v>
      </c>
      <c r="CU183" s="23">
        <f t="shared" si="508"/>
        <v>69.652644953368437</v>
      </c>
      <c r="CV183" s="499" t="s">
        <v>2509</v>
      </c>
      <c r="CW183" s="488" t="str">
        <f t="shared" ca="1" si="509"/>
        <v>E2</v>
      </c>
      <c r="CX183" s="204">
        <f ca="1">IF(AND(L183="",H183=""),"",IF(AND(BA183&lt;&gt;4,BA183&lt;&gt;5),VLOOKUP(AY183,'TABLA (2)'!$A$9:$D$43,4),IF(BA183=4,VLOOKUP(AY183,'TABLA (2)'!$A$74:$D$89,4),VLOOKUP(AY183,'TABLA (2)'!$A$51:$D$66,4))))</f>
        <v>1.4E-2</v>
      </c>
      <c r="CY183" s="482"/>
      <c r="CZ183" s="482"/>
      <c r="DA183" s="482"/>
      <c r="DB183" s="490"/>
    </row>
    <row r="184" spans="1:106" ht="15" hidden="1" customHeight="1">
      <c r="A184" s="465">
        <f t="shared" si="510"/>
        <v>114</v>
      </c>
      <c r="B184" s="491"/>
      <c r="C184" s="466" t="s">
        <v>2342</v>
      </c>
      <c r="D184" s="466" t="s">
        <v>2363</v>
      </c>
      <c r="E184" s="468">
        <v>0.21693867890000001</v>
      </c>
      <c r="F184" s="468"/>
      <c r="G184" s="468">
        <f t="shared" si="442"/>
        <v>2.5017754426000001</v>
      </c>
      <c r="H184" s="468">
        <f t="shared" si="443"/>
        <v>2.7187141215000001</v>
      </c>
      <c r="I184" s="468">
        <v>0.21693867890000001</v>
      </c>
      <c r="J184" s="468"/>
      <c r="K184" s="467">
        <f t="shared" ca="1" si="444"/>
        <v>2.5017754426000001</v>
      </c>
      <c r="L184" s="468">
        <f t="shared" ca="1" si="445"/>
        <v>2.7187141215000001</v>
      </c>
      <c r="M184" s="469">
        <f t="shared" si="446"/>
        <v>242.33666300502347</v>
      </c>
      <c r="N184" s="470">
        <f t="shared" si="447"/>
        <v>52.572195521344298</v>
      </c>
      <c r="O184" s="470">
        <f t="shared" si="448"/>
        <v>0</v>
      </c>
      <c r="P184" s="470">
        <f t="shared" si="449"/>
        <v>658.84410786894398</v>
      </c>
      <c r="Q184" s="469">
        <v>140</v>
      </c>
      <c r="R184" s="471">
        <f t="shared" si="450"/>
        <v>0.9074357504213465</v>
      </c>
      <c r="S184" s="471"/>
      <c r="T184" s="471"/>
      <c r="U184" s="471">
        <f t="shared" si="451"/>
        <v>0</v>
      </c>
      <c r="V184" s="471"/>
      <c r="W184" s="471"/>
      <c r="X184" s="471">
        <f t="shared" si="452"/>
        <v>0</v>
      </c>
      <c r="Y184" s="471">
        <f t="shared" si="453"/>
        <v>0.54374282430000009</v>
      </c>
      <c r="Z184" s="471">
        <f t="shared" ca="1" si="454"/>
        <v>0</v>
      </c>
      <c r="AA184" s="471">
        <f t="shared" si="362"/>
        <v>3.8</v>
      </c>
      <c r="AB184" s="471">
        <f t="shared" si="455"/>
        <v>3.4482558516011164</v>
      </c>
      <c r="AC184" s="471">
        <f t="shared" si="456"/>
        <v>7.2408463738888554E-2</v>
      </c>
      <c r="AD184" s="471">
        <f t="shared" si="457"/>
        <v>4.3387735780000006E-2</v>
      </c>
      <c r="AE184" s="471">
        <f t="shared" si="458"/>
        <v>0</v>
      </c>
      <c r="AF184" s="510">
        <f t="shared" si="361"/>
        <v>3.8</v>
      </c>
      <c r="AG184" s="471">
        <f t="shared" si="459"/>
        <v>0.2751521622077765</v>
      </c>
      <c r="AH184" s="471">
        <f t="shared" si="460"/>
        <v>0.31853989798777649</v>
      </c>
      <c r="AI184" s="471">
        <f t="shared" ca="1" si="461"/>
        <v>3.9919986759011166</v>
      </c>
      <c r="AJ184" s="471">
        <f t="shared" si="462"/>
        <v>0.75</v>
      </c>
      <c r="AK184" s="472">
        <f t="shared" si="463"/>
        <v>2.8236472945891621E-2</v>
      </c>
      <c r="AL184" s="471">
        <f t="shared" si="464"/>
        <v>0.62891182364729459</v>
      </c>
      <c r="AM184" s="473">
        <f t="shared" si="465"/>
        <v>328.01465507174044</v>
      </c>
      <c r="AN184" s="474">
        <f t="shared" si="466"/>
        <v>10.580416666666666</v>
      </c>
      <c r="AO184" s="474">
        <f t="shared" si="467"/>
        <v>0.2772222222222222</v>
      </c>
      <c r="AP184" s="474">
        <f t="shared" si="468"/>
        <v>10.857638888888889</v>
      </c>
      <c r="AQ184" s="475">
        <v>3</v>
      </c>
      <c r="AR184" s="474" t="e">
        <f t="shared" ca="1" si="469"/>
        <v>#VALUE!</v>
      </c>
      <c r="AS184" s="474" t="e">
        <f t="shared" ca="1" si="470"/>
        <v>#VALUE!</v>
      </c>
      <c r="AT184" s="471" t="e">
        <f t="shared" ca="1" si="471"/>
        <v>#VALUE!</v>
      </c>
      <c r="AU184" s="492">
        <f t="shared" si="472"/>
        <v>44.752777923767781</v>
      </c>
      <c r="AV184" s="471">
        <f t="shared" ca="1" si="473"/>
        <v>560.84977531270897</v>
      </c>
      <c r="AW184" s="510">
        <f t="shared" ca="1" si="403"/>
        <v>560.85</v>
      </c>
      <c r="AX184" s="478">
        <f>IF(OR(C184="",D184=""),"",ROUND(((VLOOKUP(C184,'Base de Diseño (2)'!$A$2:$C$333,2,FALSE)-VLOOKUP(D184,'Base de Diseño (2)'!$A$2:$C$333,2,FALSE))^2+(VLOOKUP(C184,'Base de Diseño (2)'!$A$2:$C$333,3,0)-VLOOKUP(D184,'Base de Diseño (2)'!$A$2:$C$333,3,FALSE))^2)^0.5,2))</f>
        <v>49.9</v>
      </c>
      <c r="AY184" s="493">
        <v>14</v>
      </c>
      <c r="AZ184" s="480">
        <f ca="1">IF(AND(L184="",H184=""),"",IF(BA184=4,VLOOKUP(AY184,'TABLA (2)'!$A$74:$C$89,2),IF(BA184=5,VLOOKUP(AY184,'TABLA (2)'!$A$51:$B$66,2),IF(BA184=6,VLOOKUP(AY184,'TABLA (2)'!$A$9:$B$43,2)))))</f>
        <v>350</v>
      </c>
      <c r="BA184" s="493">
        <v>6</v>
      </c>
      <c r="BB184" s="478">
        <f>IF(OR(C184="",D184=""),"",VLOOKUP(C184,'Base de Diseño (2)'!$A$2:$D$330,4,FALSE))</f>
        <v>988.55899999999997</v>
      </c>
      <c r="BC184" s="478">
        <f>IF(OR(C184="",D184=""),"",VLOOKUP(D184,'Base de Diseño (2)'!$A$2:$D$330,4,FALSE))</f>
        <v>987.15</v>
      </c>
      <c r="BD184" s="23">
        <f t="shared" ca="1" si="474"/>
        <v>1.9699999999999955</v>
      </c>
      <c r="BE184" s="23">
        <f t="shared" ca="1" si="475"/>
        <v>1.6399999999999546</v>
      </c>
      <c r="BF184" s="494">
        <v>2.3799999999999955</v>
      </c>
      <c r="BG184" s="494">
        <v>2.0499999999999545</v>
      </c>
      <c r="BH184" s="495">
        <f t="shared" si="476"/>
        <v>986.17899999999997</v>
      </c>
      <c r="BI184" s="495">
        <f t="shared" si="477"/>
        <v>985.1</v>
      </c>
      <c r="BJ184" s="468">
        <f t="shared" si="478"/>
        <v>5.0000000000068212E-2</v>
      </c>
      <c r="BK184" s="475">
        <f t="shared" si="479"/>
        <v>2.8236472945891622</v>
      </c>
      <c r="BL184" s="475">
        <f t="shared" si="480"/>
        <v>2.1623246492984989</v>
      </c>
      <c r="BM184" s="475">
        <f t="shared" ca="1" si="481"/>
        <v>2.2294058303956081</v>
      </c>
      <c r="BN184" s="475">
        <f t="shared" ca="1" si="482"/>
        <v>214.49397747088349</v>
      </c>
      <c r="BO184" s="204">
        <f t="shared" ca="1" si="483"/>
        <v>1.861123898661915E-2</v>
      </c>
      <c r="BP184" s="496">
        <f t="shared" ca="1" si="484"/>
        <v>2.6147587294199561</v>
      </c>
      <c r="BQ184" s="497">
        <f t="shared" ca="1" si="485"/>
        <v>0.33604475355806296</v>
      </c>
      <c r="BR184" s="497" t="str">
        <f t="shared" ca="1" si="486"/>
        <v xml:space="preserve"> </v>
      </c>
      <c r="BS184" s="475">
        <f t="shared" ca="1" si="487"/>
        <v>0.74918013285620089</v>
      </c>
      <c r="BT184" s="475" t="e">
        <f t="shared" ca="1" si="488"/>
        <v>#VALUE!</v>
      </c>
      <c r="BU184" s="475">
        <f t="shared" ca="1" si="489"/>
        <v>0.12573266859706567</v>
      </c>
      <c r="BV184" s="475" t="str">
        <f t="shared" ca="1" si="490"/>
        <v xml:space="preserve"> </v>
      </c>
      <c r="BW184" s="475">
        <f t="shared" ca="1" si="491"/>
        <v>1.4498937113161074</v>
      </c>
      <c r="BX184" s="475" t="e">
        <f t="shared" ca="1" si="492"/>
        <v>#VALUE!</v>
      </c>
      <c r="BY184" s="475">
        <f t="shared" ca="1" si="493"/>
        <v>7.8832249977781127E-2</v>
      </c>
      <c r="BZ184" s="475" t="e">
        <f t="shared" ca="1" si="494"/>
        <v>#VALUE!</v>
      </c>
      <c r="CA184" s="471">
        <f t="shared" ca="1" si="495"/>
        <v>2.7591287492223393E-2</v>
      </c>
      <c r="CB184" s="471" t="e">
        <f t="shared" ca="1" si="496"/>
        <v>#VALUE!</v>
      </c>
      <c r="CC184" s="471" t="e">
        <f t="shared" ca="1" si="497"/>
        <v>#VALUE!</v>
      </c>
      <c r="CD184" s="471" t="e">
        <f t="shared" ca="1" si="498"/>
        <v>#VALUE!</v>
      </c>
      <c r="CE184" s="471">
        <f t="shared" ca="1" si="499"/>
        <v>0.59661321050316007</v>
      </c>
      <c r="CF184" s="471" t="e">
        <f t="shared" ca="1" si="500"/>
        <v>#VALUE!</v>
      </c>
      <c r="CG184" s="471" t="str">
        <f t="shared" ca="1" si="501"/>
        <v>O.K</v>
      </c>
      <c r="CH184" s="471" t="e">
        <f t="shared" ca="1" si="502"/>
        <v>#VALUE!</v>
      </c>
      <c r="CI184" s="471" t="str">
        <f t="shared" ca="1" si="503"/>
        <v>OK</v>
      </c>
      <c r="CJ184" s="471" t="e">
        <f t="shared" ca="1" si="504"/>
        <v>#VALUE!</v>
      </c>
      <c r="CK184" s="468">
        <f t="shared" si="505"/>
        <v>5.0000000000068212E-2</v>
      </c>
      <c r="CL184" s="482" t="s">
        <v>2507</v>
      </c>
      <c r="CM184" s="482"/>
      <c r="CN184" s="63" t="str">
        <f t="shared" si="506"/>
        <v xml:space="preserve"> </v>
      </c>
      <c r="CO184" s="498"/>
      <c r="CP184" s="472"/>
      <c r="CQ184" s="482" t="s">
        <v>2508</v>
      </c>
      <c r="CR184" s="204">
        <f t="shared" si="507"/>
        <v>49.9</v>
      </c>
      <c r="CS184" s="486">
        <v>1.2</v>
      </c>
      <c r="CT184" s="486">
        <v>1.2</v>
      </c>
      <c r="CU184" s="23">
        <f t="shared" si="508"/>
        <v>49.911664378179175</v>
      </c>
      <c r="CV184" s="499" t="s">
        <v>2509</v>
      </c>
      <c r="CW184" s="488" t="str">
        <f t="shared" ca="1" si="509"/>
        <v>E2</v>
      </c>
      <c r="CX184" s="204">
        <f ca="1">IF(AND(L184="",H184=""),"",IF(AND(BA184&lt;&gt;4,BA184&lt;&gt;5),VLOOKUP(AY184,'TABLA (2)'!$A$9:$D$43,4),IF(BA184=4,VLOOKUP(AY184,'TABLA (2)'!$A$74:$D$89,4),VLOOKUP(AY184,'TABLA (2)'!$A$51:$D$66,4))))</f>
        <v>0.06</v>
      </c>
      <c r="CY184" s="482"/>
      <c r="CZ184" s="482"/>
      <c r="DA184" s="482"/>
      <c r="DB184" s="490"/>
    </row>
    <row r="185" spans="1:106" ht="15" hidden="1" customHeight="1">
      <c r="A185" s="465">
        <f t="shared" si="510"/>
        <v>115</v>
      </c>
      <c r="B185" s="491"/>
      <c r="C185" s="466" t="s">
        <v>2363</v>
      </c>
      <c r="D185" s="466" t="s">
        <v>2215</v>
      </c>
      <c r="E185" s="468">
        <v>0.14654755310000001</v>
      </c>
      <c r="F185" s="468"/>
      <c r="G185" s="468">
        <f t="shared" si="442"/>
        <v>2.7187141215000001</v>
      </c>
      <c r="H185" s="468">
        <f t="shared" si="443"/>
        <v>2.8652616746000001</v>
      </c>
      <c r="I185" s="468">
        <v>0.14654755310000001</v>
      </c>
      <c r="J185" s="468"/>
      <c r="K185" s="467">
        <f t="shared" ca="1" si="444"/>
        <v>2.7187141215000001</v>
      </c>
      <c r="L185" s="468">
        <f t="shared" ca="1" si="445"/>
        <v>2.8652616746000001</v>
      </c>
      <c r="M185" s="469">
        <f t="shared" si="446"/>
        <v>242.33666300502347</v>
      </c>
      <c r="N185" s="470">
        <f t="shared" si="447"/>
        <v>35.513844989805484</v>
      </c>
      <c r="O185" s="470">
        <f t="shared" si="448"/>
        <v>0</v>
      </c>
      <c r="P185" s="470">
        <f t="shared" si="449"/>
        <v>694.3579528587494</v>
      </c>
      <c r="Q185" s="469">
        <v>140</v>
      </c>
      <c r="R185" s="471">
        <f t="shared" si="450"/>
        <v>0.95634949525684232</v>
      </c>
      <c r="S185" s="471"/>
      <c r="T185" s="471"/>
      <c r="U185" s="471">
        <f t="shared" si="451"/>
        <v>0</v>
      </c>
      <c r="V185" s="471"/>
      <c r="W185" s="471"/>
      <c r="X185" s="471">
        <f t="shared" si="452"/>
        <v>0</v>
      </c>
      <c r="Y185" s="471">
        <f t="shared" si="453"/>
        <v>0.57305233492000007</v>
      </c>
      <c r="Z185" s="471">
        <f t="shared" ca="1" si="454"/>
        <v>0</v>
      </c>
      <c r="AA185" s="471">
        <f t="shared" si="362"/>
        <v>3.8</v>
      </c>
      <c r="AB185" s="471">
        <f t="shared" si="455"/>
        <v>3.6341280819760007</v>
      </c>
      <c r="AC185" s="471">
        <f t="shared" si="456"/>
        <v>4.891374483549598E-2</v>
      </c>
      <c r="AD185" s="471">
        <f t="shared" si="457"/>
        <v>2.9309510620000003E-2</v>
      </c>
      <c r="AE185" s="471">
        <f t="shared" si="458"/>
        <v>0</v>
      </c>
      <c r="AF185" s="510">
        <f t="shared" si="361"/>
        <v>3.8</v>
      </c>
      <c r="AG185" s="471">
        <f t="shared" si="459"/>
        <v>0.18587223037488471</v>
      </c>
      <c r="AH185" s="471">
        <f t="shared" si="460"/>
        <v>0.21518174099488471</v>
      </c>
      <c r="AI185" s="471">
        <f t="shared" ca="1" si="461"/>
        <v>4.2071804168960005</v>
      </c>
      <c r="AJ185" s="471">
        <f t="shared" si="462"/>
        <v>0.75</v>
      </c>
      <c r="AK185" s="472">
        <f t="shared" si="463"/>
        <v>9.6142270861831303E-2</v>
      </c>
      <c r="AL185" s="471">
        <f t="shared" si="464"/>
        <v>0.63230711354309166</v>
      </c>
      <c r="AM185" s="473">
        <f t="shared" si="465"/>
        <v>326.86579024154349</v>
      </c>
      <c r="AN185" s="474">
        <f t="shared" si="466"/>
        <v>10.857638888888889</v>
      </c>
      <c r="AO185" s="474">
        <f t="shared" si="467"/>
        <v>0.12183333333333334</v>
      </c>
      <c r="AP185" s="474">
        <f t="shared" si="468"/>
        <v>10.979472222222222</v>
      </c>
      <c r="AQ185" s="475">
        <v>3</v>
      </c>
      <c r="AR185" s="474">
        <f t="shared" ca="1" si="469"/>
        <v>7.3694723466580611E-2</v>
      </c>
      <c r="AS185" s="474">
        <f t="shared" ca="1" si="470"/>
        <v>1.6532165072657179</v>
      </c>
      <c r="AT185" s="471" t="str">
        <f t="shared" ca="1" si="471"/>
        <v>Aumentar vel.</v>
      </c>
      <c r="AU185" s="492">
        <f t="shared" si="472"/>
        <v>30.288384430330353</v>
      </c>
      <c r="AV185" s="471">
        <f t="shared" ca="1" si="473"/>
        <v>592.19103463677629</v>
      </c>
      <c r="AW185" s="510">
        <f t="shared" ca="1" si="403"/>
        <v>592.19000000000005</v>
      </c>
      <c r="AX185" s="478">
        <f>IF(OR(C185="",D185=""),"",ROUND(((VLOOKUP(C185,'Base de Diseño (2)'!$A$2:$C$333,2,FALSE)-VLOOKUP(D185,'Base de Diseño (2)'!$A$2:$C$333,2,FALSE))^2+(VLOOKUP(C185,'Base de Diseño (2)'!$A$2:$C$333,3,0)-VLOOKUP(D185,'Base de Diseño (2)'!$A$2:$C$333,3,FALSE))^2)^0.5,2))</f>
        <v>21.93</v>
      </c>
      <c r="AY185" s="493">
        <v>14</v>
      </c>
      <c r="AZ185" s="480">
        <f ca="1">IF(AND(L185="",H185=""),"",IF(BA185=4,VLOOKUP(AY185,'TABLA (2)'!$A$74:$C$89,2),IF(BA185=5,VLOOKUP(AY185,'TABLA (2)'!$A$51:$B$66,2),IF(BA185=6,VLOOKUP(AY185,'TABLA (2)'!$A$9:$B$43,2)))))</f>
        <v>350</v>
      </c>
      <c r="BA185" s="493">
        <v>6</v>
      </c>
      <c r="BB185" s="478">
        <f>IF(OR(C185="",D185=""),"",VLOOKUP(C185,'Base de Diseño (2)'!$A$2:$D$330,4,FALSE))</f>
        <v>987.15</v>
      </c>
      <c r="BC185" s="478">
        <f>IF(OR(C185="",D185=""),"",VLOOKUP(D185,'Base de Diseño (2)'!$A$2:$D$330,4,FALSE))</f>
        <v>985.04160000000002</v>
      </c>
      <c r="BD185" s="23">
        <f t="shared" ca="1" si="474"/>
        <v>1.6900000000000228</v>
      </c>
      <c r="BE185" s="23">
        <f t="shared" ca="1" si="475"/>
        <v>1.2900000000000456</v>
      </c>
      <c r="BF185" s="494">
        <v>2.1000000000000227</v>
      </c>
      <c r="BG185" s="494">
        <v>1.7000000000000455</v>
      </c>
      <c r="BH185" s="495">
        <f t="shared" si="476"/>
        <v>985.05</v>
      </c>
      <c r="BI185" s="495">
        <f t="shared" si="477"/>
        <v>983.34159999999997</v>
      </c>
      <c r="BJ185" s="468">
        <f t="shared" si="478"/>
        <v>0.44999999999993179</v>
      </c>
      <c r="BK185" s="475">
        <f t="shared" si="479"/>
        <v>9.6142270861831296</v>
      </c>
      <c r="BL185" s="475">
        <f t="shared" si="480"/>
        <v>7.7902416780664989</v>
      </c>
      <c r="BM185" s="475">
        <f t="shared" ca="1" si="481"/>
        <v>4.2315955191135544</v>
      </c>
      <c r="BN185" s="475">
        <f t="shared" ca="1" si="482"/>
        <v>407.12720024670051</v>
      </c>
      <c r="BO185" s="204">
        <f t="shared" ca="1" si="483"/>
        <v>1.0333822978043817E-2</v>
      </c>
      <c r="BP185" s="496">
        <f t="shared" ca="1" si="484"/>
        <v>1.4545576901792854</v>
      </c>
      <c r="BQ185" s="497">
        <f t="shared" ca="1" si="485"/>
        <v>0.28317521771782966</v>
      </c>
      <c r="BR185" s="497">
        <f t="shared" ca="1" si="486"/>
        <v>1.1720518890321809</v>
      </c>
      <c r="BS185" s="475">
        <f t="shared" ca="1" si="487"/>
        <v>1.1982829824187733</v>
      </c>
      <c r="BT185" s="475">
        <f t="shared" ca="1" si="488"/>
        <v>4.9596495217971537</v>
      </c>
      <c r="BU185" s="475">
        <f t="shared" ca="1" si="489"/>
        <v>8.7784522834134071E-2</v>
      </c>
      <c r="BV185" s="475" t="str">
        <f t="shared" ca="1" si="490"/>
        <v xml:space="preserve"> </v>
      </c>
      <c r="BW185" s="475">
        <f t="shared" ca="1" si="491"/>
        <v>1.2032006239870716</v>
      </c>
      <c r="BX185" s="475" t="e">
        <f t="shared" ca="1" si="492"/>
        <v>#VALUE!</v>
      </c>
      <c r="BY185" s="475">
        <f t="shared" ca="1" si="493"/>
        <v>5.6101729336217432E-2</v>
      </c>
      <c r="BZ185" s="475" t="e">
        <f t="shared" ca="1" si="494"/>
        <v>#VALUE!</v>
      </c>
      <c r="CA185" s="471">
        <f t="shared" ca="1" si="495"/>
        <v>1.96356052676761E-2</v>
      </c>
      <c r="CB185" s="471" t="e">
        <f t="shared" ca="1" si="496"/>
        <v>#VALUE!</v>
      </c>
      <c r="CC185" s="471" t="e">
        <f t="shared" ca="1" si="497"/>
        <v>#VALUE!</v>
      </c>
      <c r="CD185" s="471" t="e">
        <f t="shared" ca="1" si="498"/>
        <v>#VALUE!</v>
      </c>
      <c r="CE185" s="471">
        <f t="shared" ca="1" si="499"/>
        <v>1.5296611053031244</v>
      </c>
      <c r="CF185" s="471" t="e">
        <f t="shared" ca="1" si="500"/>
        <v>#VALUE!</v>
      </c>
      <c r="CG185" s="471" t="str">
        <f t="shared" ca="1" si="501"/>
        <v>O.K</v>
      </c>
      <c r="CH185" s="471" t="str">
        <f t="shared" ca="1" si="502"/>
        <v>O.K</v>
      </c>
      <c r="CI185" s="471" t="str">
        <f t="shared" ca="1" si="503"/>
        <v>OK</v>
      </c>
      <c r="CJ185" s="471" t="e">
        <f t="shared" ca="1" si="504"/>
        <v>#VALUE!</v>
      </c>
      <c r="CK185" s="468">
        <f t="shared" si="505"/>
        <v>0.44999999999993179</v>
      </c>
      <c r="CL185" s="482" t="s">
        <v>2507</v>
      </c>
      <c r="CM185" s="482"/>
      <c r="CN185" s="63" t="str">
        <f t="shared" si="506"/>
        <v xml:space="preserve"> </v>
      </c>
      <c r="CO185" s="498">
        <f t="shared" ref="CO185:CO191" si="511">+CR185</f>
        <v>21.93</v>
      </c>
      <c r="CP185" s="472">
        <f t="shared" ref="CP185:CP191" si="512">+BK185/100</f>
        <v>9.6142270861831303E-2</v>
      </c>
      <c r="CQ185" s="482" t="s">
        <v>2508</v>
      </c>
      <c r="CR185" s="204">
        <f t="shared" si="507"/>
        <v>21.93</v>
      </c>
      <c r="CS185" s="486">
        <v>1.2</v>
      </c>
      <c r="CT185" s="486">
        <v>1.2</v>
      </c>
      <c r="CU185" s="23">
        <f t="shared" si="508"/>
        <v>21.996443588907727</v>
      </c>
      <c r="CV185" s="499" t="s">
        <v>2509</v>
      </c>
      <c r="CW185" s="488" t="str">
        <f t="shared" ca="1" si="509"/>
        <v>E2</v>
      </c>
      <c r="CX185" s="204">
        <f ca="1">IF(AND(L185="",H185=""),"",IF(AND(BA185&lt;&gt;4,BA185&lt;&gt;5),VLOOKUP(AY185,'TABLA (2)'!$A$9:$D$43,4),IF(BA185=4,VLOOKUP(AY185,'TABLA (2)'!$A$74:$D$89,4),VLOOKUP(AY185,'TABLA (2)'!$A$51:$D$66,4))))</f>
        <v>0.06</v>
      </c>
      <c r="CY185" s="482"/>
      <c r="CZ185" s="482"/>
      <c r="DA185" s="482"/>
      <c r="DB185" s="490"/>
    </row>
    <row r="186" spans="1:106" ht="15" hidden="1" customHeight="1">
      <c r="A186" s="465">
        <f t="shared" si="510"/>
        <v>116</v>
      </c>
      <c r="B186" s="491"/>
      <c r="C186" s="466" t="s">
        <v>2215</v>
      </c>
      <c r="D186" s="466" t="s">
        <v>2216</v>
      </c>
      <c r="E186" s="468">
        <v>0.1102657505</v>
      </c>
      <c r="F186" s="468"/>
      <c r="G186" s="468">
        <f t="shared" si="442"/>
        <v>2.8652616746000001</v>
      </c>
      <c r="H186" s="468">
        <f t="shared" si="443"/>
        <v>2.9755274251000001</v>
      </c>
      <c r="I186" s="468">
        <v>0.1102657505</v>
      </c>
      <c r="J186" s="468"/>
      <c r="K186" s="467">
        <f t="shared" ca="1" si="444"/>
        <v>2.8652616746000001</v>
      </c>
      <c r="L186" s="468">
        <f t="shared" ca="1" si="445"/>
        <v>2.9755274251000001</v>
      </c>
      <c r="M186" s="469">
        <f t="shared" si="446"/>
        <v>242.33666300502347</v>
      </c>
      <c r="N186" s="470">
        <f t="shared" si="447"/>
        <v>26.721434019914497</v>
      </c>
      <c r="O186" s="470">
        <f t="shared" si="448"/>
        <v>0</v>
      </c>
      <c r="P186" s="470">
        <f t="shared" si="449"/>
        <v>721.07938687866397</v>
      </c>
      <c r="Q186" s="469">
        <v>140</v>
      </c>
      <c r="R186" s="471">
        <f t="shared" si="450"/>
        <v>0.99315332220556718</v>
      </c>
      <c r="S186" s="471"/>
      <c r="T186" s="471"/>
      <c r="U186" s="471">
        <f t="shared" si="451"/>
        <v>0</v>
      </c>
      <c r="V186" s="471"/>
      <c r="W186" s="471"/>
      <c r="X186" s="471">
        <f t="shared" si="452"/>
        <v>0</v>
      </c>
      <c r="Y186" s="471">
        <f t="shared" si="453"/>
        <v>0.59510548502000005</v>
      </c>
      <c r="Z186" s="471">
        <f t="shared" ca="1" si="454"/>
        <v>0</v>
      </c>
      <c r="AA186" s="471">
        <f t="shared" si="362"/>
        <v>3.8</v>
      </c>
      <c r="AB186" s="471">
        <f t="shared" si="455"/>
        <v>3.7739826243811549</v>
      </c>
      <c r="AC186" s="471">
        <f t="shared" si="456"/>
        <v>3.6803826948724826E-2</v>
      </c>
      <c r="AD186" s="471">
        <f t="shared" si="457"/>
        <v>2.2053150100000002E-2</v>
      </c>
      <c r="AE186" s="471">
        <f t="shared" si="458"/>
        <v>0</v>
      </c>
      <c r="AF186" s="510">
        <f t="shared" si="361"/>
        <v>3.8</v>
      </c>
      <c r="AG186" s="471">
        <f t="shared" si="459"/>
        <v>0.13985454240515433</v>
      </c>
      <c r="AH186" s="471">
        <f t="shared" si="460"/>
        <v>0.16190769250515433</v>
      </c>
      <c r="AI186" s="471">
        <f t="shared" ca="1" si="461"/>
        <v>4.3690881094011553</v>
      </c>
      <c r="AJ186" s="471">
        <f t="shared" si="462"/>
        <v>0.75</v>
      </c>
      <c r="AK186" s="472">
        <f t="shared" si="463"/>
        <v>7.0592286501375848E-2</v>
      </c>
      <c r="AL186" s="471">
        <f t="shared" si="464"/>
        <v>0.63102961432506888</v>
      </c>
      <c r="AM186" s="473">
        <f t="shared" si="465"/>
        <v>325.35626029478925</v>
      </c>
      <c r="AN186" s="474">
        <f t="shared" si="466"/>
        <v>10.979472222222222</v>
      </c>
      <c r="AO186" s="474">
        <f t="shared" si="467"/>
        <v>0.16133333333333333</v>
      </c>
      <c r="AP186" s="474">
        <f t="shared" si="468"/>
        <v>11.140805555555556</v>
      </c>
      <c r="AQ186" s="475">
        <v>3</v>
      </c>
      <c r="AR186" s="474" t="e">
        <f t="shared" ca="1" si="469"/>
        <v>#VALUE!</v>
      </c>
      <c r="AS186" s="474" t="e">
        <f t="shared" ca="1" si="470"/>
        <v>#VALUE!</v>
      </c>
      <c r="AT186" s="471" t="e">
        <f t="shared" ca="1" si="471"/>
        <v>#VALUE!</v>
      </c>
      <c r="AU186" s="492">
        <f t="shared" si="472"/>
        <v>22.638598984853537</v>
      </c>
      <c r="AV186" s="471">
        <f t="shared" ca="1" si="473"/>
        <v>610.9038558194253</v>
      </c>
      <c r="AW186" s="510">
        <f t="shared" ca="1" si="403"/>
        <v>610.9</v>
      </c>
      <c r="AX186" s="478">
        <f>IF(OR(C186="",D186=""),"",ROUND(((VLOOKUP(C186,'Base de Diseño (2)'!$A$2:$C$333,2,FALSE)-VLOOKUP(D186,'Base de Diseño (2)'!$A$2:$C$333,2,FALSE))^2+(VLOOKUP(C186,'Base de Diseño (2)'!$A$2:$C$333,3,0)-VLOOKUP(D186,'Base de Diseño (2)'!$A$2:$C$333,3,FALSE))^2)^0.5,2))</f>
        <v>29.04</v>
      </c>
      <c r="AY186" s="493">
        <v>12</v>
      </c>
      <c r="AZ186" s="480">
        <f ca="1">IF(AND(L186="",H186=""),"",IF(BA186=4,VLOOKUP(AY186,'TABLA (2)'!$A$74:$C$89,2),IF(BA186=5,VLOOKUP(AY186,'TABLA (2)'!$A$51:$B$66,2),IF(BA186=6,VLOOKUP(AY186,'TABLA (2)'!$A$9:$B$43,2)))))</f>
        <v>300</v>
      </c>
      <c r="BA186" s="493">
        <v>6</v>
      </c>
      <c r="BB186" s="478">
        <f>IF(OR(C186="",D186=""),"",VLOOKUP(C186,'Base de Diseño (2)'!$A$2:$D$330,4,FALSE))</f>
        <v>985.04160000000002</v>
      </c>
      <c r="BC186" s="478">
        <f>IF(OR(C186="",D186=""),"",VLOOKUP(D186,'Base de Diseño (2)'!$A$2:$D$330,4,FALSE))</f>
        <v>982.99160000000006</v>
      </c>
      <c r="BD186" s="23">
        <f t="shared" ca="1" si="474"/>
        <v>1.8029999999999773</v>
      </c>
      <c r="BE186" s="23">
        <f t="shared" ca="1" si="475"/>
        <v>1.83299999999995</v>
      </c>
      <c r="BF186" s="494">
        <v>2.1499999999999773</v>
      </c>
      <c r="BG186" s="494">
        <v>2.17999999999995</v>
      </c>
      <c r="BH186" s="495">
        <f t="shared" si="476"/>
        <v>982.89160000000004</v>
      </c>
      <c r="BI186" s="495">
        <f t="shared" si="477"/>
        <v>980.81160000000011</v>
      </c>
      <c r="BJ186" s="534">
        <f t="shared" si="478"/>
        <v>0</v>
      </c>
      <c r="BK186" s="475">
        <f t="shared" si="479"/>
        <v>7.0592286501375847</v>
      </c>
      <c r="BL186" s="475">
        <f t="shared" si="480"/>
        <v>7.1625344352614571</v>
      </c>
      <c r="BM186" s="475">
        <f t="shared" ca="1" si="481"/>
        <v>3.6612623650697347</v>
      </c>
      <c r="BN186" s="475">
        <f t="shared" ca="1" si="482"/>
        <v>258.79938635177706</v>
      </c>
      <c r="BO186" s="204">
        <f t="shared" ca="1" si="483"/>
        <v>1.6882142461738317E-2</v>
      </c>
      <c r="BP186" s="496">
        <f t="shared" ca="1" si="484"/>
        <v>2.360515643455293</v>
      </c>
      <c r="BQ186" s="497">
        <f t="shared" ca="1" si="485"/>
        <v>0.32664502560263003</v>
      </c>
      <c r="BR186" s="497" t="str">
        <f t="shared" ca="1" si="486"/>
        <v xml:space="preserve"> </v>
      </c>
      <c r="BS186" s="475">
        <f t="shared" ca="1" si="487"/>
        <v>1.1959331389761492</v>
      </c>
      <c r="BT186" s="475" t="e">
        <f t="shared" ca="1" si="488"/>
        <v>#VALUE!</v>
      </c>
      <c r="BU186" s="475">
        <f t="shared" ca="1" si="489"/>
        <v>0.11944332257671469</v>
      </c>
      <c r="BV186" s="475" t="str">
        <f t="shared" ca="1" si="490"/>
        <v xml:space="preserve"> </v>
      </c>
      <c r="BW186" s="475">
        <f t="shared" ca="1" si="491"/>
        <v>1.4115368706962912</v>
      </c>
      <c r="BX186" s="475" t="e">
        <f t="shared" ca="1" si="492"/>
        <v>#VALUE!</v>
      </c>
      <c r="BY186" s="475">
        <f t="shared" ca="1" si="493"/>
        <v>7.5129435991321408E-2</v>
      </c>
      <c r="BZ186" s="475" t="e">
        <f t="shared" ca="1" si="494"/>
        <v>#VALUE!</v>
      </c>
      <c r="CA186" s="471">
        <f t="shared" ca="1" si="495"/>
        <v>2.2538830797396422E-2</v>
      </c>
      <c r="CB186" s="471" t="e">
        <f t="shared" ca="1" si="496"/>
        <v>#VALUE!</v>
      </c>
      <c r="CC186" s="471" t="e">
        <f t="shared" ca="1" si="497"/>
        <v>#VALUE!</v>
      </c>
      <c r="CD186" s="471" t="e">
        <f t="shared" ca="1" si="498"/>
        <v>#VALUE!</v>
      </c>
      <c r="CE186" s="471">
        <f t="shared" ca="1" si="499"/>
        <v>1.6143515171688332</v>
      </c>
      <c r="CF186" s="471" t="e">
        <f t="shared" ca="1" si="500"/>
        <v>#VALUE!</v>
      </c>
      <c r="CG186" s="471" t="str">
        <f t="shared" ca="1" si="501"/>
        <v>O.K</v>
      </c>
      <c r="CH186" s="471" t="e">
        <f t="shared" ca="1" si="502"/>
        <v>#VALUE!</v>
      </c>
      <c r="CI186" s="471" t="str">
        <f t="shared" ca="1" si="503"/>
        <v>OK</v>
      </c>
      <c r="CJ186" s="471" t="e">
        <f t="shared" ca="1" si="504"/>
        <v>#VALUE!</v>
      </c>
      <c r="CK186" s="468">
        <f t="shared" si="505"/>
        <v>0</v>
      </c>
      <c r="CL186" s="482" t="s">
        <v>2507</v>
      </c>
      <c r="CM186" s="482"/>
      <c r="CN186" s="63" t="str">
        <f t="shared" si="506"/>
        <v xml:space="preserve"> </v>
      </c>
      <c r="CO186" s="498">
        <f t="shared" si="511"/>
        <v>29.04</v>
      </c>
      <c r="CP186" s="472">
        <f t="shared" si="512"/>
        <v>7.0592286501375848E-2</v>
      </c>
      <c r="CQ186" s="482" t="s">
        <v>2508</v>
      </c>
      <c r="CR186" s="204">
        <f t="shared" si="507"/>
        <v>29.04</v>
      </c>
      <c r="CS186" s="486">
        <v>1.2</v>
      </c>
      <c r="CT186" s="486">
        <v>1.2</v>
      </c>
      <c r="CU186" s="23">
        <f t="shared" si="508"/>
        <v>29.114395064984603</v>
      </c>
      <c r="CV186" s="499" t="s">
        <v>2509</v>
      </c>
      <c r="CW186" s="488" t="str">
        <f t="shared" ca="1" si="509"/>
        <v>E2</v>
      </c>
      <c r="CX186" s="204">
        <f ca="1">IF(AND(L186="",H186=""),"",IF(AND(BA186&lt;&gt;4,BA186&lt;&gt;5),VLOOKUP(AY186,'TABLA (2)'!$A$9:$D$43,4),IF(BA186=4,VLOOKUP(AY186,'TABLA (2)'!$A$74:$D$89,4),VLOOKUP(AY186,'TABLA (2)'!$A$51:$D$66,4))))</f>
        <v>4.7E-2</v>
      </c>
      <c r="CY186" s="482"/>
      <c r="CZ186" s="482"/>
      <c r="DA186" s="482"/>
      <c r="DB186" s="490"/>
    </row>
    <row r="187" spans="1:106" ht="15" hidden="1" customHeight="1">
      <c r="A187" s="465">
        <f t="shared" si="510"/>
        <v>117</v>
      </c>
      <c r="B187" s="491"/>
      <c r="C187" s="466" t="s">
        <v>2216</v>
      </c>
      <c r="D187" s="466" t="s">
        <v>2217</v>
      </c>
      <c r="E187" s="468">
        <v>0.11086793130000001</v>
      </c>
      <c r="F187" s="468"/>
      <c r="G187" s="468">
        <f t="shared" si="442"/>
        <v>9.533571607999999</v>
      </c>
      <c r="H187" s="468">
        <f t="shared" si="443"/>
        <v>9.6444395392999986</v>
      </c>
      <c r="I187" s="468">
        <v>0.11086793130000001</v>
      </c>
      <c r="J187" s="468"/>
      <c r="K187" s="467">
        <f t="shared" ca="1" si="444"/>
        <v>9.533571607999999</v>
      </c>
      <c r="L187" s="468">
        <f t="shared" ca="1" si="445"/>
        <v>9.6444395392999986</v>
      </c>
      <c r="M187" s="469">
        <f t="shared" si="446"/>
        <v>242.33666300502347</v>
      </c>
      <c r="N187" s="470">
        <f t="shared" si="447"/>
        <v>26.867364505512196</v>
      </c>
      <c r="O187" s="470">
        <f t="shared" si="448"/>
        <v>0</v>
      </c>
      <c r="P187" s="470">
        <f t="shared" si="449"/>
        <v>2337.2012945076676</v>
      </c>
      <c r="Q187" s="469">
        <v>140</v>
      </c>
      <c r="R187" s="471">
        <f t="shared" si="450"/>
        <v>3.2190619681297736</v>
      </c>
      <c r="S187" s="471"/>
      <c r="T187" s="471"/>
      <c r="U187" s="471">
        <f t="shared" si="451"/>
        <v>0</v>
      </c>
      <c r="V187" s="471"/>
      <c r="W187" s="471"/>
      <c r="X187" s="471">
        <f t="shared" si="452"/>
        <v>0</v>
      </c>
      <c r="Y187" s="471">
        <f t="shared" si="453"/>
        <v>1.9288879078599999</v>
      </c>
      <c r="Z187" s="471">
        <f t="shared" ca="1" si="454"/>
        <v>0</v>
      </c>
      <c r="AA187" s="471">
        <f t="shared" si="362"/>
        <v>3.7086635156148966</v>
      </c>
      <c r="AB187" s="471">
        <f t="shared" si="455"/>
        <v>11.938417675706374</v>
      </c>
      <c r="AC187" s="471">
        <f t="shared" si="456"/>
        <v>3.7004819168471662E-2</v>
      </c>
      <c r="AD187" s="471">
        <f t="shared" si="457"/>
        <v>2.2173586260000003E-2</v>
      </c>
      <c r="AE187" s="471">
        <f t="shared" si="458"/>
        <v>0</v>
      </c>
      <c r="AF187" s="510">
        <f t="shared" si="361"/>
        <v>3.8</v>
      </c>
      <c r="AG187" s="471">
        <f t="shared" si="459"/>
        <v>0.1406183128401923</v>
      </c>
      <c r="AH187" s="471">
        <f t="shared" si="460"/>
        <v>0.16279189910019232</v>
      </c>
      <c r="AI187" s="471">
        <f t="shared" ca="1" si="461"/>
        <v>13.867305583566374</v>
      </c>
      <c r="AJ187" s="471">
        <f t="shared" si="462"/>
        <v>0.75</v>
      </c>
      <c r="AK187" s="472">
        <f t="shared" si="463"/>
        <v>5.7785732549219919E-2</v>
      </c>
      <c r="AL187" s="471">
        <f t="shared" si="464"/>
        <v>0.63038928662746108</v>
      </c>
      <c r="AM187" s="473">
        <f t="shared" si="465"/>
        <v>323.3442655263591</v>
      </c>
      <c r="AN187" s="474">
        <f t="shared" si="466"/>
        <v>11.140805555555556</v>
      </c>
      <c r="AO187" s="474">
        <f t="shared" si="467"/>
        <v>0.21727777777777776</v>
      </c>
      <c r="AP187" s="474">
        <f t="shared" si="468"/>
        <v>11.358083333333333</v>
      </c>
      <c r="AQ187" s="475">
        <v>3</v>
      </c>
      <c r="AR187" s="474">
        <f t="shared" ca="1" si="469"/>
        <v>0.1150727415322173</v>
      </c>
      <c r="AS187" s="474">
        <f t="shared" ca="1" si="470"/>
        <v>1.8881776421129739</v>
      </c>
      <c r="AT187" s="471" t="str">
        <f t="shared" ca="1" si="471"/>
        <v>Aumentar vel.</v>
      </c>
      <c r="AU187" s="492">
        <f t="shared" si="472"/>
        <v>22.598516529959987</v>
      </c>
      <c r="AV187" s="471">
        <f t="shared" ca="1" si="473"/>
        <v>1965.8527384380868</v>
      </c>
      <c r="AW187" s="510">
        <f t="shared" ca="1" si="403"/>
        <v>1965.85</v>
      </c>
      <c r="AX187" s="478">
        <f>IF(OR(C187="",D187=""),"",ROUND(((VLOOKUP(C187,'Base de Diseño (2)'!$A$2:$C$333,2,FALSE)-VLOOKUP(D187,'Base de Diseño (2)'!$A$2:$C$333,2,FALSE))^2+(VLOOKUP(C187,'Base de Diseño (2)'!$A$2:$C$333,3,0)-VLOOKUP(D187,'Base de Diseño (2)'!$A$2:$C$333,3,FALSE))^2)^0.5,2))</f>
        <v>39.11</v>
      </c>
      <c r="AY187" s="493">
        <v>30</v>
      </c>
      <c r="AZ187" s="480">
        <f ca="1">IF(AND(L187="",H187=""),"",IF(BA187=4,VLOOKUP(AY187,'TABLA (2)'!$A$74:$C$89,2),IF(BA187=5,VLOOKUP(AY187,'TABLA (2)'!$A$51:$B$66,2),IF(BA187=6,VLOOKUP(AY187,'TABLA (2)'!$A$9:$B$43,2)))))</f>
        <v>750</v>
      </c>
      <c r="BA187" s="493">
        <v>6</v>
      </c>
      <c r="BB187" s="478">
        <f>IF(OR(C187="",D187=""),"",VLOOKUP(C187,'Base de Diseño (2)'!$A$2:$D$330,4,FALSE))</f>
        <v>982.99160000000006</v>
      </c>
      <c r="BC187" s="478">
        <f>IF(OR(C187="",D187=""),"",VLOOKUP(D187,'Base de Diseño (2)'!$A$2:$D$330,4,FALSE))</f>
        <v>980.73160000000007</v>
      </c>
      <c r="BD187" s="23">
        <f t="shared" ca="1" si="474"/>
        <v>1.34499999999995</v>
      </c>
      <c r="BE187" s="23">
        <f t="shared" ca="1" si="475"/>
        <v>1.1749999999999909</v>
      </c>
      <c r="BF187" s="494">
        <v>2.17999999999995</v>
      </c>
      <c r="BG187" s="494">
        <v>2.0099999999999909</v>
      </c>
      <c r="BH187" s="495">
        <f t="shared" si="476"/>
        <v>980.81160000000011</v>
      </c>
      <c r="BI187" s="495">
        <f t="shared" si="477"/>
        <v>978.72160000000008</v>
      </c>
      <c r="BJ187" s="468">
        <f t="shared" si="478"/>
        <v>0</v>
      </c>
      <c r="BK187" s="475">
        <f t="shared" si="479"/>
        <v>5.7785732549219917</v>
      </c>
      <c r="BL187" s="475">
        <f t="shared" si="480"/>
        <v>5.3439018153925639</v>
      </c>
      <c r="BM187" s="475">
        <f t="shared" ca="1" si="481"/>
        <v>5.8253237137143321</v>
      </c>
      <c r="BN187" s="475">
        <f t="shared" ca="1" si="482"/>
        <v>2573.5491820950974</v>
      </c>
      <c r="BO187" s="204">
        <f t="shared" ca="1" si="483"/>
        <v>5.3883973463748442E-3</v>
      </c>
      <c r="BP187" s="496">
        <f t="shared" ca="1" si="484"/>
        <v>0.76386727468702331</v>
      </c>
      <c r="BQ187" s="497">
        <f t="shared" ca="1" si="485"/>
        <v>0.23430101747819326</v>
      </c>
      <c r="BR187" s="497">
        <f t="shared" ca="1" si="486"/>
        <v>0.97239796528442402</v>
      </c>
      <c r="BS187" s="475">
        <f t="shared" ca="1" si="487"/>
        <v>1.3648792732631154</v>
      </c>
      <c r="BT187" s="475">
        <f t="shared" ca="1" si="488"/>
        <v>5.6645329263389215</v>
      </c>
      <c r="BU187" s="475">
        <f t="shared" ca="1" si="489"/>
        <v>4.5783780658658402E-2</v>
      </c>
      <c r="BV187" s="475">
        <f t="shared" ca="1" si="490"/>
        <v>0.73424484981681104</v>
      </c>
      <c r="BW187" s="475">
        <f t="shared" ca="1" si="491"/>
        <v>0.86255508118122481</v>
      </c>
      <c r="BX187" s="475">
        <f t="shared" ca="1" si="492"/>
        <v>4.1167536337762538</v>
      </c>
      <c r="BY187" s="475">
        <f t="shared" ca="1" si="493"/>
        <v>2.9867067453041185E-2</v>
      </c>
      <c r="BZ187" s="475">
        <f t="shared" ca="1" si="494"/>
        <v>0.30026972027110649</v>
      </c>
      <c r="CA187" s="471">
        <f t="shared" ca="1" si="495"/>
        <v>2.2400300589780889E-2</v>
      </c>
      <c r="CB187" s="471">
        <f t="shared" ca="1" si="496"/>
        <v>0.22520229020332985</v>
      </c>
      <c r="CC187" s="471">
        <f t="shared" ca="1" si="497"/>
        <v>2.496757752527305</v>
      </c>
      <c r="CD187" s="471" t="str">
        <f t="shared" ca="1" si="498"/>
        <v>F. Supercrítico</v>
      </c>
      <c r="CE187" s="471">
        <f t="shared" ca="1" si="499"/>
        <v>1.1970500698706921</v>
      </c>
      <c r="CF187" s="471">
        <f t="shared" ca="1" si="500"/>
        <v>12.034589274481373</v>
      </c>
      <c r="CG187" s="471" t="str">
        <f t="shared" ca="1" si="501"/>
        <v>O.K</v>
      </c>
      <c r="CH187" s="471" t="str">
        <f t="shared" ca="1" si="502"/>
        <v>O.K</v>
      </c>
      <c r="CI187" s="471" t="str">
        <f t="shared" ca="1" si="503"/>
        <v>OK</v>
      </c>
      <c r="CJ187" s="471" t="str">
        <f t="shared" ca="1" si="504"/>
        <v>OK</v>
      </c>
      <c r="CK187" s="468">
        <f t="shared" si="505"/>
        <v>0</v>
      </c>
      <c r="CL187" s="482" t="s">
        <v>2507</v>
      </c>
      <c r="CM187" s="482"/>
      <c r="CN187" s="63" t="str">
        <f t="shared" si="506"/>
        <v xml:space="preserve"> </v>
      </c>
      <c r="CO187" s="498">
        <f t="shared" si="511"/>
        <v>39.11</v>
      </c>
      <c r="CP187" s="472">
        <f t="shared" si="512"/>
        <v>5.7785732549219919E-2</v>
      </c>
      <c r="CQ187" s="482" t="s">
        <v>2508</v>
      </c>
      <c r="CR187" s="204">
        <f t="shared" si="507"/>
        <v>39.11</v>
      </c>
      <c r="CS187" s="486">
        <v>1.2</v>
      </c>
      <c r="CT187" s="486">
        <v>1.2</v>
      </c>
      <c r="CU187" s="23">
        <f t="shared" si="508"/>
        <v>39.165803962130028</v>
      </c>
      <c r="CV187" s="499" t="s">
        <v>2509</v>
      </c>
      <c r="CW187" s="488" t="str">
        <f t="shared" ca="1" si="509"/>
        <v>E2</v>
      </c>
      <c r="CX187" s="204">
        <f ca="1">IF(AND(L187="",H187=""),"",IF(AND(BA187&lt;&gt;4,BA187&lt;&gt;5),VLOOKUP(AY187,'TABLA (2)'!$A$9:$D$43,4),IF(BA187=4,VLOOKUP(AY187,'TABLA (2)'!$A$74:$D$89,4),VLOOKUP(AY187,'TABLA (2)'!$A$51:$D$66,4))))</f>
        <v>8.5000000000000006E-2</v>
      </c>
      <c r="CY187" s="482"/>
      <c r="CZ187" s="482"/>
      <c r="DA187" s="482"/>
      <c r="DB187" s="490"/>
    </row>
    <row r="188" spans="1:106" ht="15" hidden="1" customHeight="1">
      <c r="A188" s="465">
        <f t="shared" si="510"/>
        <v>118</v>
      </c>
      <c r="B188" s="491"/>
      <c r="C188" s="466" t="s">
        <v>2217</v>
      </c>
      <c r="D188" s="466" t="s">
        <v>2218</v>
      </c>
      <c r="E188" s="468">
        <v>0.1044222442</v>
      </c>
      <c r="F188" s="468"/>
      <c r="G188" s="468">
        <f t="shared" si="442"/>
        <v>9.717607930299998</v>
      </c>
      <c r="H188" s="468">
        <f t="shared" si="443"/>
        <v>9.8220301744999983</v>
      </c>
      <c r="I188" s="468">
        <v>0.1044222442</v>
      </c>
      <c r="J188" s="468"/>
      <c r="K188" s="467">
        <f t="shared" ca="1" si="444"/>
        <v>9.717607930299998</v>
      </c>
      <c r="L188" s="468">
        <f t="shared" ca="1" si="445"/>
        <v>9.8220301744999983</v>
      </c>
      <c r="M188" s="469">
        <f t="shared" si="446"/>
        <v>242.33666300502347</v>
      </c>
      <c r="N188" s="470">
        <f t="shared" si="447"/>
        <v>25.305338202923668</v>
      </c>
      <c r="O188" s="470">
        <f t="shared" si="448"/>
        <v>0</v>
      </c>
      <c r="P188" s="470">
        <f t="shared" si="449"/>
        <v>2380.238016422978</v>
      </c>
      <c r="Q188" s="469">
        <v>140</v>
      </c>
      <c r="R188" s="471">
        <f t="shared" si="450"/>
        <v>3.278337082804796</v>
      </c>
      <c r="S188" s="471"/>
      <c r="T188" s="471"/>
      <c r="U188" s="471">
        <f t="shared" si="451"/>
        <v>0</v>
      </c>
      <c r="V188" s="471"/>
      <c r="W188" s="471"/>
      <c r="X188" s="471">
        <f t="shared" si="452"/>
        <v>0</v>
      </c>
      <c r="Y188" s="471">
        <f t="shared" si="453"/>
        <v>1.9644060348999997</v>
      </c>
      <c r="Z188" s="471">
        <f t="shared" ca="1" si="454"/>
        <v>0</v>
      </c>
      <c r="AA188" s="471">
        <f t="shared" si="362"/>
        <v>3.6974333301124802</v>
      </c>
      <c r="AB188" s="471">
        <f t="shared" si="455"/>
        <v>12.12143279730617</v>
      </c>
      <c r="AC188" s="471">
        <f t="shared" si="456"/>
        <v>3.4853417200786066E-2</v>
      </c>
      <c r="AD188" s="471">
        <f t="shared" si="457"/>
        <v>2.088444884E-2</v>
      </c>
      <c r="AE188" s="471">
        <f t="shared" si="458"/>
        <v>0</v>
      </c>
      <c r="AF188" s="510">
        <f t="shared" si="361"/>
        <v>3.8</v>
      </c>
      <c r="AG188" s="471">
        <f t="shared" si="459"/>
        <v>0.13244298536298704</v>
      </c>
      <c r="AH188" s="471">
        <f t="shared" si="460"/>
        <v>0.15332743420298706</v>
      </c>
      <c r="AI188" s="471">
        <f t="shared" ca="1" si="461"/>
        <v>14.08583883220617</v>
      </c>
      <c r="AJ188" s="471">
        <f t="shared" si="462"/>
        <v>0.75</v>
      </c>
      <c r="AK188" s="472">
        <f t="shared" si="463"/>
        <v>2.4761077324068202E-2</v>
      </c>
      <c r="AL188" s="471">
        <f t="shared" si="464"/>
        <v>0.62873805386620352</v>
      </c>
      <c r="AM188" s="473">
        <f t="shared" si="465"/>
        <v>322.1711205199465</v>
      </c>
      <c r="AN188" s="474">
        <f t="shared" si="466"/>
        <v>11.358083333333333</v>
      </c>
      <c r="AO188" s="474">
        <f t="shared" si="467"/>
        <v>0.12788888888888889</v>
      </c>
      <c r="AP188" s="474">
        <f t="shared" si="468"/>
        <v>11.485972222222221</v>
      </c>
      <c r="AQ188" s="475">
        <v>3</v>
      </c>
      <c r="AR188" s="474">
        <f t="shared" ca="1" si="469"/>
        <v>0.10057692117734307</v>
      </c>
      <c r="AS188" s="474">
        <f t="shared" ca="1" si="470"/>
        <v>1.2715530301766522</v>
      </c>
      <c r="AT188" s="471" t="str">
        <f t="shared" ca="1" si="471"/>
        <v>Aumentar vel.</v>
      </c>
      <c r="AU188" s="492">
        <f t="shared" si="472"/>
        <v>21.151899616210816</v>
      </c>
      <c r="AV188" s="471">
        <f t="shared" ca="1" si="473"/>
        <v>1989.5626441479753</v>
      </c>
      <c r="AW188" s="510">
        <f t="shared" ca="1" si="403"/>
        <v>1989.56</v>
      </c>
      <c r="AX188" s="478">
        <f>IF(OR(C188="",D188=""),"",ROUND(((VLOOKUP(C188,'Base de Diseño (2)'!$A$2:$C$333,2,FALSE)-VLOOKUP(D188,'Base de Diseño (2)'!$A$2:$C$333,2,FALSE))^2+(VLOOKUP(C188,'Base de Diseño (2)'!$A$2:$C$333,3,0)-VLOOKUP(D188,'Base de Diseño (2)'!$A$2:$C$333,3,FALSE))^2)^0.5,2))</f>
        <v>23.02</v>
      </c>
      <c r="AY188" s="493">
        <v>30</v>
      </c>
      <c r="AZ188" s="480">
        <f ca="1">IF(AND(L188="",H188=""),"",IF(BA188=4,VLOOKUP(AY188,'TABLA (2)'!$A$74:$C$89,2),IF(BA188=5,VLOOKUP(AY188,'TABLA (2)'!$A$51:$B$66,2),IF(BA188=6,VLOOKUP(AY188,'TABLA (2)'!$A$9:$B$43,2)))))</f>
        <v>750</v>
      </c>
      <c r="BA188" s="493">
        <v>6</v>
      </c>
      <c r="BB188" s="478">
        <f>IF(OR(C188="",D188=""),"",VLOOKUP(C188,'Base de Diseño (2)'!$A$2:$D$330,4,FALSE))</f>
        <v>980.73160000000007</v>
      </c>
      <c r="BC188" s="478">
        <f>IF(OR(C188="",D188=""),"",VLOOKUP(D188,'Base de Diseño (2)'!$A$2:$D$330,4,FALSE))</f>
        <v>980.16160000000002</v>
      </c>
      <c r="BD188" s="23">
        <f t="shared" ca="1" si="474"/>
        <v>1.1749999999999909</v>
      </c>
      <c r="BE188" s="23">
        <f t="shared" ca="1" si="475"/>
        <v>1.0050000000000319</v>
      </c>
      <c r="BF188" s="494">
        <v>2.0099999999999909</v>
      </c>
      <c r="BG188" s="494">
        <v>1.8400000000000318</v>
      </c>
      <c r="BH188" s="495">
        <f t="shared" si="476"/>
        <v>978.72160000000008</v>
      </c>
      <c r="BI188" s="495">
        <f t="shared" si="477"/>
        <v>978.32159999999999</v>
      </c>
      <c r="BJ188" s="468">
        <f t="shared" si="478"/>
        <v>0</v>
      </c>
      <c r="BK188" s="475">
        <f t="shared" si="479"/>
        <v>2.4761077324068204</v>
      </c>
      <c r="BL188" s="475">
        <f t="shared" si="480"/>
        <v>1.7376194613383622</v>
      </c>
      <c r="BM188" s="475">
        <f t="shared" ca="1" si="481"/>
        <v>3.3217593421018634</v>
      </c>
      <c r="BN188" s="475">
        <f t="shared" ca="1" si="482"/>
        <v>1467.5083236760047</v>
      </c>
      <c r="BO188" s="204">
        <f t="shared" ca="1" si="483"/>
        <v>9.5984728706152329E-3</v>
      </c>
      <c r="BP188" s="496">
        <f t="shared" ca="1" si="484"/>
        <v>1.355740180755018</v>
      </c>
      <c r="BQ188" s="497">
        <f t="shared" ca="1" si="485"/>
        <v>0.2771581878641376</v>
      </c>
      <c r="BR188" s="497">
        <f t="shared" ca="1" si="486"/>
        <v>1.1483851470456641</v>
      </c>
      <c r="BS188" s="475">
        <f t="shared" ca="1" si="487"/>
        <v>0.92065279977772241</v>
      </c>
      <c r="BT188" s="475">
        <f t="shared" ca="1" si="488"/>
        <v>3.8146590905299567</v>
      </c>
      <c r="BU188" s="475">
        <f t="shared" ca="1" si="489"/>
        <v>8.3023243140479541E-2</v>
      </c>
      <c r="BV188" s="475" t="str">
        <f t="shared" ca="1" si="490"/>
        <v xml:space="preserve"> </v>
      </c>
      <c r="BW188" s="475">
        <f t="shared" ca="1" si="491"/>
        <v>1.169125288496599</v>
      </c>
      <c r="BX188" s="475" t="e">
        <f t="shared" ca="1" si="492"/>
        <v>#VALUE!</v>
      </c>
      <c r="BY188" s="475">
        <f t="shared" ca="1" si="493"/>
        <v>5.3184272800551213E-2</v>
      </c>
      <c r="BZ188" s="475" t="e">
        <f t="shared" ca="1" si="494"/>
        <v>#VALUE!</v>
      </c>
      <c r="CA188" s="471">
        <f t="shared" ca="1" si="495"/>
        <v>3.988820460041341E-2</v>
      </c>
      <c r="CB188" s="471" t="e">
        <f t="shared" ca="1" si="496"/>
        <v>#VALUE!</v>
      </c>
      <c r="CC188" s="471" t="e">
        <f t="shared" ca="1" si="497"/>
        <v>#VALUE!</v>
      </c>
      <c r="CD188" s="471" t="e">
        <f t="shared" ca="1" si="498"/>
        <v>#VALUE!</v>
      </c>
      <c r="CE188" s="471">
        <f t="shared" ca="1" si="499"/>
        <v>0.69310520591524738</v>
      </c>
      <c r="CF188" s="471" t="e">
        <f t="shared" ca="1" si="500"/>
        <v>#VALUE!</v>
      </c>
      <c r="CG188" s="471" t="str">
        <f t="shared" ca="1" si="501"/>
        <v>O.K</v>
      </c>
      <c r="CH188" s="471" t="str">
        <f t="shared" ca="1" si="502"/>
        <v>O.K</v>
      </c>
      <c r="CI188" s="471" t="str">
        <f t="shared" ca="1" si="503"/>
        <v>OK</v>
      </c>
      <c r="CJ188" s="471" t="e">
        <f t="shared" ca="1" si="504"/>
        <v>#VALUE!</v>
      </c>
      <c r="CK188" s="468">
        <f t="shared" si="505"/>
        <v>0</v>
      </c>
      <c r="CL188" s="482" t="s">
        <v>2507</v>
      </c>
      <c r="CM188" s="482"/>
      <c r="CN188" s="63" t="str">
        <f t="shared" si="506"/>
        <v xml:space="preserve"> </v>
      </c>
      <c r="CO188" s="498">
        <f t="shared" si="511"/>
        <v>23.02</v>
      </c>
      <c r="CP188" s="472">
        <f t="shared" si="512"/>
        <v>2.4761077324068202E-2</v>
      </c>
      <c r="CQ188" s="482" t="s">
        <v>2508</v>
      </c>
      <c r="CR188" s="204">
        <f t="shared" si="507"/>
        <v>23.02</v>
      </c>
      <c r="CS188" s="486">
        <v>1.2</v>
      </c>
      <c r="CT188" s="486">
        <v>1.2</v>
      </c>
      <c r="CU188" s="23">
        <f t="shared" si="508"/>
        <v>23.023474976640692</v>
      </c>
      <c r="CV188" s="499" t="s">
        <v>2509</v>
      </c>
      <c r="CW188" s="488" t="str">
        <f t="shared" ca="1" si="509"/>
        <v>E2</v>
      </c>
      <c r="CX188" s="204">
        <f ca="1">IF(AND(L188="",H188=""),"",IF(AND(BA188&lt;&gt;4,BA188&lt;&gt;5),VLOOKUP(AY188,'TABLA (2)'!$A$9:$D$43,4),IF(BA188=4,VLOOKUP(AY188,'TABLA (2)'!$A$74:$D$89,4),VLOOKUP(AY188,'TABLA (2)'!$A$51:$D$66,4))))</f>
        <v>8.5000000000000006E-2</v>
      </c>
      <c r="CY188" s="482"/>
      <c r="CZ188" s="482"/>
      <c r="DA188" s="482"/>
      <c r="DB188" s="490"/>
    </row>
    <row r="189" spans="1:106" ht="15" hidden="1" customHeight="1">
      <c r="A189" s="465">
        <f t="shared" si="510"/>
        <v>119</v>
      </c>
      <c r="B189" s="491"/>
      <c r="C189" s="466" t="s">
        <v>2218</v>
      </c>
      <c r="D189" s="466" t="s">
        <v>2219</v>
      </c>
      <c r="E189" s="468">
        <v>0.21364585630000002</v>
      </c>
      <c r="F189" s="468"/>
      <c r="G189" s="468">
        <f t="shared" si="442"/>
        <v>9.8220301744999983</v>
      </c>
      <c r="H189" s="468">
        <f t="shared" si="443"/>
        <v>10.035676030799998</v>
      </c>
      <c r="I189" s="468">
        <v>0.21364585630000002</v>
      </c>
      <c r="J189" s="468"/>
      <c r="K189" s="467">
        <f t="shared" ca="1" si="444"/>
        <v>9.8220301744999983</v>
      </c>
      <c r="L189" s="468">
        <f t="shared" ca="1" si="445"/>
        <v>10.035676030799998</v>
      </c>
      <c r="M189" s="469">
        <f t="shared" si="446"/>
        <v>242.33666300502347</v>
      </c>
      <c r="N189" s="470">
        <f t="shared" si="447"/>
        <v>51.774223880592771</v>
      </c>
      <c r="O189" s="470">
        <f t="shared" si="448"/>
        <v>0</v>
      </c>
      <c r="P189" s="470">
        <f t="shared" si="449"/>
        <v>2432.0122403035707</v>
      </c>
      <c r="Q189" s="469">
        <v>140</v>
      </c>
      <c r="R189" s="471">
        <f t="shared" si="450"/>
        <v>3.3496464883810746</v>
      </c>
      <c r="S189" s="471"/>
      <c r="T189" s="471"/>
      <c r="U189" s="471">
        <f t="shared" si="451"/>
        <v>0</v>
      </c>
      <c r="V189" s="471"/>
      <c r="W189" s="471"/>
      <c r="X189" s="471">
        <f t="shared" si="452"/>
        <v>0</v>
      </c>
      <c r="Y189" s="471">
        <f t="shared" si="453"/>
        <v>2.0071352061599996</v>
      </c>
      <c r="Z189" s="471">
        <f t="shared" ca="1" si="454"/>
        <v>0</v>
      </c>
      <c r="AA189" s="471">
        <f t="shared" si="362"/>
        <v>3.6840459304508255</v>
      </c>
      <c r="AB189" s="471">
        <f t="shared" si="455"/>
        <v>12.340251513969196</v>
      </c>
      <c r="AC189" s="471">
        <f t="shared" si="456"/>
        <v>7.1309405576279392E-2</v>
      </c>
      <c r="AD189" s="471">
        <f t="shared" si="457"/>
        <v>4.2729171260000004E-2</v>
      </c>
      <c r="AE189" s="471">
        <f t="shared" si="458"/>
        <v>0</v>
      </c>
      <c r="AF189" s="510">
        <f t="shared" si="361"/>
        <v>3.8</v>
      </c>
      <c r="AG189" s="471">
        <f t="shared" si="459"/>
        <v>0.27097574118986167</v>
      </c>
      <c r="AH189" s="471">
        <f t="shared" si="460"/>
        <v>0.31370491244986165</v>
      </c>
      <c r="AI189" s="471">
        <f t="shared" ca="1" si="461"/>
        <v>14.347386720129196</v>
      </c>
      <c r="AJ189" s="471">
        <f t="shared" si="462"/>
        <v>0.75</v>
      </c>
      <c r="AK189" s="472">
        <f t="shared" si="463"/>
        <v>6.9600441907567159E-2</v>
      </c>
      <c r="AL189" s="471">
        <f t="shared" si="464"/>
        <v>0.6309800220953784</v>
      </c>
      <c r="AM189" s="473">
        <f t="shared" si="465"/>
        <v>319.43543116109464</v>
      </c>
      <c r="AN189" s="474">
        <f t="shared" si="466"/>
        <v>11.485972222222221</v>
      </c>
      <c r="AO189" s="474">
        <f t="shared" si="467"/>
        <v>0.30172222222222222</v>
      </c>
      <c r="AP189" s="474">
        <f t="shared" si="468"/>
        <v>11.787694444444444</v>
      </c>
      <c r="AQ189" s="475">
        <v>3</v>
      </c>
      <c r="AR189" s="474">
        <f t="shared" ca="1" si="469"/>
        <v>0.12363992889562865</v>
      </c>
      <c r="AS189" s="474">
        <f t="shared" ca="1" si="470"/>
        <v>2.4403299558423619</v>
      </c>
      <c r="AT189" s="471" t="str">
        <f t="shared" ca="1" si="471"/>
        <v>Aumentar vel.</v>
      </c>
      <c r="AU189" s="492">
        <f t="shared" si="472"/>
        <v>43.06189806349316</v>
      </c>
      <c r="AV189" s="471">
        <f t="shared" ca="1" si="473"/>
        <v>2022.7645212539101</v>
      </c>
      <c r="AW189" s="510">
        <f t="shared" ca="1" si="403"/>
        <v>2022.76</v>
      </c>
      <c r="AX189" s="478">
        <f>IF(OR(C189="",D189=""),"",ROUND(((VLOOKUP(C189,'Base de Diseño (2)'!$A$2:$C$333,2,FALSE)-VLOOKUP(D189,'Base de Diseño (2)'!$A$2:$C$333,2,FALSE))^2+(VLOOKUP(C189,'Base de Diseño (2)'!$A$2:$C$333,3,0)-VLOOKUP(D189,'Base de Diseño (2)'!$A$2:$C$333,3,FALSE))^2)^0.5,2))</f>
        <v>54.31</v>
      </c>
      <c r="AY189" s="493">
        <v>30</v>
      </c>
      <c r="AZ189" s="480">
        <f ca="1">IF(AND(L189="",H189=""),"",IF(BA189=4,VLOOKUP(AY189,'TABLA (2)'!$A$74:$C$89,2),IF(BA189=5,VLOOKUP(AY189,'TABLA (2)'!$A$51:$B$66,2),IF(BA189=6,VLOOKUP(AY189,'TABLA (2)'!$A$9:$B$43,2)))))</f>
        <v>750</v>
      </c>
      <c r="BA189" s="493">
        <v>6</v>
      </c>
      <c r="BB189" s="478">
        <f>IF(OR(C189="",D189=""),"",VLOOKUP(C189,'Base de Diseño (2)'!$A$2:$D$330,4,FALSE))</f>
        <v>980.16160000000002</v>
      </c>
      <c r="BC189" s="478">
        <f>IF(OR(C189="",D189=""),"",VLOOKUP(D189,'Base de Diseño (2)'!$A$2:$D$330,4,FALSE))</f>
        <v>976.38160000000005</v>
      </c>
      <c r="BD189" s="23">
        <f t="shared" ca="1" si="474"/>
        <v>1.0050000000000319</v>
      </c>
      <c r="BE189" s="23">
        <f t="shared" ca="1" si="475"/>
        <v>3.0649999999999773</v>
      </c>
      <c r="BF189" s="494">
        <v>1.8400000000000318</v>
      </c>
      <c r="BG189" s="494">
        <v>3.8999999999999773</v>
      </c>
      <c r="BH189" s="495">
        <f t="shared" si="476"/>
        <v>978.32159999999999</v>
      </c>
      <c r="BI189" s="495">
        <f t="shared" si="477"/>
        <v>972.48160000000007</v>
      </c>
      <c r="BJ189" s="468">
        <f t="shared" si="478"/>
        <v>0.86000000000001364</v>
      </c>
      <c r="BK189" s="475">
        <f t="shared" si="479"/>
        <v>6.9600441907567161</v>
      </c>
      <c r="BL189" s="475">
        <f t="shared" si="480"/>
        <v>10.753084146565858</v>
      </c>
      <c r="BM189" s="475">
        <f t="shared" ca="1" si="481"/>
        <v>8.2633728940579765</v>
      </c>
      <c r="BN189" s="475">
        <f t="shared" ca="1" si="482"/>
        <v>3650.646315634533</v>
      </c>
      <c r="BO189" s="204">
        <f t="shared" ca="1" si="483"/>
        <v>3.9300949693987048E-3</v>
      </c>
      <c r="BP189" s="496">
        <f t="shared" ca="1" si="484"/>
        <v>0.5540827089540763</v>
      </c>
      <c r="BQ189" s="497">
        <f t="shared" ca="1" si="485"/>
        <v>0.21374578826433219</v>
      </c>
      <c r="BR189" s="497">
        <f t="shared" ca="1" si="486"/>
        <v>0.88595661376862955</v>
      </c>
      <c r="BS189" s="475">
        <f t="shared" ca="1" si="487"/>
        <v>1.7662611529625381</v>
      </c>
      <c r="BT189" s="475">
        <f t="shared" ca="1" si="488"/>
        <v>7.3209898675270857</v>
      </c>
      <c r="BU189" s="475">
        <f t="shared" ca="1" si="489"/>
        <v>2.5428586114225549E-2</v>
      </c>
      <c r="BV189" s="475">
        <f t="shared" ca="1" si="490"/>
        <v>0.59438847265452033</v>
      </c>
      <c r="BW189" s="475">
        <f t="shared" ca="1" si="491"/>
        <v>0.64058842382247727</v>
      </c>
      <c r="BX189" s="475">
        <f t="shared" ca="1" si="492"/>
        <v>3.5214257520490158</v>
      </c>
      <c r="BY189" s="475">
        <f t="shared" ca="1" si="493"/>
        <v>1.6750659248025768E-2</v>
      </c>
      <c r="BZ189" s="475">
        <f t="shared" ca="1" si="494"/>
        <v>0.27632211317200273</v>
      </c>
      <c r="CA189" s="471">
        <f t="shared" ca="1" si="495"/>
        <v>1.2562994436019326E-2</v>
      </c>
      <c r="CB189" s="471">
        <f t="shared" ca="1" si="496"/>
        <v>0.20724158487900204</v>
      </c>
      <c r="CC189" s="471">
        <f t="shared" ca="1" si="497"/>
        <v>3.8345353355750493</v>
      </c>
      <c r="CD189" s="471" t="str">
        <f t="shared" ca="1" si="498"/>
        <v>F. Supercrítico</v>
      </c>
      <c r="CE189" s="471">
        <f t="shared" ca="1" si="499"/>
        <v>1.3509093630335449</v>
      </c>
      <c r="CF189" s="471">
        <f t="shared" ca="1" si="500"/>
        <v>22.284862008715795</v>
      </c>
      <c r="CG189" s="471" t="str">
        <f t="shared" ca="1" si="501"/>
        <v>O.K</v>
      </c>
      <c r="CH189" s="471" t="str">
        <f t="shared" ca="1" si="502"/>
        <v>O.K</v>
      </c>
      <c r="CI189" s="471" t="str">
        <f t="shared" ca="1" si="503"/>
        <v>OK</v>
      </c>
      <c r="CJ189" s="471" t="str">
        <f t="shared" ca="1" si="504"/>
        <v>OK</v>
      </c>
      <c r="CK189" s="468">
        <f t="shared" si="505"/>
        <v>0.86000000000001364</v>
      </c>
      <c r="CL189" s="482" t="s">
        <v>2507</v>
      </c>
      <c r="CM189" s="482"/>
      <c r="CN189" s="63" t="str">
        <f t="shared" si="506"/>
        <v xml:space="preserve"> </v>
      </c>
      <c r="CO189" s="498">
        <f t="shared" si="511"/>
        <v>54.31</v>
      </c>
      <c r="CP189" s="472">
        <f t="shared" si="512"/>
        <v>6.9600441907567159E-2</v>
      </c>
      <c r="CQ189" s="482" t="s">
        <v>2508</v>
      </c>
      <c r="CR189" s="204">
        <f t="shared" si="507"/>
        <v>54.31</v>
      </c>
      <c r="CS189" s="486">
        <v>1.2</v>
      </c>
      <c r="CT189" s="486">
        <v>1.2</v>
      </c>
      <c r="CU189" s="23">
        <f t="shared" si="508"/>
        <v>54.623087609544733</v>
      </c>
      <c r="CV189" s="499" t="s">
        <v>2509</v>
      </c>
      <c r="CW189" s="488" t="str">
        <f t="shared" ca="1" si="509"/>
        <v>E2</v>
      </c>
      <c r="CX189" s="204">
        <f ca="1">IF(AND(L189="",H189=""),"",IF(AND(BA189&lt;&gt;4,BA189&lt;&gt;5),VLOOKUP(AY189,'TABLA (2)'!$A$9:$D$43,4),IF(BA189=4,VLOOKUP(AY189,'TABLA (2)'!$A$74:$D$89,4),VLOOKUP(AY189,'TABLA (2)'!$A$51:$D$66,4))))</f>
        <v>8.5000000000000006E-2</v>
      </c>
      <c r="CY189" s="482"/>
      <c r="CZ189" s="482"/>
      <c r="DA189" s="482"/>
      <c r="DB189" s="490"/>
    </row>
    <row r="190" spans="1:106" ht="15" hidden="1" customHeight="1">
      <c r="A190" s="465">
        <f t="shared" si="510"/>
        <v>120</v>
      </c>
      <c r="B190" s="491"/>
      <c r="C190" s="466" t="s">
        <v>2219</v>
      </c>
      <c r="D190" s="466" t="s">
        <v>2220</v>
      </c>
      <c r="E190" s="468"/>
      <c r="F190" s="468"/>
      <c r="G190" s="468">
        <f t="shared" si="442"/>
        <v>10.035676030799998</v>
      </c>
      <c r="H190" s="468">
        <f t="shared" si="443"/>
        <v>10.035676030799998</v>
      </c>
      <c r="I190" s="468"/>
      <c r="J190" s="468"/>
      <c r="K190" s="467">
        <f t="shared" ca="1" si="444"/>
        <v>10.035676030799998</v>
      </c>
      <c r="L190" s="468">
        <f t="shared" ca="1" si="445"/>
        <v>10.035676030799998</v>
      </c>
      <c r="M190" s="469">
        <f t="shared" si="446"/>
        <v>242.33666300502347</v>
      </c>
      <c r="N190" s="470">
        <f t="shared" si="447"/>
        <v>0</v>
      </c>
      <c r="O190" s="470">
        <f t="shared" si="448"/>
        <v>0</v>
      </c>
      <c r="P190" s="470">
        <f t="shared" si="449"/>
        <v>2432.0122403035707</v>
      </c>
      <c r="Q190" s="469">
        <v>140</v>
      </c>
      <c r="R190" s="471">
        <f t="shared" si="450"/>
        <v>3.3496464883810746</v>
      </c>
      <c r="S190" s="471"/>
      <c r="T190" s="471"/>
      <c r="U190" s="471">
        <f t="shared" si="451"/>
        <v>0</v>
      </c>
      <c r="V190" s="471"/>
      <c r="W190" s="471"/>
      <c r="X190" s="471">
        <f t="shared" si="452"/>
        <v>0</v>
      </c>
      <c r="Y190" s="471">
        <f t="shared" si="453"/>
        <v>2.0071352061599996</v>
      </c>
      <c r="Z190" s="471">
        <f t="shared" ca="1" si="454"/>
        <v>0</v>
      </c>
      <c r="AA190" s="471">
        <f t="shared" si="362"/>
        <v>3.6840459304508255</v>
      </c>
      <c r="AB190" s="471">
        <f t="shared" si="455"/>
        <v>12.340251513969196</v>
      </c>
      <c r="AC190" s="471">
        <f t="shared" si="456"/>
        <v>0</v>
      </c>
      <c r="AD190" s="471">
        <f t="shared" si="457"/>
        <v>0</v>
      </c>
      <c r="AE190" s="471">
        <f t="shared" si="458"/>
        <v>0</v>
      </c>
      <c r="AF190" s="510">
        <f t="shared" si="361"/>
        <v>3.8</v>
      </c>
      <c r="AG190" s="471">
        <f t="shared" si="459"/>
        <v>0</v>
      </c>
      <c r="AH190" s="471">
        <f t="shared" si="460"/>
        <v>0</v>
      </c>
      <c r="AI190" s="471">
        <f t="shared" ca="1" si="461"/>
        <v>14.347386720129196</v>
      </c>
      <c r="AJ190" s="471">
        <f t="shared" si="462"/>
        <v>0.75</v>
      </c>
      <c r="AK190" s="472">
        <f t="shared" si="463"/>
        <v>0.61467283542630979</v>
      </c>
      <c r="AL190" s="471">
        <f t="shared" si="464"/>
        <v>0.65823364177131549</v>
      </c>
      <c r="AM190" s="473">
        <f t="shared" si="465"/>
        <v>318.68121675347464</v>
      </c>
      <c r="AN190" s="474">
        <f t="shared" si="466"/>
        <v>11.787694444444444</v>
      </c>
      <c r="AO190" s="474">
        <f t="shared" si="467"/>
        <v>8.405555555555555E-2</v>
      </c>
      <c r="AP190" s="474">
        <f t="shared" si="468"/>
        <v>11.871749999999999</v>
      </c>
      <c r="AQ190" s="475">
        <v>3</v>
      </c>
      <c r="AR190" s="474">
        <f t="shared" ca="1" si="469"/>
        <v>2.1629034445139181E-2</v>
      </c>
      <c r="AS190" s="474">
        <f t="shared" ca="1" si="470"/>
        <v>3.8862370749261923</v>
      </c>
      <c r="AT190" s="471" t="str">
        <f t="shared" ca="1" si="471"/>
        <v>Aumentar vel.</v>
      </c>
      <c r="AU190" s="492">
        <f t="shared" si="472"/>
        <v>0</v>
      </c>
      <c r="AV190" s="471">
        <f t="shared" ca="1" si="473"/>
        <v>2105.1506218514796</v>
      </c>
      <c r="AW190" s="510">
        <f t="shared" ca="1" si="403"/>
        <v>2105.15</v>
      </c>
      <c r="AX190" s="478">
        <f>IF(OR(C190="",D190=""),"",ROUND(((VLOOKUP(C190,'Base de Diseño (2)'!$A$2:$C$333,2,FALSE)-VLOOKUP(D190,'Base de Diseño (2)'!$A$2:$C$333,2,FALSE))^2+(VLOOKUP(C190,'Base de Diseño (2)'!$A$2:$C$333,3,0)-VLOOKUP(D190,'Base de Diseño (2)'!$A$2:$C$333,3,FALSE))^2)^0.5,2))</f>
        <v>15.13</v>
      </c>
      <c r="AY190" s="493">
        <v>30</v>
      </c>
      <c r="AZ190" s="480">
        <f ca="1">IF(AND(L190="",H190=""),"",IF(BA190=4,VLOOKUP(AY190,'TABLA (2)'!$A$74:$C$89,2),IF(BA190=5,VLOOKUP(AY190,'TABLA (2)'!$A$51:$B$66,2),IF(BA190=6,VLOOKUP(AY190,'TABLA (2)'!$A$9:$B$43,2)))))</f>
        <v>750</v>
      </c>
      <c r="BA190" s="493">
        <v>6</v>
      </c>
      <c r="BB190" s="478">
        <f>IF(OR(C190="",D190=""),"",VLOOKUP(C190,'Base de Diseño (2)'!$A$2:$D$330,4,FALSE))</f>
        <v>976.38160000000005</v>
      </c>
      <c r="BC190" s="478">
        <f>IF(OR(C190="",D190=""),"",VLOOKUP(D190,'Base de Diseño (2)'!$A$2:$D$330,4,FALSE))</f>
        <v>967.08159999999998</v>
      </c>
      <c r="BD190" s="23">
        <f t="shared" ca="1" si="474"/>
        <v>3.9249999999999909</v>
      </c>
      <c r="BE190" s="23">
        <f t="shared" ca="1" si="475"/>
        <v>0.46499999999995456</v>
      </c>
      <c r="BF190" s="494">
        <v>4.7599999999999909</v>
      </c>
      <c r="BG190" s="494">
        <v>1.2999999999999545</v>
      </c>
      <c r="BH190" s="495">
        <f t="shared" si="476"/>
        <v>971.62160000000006</v>
      </c>
      <c r="BI190" s="495">
        <f t="shared" si="477"/>
        <v>965.78160000000003</v>
      </c>
      <c r="BJ190" s="468">
        <f t="shared" si="478"/>
        <v>0.56000000000005912</v>
      </c>
      <c r="BK190" s="475">
        <f t="shared" si="479"/>
        <v>61.46728354263098</v>
      </c>
      <c r="BL190" s="475">
        <f t="shared" si="480"/>
        <v>38.598810310641319</v>
      </c>
      <c r="BM190" s="475">
        <f t="shared" ca="1" si="481"/>
        <v>15.655890986070006</v>
      </c>
      <c r="BN190" s="475">
        <f t="shared" ca="1" si="482"/>
        <v>6916.5607650806523</v>
      </c>
      <c r="BO190" s="204">
        <f t="shared" ca="1" si="483"/>
        <v>2.0743527321503831E-3</v>
      </c>
      <c r="BP190" s="496">
        <f t="shared" ca="1" si="484"/>
        <v>0.30436369627925225</v>
      </c>
      <c r="BQ190" s="497">
        <f t="shared" ca="1" si="485"/>
        <v>0.17748146083834704</v>
      </c>
      <c r="BR190" s="497">
        <f t="shared" ca="1" si="486"/>
        <v>0.74468525842138511</v>
      </c>
      <c r="BS190" s="475">
        <f t="shared" ca="1" si="487"/>
        <v>2.7786304029336142</v>
      </c>
      <c r="BT190" s="475">
        <f t="shared" ca="1" si="488"/>
        <v>11.658711224778576</v>
      </c>
      <c r="BU190" s="475">
        <f t="shared" ca="1" si="489"/>
        <v>-1.5787844112724325E-2</v>
      </c>
      <c r="BV190" s="475">
        <f t="shared" ca="1" si="490"/>
        <v>0.42790913086298032</v>
      </c>
      <c r="BW190" s="475" t="e">
        <f t="shared" ca="1" si="491"/>
        <v>#NUM!</v>
      </c>
      <c r="BX190" s="475">
        <f t="shared" ca="1" si="492"/>
        <v>2.852220612084031</v>
      </c>
      <c r="BY190" s="475" t="e">
        <f t="shared" ca="1" si="493"/>
        <v>#NUM!</v>
      </c>
      <c r="BZ190" s="475">
        <f t="shared" ca="1" si="494"/>
        <v>0.22498874822531079</v>
      </c>
      <c r="CA190" s="471" t="e">
        <f t="shared" ca="1" si="495"/>
        <v>#NUM!</v>
      </c>
      <c r="CB190" s="471">
        <f t="shared" ca="1" si="496"/>
        <v>0.16874156116898309</v>
      </c>
      <c r="CC190" s="471">
        <f t="shared" ca="1" si="497"/>
        <v>7.5482728678988043</v>
      </c>
      <c r="CD190" s="471" t="str">
        <f t="shared" ca="1" si="498"/>
        <v>F. Supercrítico</v>
      </c>
      <c r="CE190" s="471" t="e">
        <f t="shared" ca="1" si="499"/>
        <v>#NUM!</v>
      </c>
      <c r="CF190" s="471">
        <f t="shared" ca="1" si="500"/>
        <v>65.132235110830564</v>
      </c>
      <c r="CG190" s="471" t="str">
        <f t="shared" ca="1" si="501"/>
        <v>O.K</v>
      </c>
      <c r="CH190" s="471" t="str">
        <f t="shared" ca="1" si="502"/>
        <v>No cumple</v>
      </c>
      <c r="CI190" s="471" t="e">
        <f t="shared" ca="1" si="503"/>
        <v>#NUM!</v>
      </c>
      <c r="CJ190" s="471" t="str">
        <f t="shared" ca="1" si="504"/>
        <v>OK</v>
      </c>
      <c r="CK190" s="468">
        <f t="shared" si="505"/>
        <v>0.56000000000005912</v>
      </c>
      <c r="CL190" s="482" t="s">
        <v>2507</v>
      </c>
      <c r="CM190" s="482"/>
      <c r="CN190" s="63" t="str">
        <f t="shared" si="506"/>
        <v xml:space="preserve"> </v>
      </c>
      <c r="CO190" s="498">
        <f t="shared" si="511"/>
        <v>15.13</v>
      </c>
      <c r="CP190" s="472">
        <f t="shared" si="512"/>
        <v>0.61467283542630979</v>
      </c>
      <c r="CQ190" s="482" t="s">
        <v>2508</v>
      </c>
      <c r="CR190" s="204">
        <f t="shared" si="507"/>
        <v>15.13</v>
      </c>
      <c r="CS190" s="486">
        <v>1.2</v>
      </c>
      <c r="CT190" s="486">
        <v>1.2</v>
      </c>
      <c r="CU190" s="23">
        <f t="shared" si="508"/>
        <v>16.217968430108638</v>
      </c>
      <c r="CV190" s="499" t="s">
        <v>2509</v>
      </c>
      <c r="CW190" s="488" t="str">
        <f t="shared" ca="1" si="509"/>
        <v>E3</v>
      </c>
      <c r="CX190" s="204">
        <f ca="1">IF(AND(L190="",H190=""),"",IF(AND(BA190&lt;&gt;4,BA190&lt;&gt;5),VLOOKUP(AY190,'TABLA (2)'!$A$9:$D$43,4),IF(BA190=4,VLOOKUP(AY190,'TABLA (2)'!$A$74:$D$89,4),VLOOKUP(AY190,'TABLA (2)'!$A$51:$D$66,4))))</f>
        <v>8.5000000000000006E-2</v>
      </c>
      <c r="CY190" s="482"/>
      <c r="CZ190" s="482"/>
      <c r="DA190" s="482"/>
      <c r="DB190" s="490"/>
    </row>
    <row r="191" spans="1:106" ht="15" hidden="1" customHeight="1">
      <c r="A191" s="465">
        <f t="shared" si="510"/>
        <v>121</v>
      </c>
      <c r="B191" s="491"/>
      <c r="C191" s="466" t="s">
        <v>2220</v>
      </c>
      <c r="D191" s="466" t="s">
        <v>2226</v>
      </c>
      <c r="E191" s="468"/>
      <c r="F191" s="468"/>
      <c r="G191" s="468">
        <f t="shared" si="442"/>
        <v>10.035676030799998</v>
      </c>
      <c r="H191" s="468">
        <f t="shared" si="443"/>
        <v>10.035676030799998</v>
      </c>
      <c r="I191" s="468"/>
      <c r="J191" s="468"/>
      <c r="K191" s="467">
        <f t="shared" ca="1" si="444"/>
        <v>10.035676030799998</v>
      </c>
      <c r="L191" s="468">
        <f t="shared" ca="1" si="445"/>
        <v>10.035676030799998</v>
      </c>
      <c r="M191" s="469">
        <f t="shared" si="446"/>
        <v>242.33666300502347</v>
      </c>
      <c r="N191" s="470">
        <f t="shared" si="447"/>
        <v>0</v>
      </c>
      <c r="O191" s="470">
        <f t="shared" si="448"/>
        <v>0</v>
      </c>
      <c r="P191" s="470">
        <f t="shared" si="449"/>
        <v>2432.0122403035707</v>
      </c>
      <c r="Q191" s="469">
        <v>140</v>
      </c>
      <c r="R191" s="471">
        <f t="shared" si="450"/>
        <v>3.3496464883810746</v>
      </c>
      <c r="S191" s="471"/>
      <c r="T191" s="471"/>
      <c r="U191" s="471">
        <f t="shared" si="451"/>
        <v>0</v>
      </c>
      <c r="V191" s="471"/>
      <c r="W191" s="471"/>
      <c r="X191" s="471">
        <f t="shared" si="452"/>
        <v>0</v>
      </c>
      <c r="Y191" s="471">
        <f t="shared" si="453"/>
        <v>2.0071352061599996</v>
      </c>
      <c r="Z191" s="471">
        <f t="shared" ca="1" si="454"/>
        <v>0</v>
      </c>
      <c r="AA191" s="471">
        <f t="shared" si="362"/>
        <v>3.6840459304508255</v>
      </c>
      <c r="AB191" s="471">
        <f t="shared" si="455"/>
        <v>12.340251513969196</v>
      </c>
      <c r="AC191" s="471">
        <f t="shared" si="456"/>
        <v>0</v>
      </c>
      <c r="AD191" s="471">
        <f t="shared" si="457"/>
        <v>0</v>
      </c>
      <c r="AE191" s="471">
        <f t="shared" si="458"/>
        <v>0</v>
      </c>
      <c r="AF191" s="510">
        <f t="shared" si="361"/>
        <v>3.8</v>
      </c>
      <c r="AG191" s="471">
        <f t="shared" si="459"/>
        <v>0</v>
      </c>
      <c r="AH191" s="471">
        <f t="shared" si="460"/>
        <v>0</v>
      </c>
      <c r="AI191" s="471">
        <f t="shared" ca="1" si="461"/>
        <v>14.347386720129196</v>
      </c>
      <c r="AJ191" s="471">
        <f t="shared" si="462"/>
        <v>0.75</v>
      </c>
      <c r="AK191" s="472">
        <f t="shared" si="463"/>
        <v>6.9333333333330902E-2</v>
      </c>
      <c r="AL191" s="471">
        <f t="shared" si="464"/>
        <v>0.63096666666666656</v>
      </c>
      <c r="AM191" s="473">
        <f t="shared" si="465"/>
        <v>318.4948105447034</v>
      </c>
      <c r="AN191" s="474">
        <f t="shared" si="466"/>
        <v>11.871749999999999</v>
      </c>
      <c r="AO191" s="474">
        <f t="shared" si="467"/>
        <v>2.0833333333333332E-2</v>
      </c>
      <c r="AP191" s="474">
        <f t="shared" si="468"/>
        <v>11.892583333333333</v>
      </c>
      <c r="AQ191" s="475">
        <v>3</v>
      </c>
      <c r="AR191" s="474" t="e">
        <f t="shared" ca="1" si="469"/>
        <v>#VALUE!</v>
      </c>
      <c r="AS191" s="474" t="e">
        <f t="shared" ca="1" si="470"/>
        <v>#VALUE!</v>
      </c>
      <c r="AT191" s="471" t="e">
        <f t="shared" ca="1" si="471"/>
        <v>#VALUE!</v>
      </c>
      <c r="AU191" s="492">
        <f t="shared" si="472"/>
        <v>0</v>
      </c>
      <c r="AV191" s="471">
        <f t="shared" ca="1" si="473"/>
        <v>2016.7655307990431</v>
      </c>
      <c r="AW191" s="510">
        <f t="shared" ca="1" si="403"/>
        <v>2016.77</v>
      </c>
      <c r="AX191" s="478">
        <f>IF(OR(C191="",D191=""),"",ROUND(((VLOOKUP(C191,'Base de Diseño (2)'!$A$2:$C$333,2,FALSE)-VLOOKUP(D191,'Base de Diseño (2)'!$A$2:$C$333,2,FALSE))^2+(VLOOKUP(C191,'Base de Diseño (2)'!$A$2:$C$333,3,0)-VLOOKUP(D191,'Base de Diseño (2)'!$A$2:$C$333,3,FALSE))^2)^0.5,2))</f>
        <v>3.75</v>
      </c>
      <c r="AY191" s="493">
        <v>29.88</v>
      </c>
      <c r="AZ191" s="480">
        <f ca="1">IF(AND(L191="",H191=""),"",IF(BA191=4,VLOOKUP(AY191,'TABLA (2)'!$A$74:$C$89,2),IF(BA191=5,VLOOKUP(AY191,'TABLA (2)'!$A$51:$B$66,2),IF(BA191=6,VLOOKUP(AY191,'TABLA (2)'!$A$9:$B$43,2)))))</f>
        <v>700</v>
      </c>
      <c r="BA191" s="493">
        <v>6</v>
      </c>
      <c r="BB191" s="478">
        <f>IF(OR(C191="",D191=""),"",VLOOKUP(C191,'Base de Diseño (2)'!$A$2:$D$330,4,FALSE))</f>
        <v>967.08159999999998</v>
      </c>
      <c r="BC191" s="478">
        <f>IF(OR(C191="",D191=""),"",VLOOKUP(D191,'Base de Diseño (2)'!$A$2:$D$330,4,FALSE))</f>
        <v>967.34159999999997</v>
      </c>
      <c r="BD191" s="23">
        <f t="shared" ca="1" si="474"/>
        <v>1.0780000000000136</v>
      </c>
      <c r="BE191" s="23">
        <f t="shared" ca="1" si="475"/>
        <v>1.3679999999999772</v>
      </c>
      <c r="BF191" s="494">
        <v>1.8600000000000136</v>
      </c>
      <c r="BG191" s="494">
        <v>2.1499999999999773</v>
      </c>
      <c r="BH191" s="495">
        <f t="shared" si="476"/>
        <v>965.22159999999997</v>
      </c>
      <c r="BI191" s="495">
        <f t="shared" si="477"/>
        <v>965.19159999999999</v>
      </c>
      <c r="BJ191" s="468">
        <f t="shared" si="478"/>
        <v>965.19159999999999</v>
      </c>
      <c r="BK191" s="475">
        <f t="shared" si="479"/>
        <v>6.9333333333330902</v>
      </c>
      <c r="BL191" s="475">
        <f t="shared" si="480"/>
        <v>0.79999999999927252</v>
      </c>
      <c r="BM191" s="475">
        <f t="shared" ca="1" si="481"/>
        <v>2.1525851520948764</v>
      </c>
      <c r="BN191" s="475">
        <f t="shared" ca="1" si="482"/>
        <v>828.41184825584696</v>
      </c>
      <c r="BO191" s="204">
        <f t="shared" ca="1" si="483"/>
        <v>1.7319147173397432E-2</v>
      </c>
      <c r="BP191" s="496">
        <f t="shared" ca="1" si="484"/>
        <v>2.4345016361682217</v>
      </c>
      <c r="BQ191" s="497">
        <f t="shared" ca="1" si="485"/>
        <v>0.32908287738965181</v>
      </c>
      <c r="BR191" s="497" t="str">
        <f t="shared" ca="1" si="486"/>
        <v xml:space="preserve"> </v>
      </c>
      <c r="BS191" s="475">
        <f t="shared" ca="1" si="487"/>
        <v>0.70837891567762323</v>
      </c>
      <c r="BT191" s="475" t="e">
        <f t="shared" ca="1" si="488"/>
        <v>#VALUE!</v>
      </c>
      <c r="BU191" s="475">
        <f t="shared" ca="1" si="489"/>
        <v>0.12109170123759588</v>
      </c>
      <c r="BV191" s="475" t="str">
        <f t="shared" ca="1" si="490"/>
        <v xml:space="preserve"> </v>
      </c>
      <c r="BW191" s="475">
        <f t="shared" ca="1" si="491"/>
        <v>1.4216722467205365</v>
      </c>
      <c r="BX191" s="475" t="e">
        <f t="shared" ca="1" si="492"/>
        <v>#VALUE!</v>
      </c>
      <c r="BY191" s="475">
        <f t="shared" ca="1" si="493"/>
        <v>7.6102395132188E-2</v>
      </c>
      <c r="BZ191" s="475" t="e">
        <f t="shared" ca="1" si="494"/>
        <v>#VALUE!</v>
      </c>
      <c r="CA191" s="471">
        <f t="shared" ca="1" si="495"/>
        <v>5.3271676592531597E-2</v>
      </c>
      <c r="CB191" s="471" t="e">
        <f t="shared" ca="1" si="496"/>
        <v>#VALUE!</v>
      </c>
      <c r="CC191" s="471" t="e">
        <f t="shared" ca="1" si="497"/>
        <v>#VALUE!</v>
      </c>
      <c r="CD191" s="471" t="e">
        <f t="shared" ca="1" si="498"/>
        <v>#VALUE!</v>
      </c>
      <c r="CE191" s="471">
        <f t="shared" ca="1" si="499"/>
        <v>0.42617341273986525</v>
      </c>
      <c r="CF191" s="471" t="e">
        <f t="shared" ca="1" si="500"/>
        <v>#VALUE!</v>
      </c>
      <c r="CG191" s="471" t="str">
        <f t="shared" ca="1" si="501"/>
        <v>O.K</v>
      </c>
      <c r="CH191" s="471" t="e">
        <f t="shared" ca="1" si="502"/>
        <v>#VALUE!</v>
      </c>
      <c r="CI191" s="471" t="str">
        <f t="shared" ca="1" si="503"/>
        <v>OK</v>
      </c>
      <c r="CJ191" s="471" t="e">
        <f t="shared" ca="1" si="504"/>
        <v>#VALUE!</v>
      </c>
      <c r="CK191" s="468">
        <f t="shared" si="505"/>
        <v>965.19159999999999</v>
      </c>
      <c r="CL191" s="482" t="s">
        <v>2507</v>
      </c>
      <c r="CM191" s="482"/>
      <c r="CN191" s="63" t="str">
        <f t="shared" si="506"/>
        <v xml:space="preserve"> </v>
      </c>
      <c r="CO191" s="498">
        <f t="shared" si="511"/>
        <v>3.75</v>
      </c>
      <c r="CP191" s="472">
        <f t="shared" si="512"/>
        <v>6.9333333333330902E-2</v>
      </c>
      <c r="CQ191" s="482" t="s">
        <v>2508</v>
      </c>
      <c r="CR191" s="204">
        <f t="shared" si="507"/>
        <v>3.75</v>
      </c>
      <c r="CS191" s="486">
        <v>1.2</v>
      </c>
      <c r="CT191" s="486">
        <v>1.2</v>
      </c>
      <c r="CU191" s="23">
        <f t="shared" si="508"/>
        <v>3.750119998080061</v>
      </c>
      <c r="CV191" s="499" t="s">
        <v>2509</v>
      </c>
      <c r="CW191" s="488" t="str">
        <f t="shared" ca="1" si="509"/>
        <v>E2</v>
      </c>
      <c r="CX191" s="204">
        <f ca="1">IF(AND(L191="",H191=""),"",IF(AND(BA191&lt;&gt;4,BA191&lt;&gt;5),VLOOKUP(AY191,'TABLA (2)'!$A$9:$D$43,4),IF(BA191=4,VLOOKUP(AY191,'TABLA (2)'!$A$74:$D$89,4),VLOOKUP(AY191,'TABLA (2)'!$A$51:$D$66,4))))</f>
        <v>8.2000000000000003E-2</v>
      </c>
      <c r="CY191" s="482"/>
      <c r="CZ191" s="482"/>
      <c r="DA191" s="482"/>
      <c r="DB191" s="490"/>
    </row>
    <row r="192" spans="1:106" ht="15" hidden="1" customHeight="1">
      <c r="A192" s="465"/>
      <c r="B192" s="491"/>
      <c r="C192" s="466"/>
      <c r="D192" s="466"/>
      <c r="E192" s="468"/>
      <c r="F192" s="468"/>
      <c r="G192" s="468"/>
      <c r="H192" s="468"/>
      <c r="I192" s="468"/>
      <c r="J192" s="468"/>
      <c r="K192" s="467"/>
      <c r="L192" s="468"/>
      <c r="M192" s="469"/>
      <c r="N192" s="470"/>
      <c r="O192" s="470"/>
      <c r="P192" s="470"/>
      <c r="Q192" s="469"/>
      <c r="R192" s="471"/>
      <c r="S192" s="471"/>
      <c r="T192" s="471"/>
      <c r="U192" s="471"/>
      <c r="V192" s="471"/>
      <c r="W192" s="471"/>
      <c r="X192" s="471"/>
      <c r="Y192" s="471"/>
      <c r="Z192" s="471"/>
      <c r="AA192" s="471" t="str">
        <f t="shared" si="362"/>
        <v/>
      </c>
      <c r="AB192" s="471"/>
      <c r="AC192" s="471"/>
      <c r="AD192" s="471"/>
      <c r="AE192" s="471"/>
      <c r="AF192" s="510" t="str">
        <f t="shared" si="361"/>
        <v/>
      </c>
      <c r="AG192" s="471"/>
      <c r="AH192" s="471"/>
      <c r="AI192" s="471"/>
      <c r="AJ192" s="471"/>
      <c r="AK192" s="472"/>
      <c r="AL192" s="471"/>
      <c r="AM192" s="473"/>
      <c r="AN192" s="474"/>
      <c r="AO192" s="474"/>
      <c r="AP192" s="474"/>
      <c r="AQ192" s="475"/>
      <c r="AR192" s="474"/>
      <c r="AS192" s="474"/>
      <c r="AT192" s="471"/>
      <c r="AU192" s="492"/>
      <c r="AV192" s="471"/>
      <c r="AW192" s="510">
        <f t="shared" si="403"/>
        <v>0</v>
      </c>
      <c r="AX192" s="478"/>
      <c r="AY192" s="493"/>
      <c r="AZ192" s="480"/>
      <c r="BA192" s="493"/>
      <c r="BB192" s="478" t="str">
        <f>IF(OR(C192="",D192=""),"",VLOOKUP(C192,'Base de Diseño (2)'!$A$2:$D$330,4,FALSE))</f>
        <v/>
      </c>
      <c r="BC192" s="478" t="str">
        <f>IF(OR(C192="",D192=""),"",VLOOKUP(D192,'Base de Diseño (2)'!$A$2:$D$330,4,FALSE))</f>
        <v/>
      </c>
      <c r="BD192" s="23"/>
      <c r="BE192" s="23"/>
      <c r="BF192" s="494"/>
      <c r="BG192" s="494"/>
      <c r="BH192" s="495"/>
      <c r="BI192" s="495"/>
      <c r="BJ192" s="468"/>
      <c r="BK192" s="475"/>
      <c r="BL192" s="475"/>
      <c r="BM192" s="475"/>
      <c r="BN192" s="475"/>
      <c r="BO192" s="204"/>
      <c r="BP192" s="496"/>
      <c r="BQ192" s="497"/>
      <c r="BR192" s="497"/>
      <c r="BS192" s="475"/>
      <c r="BT192" s="475"/>
      <c r="BU192" s="475"/>
      <c r="BV192" s="475"/>
      <c r="BW192" s="475"/>
      <c r="BX192" s="475"/>
      <c r="BY192" s="475"/>
      <c r="BZ192" s="475"/>
      <c r="CA192" s="471"/>
      <c r="CB192" s="471"/>
      <c r="CC192" s="471"/>
      <c r="CD192" s="471"/>
      <c r="CE192" s="471"/>
      <c r="CF192" s="471"/>
      <c r="CG192" s="471"/>
      <c r="CH192" s="471"/>
      <c r="CI192" s="471"/>
      <c r="CJ192" s="471"/>
      <c r="CK192" s="468"/>
      <c r="CL192" s="482" t="s">
        <v>2507</v>
      </c>
      <c r="CM192" s="482"/>
      <c r="CN192" s="63"/>
      <c r="CO192" s="498"/>
      <c r="CP192" s="472"/>
      <c r="CQ192" s="482"/>
      <c r="CR192" s="204"/>
      <c r="CS192" s="486"/>
      <c r="CT192" s="486"/>
      <c r="CU192" s="23"/>
      <c r="CV192" s="499"/>
      <c r="CW192" s="488"/>
      <c r="CX192" s="204"/>
      <c r="CY192" s="482"/>
      <c r="CZ192" s="482"/>
      <c r="DA192" s="482"/>
      <c r="DB192" s="490"/>
    </row>
    <row r="193" spans="1:106" ht="15" hidden="1" customHeight="1">
      <c r="A193" s="465">
        <f>+A191+1</f>
        <v>122</v>
      </c>
      <c r="B193" s="491">
        <v>1</v>
      </c>
      <c r="C193" s="466" t="s">
        <v>2206</v>
      </c>
      <c r="D193" s="466" t="s">
        <v>2516</v>
      </c>
      <c r="E193" s="468">
        <v>0.57271989639999998</v>
      </c>
      <c r="F193" s="468"/>
      <c r="G193" s="468">
        <f>IF(B193=1,0,SUMIF($D$22:$D$583,C193,$H$22:$H$583))</f>
        <v>0</v>
      </c>
      <c r="H193" s="468">
        <f>+E193+F193+G193</f>
        <v>0.57271989639999998</v>
      </c>
      <c r="I193" s="468">
        <v>0.57271989639999998</v>
      </c>
      <c r="J193" s="468"/>
      <c r="K193" s="467">
        <f>+IF(B193=1,0,SUMIF($D$22:$D$583,C193,$L$22:$L$580))</f>
        <v>0</v>
      </c>
      <c r="L193" s="468">
        <f>+I193+J193+K193</f>
        <v>0.57271989639999998</v>
      </c>
      <c r="M193" s="469">
        <f>+$P$12</f>
        <v>242.33666300502347</v>
      </c>
      <c r="N193" s="470">
        <f>M193*E193</f>
        <v>138.79102853015874</v>
      </c>
      <c r="O193" s="470">
        <f>M193*F193</f>
        <v>0</v>
      </c>
      <c r="P193" s="470">
        <f>M193*H193</f>
        <v>138.79102853015874</v>
      </c>
      <c r="Q193" s="469">
        <v>140</v>
      </c>
      <c r="R193" s="471">
        <f>Q193*P193*$P$14/86400</f>
        <v>0.19115893975797324</v>
      </c>
      <c r="S193" s="471"/>
      <c r="T193" s="471"/>
      <c r="U193" s="471">
        <f>IF(C193="","",T193*$P$17)</f>
        <v>0</v>
      </c>
      <c r="V193" s="471"/>
      <c r="W193" s="471"/>
      <c r="X193" s="471">
        <f>IF(C193="","",W193*$P$16)</f>
        <v>0</v>
      </c>
      <c r="Y193" s="471">
        <f>IF(H193=0,0,$H$15*H193)</f>
        <v>0.11454397928</v>
      </c>
      <c r="Z193" s="471">
        <f>IF(L193=0,$H$16*H193,0)</f>
        <v>0</v>
      </c>
      <c r="AA193" s="471">
        <f t="shared" si="362"/>
        <v>3.8</v>
      </c>
      <c r="AB193" s="471">
        <f>R193*AA193</f>
        <v>0.72640397108029831</v>
      </c>
      <c r="AC193" s="471">
        <f>Q193*(N193+O193)*$P$14/86400</f>
        <v>0.19115893975797324</v>
      </c>
      <c r="AD193" s="471">
        <f>IF(E193=0,0,$H$15*(E193+F193))</f>
        <v>0.11454397928</v>
      </c>
      <c r="AE193" s="471">
        <f>IF(F193=0,0,$H$15*(F193+G193))</f>
        <v>0</v>
      </c>
      <c r="AF193" s="510">
        <f t="shared" si="361"/>
        <v>3.8</v>
      </c>
      <c r="AG193" s="471">
        <f>AC193*AF193</f>
        <v>0.72640397108029831</v>
      </c>
      <c r="AH193" s="471">
        <f>+AD193+AE193+AG193</f>
        <v>0.84094795036029835</v>
      </c>
      <c r="AI193" s="471">
        <f>IF(H193="","",IF(AB193+Y193+Z193+X193+U193&lt;1.5,1.5,AB193+Y193+Z193+X193+U193))</f>
        <v>1.5</v>
      </c>
      <c r="AJ193" s="471">
        <f>+$P$17</f>
        <v>0.75</v>
      </c>
      <c r="AK193" s="472" t="e">
        <f>+BK193/100</f>
        <v>#N/A</v>
      </c>
      <c r="AL193" s="471" t="e">
        <f>IF(AJ193=0," ",0.14+0.65*AJ193+0.05*AK193)</f>
        <v>#N/A</v>
      </c>
      <c r="AM193" s="473" t="e">
        <f t="shared" ref="AM193:AM202" si="513">((100/36)*$AM$14*(AP193+$AN$14)^$AO$14)</f>
        <v>#N/A</v>
      </c>
      <c r="AN193" s="474" t="e">
        <f t="shared" ref="AN193:AN202" si="514">IF(B193=1,IF((0.702*(1.1-$AJ193)*SQRT($CO193))/(($CP193)^(1/3))&lt;5,5,(0.702*(1.1-$AJ193)*SQRT($CO193))/(($CP193)^(1/3))),AP192)</f>
        <v>#N/A</v>
      </c>
      <c r="AO193" s="474" t="e">
        <f>((1/60)*$AX193/$AQ193)</f>
        <v>#N/A</v>
      </c>
      <c r="AP193" s="474" t="e">
        <f>IF(B193=1,IF(($AN193+$AO193)&lt;10,10,IF(($AN193+$AO193)&gt;20,20,($AN193+$AO193))),($AN193+$AO193))</f>
        <v>#N/A</v>
      </c>
      <c r="AQ193" s="475">
        <v>3</v>
      </c>
      <c r="AR193" s="474" t="e">
        <f>((1/60)*$AX193/$BT193)</f>
        <v>#N/A</v>
      </c>
      <c r="AS193" s="474" t="e">
        <f>AO193/AR193</f>
        <v>#N/A</v>
      </c>
      <c r="AT193" s="471" t="e">
        <f>IF(AS193&lt;0.9,"Disminuir vel.",IF(AS193&gt;1.1,"Aumentar vel.","Cumple"))</f>
        <v>#N/A</v>
      </c>
      <c r="AU193" s="492" t="e">
        <f>+I193*AL193*AM193</f>
        <v>#N/A</v>
      </c>
      <c r="AV193" s="471" t="e">
        <f>+L193*AL193*AM193</f>
        <v>#N/A</v>
      </c>
      <c r="AW193" s="510" t="e">
        <f t="shared" si="403"/>
        <v>#N/A</v>
      </c>
      <c r="AX193" s="478" t="e">
        <f>IF(OR(C193="",D193=""),"",ROUND(((VLOOKUP(C193,'Base de Diseño (2)'!$A$2:$C$333,2,FALSE)-VLOOKUP(D193,'Base de Diseño (2)'!$A$2:$C$333,2,FALSE))^2+(VLOOKUP(C193,'Base de Diseño (2)'!$A$2:$C$333,3,0)-VLOOKUP(D193,'Base de Diseño (2)'!$A$2:$C$333,3,FALSE))^2)^0.5,2))</f>
        <v>#N/A</v>
      </c>
      <c r="AY193" s="493">
        <v>10</v>
      </c>
      <c r="AZ193" s="480">
        <f>IF(AND(L193="",H193=""),"",IF(BA193=4,VLOOKUP(AY193,'TABLA (2)'!$A$74:$C$89,2),IF(BA193=5,VLOOKUP(AY193,'TABLA (2)'!$A$51:$B$66,2),IF(BA193=6,VLOOKUP(AY193,'TABLA (2)'!$A$9:$B$43,2)))))</f>
        <v>250</v>
      </c>
      <c r="BA193" s="493">
        <v>6</v>
      </c>
      <c r="BB193" s="478">
        <f>IF(OR(C193="",D193=""),"",VLOOKUP(C193,'Base de Diseño (2)'!$A$2:$D$330,4,FALSE))</f>
        <v>984.07159999999999</v>
      </c>
      <c r="BC193" s="478" t="e">
        <f>IF(OR(C193="",D193=""),"",VLOOKUP(D193,'Base de Diseño (2)'!$A$2:$D$330,4,FALSE))</f>
        <v>#N/A</v>
      </c>
      <c r="BD193" s="23">
        <f>+BF193-((AZ193/1000)+CX193)</f>
        <v>1.3929999999999501</v>
      </c>
      <c r="BE193" s="23">
        <f>+BG193-((AZ193/1000)+CX193)</f>
        <v>1.7130000000000001</v>
      </c>
      <c r="BF193" s="494">
        <v>1.67999999999995</v>
      </c>
      <c r="BG193" s="494">
        <v>2</v>
      </c>
      <c r="BH193" s="495">
        <f>BB193-BF193</f>
        <v>982.39160000000004</v>
      </c>
      <c r="BI193" s="495" t="e">
        <f>BC193-BG193</f>
        <v>#N/A</v>
      </c>
      <c r="BJ193" s="468" t="e">
        <f>IF(A193="",0,BI193-BH194)</f>
        <v>#N/A</v>
      </c>
      <c r="BK193" s="475" t="e">
        <f>ABS((BB193-BC193)/AX193)*100</f>
        <v>#N/A</v>
      </c>
      <c r="BL193" s="475" t="e">
        <f>((BH193-BI193)/AX193)*100</f>
        <v>#N/A</v>
      </c>
      <c r="BM193" s="475" t="e">
        <f>IF(BA193=6,(1/0.013)*((AZ193/4000)^(2/3))*((BL193/100)^(0.5)),(1/0.009)*((AZ193/4000)^(2/3))*((BL193/100)^(0.5)))</f>
        <v>#N/A</v>
      </c>
      <c r="BN193" s="475" t="e">
        <f>1000*BM193*PI()*((AZ193/1000/2)^2)</f>
        <v>#N/A</v>
      </c>
      <c r="BO193" s="204" t="e">
        <f>AI193/BN193</f>
        <v>#N/A</v>
      </c>
      <c r="BP193" s="496" t="e">
        <f>IF(L193=0," ",AW193/BN193)</f>
        <v>#N/A</v>
      </c>
      <c r="BQ193" s="497" t="e">
        <f>IF($BO193&gt;0 =AND($BO193&lt;=0.06),10^(0.029806+0.29095*LOG($BO193)),IF($BO193&gt;0.06 =AND($BO193&lt;=0.26),10^(0.013778+0.282597*LOG($BO193)),IF($BO193&gt;0.26 =AND($BO193&lt;=0.91),10^(0.021763+0.28995*LOG($BO193)),1)))</f>
        <v>#N/A</v>
      </c>
      <c r="BR193" s="497" t="e">
        <f>IF($BP193&gt;0 =AND($BP193&lt;=0.06),10^(0.029806+0.29095*LOG($BP193)),IF($BP193&gt;0.06 =AND($BP193&lt;=0.26),10^(0.013778+0.282597*LOG($BP193)),IF($BP193&gt;0.26 =AND($BP193&lt;=2),10^(0.021763+0.28995*LOG($BP193))," ")))</f>
        <v>#N/A</v>
      </c>
      <c r="BS193" s="475" t="e">
        <f>BM193*BQ193</f>
        <v>#N/A</v>
      </c>
      <c r="BT193" s="475" t="e">
        <f>IF(BP193=" "," ",(BM193*BR193))</f>
        <v>#N/A</v>
      </c>
      <c r="BU193" s="475" t="e">
        <f>IF(BO193&lt;=0.11,0.3827+0.0645*LN(BO193),IF(BO193&lt;=0.21,0.60025+0.15471*LN(BO193),IF(BO193&lt;1,0.225+0.6666666667*BO193,0)))</f>
        <v>#N/A</v>
      </c>
      <c r="BV193" s="475" t="e">
        <f>IF(BP193&lt;=0.11,0.3827+0.0645*LN(BP193),IF(BP193&lt;=0.21,0.60025+0.15471*LN(BP193),IF(BP193&lt;1,0.225+0.6666666667*BP193," ")))</f>
        <v>#N/A</v>
      </c>
      <c r="BW193" s="475" t="e">
        <f>2*ACOS(1-2*(BU193))</f>
        <v>#N/A</v>
      </c>
      <c r="BX193" s="475" t="e">
        <f>IF(BP193=" "," ",(2*ACOS(1-2*(BV193))))</f>
        <v>#N/A</v>
      </c>
      <c r="BY193" s="475" t="e">
        <f>(1/4)*(1-(SIN(BW193))/BW193)</f>
        <v>#N/A</v>
      </c>
      <c r="BZ193" s="475" t="e">
        <f>IF(BP193=" "," ",((1/4)*(1-(SIN(BX193))/BX193)))</f>
        <v>#N/A</v>
      </c>
      <c r="CA193" s="471" t="e">
        <f>BY193*AZ193/1000</f>
        <v>#N/A</v>
      </c>
      <c r="CB193" s="471" t="e">
        <f>IF(BP193=" "," ",(BZ193*AZ193/1000))</f>
        <v>#N/A</v>
      </c>
      <c r="CC193" s="471" t="e">
        <f t="shared" ref="CC193:CC202" si="515">+(BT193/SQRT(9.81*(0.125*(BX193-SIN(BX193))*(AZ193/1000)^2)/((AZ193/1000)*SIN(BX193/2))))</f>
        <v>#N/A</v>
      </c>
      <c r="CD193" s="471" t="e">
        <f>IF(CC193="","",IF(CC193&lt;0.7,"F. Subcrítico",IF(AND(CC193&gt;0.7,CC193&lt;1),"F. Subcrítico Inestable",IF(CC193=1,"F. Crítico",IF(AND(CC193&gt;1,CC193&lt;1.5),"F. Supercrítico Inestable",IF(CC193&gt;1.5,"F. Supercrítico",""))))))</f>
        <v>#N/A</v>
      </c>
      <c r="CE193" s="471" t="e">
        <f>1000*BL193*CA193/100</f>
        <v>#N/A</v>
      </c>
      <c r="CF193" s="471" t="e">
        <f>IF(BP193=" "," ",(1000*BL193*CB193/100))</f>
        <v>#N/A</v>
      </c>
      <c r="CG193" s="471" t="e">
        <f>IF(BS193&lt;0.45,"No cumple",IF(BS193&gt;5,"No cumple","O.K"))</f>
        <v>#N/A</v>
      </c>
      <c r="CH193" s="471" t="e">
        <f>IF(BT193&lt;0.75,"No cumple",IF(BT193&gt;10,"No cumple","O.K"))</f>
        <v>#N/A</v>
      </c>
      <c r="CI193" s="471" t="e">
        <f>IF(CE193&gt;0.1,"OK","V.C.H.")</f>
        <v>#N/A</v>
      </c>
      <c r="CJ193" s="471" t="e">
        <f>IF(CF193&gt;0.2,"OK","V.C.H.")</f>
        <v>#N/A</v>
      </c>
      <c r="CK193" s="468" t="e">
        <f>+BJ193</f>
        <v>#N/A</v>
      </c>
      <c r="CL193" s="482" t="s">
        <v>2507</v>
      </c>
      <c r="CM193" s="482"/>
      <c r="CN193" s="63" t="str">
        <f>IF(B193=1,"dato"," ")</f>
        <v>dato</v>
      </c>
      <c r="CO193" s="498" t="e">
        <f>+CR193</f>
        <v>#N/A</v>
      </c>
      <c r="CP193" s="472" t="e">
        <f>+BK193/100</f>
        <v>#N/A</v>
      </c>
      <c r="CQ193" s="482" t="s">
        <v>2508</v>
      </c>
      <c r="CR193" s="204" t="e">
        <f>IF(BA193="","",AX193)</f>
        <v>#N/A</v>
      </c>
      <c r="CS193" s="486">
        <v>1.2</v>
      </c>
      <c r="CT193" s="486">
        <v>1.2</v>
      </c>
      <c r="CU193" s="23" t="e">
        <f>IF($BA193="","",SQRT((BH193-BI193)^2+$CR193^2))</f>
        <v>#N/A</v>
      </c>
      <c r="CV193" s="499" t="s">
        <v>2509</v>
      </c>
      <c r="CW193" s="488" t="str">
        <f>+IF(BD193&lt;=0.9,"E1",IF(BD193&lt;=2.5,"E2","E3"))</f>
        <v>E2</v>
      </c>
      <c r="CX193" s="204">
        <f>IF(AND(L193="",H193=""),"",IF(AND(BA193&lt;&gt;4,BA193&lt;&gt;5),VLOOKUP(AY193,'TABLA (2)'!$A$9:$D$43,4),IF(BA193=4,VLOOKUP(AY193,'TABLA (2)'!$A$74:$D$89,4),VLOOKUP(AY193,'TABLA (2)'!$A$51:$D$66,4))))</f>
        <v>3.6999999999999998E-2</v>
      </c>
      <c r="CY193" s="482"/>
      <c r="CZ193" s="482"/>
      <c r="DA193" s="482"/>
      <c r="DB193" s="490"/>
    </row>
    <row r="194" spans="1:106" ht="15" hidden="1" customHeight="1">
      <c r="A194" s="465">
        <f>+A193+1</f>
        <v>123</v>
      </c>
      <c r="B194" s="491"/>
      <c r="C194" s="466" t="s">
        <v>2516</v>
      </c>
      <c r="D194" s="466" t="s">
        <v>2216</v>
      </c>
      <c r="E194" s="468">
        <v>0.3130173618</v>
      </c>
      <c r="F194" s="468"/>
      <c r="G194" s="468">
        <f>IF(B194=1,0,SUMIF($D$22:$D$583,C194,$H$22:$H$583))</f>
        <v>0.91803228849999996</v>
      </c>
      <c r="H194" s="468">
        <f>+E194+F194+G194</f>
        <v>1.2310496502999999</v>
      </c>
      <c r="I194" s="468">
        <v>0.3130173618</v>
      </c>
      <c r="J194" s="468"/>
      <c r="K194" s="467">
        <f ca="1">+IF(B194=1,0,SUMIF($D$22:$D$583,C194,$L$22:$L$580))</f>
        <v>0.91803228849999996</v>
      </c>
      <c r="L194" s="468">
        <f ca="1">+I194+J194+K194</f>
        <v>1.2310496502999999</v>
      </c>
      <c r="M194" s="469">
        <f>+$P$12</f>
        <v>242.33666300502347</v>
      </c>
      <c r="N194" s="470">
        <f>M194*E194</f>
        <v>75.8555829212481</v>
      </c>
      <c r="O194" s="470">
        <f>M194*F194</f>
        <v>0</v>
      </c>
      <c r="P194" s="470">
        <f>M194*H194</f>
        <v>298.32846424720304</v>
      </c>
      <c r="Q194" s="469">
        <v>140</v>
      </c>
      <c r="R194" s="471">
        <f>Q194*P194*$P$14/86400</f>
        <v>0.41089221348862454</v>
      </c>
      <c r="S194" s="471"/>
      <c r="T194" s="471"/>
      <c r="U194" s="471">
        <f>IF(C194="","",T194*$P$17)</f>
        <v>0</v>
      </c>
      <c r="V194" s="471"/>
      <c r="W194" s="471"/>
      <c r="X194" s="471">
        <f>IF(C194="","",W194*$P$16)</f>
        <v>0</v>
      </c>
      <c r="Y194" s="471">
        <f>IF(H194=0,0,$H$15*H194)</f>
        <v>0.24620993006</v>
      </c>
      <c r="Z194" s="471">
        <f ca="1">IF(L194=0,$H$16*H194,0)</f>
        <v>0</v>
      </c>
      <c r="AA194" s="471">
        <f t="shared" si="362"/>
        <v>3.8</v>
      </c>
      <c r="AB194" s="471">
        <f>R194*AA194</f>
        <v>1.5613904112567731</v>
      </c>
      <c r="AC194" s="471">
        <f>Q194*(N194+O194)*$P$14/86400</f>
        <v>0.10447701814384865</v>
      </c>
      <c r="AD194" s="471">
        <f>IF(E194=0,0,$H$15*(E194+F194))</f>
        <v>6.2603472360000009E-2</v>
      </c>
      <c r="AE194" s="471">
        <f>IF(F194=0,0,$H$15*(F194+G194))</f>
        <v>0</v>
      </c>
      <c r="AF194" s="510">
        <f t="shared" si="361"/>
        <v>3.8</v>
      </c>
      <c r="AG194" s="471">
        <f>AC194*AF194</f>
        <v>0.39701266894662485</v>
      </c>
      <c r="AH194" s="471">
        <f>+AD194+AE194+AG194</f>
        <v>0.45961614130662487</v>
      </c>
      <c r="AI194" s="471">
        <f ca="1">IF(H194="","",IF(AB194+Y194+Z194+X194+U194&lt;1.5,1.5,AB194+Y194+Z194+X194+U194))</f>
        <v>1.8076003413167732</v>
      </c>
      <c r="AJ194" s="471">
        <f>+$P$17</f>
        <v>0.75</v>
      </c>
      <c r="AK194" s="472" t="e">
        <f>+BK194/100</f>
        <v>#N/A</v>
      </c>
      <c r="AL194" s="471" t="e">
        <f>IF(AJ194=0," ",0.14+0.65*AJ194+0.05*AK194)</f>
        <v>#N/A</v>
      </c>
      <c r="AM194" s="473" t="e">
        <f t="shared" si="513"/>
        <v>#N/A</v>
      </c>
      <c r="AN194" s="474" t="e">
        <f t="shared" si="514"/>
        <v>#N/A</v>
      </c>
      <c r="AO194" s="474" t="e">
        <f>((1/60)*$AX194/$AQ194)</f>
        <v>#N/A</v>
      </c>
      <c r="AP194" s="474" t="e">
        <f>IF(B194=1,IF(($AN194+$AO194)&lt;10,10,IF(($AN194+$AO194)&gt;20,20,($AN194+$AO194))),($AN194+$AO194))</f>
        <v>#N/A</v>
      </c>
      <c r="AQ194" s="475">
        <v>3</v>
      </c>
      <c r="AR194" s="474" t="e">
        <f ca="1">((1/60)*$AX194/$BT194)</f>
        <v>#N/A</v>
      </c>
      <c r="AS194" s="474" t="e">
        <f ca="1">AO194/AR194</f>
        <v>#N/A</v>
      </c>
      <c r="AT194" s="471" t="e">
        <f ca="1">IF(AS194&lt;0.9,"Disminuir vel.",IF(AS194&gt;1.1,"Aumentar vel.","Cumple"))</f>
        <v>#N/A</v>
      </c>
      <c r="AU194" s="492" t="e">
        <f>+I194*AL194*AM194</f>
        <v>#N/A</v>
      </c>
      <c r="AV194" s="471" t="e">
        <f ca="1">+L194*AL194*AM194</f>
        <v>#N/A</v>
      </c>
      <c r="AW194" s="510" t="e">
        <f t="shared" ca="1" si="403"/>
        <v>#N/A</v>
      </c>
      <c r="AX194" s="478" t="e">
        <f>IF(OR(C194="",D194=""),"",ROUND(((VLOOKUP(C194,'Base de Diseño (2)'!$A$2:$C$333,2,FALSE)-VLOOKUP(D194,'Base de Diseño (2)'!$A$2:$C$333,2,FALSE))^2+(VLOOKUP(C194,'Base de Diseño (2)'!$A$2:$C$333,3,0)-VLOOKUP(D194,'Base de Diseño (2)'!$A$2:$C$333,3,FALSE))^2)^0.5,2))</f>
        <v>#N/A</v>
      </c>
      <c r="AY194" s="493">
        <v>20</v>
      </c>
      <c r="AZ194" s="480">
        <f ca="1">IF(AND(L194="",H194=""),"",IF(BA194=4,VLOOKUP(AY194,'TABLA (2)'!$A$74:$C$89,2),IF(BA194=5,VLOOKUP(AY194,'TABLA (2)'!$A$51:$B$66,2),IF(BA194=6,VLOOKUP(AY194,'TABLA (2)'!$A$9:$B$43,2)))))</f>
        <v>500</v>
      </c>
      <c r="BA194" s="493">
        <v>6</v>
      </c>
      <c r="BB194" s="478" t="e">
        <f>IF(OR(C194="",D194=""),"",VLOOKUP(C194,'Base de Diseño (2)'!$A$2:$D$330,4,FALSE))</f>
        <v>#N/A</v>
      </c>
      <c r="BC194" s="478">
        <f>IF(OR(C194="",D194=""),"",VLOOKUP(D194,'Base de Diseño (2)'!$A$2:$D$330,4,FALSE))</f>
        <v>982.99160000000006</v>
      </c>
      <c r="BD194" s="23">
        <f ca="1">+BF194-((AZ194/1000)+CX194)</f>
        <v>1.4599999999999727</v>
      </c>
      <c r="BE194" s="23">
        <f ca="1">+BG194-((AZ194/1000)+CX194)</f>
        <v>2.0699999999999861</v>
      </c>
      <c r="BF194" s="494">
        <v>2.0299999999999727</v>
      </c>
      <c r="BG194" s="494">
        <v>2.6399999999999864</v>
      </c>
      <c r="BH194" s="495" t="e">
        <f>BB194-BF194</f>
        <v>#N/A</v>
      </c>
      <c r="BI194" s="495">
        <f>BC194-BG194</f>
        <v>980.35160000000008</v>
      </c>
      <c r="BJ194" s="468">
        <f>IF(A194="",0,BI194-BH195)</f>
        <v>980.35160000000008</v>
      </c>
      <c r="BK194" s="475" t="e">
        <f>ABS((BB194-BC194)/AX194)*100</f>
        <v>#N/A</v>
      </c>
      <c r="BL194" s="475" t="e">
        <f>((BH194-BI194)/AX194)*100</f>
        <v>#N/A</v>
      </c>
      <c r="BM194" s="475" t="e">
        <f ca="1">IF(BA194=6,(1/0.013)*((AZ194/4000)^(2/3))*((BL194/100)^(0.5)),(1/0.009)*((AZ194/4000)^(2/3))*((BL194/100)^(0.5)))</f>
        <v>#N/A</v>
      </c>
      <c r="BN194" s="475" t="e">
        <f ca="1">1000*BM194*PI()*((AZ194/1000/2)^2)</f>
        <v>#N/A</v>
      </c>
      <c r="BO194" s="204" t="e">
        <f ca="1">AI194/BN194</f>
        <v>#N/A</v>
      </c>
      <c r="BP194" s="496" t="e">
        <f ca="1">IF(L194=0," ",AW194/BN194)</f>
        <v>#N/A</v>
      </c>
      <c r="BQ194" s="497" t="e">
        <f ca="1">IF($BO194&gt;0 =AND($BO194&lt;=0.06),10^(0.029806+0.29095*LOG($BO194)),IF($BO194&gt;0.06 =AND($BO194&lt;=0.26),10^(0.013778+0.282597*LOG($BO194)),IF($BO194&gt;0.26 =AND($BO194&lt;=0.91),10^(0.021763+0.28995*LOG($BO194)),1)))</f>
        <v>#N/A</v>
      </c>
      <c r="BR194" s="497" t="e">
        <f ca="1">IF($BP194&gt;0 =AND($BP194&lt;=0.06),10^(0.029806+0.29095*LOG($BP194)),IF($BP194&gt;0.06 =AND($BP194&lt;=0.26),10^(0.013778+0.282597*LOG($BP194)),IF($BP194&gt;0.26 =AND($BP194&lt;=2),10^(0.021763+0.28995*LOG($BP194))," ")))</f>
        <v>#N/A</v>
      </c>
      <c r="BS194" s="475" t="e">
        <f ca="1">BM194*BQ194</f>
        <v>#N/A</v>
      </c>
      <c r="BT194" s="475" t="e">
        <f ca="1">IF(BP194=" "," ",(BM194*BR194))</f>
        <v>#N/A</v>
      </c>
      <c r="BU194" s="475" t="e">
        <f ca="1">IF(BO194&lt;=0.11,0.3827+0.0645*LN(BO194),IF(BO194&lt;=0.21,0.60025+0.15471*LN(BO194),IF(BO194&lt;1,0.225+0.6666666667*BO194,0)))</f>
        <v>#N/A</v>
      </c>
      <c r="BV194" s="475" t="e">
        <f ca="1">IF(BP194&lt;=0.11,0.3827+0.0645*LN(BP194),IF(BP194&lt;=0.21,0.60025+0.15471*LN(BP194),IF(BP194&lt;1,0.225+0.6666666667*BP194," ")))</f>
        <v>#N/A</v>
      </c>
      <c r="BW194" s="475" t="e">
        <f ca="1">2*ACOS(1-2*(BU194))</f>
        <v>#N/A</v>
      </c>
      <c r="BX194" s="475" t="e">
        <f ca="1">IF(BP194=" "," ",(2*ACOS(1-2*(BV194))))</f>
        <v>#N/A</v>
      </c>
      <c r="BY194" s="475" t="e">
        <f ca="1">(1/4)*(1-(SIN(BW194))/BW194)</f>
        <v>#N/A</v>
      </c>
      <c r="BZ194" s="475" t="e">
        <f ca="1">IF(BP194=" "," ",((1/4)*(1-(SIN(BX194))/BX194)))</f>
        <v>#N/A</v>
      </c>
      <c r="CA194" s="471" t="e">
        <f ca="1">BY194*AZ194/1000</f>
        <v>#N/A</v>
      </c>
      <c r="CB194" s="471" t="e">
        <f ca="1">IF(BP194=" "," ",(BZ194*AZ194/1000))</f>
        <v>#N/A</v>
      </c>
      <c r="CC194" s="471" t="e">
        <f t="shared" ca="1" si="515"/>
        <v>#N/A</v>
      </c>
      <c r="CD194" s="471" t="e">
        <f ca="1">IF(CC194="","",IF(CC194&lt;0.7,"F. Subcrítico",IF(AND(CC194&gt;0.7,CC194&lt;1),"F. Subcrítico Inestable",IF(CC194=1,"F. Crítico",IF(AND(CC194&gt;1,CC194&lt;1.5),"F. Supercrítico Inestable",IF(CC194&gt;1.5,"F. Supercrítico",""))))))</f>
        <v>#N/A</v>
      </c>
      <c r="CE194" s="471" t="e">
        <f ca="1">1000*BL194*CA194/100</f>
        <v>#N/A</v>
      </c>
      <c r="CF194" s="471" t="e">
        <f ca="1">IF(BP194=" "," ",(1000*BL194*CB194/100))</f>
        <v>#N/A</v>
      </c>
      <c r="CG194" s="471" t="e">
        <f ca="1">IF(BS194&lt;0.45,"No cumple",IF(BS194&gt;5,"No cumple","O.K"))</f>
        <v>#N/A</v>
      </c>
      <c r="CH194" s="471" t="e">
        <f ca="1">IF(BT194&lt;0.75,"No cumple",IF(BT194&gt;10,"No cumple","O.K"))</f>
        <v>#N/A</v>
      </c>
      <c r="CI194" s="471" t="e">
        <f ca="1">IF(CE194&gt;0.1,"OK","V.C.H.")</f>
        <v>#N/A</v>
      </c>
      <c r="CJ194" s="471" t="e">
        <f ca="1">IF(CF194&gt;0.2,"OK","V.C.H.")</f>
        <v>#N/A</v>
      </c>
      <c r="CK194" s="468">
        <f>+BJ194</f>
        <v>980.35160000000008</v>
      </c>
      <c r="CL194" s="482" t="s">
        <v>2507</v>
      </c>
      <c r="CM194" s="482"/>
      <c r="CN194" s="63" t="str">
        <f>IF(B194=1,"dato"," ")</f>
        <v xml:space="preserve"> </v>
      </c>
      <c r="CO194" s="498" t="e">
        <f>+CR194</f>
        <v>#N/A</v>
      </c>
      <c r="CP194" s="472" t="e">
        <f>+BK194/100</f>
        <v>#N/A</v>
      </c>
      <c r="CQ194" s="482" t="s">
        <v>2508</v>
      </c>
      <c r="CR194" s="204" t="e">
        <f>IF(BA194="","",AX194)</f>
        <v>#N/A</v>
      </c>
      <c r="CS194" s="486">
        <v>1.2</v>
      </c>
      <c r="CT194" s="486">
        <v>1.2</v>
      </c>
      <c r="CU194" s="23" t="e">
        <f>IF($BA194="","",SQRT((BH194-BI194)^2+$CR194^2))</f>
        <v>#N/A</v>
      </c>
      <c r="CV194" s="499" t="s">
        <v>2509</v>
      </c>
      <c r="CW194" s="488" t="str">
        <f ca="1">+IF(BD194&lt;=0.9,"E1",IF(BD194&lt;=2.5,"E2","E3"))</f>
        <v>E2</v>
      </c>
      <c r="CX194" s="204">
        <f ca="1">IF(AND(L194="",H194=""),"",IF(AND(BA194&lt;&gt;4,BA194&lt;&gt;5),VLOOKUP(AY194,'TABLA (2)'!$A$9:$D$43,4),IF(BA194=4,VLOOKUP(AY194,'TABLA (2)'!$A$74:$D$89,4),VLOOKUP(AY194,'TABLA (2)'!$A$51:$D$66,4))))</f>
        <v>7.0000000000000007E-2</v>
      </c>
      <c r="CY194" s="482"/>
      <c r="CZ194" s="482"/>
      <c r="DA194" s="482"/>
      <c r="DB194" s="490"/>
    </row>
    <row r="195" spans="1:106" ht="15" hidden="1" customHeight="1">
      <c r="A195" s="465"/>
      <c r="B195" s="491"/>
      <c r="C195" s="466"/>
      <c r="D195" s="466"/>
      <c r="E195" s="468"/>
      <c r="F195" s="468"/>
      <c r="G195" s="468"/>
      <c r="H195" s="468"/>
      <c r="I195" s="468"/>
      <c r="J195" s="468"/>
      <c r="K195" s="467"/>
      <c r="L195" s="468"/>
      <c r="M195" s="469"/>
      <c r="N195" s="470"/>
      <c r="O195" s="470"/>
      <c r="P195" s="470"/>
      <c r="Q195" s="469"/>
      <c r="R195" s="471"/>
      <c r="S195" s="471"/>
      <c r="T195" s="471"/>
      <c r="U195" s="471"/>
      <c r="V195" s="471"/>
      <c r="W195" s="471"/>
      <c r="X195" s="471"/>
      <c r="Y195" s="471"/>
      <c r="Z195" s="471"/>
      <c r="AA195" s="471" t="str">
        <f t="shared" si="362"/>
        <v/>
      </c>
      <c r="AB195" s="471"/>
      <c r="AC195" s="471"/>
      <c r="AD195" s="471"/>
      <c r="AE195" s="471"/>
      <c r="AF195" s="510" t="str">
        <f t="shared" si="361"/>
        <v/>
      </c>
      <c r="AG195" s="471"/>
      <c r="AH195" s="471"/>
      <c r="AI195" s="471"/>
      <c r="AJ195" s="471"/>
      <c r="AK195" s="472"/>
      <c r="AL195" s="471"/>
      <c r="AM195" s="473">
        <f t="shared" si="513"/>
        <v>474.44695720875893</v>
      </c>
      <c r="AN195" s="474" t="e">
        <f t="shared" si="514"/>
        <v>#N/A</v>
      </c>
      <c r="AO195" s="474"/>
      <c r="AP195" s="474"/>
      <c r="AQ195" s="475">
        <v>3</v>
      </c>
      <c r="AR195" s="474"/>
      <c r="AS195" s="474"/>
      <c r="AT195" s="471"/>
      <c r="AU195" s="492"/>
      <c r="AV195" s="471"/>
      <c r="AW195" s="510">
        <f t="shared" si="403"/>
        <v>0</v>
      </c>
      <c r="AX195" s="478"/>
      <c r="AY195" s="493"/>
      <c r="AZ195" s="480"/>
      <c r="BA195" s="493"/>
      <c r="BB195" s="478" t="str">
        <f>IF(OR(C195="",D195=""),"",VLOOKUP(C195,'Base de Diseño (2)'!$A$2:$D$330,4,FALSE))</f>
        <v/>
      </c>
      <c r="BC195" s="478" t="str">
        <f>IF(OR(C195="",D195=""),"",VLOOKUP(D195,'Base de Diseño (2)'!$A$2:$D$330,4,FALSE))</f>
        <v/>
      </c>
      <c r="BD195" s="23"/>
      <c r="BE195" s="23"/>
      <c r="BF195" s="494"/>
      <c r="BG195" s="494"/>
      <c r="BH195" s="495"/>
      <c r="BI195" s="495"/>
      <c r="BJ195" s="468"/>
      <c r="BK195" s="475"/>
      <c r="BL195" s="475"/>
      <c r="BM195" s="475"/>
      <c r="BN195" s="475"/>
      <c r="BO195" s="204"/>
      <c r="BP195" s="496"/>
      <c r="BQ195" s="497"/>
      <c r="BR195" s="497"/>
      <c r="BS195" s="475"/>
      <c r="BT195" s="475"/>
      <c r="BU195" s="475"/>
      <c r="BV195" s="475"/>
      <c r="BW195" s="475"/>
      <c r="BX195" s="475"/>
      <c r="BY195" s="475"/>
      <c r="BZ195" s="475"/>
      <c r="CA195" s="471"/>
      <c r="CB195" s="471"/>
      <c r="CC195" s="471" t="e">
        <f t="shared" si="515"/>
        <v>#DIV/0!</v>
      </c>
      <c r="CD195" s="471"/>
      <c r="CE195" s="471"/>
      <c r="CF195" s="471"/>
      <c r="CG195" s="471"/>
      <c r="CH195" s="471"/>
      <c r="CI195" s="471"/>
      <c r="CJ195" s="471"/>
      <c r="CK195" s="468"/>
      <c r="CL195" s="482" t="s">
        <v>2507</v>
      </c>
      <c r="CM195" s="482"/>
      <c r="CN195" s="63"/>
      <c r="CO195" s="498"/>
      <c r="CP195" s="472"/>
      <c r="CQ195" s="482"/>
      <c r="CR195" s="204"/>
      <c r="CS195" s="486"/>
      <c r="CT195" s="486"/>
      <c r="CU195" s="23"/>
      <c r="CV195" s="499"/>
      <c r="CW195" s="488"/>
      <c r="CX195" s="204"/>
      <c r="CY195" s="482"/>
      <c r="CZ195" s="482"/>
      <c r="DA195" s="482"/>
      <c r="DB195" s="490"/>
    </row>
    <row r="196" spans="1:106" ht="15" hidden="1" customHeight="1">
      <c r="A196" s="465">
        <f>+A194+1</f>
        <v>124</v>
      </c>
      <c r="B196" s="491">
        <v>1</v>
      </c>
      <c r="C196" s="466" t="s">
        <v>2345</v>
      </c>
      <c r="D196" s="466" t="s">
        <v>2517</v>
      </c>
      <c r="E196" s="468"/>
      <c r="F196" s="468"/>
      <c r="G196" s="468">
        <f>IF(B196=1,0,SUMIF($D$22:$D$583,C196,$H$22:$H$583))</f>
        <v>0</v>
      </c>
      <c r="H196" s="468">
        <f>+E196+F196+G196</f>
        <v>0</v>
      </c>
      <c r="I196" s="468"/>
      <c r="J196" s="468"/>
      <c r="K196" s="467">
        <f>+IF(B196=1,0,SUMIF($D$22:$D$583,C196,$L$22:$L$580))</f>
        <v>0</v>
      </c>
      <c r="L196" s="468">
        <f>+I196+J196+K196</f>
        <v>0</v>
      </c>
      <c r="M196" s="469">
        <f>+$P$12</f>
        <v>242.33666300502347</v>
      </c>
      <c r="N196" s="470">
        <f>M196*E196</f>
        <v>0</v>
      </c>
      <c r="O196" s="470">
        <f>M196*F196</f>
        <v>0</v>
      </c>
      <c r="P196" s="470">
        <f>M196*H196</f>
        <v>0</v>
      </c>
      <c r="Q196" s="469">
        <f>+$H$14</f>
        <v>140</v>
      </c>
      <c r="R196" s="471">
        <f>Q196*P196*$P$14/86400</f>
        <v>0</v>
      </c>
      <c r="S196" s="471"/>
      <c r="T196" s="471"/>
      <c r="U196" s="471">
        <f>IF(C196="","",T196*$P$17)</f>
        <v>0</v>
      </c>
      <c r="V196" s="471"/>
      <c r="W196" s="471"/>
      <c r="X196" s="471">
        <f>IF(C196="","",W196*$P$16)</f>
        <v>0</v>
      </c>
      <c r="Y196" s="471">
        <f>IF(H196=0,0,$H$15*H196)</f>
        <v>0</v>
      </c>
      <c r="Z196" s="471">
        <f>IF(L196=0,$H$16*H196,0)</f>
        <v>0</v>
      </c>
      <c r="AA196" s="471">
        <f t="shared" si="362"/>
        <v>3.8</v>
      </c>
      <c r="AB196" s="471">
        <f>R196*AA196</f>
        <v>0</v>
      </c>
      <c r="AC196" s="471">
        <f>Q196*(N196+O196)*$P$14/86400</f>
        <v>0</v>
      </c>
      <c r="AD196" s="471">
        <f>IF(E196=0,0,$H$15*(E196+F196))</f>
        <v>0</v>
      </c>
      <c r="AE196" s="471">
        <f>IF(F196=0,0,$H$15*(F196+G196))</f>
        <v>0</v>
      </c>
      <c r="AF196" s="510">
        <f t="shared" si="361"/>
        <v>3.8</v>
      </c>
      <c r="AG196" s="471">
        <f>AC196*AF196</f>
        <v>0</v>
      </c>
      <c r="AH196" s="471">
        <f>+AD196+AE196+AG196</f>
        <v>0</v>
      </c>
      <c r="AI196" s="471">
        <f>IF(H196="","",IF(AB196+Y196+Z196+X196+U196&lt;1.5,1.5,AB196+Y196+Z196+X196+U196))</f>
        <v>1.5</v>
      </c>
      <c r="AJ196" s="471">
        <f>+$P$17</f>
        <v>0.75</v>
      </c>
      <c r="AK196" s="472" t="e">
        <f>+BK196/100</f>
        <v>#N/A</v>
      </c>
      <c r="AL196" s="471" t="e">
        <f>IF(AJ196=0," ",0.14+0.65*AJ196+0.05*AK196)</f>
        <v>#N/A</v>
      </c>
      <c r="AM196" s="473" t="e">
        <f t="shared" si="513"/>
        <v>#N/A</v>
      </c>
      <c r="AN196" s="474" t="e">
        <f t="shared" si="514"/>
        <v>#N/A</v>
      </c>
      <c r="AO196" s="474" t="e">
        <f>((1/60)*$AX196/$AQ196)</f>
        <v>#N/A</v>
      </c>
      <c r="AP196" s="474" t="e">
        <f>IF(B196=1,IF(($AN196+$AO196)&lt;10,10,IF(($AN196+$AO196)&gt;20,20,($AN196+$AO196))),($AN196+$AO196))</f>
        <v>#N/A</v>
      </c>
      <c r="AQ196" s="475">
        <v>3</v>
      </c>
      <c r="AR196" s="474" t="e">
        <f>((1/60)*$AX196/$BT196)</f>
        <v>#N/A</v>
      </c>
      <c r="AS196" s="474" t="e">
        <f>AO196/AR196</f>
        <v>#N/A</v>
      </c>
      <c r="AT196" s="471" t="e">
        <f>IF(AS196&lt;0.9,"Disminuir vel.",IF(AS196&gt;1.1,"Aumentar vel.","Cumple"))</f>
        <v>#N/A</v>
      </c>
      <c r="AU196" s="492" t="e">
        <f>+I196*AL196*AM196</f>
        <v>#N/A</v>
      </c>
      <c r="AV196" s="471" t="e">
        <f>+L196*AL196*AM196</f>
        <v>#N/A</v>
      </c>
      <c r="AW196" s="510" t="e">
        <f t="shared" si="403"/>
        <v>#N/A</v>
      </c>
      <c r="AX196" s="478" t="e">
        <f>IF(OR(C196="",D196=""),"",ROUND(((VLOOKUP(C196,'Base de Diseño (2)'!$A$2:$C$333,2,FALSE)-VLOOKUP(D196,'Base de Diseño (2)'!$A$2:$C$333,2,FALSE))^2+(VLOOKUP(C196,'Base de Diseño (2)'!$A$2:$C$333,3,0)-VLOOKUP(D196,'Base de Diseño (2)'!$A$2:$C$333,3,FALSE))^2)^0.5,2))</f>
        <v>#N/A</v>
      </c>
      <c r="AY196" s="493">
        <v>10</v>
      </c>
      <c r="AZ196" s="480">
        <f>IF(AND(L196="",H196=""),"",IF(BA196=4,VLOOKUP(AY196,'TABLA (2)'!$A$74:$C$89,2),IF(BA196=5,VLOOKUP(AY196,'TABLA (2)'!$A$51:$B$66,2),IF(BA196=6,VLOOKUP(AY196,'TABLA (2)'!$A$9:$B$43,2)))))</f>
        <v>250</v>
      </c>
      <c r="BA196" s="493">
        <v>6</v>
      </c>
      <c r="BB196" s="478">
        <f>IF(OR(C196="",D196=""),"",VLOOKUP(C196,'Base de Diseño (2)'!$A$2:$D$330,4,FALSE))</f>
        <v>987.73900000000003</v>
      </c>
      <c r="BC196" s="478" t="e">
        <f>IF(OR(C196="",D196=""),"",VLOOKUP(D196,'Base de Diseño (2)'!$A$2:$D$330,4,FALSE))</f>
        <v>#N/A</v>
      </c>
      <c r="BD196" s="23">
        <f>+BF196-((AZ196/1000)+CX196)</f>
        <v>1.2729999999999455</v>
      </c>
      <c r="BE196" s="23">
        <f>+BG196-((AZ196/1000)+CX196)</f>
        <v>1.3130000000000228</v>
      </c>
      <c r="BF196" s="494">
        <v>1.5599999999999454</v>
      </c>
      <c r="BG196" s="494">
        <v>1.6000000000000227</v>
      </c>
      <c r="BH196" s="495">
        <f>BB196-BF196</f>
        <v>986.17900000000009</v>
      </c>
      <c r="BI196" s="495" t="e">
        <f>BC196-BG196</f>
        <v>#N/A</v>
      </c>
      <c r="BJ196" s="468" t="e">
        <f>IF(A196="",0,BI196-BH197)</f>
        <v>#N/A</v>
      </c>
      <c r="BK196" s="475" t="e">
        <f>ABS((BB196-BC196)/AX196)*100</f>
        <v>#N/A</v>
      </c>
      <c r="BL196" s="475" t="e">
        <f>((BH196-BI196)/AX196)*100</f>
        <v>#N/A</v>
      </c>
      <c r="BM196" s="475" t="e">
        <f>IF(BA196=6,(1/0.013)*((AZ196/4000)^(2/3))*((BL196/100)^(0.5)),(1/0.009)*((AZ196/4000)^(2/3))*((BL196/100)^(0.5)))</f>
        <v>#N/A</v>
      </c>
      <c r="BN196" s="475" t="e">
        <f>1000*BM196*PI()*((AZ196/1000/2)^2)</f>
        <v>#N/A</v>
      </c>
      <c r="BO196" s="204" t="e">
        <f>AI196/BN196</f>
        <v>#N/A</v>
      </c>
      <c r="BP196" s="496" t="str">
        <f>IF(L196=0," ",AW196/BN196)</f>
        <v xml:space="preserve"> </v>
      </c>
      <c r="BQ196" s="497" t="e">
        <f>IF($BO196&gt;0 =AND($BO196&lt;=0.06),10^(0.029806+0.29095*LOG($BO196)),IF($BO196&gt;0.06 =AND($BO196&lt;=0.26),10^(0.013778+0.282597*LOG($BO196)),IF($BO196&gt;0.26 =AND($BO196&lt;=0.91),10^(0.021763+0.28995*LOG($BO196)),1)))</f>
        <v>#N/A</v>
      </c>
      <c r="BR196" s="497" t="str">
        <f>IF($BP196&gt;0 =AND($BP196&lt;=0.06),10^(0.029806+0.29095*LOG($BP196)),IF($BP196&gt;0.06 =AND($BP196&lt;=0.26),10^(0.013778+0.282597*LOG($BP196)),IF($BP196&gt;0.26 =AND($BP196&lt;=2),10^(0.021763+0.28995*LOG($BP196))," ")))</f>
        <v xml:space="preserve"> </v>
      </c>
      <c r="BS196" s="475" t="e">
        <f>BM196*BQ196</f>
        <v>#N/A</v>
      </c>
      <c r="BT196" s="475" t="str">
        <f>IF(BP196=" "," ",(BM196*BR196))</f>
        <v xml:space="preserve"> </v>
      </c>
      <c r="BU196" s="475" t="e">
        <f>IF(BO196&lt;=0.11,0.3827+0.0645*LN(BO196),IF(BO196&lt;=0.21,0.60025+0.15471*LN(BO196),IF(BO196&lt;1,0.225+0.6666666667*BO196,0)))</f>
        <v>#N/A</v>
      </c>
      <c r="BV196" s="475" t="str">
        <f>IF(BP196&lt;=0.11,0.3827+0.0645*LN(BP196),IF(BP196&lt;=0.21,0.60025+0.15471*LN(BP196),IF(BP196&lt;1,0.225+0.6666666667*BP196," ")))</f>
        <v xml:space="preserve"> </v>
      </c>
      <c r="BW196" s="475" t="e">
        <f>2*ACOS(1-2*(BU196))</f>
        <v>#N/A</v>
      </c>
      <c r="BX196" s="475" t="str">
        <f>IF(BP196=" "," ",(2*ACOS(1-2*(BV196))))</f>
        <v xml:space="preserve"> </v>
      </c>
      <c r="BY196" s="475" t="e">
        <f>(1/4)*(1-(SIN(BW196))/BW196)</f>
        <v>#N/A</v>
      </c>
      <c r="BZ196" s="475" t="str">
        <f>IF(BP196=" "," ",((1/4)*(1-(SIN(BX196))/BX196)))</f>
        <v xml:space="preserve"> </v>
      </c>
      <c r="CA196" s="471" t="e">
        <f>BY196*AZ196/1000</f>
        <v>#N/A</v>
      </c>
      <c r="CB196" s="471" t="str">
        <f>IF(BP196=" "," ",(BZ196*AZ196/1000))</f>
        <v xml:space="preserve"> </v>
      </c>
      <c r="CC196" s="471" t="e">
        <f t="shared" si="515"/>
        <v>#VALUE!</v>
      </c>
      <c r="CD196" s="471" t="e">
        <f>IF(CC196="","",IF(CC196&lt;0.7,"F. Subcrítico",IF(AND(CC196&gt;0.7,CC196&lt;1),"F. Subcrítico Inestable",IF(CC196=1,"F. Crítico",IF(AND(CC196&gt;1,CC196&lt;1.5),"F. Supercrítico Inestable",IF(CC196&gt;1.5,"F. Supercrítico",""))))))</f>
        <v>#VALUE!</v>
      </c>
      <c r="CE196" s="471" t="e">
        <f>1000*BL196*CA196/100</f>
        <v>#N/A</v>
      </c>
      <c r="CF196" s="471" t="str">
        <f>IF(BP196=" "," ",(1000*BL196*CB196/100))</f>
        <v xml:space="preserve"> </v>
      </c>
      <c r="CG196" s="471" t="e">
        <f>IF(BS196&lt;0.45,"No cumple",IF(BS196&gt;5,"No cumple","O.K"))</f>
        <v>#N/A</v>
      </c>
      <c r="CH196" s="471" t="str">
        <f>IF(BT196&lt;0.75,"No cumple",IF(BT196&gt;10,"No cumple","O.K"))</f>
        <v>No cumple</v>
      </c>
      <c r="CI196" s="471" t="e">
        <f>IF(CE196&gt;0.1,"OK","V.C.H.")</f>
        <v>#N/A</v>
      </c>
      <c r="CJ196" s="471" t="str">
        <f>IF(CF196&gt;0.2,"OK","V.C.H.")</f>
        <v>OK</v>
      </c>
      <c r="CK196" s="468" t="e">
        <f>+BJ196</f>
        <v>#N/A</v>
      </c>
      <c r="CL196" s="482" t="s">
        <v>2507</v>
      </c>
      <c r="CM196" s="482"/>
      <c r="CN196" s="63" t="str">
        <f>IF(B196=1,"dato"," ")</f>
        <v>dato</v>
      </c>
      <c r="CO196" s="498" t="e">
        <f>+CR196</f>
        <v>#N/A</v>
      </c>
      <c r="CP196" s="472" t="e">
        <f>+BK196/100</f>
        <v>#N/A</v>
      </c>
      <c r="CQ196" s="482" t="s">
        <v>2508</v>
      </c>
      <c r="CR196" s="204" t="e">
        <f>IF(BA196="","",AX196)</f>
        <v>#N/A</v>
      </c>
      <c r="CS196" s="486">
        <v>1.2</v>
      </c>
      <c r="CT196" s="486">
        <v>1.2</v>
      </c>
      <c r="CU196" s="23" t="e">
        <f>IF($BA196="","",SQRT((BH196-BI196)^2+$CR196^2))</f>
        <v>#N/A</v>
      </c>
      <c r="CV196" s="499" t="s">
        <v>2509</v>
      </c>
      <c r="CW196" s="488" t="str">
        <f>+IF(BD196&lt;=0.9,"E1",IF(BD196&lt;=2.5,"E2","E3"))</f>
        <v>E2</v>
      </c>
      <c r="CX196" s="204">
        <f>IF(AND(L196="",H196=""),"",IF(AND(BA196&lt;&gt;4,BA196&lt;&gt;5),VLOOKUP(AY196,'TABLA (2)'!$A$9:$D$43,4),IF(BA196=4,VLOOKUP(AY196,'TABLA (2)'!$A$74:$D$89,4),VLOOKUP(AY196,'TABLA (2)'!$A$51:$D$66,4))))</f>
        <v>3.6999999999999998E-2</v>
      </c>
      <c r="CY196" s="482"/>
      <c r="CZ196" s="482"/>
      <c r="DA196" s="482"/>
      <c r="DB196" s="490"/>
    </row>
    <row r="197" spans="1:106" ht="15" hidden="1" customHeight="1">
      <c r="A197" s="465">
        <f>+A196+1</f>
        <v>125</v>
      </c>
      <c r="B197" s="491"/>
      <c r="C197" s="466" t="s">
        <v>2517</v>
      </c>
      <c r="D197" s="466" t="s">
        <v>2516</v>
      </c>
      <c r="E197" s="468">
        <v>0.34531239209999998</v>
      </c>
      <c r="F197" s="468"/>
      <c r="G197" s="468">
        <f>IF(B197=1,0,SUMIF($D$22:$D$583,C197,$H$22:$H$583))</f>
        <v>0</v>
      </c>
      <c r="H197" s="468">
        <f>+E197+F197+G197</f>
        <v>0.34531239209999998</v>
      </c>
      <c r="I197" s="468">
        <v>0.34531239209999998</v>
      </c>
      <c r="J197" s="468"/>
      <c r="K197" s="467">
        <f ca="1">+IF(B197=1,0,SUMIF($D$22:$D$583,C197,$L$22:$L$580))</f>
        <v>0</v>
      </c>
      <c r="L197" s="468">
        <f ca="1">+I197+J197+K197</f>
        <v>0.34531239209999998</v>
      </c>
      <c r="M197" s="469">
        <f>+$P$12</f>
        <v>242.33666300502347</v>
      </c>
      <c r="N197" s="470">
        <f>M197*E197</f>
        <v>83.681852795796217</v>
      </c>
      <c r="O197" s="470">
        <f>M197*F197</f>
        <v>0</v>
      </c>
      <c r="P197" s="470">
        <f>M197*H197</f>
        <v>83.681852795796217</v>
      </c>
      <c r="Q197" s="469">
        <f>+$H$14</f>
        <v>140</v>
      </c>
      <c r="R197" s="471">
        <f>Q197*P197*$P$14/86400</f>
        <v>0.11525625558680265</v>
      </c>
      <c r="S197" s="471"/>
      <c r="T197" s="471"/>
      <c r="U197" s="471">
        <f>IF(C197="","",T197*$P$17)</f>
        <v>0</v>
      </c>
      <c r="V197" s="471"/>
      <c r="W197" s="471"/>
      <c r="X197" s="471">
        <f>IF(C197="","",W197*$P$16)</f>
        <v>0</v>
      </c>
      <c r="Y197" s="471">
        <f>IF(H197=0,0,$H$15*H197)</f>
        <v>6.9062478420000004E-2</v>
      </c>
      <c r="Z197" s="471">
        <f ca="1">IF(L197=0,$H$16*H197,0)</f>
        <v>0</v>
      </c>
      <c r="AA197" s="471">
        <f t="shared" si="362"/>
        <v>3.8</v>
      </c>
      <c r="AB197" s="471">
        <f>R197*AA197</f>
        <v>0.43797377122985004</v>
      </c>
      <c r="AC197" s="471">
        <f>Q197*(N197+O197)*$P$14/86400</f>
        <v>0.11525625558680265</v>
      </c>
      <c r="AD197" s="471">
        <f>IF(E197=0,0,$H$15*(E197+F197))</f>
        <v>6.9062478420000004E-2</v>
      </c>
      <c r="AE197" s="471">
        <f>IF(F197=0,0,$H$15*(F197+G197))</f>
        <v>0</v>
      </c>
      <c r="AF197" s="510">
        <f t="shared" si="361"/>
        <v>3.8</v>
      </c>
      <c r="AG197" s="471">
        <f>AC197*AF197</f>
        <v>0.43797377122985004</v>
      </c>
      <c r="AH197" s="471">
        <f>+AD197+AE197+AG197</f>
        <v>0.50703624964985006</v>
      </c>
      <c r="AI197" s="471">
        <f ca="1">IF(H197="","",IF(AB197+Y197+Z197+X197+U197&lt;1.5,1.5,AB197+Y197+Z197+X197+U197))</f>
        <v>1.5</v>
      </c>
      <c r="AJ197" s="471">
        <f>+$P$17</f>
        <v>0.75</v>
      </c>
      <c r="AK197" s="472" t="e">
        <f>+BK197/100</f>
        <v>#N/A</v>
      </c>
      <c r="AL197" s="471" t="e">
        <f>IF(AJ197=0," ",0.14+0.65*AJ197+0.05*AK197)</f>
        <v>#N/A</v>
      </c>
      <c r="AM197" s="473" t="e">
        <f t="shared" si="513"/>
        <v>#N/A</v>
      </c>
      <c r="AN197" s="474" t="e">
        <f t="shared" si="514"/>
        <v>#N/A</v>
      </c>
      <c r="AO197" s="474" t="e">
        <f>((1/60)*$AX197/$AQ197)</f>
        <v>#N/A</v>
      </c>
      <c r="AP197" s="474" t="e">
        <f>IF(B197=1,IF(($AN197+$AO197)&lt;10,10,IF(($AN197+$AO197)&gt;20,20,($AN197+$AO197))),($AN197+$AO197))</f>
        <v>#N/A</v>
      </c>
      <c r="AQ197" s="475">
        <v>3</v>
      </c>
      <c r="AR197" s="474" t="e">
        <f ca="1">((1/60)*$AX197/$BT197)</f>
        <v>#N/A</v>
      </c>
      <c r="AS197" s="474" t="e">
        <f ca="1">AO197/AR197</f>
        <v>#N/A</v>
      </c>
      <c r="AT197" s="471" t="e">
        <f ca="1">IF(AS197&lt;0.9,"Disminuir vel.",IF(AS197&gt;1.1,"Aumentar vel.","Cumple"))</f>
        <v>#N/A</v>
      </c>
      <c r="AU197" s="492" t="e">
        <f>+I197*AL197*AM197</f>
        <v>#N/A</v>
      </c>
      <c r="AV197" s="471" t="e">
        <f ca="1">+L197*AL197*AM197</f>
        <v>#N/A</v>
      </c>
      <c r="AW197" s="510" t="e">
        <f t="shared" ca="1" si="403"/>
        <v>#N/A</v>
      </c>
      <c r="AX197" s="478" t="e">
        <f>IF(OR(C197="",D197=""),"",ROUND(((VLOOKUP(C197,'Base de Diseño (2)'!$A$2:$C$333,2,FALSE)-VLOOKUP(D197,'Base de Diseño (2)'!$A$2:$C$333,2,FALSE))^2+(VLOOKUP(C197,'Base de Diseño (2)'!$A$2:$C$333,3,0)-VLOOKUP(D197,'Base de Diseño (2)'!$A$2:$C$333,3,FALSE))^2)^0.5,2))</f>
        <v>#N/A</v>
      </c>
      <c r="AY197" s="493">
        <v>12</v>
      </c>
      <c r="AZ197" s="480">
        <f ca="1">IF(AND(L197="",H197=""),"",IF(BA197=4,VLOOKUP(AY197,'TABLA (2)'!$A$74:$C$89,2),IF(BA197=5,VLOOKUP(AY197,'TABLA (2)'!$A$51:$B$66,2),IF(BA197=6,VLOOKUP(AY197,'TABLA (2)'!$A$9:$B$43,2)))))</f>
        <v>300</v>
      </c>
      <c r="BA197" s="493">
        <v>6</v>
      </c>
      <c r="BB197" s="478" t="e">
        <f>IF(OR(C197="",D197=""),"",VLOOKUP(C197,'Base de Diseño (2)'!$A$2:$D$330,4,FALSE))</f>
        <v>#N/A</v>
      </c>
      <c r="BC197" s="478" t="e">
        <f>IF(OR(C197="",D197=""),"",VLOOKUP(D197,'Base de Diseño (2)'!$A$2:$D$330,4,FALSE))</f>
        <v>#N/A</v>
      </c>
      <c r="BD197" s="23">
        <f ca="1">+BF197-((AZ197/1000)+CX197)</f>
        <v>1.2129999999999455</v>
      </c>
      <c r="BE197" s="23">
        <f ca="1">+BG197-((AZ197/1000)+CX197)</f>
        <v>1.4529999999999546</v>
      </c>
      <c r="BF197" s="494">
        <v>1.5599999999999454</v>
      </c>
      <c r="BG197" s="494">
        <v>1.7999999999999545</v>
      </c>
      <c r="BH197" s="495" t="e">
        <f>BB197-BF197</f>
        <v>#N/A</v>
      </c>
      <c r="BI197" s="495" t="e">
        <f>BC197-BG197</f>
        <v>#N/A</v>
      </c>
      <c r="BJ197" s="468" t="e">
        <f>IF(A197="",0,BI197-BH198)</f>
        <v>#N/A</v>
      </c>
      <c r="BK197" s="475" t="e">
        <f>ABS((BB197-BC197)/AX197)*100</f>
        <v>#N/A</v>
      </c>
      <c r="BL197" s="475" t="e">
        <f>((BH197-BI197)/AX197)*100</f>
        <v>#N/A</v>
      </c>
      <c r="BM197" s="475" t="e">
        <f ca="1">IF(BA197=6,(1/0.013)*((AZ197/4000)^(2/3))*((BL197/100)^(0.5)),(1/0.009)*((AZ197/4000)^(2/3))*((BL197/100)^(0.5)))</f>
        <v>#N/A</v>
      </c>
      <c r="BN197" s="475" t="e">
        <f ca="1">1000*BM197*PI()*((AZ197/1000/2)^2)</f>
        <v>#N/A</v>
      </c>
      <c r="BO197" s="204" t="e">
        <f ca="1">AI197/BN197</f>
        <v>#N/A</v>
      </c>
      <c r="BP197" s="496" t="e">
        <f ca="1">IF(L197=0," ",AW197/BN197)</f>
        <v>#N/A</v>
      </c>
      <c r="BQ197" s="497" t="e">
        <f ca="1">IF($BO197&gt;0 =AND($BO197&lt;=0.06),10^(0.029806+0.29095*LOG($BO197)),IF($BO197&gt;0.06 =AND($BO197&lt;=0.26),10^(0.013778+0.282597*LOG($BO197)),IF($BO197&gt;0.26 =AND($BO197&lt;=0.91),10^(0.021763+0.28995*LOG($BO197)),1)))</f>
        <v>#N/A</v>
      </c>
      <c r="BR197" s="497" t="e">
        <f ca="1">IF($BP197&gt;0 =AND($BP197&lt;=0.06),10^(0.029806+0.29095*LOG($BP197)),IF($BP197&gt;0.06 =AND($BP197&lt;=0.26),10^(0.013778+0.282597*LOG($BP197)),IF($BP197&gt;0.26 =AND($BP197&lt;=2),10^(0.021763+0.28995*LOG($BP197))," ")))</f>
        <v>#N/A</v>
      </c>
      <c r="BS197" s="475" t="e">
        <f ca="1">BM197*BQ197</f>
        <v>#N/A</v>
      </c>
      <c r="BT197" s="475" t="e">
        <f ca="1">IF(BP197=" "," ",(BM197*BR197))</f>
        <v>#N/A</v>
      </c>
      <c r="BU197" s="475" t="e">
        <f ca="1">IF(BO197&lt;=0.11,0.3827+0.0645*LN(BO197),IF(BO197&lt;=0.21,0.60025+0.15471*LN(BO197),IF(BO197&lt;1,0.225+0.6666666667*BO197,0)))</f>
        <v>#N/A</v>
      </c>
      <c r="BV197" s="475" t="e">
        <f ca="1">IF(BP197&lt;=0.11,0.3827+0.0645*LN(BP197),IF(BP197&lt;=0.21,0.60025+0.15471*LN(BP197),IF(BP197&lt;1,0.225+0.6666666667*BP197," ")))</f>
        <v>#N/A</v>
      </c>
      <c r="BW197" s="475" t="e">
        <f ca="1">2*ACOS(1-2*(BU197))</f>
        <v>#N/A</v>
      </c>
      <c r="BX197" s="475" t="e">
        <f ca="1">IF(BP197=" "," ",(2*ACOS(1-2*(BV197))))</f>
        <v>#N/A</v>
      </c>
      <c r="BY197" s="475" t="e">
        <f ca="1">(1/4)*(1-(SIN(BW197))/BW197)</f>
        <v>#N/A</v>
      </c>
      <c r="BZ197" s="475" t="e">
        <f ca="1">IF(BP197=" "," ",((1/4)*(1-(SIN(BX197))/BX197)))</f>
        <v>#N/A</v>
      </c>
      <c r="CA197" s="471" t="e">
        <f ca="1">BY197*AZ197/1000</f>
        <v>#N/A</v>
      </c>
      <c r="CB197" s="471" t="e">
        <f ca="1">IF(BP197=" "," ",(BZ197*AZ197/1000))</f>
        <v>#N/A</v>
      </c>
      <c r="CC197" s="471" t="e">
        <f t="shared" ca="1" si="515"/>
        <v>#N/A</v>
      </c>
      <c r="CD197" s="471" t="e">
        <f ca="1">IF(CC197="","",IF(CC197&lt;0.7,"F. Subcrítico",IF(AND(CC197&gt;0.7,CC197&lt;1),"F. Subcrítico Inestable",IF(CC197=1,"F. Crítico",IF(AND(CC197&gt;1,CC197&lt;1.5),"F. Supercrítico Inestable",IF(CC197&gt;1.5,"F. Supercrítico",""))))))</f>
        <v>#N/A</v>
      </c>
      <c r="CE197" s="471" t="e">
        <f ca="1">1000*BL197*CA197/100</f>
        <v>#N/A</v>
      </c>
      <c r="CF197" s="471" t="e">
        <f ca="1">IF(BP197=" "," ",(1000*BL197*CB197/100))</f>
        <v>#N/A</v>
      </c>
      <c r="CG197" s="471" t="e">
        <f ca="1">IF(BS197&lt;0.45,"No cumple",IF(BS197&gt;5,"No cumple","O.K"))</f>
        <v>#N/A</v>
      </c>
      <c r="CH197" s="471" t="e">
        <f ca="1">IF(BT197&lt;0.75,"No cumple",IF(BT197&gt;10,"No cumple","O.K"))</f>
        <v>#N/A</v>
      </c>
      <c r="CI197" s="471" t="e">
        <f ca="1">IF(CE197&gt;0.1,"OK","V.C.H.")</f>
        <v>#N/A</v>
      </c>
      <c r="CJ197" s="471" t="e">
        <f ca="1">IF(CF197&gt;0.2,"OK","V.C.H.")</f>
        <v>#N/A</v>
      </c>
      <c r="CK197" s="468" t="e">
        <f>+BJ197</f>
        <v>#N/A</v>
      </c>
      <c r="CL197" s="482" t="s">
        <v>2507</v>
      </c>
      <c r="CM197" s="482"/>
      <c r="CN197" s="63" t="str">
        <f>IF(B197=1,"dato"," ")</f>
        <v xml:space="preserve"> </v>
      </c>
      <c r="CO197" s="498" t="e">
        <f>+CR197</f>
        <v>#N/A</v>
      </c>
      <c r="CP197" s="472" t="e">
        <f>+BK197/100</f>
        <v>#N/A</v>
      </c>
      <c r="CQ197" s="482" t="s">
        <v>2508</v>
      </c>
      <c r="CR197" s="204" t="e">
        <f>IF(BA197="","",AX197)</f>
        <v>#N/A</v>
      </c>
      <c r="CS197" s="486">
        <v>1.2</v>
      </c>
      <c r="CT197" s="486">
        <v>1.2</v>
      </c>
      <c r="CU197" s="23" t="e">
        <f>IF($BA197="","",SQRT((BH197-BI197)^2+$CR197^2))</f>
        <v>#N/A</v>
      </c>
      <c r="CV197" s="499" t="s">
        <v>2509</v>
      </c>
      <c r="CW197" s="488" t="str">
        <f ca="1">+IF(BD197&lt;=0.9,"E1",IF(BD197&lt;=2.5,"E2","E3"))</f>
        <v>E2</v>
      </c>
      <c r="CX197" s="204">
        <f ca="1">IF(AND(L197="",H197=""),"",IF(AND(BA197&lt;&gt;4,BA197&lt;&gt;5),VLOOKUP(AY197,'TABLA (2)'!$A$9:$D$43,4),IF(BA197=4,VLOOKUP(AY197,'TABLA (2)'!$A$74:$D$89,4),VLOOKUP(AY197,'TABLA (2)'!$A$51:$D$66,4))))</f>
        <v>4.7E-2</v>
      </c>
      <c r="CY197" s="482"/>
      <c r="CZ197" s="482"/>
      <c r="DA197" s="482"/>
      <c r="DB197" s="490"/>
    </row>
    <row r="198" spans="1:106" ht="15" hidden="1" customHeight="1">
      <c r="A198" s="465"/>
      <c r="B198" s="491"/>
      <c r="C198" s="466"/>
      <c r="D198" s="466"/>
      <c r="E198" s="468"/>
      <c r="F198" s="468"/>
      <c r="G198" s="468"/>
      <c r="H198" s="468"/>
      <c r="I198" s="468"/>
      <c r="J198" s="468"/>
      <c r="K198" s="467"/>
      <c r="L198" s="468"/>
      <c r="M198" s="469"/>
      <c r="N198" s="470"/>
      <c r="O198" s="470"/>
      <c r="P198" s="470"/>
      <c r="Q198" s="469"/>
      <c r="R198" s="471"/>
      <c r="S198" s="471"/>
      <c r="T198" s="471"/>
      <c r="U198" s="471"/>
      <c r="V198" s="471"/>
      <c r="W198" s="471"/>
      <c r="X198" s="471"/>
      <c r="Y198" s="471"/>
      <c r="Z198" s="471"/>
      <c r="AA198" s="471" t="str">
        <f t="shared" si="362"/>
        <v/>
      </c>
      <c r="AB198" s="471"/>
      <c r="AC198" s="471"/>
      <c r="AD198" s="471"/>
      <c r="AE198" s="471"/>
      <c r="AF198" s="510" t="str">
        <f t="shared" si="361"/>
        <v/>
      </c>
      <c r="AG198" s="471"/>
      <c r="AH198" s="471"/>
      <c r="AI198" s="471"/>
      <c r="AJ198" s="471"/>
      <c r="AK198" s="472"/>
      <c r="AL198" s="471"/>
      <c r="AM198" s="473">
        <f t="shared" si="513"/>
        <v>474.44695720875893</v>
      </c>
      <c r="AN198" s="474" t="e">
        <f t="shared" si="514"/>
        <v>#N/A</v>
      </c>
      <c r="AO198" s="474"/>
      <c r="AP198" s="474"/>
      <c r="AQ198" s="475">
        <v>3</v>
      </c>
      <c r="AR198" s="474"/>
      <c r="AS198" s="474"/>
      <c r="AT198" s="471"/>
      <c r="AU198" s="492"/>
      <c r="AV198" s="471"/>
      <c r="AW198" s="510">
        <f t="shared" ref="AW198:AW227" si="516">ROUND(IF(AI198&gt;(AV198*0.05),(AV198+AI198),AV198),2)</f>
        <v>0</v>
      </c>
      <c r="AX198" s="478"/>
      <c r="AY198" s="493"/>
      <c r="AZ198" s="480"/>
      <c r="BA198" s="493"/>
      <c r="BB198" s="478" t="str">
        <f>IF(OR(C198="",D198=""),"",VLOOKUP(C198,'Base de Diseño (2)'!$A$2:$D$330,4,FALSE))</f>
        <v/>
      </c>
      <c r="BC198" s="478" t="str">
        <f>IF(OR(C198="",D198=""),"",VLOOKUP(D198,'Base de Diseño (2)'!$A$2:$D$330,4,FALSE))</f>
        <v/>
      </c>
      <c r="BD198" s="23"/>
      <c r="BE198" s="23"/>
      <c r="BF198" s="494"/>
      <c r="BG198" s="494"/>
      <c r="BH198" s="495"/>
      <c r="BI198" s="495"/>
      <c r="BJ198" s="468"/>
      <c r="BK198" s="475"/>
      <c r="BL198" s="475"/>
      <c r="BM198" s="475"/>
      <c r="BN198" s="475"/>
      <c r="BO198" s="204"/>
      <c r="BP198" s="496"/>
      <c r="BQ198" s="497"/>
      <c r="BR198" s="497"/>
      <c r="BS198" s="475"/>
      <c r="BT198" s="475"/>
      <c r="BU198" s="475"/>
      <c r="BV198" s="475"/>
      <c r="BW198" s="475"/>
      <c r="BX198" s="475"/>
      <c r="BY198" s="475"/>
      <c r="BZ198" s="475"/>
      <c r="CA198" s="471"/>
      <c r="CB198" s="471"/>
      <c r="CC198" s="471" t="e">
        <f t="shared" si="515"/>
        <v>#DIV/0!</v>
      </c>
      <c r="CD198" s="471"/>
      <c r="CE198" s="471"/>
      <c r="CF198" s="471"/>
      <c r="CG198" s="471"/>
      <c r="CH198" s="471"/>
      <c r="CI198" s="471"/>
      <c r="CJ198" s="471"/>
      <c r="CK198" s="468"/>
      <c r="CL198" s="482" t="s">
        <v>2507</v>
      </c>
      <c r="CM198" s="482"/>
      <c r="CN198" s="63"/>
      <c r="CO198" s="498"/>
      <c r="CP198" s="472"/>
      <c r="CQ198" s="482"/>
      <c r="CR198" s="204"/>
      <c r="CS198" s="486"/>
      <c r="CT198" s="486"/>
      <c r="CU198" s="23"/>
      <c r="CV198" s="499"/>
      <c r="CW198" s="488"/>
      <c r="CX198" s="204"/>
      <c r="CY198" s="482"/>
      <c r="CZ198" s="482"/>
      <c r="DA198" s="482"/>
      <c r="DB198" s="490"/>
    </row>
    <row r="199" spans="1:106" ht="15" hidden="1" customHeight="1">
      <c r="A199" s="465">
        <f>+A197+1</f>
        <v>126</v>
      </c>
      <c r="B199" s="491">
        <v>1</v>
      </c>
      <c r="C199" s="466" t="s">
        <v>2199</v>
      </c>
      <c r="D199" s="466" t="s">
        <v>2200</v>
      </c>
      <c r="E199" s="468">
        <v>0.37609662239999997</v>
      </c>
      <c r="F199" s="468">
        <v>1.4322137534999999</v>
      </c>
      <c r="G199" s="468">
        <f>IF(B199=1,0,SUMIF($D$22:$D$583,C199,$H$22:$H$583))</f>
        <v>0</v>
      </c>
      <c r="H199" s="468">
        <f>+E199+F199+G199</f>
        <v>1.8083103758999999</v>
      </c>
      <c r="I199" s="468">
        <v>0.37609662239999997</v>
      </c>
      <c r="J199" s="468"/>
      <c r="K199" s="467">
        <f>+IF(B199=1,0,SUMIF($D$22:$D$583,C199,$L$22:$L$580))</f>
        <v>0</v>
      </c>
      <c r="L199" s="468">
        <f>+I199+J199+K199</f>
        <v>0.37609662239999997</v>
      </c>
      <c r="M199" s="469">
        <f>+$P$12</f>
        <v>242.33666300502347</v>
      </c>
      <c r="N199" s="470">
        <f>M199*E199</f>
        <v>91.142000439876355</v>
      </c>
      <c r="O199" s="470">
        <f>M199*F199</f>
        <v>347.07790173308922</v>
      </c>
      <c r="P199" s="470">
        <f>M199*H199</f>
        <v>438.21990217296559</v>
      </c>
      <c r="Q199" s="469">
        <f>+$Q$197</f>
        <v>140</v>
      </c>
      <c r="R199" s="471">
        <f>Q199*P199*$P$14/86400</f>
        <v>0.60356676340952431</v>
      </c>
      <c r="S199" s="471"/>
      <c r="T199" s="471"/>
      <c r="U199" s="471">
        <f>IF(C199="","",T199*$P$17)</f>
        <v>0</v>
      </c>
      <c r="V199" s="471"/>
      <c r="W199" s="471"/>
      <c r="X199" s="471">
        <f>IF(C199="","",W199*$P$16)</f>
        <v>0</v>
      </c>
      <c r="Y199" s="471">
        <f>IF(H199=0,0,$H$15*H199)</f>
        <v>0.36166207517999999</v>
      </c>
      <c r="Z199" s="471">
        <f>IF(L199=0,$H$16*H199,0)</f>
        <v>0</v>
      </c>
      <c r="AA199" s="471">
        <f t="shared" si="362"/>
        <v>3.8</v>
      </c>
      <c r="AB199" s="471">
        <f>R199*AA199</f>
        <v>2.2935537009561924</v>
      </c>
      <c r="AC199" s="471">
        <f>Q199*(N199+O199)*$P$14/86400</f>
        <v>0.60356676340952431</v>
      </c>
      <c r="AD199" s="471">
        <f t="shared" ref="AD199:AE202" si="517">IF(E199=0,0,$H$15*(E199+F199))</f>
        <v>0.36166207517999999</v>
      </c>
      <c r="AE199" s="471">
        <f t="shared" si="517"/>
        <v>0.28644275069999997</v>
      </c>
      <c r="AF199" s="510">
        <f t="shared" ref="AF199:AF262" si="518">IF(N199="","",IF(1+((14/(4+(((N199+O199)+O199)/1000)^1/2)))&lt;1.4,1.4,IF(1+((14/(4+((N199+O199)/1000)^1/2)))&gt;=3.8,3.8,(1+((14/(4+((N199+O199)/1000)^1/2)))))))</f>
        <v>3.8</v>
      </c>
      <c r="AG199" s="471">
        <f>AC199*AF199</f>
        <v>2.2935537009561924</v>
      </c>
      <c r="AH199" s="471">
        <f>+AD199+AE199+AG199</f>
        <v>2.9416585268361923</v>
      </c>
      <c r="AI199" s="471">
        <f>IF(H199="","",IF(AB199+Y199+Z199+X199+U199&lt;1.5,1.5,AB199+Y199+Z199+X199+U199))</f>
        <v>2.6552157761361923</v>
      </c>
      <c r="AJ199" s="471">
        <f>+$P$17</f>
        <v>0.75</v>
      </c>
      <c r="AK199" s="472">
        <f>+BK199/100</f>
        <v>4.5147362492959878E-2</v>
      </c>
      <c r="AL199" s="471">
        <f>IF(AJ199=0," ",0.14+0.65*AJ199+0.05*AK199)</f>
        <v>0.629757368124648</v>
      </c>
      <c r="AM199" s="473">
        <f t="shared" si="513"/>
        <v>336.32613267542746</v>
      </c>
      <c r="AN199" s="474">
        <f t="shared" si="514"/>
        <v>7.122252637661787</v>
      </c>
      <c r="AO199" s="474">
        <f>((1/60)*$AX199/$AQ199)</f>
        <v>0.59188888888888891</v>
      </c>
      <c r="AP199" s="474">
        <f>IF(B199=1,IF(($AN199+$AO199)&lt;10,10,IF(($AN199+$AO199)&gt;20,20,($AN199+$AO199))),($AN199+$AO199))</f>
        <v>10</v>
      </c>
      <c r="AQ199" s="475">
        <v>3</v>
      </c>
      <c r="AR199" s="474">
        <f>((1/60)*$AX199/$BT199)</f>
        <v>0.68074894959432308</v>
      </c>
      <c r="AS199" s="474">
        <f>AO199/AR199</f>
        <v>0.86946720849383852</v>
      </c>
      <c r="AT199" s="471" t="str">
        <f>IF(AS199&lt;0.9,"Disminuir vel.",IF(AS199&gt;1.1,"Aumentar vel.","Cumple"))</f>
        <v>Disminuir vel.</v>
      </c>
      <c r="AU199" s="492">
        <f>+I199*AL199*AM199</f>
        <v>79.658716411898595</v>
      </c>
      <c r="AV199" s="471">
        <f>+L199*AL199*AM199</f>
        <v>79.658716411898595</v>
      </c>
      <c r="AW199" s="510">
        <f t="shared" si="516"/>
        <v>79.66</v>
      </c>
      <c r="AX199" s="478">
        <f>IF(OR(C199="",D199=""),"",ROUND(((VLOOKUP(C199,'Base de Diseño (2)'!$A$2:$C$333,2,FALSE)-VLOOKUP(D199,'Base de Diseño (2)'!$A$2:$C$333,2,FALSE))^2+(VLOOKUP(C199,'Base de Diseño (2)'!$A$2:$C$333,3,0)-VLOOKUP(D199,'Base de Diseño (2)'!$A$2:$C$333,3,FALSE))^2)^0.5,2))</f>
        <v>106.54</v>
      </c>
      <c r="AY199" s="493">
        <v>8</v>
      </c>
      <c r="AZ199" s="480">
        <f>IF(AND(L199="",H199=""),"",IF(BA199=4,VLOOKUP(AY199,'TABLA (2)'!$A$74:$C$89,2),IF(BA199=5,VLOOKUP(AY199,'TABLA (2)'!$A$51:$B$66,2),IF(BA199=6,VLOOKUP(AY199,'TABLA (2)'!$A$9:$B$43,2)))))</f>
        <v>200</v>
      </c>
      <c r="BA199" s="493">
        <v>6</v>
      </c>
      <c r="BB199" s="478">
        <f>IF(OR(C199="",D199=""),"",VLOOKUP(C199,'Base de Diseño (2)'!$A$2:$D$330,4,FALSE))</f>
        <v>989.45159999999998</v>
      </c>
      <c r="BC199" s="478">
        <f>IF(OR(C199="",D199=""),"",VLOOKUP(D199,'Base de Diseño (2)'!$A$2:$D$330,4,FALSE))</f>
        <v>984.64160000000004</v>
      </c>
      <c r="BD199" s="23">
        <f>+BF199-((AZ199/1000)+CX199)</f>
        <v>1.2629999999999999</v>
      </c>
      <c r="BE199" s="23">
        <f>+BG199-((AZ199/1000)+CX199)</f>
        <v>2.3630000000000226</v>
      </c>
      <c r="BF199" s="494">
        <v>1.5</v>
      </c>
      <c r="BG199" s="494">
        <v>2.6000000000000227</v>
      </c>
      <c r="BH199" s="495">
        <f t="shared" ref="BH199:BI202" si="519">BB199-BF199</f>
        <v>987.95159999999998</v>
      </c>
      <c r="BI199" s="495">
        <f t="shared" si="519"/>
        <v>982.04160000000002</v>
      </c>
      <c r="BJ199" s="468">
        <f>IF(A199="",0,BI199-BH200)</f>
        <v>-5.0000000000068212E-2</v>
      </c>
      <c r="BK199" s="475">
        <f>ABS((BB199-BC199)/AX199)*100</f>
        <v>4.5147362492959875</v>
      </c>
      <c r="BL199" s="475">
        <f>((BH199-BI199)/AX199)*100</f>
        <v>5.5472123146235859</v>
      </c>
      <c r="BM199" s="475">
        <f>IF(BA199=6,(1/0.013)*((AZ199/4000)^(2/3))*((BL199/100)^(0.5)),(1/0.009)*((AZ199/4000)^(2/3))*((BL199/100)^(0.5)))</f>
        <v>2.4588991196643541</v>
      </c>
      <c r="BN199" s="475">
        <f>1000*BM199*PI()*((AZ199/1000/2)^2)</f>
        <v>77.248594102559466</v>
      </c>
      <c r="BO199" s="204">
        <f>AI199/BN199</f>
        <v>3.4372350810824882E-2</v>
      </c>
      <c r="BP199" s="496">
        <f>IF(L199=0," ",AW199/BN199)</f>
        <v>1.0312161784360634</v>
      </c>
      <c r="BQ199" s="497">
        <f>IF($BO199&gt;0 =AND($BO199&lt;=0.06),10^(0.029806+0.29095*LOG($BO199)),IF($BO199&gt;0.06 =AND($BO199&lt;=0.26),10^(0.013778+0.282597*LOG($BO199)),IF($BO199&gt;0.26 =AND($BO199&lt;=0.91),10^(0.021763+0.28995*LOG($BO199)),1)))</f>
        <v>0.40171317645489329</v>
      </c>
      <c r="BR199" s="497">
        <f>IF($BP199&gt;0 =AND($BP199&lt;=0.06),10^(0.029806+0.29095*LOG($BP199)),IF($BP199&gt;0.06 =AND($BP199&lt;=0.26),10^(0.013778+0.282597*LOG($BP199)),IF($BP199&gt;0.26 =AND($BP199&lt;=2),10^(0.021763+0.28995*LOG($BP199))," ")))</f>
        <v>1.0608005853601545</v>
      </c>
      <c r="BS199" s="475">
        <f>BM199*BQ199</f>
        <v>0.98777217594250843</v>
      </c>
      <c r="BT199" s="475">
        <f>IF(BP199=" "," ",(BM199*BR199))</f>
        <v>2.6084016254815157</v>
      </c>
      <c r="BU199" s="475">
        <f>IF(BO199&lt;=0.11,0.3827+0.0645*LN(BO199),IF(BO199&lt;=0.21,0.60025+0.15471*LN(BO199),IF(BO199&lt;1,0.225+0.6666666667*BO199,0)))</f>
        <v>0.16530256983300795</v>
      </c>
      <c r="BV199" s="475" t="str">
        <f>IF(BP199&lt;=0.11,0.3827+0.0645*LN(BP199),IF(BP199&lt;=0.21,0.60025+0.15471*LN(BP199),IF(BP199&lt;1,0.225+0.6666666667*BP199," ")))</f>
        <v xml:space="preserve"> </v>
      </c>
      <c r="BW199" s="475">
        <f>2*ACOS(1-2*(BU199))</f>
        <v>1.6748047904172332</v>
      </c>
      <c r="BX199" s="475" t="e">
        <f>IF(BP199=" "," ",(2*ACOS(1-2*(BV199))))</f>
        <v>#VALUE!</v>
      </c>
      <c r="BY199" s="475">
        <f>(1/4)*(1-(SIN(BW199))/BW199)</f>
        <v>0.10153553421897982</v>
      </c>
      <c r="BZ199" s="475" t="e">
        <f>IF(BP199=" "," ",((1/4)*(1-(SIN(BX199))/BX199)))</f>
        <v>#VALUE!</v>
      </c>
      <c r="CA199" s="471">
        <f>BY199*AZ199/1000</f>
        <v>2.0307106843795966E-2</v>
      </c>
      <c r="CB199" s="471" t="e">
        <f>IF(BP199=" "," ",(BZ199*AZ199/1000))</f>
        <v>#VALUE!</v>
      </c>
      <c r="CC199" s="471" t="e">
        <f t="shared" si="515"/>
        <v>#VALUE!</v>
      </c>
      <c r="CD199" s="471" t="e">
        <f>IF(CC199="","",IF(CC199&lt;0.7,"F. Subcrítico",IF(AND(CC199&gt;0.7,CC199&lt;1),"F. Subcrítico Inestable",IF(CC199=1,"F. Crítico",IF(AND(CC199&gt;1,CC199&lt;1.5),"F. Supercrítico Inestable",IF(CC199&gt;1.5,"F. Supercrítico",""))))))</f>
        <v>#VALUE!</v>
      </c>
      <c r="CE199" s="471">
        <f>1000*BL199*CA199/100</f>
        <v>1.1264783315828188</v>
      </c>
      <c r="CF199" s="471" t="e">
        <f>IF(BP199=" "," ",(1000*BL199*CB199/100))</f>
        <v>#VALUE!</v>
      </c>
      <c r="CG199" s="471" t="str">
        <f>IF(BS199&lt;0.45,"No cumple",IF(BS199&gt;5,"No cumple","O.K"))</f>
        <v>O.K</v>
      </c>
      <c r="CH199" s="471" t="str">
        <f>IF(BT199&lt;0.75,"No cumple",IF(BT199&gt;10,"No cumple","O.K"))</f>
        <v>O.K</v>
      </c>
      <c r="CI199" s="471" t="str">
        <f>IF(CE199&gt;0.1,"OK","V.C.H.")</f>
        <v>OK</v>
      </c>
      <c r="CJ199" s="471" t="e">
        <f>IF(CF199&gt;0.2,"OK","V.C.H.")</f>
        <v>#VALUE!</v>
      </c>
      <c r="CK199" s="468">
        <f>+BJ199</f>
        <v>-5.0000000000068212E-2</v>
      </c>
      <c r="CL199" s="482" t="s">
        <v>2507</v>
      </c>
      <c r="CM199" s="482"/>
      <c r="CN199" s="63" t="str">
        <f>IF(B199=1,"dato"," ")</f>
        <v>dato</v>
      </c>
      <c r="CO199" s="498">
        <f>+CR199</f>
        <v>106.54</v>
      </c>
      <c r="CP199" s="472">
        <f>+BK199/100</f>
        <v>4.5147362492959878E-2</v>
      </c>
      <c r="CQ199" s="482" t="s">
        <v>2508</v>
      </c>
      <c r="CR199" s="204">
        <f>IF(BA199="","",AX199)</f>
        <v>106.54</v>
      </c>
      <c r="CS199" s="486">
        <v>1.2</v>
      </c>
      <c r="CT199" s="486">
        <v>1.2</v>
      </c>
      <c r="CU199" s="23">
        <f>IF($BA199="","",SQRT((BH199-BI199)^2+$CR199^2))</f>
        <v>106.70379421557605</v>
      </c>
      <c r="CV199" s="499" t="s">
        <v>2509</v>
      </c>
      <c r="CW199" s="488" t="str">
        <f>+IF(BD199&lt;=0.9,"E1",IF(BD199&lt;=2.5,"E2","E3"))</f>
        <v>E2</v>
      </c>
      <c r="CX199" s="204">
        <f>IF(AND(L199="",H199=""),"",IF(AND(BA199&lt;&gt;4,BA199&lt;&gt;5),VLOOKUP(AY199,'TABLA (2)'!$A$9:$D$43,4),IF(BA199=4,VLOOKUP(AY199,'TABLA (2)'!$A$74:$D$89,4),VLOOKUP(AY199,'TABLA (2)'!$A$51:$D$66,4))))</f>
        <v>3.6999999999999998E-2</v>
      </c>
      <c r="CY199" s="482"/>
      <c r="CZ199" s="482"/>
      <c r="DA199" s="482"/>
      <c r="DB199" s="490"/>
    </row>
    <row r="200" spans="1:106" ht="15" hidden="1" customHeight="1">
      <c r="A200" s="465">
        <f>+A199+1</f>
        <v>127</v>
      </c>
      <c r="B200" s="491"/>
      <c r="C200" s="466" t="s">
        <v>2200</v>
      </c>
      <c r="D200" s="466" t="s">
        <v>2201</v>
      </c>
      <c r="E200" s="468">
        <v>0.49803101129999994</v>
      </c>
      <c r="F200" s="468"/>
      <c r="G200" s="468">
        <f>IF(B200=1,0,SUMIF($D$22:$D$583,C200,$H$22:$H$583))</f>
        <v>2.4812640323999999</v>
      </c>
      <c r="H200" s="468">
        <f>+E200+F200+G200</f>
        <v>2.9792950436999996</v>
      </c>
      <c r="I200" s="468">
        <v>0.49803101129999994</v>
      </c>
      <c r="J200" s="468"/>
      <c r="K200" s="467">
        <f ca="1">+IF(B200=1,0,SUMIF($D$22:$D$583,C200,$L$22:$L$580))</f>
        <v>1.0490502789</v>
      </c>
      <c r="L200" s="468">
        <f ca="1">+I200+J200+K200</f>
        <v>1.5470812902</v>
      </c>
      <c r="M200" s="469">
        <f>+$P$12</f>
        <v>242.33666300502347</v>
      </c>
      <c r="N200" s="470">
        <f>M200*E200</f>
        <v>120.69117335145911</v>
      </c>
      <c r="O200" s="470">
        <f>M200*F200</f>
        <v>0</v>
      </c>
      <c r="P200" s="470">
        <f>M200*H200</f>
        <v>721.99241899766344</v>
      </c>
      <c r="Q200" s="469">
        <f>+$Q$197</f>
        <v>140</v>
      </c>
      <c r="R200" s="471">
        <f>Q200*P200*$P$14/86400</f>
        <v>0.99441085486946712</v>
      </c>
      <c r="S200" s="471"/>
      <c r="T200" s="471"/>
      <c r="U200" s="471">
        <f>IF(C200="","",T200*$P$17)</f>
        <v>0</v>
      </c>
      <c r="V200" s="471"/>
      <c r="W200" s="471"/>
      <c r="X200" s="471">
        <f>IF(C200="","",W200*$P$16)</f>
        <v>0</v>
      </c>
      <c r="Y200" s="471">
        <f>IF(H200=0,0,$H$15*H200)</f>
        <v>0.59585900873999997</v>
      </c>
      <c r="Z200" s="471">
        <f ca="1">IF(L200=0,$H$16*H200,0)</f>
        <v>0</v>
      </c>
      <c r="AA200" s="471">
        <f t="shared" si="362"/>
        <v>3.8</v>
      </c>
      <c r="AB200" s="471">
        <f>R200*AA200</f>
        <v>3.778761248503975</v>
      </c>
      <c r="AC200" s="471">
        <f>Q200*(N200+O200)*$P$14/86400</f>
        <v>0.16622974107434763</v>
      </c>
      <c r="AD200" s="471">
        <f t="shared" si="517"/>
        <v>9.9606202259999999E-2</v>
      </c>
      <c r="AE200" s="471">
        <f t="shared" si="517"/>
        <v>0</v>
      </c>
      <c r="AF200" s="510">
        <f t="shared" si="518"/>
        <v>3.8</v>
      </c>
      <c r="AG200" s="471">
        <f>AC200*AF200</f>
        <v>0.63167301608252091</v>
      </c>
      <c r="AH200" s="471">
        <f>+AD200+AE200+AG200</f>
        <v>0.73127921834252096</v>
      </c>
      <c r="AI200" s="471">
        <f ca="1">IF(H200="","",IF(AB200+Y200+Z200+X200+U200&lt;1.5,1.5,AB200+Y200+Z200+X200+U200))</f>
        <v>4.3746202572439747</v>
      </c>
      <c r="AJ200" s="471">
        <f>+$P$17</f>
        <v>0.75</v>
      </c>
      <c r="AK200" s="472">
        <f>+BK200/100</f>
        <v>2.1429203931638705E-2</v>
      </c>
      <c r="AL200" s="471">
        <f>IF(AJ200=0," ",0.14+0.65*AJ200+0.05*AK200)</f>
        <v>0.62857146019658194</v>
      </c>
      <c r="AM200" s="473">
        <f t="shared" si="513"/>
        <v>330.20712399785356</v>
      </c>
      <c r="AN200" s="474">
        <f t="shared" si="514"/>
        <v>10</v>
      </c>
      <c r="AO200" s="474">
        <f>((1/60)*$AX200/$AQ200)</f>
        <v>0.62738888888888888</v>
      </c>
      <c r="AP200" s="474">
        <f>IF(B200=1,IF(($AN200+$AO200)&lt;10,10,IF(($AN200+$AO200)&gt;20,20,($AN200+$AO200))),($AN200+$AO200))</f>
        <v>10.627388888888889</v>
      </c>
      <c r="AQ200" s="475">
        <v>3</v>
      </c>
      <c r="AR200" s="474">
        <f ca="1">((1/60)*$AX200/$BT200)</f>
        <v>0.75109005375052584</v>
      </c>
      <c r="AS200" s="474">
        <f ca="1">AO200/AR200</f>
        <v>0.83530448280610003</v>
      </c>
      <c r="AT200" s="471" t="str">
        <f ca="1">IF(AS200&lt;0.9,"Disminuir vel.",IF(AS200&gt;1.1,"Aumentar vel.","Cumple"))</f>
        <v>Disminuir vel.</v>
      </c>
      <c r="AU200" s="492">
        <f>+I200*AL200*AM200</f>
        <v>103.3707061685362</v>
      </c>
      <c r="AV200" s="471">
        <f ca="1">+L200*AL200*AM200</f>
        <v>321.11029602486144</v>
      </c>
      <c r="AW200" s="510">
        <f t="shared" ca="1" si="516"/>
        <v>321.11</v>
      </c>
      <c r="AX200" s="478">
        <f>IF(OR(C200="",D200=""),"",ROUND(((VLOOKUP(C200,'Base de Diseño (2)'!$A$2:$C$333,2,FALSE)-VLOOKUP(D200,'Base de Diseño (2)'!$A$2:$C$333,2,FALSE))^2+(VLOOKUP(C200,'Base de Diseño (2)'!$A$2:$C$333,3,0)-VLOOKUP(D200,'Base de Diseño (2)'!$A$2:$C$333,3,FALSE))^2)^0.5,2))</f>
        <v>112.93</v>
      </c>
      <c r="AY200" s="493">
        <v>14</v>
      </c>
      <c r="AZ200" s="480">
        <f ca="1">IF(AND(L200="",H200=""),"",IF(BA200=4,VLOOKUP(AY200,'TABLA (2)'!$A$74:$C$89,2),IF(BA200=5,VLOOKUP(AY200,'TABLA (2)'!$A$51:$B$66,2),IF(BA200=6,VLOOKUP(AY200,'TABLA (2)'!$A$9:$B$43,2)))))</f>
        <v>350</v>
      </c>
      <c r="BA200" s="493">
        <v>6</v>
      </c>
      <c r="BB200" s="478">
        <f>IF(OR(C200="",D200=""),"",VLOOKUP(C200,'Base de Diseño (2)'!$A$2:$D$330,4,FALSE))</f>
        <v>984.64160000000004</v>
      </c>
      <c r="BC200" s="478">
        <f>IF(OR(C200="",D200=""),"",VLOOKUP(D200,'Base de Diseño (2)'!$A$2:$D$330,4,FALSE))</f>
        <v>982.22160000000008</v>
      </c>
      <c r="BD200" s="23">
        <f ca="1">+BF200-((AZ200/1000)+CX200)</f>
        <v>2.1399999999999544</v>
      </c>
      <c r="BE200" s="23">
        <f ca="1">+BG200-((AZ200/1000)+CX200)</f>
        <v>1.84</v>
      </c>
      <c r="BF200" s="494">
        <v>2.5499999999999545</v>
      </c>
      <c r="BG200" s="494">
        <v>2.25</v>
      </c>
      <c r="BH200" s="495">
        <f t="shared" si="519"/>
        <v>982.09160000000008</v>
      </c>
      <c r="BI200" s="495">
        <f t="shared" si="519"/>
        <v>979.97160000000008</v>
      </c>
      <c r="BJ200" s="468">
        <f>IF(A200="",0,BI200-BH201)</f>
        <v>-2.25</v>
      </c>
      <c r="BK200" s="475">
        <f>ABS((BB200-BC200)/AX200)*100</f>
        <v>2.1429203931638705</v>
      </c>
      <c r="BL200" s="475">
        <f>((BH200-BI200)/AX200)*100</f>
        <v>1.877269104755162</v>
      </c>
      <c r="BM200" s="475">
        <f ca="1">IF(BA200=6,(1/0.013)*((AZ200/4000)^(2/3))*((BL200/100)^(0.5)),(1/0.009)*((AZ200/4000)^(2/3))*((BL200/100)^(0.5)))</f>
        <v>2.0772652187220473</v>
      </c>
      <c r="BN200" s="475">
        <f ca="1">1000*BM200*PI()*((AZ200/1000/2)^2)</f>
        <v>199.85633524002756</v>
      </c>
      <c r="BO200" s="204">
        <f ca="1">AI200/BN200</f>
        <v>2.1888824549845035E-2</v>
      </c>
      <c r="BP200" s="496">
        <f ca="1">IF(L200=0," ",AW200/BN200)</f>
        <v>1.606704133818659</v>
      </c>
      <c r="BQ200" s="497">
        <f ca="1">IF($BO200&gt;0 =AND($BO200&lt;=0.06),10^(0.029806+0.29095*LOG($BO200)),IF($BO200&gt;0.06 =AND($BO200&lt;=0.26),10^(0.013778+0.282597*LOG($BO200)),IF($BO200&gt;0.26 =AND($BO200&lt;=0.91),10^(0.021763+0.28995*LOG($BO200)),1)))</f>
        <v>0.35228464900037737</v>
      </c>
      <c r="BR200" s="497">
        <f ca="1">IF($BP200&gt;0 =AND($BP200&lt;=0.06),10^(0.029806+0.29095*LOG($BP200)),IF($BP200&gt;0.06 =AND($BP200&lt;=0.26),10^(0.013778+0.282597*LOG($BP200)),IF($BP200&gt;0.26 =AND($BP200&lt;=2),10^(0.021763+0.28995*LOG($BP200))," ")))</f>
        <v>1.2063521912526709</v>
      </c>
      <c r="BS200" s="475">
        <f ca="1">BM200*BQ200</f>
        <v>0.73178864845818858</v>
      </c>
      <c r="BT200" s="475">
        <f ca="1">IF(BP200=" "," ",(BM200*BR200))</f>
        <v>2.5059134484183003</v>
      </c>
      <c r="BU200" s="475">
        <f ca="1">IF(BO200&lt;=0.11,0.3827+0.0645*LN(BO200),IF(BO200&lt;=0.21,0.60025+0.15471*LN(BO200),IF(BO200&lt;1,0.225+0.6666666667*BO200,0)))</f>
        <v>0.13619525018289444</v>
      </c>
      <c r="BV200" s="475" t="str">
        <f ca="1">IF(BP200&lt;=0.11,0.3827+0.0645*LN(BP200),IF(BP200&lt;=0.21,0.60025+0.15471*LN(BP200),IF(BP200&lt;1,0.225+0.6666666667*BP200," ")))</f>
        <v xml:space="preserve"> </v>
      </c>
      <c r="BW200" s="475">
        <f ca="1">2*ACOS(1-2*(BU200))</f>
        <v>1.5119311690921606</v>
      </c>
      <c r="BX200" s="475" t="e">
        <f ca="1">IF(BP200=" "," ",(2*ACOS(1-2*(BV200))))</f>
        <v>#VALUE!</v>
      </c>
      <c r="BY200" s="475">
        <f ca="1">(1/4)*(1-(SIN(BW200))/BW200)</f>
        <v>8.4934954837237064E-2</v>
      </c>
      <c r="BZ200" s="475" t="e">
        <f ca="1">IF(BP200=" "," ",((1/4)*(1-(SIN(BX200))/BX200)))</f>
        <v>#VALUE!</v>
      </c>
      <c r="CA200" s="471">
        <f ca="1">BY200*AZ200/1000</f>
        <v>2.9727234193032973E-2</v>
      </c>
      <c r="CB200" s="471" t="e">
        <f ca="1">IF(BP200=" "," ",(BZ200*AZ200/1000))</f>
        <v>#VALUE!</v>
      </c>
      <c r="CC200" s="471" t="e">
        <f t="shared" ca="1" si="515"/>
        <v>#VALUE!</v>
      </c>
      <c r="CD200" s="471" t="e">
        <f ca="1">IF(CC200="","",IF(CC200&lt;0.7,"F. Subcrítico",IF(AND(CC200&gt;0.7,CC200&lt;1),"F. Subcrítico Inestable",IF(CC200=1,"F. Crítico",IF(AND(CC200&gt;1,CC200&lt;1.5),"F. Supercrítico Inestable",IF(CC200&gt;1.5,"F. Supercrítico",""))))))</f>
        <v>#VALUE!</v>
      </c>
      <c r="CE200" s="471">
        <f ca="1">1000*BL200*CA200/100</f>
        <v>0.55806018320402051</v>
      </c>
      <c r="CF200" s="471" t="e">
        <f ca="1">IF(BP200=" "," ",(1000*BL200*CB200/100))</f>
        <v>#VALUE!</v>
      </c>
      <c r="CG200" s="471" t="str">
        <f ca="1">IF(BS200&lt;0.45,"No cumple",IF(BS200&gt;5,"No cumple","O.K"))</f>
        <v>O.K</v>
      </c>
      <c r="CH200" s="471" t="str">
        <f ca="1">IF(BT200&lt;0.75,"No cumple",IF(BT200&gt;10,"No cumple","O.K"))</f>
        <v>O.K</v>
      </c>
      <c r="CI200" s="471" t="str">
        <f ca="1">IF(CE200&gt;0.1,"OK","V.C.H.")</f>
        <v>OK</v>
      </c>
      <c r="CJ200" s="471" t="e">
        <f ca="1">IF(CF200&gt;0.2,"OK","V.C.H.")</f>
        <v>#VALUE!</v>
      </c>
      <c r="CK200" s="468">
        <f>+BJ200</f>
        <v>-2.25</v>
      </c>
      <c r="CL200" s="482" t="s">
        <v>2507</v>
      </c>
      <c r="CM200" s="482"/>
      <c r="CN200" s="63" t="str">
        <f>IF(B200=1,"dato"," ")</f>
        <v xml:space="preserve"> </v>
      </c>
      <c r="CO200" s="498">
        <f>+CR200</f>
        <v>112.93</v>
      </c>
      <c r="CP200" s="472">
        <f>+BK200/100</f>
        <v>2.1429203931638705E-2</v>
      </c>
      <c r="CQ200" s="482" t="s">
        <v>2508</v>
      </c>
      <c r="CR200" s="204">
        <f>IF(BA200="","",AX200)</f>
        <v>112.93</v>
      </c>
      <c r="CS200" s="486">
        <v>1.2</v>
      </c>
      <c r="CT200" s="486">
        <v>1.2</v>
      </c>
      <c r="CU200" s="23">
        <f>IF($BA200="","",SQRT((BH200-BI200)^2+$CR200^2))</f>
        <v>112.94989729964344</v>
      </c>
      <c r="CV200" s="499" t="s">
        <v>2509</v>
      </c>
      <c r="CW200" s="488" t="str">
        <f ca="1">+IF(BD200&lt;=0.9,"E1",IF(BD200&lt;=2.5,"E2","E3"))</f>
        <v>E2</v>
      </c>
      <c r="CX200" s="204">
        <f ca="1">IF(AND(L200="",H200=""),"",IF(AND(BA200&lt;&gt;4,BA200&lt;&gt;5),VLOOKUP(AY200,'TABLA (2)'!$A$9:$D$43,4),IF(BA200=4,VLOOKUP(AY200,'TABLA (2)'!$A$74:$D$89,4),VLOOKUP(AY200,'TABLA (2)'!$A$51:$D$66,4))))</f>
        <v>0.06</v>
      </c>
      <c r="CY200" s="482"/>
      <c r="CZ200" s="482"/>
      <c r="DA200" s="482"/>
      <c r="DB200" s="490"/>
    </row>
    <row r="201" spans="1:106" ht="15" hidden="1" customHeight="1">
      <c r="A201" s="465">
        <f>+A200+1</f>
        <v>128</v>
      </c>
      <c r="B201" s="491"/>
      <c r="C201" s="466" t="s">
        <v>2201</v>
      </c>
      <c r="D201" s="466" t="s">
        <v>2518</v>
      </c>
      <c r="E201" s="468">
        <v>0.36285087329999999</v>
      </c>
      <c r="F201" s="468"/>
      <c r="G201" s="468">
        <f>IF(B201=1,0,SUMIF($D$22:$D$583,C201,$H$22:$H$583))</f>
        <v>3.3169280760999995</v>
      </c>
      <c r="H201" s="468">
        <f>+E201+F201+G201</f>
        <v>3.6797789493999993</v>
      </c>
      <c r="I201" s="468">
        <v>0.36285087329999999</v>
      </c>
      <c r="J201" s="468"/>
      <c r="K201" s="467">
        <f ca="1">+IF(B201=1,0,SUMIF($D$22:$D$583,C201,$L$22:$L$580))</f>
        <v>1.8847143225999998</v>
      </c>
      <c r="L201" s="468">
        <f ca="1">+I201+J201+K201</f>
        <v>2.2475651959</v>
      </c>
      <c r="M201" s="469">
        <f>+$P$12</f>
        <v>242.33666300502347</v>
      </c>
      <c r="N201" s="470">
        <f>M201*E201</f>
        <v>87.932069803980568</v>
      </c>
      <c r="O201" s="470">
        <f>M201*F201</f>
        <v>0</v>
      </c>
      <c r="P201" s="470">
        <f>M201*H201</f>
        <v>891.74535119372695</v>
      </c>
      <c r="Q201" s="469">
        <f>+$Q$197</f>
        <v>140</v>
      </c>
      <c r="R201" s="471">
        <f>Q201*P201*$P$14/86400</f>
        <v>1.2282140832413602</v>
      </c>
      <c r="S201" s="471"/>
      <c r="T201" s="471"/>
      <c r="U201" s="471">
        <f>IF(C201="","",T201*$P$17)</f>
        <v>0</v>
      </c>
      <c r="V201" s="471"/>
      <c r="W201" s="471"/>
      <c r="X201" s="471">
        <f>IF(C201="","",W201*$P$16)</f>
        <v>0</v>
      </c>
      <c r="Y201" s="471">
        <f>IF(H201=0,0,$H$15*H201)</f>
        <v>0.73595578987999988</v>
      </c>
      <c r="Z201" s="471">
        <f ca="1">IF(L201=0,$H$16*H201,0)</f>
        <v>0</v>
      </c>
      <c r="AA201" s="471">
        <f t="shared" si="362"/>
        <v>3.8</v>
      </c>
      <c r="AB201" s="471">
        <f>R201*AA201</f>
        <v>4.6672135163171689</v>
      </c>
      <c r="AC201" s="471">
        <f>Q201*(N201+O201)*$P$14/86400</f>
        <v>0.12111014243835286</v>
      </c>
      <c r="AD201" s="471">
        <f t="shared" si="517"/>
        <v>7.257017466E-2</v>
      </c>
      <c r="AE201" s="471">
        <f t="shared" si="517"/>
        <v>0</v>
      </c>
      <c r="AF201" s="510">
        <f t="shared" si="518"/>
        <v>3.8</v>
      </c>
      <c r="AG201" s="471">
        <f>AC201*AF201</f>
        <v>0.46021854126574085</v>
      </c>
      <c r="AH201" s="471">
        <f>+AD201+AE201+AG201</f>
        <v>0.53278871592574084</v>
      </c>
      <c r="AI201" s="471">
        <f ca="1">IF(H201="","",IF(AB201+Y201+Z201+X201+U201&lt;1.5,1.5,AB201+Y201+Z201+X201+U201))</f>
        <v>5.4031693061971691</v>
      </c>
      <c r="AJ201" s="471">
        <f>+$P$17</f>
        <v>0.75</v>
      </c>
      <c r="AK201" s="472" t="e">
        <f>+BK201/100</f>
        <v>#N/A</v>
      </c>
      <c r="AL201" s="471" t="e">
        <f>IF(AJ201=0," ",0.14+0.65*AJ201+0.05*AK201)</f>
        <v>#N/A</v>
      </c>
      <c r="AM201" s="473" t="e">
        <f t="shared" si="513"/>
        <v>#N/A</v>
      </c>
      <c r="AN201" s="474">
        <f t="shared" si="514"/>
        <v>10.627388888888889</v>
      </c>
      <c r="AO201" s="474" t="e">
        <f>((1/60)*$AX201/$AQ201)</f>
        <v>#N/A</v>
      </c>
      <c r="AP201" s="474" t="e">
        <f>IF(B201=1,IF(($AN201+$AO201)&lt;10,10,IF(($AN201+$AO201)&gt;20,20,($AN201+$AO201))),($AN201+$AO201))</f>
        <v>#N/A</v>
      </c>
      <c r="AQ201" s="475">
        <v>3</v>
      </c>
      <c r="AR201" s="474" t="e">
        <f ca="1">((1/60)*$AX201/$BT201)</f>
        <v>#N/A</v>
      </c>
      <c r="AS201" s="474" t="e">
        <f ca="1">AO201/AR201</f>
        <v>#N/A</v>
      </c>
      <c r="AT201" s="471" t="e">
        <f ca="1">IF(AS201&lt;0.9,"Disminuir vel.",IF(AS201&gt;1.1,"Aumentar vel.","Cumple"))</f>
        <v>#N/A</v>
      </c>
      <c r="AU201" s="492" t="e">
        <f>+I201*AL201*AM201</f>
        <v>#N/A</v>
      </c>
      <c r="AV201" s="471" t="e">
        <f ca="1">+L201*AL201*AM201</f>
        <v>#N/A</v>
      </c>
      <c r="AW201" s="510" t="e">
        <f t="shared" ca="1" si="516"/>
        <v>#N/A</v>
      </c>
      <c r="AX201" s="478" t="e">
        <f>IF(OR(C201="",D201=""),"",ROUND(((VLOOKUP(C201,'Base de Diseño (2)'!$A$2:$C$333,2,FALSE)-VLOOKUP(D201,'Base de Diseño (2)'!$A$2:$C$333,2,FALSE))^2+(VLOOKUP(C201,'Base de Diseño (2)'!$A$2:$C$333,3,0)-VLOOKUP(D201,'Base de Diseño (2)'!$A$2:$C$333,3,FALSE))^2)^0.5,2))</f>
        <v>#N/A</v>
      </c>
      <c r="AY201" s="493">
        <v>16</v>
      </c>
      <c r="AZ201" s="480">
        <f ca="1">IF(AND(L201="",H201=""),"",IF(BA201=4,VLOOKUP(AY201,'TABLA (2)'!$A$74:$C$89,2),IF(BA201=5,VLOOKUP(AY201,'TABLA (2)'!$A$51:$B$66,2),IF(BA201=6,VLOOKUP(AY201,'TABLA (2)'!$A$9:$B$43,2)))))</f>
        <v>400</v>
      </c>
      <c r="BA201" s="493">
        <v>6</v>
      </c>
      <c r="BB201" s="478">
        <f>IF(OR(C201="",D201=""),"",VLOOKUP(C201,'Base de Diseño (2)'!$A$2:$D$330,4,FALSE))</f>
        <v>982.22160000000008</v>
      </c>
      <c r="BC201" s="478" t="e">
        <f>IF(OR(C201="",D201=""),"",VLOOKUP(D201,'Base de Diseño (2)'!$A$2:$D$330,4,FALSE))</f>
        <v>#N/A</v>
      </c>
      <c r="BD201" s="23">
        <f ca="1">+BF201-((AZ201/1000)+CX201)</f>
        <v>-0.46200000000000002</v>
      </c>
      <c r="BE201" s="23">
        <f ca="1">+BG201-((AZ201/1000)+CX201)</f>
        <v>-0.46200000000000002</v>
      </c>
      <c r="BF201" s="494">
        <v>0</v>
      </c>
      <c r="BG201" s="494">
        <v>0</v>
      </c>
      <c r="BH201" s="495">
        <f t="shared" si="519"/>
        <v>982.22160000000008</v>
      </c>
      <c r="BI201" s="495" t="e">
        <f t="shared" si="519"/>
        <v>#N/A</v>
      </c>
      <c r="BJ201" s="468" t="e">
        <f>IF(A201="",0,BI201-BH202)</f>
        <v>#N/A</v>
      </c>
      <c r="BK201" s="475" t="e">
        <f>ABS((BB201-BC201)/AX201)*100</f>
        <v>#N/A</v>
      </c>
      <c r="BL201" s="475" t="e">
        <f>((BH201-BI201)/AX201)*100</f>
        <v>#N/A</v>
      </c>
      <c r="BM201" s="475" t="e">
        <f ca="1">IF(BA201=6,(1/0.013)*((AZ201/4000)^(2/3))*((BL201/100)^(0.5)),(1/0.009)*((AZ201/4000)^(2/3))*((BL201/100)^(0.5)))</f>
        <v>#N/A</v>
      </c>
      <c r="BN201" s="475" t="e">
        <f ca="1">1000*BM201*PI()*((AZ201/1000/2)^2)</f>
        <v>#N/A</v>
      </c>
      <c r="BO201" s="204" t="e">
        <f ca="1">AI201/BN201</f>
        <v>#N/A</v>
      </c>
      <c r="BP201" s="496" t="e">
        <f ca="1">IF(L201=0," ",AW201/BN201)</f>
        <v>#N/A</v>
      </c>
      <c r="BQ201" s="497" t="e">
        <f ca="1">IF($BO201&gt;0 =AND($BO201&lt;=0.06),10^(0.029806+0.29095*LOG($BO201)),IF($BO201&gt;0.06 =AND($BO201&lt;=0.26),10^(0.013778+0.282597*LOG($BO201)),IF($BO201&gt;0.26 =AND($BO201&lt;=0.91),10^(0.021763+0.28995*LOG($BO201)),1)))</f>
        <v>#N/A</v>
      </c>
      <c r="BR201" s="497" t="e">
        <f ca="1">IF($BP201&gt;0 =AND($BP201&lt;=0.06),10^(0.029806+0.29095*LOG($BP201)),IF($BP201&gt;0.06 =AND($BP201&lt;=0.26),10^(0.013778+0.282597*LOG($BP201)),IF($BP201&gt;0.26 =AND($BP201&lt;=2),10^(0.021763+0.28995*LOG($BP201))," ")))</f>
        <v>#N/A</v>
      </c>
      <c r="BS201" s="475" t="e">
        <f ca="1">BM201*BQ201</f>
        <v>#N/A</v>
      </c>
      <c r="BT201" s="475" t="e">
        <f ca="1">IF(BP201=" "," ",(BM201*BR201))</f>
        <v>#N/A</v>
      </c>
      <c r="BU201" s="475" t="e">
        <f ca="1">IF(BO201&lt;=0.11,0.3827+0.0645*LN(BO201),IF(BO201&lt;=0.21,0.60025+0.15471*LN(BO201),IF(BO201&lt;1,0.225+0.6666666667*BO201,0)))</f>
        <v>#N/A</v>
      </c>
      <c r="BV201" s="475" t="e">
        <f ca="1">IF(BP201&lt;=0.11,0.3827+0.0645*LN(BP201),IF(BP201&lt;=0.21,0.60025+0.15471*LN(BP201),IF(BP201&lt;1,0.225+0.6666666667*BP201," ")))</f>
        <v>#N/A</v>
      </c>
      <c r="BW201" s="475" t="e">
        <f ca="1">2*ACOS(1-2*(BU201))</f>
        <v>#N/A</v>
      </c>
      <c r="BX201" s="475" t="e">
        <f ca="1">IF(BP201=" "," ",(2*ACOS(1-2*(BV201))))</f>
        <v>#N/A</v>
      </c>
      <c r="BY201" s="475" t="e">
        <f ca="1">(1/4)*(1-(SIN(BW201))/BW201)</f>
        <v>#N/A</v>
      </c>
      <c r="BZ201" s="475" t="e">
        <f ca="1">IF(BP201=" "," ",((1/4)*(1-(SIN(BX201))/BX201)))</f>
        <v>#N/A</v>
      </c>
      <c r="CA201" s="471" t="e">
        <f ca="1">BY201*AZ201/1000</f>
        <v>#N/A</v>
      </c>
      <c r="CB201" s="471" t="e">
        <f ca="1">IF(BP201=" "," ",(BZ201*AZ201/1000))</f>
        <v>#N/A</v>
      </c>
      <c r="CC201" s="471" t="e">
        <f t="shared" ca="1" si="515"/>
        <v>#N/A</v>
      </c>
      <c r="CD201" s="471" t="e">
        <f ca="1">IF(CC201="","",IF(CC201&lt;0.7,"F. Subcrítico",IF(AND(CC201&gt;0.7,CC201&lt;1),"F. Subcrítico Inestable",IF(CC201=1,"F. Crítico",IF(AND(CC201&gt;1,CC201&lt;1.5),"F. Supercrítico Inestable",IF(CC201&gt;1.5,"F. Supercrítico",""))))))</f>
        <v>#N/A</v>
      </c>
      <c r="CE201" s="471" t="e">
        <f ca="1">1000*BL201*CA201/100</f>
        <v>#N/A</v>
      </c>
      <c r="CF201" s="471" t="e">
        <f ca="1">IF(BP201=" "," ",(1000*BL201*CB201/100))</f>
        <v>#N/A</v>
      </c>
      <c r="CG201" s="471" t="e">
        <f ca="1">IF(BS201&lt;0.45,"No cumple",IF(BS201&gt;5,"No cumple","O.K"))</f>
        <v>#N/A</v>
      </c>
      <c r="CH201" s="471" t="e">
        <f ca="1">IF(BT201&lt;0.75,"No cumple",IF(BT201&gt;10,"No cumple","O.K"))</f>
        <v>#N/A</v>
      </c>
      <c r="CI201" s="471" t="e">
        <f ca="1">IF(CE201&gt;0.1,"OK","V.C.H.")</f>
        <v>#N/A</v>
      </c>
      <c r="CJ201" s="471" t="e">
        <f ca="1">IF(CF201&gt;0.2,"OK","V.C.H.")</f>
        <v>#N/A</v>
      </c>
      <c r="CK201" s="468" t="e">
        <f>+BJ201</f>
        <v>#N/A</v>
      </c>
      <c r="CL201" s="482" t="s">
        <v>2507</v>
      </c>
      <c r="CM201" s="482"/>
      <c r="CN201" s="63" t="str">
        <f>IF(B201=1,"dato"," ")</f>
        <v xml:space="preserve"> </v>
      </c>
      <c r="CO201" s="498" t="e">
        <f>+CR201</f>
        <v>#N/A</v>
      </c>
      <c r="CP201" s="472" t="e">
        <f>+BK201/100</f>
        <v>#N/A</v>
      </c>
      <c r="CQ201" s="482" t="s">
        <v>2508</v>
      </c>
      <c r="CR201" s="204" t="e">
        <f>IF(BA201="","",AX201)</f>
        <v>#N/A</v>
      </c>
      <c r="CS201" s="486">
        <v>1.2</v>
      </c>
      <c r="CT201" s="486">
        <v>1.2</v>
      </c>
      <c r="CU201" s="23" t="e">
        <f>IF($BA201="","",SQRT((BH201-BI201)^2+$CR201^2))</f>
        <v>#N/A</v>
      </c>
      <c r="CV201" s="499" t="s">
        <v>2509</v>
      </c>
      <c r="CW201" s="488" t="str">
        <f ca="1">+IF(BD201&lt;=0.9,"E1",IF(BD201&lt;=2.5,"E2","E3"))</f>
        <v>E1</v>
      </c>
      <c r="CX201" s="204">
        <f ca="1">IF(AND(L201="",H201=""),"",IF(AND(BA201&lt;&gt;4,BA201&lt;&gt;5),VLOOKUP(AY201,'TABLA (2)'!$A$9:$D$43,4),IF(BA201=4,VLOOKUP(AY201,'TABLA (2)'!$A$74:$D$89,4),VLOOKUP(AY201,'TABLA (2)'!$A$51:$D$66,4))))</f>
        <v>6.2E-2</v>
      </c>
      <c r="CY201" s="482"/>
      <c r="CZ201" s="482"/>
      <c r="DA201" s="482"/>
      <c r="DB201" s="490"/>
    </row>
    <row r="202" spans="1:106" ht="15" hidden="1" customHeight="1">
      <c r="A202" s="465">
        <f>+A201+1</f>
        <v>129</v>
      </c>
      <c r="B202" s="491"/>
      <c r="C202" s="466" t="s">
        <v>2518</v>
      </c>
      <c r="D202" s="466" t="s">
        <v>2327</v>
      </c>
      <c r="E202" s="468">
        <v>0.19523524649999999</v>
      </c>
      <c r="F202" s="468"/>
      <c r="G202" s="468">
        <f>IF(B202=1,0,SUMIF($D$22:$D$583,C202,$H$22:$H$583))</f>
        <v>3.6797789493999993</v>
      </c>
      <c r="H202" s="468">
        <f>+E202+F202+G202</f>
        <v>3.8750141958999991</v>
      </c>
      <c r="I202" s="468">
        <v>0.19523524649999999</v>
      </c>
      <c r="J202" s="468"/>
      <c r="K202" s="467">
        <f ca="1">+IF(B202=1,0,SUMIF($D$22:$D$583,C202,$L$22:$L$580))</f>
        <v>2.2475651959</v>
      </c>
      <c r="L202" s="468">
        <f ca="1">+I202+J202+K202</f>
        <v>2.4428004423999998</v>
      </c>
      <c r="M202" s="469">
        <f>+$P$12</f>
        <v>242.33666300502347</v>
      </c>
      <c r="N202" s="470">
        <f>M202*E202</f>
        <v>47.312658137773184</v>
      </c>
      <c r="O202" s="470">
        <f>M202*F202</f>
        <v>0</v>
      </c>
      <c r="P202" s="470">
        <f>M202*H202</f>
        <v>939.0580093315001</v>
      </c>
      <c r="Q202" s="469">
        <f>+$Q$197</f>
        <v>140</v>
      </c>
      <c r="R202" s="471">
        <f>Q202*P202*$P$14/86400</f>
        <v>1.2933785082227836</v>
      </c>
      <c r="S202" s="471"/>
      <c r="T202" s="471"/>
      <c r="U202" s="471">
        <f>IF(C202="","",T202*$P$17)</f>
        <v>0</v>
      </c>
      <c r="V202" s="471"/>
      <c r="W202" s="471"/>
      <c r="X202" s="471">
        <f>IF(C202="","",W202*$P$16)</f>
        <v>0</v>
      </c>
      <c r="Y202" s="471">
        <f>IF(H202=0,0,$H$15*H202)</f>
        <v>0.7750028391799999</v>
      </c>
      <c r="Z202" s="471">
        <f ca="1">IF(L202=0,$H$16*H202,0)</f>
        <v>0</v>
      </c>
      <c r="AA202" s="471">
        <f t="shared" si="362"/>
        <v>3.8</v>
      </c>
      <c r="AB202" s="471">
        <f>R202*AA202</f>
        <v>4.9148383312465773</v>
      </c>
      <c r="AC202" s="471">
        <f>Q202*(N202+O202)*$P$14/86400</f>
        <v>6.5164424981423705E-2</v>
      </c>
      <c r="AD202" s="471">
        <f t="shared" si="517"/>
        <v>3.9047049299999997E-2</v>
      </c>
      <c r="AE202" s="471">
        <f t="shared" si="517"/>
        <v>0</v>
      </c>
      <c r="AF202" s="510">
        <f t="shared" si="518"/>
        <v>3.8</v>
      </c>
      <c r="AG202" s="471">
        <f>AC202*AF202</f>
        <v>0.24762481492941008</v>
      </c>
      <c r="AH202" s="471">
        <f>+AD202+AE202+AG202</f>
        <v>0.28667186422941004</v>
      </c>
      <c r="AI202" s="471">
        <f ca="1">IF(H202="","",IF(AB202+Y202+Z202+X202+U202&lt;1.5,1.5,AB202+Y202+Z202+X202+U202))</f>
        <v>5.6898411704265772</v>
      </c>
      <c r="AJ202" s="471">
        <f>+$P$17</f>
        <v>0.75</v>
      </c>
      <c r="AK202" s="472" t="e">
        <f>+BK202/100</f>
        <v>#N/A</v>
      </c>
      <c r="AL202" s="471" t="e">
        <f>IF(AJ202=0," ",0.14+0.65*AJ202+0.05*AK202)</f>
        <v>#N/A</v>
      </c>
      <c r="AM202" s="473" t="e">
        <f t="shared" si="513"/>
        <v>#N/A</v>
      </c>
      <c r="AN202" s="474" t="e">
        <f t="shared" si="514"/>
        <v>#N/A</v>
      </c>
      <c r="AO202" s="474" t="e">
        <f>((1/60)*$AX202/$AQ202)</f>
        <v>#N/A</v>
      </c>
      <c r="AP202" s="474" t="e">
        <f>IF(B202=1,IF(($AN202+$AO202)&lt;10,10,IF(($AN202+$AO202)&gt;20,20,($AN202+$AO202))),($AN202+$AO202))</f>
        <v>#N/A</v>
      </c>
      <c r="AQ202" s="475">
        <v>3</v>
      </c>
      <c r="AR202" s="474" t="e">
        <f ca="1">((1/60)*$AX202/$BT202)</f>
        <v>#N/A</v>
      </c>
      <c r="AS202" s="474" t="e">
        <f ca="1">AO202/AR202</f>
        <v>#N/A</v>
      </c>
      <c r="AT202" s="471" t="e">
        <f ca="1">IF(AS202&lt;0.9,"Disminuir vel.",IF(AS202&gt;1.1,"Aumentar vel.","Cumple"))</f>
        <v>#N/A</v>
      </c>
      <c r="AU202" s="492" t="e">
        <f>+I202*AL202*AM202</f>
        <v>#N/A</v>
      </c>
      <c r="AV202" s="471" t="e">
        <f ca="1">+L202*AL202*AM202</f>
        <v>#N/A</v>
      </c>
      <c r="AW202" s="510" t="e">
        <f t="shared" ca="1" si="516"/>
        <v>#N/A</v>
      </c>
      <c r="AX202" s="478" t="e">
        <f>IF(OR(C202="",D202=""),"",ROUND(((VLOOKUP(C202,'Base de Diseño (2)'!$A$2:$C$333,2,FALSE)-VLOOKUP(D202,'Base de Diseño (2)'!$A$2:$C$333,2,FALSE))^2+(VLOOKUP(C202,'Base de Diseño (2)'!$A$2:$C$333,3,0)-VLOOKUP(D202,'Base de Diseño (2)'!$A$2:$C$333,3,FALSE))^2)^0.5,2))</f>
        <v>#N/A</v>
      </c>
      <c r="AY202" s="493">
        <v>16</v>
      </c>
      <c r="AZ202" s="480">
        <f ca="1">IF(AND(L202="",H202=""),"",IF(BA202=4,VLOOKUP(AY202,'TABLA (2)'!$A$74:$C$89,2),IF(BA202=5,VLOOKUP(AY202,'TABLA (2)'!$A$51:$B$66,2),IF(BA202=6,VLOOKUP(AY202,'TABLA (2)'!$A$9:$B$43,2)))))</f>
        <v>400</v>
      </c>
      <c r="BA202" s="493">
        <v>6</v>
      </c>
      <c r="BB202" s="478" t="e">
        <f>IF(OR(C202="",D202=""),"",VLOOKUP(C202,'Base de Diseño (2)'!$A$2:$D$330,4,FALSE))</f>
        <v>#N/A</v>
      </c>
      <c r="BC202" s="478">
        <f>IF(OR(C202="",D202=""),"",VLOOKUP(D202,'Base de Diseño (2)'!$A$2:$D$330,4,FALSE))</f>
        <v>973.75599999999997</v>
      </c>
      <c r="BD202" s="23">
        <f ca="1">+BF202-((AZ202/1000)+CX202)</f>
        <v>-0.46200000000000002</v>
      </c>
      <c r="BE202" s="23">
        <f ca="1">+BG202-((AZ202/1000)+CX202)</f>
        <v>-0.46200000000000002</v>
      </c>
      <c r="BF202" s="494">
        <v>0</v>
      </c>
      <c r="BG202" s="494">
        <v>0</v>
      </c>
      <c r="BH202" s="495" t="e">
        <f t="shared" si="519"/>
        <v>#N/A</v>
      </c>
      <c r="BI202" s="495">
        <f t="shared" si="519"/>
        <v>973.75599999999997</v>
      </c>
      <c r="BJ202" s="468">
        <f>IF(A202="",0,BI202-BH203)</f>
        <v>973.75599999999997</v>
      </c>
      <c r="BK202" s="475" t="e">
        <f>ABS((BB202-BC202)/AX202)*100</f>
        <v>#N/A</v>
      </c>
      <c r="BL202" s="475" t="e">
        <f>((BH202-BI202)/AX202)*100</f>
        <v>#N/A</v>
      </c>
      <c r="BM202" s="475" t="e">
        <f ca="1">IF(BA202=6,(1/0.013)*((AZ202/4000)^(2/3))*((BL202/100)^(0.5)),(1/0.009)*((AZ202/4000)^(2/3))*((BL202/100)^(0.5)))</f>
        <v>#N/A</v>
      </c>
      <c r="BN202" s="475" t="e">
        <f ca="1">1000*BM202*PI()*((AZ202/1000/2)^2)</f>
        <v>#N/A</v>
      </c>
      <c r="BO202" s="204" t="e">
        <f ca="1">AI202/BN202</f>
        <v>#N/A</v>
      </c>
      <c r="BP202" s="496" t="e">
        <f ca="1">IF(L202=0," ",AW202/BN202)</f>
        <v>#N/A</v>
      </c>
      <c r="BQ202" s="497" t="e">
        <f ca="1">IF($BO202&gt;0 =AND($BO202&lt;=0.06),10^(0.029806+0.29095*LOG($BO202)),IF($BO202&gt;0.06 =AND($BO202&lt;=0.26),10^(0.013778+0.282597*LOG($BO202)),IF($BO202&gt;0.26 =AND($BO202&lt;=0.91),10^(0.021763+0.28995*LOG($BO202)),1)))</f>
        <v>#N/A</v>
      </c>
      <c r="BR202" s="497" t="e">
        <f ca="1">IF($BP202&gt;0 =AND($BP202&lt;=0.06),10^(0.029806+0.29095*LOG($BP202)),IF($BP202&gt;0.06 =AND($BP202&lt;=0.26),10^(0.013778+0.282597*LOG($BP202)),IF($BP202&gt;0.26 =AND($BP202&lt;=2),10^(0.021763+0.28995*LOG($BP202))," ")))</f>
        <v>#N/A</v>
      </c>
      <c r="BS202" s="475" t="e">
        <f ca="1">BM202*BQ202</f>
        <v>#N/A</v>
      </c>
      <c r="BT202" s="475" t="e">
        <f ca="1">IF(BP202=" "," ",(BM202*BR202))</f>
        <v>#N/A</v>
      </c>
      <c r="BU202" s="475" t="e">
        <f ca="1">IF(BO202&lt;=0.11,0.3827+0.0645*LN(BO202),IF(BO202&lt;=0.21,0.60025+0.15471*LN(BO202),IF(BO202&lt;1,0.225+0.6666666667*BO202,0)))</f>
        <v>#N/A</v>
      </c>
      <c r="BV202" s="475" t="e">
        <f ca="1">IF(BP202&lt;=0.11,0.3827+0.0645*LN(BP202),IF(BP202&lt;=0.21,0.60025+0.15471*LN(BP202),IF(BP202&lt;1,0.225+0.6666666667*BP202," ")))</f>
        <v>#N/A</v>
      </c>
      <c r="BW202" s="475" t="e">
        <f ca="1">2*ACOS(1-2*(BU202))</f>
        <v>#N/A</v>
      </c>
      <c r="BX202" s="475" t="e">
        <f ca="1">IF(BP202=" "," ",(2*ACOS(1-2*(BV202))))</f>
        <v>#N/A</v>
      </c>
      <c r="BY202" s="475" t="e">
        <f ca="1">(1/4)*(1-(SIN(BW202))/BW202)</f>
        <v>#N/A</v>
      </c>
      <c r="BZ202" s="475" t="e">
        <f ca="1">IF(BP202=" "," ",((1/4)*(1-(SIN(BX202))/BX202)))</f>
        <v>#N/A</v>
      </c>
      <c r="CA202" s="471" t="e">
        <f ca="1">BY202*AZ202/1000</f>
        <v>#N/A</v>
      </c>
      <c r="CB202" s="471" t="e">
        <f ca="1">IF(BP202=" "," ",(BZ202*AZ202/1000))</f>
        <v>#N/A</v>
      </c>
      <c r="CC202" s="471" t="e">
        <f t="shared" ca="1" si="515"/>
        <v>#N/A</v>
      </c>
      <c r="CD202" s="471" t="e">
        <f ca="1">IF(CC202="","",IF(CC202&lt;0.7,"F. Subcrítico",IF(AND(CC202&gt;0.7,CC202&lt;1),"F. Subcrítico Inestable",IF(CC202=1,"F. Crítico",IF(AND(CC202&gt;1,CC202&lt;1.5),"F. Supercrítico Inestable",IF(CC202&gt;1.5,"F. Supercrítico",""))))))</f>
        <v>#N/A</v>
      </c>
      <c r="CE202" s="471" t="e">
        <f ca="1">1000*BL202*CA202/100</f>
        <v>#N/A</v>
      </c>
      <c r="CF202" s="471" t="e">
        <f ca="1">IF(BP202=" "," ",(1000*BL202*CB202/100))</f>
        <v>#N/A</v>
      </c>
      <c r="CG202" s="471" t="e">
        <f ca="1">IF(BS202&lt;0.45,"No cumple",IF(BS202&gt;5,"No cumple","O.K"))</f>
        <v>#N/A</v>
      </c>
      <c r="CH202" s="471" t="e">
        <f ca="1">IF(BT202&lt;0.75,"No cumple",IF(BT202&gt;10,"No cumple","O.K"))</f>
        <v>#N/A</v>
      </c>
      <c r="CI202" s="471" t="e">
        <f ca="1">IF(CE202&gt;0.1,"OK","V.C.H.")</f>
        <v>#N/A</v>
      </c>
      <c r="CJ202" s="471" t="e">
        <f ca="1">IF(CF202&gt;0.2,"OK","V.C.H.")</f>
        <v>#N/A</v>
      </c>
      <c r="CK202" s="468">
        <f>+BJ202</f>
        <v>973.75599999999997</v>
      </c>
      <c r="CL202" s="482" t="s">
        <v>2507</v>
      </c>
      <c r="CM202" s="482"/>
      <c r="CN202" s="63" t="str">
        <f>IF(B202=1,"dato"," ")</f>
        <v xml:space="preserve"> </v>
      </c>
      <c r="CO202" s="498" t="e">
        <f>+CR202</f>
        <v>#N/A</v>
      </c>
      <c r="CP202" s="472" t="e">
        <f>+BK202/100</f>
        <v>#N/A</v>
      </c>
      <c r="CQ202" s="482" t="s">
        <v>2508</v>
      </c>
      <c r="CR202" s="204" t="e">
        <f>IF(BA202="","",AX202)</f>
        <v>#N/A</v>
      </c>
      <c r="CS202" s="486">
        <v>1.2</v>
      </c>
      <c r="CT202" s="486">
        <v>1.2</v>
      </c>
      <c r="CU202" s="23" t="e">
        <f>IF($BA202="","",SQRT((BH202-BI202)^2+$CR202^2))</f>
        <v>#N/A</v>
      </c>
      <c r="CV202" s="499" t="s">
        <v>2509</v>
      </c>
      <c r="CW202" s="488" t="str">
        <f ca="1">+IF(BD202&lt;=0.9,"E1",IF(BD202&lt;=2.5,"E2","E3"))</f>
        <v>E1</v>
      </c>
      <c r="CX202" s="204">
        <f ca="1">IF(AND(L202="",H202=""),"",IF(AND(BA202&lt;&gt;4,BA202&lt;&gt;5),VLOOKUP(AY202,'TABLA (2)'!$A$9:$D$43,4),IF(BA202=4,VLOOKUP(AY202,'TABLA (2)'!$A$74:$D$89,4),VLOOKUP(AY202,'TABLA (2)'!$A$51:$D$66,4))))</f>
        <v>6.2E-2</v>
      </c>
      <c r="CY202" s="482"/>
      <c r="CZ202" s="482"/>
      <c r="DA202" s="482"/>
      <c r="DB202" s="490"/>
    </row>
    <row r="203" spans="1:106" ht="15" hidden="1" customHeight="1">
      <c r="A203" s="465"/>
      <c r="B203" s="491"/>
      <c r="C203" s="1981" t="s">
        <v>2519</v>
      </c>
      <c r="D203" s="1982"/>
      <c r="E203" s="468"/>
      <c r="F203" s="468"/>
      <c r="G203" s="468"/>
      <c r="H203" s="468"/>
      <c r="I203" s="468"/>
      <c r="J203" s="468"/>
      <c r="K203" s="467"/>
      <c r="L203" s="468"/>
      <c r="M203" s="469"/>
      <c r="N203" s="470"/>
      <c r="O203" s="470"/>
      <c r="P203" s="470"/>
      <c r="Q203" s="469"/>
      <c r="R203" s="471"/>
      <c r="S203" s="471"/>
      <c r="T203" s="471"/>
      <c r="U203" s="471"/>
      <c r="V203" s="471"/>
      <c r="W203" s="471"/>
      <c r="X203" s="471"/>
      <c r="Y203" s="471"/>
      <c r="Z203" s="471"/>
      <c r="AA203" s="471" t="str">
        <f t="shared" si="362"/>
        <v/>
      </c>
      <c r="AB203" s="471"/>
      <c r="AC203" s="471"/>
      <c r="AD203" s="471"/>
      <c r="AE203" s="471"/>
      <c r="AF203" s="510" t="str">
        <f t="shared" si="518"/>
        <v/>
      </c>
      <c r="AG203" s="471"/>
      <c r="AH203" s="471"/>
      <c r="AI203" s="471"/>
      <c r="AJ203" s="471"/>
      <c r="AK203" s="472"/>
      <c r="AL203" s="471"/>
      <c r="AM203" s="473"/>
      <c r="AN203" s="474"/>
      <c r="AO203" s="474"/>
      <c r="AP203" s="474"/>
      <c r="AQ203" s="475"/>
      <c r="AR203" s="474"/>
      <c r="AS203" s="474"/>
      <c r="AT203" s="471"/>
      <c r="AU203" s="492"/>
      <c r="AV203" s="471"/>
      <c r="AW203" s="510">
        <f t="shared" si="516"/>
        <v>0</v>
      </c>
      <c r="AX203" s="478"/>
      <c r="AY203" s="493"/>
      <c r="AZ203" s="480"/>
      <c r="BA203" s="493"/>
      <c r="BB203" s="478" t="str">
        <f>IF(OR(C203="",D203=""),"",VLOOKUP(C203,'Base de Diseño (2)'!$A$2:$D$330,4,FALSE))</f>
        <v/>
      </c>
      <c r="BC203" s="478" t="str">
        <f>IF(OR(C203="",D203=""),"",VLOOKUP(D203,'Base de Diseño (2)'!$A$2:$D$330,4,FALSE))</f>
        <v/>
      </c>
      <c r="BD203" s="494"/>
      <c r="BE203" s="494"/>
      <c r="BF203" s="494"/>
      <c r="BG203" s="494"/>
      <c r="BH203" s="495"/>
      <c r="BI203" s="495"/>
      <c r="BJ203" s="468"/>
      <c r="BK203" s="475"/>
      <c r="BL203" s="475"/>
      <c r="BM203" s="475"/>
      <c r="BN203" s="475"/>
      <c r="BO203" s="204"/>
      <c r="BP203" s="496"/>
      <c r="BQ203" s="497"/>
      <c r="BR203" s="475"/>
      <c r="BS203" s="475"/>
      <c r="BT203" s="475"/>
      <c r="BU203" s="475"/>
      <c r="BV203" s="475"/>
      <c r="BW203" s="475"/>
      <c r="BX203" s="475"/>
      <c r="BY203" s="475"/>
      <c r="BZ203" s="475"/>
      <c r="CA203" s="471"/>
      <c r="CB203" s="471"/>
      <c r="CC203" s="471"/>
      <c r="CD203" s="471"/>
      <c r="CE203" s="471"/>
      <c r="CF203" s="471"/>
      <c r="CG203" s="471"/>
      <c r="CH203" s="471"/>
      <c r="CI203" s="471"/>
      <c r="CJ203" s="471"/>
      <c r="CK203" s="468"/>
      <c r="CL203" s="482" t="s">
        <v>2507</v>
      </c>
      <c r="CM203" s="482"/>
      <c r="CN203" s="63"/>
      <c r="CO203" s="498"/>
      <c r="CP203" s="472"/>
      <c r="CQ203" s="482"/>
      <c r="CR203" s="204"/>
      <c r="CS203" s="486"/>
      <c r="CT203" s="486"/>
      <c r="CU203" s="23"/>
      <c r="CV203" s="499"/>
      <c r="CW203" s="488"/>
      <c r="CX203" s="204"/>
      <c r="CY203" s="482"/>
      <c r="CZ203" s="482"/>
      <c r="DA203" s="482"/>
      <c r="DB203" s="490"/>
    </row>
    <row r="204" spans="1:106" s="562" customFormat="1" ht="15" hidden="1" customHeight="1">
      <c r="A204" s="465">
        <f>+A202+1</f>
        <v>130</v>
      </c>
      <c r="B204" s="535">
        <v>1</v>
      </c>
      <c r="C204" s="536" t="s">
        <v>2321</v>
      </c>
      <c r="D204" s="536" t="s">
        <v>83</v>
      </c>
      <c r="E204" s="537">
        <v>0.32162058319999998</v>
      </c>
      <c r="F204" s="537"/>
      <c r="G204" s="537">
        <f>IF(B204=1,0,SUMIF($D$22:$D$583,C204,$H$22:$H$583))</f>
        <v>0</v>
      </c>
      <c r="H204" s="537">
        <f>+E204+F204+G204</f>
        <v>0.32162058319999998</v>
      </c>
      <c r="I204" s="537">
        <v>0.32162058320000003</v>
      </c>
      <c r="J204" s="537"/>
      <c r="K204" s="538">
        <f>+IF(B204=1,0,SUMIF($D$22:$D$583,C204,$L$22:$L$580))</f>
        <v>0</v>
      </c>
      <c r="L204" s="537">
        <f>+I204+J204+K204</f>
        <v>0.32162058320000003</v>
      </c>
      <c r="M204" s="539">
        <f>+$P$12</f>
        <v>242.33666300502347</v>
      </c>
      <c r="N204" s="540">
        <f>M204*E204</f>
        <v>77.940458886417503</v>
      </c>
      <c r="O204" s="540">
        <f>M204*F204</f>
        <v>0</v>
      </c>
      <c r="P204" s="540">
        <f>M204*H204</f>
        <v>77.940458886417503</v>
      </c>
      <c r="Q204" s="540">
        <f>+$H$14</f>
        <v>140</v>
      </c>
      <c r="R204" s="541">
        <f>Q204*P204*$P$14/86400</f>
        <v>0.10734854869772781</v>
      </c>
      <c r="S204" s="541"/>
      <c r="T204" s="541"/>
      <c r="U204" s="541">
        <f>IF(C204="","",T204*$P$17)</f>
        <v>0</v>
      </c>
      <c r="V204" s="541"/>
      <c r="W204" s="541"/>
      <c r="X204" s="541">
        <f>IF(C204="","",W204*$P$16)</f>
        <v>0</v>
      </c>
      <c r="Y204" s="541">
        <f>IF(H204=0,0,$H$15*H204)</f>
        <v>6.4324116639999998E-2</v>
      </c>
      <c r="Z204" s="541">
        <f>IF(L204=0,$H$16*H204,0)</f>
        <v>0</v>
      </c>
      <c r="AA204" s="471">
        <f t="shared" si="362"/>
        <v>3.8</v>
      </c>
      <c r="AB204" s="541">
        <f>R204*AA204</f>
        <v>0.40792448505136564</v>
      </c>
      <c r="AC204" s="541">
        <f>Q204*(N204+O204)*$P$14/86400</f>
        <v>0.10734854869772781</v>
      </c>
      <c r="AD204" s="541">
        <f t="shared" ref="AD204:AE206" si="520">IF(E204=0,0,$H$15*(E204+F204))</f>
        <v>6.4324116639999998E-2</v>
      </c>
      <c r="AE204" s="541">
        <f t="shared" si="520"/>
        <v>0</v>
      </c>
      <c r="AF204" s="510">
        <f t="shared" si="518"/>
        <v>3.8</v>
      </c>
      <c r="AG204" s="541">
        <f>AC204*AF204</f>
        <v>0.40792448505136564</v>
      </c>
      <c r="AH204" s="541">
        <f>+AD204+AE204+AG204</f>
        <v>0.47224860169136562</v>
      </c>
      <c r="AI204" s="541">
        <f>IF(H204="","",IF(AB204+Y204+Z204+X204+U204&lt;1.5,1.5,AB204+Y204+Z204+X204+U204))</f>
        <v>1.5</v>
      </c>
      <c r="AJ204" s="541">
        <f>+$P$17</f>
        <v>0.75</v>
      </c>
      <c r="AK204" s="542">
        <f>+BK204/100</f>
        <v>2.7936399384510421E-2</v>
      </c>
      <c r="AL204" s="541">
        <f>IF(AJ204=0," ",0.14+0.65*AJ204+0.05*AK204)</f>
        <v>0.62889681996922553</v>
      </c>
      <c r="AM204" s="543">
        <f>((100/36)*$AM$14*(AP204+$AN$14)^$AO$14)</f>
        <v>336.32613267542746</v>
      </c>
      <c r="AN204" s="544">
        <f>IF(B204=1,IF((0.702*(1.1-$AJ204)*SQRT($CO204))/(($CP204)^(1/3))&lt;5,5,(0.702*(1.1-$AJ204)*SQRT($CO204))/(($CP204)^(1/3))),AP203)</f>
        <v>6.192829979643208</v>
      </c>
      <c r="AO204" s="544">
        <f>((1/60)*$AX204/$AQ204)</f>
        <v>0.38993333333333335</v>
      </c>
      <c r="AP204" s="544">
        <f>IF(B204=1,IF(($AN204+$AO204)&lt;10,10,IF(($AN204+$AO204)&gt;20,20,($AN204+$AO204))),($AN204+$AO204))</f>
        <v>10</v>
      </c>
      <c r="AQ204" s="545">
        <v>2.5</v>
      </c>
      <c r="AR204" s="544">
        <f>((1/60)*$AX204/$BT204)</f>
        <v>0.37449415781413398</v>
      </c>
      <c r="AS204" s="544">
        <f>AO204/AR204</f>
        <v>1.0412267459906865</v>
      </c>
      <c r="AT204" s="541" t="str">
        <f>IF(AS204&lt;0.9,"Disminuir vel.",IF(AS204&gt;1.1,"Aumentar vel.","Cumple"))</f>
        <v>Cumple</v>
      </c>
      <c r="AU204" s="546">
        <f>+I204*AL204*AM204</f>
        <v>68.027396040304055</v>
      </c>
      <c r="AV204" s="541">
        <f>+L204*AL204*AM204</f>
        <v>68.027396040304055</v>
      </c>
      <c r="AW204" s="510">
        <f t="shared" si="516"/>
        <v>68.03</v>
      </c>
      <c r="AX204" s="547">
        <f>IF(OR(C204="",D204=""),"",ROUND(((VLOOKUP(C204,'Base de Diseño (2)'!$A$2:$C$333,2,FALSE)-VLOOKUP(D204,'Base de Diseño (2)'!$A$2:$C$333,2,FALSE))^2+(VLOOKUP(C204,'Base de Diseño (2)'!$A$2:$C$333,3,0)-VLOOKUP(D204,'Base de Diseño (2)'!$A$2:$C$333,3,FALSE))^2)^0.5,2))</f>
        <v>58.49</v>
      </c>
      <c r="AY204" s="548">
        <v>12</v>
      </c>
      <c r="AZ204" s="549">
        <f>IF(AND(L204="",H204=""),"",IF(BA204=4,VLOOKUP(AY204,'TABLA (2)'!$A$74:$C$89,2),IF(BA204=5,VLOOKUP(AY204,'TABLA (2)'!$A$51:$B$66,2),IF(BA204=6,VLOOKUP(AY204,'TABLA (2)'!$A$9:$B$43,2)))))</f>
        <v>284</v>
      </c>
      <c r="BA204" s="548">
        <v>4</v>
      </c>
      <c r="BB204" s="547">
        <f>IF(OR(C204="",D204=""),"",VLOOKUP(C204,'Base de Diseño (2)'!$A$2:$D$330,4,FALSE))</f>
        <v>990.30600000000004</v>
      </c>
      <c r="BC204" s="547">
        <f>IF(OR(C204="",D204=""),"",VLOOKUP(D204,'Base de Diseño (2)'!$A$2:$D$330,4,FALSE))</f>
        <v>988.67200000000003</v>
      </c>
      <c r="BD204" s="550">
        <f>+BF204-((AZ204/1000)+CX204)</f>
        <v>1.2504999999999544</v>
      </c>
      <c r="BE204" s="550">
        <f>+BG204-((AZ204/1000)+CX204)</f>
        <v>1.5705000000000044</v>
      </c>
      <c r="BF204" s="551">
        <v>1.5499999999999545</v>
      </c>
      <c r="BG204" s="551">
        <v>1.8700000000000045</v>
      </c>
      <c r="BH204" s="552">
        <f t="shared" ref="BH204:BI206" si="521">BB204-BF204</f>
        <v>988.75600000000009</v>
      </c>
      <c r="BI204" s="552">
        <f t="shared" si="521"/>
        <v>986.80200000000002</v>
      </c>
      <c r="BJ204" s="537">
        <f>IF(A204="",0,BI204-BH205)</f>
        <v>2.9999999999972715E-2</v>
      </c>
      <c r="BK204" s="545">
        <f>ABS((BB204-BC204)/AX204)*100</f>
        <v>2.793639938451042</v>
      </c>
      <c r="BL204" s="545">
        <f>((BH204-BI204)/AX204)*100</f>
        <v>3.3407420071808245</v>
      </c>
      <c r="BM204" s="545">
        <f>IF(BA204=6,(1/0.013)*((AZ204/4000)^(2/3))*((BL204/100)^(0.5)),(1/0.009)*((AZ204/4000)^(2/3))*((BL204/100)^(0.5)))</f>
        <v>3.4821798015035776</v>
      </c>
      <c r="BN204" s="545">
        <f>1000*BM204*PI()*((AZ204/1000/2)^2)</f>
        <v>220.58590249684073</v>
      </c>
      <c r="BO204" s="553">
        <f>AI204/BN204</f>
        <v>6.8000719131245625E-3</v>
      </c>
      <c r="BP204" s="523">
        <f>IF(L204=0," ",AW204/BN204)</f>
        <v>0.30840592816657603</v>
      </c>
      <c r="BQ204" s="554">
        <f>IF($BO204&gt;0 =AND($BO204&lt;=0.06),10^(0.029806+0.29095*LOG($BO204)),IF($BO204&gt;0.06 =AND($BO204&lt;=0.26),10^(0.013778+0.282597*LOG($BO204)),IF($BO204&gt;0.26 =AND($BO204&lt;=0.91),10^(0.021763+0.28995*LOG($BO204)),1)))</f>
        <v>0.25071239431466003</v>
      </c>
      <c r="BR204" s="524">
        <f>IF($BP204&gt;0 =AND($BP204&lt;=0.06),10^(0.029806+0.29095*LOG($BP204)),IF($BP204&gt;0.06 =AND($BP204&lt;=0.26),10^(0.013778+0.282597*LOG($BP204)),IF($BP204&gt;0.26 =AND($BP204&lt;=2),10^(0.021763+0.28995*LOG($BP204))," ")))</f>
        <v>0.74753947623633121</v>
      </c>
      <c r="BS204" s="545">
        <f>BM204*BQ204</f>
        <v>0.8730256354691095</v>
      </c>
      <c r="BT204" s="514">
        <f>IF(BP204=" "," ",(BM204*BR204))</f>
        <v>2.6030668649767161</v>
      </c>
      <c r="BU204" s="545">
        <f>IF(BO204&lt;=0.11,0.3827+0.0645*LN(BO204),IF(BO204&lt;=0.21,0.60025+0.15471*LN(BO204),IF(BO204&lt;1,0.225+0.6666666667*BO204,0)))</f>
        <v>6.0791975104925622E-2</v>
      </c>
      <c r="BV204" s="514">
        <f>IF(BP204&lt;=0.11,0.3827+0.0645*LN(BP204),IF(BP204&lt;=0.21,0.60025+0.15471*LN(BP204),IF(BP204&lt;1,0.225+0.6666666667*BP204," ")))</f>
        <v>0.43060395212133085</v>
      </c>
      <c r="BW204" s="545">
        <f>2*ACOS(1-2*(BU204))</f>
        <v>0.99651742050122794</v>
      </c>
      <c r="BX204" s="514">
        <f>IF(BP204=" "," ",(2*ACOS(1-2*(BV204))))</f>
        <v>2.8631094516042097</v>
      </c>
      <c r="BY204" s="545">
        <f>(1/4)*(1-(SIN(BW204))/BW204)</f>
        <v>3.9370405680101833E-2</v>
      </c>
      <c r="BZ204" s="514">
        <f>IF(BP204=" "," ",((1/4)*(1-(SIN(BX204))/BX204)))</f>
        <v>0.22599658615163137</v>
      </c>
      <c r="CA204" s="541">
        <f>BY204*AZ204/1000</f>
        <v>1.1181195213148922E-2</v>
      </c>
      <c r="CB204" s="510">
        <f>IF(BP204=" "," ",(BZ204*AZ204/1000))</f>
        <v>6.4183030467063307E-2</v>
      </c>
      <c r="CC204" s="541">
        <f>+(BT204/SQRT(9.81*(0.125*(BX204-SIN(BX204))*(AZ204/1000)^2)/((AZ204/1000)*SIN(BX204/2))))</f>
        <v>2.7285055791914736</v>
      </c>
      <c r="CD204" s="541" t="str">
        <f>IF(CC204="","",IF(CC204&lt;0.7,"F. Subcrítico",IF(AND(CC204&gt;0.7,CC204&lt;1),"F. Subcrítico Inestable",IF(CC204=1,"F. Crítico",IF(AND(CC204&gt;1,CC204&lt;1.5),"F. Supercrítico Inestable",IF(CC204&gt;1.5,"F. Supercrítico",""))))))</f>
        <v>F. Supercrítico</v>
      </c>
      <c r="CE204" s="541">
        <f>1000*BL204*CA204/100</f>
        <v>0.37353488539055762</v>
      </c>
      <c r="CF204" s="510">
        <f>IF(BP204=" "," ",(1000*BL204*CB204/100))</f>
        <v>2.144189460294851</v>
      </c>
      <c r="CG204" s="541" t="str">
        <f>IF(BS204&lt;0.45,"No cumple",IF(BS204&gt;5,"No cumple","O.K"))</f>
        <v>O.K</v>
      </c>
      <c r="CH204" s="510" t="str">
        <f>IF(BT204&lt;0.75,"No cumple",IF(BT204&gt;10,"No cumple","O.K"))</f>
        <v>O.K</v>
      </c>
      <c r="CI204" s="541" t="str">
        <f>IF(CE204&gt;0.1,"OK","V.C.H.")</f>
        <v>OK</v>
      </c>
      <c r="CJ204" s="510" t="str">
        <f>IF(CF204&gt;0.2,"OK","V.C.H.")</f>
        <v>OK</v>
      </c>
      <c r="CK204" s="537">
        <f>+BJ204</f>
        <v>2.9999999999972715E-2</v>
      </c>
      <c r="CL204" s="482" t="s">
        <v>2507</v>
      </c>
      <c r="CM204" s="555"/>
      <c r="CN204" s="556" t="str">
        <f>IF(B204=1,"dato"," ")</f>
        <v>dato</v>
      </c>
      <c r="CO204" s="557">
        <f>+CR204</f>
        <v>58.49</v>
      </c>
      <c r="CP204" s="542">
        <f>+BK204/100</f>
        <v>2.7936399384510421E-2</v>
      </c>
      <c r="CQ204" s="555" t="s">
        <v>2508</v>
      </c>
      <c r="CR204" s="553">
        <f>IF(BA204="","",AX204)</f>
        <v>58.49</v>
      </c>
      <c r="CS204" s="558">
        <v>1.2</v>
      </c>
      <c r="CT204" s="558">
        <v>1.2</v>
      </c>
      <c r="CU204" s="550">
        <f>IF($BA204="","",SQRT((BH204-BI204)^2+$CR204^2))</f>
        <v>58.522629947739027</v>
      </c>
      <c r="CV204" s="559" t="s">
        <v>2509</v>
      </c>
      <c r="CW204" s="560" t="str">
        <f>+IF(BD204&lt;=0.9,"E1",IF(BD204&lt;=2.5,"E2","E3"))</f>
        <v>E2</v>
      </c>
      <c r="CX204" s="553">
        <f>IF(AND(L204="",H204=""),"",IF(AND(BA204&lt;&gt;4,BA204&lt;&gt;5),VLOOKUP(AY204,'TABLA (2)'!$A$9:$D$43,4),IF(BA204=4,VLOOKUP(AY204,'TABLA (2)'!$A$74:$D$89,4),VLOOKUP(AY204,'TABLA (2)'!$A$51:$D$66,4))))</f>
        <v>1.55E-2</v>
      </c>
      <c r="CY204" s="555"/>
      <c r="CZ204" s="555"/>
      <c r="DA204" s="555"/>
      <c r="DB204" s="561"/>
    </row>
    <row r="205" spans="1:106" s="562" customFormat="1" ht="15" hidden="1" customHeight="1">
      <c r="A205" s="465">
        <f>+A204+1</f>
        <v>131</v>
      </c>
      <c r="B205" s="535"/>
      <c r="C205" s="536" t="s">
        <v>83</v>
      </c>
      <c r="D205" s="536" t="s">
        <v>2323</v>
      </c>
      <c r="E205" s="537">
        <v>0.30099999999999999</v>
      </c>
      <c r="F205" s="537"/>
      <c r="G205" s="537">
        <f>IF(B205=1,0,SUMIF($D$22:$D$583,C205,$H$22:$H$583))</f>
        <v>0.68389957440000004</v>
      </c>
      <c r="H205" s="537">
        <f>+E205+F205+G205</f>
        <v>0.98489957439999998</v>
      </c>
      <c r="I205" s="537">
        <f>+E205</f>
        <v>0.30099999999999999</v>
      </c>
      <c r="J205" s="537"/>
      <c r="K205" s="538">
        <f ca="1">+IF(B205=1,0,SUMIF($D$22:$D$583,C205,$L$22:$L$580))</f>
        <v>0.68389957440000004</v>
      </c>
      <c r="L205" s="537">
        <f ca="1">+I205+J205+K205</f>
        <v>0.98489957439999998</v>
      </c>
      <c r="M205" s="539">
        <f>+$P$12</f>
        <v>242.33666300502347</v>
      </c>
      <c r="N205" s="540">
        <f>M205*E205</f>
        <v>72.943335564512054</v>
      </c>
      <c r="O205" s="540">
        <f>M205*F205</f>
        <v>0</v>
      </c>
      <c r="P205" s="540">
        <f>M205*H205</f>
        <v>238.67727625516383</v>
      </c>
      <c r="Q205" s="540">
        <f>+$H$14</f>
        <v>140</v>
      </c>
      <c r="R205" s="541">
        <f>Q205*P205*$P$14/86400</f>
        <v>0.32873374854588533</v>
      </c>
      <c r="S205" s="541"/>
      <c r="T205" s="541"/>
      <c r="U205" s="541">
        <f>IF(C205="","",T205*$P$17)</f>
        <v>0</v>
      </c>
      <c r="V205" s="541"/>
      <c r="W205" s="541"/>
      <c r="X205" s="541">
        <f>IF(C205="","",W205*$P$16)</f>
        <v>0</v>
      </c>
      <c r="Y205" s="541">
        <f>IF(H205=0,0,$H$15*H205)</f>
        <v>0.19697991488</v>
      </c>
      <c r="Z205" s="541">
        <f ca="1">IF(L205=0,$H$16*H205,0)</f>
        <v>0</v>
      </c>
      <c r="AA205" s="471">
        <f t="shared" si="362"/>
        <v>3.8</v>
      </c>
      <c r="AB205" s="541">
        <f>R205*AA205</f>
        <v>1.2491882444743643</v>
      </c>
      <c r="AC205" s="541">
        <f>Q205*(N205+O205)*$P$14/86400</f>
        <v>0.10046593671501082</v>
      </c>
      <c r="AD205" s="541">
        <f t="shared" si="520"/>
        <v>6.0200000000000004E-2</v>
      </c>
      <c r="AE205" s="541">
        <f t="shared" si="520"/>
        <v>0</v>
      </c>
      <c r="AF205" s="510">
        <f t="shared" si="518"/>
        <v>3.8</v>
      </c>
      <c r="AG205" s="541">
        <f>AC205*AF205</f>
        <v>0.38177055951704109</v>
      </c>
      <c r="AH205" s="541">
        <f>+AD205+AE205+AG205</f>
        <v>0.44197055951704112</v>
      </c>
      <c r="AI205" s="541">
        <f ca="1">IF(H205="","",IF(AB205+Y205+Z205+X205+U205&lt;1.5,1.5,AB205+Y205+Z205+X205+U205))</f>
        <v>1.5</v>
      </c>
      <c r="AJ205" s="541">
        <f>+$P$17</f>
        <v>0.75</v>
      </c>
      <c r="AK205" s="542">
        <f>+BK205/100</f>
        <v>4.946476360392546E-2</v>
      </c>
      <c r="AL205" s="541">
        <f>IF(AJ205=0," ",0.14+0.65*AJ205+0.05*AK205)</f>
        <v>0.62997323818019635</v>
      </c>
      <c r="AM205" s="543">
        <f>((100/36)*$AM$14*(AP205+$AN$14)^$AO$14)</f>
        <v>332.65583312683691</v>
      </c>
      <c r="AN205" s="544">
        <f>IF(B205=1,IF((0.702*(1.1-$AJ205)*SQRT($CO205))/(($CP205)^(1/3))&lt;5,5,(0.702*(1.1-$AJ205)*SQRT($CO205))/(($CP205)^(1/3))),AP204)</f>
        <v>10</v>
      </c>
      <c r="AO205" s="544">
        <f>((1/60)*$AX205/$AQ205)</f>
        <v>0.3736666666666667</v>
      </c>
      <c r="AP205" s="544">
        <f>IF(B205=1,IF(($AN205+$AO205)&lt;10,10,IF(($AN205+$AO205)&gt;20,20,($AN205+$AO205))),($AN205+$AO205))</f>
        <v>10.373666666666667</v>
      </c>
      <c r="AQ205" s="545">
        <v>4</v>
      </c>
      <c r="AR205" s="544">
        <f ca="1">((1/60)*$AX205/$BT205)</f>
        <v>0.36500677557891731</v>
      </c>
      <c r="AS205" s="544">
        <f ca="1">AO205/AR205</f>
        <v>1.0237252885895458</v>
      </c>
      <c r="AT205" s="541" t="str">
        <f ca="1">IF(AS205&lt;0.9,"Disminuir vel.",IF(AS205&gt;1.1,"Aumentar vel.","Cumple"))</f>
        <v>Cumple</v>
      </c>
      <c r="AU205" s="546">
        <f>+I205*AL205*AM205</f>
        <v>63.078845990727785</v>
      </c>
      <c r="AV205" s="541">
        <f ca="1">+L205*AL205*AM205</f>
        <v>206.39976269073404</v>
      </c>
      <c r="AW205" s="510">
        <f t="shared" ca="1" si="516"/>
        <v>206.4</v>
      </c>
      <c r="AX205" s="547">
        <f>IF(OR(C205="",D205=""),"",ROUND(((VLOOKUP(C205,'Base de Diseño (2)'!$A$2:$C$333,2,FALSE)-VLOOKUP(D205,'Base de Diseño (2)'!$A$2:$C$333,2,FALSE))^2+(VLOOKUP(C205,'Base de Diseño (2)'!$A$2:$C$333,3,0)-VLOOKUP(D205,'Base de Diseño (2)'!$A$2:$C$333,3,FALSE))^2)^0.5,2))</f>
        <v>89.68</v>
      </c>
      <c r="AY205" s="548">
        <v>12</v>
      </c>
      <c r="AZ205" s="549">
        <f ca="1">IF(AND(L205="",H205=""),"",IF(BA205=4,VLOOKUP(AY205,'TABLA (2)'!$A$74:$C$89,2),IF(BA205=5,VLOOKUP(AY205,'TABLA (2)'!$A$51:$B$66,2),IF(BA205=6,VLOOKUP(AY205,'TABLA (2)'!$A$9:$B$43,2)))))</f>
        <v>284</v>
      </c>
      <c r="BA205" s="548">
        <v>4</v>
      </c>
      <c r="BB205" s="547">
        <f>IF(OR(C205="",D205=""),"",VLOOKUP(C205,'Base de Diseño (2)'!$A$2:$D$330,4,FALSE))</f>
        <v>988.67200000000003</v>
      </c>
      <c r="BC205" s="547">
        <f>IF(OR(C205="",D205=""),"",VLOOKUP(D205,'Base de Diseño (2)'!$A$2:$D$330,4,FALSE))</f>
        <v>984.23599999999999</v>
      </c>
      <c r="BD205" s="550">
        <f ca="1">+BF205-((AZ205/1000)+CX205)</f>
        <v>1.6004999999999772</v>
      </c>
      <c r="BE205" s="550">
        <f ca="1">+BG205-((AZ205/1000)+CX205)</f>
        <v>1.5005000000000002</v>
      </c>
      <c r="BF205" s="551">
        <v>1.8999999999999773</v>
      </c>
      <c r="BG205" s="551">
        <v>1.8</v>
      </c>
      <c r="BH205" s="552">
        <f t="shared" si="521"/>
        <v>986.77200000000005</v>
      </c>
      <c r="BI205" s="552">
        <f t="shared" si="521"/>
        <v>982.43600000000004</v>
      </c>
      <c r="BJ205" s="537">
        <f>IF(A205="",0,BI205-BH206)</f>
        <v>7.0000000000050022E-2</v>
      </c>
      <c r="BK205" s="545">
        <f>ABS((BB205-BC205)/AX205)*100</f>
        <v>4.9464763603925457</v>
      </c>
      <c r="BL205" s="545">
        <f>((BH205-BI205)/AX205)*100</f>
        <v>4.8349687778769095</v>
      </c>
      <c r="BM205" s="545">
        <f ca="1">IF(BA205=6,(1/0.013)*((AZ205/4000)^(2/3))*((BL205/100)^(0.5)),(1/0.009)*((AZ205/4000)^(2/3))*((BL205/100)^(0.5)))</f>
        <v>4.1891562571126633</v>
      </c>
      <c r="BN205" s="545">
        <f ca="1">1000*BM205*PI()*((AZ205/1000/2)^2)</f>
        <v>265.37079253531903</v>
      </c>
      <c r="BO205" s="553">
        <f ca="1">AI205/BN205</f>
        <v>5.652468328067266E-3</v>
      </c>
      <c r="BP205" s="523">
        <f ca="1">IF(L205=0," ",AW205/BN205)</f>
        <v>0.77777964194205584</v>
      </c>
      <c r="BQ205" s="554">
        <f ca="1">IF($BO205&gt;0 =AND($BO205&lt;=0.06),10^(0.029806+0.29095*LOG($BO205)),IF($BO205&gt;0.06 =AND($BO205&lt;=0.26),10^(0.013778+0.282597*LOG($BO205)),IF($BO205&gt;0.26 =AND($BO205&lt;=0.91),10^(0.021763+0.28995*LOG($BO205)),1)))</f>
        <v>0.23758536558233834</v>
      </c>
      <c r="BR205" s="524">
        <f ca="1">IF($BP205&gt;0 =AND($BP205&lt;=0.06),10^(0.029806+0.29095*LOG($BP205)),IF($BP205&gt;0.06 =AND($BP205&lt;=0.26),10^(0.013778+0.282597*LOG($BP205)),IF($BP205&gt;0.26 =AND($BP205&lt;=2),10^(0.021763+0.28995*LOG($BP205))," ")))</f>
        <v>0.97750021795094266</v>
      </c>
      <c r="BS205" s="545">
        <f ca="1">BM205*BQ205</f>
        <v>0.99528222082765228</v>
      </c>
      <c r="BT205" s="514">
        <f ca="1">IF(BP205=" "," ",(BM205*BR205))</f>
        <v>4.0949011543581832</v>
      </c>
      <c r="BU205" s="545">
        <f ca="1">IF(BO205&lt;=0.11,0.3827+0.0645*LN(BO205),IF(BO205&lt;=0.21,0.60025+0.15471*LN(BO205),IF(BO205&lt;1,0.225+0.6666666667*BO205,0)))</f>
        <v>4.8869739273475543E-2</v>
      </c>
      <c r="BV205" s="514">
        <f ca="1">IF(BP205&lt;=0.11,0.3827+0.0645*LN(BP205),IF(BP205&lt;=0.21,0.60025+0.15471*LN(BP205),IF(BP205&lt;1,0.225+0.6666666667*BP205," ")))</f>
        <v>0.7435197613206298</v>
      </c>
      <c r="BW205" s="545">
        <f ca="1">2*ACOS(1-2*(BU205))</f>
        <v>0.89162545929414794</v>
      </c>
      <c r="BX205" s="514">
        <f ca="1">IF(BP205=" "," ",(2*ACOS(1-2*(BV205))))</f>
        <v>4.1589863695114202</v>
      </c>
      <c r="BY205" s="545">
        <f ca="1">(1/4)*(1-(SIN(BW205))/BW205)</f>
        <v>3.1832776297304133E-2</v>
      </c>
      <c r="BZ205" s="514">
        <f ca="1">IF(BP205=" "," ",((1/4)*(1-(SIN(BX205))/BX205)))</f>
        <v>0.30113872789543999</v>
      </c>
      <c r="CA205" s="541">
        <f ca="1">BY205*AZ205/1000</f>
        <v>9.0405084684343738E-3</v>
      </c>
      <c r="CB205" s="510">
        <f ca="1">IF(BP205=" "," ",(BZ205*AZ205/1000))</f>
        <v>8.5523398722304966E-2</v>
      </c>
      <c r="CC205" s="541">
        <f ca="1">+(BT205/SQRT(9.81*(0.125*(BX205-SIN(BX205))*(AZ205/1000)^2)/((AZ205/1000)*SIN(BX205/2))))</f>
        <v>2.8972721836900104</v>
      </c>
      <c r="CD205" s="541" t="str">
        <f ca="1">IF(CC205="","",IF(CC205&lt;0.7,"F. Subcrítico",IF(AND(CC205&gt;0.7,CC205&lt;1),"F. Subcrítico Inestable",IF(CC205=1,"F. Crítico",IF(AND(CC205&gt;1,CC205&lt;1.5),"F. Supercrítico Inestable",IF(CC205&gt;1.5,"F. Supercrítico",""))))))</f>
        <v>F. Supercrítico</v>
      </c>
      <c r="CE205" s="541">
        <f ca="1">1000*BL205*CA205/100</f>
        <v>0.43710576181011995</v>
      </c>
      <c r="CF205" s="510">
        <f ca="1">IF(BP205=" "," ",(1000*BL205*CB205/100))</f>
        <v>4.1350296260026251</v>
      </c>
      <c r="CG205" s="541" t="str">
        <f ca="1">IF(BS205&lt;0.45,"No cumple",IF(BS205&gt;5,"No cumple","O.K"))</f>
        <v>O.K</v>
      </c>
      <c r="CH205" s="510" t="str">
        <f ca="1">IF(BT205&lt;0.75,"No cumple",IF(BT205&gt;10,"No cumple","O.K"))</f>
        <v>O.K</v>
      </c>
      <c r="CI205" s="541" t="str">
        <f ca="1">IF(CE205&gt;0.1,"OK","V.C.H.")</f>
        <v>OK</v>
      </c>
      <c r="CJ205" s="510" t="str">
        <f ca="1">IF(CF205&gt;0.2,"OK","V.C.H.")</f>
        <v>OK</v>
      </c>
      <c r="CK205" s="537">
        <f>+BJ205</f>
        <v>7.0000000000050022E-2</v>
      </c>
      <c r="CL205" s="482" t="s">
        <v>2507</v>
      </c>
      <c r="CM205" s="555"/>
      <c r="CN205" s="556" t="str">
        <f>IF(B205=1,"dato"," ")</f>
        <v xml:space="preserve"> </v>
      </c>
      <c r="CO205" s="557"/>
      <c r="CP205" s="542"/>
      <c r="CQ205" s="555" t="s">
        <v>2508</v>
      </c>
      <c r="CR205" s="553">
        <f>IF(BA205="","",AX205)</f>
        <v>89.68</v>
      </c>
      <c r="CS205" s="558">
        <v>1.2</v>
      </c>
      <c r="CT205" s="558">
        <v>1.2</v>
      </c>
      <c r="CU205" s="550">
        <f>IF($BA205="","",SQRT((BH205-BI205)^2+$CR205^2))</f>
        <v>89.784760934136258</v>
      </c>
      <c r="CV205" s="559" t="s">
        <v>2509</v>
      </c>
      <c r="CW205" s="560" t="str">
        <f ca="1">+IF(BD205&lt;=0.9,"E1",IF(BD205&lt;=2.5,"E2","E3"))</f>
        <v>E2</v>
      </c>
      <c r="CX205" s="553">
        <f ca="1">IF(AND(L205="",H205=""),"",IF(AND(BA205&lt;&gt;4,BA205&lt;&gt;5),VLOOKUP(AY205,'TABLA (2)'!$A$9:$D$43,4),IF(BA205=4,VLOOKUP(AY205,'TABLA (2)'!$A$74:$D$89,4),VLOOKUP(AY205,'TABLA (2)'!$A$51:$D$66,4))))</f>
        <v>1.55E-2</v>
      </c>
      <c r="CY205" s="555"/>
      <c r="CZ205" s="555"/>
      <c r="DA205" s="555"/>
      <c r="DB205" s="561"/>
    </row>
    <row r="206" spans="1:106" s="562" customFormat="1" ht="15" hidden="1" customHeight="1">
      <c r="A206" s="465">
        <f>+A205+1</f>
        <v>132</v>
      </c>
      <c r="B206" s="535"/>
      <c r="C206" s="536" t="s">
        <v>2323</v>
      </c>
      <c r="D206" s="536" t="s">
        <v>2327</v>
      </c>
      <c r="E206" s="537">
        <v>0.16809990289999999</v>
      </c>
      <c r="F206" s="537"/>
      <c r="G206" s="537">
        <f>IF(B206=1,0,SUMIF($D$22:$D$583,C206,$H$22:$H$583))</f>
        <v>1.2162640008999999</v>
      </c>
      <c r="H206" s="537">
        <f>+E206+F206+G206</f>
        <v>1.3843639037999997</v>
      </c>
      <c r="I206" s="537">
        <v>0.16809990290000001</v>
      </c>
      <c r="J206" s="537"/>
      <c r="K206" s="538">
        <f ca="1">+IF(B206=1,0,SUMIF($D$22:$D$583,C206,$L$22:$L$580))</f>
        <v>1.2162640008999999</v>
      </c>
      <c r="L206" s="537">
        <f ca="1">+I206+J206+K206</f>
        <v>1.3843639038</v>
      </c>
      <c r="M206" s="539">
        <f>+$P$12</f>
        <v>242.33666300502347</v>
      </c>
      <c r="N206" s="540">
        <f>M206*E206</f>
        <v>40.736769520254462</v>
      </c>
      <c r="O206" s="540">
        <f>M206*F206</f>
        <v>0</v>
      </c>
      <c r="P206" s="540">
        <f>M206*H206</f>
        <v>335.48212883149927</v>
      </c>
      <c r="Q206" s="540">
        <f>+$H$14</f>
        <v>140</v>
      </c>
      <c r="R206" s="541">
        <f>Q206*P206*$P$14/86400</f>
        <v>0.4620645061452362</v>
      </c>
      <c r="S206" s="541"/>
      <c r="T206" s="541"/>
      <c r="U206" s="541">
        <f>IF(C206="","",T206*$P$17)</f>
        <v>0</v>
      </c>
      <c r="V206" s="541"/>
      <c r="W206" s="541"/>
      <c r="X206" s="541">
        <f>IF(C206="","",W206*$P$16)</f>
        <v>0</v>
      </c>
      <c r="Y206" s="541">
        <f>IF(H206=0,0,$H$15*H206)</f>
        <v>0.27687278075999994</v>
      </c>
      <c r="Z206" s="541">
        <f ca="1">IF(L206=0,$H$16*H206,0)</f>
        <v>0</v>
      </c>
      <c r="AA206" s="471">
        <f t="shared" si="362"/>
        <v>3.8</v>
      </c>
      <c r="AB206" s="541">
        <f>R206*AA206</f>
        <v>1.7558451233518975</v>
      </c>
      <c r="AC206" s="541">
        <f>Q206*(N206+O206)*$P$14/86400</f>
        <v>5.6107356167943073E-2</v>
      </c>
      <c r="AD206" s="541">
        <f t="shared" si="520"/>
        <v>3.361998058E-2</v>
      </c>
      <c r="AE206" s="541">
        <f t="shared" si="520"/>
        <v>0</v>
      </c>
      <c r="AF206" s="510">
        <f t="shared" si="518"/>
        <v>3.8</v>
      </c>
      <c r="AG206" s="541">
        <f>AC206*AF206</f>
        <v>0.21320795343818366</v>
      </c>
      <c r="AH206" s="541">
        <f>+AD206+AE206+AG206</f>
        <v>0.24682793401818365</v>
      </c>
      <c r="AI206" s="541">
        <f ca="1">IF(H206="","",IF(AB206+Y206+Z206+X206+U206&lt;1.5,1.5,AB206+Y206+Z206+X206+U206))</f>
        <v>2.0327179041118972</v>
      </c>
      <c r="AJ206" s="541">
        <f>+$P$17</f>
        <v>0.75</v>
      </c>
      <c r="AK206" s="542">
        <f>+BK206/100</f>
        <v>0.11751513792330139</v>
      </c>
      <c r="AL206" s="541">
        <f>IF(AJ206=0," ",0.14+0.65*AJ206+0.05*AK206)</f>
        <v>0.6333757568961651</v>
      </c>
      <c r="AM206" s="543">
        <f>((100/36)*$AM$14*(AP206+$AN$14)^$AO$14)</f>
        <v>330.26463205408629</v>
      </c>
      <c r="AN206" s="544">
        <f>IF(B206=1,IF((0.702*(1.1-$AJ206)*SQRT($CO206))/(($CP206)^(1/3))&lt;5,5,(0.702*(1.1-$AJ206)*SQRT($CO206))/(($CP206)^(1/3))),AP205)</f>
        <v>10.373666666666667</v>
      </c>
      <c r="AO206" s="544">
        <f>((1/60)*$AX206/$AQ206)</f>
        <v>0.24772222222222226</v>
      </c>
      <c r="AP206" s="544">
        <f>IF(B206=1,IF(($AN206+$AO206)&lt;10,10,IF(($AN206+$AO206)&gt;20,20,($AN206+$AO206))),($AN206+$AO206))</f>
        <v>10.621388888888889</v>
      </c>
      <c r="AQ206" s="545">
        <v>6</v>
      </c>
      <c r="AR206" s="544">
        <f ca="1">((1/60)*$AX206/$BT206)</f>
        <v>0.24021184047029454</v>
      </c>
      <c r="AS206" s="544">
        <f ca="1">AO206/AR206</f>
        <v>1.0312656600824657</v>
      </c>
      <c r="AT206" s="541" t="str">
        <f ca="1">IF(AS206&lt;0.9,"Disminuir vel.",IF(AS206&gt;1.1,"Aumentar vel.","Cumple"))</f>
        <v>Cumple</v>
      </c>
      <c r="AU206" s="546">
        <f>+I206*AL206*AM206</f>
        <v>35.163408548548659</v>
      </c>
      <c r="AV206" s="541">
        <f ca="1">+L206*AL206*AM206</f>
        <v>289.58347202699724</v>
      </c>
      <c r="AW206" s="510">
        <f t="shared" ca="1" si="516"/>
        <v>289.58</v>
      </c>
      <c r="AX206" s="547">
        <f>IF(OR(C206="",D206=""),"",ROUND(((VLOOKUP(C206,'Base de Diseño (2)'!$A$2:$C$333,2,FALSE)-VLOOKUP(D206,'Base de Diseño (2)'!$A$2:$C$333,2,FALSE))^2+(VLOOKUP(C206,'Base de Diseño (2)'!$A$2:$C$333,3,0)-VLOOKUP(D206,'Base de Diseño (2)'!$A$2:$C$333,3,FALSE))^2)^0.5,2))</f>
        <v>89.18</v>
      </c>
      <c r="AY206" s="548">
        <v>12</v>
      </c>
      <c r="AZ206" s="549">
        <f ca="1">IF(AND(L206="",H206=""),"",IF(BA206=4,VLOOKUP(AY206,'TABLA (2)'!$A$74:$C$89,2),IF(BA206=5,VLOOKUP(AY206,'TABLA (2)'!$A$51:$B$66,2),IF(BA206=6,VLOOKUP(AY206,'TABLA (2)'!$A$9:$B$43,2)))))</f>
        <v>284</v>
      </c>
      <c r="BA206" s="548">
        <v>4</v>
      </c>
      <c r="BB206" s="547">
        <f>IF(OR(C206="",D206=""),"",VLOOKUP(C206,'Base de Diseño (2)'!$A$2:$D$330,4,FALSE))</f>
        <v>984.23599999999999</v>
      </c>
      <c r="BC206" s="547">
        <f>IF(OR(C206="",D206=""),"",VLOOKUP(D206,'Base de Diseño (2)'!$A$2:$D$330,4,FALSE))</f>
        <v>973.75599999999997</v>
      </c>
      <c r="BD206" s="550">
        <f ca="1">+BF206-((AZ206/1000)+CX206)</f>
        <v>1.5705</v>
      </c>
      <c r="BE206" s="550">
        <f ca="1">+BG206-((AZ206/1000)+CX206)</f>
        <v>1.5505000000000226</v>
      </c>
      <c r="BF206" s="551">
        <v>1.87</v>
      </c>
      <c r="BG206" s="551">
        <v>1.8500000000000227</v>
      </c>
      <c r="BH206" s="552">
        <f t="shared" si="521"/>
        <v>982.36599999999999</v>
      </c>
      <c r="BI206" s="552">
        <f t="shared" si="521"/>
        <v>971.90599999999995</v>
      </c>
      <c r="BJ206" s="537">
        <f>IF(A206="",0,BI206-BH152)</f>
        <v>9.0000000000031832E-2</v>
      </c>
      <c r="BK206" s="545">
        <f>ABS((BB206-BC206)/AX206)*100</f>
        <v>11.751513792330138</v>
      </c>
      <c r="BL206" s="545">
        <f>((BH206-BI206)/AX206)*100</f>
        <v>11.729087239291362</v>
      </c>
      <c r="BM206" s="545">
        <f ca="1">IF(BA206=6,(1/0.013)*((AZ206/4000)^(2/3))*((BL206/100)^(0.5)),(1/0.009)*((AZ206/4000)^(2/3))*((BL206/100)^(0.5)))</f>
        <v>6.5247192800633478</v>
      </c>
      <c r="BN206" s="545">
        <f ca="1">1000*BM206*PI()*((AZ206/1000/2)^2)</f>
        <v>413.32187680539903</v>
      </c>
      <c r="BO206" s="553">
        <f ca="1">AI206/BN206</f>
        <v>4.9180022113103515E-3</v>
      </c>
      <c r="BP206" s="523">
        <f ca="1">IF(L206=0," ",AW206/BN206)</f>
        <v>0.70061619345723758</v>
      </c>
      <c r="BQ206" s="554">
        <f ca="1">IF($BO206&gt;0 =AND($BO206&lt;=0.06),10^(0.029806+0.29095*LOG($BO206)),IF($BO206&gt;0.06 =AND($BO206&lt;=0.26),10^(0.013778+0.282597*LOG($BO206)),IF($BO206&gt;0.26 =AND($BO206&lt;=0.91),10^(0.021763+0.28995*LOG($BO206)),1)))</f>
        <v>0.22815601772705435</v>
      </c>
      <c r="BR206" s="524">
        <f ca="1">IF($BP206&gt;0 =AND($BP206&lt;=0.06),10^(0.029806+0.29095*LOG($BP206)),IF($BP206&gt;0.06 =AND($BP206&lt;=0.26),10^(0.013778+0.282597*LOG($BP206)),IF($BP206&gt;0.26 =AND($BP206&lt;=2),10^(0.021763+0.28995*LOG($BP206))," ")))</f>
        <v>0.94833106144525492</v>
      </c>
      <c r="BS206" s="545">
        <f ca="1">BM206*BQ206</f>
        <v>1.4886539677261865</v>
      </c>
      <c r="BT206" s="514">
        <f ca="1">IF(BP206=" "," ",(BM206*BR206))</f>
        <v>6.1875939604947945</v>
      </c>
      <c r="BU206" s="545">
        <f ca="1">IF(BO206&lt;=0.11,0.3827+0.0645*LN(BO206),IF(BO206&lt;=0.21,0.60025+0.15471*LN(BO206),IF(BO206&lt;1,0.225+0.6666666667*BO206,0)))</f>
        <v>3.9891988881887275E-2</v>
      </c>
      <c r="BV206" s="514">
        <f ca="1">IF(BP206&lt;=0.11,0.3827+0.0645*LN(BP206),IF(BP206&lt;=0.21,0.60025+0.15471*LN(BP206),IF(BP206&lt;1,0.225+0.6666666667*BP206," ")))</f>
        <v>0.69207746232817891</v>
      </c>
      <c r="BW206" s="545">
        <f ca="1">2*ACOS(1-2*(BU206))</f>
        <v>0.80432858514509231</v>
      </c>
      <c r="BX206" s="514">
        <f ca="1">IF(BP206=" "," ",(2*ACOS(1-2*(BV206))))</f>
        <v>3.9301773333622698</v>
      </c>
      <c r="BY206" s="545">
        <f ca="1">(1/4)*(1-(SIN(BW206))/BW206)</f>
        <v>2.6097378395934762E-2</v>
      </c>
      <c r="BZ206" s="514">
        <f ca="1">IF(BP206=" "," ",((1/4)*(1-(SIN(BX206))/BX206)))</f>
        <v>0.29512241653519122</v>
      </c>
      <c r="CA206" s="541">
        <f ca="1">BY206*AZ206/1000</f>
        <v>7.4116554644454722E-3</v>
      </c>
      <c r="CB206" s="510">
        <f ca="1">IF(BP206=" "," ",(BZ206*AZ206/1000))</f>
        <v>8.3814766295994297E-2</v>
      </c>
      <c r="CC206" s="541">
        <f ca="1">+(BT206/SQRT(9.81*(0.125*(BX206-SIN(BX206))*(AZ206/1000)^2)/((AZ206/1000)*SIN(BX206/2))))</f>
        <v>4.6773514378013781</v>
      </c>
      <c r="CD206" s="541" t="str">
        <f ca="1">IF(CC206="","",IF(CC206&lt;0.7,"F. Subcrítico",IF(AND(CC206&gt;0.7,CC206&lt;1),"F. Subcrítico Inestable",IF(CC206=1,"F. Crítico",IF(AND(CC206&gt;1,CC206&lt;1.5),"F. Supercrítico Inestable",IF(CC206&gt;1.5,"F. Supercrítico",""))))))</f>
        <v>F. Supercrítico</v>
      </c>
      <c r="CE206" s="541">
        <f ca="1">1000*BL206*CA206/100</f>
        <v>0.86931953530051487</v>
      </c>
      <c r="CF206" s="510">
        <f ca="1">IF(BP206=" "," ",(1000*BL206*CB206/100))</f>
        <v>9.8307070582653449</v>
      </c>
      <c r="CG206" s="541" t="str">
        <f ca="1">IF(BS206&lt;0.45,"No cumple",IF(BS206&gt;5,"No cumple","O.K"))</f>
        <v>O.K</v>
      </c>
      <c r="CH206" s="510" t="str">
        <f ca="1">IF(BT206&lt;0.75,"No cumple",IF(BT206&gt;10,"No cumple","O.K"))</f>
        <v>O.K</v>
      </c>
      <c r="CI206" s="541" t="str">
        <f ca="1">IF(CE206&gt;0.1,"OK","V.C.H.")</f>
        <v>OK</v>
      </c>
      <c r="CJ206" s="510" t="str">
        <f ca="1">IF(CF206&gt;0.2,"OK","V.C.H.")</f>
        <v>OK</v>
      </c>
      <c r="CK206" s="537">
        <f>+BJ206</f>
        <v>9.0000000000031832E-2</v>
      </c>
      <c r="CL206" s="482" t="s">
        <v>2507</v>
      </c>
      <c r="CM206" s="555"/>
      <c r="CN206" s="556" t="str">
        <f>IF(B206=1,"dato"," ")</f>
        <v xml:space="preserve"> </v>
      </c>
      <c r="CO206" s="557"/>
      <c r="CP206" s="542"/>
      <c r="CQ206" s="555" t="s">
        <v>2508</v>
      </c>
      <c r="CR206" s="553">
        <f>IF(BA206="","",AX206)</f>
        <v>89.18</v>
      </c>
      <c r="CS206" s="558">
        <v>1.2</v>
      </c>
      <c r="CT206" s="558">
        <v>1.2</v>
      </c>
      <c r="CU206" s="550">
        <f>IF($BA206="","",SQRT((BH206-BI206)^2+$CR206^2))</f>
        <v>89.79133588492823</v>
      </c>
      <c r="CV206" s="559" t="s">
        <v>2509</v>
      </c>
      <c r="CW206" s="560" t="str">
        <f ca="1">+IF(BD206&lt;=0.9,"E1",IF(BD206&lt;=2.5,"E2","E3"))</f>
        <v>E2</v>
      </c>
      <c r="CX206" s="553">
        <f ca="1">IF(AND(L206="",H206=""),"",IF(AND(BA206&lt;&gt;4,BA206&lt;&gt;5),VLOOKUP(AY206,'TABLA (2)'!$A$9:$D$43,4),IF(BA206=4,VLOOKUP(AY206,'TABLA (2)'!$A$74:$D$89,4),VLOOKUP(AY206,'TABLA (2)'!$A$51:$D$66,4))))</f>
        <v>1.55E-2</v>
      </c>
      <c r="CY206" s="555"/>
      <c r="CZ206" s="555"/>
      <c r="DA206" s="555"/>
      <c r="DB206" s="561"/>
    </row>
    <row r="207" spans="1:106" ht="15" hidden="1" customHeight="1">
      <c r="A207" s="465"/>
      <c r="B207" s="491"/>
      <c r="C207" s="466"/>
      <c r="D207" s="466"/>
      <c r="E207" s="468"/>
      <c r="F207" s="468"/>
      <c r="G207" s="468"/>
      <c r="H207" s="468"/>
      <c r="I207" s="468"/>
      <c r="J207" s="468"/>
      <c r="K207" s="467"/>
      <c r="L207" s="468"/>
      <c r="M207" s="469"/>
      <c r="N207" s="470"/>
      <c r="O207" s="470"/>
      <c r="P207" s="470"/>
      <c r="Q207" s="469"/>
      <c r="R207" s="471"/>
      <c r="S207" s="471"/>
      <c r="T207" s="471"/>
      <c r="U207" s="471"/>
      <c r="V207" s="471"/>
      <c r="W207" s="471"/>
      <c r="X207" s="471"/>
      <c r="Y207" s="471"/>
      <c r="Z207" s="471"/>
      <c r="AA207" s="471" t="str">
        <f t="shared" si="362"/>
        <v/>
      </c>
      <c r="AB207" s="471"/>
      <c r="AC207" s="471"/>
      <c r="AD207" s="471"/>
      <c r="AE207" s="471"/>
      <c r="AF207" s="510" t="str">
        <f t="shared" si="518"/>
        <v/>
      </c>
      <c r="AG207" s="471"/>
      <c r="AH207" s="471"/>
      <c r="AI207" s="471"/>
      <c r="AJ207" s="471"/>
      <c r="AK207" s="472"/>
      <c r="AL207" s="471"/>
      <c r="AM207" s="473"/>
      <c r="AN207" s="474"/>
      <c r="AO207" s="474"/>
      <c r="AP207" s="474"/>
      <c r="AQ207" s="475"/>
      <c r="AR207" s="474"/>
      <c r="AS207" s="474"/>
      <c r="AT207" s="471"/>
      <c r="AU207" s="492"/>
      <c r="AV207" s="471"/>
      <c r="AW207" s="510">
        <f t="shared" si="516"/>
        <v>0</v>
      </c>
      <c r="AX207" s="478"/>
      <c r="AY207" s="493"/>
      <c r="AZ207" s="480"/>
      <c r="BA207" s="493"/>
      <c r="BB207" s="478" t="str">
        <f>IF(OR(C207="",D207=""),"",VLOOKUP(C207,'Base de Diseño (2)'!$A$2:$D$330,4,FALSE))</f>
        <v/>
      </c>
      <c r="BC207" s="478" t="str">
        <f>IF(OR(C207="",D207=""),"",VLOOKUP(D207,'Base de Diseño (2)'!$A$2:$D$330,4,FALSE))</f>
        <v/>
      </c>
      <c r="BD207" s="23"/>
      <c r="BE207" s="23"/>
      <c r="BF207" s="494"/>
      <c r="BG207" s="494"/>
      <c r="BH207" s="495"/>
      <c r="BI207" s="495"/>
      <c r="BJ207" s="468"/>
      <c r="BK207" s="475"/>
      <c r="BL207" s="475"/>
      <c r="BM207" s="475"/>
      <c r="BN207" s="475"/>
      <c r="BO207" s="204"/>
      <c r="BP207" s="496"/>
      <c r="BQ207" s="497"/>
      <c r="BR207" s="497"/>
      <c r="BS207" s="475"/>
      <c r="BT207" s="475"/>
      <c r="BU207" s="475"/>
      <c r="BV207" s="475"/>
      <c r="BW207" s="475"/>
      <c r="BX207" s="475"/>
      <c r="BY207" s="475"/>
      <c r="BZ207" s="475"/>
      <c r="CA207" s="471"/>
      <c r="CB207" s="471"/>
      <c r="CC207" s="471"/>
      <c r="CD207" s="471"/>
      <c r="CE207" s="471"/>
      <c r="CF207" s="471"/>
      <c r="CG207" s="471"/>
      <c r="CH207" s="471"/>
      <c r="CI207" s="471"/>
      <c r="CJ207" s="471"/>
      <c r="CK207" s="468"/>
      <c r="CL207" s="482" t="s">
        <v>2507</v>
      </c>
      <c r="CM207" s="482"/>
      <c r="CN207" s="63"/>
      <c r="CO207" s="498"/>
      <c r="CP207" s="472"/>
      <c r="CQ207" s="482"/>
      <c r="CR207" s="204"/>
      <c r="CS207" s="486"/>
      <c r="CT207" s="486"/>
      <c r="CU207" s="23"/>
      <c r="CV207" s="499"/>
      <c r="CW207" s="488"/>
      <c r="CX207" s="204"/>
      <c r="CY207" s="482"/>
      <c r="CZ207" s="482"/>
      <c r="DA207" s="482"/>
      <c r="DB207" s="490"/>
    </row>
    <row r="208" spans="1:106" ht="15" hidden="1" customHeight="1">
      <c r="A208" s="465">
        <f>+A206+1</f>
        <v>133</v>
      </c>
      <c r="B208" s="491">
        <v>1</v>
      </c>
      <c r="C208" s="466" t="s">
        <v>2520</v>
      </c>
      <c r="D208" s="466" t="s">
        <v>83</v>
      </c>
      <c r="E208" s="468">
        <v>0.36227899120000001</v>
      </c>
      <c r="F208" s="468"/>
      <c r="G208" s="468">
        <f>IF(B208=1,0,SUMIF($D$22:$D$583,C208,$H$22:$H$583))</f>
        <v>0</v>
      </c>
      <c r="H208" s="468">
        <f>+E208+F208+G208</f>
        <v>0.36227899120000001</v>
      </c>
      <c r="I208" s="468">
        <v>0.36227899120000001</v>
      </c>
      <c r="J208" s="468"/>
      <c r="K208" s="467">
        <f>+IF(B208=1,0,SUMIF($D$22:$D$583,C208,$L$22:$L$580))</f>
        <v>0</v>
      </c>
      <c r="L208" s="468">
        <f>+I208+J208+K208</f>
        <v>0.36227899120000001</v>
      </c>
      <c r="M208" s="469">
        <f>+$P$12</f>
        <v>242.33666300502347</v>
      </c>
      <c r="N208" s="470">
        <f>M208*E208</f>
        <v>87.793481804234261</v>
      </c>
      <c r="O208" s="470">
        <f>M208*F208</f>
        <v>0</v>
      </c>
      <c r="P208" s="470">
        <f>M208*H208</f>
        <v>87.793481804234261</v>
      </c>
      <c r="Q208" s="469">
        <f>+$H$14</f>
        <v>140</v>
      </c>
      <c r="R208" s="471">
        <f>Q208*P208*$P$14/86400</f>
        <v>0.12091926313314673</v>
      </c>
      <c r="S208" s="471"/>
      <c r="T208" s="471"/>
      <c r="U208" s="471">
        <f>IF(C208="","",T208*$P$17)</f>
        <v>0</v>
      </c>
      <c r="V208" s="471"/>
      <c r="W208" s="471"/>
      <c r="X208" s="471">
        <f>IF(C208="","",W208*$P$16)</f>
        <v>0</v>
      </c>
      <c r="Y208" s="471">
        <f>IF(H208=0,0,$H$15*H208)</f>
        <v>7.2455798240000008E-2</v>
      </c>
      <c r="Z208" s="471">
        <f>IF(L208=0,$H$16*H208,0)</f>
        <v>0</v>
      </c>
      <c r="AA208" s="471">
        <f t="shared" si="362"/>
        <v>3.8</v>
      </c>
      <c r="AB208" s="471">
        <f>R208*AA208</f>
        <v>0.45949319990595755</v>
      </c>
      <c r="AC208" s="471">
        <f>Q208*(N208+O208)*$P$14/86400</f>
        <v>0.12091926313314673</v>
      </c>
      <c r="AD208" s="471">
        <f>IF(E208=0,0,$H$15*(E208+F208))</f>
        <v>7.2455798240000008E-2</v>
      </c>
      <c r="AE208" s="471">
        <f>IF(F208=0,0,$H$15*(F208+G208))</f>
        <v>0</v>
      </c>
      <c r="AF208" s="510">
        <f t="shared" si="518"/>
        <v>3.8</v>
      </c>
      <c r="AG208" s="471">
        <f>AC208*AF208</f>
        <v>0.45949319990595755</v>
      </c>
      <c r="AH208" s="471">
        <f>+AD208+AE208+AG208</f>
        <v>0.53194899814595753</v>
      </c>
      <c r="AI208" s="471">
        <f>IF(H208="","",IF(AB208+Y208+Z208+X208+U208&lt;1.5,1.5,AB208+Y208+Z208+X208+U208))</f>
        <v>1.5</v>
      </c>
      <c r="AJ208" s="471">
        <f>+$P$17</f>
        <v>0.75</v>
      </c>
      <c r="AK208" s="472" t="e">
        <f>+BK208/100</f>
        <v>#N/A</v>
      </c>
      <c r="AL208" s="471" t="e">
        <f>IF(AJ208=0," ",0.14+0.65*AJ208+0.05*AK208)</f>
        <v>#N/A</v>
      </c>
      <c r="AM208" s="473" t="e">
        <f t="shared" ref="AM208:AM227" si="522">((100/36)*$AM$14*(AP208+$AN$14)^$AO$14)</f>
        <v>#N/A</v>
      </c>
      <c r="AN208" s="474" t="e">
        <f t="shared" ref="AN208:AN227" si="523">IF(B208=1,IF((0.702*(1.1-$AJ208)*SQRT($CO208))/(($CP208)^(1/3))&lt;5,5,(0.702*(1.1-$AJ208)*SQRT($CO208))/(($CP208)^(1/3))),AP207)</f>
        <v>#N/A</v>
      </c>
      <c r="AO208" s="474" t="e">
        <f>((1/60)*$AX208/$AQ208)</f>
        <v>#N/A</v>
      </c>
      <c r="AP208" s="474" t="e">
        <f>IF(B208=1,IF(($AN208+$AO208)&lt;10,10,IF(($AN208+$AO208)&gt;20,20,($AN208+$AO208))),($AN208+$AO208))</f>
        <v>#N/A</v>
      </c>
      <c r="AQ208" s="475">
        <v>3</v>
      </c>
      <c r="AR208" s="474" t="e">
        <f>((1/60)*$AX208/$BT208)</f>
        <v>#N/A</v>
      </c>
      <c r="AS208" s="474" t="e">
        <f>AO208/AR208</f>
        <v>#N/A</v>
      </c>
      <c r="AT208" s="471" t="e">
        <f>IF(AS208&lt;0.9,"Disminuir vel.",IF(AS208&gt;1.1,"Aumentar vel.","Cumple"))</f>
        <v>#N/A</v>
      </c>
      <c r="AU208" s="492" t="e">
        <f>+I208*AL208*AM208</f>
        <v>#N/A</v>
      </c>
      <c r="AV208" s="471" t="e">
        <f>+L208*AL208*AM208</f>
        <v>#N/A</v>
      </c>
      <c r="AW208" s="510" t="e">
        <f t="shared" si="516"/>
        <v>#N/A</v>
      </c>
      <c r="AX208" s="478" t="e">
        <f>IF(OR(C208="",D208=""),"",ROUND(((VLOOKUP(C208,'Base de Diseño (2)'!$A$2:$C$333,2,FALSE)-VLOOKUP(D208,'Base de Diseño (2)'!$A$2:$C$333,2,FALSE))^2+(VLOOKUP(C208,'Base de Diseño (2)'!$A$2:$C$333,3,0)-VLOOKUP(D208,'Base de Diseño (2)'!$A$2:$C$333,3,FALSE))^2)^0.5,2))</f>
        <v>#N/A</v>
      </c>
      <c r="AY208" s="493">
        <v>8</v>
      </c>
      <c r="AZ208" s="480">
        <f>IF(AND(L208="",H208=""),"",IF(BA208=4,VLOOKUP(AY208,'TABLA (2)'!$A$74:$C$89,2),IF(BA208=5,VLOOKUP(AY208,'TABLA (2)'!$A$51:$B$66,2),IF(BA208=6,VLOOKUP(AY208,'TABLA (2)'!$A$9:$B$43,2)))))</f>
        <v>200</v>
      </c>
      <c r="BA208" s="493">
        <v>6</v>
      </c>
      <c r="BB208" s="478" t="e">
        <f>IF(OR(C208="",D208=""),"",VLOOKUP(C208,'Base de Diseño (2)'!$A$2:$D$330,4,FALSE))</f>
        <v>#N/A</v>
      </c>
      <c r="BC208" s="478">
        <f>IF(OR(C208="",D208=""),"",VLOOKUP(D208,'Base de Diseño (2)'!$A$2:$D$330,4,FALSE))</f>
        <v>988.67200000000003</v>
      </c>
      <c r="BD208" s="23">
        <f>+BF208-((AZ208/1000)+CX208)</f>
        <v>1.1629999999999772</v>
      </c>
      <c r="BE208" s="23">
        <f>+BG208-((AZ208/1000)+CX208)</f>
        <v>1.6330000000000044</v>
      </c>
      <c r="BF208" s="494">
        <v>1.3999999999999773</v>
      </c>
      <c r="BG208" s="494">
        <v>1.8700000000000045</v>
      </c>
      <c r="BH208" s="495" t="e">
        <f>BB208-BF208</f>
        <v>#N/A</v>
      </c>
      <c r="BI208" s="495">
        <f>BC208-BG208</f>
        <v>986.80200000000002</v>
      </c>
      <c r="BJ208" s="468">
        <f>IF(A208="",0,BI208-BH209)</f>
        <v>986.80200000000002</v>
      </c>
      <c r="BK208" s="475" t="e">
        <f>ABS((BB208-BC208)/AX208)*100</f>
        <v>#N/A</v>
      </c>
      <c r="BL208" s="475" t="e">
        <f>((BH208-BI208)/AX208)*100</f>
        <v>#N/A</v>
      </c>
      <c r="BM208" s="475" t="e">
        <f>IF(BA208=6,(1/0.013)*((AZ208/4000)^(2/3))*((BL208/100)^(0.5)),(1/0.009)*((AZ208/4000)^(2/3))*((BL208/100)^(0.5)))</f>
        <v>#N/A</v>
      </c>
      <c r="BN208" s="475" t="e">
        <f>1000*BM208*PI()*((AZ208/1000/2)^2)</f>
        <v>#N/A</v>
      </c>
      <c r="BO208" s="204" t="e">
        <f>AI208/BN208</f>
        <v>#N/A</v>
      </c>
      <c r="BP208" s="496" t="e">
        <f>IF(L208=0," ",AW208/BN208)</f>
        <v>#N/A</v>
      </c>
      <c r="BQ208" s="497" t="e">
        <f>IF($BO208&gt;0 =AND($BO208&lt;=0.06),10^(0.029806+0.29095*LOG($BO208)),IF($BO208&gt;0.06 =AND($BO208&lt;=0.26),10^(0.013778+0.282597*LOG($BO208)),IF($BO208&gt;0.26 =AND($BO208&lt;=0.91),10^(0.021763+0.28995*LOG($BO208)),1)))</f>
        <v>#N/A</v>
      </c>
      <c r="BR208" s="497" t="e">
        <f>IF($BP208&gt;0 =AND($BP208&lt;=0.06),10^(0.029806+0.29095*LOG($BP208)),IF($BP208&gt;0.06 =AND($BP208&lt;=0.26),10^(0.013778+0.282597*LOG($BP208)),IF($BP208&gt;0.26 =AND($BP208&lt;=2),10^(0.021763+0.28995*LOG($BP208))," ")))</f>
        <v>#N/A</v>
      </c>
      <c r="BS208" s="475" t="e">
        <f>BM208*BQ208</f>
        <v>#N/A</v>
      </c>
      <c r="BT208" s="475" t="e">
        <f>IF(BP208=" "," ",(BM208*BR208))</f>
        <v>#N/A</v>
      </c>
      <c r="BU208" s="475" t="e">
        <f>IF(BO208&lt;=0.11,0.3827+0.0645*LN(BO208),IF(BO208&lt;=0.21,0.60025+0.15471*LN(BO208),IF(BO208&lt;1,0.225+0.6666666667*BO208,0)))</f>
        <v>#N/A</v>
      </c>
      <c r="BV208" s="475" t="e">
        <f>IF(BP208&lt;=0.11,0.3827+0.0645*LN(BP208),IF(BP208&lt;=0.21,0.60025+0.15471*LN(BP208),IF(BP208&lt;1,0.225+0.6666666667*BP208," ")))</f>
        <v>#N/A</v>
      </c>
      <c r="BW208" s="475" t="e">
        <f>2*ACOS(1-2*(BU208))</f>
        <v>#N/A</v>
      </c>
      <c r="BX208" s="475" t="e">
        <f>IF(BP208=" "," ",(2*ACOS(1-2*(BV208))))</f>
        <v>#N/A</v>
      </c>
      <c r="BY208" s="475" t="e">
        <f>(1/4)*(1-(SIN(BW208))/BW208)</f>
        <v>#N/A</v>
      </c>
      <c r="BZ208" s="475" t="e">
        <f>IF(BP208=" "," ",((1/4)*(1-(SIN(BX208))/BX208)))</f>
        <v>#N/A</v>
      </c>
      <c r="CA208" s="471" t="e">
        <f>BY208*AZ208/1000</f>
        <v>#N/A</v>
      </c>
      <c r="CB208" s="471" t="e">
        <f>IF(BP208=" "," ",(BZ208*AZ208/1000))</f>
        <v>#N/A</v>
      </c>
      <c r="CC208" s="471" t="e">
        <f t="shared" ref="CC208:CC227" si="524">+(BT208/SQRT(9.81*(0.125*(BX208-SIN(BX208))*(AZ208/1000)^2)/((AZ208/1000)*SIN(BX208/2))))</f>
        <v>#N/A</v>
      </c>
      <c r="CD208" s="471" t="e">
        <f>IF(CC208="","",IF(CC208&lt;0.7,"F. Subcrítico",IF(AND(CC208&gt;0.7,CC208&lt;1),"F. Subcrítico Inestable",IF(CC208=1,"F. Crítico",IF(AND(CC208&gt;1,CC208&lt;1.5),"F. Supercrítico Inestable",IF(CC208&gt;1.5,"F. Supercrítico",""))))))</f>
        <v>#N/A</v>
      </c>
      <c r="CE208" s="471" t="e">
        <f>1000*BL208*CA208/100</f>
        <v>#N/A</v>
      </c>
      <c r="CF208" s="471" t="e">
        <f>IF(BP208=" "," ",(1000*BL208*CB208/100))</f>
        <v>#N/A</v>
      </c>
      <c r="CG208" s="471" t="e">
        <f>IF(BS208&lt;0.45,"No cumple",IF(BS208&gt;5,"No cumple","O.K"))</f>
        <v>#N/A</v>
      </c>
      <c r="CH208" s="471" t="e">
        <f>IF(BT208&lt;0.75,"No cumple",IF(BT208&gt;10,"No cumple","O.K"))</f>
        <v>#N/A</v>
      </c>
      <c r="CI208" s="471" t="e">
        <f>IF(CE208&gt;0.1,"OK","V.C.H.")</f>
        <v>#N/A</v>
      </c>
      <c r="CJ208" s="471" t="e">
        <f>IF(CF208&gt;0.2,"OK","V.C.H.")</f>
        <v>#N/A</v>
      </c>
      <c r="CK208" s="468">
        <f>+BJ208</f>
        <v>986.80200000000002</v>
      </c>
      <c r="CL208" s="482" t="s">
        <v>2507</v>
      </c>
      <c r="CM208" s="482"/>
      <c r="CN208" s="63" t="str">
        <f>IF(B208=1,"dato"," ")</f>
        <v>dato</v>
      </c>
      <c r="CO208" s="498" t="e">
        <f>+CR208</f>
        <v>#N/A</v>
      </c>
      <c r="CP208" s="472" t="e">
        <f>+BK208/100</f>
        <v>#N/A</v>
      </c>
      <c r="CQ208" s="482" t="s">
        <v>2508</v>
      </c>
      <c r="CR208" s="204" t="e">
        <f>IF(BA208="","",AX208)</f>
        <v>#N/A</v>
      </c>
      <c r="CS208" s="486">
        <v>1.2</v>
      </c>
      <c r="CT208" s="486">
        <v>1.2</v>
      </c>
      <c r="CU208" s="23" t="e">
        <f>IF($BA208="","",SQRT((BH208-BI208)^2+$CR208^2))</f>
        <v>#N/A</v>
      </c>
      <c r="CV208" s="499" t="s">
        <v>2509</v>
      </c>
      <c r="CW208" s="488" t="str">
        <f>+IF(BD208&lt;=0.9,"E1",IF(BD208&lt;=2.5,"E2","E3"))</f>
        <v>E2</v>
      </c>
      <c r="CX208" s="204">
        <f>IF(AND(L208="",H208=""),"",IF(AND(BA208&lt;&gt;4,BA208&lt;&gt;5),VLOOKUP(AY208,'TABLA (2)'!$A$9:$D$43,4),IF(BA208=4,VLOOKUP(AY208,'TABLA (2)'!$A$74:$D$89,4),VLOOKUP(AY208,'TABLA (2)'!$A$51:$D$66,4))))</f>
        <v>3.6999999999999998E-2</v>
      </c>
      <c r="CY208" s="482"/>
      <c r="CZ208" s="482"/>
      <c r="DA208" s="482"/>
      <c r="DB208" s="490"/>
    </row>
    <row r="209" spans="1:106" ht="15" hidden="1" customHeight="1">
      <c r="A209" s="465"/>
      <c r="B209" s="491"/>
      <c r="C209" s="466"/>
      <c r="D209" s="466"/>
      <c r="E209" s="468"/>
      <c r="F209" s="468"/>
      <c r="G209" s="468"/>
      <c r="H209" s="468"/>
      <c r="I209" s="468"/>
      <c r="J209" s="468"/>
      <c r="K209" s="467"/>
      <c r="L209" s="468"/>
      <c r="M209" s="469"/>
      <c r="N209" s="470"/>
      <c r="O209" s="470"/>
      <c r="P209" s="470"/>
      <c r="Q209" s="469"/>
      <c r="R209" s="471"/>
      <c r="S209" s="471"/>
      <c r="T209" s="471"/>
      <c r="U209" s="471"/>
      <c r="V209" s="471"/>
      <c r="W209" s="471"/>
      <c r="X209" s="471"/>
      <c r="Y209" s="471"/>
      <c r="Z209" s="471"/>
      <c r="AA209" s="471" t="str">
        <f t="shared" si="362"/>
        <v/>
      </c>
      <c r="AB209" s="471"/>
      <c r="AC209" s="471"/>
      <c r="AD209" s="471"/>
      <c r="AE209" s="471"/>
      <c r="AF209" s="510" t="str">
        <f t="shared" si="518"/>
        <v/>
      </c>
      <c r="AG209" s="471"/>
      <c r="AH209" s="471"/>
      <c r="AI209" s="471"/>
      <c r="AJ209" s="471"/>
      <c r="AK209" s="472"/>
      <c r="AL209" s="471"/>
      <c r="AM209" s="473">
        <f t="shared" si="522"/>
        <v>474.44695720875893</v>
      </c>
      <c r="AN209" s="474" t="e">
        <f t="shared" si="523"/>
        <v>#N/A</v>
      </c>
      <c r="AO209" s="474"/>
      <c r="AP209" s="474"/>
      <c r="AQ209" s="475">
        <v>3</v>
      </c>
      <c r="AR209" s="474"/>
      <c r="AS209" s="474"/>
      <c r="AT209" s="471"/>
      <c r="AU209" s="492"/>
      <c r="AV209" s="471"/>
      <c r="AW209" s="510">
        <f t="shared" si="516"/>
        <v>0</v>
      </c>
      <c r="AX209" s="478"/>
      <c r="AY209" s="493"/>
      <c r="AZ209" s="480"/>
      <c r="BA209" s="493"/>
      <c r="BB209" s="478" t="str">
        <f>IF(OR(C209="",D209=""),"",VLOOKUP(C209,'Base de Diseño (2)'!$A$2:$D$330,4,FALSE))</f>
        <v/>
      </c>
      <c r="BC209" s="478" t="str">
        <f>IF(OR(C209="",D209=""),"",VLOOKUP(D209,'Base de Diseño (2)'!$A$2:$D$330,4,FALSE))</f>
        <v/>
      </c>
      <c r="BD209" s="23"/>
      <c r="BE209" s="23"/>
      <c r="BF209" s="494"/>
      <c r="BG209" s="494"/>
      <c r="BH209" s="495"/>
      <c r="BI209" s="495"/>
      <c r="BJ209" s="468"/>
      <c r="BK209" s="475"/>
      <c r="BL209" s="475"/>
      <c r="BM209" s="475"/>
      <c r="BN209" s="475"/>
      <c r="BO209" s="204"/>
      <c r="BP209" s="496"/>
      <c r="BQ209" s="497"/>
      <c r="BR209" s="497"/>
      <c r="BS209" s="475"/>
      <c r="BT209" s="475"/>
      <c r="BU209" s="475"/>
      <c r="BV209" s="475"/>
      <c r="BW209" s="475"/>
      <c r="BX209" s="475"/>
      <c r="BY209" s="475"/>
      <c r="BZ209" s="475"/>
      <c r="CA209" s="471"/>
      <c r="CB209" s="471"/>
      <c r="CC209" s="471" t="e">
        <f t="shared" si="524"/>
        <v>#DIV/0!</v>
      </c>
      <c r="CD209" s="471"/>
      <c r="CE209" s="471"/>
      <c r="CF209" s="471"/>
      <c r="CG209" s="471"/>
      <c r="CH209" s="471"/>
      <c r="CI209" s="471"/>
      <c r="CJ209" s="471"/>
      <c r="CK209" s="468"/>
      <c r="CL209" s="482" t="s">
        <v>2507</v>
      </c>
      <c r="CM209" s="482"/>
      <c r="CN209" s="63"/>
      <c r="CO209" s="498"/>
      <c r="CP209" s="472"/>
      <c r="CQ209" s="482"/>
      <c r="CR209" s="204"/>
      <c r="CS209" s="486"/>
      <c r="CT209" s="486"/>
      <c r="CU209" s="23"/>
      <c r="CV209" s="499"/>
      <c r="CW209" s="488"/>
      <c r="CX209" s="204"/>
      <c r="CY209" s="482"/>
      <c r="CZ209" s="482"/>
      <c r="DA209" s="482"/>
      <c r="DB209" s="490"/>
    </row>
    <row r="210" spans="1:106" ht="15" hidden="1" customHeight="1">
      <c r="A210" s="465">
        <f>+A208+1</f>
        <v>134</v>
      </c>
      <c r="B210" s="491">
        <v>1</v>
      </c>
      <c r="C210" s="466" t="s">
        <v>2185</v>
      </c>
      <c r="D210" s="466" t="s">
        <v>2186</v>
      </c>
      <c r="E210" s="468">
        <v>8.3815655200000005E-2</v>
      </c>
      <c r="F210" s="468"/>
      <c r="G210" s="468">
        <f>IF(B210=1,0,SUMIF($D$22:$D$583,C210,$H$22:$H$583))</f>
        <v>0</v>
      </c>
      <c r="H210" s="468">
        <f>+E210+F210+G210</f>
        <v>8.3815655200000005E-2</v>
      </c>
      <c r="I210" s="468">
        <v>8.3815655200000005E-2</v>
      </c>
      <c r="J210" s="468"/>
      <c r="K210" s="467">
        <f>+IF(B210=1,0,SUMIF($D$22:$D$583,C210,$L$22:$L$580))</f>
        <v>0</v>
      </c>
      <c r="L210" s="468">
        <f>+I210+J210+K210</f>
        <v>8.3815655200000005E-2</v>
      </c>
      <c r="M210" s="469">
        <f>+$P$12</f>
        <v>242.33666300502347</v>
      </c>
      <c r="N210" s="470">
        <f>M210*E210</f>
        <v>20.311606188747643</v>
      </c>
      <c r="O210" s="470">
        <f>M210*F210</f>
        <v>0</v>
      </c>
      <c r="P210" s="470">
        <f>M210*H210</f>
        <v>20.311606188747643</v>
      </c>
      <c r="Q210" s="469">
        <f>+$H$14</f>
        <v>140</v>
      </c>
      <c r="R210" s="471">
        <f>Q210*P210*$P$14/86400</f>
        <v>2.7975476116446407E-2</v>
      </c>
      <c r="S210" s="471"/>
      <c r="T210" s="471"/>
      <c r="U210" s="471">
        <f>IF(C210="","",T210*$P$17)</f>
        <v>0</v>
      </c>
      <c r="V210" s="471"/>
      <c r="W210" s="471"/>
      <c r="X210" s="471">
        <f>IF(C210="","",W210*$P$16)</f>
        <v>0</v>
      </c>
      <c r="Y210" s="471">
        <f>IF(H210=0,0,$H$15*H210)</f>
        <v>1.676313104E-2</v>
      </c>
      <c r="Z210" s="471">
        <f>IF(L210=0,$H$16*H210,0)</f>
        <v>0</v>
      </c>
      <c r="AA210" s="471">
        <f t="shared" si="362"/>
        <v>3.8</v>
      </c>
      <c r="AB210" s="471">
        <f>R210*AA210</f>
        <v>0.10630680924249634</v>
      </c>
      <c r="AC210" s="471">
        <f>Q210*(N210+O210)*$P$14/86400</f>
        <v>2.7975476116446407E-2</v>
      </c>
      <c r="AD210" s="471">
        <f t="shared" ref="AD210:AE214" si="525">IF(E210=0,0,$H$15*(E210+F210))</f>
        <v>1.676313104E-2</v>
      </c>
      <c r="AE210" s="471">
        <f t="shared" si="525"/>
        <v>0</v>
      </c>
      <c r="AF210" s="510">
        <f t="shared" si="518"/>
        <v>3.8</v>
      </c>
      <c r="AG210" s="471">
        <f>AC210*AF210</f>
        <v>0.10630680924249634</v>
      </c>
      <c r="AH210" s="471">
        <f>+AD210+AE210+AG210</f>
        <v>0.12306994028249635</v>
      </c>
      <c r="AI210" s="471">
        <f>IF(H210="","",IF(AB210+Y210+Z210+X210+U210&lt;1.5,1.5,AB210+Y210+Z210+X210+U210))</f>
        <v>1.5</v>
      </c>
      <c r="AJ210" s="471">
        <f>+$P$17</f>
        <v>0.75</v>
      </c>
      <c r="AK210" s="472">
        <f>+BK210/100</f>
        <v>6.7136623027876964E-3</v>
      </c>
      <c r="AL210" s="471">
        <f>IF(AJ210=0," ",0.14+0.65*AJ210+0.05*AK210)</f>
        <v>0.62783568311513949</v>
      </c>
      <c r="AM210" s="473">
        <f t="shared" si="522"/>
        <v>336.32613267542746</v>
      </c>
      <c r="AN210" s="474">
        <f t="shared" si="523"/>
        <v>7.1086518334970696</v>
      </c>
      <c r="AO210" s="474">
        <f>((1/60)*$AX210/$AQ210)</f>
        <v>0.16550000000000001</v>
      </c>
      <c r="AP210" s="474">
        <f>IF(B210=1,IF(($AN210+$AO210)&lt;10,10,IF(($AN210+$AO210)&gt;20,20,($AN210+$AO210))),($AN210+$AO210))</f>
        <v>10</v>
      </c>
      <c r="AQ210" s="475">
        <v>3</v>
      </c>
      <c r="AR210" s="474" t="e">
        <f>((1/60)*$AX210/$BT210)</f>
        <v>#NUM!</v>
      </c>
      <c r="AS210" s="474" t="e">
        <f>AO210/AR210</f>
        <v>#NUM!</v>
      </c>
      <c r="AT210" s="471" t="e">
        <f>IF(AS210&lt;0.9,"Disminuir vel.",IF(AS210&gt;1.1,"Aumentar vel.","Cumple"))</f>
        <v>#NUM!</v>
      </c>
      <c r="AU210" s="492">
        <f>+I210*AL210*AM210</f>
        <v>17.698308173833283</v>
      </c>
      <c r="AV210" s="471">
        <f>+L210*AL210*AM210</f>
        <v>17.698308173833283</v>
      </c>
      <c r="AW210" s="510">
        <f t="shared" si="516"/>
        <v>19.2</v>
      </c>
      <c r="AX210" s="478">
        <f>IF(OR(C210="",D210=""),"",ROUND(((VLOOKUP(C210,'Base de Diseño (2)'!$A$2:$C$333,2,FALSE)-VLOOKUP(D210,'Base de Diseño (2)'!$A$2:$C$333,2,FALSE))^2+(VLOOKUP(C210,'Base de Diseño (2)'!$A$2:$C$333,3,0)-VLOOKUP(D210,'Base de Diseño (2)'!$A$2:$C$333,3,FALSE))^2)^0.5,2))</f>
        <v>29.79</v>
      </c>
      <c r="AY210" s="493">
        <v>8</v>
      </c>
      <c r="AZ210" s="480">
        <f>IF(AND(L210="",H210=""),"",IF(BA210=4,VLOOKUP(AY210,'TABLA (2)'!$A$74:$C$89,2),IF(BA210=5,VLOOKUP(AY210,'TABLA (2)'!$A$51:$B$66,2),IF(BA210=6,VLOOKUP(AY210,'TABLA (2)'!$A$9:$B$43,2)))))</f>
        <v>200</v>
      </c>
      <c r="BA210" s="493">
        <v>6</v>
      </c>
      <c r="BB210" s="478">
        <f>IF(OR(C210="",D210=""),"",VLOOKUP(C210,'Base de Diseño (2)'!$A$2:$D$330,4,FALSE))</f>
        <v>986.07159999999999</v>
      </c>
      <c r="BC210" s="478">
        <f>IF(OR(C210="",D210=""),"",VLOOKUP(D210,'Base de Diseño (2)'!$A$2:$D$330,4,FALSE))</f>
        <v>986.27160000000003</v>
      </c>
      <c r="BD210" s="23">
        <f>+BF210-((AZ210/1000)+CX210)</f>
        <v>0.76300000000000001</v>
      </c>
      <c r="BE210" s="23">
        <f>+BG210-((AZ210/1000)+CX210)</f>
        <v>0.86300000000002275</v>
      </c>
      <c r="BF210" s="494">
        <v>1</v>
      </c>
      <c r="BG210" s="494">
        <v>1.1000000000000227</v>
      </c>
      <c r="BH210" s="495">
        <f t="shared" ref="BH210:BI214" si="526">BB210-BF210</f>
        <v>985.07159999999999</v>
      </c>
      <c r="BI210" s="495">
        <f t="shared" si="526"/>
        <v>985.17160000000001</v>
      </c>
      <c r="BJ210" s="468">
        <f>IF(A210="",0,BI210-BH211)</f>
        <v>2.9999999999972715E-2</v>
      </c>
      <c r="BK210" s="475">
        <f>ABS((BB210-BC210)/AX210)*100</f>
        <v>0.67136623027876963</v>
      </c>
      <c r="BL210" s="475">
        <f>((BH210-BI210)/AX210)*100</f>
        <v>-0.33568311513938481</v>
      </c>
      <c r="BM210" s="475" t="e">
        <f>IF(BA210=6,(1/0.013)*((AZ210/4000)^(2/3))*((BL210/100)^(0.5)),(1/0.009)*((AZ210/4000)^(2/3))*((BL210/100)^(0.5)))</f>
        <v>#NUM!</v>
      </c>
      <c r="BN210" s="475" t="e">
        <f>1000*BM210*PI()*((AZ210/1000/2)^2)</f>
        <v>#NUM!</v>
      </c>
      <c r="BO210" s="204" t="e">
        <f>AI210/BN210</f>
        <v>#NUM!</v>
      </c>
      <c r="BP210" s="496" t="e">
        <f>IF(L210=0," ",AW210/BN210)</f>
        <v>#NUM!</v>
      </c>
      <c r="BQ210" s="497" t="e">
        <f>IF($BO210&gt;0 =AND($BO210&lt;=0.06),10^(0.029806+0.29095*LOG($BO210)),IF($BO210&gt;0.06 =AND($BO210&lt;=0.26),10^(0.013778+0.282597*LOG($BO210)),IF($BO210&gt;0.26 =AND($BO210&lt;=0.91),10^(0.021763+0.28995*LOG($BO210)),1)))</f>
        <v>#NUM!</v>
      </c>
      <c r="BR210" s="497" t="e">
        <f>IF($BP210&gt;0 =AND($BP210&lt;=0.06),10^(0.029806+0.29095*LOG($BP210)),IF($BP210&gt;0.06 =AND($BP210&lt;=0.26),10^(0.013778+0.282597*LOG($BP210)),IF($BP210&gt;0.26 =AND($BP210&lt;=2),10^(0.021763+0.28995*LOG($BP210))," ")))</f>
        <v>#NUM!</v>
      </c>
      <c r="BS210" s="475" t="e">
        <f>BM210*BQ210</f>
        <v>#NUM!</v>
      </c>
      <c r="BT210" s="475" t="e">
        <f>IF(BP210=" "," ",(BM210*BR210))</f>
        <v>#NUM!</v>
      </c>
      <c r="BU210" s="475" t="e">
        <f>IF(BO210&lt;=0.11,0.3827+0.0645*LN(BO210),IF(BO210&lt;=0.21,0.60025+0.15471*LN(BO210),IF(BO210&lt;1,0.225+0.6666666667*BO210,0)))</f>
        <v>#NUM!</v>
      </c>
      <c r="BV210" s="475" t="e">
        <f>IF(BP210&lt;=0.11,0.3827+0.0645*LN(BP210),IF(BP210&lt;=0.21,0.60025+0.15471*LN(BP210),IF(BP210&lt;1,0.225+0.6666666667*BP210," ")))</f>
        <v>#NUM!</v>
      </c>
      <c r="BW210" s="475" t="e">
        <f>2*ACOS(1-2*(BU210))</f>
        <v>#NUM!</v>
      </c>
      <c r="BX210" s="475" t="e">
        <f>IF(BP210=" "," ",(2*ACOS(1-2*(BV210))))</f>
        <v>#NUM!</v>
      </c>
      <c r="BY210" s="475" t="e">
        <f>(1/4)*(1-(SIN(BW210))/BW210)</f>
        <v>#NUM!</v>
      </c>
      <c r="BZ210" s="475" t="e">
        <f>IF(BP210=" "," ",((1/4)*(1-(SIN(BX210))/BX210)))</f>
        <v>#NUM!</v>
      </c>
      <c r="CA210" s="471" t="e">
        <f>BY210*AZ210/1000</f>
        <v>#NUM!</v>
      </c>
      <c r="CB210" s="471" t="e">
        <f>IF(BP210=" "," ",(BZ210*AZ210/1000))</f>
        <v>#NUM!</v>
      </c>
      <c r="CC210" s="471" t="e">
        <f t="shared" si="524"/>
        <v>#NUM!</v>
      </c>
      <c r="CD210" s="471" t="e">
        <f>IF(CC210="","",IF(CC210&lt;0.7,"F. Subcrítico",IF(AND(CC210&gt;0.7,CC210&lt;1),"F. Subcrítico Inestable",IF(CC210=1,"F. Crítico",IF(AND(CC210&gt;1,CC210&lt;1.5),"F. Supercrítico Inestable",IF(CC210&gt;1.5,"F. Supercrítico",""))))))</f>
        <v>#NUM!</v>
      </c>
      <c r="CE210" s="471" t="e">
        <f>1000*BL210*CA210/100</f>
        <v>#NUM!</v>
      </c>
      <c r="CF210" s="471" t="e">
        <f>IF(BP210=" "," ",(1000*BL210*CB210/100))</f>
        <v>#NUM!</v>
      </c>
      <c r="CG210" s="471" t="e">
        <f>IF(BS210&lt;0.45,"No cumple",IF(BS210&gt;5,"No cumple","O.K"))</f>
        <v>#NUM!</v>
      </c>
      <c r="CH210" s="471" t="e">
        <f>IF(BT210&lt;0.75,"No cumple",IF(BT210&gt;10,"No cumple","O.K"))</f>
        <v>#NUM!</v>
      </c>
      <c r="CI210" s="471" t="e">
        <f>IF(CE210&gt;0.1,"OK","V.C.H.")</f>
        <v>#NUM!</v>
      </c>
      <c r="CJ210" s="471" t="e">
        <f>IF(CF210&gt;0.2,"OK","V.C.H.")</f>
        <v>#NUM!</v>
      </c>
      <c r="CK210" s="468">
        <f>+BJ210</f>
        <v>2.9999999999972715E-2</v>
      </c>
      <c r="CL210" s="482" t="s">
        <v>2507</v>
      </c>
      <c r="CM210" s="482"/>
      <c r="CN210" s="63" t="str">
        <f>IF(B210=1,"dato"," ")</f>
        <v>dato</v>
      </c>
      <c r="CO210" s="498">
        <f>+CR210</f>
        <v>29.79</v>
      </c>
      <c r="CP210" s="472">
        <f>+BK210/100</f>
        <v>6.7136623027876964E-3</v>
      </c>
      <c r="CQ210" s="482" t="s">
        <v>2508</v>
      </c>
      <c r="CR210" s="204">
        <f>IF(BA210="","",AX210)</f>
        <v>29.79</v>
      </c>
      <c r="CS210" s="486">
        <v>1.2</v>
      </c>
      <c r="CT210" s="486">
        <v>1.2</v>
      </c>
      <c r="CU210" s="23">
        <f>IF($BA210="","",SQRT((BH210-BI210)^2+$CR210^2))</f>
        <v>29.790167841084749</v>
      </c>
      <c r="CV210" s="499" t="s">
        <v>2509</v>
      </c>
      <c r="CW210" s="488" t="str">
        <f>+IF(BD210&lt;=0.9,"E1",IF(BD210&lt;=2.5,"E2","E3"))</f>
        <v>E1</v>
      </c>
      <c r="CX210" s="204">
        <f>IF(AND(L210="",H210=""),"",IF(AND(BA210&lt;&gt;4,BA210&lt;&gt;5),VLOOKUP(AY210,'TABLA (2)'!$A$9:$D$43,4),IF(BA210=4,VLOOKUP(AY210,'TABLA (2)'!$A$74:$D$89,4),VLOOKUP(AY210,'TABLA (2)'!$A$51:$D$66,4))))</f>
        <v>3.6999999999999998E-2</v>
      </c>
      <c r="CY210" s="482"/>
      <c r="CZ210" s="482"/>
      <c r="DA210" s="482"/>
      <c r="DB210" s="490"/>
    </row>
    <row r="211" spans="1:106" ht="15" hidden="1" customHeight="1">
      <c r="A211" s="465">
        <f>+A210+1</f>
        <v>135</v>
      </c>
      <c r="B211" s="491"/>
      <c r="C211" s="466" t="s">
        <v>2186</v>
      </c>
      <c r="D211" s="466" t="s">
        <v>2187</v>
      </c>
      <c r="E211" s="468"/>
      <c r="F211" s="468"/>
      <c r="G211" s="468">
        <f>IF(B211=1,0,SUMIF($D$22:$D$583,C211,$H$22:$H$583))</f>
        <v>8.3815655200000005E-2</v>
      </c>
      <c r="H211" s="468">
        <f>+E211+F211+G211</f>
        <v>8.3815655200000005E-2</v>
      </c>
      <c r="I211" s="468"/>
      <c r="J211" s="468"/>
      <c r="K211" s="467">
        <f ca="1">+IF(B211=1,0,SUMIF($D$22:$D$583,C211,$L$22:$L$580))</f>
        <v>8.3815655200000005E-2</v>
      </c>
      <c r="L211" s="468">
        <f ca="1">+I211+J211+K211</f>
        <v>8.3815655200000005E-2</v>
      </c>
      <c r="M211" s="469">
        <f>+$P$12</f>
        <v>242.33666300502347</v>
      </c>
      <c r="N211" s="470">
        <f>M211*E211</f>
        <v>0</v>
      </c>
      <c r="O211" s="470">
        <f>M211*F211</f>
        <v>0</v>
      </c>
      <c r="P211" s="470">
        <f>M211*H211</f>
        <v>20.311606188747643</v>
      </c>
      <c r="Q211" s="469">
        <f>+$H$14</f>
        <v>140</v>
      </c>
      <c r="R211" s="471">
        <f>Q211*P211*$P$14/86400</f>
        <v>2.7975476116446407E-2</v>
      </c>
      <c r="S211" s="471"/>
      <c r="T211" s="471"/>
      <c r="U211" s="471">
        <f>IF(C211="","",T211*$P$17)</f>
        <v>0</v>
      </c>
      <c r="V211" s="471"/>
      <c r="W211" s="471"/>
      <c r="X211" s="471">
        <f>IF(C211="","",W211*$P$16)</f>
        <v>0</v>
      </c>
      <c r="Y211" s="471">
        <f>IF(H211=0,0,$H$15*H211)</f>
        <v>1.676313104E-2</v>
      </c>
      <c r="Z211" s="471">
        <f ca="1">IF(L211=0,$H$16*H211,0)</f>
        <v>0</v>
      </c>
      <c r="AA211" s="471">
        <f t="shared" si="362"/>
        <v>3.8</v>
      </c>
      <c r="AB211" s="471">
        <f>R211*AA211</f>
        <v>0.10630680924249634</v>
      </c>
      <c r="AC211" s="471">
        <f>Q211*(N211+O211)*$P$14/86400</f>
        <v>0</v>
      </c>
      <c r="AD211" s="471">
        <f t="shared" si="525"/>
        <v>0</v>
      </c>
      <c r="AE211" s="471">
        <f t="shared" si="525"/>
        <v>0</v>
      </c>
      <c r="AF211" s="510">
        <f t="shared" si="518"/>
        <v>3.8</v>
      </c>
      <c r="AG211" s="471">
        <f>AC211*AF211</f>
        <v>0</v>
      </c>
      <c r="AH211" s="471">
        <f>+AD211+AE211+AG211</f>
        <v>0</v>
      </c>
      <c r="AI211" s="471">
        <f ca="1">IF(H211="","",IF(AB211+Y211+Z211+X211+U211&lt;1.5,1.5,AB211+Y211+Z211+X211+U211))</f>
        <v>1.5</v>
      </c>
      <c r="AJ211" s="471">
        <f>+$P$17</f>
        <v>0.75</v>
      </c>
      <c r="AK211" s="472">
        <f>+BK211/100</f>
        <v>2.3001508295626458E-2</v>
      </c>
      <c r="AL211" s="471">
        <f>IF(AJ211=0," ",0.14+0.65*AJ211+0.05*AK211)</f>
        <v>0.62865007541478135</v>
      </c>
      <c r="AM211" s="473">
        <f t="shared" si="522"/>
        <v>334.86974402323722</v>
      </c>
      <c r="AN211" s="474">
        <f t="shared" si="523"/>
        <v>10</v>
      </c>
      <c r="AO211" s="474">
        <f>((1/60)*$AX211/$AQ211)</f>
        <v>0.14733333333333334</v>
      </c>
      <c r="AP211" s="474">
        <f>IF(B211=1,IF(($AN211+$AO211)&lt;10,10,IF(($AN211+$AO211)&gt;20,20,($AN211+$AO211))),($AN211+$AO211))</f>
        <v>10.147333333333334</v>
      </c>
      <c r="AQ211" s="475">
        <v>3</v>
      </c>
      <c r="AR211" s="474">
        <f ca="1">((1/60)*$AX211/$BT211)</f>
        <v>0.36775721095204705</v>
      </c>
      <c r="AS211" s="474">
        <f ca="1">AO211/AR211</f>
        <v>0.400626633402831</v>
      </c>
      <c r="AT211" s="471" t="str">
        <f ca="1">IF(AS211&lt;0.9,"Disminuir vel.",IF(AS211&gt;1.1,"Aumentar vel.","Cumple"))</f>
        <v>Disminuir vel.</v>
      </c>
      <c r="AU211" s="492">
        <f>+I211*AL211*AM211</f>
        <v>0</v>
      </c>
      <c r="AV211" s="471">
        <f ca="1">+L211*AL211*AM211</f>
        <v>17.644527236475945</v>
      </c>
      <c r="AW211" s="510">
        <f t="shared" ca="1" si="516"/>
        <v>19.14</v>
      </c>
      <c r="AX211" s="478">
        <f>IF(OR(C211="",D211=""),"",ROUND(((VLOOKUP(C211,'Base de Diseño (2)'!$A$2:$C$333,2,FALSE)-VLOOKUP(D211,'Base de Diseño (2)'!$A$2:$C$333,2,FALSE))^2+(VLOOKUP(C211,'Base de Diseño (2)'!$A$2:$C$333,3,0)-VLOOKUP(D211,'Base de Diseño (2)'!$A$2:$C$333,3,FALSE))^2)^0.5,2))</f>
        <v>26.52</v>
      </c>
      <c r="AY211" s="493">
        <v>10</v>
      </c>
      <c r="AZ211" s="480">
        <f ca="1">IF(AND(L211="",H211=""),"",IF(BA211=4,VLOOKUP(AY211,'TABLA (2)'!$A$74:$C$89,2),IF(BA211=5,VLOOKUP(AY211,'TABLA (2)'!$A$51:$B$66,2),IF(BA211=6,VLOOKUP(AY211,'TABLA (2)'!$A$9:$B$43,2)))))</f>
        <v>250</v>
      </c>
      <c r="BA211" s="493">
        <v>6</v>
      </c>
      <c r="BB211" s="478">
        <f>IF(OR(C211="",D211=""),"",VLOOKUP(C211,'Base de Diseño (2)'!$A$2:$D$330,4,FALSE))</f>
        <v>986.27160000000003</v>
      </c>
      <c r="BC211" s="478">
        <f>IF(OR(C211="",D211=""),"",VLOOKUP(D211,'Base de Diseño (2)'!$A$2:$D$330,4,FALSE))</f>
        <v>985.66160000000002</v>
      </c>
      <c r="BD211" s="23">
        <f ca="1">+BF211-((AZ211/1000)+CX211)</f>
        <v>0.84299999999999553</v>
      </c>
      <c r="BE211" s="23">
        <f ca="1">+BG211-((AZ211/1000)+CX211)</f>
        <v>0.81300000000002282</v>
      </c>
      <c r="BF211" s="494">
        <v>1.1299999999999955</v>
      </c>
      <c r="BG211" s="494">
        <v>1.1000000000000227</v>
      </c>
      <c r="BH211" s="495">
        <f t="shared" si="526"/>
        <v>985.14160000000004</v>
      </c>
      <c r="BI211" s="495">
        <f t="shared" si="526"/>
        <v>984.5616</v>
      </c>
      <c r="BJ211" s="468">
        <f>IF(A211="",0,BI211-BH212)</f>
        <v>0</v>
      </c>
      <c r="BK211" s="475">
        <f>ABS((BB211-BC211)/AX211)*100</f>
        <v>2.3001508295626456</v>
      </c>
      <c r="BL211" s="475">
        <f>((BH211-BI211)/AX211)*100</f>
        <v>2.1870286576170472</v>
      </c>
      <c r="BM211" s="475">
        <f ca="1">IF(BA211=6,(1/0.013)*((AZ211/4000)^(2/3))*((BL211/100)^(0.5)),(1/0.009)*((AZ211/4000)^(2/3))*((BL211/100)^(0.5)))</f>
        <v>1.7915842237715598</v>
      </c>
      <c r="BN211" s="475">
        <f ca="1">1000*BM211*PI()*((AZ211/1000/2)^2)</f>
        <v>87.944184932626627</v>
      </c>
      <c r="BO211" s="204">
        <f ca="1">AI211/BN211</f>
        <v>1.705627269328994E-2</v>
      </c>
      <c r="BP211" s="496">
        <f ca="1">IF(L211=0," ",AW211/BN211)</f>
        <v>0.21763803956637962</v>
      </c>
      <c r="BQ211" s="497">
        <f ca="1">IF($BO211&gt;0 =AND($BO211&lt;=0.06),10^(0.029806+0.29095*LOG($BO211)),IF($BO211&gt;0.06 =AND($BO211&lt;=0.26),10^(0.013778+0.282597*LOG($BO211)),IF($BO211&gt;0.26 =AND($BO211&lt;=0.91),10^(0.021763+0.28995*LOG($BO211)),1)))</f>
        <v>0.32762172139641693</v>
      </c>
      <c r="BR211" s="497">
        <f ca="1">IF($BP211&gt;0 =AND($BP211&lt;=0.06),10^(0.029806+0.29095*LOG($BP211)),IF($BP211&gt;0.06 =AND($BP211&lt;=0.26),10^(0.013778+0.282597*LOG($BP211)),IF($BP211&gt;0.26 =AND($BP211&lt;=2),10^(0.021763+0.28995*LOG($BP211))," ")))</f>
        <v>0.67084755729672108</v>
      </c>
      <c r="BS211" s="475">
        <f ca="1">BM211*BQ211</f>
        <v>0.5869619074187018</v>
      </c>
      <c r="BT211" s="475">
        <f ca="1">IF(BP211=" "," ",(BM211*BR211))</f>
        <v>1.201879900208493</v>
      </c>
      <c r="BU211" s="475">
        <f ca="1">IF(BO211&lt;=0.11,0.3827+0.0645*LN(BO211),IF(BO211&lt;=0.21,0.60025+0.15471*LN(BO211),IF(BO211&lt;1,0.225+0.6666666667*BO211,0)))</f>
        <v>0.1201051978257594</v>
      </c>
      <c r="BV211" s="475">
        <f ca="1">IF(BP211&lt;=0.11,0.3827+0.0645*LN(BP211),IF(BP211&lt;=0.21,0.60025+0.15471*LN(BP211),IF(BP211&lt;1,0.225+0.6666666667*BP211," ")))</f>
        <v>0.37009202638484101</v>
      </c>
      <c r="BW211" s="475">
        <f ca="1">2*ACOS(1-2*(BU211))</f>
        <v>1.4156137489307838</v>
      </c>
      <c r="BX211" s="475">
        <f ca="1">IF(BP211=" "," ",(2*ACOS(1-2*(BV211))))</f>
        <v>2.6159294540811544</v>
      </c>
      <c r="BY211" s="475">
        <f ca="1">(1/4)*(1-(SIN(BW211))/BW211)</f>
        <v>7.5520321368680199E-2</v>
      </c>
      <c r="BZ211" s="475">
        <f ca="1">IF(BP211=" "," ",((1/4)*(1-(SIN(BX211))/BX211)))</f>
        <v>0.20204507751187367</v>
      </c>
      <c r="CA211" s="471">
        <f ca="1">BY211*AZ211/1000</f>
        <v>1.888008034217005E-2</v>
      </c>
      <c r="CB211" s="471">
        <f ca="1">IF(BP211=" "," ",(BZ211*AZ211/1000))</f>
        <v>5.0511269377968418E-2</v>
      </c>
      <c r="CC211" s="471">
        <f t="shared" ca="1" si="524"/>
        <v>1.467054059621459</v>
      </c>
      <c r="CD211" s="471" t="str">
        <f ca="1">IF(CC211="","",IF(CC211&lt;0.7,"F. Subcrítico",IF(AND(CC211&gt;0.7,CC211&lt;1),"F. Subcrítico Inestable",IF(CC211=1,"F. Crítico",IF(AND(CC211&gt;1,CC211&lt;1.5),"F. Supercrítico Inestable",IF(CC211&gt;1.5,"F. Supercrítico",""))))))</f>
        <v>F. Supercrítico Inestable</v>
      </c>
      <c r="CE211" s="471">
        <f ca="1">1000*BL211*CA211/100</f>
        <v>0.41291276766438167</v>
      </c>
      <c r="CF211" s="471">
        <f ca="1">IF(BP211=" "," ",(1000*BL211*CB211/100))</f>
        <v>1.1046959366223135</v>
      </c>
      <c r="CG211" s="471" t="str">
        <f ca="1">IF(BS211&lt;0.45,"No cumple",IF(BS211&gt;5,"No cumple","O.K"))</f>
        <v>O.K</v>
      </c>
      <c r="CH211" s="471" t="str">
        <f ca="1">IF(BT211&lt;0.75,"No cumple",IF(BT211&gt;10,"No cumple","O.K"))</f>
        <v>O.K</v>
      </c>
      <c r="CI211" s="471" t="str">
        <f ca="1">IF(CE211&gt;0.1,"OK","V.C.H.")</f>
        <v>OK</v>
      </c>
      <c r="CJ211" s="471" t="str">
        <f ca="1">IF(CF211&gt;0.2,"OK","V.C.H.")</f>
        <v>OK</v>
      </c>
      <c r="CK211" s="468">
        <f>+BJ211</f>
        <v>0</v>
      </c>
      <c r="CL211" s="482" t="s">
        <v>2507</v>
      </c>
      <c r="CM211" s="482"/>
      <c r="CN211" s="63" t="str">
        <f>IF(B211=1,"dato"," ")</f>
        <v xml:space="preserve"> </v>
      </c>
      <c r="CO211" s="498">
        <f>+CR211</f>
        <v>26.52</v>
      </c>
      <c r="CP211" s="472">
        <f>+BK211/100</f>
        <v>2.3001508295626458E-2</v>
      </c>
      <c r="CQ211" s="482" t="s">
        <v>2508</v>
      </c>
      <c r="CR211" s="204">
        <f>IF(BA211="","",AX211)</f>
        <v>26.52</v>
      </c>
      <c r="CS211" s="486">
        <v>1.2</v>
      </c>
      <c r="CT211" s="486">
        <v>1.2</v>
      </c>
      <c r="CU211" s="23">
        <f>IF($BA211="","",SQRT((BH211-BI211)^2+$CR211^2))</f>
        <v>26.526341624882992</v>
      </c>
      <c r="CV211" s="499" t="s">
        <v>2509</v>
      </c>
      <c r="CW211" s="488" t="str">
        <f ca="1">+IF(BD211&lt;=0.9,"E1",IF(BD211&lt;=2.5,"E2","E3"))</f>
        <v>E1</v>
      </c>
      <c r="CX211" s="204">
        <f ca="1">IF(AND(L211="",H211=""),"",IF(AND(BA211&lt;&gt;4,BA211&lt;&gt;5),VLOOKUP(AY211,'TABLA (2)'!$A$9:$D$43,4),IF(BA211=4,VLOOKUP(AY211,'TABLA (2)'!$A$74:$D$89,4),VLOOKUP(AY211,'TABLA (2)'!$A$51:$D$66,4))))</f>
        <v>3.6999999999999998E-2</v>
      </c>
      <c r="CY211" s="482"/>
      <c r="CZ211" s="482"/>
      <c r="DA211" s="482"/>
      <c r="DB211" s="490"/>
    </row>
    <row r="212" spans="1:106" ht="15" hidden="1" customHeight="1">
      <c r="A212" s="465">
        <f>+A211+1</f>
        <v>136</v>
      </c>
      <c r="B212" s="491"/>
      <c r="C212" s="466" t="s">
        <v>2187</v>
      </c>
      <c r="D212" s="466" t="s">
        <v>2188</v>
      </c>
      <c r="E212" s="468"/>
      <c r="F212" s="468"/>
      <c r="G212" s="468">
        <f>IF(B212=1,0,SUMIF($D$22:$D$583,C212,$H$22:$H$583))</f>
        <v>0.16726442650000001</v>
      </c>
      <c r="H212" s="468">
        <f>+E212+F212+G212</f>
        <v>0.16726442650000001</v>
      </c>
      <c r="I212" s="468"/>
      <c r="J212" s="468"/>
      <c r="K212" s="467">
        <f ca="1">+IF(B212=1,0,SUMIF($D$22:$D$583,C212,$L$22:$L$580))</f>
        <v>0.16726442650000001</v>
      </c>
      <c r="L212" s="468">
        <f ca="1">+I212+J212+K212</f>
        <v>0.16726442650000001</v>
      </c>
      <c r="M212" s="469">
        <f>+$P$12</f>
        <v>242.33666300502347</v>
      </c>
      <c r="N212" s="470">
        <f>M212*E212</f>
        <v>0</v>
      </c>
      <c r="O212" s="470">
        <f>M212*F212</f>
        <v>0</v>
      </c>
      <c r="P212" s="470">
        <f>M212*H212</f>
        <v>40.534302957459019</v>
      </c>
      <c r="Q212" s="469">
        <f>+$H$14</f>
        <v>140</v>
      </c>
      <c r="R212" s="471">
        <f>Q212*P212*$P$14/86400</f>
        <v>5.5828495971500275E-2</v>
      </c>
      <c r="S212" s="471"/>
      <c r="T212" s="471"/>
      <c r="U212" s="471">
        <f>IF(C212="","",T212*$P$17)</f>
        <v>0</v>
      </c>
      <c r="V212" s="471"/>
      <c r="W212" s="471"/>
      <c r="X212" s="471">
        <f>IF(C212="","",W212*$P$16)</f>
        <v>0</v>
      </c>
      <c r="Y212" s="471">
        <f>IF(H212=0,0,$H$15*H212)</f>
        <v>3.3452885300000006E-2</v>
      </c>
      <c r="Z212" s="471">
        <f ca="1">IF(L212=0,$H$16*H212,0)</f>
        <v>0</v>
      </c>
      <c r="AA212" s="471">
        <f t="shared" si="362"/>
        <v>3.8</v>
      </c>
      <c r="AB212" s="471">
        <f>R212*AA212</f>
        <v>0.21214828469170102</v>
      </c>
      <c r="AC212" s="471">
        <f>Q212*(N212+O212)*$P$14/86400</f>
        <v>0</v>
      </c>
      <c r="AD212" s="471">
        <f t="shared" si="525"/>
        <v>0</v>
      </c>
      <c r="AE212" s="471">
        <f t="shared" si="525"/>
        <v>0</v>
      </c>
      <c r="AF212" s="510">
        <f t="shared" si="518"/>
        <v>3.8</v>
      </c>
      <c r="AG212" s="471">
        <f>AC212*AF212</f>
        <v>0</v>
      </c>
      <c r="AH212" s="471">
        <f>+AD212+AE212+AG212</f>
        <v>0</v>
      </c>
      <c r="AI212" s="471">
        <f ca="1">IF(H212="","",IF(AB212+Y212+Z212+X212+U212&lt;1.5,1.5,AB212+Y212+Z212+X212+U212))</f>
        <v>1.5</v>
      </c>
      <c r="AJ212" s="471">
        <f>+$P$17</f>
        <v>0.75</v>
      </c>
      <c r="AK212" s="472">
        <f>+BK212/100</f>
        <v>3.9966694421317082E-2</v>
      </c>
      <c r="AL212" s="471">
        <f>IF(AJ212=0," ",0.14+0.65*AJ212+0.05*AK212)</f>
        <v>0.62949833472106587</v>
      </c>
      <c r="AM212" s="473">
        <f t="shared" si="522"/>
        <v>333.56103682800352</v>
      </c>
      <c r="AN212" s="474">
        <f t="shared" si="523"/>
        <v>10.147333333333334</v>
      </c>
      <c r="AO212" s="474">
        <f>((1/60)*$AX212/$AQ212)</f>
        <v>0.13344444444444445</v>
      </c>
      <c r="AP212" s="474">
        <f>IF(B212=1,IF(($AN212+$AO212)&lt;10,10,IF(($AN212+$AO212)&gt;20,20,($AN212+$AO212))),($AN212+$AO212))</f>
        <v>10.280777777777779</v>
      </c>
      <c r="AQ212" s="475">
        <v>3</v>
      </c>
      <c r="AR212" s="474">
        <f ca="1">((1/60)*$AX212/$BT212)</f>
        <v>0.1845177591497571</v>
      </c>
      <c r="AS212" s="474">
        <f ca="1">AO212/AR212</f>
        <v>0.72320650900675165</v>
      </c>
      <c r="AT212" s="471" t="str">
        <f ca="1">IF(AS212&lt;0.9,"Disminuir vel.",IF(AS212&gt;1.1,"Aumentar vel.","Cumple"))</f>
        <v>Disminuir vel.</v>
      </c>
      <c r="AU212" s="492">
        <f>+I212*AL212*AM212</f>
        <v>0</v>
      </c>
      <c r="AV212" s="471">
        <f ca="1">+L212*AL212*AM212</f>
        <v>35.12153482400479</v>
      </c>
      <c r="AW212" s="510">
        <f t="shared" ca="1" si="516"/>
        <v>35.119999999999997</v>
      </c>
      <c r="AX212" s="478">
        <f>IF(OR(C212="",D212=""),"",ROUND(((VLOOKUP(C212,'Base de Diseño (2)'!$A$2:$C$333,2,FALSE)-VLOOKUP(D212,'Base de Diseño (2)'!$A$2:$C$333,2,FALSE))^2+(VLOOKUP(C212,'Base de Diseño (2)'!$A$2:$C$333,3,0)-VLOOKUP(D212,'Base de Diseño (2)'!$A$2:$C$333,3,FALSE))^2)^0.5,2))</f>
        <v>24.02</v>
      </c>
      <c r="AY212" s="493">
        <v>10</v>
      </c>
      <c r="AZ212" s="480">
        <f ca="1">IF(AND(L212="",H212=""),"",IF(BA212=4,VLOOKUP(AY212,'TABLA (2)'!$A$74:$C$89,2),IF(BA212=5,VLOOKUP(AY212,'TABLA (2)'!$A$51:$B$66,2),IF(BA212=6,VLOOKUP(AY212,'TABLA (2)'!$A$9:$B$43,2)))))</f>
        <v>250</v>
      </c>
      <c r="BA212" s="493">
        <v>6</v>
      </c>
      <c r="BB212" s="478">
        <f>IF(OR(C212="",D212=""),"",VLOOKUP(C212,'Base de Diseño (2)'!$A$2:$D$330,4,FALSE))</f>
        <v>985.66160000000002</v>
      </c>
      <c r="BC212" s="478">
        <f>IF(OR(C212="",D212=""),"",VLOOKUP(D212,'Base de Diseño (2)'!$A$2:$D$330,4,FALSE))</f>
        <v>984.70159999999998</v>
      </c>
      <c r="BD212" s="23">
        <f ca="1">+BF212-((AZ212/1000)+CX212)</f>
        <v>0.81300000000002282</v>
      </c>
      <c r="BE212" s="23">
        <f ca="1">+BG212-((AZ212/1000)+CX212)</f>
        <v>1.543000000000041</v>
      </c>
      <c r="BF212" s="494">
        <v>1.1000000000000227</v>
      </c>
      <c r="BG212" s="494">
        <v>1.8300000000000409</v>
      </c>
      <c r="BH212" s="495">
        <f t="shared" si="526"/>
        <v>984.5616</v>
      </c>
      <c r="BI212" s="495">
        <f t="shared" si="526"/>
        <v>982.87159999999994</v>
      </c>
      <c r="BJ212" s="468">
        <f>IF(A212="",0,BI212-BH213)</f>
        <v>9.9999999999909051E-3</v>
      </c>
      <c r="BK212" s="475">
        <f>ABS((BB212-BC212)/AX212)*100</f>
        <v>3.9966694421317084</v>
      </c>
      <c r="BL212" s="475">
        <f>((BH212-BI212)/AX212)*100</f>
        <v>7.0358034970859888</v>
      </c>
      <c r="BM212" s="475">
        <f ca="1">IF(BA212=6,(1/0.013)*((AZ212/4000)^(2/3))*((BL212/100)^(0.5)),(1/0.009)*((AZ212/4000)^(2/3))*((BL212/100)^(0.5)))</f>
        <v>3.2134151979458934</v>
      </c>
      <c r="BN212" s="475">
        <f ca="1">1000*BM212*PI()*((AZ212/1000/2)^2)</f>
        <v>157.73814966875952</v>
      </c>
      <c r="BO212" s="204">
        <f ca="1">AI212/BN212</f>
        <v>9.509430680846127E-3</v>
      </c>
      <c r="BP212" s="496">
        <f ca="1">IF(L212=0," ",AW212/BN212)</f>
        <v>0.22264747034087728</v>
      </c>
      <c r="BQ212" s="497">
        <f ca="1">IF($BO212&gt;0 =AND($BO212&lt;=0.06),10^(0.029806+0.29095*LOG($BO212)),IF($BO212&gt;0.06 =AND($BO212&lt;=0.26),10^(0.013778+0.282597*LOG($BO212)),IF($BO212&gt;0.26 =AND($BO212&lt;=0.91),10^(0.021763+0.28995*LOG($BO212)),1)))</f>
        <v>0.27640764878479213</v>
      </c>
      <c r="BR212" s="497">
        <f ca="1">IF($BP212&gt;0 =AND($BP212&lt;=0.06),10^(0.029806+0.29095*LOG($BP212)),IF($BP212&gt;0.06 =AND($BP212&lt;=0.26),10^(0.013778+0.282597*LOG($BP212)),IF($BP212&gt;0.26 =AND($BP212&lt;=2),10^(0.021763+0.28995*LOG($BP212))," ")))</f>
        <v>0.67517559772765678</v>
      </c>
      <c r="BS212" s="475">
        <f ca="1">BM212*BQ212</f>
        <v>0.88821253943354173</v>
      </c>
      <c r="BT212" s="475">
        <f ca="1">IF(BP212=" "," ",(BM212*BR212))</f>
        <v>2.169619527020255</v>
      </c>
      <c r="BU212" s="475">
        <f ca="1">IF(BO212&lt;=0.11,0.3827+0.0645*LN(BO212),IF(BO212&lt;=0.21,0.60025+0.15471*LN(BO212),IF(BO212&lt;1,0.225+0.6666666667*BO212,0)))</f>
        <v>8.2422103115140699E-2</v>
      </c>
      <c r="BV212" s="475">
        <f ca="1">IF(BP212&lt;=0.11,0.3827+0.0645*LN(BP212),IF(BP212&lt;=0.21,0.60025+0.15471*LN(BP212),IF(BP212&lt;1,0.225+0.6666666667*BP212," ")))</f>
        <v>0.37343164690133979</v>
      </c>
      <c r="BW212" s="475">
        <f ca="1">2*ACOS(1-2*(BU212))</f>
        <v>1.1647606959062429</v>
      </c>
      <c r="BX212" s="475">
        <f ca="1">IF(BP212=" "," ",(2*ACOS(1-2*(BV212))))</f>
        <v>2.6297502674617133</v>
      </c>
      <c r="BY212" s="475">
        <f ca="1">(1/4)*(1-(SIN(BW212))/BW212)</f>
        <v>5.2814893740477709E-2</v>
      </c>
      <c r="BZ212" s="475">
        <f ca="1">IF(BP212=" "," ",((1/4)*(1-(SIN(BX212))/BX212)))</f>
        <v>0.20343813100080838</v>
      </c>
      <c r="CA212" s="471">
        <f ca="1">BY212*AZ212/1000</f>
        <v>1.3203723435119427E-2</v>
      </c>
      <c r="CB212" s="471">
        <f ca="1">IF(BP212=" "," ",(BZ212*AZ212/1000))</f>
        <v>5.0859532750202094E-2</v>
      </c>
      <c r="CC212" s="471">
        <f t="shared" ca="1" si="524"/>
        <v>2.6346961077457802</v>
      </c>
      <c r="CD212" s="471" t="str">
        <f ca="1">IF(CC212="","",IF(CC212&lt;0.7,"F. Subcrítico",IF(AND(CC212&gt;0.7,CC212&lt;1),"F. Subcrítico Inestable",IF(CC212=1,"F. Crítico",IF(AND(CC212&gt;1,CC212&lt;1.5),"F. Supercrítico Inestable",IF(CC212&gt;1.5,"F. Supercrítico",""))))))</f>
        <v>F. Supercrítico</v>
      </c>
      <c r="CE212" s="471">
        <f ca="1">1000*BL212*CA212/100</f>
        <v>0.92898803519369499</v>
      </c>
      <c r="CF212" s="471">
        <f ca="1">IF(BP212=" "," ",(1000*BL212*CB212/100))</f>
        <v>3.5783767838403127</v>
      </c>
      <c r="CG212" s="471" t="str">
        <f ca="1">IF(BS212&lt;0.45,"No cumple",IF(BS212&gt;5,"No cumple","O.K"))</f>
        <v>O.K</v>
      </c>
      <c r="CH212" s="471" t="str">
        <f ca="1">IF(BT212&lt;0.75,"No cumple",IF(BT212&gt;10,"No cumple","O.K"))</f>
        <v>O.K</v>
      </c>
      <c r="CI212" s="471" t="str">
        <f ca="1">IF(CE212&gt;0.1,"OK","V.C.H.")</f>
        <v>OK</v>
      </c>
      <c r="CJ212" s="471" t="str">
        <f ca="1">IF(CF212&gt;0.2,"OK","V.C.H.")</f>
        <v>OK</v>
      </c>
      <c r="CK212" s="468">
        <f>+BJ212</f>
        <v>9.9999999999909051E-3</v>
      </c>
      <c r="CL212" s="482" t="s">
        <v>2507</v>
      </c>
      <c r="CM212" s="482"/>
      <c r="CN212" s="63" t="str">
        <f>IF(B212=1,"dato"," ")</f>
        <v xml:space="preserve"> </v>
      </c>
      <c r="CO212" s="498">
        <f>+CR212</f>
        <v>24.02</v>
      </c>
      <c r="CP212" s="472">
        <f>+BK212/100</f>
        <v>3.9966694421317082E-2</v>
      </c>
      <c r="CQ212" s="482" t="s">
        <v>2508</v>
      </c>
      <c r="CR212" s="204">
        <f>IF(BA212="","",AX212)</f>
        <v>24.02</v>
      </c>
      <c r="CS212" s="486">
        <v>1.2</v>
      </c>
      <c r="CT212" s="486">
        <v>1.2</v>
      </c>
      <c r="CU212" s="23">
        <f>IF($BA212="","",SQRT((BH212-BI212)^2+$CR212^2))</f>
        <v>24.079379144820162</v>
      </c>
      <c r="CV212" s="499" t="s">
        <v>2509</v>
      </c>
      <c r="CW212" s="488" t="str">
        <f ca="1">+IF(BD212&lt;=0.9,"E1",IF(BD212&lt;=2.5,"E2","E3"))</f>
        <v>E1</v>
      </c>
      <c r="CX212" s="204">
        <f ca="1">IF(AND(L212="",H212=""),"",IF(AND(BA212&lt;&gt;4,BA212&lt;&gt;5),VLOOKUP(AY212,'TABLA (2)'!$A$9:$D$43,4),IF(BA212=4,VLOOKUP(AY212,'TABLA (2)'!$A$74:$D$89,4),VLOOKUP(AY212,'TABLA (2)'!$A$51:$D$66,4))))</f>
        <v>3.6999999999999998E-2</v>
      </c>
      <c r="CY212" s="482"/>
      <c r="CZ212" s="482"/>
      <c r="DA212" s="482"/>
      <c r="DB212" s="490"/>
    </row>
    <row r="213" spans="1:106" ht="15" hidden="1" customHeight="1">
      <c r="A213" s="465">
        <f>+A212+1</f>
        <v>137</v>
      </c>
      <c r="B213" s="491"/>
      <c r="C213" s="466" t="s">
        <v>2188</v>
      </c>
      <c r="D213" s="466" t="s">
        <v>2323</v>
      </c>
      <c r="E213" s="468">
        <v>2.58E-2</v>
      </c>
      <c r="F213" s="468"/>
      <c r="G213" s="468">
        <f>IF(B213=1,0,SUMIF($D$22:$D$583,C213,$H$22:$H$583))</f>
        <v>0.20556442650000001</v>
      </c>
      <c r="H213" s="468">
        <f>+E213+F213+G213</f>
        <v>0.2313644265</v>
      </c>
      <c r="I213" s="468">
        <f>+E213</f>
        <v>2.58E-2</v>
      </c>
      <c r="J213" s="468"/>
      <c r="K213" s="467">
        <f ca="1">+IF(B213=1,0,SUMIF($D$22:$D$583,C213,$L$22:$L$580))</f>
        <v>0.20556442650000001</v>
      </c>
      <c r="L213" s="468">
        <f ca="1">+I213+J213+K213</f>
        <v>0.2313644265</v>
      </c>
      <c r="M213" s="469">
        <f>+$P$12</f>
        <v>242.33666300502347</v>
      </c>
      <c r="N213" s="470">
        <f>M213*E213</f>
        <v>6.2522859055296056</v>
      </c>
      <c r="O213" s="470">
        <f>M213*F213</f>
        <v>0</v>
      </c>
      <c r="P213" s="470">
        <f>M213*H213</f>
        <v>56.068083056081022</v>
      </c>
      <c r="Q213" s="469">
        <f>+$H$14</f>
        <v>140</v>
      </c>
      <c r="R213" s="471">
        <f>Q213*P213*$P$14/86400</f>
        <v>7.7223401431407879E-2</v>
      </c>
      <c r="S213" s="471"/>
      <c r="T213" s="471"/>
      <c r="U213" s="471">
        <f>IF(C213="","",T213*$P$17)</f>
        <v>0</v>
      </c>
      <c r="V213" s="471"/>
      <c r="W213" s="471"/>
      <c r="X213" s="471">
        <f>IF(C213="","",W213*$P$16)</f>
        <v>0</v>
      </c>
      <c r="Y213" s="471">
        <f>IF(H213=0,0,$H$15*H213)</f>
        <v>4.6272885300000004E-2</v>
      </c>
      <c r="Z213" s="471">
        <f ca="1">IF(L213=0,$H$16*H213,0)</f>
        <v>0</v>
      </c>
      <c r="AA213" s="471">
        <f t="shared" si="362"/>
        <v>3.8</v>
      </c>
      <c r="AB213" s="471">
        <f>R213*AA213</f>
        <v>0.29344892543934992</v>
      </c>
      <c r="AC213" s="471">
        <f>Q213*(N213+O213)*$P$14/86400</f>
        <v>8.6113660041437865E-3</v>
      </c>
      <c r="AD213" s="471">
        <f t="shared" si="525"/>
        <v>5.1600000000000005E-3</v>
      </c>
      <c r="AE213" s="471">
        <f t="shared" si="525"/>
        <v>0</v>
      </c>
      <c r="AF213" s="510">
        <f t="shared" si="518"/>
        <v>3.8</v>
      </c>
      <c r="AG213" s="471">
        <f>AC213*AF213</f>
        <v>3.2723190815746386E-2</v>
      </c>
      <c r="AH213" s="471">
        <f>+AD213+AE213+AG213</f>
        <v>3.7883190815746384E-2</v>
      </c>
      <c r="AI213" s="471">
        <f ca="1">IF(H213="","",IF(AB213+Y213+Z213+X213+U213&lt;1.5,1.5,AB213+Y213+Z213+X213+U213))</f>
        <v>1.5</v>
      </c>
      <c r="AJ213" s="471">
        <f>+$P$17</f>
        <v>0.75</v>
      </c>
      <c r="AK213" s="472">
        <f>+BK213/100</f>
        <v>7.2749999999999204E-2</v>
      </c>
      <c r="AL213" s="471">
        <f>IF(AJ213=0," ",0.14+0.65*AJ213+0.05*AK213)</f>
        <v>0.63113750000000002</v>
      </c>
      <c r="AM213" s="473">
        <f t="shared" si="522"/>
        <v>333.2139905286777</v>
      </c>
      <c r="AN213" s="474">
        <f t="shared" si="523"/>
        <v>10.280777777777779</v>
      </c>
      <c r="AO213" s="474">
        <f>((1/60)*$AX213/$AQ213)</f>
        <v>3.5555555555555556E-2</v>
      </c>
      <c r="AP213" s="474">
        <f>IF(B213=1,IF(($AN213+$AO213)&lt;10,10,IF(($AN213+$AO213)&gt;20,20,($AN213+$AO213))),($AN213+$AO213))</f>
        <v>10.316333333333334</v>
      </c>
      <c r="AQ213" s="475">
        <v>3</v>
      </c>
      <c r="AR213" s="474">
        <f ca="1">((1/60)*$AX213/$BT213)</f>
        <v>6.98647134766332E-2</v>
      </c>
      <c r="AS213" s="474">
        <f ca="1">AO213/AR213</f>
        <v>0.50892007976884335</v>
      </c>
      <c r="AT213" s="471" t="str">
        <f ca="1">IF(AS213&lt;0.9,"Disminuir vel.",IF(AS213&gt;1.1,"Aumentar vel.","Cumple"))</f>
        <v>Disminuir vel.</v>
      </c>
      <c r="AU213" s="492">
        <f>+I213*AL213*AM213</f>
        <v>5.4258391996401674</v>
      </c>
      <c r="AV213" s="471">
        <f ca="1">+L213*AL213*AM213</f>
        <v>48.656828476975441</v>
      </c>
      <c r="AW213" s="510">
        <f t="shared" ca="1" si="516"/>
        <v>48.66</v>
      </c>
      <c r="AX213" s="478">
        <f>IF(OR(C213="",D213=""),"",ROUND(((VLOOKUP(C213,'Base de Diseño (2)'!$A$2:$C$333,2,FALSE)-VLOOKUP(D213,'Base de Diseño (2)'!$A$2:$C$333,2,FALSE))^2+(VLOOKUP(C213,'Base de Diseño (2)'!$A$2:$C$333,3,0)-VLOOKUP(D213,'Base de Diseño (2)'!$A$2:$C$333,3,FALSE))^2)^0.5,2))</f>
        <v>6.4</v>
      </c>
      <c r="AY213" s="493">
        <v>10</v>
      </c>
      <c r="AZ213" s="480">
        <f ca="1">IF(AND(L213="",H213=""),"",IF(BA213=4,VLOOKUP(AY213,'TABLA (2)'!$A$74:$C$89,2),IF(BA213=5,VLOOKUP(AY213,'TABLA (2)'!$A$51:$B$66,2),IF(BA213=6,VLOOKUP(AY213,'TABLA (2)'!$A$9:$B$43,2)))))</f>
        <v>250</v>
      </c>
      <c r="BA213" s="493">
        <v>6</v>
      </c>
      <c r="BB213" s="478">
        <f>IF(OR(C213="",D213=""),"",VLOOKUP(C213,'Base de Diseño (2)'!$A$2:$D$330,4,FALSE))</f>
        <v>984.70159999999998</v>
      </c>
      <c r="BC213" s="478">
        <f>IF(OR(C213="",D213=""),"",VLOOKUP(D213,'Base de Diseño (2)'!$A$2:$D$330,4,FALSE))</f>
        <v>984.23599999999999</v>
      </c>
      <c r="BD213" s="23">
        <f ca="1">+BF213-((AZ213/1000)+CX213)</f>
        <v>1.5530000000000319</v>
      </c>
      <c r="BE213" s="23">
        <f ca="1">+BG213-((AZ213/1000)+CX213)</f>
        <v>1.2130000000000001</v>
      </c>
      <c r="BF213" s="494">
        <v>1.8400000000000318</v>
      </c>
      <c r="BG213" s="494">
        <v>1.5</v>
      </c>
      <c r="BH213" s="495">
        <f t="shared" si="526"/>
        <v>982.86159999999995</v>
      </c>
      <c r="BI213" s="495">
        <f t="shared" si="526"/>
        <v>982.73599999999999</v>
      </c>
      <c r="BJ213" s="468">
        <f>IF(A213="",0,BI213-BH214)</f>
        <v>0.16999999999995907</v>
      </c>
      <c r="BK213" s="475">
        <f>ABS((BB213-BC213)/AX213)*100</f>
        <v>7.2749999999999204</v>
      </c>
      <c r="BL213" s="475">
        <f>((BH213-BI213)/AX213)*100</f>
        <v>1.962499999999423</v>
      </c>
      <c r="BM213" s="475">
        <f ca="1">IF(BA213=6,(1/0.013)*((AZ213/4000)^(2/3))*((BL213/100)^(0.5)),(1/0.009)*((AZ213/4000)^(2/3))*((BL213/100)^(0.5)))</f>
        <v>1.6971288854569435</v>
      </c>
      <c r="BN213" s="475">
        <f ca="1">1000*BM213*PI()*((AZ213/1000/2)^2)</f>
        <v>83.307619355415113</v>
      </c>
      <c r="BO213" s="204">
        <f ca="1">AI213/BN213</f>
        <v>1.8005555933612187E-2</v>
      </c>
      <c r="BP213" s="496">
        <f ca="1">IF(L213=0," ",AW213/BN213)</f>
        <v>0.58410023448637927</v>
      </c>
      <c r="BQ213" s="497">
        <f ca="1">IF($BO213&gt;0 =AND($BO213&lt;=0.06),10^(0.029806+0.29095*LOG($BO213)),IF($BO213&gt;0.06 =AND($BO213&lt;=0.26),10^(0.013778+0.282597*LOG($BO213)),IF($BO213&gt;0.26 =AND($BO213&lt;=0.91),10^(0.021763+0.28995*LOG($BO213)),1)))</f>
        <v>0.33282545268310887</v>
      </c>
      <c r="BR213" s="497">
        <f ca="1">IF($BP213&gt;0 =AND($BP213&lt;=0.06),10^(0.029806+0.29095*LOG($BP213)),IF($BP213&gt;0.06 =AND($BP213&lt;=0.26),10^(0.013778+0.282597*LOG($BP213)),IF($BP213&gt;0.26 =AND($BP213&lt;=2),10^(0.021763+0.28995*LOG($BP213))," ")))</f>
        <v>0.89961360765800513</v>
      </c>
      <c r="BS213" s="475">
        <f ca="1">BM213*BQ213</f>
        <v>0.56484768956378728</v>
      </c>
      <c r="BT213" s="475">
        <f ca="1">IF(BP213=" "," ",(BM213*BR213))</f>
        <v>1.5267602393065303</v>
      </c>
      <c r="BU213" s="475">
        <f ca="1">IF(BO213&lt;=0.11,0.3827+0.0645*LN(BO213),IF(BO213&lt;=0.21,0.60025+0.15471*LN(BO213),IF(BO213&lt;1,0.225+0.6666666667*BO213,0)))</f>
        <v>0.12359866858014829</v>
      </c>
      <c r="BV213" s="475">
        <f ca="1">IF(BP213&lt;=0.11,0.3827+0.0645*LN(BP213),IF(BP213&lt;=0.21,0.60025+0.15471*LN(BP213),IF(BP213&lt;1,0.225+0.6666666667*BP213," ")))</f>
        <v>0.6144001563437228</v>
      </c>
      <c r="BW213" s="475">
        <f ca="1">2*ACOS(1-2*(BU213))</f>
        <v>1.4369735576860647</v>
      </c>
      <c r="BX213" s="475">
        <f ca="1">IF(BP213=" "," ",(2*ACOS(1-2*(BV213))))</f>
        <v>3.6032829053423523</v>
      </c>
      <c r="BY213" s="475">
        <f ca="1">(1/4)*(1-(SIN(BW213))/BW213)</f>
        <v>7.7578753431587405E-2</v>
      </c>
      <c r="BZ213" s="475">
        <f ca="1">IF(BP213=" "," ",((1/4)*(1-(SIN(BX213))/BX213)))</f>
        <v>0.28090667858186918</v>
      </c>
      <c r="CA213" s="471">
        <f ca="1">BY213*AZ213/1000</f>
        <v>1.9394688357896851E-2</v>
      </c>
      <c r="CB213" s="471">
        <f ca="1">IF(BP213=" "," ",(BZ213*AZ213/1000))</f>
        <v>7.0226669645467296E-2</v>
      </c>
      <c r="CC213" s="471">
        <f t="shared" ca="1" si="524"/>
        <v>1.3521135268405187</v>
      </c>
      <c r="CD213" s="471" t="str">
        <f ca="1">IF(CC213="","",IF(CC213&lt;0.7,"F. Subcrítico",IF(AND(CC213&gt;0.7,CC213&lt;1),"F. Subcrítico Inestable",IF(CC213=1,"F. Crítico",IF(AND(CC213&gt;1,CC213&lt;1.5),"F. Supercrítico Inestable",IF(CC213&gt;1.5,"F. Supercrítico",""))))))</f>
        <v>F. Supercrítico Inestable</v>
      </c>
      <c r="CE213" s="471">
        <f ca="1">1000*BL213*CA213/100</f>
        <v>0.38062075902361381</v>
      </c>
      <c r="CF213" s="471">
        <f ca="1">IF(BP213=" "," ",(1000*BL213*CB213/100))</f>
        <v>1.3781983917918905</v>
      </c>
      <c r="CG213" s="471" t="str">
        <f ca="1">IF(BS213&lt;0.45,"No cumple",IF(BS213&gt;5,"No cumple","O.K"))</f>
        <v>O.K</v>
      </c>
      <c r="CH213" s="471" t="str">
        <f ca="1">IF(BT213&lt;0.75,"No cumple",IF(BT213&gt;10,"No cumple","O.K"))</f>
        <v>O.K</v>
      </c>
      <c r="CI213" s="471" t="str">
        <f ca="1">IF(CE213&gt;0.1,"OK","V.C.H.")</f>
        <v>OK</v>
      </c>
      <c r="CJ213" s="471" t="str">
        <f ca="1">IF(CF213&gt;0.2,"OK","V.C.H.")</f>
        <v>OK</v>
      </c>
      <c r="CK213" s="468">
        <f>+BJ213</f>
        <v>0.16999999999995907</v>
      </c>
      <c r="CL213" s="482" t="s">
        <v>2507</v>
      </c>
      <c r="CM213" s="482"/>
      <c r="CN213" s="63" t="str">
        <f>IF(B213=1,"dato"," ")</f>
        <v xml:space="preserve"> </v>
      </c>
      <c r="CO213" s="498">
        <f>+CR213</f>
        <v>6.4</v>
      </c>
      <c r="CP213" s="472">
        <f>+BK213/100</f>
        <v>7.2749999999999204E-2</v>
      </c>
      <c r="CQ213" s="482" t="s">
        <v>2508</v>
      </c>
      <c r="CR213" s="204">
        <f>IF(BA213="","",AX213)</f>
        <v>6.4</v>
      </c>
      <c r="CS213" s="486">
        <v>1.2</v>
      </c>
      <c r="CT213" s="486">
        <v>1.2</v>
      </c>
      <c r="CU213" s="23">
        <f>IF($BA213="","",SQRT((BH213-BI213)^2+$CR213^2))</f>
        <v>6.401232331356205</v>
      </c>
      <c r="CV213" s="499" t="s">
        <v>2509</v>
      </c>
      <c r="CW213" s="488" t="str">
        <f ca="1">+IF(BD213&lt;=0.9,"E1",IF(BD213&lt;=2.5,"E2","E3"))</f>
        <v>E2</v>
      </c>
      <c r="CX213" s="204">
        <f ca="1">IF(AND(L213="",H213=""),"",IF(AND(BA213&lt;&gt;4,BA213&lt;&gt;5),VLOOKUP(AY213,'TABLA (2)'!$A$9:$D$43,4),IF(BA213=4,VLOOKUP(AY213,'TABLA (2)'!$A$74:$D$89,4),VLOOKUP(AY213,'TABLA (2)'!$A$51:$D$66,4))))</f>
        <v>3.6999999999999998E-2</v>
      </c>
      <c r="CY213" s="482"/>
      <c r="CZ213" s="482"/>
      <c r="DA213" s="482"/>
      <c r="DB213" s="490"/>
    </row>
    <row r="214" spans="1:106" ht="15" hidden="1" customHeight="1">
      <c r="A214" s="465">
        <f>+A213+1</f>
        <v>138</v>
      </c>
      <c r="B214" s="491"/>
      <c r="C214" s="466" t="s">
        <v>2323</v>
      </c>
      <c r="D214" s="466" t="s">
        <v>2327</v>
      </c>
      <c r="E214" s="468">
        <v>0.16809990290000001</v>
      </c>
      <c r="F214" s="468"/>
      <c r="G214" s="468">
        <f>IF(B214=1,0,SUMIF($D$22:$D$583,C214,$H$22:$H$583))</f>
        <v>1.2162640008999999</v>
      </c>
      <c r="H214" s="468">
        <f>+E214+F214+G214</f>
        <v>1.3843639038</v>
      </c>
      <c r="I214" s="468">
        <v>0.16809990290000001</v>
      </c>
      <c r="J214" s="468"/>
      <c r="K214" s="467">
        <f ca="1">+IF(B214=1,0,SUMIF($D$22:$D$583,C214,$L$22:$L$580))</f>
        <v>1.2162640008999999</v>
      </c>
      <c r="L214" s="468">
        <f ca="1">+I214+J214+K214</f>
        <v>1.3843639038</v>
      </c>
      <c r="M214" s="469">
        <f>+$P$12</f>
        <v>242.33666300502347</v>
      </c>
      <c r="N214" s="470">
        <f>M214*E214</f>
        <v>40.73676952025447</v>
      </c>
      <c r="O214" s="470">
        <f>M214*F214</f>
        <v>0</v>
      </c>
      <c r="P214" s="470">
        <f>M214*H214</f>
        <v>335.48212883149932</v>
      </c>
      <c r="Q214" s="469">
        <f>+$H$14</f>
        <v>140</v>
      </c>
      <c r="R214" s="471">
        <f>Q214*P214*$P$14/86400</f>
        <v>0.46206450614523631</v>
      </c>
      <c r="S214" s="471"/>
      <c r="T214" s="471"/>
      <c r="U214" s="471">
        <f>IF(C214="","",T214*$P$17)</f>
        <v>0</v>
      </c>
      <c r="V214" s="471"/>
      <c r="W214" s="471"/>
      <c r="X214" s="471">
        <f>IF(C214="","",W214*$P$16)</f>
        <v>0</v>
      </c>
      <c r="Y214" s="471">
        <f>IF(H214=0,0,$H$15*H214)</f>
        <v>0.27687278075999999</v>
      </c>
      <c r="Z214" s="471">
        <f ca="1">IF(L214=0,$H$16*H214,0)</f>
        <v>0</v>
      </c>
      <c r="AA214" s="471">
        <f t="shared" ref="AA214:AA277" si="527">IF(P214="","",IF(1+((14/(4+(P214/1000)^1/2)))&lt;1.4,1.4,IF(1+((14/(4+(P214/1000)^1/2)))&gt;=3.8,3.8,(1+((14/(4+(P214/1000)^1/2)))))))</f>
        <v>3.8</v>
      </c>
      <c r="AB214" s="471">
        <f>R214*AA214</f>
        <v>1.7558451233518979</v>
      </c>
      <c r="AC214" s="471">
        <f>Q214*(N214+O214)*$P$14/86400</f>
        <v>5.6107356167943073E-2</v>
      </c>
      <c r="AD214" s="471">
        <f t="shared" si="525"/>
        <v>3.3619980580000007E-2</v>
      </c>
      <c r="AE214" s="471">
        <f t="shared" si="525"/>
        <v>0</v>
      </c>
      <c r="AF214" s="510">
        <f t="shared" si="518"/>
        <v>3.8</v>
      </c>
      <c r="AG214" s="471">
        <f>AC214*AF214</f>
        <v>0.21320795343818366</v>
      </c>
      <c r="AH214" s="471">
        <f>+AD214+AE214+AG214</f>
        <v>0.24682793401818368</v>
      </c>
      <c r="AI214" s="471">
        <f ca="1">IF(H214="","",IF(AB214+Y214+Z214+X214+U214&lt;1.5,1.5,AB214+Y214+Z214+X214+U214))</f>
        <v>2.0327179041118981</v>
      </c>
      <c r="AJ214" s="471">
        <f>+$P$17</f>
        <v>0.75</v>
      </c>
      <c r="AK214" s="472">
        <f>+BK214/100</f>
        <v>0.11751513792330139</v>
      </c>
      <c r="AL214" s="471">
        <f>IF(AJ214=0," ",0.14+0.65*AJ214+0.05*AK214)</f>
        <v>0.6333757568961651</v>
      </c>
      <c r="AM214" s="473">
        <f t="shared" si="522"/>
        <v>328.44912285930292</v>
      </c>
      <c r="AN214" s="474">
        <f t="shared" si="523"/>
        <v>10.316333333333334</v>
      </c>
      <c r="AO214" s="474">
        <f>((1/60)*$AX214/$AQ214)</f>
        <v>0.49544444444444452</v>
      </c>
      <c r="AP214" s="474">
        <f>IF(B214=1,IF(($AN214+$AO214)&lt;10,10,IF(($AN214+$AO214)&gt;20,20,($AN214+$AO214))),($AN214+$AO214))</f>
        <v>10.811777777777779</v>
      </c>
      <c r="AQ214" s="475">
        <v>3</v>
      </c>
      <c r="AR214" s="474">
        <f ca="1">((1/60)*$AX214/$BT214)</f>
        <v>0.30610005410365981</v>
      </c>
      <c r="AS214" s="474">
        <f ca="1">AO214/AR214</f>
        <v>1.6185702609404435</v>
      </c>
      <c r="AT214" s="471" t="str">
        <f ca="1">IF(AS214&lt;0.9,"Disminuir vel.",IF(AS214&gt;1.1,"Aumentar vel.","Cumple"))</f>
        <v>Aumentar vel.</v>
      </c>
      <c r="AU214" s="492">
        <f>+I214*AL214*AM214</f>
        <v>34.970110552506021</v>
      </c>
      <c r="AV214" s="471">
        <f ca="1">+L214*AL214*AM214</f>
        <v>287.99159265180515</v>
      </c>
      <c r="AW214" s="510">
        <f t="shared" ca="1" si="516"/>
        <v>287.99</v>
      </c>
      <c r="AX214" s="478">
        <f>IF(OR(C214="",D214=""),"",ROUND(((VLOOKUP(C214,'Base de Diseño (2)'!$A$2:$C$333,2,FALSE)-VLOOKUP(D214,'Base de Diseño (2)'!$A$2:$C$333,2,FALSE))^2+(VLOOKUP(C214,'Base de Diseño (2)'!$A$2:$C$333,3,0)-VLOOKUP(D214,'Base de Diseño (2)'!$A$2:$C$333,3,FALSE))^2)^0.5,2))</f>
        <v>89.18</v>
      </c>
      <c r="AY214" s="493">
        <v>10</v>
      </c>
      <c r="AZ214" s="480">
        <f ca="1">IF(AND(L214="",H214=""),"",IF(BA214=4,VLOOKUP(AY214,'TABLA (2)'!$A$74:$C$89,2),IF(BA214=5,VLOOKUP(AY214,'TABLA (2)'!$A$51:$B$66,2),IF(BA214=6,VLOOKUP(AY214,'TABLA (2)'!$A$9:$B$43,2)))))</f>
        <v>250</v>
      </c>
      <c r="BA214" s="493">
        <v>6</v>
      </c>
      <c r="BB214" s="478">
        <f>IF(OR(C214="",D214=""),"",VLOOKUP(C214,'Base de Diseño (2)'!$A$2:$D$330,4,FALSE))</f>
        <v>984.23599999999999</v>
      </c>
      <c r="BC214" s="478">
        <f>IF(OR(C214="",D214=""),"",VLOOKUP(D214,'Base de Diseño (2)'!$A$2:$D$330,4,FALSE))</f>
        <v>973.75599999999997</v>
      </c>
      <c r="BD214" s="23">
        <f ca="1">+BF214-((AZ214/1000)+CX214)</f>
        <v>1.3829999999999592</v>
      </c>
      <c r="BE214" s="23">
        <f ca="1">+BG214-((AZ214/1000)+CX214)</f>
        <v>1.5630000000000228</v>
      </c>
      <c r="BF214" s="494">
        <v>1.6699999999999591</v>
      </c>
      <c r="BG214" s="494">
        <v>1.8500000000000227</v>
      </c>
      <c r="BH214" s="495">
        <f t="shared" si="526"/>
        <v>982.56600000000003</v>
      </c>
      <c r="BI214" s="495">
        <f t="shared" si="526"/>
        <v>971.90599999999995</v>
      </c>
      <c r="BJ214" s="468">
        <f>IF(A214="",0,BI214-BH215)</f>
        <v>971.90599999999995</v>
      </c>
      <c r="BK214" s="475">
        <f>ABS((BB214-BC214)/AX214)*100</f>
        <v>11.751513792330138</v>
      </c>
      <c r="BL214" s="475">
        <f>((BH214-BI214)/AX214)*100</f>
        <v>11.953352769679391</v>
      </c>
      <c r="BM214" s="475">
        <f ca="1">IF(BA214=6,(1/0.013)*((AZ214/4000)^(2/3))*((BL214/100)^(0.5)),(1/0.009)*((AZ214/4000)^(2/3))*((BL214/100)^(0.5)))</f>
        <v>4.1884647128104877</v>
      </c>
      <c r="BN214" s="475">
        <f ca="1">1000*BM214*PI()*((AZ214/1000/2)^2)</f>
        <v>205.60078080602361</v>
      </c>
      <c r="BO214" s="204">
        <f ca="1">AI214/BN214</f>
        <v>9.8867226872532601E-3</v>
      </c>
      <c r="BP214" s="496">
        <f ca="1">IF(L214=0," ",AW214/BN214)</f>
        <v>1.4007242524614119</v>
      </c>
      <c r="BQ214" s="497">
        <f ca="1">IF($BO214&gt;0 =AND($BO214&lt;=0.06),10^(0.029806+0.29095*LOG($BO214)),IF($BO214&gt;0.06 =AND($BO214&lt;=0.26),10^(0.013778+0.282597*LOG($BO214)),IF($BO214&gt;0.26 =AND($BO214&lt;=0.91),10^(0.021763+0.28995*LOG($BO214)),1)))</f>
        <v>0.27955449648542141</v>
      </c>
      <c r="BR214" s="497">
        <f ca="1">IF($BP214&gt;0 =AND($BP214&lt;=0.06),10^(0.029806+0.29095*LOG($BP214)),IF($BP214&gt;0.06 =AND($BP214&lt;=0.26),10^(0.013778+0.282597*LOG($BP214)),IF($BP214&gt;0.26 =AND($BP214&lt;=2),10^(0.021763+0.28995*LOG($BP214))," ")))</f>
        <v>1.1593056443737151</v>
      </c>
      <c r="BS214" s="475">
        <f ca="1">BM214*BQ214</f>
        <v>1.1709041438366912</v>
      </c>
      <c r="BT214" s="475">
        <f ca="1">IF(BP214=" "," ",(BM214*BR214))</f>
        <v>4.8557107828213297</v>
      </c>
      <c r="BU214" s="475">
        <f ca="1">IF(BO214&lt;=0.11,0.3827+0.0645*LN(BO214),IF(BO214&lt;=0.21,0.60025+0.15471*LN(BO214),IF(BO214&lt;1,0.225+0.6666666667*BO214,0)))</f>
        <v>8.4931714578136419E-2</v>
      </c>
      <c r="BV214" s="475" t="str">
        <f ca="1">IF(BP214&lt;=0.11,0.3827+0.0645*LN(BP214),IF(BP214&lt;=0.21,0.60025+0.15471*LN(BP214),IF(BP214&lt;1,0.225+0.6666666667*BP214," ")))</f>
        <v xml:space="preserve"> </v>
      </c>
      <c r="BW214" s="475">
        <f ca="1">2*ACOS(1-2*(BU214))</f>
        <v>1.1828874867156483</v>
      </c>
      <c r="BX214" s="475" t="e">
        <f ca="1">IF(BP214=" "," ",(2*ACOS(1-2*(BV214))))</f>
        <v>#VALUE!</v>
      </c>
      <c r="BY214" s="475">
        <f ca="1">(1/4)*(1-(SIN(BW214))/BW214)</f>
        <v>5.4355426412012298E-2</v>
      </c>
      <c r="BZ214" s="475" t="e">
        <f ca="1">IF(BP214=" "," ",((1/4)*(1-(SIN(BX214))/BX214)))</f>
        <v>#VALUE!</v>
      </c>
      <c r="CA214" s="471">
        <f ca="1">BY214*AZ214/1000</f>
        <v>1.3588856603003074E-2</v>
      </c>
      <c r="CB214" s="471" t="e">
        <f ca="1">IF(BP214=" "," ",(BZ214*AZ214/1000))</f>
        <v>#VALUE!</v>
      </c>
      <c r="CC214" s="471" t="e">
        <f t="shared" ca="1" si="524"/>
        <v>#VALUE!</v>
      </c>
      <c r="CD214" s="471" t="e">
        <f ca="1">IF(CC214="","",IF(CC214&lt;0.7,"F. Subcrítico",IF(AND(CC214&gt;0.7,CC214&lt;1),"F. Subcrítico Inestable",IF(CC214=1,"F. Crítico",IF(AND(CC214&gt;1,CC214&lt;1.5),"F. Supercrítico Inestable",IF(CC214&gt;1.5,"F. Supercrítico",""))))))</f>
        <v>#VALUE!</v>
      </c>
      <c r="CE214" s="471">
        <f ca="1">1000*BL214*CA214/100</f>
        <v>1.6243239671228289</v>
      </c>
      <c r="CF214" s="471" t="e">
        <f ca="1">IF(BP214=" "," ",(1000*BL214*CB214/100))</f>
        <v>#VALUE!</v>
      </c>
      <c r="CG214" s="471" t="str">
        <f ca="1">IF(BS214&lt;0.45,"No cumple",IF(BS214&gt;5,"No cumple","O.K"))</f>
        <v>O.K</v>
      </c>
      <c r="CH214" s="471" t="str">
        <f ca="1">IF(BT214&lt;0.75,"No cumple",IF(BT214&gt;10,"No cumple","O.K"))</f>
        <v>O.K</v>
      </c>
      <c r="CI214" s="471" t="str">
        <f ca="1">IF(CE214&gt;0.1,"OK","V.C.H.")</f>
        <v>OK</v>
      </c>
      <c r="CJ214" s="471" t="e">
        <f ca="1">IF(CF214&gt;0.2,"OK","V.C.H.")</f>
        <v>#VALUE!</v>
      </c>
      <c r="CK214" s="468">
        <f>+BJ214</f>
        <v>971.90599999999995</v>
      </c>
      <c r="CL214" s="482" t="s">
        <v>2507</v>
      </c>
      <c r="CM214" s="482"/>
      <c r="CN214" s="63" t="str">
        <f>IF(B214=1,"dato"," ")</f>
        <v xml:space="preserve"> </v>
      </c>
      <c r="CO214" s="498">
        <f>+CR214</f>
        <v>89.18</v>
      </c>
      <c r="CP214" s="472">
        <f>+BK214/100</f>
        <v>0.11751513792330139</v>
      </c>
      <c r="CQ214" s="482" t="s">
        <v>2508</v>
      </c>
      <c r="CR214" s="204">
        <f>IF(BA214="","",AX214)</f>
        <v>89.18</v>
      </c>
      <c r="CS214" s="486">
        <v>1.2</v>
      </c>
      <c r="CT214" s="486">
        <v>1.2</v>
      </c>
      <c r="CU214" s="23">
        <f>IF($BA214="","",SQRT((BH214-BI214)^2+$CR214^2))</f>
        <v>89.814854005337011</v>
      </c>
      <c r="CV214" s="499" t="s">
        <v>2509</v>
      </c>
      <c r="CW214" s="488" t="str">
        <f ca="1">+IF(BD214&lt;=0.9,"E1",IF(BD214&lt;=2.5,"E2","E3"))</f>
        <v>E2</v>
      </c>
      <c r="CX214" s="204">
        <f ca="1">IF(AND(L214="",H214=""),"",IF(AND(BA214&lt;&gt;4,BA214&lt;&gt;5),VLOOKUP(AY214,'TABLA (2)'!$A$9:$D$43,4),IF(BA214=4,VLOOKUP(AY214,'TABLA (2)'!$A$74:$D$89,4),VLOOKUP(AY214,'TABLA (2)'!$A$51:$D$66,4))))</f>
        <v>3.6999999999999998E-2</v>
      </c>
      <c r="CY214" s="482"/>
      <c r="CZ214" s="482"/>
      <c r="DA214" s="482"/>
      <c r="DB214" s="490"/>
    </row>
    <row r="215" spans="1:106" ht="15" hidden="1" customHeight="1">
      <c r="A215" s="465"/>
      <c r="B215" s="491"/>
      <c r="C215" s="466"/>
      <c r="D215" s="466"/>
      <c r="E215" s="468"/>
      <c r="F215" s="468"/>
      <c r="G215" s="468"/>
      <c r="H215" s="468"/>
      <c r="I215" s="468"/>
      <c r="J215" s="468"/>
      <c r="K215" s="467"/>
      <c r="L215" s="468"/>
      <c r="M215" s="469"/>
      <c r="N215" s="470"/>
      <c r="O215" s="470"/>
      <c r="P215" s="470"/>
      <c r="Q215" s="469"/>
      <c r="R215" s="471"/>
      <c r="S215" s="471"/>
      <c r="T215" s="471"/>
      <c r="U215" s="471"/>
      <c r="V215" s="471"/>
      <c r="W215" s="471"/>
      <c r="X215" s="471"/>
      <c r="Y215" s="471"/>
      <c r="Z215" s="471"/>
      <c r="AA215" s="471" t="str">
        <f t="shared" si="527"/>
        <v/>
      </c>
      <c r="AB215" s="471"/>
      <c r="AC215" s="471"/>
      <c r="AD215" s="471"/>
      <c r="AE215" s="471"/>
      <c r="AF215" s="510" t="str">
        <f t="shared" si="518"/>
        <v/>
      </c>
      <c r="AG215" s="471"/>
      <c r="AH215" s="471"/>
      <c r="AI215" s="471"/>
      <c r="AJ215" s="471"/>
      <c r="AK215" s="472"/>
      <c r="AL215" s="471"/>
      <c r="AM215" s="473">
        <f t="shared" si="522"/>
        <v>474.44695720875893</v>
      </c>
      <c r="AN215" s="474">
        <f t="shared" si="523"/>
        <v>10.811777777777779</v>
      </c>
      <c r="AO215" s="474"/>
      <c r="AP215" s="474"/>
      <c r="AQ215" s="475">
        <v>3</v>
      </c>
      <c r="AR215" s="474"/>
      <c r="AS215" s="474"/>
      <c r="AT215" s="471"/>
      <c r="AU215" s="492"/>
      <c r="AV215" s="471"/>
      <c r="AW215" s="510">
        <f t="shared" si="516"/>
        <v>0</v>
      </c>
      <c r="AX215" s="478"/>
      <c r="AY215" s="493"/>
      <c r="AZ215" s="480"/>
      <c r="BA215" s="493"/>
      <c r="BB215" s="478" t="str">
        <f>IF(OR(C215="",D215=""),"",VLOOKUP(C215,'Base de Diseño (2)'!$A$2:$D$330,4,FALSE))</f>
        <v/>
      </c>
      <c r="BC215" s="478" t="str">
        <f>IF(OR(C215="",D215=""),"",VLOOKUP(D215,'Base de Diseño (2)'!$A$2:$D$330,4,FALSE))</f>
        <v/>
      </c>
      <c r="BD215" s="23"/>
      <c r="BE215" s="23"/>
      <c r="BF215" s="494"/>
      <c r="BG215" s="494"/>
      <c r="BH215" s="495"/>
      <c r="BI215" s="495"/>
      <c r="BJ215" s="468"/>
      <c r="BK215" s="475"/>
      <c r="BL215" s="475"/>
      <c r="BM215" s="475"/>
      <c r="BN215" s="475"/>
      <c r="BO215" s="204"/>
      <c r="BP215" s="496"/>
      <c r="BQ215" s="497"/>
      <c r="BR215" s="497"/>
      <c r="BS215" s="475"/>
      <c r="BT215" s="475"/>
      <c r="BU215" s="475"/>
      <c r="BV215" s="475"/>
      <c r="BW215" s="475"/>
      <c r="BX215" s="475"/>
      <c r="BY215" s="475"/>
      <c r="BZ215" s="475"/>
      <c r="CA215" s="471"/>
      <c r="CB215" s="471"/>
      <c r="CC215" s="471" t="e">
        <f t="shared" si="524"/>
        <v>#DIV/0!</v>
      </c>
      <c r="CD215" s="471"/>
      <c r="CE215" s="471"/>
      <c r="CF215" s="471"/>
      <c r="CG215" s="471"/>
      <c r="CH215" s="471"/>
      <c r="CI215" s="471"/>
      <c r="CJ215" s="471"/>
      <c r="CK215" s="468"/>
      <c r="CL215" s="482" t="s">
        <v>2507</v>
      </c>
      <c r="CM215" s="482"/>
      <c r="CN215" s="63"/>
      <c r="CO215" s="498"/>
      <c r="CP215" s="472"/>
      <c r="CQ215" s="482"/>
      <c r="CR215" s="204"/>
      <c r="CS215" s="486"/>
      <c r="CT215" s="486"/>
      <c r="CU215" s="23"/>
      <c r="CV215" s="499"/>
      <c r="CW215" s="488"/>
      <c r="CX215" s="204"/>
      <c r="CY215" s="482"/>
      <c r="CZ215" s="482"/>
      <c r="DA215" s="482"/>
      <c r="DB215" s="490"/>
    </row>
    <row r="216" spans="1:106" ht="15" hidden="1" customHeight="1">
      <c r="A216" s="465">
        <f>+A214+1</f>
        <v>139</v>
      </c>
      <c r="B216" s="491">
        <v>1</v>
      </c>
      <c r="C216" s="466" t="s">
        <v>2184</v>
      </c>
      <c r="D216" s="466" t="s">
        <v>2187</v>
      </c>
      <c r="E216" s="468">
        <v>8.3448771300000002E-2</v>
      </c>
      <c r="F216" s="468"/>
      <c r="G216" s="468">
        <f>IF(B216=1,0,SUMIF($D$22:$D$583,C216,$H$22:$H$583))</f>
        <v>0</v>
      </c>
      <c r="H216" s="468">
        <f>+E216+F216+G216</f>
        <v>8.3448771300000002E-2</v>
      </c>
      <c r="I216" s="468">
        <v>8.3448771300000002E-2</v>
      </c>
      <c r="J216" s="468"/>
      <c r="K216" s="467">
        <f>+IF(B216=1,0,SUMIF($D$22:$D$583,C216,$L$22:$L$580))</f>
        <v>0</v>
      </c>
      <c r="L216" s="468">
        <f>+I216+J216+K216</f>
        <v>8.3448771300000002E-2</v>
      </c>
      <c r="M216" s="469">
        <f>+$P$12</f>
        <v>242.33666300502347</v>
      </c>
      <c r="N216" s="470">
        <f>M216*E216</f>
        <v>20.222696768711376</v>
      </c>
      <c r="O216" s="470">
        <f>M216*F216</f>
        <v>0</v>
      </c>
      <c r="P216" s="470">
        <f>M216*H216</f>
        <v>20.222696768711376</v>
      </c>
      <c r="Q216" s="469">
        <f>+$H$14</f>
        <v>140</v>
      </c>
      <c r="R216" s="471">
        <f>Q216*P216*$P$14/86400</f>
        <v>2.7853019855053861E-2</v>
      </c>
      <c r="S216" s="471"/>
      <c r="T216" s="471"/>
      <c r="U216" s="471">
        <f>IF(C216="","",T216*$P$17)</f>
        <v>0</v>
      </c>
      <c r="V216" s="471"/>
      <c r="W216" s="471"/>
      <c r="X216" s="471">
        <f>IF(C216="","",W216*$P$16)</f>
        <v>0</v>
      </c>
      <c r="Y216" s="471">
        <f>IF(H216=0,0,$H$15*H216)</f>
        <v>1.6689754260000002E-2</v>
      </c>
      <c r="Z216" s="471">
        <f>IF(L216=0,$H$16*H216,0)</f>
        <v>0</v>
      </c>
      <c r="AA216" s="471">
        <f t="shared" si="527"/>
        <v>3.8</v>
      </c>
      <c r="AB216" s="471">
        <f>R216*AA216</f>
        <v>0.10584147544920466</v>
      </c>
      <c r="AC216" s="471">
        <f>Q216*(N216+O216)*$P$14/86400</f>
        <v>2.7853019855053861E-2</v>
      </c>
      <c r="AD216" s="471">
        <f>IF(E216=0,0,$H$15*(E216+F216))</f>
        <v>1.6689754260000002E-2</v>
      </c>
      <c r="AE216" s="471">
        <f>IF(F216=0,0,$H$15*(F216+G216))</f>
        <v>0</v>
      </c>
      <c r="AF216" s="510">
        <f t="shared" si="518"/>
        <v>3.8</v>
      </c>
      <c r="AG216" s="471">
        <f>AC216*AF216</f>
        <v>0.10584147544920466</v>
      </c>
      <c r="AH216" s="471">
        <f>+AD216+AE216+AG216</f>
        <v>0.12253122970920466</v>
      </c>
      <c r="AI216" s="471">
        <f>IF(H216="","",IF(AB216+Y216+Z216+X216+U216&lt;1.5,1.5,AB216+Y216+Z216+X216+U216))</f>
        <v>1.5</v>
      </c>
      <c r="AJ216" s="471">
        <f>+$P$17</f>
        <v>0.75</v>
      </c>
      <c r="AK216" s="472">
        <f>+BK216/100</f>
        <v>1.899441340782089E-2</v>
      </c>
      <c r="AL216" s="471">
        <f>IF(AJ216=0," ",0.14+0.65*AJ216+0.05*AK216)</f>
        <v>0.62844972067039107</v>
      </c>
      <c r="AM216" s="473">
        <f t="shared" si="522"/>
        <v>336.32613267542746</v>
      </c>
      <c r="AN216" s="474">
        <f t="shared" si="523"/>
        <v>5</v>
      </c>
      <c r="AO216" s="474">
        <f>((1/60)*$AX216/$AQ216)</f>
        <v>0.14916666666666667</v>
      </c>
      <c r="AP216" s="474">
        <f>IF(B216=1,IF(($AN216+$AO216)&lt;10,10,IF(($AN216+$AO216)&gt;20,20,($AN216+$AO216))),($AN216+$AO216))</f>
        <v>10</v>
      </c>
      <c r="AQ216" s="475">
        <v>3</v>
      </c>
      <c r="AR216" s="474" t="e">
        <f>((1/60)*$AX216/$BT216)</f>
        <v>#NUM!</v>
      </c>
      <c r="AS216" s="474" t="e">
        <f>AO216/AR216</f>
        <v>#NUM!</v>
      </c>
      <c r="AT216" s="471" t="e">
        <f>IF(AS216&lt;0.9,"Disminuir vel.",IF(AS216&gt;1.1,"Aumentar vel.","Cumple"))</f>
        <v>#NUM!</v>
      </c>
      <c r="AU216" s="492">
        <f>+I216*AL216*AM216</f>
        <v>17.638071448958808</v>
      </c>
      <c r="AV216" s="471">
        <f>+L216*AL216*AM216</f>
        <v>17.638071448958808</v>
      </c>
      <c r="AW216" s="510">
        <f t="shared" si="516"/>
        <v>19.14</v>
      </c>
      <c r="AX216" s="478">
        <f>IF(OR(C216="",D216=""),"",ROUND(((VLOOKUP(C216,'Base de Diseño (2)'!$A$2:$C$333,2,FALSE)-VLOOKUP(D216,'Base de Diseño (2)'!$A$2:$C$333,2,FALSE))^2+(VLOOKUP(C216,'Base de Diseño (2)'!$A$2:$C$333,3,0)-VLOOKUP(D216,'Base de Diseño (2)'!$A$2:$C$333,3,FALSE))^2)^0.5,2))</f>
        <v>26.85</v>
      </c>
      <c r="AY216" s="493">
        <v>8</v>
      </c>
      <c r="AZ216" s="480">
        <f>IF(AND(L216="",H216=""),"",IF(BA216=4,VLOOKUP(AY216,'TABLA (2)'!$A$74:$C$89,2),IF(BA216=5,VLOOKUP(AY216,'TABLA (2)'!$A$51:$B$66,2),IF(BA216=6,VLOOKUP(AY216,'TABLA (2)'!$A$9:$B$43,2)))))</f>
        <v>200</v>
      </c>
      <c r="BA216" s="493">
        <v>6</v>
      </c>
      <c r="BB216" s="478">
        <f>IF(OR(C216="",D216=""),"",VLOOKUP(C216,'Base de Diseño (2)'!$A$2:$D$330,4,FALSE))</f>
        <v>985.15160000000003</v>
      </c>
      <c r="BC216" s="478">
        <f>IF(OR(C216="",D216=""),"",VLOOKUP(D216,'Base de Diseño (2)'!$A$2:$D$330,4,FALSE))</f>
        <v>985.66160000000002</v>
      </c>
      <c r="BD216" s="23">
        <f>+BF216-((AZ216/1000)+CX216)</f>
        <v>0.76300000000000001</v>
      </c>
      <c r="BE216" s="23">
        <f>+BG216-((AZ216/1000)+CX216)</f>
        <v>0.76300000000000001</v>
      </c>
      <c r="BF216" s="494">
        <v>1</v>
      </c>
      <c r="BG216" s="494">
        <v>1</v>
      </c>
      <c r="BH216" s="495">
        <f>BB216-BF216</f>
        <v>984.15160000000003</v>
      </c>
      <c r="BI216" s="495">
        <f>BC216-BG216</f>
        <v>984.66160000000002</v>
      </c>
      <c r="BJ216" s="468">
        <f>IF(A216="",0,BI216-BH217)</f>
        <v>984.66160000000002</v>
      </c>
      <c r="BK216" s="475">
        <f>ABS((BB216-BC216)/AX216)*100</f>
        <v>1.8994413407820889</v>
      </c>
      <c r="BL216" s="475">
        <f>((BH216-BI216)/AX216)*100</f>
        <v>-1.8994413407820889</v>
      </c>
      <c r="BM216" s="475" t="e">
        <f>IF(BA216=6,(1/0.013)*((AZ216/4000)^(2/3))*((BL216/100)^(0.5)),(1/0.009)*((AZ216/4000)^(2/3))*((BL216/100)^(0.5)))</f>
        <v>#NUM!</v>
      </c>
      <c r="BN216" s="475" t="e">
        <f>1000*BM216*PI()*((AZ216/1000/2)^2)</f>
        <v>#NUM!</v>
      </c>
      <c r="BO216" s="204" t="e">
        <f>AI216/BN216</f>
        <v>#NUM!</v>
      </c>
      <c r="BP216" s="496" t="e">
        <f>IF(L216=0," ",AW216/BN216)</f>
        <v>#NUM!</v>
      </c>
      <c r="BQ216" s="497" t="e">
        <f>IF($BO216&gt;0 =AND($BO216&lt;=0.06),10^(0.029806+0.29095*LOG($BO216)),IF($BO216&gt;0.06 =AND($BO216&lt;=0.26),10^(0.013778+0.282597*LOG($BO216)),IF($BO216&gt;0.26 =AND($BO216&lt;=0.91),10^(0.021763+0.28995*LOG($BO216)),1)))</f>
        <v>#NUM!</v>
      </c>
      <c r="BR216" s="497" t="e">
        <f>IF($BP216&gt;0 =AND($BP216&lt;=0.06),10^(0.029806+0.29095*LOG($BP216)),IF($BP216&gt;0.06 =AND($BP216&lt;=0.26),10^(0.013778+0.282597*LOG($BP216)),IF($BP216&gt;0.26 =AND($BP216&lt;=2),10^(0.021763+0.28995*LOG($BP216))," ")))</f>
        <v>#NUM!</v>
      </c>
      <c r="BS216" s="475" t="e">
        <f>BM216*BQ216</f>
        <v>#NUM!</v>
      </c>
      <c r="BT216" s="475" t="e">
        <f>IF(BP216=" "," ",(BM216*BR216))</f>
        <v>#NUM!</v>
      </c>
      <c r="BU216" s="475" t="e">
        <f>IF(BO216&lt;=0.11,0.3827+0.0645*LN(BO216),IF(BO216&lt;=0.21,0.60025+0.15471*LN(BO216),IF(BO216&lt;1,0.225+0.6666666667*BO216,0)))</f>
        <v>#NUM!</v>
      </c>
      <c r="BV216" s="475" t="e">
        <f>IF(BP216&lt;=0.11,0.3827+0.0645*LN(BP216),IF(BP216&lt;=0.21,0.60025+0.15471*LN(BP216),IF(BP216&lt;1,0.225+0.6666666667*BP216," ")))</f>
        <v>#NUM!</v>
      </c>
      <c r="BW216" s="475" t="e">
        <f>2*ACOS(1-2*(BU216))</f>
        <v>#NUM!</v>
      </c>
      <c r="BX216" s="475" t="e">
        <f>IF(BP216=" "," ",(2*ACOS(1-2*(BV216))))</f>
        <v>#NUM!</v>
      </c>
      <c r="BY216" s="475" t="e">
        <f>(1/4)*(1-(SIN(BW216))/BW216)</f>
        <v>#NUM!</v>
      </c>
      <c r="BZ216" s="475" t="e">
        <f>IF(BP216=" "," ",((1/4)*(1-(SIN(BX216))/BX216)))</f>
        <v>#NUM!</v>
      </c>
      <c r="CA216" s="471" t="e">
        <f>BY216*AZ216/1000</f>
        <v>#NUM!</v>
      </c>
      <c r="CB216" s="471" t="e">
        <f>IF(BP216=" "," ",(BZ216*AZ216/1000))</f>
        <v>#NUM!</v>
      </c>
      <c r="CC216" s="471" t="e">
        <f t="shared" si="524"/>
        <v>#NUM!</v>
      </c>
      <c r="CD216" s="471" t="e">
        <f>IF(CC216="","",IF(CC216&lt;0.7,"F. Subcrítico",IF(AND(CC216&gt;0.7,CC216&lt;1),"F. Subcrítico Inestable",IF(CC216=1,"F. Crítico",IF(AND(CC216&gt;1,CC216&lt;1.5),"F. Supercrítico Inestable",IF(CC216&gt;1.5,"F. Supercrítico",""))))))</f>
        <v>#NUM!</v>
      </c>
      <c r="CE216" s="471" t="e">
        <f>1000*BL216*CA216/100</f>
        <v>#NUM!</v>
      </c>
      <c r="CF216" s="471" t="e">
        <f>IF(BP216=" "," ",(1000*BL216*CB216/100))</f>
        <v>#NUM!</v>
      </c>
      <c r="CG216" s="471" t="e">
        <f>IF(BS216&lt;0.45,"No cumple",IF(BS216&gt;5,"No cumple","O.K"))</f>
        <v>#NUM!</v>
      </c>
      <c r="CH216" s="471" t="e">
        <f>IF(BT216&lt;0.75,"No cumple",IF(BT216&gt;10,"No cumple","O.K"))</f>
        <v>#NUM!</v>
      </c>
      <c r="CI216" s="471" t="e">
        <f>IF(CE216&gt;0.1,"OK","V.C.H.")</f>
        <v>#NUM!</v>
      </c>
      <c r="CJ216" s="471" t="e">
        <f>IF(CF216&gt;0.2,"OK","V.C.H.")</f>
        <v>#NUM!</v>
      </c>
      <c r="CK216" s="468">
        <f>+BJ216</f>
        <v>984.66160000000002</v>
      </c>
      <c r="CL216" s="482" t="s">
        <v>2507</v>
      </c>
      <c r="CM216" s="482"/>
      <c r="CN216" s="63" t="str">
        <f>IF(B216=1,"dato"," ")</f>
        <v>dato</v>
      </c>
      <c r="CO216" s="498">
        <f>+CR216</f>
        <v>26.85</v>
      </c>
      <c r="CP216" s="472">
        <f>+BK216/100</f>
        <v>1.899441340782089E-2</v>
      </c>
      <c r="CQ216" s="482" t="s">
        <v>2508</v>
      </c>
      <c r="CR216" s="204">
        <f>IF(BA216="","",AX216)</f>
        <v>26.85</v>
      </c>
      <c r="CS216" s="486">
        <v>1.2</v>
      </c>
      <c r="CT216" s="486">
        <v>1.2</v>
      </c>
      <c r="CU216" s="23">
        <f>IF($BA216="","",SQRT((BH216-BI216)^2+$CR216^2))</f>
        <v>26.85484313862213</v>
      </c>
      <c r="CV216" s="499" t="s">
        <v>2509</v>
      </c>
      <c r="CW216" s="488" t="str">
        <f>+IF(BD216&lt;=0.9,"E1",IF(BD216&lt;=2.5,"E2","E3"))</f>
        <v>E1</v>
      </c>
      <c r="CX216" s="204">
        <f>IF(AND(L216="",H216=""),"",IF(AND(BA216&lt;&gt;4,BA216&lt;&gt;5),VLOOKUP(AY216,'TABLA (2)'!$A$9:$D$43,4),IF(BA216=4,VLOOKUP(AY216,'TABLA (2)'!$A$74:$D$89,4),VLOOKUP(AY216,'TABLA (2)'!$A$51:$D$66,4))))</f>
        <v>3.6999999999999998E-2</v>
      </c>
      <c r="CY216" s="482"/>
      <c r="CZ216" s="482"/>
      <c r="DA216" s="482"/>
      <c r="DB216" s="490"/>
    </row>
    <row r="217" spans="1:106" ht="15" hidden="1" customHeight="1">
      <c r="A217" s="465"/>
      <c r="B217" s="491"/>
      <c r="C217" s="466"/>
      <c r="D217" s="466"/>
      <c r="E217" s="468"/>
      <c r="F217" s="468"/>
      <c r="G217" s="468"/>
      <c r="H217" s="468"/>
      <c r="I217" s="468"/>
      <c r="J217" s="468"/>
      <c r="K217" s="467"/>
      <c r="L217" s="468"/>
      <c r="M217" s="469"/>
      <c r="N217" s="470"/>
      <c r="O217" s="470"/>
      <c r="P217" s="470"/>
      <c r="Q217" s="469"/>
      <c r="R217" s="471"/>
      <c r="S217" s="471"/>
      <c r="T217" s="471"/>
      <c r="U217" s="471"/>
      <c r="V217" s="471"/>
      <c r="W217" s="471"/>
      <c r="X217" s="471"/>
      <c r="Y217" s="471"/>
      <c r="Z217" s="471"/>
      <c r="AA217" s="471" t="str">
        <f t="shared" si="527"/>
        <v/>
      </c>
      <c r="AB217" s="471"/>
      <c r="AC217" s="471"/>
      <c r="AD217" s="471"/>
      <c r="AE217" s="471"/>
      <c r="AF217" s="510" t="str">
        <f t="shared" si="518"/>
        <v/>
      </c>
      <c r="AG217" s="471"/>
      <c r="AH217" s="471"/>
      <c r="AI217" s="471"/>
      <c r="AJ217" s="471"/>
      <c r="AK217" s="472"/>
      <c r="AL217" s="471"/>
      <c r="AM217" s="473">
        <f t="shared" si="522"/>
        <v>474.44695720875893</v>
      </c>
      <c r="AN217" s="474">
        <f t="shared" si="523"/>
        <v>10</v>
      </c>
      <c r="AO217" s="474"/>
      <c r="AP217" s="474"/>
      <c r="AQ217" s="475">
        <v>3</v>
      </c>
      <c r="AR217" s="474"/>
      <c r="AS217" s="474"/>
      <c r="AT217" s="471"/>
      <c r="AU217" s="492"/>
      <c r="AV217" s="471"/>
      <c r="AW217" s="510">
        <f t="shared" si="516"/>
        <v>0</v>
      </c>
      <c r="AX217" s="478"/>
      <c r="AY217" s="493"/>
      <c r="AZ217" s="480"/>
      <c r="BA217" s="493"/>
      <c r="BB217" s="478" t="str">
        <f>IF(OR(C217="",D217=""),"",VLOOKUP(C217,'Base de Diseño (2)'!$A$2:$D$330,4,FALSE))</f>
        <v/>
      </c>
      <c r="BC217" s="478" t="str">
        <f>IF(OR(C217="",D217=""),"",VLOOKUP(D217,'Base de Diseño (2)'!$A$2:$D$330,4,FALSE))</f>
        <v/>
      </c>
      <c r="BD217" s="23"/>
      <c r="BE217" s="23"/>
      <c r="BF217" s="494"/>
      <c r="BG217" s="494"/>
      <c r="BH217" s="495"/>
      <c r="BI217" s="495"/>
      <c r="BJ217" s="468"/>
      <c r="BK217" s="475"/>
      <c r="BL217" s="475"/>
      <c r="BM217" s="475"/>
      <c r="BN217" s="475"/>
      <c r="BO217" s="204"/>
      <c r="BP217" s="496"/>
      <c r="BQ217" s="497"/>
      <c r="BR217" s="497"/>
      <c r="BS217" s="475"/>
      <c r="BT217" s="475"/>
      <c r="BU217" s="475"/>
      <c r="BV217" s="475"/>
      <c r="BW217" s="475"/>
      <c r="BX217" s="475"/>
      <c r="BY217" s="475"/>
      <c r="BZ217" s="475"/>
      <c r="CA217" s="471"/>
      <c r="CB217" s="471"/>
      <c r="CC217" s="471" t="e">
        <f t="shared" si="524"/>
        <v>#DIV/0!</v>
      </c>
      <c r="CD217" s="471"/>
      <c r="CE217" s="471"/>
      <c r="CF217" s="471"/>
      <c r="CG217" s="471"/>
      <c r="CH217" s="471"/>
      <c r="CI217" s="471"/>
      <c r="CJ217" s="471"/>
      <c r="CK217" s="468"/>
      <c r="CL217" s="482" t="s">
        <v>2507</v>
      </c>
      <c r="CM217" s="482"/>
      <c r="CN217" s="63"/>
      <c r="CO217" s="498"/>
      <c r="CP217" s="472"/>
      <c r="CQ217" s="482"/>
      <c r="CR217" s="204"/>
      <c r="CS217" s="486"/>
      <c r="CT217" s="486"/>
      <c r="CU217" s="23"/>
      <c r="CV217" s="499"/>
      <c r="CW217" s="488"/>
      <c r="CX217" s="204"/>
      <c r="CY217" s="482"/>
      <c r="CZ217" s="482"/>
      <c r="DA217" s="482"/>
      <c r="DB217" s="490"/>
    </row>
    <row r="218" spans="1:106" ht="15" hidden="1" customHeight="1">
      <c r="A218" s="465">
        <f>+A216+1</f>
        <v>140</v>
      </c>
      <c r="B218" s="491">
        <v>1</v>
      </c>
      <c r="C218" s="466" t="s">
        <v>2183</v>
      </c>
      <c r="D218" s="466" t="s">
        <v>2188</v>
      </c>
      <c r="E218" s="468">
        <v>3.8300000000000001E-2</v>
      </c>
      <c r="F218" s="468"/>
      <c r="G218" s="468">
        <f>IF(B218=1,0,SUMIF($D$22:$D$583,C218,$H$22:$H$583))</f>
        <v>0</v>
      </c>
      <c r="H218" s="468">
        <f>+E218+F218+G218</f>
        <v>3.8300000000000001E-2</v>
      </c>
      <c r="I218" s="468">
        <f>+E218</f>
        <v>3.8300000000000001E-2</v>
      </c>
      <c r="J218" s="468"/>
      <c r="K218" s="467">
        <f>+IF(B218=1,0,SUMIF($D$22:$D$583,C218,$L$22:$L$580))</f>
        <v>0</v>
      </c>
      <c r="L218" s="468">
        <f>+I218+J218+K218</f>
        <v>3.8300000000000001E-2</v>
      </c>
      <c r="M218" s="469">
        <f>+$P$12</f>
        <v>242.33666300502347</v>
      </c>
      <c r="N218" s="470">
        <f>M218*E218</f>
        <v>9.2814941930923993</v>
      </c>
      <c r="O218" s="470">
        <f>M218*F218</f>
        <v>0</v>
      </c>
      <c r="P218" s="470">
        <f>M218*H218</f>
        <v>9.2814941930923993</v>
      </c>
      <c r="Q218" s="469">
        <f>+$H$14</f>
        <v>140</v>
      </c>
      <c r="R218" s="471">
        <f>Q218*P218*$P$14/86400</f>
        <v>1.2783539455763838E-2</v>
      </c>
      <c r="S218" s="471"/>
      <c r="T218" s="471"/>
      <c r="U218" s="471">
        <f>IF(C218="","",T218*$P$17)</f>
        <v>0</v>
      </c>
      <c r="V218" s="471"/>
      <c r="W218" s="471"/>
      <c r="X218" s="471">
        <f>IF(C218="","",W218*$P$16)</f>
        <v>0</v>
      </c>
      <c r="Y218" s="471">
        <f>IF(H218=0,0,$H$15*H218)</f>
        <v>7.6600000000000001E-3</v>
      </c>
      <c r="Z218" s="471">
        <f>IF(L218=0,$H$16*H218,0)</f>
        <v>0</v>
      </c>
      <c r="AA218" s="471">
        <f t="shared" si="527"/>
        <v>3.8</v>
      </c>
      <c r="AB218" s="471">
        <f>R218*AA218</f>
        <v>4.8577449931902585E-2</v>
      </c>
      <c r="AC218" s="471">
        <f>Q218*(N218+O218)*$P$14/86400</f>
        <v>1.2783539455763838E-2</v>
      </c>
      <c r="AD218" s="471">
        <f>IF(E218=0,0,$H$15*(E218+F218))</f>
        <v>7.6600000000000001E-3</v>
      </c>
      <c r="AE218" s="471">
        <f>IF(F218=0,0,$H$15*(F218+G218))</f>
        <v>0</v>
      </c>
      <c r="AF218" s="510">
        <f t="shared" si="518"/>
        <v>3.8</v>
      </c>
      <c r="AG218" s="471">
        <f>AC218*AF218</f>
        <v>4.8577449931902585E-2</v>
      </c>
      <c r="AH218" s="471">
        <f>+AD218+AE218+AG218</f>
        <v>5.6237449931902585E-2</v>
      </c>
      <c r="AI218" s="471">
        <f>IF(H218="","",IF(AB218+Y218+Z218+X218+U218&lt;1.5,1.5,AB218+Y218+Z218+X218+U218))</f>
        <v>1.5</v>
      </c>
      <c r="AJ218" s="471">
        <f>+$P$17</f>
        <v>0.75</v>
      </c>
      <c r="AK218" s="472">
        <f>+BK218/100</f>
        <v>2.7657052548397149E-2</v>
      </c>
      <c r="AL218" s="471">
        <f>IF(AJ218=0," ",0.14+0.65*AJ218+0.05*AK218)</f>
        <v>0.62888285262741994</v>
      </c>
      <c r="AM218" s="473">
        <f t="shared" si="522"/>
        <v>336.32613267542746</v>
      </c>
      <c r="AN218" s="474">
        <f t="shared" si="523"/>
        <v>5</v>
      </c>
      <c r="AO218" s="474">
        <f>((1/60)*$AX218/$AQ218)</f>
        <v>0.1406111111111111</v>
      </c>
      <c r="AP218" s="474">
        <f>IF(B218=1,IF(($AN218+$AO218)&lt;10,10,IF(($AN218+$AO218)&gt;20,20,($AN218+$AO218))),($AN218+$AO218))</f>
        <v>10</v>
      </c>
      <c r="AQ218" s="475">
        <v>3</v>
      </c>
      <c r="AR218" s="474">
        <f>((1/60)*$AX218/$BT218)</f>
        <v>0.76307189778445239</v>
      </c>
      <c r="AS218" s="474">
        <f>AO218/AR218</f>
        <v>0.18426980671070398</v>
      </c>
      <c r="AT218" s="471" t="str">
        <f>IF(AS218&lt;0.9,"Disminuir vel.",IF(AS218&gt;1.1,"Aumentar vel.","Cumple"))</f>
        <v>Disminuir vel.</v>
      </c>
      <c r="AU218" s="492">
        <f>+I218*AL218*AM218</f>
        <v>8.1008229550617177</v>
      </c>
      <c r="AV218" s="471">
        <f>+L218*AL218*AM218</f>
        <v>8.1008229550617177</v>
      </c>
      <c r="AW218" s="510">
        <f t="shared" si="516"/>
        <v>9.6</v>
      </c>
      <c r="AX218" s="478">
        <f>IF(OR(C218="",D218=""),"",ROUND(((VLOOKUP(C218,'Base de Diseño (2)'!$A$2:$C$333,2,FALSE)-VLOOKUP(D218,'Base de Diseño (2)'!$A$2:$C$333,2,FALSE))^2+(VLOOKUP(C218,'Base de Diseño (2)'!$A$2:$C$333,3,0)-VLOOKUP(D218,'Base de Diseño (2)'!$A$2:$C$333,3,FALSE))^2)^0.5,2))</f>
        <v>25.31</v>
      </c>
      <c r="AY218" s="493">
        <v>8</v>
      </c>
      <c r="AZ218" s="480">
        <f>IF(AND(L218="",H218=""),"",IF(BA218=4,VLOOKUP(AY218,'TABLA (2)'!$A$74:$C$89,2),IF(BA218=5,VLOOKUP(AY218,'TABLA (2)'!$A$51:$B$66,2),IF(BA218=6,VLOOKUP(AY218,'TABLA (2)'!$A$9:$B$43,2)))))</f>
        <v>200</v>
      </c>
      <c r="BA218" s="493">
        <v>6</v>
      </c>
      <c r="BB218" s="478">
        <f>IF(OR(C218="",D218=""),"",VLOOKUP(C218,'Base de Diseño (2)'!$A$2:$D$330,4,FALSE))</f>
        <v>984.00160000000005</v>
      </c>
      <c r="BC218" s="478">
        <f>IF(OR(C218="",D218=""),"",VLOOKUP(D218,'Base de Diseño (2)'!$A$2:$D$330,4,FALSE))</f>
        <v>984.70159999999998</v>
      </c>
      <c r="BD218" s="23">
        <f>+BF218-((AZ218/1000)+CX218)</f>
        <v>0.76300000000000001</v>
      </c>
      <c r="BE218" s="23">
        <f>+BG218-((AZ218/1000)+CX218)</f>
        <v>1.5629999999999544</v>
      </c>
      <c r="BF218" s="494">
        <v>1</v>
      </c>
      <c r="BG218" s="494">
        <v>1.7999999999999545</v>
      </c>
      <c r="BH218" s="495">
        <f>BB218-BF218</f>
        <v>983.00160000000005</v>
      </c>
      <c r="BI218" s="495">
        <f>BC218-BG218</f>
        <v>982.90160000000003</v>
      </c>
      <c r="BJ218" s="468">
        <f>IF(A218="",0,BI218-BH219)</f>
        <v>982.90160000000003</v>
      </c>
      <c r="BK218" s="475">
        <f>ABS((BB218-BC218)/AX218)*100</f>
        <v>2.7657052548397147</v>
      </c>
      <c r="BL218" s="475">
        <f>((BH218-BI218)/AX218)*100</f>
        <v>0.39510075069151618</v>
      </c>
      <c r="BM218" s="475">
        <f>IF(BA218=6,(1/0.013)*((AZ218/4000)^(2/3))*((BL218/100)^(0.5)),(1/0.009)*((AZ218/4000)^(2/3))*((BL218/100)^(0.5)))</f>
        <v>0.656231758987741</v>
      </c>
      <c r="BN218" s="475">
        <f>1000*BM218*PI()*((AZ218/1000/2)^2)</f>
        <v>20.616128730881954</v>
      </c>
      <c r="BO218" s="204">
        <f>AI218/BN218</f>
        <v>7.2758567798088744E-2</v>
      </c>
      <c r="BP218" s="496">
        <f>IF(L218=0," ",AW218/BN218)</f>
        <v>0.46565483390776796</v>
      </c>
      <c r="BQ218" s="497">
        <f>IF($BO218&gt;0 =AND($BO218&lt;=0.06),10^(0.029806+0.29095*LOG($BO218)),IF($BO218&gt;0.06 =AND($BO218&lt;=0.26),10^(0.013778+0.282597*LOG($BO218)),IF($BO218&gt;0.26 =AND($BO218&lt;=0.91),10^(0.021763+0.28995*LOG($BO218)),1)))</f>
        <v>0.49220936529331621</v>
      </c>
      <c r="BR218" s="497">
        <f>IF($BP218&gt;0 =AND($BP218&lt;=0.06),10^(0.029806+0.29095*LOG($BP218)),IF($BP218&gt;0.06 =AND($BP218&lt;=0.26),10^(0.013778+0.282597*LOG($BP218)),IF($BP218&gt;0.26 =AND($BP218&lt;=2),10^(0.021763+0.28995*LOG($BP218))," ")))</f>
        <v>0.84239967444556252</v>
      </c>
      <c r="BS218" s="475">
        <f>BM218*BQ218</f>
        <v>0.32300341757667245</v>
      </c>
      <c r="BT218" s="475">
        <f>IF(BP218=" "," ",(BM218*BR218))</f>
        <v>0.55280942013211187</v>
      </c>
      <c r="BU218" s="475">
        <f>IF(BO218&lt;=0.11,0.3827+0.0645*LN(BO218),IF(BO218&lt;=0.21,0.60025+0.15471*LN(BO218),IF(BO218&lt;1,0.225+0.6666666667*BO218,0)))</f>
        <v>0.21367074469083214</v>
      </c>
      <c r="BV218" s="475">
        <f>IF(BP218&lt;=0.11,0.3827+0.0645*LN(BP218),IF(BP218&lt;=0.21,0.60025+0.15471*LN(BP218),IF(BP218&lt;1,0.225+0.6666666667*BP218," ")))</f>
        <v>0.53543655595403383</v>
      </c>
      <c r="BW218" s="475">
        <f>2*ACOS(1-2*(BU218))</f>
        <v>1.9221024599179957</v>
      </c>
      <c r="BX218" s="475">
        <f>IF(BP218=" "," ",(2*ACOS(1-2*(BV218))))</f>
        <v>3.2834578116015969</v>
      </c>
      <c r="BY218" s="475">
        <f>(1/4)*(1-(SIN(BW218))/BW218)</f>
        <v>0.1278779928368837</v>
      </c>
      <c r="BZ218" s="475">
        <f>IF(BP218=" "," ",((1/4)*(1-(SIN(BX218))/BX218)))</f>
        <v>0.26076531116452439</v>
      </c>
      <c r="CA218" s="471">
        <f>BY218*AZ218/1000</f>
        <v>2.5575598567376741E-2</v>
      </c>
      <c r="CB218" s="471">
        <f>IF(BP218=" "," ",(BZ218*AZ218/1000))</f>
        <v>5.2153062232904883E-2</v>
      </c>
      <c r="CC218" s="471">
        <f t="shared" si="524"/>
        <v>0.60242579951055741</v>
      </c>
      <c r="CD218" s="471" t="str">
        <f>IF(CC218="","",IF(CC218&lt;0.7,"F. Subcrítico",IF(AND(CC218&gt;0.7,CC218&lt;1),"F. Subcrítico Inestable",IF(CC218=1,"F. Crítico",IF(AND(CC218&gt;1,CC218&lt;1.5),"F. Supercrítico Inestable",IF(CC218&gt;1.5,"F. Supercrítico",""))))))</f>
        <v>F. Subcrítico</v>
      </c>
      <c r="CE218" s="471">
        <f>1000*BL218*CA218/100</f>
        <v>0.10104938193355416</v>
      </c>
      <c r="CF218" s="471">
        <f>IF(BP218=" "," ",(1000*BL218*CB218/100))</f>
        <v>0.20605714039082079</v>
      </c>
      <c r="CG218" s="471" t="str">
        <f>IF(BS218&lt;0.45,"No cumple",IF(BS218&gt;5,"No cumple","O.K"))</f>
        <v>No cumple</v>
      </c>
      <c r="CH218" s="471" t="str">
        <f>IF(BT218&lt;0.75,"No cumple",IF(BT218&gt;10,"No cumple","O.K"))</f>
        <v>No cumple</v>
      </c>
      <c r="CI218" s="471" t="str">
        <f>IF(CE218&gt;0.1,"OK","V.C.H.")</f>
        <v>OK</v>
      </c>
      <c r="CJ218" s="471" t="str">
        <f>IF(CF218&gt;0.2,"OK","V.C.H.")</f>
        <v>OK</v>
      </c>
      <c r="CK218" s="468">
        <f>+BJ218</f>
        <v>982.90160000000003</v>
      </c>
      <c r="CL218" s="482" t="s">
        <v>2507</v>
      </c>
      <c r="CM218" s="482"/>
      <c r="CN218" s="63" t="str">
        <f>IF(B218=1,"dato"," ")</f>
        <v>dato</v>
      </c>
      <c r="CO218" s="498">
        <f>+CR218</f>
        <v>25.31</v>
      </c>
      <c r="CP218" s="472">
        <f>+BK218/100</f>
        <v>2.7657052548397149E-2</v>
      </c>
      <c r="CQ218" s="482" t="s">
        <v>2508</v>
      </c>
      <c r="CR218" s="204">
        <f>IF(BA218="","",AX218)</f>
        <v>25.31</v>
      </c>
      <c r="CS218" s="486">
        <v>1.2</v>
      </c>
      <c r="CT218" s="486">
        <v>1.2</v>
      </c>
      <c r="CU218" s="23">
        <f>IF($BA218="","",SQRT((BH218-BI218)^2+$CR218^2))</f>
        <v>25.310197549604389</v>
      </c>
      <c r="CV218" s="499" t="s">
        <v>2509</v>
      </c>
      <c r="CW218" s="488" t="str">
        <f>+IF(BD218&lt;=0.9,"E1",IF(BD218&lt;=2.5,"E2","E3"))</f>
        <v>E1</v>
      </c>
      <c r="CX218" s="204">
        <f>IF(AND(L218="",H218=""),"",IF(AND(BA218&lt;&gt;4,BA218&lt;&gt;5),VLOOKUP(AY218,'TABLA (2)'!$A$9:$D$43,4),IF(BA218=4,VLOOKUP(AY218,'TABLA (2)'!$A$74:$D$89,4),VLOOKUP(AY218,'TABLA (2)'!$A$51:$D$66,4))))</f>
        <v>3.6999999999999998E-2</v>
      </c>
      <c r="CY218" s="482"/>
      <c r="CZ218" s="482"/>
      <c r="DA218" s="482"/>
      <c r="DB218" s="490"/>
    </row>
    <row r="219" spans="1:106" ht="15" hidden="1" customHeight="1">
      <c r="A219" s="465"/>
      <c r="B219" s="491"/>
      <c r="C219" s="466"/>
      <c r="D219" s="466"/>
      <c r="E219" s="468"/>
      <c r="F219" s="468"/>
      <c r="G219" s="468"/>
      <c r="H219" s="468"/>
      <c r="I219" s="468"/>
      <c r="J219" s="468"/>
      <c r="K219" s="467"/>
      <c r="L219" s="468"/>
      <c r="M219" s="469"/>
      <c r="N219" s="470"/>
      <c r="O219" s="470"/>
      <c r="P219" s="470"/>
      <c r="Q219" s="469"/>
      <c r="R219" s="471"/>
      <c r="S219" s="471"/>
      <c r="T219" s="471"/>
      <c r="U219" s="471"/>
      <c r="V219" s="471"/>
      <c r="W219" s="471"/>
      <c r="X219" s="471"/>
      <c r="Y219" s="471"/>
      <c r="Z219" s="471"/>
      <c r="AA219" s="471" t="str">
        <f t="shared" si="527"/>
        <v/>
      </c>
      <c r="AB219" s="471"/>
      <c r="AC219" s="471"/>
      <c r="AD219" s="471"/>
      <c r="AE219" s="471"/>
      <c r="AF219" s="510" t="str">
        <f t="shared" si="518"/>
        <v/>
      </c>
      <c r="AG219" s="471"/>
      <c r="AH219" s="471"/>
      <c r="AI219" s="471"/>
      <c r="AJ219" s="471"/>
      <c r="AK219" s="472"/>
      <c r="AL219" s="471"/>
      <c r="AM219" s="473">
        <f t="shared" si="522"/>
        <v>474.44695720875893</v>
      </c>
      <c r="AN219" s="474">
        <f t="shared" si="523"/>
        <v>10</v>
      </c>
      <c r="AO219" s="474"/>
      <c r="AP219" s="474"/>
      <c r="AQ219" s="475">
        <v>3</v>
      </c>
      <c r="AR219" s="474"/>
      <c r="AS219" s="474"/>
      <c r="AT219" s="471"/>
      <c r="AU219" s="492"/>
      <c r="AV219" s="471"/>
      <c r="AW219" s="510">
        <f t="shared" si="516"/>
        <v>0</v>
      </c>
      <c r="AX219" s="478"/>
      <c r="AY219" s="493"/>
      <c r="AZ219" s="480"/>
      <c r="BA219" s="493"/>
      <c r="BB219" s="478" t="str">
        <f>IF(OR(C219="",D219=""),"",VLOOKUP(C219,'Base de Diseño (2)'!$A$2:$D$330,4,FALSE))</f>
        <v/>
      </c>
      <c r="BC219" s="478" t="str">
        <f>IF(OR(C219="",D219=""),"",VLOOKUP(D219,'Base de Diseño (2)'!$A$2:$D$330,4,FALSE))</f>
        <v/>
      </c>
      <c r="BD219" s="23"/>
      <c r="BE219" s="23"/>
      <c r="BF219" s="494"/>
      <c r="BG219" s="494"/>
      <c r="BH219" s="495"/>
      <c r="BI219" s="495"/>
      <c r="BJ219" s="468"/>
      <c r="BK219" s="475"/>
      <c r="BL219" s="475"/>
      <c r="BM219" s="475"/>
      <c r="BN219" s="475"/>
      <c r="BO219" s="204"/>
      <c r="BP219" s="496"/>
      <c r="BQ219" s="497"/>
      <c r="BR219" s="497"/>
      <c r="BS219" s="475"/>
      <c r="BT219" s="475"/>
      <c r="BU219" s="475"/>
      <c r="BV219" s="475"/>
      <c r="BW219" s="475"/>
      <c r="BX219" s="475"/>
      <c r="BY219" s="475"/>
      <c r="BZ219" s="475"/>
      <c r="CA219" s="471"/>
      <c r="CB219" s="471"/>
      <c r="CC219" s="471" t="e">
        <f t="shared" si="524"/>
        <v>#DIV/0!</v>
      </c>
      <c r="CD219" s="471"/>
      <c r="CE219" s="471"/>
      <c r="CF219" s="471"/>
      <c r="CG219" s="471"/>
      <c r="CH219" s="471"/>
      <c r="CI219" s="471"/>
      <c r="CJ219" s="471"/>
      <c r="CK219" s="468"/>
      <c r="CL219" s="482" t="s">
        <v>2507</v>
      </c>
      <c r="CM219" s="482"/>
      <c r="CN219" s="63"/>
      <c r="CO219" s="498"/>
      <c r="CP219" s="472"/>
      <c r="CQ219" s="482"/>
      <c r="CR219" s="204"/>
      <c r="CS219" s="486"/>
      <c r="CT219" s="486"/>
      <c r="CU219" s="23"/>
      <c r="CV219" s="499"/>
      <c r="CW219" s="488"/>
      <c r="CX219" s="204"/>
      <c r="CY219" s="482"/>
      <c r="CZ219" s="482"/>
      <c r="DA219" s="482"/>
      <c r="DB219" s="490"/>
    </row>
    <row r="220" spans="1:106" ht="15" hidden="1" customHeight="1">
      <c r="A220" s="465">
        <f>+A218+1</f>
        <v>141</v>
      </c>
      <c r="B220" s="491">
        <v>1</v>
      </c>
      <c r="C220" s="466" t="s">
        <v>2199</v>
      </c>
      <c r="D220" s="466" t="s">
        <v>2195</v>
      </c>
      <c r="E220" s="468">
        <v>0.13588298170000002</v>
      </c>
      <c r="F220" s="468"/>
      <c r="G220" s="468">
        <f t="shared" ref="G220:G227" si="528">IF(B220=1,0,SUMIF($D$22:$D$583,C220,$H$22:$H$583))</f>
        <v>0</v>
      </c>
      <c r="H220" s="468">
        <f t="shared" ref="H220:H227" si="529">+E220+F220+G220</f>
        <v>0.13588298170000002</v>
      </c>
      <c r="I220" s="468">
        <v>0.13588298170000002</v>
      </c>
      <c r="J220" s="468"/>
      <c r="K220" s="467">
        <f t="shared" ref="K220:K227" si="530">+IF(B220=1,0,SUMIF($D$22:$D$583,C220,$L$22:$L$580))</f>
        <v>0</v>
      </c>
      <c r="L220" s="468">
        <f t="shared" ref="L220:L227" si="531">+I220+J220+K220</f>
        <v>0.13588298170000002</v>
      </c>
      <c r="M220" s="469">
        <f t="shared" ref="M220:M227" si="532">+$P$12</f>
        <v>242.33666300502347</v>
      </c>
      <c r="N220" s="470">
        <f t="shared" ref="N220:N227" si="533">M220*E220</f>
        <v>32.929428344350676</v>
      </c>
      <c r="O220" s="470">
        <f t="shared" ref="O220:O227" si="534">M220*F220</f>
        <v>0</v>
      </c>
      <c r="P220" s="470">
        <f t="shared" ref="P220:P227" si="535">M220*H220</f>
        <v>32.929428344350676</v>
      </c>
      <c r="Q220" s="469">
        <f t="shared" ref="Q220:Q227" si="536">+$H$14</f>
        <v>140</v>
      </c>
      <c r="R220" s="471">
        <f t="shared" ref="R220:R227" si="537">Q220*P220*$P$14/86400</f>
        <v>4.5354189502057066E-2</v>
      </c>
      <c r="S220" s="471"/>
      <c r="T220" s="471"/>
      <c r="U220" s="471">
        <f t="shared" ref="U220:U227" si="538">IF(C220="","",T220*$P$17)</f>
        <v>0</v>
      </c>
      <c r="V220" s="471"/>
      <c r="W220" s="471"/>
      <c r="X220" s="471">
        <f t="shared" ref="X220:X227" si="539">IF(C220="","",W220*$P$16)</f>
        <v>0</v>
      </c>
      <c r="Y220" s="471">
        <f t="shared" ref="Y220:Y227" si="540">IF(H220=0,0,$H$15*H220)</f>
        <v>2.7176596340000005E-2</v>
      </c>
      <c r="Z220" s="471">
        <f t="shared" ref="Z220:Z227" si="541">IF(L220=0,$H$16*H220,0)</f>
        <v>0</v>
      </c>
      <c r="AA220" s="471">
        <f t="shared" si="527"/>
        <v>3.8</v>
      </c>
      <c r="AB220" s="471">
        <f t="shared" ref="AB220:AB227" si="542">R220*AA220</f>
        <v>0.17234592010781685</v>
      </c>
      <c r="AC220" s="471">
        <f t="shared" ref="AC220:AC227" si="543">Q220*(N220+O220)*$P$14/86400</f>
        <v>4.5354189502057066E-2</v>
      </c>
      <c r="AD220" s="471">
        <f t="shared" ref="AD220:AE227" si="544">IF(E220=0,0,$H$15*(E220+F220))</f>
        <v>2.7176596340000005E-2</v>
      </c>
      <c r="AE220" s="471">
        <f t="shared" si="544"/>
        <v>0</v>
      </c>
      <c r="AF220" s="510">
        <f t="shared" si="518"/>
        <v>3.8</v>
      </c>
      <c r="AG220" s="471">
        <f t="shared" ref="AG220:AG227" si="545">AC220*AF220</f>
        <v>0.17234592010781685</v>
      </c>
      <c r="AH220" s="471">
        <f t="shared" ref="AH220:AH227" si="546">+AD220+AE220+AG220</f>
        <v>0.19952251644781685</v>
      </c>
      <c r="AI220" s="471">
        <f t="shared" ref="AI220:AI227" si="547">IF(H220="","",IF(AB220+Y220+Z220+X220+U220&lt;1.5,1.5,AB220+Y220+Z220+X220+U220))</f>
        <v>1.5</v>
      </c>
      <c r="AJ220" s="471">
        <f t="shared" ref="AJ220:AJ227" si="548">+$P$17</f>
        <v>0.75</v>
      </c>
      <c r="AK220" s="472">
        <f t="shared" ref="AK220:AK227" si="549">+BK220/100</f>
        <v>0.12286754839946268</v>
      </c>
      <c r="AL220" s="471">
        <f t="shared" ref="AL220:AL227" si="550">IF(AJ220=0," ",0.14+0.65*AJ220+0.05*AK220)</f>
        <v>0.63364337741997323</v>
      </c>
      <c r="AM220" s="473">
        <f t="shared" si="522"/>
        <v>336.32613267542746</v>
      </c>
      <c r="AN220" s="474">
        <f t="shared" si="523"/>
        <v>5</v>
      </c>
      <c r="AO220" s="474">
        <f t="shared" ref="AO220:AO227" si="551">((1/60)*$AX220/$AQ220)</f>
        <v>0.28983333333333333</v>
      </c>
      <c r="AP220" s="474">
        <f t="shared" ref="AP220:AP227" si="552">IF(B220=1,IF(($AN220+$AO220)&lt;10,10,IF(($AN220+$AO220)&gt;20,20,($AN220+$AO220))),($AN220+$AO220))</f>
        <v>10</v>
      </c>
      <c r="AQ220" s="475">
        <v>3</v>
      </c>
      <c r="AR220" s="474">
        <f t="shared" ref="AR220:AR227" si="553">((1/60)*$AX220/$BT220)</f>
        <v>0.33984027025329788</v>
      </c>
      <c r="AS220" s="474">
        <f t="shared" ref="AS220:AS227" si="554">AO220/AR220</f>
        <v>0.85285164444257244</v>
      </c>
      <c r="AT220" s="471" t="str">
        <f t="shared" ref="AT220:AT227" si="555">IF(AS220&lt;0.9,"Disminuir vel.",IF(AS220&gt;1.1,"Aumentar vel.","Cumple"))</f>
        <v>Disminuir vel.</v>
      </c>
      <c r="AU220" s="492">
        <f t="shared" ref="AU220:AU227" si="556">+I220*AL220*AM220</f>
        <v>28.958134554092577</v>
      </c>
      <c r="AV220" s="471">
        <f t="shared" ref="AV220:AV227" si="557">+L220*AL220*AM220</f>
        <v>28.958134554092577</v>
      </c>
      <c r="AW220" s="510">
        <f t="shared" si="516"/>
        <v>30.46</v>
      </c>
      <c r="AX220" s="478">
        <f>IF(OR(C220="",D220=""),"",ROUND(((VLOOKUP(C220,'Base de Diseño (2)'!$A$2:$C$333,2,FALSE)-VLOOKUP(D220,'Base de Diseño (2)'!$A$2:$C$333,2,FALSE))^2+(VLOOKUP(C220,'Base de Diseño (2)'!$A$2:$C$333,3,0)-VLOOKUP(D220,'Base de Diseño (2)'!$A$2:$C$333,3,FALSE))^2)^0.5,2))</f>
        <v>52.17</v>
      </c>
      <c r="AY220" s="493">
        <v>8</v>
      </c>
      <c r="AZ220" s="480">
        <f>IF(AND(L220="",H220=""),"",IF(BA220=4,VLOOKUP(AY220,'TABLA (2)'!$A$74:$C$89,2),IF(BA220=5,VLOOKUP(AY220,'TABLA (2)'!$A$51:$B$66,2),IF(BA220=6,VLOOKUP(AY220,'TABLA (2)'!$A$9:$B$43,2)))))</f>
        <v>200</v>
      </c>
      <c r="BA220" s="493">
        <v>6</v>
      </c>
      <c r="BB220" s="478">
        <f>IF(OR(C220="",D220=""),"",VLOOKUP(C220,'Base de Diseño (2)'!$A$2:$D$330,4,FALSE))</f>
        <v>989.45159999999998</v>
      </c>
      <c r="BC220" s="478">
        <f>IF(OR(C220="",D220=""),"",VLOOKUP(D220,'Base de Diseño (2)'!$A$2:$D$330,4,FALSE))</f>
        <v>983.04160000000002</v>
      </c>
      <c r="BD220" s="23">
        <f t="shared" ref="BD220:BD227" si="558">+BF220-((AZ220/1000)+CX220)</f>
        <v>1.6629999999999772</v>
      </c>
      <c r="BE220" s="23">
        <f t="shared" ref="BE220:BE227" si="559">+BG220-((AZ220/1000)+CX220)</f>
        <v>1.2629999999999999</v>
      </c>
      <c r="BF220" s="494">
        <v>1.8999999999999773</v>
      </c>
      <c r="BG220" s="494">
        <v>1.5</v>
      </c>
      <c r="BH220" s="495">
        <f t="shared" ref="BH220:BI227" si="560">BB220-BF220</f>
        <v>987.55160000000001</v>
      </c>
      <c r="BI220" s="495">
        <f t="shared" si="560"/>
        <v>981.54160000000002</v>
      </c>
      <c r="BJ220" s="468">
        <f t="shared" ref="BJ220:BJ227" si="561">IF(A220="",0,BI220-BH221)</f>
        <v>0.10000000000002274</v>
      </c>
      <c r="BK220" s="475">
        <f t="shared" ref="BK220:BK227" si="562">ABS((BB220-BC220)/AX220)*100</f>
        <v>12.286754839946267</v>
      </c>
      <c r="BL220" s="475">
        <f t="shared" ref="BL220:BL227" si="563">((BH220-BI220)/AX220)*100</f>
        <v>11.520030668966822</v>
      </c>
      <c r="BM220" s="475">
        <f t="shared" ref="BM220:BM227" si="564">IF(BA220=6,(1/0.013)*((AZ220/4000)^(2/3))*((BL220/100)^(0.5)),(1/0.009)*((AZ220/4000)^(2/3))*((BL220/100)^(0.5)))</f>
        <v>3.5434812158600439</v>
      </c>
      <c r="BN220" s="475">
        <f t="shared" ref="BN220:BN227" si="565">1000*BM220*PI()*((AZ220/1000/2)^2)</f>
        <v>111.32174555879345</v>
      </c>
      <c r="BO220" s="204">
        <f t="shared" ref="BO220:BO227" si="566">AI220/BN220</f>
        <v>1.3474456337982863E-2</v>
      </c>
      <c r="BP220" s="496">
        <f t="shared" ref="BP220:BP227" si="567">IF(L220=0," ",AW220/BN220)</f>
        <v>0.27362129336997199</v>
      </c>
      <c r="BQ220" s="497">
        <f t="shared" ref="BQ220:BQ227" si="568">IF($BO220&gt;0 =AND($BO220&lt;=0.06),10^(0.029806+0.29095*LOG($BO220)),IF($BO220&gt;0.06 =AND($BO220&lt;=0.26),10^(0.013778+0.282597*LOG($BO220)),IF($BO220&gt;0.26 =AND($BO220&lt;=0.91),10^(0.021763+0.28995*LOG($BO220)),1)))</f>
        <v>0.30590550929955851</v>
      </c>
      <c r="BR220" s="497">
        <f t="shared" ref="BR220:BR227" si="569">IF($BP220&gt;0 =AND($BP220&lt;=0.06),10^(0.029806+0.29095*LOG($BP220)),IF($BP220&gt;0.06 =AND($BP220&lt;=0.26),10^(0.013778+0.282597*LOG($BP220)),IF($BP220&gt;0.26 =AND($BP220&lt;=2),10^(0.021763+0.28995*LOG($BP220))," ")))</f>
        <v>0.7220455753726146</v>
      </c>
      <c r="BS220" s="475">
        <f t="shared" ref="BS220:BS227" si="570">BM220*BQ220</f>
        <v>1.0839704260310856</v>
      </c>
      <c r="BT220" s="475">
        <f t="shared" ref="BT220:BT227" si="571">IF(BP220=" "," ",(BM220*BR220))</f>
        <v>2.5585549333277173</v>
      </c>
      <c r="BU220" s="475">
        <f t="shared" ref="BU220:BU227" si="572">IF(BO220&lt;=0.11,0.3827+0.0645*LN(BO220),IF(BO220&lt;=0.21,0.60025+0.15471*LN(BO220),IF(BO220&lt;1,0.225+0.6666666667*BO220,0)))</f>
        <v>0.10490111167102895</v>
      </c>
      <c r="BV220" s="475">
        <f t="shared" ref="BV220:BV227" si="573">IF(BP220&lt;=0.11,0.3827+0.0645*LN(BP220),IF(BP220&lt;=0.21,0.60025+0.15471*LN(BP220),IF(BP220&lt;1,0.225+0.6666666667*BP220," ")))</f>
        <v>0.40741419558910202</v>
      </c>
      <c r="BW220" s="475">
        <f t="shared" ref="BW220:BW227" si="574">2*ACOS(1-2*(BU220))</f>
        <v>1.3193293624972025</v>
      </c>
      <c r="BX220" s="475">
        <f t="shared" ref="BX220:BX227" si="575">IF(BP220=" "," ",(2*ACOS(1-2*(BV220))))</f>
        <v>2.7690996770368792</v>
      </c>
      <c r="BY220" s="475">
        <f t="shared" ref="BY220:BY227" si="576">(1/4)*(1-(SIN(BW220))/BW220)</f>
        <v>6.6469549974564085E-2</v>
      </c>
      <c r="BZ220" s="475">
        <f t="shared" ref="BZ220:BZ227" si="577">IF(BP220=" "," ",((1/4)*(1-(SIN(BX220))/BX220)))</f>
        <v>0.21714287868719728</v>
      </c>
      <c r="CA220" s="471">
        <f t="shared" ref="CA220:CA227" si="578">BY220*AZ220/1000</f>
        <v>1.3293909994912817E-2</v>
      </c>
      <c r="CB220" s="471">
        <f t="shared" ref="CB220:CB227" si="579">IF(BP220=" "," ",(BZ220*AZ220/1000))</f>
        <v>4.3428575737439461E-2</v>
      </c>
      <c r="CC220" s="471">
        <f t="shared" si="524"/>
        <v>3.3024024684180371</v>
      </c>
      <c r="CD220" s="471" t="str">
        <f t="shared" ref="CD220:CD227" si="580">IF(CC220="","",IF(CC220&lt;0.7,"F. Subcrítico",IF(AND(CC220&gt;0.7,CC220&lt;1),"F. Subcrítico Inestable",IF(CC220=1,"F. Crítico",IF(AND(CC220&gt;1,CC220&lt;1.5),"F. Supercrítico Inestable",IF(CC220&gt;1.5,"F. Supercrítico",""))))))</f>
        <v>F. Supercrítico</v>
      </c>
      <c r="CE220" s="471">
        <f t="shared" ref="CE220:CE227" si="581">1000*BL220*CA220/100</f>
        <v>1.5314625085188021</v>
      </c>
      <c r="CF220" s="471">
        <f t="shared" ref="CF220:CF227" si="582">IF(BP220=" "," ",(1000*BL220*CB220/100))</f>
        <v>5.0029852440485101</v>
      </c>
      <c r="CG220" s="471" t="str">
        <f t="shared" ref="CG220:CG227" si="583">IF(BS220&lt;0.45,"No cumple",IF(BS220&gt;5,"No cumple","O.K"))</f>
        <v>O.K</v>
      </c>
      <c r="CH220" s="471" t="str">
        <f t="shared" ref="CH220:CH227" si="584">IF(BT220&lt;0.75,"No cumple",IF(BT220&gt;10,"No cumple","O.K"))</f>
        <v>O.K</v>
      </c>
      <c r="CI220" s="471" t="str">
        <f t="shared" ref="CI220:CI227" si="585">IF(CE220&gt;0.1,"OK","V.C.H.")</f>
        <v>OK</v>
      </c>
      <c r="CJ220" s="471" t="str">
        <f t="shared" ref="CJ220:CJ227" si="586">IF(CF220&gt;0.2,"OK","V.C.H.")</f>
        <v>OK</v>
      </c>
      <c r="CK220" s="468">
        <f t="shared" ref="CK220:CK227" si="587">+BJ220</f>
        <v>0.10000000000002274</v>
      </c>
      <c r="CL220" s="482" t="s">
        <v>2507</v>
      </c>
      <c r="CM220" s="482"/>
      <c r="CN220" s="63" t="str">
        <f t="shared" ref="CN220:CN227" si="588">IF(B220=1,"dato"," ")</f>
        <v>dato</v>
      </c>
      <c r="CO220" s="498">
        <f t="shared" ref="CO220:CO227" si="589">+CR220</f>
        <v>52.17</v>
      </c>
      <c r="CP220" s="472">
        <f t="shared" ref="CP220:CP227" si="590">+BK220/100</f>
        <v>0.12286754839946268</v>
      </c>
      <c r="CQ220" s="482" t="s">
        <v>2508</v>
      </c>
      <c r="CR220" s="204">
        <f t="shared" ref="CR220:CR227" si="591">IF(BA220="","",AX220)</f>
        <v>52.17</v>
      </c>
      <c r="CS220" s="486">
        <v>1.2</v>
      </c>
      <c r="CT220" s="486">
        <v>1.2</v>
      </c>
      <c r="CU220" s="23">
        <f t="shared" ref="CU220:CU227" si="592">IF($BA220="","",SQRT((BH220-BI220)^2+$CR220^2))</f>
        <v>52.51503594209948</v>
      </c>
      <c r="CV220" s="499" t="s">
        <v>2509</v>
      </c>
      <c r="CW220" s="488" t="str">
        <f t="shared" ref="CW220:CW227" si="593">+IF(BD220&lt;=0.9,"E1",IF(BD220&lt;=2.5,"E2","E3"))</f>
        <v>E2</v>
      </c>
      <c r="CX220" s="204">
        <f>IF(AND(L220="",H220=""),"",IF(AND(BA220&lt;&gt;4,BA220&lt;&gt;5),VLOOKUP(AY220,'TABLA (2)'!$A$9:$D$43,4),IF(BA220=4,VLOOKUP(AY220,'TABLA (2)'!$A$74:$D$89,4),VLOOKUP(AY220,'TABLA (2)'!$A$51:$D$66,4))))</f>
        <v>3.6999999999999998E-2</v>
      </c>
      <c r="CY220" s="482"/>
      <c r="CZ220" s="482"/>
      <c r="DA220" s="482"/>
      <c r="DB220" s="490"/>
    </row>
    <row r="221" spans="1:106" ht="15" hidden="1" customHeight="1">
      <c r="A221" s="465">
        <f t="shared" ref="A221:A227" si="594">+A220+1</f>
        <v>142</v>
      </c>
      <c r="B221" s="491"/>
      <c r="C221" s="466" t="s">
        <v>2195</v>
      </c>
      <c r="D221" s="466" t="s">
        <v>2192</v>
      </c>
      <c r="E221" s="468"/>
      <c r="F221" s="468"/>
      <c r="G221" s="468">
        <f t="shared" si="528"/>
        <v>0.13588298170000002</v>
      </c>
      <c r="H221" s="468">
        <f t="shared" si="529"/>
        <v>0.13588298170000002</v>
      </c>
      <c r="I221" s="468"/>
      <c r="J221" s="468"/>
      <c r="K221" s="467">
        <f t="shared" ca="1" si="530"/>
        <v>0.13588298170000002</v>
      </c>
      <c r="L221" s="468">
        <f t="shared" ca="1" si="531"/>
        <v>0.13588298170000002</v>
      </c>
      <c r="M221" s="469">
        <f t="shared" si="532"/>
        <v>242.33666300502347</v>
      </c>
      <c r="N221" s="470">
        <f t="shared" si="533"/>
        <v>0</v>
      </c>
      <c r="O221" s="470">
        <f t="shared" si="534"/>
        <v>0</v>
      </c>
      <c r="P221" s="470">
        <f t="shared" si="535"/>
        <v>32.929428344350676</v>
      </c>
      <c r="Q221" s="469">
        <f t="shared" si="536"/>
        <v>140</v>
      </c>
      <c r="R221" s="471">
        <f t="shared" si="537"/>
        <v>4.5354189502057066E-2</v>
      </c>
      <c r="S221" s="471"/>
      <c r="T221" s="471"/>
      <c r="U221" s="471">
        <f t="shared" si="538"/>
        <v>0</v>
      </c>
      <c r="V221" s="471"/>
      <c r="W221" s="471"/>
      <c r="X221" s="471">
        <f t="shared" si="539"/>
        <v>0</v>
      </c>
      <c r="Y221" s="471">
        <f t="shared" si="540"/>
        <v>2.7176596340000005E-2</v>
      </c>
      <c r="Z221" s="471">
        <f t="shared" ca="1" si="541"/>
        <v>0</v>
      </c>
      <c r="AA221" s="471">
        <f t="shared" si="527"/>
        <v>3.8</v>
      </c>
      <c r="AB221" s="471">
        <f t="shared" si="542"/>
        <v>0.17234592010781685</v>
      </c>
      <c r="AC221" s="471">
        <f t="shared" si="543"/>
        <v>0</v>
      </c>
      <c r="AD221" s="471">
        <f t="shared" si="544"/>
        <v>0</v>
      </c>
      <c r="AE221" s="471">
        <f t="shared" si="544"/>
        <v>0</v>
      </c>
      <c r="AF221" s="510">
        <f t="shared" si="518"/>
        <v>3.8</v>
      </c>
      <c r="AG221" s="471">
        <f t="shared" si="545"/>
        <v>0</v>
      </c>
      <c r="AH221" s="471">
        <f t="shared" si="546"/>
        <v>0</v>
      </c>
      <c r="AI221" s="471">
        <f t="shared" ca="1" si="547"/>
        <v>1.5</v>
      </c>
      <c r="AJ221" s="471">
        <f t="shared" si="548"/>
        <v>0.75</v>
      </c>
      <c r="AK221" s="472">
        <f t="shared" si="549"/>
        <v>0</v>
      </c>
      <c r="AL221" s="471">
        <f t="shared" si="550"/>
        <v>0.62750000000000006</v>
      </c>
      <c r="AM221" s="473">
        <f t="shared" si="522"/>
        <v>336.22469451640393</v>
      </c>
      <c r="AN221" s="474">
        <f t="shared" si="523"/>
        <v>10</v>
      </c>
      <c r="AO221" s="474">
        <f t="shared" si="551"/>
        <v>1.0222222222222223E-2</v>
      </c>
      <c r="AP221" s="474">
        <f t="shared" si="552"/>
        <v>10.010222222222222</v>
      </c>
      <c r="AQ221" s="475">
        <v>3</v>
      </c>
      <c r="AR221" s="474" t="e">
        <f t="shared" ca="1" si="553"/>
        <v>#NUM!</v>
      </c>
      <c r="AS221" s="474" t="e">
        <f t="shared" ca="1" si="554"/>
        <v>#NUM!</v>
      </c>
      <c r="AT221" s="471" t="e">
        <f t="shared" ca="1" si="555"/>
        <v>#NUM!</v>
      </c>
      <c r="AU221" s="492">
        <f t="shared" si="556"/>
        <v>0</v>
      </c>
      <c r="AV221" s="471">
        <f t="shared" ca="1" si="557"/>
        <v>28.668726792568037</v>
      </c>
      <c r="AW221" s="510">
        <f t="shared" ca="1" si="516"/>
        <v>30.17</v>
      </c>
      <c r="AX221" s="478">
        <f>IF(OR(C221="",D221=""),"",ROUND(((VLOOKUP(C221,'Base de Diseño (2)'!$A$2:$C$333,2,FALSE)-VLOOKUP(D221,'Base de Diseño (2)'!$A$2:$C$333,2,FALSE))^2+(VLOOKUP(C221,'Base de Diseño (2)'!$A$2:$C$333,3,0)-VLOOKUP(D221,'Base de Diseño (2)'!$A$2:$C$333,3,FALSE))^2)^0.5,2))</f>
        <v>1.84</v>
      </c>
      <c r="AY221" s="493">
        <v>8</v>
      </c>
      <c r="AZ221" s="480">
        <f ca="1">IF(AND(L221="",H221=""),"",IF(BA221=4,VLOOKUP(AY221,'TABLA (2)'!$A$74:$C$89,2),IF(BA221=5,VLOOKUP(AY221,'TABLA (2)'!$A$51:$B$66,2),IF(BA221=6,VLOOKUP(AY221,'TABLA (2)'!$A$9:$B$43,2)))))</f>
        <v>200</v>
      </c>
      <c r="BA221" s="493">
        <v>6</v>
      </c>
      <c r="BB221" s="478">
        <f>IF(OR(C221="",D221=""),"",VLOOKUP(C221,'Base de Diseño (2)'!$A$2:$D$330,4,FALSE))</f>
        <v>983.04160000000002</v>
      </c>
      <c r="BC221" s="478">
        <f>IF(OR(C221="",D221=""),"",VLOOKUP(D221,'Base de Diseño (2)'!$A$2:$D$330,4,FALSE))</f>
        <v>983.04160000000002</v>
      </c>
      <c r="BD221" s="23">
        <f t="shared" ca="1" si="558"/>
        <v>1.3630000000000226</v>
      </c>
      <c r="BE221" s="23">
        <f t="shared" ca="1" si="559"/>
        <v>0.56299999999995454</v>
      </c>
      <c r="BF221" s="494">
        <v>1.6000000000000227</v>
      </c>
      <c r="BG221" s="494">
        <v>0.79999999999995453</v>
      </c>
      <c r="BH221" s="495">
        <f t="shared" si="560"/>
        <v>981.44159999999999</v>
      </c>
      <c r="BI221" s="495">
        <f t="shared" si="560"/>
        <v>982.24160000000006</v>
      </c>
      <c r="BJ221" s="468">
        <f t="shared" si="561"/>
        <v>0</v>
      </c>
      <c r="BK221" s="475">
        <f t="shared" si="562"/>
        <v>0</v>
      </c>
      <c r="BL221" s="475">
        <f t="shared" si="563"/>
        <v>-43.478260869568928</v>
      </c>
      <c r="BM221" s="475" t="e">
        <f t="shared" ca="1" si="564"/>
        <v>#NUM!</v>
      </c>
      <c r="BN221" s="475" t="e">
        <f t="shared" ca="1" si="565"/>
        <v>#NUM!</v>
      </c>
      <c r="BO221" s="204" t="e">
        <f t="shared" ca="1" si="566"/>
        <v>#NUM!</v>
      </c>
      <c r="BP221" s="496" t="e">
        <f t="shared" ca="1" si="567"/>
        <v>#NUM!</v>
      </c>
      <c r="BQ221" s="497" t="e">
        <f t="shared" ca="1" si="568"/>
        <v>#NUM!</v>
      </c>
      <c r="BR221" s="497" t="e">
        <f t="shared" ca="1" si="569"/>
        <v>#NUM!</v>
      </c>
      <c r="BS221" s="475" t="e">
        <f t="shared" ca="1" si="570"/>
        <v>#NUM!</v>
      </c>
      <c r="BT221" s="475" t="e">
        <f t="shared" ca="1" si="571"/>
        <v>#NUM!</v>
      </c>
      <c r="BU221" s="475" t="e">
        <f t="shared" ca="1" si="572"/>
        <v>#NUM!</v>
      </c>
      <c r="BV221" s="475" t="e">
        <f t="shared" ca="1" si="573"/>
        <v>#NUM!</v>
      </c>
      <c r="BW221" s="475" t="e">
        <f t="shared" ca="1" si="574"/>
        <v>#NUM!</v>
      </c>
      <c r="BX221" s="475" t="e">
        <f t="shared" ca="1" si="575"/>
        <v>#NUM!</v>
      </c>
      <c r="BY221" s="475" t="e">
        <f t="shared" ca="1" si="576"/>
        <v>#NUM!</v>
      </c>
      <c r="BZ221" s="475" t="e">
        <f t="shared" ca="1" si="577"/>
        <v>#NUM!</v>
      </c>
      <c r="CA221" s="471" t="e">
        <f t="shared" ca="1" si="578"/>
        <v>#NUM!</v>
      </c>
      <c r="CB221" s="471" t="e">
        <f t="shared" ca="1" si="579"/>
        <v>#NUM!</v>
      </c>
      <c r="CC221" s="471" t="e">
        <f t="shared" ca="1" si="524"/>
        <v>#NUM!</v>
      </c>
      <c r="CD221" s="471" t="e">
        <f t="shared" ca="1" si="580"/>
        <v>#NUM!</v>
      </c>
      <c r="CE221" s="471" t="e">
        <f t="shared" ca="1" si="581"/>
        <v>#NUM!</v>
      </c>
      <c r="CF221" s="471" t="e">
        <f t="shared" ca="1" si="582"/>
        <v>#NUM!</v>
      </c>
      <c r="CG221" s="471" t="e">
        <f t="shared" ca="1" si="583"/>
        <v>#NUM!</v>
      </c>
      <c r="CH221" s="471" t="e">
        <f t="shared" ca="1" si="584"/>
        <v>#NUM!</v>
      </c>
      <c r="CI221" s="471" t="e">
        <f t="shared" ca="1" si="585"/>
        <v>#NUM!</v>
      </c>
      <c r="CJ221" s="471" t="e">
        <f t="shared" ca="1" si="586"/>
        <v>#NUM!</v>
      </c>
      <c r="CK221" s="468">
        <f t="shared" si="587"/>
        <v>0</v>
      </c>
      <c r="CL221" s="482" t="s">
        <v>2507</v>
      </c>
      <c r="CM221" s="482"/>
      <c r="CN221" s="63" t="str">
        <f t="shared" si="588"/>
        <v xml:space="preserve"> </v>
      </c>
      <c r="CO221" s="498">
        <f t="shared" si="589"/>
        <v>1.84</v>
      </c>
      <c r="CP221" s="472">
        <f t="shared" si="590"/>
        <v>0</v>
      </c>
      <c r="CQ221" s="482" t="s">
        <v>2508</v>
      </c>
      <c r="CR221" s="204">
        <f t="shared" si="591"/>
        <v>1.84</v>
      </c>
      <c r="CS221" s="486">
        <v>1.2</v>
      </c>
      <c r="CT221" s="486">
        <v>1.2</v>
      </c>
      <c r="CU221" s="23">
        <f t="shared" si="592"/>
        <v>2.0063897926375396</v>
      </c>
      <c r="CV221" s="499" t="s">
        <v>2509</v>
      </c>
      <c r="CW221" s="488" t="str">
        <f t="shared" ca="1" si="593"/>
        <v>E2</v>
      </c>
      <c r="CX221" s="204">
        <f ca="1">IF(AND(L221="",H221=""),"",IF(AND(BA221&lt;&gt;4,BA221&lt;&gt;5),VLOOKUP(AY221,'TABLA (2)'!$A$9:$D$43,4),IF(BA221=4,VLOOKUP(AY221,'TABLA (2)'!$A$74:$D$89,4),VLOOKUP(AY221,'TABLA (2)'!$A$51:$D$66,4))))</f>
        <v>3.6999999999999998E-2</v>
      </c>
      <c r="CY221" s="482"/>
      <c r="CZ221" s="482"/>
      <c r="DA221" s="482"/>
      <c r="DB221" s="490"/>
    </row>
    <row r="222" spans="1:106" ht="15" hidden="1" customHeight="1">
      <c r="A222" s="465">
        <f t="shared" si="594"/>
        <v>143</v>
      </c>
      <c r="B222" s="491"/>
      <c r="C222" s="466" t="s">
        <v>2192</v>
      </c>
      <c r="D222" s="466" t="s">
        <v>2193</v>
      </c>
      <c r="E222" s="468">
        <v>0.1274027626</v>
      </c>
      <c r="F222" s="468"/>
      <c r="G222" s="468">
        <f t="shared" si="528"/>
        <v>0.13588298170000002</v>
      </c>
      <c r="H222" s="468">
        <f t="shared" si="529"/>
        <v>0.26328574430000001</v>
      </c>
      <c r="I222" s="468">
        <v>0.1274027626</v>
      </c>
      <c r="J222" s="468"/>
      <c r="K222" s="467">
        <f t="shared" ca="1" si="530"/>
        <v>0.13588298170000002</v>
      </c>
      <c r="L222" s="468">
        <f t="shared" ca="1" si="531"/>
        <v>0.26328574430000001</v>
      </c>
      <c r="M222" s="469">
        <f t="shared" si="532"/>
        <v>242.33666300502347</v>
      </c>
      <c r="N222" s="470">
        <f t="shared" si="533"/>
        <v>30.874360346105206</v>
      </c>
      <c r="O222" s="470">
        <f t="shared" si="534"/>
        <v>0</v>
      </c>
      <c r="P222" s="470">
        <f t="shared" si="535"/>
        <v>63.803788690455882</v>
      </c>
      <c r="Q222" s="469">
        <f t="shared" si="536"/>
        <v>140</v>
      </c>
      <c r="R222" s="471">
        <f t="shared" si="537"/>
        <v>8.7877903404678812E-2</v>
      </c>
      <c r="S222" s="471"/>
      <c r="T222" s="471"/>
      <c r="U222" s="471">
        <f t="shared" si="538"/>
        <v>0</v>
      </c>
      <c r="V222" s="471"/>
      <c r="W222" s="471"/>
      <c r="X222" s="471">
        <f t="shared" si="539"/>
        <v>0</v>
      </c>
      <c r="Y222" s="471">
        <f t="shared" si="540"/>
        <v>5.2657148860000003E-2</v>
      </c>
      <c r="Z222" s="471">
        <f t="shared" ca="1" si="541"/>
        <v>0</v>
      </c>
      <c r="AA222" s="471">
        <f t="shared" si="527"/>
        <v>3.8</v>
      </c>
      <c r="AB222" s="471">
        <f t="shared" si="542"/>
        <v>0.33393603293777946</v>
      </c>
      <c r="AC222" s="471">
        <f t="shared" si="543"/>
        <v>4.2523713902621753E-2</v>
      </c>
      <c r="AD222" s="471">
        <f t="shared" si="544"/>
        <v>2.5480552520000001E-2</v>
      </c>
      <c r="AE222" s="471">
        <f t="shared" si="544"/>
        <v>0</v>
      </c>
      <c r="AF222" s="510">
        <f t="shared" si="518"/>
        <v>3.8</v>
      </c>
      <c r="AG222" s="471">
        <f t="shared" si="545"/>
        <v>0.16159011282996266</v>
      </c>
      <c r="AH222" s="471">
        <f t="shared" si="546"/>
        <v>0.18707066534996267</v>
      </c>
      <c r="AI222" s="471">
        <f t="shared" ca="1" si="547"/>
        <v>1.5</v>
      </c>
      <c r="AJ222" s="471">
        <f t="shared" si="548"/>
        <v>0.75</v>
      </c>
      <c r="AK222" s="472">
        <f t="shared" si="549"/>
        <v>3.3607169529511509E-3</v>
      </c>
      <c r="AL222" s="471">
        <f t="shared" si="550"/>
        <v>0.62766803584764763</v>
      </c>
      <c r="AM222" s="473">
        <f t="shared" si="522"/>
        <v>334.75493525771429</v>
      </c>
      <c r="AN222" s="474">
        <f t="shared" si="523"/>
        <v>10.010222222222222</v>
      </c>
      <c r="AO222" s="474">
        <f t="shared" si="551"/>
        <v>0.14877777777777779</v>
      </c>
      <c r="AP222" s="474">
        <f t="shared" si="552"/>
        <v>10.158999999999999</v>
      </c>
      <c r="AQ222" s="475">
        <v>3</v>
      </c>
      <c r="AR222" s="474">
        <f t="shared" ca="1" si="553"/>
        <v>0.31459231196340171</v>
      </c>
      <c r="AS222" s="474">
        <f t="shared" ca="1" si="554"/>
        <v>0.47292248449824148</v>
      </c>
      <c r="AT222" s="471" t="str">
        <f t="shared" ca="1" si="555"/>
        <v>Disminuir vel.</v>
      </c>
      <c r="AU222" s="492">
        <f t="shared" si="556"/>
        <v>26.769227986051526</v>
      </c>
      <c r="AV222" s="471">
        <f t="shared" ca="1" si="557"/>
        <v>55.320276976819393</v>
      </c>
      <c r="AW222" s="510">
        <f t="shared" ca="1" si="516"/>
        <v>55.32</v>
      </c>
      <c r="AX222" s="478">
        <f>IF(OR(C222="",D222=""),"",ROUND(((VLOOKUP(C222,'Base de Diseño (2)'!$A$2:$C$333,2,FALSE)-VLOOKUP(D222,'Base de Diseño (2)'!$A$2:$C$333,2,FALSE))^2+(VLOOKUP(C222,'Base de Diseño (2)'!$A$2:$C$333,3,0)-VLOOKUP(D222,'Base de Diseño (2)'!$A$2:$C$333,3,FALSE))^2)^0.5,2))</f>
        <v>26.78</v>
      </c>
      <c r="AY222" s="493">
        <v>8</v>
      </c>
      <c r="AZ222" s="480">
        <f ca="1">IF(AND(L222="",H222=""),"",IF(BA222=4,VLOOKUP(AY222,'TABLA (2)'!$A$74:$C$89,2),IF(BA222=5,VLOOKUP(AY222,'TABLA (2)'!$A$51:$B$66,2),IF(BA222=6,VLOOKUP(AY222,'TABLA (2)'!$A$9:$B$43,2)))))</f>
        <v>200</v>
      </c>
      <c r="BA222" s="493">
        <v>6</v>
      </c>
      <c r="BB222" s="478">
        <f>IF(OR(C222="",D222=""),"",VLOOKUP(C222,'Base de Diseño (2)'!$A$2:$D$330,4,FALSE))</f>
        <v>983.04160000000002</v>
      </c>
      <c r="BC222" s="478">
        <f>IF(OR(C222="",D222=""),"",VLOOKUP(D222,'Base de Diseño (2)'!$A$2:$D$330,4,FALSE))</f>
        <v>983.13160000000005</v>
      </c>
      <c r="BD222" s="23">
        <f t="shared" ca="1" si="558"/>
        <v>0.56299999999995454</v>
      </c>
      <c r="BE222" s="23">
        <f t="shared" ca="1" si="559"/>
        <v>1.0129999999999999</v>
      </c>
      <c r="BF222" s="494">
        <v>0.79999999999995453</v>
      </c>
      <c r="BG222" s="494">
        <v>1.25</v>
      </c>
      <c r="BH222" s="495">
        <f t="shared" si="560"/>
        <v>982.24160000000006</v>
      </c>
      <c r="BI222" s="495">
        <f t="shared" si="560"/>
        <v>981.88160000000005</v>
      </c>
      <c r="BJ222" s="468">
        <f t="shared" si="561"/>
        <v>1.999999999998181E-2</v>
      </c>
      <c r="BK222" s="475">
        <f t="shared" si="562"/>
        <v>0.3360716952951151</v>
      </c>
      <c r="BL222" s="475">
        <f t="shared" si="563"/>
        <v>1.3442867811800361</v>
      </c>
      <c r="BM222" s="475">
        <f t="shared" ca="1" si="564"/>
        <v>1.2104567631540704</v>
      </c>
      <c r="BN222" s="475">
        <f t="shared" ca="1" si="565"/>
        <v>38.027620746129088</v>
      </c>
      <c r="BO222" s="204">
        <f t="shared" ca="1" si="566"/>
        <v>3.9445013139631883E-2</v>
      </c>
      <c r="BP222" s="496">
        <f t="shared" ca="1" si="567"/>
        <v>1.4547320845896239</v>
      </c>
      <c r="BQ222" s="497">
        <f t="shared" ca="1" si="568"/>
        <v>0.41812862758924035</v>
      </c>
      <c r="BR222" s="497">
        <f t="shared" ca="1" si="569"/>
        <v>1.1720926320390508</v>
      </c>
      <c r="BS222" s="475">
        <f t="shared" ca="1" si="570"/>
        <v>0.50612662513372564</v>
      </c>
      <c r="BT222" s="475">
        <f t="shared" ca="1" si="571"/>
        <v>1.4187674534947243</v>
      </c>
      <c r="BU222" s="475">
        <f t="shared" ca="1" si="572"/>
        <v>0.17418132661870495</v>
      </c>
      <c r="BV222" s="475" t="str">
        <f t="shared" ca="1" si="573"/>
        <v xml:space="preserve"> </v>
      </c>
      <c r="BW222" s="475">
        <f t="shared" ca="1" si="574"/>
        <v>1.7221106184493038</v>
      </c>
      <c r="BX222" s="475" t="e">
        <f t="shared" ca="1" si="575"/>
        <v>#VALUE!</v>
      </c>
      <c r="BY222" s="475">
        <f t="shared" ca="1" si="576"/>
        <v>0.10648804900676823</v>
      </c>
      <c r="BZ222" s="475" t="e">
        <f t="shared" ca="1" si="577"/>
        <v>#VALUE!</v>
      </c>
      <c r="CA222" s="471">
        <f t="shared" ca="1" si="578"/>
        <v>2.1297609801353645E-2</v>
      </c>
      <c r="CB222" s="471" t="e">
        <f t="shared" ca="1" si="579"/>
        <v>#VALUE!</v>
      </c>
      <c r="CC222" s="471" t="e">
        <f t="shared" ca="1" si="524"/>
        <v>#VALUE!</v>
      </c>
      <c r="CD222" s="471" t="e">
        <f t="shared" ca="1" si="580"/>
        <v>#VALUE!</v>
      </c>
      <c r="CE222" s="471">
        <f t="shared" ca="1" si="581"/>
        <v>0.2863009532669008</v>
      </c>
      <c r="CF222" s="471" t="e">
        <f t="shared" ca="1" si="582"/>
        <v>#VALUE!</v>
      </c>
      <c r="CG222" s="471" t="str">
        <f t="shared" ca="1" si="583"/>
        <v>O.K</v>
      </c>
      <c r="CH222" s="471" t="str">
        <f t="shared" ca="1" si="584"/>
        <v>O.K</v>
      </c>
      <c r="CI222" s="471" t="str">
        <f t="shared" ca="1" si="585"/>
        <v>OK</v>
      </c>
      <c r="CJ222" s="471" t="e">
        <f t="shared" ca="1" si="586"/>
        <v>#VALUE!</v>
      </c>
      <c r="CK222" s="468">
        <f t="shared" si="587"/>
        <v>1.999999999998181E-2</v>
      </c>
      <c r="CL222" s="482" t="s">
        <v>2507</v>
      </c>
      <c r="CM222" s="482"/>
      <c r="CN222" s="63" t="str">
        <f t="shared" si="588"/>
        <v xml:space="preserve"> </v>
      </c>
      <c r="CO222" s="498">
        <f t="shared" si="589"/>
        <v>26.78</v>
      </c>
      <c r="CP222" s="472">
        <f t="shared" si="590"/>
        <v>3.3607169529511509E-3</v>
      </c>
      <c r="CQ222" s="482" t="s">
        <v>2508</v>
      </c>
      <c r="CR222" s="204">
        <f t="shared" si="591"/>
        <v>26.78</v>
      </c>
      <c r="CS222" s="486">
        <v>1.2</v>
      </c>
      <c r="CT222" s="486">
        <v>1.2</v>
      </c>
      <c r="CU222" s="23">
        <f t="shared" si="592"/>
        <v>26.782419606898852</v>
      </c>
      <c r="CV222" s="499" t="s">
        <v>2509</v>
      </c>
      <c r="CW222" s="488" t="str">
        <f t="shared" ca="1" si="593"/>
        <v>E1</v>
      </c>
      <c r="CX222" s="204">
        <f ca="1">IF(AND(L222="",H222=""),"",IF(AND(BA222&lt;&gt;4,BA222&lt;&gt;5),VLOOKUP(AY222,'TABLA (2)'!$A$9:$D$43,4),IF(BA222=4,VLOOKUP(AY222,'TABLA (2)'!$A$74:$D$89,4),VLOOKUP(AY222,'TABLA (2)'!$A$51:$D$66,4))))</f>
        <v>3.6999999999999998E-2</v>
      </c>
      <c r="CY222" s="482"/>
      <c r="CZ222" s="482"/>
      <c r="DA222" s="482"/>
      <c r="DB222" s="490"/>
    </row>
    <row r="223" spans="1:106" ht="15" hidden="1" customHeight="1">
      <c r="A223" s="465">
        <f t="shared" si="594"/>
        <v>144</v>
      </c>
      <c r="B223" s="491"/>
      <c r="C223" s="466" t="s">
        <v>2193</v>
      </c>
      <c r="D223" s="466" t="s">
        <v>2194</v>
      </c>
      <c r="E223" s="468">
        <v>0.12698865549999999</v>
      </c>
      <c r="F223" s="468"/>
      <c r="G223" s="468">
        <f t="shared" si="528"/>
        <v>0.40666595770000002</v>
      </c>
      <c r="H223" s="468">
        <f t="shared" si="529"/>
        <v>0.53365461319999996</v>
      </c>
      <c r="I223" s="468">
        <v>0.12698865549999999</v>
      </c>
      <c r="J223" s="468"/>
      <c r="K223" s="467">
        <f t="shared" ca="1" si="530"/>
        <v>0.40666595770000002</v>
      </c>
      <c r="L223" s="468">
        <f t="shared" ca="1" si="531"/>
        <v>0.53365461319999996</v>
      </c>
      <c r="M223" s="469">
        <f t="shared" si="532"/>
        <v>242.33666300502347</v>
      </c>
      <c r="N223" s="470">
        <f t="shared" si="533"/>
        <v>30.774007013364518</v>
      </c>
      <c r="O223" s="470">
        <f t="shared" si="534"/>
        <v>0</v>
      </c>
      <c r="P223" s="470">
        <f t="shared" si="535"/>
        <v>129.32407816012454</v>
      </c>
      <c r="Q223" s="469">
        <f t="shared" si="536"/>
        <v>140</v>
      </c>
      <c r="R223" s="471">
        <f t="shared" si="537"/>
        <v>0.17811996876220859</v>
      </c>
      <c r="S223" s="471"/>
      <c r="T223" s="471"/>
      <c r="U223" s="471">
        <f t="shared" si="538"/>
        <v>0</v>
      </c>
      <c r="V223" s="471"/>
      <c r="W223" s="471"/>
      <c r="X223" s="471">
        <f t="shared" si="539"/>
        <v>0</v>
      </c>
      <c r="Y223" s="471">
        <f t="shared" si="540"/>
        <v>0.10673092264</v>
      </c>
      <c r="Z223" s="471">
        <f t="shared" ca="1" si="541"/>
        <v>0</v>
      </c>
      <c r="AA223" s="471">
        <f t="shared" si="527"/>
        <v>3.8</v>
      </c>
      <c r="AB223" s="471">
        <f t="shared" si="542"/>
        <v>0.67685588129639263</v>
      </c>
      <c r="AC223" s="471">
        <f t="shared" si="543"/>
        <v>4.2385495770721968E-2</v>
      </c>
      <c r="AD223" s="471">
        <f t="shared" si="544"/>
        <v>2.5397731100000001E-2</v>
      </c>
      <c r="AE223" s="471">
        <f t="shared" si="544"/>
        <v>0</v>
      </c>
      <c r="AF223" s="510">
        <f t="shared" si="518"/>
        <v>3.8</v>
      </c>
      <c r="AG223" s="471">
        <f t="shared" si="545"/>
        <v>0.16106488392874346</v>
      </c>
      <c r="AH223" s="471">
        <f t="shared" si="546"/>
        <v>0.18646261502874345</v>
      </c>
      <c r="AI223" s="471">
        <f t="shared" ca="1" si="547"/>
        <v>1.5</v>
      </c>
      <c r="AJ223" s="471">
        <f t="shared" si="548"/>
        <v>0.75</v>
      </c>
      <c r="AK223" s="472">
        <f t="shared" si="549"/>
        <v>6.4501779359447797E-3</v>
      </c>
      <c r="AL223" s="471">
        <f t="shared" si="550"/>
        <v>0.62782250889679725</v>
      </c>
      <c r="AM223" s="473">
        <f t="shared" si="522"/>
        <v>332.3148993109105</v>
      </c>
      <c r="AN223" s="474">
        <f t="shared" si="523"/>
        <v>10.158999999999999</v>
      </c>
      <c r="AO223" s="474">
        <f t="shared" si="551"/>
        <v>0.24977777777777777</v>
      </c>
      <c r="AP223" s="474">
        <f t="shared" si="552"/>
        <v>10.408777777777777</v>
      </c>
      <c r="AQ223" s="475">
        <v>3</v>
      </c>
      <c r="AR223" s="474" t="e">
        <f t="shared" ca="1" si="553"/>
        <v>#VALUE!</v>
      </c>
      <c r="AS223" s="474" t="e">
        <f t="shared" ca="1" si="554"/>
        <v>#VALUE!</v>
      </c>
      <c r="AT223" s="471" t="e">
        <f t="shared" ca="1" si="555"/>
        <v>#VALUE!</v>
      </c>
      <c r="AU223" s="492">
        <f t="shared" si="556"/>
        <v>26.494249419111917</v>
      </c>
      <c r="AV223" s="471">
        <f t="shared" ca="1" si="557"/>
        <v>111.33890952787112</v>
      </c>
      <c r="AW223" s="510">
        <f t="shared" ca="1" si="516"/>
        <v>111.34</v>
      </c>
      <c r="AX223" s="478">
        <f>IF(OR(C223="",D223=""),"",ROUND(((VLOOKUP(C223,'Base de Diseño (2)'!$A$2:$C$333,2,FALSE)-VLOOKUP(D223,'Base de Diseño (2)'!$A$2:$C$333,2,FALSE))^2+(VLOOKUP(C223,'Base de Diseño (2)'!$A$2:$C$333,3,0)-VLOOKUP(D223,'Base de Diseño (2)'!$A$2:$C$333,3,FALSE))^2)^0.5,2))</f>
        <v>44.96</v>
      </c>
      <c r="AY223" s="493">
        <v>8</v>
      </c>
      <c r="AZ223" s="480">
        <f ca="1">IF(AND(L223="",H223=""),"",IF(BA223=4,VLOOKUP(AY223,'TABLA (2)'!$A$74:$C$89,2),IF(BA223=5,VLOOKUP(AY223,'TABLA (2)'!$A$51:$B$66,2),IF(BA223=6,VLOOKUP(AY223,'TABLA (2)'!$A$9:$B$43,2)))))</f>
        <v>200</v>
      </c>
      <c r="BA223" s="493">
        <v>6</v>
      </c>
      <c r="BB223" s="478">
        <f>IF(OR(C223="",D223=""),"",VLOOKUP(C223,'Base de Diseño (2)'!$A$2:$D$330,4,FALSE))</f>
        <v>983.13160000000005</v>
      </c>
      <c r="BC223" s="478">
        <f>IF(OR(C223="",D223=""),"",VLOOKUP(D223,'Base de Diseño (2)'!$A$2:$D$330,4,FALSE))</f>
        <v>982.84159999999997</v>
      </c>
      <c r="BD223" s="23">
        <f t="shared" ca="1" si="558"/>
        <v>1.0329999999999817</v>
      </c>
      <c r="BE223" s="23">
        <f t="shared" ca="1" si="559"/>
        <v>1.3630000000000226</v>
      </c>
      <c r="BF223" s="494">
        <v>1.2699999999999818</v>
      </c>
      <c r="BG223" s="494">
        <v>1.6000000000000227</v>
      </c>
      <c r="BH223" s="495">
        <f t="shared" si="560"/>
        <v>981.86160000000007</v>
      </c>
      <c r="BI223" s="495">
        <f t="shared" si="560"/>
        <v>981.24159999999995</v>
      </c>
      <c r="BJ223" s="468">
        <f t="shared" si="561"/>
        <v>0</v>
      </c>
      <c r="BK223" s="475">
        <f t="shared" si="562"/>
        <v>0.64501779359447797</v>
      </c>
      <c r="BL223" s="475">
        <f t="shared" si="563"/>
        <v>1.3790035587191241</v>
      </c>
      <c r="BM223" s="475">
        <f t="shared" ca="1" si="564"/>
        <v>1.2259874111367584</v>
      </c>
      <c r="BN223" s="475">
        <f t="shared" ca="1" si="565"/>
        <v>38.515530442208096</v>
      </c>
      <c r="BO223" s="204">
        <f t="shared" ca="1" si="566"/>
        <v>3.8945328878456566E-2</v>
      </c>
      <c r="BP223" s="496">
        <f t="shared" ca="1" si="567"/>
        <v>2.8907819448849028</v>
      </c>
      <c r="BQ223" s="497">
        <f t="shared" ca="1" si="568"/>
        <v>0.41658055241275332</v>
      </c>
      <c r="BR223" s="497" t="str">
        <f t="shared" ca="1" si="569"/>
        <v xml:space="preserve"> </v>
      </c>
      <c r="BS223" s="475">
        <f t="shared" ca="1" si="570"/>
        <v>0.5107225129824321</v>
      </c>
      <c r="BT223" s="475" t="e">
        <f t="shared" ca="1" si="571"/>
        <v>#VALUE!</v>
      </c>
      <c r="BU223" s="475">
        <f t="shared" ca="1" si="572"/>
        <v>0.1733590296228531</v>
      </c>
      <c r="BV223" s="475" t="str">
        <f t="shared" ca="1" si="573"/>
        <v xml:space="preserve"> </v>
      </c>
      <c r="BW223" s="475">
        <f t="shared" ca="1" si="574"/>
        <v>1.7177703067674162</v>
      </c>
      <c r="BX223" s="475" t="e">
        <f t="shared" ca="1" si="575"/>
        <v>#VALUE!</v>
      </c>
      <c r="BY223" s="475">
        <f t="shared" ca="1" si="576"/>
        <v>0.10603157343769848</v>
      </c>
      <c r="BZ223" s="475" t="e">
        <f t="shared" ca="1" si="577"/>
        <v>#VALUE!</v>
      </c>
      <c r="CA223" s="471">
        <f t="shared" ca="1" si="578"/>
        <v>2.1206314687539696E-2</v>
      </c>
      <c r="CB223" s="471" t="e">
        <f t="shared" ca="1" si="579"/>
        <v>#VALUE!</v>
      </c>
      <c r="CC223" s="471" t="e">
        <f t="shared" ca="1" si="524"/>
        <v>#VALUE!</v>
      </c>
      <c r="CD223" s="471" t="e">
        <f t="shared" ca="1" si="580"/>
        <v>#VALUE!</v>
      </c>
      <c r="CE223" s="471">
        <f t="shared" ca="1" si="581"/>
        <v>0.29243583421434871</v>
      </c>
      <c r="CF223" s="471" t="e">
        <f t="shared" ca="1" si="582"/>
        <v>#VALUE!</v>
      </c>
      <c r="CG223" s="471" t="str">
        <f t="shared" ca="1" si="583"/>
        <v>O.K</v>
      </c>
      <c r="CH223" s="471" t="e">
        <f t="shared" ca="1" si="584"/>
        <v>#VALUE!</v>
      </c>
      <c r="CI223" s="471" t="str">
        <f t="shared" ca="1" si="585"/>
        <v>OK</v>
      </c>
      <c r="CJ223" s="471" t="e">
        <f t="shared" ca="1" si="586"/>
        <v>#VALUE!</v>
      </c>
      <c r="CK223" s="468">
        <f t="shared" si="587"/>
        <v>0</v>
      </c>
      <c r="CL223" s="482" t="s">
        <v>2507</v>
      </c>
      <c r="CM223" s="482"/>
      <c r="CN223" s="63" t="str">
        <f t="shared" si="588"/>
        <v xml:space="preserve"> </v>
      </c>
      <c r="CO223" s="498">
        <f t="shared" si="589"/>
        <v>44.96</v>
      </c>
      <c r="CP223" s="472">
        <f t="shared" si="590"/>
        <v>6.4501779359447797E-3</v>
      </c>
      <c r="CQ223" s="482" t="s">
        <v>2508</v>
      </c>
      <c r="CR223" s="204">
        <f t="shared" si="591"/>
        <v>44.96</v>
      </c>
      <c r="CS223" s="486">
        <v>1.2</v>
      </c>
      <c r="CT223" s="486">
        <v>1.2</v>
      </c>
      <c r="CU223" s="23">
        <f t="shared" si="592"/>
        <v>44.964274707816649</v>
      </c>
      <c r="CV223" s="499" t="s">
        <v>2509</v>
      </c>
      <c r="CW223" s="488" t="str">
        <f t="shared" ca="1" si="593"/>
        <v>E2</v>
      </c>
      <c r="CX223" s="204">
        <f ca="1">IF(AND(L223="",H223=""),"",IF(AND(BA223&lt;&gt;4,BA223&lt;&gt;5),VLOOKUP(AY223,'TABLA (2)'!$A$9:$D$43,4),IF(BA223=4,VLOOKUP(AY223,'TABLA (2)'!$A$74:$D$89,4),VLOOKUP(AY223,'TABLA (2)'!$A$51:$D$66,4))))</f>
        <v>3.6999999999999998E-2</v>
      </c>
      <c r="CY223" s="482"/>
      <c r="CZ223" s="482"/>
      <c r="DA223" s="482"/>
      <c r="DB223" s="490"/>
    </row>
    <row r="224" spans="1:106" ht="15" hidden="1" customHeight="1">
      <c r="A224" s="465">
        <f t="shared" si="594"/>
        <v>145</v>
      </c>
      <c r="B224" s="491"/>
      <c r="C224" s="466" t="s">
        <v>2194</v>
      </c>
      <c r="D224" s="466" t="s">
        <v>2222</v>
      </c>
      <c r="E224" s="468">
        <v>0.1011527143</v>
      </c>
      <c r="F224" s="468"/>
      <c r="G224" s="468">
        <f t="shared" si="528"/>
        <v>0.65987374679999999</v>
      </c>
      <c r="H224" s="468">
        <f t="shared" si="529"/>
        <v>0.76102646109999994</v>
      </c>
      <c r="I224" s="468">
        <v>0.1011527143</v>
      </c>
      <c r="J224" s="468"/>
      <c r="K224" s="467">
        <f t="shared" ca="1" si="530"/>
        <v>0.65987374679999999</v>
      </c>
      <c r="L224" s="468">
        <f t="shared" ca="1" si="531"/>
        <v>0.76102646109999994</v>
      </c>
      <c r="M224" s="469">
        <f t="shared" si="532"/>
        <v>242.33666300502347</v>
      </c>
      <c r="N224" s="470">
        <f t="shared" si="533"/>
        <v>24.51301123736252</v>
      </c>
      <c r="O224" s="470">
        <f t="shared" si="534"/>
        <v>0</v>
      </c>
      <c r="P224" s="470">
        <f t="shared" si="535"/>
        <v>184.42461304149629</v>
      </c>
      <c r="Q224" s="469">
        <f t="shared" si="536"/>
        <v>140</v>
      </c>
      <c r="R224" s="471">
        <f t="shared" si="537"/>
        <v>0.25401075175854237</v>
      </c>
      <c r="S224" s="471"/>
      <c r="T224" s="471"/>
      <c r="U224" s="471">
        <f t="shared" si="538"/>
        <v>0</v>
      </c>
      <c r="V224" s="471"/>
      <c r="W224" s="471"/>
      <c r="X224" s="471">
        <f t="shared" si="539"/>
        <v>0</v>
      </c>
      <c r="Y224" s="471">
        <f t="shared" si="540"/>
        <v>0.15220529222000001</v>
      </c>
      <c r="Z224" s="471">
        <f t="shared" ca="1" si="541"/>
        <v>0</v>
      </c>
      <c r="AA224" s="471">
        <f t="shared" si="527"/>
        <v>3.8</v>
      </c>
      <c r="AB224" s="471">
        <f t="shared" si="542"/>
        <v>0.96524085668246096</v>
      </c>
      <c r="AC224" s="471">
        <f t="shared" si="543"/>
        <v>3.3762133532941427E-2</v>
      </c>
      <c r="AD224" s="471">
        <f t="shared" si="544"/>
        <v>2.0230542860000002E-2</v>
      </c>
      <c r="AE224" s="471">
        <f t="shared" si="544"/>
        <v>0</v>
      </c>
      <c r="AF224" s="510">
        <f t="shared" si="518"/>
        <v>3.8</v>
      </c>
      <c r="AG224" s="471">
        <f t="shared" si="545"/>
        <v>0.12829610742517741</v>
      </c>
      <c r="AH224" s="471">
        <f t="shared" si="546"/>
        <v>0.14852665028517742</v>
      </c>
      <c r="AI224" s="471">
        <f t="shared" ca="1" si="547"/>
        <v>1.5</v>
      </c>
      <c r="AJ224" s="471">
        <f t="shared" si="548"/>
        <v>0.75</v>
      </c>
      <c r="AK224" s="472">
        <f t="shared" si="549"/>
        <v>9.9009900990077188E-3</v>
      </c>
      <c r="AL224" s="471">
        <f t="shared" si="550"/>
        <v>0.62799504950495044</v>
      </c>
      <c r="AM224" s="473">
        <f t="shared" si="522"/>
        <v>330.52792294569286</v>
      </c>
      <c r="AN224" s="474">
        <f t="shared" si="523"/>
        <v>10.408777777777777</v>
      </c>
      <c r="AO224" s="474">
        <f t="shared" si="551"/>
        <v>0.18516666666666667</v>
      </c>
      <c r="AP224" s="474">
        <f t="shared" si="552"/>
        <v>10.593944444444444</v>
      </c>
      <c r="AQ224" s="475">
        <v>3</v>
      </c>
      <c r="AR224" s="474" t="e">
        <f t="shared" ca="1" si="553"/>
        <v>#VALUE!</v>
      </c>
      <c r="AS224" s="474" t="e">
        <f t="shared" ca="1" si="554"/>
        <v>#VALUE!</v>
      </c>
      <c r="AT224" s="471" t="e">
        <f t="shared" ca="1" si="555"/>
        <v>#VALUE!</v>
      </c>
      <c r="AU224" s="492">
        <f t="shared" si="556"/>
        <v>20.996258724515648</v>
      </c>
      <c r="AV224" s="471">
        <f t="shared" ca="1" si="557"/>
        <v>157.96618592031339</v>
      </c>
      <c r="AW224" s="510">
        <f t="shared" ca="1" si="516"/>
        <v>157.97</v>
      </c>
      <c r="AX224" s="478">
        <f>IF(OR(C224="",D224=""),"",ROUND(((VLOOKUP(C224,'Base de Diseño (2)'!$A$2:$C$333,2,FALSE)-VLOOKUP(D224,'Base de Diseño (2)'!$A$2:$C$333,2,FALSE))^2+(VLOOKUP(C224,'Base de Diseño (2)'!$A$2:$C$333,3,0)-VLOOKUP(D224,'Base de Diseño (2)'!$A$2:$C$333,3,FALSE))^2)^0.5,2))</f>
        <v>33.33</v>
      </c>
      <c r="AY224" s="493">
        <v>10</v>
      </c>
      <c r="AZ224" s="480">
        <f ca="1">IF(AND(L224="",H224=""),"",IF(BA224=4,VLOOKUP(AY224,'TABLA (2)'!$A$74:$C$89,2),IF(BA224=5,VLOOKUP(AY224,'TABLA (2)'!$A$51:$B$66,2),IF(BA224=6,VLOOKUP(AY224,'TABLA (2)'!$A$9:$B$43,2)))))</f>
        <v>250</v>
      </c>
      <c r="BA224" s="493">
        <v>6</v>
      </c>
      <c r="BB224" s="478">
        <f>IF(OR(C224="",D224=""),"",VLOOKUP(C224,'Base de Diseño (2)'!$A$2:$D$330,4,FALSE))</f>
        <v>982.84159999999997</v>
      </c>
      <c r="BC224" s="478">
        <f>IF(OR(C224="",D224=""),"",VLOOKUP(D224,'Base de Diseño (2)'!$A$2:$D$330,4,FALSE))</f>
        <v>982.51160000000004</v>
      </c>
      <c r="BD224" s="23">
        <f t="shared" ca="1" si="558"/>
        <v>1.3130000000000228</v>
      </c>
      <c r="BE224" s="23">
        <f t="shared" ca="1" si="559"/>
        <v>1.3529999999999864</v>
      </c>
      <c r="BF224" s="494">
        <v>1.6000000000000227</v>
      </c>
      <c r="BG224" s="494">
        <v>1.6399999999999864</v>
      </c>
      <c r="BH224" s="495">
        <f t="shared" si="560"/>
        <v>981.24159999999995</v>
      </c>
      <c r="BI224" s="495">
        <f t="shared" si="560"/>
        <v>980.87160000000006</v>
      </c>
      <c r="BJ224" s="468">
        <f t="shared" si="561"/>
        <v>0.96000000000003638</v>
      </c>
      <c r="BK224" s="475">
        <f t="shared" si="562"/>
        <v>0.99009900990077193</v>
      </c>
      <c r="BL224" s="475">
        <f t="shared" si="563"/>
        <v>1.1101110111007828</v>
      </c>
      <c r="BM224" s="475">
        <f t="shared" ca="1" si="564"/>
        <v>1.276418816538462</v>
      </c>
      <c r="BN224" s="475">
        <f t="shared" ca="1" si="565"/>
        <v>62.65606213970328</v>
      </c>
      <c r="BO224" s="204">
        <f t="shared" ca="1" si="566"/>
        <v>2.3940221405160646E-2</v>
      </c>
      <c r="BP224" s="496">
        <f t="shared" ca="1" si="567"/>
        <v>2.5212245169154848</v>
      </c>
      <c r="BQ224" s="497">
        <f t="shared" ca="1" si="568"/>
        <v>0.361587441965671</v>
      </c>
      <c r="BR224" s="497" t="str">
        <f t="shared" ca="1" si="569"/>
        <v xml:space="preserve"> </v>
      </c>
      <c r="BS224" s="475">
        <f t="shared" ca="1" si="570"/>
        <v>0.46153701474899161</v>
      </c>
      <c r="BT224" s="475" t="e">
        <f t="shared" ca="1" si="571"/>
        <v>#VALUE!</v>
      </c>
      <c r="BU224" s="475">
        <f t="shared" ca="1" si="572"/>
        <v>0.14197340117893101</v>
      </c>
      <c r="BV224" s="475" t="str">
        <f t="shared" ca="1" si="573"/>
        <v xml:space="preserve"> </v>
      </c>
      <c r="BW224" s="475">
        <f t="shared" ca="1" si="574"/>
        <v>1.5453292102920722</v>
      </c>
      <c r="BX224" s="475" t="e">
        <f t="shared" ca="1" si="575"/>
        <v>#VALUE!</v>
      </c>
      <c r="BY224" s="475">
        <f t="shared" ca="1" si="576"/>
        <v>8.8274633673978448E-2</v>
      </c>
      <c r="BZ224" s="475" t="e">
        <f t="shared" ca="1" si="577"/>
        <v>#VALUE!</v>
      </c>
      <c r="CA224" s="471">
        <f t="shared" ca="1" si="578"/>
        <v>2.2068658418494612E-2</v>
      </c>
      <c r="CB224" s="471" t="e">
        <f t="shared" ca="1" si="579"/>
        <v>#VALUE!</v>
      </c>
      <c r="CC224" s="471" t="e">
        <f t="shared" ca="1" si="524"/>
        <v>#VALUE!</v>
      </c>
      <c r="CD224" s="471" t="e">
        <f t="shared" ca="1" si="580"/>
        <v>#VALUE!</v>
      </c>
      <c r="CE224" s="471">
        <f t="shared" ca="1" si="581"/>
        <v>0.24498660710592859</v>
      </c>
      <c r="CF224" s="471" t="e">
        <f t="shared" ca="1" si="582"/>
        <v>#VALUE!</v>
      </c>
      <c r="CG224" s="471" t="str">
        <f t="shared" ca="1" si="583"/>
        <v>O.K</v>
      </c>
      <c r="CH224" s="471" t="e">
        <f t="shared" ca="1" si="584"/>
        <v>#VALUE!</v>
      </c>
      <c r="CI224" s="471" t="str">
        <f t="shared" ca="1" si="585"/>
        <v>OK</v>
      </c>
      <c r="CJ224" s="471" t="e">
        <f t="shared" ca="1" si="586"/>
        <v>#VALUE!</v>
      </c>
      <c r="CK224" s="468">
        <f t="shared" si="587"/>
        <v>0.96000000000003638</v>
      </c>
      <c r="CL224" s="482" t="s">
        <v>2507</v>
      </c>
      <c r="CM224" s="482"/>
      <c r="CN224" s="63" t="str">
        <f t="shared" si="588"/>
        <v xml:space="preserve"> </v>
      </c>
      <c r="CO224" s="498">
        <f t="shared" si="589"/>
        <v>33.33</v>
      </c>
      <c r="CP224" s="472">
        <f t="shared" si="590"/>
        <v>9.9009900990077188E-3</v>
      </c>
      <c r="CQ224" s="482" t="s">
        <v>2508</v>
      </c>
      <c r="CR224" s="204">
        <f t="shared" si="591"/>
        <v>33.33</v>
      </c>
      <c r="CS224" s="486">
        <v>1.2</v>
      </c>
      <c r="CT224" s="486">
        <v>1.2</v>
      </c>
      <c r="CU224" s="23">
        <f t="shared" si="592"/>
        <v>33.332053642102522</v>
      </c>
      <c r="CV224" s="499" t="s">
        <v>2509</v>
      </c>
      <c r="CW224" s="488" t="str">
        <f t="shared" ca="1" si="593"/>
        <v>E2</v>
      </c>
      <c r="CX224" s="204">
        <f ca="1">IF(AND(L224="",H224=""),"",IF(AND(BA224&lt;&gt;4,BA224&lt;&gt;5),VLOOKUP(AY224,'TABLA (2)'!$A$9:$D$43,4),IF(BA224=4,VLOOKUP(AY224,'TABLA (2)'!$A$74:$D$89,4),VLOOKUP(AY224,'TABLA (2)'!$A$51:$D$66,4))))</f>
        <v>3.6999999999999998E-2</v>
      </c>
      <c r="CY224" s="482"/>
      <c r="CZ224" s="482"/>
      <c r="DA224" s="482"/>
      <c r="DB224" s="490"/>
    </row>
    <row r="225" spans="1:106" ht="15" hidden="1" customHeight="1">
      <c r="A225" s="465">
        <f t="shared" si="594"/>
        <v>146</v>
      </c>
      <c r="B225" s="491"/>
      <c r="C225" s="466" t="s">
        <v>2222</v>
      </c>
      <c r="D225" s="466" t="s">
        <v>2223</v>
      </c>
      <c r="E225" s="468">
        <v>0.11496518719999999</v>
      </c>
      <c r="F225" s="468"/>
      <c r="G225" s="468">
        <f t="shared" si="528"/>
        <v>5.9178537586999997</v>
      </c>
      <c r="H225" s="468">
        <f t="shared" si="529"/>
        <v>6.0328189458999999</v>
      </c>
      <c r="I225" s="468">
        <v>0.11496518719999999</v>
      </c>
      <c r="J225" s="468"/>
      <c r="K225" s="467">
        <f t="shared" ca="1" si="530"/>
        <v>5.9178537586999997</v>
      </c>
      <c r="L225" s="468">
        <f t="shared" ca="1" si="531"/>
        <v>6.0328189458999999</v>
      </c>
      <c r="M225" s="469">
        <f t="shared" si="532"/>
        <v>242.33666300502347</v>
      </c>
      <c r="N225" s="470">
        <f t="shared" si="533"/>
        <v>27.860279827795836</v>
      </c>
      <c r="O225" s="470">
        <f t="shared" si="534"/>
        <v>0</v>
      </c>
      <c r="P225" s="470">
        <f t="shared" si="535"/>
        <v>1461.9732118628892</v>
      </c>
      <c r="Q225" s="469">
        <f t="shared" si="536"/>
        <v>140</v>
      </c>
      <c r="R225" s="471">
        <f t="shared" si="537"/>
        <v>2.0135973635611553</v>
      </c>
      <c r="S225" s="471"/>
      <c r="T225" s="471"/>
      <c r="U225" s="471">
        <f t="shared" si="538"/>
        <v>0</v>
      </c>
      <c r="V225" s="471"/>
      <c r="W225" s="471"/>
      <c r="X225" s="471">
        <f t="shared" si="539"/>
        <v>0</v>
      </c>
      <c r="Y225" s="471">
        <f t="shared" si="540"/>
        <v>1.2065637891800001</v>
      </c>
      <c r="Z225" s="471">
        <f t="shared" ca="1" si="541"/>
        <v>0</v>
      </c>
      <c r="AA225" s="471">
        <f t="shared" si="527"/>
        <v>3.8</v>
      </c>
      <c r="AB225" s="471">
        <f t="shared" si="542"/>
        <v>7.6516699815323896</v>
      </c>
      <c r="AC225" s="471">
        <f t="shared" si="543"/>
        <v>3.837237615170954E-2</v>
      </c>
      <c r="AD225" s="471">
        <f t="shared" si="544"/>
        <v>2.2993037439999999E-2</v>
      </c>
      <c r="AE225" s="471">
        <f t="shared" si="544"/>
        <v>0</v>
      </c>
      <c r="AF225" s="510">
        <f t="shared" si="518"/>
        <v>3.8</v>
      </c>
      <c r="AG225" s="471">
        <f t="shared" si="545"/>
        <v>0.14581502937649624</v>
      </c>
      <c r="AH225" s="471">
        <f t="shared" si="546"/>
        <v>0.16880806681649624</v>
      </c>
      <c r="AI225" s="471">
        <f t="shared" ca="1" si="547"/>
        <v>8.8582337707123902</v>
      </c>
      <c r="AJ225" s="471">
        <f t="shared" si="548"/>
        <v>0.75</v>
      </c>
      <c r="AK225" s="472">
        <f t="shared" si="549"/>
        <v>0.29229406554473086</v>
      </c>
      <c r="AL225" s="471">
        <f t="shared" si="550"/>
        <v>0.64211470327723663</v>
      </c>
      <c r="AM225" s="473">
        <f t="shared" si="522"/>
        <v>329.32773001194096</v>
      </c>
      <c r="AN225" s="474">
        <f t="shared" si="523"/>
        <v>10.593944444444444</v>
      </c>
      <c r="AO225" s="474">
        <f t="shared" si="551"/>
        <v>0.12544444444444444</v>
      </c>
      <c r="AP225" s="474">
        <f t="shared" si="552"/>
        <v>10.719388888888888</v>
      </c>
      <c r="AQ225" s="475">
        <v>3</v>
      </c>
      <c r="AR225" s="474">
        <f t="shared" ca="1" si="553"/>
        <v>4.2426132094875411E-2</v>
      </c>
      <c r="AS225" s="474">
        <f t="shared" ca="1" si="554"/>
        <v>2.9567730606202653</v>
      </c>
      <c r="AT225" s="471" t="str">
        <f t="shared" ca="1" si="555"/>
        <v>Aumentar vel.</v>
      </c>
      <c r="AU225" s="492">
        <f t="shared" si="556"/>
        <v>24.311248698573223</v>
      </c>
      <c r="AV225" s="471">
        <f t="shared" ca="1" si="557"/>
        <v>1275.7371628690678</v>
      </c>
      <c r="AW225" s="510">
        <f t="shared" ca="1" si="516"/>
        <v>1275.74</v>
      </c>
      <c r="AX225" s="478">
        <f>IF(OR(C225="",D225=""),"",ROUND(((VLOOKUP(C225,'Base de Diseño (2)'!$A$2:$C$333,2,FALSE)-VLOOKUP(D225,'Base de Diseño (2)'!$A$2:$C$333,2,FALSE))^2+(VLOOKUP(C225,'Base de Diseño (2)'!$A$2:$C$333,3,0)-VLOOKUP(D225,'Base de Diseño (2)'!$A$2:$C$333,3,FALSE))^2)^0.5,2))</f>
        <v>22.58</v>
      </c>
      <c r="AY225" s="493">
        <v>30</v>
      </c>
      <c r="AZ225" s="480">
        <f ca="1">IF(AND(L225="",H225=""),"",IF(BA225=4,VLOOKUP(AY225,'TABLA (2)'!$A$74:$C$89,2),IF(BA225=5,VLOOKUP(AY225,'TABLA (2)'!$A$51:$B$66,2),IF(BA225=6,VLOOKUP(AY225,'TABLA (2)'!$A$9:$B$43,2)))))</f>
        <v>750</v>
      </c>
      <c r="BA225" s="493">
        <v>6</v>
      </c>
      <c r="BB225" s="478">
        <f>IF(OR(C225="",D225=""),"",VLOOKUP(C225,'Base de Diseño (2)'!$A$2:$D$330,4,FALSE))</f>
        <v>982.51160000000004</v>
      </c>
      <c r="BC225" s="478">
        <f>IF(OR(C225="",D225=""),"",VLOOKUP(D225,'Base de Diseño (2)'!$A$2:$D$330,4,FALSE))</f>
        <v>975.91160000000002</v>
      </c>
      <c r="BD225" s="23">
        <f t="shared" ca="1" si="558"/>
        <v>1.7650000000000228</v>
      </c>
      <c r="BE225" s="23">
        <f t="shared" ca="1" si="559"/>
        <v>1.3650000000000455</v>
      </c>
      <c r="BF225" s="494">
        <v>2.6000000000000227</v>
      </c>
      <c r="BG225" s="494">
        <v>2.2000000000000455</v>
      </c>
      <c r="BH225" s="495">
        <f t="shared" si="560"/>
        <v>979.91160000000002</v>
      </c>
      <c r="BI225" s="495">
        <f t="shared" si="560"/>
        <v>973.71159999999998</v>
      </c>
      <c r="BJ225" s="468">
        <f t="shared" si="561"/>
        <v>3.0499999999999545</v>
      </c>
      <c r="BK225" s="475">
        <f t="shared" si="562"/>
        <v>29.229406554473087</v>
      </c>
      <c r="BL225" s="475">
        <f t="shared" si="563"/>
        <v>27.457927369353612</v>
      </c>
      <c r="BM225" s="475">
        <f t="shared" ca="1" si="564"/>
        <v>13.204583433565707</v>
      </c>
      <c r="BN225" s="475">
        <f t="shared" ca="1" si="565"/>
        <v>5833.6062621473693</v>
      </c>
      <c r="BO225" s="204">
        <f t="shared" ca="1" si="566"/>
        <v>1.5184833142049675E-3</v>
      </c>
      <c r="BP225" s="496">
        <f t="shared" ca="1" si="567"/>
        <v>0.21868805378208642</v>
      </c>
      <c r="BQ225" s="497">
        <f t="shared" ca="1" si="568"/>
        <v>0.16208291790708257</v>
      </c>
      <c r="BR225" s="497">
        <f t="shared" ca="1" si="569"/>
        <v>0.67176062209676946</v>
      </c>
      <c r="BS225" s="475">
        <f t="shared" ca="1" si="570"/>
        <v>2.1402374126598529</v>
      </c>
      <c r="BT225" s="475">
        <f t="shared" ca="1" si="571"/>
        <v>8.8703191818607952</v>
      </c>
      <c r="BU225" s="475">
        <f t="shared" ca="1" si="572"/>
        <v>-3.5907790391216887E-2</v>
      </c>
      <c r="BV225" s="475">
        <f t="shared" ca="1" si="573"/>
        <v>0.37079203586201387</v>
      </c>
      <c r="BW225" s="475" t="e">
        <f t="shared" ca="1" si="574"/>
        <v>#NUM!</v>
      </c>
      <c r="BX225" s="475">
        <f t="shared" ca="1" si="575"/>
        <v>2.6188285058490193</v>
      </c>
      <c r="BY225" s="475" t="e">
        <f t="shared" ca="1" si="576"/>
        <v>#NUM!</v>
      </c>
      <c r="BZ225" s="475">
        <f t="shared" ca="1" si="577"/>
        <v>0.20233775179526065</v>
      </c>
      <c r="CA225" s="471" t="e">
        <f t="shared" ca="1" si="578"/>
        <v>#NUM!</v>
      </c>
      <c r="CB225" s="471">
        <f t="shared" ca="1" si="579"/>
        <v>0.15175331384644547</v>
      </c>
      <c r="CC225" s="471">
        <f t="shared" ca="1" si="524"/>
        <v>6.2444367347625391</v>
      </c>
      <c r="CD225" s="471" t="str">
        <f t="shared" ca="1" si="580"/>
        <v>F. Supercrítico</v>
      </c>
      <c r="CE225" s="471" t="e">
        <f t="shared" ca="1" si="581"/>
        <v>#NUM!</v>
      </c>
      <c r="CF225" s="471">
        <f t="shared" ca="1" si="582"/>
        <v>41.668314696544236</v>
      </c>
      <c r="CG225" s="471" t="str">
        <f t="shared" ca="1" si="583"/>
        <v>O.K</v>
      </c>
      <c r="CH225" s="471" t="str">
        <f t="shared" ca="1" si="584"/>
        <v>O.K</v>
      </c>
      <c r="CI225" s="471" t="e">
        <f t="shared" ca="1" si="585"/>
        <v>#NUM!</v>
      </c>
      <c r="CJ225" s="471" t="str">
        <f t="shared" ca="1" si="586"/>
        <v>OK</v>
      </c>
      <c r="CK225" s="468">
        <f t="shared" si="587"/>
        <v>3.0499999999999545</v>
      </c>
      <c r="CL225" s="482" t="s">
        <v>2507</v>
      </c>
      <c r="CM225" s="482"/>
      <c r="CN225" s="63" t="str">
        <f t="shared" si="588"/>
        <v xml:space="preserve"> </v>
      </c>
      <c r="CO225" s="498">
        <f t="shared" si="589"/>
        <v>22.58</v>
      </c>
      <c r="CP225" s="472">
        <f t="shared" si="590"/>
        <v>0.29229406554473086</v>
      </c>
      <c r="CQ225" s="482" t="s">
        <v>2508</v>
      </c>
      <c r="CR225" s="204">
        <f t="shared" si="591"/>
        <v>22.58</v>
      </c>
      <c r="CS225" s="486">
        <v>1.2</v>
      </c>
      <c r="CT225" s="486">
        <v>1.2</v>
      </c>
      <c r="CU225" s="23">
        <f t="shared" si="592"/>
        <v>23.415729755871382</v>
      </c>
      <c r="CV225" s="499" t="s">
        <v>2509</v>
      </c>
      <c r="CW225" s="488" t="str">
        <f t="shared" ca="1" si="593"/>
        <v>E2</v>
      </c>
      <c r="CX225" s="204">
        <f ca="1">IF(AND(L225="",H225=""),"",IF(AND(BA225&lt;&gt;4,BA225&lt;&gt;5),VLOOKUP(AY225,'TABLA (2)'!$A$9:$D$43,4),IF(BA225=4,VLOOKUP(AY225,'TABLA (2)'!$A$74:$D$89,4),VLOOKUP(AY225,'TABLA (2)'!$A$51:$D$66,4))))</f>
        <v>8.5000000000000006E-2</v>
      </c>
      <c r="CY225" s="482"/>
      <c r="CZ225" s="482"/>
      <c r="DA225" s="482"/>
      <c r="DB225" s="490"/>
    </row>
    <row r="226" spans="1:106" ht="15" hidden="1" customHeight="1">
      <c r="A226" s="465">
        <f t="shared" si="594"/>
        <v>147</v>
      </c>
      <c r="B226" s="491"/>
      <c r="C226" s="466" t="s">
        <v>2223</v>
      </c>
      <c r="D226" s="466" t="s">
        <v>2224</v>
      </c>
      <c r="E226" s="468"/>
      <c r="F226" s="468"/>
      <c r="G226" s="468">
        <f t="shared" si="528"/>
        <v>6.0328189458999999</v>
      </c>
      <c r="H226" s="468">
        <f t="shared" si="529"/>
        <v>6.0328189458999999</v>
      </c>
      <c r="I226" s="468"/>
      <c r="J226" s="468"/>
      <c r="K226" s="467">
        <f t="shared" ca="1" si="530"/>
        <v>6.0328189458999999</v>
      </c>
      <c r="L226" s="468">
        <f t="shared" ca="1" si="531"/>
        <v>6.0328189458999999</v>
      </c>
      <c r="M226" s="469">
        <f t="shared" si="532"/>
        <v>242.33666300502347</v>
      </c>
      <c r="N226" s="470">
        <f t="shared" si="533"/>
        <v>0</v>
      </c>
      <c r="O226" s="470">
        <f t="shared" si="534"/>
        <v>0</v>
      </c>
      <c r="P226" s="470">
        <f t="shared" si="535"/>
        <v>1461.9732118628892</v>
      </c>
      <c r="Q226" s="469">
        <f t="shared" si="536"/>
        <v>140</v>
      </c>
      <c r="R226" s="471">
        <f t="shared" si="537"/>
        <v>2.0135973635611553</v>
      </c>
      <c r="S226" s="471"/>
      <c r="T226" s="471"/>
      <c r="U226" s="471">
        <f t="shared" si="538"/>
        <v>0</v>
      </c>
      <c r="V226" s="471"/>
      <c r="W226" s="471"/>
      <c r="X226" s="471">
        <f t="shared" si="539"/>
        <v>0</v>
      </c>
      <c r="Y226" s="471">
        <f t="shared" si="540"/>
        <v>1.2065637891800001</v>
      </c>
      <c r="Z226" s="471">
        <f t="shared" ca="1" si="541"/>
        <v>0</v>
      </c>
      <c r="AA226" s="471">
        <f t="shared" si="527"/>
        <v>3.8</v>
      </c>
      <c r="AB226" s="471">
        <f t="shared" si="542"/>
        <v>7.6516699815323896</v>
      </c>
      <c r="AC226" s="471">
        <f t="shared" si="543"/>
        <v>0</v>
      </c>
      <c r="AD226" s="471">
        <f t="shared" si="544"/>
        <v>0</v>
      </c>
      <c r="AE226" s="471">
        <f t="shared" si="544"/>
        <v>0</v>
      </c>
      <c r="AF226" s="510">
        <f t="shared" si="518"/>
        <v>3.8</v>
      </c>
      <c r="AG226" s="471">
        <f t="shared" si="545"/>
        <v>0</v>
      </c>
      <c r="AH226" s="471">
        <f t="shared" si="546"/>
        <v>0</v>
      </c>
      <c r="AI226" s="471">
        <f t="shared" ca="1" si="547"/>
        <v>8.8582337707123902</v>
      </c>
      <c r="AJ226" s="471">
        <f t="shared" si="548"/>
        <v>0.75</v>
      </c>
      <c r="AK226" s="472">
        <f t="shared" si="549"/>
        <v>0.42258244829513386</v>
      </c>
      <c r="AL226" s="471">
        <f t="shared" si="550"/>
        <v>0.64862912241475679</v>
      </c>
      <c r="AM226" s="473">
        <f t="shared" si="522"/>
        <v>328.38273669177096</v>
      </c>
      <c r="AN226" s="474">
        <f t="shared" si="523"/>
        <v>10.719388888888888</v>
      </c>
      <c r="AO226" s="474">
        <f t="shared" si="551"/>
        <v>9.9388888888888902E-2</v>
      </c>
      <c r="AP226" s="474">
        <f t="shared" si="552"/>
        <v>10.818777777777777</v>
      </c>
      <c r="AQ226" s="475">
        <v>3</v>
      </c>
      <c r="AR226" s="474">
        <f t="shared" ca="1" si="553"/>
        <v>3.6575213608826734E-2</v>
      </c>
      <c r="AS226" s="474">
        <f t="shared" ca="1" si="554"/>
        <v>2.7173836891796928</v>
      </c>
      <c r="AT226" s="471" t="str">
        <f t="shared" ca="1" si="555"/>
        <v>Aumentar vel.</v>
      </c>
      <c r="AU226" s="492">
        <f t="shared" si="556"/>
        <v>0</v>
      </c>
      <c r="AV226" s="471">
        <f t="shared" ca="1" si="557"/>
        <v>1284.9820276367152</v>
      </c>
      <c r="AW226" s="510">
        <f t="shared" ca="1" si="516"/>
        <v>1284.98</v>
      </c>
      <c r="AX226" s="478">
        <f>IF(OR(C226="",D226=""),"",ROUND(((VLOOKUP(C226,'Base de Diseño (2)'!$A$2:$C$333,2,FALSE)-VLOOKUP(D226,'Base de Diseño (2)'!$A$2:$C$333,2,FALSE))^2+(VLOOKUP(C226,'Base de Diseño (2)'!$A$2:$C$333,3,0)-VLOOKUP(D226,'Base de Diseño (2)'!$A$2:$C$333,3,FALSE))^2)^0.5,2))</f>
        <v>17.89</v>
      </c>
      <c r="AY226" s="493">
        <v>30</v>
      </c>
      <c r="AZ226" s="480">
        <f ca="1">IF(AND(L226="",H226=""),"",IF(BA226=4,VLOOKUP(AY226,'TABLA (2)'!$A$74:$C$89,2),IF(BA226=5,VLOOKUP(AY226,'TABLA (2)'!$A$51:$B$66,2),IF(BA226=6,VLOOKUP(AY226,'TABLA (2)'!$A$9:$B$43,2)))))</f>
        <v>750</v>
      </c>
      <c r="BA226" s="493">
        <v>6</v>
      </c>
      <c r="BB226" s="478">
        <f>IF(OR(C226="",D226=""),"",VLOOKUP(C226,'Base de Diseño (2)'!$A$2:$D$330,4,FALSE))</f>
        <v>975.91160000000002</v>
      </c>
      <c r="BC226" s="478">
        <f>IF(OR(C226="",D226=""),"",VLOOKUP(D226,'Base de Diseño (2)'!$A$2:$D$330,4,FALSE))</f>
        <v>968.35160000000008</v>
      </c>
      <c r="BD226" s="23">
        <f t="shared" ca="1" si="558"/>
        <v>4.415</v>
      </c>
      <c r="BE226" s="23">
        <f t="shared" ca="1" si="559"/>
        <v>0.71499999999995456</v>
      </c>
      <c r="BF226" s="494">
        <v>5.25</v>
      </c>
      <c r="BG226" s="494">
        <v>1.5499999999999545</v>
      </c>
      <c r="BH226" s="495">
        <f t="shared" si="560"/>
        <v>970.66160000000002</v>
      </c>
      <c r="BI226" s="495">
        <f t="shared" si="560"/>
        <v>966.80160000000012</v>
      </c>
      <c r="BJ226" s="468">
        <f t="shared" si="561"/>
        <v>0.35000000000002274</v>
      </c>
      <c r="BK226" s="475">
        <f t="shared" si="562"/>
        <v>42.258244829513387</v>
      </c>
      <c r="BL226" s="475">
        <f t="shared" si="563"/>
        <v>21.576299608719395</v>
      </c>
      <c r="BM226" s="475">
        <f t="shared" ca="1" si="564"/>
        <v>11.705212734549168</v>
      </c>
      <c r="BN226" s="475">
        <f t="shared" ca="1" si="565"/>
        <v>5171.2045784388793</v>
      </c>
      <c r="BO226" s="204">
        <f t="shared" ca="1" si="566"/>
        <v>1.712992328256829E-3</v>
      </c>
      <c r="BP226" s="496">
        <f t="shared" ca="1" si="567"/>
        <v>0.24848755846126649</v>
      </c>
      <c r="BQ226" s="497">
        <f t="shared" ca="1" si="568"/>
        <v>0.16786769952401651</v>
      </c>
      <c r="BR226" s="497">
        <f t="shared" ca="1" si="569"/>
        <v>0.69645475502355847</v>
      </c>
      <c r="BS226" s="475">
        <f t="shared" ca="1" si="570"/>
        <v>1.9649271341879913</v>
      </c>
      <c r="BT226" s="475">
        <f t="shared" ca="1" si="571"/>
        <v>8.1521510675390783</v>
      </c>
      <c r="BU226" s="475">
        <f t="shared" ca="1" si="572"/>
        <v>-2.8133623213423165E-2</v>
      </c>
      <c r="BV226" s="475">
        <f t="shared" ca="1" si="573"/>
        <v>0.39065837231579392</v>
      </c>
      <c r="BW226" s="475" t="e">
        <f t="shared" ca="1" si="574"/>
        <v>#NUM!</v>
      </c>
      <c r="BX226" s="475">
        <f t="shared" ca="1" si="575"/>
        <v>2.7006629331906709</v>
      </c>
      <c r="BY226" s="475" t="e">
        <f t="shared" ca="1" si="576"/>
        <v>#NUM!</v>
      </c>
      <c r="BZ226" s="475">
        <f t="shared" ca="1" si="577"/>
        <v>0.21049299213811273</v>
      </c>
      <c r="CA226" s="471" t="e">
        <f t="shared" ca="1" si="578"/>
        <v>#NUM!</v>
      </c>
      <c r="CB226" s="471">
        <f t="shared" ca="1" si="579"/>
        <v>0.15786974410358454</v>
      </c>
      <c r="CC226" s="471">
        <f t="shared" ca="1" si="524"/>
        <v>5.5686197419537056</v>
      </c>
      <c r="CD226" s="471" t="str">
        <f t="shared" ca="1" si="580"/>
        <v>F. Supercrítico</v>
      </c>
      <c r="CE226" s="471" t="e">
        <f t="shared" ca="1" si="581"/>
        <v>#NUM!</v>
      </c>
      <c r="CF226" s="471">
        <f t="shared" ca="1" si="582"/>
        <v>34.062448979308023</v>
      </c>
      <c r="CG226" s="471" t="str">
        <f t="shared" ca="1" si="583"/>
        <v>O.K</v>
      </c>
      <c r="CH226" s="471" t="str">
        <f t="shared" ca="1" si="584"/>
        <v>O.K</v>
      </c>
      <c r="CI226" s="471" t="e">
        <f t="shared" ca="1" si="585"/>
        <v>#NUM!</v>
      </c>
      <c r="CJ226" s="471" t="str">
        <f t="shared" ca="1" si="586"/>
        <v>OK</v>
      </c>
      <c r="CK226" s="468">
        <f t="shared" si="587"/>
        <v>0.35000000000002274</v>
      </c>
      <c r="CL226" s="482" t="s">
        <v>2507</v>
      </c>
      <c r="CM226" s="482"/>
      <c r="CN226" s="63" t="str">
        <f t="shared" si="588"/>
        <v xml:space="preserve"> </v>
      </c>
      <c r="CO226" s="498">
        <f t="shared" si="589"/>
        <v>17.89</v>
      </c>
      <c r="CP226" s="472">
        <f t="shared" si="590"/>
        <v>0.42258244829513386</v>
      </c>
      <c r="CQ226" s="482" t="s">
        <v>2508</v>
      </c>
      <c r="CR226" s="204">
        <f t="shared" si="591"/>
        <v>17.89</v>
      </c>
      <c r="CS226" s="486">
        <v>1.2</v>
      </c>
      <c r="CT226" s="486">
        <v>1.2</v>
      </c>
      <c r="CU226" s="23">
        <f t="shared" si="592"/>
        <v>18.301685714709429</v>
      </c>
      <c r="CV226" s="499" t="s">
        <v>2509</v>
      </c>
      <c r="CW226" s="488" t="str">
        <f t="shared" ca="1" si="593"/>
        <v>E3</v>
      </c>
      <c r="CX226" s="204">
        <f ca="1">IF(AND(L226="",H226=""),"",IF(AND(BA226&lt;&gt;4,BA226&lt;&gt;5),VLOOKUP(AY226,'TABLA (2)'!$A$9:$D$43,4),IF(BA226=4,VLOOKUP(AY226,'TABLA (2)'!$A$74:$D$89,4),VLOOKUP(AY226,'TABLA (2)'!$A$51:$D$66,4))))</f>
        <v>8.5000000000000006E-2</v>
      </c>
      <c r="CY226" s="482"/>
      <c r="CZ226" s="482"/>
      <c r="DA226" s="482"/>
      <c r="DB226" s="490"/>
    </row>
    <row r="227" spans="1:106" ht="15" hidden="1" customHeight="1">
      <c r="A227" s="465">
        <f t="shared" si="594"/>
        <v>148</v>
      </c>
      <c r="B227" s="491"/>
      <c r="C227" s="466" t="s">
        <v>2224</v>
      </c>
      <c r="D227" s="466" t="s">
        <v>2225</v>
      </c>
      <c r="E227" s="468"/>
      <c r="F227" s="468"/>
      <c r="G227" s="468">
        <f t="shared" si="528"/>
        <v>6.0328189458999999</v>
      </c>
      <c r="H227" s="468">
        <f t="shared" si="529"/>
        <v>6.0328189458999999</v>
      </c>
      <c r="I227" s="468"/>
      <c r="J227" s="468"/>
      <c r="K227" s="467">
        <f t="shared" ca="1" si="530"/>
        <v>6.0328189458999999</v>
      </c>
      <c r="L227" s="468">
        <f t="shared" ca="1" si="531"/>
        <v>6.0328189458999999</v>
      </c>
      <c r="M227" s="469">
        <f t="shared" si="532"/>
        <v>242.33666300502347</v>
      </c>
      <c r="N227" s="470">
        <f t="shared" si="533"/>
        <v>0</v>
      </c>
      <c r="O227" s="470">
        <f t="shared" si="534"/>
        <v>0</v>
      </c>
      <c r="P227" s="470">
        <f t="shared" si="535"/>
        <v>1461.9732118628892</v>
      </c>
      <c r="Q227" s="469">
        <f t="shared" si="536"/>
        <v>140</v>
      </c>
      <c r="R227" s="471">
        <f t="shared" si="537"/>
        <v>2.0135973635611553</v>
      </c>
      <c r="S227" s="471"/>
      <c r="T227" s="471"/>
      <c r="U227" s="471">
        <f t="shared" si="538"/>
        <v>0</v>
      </c>
      <c r="V227" s="471"/>
      <c r="W227" s="471"/>
      <c r="X227" s="471">
        <f t="shared" si="539"/>
        <v>0</v>
      </c>
      <c r="Y227" s="471">
        <f t="shared" si="540"/>
        <v>1.2065637891800001</v>
      </c>
      <c r="Z227" s="471">
        <f t="shared" ca="1" si="541"/>
        <v>0</v>
      </c>
      <c r="AA227" s="471">
        <f t="shared" si="527"/>
        <v>3.8</v>
      </c>
      <c r="AB227" s="471">
        <f t="shared" si="542"/>
        <v>7.6516699815323896</v>
      </c>
      <c r="AC227" s="471">
        <f t="shared" si="543"/>
        <v>0</v>
      </c>
      <c r="AD227" s="471">
        <f t="shared" si="544"/>
        <v>0</v>
      </c>
      <c r="AE227" s="471">
        <f t="shared" si="544"/>
        <v>0</v>
      </c>
      <c r="AF227" s="510">
        <f t="shared" si="518"/>
        <v>3.8</v>
      </c>
      <c r="AG227" s="471">
        <f t="shared" si="545"/>
        <v>0</v>
      </c>
      <c r="AH227" s="471">
        <f t="shared" si="546"/>
        <v>0</v>
      </c>
      <c r="AI227" s="471">
        <f t="shared" ca="1" si="547"/>
        <v>8.8582337707123902</v>
      </c>
      <c r="AJ227" s="471">
        <f t="shared" si="548"/>
        <v>0.75</v>
      </c>
      <c r="AK227" s="472">
        <f t="shared" si="549"/>
        <v>8.8138385502475283E-2</v>
      </c>
      <c r="AL227" s="471">
        <f t="shared" si="550"/>
        <v>0.63190691927512377</v>
      </c>
      <c r="AM227" s="473">
        <f t="shared" si="522"/>
        <v>327.74442580557735</v>
      </c>
      <c r="AN227" s="474">
        <f t="shared" si="523"/>
        <v>10.818777777777777</v>
      </c>
      <c r="AO227" s="474">
        <f t="shared" si="551"/>
        <v>6.7444444444444446E-2</v>
      </c>
      <c r="AP227" s="474">
        <f t="shared" si="552"/>
        <v>10.886222222222221</v>
      </c>
      <c r="AQ227" s="475">
        <v>3</v>
      </c>
      <c r="AR227" s="474">
        <f t="shared" ca="1" si="553"/>
        <v>3.8968957479485394E-2</v>
      </c>
      <c r="AS227" s="474">
        <f t="shared" ca="1" si="554"/>
        <v>1.7307223186545222</v>
      </c>
      <c r="AT227" s="471" t="str">
        <f t="shared" ca="1" si="555"/>
        <v>Aumentar vel.</v>
      </c>
      <c r="AU227" s="492">
        <f t="shared" si="556"/>
        <v>0</v>
      </c>
      <c r="AV227" s="471">
        <f t="shared" ca="1" si="557"/>
        <v>1249.4207565232828</v>
      </c>
      <c r="AW227" s="510">
        <f t="shared" ca="1" si="516"/>
        <v>1249.42</v>
      </c>
      <c r="AX227" s="478">
        <f>IF(OR(C227="",D227=""),"",ROUND(((VLOOKUP(C227,'Base de Diseño (2)'!$A$2:$C$333,2,FALSE)-VLOOKUP(D227,'Base de Diseño (2)'!$A$2:$C$333,2,FALSE))^2+(VLOOKUP(C227,'Base de Diseño (2)'!$A$2:$C$333,3,0)-VLOOKUP(D227,'Base de Diseño (2)'!$A$2:$C$333,3,FALSE))^2)^0.5,2))</f>
        <v>12.14</v>
      </c>
      <c r="AY227" s="493">
        <v>29.88</v>
      </c>
      <c r="AZ227" s="480">
        <f ca="1">IF(AND(L227="",H227=""),"",IF(BA227=4,VLOOKUP(AY227,'TABLA (2)'!$A$74:$C$89,2),IF(BA227=5,VLOOKUP(AY227,'TABLA (2)'!$A$51:$B$66,2),IF(BA227=6,VLOOKUP(AY227,'TABLA (2)'!$A$9:$B$43,2)))))</f>
        <v>700</v>
      </c>
      <c r="BA227" s="493">
        <v>6</v>
      </c>
      <c r="BB227" s="478">
        <f>IF(OR(C227="",D227=""),"",VLOOKUP(C227,'Base de Diseño (2)'!$A$2:$D$330,4,FALSE))</f>
        <v>968.35160000000008</v>
      </c>
      <c r="BC227" s="478">
        <f>IF(OR(C227="",D227=""),"",VLOOKUP(D227,'Base de Diseño (2)'!$A$2:$D$330,4,FALSE))</f>
        <v>967.28160000000003</v>
      </c>
      <c r="BD227" s="23">
        <f t="shared" ca="1" si="558"/>
        <v>1.1179999999999772</v>
      </c>
      <c r="BE227" s="23">
        <f t="shared" ca="1" si="559"/>
        <v>0.76799999999995461</v>
      </c>
      <c r="BF227" s="494">
        <v>1.8999999999999773</v>
      </c>
      <c r="BG227" s="494">
        <v>1.5499999999999545</v>
      </c>
      <c r="BH227" s="495">
        <f t="shared" si="560"/>
        <v>966.4516000000001</v>
      </c>
      <c r="BI227" s="495">
        <f t="shared" si="560"/>
        <v>965.73160000000007</v>
      </c>
      <c r="BJ227" s="468">
        <f t="shared" si="561"/>
        <v>965.73160000000007</v>
      </c>
      <c r="BK227" s="475">
        <f t="shared" si="562"/>
        <v>8.813838550247528</v>
      </c>
      <c r="BL227" s="475">
        <f t="shared" si="563"/>
        <v>5.9308072487646397</v>
      </c>
      <c r="BM227" s="475">
        <f t="shared" ca="1" si="564"/>
        <v>5.8610071563960497</v>
      </c>
      <c r="BN227" s="475">
        <f t="shared" ca="1" si="565"/>
        <v>2255.5798855834514</v>
      </c>
      <c r="BO227" s="204">
        <f t="shared" ca="1" si="566"/>
        <v>3.9272533982634928E-3</v>
      </c>
      <c r="BP227" s="496">
        <f t="shared" ca="1" si="567"/>
        <v>0.55392407424169432</v>
      </c>
      <c r="BQ227" s="497">
        <f t="shared" ca="1" si="568"/>
        <v>0.21370081206324262</v>
      </c>
      <c r="BR227" s="497">
        <f t="shared" ca="1" si="569"/>
        <v>0.8858830602684753</v>
      </c>
      <c r="BS227" s="475">
        <f t="shared" ca="1" si="570"/>
        <v>1.2525019888303124</v>
      </c>
      <c r="BT227" s="475">
        <f t="shared" ca="1" si="571"/>
        <v>5.1921669559635664</v>
      </c>
      <c r="BU227" s="475">
        <f t="shared" ca="1" si="572"/>
        <v>2.5381933900874398E-2</v>
      </c>
      <c r="BV227" s="475">
        <f t="shared" ca="1" si="573"/>
        <v>0.59428271617959372</v>
      </c>
      <c r="BW227" s="475">
        <f t="shared" ca="1" si="574"/>
        <v>0.63999545966834503</v>
      </c>
      <c r="BX227" s="475">
        <f t="shared" ca="1" si="575"/>
        <v>3.5209949897944863</v>
      </c>
      <c r="BY227" s="475">
        <f t="shared" ca="1" si="576"/>
        <v>1.6720298342057682E-2</v>
      </c>
      <c r="BZ227" s="475">
        <f t="shared" ca="1" si="577"/>
        <v>0.27629692565894637</v>
      </c>
      <c r="CA227" s="471">
        <f t="shared" ca="1" si="578"/>
        <v>1.1704208839440377E-2</v>
      </c>
      <c r="CB227" s="471">
        <f t="shared" ca="1" si="579"/>
        <v>0.19340784796126245</v>
      </c>
      <c r="CC227" s="471">
        <f t="shared" ca="1" si="524"/>
        <v>2.8153250416331401</v>
      </c>
      <c r="CD227" s="471" t="str">
        <f t="shared" ca="1" si="580"/>
        <v>F. Supercrítico</v>
      </c>
      <c r="CE227" s="471">
        <f t="shared" ca="1" si="581"/>
        <v>0.69415406626008158</v>
      </c>
      <c r="CF227" s="471">
        <f t="shared" ca="1" si="582"/>
        <v>11.470646666566246</v>
      </c>
      <c r="CG227" s="471" t="str">
        <f t="shared" ca="1" si="583"/>
        <v>O.K</v>
      </c>
      <c r="CH227" s="471" t="str">
        <f t="shared" ca="1" si="584"/>
        <v>O.K</v>
      </c>
      <c r="CI227" s="471" t="str">
        <f t="shared" ca="1" si="585"/>
        <v>OK</v>
      </c>
      <c r="CJ227" s="471" t="str">
        <f t="shared" ca="1" si="586"/>
        <v>OK</v>
      </c>
      <c r="CK227" s="468">
        <f t="shared" si="587"/>
        <v>965.73160000000007</v>
      </c>
      <c r="CL227" s="482" t="s">
        <v>2507</v>
      </c>
      <c r="CM227" s="482"/>
      <c r="CN227" s="63" t="str">
        <f t="shared" si="588"/>
        <v xml:space="preserve"> </v>
      </c>
      <c r="CO227" s="498">
        <f t="shared" si="589"/>
        <v>12.14</v>
      </c>
      <c r="CP227" s="472">
        <f t="shared" si="590"/>
        <v>8.8138385502475283E-2</v>
      </c>
      <c r="CQ227" s="482" t="s">
        <v>2508</v>
      </c>
      <c r="CR227" s="204">
        <f t="shared" si="591"/>
        <v>12.14</v>
      </c>
      <c r="CS227" s="486">
        <v>1.2</v>
      </c>
      <c r="CT227" s="486">
        <v>1.2</v>
      </c>
      <c r="CU227" s="23">
        <f t="shared" si="592"/>
        <v>12.161332163870867</v>
      </c>
      <c r="CV227" s="499" t="s">
        <v>2509</v>
      </c>
      <c r="CW227" s="488" t="str">
        <f t="shared" ca="1" si="593"/>
        <v>E2</v>
      </c>
      <c r="CX227" s="204">
        <f ca="1">IF(AND(L227="",H227=""),"",IF(AND(BA227&lt;&gt;4,BA227&lt;&gt;5),VLOOKUP(AY227,'TABLA (2)'!$A$9:$D$43,4),IF(BA227=4,VLOOKUP(AY227,'TABLA (2)'!$A$74:$D$89,4),VLOOKUP(AY227,'TABLA (2)'!$A$51:$D$66,4))))</f>
        <v>8.2000000000000003E-2</v>
      </c>
      <c r="CY227" s="482"/>
      <c r="CZ227" s="482"/>
      <c r="DA227" s="482"/>
      <c r="DB227" s="490"/>
    </row>
    <row r="228" spans="1:106" ht="15" hidden="1" customHeight="1">
      <c r="A228" s="465"/>
      <c r="B228" s="491"/>
      <c r="C228" s="468"/>
      <c r="D228" s="468"/>
      <c r="E228" s="468"/>
      <c r="F228" s="468"/>
      <c r="G228" s="468"/>
      <c r="H228" s="468"/>
      <c r="I228" s="468"/>
      <c r="J228" s="468"/>
      <c r="K228" s="467"/>
      <c r="L228" s="468"/>
      <c r="M228" s="469"/>
      <c r="N228" s="470"/>
      <c r="O228" s="470"/>
      <c r="P228" s="470"/>
      <c r="Q228" s="469"/>
      <c r="R228" s="471"/>
      <c r="S228" s="471"/>
      <c r="T228" s="471"/>
      <c r="U228" s="471"/>
      <c r="V228" s="471"/>
      <c r="W228" s="471"/>
      <c r="X228" s="471"/>
      <c r="Y228" s="471"/>
      <c r="Z228" s="471"/>
      <c r="AA228" s="471" t="str">
        <f t="shared" si="527"/>
        <v/>
      </c>
      <c r="AB228" s="471"/>
      <c r="AC228" s="471"/>
      <c r="AD228" s="471"/>
      <c r="AE228" s="471"/>
      <c r="AF228" s="510" t="str">
        <f t="shared" si="518"/>
        <v/>
      </c>
      <c r="AG228" s="471"/>
      <c r="AH228" s="471"/>
      <c r="AI228" s="471"/>
      <c r="AJ228" s="471"/>
      <c r="AK228" s="472"/>
      <c r="AL228" s="471"/>
      <c r="AM228" s="473"/>
      <c r="AN228" s="474"/>
      <c r="AO228" s="474"/>
      <c r="AP228" s="474"/>
      <c r="AQ228" s="475"/>
      <c r="AR228" s="474"/>
      <c r="AS228" s="474"/>
      <c r="AT228" s="471"/>
      <c r="AU228" s="492"/>
      <c r="AV228" s="471"/>
      <c r="AW228" s="471"/>
      <c r="AX228" s="478"/>
      <c r="AY228" s="493"/>
      <c r="AZ228" s="480"/>
      <c r="BA228" s="493"/>
      <c r="BB228" s="478" t="str">
        <f>IF(OR(C228="",D228=""),"",VLOOKUP(C228,'Base de Diseño (2)'!$A$2:$D$330,4,FALSE))</f>
        <v/>
      </c>
      <c r="BC228" s="494"/>
      <c r="BD228" s="494"/>
      <c r="BE228" s="494"/>
      <c r="BF228" s="494"/>
      <c r="BG228" s="494"/>
      <c r="BH228" s="495"/>
      <c r="BI228" s="495"/>
      <c r="BJ228" s="468"/>
      <c r="BK228" s="475"/>
      <c r="BL228" s="475"/>
      <c r="BM228" s="475"/>
      <c r="BN228" s="475"/>
      <c r="BO228" s="204"/>
      <c r="BP228" s="496"/>
      <c r="BQ228" s="497"/>
      <c r="BR228" s="497"/>
      <c r="BS228" s="475"/>
      <c r="BT228" s="475"/>
      <c r="BU228" s="475"/>
      <c r="BV228" s="475"/>
      <c r="BW228" s="475"/>
      <c r="BX228" s="475"/>
      <c r="BY228" s="475"/>
      <c r="BZ228" s="475"/>
      <c r="CA228" s="471"/>
      <c r="CB228" s="471"/>
      <c r="CC228" s="471"/>
      <c r="CD228" s="471"/>
      <c r="CE228" s="471"/>
      <c r="CF228" s="471"/>
      <c r="CG228" s="471"/>
      <c r="CH228" s="471"/>
      <c r="CI228" s="471"/>
      <c r="CJ228" s="471"/>
      <c r="CK228" s="468"/>
      <c r="CL228" s="482" t="s">
        <v>2507</v>
      </c>
      <c r="CM228" s="482"/>
      <c r="CN228" s="63"/>
      <c r="CO228" s="498"/>
      <c r="CP228" s="472"/>
      <c r="CQ228" s="482"/>
      <c r="CR228" s="204"/>
      <c r="CS228" s="486"/>
      <c r="CT228" s="486"/>
      <c r="CU228" s="23"/>
      <c r="CV228" s="499"/>
      <c r="CW228" s="488"/>
      <c r="CX228" s="204"/>
      <c r="CY228" s="482"/>
      <c r="CZ228" s="482"/>
      <c r="DA228" s="482"/>
      <c r="DB228" s="490"/>
    </row>
    <row r="229" spans="1:106" s="532" customFormat="1" ht="15" customHeight="1">
      <c r="A229" s="503">
        <f>+A227+1</f>
        <v>149</v>
      </c>
      <c r="B229" s="504">
        <v>1</v>
      </c>
      <c r="C229" s="505" t="s">
        <v>98</v>
      </c>
      <c r="D229" s="505" t="s">
        <v>99</v>
      </c>
      <c r="E229" s="506">
        <v>0.63929999999999998</v>
      </c>
      <c r="F229" s="506"/>
      <c r="G229" s="506">
        <f t="shared" ref="G229:G234" si="595">IF(B229=1,0,SUMIF($D$22:$D$583,C229,$H$22:$H$583))</f>
        <v>0</v>
      </c>
      <c r="H229" s="506">
        <f t="shared" ref="H229:H234" si="596">+E229+F229+G229</f>
        <v>0.63929999999999998</v>
      </c>
      <c r="I229" s="506">
        <f>+E229</f>
        <v>0.63929999999999998</v>
      </c>
      <c r="J229" s="506"/>
      <c r="K229" s="507">
        <f t="shared" ref="K229:K234" si="597">+IF(B229=1,0,SUMIF($D$22:$D$583,C229,$L$22:$L$580))</f>
        <v>0</v>
      </c>
      <c r="L229" s="506">
        <f t="shared" ref="L229:L234" si="598">+I229+J229+K229</f>
        <v>0.63929999999999998</v>
      </c>
      <c r="M229" s="508">
        <f t="shared" ref="M229:M234" si="599">+$P$12</f>
        <v>242.33666300502347</v>
      </c>
      <c r="N229" s="509">
        <f t="shared" ref="N229:N234" si="600">M229*E229</f>
        <v>154.92582865911149</v>
      </c>
      <c r="O229" s="509">
        <f t="shared" ref="O229:O234" si="601">M229*F229</f>
        <v>0</v>
      </c>
      <c r="P229" s="509">
        <f t="shared" ref="P229:P234" si="602">M229*H229</f>
        <v>154.92582865911149</v>
      </c>
      <c r="Q229" s="508">
        <f t="shared" ref="Q229:Q234" si="603">+$H$14</f>
        <v>140</v>
      </c>
      <c r="R229" s="510">
        <f t="shared" ref="R229:R234" si="604">Q229*P229*$P$14/86400</f>
        <v>0.21338163900965587</v>
      </c>
      <c r="S229" s="510"/>
      <c r="T229" s="510"/>
      <c r="U229" s="510">
        <f t="shared" ref="U229:U234" si="605">IF(C229="","",T229*$P$17)</f>
        <v>0</v>
      </c>
      <c r="V229" s="510"/>
      <c r="W229" s="510"/>
      <c r="X229" s="510">
        <f t="shared" ref="X229:X234" si="606">IF(C229="","",W229*$P$16)</f>
        <v>0</v>
      </c>
      <c r="Y229" s="510">
        <f t="shared" ref="Y229:Y234" si="607">IF(H229=0,0,$H$15*H229)</f>
        <v>0.12786</v>
      </c>
      <c r="Z229" s="510">
        <f t="shared" ref="Z229:Z234" si="608">IF(L229=0,$H$16*H229,0)</f>
        <v>0</v>
      </c>
      <c r="AA229" s="471">
        <f t="shared" si="527"/>
        <v>3.8</v>
      </c>
      <c r="AB229" s="510">
        <f t="shared" ref="AB229:AB234" si="609">R229*AA229</f>
        <v>0.81085022823669228</v>
      </c>
      <c r="AC229" s="510">
        <f t="shared" ref="AC229:AC234" si="610">Q229*(N229+O229)*$P$14/86400</f>
        <v>0.21338163900965587</v>
      </c>
      <c r="AD229" s="510">
        <f t="shared" ref="AD229:AE234" si="611">IF(E229=0,0,$H$15*(E229+F229))</f>
        <v>0.12786</v>
      </c>
      <c r="AE229" s="510">
        <f t="shared" si="611"/>
        <v>0</v>
      </c>
      <c r="AF229" s="510">
        <f t="shared" si="518"/>
        <v>3.8</v>
      </c>
      <c r="AG229" s="510">
        <f t="shared" ref="AG229:AG234" si="612">AC229*AF229</f>
        <v>0.81085022823669228</v>
      </c>
      <c r="AH229" s="510">
        <f t="shared" ref="AH229:AH234" si="613">+AD229+AE229+AG229</f>
        <v>0.93871022823669226</v>
      </c>
      <c r="AI229" s="510">
        <f t="shared" ref="AI229:AI234" si="614">IF(H229="","",IF(AB229+Y229+Z229+X229+U229&lt;1.5,1.5,AB229+Y229+Z229+X229+U229))</f>
        <v>1.5</v>
      </c>
      <c r="AJ229" s="510">
        <f t="shared" ref="AJ229:AJ234" si="615">+$P$17</f>
        <v>0.75</v>
      </c>
      <c r="AK229" s="511">
        <f t="shared" ref="AK229:AK234" si="616">+BK229/100</f>
        <v>2.0113669203351944E-2</v>
      </c>
      <c r="AL229" s="510">
        <f t="shared" ref="AL229:AL234" si="617">IF(AJ229=0," ",0.14+0.65*AJ229+0.05*AK229)</f>
        <v>0.62850568346016766</v>
      </c>
      <c r="AM229" s="512">
        <f t="shared" ref="AM229:AM234" si="618">((100/36)*$AM$14*(AP229+$AN$14)^$AO$14)</f>
        <v>336.32613267542746</v>
      </c>
      <c r="AN229" s="513">
        <f t="shared" ref="AN229:AN234" si="619">IF(B229=1,IF((0.702*(1.1-$AJ229)*SQRT($CO229))/(($CP229)^(1/3))&lt;5,5,(0.702*(1.1-$AJ229)*SQRT($CO229))/(($CP229)^(1/3))),AP228)</f>
        <v>9.2050817732027888</v>
      </c>
      <c r="AO229" s="513">
        <f t="shared" ref="AO229:AO234" si="620">((1/60)*$AX229/$AQ229)</f>
        <v>0.57672222222222225</v>
      </c>
      <c r="AP229" s="513">
        <f t="shared" ref="AP229:AP234" si="621">IF(B229=1,IF(($AN229+$AO229)&lt;10,10,IF(($AN229+$AO229)&gt;20,20,($AN229+$AO229))),($AN229+$AO229))</f>
        <v>10</v>
      </c>
      <c r="AQ229" s="514">
        <v>3</v>
      </c>
      <c r="AR229" s="513">
        <f t="shared" ref="AR229:AR234" si="622">((1/60)*$AX229/$BT229)</f>
        <v>0.57916068867883808</v>
      </c>
      <c r="AS229" s="513">
        <f t="shared" ref="AS229:AS234" si="623">AO229/AR229</f>
        <v>0.99578965474646008</v>
      </c>
      <c r="AT229" s="510" t="str">
        <f t="shared" ref="AT229:AT234" si="624">IF(AS229&lt;0.9,"Disminuir vel.",IF(AS229&gt;1.1,"Aumentar vel.","Cumple"))</f>
        <v>Cumple</v>
      </c>
      <c r="AU229" s="533">
        <f t="shared" ref="AU229:AU234" si="625">+I229*AL229*AM229</f>
        <v>135.13707894480024</v>
      </c>
      <c r="AV229" s="510">
        <f t="shared" ref="AV229:AV234" si="626">+L229*AL229*AM229</f>
        <v>135.13707894480024</v>
      </c>
      <c r="AW229" s="510">
        <f t="shared" ref="AW229:AW234" si="627">ROUND(IF(AI229&gt;(AV229*0.05),(AV229+AI229),AV229),2)</f>
        <v>135.13999999999999</v>
      </c>
      <c r="AX229" s="516">
        <f>IF(OR(C229="",D229=""),"",ROUND(((VLOOKUP(C229,'Base de Diseño (2)'!$A$2:$C$333,2,FALSE)-VLOOKUP(D229,'Base de Diseño (2)'!$A$2:$C$333,2,FALSE))^2+(VLOOKUP(C229,'Base de Diseño (2)'!$A$2:$C$333,3,0)-VLOOKUP(D229,'Base de Diseño (2)'!$A$2:$C$333,3,FALSE))^2)^0.5,2))</f>
        <v>103.81</v>
      </c>
      <c r="AY229" s="517">
        <v>12</v>
      </c>
      <c r="AZ229" s="518">
        <f>IF(AND(L229="",H229=""),"",IF(BA229=4,VLOOKUP(AY229,'TABLA (2)'!$A$74:$C$89,2),IF(BA229=5,VLOOKUP(AY229,'TABLA (2)'!$A$51:$B$66,2),IF(BA229=6,VLOOKUP(AY229,'TABLA (2)'!$A$9:$B$43,2)))))</f>
        <v>284</v>
      </c>
      <c r="BA229" s="517">
        <v>4</v>
      </c>
      <c r="BB229" s="516">
        <f>IF(OR(C229="",D229=""),"",VLOOKUP(C229,'Base de Diseño (2)'!$A$2:$D$330,4,FALSE))</f>
        <v>995.721</v>
      </c>
      <c r="BC229" s="516">
        <f>IF(OR(C229="",D229=""),"",VLOOKUP(D229,'Base de Diseño (2)'!$A$2:$D$330,4,FALSE))</f>
        <v>993.63300000000004</v>
      </c>
      <c r="BD229" s="519">
        <f t="shared" ref="BD229:BD234" si="628">+BF229-((AZ229/1000)+CX229)</f>
        <v>1.0005000000000002</v>
      </c>
      <c r="BE229" s="519">
        <f t="shared" ref="BE229:BE234" si="629">+BG229-((AZ229/1000)+CX229)</f>
        <v>1.8304999999999998</v>
      </c>
      <c r="BF229" s="520">
        <v>1.3</v>
      </c>
      <c r="BG229" s="520">
        <v>2.13</v>
      </c>
      <c r="BH229" s="521">
        <f t="shared" ref="BH229:BI234" si="630">BB229-BF229</f>
        <v>994.42100000000005</v>
      </c>
      <c r="BI229" s="521">
        <f t="shared" si="630"/>
        <v>991.50300000000004</v>
      </c>
      <c r="BJ229" s="506">
        <f t="shared" ref="BJ229:BJ234" si="631">IF(A229="",0,BI229-BH230)</f>
        <v>6.0000000000059117E-2</v>
      </c>
      <c r="BK229" s="514">
        <f t="shared" ref="BK229:BK234" si="632">ABS((BB229-BC229)/AX229)*100</f>
        <v>2.0113669203351945</v>
      </c>
      <c r="BL229" s="514">
        <f t="shared" ref="BL229:BL234" si="633">((BH229-BI229)/AX229)*100</f>
        <v>2.8109045371351566</v>
      </c>
      <c r="BM229" s="514">
        <f t="shared" ref="BM229:BM234" si="634">IF(BA229=6,(1/0.013)*((AZ229/4000)^(2/3))*((BL229/100)^(0.5)),(1/0.009)*((AZ229/4000)^(2/3))*((BL229/100)^(0.5)))</f>
        <v>3.1941313495848829</v>
      </c>
      <c r="BN229" s="514">
        <f t="shared" ref="BN229:BN234" si="635">1000*BM229*PI()*((AZ229/1000/2)^2)</f>
        <v>202.33887582065728</v>
      </c>
      <c r="BO229" s="522">
        <f t="shared" ref="BO229:BO234" si="636">AI229/BN229</f>
        <v>7.4133059893518559E-3</v>
      </c>
      <c r="BP229" s="523">
        <f t="shared" ref="BP229:BP234" si="637">IF(L229=0," ",AW229/BN229)</f>
        <v>0.66788944760067315</v>
      </c>
      <c r="BQ229" s="524">
        <f t="shared" ref="BQ229:BQ234" si="638">IF($BO229&gt;0 =AND($BO229&lt;=0.06),10^(0.029806+0.29095*LOG($BO229)),IF($BO229&gt;0.06 =AND($BO229&lt;=0.26),10^(0.013778+0.282597*LOG($BO229)),IF($BO229&gt;0.26 =AND($BO229&lt;=0.91),10^(0.021763+0.28995*LOG($BO229)),1)))</f>
        <v>0.25709046510495959</v>
      </c>
      <c r="BR229" s="524">
        <f t="shared" ref="BR229:BR234" si="639">IF($BP229&gt;0 =AND($BP229&lt;=0.06),10^(0.029806+0.29095*LOG($BP229)),IF($BP229&gt;0.06 =AND($BP229&lt;=0.26),10^(0.013778+0.282597*LOG($BP229)),IF($BP229&gt;0.26 =AND($BP229&lt;=2),10^(0.021763+0.28995*LOG($BP229))," ")))</f>
        <v>0.93526803918931689</v>
      </c>
      <c r="BS229" s="514">
        <f t="shared" ref="BS229:BS234" si="640">BM229*BQ229</f>
        <v>0.82118071427110984</v>
      </c>
      <c r="BT229" s="514">
        <f t="shared" ref="BT229:BT234" si="641">IF(BP229=" "," ",(BM229*BR229))</f>
        <v>2.9873689642393799</v>
      </c>
      <c r="BU229" s="514">
        <f t="shared" ref="BU229:BU234" si="642">IF(BO229&lt;=0.11,0.3827+0.0645*LN(BO229),IF(BO229&lt;=0.21,0.60025+0.15471*LN(BO229),IF(BO229&lt;1,0.225+0.6666666667*BO229,0)))</f>
        <v>6.6361118253891072E-2</v>
      </c>
      <c r="BV229" s="514">
        <f t="shared" ref="BV229:BV234" si="643">IF(BP229&lt;=0.11,0.3827+0.0645*LN(BP229),IF(BP229&lt;=0.21,0.60025+0.15471*LN(BP229),IF(BP229&lt;1,0.225+0.6666666667*BP229," ")))</f>
        <v>0.67025963175604508</v>
      </c>
      <c r="BW229" s="514">
        <f t="shared" ref="BW229:BW234" si="644">2*ACOS(1-2*(BU229))</f>
        <v>1.0421771934503714</v>
      </c>
      <c r="BX229" s="514">
        <f t="shared" ref="BX229:BX234" si="645">IF(BP229=" "," ",(2*ACOS(1-2*(BV229))))</f>
        <v>3.8365308751270888</v>
      </c>
      <c r="BY229" s="514">
        <f t="shared" ref="BY229:BY234" si="646">(1/4)*(1-(SIN(BW229))/BW229)</f>
        <v>4.2860483021320117E-2</v>
      </c>
      <c r="BZ229" s="514">
        <f t="shared" ref="BZ229:BZ234" si="647">IF(BP229=" "," ",((1/4)*(1-(SIN(BX229))/BX229)))</f>
        <v>0.29172636751626257</v>
      </c>
      <c r="CA229" s="510">
        <f t="shared" ref="CA229:CA234" si="648">BY229*AZ229/1000</f>
        <v>1.2172377178054914E-2</v>
      </c>
      <c r="CB229" s="510">
        <f t="shared" ref="CB229:CB234" si="649">IF(BP229=" "," ",(BZ229*AZ229/1000))</f>
        <v>8.2850288374618566E-2</v>
      </c>
      <c r="CC229" s="510">
        <f t="shared" ref="CC229:CC234" si="650">+(BT229/SQRT(9.81*(0.125*(BX229-SIN(BX229))*(AZ229/1000)^2)/((AZ229/1000)*SIN(BX229/2))))</f>
        <v>2.3199134956117717</v>
      </c>
      <c r="CD229" s="510" t="str">
        <f t="shared" ref="CD229:CD234" si="651">IF(CC229="","",IF(CC229&lt;0.7,"F. Subcrítico",IF(AND(CC229&gt;0.7,CC229&lt;1),"F. Subcrítico Inestable",IF(CC229=1,"F. Crítico",IF(AND(CC229&gt;1,CC229&lt;1.5),"F. Supercrítico Inestable",IF(CC229&gt;1.5,"F. Supercrítico",""))))))</f>
        <v>F. Supercrítico</v>
      </c>
      <c r="CE229" s="510">
        <f t="shared" ref="CE229:CE234" si="652">1000*BL229*CA229/100</f>
        <v>0.34215390237514998</v>
      </c>
      <c r="CF229" s="510">
        <f t="shared" ref="CF229:CF234" si="653">IF(BP229=" "," ",(1000*BL229*CB229/100))</f>
        <v>2.3288425149517149</v>
      </c>
      <c r="CG229" s="510" t="str">
        <f t="shared" ref="CG229:CG234" si="654">IF(BS229&lt;0.45,"No cumple",IF(BS229&gt;5,"No cumple","O.K"))</f>
        <v>O.K</v>
      </c>
      <c r="CH229" s="510" t="str">
        <f t="shared" ref="CH229:CH234" si="655">IF(BT229&lt;0.75,"No cumple",IF(BT229&gt;10,"No cumple","O.K"))</f>
        <v>O.K</v>
      </c>
      <c r="CI229" s="510" t="str">
        <f t="shared" ref="CI229:CI234" si="656">IF(CE229&gt;0.1,"OK","V.C.H.")</f>
        <v>OK</v>
      </c>
      <c r="CJ229" s="510" t="str">
        <f t="shared" ref="CJ229:CJ234" si="657">IF(CF229&gt;0.2,"OK","V.C.H.")</f>
        <v>OK</v>
      </c>
      <c r="CK229" s="506">
        <f t="shared" ref="CK229:CK234" si="658">+BJ229</f>
        <v>6.0000000000059117E-2</v>
      </c>
      <c r="CL229" s="525" t="s">
        <v>2515</v>
      </c>
      <c r="CM229" s="525"/>
      <c r="CN229" s="526" t="str">
        <f t="shared" ref="CN229:CN234" si="659">IF(B229=1,"dato"," ")</f>
        <v>dato</v>
      </c>
      <c r="CO229" s="527">
        <f>+CR229</f>
        <v>103.81</v>
      </c>
      <c r="CP229" s="511">
        <f>+BK229/100</f>
        <v>2.0113669203351944E-2</v>
      </c>
      <c r="CQ229" s="525" t="s">
        <v>2508</v>
      </c>
      <c r="CR229" s="522">
        <f t="shared" ref="CR229:CR234" si="660">IF(BA229="","",AX229)</f>
        <v>103.81</v>
      </c>
      <c r="CS229" s="528">
        <v>1.2</v>
      </c>
      <c r="CT229" s="528">
        <v>1.2</v>
      </c>
      <c r="CU229" s="519">
        <f t="shared" ref="CU229:CU234" si="661">IF($BA229="","",SQRT((BH229-BI229)^2+$CR229^2))</f>
        <v>103.85100299948962</v>
      </c>
      <c r="CV229" s="529" t="s">
        <v>2509</v>
      </c>
      <c r="CW229" s="530" t="str">
        <f t="shared" ref="CW229:CW234" si="662">+IF(BD229&lt;=0.9,"E1",IF(BD229&lt;=2.5,"E2","E3"))</f>
        <v>E2</v>
      </c>
      <c r="CX229" s="522">
        <f>IF(AND(L229="",H229=""),"",IF(AND(BA229&lt;&gt;4,BA229&lt;&gt;5),VLOOKUP(AY229,'TABLA (2)'!$A$9:$D$43,4),IF(BA229=4,VLOOKUP(AY229,'TABLA (2)'!$A$74:$D$89,4),VLOOKUP(AY229,'TABLA (2)'!$A$51:$D$66,4))))</f>
        <v>1.55E-2</v>
      </c>
      <c r="CY229" s="525"/>
      <c r="CZ229" s="525"/>
      <c r="DA229" s="525"/>
      <c r="DB229" s="531"/>
    </row>
    <row r="230" spans="1:106" s="562" customFormat="1" ht="15" customHeight="1">
      <c r="A230" s="563">
        <f>+A229+1</f>
        <v>150</v>
      </c>
      <c r="B230" s="535"/>
      <c r="C230" s="536" t="s">
        <v>99</v>
      </c>
      <c r="D230" s="536" t="s">
        <v>2338</v>
      </c>
      <c r="E230" s="537">
        <v>0.11436796159999998</v>
      </c>
      <c r="F230" s="537"/>
      <c r="G230" s="537">
        <f t="shared" si="595"/>
        <v>0.63929999999999998</v>
      </c>
      <c r="H230" s="537">
        <f t="shared" si="596"/>
        <v>0.75366796159999994</v>
      </c>
      <c r="I230" s="537">
        <v>0.11436796159999998</v>
      </c>
      <c r="J230" s="537"/>
      <c r="K230" s="538">
        <f t="shared" ca="1" si="597"/>
        <v>0.63929999999999998</v>
      </c>
      <c r="L230" s="537">
        <f t="shared" ca="1" si="598"/>
        <v>0.75366796159999994</v>
      </c>
      <c r="M230" s="539">
        <f t="shared" si="599"/>
        <v>242.33666300502347</v>
      </c>
      <c r="N230" s="540">
        <f t="shared" si="600"/>
        <v>27.71555016883066</v>
      </c>
      <c r="O230" s="540">
        <f t="shared" si="601"/>
        <v>0</v>
      </c>
      <c r="P230" s="540">
        <f t="shared" si="602"/>
        <v>182.64137882794216</v>
      </c>
      <c r="Q230" s="539">
        <f t="shared" si="603"/>
        <v>140</v>
      </c>
      <c r="R230" s="541">
        <f t="shared" si="604"/>
        <v>0.25155467685792959</v>
      </c>
      <c r="S230" s="541"/>
      <c r="T230" s="541"/>
      <c r="U230" s="541">
        <f t="shared" si="605"/>
        <v>0</v>
      </c>
      <c r="V230" s="541"/>
      <c r="W230" s="541"/>
      <c r="X230" s="541">
        <f t="shared" si="606"/>
        <v>0</v>
      </c>
      <c r="Y230" s="541">
        <f t="shared" si="607"/>
        <v>0.15073359232</v>
      </c>
      <c r="Z230" s="541">
        <f t="shared" ca="1" si="608"/>
        <v>0</v>
      </c>
      <c r="AA230" s="471">
        <f t="shared" si="527"/>
        <v>3.8</v>
      </c>
      <c r="AB230" s="541">
        <f t="shared" si="609"/>
        <v>0.95590777206013244</v>
      </c>
      <c r="AC230" s="541">
        <f t="shared" si="610"/>
        <v>3.8173037848273708E-2</v>
      </c>
      <c r="AD230" s="541">
        <f t="shared" si="611"/>
        <v>2.2873592319999997E-2</v>
      </c>
      <c r="AE230" s="541">
        <f t="shared" si="611"/>
        <v>0</v>
      </c>
      <c r="AF230" s="510">
        <f t="shared" si="518"/>
        <v>3.8</v>
      </c>
      <c r="AG230" s="541">
        <f t="shared" si="612"/>
        <v>0.14505754382344008</v>
      </c>
      <c r="AH230" s="541">
        <f t="shared" si="613"/>
        <v>0.16793113614344007</v>
      </c>
      <c r="AI230" s="541">
        <f t="shared" ca="1" si="614"/>
        <v>1.5</v>
      </c>
      <c r="AJ230" s="541">
        <f t="shared" si="615"/>
        <v>0.75</v>
      </c>
      <c r="AK230" s="542">
        <f t="shared" si="616"/>
        <v>0.15622073578595483</v>
      </c>
      <c r="AL230" s="541">
        <f t="shared" si="617"/>
        <v>0.63531103678929779</v>
      </c>
      <c r="AM230" s="543">
        <f t="shared" si="618"/>
        <v>335.33960457101119</v>
      </c>
      <c r="AN230" s="544">
        <f t="shared" si="619"/>
        <v>10</v>
      </c>
      <c r="AO230" s="544">
        <f t="shared" si="620"/>
        <v>9.9666666666666653E-2</v>
      </c>
      <c r="AP230" s="544">
        <f t="shared" si="621"/>
        <v>10.099666666666666</v>
      </c>
      <c r="AQ230" s="545">
        <v>5</v>
      </c>
      <c r="AR230" s="544">
        <f t="shared" ca="1" si="622"/>
        <v>9.1106937212629538E-2</v>
      </c>
      <c r="AS230" s="544">
        <f t="shared" ca="1" si="623"/>
        <v>1.093952554173345</v>
      </c>
      <c r="AT230" s="541" t="str">
        <f t="shared" ca="1" si="624"/>
        <v>Cumple</v>
      </c>
      <c r="AU230" s="546">
        <f t="shared" si="625"/>
        <v>24.365516873000583</v>
      </c>
      <c r="AV230" s="541">
        <f t="shared" ca="1" si="626"/>
        <v>160.56515459487525</v>
      </c>
      <c r="AW230" s="541">
        <f t="shared" ca="1" si="627"/>
        <v>160.57</v>
      </c>
      <c r="AX230" s="547">
        <f>IF(OR(C230="",D230=""),"",ROUND(((VLOOKUP(C230,'Base de Diseño (2)'!$A$2:$C$333,2,FALSE)-VLOOKUP(D230,'Base de Diseño (2)'!$A$2:$C$333,2,FALSE))^2+(VLOOKUP(C230,'Base de Diseño (2)'!$A$2:$C$333,3,0)-VLOOKUP(D230,'Base de Diseño (2)'!$A$2:$C$333,3,FALSE))^2)^0.5,2))</f>
        <v>29.9</v>
      </c>
      <c r="AY230" s="548">
        <v>12</v>
      </c>
      <c r="AZ230" s="549">
        <f ca="1">IF(AND(L230="",H230=""),"",IF(BA230=4,VLOOKUP(AY230,'TABLA (2)'!$A$74:$C$89,2),IF(BA230=5,VLOOKUP(AY230,'TABLA (2)'!$A$51:$B$66,2),IF(BA230=6,VLOOKUP(AY230,'TABLA (2)'!$A$9:$B$43,2)))))</f>
        <v>284</v>
      </c>
      <c r="BA230" s="548">
        <v>4</v>
      </c>
      <c r="BB230" s="547">
        <f>IF(OR(C230="",D230=""),"",VLOOKUP(C230,'Base de Diseño (2)'!$A$2:$D$330,4,FALSE))</f>
        <v>993.63300000000004</v>
      </c>
      <c r="BC230" s="547">
        <f>IF(OR(C230="",D230=""),"",VLOOKUP(D230,'Base de Diseño (2)'!$A$2:$D$330,4,FALSE))</f>
        <v>988.96199999999999</v>
      </c>
      <c r="BD230" s="550">
        <f t="shared" ca="1" si="628"/>
        <v>1.8904999999999998</v>
      </c>
      <c r="BE230" s="550">
        <f t="shared" ca="1" si="629"/>
        <v>1.2304999999999726</v>
      </c>
      <c r="BF230" s="551">
        <v>2.19</v>
      </c>
      <c r="BG230" s="551">
        <v>1.5299999999999727</v>
      </c>
      <c r="BH230" s="552">
        <f t="shared" si="630"/>
        <v>991.44299999999998</v>
      </c>
      <c r="BI230" s="552">
        <f t="shared" si="630"/>
        <v>987.43200000000002</v>
      </c>
      <c r="BJ230" s="537">
        <f t="shared" si="631"/>
        <v>6.0000000000059117E-2</v>
      </c>
      <c r="BK230" s="545">
        <f t="shared" si="632"/>
        <v>15.622073578595483</v>
      </c>
      <c r="BL230" s="545">
        <f t="shared" si="633"/>
        <v>13.414715719063436</v>
      </c>
      <c r="BM230" s="545">
        <f t="shared" ca="1" si="634"/>
        <v>6.9778312096858475</v>
      </c>
      <c r="BN230" s="545">
        <f t="shared" ca="1" si="635"/>
        <v>442.02519186245223</v>
      </c>
      <c r="BO230" s="553">
        <f t="shared" ca="1" si="636"/>
        <v>3.393471746892572E-3</v>
      </c>
      <c r="BP230" s="564">
        <f t="shared" ca="1" si="637"/>
        <v>0.36325983893236014</v>
      </c>
      <c r="BQ230" s="554">
        <f t="shared" ca="1" si="638"/>
        <v>0.20480801149068284</v>
      </c>
      <c r="BR230" s="554">
        <f t="shared" ca="1" si="639"/>
        <v>0.78387719715464177</v>
      </c>
      <c r="BS230" s="545">
        <f t="shared" ca="1" si="640"/>
        <v>1.4291157345733845</v>
      </c>
      <c r="BT230" s="545">
        <f t="shared" ca="1" si="641"/>
        <v>5.4697627708667254</v>
      </c>
      <c r="BU230" s="545">
        <f t="shared" ca="1" si="642"/>
        <v>1.5959335995650747E-2</v>
      </c>
      <c r="BV230" s="545">
        <f t="shared" ca="1" si="643"/>
        <v>0.46717322596701538</v>
      </c>
      <c r="BW230" s="545">
        <f t="shared" ca="1" si="644"/>
        <v>0.506674905947754</v>
      </c>
      <c r="BX230" s="545">
        <f t="shared" ca="1" si="645"/>
        <v>3.0101910432525973</v>
      </c>
      <c r="BY230" s="545">
        <f t="shared" ca="1" si="646"/>
        <v>1.0560178597815661E-2</v>
      </c>
      <c r="BZ230" s="545">
        <f t="shared" ca="1" si="647"/>
        <v>0.23911831538693507</v>
      </c>
      <c r="CA230" s="541">
        <f t="shared" ca="1" si="648"/>
        <v>2.999090721779648E-3</v>
      </c>
      <c r="CB230" s="541">
        <f t="shared" ca="1" si="649"/>
        <v>6.7909601569889566E-2</v>
      </c>
      <c r="CC230" s="541">
        <f t="shared" ca="1" si="650"/>
        <v>5.4565401893717196</v>
      </c>
      <c r="CD230" s="541" t="str">
        <f t="shared" ca="1" si="651"/>
        <v>F. Supercrítico</v>
      </c>
      <c r="CE230" s="541">
        <f t="shared" ca="1" si="652"/>
        <v>0.40231949448354748</v>
      </c>
      <c r="CF230" s="541">
        <f t="shared" ca="1" si="653"/>
        <v>9.109879996549326</v>
      </c>
      <c r="CG230" s="541" t="str">
        <f t="shared" ca="1" si="654"/>
        <v>O.K</v>
      </c>
      <c r="CH230" s="541" t="str">
        <f t="shared" ca="1" si="655"/>
        <v>O.K</v>
      </c>
      <c r="CI230" s="541" t="str">
        <f t="shared" ca="1" si="656"/>
        <v>OK</v>
      </c>
      <c r="CJ230" s="541" t="str">
        <f t="shared" ca="1" si="657"/>
        <v>OK</v>
      </c>
      <c r="CK230" s="537">
        <f t="shared" si="658"/>
        <v>6.0000000000059117E-2</v>
      </c>
      <c r="CL230" s="555" t="s">
        <v>2507</v>
      </c>
      <c r="CM230" s="555"/>
      <c r="CN230" s="556" t="str">
        <f t="shared" si="659"/>
        <v xml:space="preserve"> </v>
      </c>
      <c r="CO230" s="557">
        <f>+CR230</f>
        <v>29.9</v>
      </c>
      <c r="CP230" s="542">
        <f>+BK230/100</f>
        <v>0.15622073578595483</v>
      </c>
      <c r="CQ230" s="555" t="s">
        <v>2508</v>
      </c>
      <c r="CR230" s="553">
        <f t="shared" si="660"/>
        <v>29.9</v>
      </c>
      <c r="CS230" s="558">
        <v>1.2</v>
      </c>
      <c r="CT230" s="558">
        <v>1.2</v>
      </c>
      <c r="CU230" s="550">
        <f t="shared" si="661"/>
        <v>30.167832553897533</v>
      </c>
      <c r="CV230" s="559" t="s">
        <v>2509</v>
      </c>
      <c r="CW230" s="560" t="str">
        <f t="shared" ca="1" si="662"/>
        <v>E2</v>
      </c>
      <c r="CX230" s="553">
        <f ca="1">IF(AND(L230="",H230=""),"",IF(AND(BA230&lt;&gt;4,BA230&lt;&gt;5),VLOOKUP(AY230,'TABLA (2)'!$A$9:$D$43,4),IF(BA230=4,VLOOKUP(AY230,'TABLA (2)'!$A$74:$D$89,4),VLOOKUP(AY230,'TABLA (2)'!$A$51:$D$66,4))))</f>
        <v>1.55E-2</v>
      </c>
      <c r="CY230" s="555"/>
      <c r="CZ230" s="555"/>
      <c r="DA230" s="555"/>
      <c r="DB230" s="561"/>
    </row>
    <row r="231" spans="1:106" s="562" customFormat="1" ht="15" customHeight="1">
      <c r="A231" s="563">
        <f>+A230+1</f>
        <v>151</v>
      </c>
      <c r="B231" s="535"/>
      <c r="C231" s="536" t="s">
        <v>2338</v>
      </c>
      <c r="D231" s="536" t="s">
        <v>103</v>
      </c>
      <c r="E231" s="537">
        <v>0.3922475681</v>
      </c>
      <c r="F231" s="537"/>
      <c r="G231" s="537">
        <f t="shared" si="595"/>
        <v>0.75366796159999994</v>
      </c>
      <c r="H231" s="537">
        <f t="shared" si="596"/>
        <v>1.1459155296999999</v>
      </c>
      <c r="I231" s="537">
        <v>0.3922475681</v>
      </c>
      <c r="J231" s="537"/>
      <c r="K231" s="538">
        <f t="shared" ca="1" si="597"/>
        <v>0.75366796159999994</v>
      </c>
      <c r="L231" s="537">
        <f t="shared" ca="1" si="598"/>
        <v>1.1459155296999999</v>
      </c>
      <c r="M231" s="539">
        <f t="shared" si="599"/>
        <v>242.33666300502347</v>
      </c>
      <c r="N231" s="540">
        <f t="shared" si="600"/>
        <v>95.055966725189691</v>
      </c>
      <c r="O231" s="540">
        <f t="shared" si="601"/>
        <v>0</v>
      </c>
      <c r="P231" s="540">
        <f t="shared" si="602"/>
        <v>277.69734555313181</v>
      </c>
      <c r="Q231" s="539">
        <f t="shared" si="603"/>
        <v>140</v>
      </c>
      <c r="R231" s="541">
        <f t="shared" si="604"/>
        <v>0.3824766680650773</v>
      </c>
      <c r="S231" s="541"/>
      <c r="T231" s="541"/>
      <c r="U231" s="541">
        <f t="shared" si="605"/>
        <v>0</v>
      </c>
      <c r="V231" s="541"/>
      <c r="W231" s="541"/>
      <c r="X231" s="541">
        <f t="shared" si="606"/>
        <v>0</v>
      </c>
      <c r="Y231" s="541">
        <f t="shared" si="607"/>
        <v>0.22918310593999999</v>
      </c>
      <c r="Z231" s="541">
        <f t="shared" ca="1" si="608"/>
        <v>0</v>
      </c>
      <c r="AA231" s="471">
        <f t="shared" si="527"/>
        <v>3.8</v>
      </c>
      <c r="AB231" s="541">
        <f t="shared" si="609"/>
        <v>1.4534113386472935</v>
      </c>
      <c r="AC231" s="541">
        <f t="shared" si="610"/>
        <v>0.13092199120714784</v>
      </c>
      <c r="AD231" s="541">
        <f t="shared" si="611"/>
        <v>7.8449513620000008E-2</v>
      </c>
      <c r="AE231" s="541">
        <f t="shared" si="611"/>
        <v>0</v>
      </c>
      <c r="AF231" s="510">
        <f t="shared" si="518"/>
        <v>3.8</v>
      </c>
      <c r="AG231" s="541">
        <f t="shared" si="612"/>
        <v>0.49750356658716177</v>
      </c>
      <c r="AH231" s="541">
        <f t="shared" si="613"/>
        <v>0.57595308020716174</v>
      </c>
      <c r="AI231" s="541">
        <f t="shared" ca="1" si="614"/>
        <v>1.6825944445872936</v>
      </c>
      <c r="AJ231" s="541">
        <f t="shared" si="615"/>
        <v>0.75</v>
      </c>
      <c r="AK231" s="542">
        <f t="shared" si="616"/>
        <v>2.1034192825111778E-2</v>
      </c>
      <c r="AL231" s="541">
        <f t="shared" si="617"/>
        <v>0.62855170964125562</v>
      </c>
      <c r="AM231" s="543">
        <f t="shared" si="618"/>
        <v>332.42918854812854</v>
      </c>
      <c r="AN231" s="544">
        <f t="shared" si="619"/>
        <v>10.099666666666666</v>
      </c>
      <c r="AO231" s="544">
        <f t="shared" si="620"/>
        <v>0.29733333333333334</v>
      </c>
      <c r="AP231" s="544">
        <f t="shared" si="621"/>
        <v>10.396999999999998</v>
      </c>
      <c r="AQ231" s="545">
        <v>4</v>
      </c>
      <c r="AR231" s="544">
        <f t="shared" ca="1" si="622"/>
        <v>0.28763404201294362</v>
      </c>
      <c r="AS231" s="544">
        <f t="shared" ca="1" si="623"/>
        <v>1.0337209436425234</v>
      </c>
      <c r="AT231" s="541" t="str">
        <f t="shared" ca="1" si="624"/>
        <v>Cumple</v>
      </c>
      <c r="AU231" s="546">
        <f t="shared" si="625"/>
        <v>81.959711531044562</v>
      </c>
      <c r="AV231" s="541">
        <f t="shared" ca="1" si="626"/>
        <v>239.43782929767545</v>
      </c>
      <c r="AW231" s="541">
        <f t="shared" ca="1" si="627"/>
        <v>239.44</v>
      </c>
      <c r="AX231" s="547">
        <f>IF(OR(C231="",D231=""),"",ROUND(((VLOOKUP(C231,'Base de Diseño (2)'!$A$2:$C$333,2,FALSE)-VLOOKUP(D231,'Base de Diseño (2)'!$A$2:$C$333,2,FALSE))^2+(VLOOKUP(C231,'Base de Diseño (2)'!$A$2:$C$333,3,0)-VLOOKUP(D231,'Base de Diseño (2)'!$A$2:$C$333,3,FALSE))^2)^0.5,2))</f>
        <v>71.36</v>
      </c>
      <c r="AY231" s="548">
        <v>12</v>
      </c>
      <c r="AZ231" s="549">
        <f ca="1">IF(AND(L231="",H231=""),"",IF(BA231=4,VLOOKUP(AY231,'TABLA (2)'!$A$74:$C$89,2),IF(BA231=5,VLOOKUP(AY231,'TABLA (2)'!$A$51:$B$66,2),IF(BA231=6,VLOOKUP(AY231,'TABLA (2)'!$A$9:$B$43,2)))))</f>
        <v>284</v>
      </c>
      <c r="BA231" s="548">
        <v>4</v>
      </c>
      <c r="BB231" s="547">
        <f>IF(OR(C231="",D231=""),"",VLOOKUP(C231,'Base de Diseño (2)'!$A$2:$D$330,4,FALSE))</f>
        <v>988.96199999999999</v>
      </c>
      <c r="BC231" s="547">
        <f>IF(OR(C231="",D231=""),"",VLOOKUP(D231,'Base de Diseño (2)'!$A$2:$D$330,4,FALSE))</f>
        <v>987.46100000000001</v>
      </c>
      <c r="BD231" s="550">
        <f t="shared" ca="1" si="628"/>
        <v>1.2905000000000317</v>
      </c>
      <c r="BE231" s="550">
        <f t="shared" ca="1" si="629"/>
        <v>2.9305000000000181</v>
      </c>
      <c r="BF231" s="551">
        <v>1.5900000000000318</v>
      </c>
      <c r="BG231" s="551">
        <v>3.2300000000000182</v>
      </c>
      <c r="BH231" s="552">
        <f t="shared" si="630"/>
        <v>987.37199999999996</v>
      </c>
      <c r="BI231" s="552">
        <f t="shared" si="630"/>
        <v>984.23099999999999</v>
      </c>
      <c r="BJ231" s="537">
        <f t="shared" si="631"/>
        <v>6.9999999999936335E-2</v>
      </c>
      <c r="BK231" s="545">
        <f t="shared" si="632"/>
        <v>2.1034192825111777</v>
      </c>
      <c r="BL231" s="545">
        <f t="shared" si="633"/>
        <v>4.401625560538065</v>
      </c>
      <c r="BM231" s="545">
        <f t="shared" ca="1" si="634"/>
        <v>3.9970195324483178</v>
      </c>
      <c r="BN231" s="545">
        <f t="shared" ca="1" si="635"/>
        <v>253.1994931685916</v>
      </c>
      <c r="BO231" s="553">
        <f t="shared" ca="1" si="636"/>
        <v>6.6453310136246856E-3</v>
      </c>
      <c r="BP231" s="564">
        <f t="shared" ca="1" si="637"/>
        <v>0.94565750114108671</v>
      </c>
      <c r="BQ231" s="554">
        <f t="shared" ca="1" si="638"/>
        <v>0.24903891192190197</v>
      </c>
      <c r="BR231" s="554">
        <f t="shared" ca="1" si="639"/>
        <v>1.0344917609240025</v>
      </c>
      <c r="BS231" s="545">
        <f t="shared" ca="1" si="640"/>
        <v>0.9954133952915184</v>
      </c>
      <c r="BT231" s="545">
        <f t="shared" ca="1" si="641"/>
        <v>4.1348837745700937</v>
      </c>
      <c r="BU231" s="545">
        <f t="shared" ca="1" si="642"/>
        <v>5.9307270069350493E-2</v>
      </c>
      <c r="BV231" s="545">
        <f t="shared" ca="1" si="643"/>
        <v>0.85543833412557968</v>
      </c>
      <c r="BW231" s="545">
        <f t="shared" ca="1" si="644"/>
        <v>0.98401855627985535</v>
      </c>
      <c r="BX231" s="545">
        <f t="shared" ca="1" si="645"/>
        <v>4.7230804589976785</v>
      </c>
      <c r="BY231" s="545">
        <f t="shared" ca="1" si="646"/>
        <v>3.8436640790558474E-2</v>
      </c>
      <c r="BZ231" s="545">
        <f t="shared" ca="1" si="647"/>
        <v>0.3029285312503</v>
      </c>
      <c r="CA231" s="541">
        <f t="shared" ca="1" si="648"/>
        <v>1.0916005984518607E-2</v>
      </c>
      <c r="CB231" s="541">
        <f t="shared" ca="1" si="649"/>
        <v>8.60317028750852E-2</v>
      </c>
      <c r="CC231" s="541">
        <f t="shared" ca="1" si="650"/>
        <v>2.4562769350918292</v>
      </c>
      <c r="CD231" s="541" t="str">
        <f t="shared" ca="1" si="651"/>
        <v>F. Supercrítico</v>
      </c>
      <c r="CE231" s="541">
        <f t="shared" ca="1" si="652"/>
        <v>0.48048170960443587</v>
      </c>
      <c r="CF231" s="541">
        <f t="shared" ca="1" si="653"/>
        <v>3.7867934239159116</v>
      </c>
      <c r="CG231" s="541" t="str">
        <f t="shared" ca="1" si="654"/>
        <v>O.K</v>
      </c>
      <c r="CH231" s="541" t="str">
        <f t="shared" ca="1" si="655"/>
        <v>O.K</v>
      </c>
      <c r="CI231" s="541" t="str">
        <f t="shared" ca="1" si="656"/>
        <v>OK</v>
      </c>
      <c r="CJ231" s="541" t="str">
        <f t="shared" ca="1" si="657"/>
        <v>OK</v>
      </c>
      <c r="CK231" s="537">
        <f t="shared" si="658"/>
        <v>6.9999999999936335E-2</v>
      </c>
      <c r="CL231" s="555" t="s">
        <v>2507</v>
      </c>
      <c r="CM231" s="555"/>
      <c r="CN231" s="556" t="str">
        <f t="shared" si="659"/>
        <v xml:space="preserve"> </v>
      </c>
      <c r="CO231" s="557">
        <f>+CR231</f>
        <v>71.36</v>
      </c>
      <c r="CP231" s="542"/>
      <c r="CQ231" s="555" t="s">
        <v>2508</v>
      </c>
      <c r="CR231" s="553">
        <f t="shared" si="660"/>
        <v>71.36</v>
      </c>
      <c r="CS231" s="558">
        <v>1.2</v>
      </c>
      <c r="CT231" s="558">
        <v>1.2</v>
      </c>
      <c r="CU231" s="550">
        <f t="shared" si="661"/>
        <v>71.42909407937357</v>
      </c>
      <c r="CV231" s="559" t="s">
        <v>2509</v>
      </c>
      <c r="CW231" s="560" t="str">
        <f t="shared" ca="1" si="662"/>
        <v>E2</v>
      </c>
      <c r="CX231" s="553">
        <f ca="1">IF(AND(L231="",H231=""),"",IF(AND(BA231&lt;&gt;4,BA231&lt;&gt;5),VLOOKUP(AY231,'TABLA (2)'!$A$9:$D$43,4),IF(BA231=4,VLOOKUP(AY231,'TABLA (2)'!$A$74:$D$89,4),VLOOKUP(AY231,'TABLA (2)'!$A$51:$D$66,4))))</f>
        <v>1.55E-2</v>
      </c>
      <c r="CY231" s="555"/>
      <c r="CZ231" s="555"/>
      <c r="DA231" s="555"/>
      <c r="DB231" s="561"/>
    </row>
    <row r="232" spans="1:106" s="562" customFormat="1" ht="15" customHeight="1">
      <c r="A232" s="563">
        <f>+A231+1</f>
        <v>152</v>
      </c>
      <c r="B232" s="535"/>
      <c r="C232" s="536" t="s">
        <v>103</v>
      </c>
      <c r="D232" s="536" t="s">
        <v>72</v>
      </c>
      <c r="E232" s="537">
        <v>0.43591584620000001</v>
      </c>
      <c r="F232" s="537"/>
      <c r="G232" s="537">
        <f t="shared" si="595"/>
        <v>3.4593890416999997</v>
      </c>
      <c r="H232" s="537">
        <f t="shared" si="596"/>
        <v>3.8953048878999996</v>
      </c>
      <c r="I232" s="537">
        <v>0.43591584620000001</v>
      </c>
      <c r="J232" s="537"/>
      <c r="K232" s="538">
        <f t="shared" ca="1" si="597"/>
        <v>3.4593890416999997</v>
      </c>
      <c r="L232" s="537">
        <f t="shared" ca="1" si="598"/>
        <v>3.8953048878999996</v>
      </c>
      <c r="M232" s="539">
        <f t="shared" si="599"/>
        <v>242.33666300502347</v>
      </c>
      <c r="N232" s="540">
        <f t="shared" si="600"/>
        <v>105.63839151911904</v>
      </c>
      <c r="O232" s="540">
        <f t="shared" si="601"/>
        <v>0</v>
      </c>
      <c r="P232" s="540">
        <f t="shared" si="602"/>
        <v>943.97518792084293</v>
      </c>
      <c r="Q232" s="539">
        <f t="shared" si="603"/>
        <v>140</v>
      </c>
      <c r="R232" s="541">
        <f t="shared" si="604"/>
        <v>1.3001510111409758</v>
      </c>
      <c r="S232" s="541"/>
      <c r="T232" s="541"/>
      <c r="U232" s="541">
        <f t="shared" si="605"/>
        <v>0</v>
      </c>
      <c r="V232" s="541"/>
      <c r="W232" s="541"/>
      <c r="X232" s="541">
        <f t="shared" si="606"/>
        <v>0</v>
      </c>
      <c r="Y232" s="541">
        <f t="shared" si="607"/>
        <v>0.77906097757999992</v>
      </c>
      <c r="Z232" s="541">
        <f t="shared" ca="1" si="608"/>
        <v>0</v>
      </c>
      <c r="AA232" s="471">
        <f t="shared" si="527"/>
        <v>3.8</v>
      </c>
      <c r="AB232" s="541">
        <f t="shared" si="609"/>
        <v>4.9405738423357075</v>
      </c>
      <c r="AC232" s="541">
        <f t="shared" si="610"/>
        <v>0.14549732165249035</v>
      </c>
      <c r="AD232" s="541">
        <f t="shared" si="611"/>
        <v>8.7183169240000011E-2</v>
      </c>
      <c r="AE232" s="541">
        <f t="shared" si="611"/>
        <v>0</v>
      </c>
      <c r="AF232" s="510">
        <f t="shared" si="518"/>
        <v>3.8</v>
      </c>
      <c r="AG232" s="541">
        <f t="shared" si="612"/>
        <v>0.55288982227946326</v>
      </c>
      <c r="AH232" s="541">
        <f t="shared" si="613"/>
        <v>0.64007299151946329</v>
      </c>
      <c r="AI232" s="541">
        <f t="shared" ca="1" si="614"/>
        <v>5.7196348199157079</v>
      </c>
      <c r="AJ232" s="541">
        <f t="shared" si="615"/>
        <v>0.75</v>
      </c>
      <c r="AK232" s="542">
        <f t="shared" si="616"/>
        <v>1.0274920886075824E-2</v>
      </c>
      <c r="AL232" s="541">
        <f t="shared" si="617"/>
        <v>0.62801374604430382</v>
      </c>
      <c r="AM232" s="543">
        <f t="shared" si="618"/>
        <v>327.81716527955058</v>
      </c>
      <c r="AN232" s="544">
        <f t="shared" si="619"/>
        <v>10.396999999999998</v>
      </c>
      <c r="AO232" s="544">
        <f t="shared" si="620"/>
        <v>0.48152380952380952</v>
      </c>
      <c r="AP232" s="544">
        <f t="shared" si="621"/>
        <v>10.878523809523807</v>
      </c>
      <c r="AQ232" s="545">
        <v>3.5</v>
      </c>
      <c r="AR232" s="544">
        <f t="shared" ca="1" si="622"/>
        <v>0.50054289299978161</v>
      </c>
      <c r="AS232" s="544">
        <f t="shared" ca="1" si="623"/>
        <v>0.96200308956143665</v>
      </c>
      <c r="AT232" s="541" t="str">
        <f t="shared" ca="1" si="624"/>
        <v>Cumple</v>
      </c>
      <c r="AU232" s="546">
        <f t="shared" si="625"/>
        <v>89.743602036392531</v>
      </c>
      <c r="AV232" s="541">
        <f t="shared" ca="1" si="626"/>
        <v>801.94077530671836</v>
      </c>
      <c r="AW232" s="541">
        <f t="shared" ca="1" si="627"/>
        <v>801.94</v>
      </c>
      <c r="AX232" s="547">
        <f>IF(OR(C232="",D232=""),"",ROUND(((VLOOKUP(C232,'Base de Diseño (2)'!$A$2:$C$333,2,FALSE)-VLOOKUP(D232,'Base de Diseño (2)'!$A$2:$C$333,2,FALSE))^2+(VLOOKUP(C232,'Base de Diseño (2)'!$A$2:$C$333,3,0)-VLOOKUP(D232,'Base de Diseño (2)'!$A$2:$C$333,3,FALSE))^2)^0.5,2))</f>
        <v>101.12</v>
      </c>
      <c r="AY232" s="548">
        <v>24</v>
      </c>
      <c r="AZ232" s="549">
        <f ca="1">IF(AND(L232="",H232=""),"",IF(BA232=4,VLOOKUP(AY232,'TABLA (2)'!$A$74:$C$89,2),IF(BA232=5,VLOOKUP(AY232,'TABLA (2)'!$A$51:$B$66,2),IF(BA232=6,VLOOKUP(AY232,'TABLA (2)'!$A$9:$B$43,2)))))</f>
        <v>595.12</v>
      </c>
      <c r="BA232" s="548">
        <v>4</v>
      </c>
      <c r="BB232" s="547">
        <f>IF(OR(C232="",D232=""),"",VLOOKUP(C232,'Base de Diseño (2)'!$A$2:$D$330,4,FALSE))</f>
        <v>987.46100000000001</v>
      </c>
      <c r="BC232" s="547">
        <f>IF(OR(C232="",D232=""),"",VLOOKUP(D232,'Base de Diseño (2)'!$A$2:$D$330,4,FALSE))</f>
        <v>988.5</v>
      </c>
      <c r="BD232" s="550">
        <f t="shared" ca="1" si="628"/>
        <v>2.6744399999999997</v>
      </c>
      <c r="BE232" s="550">
        <f t="shared" ca="1" si="629"/>
        <v>4.8744399999999999</v>
      </c>
      <c r="BF232" s="551">
        <v>3.3</v>
      </c>
      <c r="BG232" s="551">
        <v>5.5</v>
      </c>
      <c r="BH232" s="552">
        <f t="shared" si="630"/>
        <v>984.16100000000006</v>
      </c>
      <c r="BI232" s="552">
        <f t="shared" si="630"/>
        <v>983</v>
      </c>
      <c r="BJ232" s="537">
        <f t="shared" si="631"/>
        <v>0.5</v>
      </c>
      <c r="BK232" s="545">
        <f t="shared" si="632"/>
        <v>1.0274920886075825</v>
      </c>
      <c r="BL232" s="545">
        <f t="shared" si="633"/>
        <v>1.1481408227848675</v>
      </c>
      <c r="BM232" s="545">
        <f t="shared" ca="1" si="634"/>
        <v>3.3428593659144075</v>
      </c>
      <c r="BN232" s="545">
        <f t="shared" ca="1" si="635"/>
        <v>929.85895730935454</v>
      </c>
      <c r="BO232" s="553">
        <f t="shared" ca="1" si="636"/>
        <v>6.1510778327780779E-3</v>
      </c>
      <c r="BP232" s="564">
        <f t="shared" ca="1" si="637"/>
        <v>0.86243187065756555</v>
      </c>
      <c r="BQ232" s="554">
        <f t="shared" ca="1" si="638"/>
        <v>0.24350134149104283</v>
      </c>
      <c r="BR232" s="554">
        <f t="shared" ca="1" si="639"/>
        <v>1.0072247871977154</v>
      </c>
      <c r="BS232" s="545">
        <f t="shared" ca="1" si="640"/>
        <v>0.81399074001605498</v>
      </c>
      <c r="BT232" s="545">
        <f t="shared" ca="1" si="641"/>
        <v>3.3670108134650287</v>
      </c>
      <c r="BU232" s="545">
        <f t="shared" ca="1" si="642"/>
        <v>5.4322246892360648E-2</v>
      </c>
      <c r="BV232" s="545">
        <f t="shared" ca="1" si="643"/>
        <v>0.79995458046712475</v>
      </c>
      <c r="BW232" s="545">
        <f t="shared" ca="1" si="644"/>
        <v>0.94093923654088174</v>
      </c>
      <c r="BX232" s="545">
        <f t="shared" ca="1" si="645"/>
        <v>4.4283677831806774</v>
      </c>
      <c r="BY232" s="545">
        <f t="shared" ca="1" si="646"/>
        <v>3.5291211375366865E-2</v>
      </c>
      <c r="BZ232" s="545">
        <f t="shared" ca="1" si="647"/>
        <v>0.30419244954397062</v>
      </c>
      <c r="CA232" s="541">
        <f t="shared" ca="1" si="648"/>
        <v>2.100250571370833E-2</v>
      </c>
      <c r="CB232" s="541">
        <f t="shared" ca="1" si="649"/>
        <v>0.18103101057260781</v>
      </c>
      <c r="CC232" s="541">
        <f t="shared" ca="1" si="650"/>
        <v>1.5187635277682783</v>
      </c>
      <c r="CD232" s="541" t="str">
        <f t="shared" ca="1" si="651"/>
        <v>F. Supercrítico</v>
      </c>
      <c r="CE232" s="541">
        <f t="shared" ca="1" si="652"/>
        <v>0.24113834190680961</v>
      </c>
      <c r="CF232" s="541">
        <f t="shared" ca="1" si="653"/>
        <v>2.0784909342840994</v>
      </c>
      <c r="CG232" s="541" t="str">
        <f t="shared" ca="1" si="654"/>
        <v>O.K</v>
      </c>
      <c r="CH232" s="541" t="str">
        <f t="shared" ca="1" si="655"/>
        <v>O.K</v>
      </c>
      <c r="CI232" s="541" t="str">
        <f t="shared" ca="1" si="656"/>
        <v>OK</v>
      </c>
      <c r="CJ232" s="541" t="str">
        <f t="shared" ca="1" si="657"/>
        <v>OK</v>
      </c>
      <c r="CK232" s="537">
        <f t="shared" si="658"/>
        <v>0.5</v>
      </c>
      <c r="CL232" s="555" t="s">
        <v>2507</v>
      </c>
      <c r="CM232" s="555"/>
      <c r="CN232" s="556" t="str">
        <f t="shared" si="659"/>
        <v xml:space="preserve"> </v>
      </c>
      <c r="CO232" s="557">
        <f>+CR232</f>
        <v>101.12</v>
      </c>
      <c r="CP232" s="542"/>
      <c r="CQ232" s="555" t="s">
        <v>2508</v>
      </c>
      <c r="CR232" s="553">
        <f t="shared" si="660"/>
        <v>101.12</v>
      </c>
      <c r="CS232" s="558">
        <v>1.2</v>
      </c>
      <c r="CT232" s="558">
        <v>1.2</v>
      </c>
      <c r="CU232" s="550">
        <f t="shared" si="661"/>
        <v>101.12666473784252</v>
      </c>
      <c r="CV232" s="559" t="s">
        <v>2509</v>
      </c>
      <c r="CW232" s="560" t="str">
        <f t="shared" ca="1" si="662"/>
        <v>E3</v>
      </c>
      <c r="CX232" s="553">
        <f ca="1">IF(AND(L232="",H232=""),"",IF(AND(BA232&lt;&gt;4,BA232&lt;&gt;5),VLOOKUP(AY232,'TABLA (2)'!$A$9:$D$43,4),IF(BA232=4,VLOOKUP(AY232,'TABLA (2)'!$A$74:$D$89,4),VLOOKUP(AY232,'TABLA (2)'!$A$51:$D$66,4))))</f>
        <v>3.0439999999999998E-2</v>
      </c>
      <c r="CY232" s="555"/>
      <c r="CZ232" s="555"/>
      <c r="DA232" s="555"/>
      <c r="DB232" s="561"/>
    </row>
    <row r="233" spans="1:106" ht="15" hidden="1" customHeight="1">
      <c r="A233" s="465">
        <f>+A232+1</f>
        <v>153</v>
      </c>
      <c r="B233" s="491"/>
      <c r="C233" s="466" t="s">
        <v>72</v>
      </c>
      <c r="D233" s="466" t="s">
        <v>2221</v>
      </c>
      <c r="E233" s="468">
        <v>0.52455146529999996</v>
      </c>
      <c r="F233" s="468"/>
      <c r="G233" s="468">
        <f t="shared" si="595"/>
        <v>3.8953048878999996</v>
      </c>
      <c r="H233" s="468">
        <f t="shared" si="596"/>
        <v>4.4198563531999993</v>
      </c>
      <c r="I233" s="468">
        <v>0.52455146529999996</v>
      </c>
      <c r="J233" s="468"/>
      <c r="K233" s="467">
        <f t="shared" ca="1" si="597"/>
        <v>3.8953048878999996</v>
      </c>
      <c r="L233" s="468">
        <f t="shared" ca="1" si="598"/>
        <v>4.4198563531999993</v>
      </c>
      <c r="M233" s="469">
        <f t="shared" si="599"/>
        <v>242.33666300502347</v>
      </c>
      <c r="N233" s="470">
        <f t="shared" si="600"/>
        <v>127.11805167519735</v>
      </c>
      <c r="O233" s="470">
        <f t="shared" si="601"/>
        <v>0</v>
      </c>
      <c r="P233" s="470">
        <f t="shared" si="602"/>
        <v>1071.0932395960401</v>
      </c>
      <c r="Q233" s="469">
        <f t="shared" si="603"/>
        <v>140</v>
      </c>
      <c r="R233" s="471">
        <f t="shared" si="604"/>
        <v>1.4752325869436202</v>
      </c>
      <c r="S233" s="471"/>
      <c r="T233" s="471"/>
      <c r="U233" s="471">
        <f t="shared" si="605"/>
        <v>0</v>
      </c>
      <c r="V233" s="471"/>
      <c r="W233" s="471"/>
      <c r="X233" s="471">
        <f t="shared" si="606"/>
        <v>0</v>
      </c>
      <c r="Y233" s="471">
        <f t="shared" si="607"/>
        <v>0.88397127063999992</v>
      </c>
      <c r="Z233" s="471">
        <f t="shared" ca="1" si="608"/>
        <v>0</v>
      </c>
      <c r="AA233" s="471">
        <f t="shared" si="527"/>
        <v>3.8</v>
      </c>
      <c r="AB233" s="471">
        <f t="shared" si="609"/>
        <v>5.605883830385757</v>
      </c>
      <c r="AC233" s="471">
        <f t="shared" si="610"/>
        <v>0.1750815758026445</v>
      </c>
      <c r="AD233" s="471">
        <f t="shared" si="611"/>
        <v>0.10491029305999999</v>
      </c>
      <c r="AE233" s="471">
        <f t="shared" si="611"/>
        <v>0</v>
      </c>
      <c r="AF233" s="510">
        <f t="shared" si="518"/>
        <v>3.8</v>
      </c>
      <c r="AG233" s="471">
        <f t="shared" si="612"/>
        <v>0.66530998805004904</v>
      </c>
      <c r="AH233" s="471">
        <f t="shared" si="613"/>
        <v>0.77022028111004903</v>
      </c>
      <c r="AI233" s="471">
        <f t="shared" ca="1" si="614"/>
        <v>6.489855101025757</v>
      </c>
      <c r="AJ233" s="471">
        <f t="shared" si="615"/>
        <v>0.75</v>
      </c>
      <c r="AK233" s="472">
        <f t="shared" si="616"/>
        <v>1.3231075697211034E-2</v>
      </c>
      <c r="AL233" s="471">
        <f t="shared" si="617"/>
        <v>0.6281615537848606</v>
      </c>
      <c r="AM233" s="473">
        <f t="shared" si="618"/>
        <v>322.6257872444441</v>
      </c>
      <c r="AN233" s="474">
        <f t="shared" si="619"/>
        <v>10.878523809523807</v>
      </c>
      <c r="AO233" s="474">
        <f t="shared" si="620"/>
        <v>0.55777777777777782</v>
      </c>
      <c r="AP233" s="474">
        <f t="shared" si="621"/>
        <v>11.436301587301585</v>
      </c>
      <c r="AQ233" s="475">
        <v>3</v>
      </c>
      <c r="AR233" s="474" t="e">
        <f t="shared" ca="1" si="622"/>
        <v>#VALUE!</v>
      </c>
      <c r="AS233" s="474" t="e">
        <f t="shared" ca="1" si="623"/>
        <v>#VALUE!</v>
      </c>
      <c r="AT233" s="471" t="e">
        <f t="shared" ca="1" si="624"/>
        <v>#VALUE!</v>
      </c>
      <c r="AU233" s="492">
        <f t="shared" si="625"/>
        <v>106.30618525565032</v>
      </c>
      <c r="AV233" s="471">
        <f t="shared" ca="1" si="626"/>
        <v>895.73302024410941</v>
      </c>
      <c r="AW233" s="471">
        <f t="shared" ca="1" si="627"/>
        <v>895.73</v>
      </c>
      <c r="AX233" s="478">
        <f>IF(OR(C233="",D233=""),"",ROUND(((VLOOKUP(C233,'Base de Diseño (2)'!$A$2:$C$333,2,FALSE)-VLOOKUP(D233,'Base de Diseño (2)'!$A$2:$C$333,2,FALSE))^2+(VLOOKUP(C233,'Base de Diseño (2)'!$A$2:$C$333,3,0)-VLOOKUP(D233,'Base de Diseño (2)'!$A$2:$C$333,3,FALSE))^2)^0.5,2))</f>
        <v>100.4</v>
      </c>
      <c r="AY233" s="493">
        <v>20</v>
      </c>
      <c r="AZ233" s="480">
        <f ca="1">IF(AND(L233="",H233=""),"",IF(BA233=4,VLOOKUP(AY233,'TABLA (2)'!$A$74:$C$89,2),IF(BA233=5,VLOOKUP(AY233,'TABLA (2)'!$A$51:$B$66,2),IF(BA233=6,VLOOKUP(AY233,'TABLA (2)'!$A$9:$B$43,2)))))</f>
        <v>500</v>
      </c>
      <c r="BA233" s="493">
        <v>6</v>
      </c>
      <c r="BB233" s="478">
        <f>IF(OR(C233="",D233=""),"",VLOOKUP(C233,'Base de Diseño (2)'!$A$2:$D$330,4,FALSE))</f>
        <v>988.5</v>
      </c>
      <c r="BC233" s="478">
        <f>IF(OR(C233="",D233=""),"",VLOOKUP(D233,'Base de Diseño (2)'!$A$2:$D$330,4,FALSE))</f>
        <v>987.17160000000001</v>
      </c>
      <c r="BD233" s="23">
        <f t="shared" ca="1" si="628"/>
        <v>5.43</v>
      </c>
      <c r="BE233" s="23">
        <f t="shared" ca="1" si="629"/>
        <v>4.6300000000000452</v>
      </c>
      <c r="BF233" s="494">
        <v>6</v>
      </c>
      <c r="BG233" s="494">
        <v>5.2000000000000455</v>
      </c>
      <c r="BH233" s="495">
        <f t="shared" si="630"/>
        <v>982.5</v>
      </c>
      <c r="BI233" s="495">
        <f t="shared" si="630"/>
        <v>981.97159999999997</v>
      </c>
      <c r="BJ233" s="468">
        <f t="shared" si="631"/>
        <v>9.9999999999909051E-2</v>
      </c>
      <c r="BK233" s="475">
        <f t="shared" si="632"/>
        <v>1.3231075697211034</v>
      </c>
      <c r="BL233" s="475">
        <f t="shared" si="633"/>
        <v>0.5262948207171646</v>
      </c>
      <c r="BM233" s="475">
        <f t="shared" ca="1" si="634"/>
        <v>1.3951188427845398</v>
      </c>
      <c r="BN233" s="475">
        <f t="shared" ca="1" si="635"/>
        <v>273.93094421103774</v>
      </c>
      <c r="BO233" s="204">
        <f t="shared" ca="1" si="636"/>
        <v>2.3691573508489574E-2</v>
      </c>
      <c r="BP233" s="496">
        <f t="shared" ca="1" si="637"/>
        <v>3.2699117019431192</v>
      </c>
      <c r="BQ233" s="497">
        <f t="shared" ca="1" si="638"/>
        <v>0.36049072634423723</v>
      </c>
      <c r="BR233" s="497" t="str">
        <f t="shared" ca="1" si="639"/>
        <v xml:space="preserve"> </v>
      </c>
      <c r="BS233" s="475">
        <f t="shared" ca="1" si="640"/>
        <v>0.50292740497193045</v>
      </c>
      <c r="BT233" s="475" t="e">
        <f t="shared" ca="1" si="641"/>
        <v>#VALUE!</v>
      </c>
      <c r="BU233" s="475">
        <f t="shared" ca="1" si="642"/>
        <v>0.1412999881762757</v>
      </c>
      <c r="BV233" s="475" t="str">
        <f t="shared" ca="1" si="643"/>
        <v xml:space="preserve"> </v>
      </c>
      <c r="BW233" s="475">
        <f t="shared" ca="1" si="644"/>
        <v>1.5414665340228022</v>
      </c>
      <c r="BX233" s="475" t="e">
        <f t="shared" ca="1" si="645"/>
        <v>#VALUE!</v>
      </c>
      <c r="BY233" s="475">
        <f t="shared" ca="1" si="646"/>
        <v>8.788653687924658E-2</v>
      </c>
      <c r="BZ233" s="475" t="e">
        <f t="shared" ca="1" si="647"/>
        <v>#VALUE!</v>
      </c>
      <c r="CA233" s="471">
        <f t="shared" ca="1" si="648"/>
        <v>4.394326843962329E-2</v>
      </c>
      <c r="CB233" s="471" t="e">
        <f t="shared" ca="1" si="649"/>
        <v>#VALUE!</v>
      </c>
      <c r="CC233" s="471" t="e">
        <f t="shared" ca="1" si="650"/>
        <v>#VALUE!</v>
      </c>
      <c r="CD233" s="471" t="e">
        <f t="shared" ca="1" si="651"/>
        <v>#VALUE!</v>
      </c>
      <c r="CE233" s="471">
        <f t="shared" ca="1" si="652"/>
        <v>0.23127114585157776</v>
      </c>
      <c r="CF233" s="471" t="e">
        <f t="shared" ca="1" si="653"/>
        <v>#VALUE!</v>
      </c>
      <c r="CG233" s="471" t="str">
        <f t="shared" ca="1" si="654"/>
        <v>O.K</v>
      </c>
      <c r="CH233" s="471" t="e">
        <f t="shared" ca="1" si="655"/>
        <v>#VALUE!</v>
      </c>
      <c r="CI233" s="471" t="str">
        <f t="shared" ca="1" si="656"/>
        <v>OK</v>
      </c>
      <c r="CJ233" s="471" t="e">
        <f t="shared" ca="1" si="657"/>
        <v>#VALUE!</v>
      </c>
      <c r="CK233" s="468">
        <f t="shared" si="658"/>
        <v>9.9999999999909051E-2</v>
      </c>
      <c r="CL233" s="482" t="s">
        <v>2507</v>
      </c>
      <c r="CM233" s="482"/>
      <c r="CN233" s="63" t="str">
        <f t="shared" si="659"/>
        <v xml:space="preserve"> </v>
      </c>
      <c r="CO233" s="498"/>
      <c r="CP233" s="472">
        <f>+BK233/100</f>
        <v>1.3231075697211034E-2</v>
      </c>
      <c r="CQ233" s="482" t="s">
        <v>2508</v>
      </c>
      <c r="CR233" s="204">
        <f t="shared" si="660"/>
        <v>100.4</v>
      </c>
      <c r="CS233" s="486">
        <v>1.2</v>
      </c>
      <c r="CT233" s="486">
        <v>1.2</v>
      </c>
      <c r="CU233" s="23">
        <f t="shared" si="661"/>
        <v>100.40139046128795</v>
      </c>
      <c r="CV233" s="499" t="s">
        <v>2509</v>
      </c>
      <c r="CW233" s="488" t="str">
        <f t="shared" ca="1" si="662"/>
        <v>E3</v>
      </c>
      <c r="CX233" s="204">
        <f ca="1">IF(AND(L233="",H233=""),"",IF(AND(BA233&lt;&gt;4,BA233&lt;&gt;5),VLOOKUP(AY233,'TABLA (2)'!$A$9:$D$43,4),IF(BA233=4,VLOOKUP(AY233,'TABLA (2)'!$A$74:$D$89,4),VLOOKUP(AY233,'TABLA (2)'!$A$51:$D$66,4))))</f>
        <v>7.0000000000000007E-2</v>
      </c>
      <c r="CY233" s="482"/>
      <c r="CZ233" s="482"/>
      <c r="DA233" s="482"/>
      <c r="DB233" s="490"/>
    </row>
    <row r="234" spans="1:106" ht="15" hidden="1" customHeight="1">
      <c r="A234" s="465">
        <f>+A233+1</f>
        <v>154</v>
      </c>
      <c r="B234" s="491"/>
      <c r="C234" s="466" t="s">
        <v>2221</v>
      </c>
      <c r="D234" s="466" t="s">
        <v>2222</v>
      </c>
      <c r="E234" s="468">
        <v>0.27983276500000004</v>
      </c>
      <c r="F234" s="468"/>
      <c r="G234" s="468">
        <f t="shared" si="595"/>
        <v>4.8769945325999995</v>
      </c>
      <c r="H234" s="468">
        <f t="shared" si="596"/>
        <v>5.1568272975999996</v>
      </c>
      <c r="I234" s="468">
        <v>0.27983276500000004</v>
      </c>
      <c r="J234" s="468"/>
      <c r="K234" s="467">
        <f t="shared" ca="1" si="597"/>
        <v>4.8769945325999995</v>
      </c>
      <c r="L234" s="468">
        <f t="shared" ca="1" si="598"/>
        <v>5.1568272975999996</v>
      </c>
      <c r="M234" s="469">
        <f t="shared" si="599"/>
        <v>242.33666300502347</v>
      </c>
      <c r="N234" s="470">
        <f t="shared" si="600"/>
        <v>67.813738469568932</v>
      </c>
      <c r="O234" s="470">
        <f t="shared" si="601"/>
        <v>0</v>
      </c>
      <c r="P234" s="470">
        <f t="shared" si="602"/>
        <v>1249.688318993597</v>
      </c>
      <c r="Q234" s="469">
        <f t="shared" si="603"/>
        <v>140</v>
      </c>
      <c r="R234" s="471">
        <f t="shared" si="604"/>
        <v>1.7212142356509035</v>
      </c>
      <c r="S234" s="471"/>
      <c r="T234" s="471"/>
      <c r="U234" s="471">
        <f t="shared" si="605"/>
        <v>0</v>
      </c>
      <c r="V234" s="471"/>
      <c r="W234" s="471"/>
      <c r="X234" s="471">
        <f t="shared" si="606"/>
        <v>0</v>
      </c>
      <c r="Y234" s="471">
        <f t="shared" si="607"/>
        <v>1.0313654595199999</v>
      </c>
      <c r="Z234" s="471">
        <f t="shared" ca="1" si="608"/>
        <v>0</v>
      </c>
      <c r="AA234" s="471">
        <f t="shared" si="527"/>
        <v>3.8</v>
      </c>
      <c r="AB234" s="471">
        <f t="shared" si="609"/>
        <v>6.5406140954734333</v>
      </c>
      <c r="AC234" s="471">
        <f t="shared" si="610"/>
        <v>9.3400866642114611E-2</v>
      </c>
      <c r="AD234" s="471">
        <f t="shared" si="611"/>
        <v>5.5966553000000009E-2</v>
      </c>
      <c r="AE234" s="471">
        <f t="shared" si="611"/>
        <v>0</v>
      </c>
      <c r="AF234" s="510">
        <f t="shared" si="518"/>
        <v>3.8</v>
      </c>
      <c r="AG234" s="471">
        <f t="shared" si="612"/>
        <v>0.35492329324003552</v>
      </c>
      <c r="AH234" s="471">
        <f t="shared" si="613"/>
        <v>0.41088984624003555</v>
      </c>
      <c r="AI234" s="471">
        <f t="shared" ca="1" si="614"/>
        <v>7.5719795549934332</v>
      </c>
      <c r="AJ234" s="471">
        <f t="shared" si="615"/>
        <v>0.75</v>
      </c>
      <c r="AK234" s="472">
        <f t="shared" si="616"/>
        <v>6.2550335570469365E-2</v>
      </c>
      <c r="AL234" s="471">
        <f t="shared" si="617"/>
        <v>0.63062751677852358</v>
      </c>
      <c r="AM234" s="473">
        <f t="shared" si="618"/>
        <v>318.87434073267315</v>
      </c>
      <c r="AN234" s="474">
        <f t="shared" si="619"/>
        <v>11.436301587301585</v>
      </c>
      <c r="AO234" s="474">
        <f t="shared" si="620"/>
        <v>0.41388888888888892</v>
      </c>
      <c r="AP234" s="474">
        <f t="shared" si="621"/>
        <v>11.850190476190475</v>
      </c>
      <c r="AQ234" s="475">
        <v>3</v>
      </c>
      <c r="AR234" s="474" t="e">
        <f t="shared" ca="1" si="622"/>
        <v>#VALUE!</v>
      </c>
      <c r="AS234" s="474" t="e">
        <f t="shared" ca="1" si="623"/>
        <v>#VALUE!</v>
      </c>
      <c r="AT234" s="471" t="e">
        <f t="shared" ca="1" si="624"/>
        <v>#VALUE!</v>
      </c>
      <c r="AU234" s="492">
        <f t="shared" si="625"/>
        <v>56.271831982686926</v>
      </c>
      <c r="AV234" s="471">
        <f t="shared" ca="1" si="626"/>
        <v>1036.9912160010304</v>
      </c>
      <c r="AW234" s="471">
        <f t="shared" ca="1" si="627"/>
        <v>1036.99</v>
      </c>
      <c r="AX234" s="478">
        <f>IF(OR(C234="",D234=""),"",ROUND(((VLOOKUP(C234,'Base de Diseño (2)'!$A$2:$C$333,2,FALSE)-VLOOKUP(D234,'Base de Diseño (2)'!$A$2:$C$333,2,FALSE))^2+(VLOOKUP(C234,'Base de Diseño (2)'!$A$2:$C$333,3,0)-VLOOKUP(D234,'Base de Diseño (2)'!$A$2:$C$333,3,FALSE))^2)^0.5,2))</f>
        <v>74.5</v>
      </c>
      <c r="AY234" s="493">
        <v>20</v>
      </c>
      <c r="AZ234" s="480">
        <f ca="1">IF(AND(L234="",H234=""),"",IF(BA234=4,VLOOKUP(AY234,'TABLA (2)'!$A$74:$C$89,2),IF(BA234=5,VLOOKUP(AY234,'TABLA (2)'!$A$51:$B$66,2),IF(BA234=6,VLOOKUP(AY234,'TABLA (2)'!$A$9:$B$43,2)))))</f>
        <v>500</v>
      </c>
      <c r="BA234" s="493">
        <v>6</v>
      </c>
      <c r="BB234" s="478">
        <f>IF(OR(C234="",D234=""),"",VLOOKUP(C234,'Base de Diseño (2)'!$A$2:$D$330,4,FALSE))</f>
        <v>987.17160000000001</v>
      </c>
      <c r="BC234" s="478">
        <f>IF(OR(C234="",D234=""),"",VLOOKUP(D234,'Base de Diseño (2)'!$A$2:$D$330,4,FALSE))</f>
        <v>982.51160000000004</v>
      </c>
      <c r="BD234" s="23">
        <f t="shared" ca="1" si="628"/>
        <v>4.7299999999999542</v>
      </c>
      <c r="BE234" s="23">
        <f t="shared" ca="1" si="629"/>
        <v>1.18</v>
      </c>
      <c r="BF234" s="494">
        <v>5.2999999999999545</v>
      </c>
      <c r="BG234" s="494">
        <v>1.75</v>
      </c>
      <c r="BH234" s="495">
        <f t="shared" si="630"/>
        <v>981.87160000000006</v>
      </c>
      <c r="BI234" s="495">
        <f t="shared" si="630"/>
        <v>980.76160000000004</v>
      </c>
      <c r="BJ234" s="468">
        <f t="shared" si="631"/>
        <v>980.76160000000004</v>
      </c>
      <c r="BK234" s="475">
        <f t="shared" si="632"/>
        <v>6.2550335570469366</v>
      </c>
      <c r="BL234" s="475">
        <f t="shared" si="633"/>
        <v>1.4899328859060585</v>
      </c>
      <c r="BM234" s="475">
        <f t="shared" ca="1" si="634"/>
        <v>2.3473616735764562</v>
      </c>
      <c r="BN234" s="475">
        <f t="shared" ca="1" si="635"/>
        <v>460.90338681412732</v>
      </c>
      <c r="BO234" s="204">
        <f t="shared" ca="1" si="636"/>
        <v>1.6428561324603706E-2</v>
      </c>
      <c r="BP234" s="496">
        <f t="shared" ca="1" si="637"/>
        <v>2.2499075287077384</v>
      </c>
      <c r="BQ234" s="497">
        <f t="shared" ca="1" si="638"/>
        <v>0.32406690707209318</v>
      </c>
      <c r="BR234" s="497" t="str">
        <f t="shared" ca="1" si="639"/>
        <v xml:space="preserve"> </v>
      </c>
      <c r="BS234" s="475">
        <f t="shared" ca="1" si="640"/>
        <v>0.76070223733549458</v>
      </c>
      <c r="BT234" s="475" t="e">
        <f t="shared" ca="1" si="641"/>
        <v>#VALUE!</v>
      </c>
      <c r="BU234" s="475">
        <f t="shared" ca="1" si="642"/>
        <v>0.11768666250194598</v>
      </c>
      <c r="BV234" s="475" t="str">
        <f t="shared" ca="1" si="643"/>
        <v xml:space="preserve"> </v>
      </c>
      <c r="BW234" s="475">
        <f t="shared" ca="1" si="644"/>
        <v>1.4006689338586484</v>
      </c>
      <c r="BX234" s="475" t="e">
        <f t="shared" ca="1" si="645"/>
        <v>#VALUE!</v>
      </c>
      <c r="BY234" s="475">
        <f t="shared" ca="1" si="646"/>
        <v>7.4090621550230967E-2</v>
      </c>
      <c r="BZ234" s="475" t="e">
        <f t="shared" ca="1" si="647"/>
        <v>#VALUE!</v>
      </c>
      <c r="CA234" s="471">
        <f t="shared" ca="1" si="648"/>
        <v>3.7045310775115484E-2</v>
      </c>
      <c r="CB234" s="471" t="e">
        <f t="shared" ca="1" si="649"/>
        <v>#VALUE!</v>
      </c>
      <c r="CC234" s="471" t="e">
        <f t="shared" ca="1" si="650"/>
        <v>#VALUE!</v>
      </c>
      <c r="CD234" s="471" t="e">
        <f t="shared" ca="1" si="651"/>
        <v>#VALUE!</v>
      </c>
      <c r="CE234" s="471">
        <f t="shared" ca="1" si="652"/>
        <v>0.55195026792454616</v>
      </c>
      <c r="CF234" s="471" t="e">
        <f t="shared" ca="1" si="653"/>
        <v>#VALUE!</v>
      </c>
      <c r="CG234" s="471" t="str">
        <f t="shared" ca="1" si="654"/>
        <v>O.K</v>
      </c>
      <c r="CH234" s="471" t="e">
        <f t="shared" ca="1" si="655"/>
        <v>#VALUE!</v>
      </c>
      <c r="CI234" s="471" t="str">
        <f t="shared" ca="1" si="656"/>
        <v>OK</v>
      </c>
      <c r="CJ234" s="471" t="e">
        <f t="shared" ca="1" si="657"/>
        <v>#VALUE!</v>
      </c>
      <c r="CK234" s="468">
        <f t="shared" si="658"/>
        <v>980.76160000000004</v>
      </c>
      <c r="CL234" s="482" t="s">
        <v>2507</v>
      </c>
      <c r="CM234" s="482"/>
      <c r="CN234" s="63" t="str">
        <f t="shared" si="659"/>
        <v xml:space="preserve"> </v>
      </c>
      <c r="CO234" s="498"/>
      <c r="CP234" s="472">
        <f>+BK234/100</f>
        <v>6.2550335570469365E-2</v>
      </c>
      <c r="CQ234" s="482" t="s">
        <v>2508</v>
      </c>
      <c r="CR234" s="204">
        <f t="shared" si="660"/>
        <v>74.5</v>
      </c>
      <c r="CS234" s="486">
        <v>1.2</v>
      </c>
      <c r="CT234" s="486">
        <v>1.2</v>
      </c>
      <c r="CU234" s="23">
        <f t="shared" si="661"/>
        <v>74.508268668651809</v>
      </c>
      <c r="CV234" s="499" t="s">
        <v>2509</v>
      </c>
      <c r="CW234" s="488" t="str">
        <f t="shared" ca="1" si="662"/>
        <v>E3</v>
      </c>
      <c r="CX234" s="204">
        <f ca="1">IF(AND(L234="",H234=""),"",IF(AND(BA234&lt;&gt;4,BA234&lt;&gt;5),VLOOKUP(AY234,'TABLA (2)'!$A$9:$D$43,4),IF(BA234=4,VLOOKUP(AY234,'TABLA (2)'!$A$74:$D$89,4),VLOOKUP(AY234,'TABLA (2)'!$A$51:$D$66,4))))</f>
        <v>7.0000000000000007E-2</v>
      </c>
      <c r="CY234" s="482"/>
      <c r="CZ234" s="482"/>
      <c r="DA234" s="482"/>
      <c r="DB234" s="490"/>
    </row>
    <row r="235" spans="1:106" ht="15" customHeight="1">
      <c r="A235" s="465"/>
      <c r="B235" s="491"/>
      <c r="C235" s="468"/>
      <c r="D235" s="468"/>
      <c r="E235" s="468"/>
      <c r="F235" s="468"/>
      <c r="G235" s="468"/>
      <c r="H235" s="468"/>
      <c r="I235" s="468"/>
      <c r="J235" s="468"/>
      <c r="K235" s="467"/>
      <c r="L235" s="468"/>
      <c r="M235" s="469"/>
      <c r="N235" s="470"/>
      <c r="O235" s="470"/>
      <c r="P235" s="470"/>
      <c r="Q235" s="469"/>
      <c r="R235" s="471"/>
      <c r="S235" s="471"/>
      <c r="T235" s="471"/>
      <c r="U235" s="471"/>
      <c r="V235" s="471"/>
      <c r="W235" s="471"/>
      <c r="X235" s="471"/>
      <c r="Y235" s="471"/>
      <c r="Z235" s="471"/>
      <c r="AA235" s="471" t="str">
        <f t="shared" si="527"/>
        <v/>
      </c>
      <c r="AB235" s="471"/>
      <c r="AC235" s="471"/>
      <c r="AD235" s="471"/>
      <c r="AE235" s="471"/>
      <c r="AF235" s="471" t="str">
        <f t="shared" si="518"/>
        <v/>
      </c>
      <c r="AG235" s="471"/>
      <c r="AH235" s="471"/>
      <c r="AI235" s="471"/>
      <c r="AJ235" s="471"/>
      <c r="AK235" s="472"/>
      <c r="AL235" s="471"/>
      <c r="AM235" s="473"/>
      <c r="AN235" s="474"/>
      <c r="AO235" s="474"/>
      <c r="AP235" s="474"/>
      <c r="AQ235" s="475"/>
      <c r="AR235" s="474"/>
      <c r="AS235" s="474"/>
      <c r="AT235" s="471"/>
      <c r="AU235" s="492"/>
      <c r="AV235" s="471"/>
      <c r="AW235" s="471"/>
      <c r="AX235" s="478"/>
      <c r="AY235" s="493"/>
      <c r="AZ235" s="480"/>
      <c r="BA235" s="493"/>
      <c r="BB235" s="478" t="str">
        <f>IF(OR(C235="",D235=""),"",VLOOKUP(C235,'Base de Diseño (2)'!$A$2:$D$330,4,FALSE))</f>
        <v/>
      </c>
      <c r="BC235" s="494"/>
      <c r="BD235" s="494"/>
      <c r="BE235" s="494"/>
      <c r="BF235" s="494"/>
      <c r="BG235" s="494"/>
      <c r="BH235" s="495"/>
      <c r="BI235" s="495"/>
      <c r="BJ235" s="468"/>
      <c r="BK235" s="475"/>
      <c r="BL235" s="475"/>
      <c r="BM235" s="475"/>
      <c r="BN235" s="475"/>
      <c r="BO235" s="204"/>
      <c r="BP235" s="496"/>
      <c r="BQ235" s="497"/>
      <c r="BR235" s="475"/>
      <c r="BS235" s="475"/>
      <c r="BT235" s="475"/>
      <c r="BU235" s="475"/>
      <c r="BV235" s="475"/>
      <c r="BW235" s="475"/>
      <c r="BX235" s="475"/>
      <c r="BY235" s="475"/>
      <c r="BZ235" s="475"/>
      <c r="CA235" s="471"/>
      <c r="CB235" s="471"/>
      <c r="CC235" s="471"/>
      <c r="CD235" s="471"/>
      <c r="CE235" s="471"/>
      <c r="CF235" s="471"/>
      <c r="CG235" s="471"/>
      <c r="CH235" s="471"/>
      <c r="CI235" s="471"/>
      <c r="CJ235" s="471"/>
      <c r="CK235" s="468"/>
      <c r="CL235" s="482"/>
      <c r="CM235" s="482"/>
      <c r="CN235" s="63"/>
      <c r="CO235" s="498"/>
      <c r="CP235" s="472"/>
      <c r="CQ235" s="482"/>
      <c r="CR235" s="204"/>
      <c r="CS235" s="486"/>
      <c r="CT235" s="486"/>
      <c r="CU235" s="23"/>
      <c r="CV235" s="499"/>
      <c r="CW235" s="488"/>
      <c r="CX235" s="204"/>
      <c r="CY235" s="482"/>
      <c r="CZ235" s="482"/>
      <c r="DA235" s="482"/>
      <c r="DB235" s="490"/>
    </row>
    <row r="236" spans="1:106" s="591" customFormat="1" ht="15" hidden="1" customHeight="1">
      <c r="A236" s="465">
        <f>+A234+1</f>
        <v>155</v>
      </c>
      <c r="B236" s="565">
        <v>1</v>
      </c>
      <c r="C236" s="566" t="s">
        <v>116</v>
      </c>
      <c r="D236" s="566" t="s">
        <v>2070</v>
      </c>
      <c r="E236" s="567">
        <v>0.21826938230000001</v>
      </c>
      <c r="F236" s="567"/>
      <c r="G236" s="567">
        <f>IF(B236=1,0,SUMIF($D$22:$D$583,C236,$H$22:$H$583))</f>
        <v>0</v>
      </c>
      <c r="H236" s="567">
        <f>+E236+F236+G236</f>
        <v>0.21826938230000001</v>
      </c>
      <c r="I236" s="567">
        <v>0.21826938230000001</v>
      </c>
      <c r="J236" s="567"/>
      <c r="K236" s="568">
        <f>+IF(B236=1,0,SUMIF($D$22:$D$583,C236,$L$22:$L$580))</f>
        <v>0</v>
      </c>
      <c r="L236" s="567">
        <f>+I236+J236+K236</f>
        <v>0.21826938230000001</v>
      </c>
      <c r="M236" s="569">
        <f>+$P$12</f>
        <v>242.33666300502347</v>
      </c>
      <c r="N236" s="570">
        <f>M236*E236</f>
        <v>52.894673742749738</v>
      </c>
      <c r="O236" s="570">
        <f>M236*F236</f>
        <v>0</v>
      </c>
      <c r="P236" s="570">
        <f>M236*H236</f>
        <v>52.894673742749738</v>
      </c>
      <c r="Q236" s="570">
        <f>+$H$14</f>
        <v>140</v>
      </c>
      <c r="R236" s="571">
        <f>Q236*P236*$P$14/86400</f>
        <v>7.2852617770685399E-2</v>
      </c>
      <c r="S236" s="571"/>
      <c r="T236" s="571"/>
      <c r="U236" s="571">
        <f>IF(C236="","",T236*$P$17)</f>
        <v>0</v>
      </c>
      <c r="V236" s="571"/>
      <c r="W236" s="571"/>
      <c r="X236" s="571">
        <f>IF(C236="","",W236*$P$16)</f>
        <v>0</v>
      </c>
      <c r="Y236" s="571">
        <f>IF(H236=0,0,$H$15*H236)</f>
        <v>4.3653876460000005E-2</v>
      </c>
      <c r="Z236" s="571">
        <f>IF(L236=0,$H$16*H236,0)</f>
        <v>0</v>
      </c>
      <c r="AA236" s="471">
        <f t="shared" si="527"/>
        <v>3.8</v>
      </c>
      <c r="AB236" s="571">
        <f>R236*AA236</f>
        <v>0.27683994752860452</v>
      </c>
      <c r="AC236" s="571">
        <f>Q236*(N236+O236)*$P$14/86400</f>
        <v>7.2852617770685399E-2</v>
      </c>
      <c r="AD236" s="571">
        <f t="shared" ref="AD236:AE239" si="663">IF(E236=0,0,$H$15*(E236+F236))</f>
        <v>4.3653876460000005E-2</v>
      </c>
      <c r="AE236" s="571">
        <f t="shared" si="663"/>
        <v>0</v>
      </c>
      <c r="AF236" s="510">
        <f t="shared" si="518"/>
        <v>3.8</v>
      </c>
      <c r="AG236" s="571">
        <f>AC236*AF236</f>
        <v>0.27683994752860452</v>
      </c>
      <c r="AH236" s="571">
        <f>+AD236+AE236+AG236</f>
        <v>0.32049382398860454</v>
      </c>
      <c r="AI236" s="571">
        <f>IF(H236="","",IF(AB236+Y236+Z236+X236+U236&lt;1.5,1.5,AB236+Y236+Z236+X236+U236))</f>
        <v>1.5</v>
      </c>
      <c r="AJ236" s="571">
        <f>+$P$17</f>
        <v>0.75</v>
      </c>
      <c r="AK236" s="572">
        <f>+BK236/100</f>
        <v>8.5740161370000123E-2</v>
      </c>
      <c r="AL236" s="571">
        <f>IF(AJ236=0," ",0.14+0.65*AJ236+0.05*AK236)</f>
        <v>0.63178700806850008</v>
      </c>
      <c r="AM236" s="473">
        <f>((100/36)*$AM$14*(AP236+$AN$14)^$AO$14)</f>
        <v>336.32613267542746</v>
      </c>
      <c r="AN236" s="474">
        <f>IF(B236=1,IF((0.702*(1.1-$AJ236)*SQRT($CO236))/(($CP236)^(1/3))&lt;5,5,(0.702*(1.1-$AJ236)*SQRT($CO236))/(($CP236)^(1/3))),AP235)</f>
        <v>5</v>
      </c>
      <c r="AO236" s="573">
        <f>((1/60)*$AX236/$AQ236)</f>
        <v>0.3373888888888889</v>
      </c>
      <c r="AP236" s="573">
        <f>IF(B236=1,IF(($AN236+$AO236)&lt;10,10,IF(($AN236+$AO236)&gt;20,20,($AN236+$AO236))),($AN236+$AO236))</f>
        <v>10</v>
      </c>
      <c r="AQ236" s="475">
        <v>3</v>
      </c>
      <c r="AR236" s="573">
        <f>((1/60)*$AX236/$BT236)</f>
        <v>0.40704198545440329</v>
      </c>
      <c r="AS236" s="573">
        <f>AO236/AR236</f>
        <v>0.82887982307830776</v>
      </c>
      <c r="AT236" s="571" t="str">
        <f>IF(AS236&lt;0.9,"Disminuir vel.",IF(AS236&gt;1.1,"Aumentar vel.","Cumple"))</f>
        <v>Disminuir vel.</v>
      </c>
      <c r="AU236" s="574">
        <f>+I236*AL236*AM236</f>
        <v>46.379292976417339</v>
      </c>
      <c r="AV236" s="571">
        <f>+L236*AL236*AM236</f>
        <v>46.379292976417339</v>
      </c>
      <c r="AW236" s="471">
        <f>ROUND(IF(AI236&gt;(AV236*0.05),(AV236+AI236),AV236),2)</f>
        <v>46.38</v>
      </c>
      <c r="AX236" s="571">
        <f>IF(OR(C236="",D236=""),"",ROUND(((VLOOKUP(C236,'Base de Diseño (2)'!$A$2:$C$333,2,FALSE)-VLOOKUP(D236,'Base de Diseño (2)'!$A$2:$C$333,2,FALSE))^2+(VLOOKUP(C236,'Base de Diseño (2)'!$A$2:$C$333,3,0)-VLOOKUP(D236,'Base de Diseño (2)'!$A$2:$C$333,3,FALSE))^2)^0.5,2))</f>
        <v>60.73</v>
      </c>
      <c r="AY236" s="575">
        <v>10</v>
      </c>
      <c r="AZ236" s="576">
        <f>IF(AND(L236="",H236=""),"",IF(BA236=4,VLOOKUP(AY236,'TABLA (2)'!$A$74:$C$89,2),IF(BA236=5,VLOOKUP(AY236,'TABLA (2)'!$A$51:$B$66,2),IF(BA236=6,VLOOKUP(AY236,'TABLA (2)'!$A$9:$B$43,2)))))</f>
        <v>250</v>
      </c>
      <c r="BA236" s="575">
        <v>6</v>
      </c>
      <c r="BB236" s="577">
        <f>IF(OR(C236="",D236=""),"",VLOOKUP(C236,'Base de Diseño (2)'!$A$2:$D$330,4,FALSE))</f>
        <v>992.64700000000005</v>
      </c>
      <c r="BC236" s="577">
        <f>IF(OR(C236="",D236=""),"",VLOOKUP(D236,'Base de Diseño (2)'!$A$2:$D$330,4,FALSE))</f>
        <v>987.43999999999994</v>
      </c>
      <c r="BD236" s="578">
        <f>+BF236-((AZ236/1000)+CX236)</f>
        <v>1.3829999999999592</v>
      </c>
      <c r="BE236" s="578">
        <f>+BG236-((AZ236/1000)+CX236)</f>
        <v>1.0730000000000137</v>
      </c>
      <c r="BF236" s="579">
        <v>1.6699999999999591</v>
      </c>
      <c r="BG236" s="579">
        <v>1.3600000000000136</v>
      </c>
      <c r="BH236" s="580">
        <f t="shared" ref="BH236:BI239" si="664">BB236-BF236</f>
        <v>990.97700000000009</v>
      </c>
      <c r="BI236" s="580">
        <f t="shared" si="664"/>
        <v>986.07999999999993</v>
      </c>
      <c r="BJ236" s="567">
        <f>IF(A236="",0,BI236-BH237)</f>
        <v>6.9999999999936335E-2</v>
      </c>
      <c r="BK236" s="581">
        <f>ABS((BB236-BC236)/AX236)*100</f>
        <v>8.5740161370000116</v>
      </c>
      <c r="BL236" s="581">
        <f>((BH236-BI236)/AX236)*100</f>
        <v>8.0635600197598585</v>
      </c>
      <c r="BM236" s="581">
        <f>IF(BA236=6,(1/0.013)*((AZ236/4000)^(2/3))*((BL236/100)^(0.5)),(1/0.009)*((AZ236/4000)^(2/3))*((BL236/100)^(0.5)))</f>
        <v>3.4401185102046283</v>
      </c>
      <c r="BN236" s="581">
        <f>1000*BM236*PI()*((AZ236/1000/2)^2)</f>
        <v>168.86642248651756</v>
      </c>
      <c r="BO236" s="582">
        <f>AI236/BN236</f>
        <v>8.8827605743809802E-3</v>
      </c>
      <c r="BP236" s="583">
        <f>IF(L236=0," ",AW236/BN236)</f>
        <v>0.27465495695985992</v>
      </c>
      <c r="BQ236" s="584">
        <f>IF($BO236&gt;0 =AND($BO236&lt;=0.06),10^(0.029806+0.29095*LOG($BO236)),IF($BO236&gt;0.06 =AND($BO236&lt;=0.26),10^(0.013778+0.282597*LOG($BO236)),IF($BO236&gt;0.26 =AND($BO236&lt;=0.91),10^(0.021763+0.28995*LOG($BO236)),1)))</f>
        <v>0.27097924467264645</v>
      </c>
      <c r="BR236" s="584">
        <f>IF($BP236&gt;0 =AND($BP236&lt;=0.06),10^(0.029806+0.29095*LOG($BP236)),IF($BP236&gt;0.06 =AND($BP236&lt;=0.26),10^(0.013778+0.282597*LOG($BP236)),IF($BP236&gt;0.26 =AND($BP236&lt;=2),10^(0.021763+0.28995*LOG($BP236))," ")))</f>
        <v>0.72283540868102547</v>
      </c>
      <c r="BS236" s="581">
        <f>BM236*BQ236</f>
        <v>0.93220071547964001</v>
      </c>
      <c r="BT236" s="581">
        <f>IF(BP236=" "," ",(BM236*BR236))</f>
        <v>2.4866394692349232</v>
      </c>
      <c r="BU236" s="581">
        <f>IF(BO236&lt;=0.11,0.3827+0.0645*LN(BO236),IF(BO236&lt;=0.21,0.60025+0.15471*LN(BO236),IF(BO236&lt;1,0.225+0.6666666667*BO236,0)))</f>
        <v>7.8025033285627099E-2</v>
      </c>
      <c r="BV236" s="581">
        <f>IF(BP236&lt;=0.11,0.3827+0.0645*LN(BP236),IF(BP236&lt;=0.21,0.60025+0.15471*LN(BP236),IF(BP236&lt;1,0.225+0.6666666667*BP236," ")))</f>
        <v>0.40810330464906175</v>
      </c>
      <c r="BW236" s="581">
        <f>2*ACOS(1-2*(BU236))</f>
        <v>1.1323834462209965</v>
      </c>
      <c r="BX236" s="581">
        <f>IF(BP236=" "," ",(2*ACOS(1-2*(BV236))))</f>
        <v>2.7719042518123342</v>
      </c>
      <c r="BY236" s="581">
        <f>(1/4)*(1-(SIN(BW236))/BW236)</f>
        <v>5.0106019024272669E-2</v>
      </c>
      <c r="BZ236" s="581">
        <f>IF(BP236=" "," ",((1/4)*(1-(SIN(BX236))/BX236)))</f>
        <v>0.21741185210181246</v>
      </c>
      <c r="CA236" s="571">
        <f>BY236*AZ236/1000</f>
        <v>1.2526504756068167E-2</v>
      </c>
      <c r="CB236" s="571">
        <f>IF(BP236=" "," ",(BZ236*AZ236/1000))</f>
        <v>5.4352963025453116E-2</v>
      </c>
      <c r="CC236" s="571">
        <f>+(BT236/SQRT(9.81*(0.125*(BX236-SIN(BX236))*(AZ236/1000)^2)/((AZ236/1000)*SIN(BX236/2))))</f>
        <v>2.8678841044815391</v>
      </c>
      <c r="CD236" s="571" t="str">
        <f>IF(CC236="","",IF(CC236&lt;0.7,"F. Subcrítico",IF(AND(CC236&gt;0.7,CC236&lt;1),"F. Subcrítico Inestable",IF(CC236=1,"F. Crítico",IF(AND(CC236&gt;1,CC236&lt;1.5),"F. Supercrítico Inestable",IF(CC236&gt;1.5,"F. Supercrítico",""))))))</f>
        <v>F. Supercrítico</v>
      </c>
      <c r="CE236" s="571">
        <f>1000*BL236*CA236/100</f>
        <v>1.01008222938363</v>
      </c>
      <c r="CF236" s="571">
        <f>IF(BP236=" "," ",(1000*BL236*CB236/100))</f>
        <v>4.3827837960752962</v>
      </c>
      <c r="CG236" s="571" t="str">
        <f>IF(BS236&lt;0.45,"No cumple",IF(BS236&gt;5,"No cumple","O.K"))</f>
        <v>O.K</v>
      </c>
      <c r="CH236" s="571" t="str">
        <f>IF(BT236&lt;0.75,"No cumple",IF(BT236&gt;10,"No cumple","O.K"))</f>
        <v>O.K</v>
      </c>
      <c r="CI236" s="571" t="str">
        <f>IF(CE236&gt;0.1,"OK","V.C.H.")</f>
        <v>OK</v>
      </c>
      <c r="CJ236" s="571" t="str">
        <f>IF(CF236&gt;0.2,"OK","V.C.H.")</f>
        <v>OK</v>
      </c>
      <c r="CK236" s="567">
        <f>+BJ236</f>
        <v>6.9999999999936335E-2</v>
      </c>
      <c r="CL236" s="482" t="s">
        <v>2507</v>
      </c>
      <c r="CM236" s="585"/>
      <c r="CN236" s="77" t="str">
        <f>IF(B236=1,"dato"," ")</f>
        <v>dato</v>
      </c>
      <c r="CO236" s="586">
        <f>+CR236</f>
        <v>60.73</v>
      </c>
      <c r="CP236" s="572">
        <f>+BK236/100</f>
        <v>8.5740161370000123E-2</v>
      </c>
      <c r="CQ236" s="585" t="s">
        <v>2508</v>
      </c>
      <c r="CR236" s="582">
        <f>IF(BA236="","",AX236)</f>
        <v>60.73</v>
      </c>
      <c r="CS236" s="587">
        <v>1.2</v>
      </c>
      <c r="CT236" s="587">
        <v>1.2</v>
      </c>
      <c r="CU236" s="578">
        <f>IF($BA236="","",SQRT((BH236-BI236)^2+$CR236^2))</f>
        <v>60.927116368658062</v>
      </c>
      <c r="CV236" s="588" t="s">
        <v>2509</v>
      </c>
      <c r="CW236" s="589" t="str">
        <f>+IF(BD236&lt;=0.9,"E1",IF(BD236&lt;=2.5,"E2","E3"))</f>
        <v>E2</v>
      </c>
      <c r="CX236" s="582">
        <f>IF(AND(L236="",H236=""),"",IF(AND(BA236&lt;&gt;4,BA236&lt;&gt;5),VLOOKUP(AY236,'TABLA (2)'!$A$9:$D$43,4),IF(BA236=4,VLOOKUP(AY236,'TABLA (2)'!$A$74:$D$89,4),VLOOKUP(AY236,'TABLA (2)'!$A$51:$D$66,4))))</f>
        <v>3.6999999999999998E-2</v>
      </c>
      <c r="CY236" s="585"/>
      <c r="CZ236" s="585"/>
      <c r="DA236" s="585"/>
      <c r="DB236" s="590"/>
    </row>
    <row r="237" spans="1:106" s="591" customFormat="1" ht="15" hidden="1" customHeight="1">
      <c r="A237" s="465">
        <f>+A236+1</f>
        <v>156</v>
      </c>
      <c r="B237" s="565"/>
      <c r="C237" s="566" t="s">
        <v>2070</v>
      </c>
      <c r="D237" s="566" t="s">
        <v>79</v>
      </c>
      <c r="E237" s="567">
        <v>0.1205804316</v>
      </c>
      <c r="F237" s="567"/>
      <c r="G237" s="567">
        <f>IF(B237=1,0,SUMIF($D$22:$D$583,C237,$H$22:$H$583))</f>
        <v>0.21826938230000001</v>
      </c>
      <c r="H237" s="567">
        <f>+E237+F237+G237</f>
        <v>0.33884981390000002</v>
      </c>
      <c r="I237" s="567">
        <v>0.1205804316</v>
      </c>
      <c r="J237" s="567"/>
      <c r="K237" s="568">
        <f ca="1">+IF(B237=1,0,SUMIF($D$22:$D$583,C237,$L$22:$L$580))</f>
        <v>0.21826938230000001</v>
      </c>
      <c r="L237" s="567">
        <f ca="1">+I237+J237+K237</f>
        <v>0.33884981390000002</v>
      </c>
      <c r="M237" s="569">
        <f>+$P$12</f>
        <v>242.33666300502347</v>
      </c>
      <c r="N237" s="570">
        <f>M237*E237</f>
        <v>29.221059417649482</v>
      </c>
      <c r="O237" s="570">
        <f>M237*F237</f>
        <v>0</v>
      </c>
      <c r="P237" s="570">
        <f>M237*H237</f>
        <v>82.115733160399216</v>
      </c>
      <c r="Q237" s="570">
        <f>+$H$14</f>
        <v>140</v>
      </c>
      <c r="R237" s="571">
        <f>Q237*P237*$P$14/86400</f>
        <v>0.11309921581119799</v>
      </c>
      <c r="S237" s="571"/>
      <c r="T237" s="571"/>
      <c r="U237" s="571">
        <f>IF(C237="","",T237*$P$17)</f>
        <v>0</v>
      </c>
      <c r="V237" s="571"/>
      <c r="W237" s="571"/>
      <c r="X237" s="571">
        <f>IF(C237="","",W237*$P$16)</f>
        <v>0</v>
      </c>
      <c r="Y237" s="571">
        <f>IF(H237=0,0,$H$15*H237)</f>
        <v>6.7769962780000012E-2</v>
      </c>
      <c r="Z237" s="571">
        <f ca="1">IF(L237=0,$H$16*H237,0)</f>
        <v>0</v>
      </c>
      <c r="AA237" s="471">
        <f t="shared" si="527"/>
        <v>3.8</v>
      </c>
      <c r="AB237" s="571">
        <f>R237*AA237</f>
        <v>0.42977702008255231</v>
      </c>
      <c r="AC237" s="571">
        <f>Q237*(N237+O237)*$P$14/86400</f>
        <v>4.0246598040512595E-2</v>
      </c>
      <c r="AD237" s="571">
        <f t="shared" si="663"/>
        <v>2.4116086320000001E-2</v>
      </c>
      <c r="AE237" s="571">
        <f t="shared" si="663"/>
        <v>0</v>
      </c>
      <c r="AF237" s="510">
        <f t="shared" si="518"/>
        <v>3.8</v>
      </c>
      <c r="AG237" s="571">
        <f>AC237*AF237</f>
        <v>0.15293707255394784</v>
      </c>
      <c r="AH237" s="571">
        <f>+AD237+AE237+AG237</f>
        <v>0.17705315887394785</v>
      </c>
      <c r="AI237" s="571">
        <f ca="1">IF(H237="","",IF(AB237+Y237+Z237+X237+U237&lt;1.5,1.5,AB237+Y237+Z237+X237+U237))</f>
        <v>1.5</v>
      </c>
      <c r="AJ237" s="571">
        <f>+$P$17</f>
        <v>0.75</v>
      </c>
      <c r="AK237" s="572">
        <f>+BK237/100</f>
        <v>4.2918563480017428E-2</v>
      </c>
      <c r="AL237" s="571">
        <f>IF(AJ237=0," ",0.14+0.65*AJ237+0.05*AK237)</f>
        <v>0.62964592817400089</v>
      </c>
      <c r="AM237" s="592">
        <f>((100/36)*$AM$14*(AP237+$AN$14)^$AO$14)</f>
        <v>334.15914321188899</v>
      </c>
      <c r="AN237" s="573">
        <f>IF(B237=1,IF((0.702*(1.1-$AJ237)*SQRT($CO237))/(($CP237)^(1/3))&lt;5,5,(0.702*(1.1-$AJ237)*SQRT($CO237))/(($CP237)^(1/3))),AP236)</f>
        <v>10</v>
      </c>
      <c r="AO237" s="573">
        <f>((1/60)*$AX237/$AQ237)</f>
        <v>0.21966666666666668</v>
      </c>
      <c r="AP237" s="573">
        <f>IF(B237=1,IF(($AN237+$AO237)&lt;10,10,IF(($AN237+$AO237)&gt;20,20,($AN237+$AO237))),($AN237+$AO237))</f>
        <v>10.219666666666667</v>
      </c>
      <c r="AQ237" s="581">
        <v>3</v>
      </c>
      <c r="AR237" s="573">
        <f ca="1">((1/60)*$AX237/$BT237)</f>
        <v>0.2480233080777221</v>
      </c>
      <c r="AS237" s="573">
        <f ca="1">AO237/AR237</f>
        <v>0.88566944925123969</v>
      </c>
      <c r="AT237" s="571" t="str">
        <f ca="1">IF(AS237&lt;0.9,"Disminuir vel.",IF(AS237&gt;1.1,"Aumentar vel.","Cumple"))</f>
        <v>Disminuir vel.</v>
      </c>
      <c r="AU237" s="574">
        <f>+I237*AL237*AM237</f>
        <v>25.370357203190007</v>
      </c>
      <c r="AV237" s="571">
        <f ca="1">+L237*AL237*AM237</f>
        <v>71.294659529792725</v>
      </c>
      <c r="AW237" s="471">
        <f ca="1">ROUND(IF(AI237&gt;(AV237*0.05),(AV237+AI237),AV237),2)</f>
        <v>71.290000000000006</v>
      </c>
      <c r="AX237" s="571">
        <f>IF(OR(C237="",D237=""),"",ROUND(((VLOOKUP(C237,'Base de Diseño (2)'!$A$2:$C$333,2,FALSE)-VLOOKUP(D237,'Base de Diseño (2)'!$A$2:$C$333,2,FALSE))^2+(VLOOKUP(C237,'Base de Diseño (2)'!$A$2:$C$333,3,0)-VLOOKUP(D237,'Base de Diseño (2)'!$A$2:$C$333,3,FALSE))^2)^0.5,2))</f>
        <v>39.54</v>
      </c>
      <c r="AY237" s="575">
        <v>12</v>
      </c>
      <c r="AZ237" s="576">
        <f ca="1">IF(AND(L237="",H237=""),"",IF(BA237=4,VLOOKUP(AY237,'TABLA (2)'!$A$74:$C$89,2),IF(BA237=5,VLOOKUP(AY237,'TABLA (2)'!$A$51:$B$66,2),IF(BA237=6,VLOOKUP(AY237,'TABLA (2)'!$A$9:$B$43,2)))))</f>
        <v>284</v>
      </c>
      <c r="BA237" s="575">
        <v>4</v>
      </c>
      <c r="BB237" s="577">
        <f>IF(OR(C237="",D237=""),"",VLOOKUP(C237,'Base de Diseño (2)'!$A$2:$D$330,4,FALSE))</f>
        <v>987.43999999999994</v>
      </c>
      <c r="BC237" s="577">
        <f>IF(OR(C237="",D237=""),"",VLOOKUP(D237,'Base de Diseño (2)'!$A$2:$D$330,4,FALSE))</f>
        <v>985.74300000000005</v>
      </c>
      <c r="BD237" s="578">
        <f ca="1">+BF237-((AZ237/1000)+CX237)</f>
        <v>1.1304999999999499</v>
      </c>
      <c r="BE237" s="578">
        <f ca="1">+BG237-((AZ237/1000)+CX237)</f>
        <v>0.78050000000004094</v>
      </c>
      <c r="BF237" s="579">
        <v>1.42999999999995</v>
      </c>
      <c r="BG237" s="579">
        <v>1.0800000000000409</v>
      </c>
      <c r="BH237" s="580">
        <f t="shared" si="664"/>
        <v>986.01</v>
      </c>
      <c r="BI237" s="580">
        <f t="shared" si="664"/>
        <v>984.66300000000001</v>
      </c>
      <c r="BJ237" s="567">
        <f>IF(A237="",0,BI237-BH238)</f>
        <v>2.9999999999972715E-2</v>
      </c>
      <c r="BK237" s="581">
        <f>ABS((BB237-BC237)/AX237)*100</f>
        <v>4.2918563480017431</v>
      </c>
      <c r="BL237" s="581">
        <f>((BH237-BI237)/AX237)*100</f>
        <v>3.4066767830045017</v>
      </c>
      <c r="BM237" s="581">
        <f ca="1">IF(BA237=6,(1/0.013)*((AZ237/4000)^(2/3))*((BL237/100)^(0.5)),(1/0.009)*((AZ237/4000)^(2/3))*((BL237/100)^(0.5)))</f>
        <v>3.5163750378683538</v>
      </c>
      <c r="BN237" s="581">
        <f ca="1">1000*BM237*PI()*((AZ237/1000/2)^2)</f>
        <v>222.75207067441735</v>
      </c>
      <c r="BO237" s="582">
        <f ca="1">AI237/BN237</f>
        <v>6.7339441355517421E-3</v>
      </c>
      <c r="BP237" s="583">
        <f ca="1">IF(L237=0," ",AW237/BN237)</f>
        <v>0.32004191828232248</v>
      </c>
      <c r="BQ237" s="584">
        <f ca="1">IF($BO237&gt;0 =AND($BO237&lt;=0.06),10^(0.029806+0.29095*LOG($BO237)),IF($BO237&gt;0.06 =AND($BO237&lt;=0.26),10^(0.013778+0.282597*LOG($BO237)),IF($BO237&gt;0.26 =AND($BO237&lt;=0.91),10^(0.021763+0.28995*LOG($BO237)),1)))</f>
        <v>0.25000057853937679</v>
      </c>
      <c r="BR237" s="584">
        <f ca="1">IF($BP237&gt;0 =AND($BP237&lt;=0.06),10^(0.029806+0.29095*LOG($BP237)),IF($BP237&gt;0.06 =AND($BP237&lt;=0.26),10^(0.013778+0.282597*LOG($BP237)),IF($BP237&gt;0.26 =AND($BP237&lt;=2),10^(0.021763+0.28995*LOG($BP237))," ")))</f>
        <v>0.75561005840958662</v>
      </c>
      <c r="BS237" s="581">
        <f ca="1">BM237*BQ237</f>
        <v>0.87909579382851144</v>
      </c>
      <c r="BT237" s="581">
        <f ca="1">IF(BP237=" "," ",(BM237*BR237))</f>
        <v>2.657008347753719</v>
      </c>
      <c r="BU237" s="581">
        <f ca="1">IF(BO237&lt;=0.11,0.3827+0.0645*LN(BO237),IF(BO237&lt;=0.21,0.60025+0.15471*LN(BO237),IF(BO237&lt;1,0.225+0.6666666667*BO237,0)))</f>
        <v>6.0161670606903972E-2</v>
      </c>
      <c r="BV237" s="581">
        <f ca="1">IF(BP237&lt;=0.11,0.3827+0.0645*LN(BP237),IF(BP237&lt;=0.21,0.60025+0.15471*LN(BP237),IF(BP237&lt;1,0.225+0.6666666667*BP237," ")))</f>
        <v>0.43836127886554971</v>
      </c>
      <c r="BW237" s="581">
        <f ca="1">2*ACOS(1-2*(BU237))</f>
        <v>0.99122890737929614</v>
      </c>
      <c r="BX237" s="581">
        <f ca="1">IF(BP237=" "," ",(2*ACOS(1-2*(BV237))))</f>
        <v>2.8944089633140804</v>
      </c>
      <c r="BY237" s="581">
        <f ca="1">(1/4)*(1-(SIN(BW237))/BW237)</f>
        <v>3.8974163805199441E-2</v>
      </c>
      <c r="BZ237" s="581">
        <f ca="1">IF(BP237=" "," ",((1/4)*(1-(SIN(BX237))/BX237)))</f>
        <v>0.22886665055511626</v>
      </c>
      <c r="CA237" s="571">
        <f ca="1">BY237*AZ237/1000</f>
        <v>1.1068662520676641E-2</v>
      </c>
      <c r="CB237" s="571">
        <f ca="1">IF(BP237=" "," ",(BZ237*AZ237/1000))</f>
        <v>6.4998128757653026E-2</v>
      </c>
      <c r="CC237" s="571">
        <f ca="1">+(BT237/SQRT(9.81*(0.125*(BX237-SIN(BX237))*(AZ237/1000)^2)/((AZ237/1000)*SIN(BX237/2))))</f>
        <v>2.7553726513521566</v>
      </c>
      <c r="CD237" s="571" t="str">
        <f ca="1">IF(CC237="","",IF(CC237&lt;0.7,"F. Subcrítico",IF(AND(CC237&gt;0.7,CC237&lt;1),"F. Subcrítico Inestable",IF(CC237=1,"F. Crítico",IF(AND(CC237&gt;1,CC237&lt;1.5),"F. Supercrítico Inestable",IF(CC237&gt;1.5,"F. Supercrítico",""))))))</f>
        <v>F. Supercrítico</v>
      </c>
      <c r="CE237" s="571">
        <f ca="1">1000*BL237*CA237/100</f>
        <v>0.37707355628101197</v>
      </c>
      <c r="CF237" s="571">
        <f ca="1">IF(BP237=" "," ",(1000*BL237*CB237/100))</f>
        <v>2.2142761617743378</v>
      </c>
      <c r="CG237" s="571" t="str">
        <f ca="1">IF(BS237&lt;0.45,"No cumple",IF(BS237&gt;5,"No cumple","O.K"))</f>
        <v>O.K</v>
      </c>
      <c r="CH237" s="571" t="str">
        <f ca="1">IF(BT237&lt;0.75,"No cumple",IF(BT237&gt;10,"No cumple","O.K"))</f>
        <v>O.K</v>
      </c>
      <c r="CI237" s="571" t="str">
        <f ca="1">IF(CE237&gt;0.1,"OK","V.C.H.")</f>
        <v>OK</v>
      </c>
      <c r="CJ237" s="571" t="str">
        <f ca="1">IF(CF237&gt;0.2,"OK","V.C.H.")</f>
        <v>OK</v>
      </c>
      <c r="CK237" s="567">
        <f>+BJ237</f>
        <v>2.9999999999972715E-2</v>
      </c>
      <c r="CL237" s="482" t="s">
        <v>2507</v>
      </c>
      <c r="CM237" s="585"/>
      <c r="CN237" s="77" t="str">
        <f>IF(B237=1,"dato"," ")</f>
        <v xml:space="preserve"> </v>
      </c>
      <c r="CO237" s="586"/>
      <c r="CP237" s="572"/>
      <c r="CQ237" s="585" t="s">
        <v>2508</v>
      </c>
      <c r="CR237" s="582">
        <f>IF(BA237="","",AX237)</f>
        <v>39.54</v>
      </c>
      <c r="CS237" s="587">
        <v>1.2</v>
      </c>
      <c r="CT237" s="587">
        <v>1.2</v>
      </c>
      <c r="CU237" s="578">
        <f>IF($BA237="","",SQRT((BH237-BI237)^2+$CR237^2))</f>
        <v>39.562937315118546</v>
      </c>
      <c r="CV237" s="588" t="s">
        <v>2509</v>
      </c>
      <c r="CW237" s="589" t="str">
        <f ca="1">+IF(BD237&lt;=0.9,"E1",IF(BD237&lt;=2.5,"E2","E3"))</f>
        <v>E2</v>
      </c>
      <c r="CX237" s="582">
        <f ca="1">IF(AND(L237="",H237=""),"",IF(AND(BA237&lt;&gt;4,BA237&lt;&gt;5),VLOOKUP(AY237,'TABLA (2)'!$A$9:$D$43,4),IF(BA237=4,VLOOKUP(AY237,'TABLA (2)'!$A$74:$D$89,4),VLOOKUP(AY237,'TABLA (2)'!$A$51:$D$66,4))))</f>
        <v>1.55E-2</v>
      </c>
      <c r="CY237" s="585"/>
      <c r="CZ237" s="585"/>
      <c r="DA237" s="585"/>
      <c r="DB237" s="590"/>
    </row>
    <row r="238" spans="1:106" s="532" customFormat="1" ht="15" customHeight="1">
      <c r="A238" s="503">
        <f>+A237+1</f>
        <v>157</v>
      </c>
      <c r="B238" s="504"/>
      <c r="C238" s="505" t="s">
        <v>79</v>
      </c>
      <c r="D238" s="505" t="s">
        <v>102</v>
      </c>
      <c r="E238" s="506">
        <v>3.7941545399999999E-2</v>
      </c>
      <c r="F238" s="506"/>
      <c r="G238" s="506">
        <f>IF(B238=1,0,SUMIF($D$22:$D$585,C238,$H$22:$H$585))</f>
        <v>0.33884981390000002</v>
      </c>
      <c r="H238" s="506">
        <f>+E238+F238+G238</f>
        <v>0.37679135930000002</v>
      </c>
      <c r="I238" s="506">
        <v>3.7941545399999999E-2</v>
      </c>
      <c r="J238" s="506"/>
      <c r="K238" s="507">
        <f ca="1">+IF(B238=1,0,SUMIF($D$22:$D$585,C238,$L$22:$L$582))</f>
        <v>0.33884981390000002</v>
      </c>
      <c r="L238" s="506">
        <f ca="1">+I238+J238+K238</f>
        <v>0.37679135930000002</v>
      </c>
      <c r="M238" s="508">
        <f>+$P$12</f>
        <v>242.33666300502347</v>
      </c>
      <c r="N238" s="509">
        <f>M238*E238</f>
        <v>9.1946275014895988</v>
      </c>
      <c r="O238" s="509">
        <f>M238*F238</f>
        <v>0</v>
      </c>
      <c r="P238" s="509">
        <f>M238*H238</f>
        <v>91.310360661888822</v>
      </c>
      <c r="Q238" s="508">
        <v>140</v>
      </c>
      <c r="R238" s="510">
        <f>Q238*P238*$P$14/86400</f>
        <v>0.12576311248570335</v>
      </c>
      <c r="S238" s="510"/>
      <c r="T238" s="510"/>
      <c r="U238" s="510">
        <f>IF(C238="","",T238*$P$17)</f>
        <v>0</v>
      </c>
      <c r="V238" s="510"/>
      <c r="W238" s="510"/>
      <c r="X238" s="510">
        <f>IF(C238="","",W238*$P$16)</f>
        <v>0</v>
      </c>
      <c r="Y238" s="510">
        <f>IF(H238=0,0,$H$15*H238)</f>
        <v>7.5358271860000006E-2</v>
      </c>
      <c r="Z238" s="510">
        <f ca="1">IF(L238=0,$H$16*H238,0)</f>
        <v>0</v>
      </c>
      <c r="AA238" s="471">
        <f t="shared" si="527"/>
        <v>3.8</v>
      </c>
      <c r="AB238" s="510">
        <f>R238*AA238</f>
        <v>0.47789982744567272</v>
      </c>
      <c r="AC238" s="510">
        <f>Q238*(N238+O238)*$P$14/86400</f>
        <v>1.266389667450535E-2</v>
      </c>
      <c r="AD238" s="510">
        <f t="shared" si="663"/>
        <v>7.5883090800000002E-3</v>
      </c>
      <c r="AE238" s="510">
        <f t="shared" si="663"/>
        <v>0</v>
      </c>
      <c r="AF238" s="510">
        <f t="shared" si="518"/>
        <v>3.8</v>
      </c>
      <c r="AG238" s="510">
        <f>AC238*AF238</f>
        <v>4.8122807363120329E-2</v>
      </c>
      <c r="AH238" s="510">
        <f>+AD238+AE238+AG238</f>
        <v>5.571111644312033E-2</v>
      </c>
      <c r="AI238" s="510">
        <f ca="1">IF(H238="","",IF(AB238+Y238+Z238+X238+U238&lt;1.5,1.5,AB238+Y238+Z238+X238+U238))</f>
        <v>1.5</v>
      </c>
      <c r="AJ238" s="510">
        <f>+$P$17</f>
        <v>0.75</v>
      </c>
      <c r="AK238" s="511">
        <f>+BK238/100</f>
        <v>2.1897335932422945E-2</v>
      </c>
      <c r="AL238" s="510">
        <f>IF(AJ238=0," ",0.14+0.65*AJ238+0.05*AK238)</f>
        <v>0.62859486679662124</v>
      </c>
      <c r="AM238" s="512">
        <f>((100/36)*$AM$14*(AP238+$AN$14)^$AO$14)</f>
        <v>332.49067710625201</v>
      </c>
      <c r="AN238" s="513">
        <f>IF(B238=1,IF((0.702*(1.1-$AJ238)*SQRT($CO238))/(($CP238)^(1/3))&lt;5,5,(0.702*(1.1-$AJ238)*SQRT($CO238))/(($CP238)^(1/3))),AP237)</f>
        <v>10.219666666666667</v>
      </c>
      <c r="AO238" s="513">
        <f>((1/60)*$AX238/$AQ238)</f>
        <v>0.17100000000000001</v>
      </c>
      <c r="AP238" s="513">
        <f>IF(B238=1,IF(($AN238+$AO238)&lt;10,10,IF(($AN238+$AO238)&gt;20,20,($AN238+$AO238))),($AN238+$AO238))</f>
        <v>10.390666666666666</v>
      </c>
      <c r="AQ238" s="514">
        <v>1.5</v>
      </c>
      <c r="AR238" s="513">
        <f ca="1">((1/60)*$AX238/$BT238)</f>
        <v>0.16966523549462528</v>
      </c>
      <c r="AS238" s="513">
        <f ca="1">AO238/AR238</f>
        <v>1.0078670477277416</v>
      </c>
      <c r="AT238" s="510" t="str">
        <f ca="1">IF(AS238&lt;0.9,"Disminuir vel.",IF(AS238&gt;1.1,"Aumentar vel.","Cumple"))</f>
        <v>Cumple</v>
      </c>
      <c r="AU238" s="515">
        <f>+I238*AL238*AM238</f>
        <v>7.9298563253093493</v>
      </c>
      <c r="AV238" s="510">
        <f ca="1">+L238*AL238*AM238</f>
        <v>78.750122388715695</v>
      </c>
      <c r="AW238" s="510">
        <f ca="1">ROUND(IF(AI238&gt;(AV238*0.05),(AV238+AI238),AV238),2)</f>
        <v>78.75</v>
      </c>
      <c r="AX238" s="516">
        <f>IF(OR(C238="",D238=""),"",ROUND(((VLOOKUP(C238,'Base de Diseño (2)'!$A$2:$C$333,2,FALSE)-VLOOKUP(D238,'Base de Diseño (2)'!$A$2:$C$333,2,FALSE))^2+(VLOOKUP(C238,'Base de Diseño (2)'!$A$2:$C$333,3,0)-VLOOKUP(D238,'Base de Diseño (2)'!$A$2:$C$333,3,FALSE))^2)^0.5,2))</f>
        <v>15.39</v>
      </c>
      <c r="AY238" s="517">
        <v>14</v>
      </c>
      <c r="AZ238" s="518">
        <v>327</v>
      </c>
      <c r="BA238" s="517">
        <v>4</v>
      </c>
      <c r="BB238" s="516">
        <v>985.74300000000005</v>
      </c>
      <c r="BC238" s="516">
        <v>986.08</v>
      </c>
      <c r="BD238" s="519">
        <f>+BF238-((AZ238/1000)+CX238)</f>
        <v>0.76900000000000013</v>
      </c>
      <c r="BE238" s="519">
        <f>+BG238-((AZ238/1000)+CX238)</f>
        <v>1.2090000000000001</v>
      </c>
      <c r="BF238" s="520">
        <v>1.1100000000000001</v>
      </c>
      <c r="BG238" s="520">
        <v>1.55</v>
      </c>
      <c r="BH238" s="521">
        <f t="shared" si="664"/>
        <v>984.63300000000004</v>
      </c>
      <c r="BI238" s="521">
        <f t="shared" si="664"/>
        <v>984.53000000000009</v>
      </c>
      <c r="BJ238" s="506">
        <f>IF(A238="",0,BI238-BH239)</f>
        <v>2.0000000000095497E-2</v>
      </c>
      <c r="BK238" s="514">
        <f>ABS((BB238-BC238)/AX238)*100</f>
        <v>2.1897335932422943</v>
      </c>
      <c r="BL238" s="514">
        <f>((BH238-BI238)/AX238)*100</f>
        <v>0.669265756984742</v>
      </c>
      <c r="BM238" s="514">
        <f>IF(BA238=6,(1/0.013)*((AZ238/4000)^(2/3))*((BL238/100)^(0.5)),(1/0.009)*((AZ238/4000)^(2/3))*((BL238/100)^(0.5)))</f>
        <v>1.7121769018037882</v>
      </c>
      <c r="BN238" s="514">
        <f>1000*BM238*PI()*((AZ238/1000/2)^2)</f>
        <v>143.79176698526018</v>
      </c>
      <c r="BO238" s="522">
        <f ca="1">AI238/BN238</f>
        <v>1.0431751632579646E-2</v>
      </c>
      <c r="BP238" s="523">
        <f ca="1">IF(L238=0," ",AW238/BN238)</f>
        <v>0.54766696071043142</v>
      </c>
      <c r="BQ238" s="524">
        <f ca="1">IF($BO238&gt;0 =AND($BO238&lt;=0.06),10^(0.029806+0.29095*LOG($BO238)),IF($BO238&gt;0.06 =AND($BO238&lt;=0.26),10^(0.013778+0.282597*LOG($BO238)),IF($BO238&gt;0.26 =AND($BO238&lt;=0.91),10^(0.021763+0.28995*LOG($BO238)),1)))</f>
        <v>0.28395337733359238</v>
      </c>
      <c r="BR238" s="524">
        <f ca="1">IF($BP238&gt;0 =AND($BP238&lt;=0.06),10^(0.029806+0.29095*LOG($BP238)),IF($BP238&gt;0.06 =AND($BP238&lt;=0.26),10^(0.013778+0.282597*LOG($BP238)),IF($BP238&gt;0.26 =AND($BP238&lt;=2),10^(0.021763+0.28995*LOG($BP238))," ")))</f>
        <v>0.88296984382800725</v>
      </c>
      <c r="BS238" s="514">
        <f ca="1">BM238*BQ238</f>
        <v>0.48617841385975225</v>
      </c>
      <c r="BT238" s="514">
        <f ca="1">IF(BP238=" "," ",(BM238*BR238))</f>
        <v>1.5118005715916123</v>
      </c>
      <c r="BU238" s="514">
        <f ca="1">IF(BO238&lt;=0.11,0.3827+0.0645*LN(BO238),IF(BO238&lt;=0.21,0.60025+0.15471*LN(BO238),IF(BO238&lt;1,0.225+0.6666666667*BO238,0)))</f>
        <v>8.8392880191140111E-2</v>
      </c>
      <c r="BV238" s="514">
        <f ca="1">IF(BP238&lt;=0.11,0.3827+0.0645*LN(BP238),IF(BP238&lt;=0.21,0.60025+0.15471*LN(BP238),IF(BP238&lt;1,0.225+0.6666666667*BP238," ")))</f>
        <v>0.59011130715854321</v>
      </c>
      <c r="BW238" s="514">
        <f ca="1">2*ACOS(1-2*(BU238))</f>
        <v>1.20749354570723</v>
      </c>
      <c r="BX238" s="514">
        <f ca="1">IF(BP238=" "," ",(2*ACOS(1-2*(BV238))))</f>
        <v>3.5040181869363942</v>
      </c>
      <c r="BY238" s="514">
        <f ca="1">(1/4)*(1-(SIN(BW238))/BW238)</f>
        <v>5.6473450749595089E-2</v>
      </c>
      <c r="BZ238" s="514">
        <f ca="1">IF(BP238=" "," ",((1/4)*(1-(SIN(BX238))/BX238)))</f>
        <v>0.27529547685242789</v>
      </c>
      <c r="CA238" s="510">
        <f ca="1">BY238*AZ238/1000</f>
        <v>1.8466818395117594E-2</v>
      </c>
      <c r="CB238" s="510">
        <f ca="1">IF(BP238=" "," ",(BZ238*AZ238/1000))</f>
        <v>9.0021620930743923E-2</v>
      </c>
      <c r="CC238" s="510">
        <f ca="1">+(BS238/SQRT(9.81*(0.125*(BW238-SIN(BW238))*(AZ238/1000)^2)/((AZ238/1000)*SIN(BW238/2))))</f>
        <v>1.1076663556739361</v>
      </c>
      <c r="CD238" s="510" t="str">
        <f ca="1">IF(CC238="","",IF(CC238&lt;0.7,"F. Subcrítico",IF(AND(CC238&gt;0.7,CC238&lt;1),"F. Subcrítico Inestable",IF(CC238=1,"F. Crítico",IF(AND(CC238&gt;1,CC238&lt;1.5),"F. Supercrítico Inestable",IF(CC238&gt;1.5,"F. Supercrítico",""))))))</f>
        <v>F. Supercrítico Inestable</v>
      </c>
      <c r="CE238" s="510">
        <f ca="1">1000*BL238*CA238/100</f>
        <v>0.12359209192308135</v>
      </c>
      <c r="CF238" s="510">
        <f ca="1">IF(BP238=" "," ",(1000*BL238*CB238/100))</f>
        <v>0.60248388277207821</v>
      </c>
      <c r="CG238" s="510" t="str">
        <f ca="1">IF(BS238&lt;0.45,"No cumple",IF(BS238&gt;5,"No cumple","O.K"))</f>
        <v>O.K</v>
      </c>
      <c r="CH238" s="510" t="str">
        <f ca="1">IF(BT238&lt;0.75,"No cumple",IF(BT238&gt;10,"No cumple","O.K"))</f>
        <v>O.K</v>
      </c>
      <c r="CI238" s="510" t="str">
        <f ca="1">IF(CE238&gt;0.1,"OK","V.C.H.")</f>
        <v>OK</v>
      </c>
      <c r="CJ238" s="510" t="str">
        <f ca="1">IF(CF238&gt;0.2,"OK","V.C.H.")</f>
        <v>OK</v>
      </c>
      <c r="CK238" s="506">
        <f>+BJ238</f>
        <v>2.0000000000095497E-2</v>
      </c>
      <c r="CL238" s="525" t="s">
        <v>2515</v>
      </c>
      <c r="CM238" s="525"/>
      <c r="CN238" s="526" t="str">
        <f>IF(B238=1,"dato"," ")</f>
        <v xml:space="preserve"> </v>
      </c>
      <c r="CO238" s="527">
        <f>+CR238</f>
        <v>15.39</v>
      </c>
      <c r="CP238" s="511">
        <f>+BK238/100</f>
        <v>2.1897335932422945E-2</v>
      </c>
      <c r="CQ238" s="525" t="s">
        <v>2508</v>
      </c>
      <c r="CR238" s="522">
        <f>IF(BA238="","",AX238)</f>
        <v>15.39</v>
      </c>
      <c r="CS238" s="528">
        <v>1.2</v>
      </c>
      <c r="CT238" s="528">
        <v>1.2</v>
      </c>
      <c r="CU238" s="519">
        <f>IF($BA238="","",SQRT((BH238-BI238)^2+$CR238^2))</f>
        <v>15.390344668005326</v>
      </c>
      <c r="CV238" s="529" t="s">
        <v>2509</v>
      </c>
      <c r="CW238" s="530" t="str">
        <f>+IF(BD238&lt;=0.9,"E1",IF(BD238&lt;=2.5,"E2","E3"))</f>
        <v>E1</v>
      </c>
      <c r="CX238" s="522">
        <v>1.4E-2</v>
      </c>
      <c r="CY238" s="525"/>
      <c r="CZ238" s="525"/>
      <c r="DA238" s="525"/>
      <c r="DB238" s="531"/>
    </row>
    <row r="239" spans="1:106" s="532" customFormat="1" ht="15" customHeight="1">
      <c r="A239" s="503">
        <f>+A238+1</f>
        <v>158</v>
      </c>
      <c r="B239" s="504"/>
      <c r="C239" s="505" t="s">
        <v>102</v>
      </c>
      <c r="D239" s="505" t="s">
        <v>103</v>
      </c>
      <c r="E239" s="506">
        <v>0.20898554640000003</v>
      </c>
      <c r="F239" s="506"/>
      <c r="G239" s="506">
        <f>IF(B239=1,0,SUMIF($D$22:$D$585,C239,$H$22:$H$585))</f>
        <v>0.37679135930000002</v>
      </c>
      <c r="H239" s="506">
        <f>+E239+F239+G239</f>
        <v>0.58577690570000007</v>
      </c>
      <c r="I239" s="506">
        <v>0.20898554640000003</v>
      </c>
      <c r="J239" s="506"/>
      <c r="K239" s="507">
        <f ca="1">+IF(B239=1,0,SUMIF($D$22:$D$585,C239,$L$22:$L$582))</f>
        <v>0.37679135930000002</v>
      </c>
      <c r="L239" s="506">
        <f ca="1">+I239+J239+K239</f>
        <v>0.58577690570000007</v>
      </c>
      <c r="M239" s="508">
        <f>+$P$12</f>
        <v>242.33666300502347</v>
      </c>
      <c r="N239" s="509">
        <f>M239*E239</f>
        <v>50.6448599308575</v>
      </c>
      <c r="O239" s="509">
        <f>M239*F239</f>
        <v>0</v>
      </c>
      <c r="P239" s="509">
        <f>M239*H239</f>
        <v>141.95522059274631</v>
      </c>
      <c r="Q239" s="508">
        <v>140</v>
      </c>
      <c r="R239" s="510">
        <f>Q239*P239*$P$14/86400</f>
        <v>0.19551702836269458</v>
      </c>
      <c r="S239" s="510"/>
      <c r="T239" s="510"/>
      <c r="U239" s="510">
        <f>IF(C239="","",T239*$P$17)</f>
        <v>0</v>
      </c>
      <c r="V239" s="510"/>
      <c r="W239" s="510"/>
      <c r="X239" s="510">
        <f>IF(C239="","",W239*$P$16)</f>
        <v>0</v>
      </c>
      <c r="Y239" s="510">
        <f>IF(H239=0,0,$H$15*H239)</f>
        <v>0.11715538114000001</v>
      </c>
      <c r="Z239" s="510">
        <f ca="1">IF(L239=0,$H$16*H239,0)</f>
        <v>0</v>
      </c>
      <c r="AA239" s="471">
        <f t="shared" si="527"/>
        <v>3.8</v>
      </c>
      <c r="AB239" s="510">
        <f>R239*AA239</f>
        <v>0.74296470777823931</v>
      </c>
      <c r="AC239" s="510">
        <f>Q239*(N239+O239)*$P$14/86400</f>
        <v>6.9753915876991229E-2</v>
      </c>
      <c r="AD239" s="510">
        <f t="shared" si="663"/>
        <v>4.1797109280000008E-2</v>
      </c>
      <c r="AE239" s="510">
        <f t="shared" si="663"/>
        <v>0</v>
      </c>
      <c r="AF239" s="510">
        <f t="shared" si="518"/>
        <v>3.8</v>
      </c>
      <c r="AG239" s="510">
        <f>AC239*AF239</f>
        <v>0.26506488033256664</v>
      </c>
      <c r="AH239" s="510">
        <f>+AD239+AE239+AG239</f>
        <v>0.30686198961256667</v>
      </c>
      <c r="AI239" s="510">
        <f ca="1">IF(H239="","",IF(AB239+Y239+Z239+X239+U239&lt;1.5,1.5,AB239+Y239+Z239+X239+U239))</f>
        <v>1.5</v>
      </c>
      <c r="AJ239" s="510">
        <f>+$P$17</f>
        <v>0.75</v>
      </c>
      <c r="AK239" s="511">
        <f>+BK239/100</f>
        <v>3.3261078998072534E-2</v>
      </c>
      <c r="AL239" s="510">
        <f>IF(AJ239=0," ",0.14+0.65*AJ239+0.05*AK239)</f>
        <v>0.62916305394990368</v>
      </c>
      <c r="AM239" s="512">
        <f>((100/36)*$AM$14*(AP239+$AN$14)^$AO$14)</f>
        <v>466.75730166106928</v>
      </c>
      <c r="AN239" s="513">
        <f>IF(B239=1,IF((0.702*(1.1-$AJ239)*SQRT($CO239))/(($CP239)^(1/3))&lt;5,5,(0.702*(1.1-$AJ239)*SQRT($CO239))/(($CP239)^(1/3))),AP235)</f>
        <v>0</v>
      </c>
      <c r="AO239" s="513">
        <f>((1/60)*$AX239/$AQ239)</f>
        <v>0.40705882352941181</v>
      </c>
      <c r="AP239" s="513">
        <f>IF(B239=1,IF(($AN239+$AO239)&lt;10,10,IF(($AN239+$AO239)&gt;20,20,($AN239+$AO239))),($AN239+$AO239))</f>
        <v>0.40705882352941181</v>
      </c>
      <c r="AQ239" s="514">
        <v>1.7</v>
      </c>
      <c r="AR239" s="513">
        <f ca="1">((1/60)*$AX239/$BT239)</f>
        <v>0.38839018623406263</v>
      </c>
      <c r="AS239" s="513">
        <f ca="1">AO239/AR239</f>
        <v>1.0480667070307965</v>
      </c>
      <c r="AT239" s="510" t="str">
        <f ca="1">IF(AS239&lt;0.9,"Disminuir vel.",IF(AS239&gt;1.1,"Aumentar vel.","Cumple"))</f>
        <v>Cumple</v>
      </c>
      <c r="AU239" s="515">
        <f>+I239*AL239*AM239</f>
        <v>61.372043380204865</v>
      </c>
      <c r="AV239" s="510">
        <f ca="1">+L239*AL239*AM239</f>
        <v>172.02302401781105</v>
      </c>
      <c r="AW239" s="510">
        <f ca="1">ROUND(IF(AI239&gt;(AV239*0.05),(AV239+AI239),AV239),2)</f>
        <v>172.02</v>
      </c>
      <c r="AX239" s="516">
        <f>IF(OR(C239="",D239=""),"",ROUND(((VLOOKUP(C239,'Base de Diseño (2)'!$A$2:$C$333,2,FALSE)-VLOOKUP(D239,'Base de Diseño (2)'!$A$2:$C$333,2,FALSE))^2+(VLOOKUP(C239,'Base de Diseño (2)'!$A$2:$C$333,3,0)-VLOOKUP(D239,'Base de Diseño (2)'!$A$2:$C$333,3,FALSE))^2)^0.5,2))</f>
        <v>41.52</v>
      </c>
      <c r="AY239" s="517">
        <v>18</v>
      </c>
      <c r="AZ239" s="518">
        <v>407</v>
      </c>
      <c r="BA239" s="517">
        <v>4</v>
      </c>
      <c r="BB239" s="516">
        <v>986.08</v>
      </c>
      <c r="BC239" s="516">
        <v>987.46100000000001</v>
      </c>
      <c r="BD239" s="519">
        <f>+BF239-((AZ239/1000)+CX239)</f>
        <v>1.1415000000000002</v>
      </c>
      <c r="BE239" s="519">
        <f>+BG239-((AZ239/1000)+CX239)</f>
        <v>2.7715000000000001</v>
      </c>
      <c r="BF239" s="520">
        <v>1.57</v>
      </c>
      <c r="BG239" s="520">
        <v>3.2</v>
      </c>
      <c r="BH239" s="521">
        <f t="shared" si="664"/>
        <v>984.51</v>
      </c>
      <c r="BI239" s="521">
        <f t="shared" si="664"/>
        <v>984.26099999999997</v>
      </c>
      <c r="BJ239" s="506">
        <f>IF(A239="",0,BI239-BH232)</f>
        <v>9.9999999999909051E-2</v>
      </c>
      <c r="BK239" s="514">
        <f>ABS((BB239-BC239)/AX239)*100</f>
        <v>3.3261078998072535</v>
      </c>
      <c r="BL239" s="514">
        <f>((BH239-BI239)/AX239)*100</f>
        <v>0.59971098265901646</v>
      </c>
      <c r="BM239" s="514">
        <f>IF(BA239=6,(1/0.013)*((AZ239/4000)^(2/3))*((BL239/100)^(0.5)),(1/0.009)*((AZ239/4000)^(2/3))*((BL239/100)^(0.5)))</f>
        <v>1.8753605254623409</v>
      </c>
      <c r="BN239" s="514">
        <f>1000*BM239*PI()*((AZ239/1000/2)^2)</f>
        <v>243.98519270537395</v>
      </c>
      <c r="BO239" s="522">
        <f ca="1">AI239/BN239</f>
        <v>6.1479140736681332E-3</v>
      </c>
      <c r="BP239" s="523">
        <f ca="1">IF(L239=0," ",AW239/BN239)</f>
        <v>0.70504278596826153</v>
      </c>
      <c r="BQ239" s="524">
        <f ca="1">IF($BO239&gt;0 =AND($BO239&lt;=0.06),10^(0.029806+0.29095*LOG($BO239)),IF($BO239&gt;0.06 =AND($BO239&lt;=0.26),10^(0.013778+0.282597*LOG($BO239)),IF($BO239&gt;0.26 =AND($BO239&lt;=0.91),10^(0.021763+0.28995*LOG($BO239)),1)))</f>
        <v>0.24346489538668739</v>
      </c>
      <c r="BR239" s="524">
        <f ca="1">IF($BP239&gt;0 =AND($BP239&lt;=0.06),10^(0.029806+0.29095*LOG($BP239)),IF($BP239&gt;0.06 =AND($BP239&lt;=0.26),10^(0.013778+0.282597*LOG($BP239)),IF($BP239&gt;0.26 =AND($BP239&lt;=2),10^(0.021763+0.28995*LOG($BP239))," ")))</f>
        <v>0.95006446907753928</v>
      </c>
      <c r="BS239" s="514">
        <f ca="1">BM239*BQ239</f>
        <v>0.45658445414401194</v>
      </c>
      <c r="BT239" s="514">
        <f ca="1">IF(BP239=" "," ",(BM239*BR239))</f>
        <v>1.7817134019523539</v>
      </c>
      <c r="BU239" s="514">
        <f ca="1">IF(BO239&lt;=0.11,0.3827+0.0645*LN(BO239),IF(BO239&lt;=0.21,0.60025+0.15471*LN(BO239),IF(BO239&lt;1,0.225+0.6666666667*BO239,0)))</f>
        <v>5.4289063283712913E-2</v>
      </c>
      <c r="BV239" s="514">
        <f ca="1">IF(BP239&lt;=0.11,0.3827+0.0645*LN(BP239),IF(BP239&lt;=0.21,0.60025+0.15471*LN(BP239),IF(BP239&lt;1,0.225+0.6666666667*BP239," ")))</f>
        <v>0.69502852400234238</v>
      </c>
      <c r="BW239" s="514">
        <f ca="1">2*ACOS(1-2*(BU239))</f>
        <v>0.94064637948711116</v>
      </c>
      <c r="BX239" s="514">
        <f ca="1">IF(BP239=" "," ",(2*ACOS(1-2*(BV239))))</f>
        <v>3.9429797482731064</v>
      </c>
      <c r="BY239" s="514">
        <f ca="1">(1/4)*(1-(SIN(BW239))/BW239)</f>
        <v>3.52702205161467E-2</v>
      </c>
      <c r="BZ239" s="514">
        <f ca="1">IF(BP239=" "," ",((1/4)*(1-(SIN(BX239))/BX239)))</f>
        <v>0.2955443499911955</v>
      </c>
      <c r="CA239" s="510">
        <f ca="1">BY239*AZ239/1000</f>
        <v>1.4354979750071706E-2</v>
      </c>
      <c r="CB239" s="510">
        <f ca="1">IF(BP239=" "," ",(BZ239*AZ239/1000))</f>
        <v>0.12028655044641658</v>
      </c>
      <c r="CC239" s="510">
        <f ca="1">+(BS239/SQRT(9.81*(0.125*(BW239-SIN(BW239))*(AZ239/1000)^2)/((AZ239/1000)*SIN(BW239/2))))</f>
        <v>1.19431755564507</v>
      </c>
      <c r="CD239" s="510" t="str">
        <f ca="1">IF(CC239="","",IF(CC239&lt;0.7,"F. Subcrítico",IF(AND(CC239&gt;0.7,CC239&lt;1),"F. Subcrítico Inestable",IF(CC239=1,"F. Crítico",IF(AND(CC239&gt;1,CC239&lt;1.5),"F. Supercrítico Inestable",IF(CC239&gt;1.5,"F. Supercrítico",""))))))</f>
        <v>F. Supercrítico Inestable</v>
      </c>
      <c r="CE239" s="510">
        <f ca="1">1000*BL239*CA239/100</f>
        <v>8.6088390119657868E-2</v>
      </c>
      <c r="CF239" s="510">
        <f ca="1">IF(BP239=" "," ",(1000*BL239*CB239/100))</f>
        <v>0.72137165368883838</v>
      </c>
      <c r="CG239" s="510" t="str">
        <f ca="1">IF(BS239&lt;0.45,"No cumple",IF(BS239&gt;5,"No cumple","O.K"))</f>
        <v>O.K</v>
      </c>
      <c r="CH239" s="510" t="str">
        <f ca="1">IF(BT239&lt;0.75,"No cumple",IF(BT239&gt;10,"No cumple","O.K"))</f>
        <v>O.K</v>
      </c>
      <c r="CI239" s="510" t="str">
        <f ca="1">IF(CE239&gt;0.1,"OK","V.C.H.")</f>
        <v>V.C.H.</v>
      </c>
      <c r="CJ239" s="510" t="str">
        <f ca="1">IF(CF239&gt;0.2,"OK","V.C.H.")</f>
        <v>OK</v>
      </c>
      <c r="CK239" s="506">
        <f>+BJ239</f>
        <v>9.9999999999909051E-2</v>
      </c>
      <c r="CL239" s="525" t="s">
        <v>2515</v>
      </c>
      <c r="CM239" s="525"/>
      <c r="CN239" s="526" t="str">
        <f>IF(B239=1,"dato"," ")</f>
        <v xml:space="preserve"> </v>
      </c>
      <c r="CO239" s="527">
        <f>+CR239</f>
        <v>41.52</v>
      </c>
      <c r="CP239" s="511">
        <f>+BK239/100</f>
        <v>3.3261078998072534E-2</v>
      </c>
      <c r="CQ239" s="525" t="s">
        <v>2508</v>
      </c>
      <c r="CR239" s="522">
        <f>IF(BA239="","",AX239)</f>
        <v>41.52</v>
      </c>
      <c r="CS239" s="528">
        <v>1.2</v>
      </c>
      <c r="CT239" s="528">
        <v>1.2</v>
      </c>
      <c r="CU239" s="519">
        <f>IF($BA239="","",SQRT((BH239-BI239)^2+$CR239^2))</f>
        <v>41.520746633460242</v>
      </c>
      <c r="CV239" s="529" t="s">
        <v>2509</v>
      </c>
      <c r="CW239" s="530" t="str">
        <f>+IF(BD239&lt;=0.9,"E1",IF(BD239&lt;=2.5,"E2","E3"))</f>
        <v>E2</v>
      </c>
      <c r="CX239" s="522">
        <v>2.1499999999999998E-2</v>
      </c>
      <c r="CY239" s="525"/>
      <c r="CZ239" s="525"/>
      <c r="DA239" s="525"/>
      <c r="DB239" s="531"/>
    </row>
    <row r="240" spans="1:106" ht="15" customHeight="1">
      <c r="A240" s="465"/>
      <c r="B240" s="491"/>
      <c r="C240" s="466"/>
      <c r="D240" s="466"/>
      <c r="E240" s="468"/>
      <c r="F240" s="468"/>
      <c r="G240" s="468"/>
      <c r="H240" s="468"/>
      <c r="I240" s="468"/>
      <c r="J240" s="468"/>
      <c r="K240" s="467"/>
      <c r="L240" s="468"/>
      <c r="M240" s="469"/>
      <c r="N240" s="470"/>
      <c r="O240" s="470"/>
      <c r="P240" s="470"/>
      <c r="Q240" s="469"/>
      <c r="R240" s="471"/>
      <c r="S240" s="471"/>
      <c r="T240" s="471"/>
      <c r="U240" s="471"/>
      <c r="V240" s="471"/>
      <c r="W240" s="471"/>
      <c r="X240" s="471"/>
      <c r="Y240" s="471"/>
      <c r="Z240" s="471"/>
      <c r="AA240" s="471" t="str">
        <f t="shared" si="527"/>
        <v/>
      </c>
      <c r="AB240" s="471"/>
      <c r="AC240" s="471"/>
      <c r="AD240" s="471"/>
      <c r="AE240" s="471"/>
      <c r="AF240" s="471" t="str">
        <f t="shared" si="518"/>
        <v/>
      </c>
      <c r="AG240" s="471"/>
      <c r="AH240" s="471"/>
      <c r="AI240" s="471"/>
      <c r="AJ240" s="471"/>
      <c r="AK240" s="472"/>
      <c r="AL240" s="471"/>
      <c r="AM240" s="473"/>
      <c r="AN240" s="474"/>
      <c r="AO240" s="474"/>
      <c r="AP240" s="474"/>
      <c r="AQ240" s="475"/>
      <c r="AR240" s="474"/>
      <c r="AS240" s="474"/>
      <c r="AT240" s="471"/>
      <c r="AU240" s="492"/>
      <c r="AV240" s="471"/>
      <c r="AW240" s="471"/>
      <c r="AX240" s="478"/>
      <c r="AY240" s="493"/>
      <c r="AZ240" s="480"/>
      <c r="BA240" s="493"/>
      <c r="BB240" s="478" t="str">
        <f>IF(OR(C240="",D240=""),"",VLOOKUP(C240,'Base de Diseño (2)'!$A$2:$D$330,4,FALSE))</f>
        <v/>
      </c>
      <c r="BC240" s="478" t="str">
        <f>IF(OR(C240="",D240=""),"",VLOOKUP(D240,'Base de Diseño (2)'!$A$2:$D$330,4,FALSE))</f>
        <v/>
      </c>
      <c r="BD240" s="478"/>
      <c r="BE240" s="478"/>
      <c r="BF240" s="494"/>
      <c r="BG240" s="494"/>
      <c r="BH240" s="495"/>
      <c r="BI240" s="495"/>
      <c r="BJ240" s="468"/>
      <c r="BK240" s="475"/>
      <c r="BL240" s="475"/>
      <c r="BM240" s="475"/>
      <c r="BN240" s="475"/>
      <c r="BO240" s="204"/>
      <c r="BP240" s="496"/>
      <c r="BQ240" s="497"/>
      <c r="BR240" s="497"/>
      <c r="BS240" s="475"/>
      <c r="BT240" s="475"/>
      <c r="BU240" s="475"/>
      <c r="BV240" s="475"/>
      <c r="BW240" s="475"/>
      <c r="BX240" s="475"/>
      <c r="BY240" s="475"/>
      <c r="BZ240" s="475"/>
      <c r="CA240" s="471"/>
      <c r="CB240" s="471"/>
      <c r="CC240" s="471"/>
      <c r="CD240" s="471"/>
      <c r="CE240" s="471"/>
      <c r="CF240" s="471"/>
      <c r="CG240" s="471"/>
      <c r="CH240" s="471"/>
      <c r="CI240" s="471"/>
      <c r="CJ240" s="471"/>
      <c r="CK240" s="468"/>
      <c r="CL240" s="482"/>
      <c r="CM240" s="482"/>
      <c r="CN240" s="63"/>
      <c r="CO240" s="498"/>
      <c r="CP240" s="472"/>
      <c r="CQ240" s="482"/>
      <c r="CR240" s="204"/>
      <c r="CS240" s="486"/>
      <c r="CT240" s="486"/>
      <c r="CU240" s="23"/>
      <c r="CV240" s="499"/>
      <c r="CW240" s="488"/>
      <c r="CX240" s="204"/>
      <c r="CY240" s="482"/>
      <c r="CZ240" s="482"/>
      <c r="DA240" s="482"/>
      <c r="DB240" s="490"/>
    </row>
    <row r="241" spans="1:106" ht="15" hidden="1" customHeight="1">
      <c r="A241" s="465">
        <f>+A239+1</f>
        <v>159</v>
      </c>
      <c r="B241" s="491">
        <v>1</v>
      </c>
      <c r="C241" s="466" t="s">
        <v>2521</v>
      </c>
      <c r="D241" s="466" t="s">
        <v>2341</v>
      </c>
      <c r="E241" s="468">
        <v>0.18211411059999999</v>
      </c>
      <c r="F241" s="468"/>
      <c r="G241" s="468">
        <f>IF(B241=1,0,SUMIF($D$22:$D$583,C241,$H$22:$H$583))</f>
        <v>0</v>
      </c>
      <c r="H241" s="468">
        <f>+E241+F241+G241</f>
        <v>0.18211411059999999</v>
      </c>
      <c r="I241" s="468">
        <v>0.18211411059999999</v>
      </c>
      <c r="J241" s="468"/>
      <c r="K241" s="467">
        <f>+IF(B241=1,0,SUMIF($D$22:$D$583,C241,$L$22:$L$580))</f>
        <v>0</v>
      </c>
      <c r="L241" s="468">
        <f>+I241+J241+K241</f>
        <v>0.18211411059999999</v>
      </c>
      <c r="M241" s="469">
        <f>+$P$12</f>
        <v>242.33666300502347</v>
      </c>
      <c r="N241" s="470">
        <f>M241*E241</f>
        <v>44.13292584893177</v>
      </c>
      <c r="O241" s="470">
        <f>M241*F241</f>
        <v>0</v>
      </c>
      <c r="P241" s="470">
        <f>M241*H241</f>
        <v>44.13292584893177</v>
      </c>
      <c r="Q241" s="469">
        <f>+$H$14</f>
        <v>140</v>
      </c>
      <c r="R241" s="471">
        <f>Q241*P241*$P$14/86400</f>
        <v>6.0784932592857416E-2</v>
      </c>
      <c r="S241" s="471"/>
      <c r="T241" s="471"/>
      <c r="U241" s="471">
        <f>IF(C241="","",T241*$P$17)</f>
        <v>0</v>
      </c>
      <c r="V241" s="471"/>
      <c r="W241" s="471"/>
      <c r="X241" s="471">
        <f>IF(C241="","",W241*$P$16)</f>
        <v>0</v>
      </c>
      <c r="Y241" s="471">
        <f>IF(H241=0,0,$H$15*H241)</f>
        <v>3.6422822119999997E-2</v>
      </c>
      <c r="Z241" s="471">
        <f>IF(L241=0,$H$16*H241,0)</f>
        <v>0</v>
      </c>
      <c r="AA241" s="471">
        <f t="shared" si="527"/>
        <v>3.8</v>
      </c>
      <c r="AB241" s="471">
        <f>R241*AA241</f>
        <v>0.23098274385285816</v>
      </c>
      <c r="AC241" s="471">
        <f>Q241*(N241+O241)*$P$14/86400</f>
        <v>6.0784932592857416E-2</v>
      </c>
      <c r="AD241" s="471">
        <f>IF(E241=0,0,$H$15*(E241+F241))</f>
        <v>3.6422822119999997E-2</v>
      </c>
      <c r="AE241" s="471">
        <f>IF(F241=0,0,$H$15*(F241+G241))</f>
        <v>0</v>
      </c>
      <c r="AF241" s="510">
        <f t="shared" si="518"/>
        <v>3.8</v>
      </c>
      <c r="AG241" s="471">
        <f>AC241*AF241</f>
        <v>0.23098274385285816</v>
      </c>
      <c r="AH241" s="471">
        <f>+AD241+AE241+AG241</f>
        <v>0.26740556597285814</v>
      </c>
      <c r="AI241" s="471">
        <f>IF(H241="","",IF(AB241+Y241+Z241+X241+U241&lt;1.5,1.5,AB241+Y241+Z241+X241+U241))</f>
        <v>1.5</v>
      </c>
      <c r="AJ241" s="471">
        <f>+$P$17</f>
        <v>0.75</v>
      </c>
      <c r="AK241" s="472" t="e">
        <f>+BK241/100</f>
        <v>#N/A</v>
      </c>
      <c r="AL241" s="471" t="e">
        <f>IF(AJ241=0," ",0.14+0.65*AJ241+0.05*AK241)</f>
        <v>#N/A</v>
      </c>
      <c r="AM241" s="473" t="e">
        <f t="shared" ref="AM241:AM264" si="665">((100/36)*$AM$14*(AP241+$AN$14)^$AO$14)</f>
        <v>#N/A</v>
      </c>
      <c r="AN241" s="474" t="e">
        <f t="shared" ref="AN241:AN264" si="666">IF(B241=1,IF((0.702*(1.1-$AJ241)*SQRT($CO241))/(($CP241)^(1/3))&lt;5,5,(0.702*(1.1-$AJ241)*SQRT($CO241))/(($CP241)^(1/3))),AP240)</f>
        <v>#N/A</v>
      </c>
      <c r="AO241" s="474" t="e">
        <f>((1/60)*$AX241/$AQ241)</f>
        <v>#N/A</v>
      </c>
      <c r="AP241" s="474" t="e">
        <f>IF(B241=1,IF(($AN241+$AO241)&lt;10,10,IF(($AN241+$AO241)&gt;20,20,($AN241+$AO241))),($AN241+$AO241))</f>
        <v>#N/A</v>
      </c>
      <c r="AQ241" s="475">
        <v>3</v>
      </c>
      <c r="AR241" s="474" t="e">
        <f>((1/60)*$AX241/$BT241)</f>
        <v>#N/A</v>
      </c>
      <c r="AS241" s="474" t="e">
        <f>AO241/AR241</f>
        <v>#N/A</v>
      </c>
      <c r="AT241" s="471" t="e">
        <f>IF(AS241&lt;0.9,"Disminuir vel.",IF(AS241&gt;1.1,"Aumentar vel.","Cumple"))</f>
        <v>#N/A</v>
      </c>
      <c r="AU241" s="492" t="e">
        <f>+I241*AL241*AM241</f>
        <v>#N/A</v>
      </c>
      <c r="AV241" s="471" t="e">
        <f>+L241*AL241*AM241</f>
        <v>#N/A</v>
      </c>
      <c r="AW241" s="471" t="e">
        <f t="shared" ref="AW241:AW272" si="667">ROUND(IF(AI241&gt;(AV241*0.05),(AV241+AI241),AV241),2)</f>
        <v>#N/A</v>
      </c>
      <c r="AX241" s="478" t="e">
        <f>IF(OR(C241="",D241=""),"",ROUND(((VLOOKUP(C241,'Base de Diseño (2)'!$A$2:$C$333,2,FALSE)-VLOOKUP(D241,'Base de Diseño (2)'!$A$2:$C$333,2,FALSE))^2+(VLOOKUP(C241,'Base de Diseño (2)'!$A$2:$C$333,3,0)-VLOOKUP(D241,'Base de Diseño (2)'!$A$2:$C$333,3,FALSE))^2)^0.5,2))</f>
        <v>#N/A</v>
      </c>
      <c r="AY241" s="493">
        <v>8</v>
      </c>
      <c r="AZ241" s="480">
        <f>IF(AND(L241="",H241=""),"",IF(BA241=4,VLOOKUP(AY241,'TABLA (2)'!$A$74:$C$89,2),IF(BA241=5,VLOOKUP(AY241,'TABLA (2)'!$A$51:$B$66,2),IF(BA241=6,VLOOKUP(AY241,'TABLA (2)'!$A$9:$B$43,2)))))</f>
        <v>200</v>
      </c>
      <c r="BA241" s="493">
        <v>6</v>
      </c>
      <c r="BB241" s="478" t="e">
        <f>IF(OR(C241="",D241=""),"",VLOOKUP(C241,'Base de Diseño (2)'!$A$2:$D$330,4,FALSE))</f>
        <v>#N/A</v>
      </c>
      <c r="BC241" s="478">
        <f>IF(OR(C241="",D241=""),"",VLOOKUP(D241,'Base de Diseño (2)'!$A$2:$D$330,4,FALSE))</f>
        <v>991.83399999999995</v>
      </c>
      <c r="BD241" s="478">
        <f>+BF241-((AZ241/1000)+CX241)</f>
        <v>0.76300000000000001</v>
      </c>
      <c r="BE241" s="478">
        <f>+BG241-((AZ241/1000)+CX241)</f>
        <v>2.0629999999999544</v>
      </c>
      <c r="BF241" s="494">
        <v>1</v>
      </c>
      <c r="BG241" s="494">
        <v>2.2999999999999545</v>
      </c>
      <c r="BH241" s="495" t="e">
        <f>BB241-BF241</f>
        <v>#N/A</v>
      </c>
      <c r="BI241" s="495">
        <f>BC241-BG241</f>
        <v>989.53399999999999</v>
      </c>
      <c r="BJ241" s="468">
        <f>IF(A241="",0,BI241-BH242)</f>
        <v>0</v>
      </c>
      <c r="BK241" s="475" t="e">
        <f>ABS((BB241-BC241)/AX241)*100</f>
        <v>#N/A</v>
      </c>
      <c r="BL241" s="475" t="e">
        <f>((BH241-BI241)/AX241)*100</f>
        <v>#N/A</v>
      </c>
      <c r="BM241" s="475" t="e">
        <f>IF(BA241=6,(1/0.013)*((AZ241/4000)^(2/3))*((BL241/100)^(0.5)),(1/0.009)*((AZ241/4000)^(2/3))*((BL241/100)^(0.5)))</f>
        <v>#N/A</v>
      </c>
      <c r="BN241" s="475" t="e">
        <f>1000*BM241*PI()*((AZ241/1000/2)^2)</f>
        <v>#N/A</v>
      </c>
      <c r="BO241" s="204" t="e">
        <f>AI241/BN241</f>
        <v>#N/A</v>
      </c>
      <c r="BP241" s="496" t="e">
        <f>IF(L241=0," ",AW241/BN241)</f>
        <v>#N/A</v>
      </c>
      <c r="BQ241" s="497" t="e">
        <f>IF($BO241&gt;0 =AND($BO241&lt;=0.06),10^(0.029806+0.29095*LOG($BO241)),IF($BO241&gt;0.06 =AND($BO241&lt;=0.26),10^(0.013778+0.282597*LOG($BO241)),IF($BO241&gt;0.26 =AND($BO241&lt;=0.91),10^(0.021763+0.28995*LOG($BO241)),1)))</f>
        <v>#N/A</v>
      </c>
      <c r="BR241" s="497" t="e">
        <f>IF($BP241&gt;0 =AND($BP241&lt;=0.06),10^(0.029806+0.29095*LOG($BP241)),IF($BP241&gt;0.06 =AND($BP241&lt;=0.26),10^(0.013778+0.282597*LOG($BP241)),IF($BP241&gt;0.26 =AND($BP241&lt;=2),10^(0.021763+0.28995*LOG($BP241))," ")))</f>
        <v>#N/A</v>
      </c>
      <c r="BS241" s="475" t="e">
        <f>BM241*BQ241</f>
        <v>#N/A</v>
      </c>
      <c r="BT241" s="475" t="e">
        <f>IF(BP241=" "," ",(BM241*BR241))</f>
        <v>#N/A</v>
      </c>
      <c r="BU241" s="475" t="e">
        <f>IF(BO241&lt;=0.11,0.3827+0.0645*LN(BO241),IF(BO241&lt;=0.21,0.60025+0.15471*LN(BO241),IF(BO241&lt;1,0.225+0.6666666667*BO241,0)))</f>
        <v>#N/A</v>
      </c>
      <c r="BV241" s="475" t="e">
        <f>IF(BP241&lt;=0.11,0.3827+0.0645*LN(BP241),IF(BP241&lt;=0.21,0.60025+0.15471*LN(BP241),IF(BP241&lt;1,0.225+0.6666666667*BP241," ")))</f>
        <v>#N/A</v>
      </c>
      <c r="BW241" s="475" t="e">
        <f>2*ACOS(1-2*(BU241))</f>
        <v>#N/A</v>
      </c>
      <c r="BX241" s="475" t="e">
        <f>IF(BP241=" "," ",(2*ACOS(1-2*(BV241))))</f>
        <v>#N/A</v>
      </c>
      <c r="BY241" s="475" t="e">
        <f>(1/4)*(1-(SIN(BW241))/BW241)</f>
        <v>#N/A</v>
      </c>
      <c r="BZ241" s="475" t="e">
        <f>IF(BP241=" "," ",((1/4)*(1-(SIN(BX241))/BX241)))</f>
        <v>#N/A</v>
      </c>
      <c r="CA241" s="471" t="e">
        <f>BY241*AZ241/1000</f>
        <v>#N/A</v>
      </c>
      <c r="CB241" s="471" t="e">
        <f>IF(BP241=" "," ",(BZ241*AZ241/1000))</f>
        <v>#N/A</v>
      </c>
      <c r="CC241" s="471" t="e">
        <f t="shared" ref="CC241:CC264" si="668">+(BT241/SQRT(9.81*(0.125*(BX241-SIN(BX241))*(AZ241/1000)^2)/((AZ241/1000)*SIN(BX241/2))))</f>
        <v>#N/A</v>
      </c>
      <c r="CD241" s="471" t="e">
        <f>IF(CC241="","",IF(CC241&lt;0.7,"F. Subcrítico",IF(AND(CC241&gt;0.7,CC241&lt;1),"F. Subcrítico Inestable",IF(CC241=1,"F. Crítico",IF(AND(CC241&gt;1,CC241&lt;1.5),"F. Supercrítico Inestable",IF(CC241&gt;1.5,"F. Supercrítico",""))))))</f>
        <v>#N/A</v>
      </c>
      <c r="CE241" s="471" t="e">
        <f>1000*BL241*CA241/100</f>
        <v>#N/A</v>
      </c>
      <c r="CF241" s="471" t="e">
        <f>IF(BP241=" "," ",(1000*BL241*CB241/100))</f>
        <v>#N/A</v>
      </c>
      <c r="CG241" s="471" t="e">
        <f>IF(BS241&lt;0.45,"No cumple",IF(BS241&gt;5,"No cumple","O.K"))</f>
        <v>#N/A</v>
      </c>
      <c r="CH241" s="471" t="e">
        <f>IF(BT241&lt;0.75,"No cumple",IF(BT241&gt;10,"No cumple","O.K"))</f>
        <v>#N/A</v>
      </c>
      <c r="CI241" s="471" t="e">
        <f>IF(CE241&gt;0.1,"OK","V.C.H.")</f>
        <v>#N/A</v>
      </c>
      <c r="CJ241" s="471" t="e">
        <f>IF(CF241&gt;0.2,"OK","V.C.H.")</f>
        <v>#N/A</v>
      </c>
      <c r="CK241" s="468">
        <f>+BJ241</f>
        <v>0</v>
      </c>
      <c r="CL241" s="482" t="s">
        <v>2507</v>
      </c>
      <c r="CM241" s="482"/>
      <c r="CN241" s="63" t="str">
        <f>IF(B241=1,"dato"," ")</f>
        <v>dato</v>
      </c>
      <c r="CO241" s="498" t="e">
        <f>+CR241</f>
        <v>#N/A</v>
      </c>
      <c r="CP241" s="472" t="e">
        <f>+BK241/100</f>
        <v>#N/A</v>
      </c>
      <c r="CQ241" s="482" t="s">
        <v>2508</v>
      </c>
      <c r="CR241" s="204" t="e">
        <f>IF(BA241="","",AX241)</f>
        <v>#N/A</v>
      </c>
      <c r="CS241" s="486">
        <v>1.2</v>
      </c>
      <c r="CT241" s="486">
        <v>1.2</v>
      </c>
      <c r="CU241" s="23" t="e">
        <f>IF($BA241="","",SQRT((BH241-BI241)^2+$CR241^2))</f>
        <v>#N/A</v>
      </c>
      <c r="CV241" s="499" t="s">
        <v>2509</v>
      </c>
      <c r="CW241" s="488" t="str">
        <f>+IF(BD241&lt;=0.9,"E1",IF(BD241&lt;=2.5,"E2","E3"))</f>
        <v>E1</v>
      </c>
      <c r="CX241" s="204">
        <f>IF(AND(L241="",H241=""),"",IF(AND(BA241&lt;&gt;4,BA241&lt;&gt;5),VLOOKUP(AY241,'TABLA (2)'!$A$9:$D$43,4),IF(BA241=4,VLOOKUP(AY241,'TABLA (2)'!$A$74:$D$89,4),VLOOKUP(AY241,'TABLA (2)'!$A$51:$D$66,4))))</f>
        <v>3.6999999999999998E-2</v>
      </c>
      <c r="CY241" s="482"/>
      <c r="CZ241" s="482"/>
      <c r="DA241" s="482"/>
      <c r="DB241" s="490"/>
    </row>
    <row r="242" spans="1:106" ht="15" hidden="1" customHeight="1">
      <c r="A242" s="465">
        <f>+A241+1</f>
        <v>160</v>
      </c>
      <c r="B242" s="491"/>
      <c r="C242" s="466" t="s">
        <v>2341</v>
      </c>
      <c r="D242" s="466" t="s">
        <v>103</v>
      </c>
      <c r="E242" s="468">
        <v>0.42119507009999996</v>
      </c>
      <c r="F242" s="468"/>
      <c r="G242" s="468">
        <f>IF(B242=1,0,SUMIF($D$22:$D$583,C242,$H$22:$H$583))</f>
        <v>1.3065015362000001</v>
      </c>
      <c r="H242" s="468">
        <f>+E242+F242+G242</f>
        <v>1.7276966063000001</v>
      </c>
      <c r="I242" s="468">
        <v>0.42119507009999996</v>
      </c>
      <c r="J242" s="468"/>
      <c r="K242" s="467">
        <f ca="1">+IF(B242=1,0,SUMIF($D$22:$D$583,C242,$L$22:$L$580))</f>
        <v>1.3065015362000001</v>
      </c>
      <c r="L242" s="468">
        <f ca="1">+I242+J242+K242</f>
        <v>1.7276966063000001</v>
      </c>
      <c r="M242" s="469">
        <f>+$P$12</f>
        <v>242.33666300502347</v>
      </c>
      <c r="N242" s="470">
        <f>M242*E242</f>
        <v>102.07100776220092</v>
      </c>
      <c r="O242" s="470">
        <f>M242*F242</f>
        <v>0</v>
      </c>
      <c r="P242" s="470">
        <f>M242*H242</f>
        <v>418.68423025584582</v>
      </c>
      <c r="Q242" s="469">
        <f>+$H$14</f>
        <v>140</v>
      </c>
      <c r="R242" s="471">
        <f>Q242*P242*$P$14/86400</f>
        <v>0.57665999306071358</v>
      </c>
      <c r="S242" s="471"/>
      <c r="T242" s="471"/>
      <c r="U242" s="471">
        <f>IF(C242="","",T242*$P$17)</f>
        <v>0</v>
      </c>
      <c r="V242" s="471"/>
      <c r="W242" s="471"/>
      <c r="X242" s="471">
        <f>IF(C242="","",W242*$P$16)</f>
        <v>0</v>
      </c>
      <c r="Y242" s="471">
        <f>IF(H242=0,0,$H$15*H242)</f>
        <v>0.34553932126000003</v>
      </c>
      <c r="Z242" s="471">
        <f ca="1">IF(L242=0,$H$16*H242,0)</f>
        <v>0</v>
      </c>
      <c r="AA242" s="471">
        <f t="shared" si="527"/>
        <v>3.8</v>
      </c>
      <c r="AB242" s="471">
        <f>R242*AA242</f>
        <v>2.1913079736307117</v>
      </c>
      <c r="AC242" s="471">
        <f>Q242*(N242+O242)*$P$14/86400</f>
        <v>0.1405839111539573</v>
      </c>
      <c r="AD242" s="471">
        <f>IF(E242=0,0,$H$15*(E242+F242))</f>
        <v>8.4239014020000003E-2</v>
      </c>
      <c r="AE242" s="471">
        <f>IF(F242=0,0,$H$15*(F242+G242))</f>
        <v>0</v>
      </c>
      <c r="AF242" s="510">
        <f t="shared" si="518"/>
        <v>3.8</v>
      </c>
      <c r="AG242" s="471">
        <f>AC242*AF242</f>
        <v>0.53421886238503768</v>
      </c>
      <c r="AH242" s="471">
        <f>+AD242+AE242+AG242</f>
        <v>0.61845787640503769</v>
      </c>
      <c r="AI242" s="471">
        <f ca="1">IF(H242="","",IF(AB242+Y242+Z242+X242+U242&lt;1.5,1.5,AB242+Y242+Z242+X242+U242))</f>
        <v>2.5368472948907117</v>
      </c>
      <c r="AJ242" s="471">
        <f>+$P$17</f>
        <v>0.75</v>
      </c>
      <c r="AK242" s="472">
        <f>+BK242/100</f>
        <v>4.3232822540780355E-2</v>
      </c>
      <c r="AL242" s="471">
        <f>IF(AJ242=0," ",0.14+0.65*AJ242+0.05*AK242)</f>
        <v>0.62966164112703904</v>
      </c>
      <c r="AM242" s="473" t="e">
        <f t="shared" si="665"/>
        <v>#N/A</v>
      </c>
      <c r="AN242" s="474" t="e">
        <f t="shared" si="666"/>
        <v>#N/A</v>
      </c>
      <c r="AO242" s="474">
        <f>((1/60)*$AX242/$AQ242)</f>
        <v>0.56194444444444447</v>
      </c>
      <c r="AP242" s="474" t="e">
        <f>IF(B242=1,IF(($AN242+$AO242)&lt;10,10,IF(($AN242+$AO242)&gt;20,20,($AN242+$AO242))),($AN242+$AO242))</f>
        <v>#N/A</v>
      </c>
      <c r="AQ242" s="475">
        <v>3</v>
      </c>
      <c r="AR242" s="474" t="e">
        <f ca="1">((1/60)*$AX242/$BT242)</f>
        <v>#N/A</v>
      </c>
      <c r="AS242" s="474" t="e">
        <f ca="1">AO242/AR242</f>
        <v>#N/A</v>
      </c>
      <c r="AT242" s="471" t="e">
        <f ca="1">IF(AS242&lt;0.9,"Disminuir vel.",IF(AS242&gt;1.1,"Aumentar vel.","Cumple"))</f>
        <v>#N/A</v>
      </c>
      <c r="AU242" s="492" t="e">
        <f>+I242*AL242*AM242</f>
        <v>#N/A</v>
      </c>
      <c r="AV242" s="471" t="e">
        <f ca="1">+L242*AL242*AM242</f>
        <v>#N/A</v>
      </c>
      <c r="AW242" s="471" t="e">
        <f t="shared" ca="1" si="667"/>
        <v>#N/A</v>
      </c>
      <c r="AX242" s="478">
        <f>IF(OR(C242="",D242=""),"",ROUND(((VLOOKUP(C242,'Base de Diseño (2)'!$A$2:$C$333,2,FALSE)-VLOOKUP(D242,'Base de Diseño (2)'!$A$2:$C$333,2,FALSE))^2+(VLOOKUP(C242,'Base de Diseño (2)'!$A$2:$C$333,3,0)-VLOOKUP(D242,'Base de Diseño (2)'!$A$2:$C$333,3,FALSE))^2)^0.5,2))</f>
        <v>101.15</v>
      </c>
      <c r="AY242" s="493">
        <v>8</v>
      </c>
      <c r="AZ242" s="480">
        <f ca="1">IF(AND(L242="",H242=""),"",IF(BA242=4,VLOOKUP(AY242,'TABLA (2)'!$A$74:$C$89,2),IF(BA242=5,VLOOKUP(AY242,'TABLA (2)'!$A$51:$B$66,2),IF(BA242=6,VLOOKUP(AY242,'TABLA (2)'!$A$9:$B$43,2)))))</f>
        <v>200</v>
      </c>
      <c r="BA242" s="493">
        <v>6</v>
      </c>
      <c r="BB242" s="478">
        <f>IF(OR(C242="",D242=""),"",VLOOKUP(C242,'Base de Diseño (2)'!$A$2:$D$330,4,FALSE))</f>
        <v>991.83399999999995</v>
      </c>
      <c r="BC242" s="478">
        <f>IF(OR(C242="",D242=""),"",VLOOKUP(D242,'Base de Diseño (2)'!$A$2:$D$330,4,FALSE))</f>
        <v>987.46100000000001</v>
      </c>
      <c r="BD242" s="478">
        <f ca="1">+BF242-((AZ242/1000)+CX242)</f>
        <v>2.0629999999999544</v>
      </c>
      <c r="BE242" s="478">
        <f ca="1">+BG242-((AZ242/1000)+CX242)</f>
        <v>3.0930000000000408</v>
      </c>
      <c r="BF242" s="494">
        <v>2.2999999999999545</v>
      </c>
      <c r="BG242" s="494">
        <v>3.3300000000000409</v>
      </c>
      <c r="BH242" s="495">
        <f>BB242-BF242</f>
        <v>989.53399999999999</v>
      </c>
      <c r="BI242" s="495">
        <f>BC242-BG242</f>
        <v>984.13099999999997</v>
      </c>
      <c r="BJ242" s="468">
        <f>IF(A242="",0,BI242-BH243)</f>
        <v>984.13099999999997</v>
      </c>
      <c r="BK242" s="475">
        <f>ABS((BB242-BC242)/AX242)*100</f>
        <v>4.3232822540780358</v>
      </c>
      <c r="BL242" s="475">
        <f>((BH242-BI242)/AX242)*100</f>
        <v>5.3415719228868213</v>
      </c>
      <c r="BM242" s="475">
        <f ca="1">IF(BA242=6,(1/0.013)*((AZ242/4000)^(2/3))*((BL242/100)^(0.5)),(1/0.009)*((AZ242/4000)^(2/3))*((BL242/100)^(0.5)))</f>
        <v>2.4128918553004386</v>
      </c>
      <c r="BN242" s="475">
        <f ca="1">1000*BM242*PI()*((AZ242/1000/2)^2)</f>
        <v>75.803233265185057</v>
      </c>
      <c r="BO242" s="204">
        <f ca="1">AI242/BN242</f>
        <v>3.3466214904263672E-2</v>
      </c>
      <c r="BP242" s="496" t="e">
        <f ca="1">IF(L242=0," ",AW242/BN242)</f>
        <v>#N/A</v>
      </c>
      <c r="BQ242" s="497">
        <f ca="1">IF($BO242&gt;0 =AND($BO242&lt;=0.06),10^(0.029806+0.29095*LOG($BO242)),IF($BO242&gt;0.06 =AND($BO242&lt;=0.26),10^(0.013778+0.282597*LOG($BO242)),IF($BO242&gt;0.26 =AND($BO242&lt;=0.91),10^(0.021763+0.28995*LOG($BO242)),1)))</f>
        <v>0.39860274849771593</v>
      </c>
      <c r="BR242" s="497" t="e">
        <f ca="1">IF($BP242&gt;0 =AND($BP242&lt;=0.06),10^(0.029806+0.29095*LOG($BP242)),IF($BP242&gt;0.06 =AND($BP242&lt;=0.26),10^(0.013778+0.282597*LOG($BP242)),IF($BP242&gt;0.26 =AND($BP242&lt;=2),10^(0.021763+0.28995*LOG($BP242))," ")))</f>
        <v>#N/A</v>
      </c>
      <c r="BS242" s="475">
        <f ca="1">BM242*BQ242</f>
        <v>0.96178532535050787</v>
      </c>
      <c r="BT242" s="475" t="e">
        <f ca="1">IF(BP242=" "," ",(BM242*BR242))</f>
        <v>#N/A</v>
      </c>
      <c r="BU242" s="475">
        <f ca="1">IF(BO242&lt;=0.11,0.3827+0.0645*LN(BO242),IF(BO242&lt;=0.21,0.60025+0.15471*LN(BO242),IF(BO242&lt;1,0.225+0.6666666667*BO242,0)))</f>
        <v>0.16357938357125987</v>
      </c>
      <c r="BV242" s="475" t="e">
        <f ca="1">IF(BP242&lt;=0.11,0.3827+0.0645*LN(BP242),IF(BP242&lt;=0.21,0.60025+0.15471*LN(BP242),IF(BP242&lt;1,0.225+0.6666666667*BP242," ")))</f>
        <v>#N/A</v>
      </c>
      <c r="BW242" s="475">
        <f ca="1">2*ACOS(1-2*(BU242))</f>
        <v>1.6655072091922123</v>
      </c>
      <c r="BX242" s="475" t="e">
        <f ca="1">IF(BP242=" "," ",(2*ACOS(1-2*(BV242))))</f>
        <v>#N/A</v>
      </c>
      <c r="BY242" s="475">
        <f ca="1">(1/4)*(1-(SIN(BW242))/BW242)</f>
        <v>0.10056830277713799</v>
      </c>
      <c r="BZ242" s="475" t="e">
        <f ca="1">IF(BP242=" "," ",((1/4)*(1-(SIN(BX242))/BX242)))</f>
        <v>#N/A</v>
      </c>
      <c r="CA242" s="471">
        <f ca="1">BY242*AZ242/1000</f>
        <v>2.0113660555427598E-2</v>
      </c>
      <c r="CB242" s="471" t="e">
        <f ca="1">IF(BP242=" "," ",(BZ242*AZ242/1000))</f>
        <v>#N/A</v>
      </c>
      <c r="CC242" s="471" t="e">
        <f t="shared" ca="1" si="668"/>
        <v>#N/A</v>
      </c>
      <c r="CD242" s="471" t="e">
        <f ca="1">IF(CC242="","",IF(CC242&lt;0.7,"F. Subcrítico",IF(AND(CC242&gt;0.7,CC242&lt;1),"F. Subcrítico Inestable",IF(CC242=1,"F. Crítico",IF(AND(CC242&gt;1,CC242&lt;1.5),"F. Supercrítico Inestable",IF(CC242&gt;1.5,"F. Supercrítico",""))))))</f>
        <v>#N/A</v>
      </c>
      <c r="CE242" s="471">
        <f ca="1">1000*BL242*CA242/100</f>
        <v>1.0743856448934819</v>
      </c>
      <c r="CF242" s="471" t="e">
        <f ca="1">IF(BP242=" "," ",(1000*BL242*CB242/100))</f>
        <v>#N/A</v>
      </c>
      <c r="CG242" s="471" t="str">
        <f ca="1">IF(BS242&lt;0.45,"No cumple",IF(BS242&gt;5,"No cumple","O.K"))</f>
        <v>O.K</v>
      </c>
      <c r="CH242" s="471" t="e">
        <f ca="1">IF(BT242&lt;0.75,"No cumple",IF(BT242&gt;10,"No cumple","O.K"))</f>
        <v>#N/A</v>
      </c>
      <c r="CI242" s="471" t="str">
        <f ca="1">IF(CE242&gt;0.1,"OK","V.C.H.")</f>
        <v>OK</v>
      </c>
      <c r="CJ242" s="471" t="e">
        <f ca="1">IF(CF242&gt;0.2,"OK","V.C.H.")</f>
        <v>#N/A</v>
      </c>
      <c r="CK242" s="468">
        <f>+BJ242</f>
        <v>984.13099999999997</v>
      </c>
      <c r="CL242" s="482" t="s">
        <v>2507</v>
      </c>
      <c r="CM242" s="482"/>
      <c r="CN242" s="63" t="str">
        <f>IF(B242=1,"dato"," ")</f>
        <v xml:space="preserve"> </v>
      </c>
      <c r="CO242" s="498">
        <f>+CR242</f>
        <v>101.15</v>
      </c>
      <c r="CP242" s="472">
        <f>+BK242/100</f>
        <v>4.3232822540780355E-2</v>
      </c>
      <c r="CQ242" s="482" t="s">
        <v>2508</v>
      </c>
      <c r="CR242" s="204">
        <f>IF(BA242="","",AX242)</f>
        <v>101.15</v>
      </c>
      <c r="CS242" s="486">
        <v>1.2</v>
      </c>
      <c r="CT242" s="486">
        <v>1.2</v>
      </c>
      <c r="CU242" s="23">
        <f>IF($BA242="","",SQRT((BH242-BI242)^2+$CR242^2))</f>
        <v>101.29419977965175</v>
      </c>
      <c r="CV242" s="499" t="s">
        <v>2509</v>
      </c>
      <c r="CW242" s="488" t="str">
        <f ca="1">+IF(BD242&lt;=0.9,"E1",IF(BD242&lt;=2.5,"E2","E3"))</f>
        <v>E2</v>
      </c>
      <c r="CX242" s="204">
        <f ca="1">IF(AND(L242="",H242=""),"",IF(AND(BA242&lt;&gt;4,BA242&lt;&gt;5),VLOOKUP(AY242,'TABLA (2)'!$A$9:$D$43,4),IF(BA242=4,VLOOKUP(AY242,'TABLA (2)'!$A$74:$D$89,4),VLOOKUP(AY242,'TABLA (2)'!$A$51:$D$66,4))))</f>
        <v>3.6999999999999998E-2</v>
      </c>
      <c r="CY242" s="482"/>
      <c r="CZ242" s="482"/>
      <c r="DA242" s="482"/>
      <c r="DB242" s="490"/>
    </row>
    <row r="243" spans="1:106" ht="15" hidden="1" customHeight="1">
      <c r="A243" s="465"/>
      <c r="B243" s="491"/>
      <c r="C243" s="466"/>
      <c r="D243" s="466"/>
      <c r="E243" s="468"/>
      <c r="F243" s="468"/>
      <c r="G243" s="468"/>
      <c r="H243" s="468"/>
      <c r="I243" s="468"/>
      <c r="J243" s="468"/>
      <c r="K243" s="467"/>
      <c r="L243" s="468"/>
      <c r="M243" s="469"/>
      <c r="N243" s="470"/>
      <c r="O243" s="470"/>
      <c r="P243" s="470"/>
      <c r="Q243" s="469"/>
      <c r="R243" s="471"/>
      <c r="S243" s="471"/>
      <c r="T243" s="471"/>
      <c r="U243" s="471"/>
      <c r="V243" s="471"/>
      <c r="W243" s="471"/>
      <c r="X243" s="471"/>
      <c r="Y243" s="471"/>
      <c r="Z243" s="471"/>
      <c r="AA243" s="471" t="str">
        <f t="shared" si="527"/>
        <v/>
      </c>
      <c r="AB243" s="471"/>
      <c r="AC243" s="471"/>
      <c r="AD243" s="471"/>
      <c r="AE243" s="471"/>
      <c r="AF243" s="510" t="str">
        <f t="shared" si="518"/>
        <v/>
      </c>
      <c r="AG243" s="471"/>
      <c r="AH243" s="471"/>
      <c r="AI243" s="471"/>
      <c r="AJ243" s="471"/>
      <c r="AK243" s="472"/>
      <c r="AL243" s="471"/>
      <c r="AM243" s="473">
        <f t="shared" si="665"/>
        <v>474.44695720875893</v>
      </c>
      <c r="AN243" s="474" t="e">
        <f t="shared" si="666"/>
        <v>#N/A</v>
      </c>
      <c r="AO243" s="474"/>
      <c r="AP243" s="474"/>
      <c r="AQ243" s="475">
        <v>3</v>
      </c>
      <c r="AR243" s="474"/>
      <c r="AS243" s="474"/>
      <c r="AT243" s="471"/>
      <c r="AU243" s="492"/>
      <c r="AV243" s="471"/>
      <c r="AW243" s="471">
        <f t="shared" si="667"/>
        <v>0</v>
      </c>
      <c r="AX243" s="478"/>
      <c r="AY243" s="493"/>
      <c r="AZ243" s="480"/>
      <c r="BA243" s="493"/>
      <c r="BB243" s="478" t="str">
        <f>IF(OR(C243="",D243=""),"",VLOOKUP(C243,'Base de Diseño (2)'!$A$2:$D$330,4,FALSE))</f>
        <v/>
      </c>
      <c r="BC243" s="478" t="str">
        <f>IF(OR(C243="",D243=""),"",VLOOKUP(D243,'Base de Diseño (2)'!$A$2:$D$330,4,FALSE))</f>
        <v/>
      </c>
      <c r="BD243" s="478"/>
      <c r="BE243" s="478"/>
      <c r="BF243" s="494"/>
      <c r="BG243" s="494"/>
      <c r="BH243" s="495"/>
      <c r="BI243" s="495"/>
      <c r="BJ243" s="468"/>
      <c r="BK243" s="475"/>
      <c r="BL243" s="475"/>
      <c r="BM243" s="475"/>
      <c r="BN243" s="475"/>
      <c r="BO243" s="204"/>
      <c r="BP243" s="496"/>
      <c r="BQ243" s="497"/>
      <c r="BR243" s="497"/>
      <c r="BS243" s="475"/>
      <c r="BT243" s="475"/>
      <c r="BU243" s="475"/>
      <c r="BV243" s="475"/>
      <c r="BW243" s="475"/>
      <c r="BX243" s="475"/>
      <c r="BY243" s="475"/>
      <c r="BZ243" s="475"/>
      <c r="CA243" s="471"/>
      <c r="CB243" s="471"/>
      <c r="CC243" s="471" t="e">
        <f t="shared" si="668"/>
        <v>#DIV/0!</v>
      </c>
      <c r="CD243" s="471"/>
      <c r="CE243" s="471"/>
      <c r="CF243" s="471"/>
      <c r="CG243" s="471"/>
      <c r="CH243" s="471"/>
      <c r="CI243" s="471"/>
      <c r="CJ243" s="471"/>
      <c r="CK243" s="468"/>
      <c r="CL243" s="482" t="s">
        <v>2507</v>
      </c>
      <c r="CM243" s="482"/>
      <c r="CN243" s="63"/>
      <c r="CO243" s="498"/>
      <c r="CP243" s="472"/>
      <c r="CQ243" s="482"/>
      <c r="CR243" s="204"/>
      <c r="CS243" s="486"/>
      <c r="CT243" s="486"/>
      <c r="CU243" s="23"/>
      <c r="CV243" s="499"/>
      <c r="CW243" s="488"/>
      <c r="CX243" s="204"/>
      <c r="CY243" s="482"/>
      <c r="CZ243" s="482"/>
      <c r="DA243" s="482"/>
      <c r="DB243" s="490"/>
    </row>
    <row r="244" spans="1:106" ht="15" hidden="1" customHeight="1">
      <c r="A244" s="465">
        <f>+A242+1</f>
        <v>161</v>
      </c>
      <c r="B244" s="491">
        <v>1</v>
      </c>
      <c r="C244" s="466" t="s">
        <v>2516</v>
      </c>
      <c r="D244" s="466" t="s">
        <v>2207</v>
      </c>
      <c r="E244" s="468"/>
      <c r="F244" s="468"/>
      <c r="G244" s="468">
        <f t="shared" ref="G244:G250" si="669">IF(B244=1,0,SUMIF($D$22:$D$583,C244,$H$22:$H$583))</f>
        <v>0</v>
      </c>
      <c r="H244" s="468">
        <f t="shared" ref="H244:H250" si="670">+E244+F244+G244</f>
        <v>0</v>
      </c>
      <c r="I244" s="468"/>
      <c r="J244" s="468"/>
      <c r="K244" s="467">
        <f t="shared" ref="K244:K250" si="671">+IF(B244=1,0,SUMIF($D$22:$D$583,C244,$L$22:$L$580))</f>
        <v>0</v>
      </c>
      <c r="L244" s="468">
        <f t="shared" ref="L244:L250" si="672">+I244+J244+K244</f>
        <v>0</v>
      </c>
      <c r="M244" s="469">
        <f t="shared" ref="M244:M250" si="673">+$P$12</f>
        <v>242.33666300502347</v>
      </c>
      <c r="N244" s="470">
        <f t="shared" ref="N244:N250" si="674">M244*E244</f>
        <v>0</v>
      </c>
      <c r="O244" s="470">
        <f t="shared" ref="O244:O250" si="675">M244*F244</f>
        <v>0</v>
      </c>
      <c r="P244" s="470">
        <f t="shared" ref="P244:P250" si="676">M244*H244</f>
        <v>0</v>
      </c>
      <c r="Q244" s="469">
        <f t="shared" ref="Q244:Q250" si="677">+$H$14</f>
        <v>140</v>
      </c>
      <c r="R244" s="471">
        <f t="shared" ref="R244:R250" si="678">Q244*P244*$P$14/86400</f>
        <v>0</v>
      </c>
      <c r="S244" s="471"/>
      <c r="T244" s="471"/>
      <c r="U244" s="471">
        <f t="shared" ref="U244:U250" si="679">IF(C244="","",T244*$P$17)</f>
        <v>0</v>
      </c>
      <c r="V244" s="471"/>
      <c r="W244" s="471"/>
      <c r="X244" s="471">
        <f t="shared" ref="X244:X250" si="680">IF(C244="","",W244*$P$16)</f>
        <v>0</v>
      </c>
      <c r="Y244" s="471">
        <f t="shared" ref="Y244:Y250" si="681">IF(H244=0,0,$H$15*H244)</f>
        <v>0</v>
      </c>
      <c r="Z244" s="471">
        <f t="shared" ref="Z244:Z250" si="682">IF(L244=0,$H$16*H244,0)</f>
        <v>0</v>
      </c>
      <c r="AA244" s="471">
        <f t="shared" si="527"/>
        <v>3.8</v>
      </c>
      <c r="AB244" s="471">
        <f t="shared" ref="AB244:AB250" si="683">R244*AA244</f>
        <v>0</v>
      </c>
      <c r="AC244" s="471">
        <f t="shared" ref="AC244:AC250" si="684">Q244*(N244+O244)*$P$14/86400</f>
        <v>0</v>
      </c>
      <c r="AD244" s="471">
        <f t="shared" ref="AD244:AE250" si="685">IF(E244=0,0,$H$15*(E244+F244))</f>
        <v>0</v>
      </c>
      <c r="AE244" s="471">
        <f t="shared" si="685"/>
        <v>0</v>
      </c>
      <c r="AF244" s="510">
        <f t="shared" si="518"/>
        <v>3.8</v>
      </c>
      <c r="AG244" s="471">
        <f t="shared" ref="AG244:AG250" si="686">AC244*AF244</f>
        <v>0</v>
      </c>
      <c r="AH244" s="471">
        <f t="shared" ref="AH244:AH250" si="687">+AD244+AE244+AG244</f>
        <v>0</v>
      </c>
      <c r="AI244" s="471">
        <f t="shared" ref="AI244:AI250" si="688">IF(H244="","",IF(AB244+Y244+Z244+X244+U244&lt;1.5,1.5,AB244+Y244+Z244+X244+U244))</f>
        <v>1.5</v>
      </c>
      <c r="AJ244" s="471">
        <f t="shared" ref="AJ244:AJ250" si="689">+$P$17</f>
        <v>0.75</v>
      </c>
      <c r="AK244" s="472" t="e">
        <f t="shared" ref="AK244:AK250" si="690">+BK244/100</f>
        <v>#N/A</v>
      </c>
      <c r="AL244" s="471" t="e">
        <f t="shared" ref="AL244:AL250" si="691">IF(AJ244=0," ",0.14+0.65*AJ244+0.05*AK244)</f>
        <v>#N/A</v>
      </c>
      <c r="AM244" s="473" t="e">
        <f t="shared" si="665"/>
        <v>#N/A</v>
      </c>
      <c r="AN244" s="474" t="e">
        <f t="shared" si="666"/>
        <v>#N/A</v>
      </c>
      <c r="AO244" s="474" t="e">
        <f t="shared" ref="AO244:AO250" si="692">((1/60)*$AX244/$AQ244)</f>
        <v>#N/A</v>
      </c>
      <c r="AP244" s="474" t="e">
        <f t="shared" ref="AP244:AP250" si="693">IF(B244=1,IF(($AN244+$AO244)&lt;10,10,IF(($AN244+$AO244)&gt;20,20,($AN244+$AO244))),($AN244+$AO244))</f>
        <v>#N/A</v>
      </c>
      <c r="AQ244" s="475">
        <v>3</v>
      </c>
      <c r="AR244" s="474" t="e">
        <f t="shared" ref="AR244:AR250" si="694">((1/60)*$AX244/$BT244)</f>
        <v>#N/A</v>
      </c>
      <c r="AS244" s="474" t="e">
        <f t="shared" ref="AS244:AS250" si="695">AO244/AR244</f>
        <v>#N/A</v>
      </c>
      <c r="AT244" s="471" t="e">
        <f t="shared" ref="AT244:AT250" si="696">IF(AS244&lt;0.9,"Disminuir vel.",IF(AS244&gt;1.1,"Aumentar vel.","Cumple"))</f>
        <v>#N/A</v>
      </c>
      <c r="AU244" s="492" t="e">
        <f t="shared" ref="AU244:AU250" si="697">+I244*AL244*AM244</f>
        <v>#N/A</v>
      </c>
      <c r="AV244" s="471" t="e">
        <f t="shared" ref="AV244:AV250" si="698">+L244*AL244*AM244</f>
        <v>#N/A</v>
      </c>
      <c r="AW244" s="471" t="e">
        <f t="shared" si="667"/>
        <v>#N/A</v>
      </c>
      <c r="AX244" s="478" t="e">
        <f>IF(OR(C244="",D244=""),"",ROUND(((VLOOKUP(C244,'Base de Diseño (2)'!$A$2:$C$333,2,FALSE)-VLOOKUP(D244,'Base de Diseño (2)'!$A$2:$C$333,2,FALSE))^2+(VLOOKUP(C244,'Base de Diseño (2)'!$A$2:$C$333,3,0)-VLOOKUP(D244,'Base de Diseño (2)'!$A$2:$C$333,3,FALSE))^2)^0.5,2))</f>
        <v>#N/A</v>
      </c>
      <c r="AY244" s="493">
        <v>20</v>
      </c>
      <c r="AZ244" s="480">
        <f>IF(AND(L244="",H244=""),"",IF(BA244=4,VLOOKUP(AY244,'TABLA (2)'!$A$74:$C$89,2),IF(BA244=5,VLOOKUP(AY244,'TABLA (2)'!$A$51:$B$66,2),IF(BA244=6,VLOOKUP(AY244,'TABLA (2)'!$A$9:$B$43,2)))))</f>
        <v>500</v>
      </c>
      <c r="BA244" s="493">
        <v>6</v>
      </c>
      <c r="BB244" s="478" t="e">
        <f>IF(OR(C244="",D244=""),"",VLOOKUP(C244,'Base de Diseño (2)'!$A$2:$D$330,4,FALSE))</f>
        <v>#N/A</v>
      </c>
      <c r="BC244" s="478">
        <f>IF(OR(C244="",D244=""),"",VLOOKUP(D244,'Base de Diseño (2)'!$A$2:$D$330,4,FALSE))</f>
        <v>979.50160000000005</v>
      </c>
      <c r="BD244" s="478">
        <f t="shared" ref="BD244:BD250" si="699">+BF244-((AZ244/1000)+CX244)</f>
        <v>5.43</v>
      </c>
      <c r="BE244" s="478">
        <f t="shared" ref="BE244:BE250" si="700">+BG244-((AZ244/1000)+CX244)</f>
        <v>6.7299999999999542</v>
      </c>
      <c r="BF244" s="494">
        <v>6</v>
      </c>
      <c r="BG244" s="494">
        <v>7.2999999999999545</v>
      </c>
      <c r="BH244" s="495" t="e">
        <f t="shared" ref="BH244:BI250" si="701">BB244-BF244</f>
        <v>#N/A</v>
      </c>
      <c r="BI244" s="495">
        <f t="shared" si="701"/>
        <v>972.2016000000001</v>
      </c>
      <c r="BJ244" s="468">
        <f t="shared" ref="BJ244:BJ250" si="702">IF(A244="",0,BI244-BH245)</f>
        <v>5.0000000000068212E-2</v>
      </c>
      <c r="BK244" s="475" t="e">
        <f t="shared" ref="BK244:BK250" si="703">ABS((BB244-BC244)/AX244)*100</f>
        <v>#N/A</v>
      </c>
      <c r="BL244" s="475" t="e">
        <f t="shared" ref="BL244:BL250" si="704">((BH244-BI244)/AX244)*100</f>
        <v>#N/A</v>
      </c>
      <c r="BM244" s="475" t="e">
        <f t="shared" ref="BM244:BM250" si="705">IF(BA244=6,(1/0.013)*((AZ244/4000)^(2/3))*((BL244/100)^(0.5)),(1/0.009)*((AZ244/4000)^(2/3))*((BL244/100)^(0.5)))</f>
        <v>#N/A</v>
      </c>
      <c r="BN244" s="475" t="e">
        <f t="shared" ref="BN244:BN250" si="706">1000*BM244*PI()*((AZ244/1000/2)^2)</f>
        <v>#N/A</v>
      </c>
      <c r="BO244" s="204" t="e">
        <f t="shared" ref="BO244:BO250" si="707">AI244/BN244</f>
        <v>#N/A</v>
      </c>
      <c r="BP244" s="496" t="str">
        <f t="shared" ref="BP244:BP250" si="708">IF(L244=0," ",AW244/BN244)</f>
        <v xml:space="preserve"> </v>
      </c>
      <c r="BQ244" s="497" t="e">
        <f t="shared" ref="BQ244:BQ250" si="709">IF($BO244&gt;0 =AND($BO244&lt;=0.06),10^(0.029806+0.29095*LOG($BO244)),IF($BO244&gt;0.06 =AND($BO244&lt;=0.26),10^(0.013778+0.282597*LOG($BO244)),IF($BO244&gt;0.26 =AND($BO244&lt;=0.91),10^(0.021763+0.28995*LOG($BO244)),1)))</f>
        <v>#N/A</v>
      </c>
      <c r="BR244" s="497" t="str">
        <f t="shared" ref="BR244:BR250" si="710">IF($BP244&gt;0 =AND($BP244&lt;=0.06),10^(0.029806+0.29095*LOG($BP244)),IF($BP244&gt;0.06 =AND($BP244&lt;=0.26),10^(0.013778+0.282597*LOG($BP244)),IF($BP244&gt;0.26 =AND($BP244&lt;=2),10^(0.021763+0.28995*LOG($BP244))," ")))</f>
        <v xml:space="preserve"> </v>
      </c>
      <c r="BS244" s="475" t="e">
        <f t="shared" ref="BS244:BS250" si="711">BM244*BQ244</f>
        <v>#N/A</v>
      </c>
      <c r="BT244" s="475" t="str">
        <f t="shared" ref="BT244:BT250" si="712">IF(BP244=" "," ",(BM244*BR244))</f>
        <v xml:space="preserve"> </v>
      </c>
      <c r="BU244" s="475" t="e">
        <f t="shared" ref="BU244:BU250" si="713">IF(BO244&lt;=0.11,0.3827+0.0645*LN(BO244),IF(BO244&lt;=0.21,0.60025+0.15471*LN(BO244),IF(BO244&lt;1,0.225+0.6666666667*BO244,0)))</f>
        <v>#N/A</v>
      </c>
      <c r="BV244" s="475" t="str">
        <f t="shared" ref="BV244:BV250" si="714">IF(BP244&lt;=0.11,0.3827+0.0645*LN(BP244),IF(BP244&lt;=0.21,0.60025+0.15471*LN(BP244),IF(BP244&lt;1,0.225+0.6666666667*BP244," ")))</f>
        <v xml:space="preserve"> </v>
      </c>
      <c r="BW244" s="475" t="e">
        <f t="shared" ref="BW244:BW250" si="715">2*ACOS(1-2*(BU244))</f>
        <v>#N/A</v>
      </c>
      <c r="BX244" s="475" t="str">
        <f t="shared" ref="BX244:BX250" si="716">IF(BP244=" "," ",(2*ACOS(1-2*(BV244))))</f>
        <v xml:space="preserve"> </v>
      </c>
      <c r="BY244" s="475" t="e">
        <f t="shared" ref="BY244:BY250" si="717">(1/4)*(1-(SIN(BW244))/BW244)</f>
        <v>#N/A</v>
      </c>
      <c r="BZ244" s="475" t="str">
        <f t="shared" ref="BZ244:BZ250" si="718">IF(BP244=" "," ",((1/4)*(1-(SIN(BX244))/BX244)))</f>
        <v xml:space="preserve"> </v>
      </c>
      <c r="CA244" s="471" t="e">
        <f t="shared" ref="CA244:CA250" si="719">BY244*AZ244/1000</f>
        <v>#N/A</v>
      </c>
      <c r="CB244" s="471" t="str">
        <f t="shared" ref="CB244:CB250" si="720">IF(BP244=" "," ",(BZ244*AZ244/1000))</f>
        <v xml:space="preserve"> </v>
      </c>
      <c r="CC244" s="471" t="e">
        <f t="shared" si="668"/>
        <v>#VALUE!</v>
      </c>
      <c r="CD244" s="471" t="e">
        <f t="shared" ref="CD244:CD250" si="721">IF(CC244="","",IF(CC244&lt;0.7,"F. Subcrítico",IF(AND(CC244&gt;0.7,CC244&lt;1),"F. Subcrítico Inestable",IF(CC244=1,"F. Crítico",IF(AND(CC244&gt;1,CC244&lt;1.5),"F. Supercrítico Inestable",IF(CC244&gt;1.5,"F. Supercrítico",""))))))</f>
        <v>#VALUE!</v>
      </c>
      <c r="CE244" s="471" t="e">
        <f t="shared" ref="CE244:CE250" si="722">1000*BL244*CA244/100</f>
        <v>#N/A</v>
      </c>
      <c r="CF244" s="471" t="str">
        <f t="shared" ref="CF244:CF250" si="723">IF(BP244=" "," ",(1000*BL244*CB244/100))</f>
        <v xml:space="preserve"> </v>
      </c>
      <c r="CG244" s="471" t="e">
        <f t="shared" ref="CG244:CG250" si="724">IF(BS244&lt;0.45,"No cumple",IF(BS244&gt;5,"No cumple","O.K"))</f>
        <v>#N/A</v>
      </c>
      <c r="CH244" s="471" t="str">
        <f t="shared" ref="CH244:CH250" si="725">IF(BT244&lt;0.75,"No cumple",IF(BT244&gt;10,"No cumple","O.K"))</f>
        <v>No cumple</v>
      </c>
      <c r="CI244" s="471" t="e">
        <f t="shared" ref="CI244:CI250" si="726">IF(CE244&gt;0.1,"OK","V.C.H.")</f>
        <v>#N/A</v>
      </c>
      <c r="CJ244" s="471" t="str">
        <f t="shared" ref="CJ244:CJ250" si="727">IF(CF244&gt;0.2,"OK","V.C.H.")</f>
        <v>OK</v>
      </c>
      <c r="CK244" s="468">
        <f t="shared" ref="CK244:CK250" si="728">+BJ244</f>
        <v>5.0000000000068212E-2</v>
      </c>
      <c r="CL244" s="482" t="s">
        <v>2507</v>
      </c>
      <c r="CM244" s="482"/>
      <c r="CN244" s="63" t="str">
        <f t="shared" ref="CN244:CN250" si="729">IF(B244=1,"dato"," ")</f>
        <v>dato</v>
      </c>
      <c r="CO244" s="498" t="e">
        <f t="shared" ref="CO244:CO250" si="730">+CR244</f>
        <v>#N/A</v>
      </c>
      <c r="CP244" s="472" t="e">
        <f t="shared" ref="CP244:CP250" si="731">+BK244/100</f>
        <v>#N/A</v>
      </c>
      <c r="CQ244" s="482" t="s">
        <v>2508</v>
      </c>
      <c r="CR244" s="204" t="e">
        <f t="shared" ref="CR244:CR250" si="732">IF(BA244="","",AX244)</f>
        <v>#N/A</v>
      </c>
      <c r="CS244" s="486">
        <v>1.2</v>
      </c>
      <c r="CT244" s="486">
        <v>1.2</v>
      </c>
      <c r="CU244" s="23" t="e">
        <f t="shared" ref="CU244:CU250" si="733">IF($BA244="","",SQRT((BH244-BI244)^2+$CR244^2))</f>
        <v>#N/A</v>
      </c>
      <c r="CV244" s="499" t="s">
        <v>2509</v>
      </c>
      <c r="CW244" s="488" t="str">
        <f t="shared" ref="CW244:CW250" si="734">+IF(BD244&lt;=0.9,"E1",IF(BD244&lt;=2.5,"E2","E3"))</f>
        <v>E3</v>
      </c>
      <c r="CX244" s="204">
        <f>IF(AND(L244="",H244=""),"",IF(AND(BA244&lt;&gt;4,BA244&lt;&gt;5),VLOOKUP(AY244,'TABLA (2)'!$A$9:$D$43,4),IF(BA244=4,VLOOKUP(AY244,'TABLA (2)'!$A$74:$D$89,4),VLOOKUP(AY244,'TABLA (2)'!$A$51:$D$66,4))))</f>
        <v>7.0000000000000007E-2</v>
      </c>
      <c r="CY244" s="482"/>
      <c r="CZ244" s="482"/>
      <c r="DA244" s="482"/>
      <c r="DB244" s="490"/>
    </row>
    <row r="245" spans="1:106" ht="15" hidden="1" customHeight="1">
      <c r="A245" s="465">
        <f t="shared" ref="A245:A250" si="735">+A244+1</f>
        <v>162</v>
      </c>
      <c r="B245" s="491"/>
      <c r="C245" s="466" t="s">
        <v>2207</v>
      </c>
      <c r="D245" s="466" t="s">
        <v>2208</v>
      </c>
      <c r="E245" s="468"/>
      <c r="F245" s="468"/>
      <c r="G245" s="468">
        <f t="shared" si="669"/>
        <v>0</v>
      </c>
      <c r="H245" s="468">
        <f t="shared" si="670"/>
        <v>0</v>
      </c>
      <c r="I245" s="468"/>
      <c r="J245" s="468"/>
      <c r="K245" s="467">
        <f t="shared" ca="1" si="671"/>
        <v>0</v>
      </c>
      <c r="L245" s="468">
        <f t="shared" ca="1" si="672"/>
        <v>0</v>
      </c>
      <c r="M245" s="469">
        <f t="shared" si="673"/>
        <v>242.33666300502347</v>
      </c>
      <c r="N245" s="470">
        <f t="shared" si="674"/>
        <v>0</v>
      </c>
      <c r="O245" s="470">
        <f t="shared" si="675"/>
        <v>0</v>
      </c>
      <c r="P245" s="470">
        <f t="shared" si="676"/>
        <v>0</v>
      </c>
      <c r="Q245" s="469">
        <f t="shared" si="677"/>
        <v>140</v>
      </c>
      <c r="R245" s="471">
        <f t="shared" si="678"/>
        <v>0</v>
      </c>
      <c r="S245" s="471"/>
      <c r="T245" s="471"/>
      <c r="U245" s="471">
        <f t="shared" si="679"/>
        <v>0</v>
      </c>
      <c r="V245" s="471"/>
      <c r="W245" s="471"/>
      <c r="X245" s="471">
        <f t="shared" si="680"/>
        <v>0</v>
      </c>
      <c r="Y245" s="471">
        <f t="shared" si="681"/>
        <v>0</v>
      </c>
      <c r="Z245" s="471">
        <f t="shared" ca="1" si="682"/>
        <v>0</v>
      </c>
      <c r="AA245" s="471">
        <f t="shared" si="527"/>
        <v>3.8</v>
      </c>
      <c r="AB245" s="471">
        <f t="shared" si="683"/>
        <v>0</v>
      </c>
      <c r="AC245" s="471">
        <f t="shared" si="684"/>
        <v>0</v>
      </c>
      <c r="AD245" s="471">
        <f t="shared" si="685"/>
        <v>0</v>
      </c>
      <c r="AE245" s="471">
        <f t="shared" si="685"/>
        <v>0</v>
      </c>
      <c r="AF245" s="510">
        <f t="shared" si="518"/>
        <v>3.8</v>
      </c>
      <c r="AG245" s="471">
        <f t="shared" si="686"/>
        <v>0</v>
      </c>
      <c r="AH245" s="471">
        <f t="shared" si="687"/>
        <v>0</v>
      </c>
      <c r="AI245" s="471">
        <f t="shared" ca="1" si="688"/>
        <v>1.5</v>
      </c>
      <c r="AJ245" s="471">
        <f t="shared" si="689"/>
        <v>0.75</v>
      </c>
      <c r="AK245" s="472">
        <f t="shared" si="690"/>
        <v>0.15441448097525171</v>
      </c>
      <c r="AL245" s="471">
        <f t="shared" si="691"/>
        <v>0.63522072404876262</v>
      </c>
      <c r="AM245" s="473" t="e">
        <f t="shared" si="665"/>
        <v>#N/A</v>
      </c>
      <c r="AN245" s="474" t="e">
        <f t="shared" si="666"/>
        <v>#N/A</v>
      </c>
      <c r="AO245" s="474">
        <f t="shared" si="692"/>
        <v>0.15038888888888888</v>
      </c>
      <c r="AP245" s="474" t="e">
        <f t="shared" si="693"/>
        <v>#N/A</v>
      </c>
      <c r="AQ245" s="475">
        <v>3</v>
      </c>
      <c r="AR245" s="474" t="e">
        <f t="shared" ca="1" si="694"/>
        <v>#VALUE!</v>
      </c>
      <c r="AS245" s="474" t="e">
        <f t="shared" ca="1" si="695"/>
        <v>#VALUE!</v>
      </c>
      <c r="AT245" s="471" t="e">
        <f t="shared" ca="1" si="696"/>
        <v>#VALUE!</v>
      </c>
      <c r="AU245" s="492" t="e">
        <f t="shared" si="697"/>
        <v>#N/A</v>
      </c>
      <c r="AV245" s="471" t="e">
        <f t="shared" ca="1" si="698"/>
        <v>#N/A</v>
      </c>
      <c r="AW245" s="471" t="e">
        <f t="shared" ca="1" si="667"/>
        <v>#N/A</v>
      </c>
      <c r="AX245" s="478">
        <f>IF(OR(C245="",D245=""),"",ROUND(((VLOOKUP(C245,'Base de Diseño (2)'!$A$2:$C$333,2,FALSE)-VLOOKUP(D245,'Base de Diseño (2)'!$A$2:$C$333,2,FALSE))^2+(VLOOKUP(C245,'Base de Diseño (2)'!$A$2:$C$333,3,0)-VLOOKUP(D245,'Base de Diseño (2)'!$A$2:$C$333,3,FALSE))^2)^0.5,2))</f>
        <v>27.07</v>
      </c>
      <c r="AY245" s="493">
        <v>24</v>
      </c>
      <c r="AZ245" s="480">
        <f ca="1">IF(AND(L245="",H245=""),"",IF(BA245=4,VLOOKUP(AY245,'TABLA (2)'!$A$74:$C$89,2),IF(BA245=5,VLOOKUP(AY245,'TABLA (2)'!$A$51:$B$66,2),IF(BA245=6,VLOOKUP(AY245,'TABLA (2)'!$A$9:$B$43,2)))))</f>
        <v>600</v>
      </c>
      <c r="BA245" s="493">
        <v>6</v>
      </c>
      <c r="BB245" s="478">
        <f>IF(OR(C245="",D245=""),"",VLOOKUP(C245,'Base de Diseño (2)'!$A$2:$D$330,4,FALSE))</f>
        <v>979.50160000000005</v>
      </c>
      <c r="BC245" s="478">
        <f>IF(OR(C245="",D245=""),"",VLOOKUP(D245,'Base de Diseño (2)'!$A$2:$D$330,4,FALSE))</f>
        <v>975.32159999999999</v>
      </c>
      <c r="BD245" s="478">
        <f t="shared" ca="1" si="699"/>
        <v>6.678000000000023</v>
      </c>
      <c r="BE245" s="478">
        <f t="shared" ca="1" si="700"/>
        <v>5.2780000000000458</v>
      </c>
      <c r="BF245" s="494">
        <v>7.3500000000000227</v>
      </c>
      <c r="BG245" s="494">
        <v>5.9500000000000455</v>
      </c>
      <c r="BH245" s="495">
        <f t="shared" si="701"/>
        <v>972.15160000000003</v>
      </c>
      <c r="BI245" s="495">
        <f t="shared" si="701"/>
        <v>969.37159999999994</v>
      </c>
      <c r="BJ245" s="468">
        <f t="shared" si="702"/>
        <v>0.12999999999999545</v>
      </c>
      <c r="BK245" s="475">
        <f t="shared" si="703"/>
        <v>15.441448097525171</v>
      </c>
      <c r="BL245" s="475">
        <f t="shared" si="704"/>
        <v>10.269671222756136</v>
      </c>
      <c r="BM245" s="475">
        <f t="shared" ca="1" si="705"/>
        <v>6.9592497706853038</v>
      </c>
      <c r="BN245" s="475">
        <f t="shared" ca="1" si="706"/>
        <v>1967.6815158673262</v>
      </c>
      <c r="BO245" s="204">
        <f t="shared" ca="1" si="707"/>
        <v>7.623184889953195E-4</v>
      </c>
      <c r="BP245" s="496" t="str">
        <f t="shared" ca="1" si="708"/>
        <v xml:space="preserve"> </v>
      </c>
      <c r="BQ245" s="497">
        <f t="shared" ca="1" si="709"/>
        <v>0.13263666730225454</v>
      </c>
      <c r="BR245" s="497" t="str">
        <f t="shared" ca="1" si="710"/>
        <v xml:space="preserve"> </v>
      </c>
      <c r="BS245" s="475">
        <f t="shared" ca="1" si="711"/>
        <v>0.92305169650767782</v>
      </c>
      <c r="BT245" s="475" t="str">
        <f t="shared" ca="1" si="712"/>
        <v xml:space="preserve"> </v>
      </c>
      <c r="BU245" s="475">
        <f t="shared" ca="1" si="713"/>
        <v>-8.0354925065060478E-2</v>
      </c>
      <c r="BV245" s="475" t="str">
        <f t="shared" ca="1" si="714"/>
        <v xml:space="preserve"> </v>
      </c>
      <c r="BW245" s="475" t="e">
        <f t="shared" ca="1" si="715"/>
        <v>#NUM!</v>
      </c>
      <c r="BX245" s="475" t="str">
        <f t="shared" ca="1" si="716"/>
        <v xml:space="preserve"> </v>
      </c>
      <c r="BY245" s="475" t="e">
        <f t="shared" ca="1" si="717"/>
        <v>#NUM!</v>
      </c>
      <c r="BZ245" s="475" t="str">
        <f t="shared" ca="1" si="718"/>
        <v xml:space="preserve"> </v>
      </c>
      <c r="CA245" s="471" t="e">
        <f t="shared" ca="1" si="719"/>
        <v>#NUM!</v>
      </c>
      <c r="CB245" s="471" t="str">
        <f t="shared" ca="1" si="720"/>
        <v xml:space="preserve"> </v>
      </c>
      <c r="CC245" s="471" t="e">
        <f t="shared" ca="1" si="668"/>
        <v>#VALUE!</v>
      </c>
      <c r="CD245" s="471" t="e">
        <f t="shared" ca="1" si="721"/>
        <v>#VALUE!</v>
      </c>
      <c r="CE245" s="471" t="e">
        <f t="shared" ca="1" si="722"/>
        <v>#NUM!</v>
      </c>
      <c r="CF245" s="471" t="str">
        <f t="shared" ca="1" si="723"/>
        <v xml:space="preserve"> </v>
      </c>
      <c r="CG245" s="471" t="str">
        <f t="shared" ca="1" si="724"/>
        <v>O.K</v>
      </c>
      <c r="CH245" s="471" t="str">
        <f t="shared" ca="1" si="725"/>
        <v>No cumple</v>
      </c>
      <c r="CI245" s="471" t="e">
        <f t="shared" ca="1" si="726"/>
        <v>#NUM!</v>
      </c>
      <c r="CJ245" s="471" t="str">
        <f t="shared" ca="1" si="727"/>
        <v>OK</v>
      </c>
      <c r="CK245" s="468">
        <f t="shared" si="728"/>
        <v>0.12999999999999545</v>
      </c>
      <c r="CL245" s="482" t="s">
        <v>2507</v>
      </c>
      <c r="CM245" s="482"/>
      <c r="CN245" s="63" t="str">
        <f t="shared" si="729"/>
        <v xml:space="preserve"> </v>
      </c>
      <c r="CO245" s="498">
        <f t="shared" si="730"/>
        <v>27.07</v>
      </c>
      <c r="CP245" s="472">
        <f t="shared" si="731"/>
        <v>0.15441448097525171</v>
      </c>
      <c r="CQ245" s="482" t="s">
        <v>2508</v>
      </c>
      <c r="CR245" s="204">
        <f t="shared" si="732"/>
        <v>27.07</v>
      </c>
      <c r="CS245" s="486">
        <v>1.2</v>
      </c>
      <c r="CT245" s="486">
        <v>1.2</v>
      </c>
      <c r="CU245" s="23">
        <f t="shared" si="733"/>
        <v>27.212374023594496</v>
      </c>
      <c r="CV245" s="499" t="s">
        <v>2509</v>
      </c>
      <c r="CW245" s="488" t="str">
        <f t="shared" ca="1" si="734"/>
        <v>E3</v>
      </c>
      <c r="CX245" s="204">
        <f ca="1">IF(AND(L245="",H245=""),"",IF(AND(BA245&lt;&gt;4,BA245&lt;&gt;5),VLOOKUP(AY245,'TABLA (2)'!$A$9:$D$43,4),IF(BA245=4,VLOOKUP(AY245,'TABLA (2)'!$A$74:$D$89,4),VLOOKUP(AY245,'TABLA (2)'!$A$51:$D$66,4))))</f>
        <v>7.1999999999999995E-2</v>
      </c>
      <c r="CY245" s="482"/>
      <c r="CZ245" s="482"/>
      <c r="DA245" s="482"/>
      <c r="DB245" s="490"/>
    </row>
    <row r="246" spans="1:106" ht="15" hidden="1" customHeight="1">
      <c r="A246" s="465">
        <f t="shared" si="735"/>
        <v>163</v>
      </c>
      <c r="B246" s="491"/>
      <c r="C246" s="466" t="s">
        <v>2208</v>
      </c>
      <c r="D246" s="466" t="s">
        <v>2209</v>
      </c>
      <c r="E246" s="468">
        <v>0.16993761689999998</v>
      </c>
      <c r="F246" s="468"/>
      <c r="G246" s="468">
        <f t="shared" si="669"/>
        <v>0.16952845999999999</v>
      </c>
      <c r="H246" s="468">
        <f t="shared" si="670"/>
        <v>0.33946607689999997</v>
      </c>
      <c r="I246" s="468">
        <v>0.16993761689999998</v>
      </c>
      <c r="J246" s="468"/>
      <c r="K246" s="467">
        <f t="shared" ca="1" si="671"/>
        <v>0.17</v>
      </c>
      <c r="L246" s="468">
        <f t="shared" ca="1" si="672"/>
        <v>0.33993761690000002</v>
      </c>
      <c r="M246" s="469">
        <f t="shared" si="673"/>
        <v>242.33666300502347</v>
      </c>
      <c r="N246" s="470">
        <f t="shared" si="674"/>
        <v>41.182114998572075</v>
      </c>
      <c r="O246" s="470">
        <f t="shared" si="675"/>
        <v>0</v>
      </c>
      <c r="P246" s="470">
        <f t="shared" si="676"/>
        <v>82.26507627935267</v>
      </c>
      <c r="Q246" s="469">
        <f t="shared" si="677"/>
        <v>140</v>
      </c>
      <c r="R246" s="471">
        <f t="shared" si="678"/>
        <v>0.11330490830142323</v>
      </c>
      <c r="S246" s="471"/>
      <c r="T246" s="471"/>
      <c r="U246" s="471">
        <f t="shared" si="679"/>
        <v>0</v>
      </c>
      <c r="V246" s="471"/>
      <c r="W246" s="471"/>
      <c r="X246" s="471">
        <f t="shared" si="680"/>
        <v>0</v>
      </c>
      <c r="Y246" s="471">
        <f t="shared" si="681"/>
        <v>6.7893215379999997E-2</v>
      </c>
      <c r="Z246" s="471">
        <f t="shared" ca="1" si="682"/>
        <v>0</v>
      </c>
      <c r="AA246" s="471">
        <f t="shared" si="527"/>
        <v>3.8</v>
      </c>
      <c r="AB246" s="471">
        <f t="shared" si="683"/>
        <v>0.43055865154540823</v>
      </c>
      <c r="AC246" s="471">
        <f t="shared" si="684"/>
        <v>5.6720737092940704E-2</v>
      </c>
      <c r="AD246" s="471">
        <f t="shared" si="685"/>
        <v>3.3987523379999995E-2</v>
      </c>
      <c r="AE246" s="471">
        <f t="shared" si="685"/>
        <v>0</v>
      </c>
      <c r="AF246" s="510">
        <f t="shared" si="518"/>
        <v>3.8</v>
      </c>
      <c r="AG246" s="471">
        <f t="shared" si="686"/>
        <v>0.21553880095317465</v>
      </c>
      <c r="AH246" s="471">
        <f t="shared" si="687"/>
        <v>0.24952632433317465</v>
      </c>
      <c r="AI246" s="471">
        <f t="shared" ca="1" si="688"/>
        <v>1.5</v>
      </c>
      <c r="AJ246" s="471">
        <f t="shared" si="689"/>
        <v>0.75</v>
      </c>
      <c r="AK246" s="472">
        <f t="shared" si="690"/>
        <v>5.5051546391751735E-2</v>
      </c>
      <c r="AL246" s="471">
        <f t="shared" si="691"/>
        <v>0.63025257731958761</v>
      </c>
      <c r="AM246" s="473" t="e">
        <f t="shared" si="665"/>
        <v>#N/A</v>
      </c>
      <c r="AN246" s="474" t="e">
        <f t="shared" si="666"/>
        <v>#N/A</v>
      </c>
      <c r="AO246" s="474">
        <f t="shared" si="692"/>
        <v>0.26944444444444443</v>
      </c>
      <c r="AP246" s="474" t="e">
        <f t="shared" si="693"/>
        <v>#N/A</v>
      </c>
      <c r="AQ246" s="475">
        <v>3</v>
      </c>
      <c r="AR246" s="474" t="e">
        <f t="shared" ca="1" si="694"/>
        <v>#N/A</v>
      </c>
      <c r="AS246" s="474" t="e">
        <f t="shared" ca="1" si="695"/>
        <v>#N/A</v>
      </c>
      <c r="AT246" s="471" t="e">
        <f t="shared" ca="1" si="696"/>
        <v>#N/A</v>
      </c>
      <c r="AU246" s="492" t="e">
        <f t="shared" si="697"/>
        <v>#N/A</v>
      </c>
      <c r="AV246" s="471" t="e">
        <f t="shared" ca="1" si="698"/>
        <v>#N/A</v>
      </c>
      <c r="AW246" s="471" t="e">
        <f t="shared" ca="1" si="667"/>
        <v>#N/A</v>
      </c>
      <c r="AX246" s="478">
        <f>IF(OR(C246="",D246=""),"",ROUND(((VLOOKUP(C246,'Base de Diseño (2)'!$A$2:$C$333,2,FALSE)-VLOOKUP(D246,'Base de Diseño (2)'!$A$2:$C$333,2,FALSE))^2+(VLOOKUP(C246,'Base de Diseño (2)'!$A$2:$C$333,3,0)-VLOOKUP(D246,'Base de Diseño (2)'!$A$2:$C$333,3,FALSE))^2)^0.5,2))</f>
        <v>48.5</v>
      </c>
      <c r="AY246" s="493">
        <v>24</v>
      </c>
      <c r="AZ246" s="480">
        <f ca="1">IF(AND(L246="",H246=""),"",IF(BA246=4,VLOOKUP(AY246,'TABLA (2)'!$A$74:$C$89,2),IF(BA246=5,VLOOKUP(AY246,'TABLA (2)'!$A$51:$B$66,2),IF(BA246=6,VLOOKUP(AY246,'TABLA (2)'!$A$9:$B$43,2)))))</f>
        <v>600</v>
      </c>
      <c r="BA246" s="493">
        <v>6</v>
      </c>
      <c r="BB246" s="478">
        <f>IF(OR(C246="",D246=""),"",VLOOKUP(C246,'Base de Diseño (2)'!$A$2:$D$330,4,FALSE))</f>
        <v>975.32159999999999</v>
      </c>
      <c r="BC246" s="478">
        <f>IF(OR(C246="",D246=""),"",VLOOKUP(D246,'Base de Diseño (2)'!$A$2:$D$330,4,FALSE))</f>
        <v>972.65160000000003</v>
      </c>
      <c r="BD246" s="478">
        <f t="shared" ca="1" si="699"/>
        <v>5.4080000000000412</v>
      </c>
      <c r="BE246" s="478">
        <f t="shared" ca="1" si="700"/>
        <v>4.3479999999999821</v>
      </c>
      <c r="BF246" s="494">
        <v>6.0800000000000409</v>
      </c>
      <c r="BG246" s="494">
        <v>5.0199999999999818</v>
      </c>
      <c r="BH246" s="495">
        <f t="shared" si="701"/>
        <v>969.24159999999995</v>
      </c>
      <c r="BI246" s="495">
        <f t="shared" si="701"/>
        <v>967.63160000000005</v>
      </c>
      <c r="BJ246" s="468">
        <f t="shared" si="702"/>
        <v>2.9999999999972715E-2</v>
      </c>
      <c r="BK246" s="475">
        <f t="shared" si="703"/>
        <v>5.5051546391751733</v>
      </c>
      <c r="BL246" s="475">
        <f t="shared" si="704"/>
        <v>3.3195876288657731</v>
      </c>
      <c r="BM246" s="475">
        <f t="shared" ca="1" si="705"/>
        <v>3.9566371322503615</v>
      </c>
      <c r="BN246" s="475">
        <f t="shared" ca="1" si="706"/>
        <v>1118.7127932838489</v>
      </c>
      <c r="BO246" s="204">
        <f t="shared" ca="1" si="707"/>
        <v>1.3408267153153114E-3</v>
      </c>
      <c r="BP246" s="496" t="e">
        <f t="shared" ca="1" si="708"/>
        <v>#N/A</v>
      </c>
      <c r="BQ246" s="497">
        <f t="shared" ca="1" si="709"/>
        <v>0.15632018984887755</v>
      </c>
      <c r="BR246" s="497" t="e">
        <f t="shared" ca="1" si="710"/>
        <v>#N/A</v>
      </c>
      <c r="BS246" s="475">
        <f t="shared" ca="1" si="711"/>
        <v>0.61850226767649497</v>
      </c>
      <c r="BT246" s="475" t="e">
        <f t="shared" ca="1" si="712"/>
        <v>#N/A</v>
      </c>
      <c r="BU246" s="475">
        <f t="shared" ca="1" si="713"/>
        <v>-4.3933244277552796E-2</v>
      </c>
      <c r="BV246" s="475" t="e">
        <f t="shared" ca="1" si="714"/>
        <v>#N/A</v>
      </c>
      <c r="BW246" s="475" t="e">
        <f t="shared" ca="1" si="715"/>
        <v>#NUM!</v>
      </c>
      <c r="BX246" s="475" t="e">
        <f t="shared" ca="1" si="716"/>
        <v>#N/A</v>
      </c>
      <c r="BY246" s="475" t="e">
        <f t="shared" ca="1" si="717"/>
        <v>#NUM!</v>
      </c>
      <c r="BZ246" s="475" t="e">
        <f t="shared" ca="1" si="718"/>
        <v>#N/A</v>
      </c>
      <c r="CA246" s="471" t="e">
        <f t="shared" ca="1" si="719"/>
        <v>#NUM!</v>
      </c>
      <c r="CB246" s="471" t="e">
        <f t="shared" ca="1" si="720"/>
        <v>#N/A</v>
      </c>
      <c r="CC246" s="471" t="e">
        <f t="shared" ca="1" si="668"/>
        <v>#N/A</v>
      </c>
      <c r="CD246" s="471" t="e">
        <f t="shared" ca="1" si="721"/>
        <v>#N/A</v>
      </c>
      <c r="CE246" s="471" t="e">
        <f t="shared" ca="1" si="722"/>
        <v>#NUM!</v>
      </c>
      <c r="CF246" s="471" t="e">
        <f t="shared" ca="1" si="723"/>
        <v>#N/A</v>
      </c>
      <c r="CG246" s="471" t="str">
        <f t="shared" ca="1" si="724"/>
        <v>O.K</v>
      </c>
      <c r="CH246" s="471" t="e">
        <f t="shared" ca="1" si="725"/>
        <v>#N/A</v>
      </c>
      <c r="CI246" s="471" t="e">
        <f t="shared" ca="1" si="726"/>
        <v>#NUM!</v>
      </c>
      <c r="CJ246" s="471" t="e">
        <f t="shared" ca="1" si="727"/>
        <v>#N/A</v>
      </c>
      <c r="CK246" s="468">
        <f t="shared" si="728"/>
        <v>2.9999999999972715E-2</v>
      </c>
      <c r="CL246" s="482" t="s">
        <v>2507</v>
      </c>
      <c r="CM246" s="482"/>
      <c r="CN246" s="63" t="str">
        <f t="shared" si="729"/>
        <v xml:space="preserve"> </v>
      </c>
      <c r="CO246" s="498">
        <f t="shared" si="730"/>
        <v>48.5</v>
      </c>
      <c r="CP246" s="472">
        <f t="shared" si="731"/>
        <v>5.5051546391751735E-2</v>
      </c>
      <c r="CQ246" s="482" t="s">
        <v>2508</v>
      </c>
      <c r="CR246" s="204">
        <f t="shared" si="732"/>
        <v>48.5</v>
      </c>
      <c r="CS246" s="486">
        <v>1.2</v>
      </c>
      <c r="CT246" s="486">
        <v>1.2</v>
      </c>
      <c r="CU246" s="23">
        <f t="shared" si="733"/>
        <v>48.526715322593184</v>
      </c>
      <c r="CV246" s="499" t="s">
        <v>2509</v>
      </c>
      <c r="CW246" s="488" t="str">
        <f t="shared" ca="1" si="734"/>
        <v>E3</v>
      </c>
      <c r="CX246" s="204">
        <f ca="1">IF(AND(L246="",H246=""),"",IF(AND(BA246&lt;&gt;4,BA246&lt;&gt;5),VLOOKUP(AY246,'TABLA (2)'!$A$9:$D$43,4),IF(BA246=4,VLOOKUP(AY246,'TABLA (2)'!$A$74:$D$89,4),VLOOKUP(AY246,'TABLA (2)'!$A$51:$D$66,4))))</f>
        <v>7.1999999999999995E-2</v>
      </c>
      <c r="CY246" s="482"/>
      <c r="CZ246" s="482"/>
      <c r="DA246" s="482"/>
      <c r="DB246" s="490"/>
    </row>
    <row r="247" spans="1:106" ht="15" hidden="1" customHeight="1">
      <c r="A247" s="465">
        <f t="shared" si="735"/>
        <v>164</v>
      </c>
      <c r="B247" s="491"/>
      <c r="C247" s="466" t="s">
        <v>2209</v>
      </c>
      <c r="D247" s="466" t="s">
        <v>2213</v>
      </c>
      <c r="E247" s="468"/>
      <c r="F247" s="468"/>
      <c r="G247" s="468">
        <f t="shared" si="669"/>
        <v>0.33946607689999997</v>
      </c>
      <c r="H247" s="468">
        <f t="shared" si="670"/>
        <v>0.33946607689999997</v>
      </c>
      <c r="I247" s="468"/>
      <c r="J247" s="468"/>
      <c r="K247" s="467">
        <f t="shared" ca="1" si="671"/>
        <v>0.33993761690000002</v>
      </c>
      <c r="L247" s="468">
        <f t="shared" ca="1" si="672"/>
        <v>0.33993761690000002</v>
      </c>
      <c r="M247" s="469">
        <f t="shared" si="673"/>
        <v>242.33666300502347</v>
      </c>
      <c r="N247" s="470">
        <f t="shared" si="674"/>
        <v>0</v>
      </c>
      <c r="O247" s="470">
        <f t="shared" si="675"/>
        <v>0</v>
      </c>
      <c r="P247" s="470">
        <f t="shared" si="676"/>
        <v>82.26507627935267</v>
      </c>
      <c r="Q247" s="469">
        <f t="shared" si="677"/>
        <v>140</v>
      </c>
      <c r="R247" s="471">
        <f t="shared" si="678"/>
        <v>0.11330490830142323</v>
      </c>
      <c r="S247" s="471"/>
      <c r="T247" s="471"/>
      <c r="U247" s="471">
        <f t="shared" si="679"/>
        <v>0</v>
      </c>
      <c r="V247" s="471"/>
      <c r="W247" s="471"/>
      <c r="X247" s="471">
        <f t="shared" si="680"/>
        <v>0</v>
      </c>
      <c r="Y247" s="471">
        <f t="shared" si="681"/>
        <v>6.7893215379999997E-2</v>
      </c>
      <c r="Z247" s="471">
        <f t="shared" ca="1" si="682"/>
        <v>0</v>
      </c>
      <c r="AA247" s="471">
        <f t="shared" si="527"/>
        <v>3.8</v>
      </c>
      <c r="AB247" s="471">
        <f t="shared" si="683"/>
        <v>0.43055865154540823</v>
      </c>
      <c r="AC247" s="471">
        <f t="shared" si="684"/>
        <v>0</v>
      </c>
      <c r="AD247" s="471">
        <f t="shared" si="685"/>
        <v>0</v>
      </c>
      <c r="AE247" s="471">
        <f t="shared" si="685"/>
        <v>0</v>
      </c>
      <c r="AF247" s="510">
        <f t="shared" si="518"/>
        <v>3.8</v>
      </c>
      <c r="AG247" s="471">
        <f t="shared" si="686"/>
        <v>0</v>
      </c>
      <c r="AH247" s="471">
        <f t="shared" si="687"/>
        <v>0</v>
      </c>
      <c r="AI247" s="471">
        <f t="shared" ca="1" si="688"/>
        <v>1.5</v>
      </c>
      <c r="AJ247" s="471">
        <f t="shared" si="689"/>
        <v>0.75</v>
      </c>
      <c r="AK247" s="472">
        <f t="shared" si="690"/>
        <v>5.0789293067948459E-2</v>
      </c>
      <c r="AL247" s="471">
        <f t="shared" si="691"/>
        <v>0.63003946465339744</v>
      </c>
      <c r="AM247" s="473" t="e">
        <f t="shared" si="665"/>
        <v>#N/A</v>
      </c>
      <c r="AN247" s="474" t="e">
        <f t="shared" si="666"/>
        <v>#N/A</v>
      </c>
      <c r="AO247" s="474">
        <f t="shared" si="692"/>
        <v>8.0944444444444444E-2</v>
      </c>
      <c r="AP247" s="474" t="e">
        <f t="shared" si="693"/>
        <v>#N/A</v>
      </c>
      <c r="AQ247" s="475">
        <v>3</v>
      </c>
      <c r="AR247" s="474" t="e">
        <f t="shared" ca="1" si="694"/>
        <v>#N/A</v>
      </c>
      <c r="AS247" s="474" t="e">
        <f t="shared" ca="1" si="695"/>
        <v>#N/A</v>
      </c>
      <c r="AT247" s="471" t="e">
        <f t="shared" ca="1" si="696"/>
        <v>#N/A</v>
      </c>
      <c r="AU247" s="492" t="e">
        <f t="shared" si="697"/>
        <v>#N/A</v>
      </c>
      <c r="AV247" s="471" t="e">
        <f t="shared" ca="1" si="698"/>
        <v>#N/A</v>
      </c>
      <c r="AW247" s="471" t="e">
        <f t="shared" ca="1" si="667"/>
        <v>#N/A</v>
      </c>
      <c r="AX247" s="478">
        <f>IF(OR(C247="",D247=""),"",ROUND(((VLOOKUP(C247,'Base de Diseño (2)'!$A$2:$C$333,2,FALSE)-VLOOKUP(D247,'Base de Diseño (2)'!$A$2:$C$333,2,FALSE))^2+(VLOOKUP(C247,'Base de Diseño (2)'!$A$2:$C$333,3,0)-VLOOKUP(D247,'Base de Diseño (2)'!$A$2:$C$333,3,FALSE))^2)^0.5,2))</f>
        <v>14.57</v>
      </c>
      <c r="AY247" s="493">
        <v>24</v>
      </c>
      <c r="AZ247" s="480">
        <f ca="1">IF(AND(L247="",H247=""),"",IF(BA247=4,VLOOKUP(AY247,'TABLA (2)'!$A$74:$C$89,2),IF(BA247=5,VLOOKUP(AY247,'TABLA (2)'!$A$51:$B$66,2),IF(BA247=6,VLOOKUP(AY247,'TABLA (2)'!$A$9:$B$43,2)))))</f>
        <v>600</v>
      </c>
      <c r="BA247" s="493">
        <v>6</v>
      </c>
      <c r="BB247" s="478">
        <f>IF(OR(C247="",D247=""),"",VLOOKUP(C247,'Base de Diseño (2)'!$A$2:$D$330,4,FALSE))</f>
        <v>972.65160000000003</v>
      </c>
      <c r="BC247" s="478">
        <f>IF(OR(C247="",D247=""),"",VLOOKUP(D247,'Base de Diseño (2)'!$A$2:$D$330,4,FALSE))</f>
        <v>971.91160000000002</v>
      </c>
      <c r="BD247" s="478">
        <f t="shared" ca="1" si="699"/>
        <v>4.3779999999999548</v>
      </c>
      <c r="BE247" s="478">
        <f t="shared" ca="1" si="700"/>
        <v>4.6680000000000321</v>
      </c>
      <c r="BF247" s="494">
        <v>5.0499999999999545</v>
      </c>
      <c r="BG247" s="494">
        <v>5.3400000000000318</v>
      </c>
      <c r="BH247" s="495">
        <f t="shared" si="701"/>
        <v>967.60160000000008</v>
      </c>
      <c r="BI247" s="495">
        <f t="shared" si="701"/>
        <v>966.57159999999999</v>
      </c>
      <c r="BJ247" s="468">
        <f t="shared" si="702"/>
        <v>0</v>
      </c>
      <c r="BK247" s="475">
        <f t="shared" si="703"/>
        <v>5.078929306794846</v>
      </c>
      <c r="BL247" s="475">
        <f t="shared" si="704"/>
        <v>7.0693205216203587</v>
      </c>
      <c r="BM247" s="475">
        <f t="shared" ca="1" si="705"/>
        <v>5.7739496203752747</v>
      </c>
      <c r="BN247" s="475">
        <f t="shared" ca="1" si="706"/>
        <v>1632.5457938611685</v>
      </c>
      <c r="BO247" s="204">
        <f t="shared" ca="1" si="707"/>
        <v>9.1881036699884445E-4</v>
      </c>
      <c r="BP247" s="496" t="e">
        <f t="shared" ca="1" si="708"/>
        <v>#N/A</v>
      </c>
      <c r="BQ247" s="497">
        <f t="shared" ca="1" si="709"/>
        <v>0.14004144126383322</v>
      </c>
      <c r="BR247" s="497" t="e">
        <f t="shared" ca="1" si="710"/>
        <v>#N/A</v>
      </c>
      <c r="BS247" s="475">
        <f t="shared" ca="1" si="711"/>
        <v>0.80859222662211616</v>
      </c>
      <c r="BT247" s="475" t="e">
        <f t="shared" ca="1" si="712"/>
        <v>#N/A</v>
      </c>
      <c r="BU247" s="475">
        <f t="shared" ca="1" si="713"/>
        <v>-6.8311786859210799E-2</v>
      </c>
      <c r="BV247" s="475" t="e">
        <f t="shared" ca="1" si="714"/>
        <v>#N/A</v>
      </c>
      <c r="BW247" s="475" t="e">
        <f t="shared" ca="1" si="715"/>
        <v>#NUM!</v>
      </c>
      <c r="BX247" s="475" t="e">
        <f t="shared" ca="1" si="716"/>
        <v>#N/A</v>
      </c>
      <c r="BY247" s="475" t="e">
        <f t="shared" ca="1" si="717"/>
        <v>#NUM!</v>
      </c>
      <c r="BZ247" s="475" t="e">
        <f t="shared" ca="1" si="718"/>
        <v>#N/A</v>
      </c>
      <c r="CA247" s="471" t="e">
        <f t="shared" ca="1" si="719"/>
        <v>#NUM!</v>
      </c>
      <c r="CB247" s="471" t="e">
        <f t="shared" ca="1" si="720"/>
        <v>#N/A</v>
      </c>
      <c r="CC247" s="471" t="e">
        <f t="shared" ca="1" si="668"/>
        <v>#N/A</v>
      </c>
      <c r="CD247" s="471" t="e">
        <f t="shared" ca="1" si="721"/>
        <v>#N/A</v>
      </c>
      <c r="CE247" s="471" t="e">
        <f t="shared" ca="1" si="722"/>
        <v>#NUM!</v>
      </c>
      <c r="CF247" s="471" t="e">
        <f t="shared" ca="1" si="723"/>
        <v>#N/A</v>
      </c>
      <c r="CG247" s="471" t="str">
        <f t="shared" ca="1" si="724"/>
        <v>O.K</v>
      </c>
      <c r="CH247" s="471" t="e">
        <f t="shared" ca="1" si="725"/>
        <v>#N/A</v>
      </c>
      <c r="CI247" s="471" t="e">
        <f t="shared" ca="1" si="726"/>
        <v>#NUM!</v>
      </c>
      <c r="CJ247" s="471" t="e">
        <f t="shared" ca="1" si="727"/>
        <v>#N/A</v>
      </c>
      <c r="CK247" s="468">
        <f t="shared" si="728"/>
        <v>0</v>
      </c>
      <c r="CL247" s="482" t="s">
        <v>2507</v>
      </c>
      <c r="CM247" s="482"/>
      <c r="CN247" s="63" t="str">
        <f t="shared" si="729"/>
        <v xml:space="preserve"> </v>
      </c>
      <c r="CO247" s="498">
        <f t="shared" si="730"/>
        <v>14.57</v>
      </c>
      <c r="CP247" s="472">
        <f t="shared" si="731"/>
        <v>5.0789293067948459E-2</v>
      </c>
      <c r="CQ247" s="482" t="s">
        <v>2508</v>
      </c>
      <c r="CR247" s="204">
        <f t="shared" si="732"/>
        <v>14.57</v>
      </c>
      <c r="CS247" s="486">
        <v>1.2</v>
      </c>
      <c r="CT247" s="486">
        <v>1.2</v>
      </c>
      <c r="CU247" s="23">
        <f t="shared" si="733"/>
        <v>14.606361627729207</v>
      </c>
      <c r="CV247" s="499" t="s">
        <v>2509</v>
      </c>
      <c r="CW247" s="488" t="str">
        <f t="shared" ca="1" si="734"/>
        <v>E3</v>
      </c>
      <c r="CX247" s="204">
        <f ca="1">IF(AND(L247="",H247=""),"",IF(AND(BA247&lt;&gt;4,BA247&lt;&gt;5),VLOOKUP(AY247,'TABLA (2)'!$A$9:$D$43,4),IF(BA247=4,VLOOKUP(AY247,'TABLA (2)'!$A$74:$D$89,4),VLOOKUP(AY247,'TABLA (2)'!$A$51:$D$66,4))))</f>
        <v>7.1999999999999995E-2</v>
      </c>
      <c r="CY247" s="482"/>
      <c r="CZ247" s="482"/>
      <c r="DA247" s="482"/>
      <c r="DB247" s="490"/>
    </row>
    <row r="248" spans="1:106" ht="15" hidden="1" customHeight="1">
      <c r="A248" s="465">
        <f t="shared" si="735"/>
        <v>165</v>
      </c>
      <c r="B248" s="491"/>
      <c r="C248" s="466" t="s">
        <v>2213</v>
      </c>
      <c r="D248" s="466" t="s">
        <v>2211</v>
      </c>
      <c r="E248" s="468"/>
      <c r="F248" s="468"/>
      <c r="G248" s="468">
        <f t="shared" si="669"/>
        <v>0.33946607689999997</v>
      </c>
      <c r="H248" s="468">
        <f t="shared" si="670"/>
        <v>0.33946607689999997</v>
      </c>
      <c r="I248" s="468"/>
      <c r="J248" s="468"/>
      <c r="K248" s="467">
        <f t="shared" ca="1" si="671"/>
        <v>0.33993761690000002</v>
      </c>
      <c r="L248" s="468">
        <f t="shared" ca="1" si="672"/>
        <v>0.33993761690000002</v>
      </c>
      <c r="M248" s="469">
        <f t="shared" si="673"/>
        <v>242.33666300502347</v>
      </c>
      <c r="N248" s="470">
        <f t="shared" si="674"/>
        <v>0</v>
      </c>
      <c r="O248" s="470">
        <f t="shared" si="675"/>
        <v>0</v>
      </c>
      <c r="P248" s="470">
        <f t="shared" si="676"/>
        <v>82.26507627935267</v>
      </c>
      <c r="Q248" s="469">
        <f t="shared" si="677"/>
        <v>140</v>
      </c>
      <c r="R248" s="471">
        <f t="shared" si="678"/>
        <v>0.11330490830142323</v>
      </c>
      <c r="S248" s="471"/>
      <c r="T248" s="471"/>
      <c r="U248" s="471">
        <f t="shared" si="679"/>
        <v>0</v>
      </c>
      <c r="V248" s="471"/>
      <c r="W248" s="471"/>
      <c r="X248" s="471">
        <f t="shared" si="680"/>
        <v>0</v>
      </c>
      <c r="Y248" s="471">
        <f t="shared" si="681"/>
        <v>6.7893215379999997E-2</v>
      </c>
      <c r="Z248" s="471">
        <f t="shared" ca="1" si="682"/>
        <v>0</v>
      </c>
      <c r="AA248" s="471">
        <f t="shared" si="527"/>
        <v>3.8</v>
      </c>
      <c r="AB248" s="471">
        <f t="shared" si="683"/>
        <v>0.43055865154540823</v>
      </c>
      <c r="AC248" s="471">
        <f t="shared" si="684"/>
        <v>0</v>
      </c>
      <c r="AD248" s="471">
        <f t="shared" si="685"/>
        <v>0</v>
      </c>
      <c r="AE248" s="471">
        <f t="shared" si="685"/>
        <v>0</v>
      </c>
      <c r="AF248" s="510">
        <f t="shared" si="518"/>
        <v>3.8</v>
      </c>
      <c r="AG248" s="471">
        <f t="shared" si="686"/>
        <v>0</v>
      </c>
      <c r="AH248" s="471">
        <f t="shared" si="687"/>
        <v>0</v>
      </c>
      <c r="AI248" s="471">
        <f t="shared" ca="1" si="688"/>
        <v>1.5</v>
      </c>
      <c r="AJ248" s="471">
        <f t="shared" si="689"/>
        <v>0.75</v>
      </c>
      <c r="AK248" s="472">
        <f t="shared" si="690"/>
        <v>5.4098360655744415E-2</v>
      </c>
      <c r="AL248" s="471">
        <f t="shared" si="691"/>
        <v>0.63020491803278733</v>
      </c>
      <c r="AM248" s="473" t="e">
        <f t="shared" si="665"/>
        <v>#N/A</v>
      </c>
      <c r="AN248" s="474" t="e">
        <f t="shared" si="666"/>
        <v>#N/A</v>
      </c>
      <c r="AO248" s="474">
        <f t="shared" si="692"/>
        <v>3.3888888888888885E-2</v>
      </c>
      <c r="AP248" s="474" t="e">
        <f t="shared" si="693"/>
        <v>#N/A</v>
      </c>
      <c r="AQ248" s="475">
        <v>3</v>
      </c>
      <c r="AR248" s="474" t="e">
        <f t="shared" ca="1" si="694"/>
        <v>#N/A</v>
      </c>
      <c r="AS248" s="474" t="e">
        <f t="shared" ca="1" si="695"/>
        <v>#N/A</v>
      </c>
      <c r="AT248" s="471" t="e">
        <f t="shared" ca="1" si="696"/>
        <v>#N/A</v>
      </c>
      <c r="AU248" s="492" t="e">
        <f t="shared" si="697"/>
        <v>#N/A</v>
      </c>
      <c r="AV248" s="471" t="e">
        <f t="shared" ca="1" si="698"/>
        <v>#N/A</v>
      </c>
      <c r="AW248" s="471" t="e">
        <f t="shared" ca="1" si="667"/>
        <v>#N/A</v>
      </c>
      <c r="AX248" s="478">
        <f>IF(OR(C248="",D248=""),"",ROUND(((VLOOKUP(C248,'Base de Diseño (2)'!$A$2:$C$333,2,FALSE)-VLOOKUP(D248,'Base de Diseño (2)'!$A$2:$C$333,2,FALSE))^2+(VLOOKUP(C248,'Base de Diseño (2)'!$A$2:$C$333,3,0)-VLOOKUP(D248,'Base de Diseño (2)'!$A$2:$C$333,3,FALSE))^2)^0.5,2))</f>
        <v>6.1</v>
      </c>
      <c r="AY248" s="493">
        <v>24</v>
      </c>
      <c r="AZ248" s="480">
        <f ca="1">IF(AND(L248="",H248=""),"",IF(BA248=4,VLOOKUP(AY248,'TABLA (2)'!$A$74:$C$89,2),IF(BA248=5,VLOOKUP(AY248,'TABLA (2)'!$A$51:$B$66,2),IF(BA248=6,VLOOKUP(AY248,'TABLA (2)'!$A$9:$B$43,2)))))</f>
        <v>600</v>
      </c>
      <c r="BA248" s="493">
        <v>6</v>
      </c>
      <c r="BB248" s="478">
        <f>IF(OR(C248="",D248=""),"",VLOOKUP(C248,'Base de Diseño (2)'!$A$2:$D$330,4,FALSE))</f>
        <v>971.91160000000002</v>
      </c>
      <c r="BC248" s="478">
        <f>IF(OR(C248="",D248=""),"",VLOOKUP(D248,'Base de Diseño (2)'!$A$2:$D$330,4,FALSE))</f>
        <v>971.58159999999998</v>
      </c>
      <c r="BD248" s="478">
        <f t="shared" ca="1" si="699"/>
        <v>4.6680000000000321</v>
      </c>
      <c r="BE248" s="478">
        <f t="shared" ca="1" si="700"/>
        <v>4.5079999999999503</v>
      </c>
      <c r="BF248" s="494">
        <v>5.3400000000000318</v>
      </c>
      <c r="BG248" s="494">
        <v>5.17999999999995</v>
      </c>
      <c r="BH248" s="495">
        <f t="shared" si="701"/>
        <v>966.57159999999999</v>
      </c>
      <c r="BI248" s="495">
        <f t="shared" si="701"/>
        <v>966.40160000000003</v>
      </c>
      <c r="BJ248" s="468">
        <f t="shared" si="702"/>
        <v>0</v>
      </c>
      <c r="BK248" s="475">
        <f t="shared" si="703"/>
        <v>5.4098360655744413</v>
      </c>
      <c r="BL248" s="475">
        <f t="shared" si="704"/>
        <v>2.7868852459009688</v>
      </c>
      <c r="BM248" s="475">
        <f t="shared" ca="1" si="705"/>
        <v>3.6252978787335448</v>
      </c>
      <c r="BN248" s="475">
        <f t="shared" ca="1" si="706"/>
        <v>1025.0288264613566</v>
      </c>
      <c r="BO248" s="204">
        <f t="shared" ca="1" si="707"/>
        <v>1.4633734791423933E-3</v>
      </c>
      <c r="BP248" s="496" t="e">
        <f t="shared" ca="1" si="708"/>
        <v>#N/A</v>
      </c>
      <c r="BQ248" s="497">
        <f t="shared" ca="1" si="709"/>
        <v>0.16034893862992031</v>
      </c>
      <c r="BR248" s="497" t="e">
        <f t="shared" ca="1" si="710"/>
        <v>#N/A</v>
      </c>
      <c r="BS248" s="475">
        <f t="shared" ca="1" si="711"/>
        <v>0.5813126670722254</v>
      </c>
      <c r="BT248" s="475" t="e">
        <f t="shared" ca="1" si="712"/>
        <v>#N/A</v>
      </c>
      <c r="BU248" s="475">
        <f t="shared" ca="1" si="713"/>
        <v>-3.8292203465755625E-2</v>
      </c>
      <c r="BV248" s="475" t="e">
        <f t="shared" ca="1" si="714"/>
        <v>#N/A</v>
      </c>
      <c r="BW248" s="475" t="e">
        <f t="shared" ca="1" si="715"/>
        <v>#NUM!</v>
      </c>
      <c r="BX248" s="475" t="e">
        <f t="shared" ca="1" si="716"/>
        <v>#N/A</v>
      </c>
      <c r="BY248" s="475" t="e">
        <f t="shared" ca="1" si="717"/>
        <v>#NUM!</v>
      </c>
      <c r="BZ248" s="475" t="e">
        <f t="shared" ca="1" si="718"/>
        <v>#N/A</v>
      </c>
      <c r="CA248" s="471" t="e">
        <f t="shared" ca="1" si="719"/>
        <v>#NUM!</v>
      </c>
      <c r="CB248" s="471" t="e">
        <f t="shared" ca="1" si="720"/>
        <v>#N/A</v>
      </c>
      <c r="CC248" s="471" t="e">
        <f t="shared" ca="1" si="668"/>
        <v>#N/A</v>
      </c>
      <c r="CD248" s="471" t="e">
        <f t="shared" ca="1" si="721"/>
        <v>#N/A</v>
      </c>
      <c r="CE248" s="471" t="e">
        <f t="shared" ca="1" si="722"/>
        <v>#NUM!</v>
      </c>
      <c r="CF248" s="471" t="e">
        <f t="shared" ca="1" si="723"/>
        <v>#N/A</v>
      </c>
      <c r="CG248" s="471" t="str">
        <f t="shared" ca="1" si="724"/>
        <v>O.K</v>
      </c>
      <c r="CH248" s="471" t="e">
        <f t="shared" ca="1" si="725"/>
        <v>#N/A</v>
      </c>
      <c r="CI248" s="471" t="e">
        <f t="shared" ca="1" si="726"/>
        <v>#NUM!</v>
      </c>
      <c r="CJ248" s="471" t="e">
        <f t="shared" ca="1" si="727"/>
        <v>#N/A</v>
      </c>
      <c r="CK248" s="468">
        <f t="shared" si="728"/>
        <v>0</v>
      </c>
      <c r="CL248" s="482" t="s">
        <v>2507</v>
      </c>
      <c r="CM248" s="482"/>
      <c r="CN248" s="63" t="str">
        <f t="shared" si="729"/>
        <v xml:space="preserve"> </v>
      </c>
      <c r="CO248" s="498">
        <f t="shared" si="730"/>
        <v>6.1</v>
      </c>
      <c r="CP248" s="472">
        <f t="shared" si="731"/>
        <v>5.4098360655744415E-2</v>
      </c>
      <c r="CQ248" s="482" t="s">
        <v>2508</v>
      </c>
      <c r="CR248" s="204">
        <f t="shared" si="732"/>
        <v>6.1</v>
      </c>
      <c r="CS248" s="486">
        <v>1.2</v>
      </c>
      <c r="CT248" s="486">
        <v>1.2</v>
      </c>
      <c r="CU248" s="23">
        <f t="shared" si="733"/>
        <v>6.1023683926816465</v>
      </c>
      <c r="CV248" s="499" t="s">
        <v>2509</v>
      </c>
      <c r="CW248" s="488" t="str">
        <f t="shared" ca="1" si="734"/>
        <v>E3</v>
      </c>
      <c r="CX248" s="204">
        <f ca="1">IF(AND(L248="",H248=""),"",IF(AND(BA248&lt;&gt;4,BA248&lt;&gt;5),VLOOKUP(AY248,'TABLA (2)'!$A$9:$D$43,4),IF(BA248=4,VLOOKUP(AY248,'TABLA (2)'!$A$74:$D$89,4),VLOOKUP(AY248,'TABLA (2)'!$A$51:$D$66,4))))</f>
        <v>7.1999999999999995E-2</v>
      </c>
      <c r="CY248" s="482"/>
      <c r="CZ248" s="482"/>
      <c r="DA248" s="482"/>
      <c r="DB248" s="490"/>
    </row>
    <row r="249" spans="1:106" ht="15" hidden="1" customHeight="1">
      <c r="A249" s="465">
        <f t="shared" si="735"/>
        <v>166</v>
      </c>
      <c r="B249" s="491"/>
      <c r="C249" s="466" t="s">
        <v>2211</v>
      </c>
      <c r="D249" s="466" t="s">
        <v>2212</v>
      </c>
      <c r="E249" s="468">
        <v>0.16640119759999999</v>
      </c>
      <c r="F249" s="468"/>
      <c r="G249" s="468">
        <f t="shared" si="669"/>
        <v>0.33946607689999997</v>
      </c>
      <c r="H249" s="468">
        <f t="shared" si="670"/>
        <v>0.50586727449999991</v>
      </c>
      <c r="I249" s="468">
        <v>0.16640119759999999</v>
      </c>
      <c r="J249" s="468"/>
      <c r="K249" s="467">
        <f t="shared" ca="1" si="671"/>
        <v>0.33993761690000002</v>
      </c>
      <c r="L249" s="468">
        <f t="shared" ca="1" si="672"/>
        <v>0.50633881450000007</v>
      </c>
      <c r="M249" s="469">
        <f t="shared" si="673"/>
        <v>242.33666300502347</v>
      </c>
      <c r="N249" s="470">
        <f t="shared" si="674"/>
        <v>40.325110946423521</v>
      </c>
      <c r="O249" s="470">
        <f t="shared" si="675"/>
        <v>0</v>
      </c>
      <c r="P249" s="470">
        <f t="shared" si="676"/>
        <v>122.59018722577618</v>
      </c>
      <c r="Q249" s="469">
        <f t="shared" si="677"/>
        <v>140</v>
      </c>
      <c r="R249" s="471">
        <f t="shared" si="678"/>
        <v>0.1688452810169834</v>
      </c>
      <c r="S249" s="471"/>
      <c r="T249" s="471"/>
      <c r="U249" s="471">
        <f t="shared" si="679"/>
        <v>0</v>
      </c>
      <c r="V249" s="471"/>
      <c r="W249" s="471"/>
      <c r="X249" s="471">
        <f t="shared" si="680"/>
        <v>0</v>
      </c>
      <c r="Y249" s="471">
        <f t="shared" si="681"/>
        <v>0.10117345489999999</v>
      </c>
      <c r="Z249" s="471">
        <f t="shared" ca="1" si="682"/>
        <v>0</v>
      </c>
      <c r="AA249" s="471">
        <f t="shared" si="527"/>
        <v>3.8</v>
      </c>
      <c r="AB249" s="471">
        <f t="shared" si="683"/>
        <v>0.64161206786453684</v>
      </c>
      <c r="AC249" s="471">
        <f t="shared" si="684"/>
        <v>5.5540372715560178E-2</v>
      </c>
      <c r="AD249" s="471">
        <f t="shared" si="685"/>
        <v>3.3280239519999998E-2</v>
      </c>
      <c r="AE249" s="471">
        <f t="shared" si="685"/>
        <v>0</v>
      </c>
      <c r="AF249" s="510">
        <f t="shared" si="518"/>
        <v>3.8</v>
      </c>
      <c r="AG249" s="471">
        <f t="shared" si="686"/>
        <v>0.21105341631912866</v>
      </c>
      <c r="AH249" s="471">
        <f t="shared" si="687"/>
        <v>0.24433365583912867</v>
      </c>
      <c r="AI249" s="471">
        <f t="shared" ca="1" si="688"/>
        <v>1.5</v>
      </c>
      <c r="AJ249" s="471">
        <f t="shared" si="689"/>
        <v>0.75</v>
      </c>
      <c r="AK249" s="472">
        <f t="shared" si="690"/>
        <v>6.6799317794198662E-2</v>
      </c>
      <c r="AL249" s="471">
        <f t="shared" si="691"/>
        <v>0.63083996588971003</v>
      </c>
      <c r="AM249" s="473" t="e">
        <f t="shared" si="665"/>
        <v>#N/A</v>
      </c>
      <c r="AN249" s="474" t="e">
        <f t="shared" si="666"/>
        <v>#N/A</v>
      </c>
      <c r="AO249" s="474">
        <f t="shared" si="692"/>
        <v>0.19544444444444445</v>
      </c>
      <c r="AP249" s="474" t="e">
        <f t="shared" si="693"/>
        <v>#N/A</v>
      </c>
      <c r="AQ249" s="475">
        <v>3</v>
      </c>
      <c r="AR249" s="474" t="e">
        <f t="shared" ca="1" si="694"/>
        <v>#N/A</v>
      </c>
      <c r="AS249" s="474" t="e">
        <f t="shared" ca="1" si="695"/>
        <v>#N/A</v>
      </c>
      <c r="AT249" s="471" t="e">
        <f t="shared" ca="1" si="696"/>
        <v>#N/A</v>
      </c>
      <c r="AU249" s="492" t="e">
        <f t="shared" si="697"/>
        <v>#N/A</v>
      </c>
      <c r="AV249" s="471" t="e">
        <f t="shared" ca="1" si="698"/>
        <v>#N/A</v>
      </c>
      <c r="AW249" s="471" t="e">
        <f t="shared" ca="1" si="667"/>
        <v>#N/A</v>
      </c>
      <c r="AX249" s="478">
        <f>IF(OR(C249="",D249=""),"",ROUND(((VLOOKUP(C249,'Base de Diseño (2)'!$A$2:$C$333,2,FALSE)-VLOOKUP(D249,'Base de Diseño (2)'!$A$2:$C$333,2,FALSE))^2+(VLOOKUP(C249,'Base de Diseño (2)'!$A$2:$C$333,3,0)-VLOOKUP(D249,'Base de Diseño (2)'!$A$2:$C$333,3,FALSE))^2)^0.5,2))</f>
        <v>35.18</v>
      </c>
      <c r="AY249" s="493">
        <v>24</v>
      </c>
      <c r="AZ249" s="480">
        <f ca="1">IF(AND(L249="",H249=""),"",IF(BA249=4,VLOOKUP(AY249,'TABLA (2)'!$A$74:$C$89,2),IF(BA249=5,VLOOKUP(AY249,'TABLA (2)'!$A$51:$B$66,2),IF(BA249=6,VLOOKUP(AY249,'TABLA (2)'!$A$9:$B$43,2)))))</f>
        <v>600</v>
      </c>
      <c r="BA249" s="493">
        <v>6</v>
      </c>
      <c r="BB249" s="478">
        <f>IF(OR(C249="",D249=""),"",VLOOKUP(C249,'Base de Diseño (2)'!$A$2:$D$330,4,FALSE))</f>
        <v>971.58159999999998</v>
      </c>
      <c r="BC249" s="478">
        <f>IF(OR(C249="",D249=""),"",VLOOKUP(D249,'Base de Diseño (2)'!$A$2:$D$330,4,FALSE))</f>
        <v>969.23160000000007</v>
      </c>
      <c r="BD249" s="478">
        <f t="shared" ca="1" si="699"/>
        <v>4.5079999999999503</v>
      </c>
      <c r="BE249" s="478">
        <f t="shared" ca="1" si="700"/>
        <v>2.8879999999999457</v>
      </c>
      <c r="BF249" s="494">
        <v>5.17999999999995</v>
      </c>
      <c r="BG249" s="494">
        <v>3.5599999999999454</v>
      </c>
      <c r="BH249" s="495">
        <f t="shared" si="701"/>
        <v>966.40160000000003</v>
      </c>
      <c r="BI249" s="495">
        <f t="shared" si="701"/>
        <v>965.67160000000013</v>
      </c>
      <c r="BJ249" s="468">
        <f t="shared" si="702"/>
        <v>0</v>
      </c>
      <c r="BK249" s="475">
        <f t="shared" si="703"/>
        <v>6.6799317794198663</v>
      </c>
      <c r="BL249" s="475">
        <f t="shared" si="704"/>
        <v>2.0750426378621505</v>
      </c>
      <c r="BM249" s="475">
        <f t="shared" ca="1" si="705"/>
        <v>3.1282227220678682</v>
      </c>
      <c r="BN249" s="475">
        <f t="shared" ca="1" si="706"/>
        <v>884.48413701969719</v>
      </c>
      <c r="BO249" s="204">
        <f t="shared" ca="1" si="707"/>
        <v>1.69590378981166E-3</v>
      </c>
      <c r="BP249" s="496" t="e">
        <f t="shared" ca="1" si="708"/>
        <v>#N/A</v>
      </c>
      <c r="BQ249" s="497">
        <f t="shared" ca="1" si="709"/>
        <v>0.1673787353807554</v>
      </c>
      <c r="BR249" s="497" t="e">
        <f t="shared" ca="1" si="710"/>
        <v>#N/A</v>
      </c>
      <c r="BS249" s="475">
        <f t="shared" ca="1" si="711"/>
        <v>0.52359796320906404</v>
      </c>
      <c r="BT249" s="475" t="e">
        <f t="shared" ca="1" si="712"/>
        <v>#N/A</v>
      </c>
      <c r="BU249" s="475">
        <f t="shared" ca="1" si="713"/>
        <v>-2.8780295874784589E-2</v>
      </c>
      <c r="BV249" s="475" t="e">
        <f t="shared" ca="1" si="714"/>
        <v>#N/A</v>
      </c>
      <c r="BW249" s="475" t="e">
        <f t="shared" ca="1" si="715"/>
        <v>#NUM!</v>
      </c>
      <c r="BX249" s="475" t="e">
        <f t="shared" ca="1" si="716"/>
        <v>#N/A</v>
      </c>
      <c r="BY249" s="475" t="e">
        <f t="shared" ca="1" si="717"/>
        <v>#NUM!</v>
      </c>
      <c r="BZ249" s="475" t="e">
        <f t="shared" ca="1" si="718"/>
        <v>#N/A</v>
      </c>
      <c r="CA249" s="471" t="e">
        <f t="shared" ca="1" si="719"/>
        <v>#NUM!</v>
      </c>
      <c r="CB249" s="471" t="e">
        <f t="shared" ca="1" si="720"/>
        <v>#N/A</v>
      </c>
      <c r="CC249" s="471" t="e">
        <f t="shared" ca="1" si="668"/>
        <v>#N/A</v>
      </c>
      <c r="CD249" s="471" t="e">
        <f t="shared" ca="1" si="721"/>
        <v>#N/A</v>
      </c>
      <c r="CE249" s="471" t="e">
        <f t="shared" ca="1" si="722"/>
        <v>#NUM!</v>
      </c>
      <c r="CF249" s="471" t="e">
        <f t="shared" ca="1" si="723"/>
        <v>#N/A</v>
      </c>
      <c r="CG249" s="471" t="str">
        <f t="shared" ca="1" si="724"/>
        <v>O.K</v>
      </c>
      <c r="CH249" s="471" t="e">
        <f t="shared" ca="1" si="725"/>
        <v>#N/A</v>
      </c>
      <c r="CI249" s="471" t="e">
        <f t="shared" ca="1" si="726"/>
        <v>#NUM!</v>
      </c>
      <c r="CJ249" s="471" t="e">
        <f t="shared" ca="1" si="727"/>
        <v>#N/A</v>
      </c>
      <c r="CK249" s="468">
        <f t="shared" si="728"/>
        <v>0</v>
      </c>
      <c r="CL249" s="482" t="s">
        <v>2507</v>
      </c>
      <c r="CM249" s="482"/>
      <c r="CN249" s="63" t="str">
        <f t="shared" si="729"/>
        <v xml:space="preserve"> </v>
      </c>
      <c r="CO249" s="498">
        <f t="shared" si="730"/>
        <v>35.18</v>
      </c>
      <c r="CP249" s="472">
        <f t="shared" si="731"/>
        <v>6.6799317794198662E-2</v>
      </c>
      <c r="CQ249" s="482" t="s">
        <v>2508</v>
      </c>
      <c r="CR249" s="204">
        <f t="shared" si="732"/>
        <v>35.18</v>
      </c>
      <c r="CS249" s="486">
        <v>1.2</v>
      </c>
      <c r="CT249" s="486">
        <v>1.2</v>
      </c>
      <c r="CU249" s="23">
        <f t="shared" si="733"/>
        <v>35.187573090510234</v>
      </c>
      <c r="CV249" s="499" t="s">
        <v>2509</v>
      </c>
      <c r="CW249" s="488" t="str">
        <f t="shared" ca="1" si="734"/>
        <v>E3</v>
      </c>
      <c r="CX249" s="204">
        <f ca="1">IF(AND(L249="",H249=""),"",IF(AND(BA249&lt;&gt;4,BA249&lt;&gt;5),VLOOKUP(AY249,'TABLA (2)'!$A$9:$D$43,4),IF(BA249=4,VLOOKUP(AY249,'TABLA (2)'!$A$74:$D$89,4),VLOOKUP(AY249,'TABLA (2)'!$A$51:$D$66,4))))</f>
        <v>7.1999999999999995E-2</v>
      </c>
      <c r="CY249" s="482"/>
      <c r="CZ249" s="482"/>
      <c r="DA249" s="482"/>
      <c r="DB249" s="490"/>
    </row>
    <row r="250" spans="1:106" ht="15" hidden="1" customHeight="1">
      <c r="A250" s="465">
        <f t="shared" si="735"/>
        <v>167</v>
      </c>
      <c r="B250" s="491"/>
      <c r="C250" s="466" t="s">
        <v>2212</v>
      </c>
      <c r="D250" s="466" t="s">
        <v>2227</v>
      </c>
      <c r="E250" s="468"/>
      <c r="F250" s="468"/>
      <c r="G250" s="468">
        <f t="shared" si="669"/>
        <v>0.50586727449999991</v>
      </c>
      <c r="H250" s="468">
        <f t="shared" si="670"/>
        <v>0.50586727449999991</v>
      </c>
      <c r="I250" s="468"/>
      <c r="J250" s="468"/>
      <c r="K250" s="467">
        <f t="shared" ca="1" si="671"/>
        <v>0.50633881450000007</v>
      </c>
      <c r="L250" s="468">
        <f t="shared" ca="1" si="672"/>
        <v>0.50633881450000007</v>
      </c>
      <c r="M250" s="469">
        <f t="shared" si="673"/>
        <v>242.33666300502347</v>
      </c>
      <c r="N250" s="470">
        <f t="shared" si="674"/>
        <v>0</v>
      </c>
      <c r="O250" s="470">
        <f t="shared" si="675"/>
        <v>0</v>
      </c>
      <c r="P250" s="470">
        <f t="shared" si="676"/>
        <v>122.59018722577618</v>
      </c>
      <c r="Q250" s="469">
        <f t="shared" si="677"/>
        <v>140</v>
      </c>
      <c r="R250" s="471">
        <f t="shared" si="678"/>
        <v>0.1688452810169834</v>
      </c>
      <c r="S250" s="471"/>
      <c r="T250" s="471"/>
      <c r="U250" s="471">
        <f t="shared" si="679"/>
        <v>0</v>
      </c>
      <c r="V250" s="471"/>
      <c r="W250" s="471"/>
      <c r="X250" s="471">
        <f t="shared" si="680"/>
        <v>0</v>
      </c>
      <c r="Y250" s="471">
        <f t="shared" si="681"/>
        <v>0.10117345489999999</v>
      </c>
      <c r="Z250" s="471">
        <f t="shared" ca="1" si="682"/>
        <v>0</v>
      </c>
      <c r="AA250" s="471">
        <f t="shared" si="527"/>
        <v>3.8</v>
      </c>
      <c r="AB250" s="471">
        <f t="shared" si="683"/>
        <v>0.64161206786453684</v>
      </c>
      <c r="AC250" s="471">
        <f t="shared" si="684"/>
        <v>0</v>
      </c>
      <c r="AD250" s="471">
        <f t="shared" si="685"/>
        <v>0</v>
      </c>
      <c r="AE250" s="471">
        <f t="shared" si="685"/>
        <v>0</v>
      </c>
      <c r="AF250" s="510">
        <f t="shared" si="518"/>
        <v>3.8</v>
      </c>
      <c r="AG250" s="471">
        <f t="shared" si="686"/>
        <v>0</v>
      </c>
      <c r="AH250" s="471">
        <f t="shared" si="687"/>
        <v>0</v>
      </c>
      <c r="AI250" s="471">
        <f t="shared" ca="1" si="688"/>
        <v>1.5</v>
      </c>
      <c r="AJ250" s="471">
        <f t="shared" si="689"/>
        <v>0.75</v>
      </c>
      <c r="AK250" s="472">
        <f t="shared" si="690"/>
        <v>7.4568288854006709E-2</v>
      </c>
      <c r="AL250" s="471">
        <f t="shared" si="691"/>
        <v>0.63122841444270039</v>
      </c>
      <c r="AM250" s="473" t="e">
        <f t="shared" si="665"/>
        <v>#N/A</v>
      </c>
      <c r="AN250" s="474" t="e">
        <f t="shared" si="666"/>
        <v>#N/A</v>
      </c>
      <c r="AO250" s="474">
        <f t="shared" si="692"/>
        <v>0.14155555555555557</v>
      </c>
      <c r="AP250" s="474" t="e">
        <f t="shared" si="693"/>
        <v>#N/A</v>
      </c>
      <c r="AQ250" s="475">
        <v>3</v>
      </c>
      <c r="AR250" s="474" t="e">
        <f t="shared" ca="1" si="694"/>
        <v>#N/A</v>
      </c>
      <c r="AS250" s="474" t="e">
        <f t="shared" ca="1" si="695"/>
        <v>#N/A</v>
      </c>
      <c r="AT250" s="471" t="e">
        <f t="shared" ca="1" si="696"/>
        <v>#N/A</v>
      </c>
      <c r="AU250" s="492" t="e">
        <f t="shared" si="697"/>
        <v>#N/A</v>
      </c>
      <c r="AV250" s="471" t="e">
        <f t="shared" ca="1" si="698"/>
        <v>#N/A</v>
      </c>
      <c r="AW250" s="471" t="e">
        <f t="shared" ca="1" si="667"/>
        <v>#N/A</v>
      </c>
      <c r="AX250" s="478">
        <f>IF(OR(C250="",D250=""),"",ROUND(((VLOOKUP(C250,'Base de Diseño (2)'!$A$2:$C$333,2,FALSE)-VLOOKUP(D250,'Base de Diseño (2)'!$A$2:$C$333,2,FALSE))^2+(VLOOKUP(C250,'Base de Diseño (2)'!$A$2:$C$333,3,0)-VLOOKUP(D250,'Base de Diseño (2)'!$A$2:$C$333,3,FALSE))^2)^0.5,2))</f>
        <v>25.48</v>
      </c>
      <c r="AY250" s="493">
        <v>24</v>
      </c>
      <c r="AZ250" s="480">
        <f ca="1">IF(AND(L250="",H250=""),"",IF(BA250=4,VLOOKUP(AY250,'TABLA (2)'!$A$74:$C$89,2),IF(BA250=5,VLOOKUP(AY250,'TABLA (2)'!$A$51:$B$66,2),IF(BA250=6,VLOOKUP(AY250,'TABLA (2)'!$A$9:$B$43,2)))))</f>
        <v>600</v>
      </c>
      <c r="BA250" s="493">
        <v>6</v>
      </c>
      <c r="BB250" s="478">
        <f>IF(OR(C250="",D250=""),"",VLOOKUP(C250,'Base de Diseño (2)'!$A$2:$D$330,4,FALSE))</f>
        <v>969.23160000000007</v>
      </c>
      <c r="BC250" s="478">
        <f>IF(OR(C250="",D250=""),"",VLOOKUP(D250,'Base de Diseño (2)'!$A$2:$D$330,4,FALSE))</f>
        <v>967.33159999999998</v>
      </c>
      <c r="BD250" s="478">
        <f t="shared" ca="1" si="699"/>
        <v>2.8879999999999457</v>
      </c>
      <c r="BE250" s="478">
        <f t="shared" ca="1" si="700"/>
        <v>2.0025301794352375</v>
      </c>
      <c r="BF250" s="494">
        <v>3.5599999999999454</v>
      </c>
      <c r="BG250" s="494">
        <v>2.6745301794352372</v>
      </c>
      <c r="BH250" s="495">
        <f t="shared" si="701"/>
        <v>965.67160000000013</v>
      </c>
      <c r="BI250" s="495">
        <f t="shared" si="701"/>
        <v>964.65706982056474</v>
      </c>
      <c r="BJ250" s="468">
        <f t="shared" si="702"/>
        <v>964.65706982056474</v>
      </c>
      <c r="BK250" s="475">
        <f t="shared" si="703"/>
        <v>7.4568288854006708</v>
      </c>
      <c r="BL250" s="475">
        <f t="shared" si="704"/>
        <v>3.9816726037495398</v>
      </c>
      <c r="BM250" s="475">
        <f t="shared" ca="1" si="705"/>
        <v>4.3332817442206837</v>
      </c>
      <c r="BN250" s="475">
        <f t="shared" ca="1" si="706"/>
        <v>1225.2065484220616</v>
      </c>
      <c r="BO250" s="204">
        <f t="shared" ca="1" si="707"/>
        <v>1.2242833683282575E-3</v>
      </c>
      <c r="BP250" s="496" t="e">
        <f t="shared" ca="1" si="708"/>
        <v>#N/A</v>
      </c>
      <c r="BQ250" s="497">
        <f t="shared" ca="1" si="709"/>
        <v>0.15223876538075634</v>
      </c>
      <c r="BR250" s="497" t="e">
        <f t="shared" ca="1" si="710"/>
        <v>#N/A</v>
      </c>
      <c r="BS250" s="475">
        <f t="shared" ca="1" si="711"/>
        <v>0.65969346278712726</v>
      </c>
      <c r="BT250" s="475" t="e">
        <f t="shared" ca="1" si="712"/>
        <v>#N/A</v>
      </c>
      <c r="BU250" s="475">
        <f t="shared" ca="1" si="713"/>
        <v>-4.9798274949117149E-2</v>
      </c>
      <c r="BV250" s="475" t="e">
        <f t="shared" ca="1" si="714"/>
        <v>#N/A</v>
      </c>
      <c r="BW250" s="475" t="e">
        <f t="shared" ca="1" si="715"/>
        <v>#NUM!</v>
      </c>
      <c r="BX250" s="475" t="e">
        <f t="shared" ca="1" si="716"/>
        <v>#N/A</v>
      </c>
      <c r="BY250" s="475" t="e">
        <f t="shared" ca="1" si="717"/>
        <v>#NUM!</v>
      </c>
      <c r="BZ250" s="475" t="e">
        <f t="shared" ca="1" si="718"/>
        <v>#N/A</v>
      </c>
      <c r="CA250" s="471" t="e">
        <f t="shared" ca="1" si="719"/>
        <v>#NUM!</v>
      </c>
      <c r="CB250" s="471" t="e">
        <f t="shared" ca="1" si="720"/>
        <v>#N/A</v>
      </c>
      <c r="CC250" s="471" t="e">
        <f t="shared" ca="1" si="668"/>
        <v>#N/A</v>
      </c>
      <c r="CD250" s="471" t="e">
        <f t="shared" ca="1" si="721"/>
        <v>#N/A</v>
      </c>
      <c r="CE250" s="471" t="e">
        <f t="shared" ca="1" si="722"/>
        <v>#NUM!</v>
      </c>
      <c r="CF250" s="471" t="e">
        <f t="shared" ca="1" si="723"/>
        <v>#N/A</v>
      </c>
      <c r="CG250" s="471" t="str">
        <f t="shared" ca="1" si="724"/>
        <v>O.K</v>
      </c>
      <c r="CH250" s="471" t="e">
        <f t="shared" ca="1" si="725"/>
        <v>#N/A</v>
      </c>
      <c r="CI250" s="471" t="e">
        <f t="shared" ca="1" si="726"/>
        <v>#NUM!</v>
      </c>
      <c r="CJ250" s="471" t="e">
        <f t="shared" ca="1" si="727"/>
        <v>#N/A</v>
      </c>
      <c r="CK250" s="468">
        <f t="shared" si="728"/>
        <v>964.65706982056474</v>
      </c>
      <c r="CL250" s="482" t="s">
        <v>2507</v>
      </c>
      <c r="CM250" s="482"/>
      <c r="CN250" s="63" t="str">
        <f t="shared" si="729"/>
        <v xml:space="preserve"> </v>
      </c>
      <c r="CO250" s="498">
        <f t="shared" si="730"/>
        <v>25.48</v>
      </c>
      <c r="CP250" s="472">
        <f t="shared" si="731"/>
        <v>7.4568288854006709E-2</v>
      </c>
      <c r="CQ250" s="482" t="s">
        <v>2508</v>
      </c>
      <c r="CR250" s="204">
        <f t="shared" si="732"/>
        <v>25.48</v>
      </c>
      <c r="CS250" s="486">
        <v>1.2</v>
      </c>
      <c r="CT250" s="486">
        <v>1.2</v>
      </c>
      <c r="CU250" s="23">
        <f t="shared" si="733"/>
        <v>25.50018963625536</v>
      </c>
      <c r="CV250" s="499" t="s">
        <v>2509</v>
      </c>
      <c r="CW250" s="488" t="str">
        <f t="shared" ca="1" si="734"/>
        <v>E3</v>
      </c>
      <c r="CX250" s="204">
        <f ca="1">IF(AND(L250="",H250=""),"",IF(AND(BA250&lt;&gt;4,BA250&lt;&gt;5),VLOOKUP(AY250,'TABLA (2)'!$A$9:$D$43,4),IF(BA250=4,VLOOKUP(AY250,'TABLA (2)'!$A$74:$D$89,4),VLOOKUP(AY250,'TABLA (2)'!$A$51:$D$66,4))))</f>
        <v>7.1999999999999995E-2</v>
      </c>
      <c r="CY250" s="482"/>
      <c r="CZ250" s="482"/>
      <c r="DA250" s="482"/>
      <c r="DB250" s="490"/>
    </row>
    <row r="251" spans="1:106" ht="15" hidden="1" customHeight="1">
      <c r="A251" s="465"/>
      <c r="B251" s="491"/>
      <c r="C251" s="466"/>
      <c r="D251" s="466"/>
      <c r="E251" s="468"/>
      <c r="F251" s="468"/>
      <c r="G251" s="468"/>
      <c r="H251" s="468"/>
      <c r="I251" s="468"/>
      <c r="J251" s="468"/>
      <c r="K251" s="467"/>
      <c r="L251" s="468"/>
      <c r="M251" s="469"/>
      <c r="N251" s="470"/>
      <c r="O251" s="470"/>
      <c r="P251" s="470"/>
      <c r="Q251" s="469"/>
      <c r="R251" s="471"/>
      <c r="S251" s="471"/>
      <c r="T251" s="471"/>
      <c r="U251" s="471"/>
      <c r="V251" s="471"/>
      <c r="W251" s="471"/>
      <c r="X251" s="471"/>
      <c r="Y251" s="471"/>
      <c r="Z251" s="471"/>
      <c r="AA251" s="471" t="str">
        <f t="shared" si="527"/>
        <v/>
      </c>
      <c r="AB251" s="471"/>
      <c r="AC251" s="471"/>
      <c r="AD251" s="471"/>
      <c r="AE251" s="471"/>
      <c r="AF251" s="510" t="str">
        <f t="shared" si="518"/>
        <v/>
      </c>
      <c r="AG251" s="471"/>
      <c r="AH251" s="471"/>
      <c r="AI251" s="471"/>
      <c r="AJ251" s="471"/>
      <c r="AK251" s="472"/>
      <c r="AL251" s="471"/>
      <c r="AM251" s="473">
        <f t="shared" si="665"/>
        <v>474.44695720875893</v>
      </c>
      <c r="AN251" s="474" t="e">
        <f t="shared" si="666"/>
        <v>#N/A</v>
      </c>
      <c r="AO251" s="474"/>
      <c r="AP251" s="474"/>
      <c r="AQ251" s="475">
        <v>3</v>
      </c>
      <c r="AR251" s="474"/>
      <c r="AS251" s="474"/>
      <c r="AT251" s="471"/>
      <c r="AU251" s="492"/>
      <c r="AV251" s="471"/>
      <c r="AW251" s="471">
        <f t="shared" si="667"/>
        <v>0</v>
      </c>
      <c r="AX251" s="478"/>
      <c r="AY251" s="493"/>
      <c r="AZ251" s="480"/>
      <c r="BA251" s="493"/>
      <c r="BB251" s="478" t="str">
        <f>IF(OR(C251="",D251=""),"",VLOOKUP(C251,'Base de Diseño (2)'!$A$2:$D$330,4,FALSE))</f>
        <v/>
      </c>
      <c r="BC251" s="478" t="str">
        <f>IF(OR(C251="",D251=""),"",VLOOKUP(D251,'Base de Diseño (2)'!$A$2:$D$330,4,FALSE))</f>
        <v/>
      </c>
      <c r="BD251" s="478"/>
      <c r="BE251" s="478"/>
      <c r="BF251" s="494"/>
      <c r="BG251" s="494"/>
      <c r="BH251" s="495"/>
      <c r="BI251" s="495"/>
      <c r="BJ251" s="468"/>
      <c r="BK251" s="475"/>
      <c r="BL251" s="475"/>
      <c r="BM251" s="475"/>
      <c r="BN251" s="475"/>
      <c r="BO251" s="204"/>
      <c r="BP251" s="496"/>
      <c r="BQ251" s="497"/>
      <c r="BR251" s="497"/>
      <c r="BS251" s="475"/>
      <c r="BT251" s="475"/>
      <c r="BU251" s="475"/>
      <c r="BV251" s="475"/>
      <c r="BW251" s="475"/>
      <c r="BX251" s="475"/>
      <c r="BY251" s="475"/>
      <c r="BZ251" s="475"/>
      <c r="CA251" s="471"/>
      <c r="CB251" s="471"/>
      <c r="CC251" s="471" t="e">
        <f t="shared" si="668"/>
        <v>#DIV/0!</v>
      </c>
      <c r="CD251" s="471"/>
      <c r="CE251" s="471"/>
      <c r="CF251" s="471"/>
      <c r="CG251" s="471"/>
      <c r="CH251" s="471"/>
      <c r="CI251" s="471"/>
      <c r="CJ251" s="471"/>
      <c r="CK251" s="468"/>
      <c r="CL251" s="482" t="s">
        <v>2507</v>
      </c>
      <c r="CM251" s="482"/>
      <c r="CN251" s="63"/>
      <c r="CO251" s="498"/>
      <c r="CP251" s="472"/>
      <c r="CQ251" s="482"/>
      <c r="CR251" s="204"/>
      <c r="CS251" s="486"/>
      <c r="CT251" s="486"/>
      <c r="CU251" s="23"/>
      <c r="CV251" s="499"/>
      <c r="CW251" s="488"/>
      <c r="CX251" s="204"/>
      <c r="CY251" s="482"/>
      <c r="CZ251" s="482"/>
      <c r="DA251" s="482"/>
      <c r="DB251" s="490"/>
    </row>
    <row r="252" spans="1:106" ht="15" hidden="1" customHeight="1">
      <c r="A252" s="465">
        <f>+A250+1</f>
        <v>168</v>
      </c>
      <c r="B252" s="491">
        <v>1</v>
      </c>
      <c r="C252" s="466" t="s">
        <v>2214</v>
      </c>
      <c r="D252" s="466" t="s">
        <v>2208</v>
      </c>
      <c r="E252" s="468">
        <v>0.16952845999999999</v>
      </c>
      <c r="F252" s="468"/>
      <c r="G252" s="468">
        <f>IF(B252=1,0,SUMIF($D$22:$D$583,C252,$H$22:$H$583))</f>
        <v>0</v>
      </c>
      <c r="H252" s="468">
        <f>+E252+F252+G252</f>
        <v>0.16952845999999999</v>
      </c>
      <c r="I252" s="468">
        <v>0.17</v>
      </c>
      <c r="J252" s="468"/>
      <c r="K252" s="467">
        <f>+IF(B252=1,0,SUMIF($D$22:$D$583,C252,$L$22:$L$580))</f>
        <v>0</v>
      </c>
      <c r="L252" s="468">
        <f>+I252+J252+K252</f>
        <v>0.17</v>
      </c>
      <c r="M252" s="469">
        <f>+$P$12</f>
        <v>242.33666300502347</v>
      </c>
      <c r="N252" s="470">
        <f>M252*E252</f>
        <v>41.082961280780601</v>
      </c>
      <c r="O252" s="470">
        <f>M252*F252</f>
        <v>0</v>
      </c>
      <c r="P252" s="470">
        <f>M252*H252</f>
        <v>41.082961280780601</v>
      </c>
      <c r="Q252" s="469">
        <f>+$H$14</f>
        <v>140</v>
      </c>
      <c r="R252" s="471">
        <f>Q252*P252*$P$14/86400</f>
        <v>5.6584171208482546E-2</v>
      </c>
      <c r="S252" s="471"/>
      <c r="T252" s="471"/>
      <c r="U252" s="471">
        <f>IF(C252="","",T252*$P$17)</f>
        <v>0</v>
      </c>
      <c r="V252" s="471"/>
      <c r="W252" s="471"/>
      <c r="X252" s="471">
        <f>IF(C252="","",W252*$P$16)</f>
        <v>0</v>
      </c>
      <c r="Y252" s="471">
        <f>IF(H252=0,0,$H$15*H252)</f>
        <v>3.3905692000000001E-2</v>
      </c>
      <c r="Z252" s="471">
        <f>IF(L252=0,$H$16*H252,0)</f>
        <v>0</v>
      </c>
      <c r="AA252" s="471">
        <f t="shared" si="527"/>
        <v>3.8</v>
      </c>
      <c r="AB252" s="471">
        <f>R252*AA252</f>
        <v>0.21501985059223366</v>
      </c>
      <c r="AC252" s="471">
        <f>Q252*(N252+O252)*$P$14/86400</f>
        <v>5.6584171208482546E-2</v>
      </c>
      <c r="AD252" s="471">
        <f>IF(E252=0,0,$H$15*(E252+F252))</f>
        <v>3.3905692000000001E-2</v>
      </c>
      <c r="AE252" s="471">
        <f>IF(F252=0,0,$H$15*(F252+G252))</f>
        <v>0</v>
      </c>
      <c r="AF252" s="510">
        <f t="shared" si="518"/>
        <v>3.8</v>
      </c>
      <c r="AG252" s="471">
        <f>AC252*AF252</f>
        <v>0.21501985059223366</v>
      </c>
      <c r="AH252" s="471">
        <f>+AD252+AE252+AG252</f>
        <v>0.24892554259223365</v>
      </c>
      <c r="AI252" s="471">
        <f>IF(H252="","",IF(AB252+Y252+Z252+X252+U252&lt;1.5,1.5,AB252+Y252+Z252+X252+U252))</f>
        <v>1.5</v>
      </c>
      <c r="AJ252" s="471">
        <f>+$P$17</f>
        <v>0.75</v>
      </c>
      <c r="AK252" s="472">
        <f>+BK252/100</f>
        <v>6.8597560975616687E-2</v>
      </c>
      <c r="AL252" s="471">
        <f>IF(AJ252=0," ",0.14+0.65*AJ252+0.05*AK252)</f>
        <v>0.63092987804878087</v>
      </c>
      <c r="AM252" s="473">
        <f t="shared" si="665"/>
        <v>336.32613267542746</v>
      </c>
      <c r="AN252" s="474">
        <f t="shared" si="666"/>
        <v>5</v>
      </c>
      <c r="AO252" s="474">
        <f>((1/60)*$AX252/$AQ252)</f>
        <v>7.2888888888888878E-2</v>
      </c>
      <c r="AP252" s="474">
        <f>IF(B252=1,IF(($AN252+$AO252)&lt;10,10,IF(($AN252+$AO252)&gt;20,20,($AN252+$AO252))),($AN252+$AO252))</f>
        <v>10</v>
      </c>
      <c r="AQ252" s="475">
        <v>3</v>
      </c>
      <c r="AR252" s="474">
        <f>((1/60)*$AX252/$BT252)</f>
        <v>9.6689024099733983E-2</v>
      </c>
      <c r="AS252" s="474">
        <f>AO252/AR252</f>
        <v>0.75384863553596893</v>
      </c>
      <c r="AT252" s="471" t="str">
        <f>IF(AS252&lt;0.9,"Disminuir vel.",IF(AS252&gt;1.1,"Aumentar vel.","Cumple"))</f>
        <v>Disminuir vel.</v>
      </c>
      <c r="AU252" s="492">
        <f>+I252*AL252*AM252</f>
        <v>36.073694998499342</v>
      </c>
      <c r="AV252" s="471">
        <f>+L252*AL252*AM252</f>
        <v>36.073694998499342</v>
      </c>
      <c r="AW252" s="471">
        <f t="shared" si="667"/>
        <v>36.07</v>
      </c>
      <c r="AX252" s="478">
        <f>IF(OR(C252="",D252=""),"",ROUND(((VLOOKUP(C252,'Base de Diseño (2)'!$A$2:$C$333,2,FALSE)-VLOOKUP(D252,'Base de Diseño (2)'!$A$2:$C$333,2,FALSE))^2+(VLOOKUP(C252,'Base de Diseño (2)'!$A$2:$C$333,3,0)-VLOOKUP(D252,'Base de Diseño (2)'!$A$2:$C$333,3,FALSE))^2)^0.5,2))</f>
        <v>13.12</v>
      </c>
      <c r="AY252" s="493">
        <v>8</v>
      </c>
      <c r="AZ252" s="480">
        <f>IF(AND(L252="",H252=""),"",IF(BA252=4,VLOOKUP(AY252,'TABLA (2)'!$A$74:$C$89,2),IF(BA252=5,VLOOKUP(AY252,'TABLA (2)'!$A$51:$B$66,2),IF(BA252=6,VLOOKUP(AY252,'TABLA (2)'!$A$9:$B$43,2)))))</f>
        <v>200</v>
      </c>
      <c r="BA252" s="493">
        <v>6</v>
      </c>
      <c r="BB252" s="478">
        <f>IF(OR(C252="",D252=""),"",VLOOKUP(C252,'Base de Diseño (2)'!$A$2:$D$330,4,FALSE))</f>
        <v>976.22160000000008</v>
      </c>
      <c r="BC252" s="478">
        <f>IF(OR(C252="",D252=""),"",VLOOKUP(D252,'Base de Diseño (2)'!$A$2:$D$330,4,FALSE))</f>
        <v>975.32159999999999</v>
      </c>
      <c r="BD252" s="478">
        <f>+BF252-((AZ252/1000)+CX252)</f>
        <v>1.3830000000000044</v>
      </c>
      <c r="BE252" s="478">
        <f>+BG252-((AZ252/1000)+CX252)</f>
        <v>1.4129999999999772</v>
      </c>
      <c r="BF252" s="494">
        <v>1.6200000000000045</v>
      </c>
      <c r="BG252" s="494">
        <v>1.6499999999999773</v>
      </c>
      <c r="BH252" s="495">
        <f>BB252-BF252</f>
        <v>974.60160000000008</v>
      </c>
      <c r="BI252" s="495">
        <f>BC252-BG252</f>
        <v>973.67160000000001</v>
      </c>
      <c r="BJ252" s="468">
        <f>IF(A252="",0,BI252-BH253)</f>
        <v>973.67160000000001</v>
      </c>
      <c r="BK252" s="475">
        <f>ABS((BB252-BC252)/AX252)*100</f>
        <v>6.8597560975616689</v>
      </c>
      <c r="BL252" s="475">
        <f>((BH252-BI252)/AX252)*100</f>
        <v>7.0884146341468268</v>
      </c>
      <c r="BM252" s="475">
        <f>IF(BA252=6,(1/0.013)*((AZ252/4000)^(2/3))*((BL252/100)^(0.5)),(1/0.009)*((AZ252/4000)^(2/3))*((BL252/100)^(0.5)))</f>
        <v>2.7795716533701822</v>
      </c>
      <c r="BN252" s="475">
        <f>1000*BM252*PI()*((AZ252/1000/2)^2)</f>
        <v>87.322818863542011</v>
      </c>
      <c r="BO252" s="204">
        <f>AI252/BN252</f>
        <v>1.7177640615839786E-2</v>
      </c>
      <c r="BP252" s="496">
        <f>IF(L252=0," ",AW252/BN252)</f>
        <v>0.41306499800889407</v>
      </c>
      <c r="BQ252" s="497">
        <f>IF($BO252&gt;0 =AND($BO252&lt;=0.06),10^(0.029806+0.29095*LOG($BO252)),IF($BO252&gt;0.06 =AND($BO252&lt;=0.26),10^(0.013778+0.282597*LOG($BO252)),IF($BO252&gt;0.26 =AND($BO252&lt;=0.91),10^(0.021763+0.28995*LOG($BO252)),1)))</f>
        <v>0.32829830004193999</v>
      </c>
      <c r="BR252" s="497">
        <f>IF($BP252&gt;0 =AND($BP252&lt;=0.06),10^(0.029806+0.29095*LOG($BP252)),IF($BP252&gt;0.06 =AND($BP252&lt;=0.26),10^(0.013778+0.282597*LOG($BP252)),IF($BP252&gt;0.26 =AND($BP252&lt;=2),10^(0.021763+0.28995*LOG($BP252))," ")))</f>
        <v>0.81363108731729283</v>
      </c>
      <c r="BS252" s="475">
        <f>BM252*BQ252</f>
        <v>0.91252864864619532</v>
      </c>
      <c r="BT252" s="475">
        <f>IF(BP252=" "," ",(BM252*BR252))</f>
        <v>2.2615459066079069</v>
      </c>
      <c r="BU252" s="475">
        <f>IF(BO252&lt;=0.11,0.3827+0.0645*LN(BO252),IF(BO252&lt;=0.21,0.60025+0.15471*LN(BO252),IF(BO252&lt;1,0.225+0.6666666667*BO252,0)))</f>
        <v>0.12056253752462759</v>
      </c>
      <c r="BV252" s="475">
        <f>IF(BP252&lt;=0.11,0.3827+0.0645*LN(BP252),IF(BP252&lt;=0.21,0.60025+0.15471*LN(BP252),IF(BP252&lt;1,0.225+0.6666666667*BP252," ")))</f>
        <v>0.50037666535303149</v>
      </c>
      <c r="BW252" s="475">
        <f>2*ACOS(1-2*(BU252))</f>
        <v>1.4184251072727849</v>
      </c>
      <c r="BX252" s="475">
        <f>IF(BP252=" "," ",(2*ACOS(1-2*(BV252))))</f>
        <v>3.143099315144426</v>
      </c>
      <c r="BY252" s="475">
        <f>(1/4)*(1-(SIN(BW252))/BW252)</f>
        <v>7.5790247435042563E-2</v>
      </c>
      <c r="BZ252" s="475">
        <f>IF(BP252=" "," ",((1/4)*(1-(SIN(BX252))/BX252)))</f>
        <v>0.25011983879870942</v>
      </c>
      <c r="CA252" s="471">
        <f>BY252*AZ252/1000</f>
        <v>1.5158049487008511E-2</v>
      </c>
      <c r="CB252" s="471">
        <f>IF(BP252=" "," ",(BZ252*AZ252/1000))</f>
        <v>5.0023967759741883E-2</v>
      </c>
      <c r="CC252" s="471">
        <f t="shared" si="668"/>
        <v>2.5752400654207164</v>
      </c>
      <c r="CD252" s="471" t="str">
        <f>IF(CC252="","",IF(CC252&lt;0.7,"F. Subcrítico",IF(AND(CC252&gt;0.7,CC252&lt;1),"F. Subcrítico Inestable",IF(CC252=1,"F. Crítico",IF(AND(CC252&gt;1,CC252&lt;1.5),"F. Supercrítico Inestable",IF(CC252&gt;1.5,"F. Supercrítico",""))))))</f>
        <v>F. Supercrítico</v>
      </c>
      <c r="CE252" s="471">
        <f>1000*BL252*CA252/100</f>
        <v>1.0744653980883294</v>
      </c>
      <c r="CF252" s="471">
        <f>IF(BP252=" "," ",(1000*BL252*CB252/100))</f>
        <v>3.5459062512624344</v>
      </c>
      <c r="CG252" s="471" t="str">
        <f>IF(BS252&lt;0.45,"No cumple",IF(BS252&gt;5,"No cumple","O.K"))</f>
        <v>O.K</v>
      </c>
      <c r="CH252" s="471" t="str">
        <f>IF(BT252&lt;0.75,"No cumple",IF(BT252&gt;10,"No cumple","O.K"))</f>
        <v>O.K</v>
      </c>
      <c r="CI252" s="471" t="str">
        <f>IF(CE252&gt;0.1,"OK","V.C.H.")</f>
        <v>OK</v>
      </c>
      <c r="CJ252" s="471" t="str">
        <f>IF(CF252&gt;0.2,"OK","V.C.H.")</f>
        <v>OK</v>
      </c>
      <c r="CK252" s="468">
        <f>+BJ252</f>
        <v>973.67160000000001</v>
      </c>
      <c r="CL252" s="482" t="s">
        <v>2507</v>
      </c>
      <c r="CM252" s="482"/>
      <c r="CN252" s="63" t="str">
        <f>IF(B252=1,"dato"," ")</f>
        <v>dato</v>
      </c>
      <c r="CO252" s="498">
        <f>+CR252</f>
        <v>13.12</v>
      </c>
      <c r="CP252" s="472">
        <f>+BK252/100</f>
        <v>6.8597560975616687E-2</v>
      </c>
      <c r="CQ252" s="482" t="s">
        <v>2508</v>
      </c>
      <c r="CR252" s="204">
        <f>IF(BA252="","",AX252)</f>
        <v>13.12</v>
      </c>
      <c r="CS252" s="486">
        <v>1.2</v>
      </c>
      <c r="CT252" s="486">
        <v>1.2</v>
      </c>
      <c r="CU252" s="23">
        <f>IF($BA252="","",SQRT((BH252-BI252)^2+$CR252^2))</f>
        <v>13.152919827931747</v>
      </c>
      <c r="CV252" s="499" t="s">
        <v>2509</v>
      </c>
      <c r="CW252" s="488" t="str">
        <f>+IF(BD252&lt;=0.9,"E1",IF(BD252&lt;=2.5,"E2","E3"))</f>
        <v>E2</v>
      </c>
      <c r="CX252" s="204">
        <f>IF(AND(L252="",H252=""),"",IF(AND(BA252&lt;&gt;4,BA252&lt;&gt;5),VLOOKUP(AY252,'TABLA (2)'!$A$9:$D$43,4),IF(BA252=4,VLOOKUP(AY252,'TABLA (2)'!$A$74:$D$89,4),VLOOKUP(AY252,'TABLA (2)'!$A$51:$D$66,4))))</f>
        <v>3.6999999999999998E-2</v>
      </c>
      <c r="CY252" s="482"/>
      <c r="CZ252" s="482"/>
      <c r="DA252" s="482"/>
      <c r="DB252" s="490"/>
    </row>
    <row r="253" spans="1:106" ht="15" hidden="1" customHeight="1">
      <c r="A253" s="465"/>
      <c r="B253" s="491"/>
      <c r="C253" s="466"/>
      <c r="D253" s="466"/>
      <c r="E253" s="468"/>
      <c r="F253" s="468"/>
      <c r="G253" s="468"/>
      <c r="H253" s="468"/>
      <c r="I253" s="468"/>
      <c r="J253" s="468"/>
      <c r="K253" s="467"/>
      <c r="L253" s="468"/>
      <c r="M253" s="469"/>
      <c r="N253" s="470"/>
      <c r="O253" s="470"/>
      <c r="P253" s="470"/>
      <c r="Q253" s="469"/>
      <c r="R253" s="471"/>
      <c r="S253" s="471"/>
      <c r="T253" s="471"/>
      <c r="U253" s="471"/>
      <c r="V253" s="471"/>
      <c r="W253" s="471"/>
      <c r="X253" s="471"/>
      <c r="Y253" s="471"/>
      <c r="Z253" s="471"/>
      <c r="AA253" s="471" t="str">
        <f t="shared" si="527"/>
        <v/>
      </c>
      <c r="AB253" s="471"/>
      <c r="AC253" s="471"/>
      <c r="AD253" s="471"/>
      <c r="AE253" s="471"/>
      <c r="AF253" s="510" t="str">
        <f t="shared" si="518"/>
        <v/>
      </c>
      <c r="AG253" s="471"/>
      <c r="AH253" s="471"/>
      <c r="AI253" s="471"/>
      <c r="AJ253" s="471"/>
      <c r="AK253" s="472"/>
      <c r="AL253" s="471"/>
      <c r="AM253" s="473">
        <f t="shared" si="665"/>
        <v>474.44695720875893</v>
      </c>
      <c r="AN253" s="474">
        <f t="shared" si="666"/>
        <v>10</v>
      </c>
      <c r="AO253" s="474"/>
      <c r="AP253" s="474"/>
      <c r="AQ253" s="475">
        <v>3</v>
      </c>
      <c r="AR253" s="474"/>
      <c r="AS253" s="474"/>
      <c r="AT253" s="471"/>
      <c r="AU253" s="492"/>
      <c r="AV253" s="471"/>
      <c r="AW253" s="471">
        <f t="shared" si="667"/>
        <v>0</v>
      </c>
      <c r="AX253" s="478"/>
      <c r="AY253" s="493"/>
      <c r="AZ253" s="480"/>
      <c r="BA253" s="493"/>
      <c r="BB253" s="478" t="str">
        <f>IF(OR(C253="",D253=""),"",VLOOKUP(C253,'Base de Diseño (2)'!$A$2:$D$330,4,FALSE))</f>
        <v/>
      </c>
      <c r="BC253" s="478" t="str">
        <f>IF(OR(C253="",D253=""),"",VLOOKUP(D253,'Base de Diseño (2)'!$A$2:$D$330,4,FALSE))</f>
        <v/>
      </c>
      <c r="BD253" s="478"/>
      <c r="BE253" s="478"/>
      <c r="BF253" s="494"/>
      <c r="BG253" s="494"/>
      <c r="BH253" s="495"/>
      <c r="BI253" s="495"/>
      <c r="BJ253" s="468"/>
      <c r="BK253" s="475"/>
      <c r="BL253" s="475"/>
      <c r="BM253" s="475"/>
      <c r="BN253" s="475"/>
      <c r="BO253" s="204"/>
      <c r="BP253" s="496"/>
      <c r="BQ253" s="497"/>
      <c r="BR253" s="497"/>
      <c r="BS253" s="475"/>
      <c r="BT253" s="475"/>
      <c r="BU253" s="475"/>
      <c r="BV253" s="475"/>
      <c r="BW253" s="475"/>
      <c r="BX253" s="475"/>
      <c r="BY253" s="475"/>
      <c r="BZ253" s="475"/>
      <c r="CA253" s="471"/>
      <c r="CB253" s="471"/>
      <c r="CC253" s="471" t="e">
        <f t="shared" si="668"/>
        <v>#DIV/0!</v>
      </c>
      <c r="CD253" s="471"/>
      <c r="CE253" s="471"/>
      <c r="CF253" s="471"/>
      <c r="CG253" s="471"/>
      <c r="CH253" s="471"/>
      <c r="CI253" s="471"/>
      <c r="CJ253" s="471"/>
      <c r="CK253" s="468"/>
      <c r="CL253" s="482" t="s">
        <v>2507</v>
      </c>
      <c r="CM253" s="482"/>
      <c r="CN253" s="63"/>
      <c r="CO253" s="498"/>
      <c r="CP253" s="472"/>
      <c r="CQ253" s="482"/>
      <c r="CR253" s="204"/>
      <c r="CS253" s="486"/>
      <c r="CT253" s="486"/>
      <c r="CU253" s="23"/>
      <c r="CV253" s="499"/>
      <c r="CW253" s="488"/>
      <c r="CX253" s="204"/>
      <c r="CY253" s="482"/>
      <c r="CZ253" s="482"/>
      <c r="DA253" s="482"/>
      <c r="DB253" s="490"/>
    </row>
    <row r="254" spans="1:106" ht="15" hidden="1" customHeight="1">
      <c r="A254" s="465">
        <f>+A252+1</f>
        <v>169</v>
      </c>
      <c r="B254" s="491">
        <v>1</v>
      </c>
      <c r="C254" s="466" t="s">
        <v>2199</v>
      </c>
      <c r="D254" s="466" t="s">
        <v>2221</v>
      </c>
      <c r="E254" s="468">
        <v>0.45713817940000001</v>
      </c>
      <c r="F254" s="468"/>
      <c r="G254" s="468">
        <f>IF(B254=1,0,SUMIF($D$22:$D$583,C254,$H$22:$H$583))</f>
        <v>0</v>
      </c>
      <c r="H254" s="468">
        <f>+E254+F254+G254</f>
        <v>0.45713817940000001</v>
      </c>
      <c r="I254" s="468">
        <v>0.45713817940000001</v>
      </c>
      <c r="J254" s="468"/>
      <c r="K254" s="467">
        <f>+IF(B254=1,0,SUMIF($D$22:$D$583,C254,$L$22:$L$580))</f>
        <v>0</v>
      </c>
      <c r="L254" s="468">
        <f>+I254+J254+K254</f>
        <v>0.45713817940000001</v>
      </c>
      <c r="M254" s="469">
        <f>+$P$12</f>
        <v>242.33666300502347</v>
      </c>
      <c r="N254" s="470">
        <f>M254*E254</f>
        <v>110.78134092798777</v>
      </c>
      <c r="O254" s="470">
        <f>M254*F254</f>
        <v>0</v>
      </c>
      <c r="P254" s="470">
        <f>M254*H254</f>
        <v>110.78134092798777</v>
      </c>
      <c r="Q254" s="469">
        <f t="shared" ref="Q254:Q285" si="736">+$H$14</f>
        <v>140</v>
      </c>
      <c r="R254" s="471">
        <f>Q254*P254*$P$14/86400</f>
        <v>0.15258078206516831</v>
      </c>
      <c r="S254" s="471"/>
      <c r="T254" s="471"/>
      <c r="U254" s="471">
        <f>IF(C254="","",T254*$P$17)</f>
        <v>0</v>
      </c>
      <c r="V254" s="471"/>
      <c r="W254" s="471"/>
      <c r="X254" s="471">
        <f>IF(C254="","",W254*$P$16)</f>
        <v>0</v>
      </c>
      <c r="Y254" s="471">
        <f>IF(H254=0,0,$H$15*H254)</f>
        <v>9.1427635880000011E-2</v>
      </c>
      <c r="Z254" s="471">
        <f>IF(L254=0,$H$16*H254,0)</f>
        <v>0</v>
      </c>
      <c r="AA254" s="471">
        <f t="shared" si="527"/>
        <v>3.8</v>
      </c>
      <c r="AB254" s="471">
        <f>R254*AA254</f>
        <v>0.57980697184763952</v>
      </c>
      <c r="AC254" s="471">
        <f>Q254*(N254+O254)*$P$14/86400</f>
        <v>0.15258078206516831</v>
      </c>
      <c r="AD254" s="471">
        <f>IF(E254=0,0,$H$15*(E254+F254))</f>
        <v>9.1427635880000011E-2</v>
      </c>
      <c r="AE254" s="471">
        <f>IF(F254=0,0,$H$15*(F254+G254))</f>
        <v>0</v>
      </c>
      <c r="AF254" s="510">
        <f t="shared" si="518"/>
        <v>3.8</v>
      </c>
      <c r="AG254" s="471">
        <f>AC254*AF254</f>
        <v>0.57980697184763952</v>
      </c>
      <c r="AH254" s="471">
        <f>+AD254+AE254+AG254</f>
        <v>0.67123460772763954</v>
      </c>
      <c r="AI254" s="471">
        <f>IF(H254="","",IF(AB254+Y254+Z254+X254+U254&lt;1.5,1.5,AB254+Y254+Z254+X254+U254))</f>
        <v>1.5</v>
      </c>
      <c r="AJ254" s="471">
        <f>+$P$17</f>
        <v>0.75</v>
      </c>
      <c r="AK254" s="472">
        <f>+BK254/100</f>
        <v>2.2095164260102461E-2</v>
      </c>
      <c r="AL254" s="471">
        <f>IF(AJ254=0," ",0.14+0.65*AJ254+0.05*AK254)</f>
        <v>0.62860475821300521</v>
      </c>
      <c r="AM254" s="473">
        <f t="shared" si="665"/>
        <v>336.32613267542746</v>
      </c>
      <c r="AN254" s="474">
        <f t="shared" si="666"/>
        <v>8.8945685084842872</v>
      </c>
      <c r="AO254" s="474">
        <f>((1/60)*$AX254/$AQ254)</f>
        <v>0.57327777777777778</v>
      </c>
      <c r="AP254" s="474">
        <f>IF(B254=1,IF(($AN254+$AO254)&lt;10,10,IF(($AN254+$AO254)&gt;20,20,($AN254+$AO254))),($AN254+$AO254))</f>
        <v>10</v>
      </c>
      <c r="AQ254" s="475">
        <v>3</v>
      </c>
      <c r="AR254" s="474">
        <f>((1/60)*$AX254/$BT254)</f>
        <v>0.61674034067558259</v>
      </c>
      <c r="AS254" s="474">
        <f>AO254/AR254</f>
        <v>0.92952858758972123</v>
      </c>
      <c r="AT254" s="471" t="str">
        <f>IF(AS254&lt;0.9,"Disminuir vel.",IF(AS254&gt;1.1,"Aumentar vel.","Cumple"))</f>
        <v>Cumple</v>
      </c>
      <c r="AU254" s="492">
        <f>+I254*AL254*AM254</f>
        <v>96.646420105873091</v>
      </c>
      <c r="AV254" s="471">
        <f>+L254*AL254*AM254</f>
        <v>96.646420105873091</v>
      </c>
      <c r="AW254" s="471">
        <f t="shared" si="667"/>
        <v>96.65</v>
      </c>
      <c r="AX254" s="478">
        <f>IF(OR(C254="",D254=""),"",ROUND(((VLOOKUP(C254,'Base de Diseño (2)'!$A$2:$C$333,2,FALSE)-VLOOKUP(D254,'Base de Diseño (2)'!$A$2:$C$333,2,FALSE))^2+(VLOOKUP(C254,'Base de Diseño (2)'!$A$2:$C$333,3,0)-VLOOKUP(D254,'Base de Diseño (2)'!$A$2:$C$333,3,FALSE))^2)^0.5,2))</f>
        <v>103.19</v>
      </c>
      <c r="AY254" s="493">
        <v>8</v>
      </c>
      <c r="AZ254" s="480">
        <f>IF(AND(L254="",H254=""),"",IF(BA254=4,VLOOKUP(AY254,'TABLA (2)'!$A$74:$C$89,2),IF(BA254=5,VLOOKUP(AY254,'TABLA (2)'!$A$51:$B$66,2),IF(BA254=6,VLOOKUP(AY254,'TABLA (2)'!$A$9:$B$43,2)))))</f>
        <v>200</v>
      </c>
      <c r="BA254" s="493">
        <v>6</v>
      </c>
      <c r="BB254" s="478">
        <f>IF(OR(C254="",D254=""),"",VLOOKUP(C254,'Base de Diseño (2)'!$A$2:$D$330,4,FALSE))</f>
        <v>989.45159999999998</v>
      </c>
      <c r="BC254" s="478">
        <f>IF(OR(C254="",D254=""),"",VLOOKUP(D254,'Base de Diseño (2)'!$A$2:$D$330,4,FALSE))</f>
        <v>987.17160000000001</v>
      </c>
      <c r="BD254" s="478">
        <f>+BF254-((AZ254/1000)+CX254)</f>
        <v>1.2629999999999999</v>
      </c>
      <c r="BE254" s="478">
        <f>+BG254-((AZ254/1000)+CX254)</f>
        <v>4.8830000000000044</v>
      </c>
      <c r="BF254" s="494">
        <v>1.5</v>
      </c>
      <c r="BG254" s="494">
        <v>5.1200000000000045</v>
      </c>
      <c r="BH254" s="495">
        <f>BB254-BF254</f>
        <v>987.95159999999998</v>
      </c>
      <c r="BI254" s="495">
        <f>BC254-BG254</f>
        <v>982.05160000000001</v>
      </c>
      <c r="BJ254" s="468">
        <f>IF(A254="",0,BI254-BH255)</f>
        <v>-3.6200000000000045</v>
      </c>
      <c r="BK254" s="475">
        <f>ABS((BB254-BC254)/AX254)*100</f>
        <v>2.209516426010246</v>
      </c>
      <c r="BL254" s="475">
        <f>((BH254-BI254)/AX254)*100</f>
        <v>5.7176082953774365</v>
      </c>
      <c r="BM254" s="475">
        <f>IF(BA254=6,(1/0.013)*((AZ254/4000)^(2/3))*((BL254/100)^(0.5)),(1/0.009)*((AZ254/4000)^(2/3))*((BL254/100)^(0.5)))</f>
        <v>2.4963789786502288</v>
      </c>
      <c r="BN254" s="475">
        <f>1000*BM254*PI()*((AZ254/1000/2)^2)</f>
        <v>78.426058599035514</v>
      </c>
      <c r="BO254" s="204">
        <f>AI254/BN254</f>
        <v>1.9126295861289746E-2</v>
      </c>
      <c r="BP254" s="496">
        <f>IF(L254=0," ",AW254/BN254)</f>
        <v>1.2323709966624361</v>
      </c>
      <c r="BQ254" s="497">
        <f>IF($BO254&gt;0 =AND($BO254&lt;=0.06),10^(0.029806+0.29095*LOG($BO254)),IF($BO254&gt;0.06 =AND($BO254&lt;=0.26),10^(0.013778+0.282597*LOG($BO254)),IF($BO254&gt;0.26 =AND($BO254&lt;=0.91),10^(0.021763+0.28995*LOG($BO254)),1)))</f>
        <v>0.3387244150739373</v>
      </c>
      <c r="BR254" s="497">
        <f>IF($BP254&gt;0 =AND($BP254&lt;=0.06),10^(0.029806+0.29095*LOG($BP254)),IF($BP254&gt;0.06 =AND($BP254&lt;=0.26),10^(0.013778+0.282597*LOG($BP254)),IF($BP254&gt;0.26 =AND($BP254&lt;=2),10^(0.021763+0.28995*LOG($BP254))," ")))</f>
        <v>1.117052253130624</v>
      </c>
      <c r="BS254" s="475">
        <f>BM254*BQ254</f>
        <v>0.8455845093461718</v>
      </c>
      <c r="BT254" s="475">
        <f>IF(BP254=" "," ",(BM254*BR254))</f>
        <v>2.7885857627691637</v>
      </c>
      <c r="BU254" s="475">
        <f>IF(BO254&lt;=0.11,0.3827+0.0645*LN(BO254),IF(BO254&lt;=0.21,0.60025+0.15471*LN(BO254),IF(BO254&lt;1,0.225+0.6666666667*BO254,0)))</f>
        <v>0.12749342120478169</v>
      </c>
      <c r="BV254" s="475" t="str">
        <f>IF(BP254&lt;=0.11,0.3827+0.0645*LN(BP254),IF(BP254&lt;=0.21,0.60025+0.15471*LN(BP254),IF(BP254&lt;1,0.225+0.6666666667*BP254," ")))</f>
        <v xml:space="preserve"> </v>
      </c>
      <c r="BW254" s="475">
        <f>2*ACOS(1-2*(BU254))</f>
        <v>1.4604835217273291</v>
      </c>
      <c r="BX254" s="475" t="e">
        <f>IF(BP254=" "," ",(2*ACOS(1-2*(BV254))))</f>
        <v>#VALUE!</v>
      </c>
      <c r="BY254" s="475">
        <f>(1/4)*(1-(SIN(BW254))/BW254)</f>
        <v>7.9864271774681084E-2</v>
      </c>
      <c r="BZ254" s="475" t="e">
        <f>IF(BP254=" "," ",((1/4)*(1-(SIN(BX254))/BX254)))</f>
        <v>#VALUE!</v>
      </c>
      <c r="CA254" s="471">
        <f>BY254*AZ254/1000</f>
        <v>1.5972854354936217E-2</v>
      </c>
      <c r="CB254" s="471" t="e">
        <f>IF(BP254=" "," ",(BZ254*AZ254/1000))</f>
        <v>#VALUE!</v>
      </c>
      <c r="CC254" s="471" t="e">
        <f t="shared" si="668"/>
        <v>#VALUE!</v>
      </c>
      <c r="CD254" s="471" t="e">
        <f>IF(CC254="","",IF(CC254&lt;0.7,"F. Subcrítico",IF(AND(CC254&gt;0.7,CC254&lt;1),"F. Subcrítico Inestable",IF(CC254=1,"F. Crítico",IF(AND(CC254&gt;1,CC254&lt;1.5),"F. Supercrítico Inestable",IF(CC254&gt;1.5,"F. Supercrítico",""))))))</f>
        <v>#VALUE!</v>
      </c>
      <c r="CE254" s="471">
        <f>1000*BL254*CA254/100</f>
        <v>0.91326524560638933</v>
      </c>
      <c r="CF254" s="471" t="e">
        <f>IF(BP254=" "," ",(1000*BL254*CB254/100))</f>
        <v>#VALUE!</v>
      </c>
      <c r="CG254" s="471" t="str">
        <f>IF(BS254&lt;0.45,"No cumple",IF(BS254&gt;5,"No cumple","O.K"))</f>
        <v>O.K</v>
      </c>
      <c r="CH254" s="471" t="str">
        <f>IF(BT254&lt;0.75,"No cumple",IF(BT254&gt;10,"No cumple","O.K"))</f>
        <v>O.K</v>
      </c>
      <c r="CI254" s="471" t="str">
        <f>IF(CE254&gt;0.1,"OK","V.C.H.")</f>
        <v>OK</v>
      </c>
      <c r="CJ254" s="471" t="e">
        <f>IF(CF254&gt;0.2,"OK","V.C.H.")</f>
        <v>#VALUE!</v>
      </c>
      <c r="CK254" s="468">
        <f>+BJ254</f>
        <v>-3.6200000000000045</v>
      </c>
      <c r="CL254" s="482" t="s">
        <v>2507</v>
      </c>
      <c r="CM254" s="482"/>
      <c r="CN254" s="63" t="str">
        <f>IF(B254=1,"dato"," ")</f>
        <v>dato</v>
      </c>
      <c r="CO254" s="498">
        <f>+CR254</f>
        <v>103.19</v>
      </c>
      <c r="CP254" s="472">
        <f>+BK254/100</f>
        <v>2.2095164260102461E-2</v>
      </c>
      <c r="CQ254" s="482" t="s">
        <v>2508</v>
      </c>
      <c r="CR254" s="204">
        <f>IF(BA254="","",AX254)</f>
        <v>103.19</v>
      </c>
      <c r="CS254" s="486">
        <v>1.2</v>
      </c>
      <c r="CT254" s="486">
        <v>1.2</v>
      </c>
      <c r="CU254" s="23">
        <f>IF($BA254="","",SQRT((BH254-BI254)^2+$CR254^2))</f>
        <v>103.35853182006795</v>
      </c>
      <c r="CV254" s="499" t="s">
        <v>2509</v>
      </c>
      <c r="CW254" s="488" t="str">
        <f>+IF(BD254&lt;=0.9,"E1",IF(BD254&lt;=2.5,"E2","E3"))</f>
        <v>E2</v>
      </c>
      <c r="CX254" s="204">
        <f>IF(AND(L254="",H254=""),"",IF(AND(BA254&lt;&gt;4,BA254&lt;&gt;5),VLOOKUP(AY254,'TABLA (2)'!$A$9:$D$43,4),IF(BA254=4,VLOOKUP(AY254,'TABLA (2)'!$A$74:$D$89,4),VLOOKUP(AY254,'TABLA (2)'!$A$51:$D$66,4))))</f>
        <v>3.6999999999999998E-2</v>
      </c>
      <c r="CY254" s="482"/>
      <c r="CZ254" s="482"/>
      <c r="DA254" s="482"/>
      <c r="DB254" s="490"/>
    </row>
    <row r="255" spans="1:106" ht="15" hidden="1" customHeight="1">
      <c r="A255" s="465">
        <f>+A254+1</f>
        <v>170</v>
      </c>
      <c r="B255" s="491"/>
      <c r="C255" s="466" t="str">
        <f>+D254</f>
        <v>C351</v>
      </c>
      <c r="D255" s="466" t="s">
        <v>2216</v>
      </c>
      <c r="E255" s="468">
        <v>0.45</v>
      </c>
      <c r="F255" s="468"/>
      <c r="G255" s="468">
        <f>IF(B255=1,0,SUMIF($D$22:$D$583,C255,$H$22:$H$583))</f>
        <v>4.8769945325999995</v>
      </c>
      <c r="H255" s="468">
        <f>+E255+F255+G255</f>
        <v>5.3269945325999997</v>
      </c>
      <c r="I255" s="468">
        <v>0.45</v>
      </c>
      <c r="J255" s="468"/>
      <c r="K255" s="467">
        <f ca="1">+IF(B255=1,0,SUMIF($D$22:$D$583,C255,$L$22:$L$580))</f>
        <v>4.8769945325999995</v>
      </c>
      <c r="L255" s="468">
        <f ca="1">+I255+J255+K255</f>
        <v>5.3269945325999997</v>
      </c>
      <c r="M255" s="469">
        <f>+$P$12</f>
        <v>242.33666300502347</v>
      </c>
      <c r="N255" s="470">
        <f>M255*E255</f>
        <v>109.05149835226057</v>
      </c>
      <c r="O255" s="470">
        <f>M255*F255</f>
        <v>0</v>
      </c>
      <c r="P255" s="470">
        <f>M255*H255</f>
        <v>1290.9260788762886</v>
      </c>
      <c r="Q255" s="469">
        <f t="shared" si="736"/>
        <v>140</v>
      </c>
      <c r="R255" s="471">
        <f>Q255*P255*$P$14/86400</f>
        <v>1.7780116132671102</v>
      </c>
      <c r="S255" s="471"/>
      <c r="T255" s="471"/>
      <c r="U255" s="471">
        <f>IF(C255="","",T255*$P$17)</f>
        <v>0</v>
      </c>
      <c r="V255" s="471"/>
      <c r="W255" s="471"/>
      <c r="X255" s="471">
        <f>IF(C255="","",W255*$P$16)</f>
        <v>0</v>
      </c>
      <c r="Y255" s="471">
        <f>IF(H255=0,0,$H$15*H255)</f>
        <v>1.06539890652</v>
      </c>
      <c r="Z255" s="471">
        <f ca="1">IF(L255=0,$H$16*H255,0)</f>
        <v>0</v>
      </c>
      <c r="AA255" s="471">
        <f t="shared" si="527"/>
        <v>3.8</v>
      </c>
      <c r="AB255" s="471">
        <f>R255*AA255</f>
        <v>6.7564441304150185</v>
      </c>
      <c r="AC255" s="471">
        <f>Q255*(N255+O255)*$P$14/86400</f>
        <v>0.15019824425832184</v>
      </c>
      <c r="AD255" s="471">
        <f>IF(E255=0,0,$H$15*(E255+F255))</f>
        <v>9.0000000000000011E-2</v>
      </c>
      <c r="AE255" s="471">
        <f>IF(F255=0,0,$H$15*(F255+G255))</f>
        <v>0</v>
      </c>
      <c r="AF255" s="510">
        <f t="shared" si="518"/>
        <v>3.8</v>
      </c>
      <c r="AG255" s="471">
        <f>AC255*AF255</f>
        <v>0.57075332818162294</v>
      </c>
      <c r="AH255" s="471">
        <f>+AD255+AE255+AG255</f>
        <v>0.66075332818162291</v>
      </c>
      <c r="AI255" s="471">
        <f ca="1">IF(H255="","",IF(AB255+Y255+Z255+X255+U255&lt;1.5,1.5,AB255+Y255+Z255+X255+U255))</f>
        <v>7.821843036935018</v>
      </c>
      <c r="AJ255" s="471">
        <f>+$P$17</f>
        <v>0.75</v>
      </c>
      <c r="AK255" s="472">
        <f>+BK255/100</f>
        <v>4.454865181711553E-2</v>
      </c>
      <c r="AL255" s="471">
        <f>IF(AJ255=0," ",0.14+0.65*AJ255+0.05*AK255)</f>
        <v>0.62972743259085584</v>
      </c>
      <c r="AM255" s="473">
        <f t="shared" si="665"/>
        <v>331.22700326787759</v>
      </c>
      <c r="AN255" s="474">
        <f t="shared" si="666"/>
        <v>10</v>
      </c>
      <c r="AO255" s="474">
        <f>((1/60)*$AX255/$AQ255)</f>
        <v>0.52127777777777773</v>
      </c>
      <c r="AP255" s="474">
        <f>IF(B255=1,IF(($AN255+$AO255)&lt;10,10,IF(($AN255+$AO255)&gt;20,20,($AN255+$AO255))),($AN255+$AO255))</f>
        <v>10.521277777777778</v>
      </c>
      <c r="AQ255" s="475">
        <v>3</v>
      </c>
      <c r="AR255" s="474" t="e">
        <f ca="1">((1/60)*$AX255/$BT255)</f>
        <v>#VALUE!</v>
      </c>
      <c r="AS255" s="474" t="e">
        <f ca="1">AO255/AR255</f>
        <v>#VALUE!</v>
      </c>
      <c r="AT255" s="471" t="e">
        <f ca="1">IF(AS255&lt;0.9,"Disminuir vel.",IF(AS255&gt;1.1,"Aumentar vel.","Cumple"))</f>
        <v>#VALUE!</v>
      </c>
      <c r="AU255" s="492">
        <f>+I255*AL255*AM255</f>
        <v>93.862228667689621</v>
      </c>
      <c r="AV255" s="471">
        <f ca="1">+L255*AL255*AM255</f>
        <v>1111.1190642898523</v>
      </c>
      <c r="AW255" s="471">
        <f t="shared" ca="1" si="667"/>
        <v>1111.1199999999999</v>
      </c>
      <c r="AX255" s="478">
        <f>IF(OR(C255="",D255=""),"",ROUND(((VLOOKUP(C255,'Base de Diseño (2)'!$A$2:$C$333,2,FALSE)-VLOOKUP(D255,'Base de Diseño (2)'!$A$2:$C$333,2,FALSE))^2+(VLOOKUP(C255,'Base de Diseño (2)'!$A$2:$C$333,3,0)-VLOOKUP(D255,'Base de Diseño (2)'!$A$2:$C$333,3,FALSE))^2)^0.5,2))</f>
        <v>93.83</v>
      </c>
      <c r="AY255" s="493">
        <v>8</v>
      </c>
      <c r="AZ255" s="480">
        <f ca="1">IF(AND(L255="",H255=""),"",IF(BA255=4,VLOOKUP(AY255,'TABLA (2)'!$A$74:$C$89,2),IF(BA255=5,VLOOKUP(AY255,'TABLA (2)'!$A$51:$B$66,2),IF(BA255=6,VLOOKUP(AY255,'TABLA (2)'!$A$9:$B$43,2)))))</f>
        <v>200</v>
      </c>
      <c r="BA255" s="493">
        <v>6</v>
      </c>
      <c r="BB255" s="478">
        <f>IF(OR(C255="",D255=""),"",VLOOKUP(C255,'Base de Diseño (2)'!$A$2:$D$330,4,FALSE))</f>
        <v>987.17160000000001</v>
      </c>
      <c r="BC255" s="478">
        <f>IF(OR(C255="",D255=""),"",VLOOKUP(D255,'Base de Diseño (2)'!$A$2:$D$330,4,FALSE))</f>
        <v>982.99160000000006</v>
      </c>
      <c r="BD255" s="478">
        <f ca="1">+BF255-((AZ255/1000)+CX255)</f>
        <v>1.2629999999999999</v>
      </c>
      <c r="BE255" s="478">
        <f ca="1">+BG255-((AZ255/1000)+CX255)</f>
        <v>2.6629999999999998</v>
      </c>
      <c r="BF255" s="494">
        <v>1.5</v>
      </c>
      <c r="BG255" s="494">
        <v>2.9</v>
      </c>
      <c r="BH255" s="495">
        <f>BB255-BF255</f>
        <v>985.67160000000001</v>
      </c>
      <c r="BI255" s="495">
        <f>BC255-BG255</f>
        <v>980.09160000000008</v>
      </c>
      <c r="BJ255" s="468">
        <f>IF(A255="",0,BI255-BH256)</f>
        <v>980.09160000000008</v>
      </c>
      <c r="BK255" s="475">
        <f>ABS((BB255-BC255)/AX255)*100</f>
        <v>4.4548651817115532</v>
      </c>
      <c r="BL255" s="475">
        <f>((BH255-BI255)/AX255)*100</f>
        <v>5.9469252904187648</v>
      </c>
      <c r="BM255" s="475">
        <f ca="1">IF(BA255=6,(1/0.013)*((AZ255/4000)^(2/3))*((BL255/100)^(0.5)),(1/0.009)*((AZ255/4000)^(2/3))*((BL255/100)^(0.5)))</f>
        <v>2.5459481726112263</v>
      </c>
      <c r="BN255" s="475">
        <f ca="1">1000*BM255*PI()*((AZ255/1000/2)^2)</f>
        <v>79.983320754957887</v>
      </c>
      <c r="BO255" s="204">
        <f ca="1">AI255/BN255</f>
        <v>9.7793426968336636E-2</v>
      </c>
      <c r="BP255" s="496">
        <f ca="1">IF(L255=0," ",AW255/BN255)</f>
        <v>13.891896329287196</v>
      </c>
      <c r="BQ255" s="497">
        <f ca="1">IF($BO255&gt;0 =AND($BO255&lt;=0.06),10^(0.029806+0.29095*LOG($BO255)),IF($BO255&gt;0.06 =AND($BO255&lt;=0.26),10^(0.013778+0.282597*LOG($BO255)),IF($BO255&gt;0.26 =AND($BO255&lt;=0.91),10^(0.021763+0.28995*LOG($BO255)),1)))</f>
        <v>0.53510935123472991</v>
      </c>
      <c r="BR255" s="497" t="str">
        <f ca="1">IF($BP255&gt;0 =AND($BP255&lt;=0.06),10^(0.029806+0.29095*LOG($BP255)),IF($BP255&gt;0.06 =AND($BP255&lt;=0.26),10^(0.013778+0.282597*LOG($BP255)),IF($BP255&gt;0.26 =AND($BP255&lt;=2),10^(0.021763+0.28995*LOG($BP255))," ")))</f>
        <v xml:space="preserve"> </v>
      </c>
      <c r="BS255" s="475">
        <f ca="1">BM255*BQ255</f>
        <v>1.3623606749232395</v>
      </c>
      <c r="BT255" s="475" t="e">
        <f ca="1">IF(BP255=" "," ",(BM255*BR255))</f>
        <v>#VALUE!</v>
      </c>
      <c r="BU255" s="475">
        <f ca="1">IF(BO255&lt;=0.11,0.3827+0.0645*LN(BO255),IF(BO255&lt;=0.21,0.60025+0.15471*LN(BO255),IF(BO255&lt;1,0.225+0.6666666667*BO255,0)))</f>
        <v>0.23274408460423091</v>
      </c>
      <c r="BV255" s="475" t="str">
        <f ca="1">IF(BP255&lt;=0.11,0.3827+0.0645*LN(BP255),IF(BP255&lt;=0.21,0.60025+0.15471*LN(BP255),IF(BP255&lt;1,0.225+0.6666666667*BP255," ")))</f>
        <v xml:space="preserve"> </v>
      </c>
      <c r="BW255" s="475">
        <f ca="1">2*ACOS(1-2*(BU255))</f>
        <v>2.0137325804460504</v>
      </c>
      <c r="BX255" s="475" t="e">
        <f ca="1">IF(BP255=" "," ",(2*ACOS(1-2*(BV255))))</f>
        <v>#VALUE!</v>
      </c>
      <c r="BY255" s="475">
        <f ca="1">(1/4)*(1-(SIN(BW255))/BW255)</f>
        <v>0.13783303363034247</v>
      </c>
      <c r="BZ255" s="475" t="e">
        <f ca="1">IF(BP255=" "," ",((1/4)*(1-(SIN(BX255))/BX255)))</f>
        <v>#VALUE!</v>
      </c>
      <c r="CA255" s="471">
        <f ca="1">BY255*AZ255/1000</f>
        <v>2.7566606726068494E-2</v>
      </c>
      <c r="CB255" s="471" t="e">
        <f ca="1">IF(BP255=" "," ",(BZ255*AZ255/1000))</f>
        <v>#VALUE!</v>
      </c>
      <c r="CC255" s="471" t="e">
        <f t="shared" ca="1" si="668"/>
        <v>#VALUE!</v>
      </c>
      <c r="CD255" s="471" t="e">
        <f ca="1">IF(CC255="","",IF(CC255&lt;0.7,"F. Subcrítico",IF(AND(CC255&gt;0.7,CC255&lt;1),"F. Subcrítico Inestable",IF(CC255=1,"F. Crítico",IF(AND(CC255&gt;1,CC255&lt;1.5),"F. Supercrítico Inestable",IF(CC255&gt;1.5,"F. Supercrítico",""))))))</f>
        <v>#VALUE!</v>
      </c>
      <c r="CE255" s="471">
        <f ca="1">1000*BL255*CA255/100</f>
        <v>1.6393655071028477</v>
      </c>
      <c r="CF255" s="471" t="e">
        <f ca="1">IF(BP255=" "," ",(1000*BL255*CB255/100))</f>
        <v>#VALUE!</v>
      </c>
      <c r="CG255" s="471" t="str">
        <f ca="1">IF(BS255&lt;0.45,"No cumple",IF(BS255&gt;5,"No cumple","O.K"))</f>
        <v>O.K</v>
      </c>
      <c r="CH255" s="471" t="e">
        <f ca="1">IF(BT255&lt;0.75,"No cumple",IF(BT255&gt;10,"No cumple","O.K"))</f>
        <v>#VALUE!</v>
      </c>
      <c r="CI255" s="471" t="str">
        <f ca="1">IF(CE255&gt;0.1,"OK","V.C.H.")</f>
        <v>OK</v>
      </c>
      <c r="CJ255" s="471" t="e">
        <f ca="1">IF(CF255&gt;0.2,"OK","V.C.H.")</f>
        <v>#VALUE!</v>
      </c>
      <c r="CK255" s="468">
        <f>+BJ255</f>
        <v>980.09160000000008</v>
      </c>
      <c r="CL255" s="482" t="s">
        <v>2507</v>
      </c>
      <c r="CM255" s="482"/>
      <c r="CN255" s="63" t="str">
        <f>IF(B255=1,"dato"," ")</f>
        <v xml:space="preserve"> </v>
      </c>
      <c r="CO255" s="498">
        <f>+CR255</f>
        <v>93.83</v>
      </c>
      <c r="CP255" s="472">
        <f>+BK255/100</f>
        <v>4.454865181711553E-2</v>
      </c>
      <c r="CQ255" s="482" t="s">
        <v>2508</v>
      </c>
      <c r="CR255" s="204">
        <f>IF(BA255="","",AX255)</f>
        <v>93.83</v>
      </c>
      <c r="CS255" s="486">
        <v>1.2</v>
      </c>
      <c r="CT255" s="486">
        <v>1.2</v>
      </c>
      <c r="CU255" s="23">
        <f>IF($BA255="","",SQRT((BH255-BI255)^2+$CR255^2))</f>
        <v>93.995772777290355</v>
      </c>
      <c r="CV255" s="499" t="s">
        <v>2509</v>
      </c>
      <c r="CW255" s="488" t="str">
        <f ca="1">+IF(BD255&lt;=0.9,"E1",IF(BD255&lt;=2.5,"E2","E3"))</f>
        <v>E2</v>
      </c>
      <c r="CX255" s="204">
        <f ca="1">IF(AND(L255="",H255=""),"",IF(AND(BA255&lt;&gt;4,BA255&lt;&gt;5),VLOOKUP(AY255,'TABLA (2)'!$A$9:$D$43,4),IF(BA255=4,VLOOKUP(AY255,'TABLA (2)'!$A$74:$D$89,4),VLOOKUP(AY255,'TABLA (2)'!$A$51:$D$66,4))))</f>
        <v>3.6999999999999998E-2</v>
      </c>
      <c r="CY255" s="482"/>
      <c r="CZ255" s="482"/>
      <c r="DA255" s="482"/>
      <c r="DB255" s="490"/>
    </row>
    <row r="256" spans="1:106" ht="15" hidden="1" customHeight="1">
      <c r="A256" s="465"/>
      <c r="B256" s="491"/>
      <c r="C256" s="466"/>
      <c r="D256" s="466"/>
      <c r="E256" s="468"/>
      <c r="F256" s="468"/>
      <c r="G256" s="468"/>
      <c r="H256" s="468"/>
      <c r="I256" s="468"/>
      <c r="J256" s="468"/>
      <c r="K256" s="467"/>
      <c r="L256" s="468"/>
      <c r="M256" s="469"/>
      <c r="N256" s="470"/>
      <c r="O256" s="470"/>
      <c r="P256" s="470"/>
      <c r="Q256" s="469">
        <f t="shared" si="736"/>
        <v>140</v>
      </c>
      <c r="R256" s="471"/>
      <c r="S256" s="471"/>
      <c r="T256" s="471"/>
      <c r="U256" s="471"/>
      <c r="V256" s="471"/>
      <c r="W256" s="471"/>
      <c r="X256" s="471"/>
      <c r="Y256" s="471"/>
      <c r="Z256" s="471"/>
      <c r="AA256" s="471" t="str">
        <f t="shared" si="527"/>
        <v/>
      </c>
      <c r="AB256" s="471"/>
      <c r="AC256" s="471"/>
      <c r="AD256" s="471"/>
      <c r="AE256" s="471"/>
      <c r="AF256" s="510" t="str">
        <f t="shared" si="518"/>
        <v/>
      </c>
      <c r="AG256" s="471"/>
      <c r="AH256" s="471"/>
      <c r="AI256" s="471"/>
      <c r="AJ256" s="471"/>
      <c r="AK256" s="472"/>
      <c r="AL256" s="471"/>
      <c r="AM256" s="473">
        <f t="shared" si="665"/>
        <v>474.44695720875893</v>
      </c>
      <c r="AN256" s="474">
        <f t="shared" si="666"/>
        <v>10.521277777777778</v>
      </c>
      <c r="AO256" s="474"/>
      <c r="AP256" s="474"/>
      <c r="AQ256" s="475">
        <v>3</v>
      </c>
      <c r="AR256" s="474"/>
      <c r="AS256" s="474"/>
      <c r="AT256" s="471"/>
      <c r="AU256" s="492"/>
      <c r="AV256" s="471"/>
      <c r="AW256" s="471">
        <f t="shared" si="667"/>
        <v>0</v>
      </c>
      <c r="AX256" s="478"/>
      <c r="AY256" s="493"/>
      <c r="AZ256" s="480"/>
      <c r="BA256" s="493"/>
      <c r="BB256" s="478" t="str">
        <f>IF(OR(C256="",D256=""),"",VLOOKUP(C256,'Base de Diseño (2)'!$A$2:$D$330,4,FALSE))</f>
        <v/>
      </c>
      <c r="BC256" s="478" t="str">
        <f>IF(OR(C256="",D256=""),"",VLOOKUP(D256,'Base de Diseño (2)'!$A$2:$D$330,4,FALSE))</f>
        <v/>
      </c>
      <c r="BD256" s="478"/>
      <c r="BE256" s="478"/>
      <c r="BF256" s="494"/>
      <c r="BG256" s="494"/>
      <c r="BH256" s="495"/>
      <c r="BI256" s="495"/>
      <c r="BJ256" s="468"/>
      <c r="BK256" s="475"/>
      <c r="BL256" s="475"/>
      <c r="BM256" s="475"/>
      <c r="BN256" s="475"/>
      <c r="BO256" s="204"/>
      <c r="BP256" s="496"/>
      <c r="BQ256" s="497"/>
      <c r="BR256" s="497"/>
      <c r="BS256" s="475"/>
      <c r="BT256" s="475"/>
      <c r="BU256" s="475"/>
      <c r="BV256" s="475"/>
      <c r="BW256" s="475"/>
      <c r="BX256" s="475"/>
      <c r="BY256" s="475"/>
      <c r="BZ256" s="475"/>
      <c r="CA256" s="471"/>
      <c r="CB256" s="471"/>
      <c r="CC256" s="471" t="e">
        <f t="shared" si="668"/>
        <v>#DIV/0!</v>
      </c>
      <c r="CD256" s="471"/>
      <c r="CE256" s="471"/>
      <c r="CF256" s="471"/>
      <c r="CG256" s="471"/>
      <c r="CH256" s="471"/>
      <c r="CI256" s="471"/>
      <c r="CJ256" s="471"/>
      <c r="CK256" s="468"/>
      <c r="CL256" s="482" t="s">
        <v>2507</v>
      </c>
      <c r="CM256" s="482"/>
      <c r="CN256" s="63"/>
      <c r="CO256" s="498"/>
      <c r="CP256" s="472"/>
      <c r="CQ256" s="482"/>
      <c r="CR256" s="204"/>
      <c r="CS256" s="486"/>
      <c r="CT256" s="486"/>
      <c r="CU256" s="23"/>
      <c r="CV256" s="499"/>
      <c r="CW256" s="488"/>
      <c r="CX256" s="204"/>
      <c r="CY256" s="482"/>
      <c r="CZ256" s="482"/>
      <c r="DA256" s="482"/>
      <c r="DB256" s="490"/>
    </row>
    <row r="257" spans="1:106" ht="15" hidden="1" customHeight="1">
      <c r="A257" s="465">
        <f>+A255+1</f>
        <v>171</v>
      </c>
      <c r="B257" s="491">
        <v>1</v>
      </c>
      <c r="C257" s="466" t="s">
        <v>2205</v>
      </c>
      <c r="D257" s="466" t="s">
        <v>2217</v>
      </c>
      <c r="E257" s="468">
        <v>7.3168390999999999E-2</v>
      </c>
      <c r="F257" s="468"/>
      <c r="G257" s="468">
        <f>IF(B257=1,0,SUMIF($D$22:$D$583,C257,$H$22:$H$583))</f>
        <v>0</v>
      </c>
      <c r="H257" s="468">
        <f>+E257+F257+G257</f>
        <v>7.3168390999999999E-2</v>
      </c>
      <c r="I257" s="468">
        <v>7.3168390999999999E-2</v>
      </c>
      <c r="J257" s="468"/>
      <c r="K257" s="467">
        <f>+IF(B257=1,0,SUMIF($D$22:$D$583,C257,$L$22:$L$580))</f>
        <v>0</v>
      </c>
      <c r="L257" s="468">
        <f>+I257+J257+K257</f>
        <v>7.3168390999999999E-2</v>
      </c>
      <c r="M257" s="469">
        <f>+$P$12</f>
        <v>242.33666300502347</v>
      </c>
      <c r="N257" s="470">
        <f>M257*E257</f>
        <v>17.731383712386791</v>
      </c>
      <c r="O257" s="470">
        <f>M257*F257</f>
        <v>0</v>
      </c>
      <c r="P257" s="470">
        <f>M257*H257</f>
        <v>17.731383712386791</v>
      </c>
      <c r="Q257" s="469">
        <f t="shared" si="736"/>
        <v>140</v>
      </c>
      <c r="R257" s="471">
        <f>Q257*P257*$P$14/86400</f>
        <v>2.4421697474236434E-2</v>
      </c>
      <c r="S257" s="471"/>
      <c r="T257" s="471"/>
      <c r="U257" s="471">
        <f>IF(C257="","",T257*$P$17)</f>
        <v>0</v>
      </c>
      <c r="V257" s="471"/>
      <c r="W257" s="471"/>
      <c r="X257" s="471">
        <f>IF(C257="","",W257*$P$16)</f>
        <v>0</v>
      </c>
      <c r="Y257" s="471">
        <f>IF(H257=0,0,$H$15*H257)</f>
        <v>1.46336782E-2</v>
      </c>
      <c r="Z257" s="471">
        <f>IF(L257=0,$H$16*H257,0)</f>
        <v>0</v>
      </c>
      <c r="AA257" s="471">
        <f t="shared" si="527"/>
        <v>3.8</v>
      </c>
      <c r="AB257" s="471">
        <f>R257*AA257</f>
        <v>9.2802450402098446E-2</v>
      </c>
      <c r="AC257" s="471">
        <f>Q257*(N257+O257)*$P$14/86400</f>
        <v>2.4421697474236434E-2</v>
      </c>
      <c r="AD257" s="471">
        <f>IF(E257=0,0,$H$15*(E257+F257))</f>
        <v>1.46336782E-2</v>
      </c>
      <c r="AE257" s="471">
        <f>IF(F257=0,0,$H$15*(F257+G257))</f>
        <v>0</v>
      </c>
      <c r="AF257" s="510">
        <f t="shared" si="518"/>
        <v>3.8</v>
      </c>
      <c r="AG257" s="471">
        <f>AC257*AF257</f>
        <v>9.2802450402098446E-2</v>
      </c>
      <c r="AH257" s="471">
        <f>+AD257+AE257+AG257</f>
        <v>0.10743612860209845</v>
      </c>
      <c r="AI257" s="471">
        <f>IF(H257="","",IF(AB257+Y257+Z257+X257+U257&lt;1.5,1.5,AB257+Y257+Z257+X257+U257))</f>
        <v>1.5</v>
      </c>
      <c r="AJ257" s="471">
        <f>+$P$17</f>
        <v>0.75</v>
      </c>
      <c r="AK257" s="472">
        <f>+BK257/100</f>
        <v>3.7049511620071036E-2</v>
      </c>
      <c r="AL257" s="471">
        <f>IF(AJ257=0," ",0.14+0.65*AJ257+0.05*AK257)</f>
        <v>0.6293524755810036</v>
      </c>
      <c r="AM257" s="473">
        <f t="shared" si="665"/>
        <v>336.32613267542746</v>
      </c>
      <c r="AN257" s="474">
        <f t="shared" si="666"/>
        <v>5</v>
      </c>
      <c r="AO257" s="474">
        <f>((1/60)*$AX257/$AQ257)</f>
        <v>0.16494444444444445</v>
      </c>
      <c r="AP257" s="474">
        <f>IF(B257=1,IF(($AN257+$AO257)&lt;10,10,IF(($AN257+$AO257)&gt;20,20,($AN257+$AO257))),($AN257+$AO257))</f>
        <v>10</v>
      </c>
      <c r="AQ257" s="475">
        <v>3</v>
      </c>
      <c r="AR257" s="474">
        <f>((1/60)*$AX257/$BT257)</f>
        <v>0.25568317455395462</v>
      </c>
      <c r="AS257" s="474">
        <f>AO257/AR257</f>
        <v>0.6451126271104618</v>
      </c>
      <c r="AT257" s="471" t="str">
        <f>IF(AS257&lt;0.9,"Disminuir vel.",IF(AS257&gt;1.1,"Aumentar vel.","Cumple"))</f>
        <v>Disminuir vel.</v>
      </c>
      <c r="AU257" s="492">
        <f>+I257*AL257*AM257</f>
        <v>15.487383879746606</v>
      </c>
      <c r="AV257" s="471">
        <f>+L257*AL257*AM257</f>
        <v>15.487383879746606</v>
      </c>
      <c r="AW257" s="471">
        <f t="shared" si="667"/>
        <v>16.989999999999998</v>
      </c>
      <c r="AX257" s="478">
        <f>IF(OR(C257="",D257=""),"",ROUND(((VLOOKUP(C257,'Base de Diseño (2)'!$A$2:$C$333,2,FALSE)-VLOOKUP(D257,'Base de Diseño (2)'!$A$2:$C$333,2,FALSE))^2+(VLOOKUP(C257,'Base de Diseño (2)'!$A$2:$C$333,3,0)-VLOOKUP(D257,'Base de Diseño (2)'!$A$2:$C$333,3,FALSE))^2)^0.5,2))</f>
        <v>29.69</v>
      </c>
      <c r="AY257" s="493">
        <v>8</v>
      </c>
      <c r="AZ257" s="480">
        <f>IF(AND(L257="",H257=""),"",IF(BA257=4,VLOOKUP(AY257,'TABLA (2)'!$A$74:$C$89,2),IF(BA257=5,VLOOKUP(AY257,'TABLA (2)'!$A$51:$B$66,2),IF(BA257=6,VLOOKUP(AY257,'TABLA (2)'!$A$9:$B$43,2)))))</f>
        <v>200</v>
      </c>
      <c r="BA257" s="493">
        <v>6</v>
      </c>
      <c r="BB257" s="478">
        <f>IF(OR(C257="",D257=""),"",VLOOKUP(C257,'Base de Diseño (2)'!$A$2:$D$330,4,FALSE))</f>
        <v>981.83159999999998</v>
      </c>
      <c r="BC257" s="478">
        <f>IF(OR(C257="",D257=""),"",VLOOKUP(D257,'Base de Diseño (2)'!$A$2:$D$330,4,FALSE))</f>
        <v>980.73160000000007</v>
      </c>
      <c r="BD257" s="478">
        <f>+BF257-((AZ257/1000)+CX257)</f>
        <v>0.32299999999994544</v>
      </c>
      <c r="BE257" s="478">
        <f>+BG257-((AZ257/1000)+CX257)</f>
        <v>1.7729999999999908</v>
      </c>
      <c r="BF257" s="494">
        <v>0.55999999999994543</v>
      </c>
      <c r="BG257" s="494">
        <v>2.0099999999999909</v>
      </c>
      <c r="BH257" s="495">
        <f>BB257-BF257</f>
        <v>981.27160000000003</v>
      </c>
      <c r="BI257" s="495">
        <f>BC257-BG257</f>
        <v>978.72160000000008</v>
      </c>
      <c r="BJ257" s="468">
        <f>IF(A257="",0,BI257-BH258)</f>
        <v>978.72160000000008</v>
      </c>
      <c r="BK257" s="475">
        <f>ABS((BB257-BC257)/AX257)*100</f>
        <v>3.7049511620071036</v>
      </c>
      <c r="BL257" s="475">
        <f>((BH257-BI257)/AX257)*100</f>
        <v>8.5887504210170249</v>
      </c>
      <c r="BM257" s="475">
        <f>IF(BA257=6,(1/0.013)*((AZ257/4000)^(2/3))*((BL257/100)^(0.5)),(1/0.009)*((AZ257/4000)^(2/3))*((BL257/100)^(0.5)))</f>
        <v>3.0596257595428029</v>
      </c>
      <c r="BN257" s="475">
        <f>1000*BM257*PI()*((AZ257/1000/2)^2)</f>
        <v>96.120978089137623</v>
      </c>
      <c r="BO257" s="204">
        <f>AI257/BN257</f>
        <v>1.5605334338243808E-2</v>
      </c>
      <c r="BP257" s="496">
        <f>IF(L257=0," ",AW257/BN257)</f>
        <v>0.17675642027117486</v>
      </c>
      <c r="BQ257" s="497">
        <f>IF($BO257&gt;0 =AND($BO257&lt;=0.06),10^(0.029806+0.29095*LOG($BO257)),IF($BO257&gt;0.06 =AND($BO257&lt;=0.26),10^(0.013778+0.282597*LOG($BO257)),IF($BO257&gt;0.26 =AND($BO257&lt;=0.91),10^(0.021763+0.28995*LOG($BO257)),1)))</f>
        <v>0.31925580441867368</v>
      </c>
      <c r="BR257" s="497">
        <f>IF($BP257&gt;0 =AND($BP257&lt;=0.06),10^(0.029806+0.29095*LOG($BP257)),IF($BP257&gt;0.06 =AND($BP257&lt;=0.26),10^(0.013778+0.282597*LOG($BP257)),IF($BP257&gt;0.26 =AND($BP257&lt;=2),10^(0.021763+0.28995*LOG($BP257))," ")))</f>
        <v>0.63254072015022555</v>
      </c>
      <c r="BS257" s="475">
        <f>BM257*BQ257</f>
        <v>0.97680328308293296</v>
      </c>
      <c r="BT257" s="475">
        <f>IF(BP257=" "," ",(BM257*BR257))</f>
        <v>1.9353378813313855</v>
      </c>
      <c r="BU257" s="475">
        <f>IF(BO257&lt;=0.11,0.3827+0.0645*LN(BO257),IF(BO257&lt;=0.21,0.60025+0.15471*LN(BO257),IF(BO257&lt;1,0.225+0.6666666667*BO257,0)))</f>
        <v>0.11437081014208977</v>
      </c>
      <c r="BV257" s="475">
        <f>IF(BP257&lt;=0.11,0.3827+0.0645*LN(BP257),IF(BP257&lt;=0.21,0.60025+0.15471*LN(BP257),IF(BP257&lt;1,0.225+0.6666666667*BP257," ")))</f>
        <v>0.33214025408830589</v>
      </c>
      <c r="BW257" s="475">
        <f>2*ACOS(1-2*(BU257))</f>
        <v>1.3799611495932353</v>
      </c>
      <c r="BX257" s="475">
        <f>IF(BP257=" "," ",(2*ACOS(1-2*(BV257))))</f>
        <v>2.4568547560139988</v>
      </c>
      <c r="BY257" s="475">
        <f>(1/4)*(1-(SIN(BW257))/BW257)</f>
        <v>7.2124310837055394E-2</v>
      </c>
      <c r="BZ257" s="475">
        <f>IF(BP257=" "," ",((1/4)*(1-(SIN(BX257))/BX257)))</f>
        <v>0.18564230739227217</v>
      </c>
      <c r="CA257" s="471">
        <f>BY257*AZ257/1000</f>
        <v>1.4424862167411078E-2</v>
      </c>
      <c r="CB257" s="471">
        <f>IF(BP257=" "," ",(BZ257*AZ257/1000))</f>
        <v>3.712846147845443E-2</v>
      </c>
      <c r="CC257" s="471">
        <f t="shared" si="668"/>
        <v>2.8080883430217147</v>
      </c>
      <c r="CD257" s="471" t="str">
        <f>IF(CC257="","",IF(CC257&lt;0.7,"F. Subcrítico",IF(AND(CC257&gt;0.7,CC257&lt;1),"F. Subcrítico Inestable",IF(CC257=1,"F. Crítico",IF(AND(CC257&gt;1,CC257&lt;1.5),"F. Supercrítico Inestable",IF(CC257&gt;1.5,"F. Supercrítico",""))))))</f>
        <v>F. Supercrítico</v>
      </c>
      <c r="CE257" s="471">
        <f>1000*BL257*CA257/100</f>
        <v>1.2389154101346445</v>
      </c>
      <c r="CF257" s="471">
        <f>IF(BP257=" "," ",(1000*BL257*CB257/100))</f>
        <v>3.1888708915478987</v>
      </c>
      <c r="CG257" s="471" t="str">
        <f>IF(BS257&lt;0.45,"No cumple",IF(BS257&gt;5,"No cumple","O.K"))</f>
        <v>O.K</v>
      </c>
      <c r="CH257" s="471" t="str">
        <f>IF(BT257&lt;0.75,"No cumple",IF(BT257&gt;10,"No cumple","O.K"))</f>
        <v>O.K</v>
      </c>
      <c r="CI257" s="471" t="str">
        <f>IF(CE257&gt;0.1,"OK","V.C.H.")</f>
        <v>OK</v>
      </c>
      <c r="CJ257" s="471" t="str">
        <f>IF(CF257&gt;0.2,"OK","V.C.H.")</f>
        <v>OK</v>
      </c>
      <c r="CK257" s="468">
        <f>+BJ257</f>
        <v>978.72160000000008</v>
      </c>
      <c r="CL257" s="482" t="s">
        <v>2507</v>
      </c>
      <c r="CM257" s="482"/>
      <c r="CN257" s="63" t="str">
        <f>IF(B257=1,"dato"," ")</f>
        <v>dato</v>
      </c>
      <c r="CO257" s="498">
        <f>+CR257</f>
        <v>29.69</v>
      </c>
      <c r="CP257" s="472">
        <f>+BK257/100</f>
        <v>3.7049511620071036E-2</v>
      </c>
      <c r="CQ257" s="482" t="s">
        <v>2508</v>
      </c>
      <c r="CR257" s="204">
        <f>IF(BA257="","",AX257)</f>
        <v>29.69</v>
      </c>
      <c r="CS257" s="486">
        <v>1.2</v>
      </c>
      <c r="CT257" s="486">
        <v>1.2</v>
      </c>
      <c r="CU257" s="23">
        <f>IF($BA257="","",SQRT((BH257-BI257)^2+$CR257^2))</f>
        <v>29.799305361031486</v>
      </c>
      <c r="CV257" s="499" t="s">
        <v>2509</v>
      </c>
      <c r="CW257" s="488" t="str">
        <f>+IF(BD257&lt;=0.9,"E1",IF(BD257&lt;=2.5,"E2","E3"))</f>
        <v>E1</v>
      </c>
      <c r="CX257" s="204">
        <f>IF(AND(L257="",H257=""),"",IF(AND(BA257&lt;&gt;4,BA257&lt;&gt;5),VLOOKUP(AY257,'TABLA (2)'!$A$9:$D$43,4),IF(BA257=4,VLOOKUP(AY257,'TABLA (2)'!$A$74:$D$89,4),VLOOKUP(AY257,'TABLA (2)'!$A$51:$D$66,4))))</f>
        <v>3.6999999999999998E-2</v>
      </c>
      <c r="CY257" s="482"/>
      <c r="CZ257" s="482"/>
      <c r="DA257" s="482"/>
      <c r="DB257" s="490"/>
    </row>
    <row r="258" spans="1:106" ht="15" hidden="1" customHeight="1">
      <c r="A258" s="465"/>
      <c r="B258" s="491"/>
      <c r="C258" s="466"/>
      <c r="D258" s="466"/>
      <c r="E258" s="468"/>
      <c r="F258" s="468"/>
      <c r="G258" s="468"/>
      <c r="H258" s="468"/>
      <c r="I258" s="468"/>
      <c r="J258" s="468"/>
      <c r="K258" s="467"/>
      <c r="L258" s="468"/>
      <c r="M258" s="469"/>
      <c r="N258" s="470"/>
      <c r="O258" s="470"/>
      <c r="P258" s="470"/>
      <c r="Q258" s="469">
        <f t="shared" si="736"/>
        <v>140</v>
      </c>
      <c r="R258" s="471"/>
      <c r="S258" s="471"/>
      <c r="T258" s="471"/>
      <c r="U258" s="471"/>
      <c r="V258" s="471"/>
      <c r="W258" s="471"/>
      <c r="X258" s="471"/>
      <c r="Y258" s="471"/>
      <c r="Z258" s="471"/>
      <c r="AA258" s="471" t="str">
        <f t="shared" si="527"/>
        <v/>
      </c>
      <c r="AB258" s="471"/>
      <c r="AC258" s="471"/>
      <c r="AD258" s="471"/>
      <c r="AE258" s="471"/>
      <c r="AF258" s="510" t="str">
        <f t="shared" si="518"/>
        <v/>
      </c>
      <c r="AG258" s="471"/>
      <c r="AH258" s="471"/>
      <c r="AI258" s="471"/>
      <c r="AJ258" s="471"/>
      <c r="AK258" s="472"/>
      <c r="AL258" s="471"/>
      <c r="AM258" s="473">
        <f t="shared" si="665"/>
        <v>474.44695720875893</v>
      </c>
      <c r="AN258" s="474">
        <f t="shared" si="666"/>
        <v>10</v>
      </c>
      <c r="AO258" s="474"/>
      <c r="AP258" s="474"/>
      <c r="AQ258" s="475">
        <v>3</v>
      </c>
      <c r="AR258" s="474"/>
      <c r="AS258" s="474"/>
      <c r="AT258" s="471"/>
      <c r="AU258" s="492"/>
      <c r="AV258" s="471"/>
      <c r="AW258" s="471">
        <f t="shared" si="667"/>
        <v>0</v>
      </c>
      <c r="AX258" s="478"/>
      <c r="AY258" s="493"/>
      <c r="AZ258" s="480"/>
      <c r="BA258" s="493"/>
      <c r="BB258" s="478" t="str">
        <f>IF(OR(C258="",D258=""),"",VLOOKUP(C258,'Base de Diseño (2)'!$A$2:$D$330,4,FALSE))</f>
        <v/>
      </c>
      <c r="BC258" s="478" t="str">
        <f>IF(OR(C258="",D258=""),"",VLOOKUP(D258,'Base de Diseño (2)'!$A$2:$D$330,4,FALSE))</f>
        <v/>
      </c>
      <c r="BD258" s="478"/>
      <c r="BE258" s="478"/>
      <c r="BF258" s="494"/>
      <c r="BG258" s="494"/>
      <c r="BH258" s="495"/>
      <c r="BI258" s="495"/>
      <c r="BJ258" s="468"/>
      <c r="BK258" s="475"/>
      <c r="BL258" s="475"/>
      <c r="BM258" s="475"/>
      <c r="BN258" s="475"/>
      <c r="BO258" s="204"/>
      <c r="BP258" s="496"/>
      <c r="BQ258" s="497"/>
      <c r="BR258" s="497"/>
      <c r="BS258" s="475"/>
      <c r="BT258" s="475"/>
      <c r="BU258" s="475"/>
      <c r="BV258" s="475"/>
      <c r="BW258" s="475"/>
      <c r="BX258" s="475"/>
      <c r="BY258" s="475"/>
      <c r="BZ258" s="475"/>
      <c r="CA258" s="471"/>
      <c r="CB258" s="471"/>
      <c r="CC258" s="471" t="e">
        <f t="shared" si="668"/>
        <v>#DIV/0!</v>
      </c>
      <c r="CD258" s="471"/>
      <c r="CE258" s="471"/>
      <c r="CF258" s="471"/>
      <c r="CG258" s="471"/>
      <c r="CH258" s="471"/>
      <c r="CI258" s="471"/>
      <c r="CJ258" s="471"/>
      <c r="CK258" s="468"/>
      <c r="CL258" s="482" t="s">
        <v>2507</v>
      </c>
      <c r="CM258" s="482"/>
      <c r="CN258" s="63"/>
      <c r="CO258" s="498"/>
      <c r="CP258" s="472"/>
      <c r="CQ258" s="482"/>
      <c r="CR258" s="204"/>
      <c r="CS258" s="486"/>
      <c r="CT258" s="486"/>
      <c r="CU258" s="23"/>
      <c r="CV258" s="499"/>
      <c r="CW258" s="488"/>
      <c r="CX258" s="204"/>
      <c r="CY258" s="482"/>
      <c r="CZ258" s="482"/>
      <c r="DA258" s="482"/>
      <c r="DB258" s="490"/>
    </row>
    <row r="259" spans="1:106" ht="15" hidden="1" customHeight="1">
      <c r="A259" s="465">
        <f>+A257+1</f>
        <v>172</v>
      </c>
      <c r="B259" s="491">
        <v>1</v>
      </c>
      <c r="C259" s="466" t="s">
        <v>2231</v>
      </c>
      <c r="D259" s="466" t="s">
        <v>2522</v>
      </c>
      <c r="E259" s="468">
        <v>4.0617333200000001E-2</v>
      </c>
      <c r="F259" s="468"/>
      <c r="G259" s="468">
        <f>IF(B259=1,0,SUMIF($D$22:$D$583,C259,$H$22:$H$583))</f>
        <v>0</v>
      </c>
      <c r="H259" s="468">
        <f>+E259+F259+G259</f>
        <v>4.0617333200000001E-2</v>
      </c>
      <c r="I259" s="468">
        <v>4.0617333200000001E-2</v>
      </c>
      <c r="J259" s="468"/>
      <c r="K259" s="467">
        <f>+IF(B259=1,0,SUMIF($D$22:$D$583,C259,$L$22:$L$580))</f>
        <v>0</v>
      </c>
      <c r="L259" s="468">
        <f>+I259+J259+K259</f>
        <v>4.0617333200000001E-2</v>
      </c>
      <c r="M259" s="469">
        <f>+$P$12</f>
        <v>242.33666300502347</v>
      </c>
      <c r="N259" s="470">
        <f>M259*E259</f>
        <v>9.8430689878511526</v>
      </c>
      <c r="O259" s="470">
        <f>M259*F259</f>
        <v>0</v>
      </c>
      <c r="P259" s="470">
        <f>M259*H259</f>
        <v>9.8430689878511526</v>
      </c>
      <c r="Q259" s="469">
        <f t="shared" si="736"/>
        <v>140</v>
      </c>
      <c r="R259" s="471">
        <f>Q259*P259*$P$14/86400</f>
        <v>1.3557004740211657E-2</v>
      </c>
      <c r="S259" s="471"/>
      <c r="T259" s="471"/>
      <c r="U259" s="471">
        <f>IF(C259="","",T259*$P$17)</f>
        <v>0</v>
      </c>
      <c r="V259" s="471"/>
      <c r="W259" s="471"/>
      <c r="X259" s="471">
        <f>IF(C259="","",W259*$P$16)</f>
        <v>0</v>
      </c>
      <c r="Y259" s="471">
        <f>IF(H259=0,0,$H$15*H259)</f>
        <v>8.1234666400000002E-3</v>
      </c>
      <c r="Z259" s="471">
        <f>IF(L259=0,$H$16*H259,0)</f>
        <v>0</v>
      </c>
      <c r="AA259" s="471">
        <f t="shared" si="527"/>
        <v>3.8</v>
      </c>
      <c r="AB259" s="471">
        <f>R259*AA259</f>
        <v>5.1516618012804292E-2</v>
      </c>
      <c r="AC259" s="471">
        <f>Q259*(N259+O259)*$P$14/86400</f>
        <v>1.3557004740211657E-2</v>
      </c>
      <c r="AD259" s="471">
        <f>IF(E259=0,0,$H$15*(E259+F259))</f>
        <v>8.1234666400000002E-3</v>
      </c>
      <c r="AE259" s="471">
        <f>IF(F259=0,0,$H$15*(F259+G259))</f>
        <v>0</v>
      </c>
      <c r="AF259" s="510">
        <f t="shared" si="518"/>
        <v>3.8</v>
      </c>
      <c r="AG259" s="471">
        <f>AC259*AF259</f>
        <v>5.1516618012804292E-2</v>
      </c>
      <c r="AH259" s="471">
        <f>+AD259+AE259+AG259</f>
        <v>5.9640084652804293E-2</v>
      </c>
      <c r="AI259" s="471">
        <f>IF(H259="","",IF(AB259+Y259+Z259+X259+U259&lt;1.5,1.5,AB259+Y259+Z259+X259+U259))</f>
        <v>1.5</v>
      </c>
      <c r="AJ259" s="471">
        <f>+$P$17</f>
        <v>0.75</v>
      </c>
      <c r="AK259" s="472" t="e">
        <f>+BK259/100</f>
        <v>#N/A</v>
      </c>
      <c r="AL259" s="471" t="e">
        <f>IF(AJ259=0," ",0.14+0.65*AJ259+0.05*AK259)</f>
        <v>#N/A</v>
      </c>
      <c r="AM259" s="473" t="e">
        <f t="shared" si="665"/>
        <v>#N/A</v>
      </c>
      <c r="AN259" s="474" t="e">
        <f t="shared" si="666"/>
        <v>#N/A</v>
      </c>
      <c r="AO259" s="474" t="e">
        <f>((1/60)*$AX259/$AQ259)</f>
        <v>#N/A</v>
      </c>
      <c r="AP259" s="474" t="e">
        <f>IF(B259=1,IF(($AN259+$AO259)&lt;10,10,IF(($AN259+$AO259)&gt;20,20,($AN259+$AO259))),($AN259+$AO259))</f>
        <v>#N/A</v>
      </c>
      <c r="AQ259" s="475">
        <v>3</v>
      </c>
      <c r="AR259" s="474" t="e">
        <f>((1/60)*$AX259/$BT259)</f>
        <v>#N/A</v>
      </c>
      <c r="AS259" s="474" t="e">
        <f>AO259/AR259</f>
        <v>#N/A</v>
      </c>
      <c r="AT259" s="471" t="e">
        <f>IF(AS259&lt;0.9,"Disminuir vel.",IF(AS259&gt;1.1,"Aumentar vel.","Cumple"))</f>
        <v>#N/A</v>
      </c>
      <c r="AU259" s="492" t="e">
        <f>+I259*AL259*AM259</f>
        <v>#N/A</v>
      </c>
      <c r="AV259" s="471" t="e">
        <f>+L259*AL259*AM259</f>
        <v>#N/A</v>
      </c>
      <c r="AW259" s="471" t="e">
        <f t="shared" si="667"/>
        <v>#N/A</v>
      </c>
      <c r="AX259" s="478" t="e">
        <f>IF(OR(C259="",D259=""),"",ROUND(((VLOOKUP(C259,'Base de Diseño (2)'!$A$2:$C$333,2,FALSE)-VLOOKUP(D259,'Base de Diseño (2)'!$A$2:$C$333,2,FALSE))^2+(VLOOKUP(C259,'Base de Diseño (2)'!$A$2:$C$333,3,0)-VLOOKUP(D259,'Base de Diseño (2)'!$A$2:$C$333,3,FALSE))^2)^0.5,2))</f>
        <v>#N/A</v>
      </c>
      <c r="AY259" s="493">
        <v>8</v>
      </c>
      <c r="AZ259" s="480">
        <f>IF(AND(L259="",H259=""),"",IF(BA259=4,VLOOKUP(AY259,'TABLA (2)'!$A$74:$C$89,2),IF(BA259=5,VLOOKUP(AY259,'TABLA (2)'!$A$51:$B$66,2),IF(BA259=6,VLOOKUP(AY259,'TABLA (2)'!$A$9:$B$43,2)))))</f>
        <v>200</v>
      </c>
      <c r="BA259" s="493">
        <v>6</v>
      </c>
      <c r="BB259" s="478">
        <f>IF(OR(C259="",D259=""),"",VLOOKUP(C259,'Base de Diseño (2)'!$A$2:$D$330,4,FALSE))</f>
        <v>990.89160000000004</v>
      </c>
      <c r="BC259" s="478" t="e">
        <f>IF(OR(C259="",D259=""),"",VLOOKUP(D259,'Base de Diseño (2)'!$A$2:$D$330,4,FALSE))</f>
        <v>#N/A</v>
      </c>
      <c r="BD259" s="478">
        <f>+BF259-((AZ259/1000)+CX259)</f>
        <v>0.76300000000000001</v>
      </c>
      <c r="BE259" s="478">
        <f>+BG259-((AZ259/1000)+CX259)</f>
        <v>0.89299999999999546</v>
      </c>
      <c r="BF259" s="494">
        <v>1</v>
      </c>
      <c r="BG259" s="494">
        <v>1.1299999999999955</v>
      </c>
      <c r="BH259" s="495">
        <f>BB259-BF259</f>
        <v>989.89160000000004</v>
      </c>
      <c r="BI259" s="495" t="e">
        <f>BC259-BG259</f>
        <v>#N/A</v>
      </c>
      <c r="BJ259" s="468" t="e">
        <f>IF(A259="",0,BI259-BH260)</f>
        <v>#N/A</v>
      </c>
      <c r="BK259" s="475" t="e">
        <f>ABS((BB259-BC259)/AX259)*100</f>
        <v>#N/A</v>
      </c>
      <c r="BL259" s="475" t="e">
        <f>((BH259-BI259)/AX259)*100</f>
        <v>#N/A</v>
      </c>
      <c r="BM259" s="475" t="e">
        <f>IF(BA259=6,(1/0.013)*((AZ259/4000)^(2/3))*((BL259/100)^(0.5)),(1/0.009)*((AZ259/4000)^(2/3))*((BL259/100)^(0.5)))</f>
        <v>#N/A</v>
      </c>
      <c r="BN259" s="475" t="e">
        <f>1000*BM259*PI()*((AZ259/1000/2)^2)</f>
        <v>#N/A</v>
      </c>
      <c r="BO259" s="204" t="e">
        <f>AI259/BN259</f>
        <v>#N/A</v>
      </c>
      <c r="BP259" s="496" t="e">
        <f>IF(L259=0," ",AW259/BN259)</f>
        <v>#N/A</v>
      </c>
      <c r="BQ259" s="497" t="e">
        <f>IF($BO259&gt;0 =AND($BO259&lt;=0.06),10^(0.029806+0.29095*LOG($BO259)),IF($BO259&gt;0.06 =AND($BO259&lt;=0.26),10^(0.013778+0.282597*LOG($BO259)),IF($BO259&gt;0.26 =AND($BO259&lt;=0.91),10^(0.021763+0.28995*LOG($BO259)),1)))</f>
        <v>#N/A</v>
      </c>
      <c r="BR259" s="497" t="e">
        <f>IF($BP259&gt;0 =AND($BP259&lt;=0.06),10^(0.029806+0.29095*LOG($BP259)),IF($BP259&gt;0.06 =AND($BP259&lt;=0.26),10^(0.013778+0.282597*LOG($BP259)),IF($BP259&gt;0.26 =AND($BP259&lt;=2),10^(0.021763+0.28995*LOG($BP259))," ")))</f>
        <v>#N/A</v>
      </c>
      <c r="BS259" s="475" t="e">
        <f>BM259*BQ259</f>
        <v>#N/A</v>
      </c>
      <c r="BT259" s="475" t="e">
        <f>IF(BP259=" "," ",(BM259*BR259))</f>
        <v>#N/A</v>
      </c>
      <c r="BU259" s="475" t="e">
        <f>IF(BO259&lt;=0.11,0.3827+0.0645*LN(BO259),IF(BO259&lt;=0.21,0.60025+0.15471*LN(BO259),IF(BO259&lt;1,0.225+0.6666666667*BO259,0)))</f>
        <v>#N/A</v>
      </c>
      <c r="BV259" s="475" t="e">
        <f>IF(BP259&lt;=0.11,0.3827+0.0645*LN(BP259),IF(BP259&lt;=0.21,0.60025+0.15471*LN(BP259),IF(BP259&lt;1,0.225+0.6666666667*BP259," ")))</f>
        <v>#N/A</v>
      </c>
      <c r="BW259" s="475" t="e">
        <f>2*ACOS(1-2*(BU259))</f>
        <v>#N/A</v>
      </c>
      <c r="BX259" s="475" t="e">
        <f>IF(BP259=" "," ",(2*ACOS(1-2*(BV259))))</f>
        <v>#N/A</v>
      </c>
      <c r="BY259" s="475" t="e">
        <f>(1/4)*(1-(SIN(BW259))/BW259)</f>
        <v>#N/A</v>
      </c>
      <c r="BZ259" s="475" t="e">
        <f>IF(BP259=" "," ",((1/4)*(1-(SIN(BX259))/BX259)))</f>
        <v>#N/A</v>
      </c>
      <c r="CA259" s="471" t="e">
        <f>BY259*AZ259/1000</f>
        <v>#N/A</v>
      </c>
      <c r="CB259" s="471" t="e">
        <f>IF(BP259=" "," ",(BZ259*AZ259/1000))</f>
        <v>#N/A</v>
      </c>
      <c r="CC259" s="471" t="e">
        <f t="shared" si="668"/>
        <v>#N/A</v>
      </c>
      <c r="CD259" s="471" t="e">
        <f>IF(CC259="","",IF(CC259&lt;0.7,"F. Subcrítico",IF(AND(CC259&gt;0.7,CC259&lt;1),"F. Subcrítico Inestable",IF(CC259=1,"F. Crítico",IF(AND(CC259&gt;1,CC259&lt;1.5),"F. Supercrítico Inestable",IF(CC259&gt;1.5,"F. Supercrítico",""))))))</f>
        <v>#N/A</v>
      </c>
      <c r="CE259" s="471" t="e">
        <f>1000*BL259*CA259/100</f>
        <v>#N/A</v>
      </c>
      <c r="CF259" s="471" t="e">
        <f>IF(BP259=" "," ",(1000*BL259*CB259/100))</f>
        <v>#N/A</v>
      </c>
      <c r="CG259" s="471" t="e">
        <f>IF(BS259&lt;0.45,"No cumple",IF(BS259&gt;5,"No cumple","O.K"))</f>
        <v>#N/A</v>
      </c>
      <c r="CH259" s="471" t="e">
        <f>IF(BT259&lt;0.75,"No cumple",IF(BT259&gt;10,"No cumple","O.K"))</f>
        <v>#N/A</v>
      </c>
      <c r="CI259" s="471" t="e">
        <f>IF(CE259&gt;0.1,"OK","V.C.H.")</f>
        <v>#N/A</v>
      </c>
      <c r="CJ259" s="471" t="e">
        <f>IF(CF259&gt;0.2,"OK","V.C.H.")</f>
        <v>#N/A</v>
      </c>
      <c r="CK259" s="468" t="e">
        <f>+BJ259</f>
        <v>#N/A</v>
      </c>
      <c r="CL259" s="482" t="s">
        <v>2507</v>
      </c>
      <c r="CM259" s="482"/>
      <c r="CN259" s="63" t="str">
        <f>IF(B259=1,"dato"," ")</f>
        <v>dato</v>
      </c>
      <c r="CO259" s="498" t="e">
        <f>+CR259</f>
        <v>#N/A</v>
      </c>
      <c r="CP259" s="472" t="e">
        <f>+BK259/100</f>
        <v>#N/A</v>
      </c>
      <c r="CQ259" s="482" t="s">
        <v>2508</v>
      </c>
      <c r="CR259" s="204" t="e">
        <f>IF(BA259="","",AX259)</f>
        <v>#N/A</v>
      </c>
      <c r="CS259" s="486">
        <v>1.2</v>
      </c>
      <c r="CT259" s="486">
        <v>1.2</v>
      </c>
      <c r="CU259" s="23" t="e">
        <f>IF($BA259="","",SQRT((BH259-BI259)^2+$CR259^2))</f>
        <v>#N/A</v>
      </c>
      <c r="CV259" s="499" t="s">
        <v>2509</v>
      </c>
      <c r="CW259" s="488" t="str">
        <f>+IF(BD259&lt;=0.9,"E1",IF(BD259&lt;=2.5,"E2","E3"))</f>
        <v>E1</v>
      </c>
      <c r="CX259" s="204">
        <f>IF(AND(L259="",H259=""),"",IF(AND(BA259&lt;&gt;4,BA259&lt;&gt;5),VLOOKUP(AY259,'TABLA (2)'!$A$9:$D$43,4),IF(BA259=4,VLOOKUP(AY259,'TABLA (2)'!$A$74:$D$89,4),VLOOKUP(AY259,'TABLA (2)'!$A$51:$D$66,4))))</f>
        <v>3.6999999999999998E-2</v>
      </c>
      <c r="CY259" s="482"/>
      <c r="CZ259" s="482"/>
      <c r="DA259" s="482"/>
      <c r="DB259" s="490"/>
    </row>
    <row r="260" spans="1:106" ht="15" hidden="1" customHeight="1">
      <c r="A260" s="465">
        <f>+A259+1</f>
        <v>173</v>
      </c>
      <c r="B260" s="491"/>
      <c r="C260" s="466" t="s">
        <v>2522</v>
      </c>
      <c r="D260" s="466" t="s">
        <v>2339</v>
      </c>
      <c r="E260" s="468">
        <v>0.12158241390000001</v>
      </c>
      <c r="F260" s="468"/>
      <c r="G260" s="468">
        <f>IF(B260=1,0,SUMIF($D$22:$D$583,C260,$H$22:$H$583))</f>
        <v>0.1027376371</v>
      </c>
      <c r="H260" s="468">
        <f>+E260+F260+G260</f>
        <v>0.22432005100000002</v>
      </c>
      <c r="I260" s="468">
        <v>0.12158241390000001</v>
      </c>
      <c r="J260" s="468"/>
      <c r="K260" s="467">
        <f ca="1">+IF(B260=1,0,SUMIF($D$22:$D$583,C260,$L$22:$L$580))</f>
        <v>0.1027376371</v>
      </c>
      <c r="L260" s="468">
        <f ca="1">+I260+J260+K260</f>
        <v>0.22432005100000002</v>
      </c>
      <c r="M260" s="469">
        <f>+$P$12</f>
        <v>242.33666300502347</v>
      </c>
      <c r="N260" s="470">
        <f>M260*E260</f>
        <v>29.463876464621581</v>
      </c>
      <c r="O260" s="470">
        <f>M260*F260</f>
        <v>0</v>
      </c>
      <c r="P260" s="470">
        <f>M260*H260</f>
        <v>54.360972604456684</v>
      </c>
      <c r="Q260" s="469">
        <f t="shared" si="736"/>
        <v>140</v>
      </c>
      <c r="R260" s="471">
        <f>Q260*P260*$P$14/86400</f>
        <v>7.4872172915860485E-2</v>
      </c>
      <c r="S260" s="471"/>
      <c r="T260" s="471"/>
      <c r="U260" s="471">
        <f>IF(C260="","",T260*$P$17)</f>
        <v>0</v>
      </c>
      <c r="V260" s="471"/>
      <c r="W260" s="471"/>
      <c r="X260" s="471">
        <f>IF(C260="","",W260*$P$16)</f>
        <v>0</v>
      </c>
      <c r="Y260" s="471">
        <f>IF(H260=0,0,$H$15*H260)</f>
        <v>4.4864010200000005E-2</v>
      </c>
      <c r="Z260" s="471">
        <f ca="1">IF(L260=0,$H$16*H260,0)</f>
        <v>0</v>
      </c>
      <c r="AA260" s="471">
        <f t="shared" si="527"/>
        <v>3.8</v>
      </c>
      <c r="AB260" s="471">
        <f>R260*AA260</f>
        <v>0.28451425708026984</v>
      </c>
      <c r="AC260" s="471">
        <f>Q260*(N260+O260)*$P$14/86400</f>
        <v>4.0581033556596854E-2</v>
      </c>
      <c r="AD260" s="471">
        <f>IF(E260=0,0,$H$15*(E260+F260))</f>
        <v>2.4316482780000002E-2</v>
      </c>
      <c r="AE260" s="471">
        <f>IF(F260=0,0,$H$15*(F260+G260))</f>
        <v>0</v>
      </c>
      <c r="AF260" s="510">
        <f t="shared" si="518"/>
        <v>3.8</v>
      </c>
      <c r="AG260" s="471">
        <f>AC260*AF260</f>
        <v>0.15420792751506804</v>
      </c>
      <c r="AH260" s="471">
        <f>+AD260+AE260+AG260</f>
        <v>0.17852441029506805</v>
      </c>
      <c r="AI260" s="471">
        <f ca="1">IF(H260="","",IF(AB260+Y260+Z260+X260+U260&lt;1.5,1.5,AB260+Y260+Z260+X260+U260))</f>
        <v>1.5</v>
      </c>
      <c r="AJ260" s="471">
        <f>+$P$17</f>
        <v>0.75</v>
      </c>
      <c r="AK260" s="472" t="e">
        <f>+BK260/100</f>
        <v>#N/A</v>
      </c>
      <c r="AL260" s="471" t="e">
        <f>IF(AJ260=0," ",0.14+0.65*AJ260+0.05*AK260)</f>
        <v>#N/A</v>
      </c>
      <c r="AM260" s="473" t="e">
        <f t="shared" si="665"/>
        <v>#N/A</v>
      </c>
      <c r="AN260" s="474" t="e">
        <f t="shared" si="666"/>
        <v>#N/A</v>
      </c>
      <c r="AO260" s="474" t="e">
        <f>((1/60)*$AX260/$AQ260)</f>
        <v>#N/A</v>
      </c>
      <c r="AP260" s="474" t="e">
        <f>IF(B260=1,IF(($AN260+$AO260)&lt;10,10,IF(($AN260+$AO260)&gt;20,20,($AN260+$AO260))),($AN260+$AO260))</f>
        <v>#N/A</v>
      </c>
      <c r="AQ260" s="475">
        <v>3</v>
      </c>
      <c r="AR260" s="474" t="e">
        <f ca="1">((1/60)*$AX260/$BT260)</f>
        <v>#N/A</v>
      </c>
      <c r="AS260" s="474" t="e">
        <f ca="1">AO260/AR260</f>
        <v>#N/A</v>
      </c>
      <c r="AT260" s="471" t="e">
        <f ca="1">IF(AS260&lt;0.9,"Disminuir vel.",IF(AS260&gt;1.1,"Aumentar vel.","Cumple"))</f>
        <v>#N/A</v>
      </c>
      <c r="AU260" s="492" t="e">
        <f>+I260*AL260*AM260</f>
        <v>#N/A</v>
      </c>
      <c r="AV260" s="471" t="e">
        <f ca="1">+L260*AL260*AM260</f>
        <v>#N/A</v>
      </c>
      <c r="AW260" s="471" t="e">
        <f t="shared" ca="1" si="667"/>
        <v>#N/A</v>
      </c>
      <c r="AX260" s="478" t="e">
        <f>IF(OR(C260="",D260=""),"",ROUND(((VLOOKUP(C260,'Base de Diseño (2)'!$A$2:$C$333,2,FALSE)-VLOOKUP(D260,'Base de Diseño (2)'!$A$2:$C$333,2,FALSE))^2+(VLOOKUP(C260,'Base de Diseño (2)'!$A$2:$C$333,3,0)-VLOOKUP(D260,'Base de Diseño (2)'!$A$2:$C$333,3,FALSE))^2)^0.5,2))</f>
        <v>#N/A</v>
      </c>
      <c r="AY260" s="493">
        <v>8</v>
      </c>
      <c r="AZ260" s="480">
        <f ca="1">IF(AND(L260="",H260=""),"",IF(BA260=4,VLOOKUP(AY260,'TABLA (2)'!$A$74:$C$89,2),IF(BA260=5,VLOOKUP(AY260,'TABLA (2)'!$A$51:$B$66,2),IF(BA260=6,VLOOKUP(AY260,'TABLA (2)'!$A$9:$B$43,2)))))</f>
        <v>200</v>
      </c>
      <c r="BA260" s="493">
        <v>6</v>
      </c>
      <c r="BB260" s="478" t="e">
        <f>IF(OR(C260="",D260=""),"",VLOOKUP(C260,'Base de Diseño (2)'!$A$2:$D$330,4,FALSE))</f>
        <v>#N/A</v>
      </c>
      <c r="BC260" s="478">
        <f>IF(OR(C260="",D260=""),"",VLOOKUP(D260,'Base de Diseño (2)'!$A$2:$D$330,4,FALSE))</f>
        <v>988.74599999999998</v>
      </c>
      <c r="BD260" s="478">
        <f ca="1">+BF260-((AZ260/1000)+CX260)</f>
        <v>0.91299999999997727</v>
      </c>
      <c r="BE260" s="478">
        <f ca="1">+BG260-((AZ260/1000)+CX260)</f>
        <v>0.90299999999998637</v>
      </c>
      <c r="BF260" s="494">
        <v>1.1499999999999773</v>
      </c>
      <c r="BG260" s="494">
        <v>1.1399999999999864</v>
      </c>
      <c r="BH260" s="495" t="e">
        <f>BB260-BF260</f>
        <v>#N/A</v>
      </c>
      <c r="BI260" s="495">
        <f>BC260-BG260</f>
        <v>987.60599999999999</v>
      </c>
      <c r="BJ260" s="468">
        <f>IF(A260="",0,BI260-BH261)</f>
        <v>987.60599999999999</v>
      </c>
      <c r="BK260" s="475" t="e">
        <f>ABS((BB260-BC260)/AX260)*100</f>
        <v>#N/A</v>
      </c>
      <c r="BL260" s="475" t="e">
        <f>((BH260-BI260)/AX260)*100</f>
        <v>#N/A</v>
      </c>
      <c r="BM260" s="475" t="e">
        <f ca="1">IF(BA260=6,(1/0.013)*((AZ260/4000)^(2/3))*((BL260/100)^(0.5)),(1/0.009)*((AZ260/4000)^(2/3))*((BL260/100)^(0.5)))</f>
        <v>#N/A</v>
      </c>
      <c r="BN260" s="475" t="e">
        <f ca="1">1000*BM260*PI()*((AZ260/1000/2)^2)</f>
        <v>#N/A</v>
      </c>
      <c r="BO260" s="204" t="e">
        <f ca="1">AI260/BN260</f>
        <v>#N/A</v>
      </c>
      <c r="BP260" s="496" t="e">
        <f ca="1">IF(L260=0," ",AW260/BN260)</f>
        <v>#N/A</v>
      </c>
      <c r="BQ260" s="497" t="e">
        <f ca="1">IF($BO260&gt;0 =AND($BO260&lt;=0.06),10^(0.029806+0.29095*LOG($BO260)),IF($BO260&gt;0.06 =AND($BO260&lt;=0.26),10^(0.013778+0.282597*LOG($BO260)),IF($BO260&gt;0.26 =AND($BO260&lt;=0.91),10^(0.021763+0.28995*LOG($BO260)),1)))</f>
        <v>#N/A</v>
      </c>
      <c r="BR260" s="497" t="e">
        <f ca="1">IF($BP260&gt;0 =AND($BP260&lt;=0.06),10^(0.029806+0.29095*LOG($BP260)),IF($BP260&gt;0.06 =AND($BP260&lt;=0.26),10^(0.013778+0.282597*LOG($BP260)),IF($BP260&gt;0.26 =AND($BP260&lt;=2),10^(0.021763+0.28995*LOG($BP260))," ")))</f>
        <v>#N/A</v>
      </c>
      <c r="BS260" s="475" t="e">
        <f ca="1">BM260*BQ260</f>
        <v>#N/A</v>
      </c>
      <c r="BT260" s="475" t="e">
        <f ca="1">IF(BP260=" "," ",(BM260*BR260))</f>
        <v>#N/A</v>
      </c>
      <c r="BU260" s="475" t="e">
        <f ca="1">IF(BO260&lt;=0.11,0.3827+0.0645*LN(BO260),IF(BO260&lt;=0.21,0.60025+0.15471*LN(BO260),IF(BO260&lt;1,0.225+0.6666666667*BO260,0)))</f>
        <v>#N/A</v>
      </c>
      <c r="BV260" s="475" t="e">
        <f ca="1">IF(BP260&lt;=0.11,0.3827+0.0645*LN(BP260),IF(BP260&lt;=0.21,0.60025+0.15471*LN(BP260),IF(BP260&lt;1,0.225+0.6666666667*BP260," ")))</f>
        <v>#N/A</v>
      </c>
      <c r="BW260" s="475" t="e">
        <f ca="1">2*ACOS(1-2*(BU260))</f>
        <v>#N/A</v>
      </c>
      <c r="BX260" s="475" t="e">
        <f ca="1">IF(BP260=" "," ",(2*ACOS(1-2*(BV260))))</f>
        <v>#N/A</v>
      </c>
      <c r="BY260" s="475" t="e">
        <f ca="1">(1/4)*(1-(SIN(BW260))/BW260)</f>
        <v>#N/A</v>
      </c>
      <c r="BZ260" s="475" t="e">
        <f ca="1">IF(BP260=" "," ",((1/4)*(1-(SIN(BX260))/BX260)))</f>
        <v>#N/A</v>
      </c>
      <c r="CA260" s="471" t="e">
        <f ca="1">BY260*AZ260/1000</f>
        <v>#N/A</v>
      </c>
      <c r="CB260" s="471" t="e">
        <f ca="1">IF(BP260=" "," ",(BZ260*AZ260/1000))</f>
        <v>#N/A</v>
      </c>
      <c r="CC260" s="471" t="e">
        <f t="shared" ca="1" si="668"/>
        <v>#N/A</v>
      </c>
      <c r="CD260" s="471" t="e">
        <f ca="1">IF(CC260="","",IF(CC260&lt;0.7,"F. Subcrítico",IF(AND(CC260&gt;0.7,CC260&lt;1),"F. Subcrítico Inestable",IF(CC260=1,"F. Crítico",IF(AND(CC260&gt;1,CC260&lt;1.5),"F. Supercrítico Inestable",IF(CC260&gt;1.5,"F. Supercrítico",""))))))</f>
        <v>#N/A</v>
      </c>
      <c r="CE260" s="471" t="e">
        <f ca="1">1000*BL260*CA260/100</f>
        <v>#N/A</v>
      </c>
      <c r="CF260" s="471" t="e">
        <f ca="1">IF(BP260=" "," ",(1000*BL260*CB260/100))</f>
        <v>#N/A</v>
      </c>
      <c r="CG260" s="471" t="e">
        <f ca="1">IF(BS260&lt;0.45,"No cumple",IF(BS260&gt;5,"No cumple","O.K"))</f>
        <v>#N/A</v>
      </c>
      <c r="CH260" s="471" t="e">
        <f ca="1">IF(BT260&lt;0.75,"No cumple",IF(BT260&gt;10,"No cumple","O.K"))</f>
        <v>#N/A</v>
      </c>
      <c r="CI260" s="471" t="e">
        <f ca="1">IF(CE260&gt;0.1,"OK","V.C.H.")</f>
        <v>#N/A</v>
      </c>
      <c r="CJ260" s="471" t="e">
        <f ca="1">IF(CF260&gt;0.2,"OK","V.C.H.")</f>
        <v>#N/A</v>
      </c>
      <c r="CK260" s="468">
        <f>+BJ260</f>
        <v>987.60599999999999</v>
      </c>
      <c r="CL260" s="482" t="s">
        <v>2507</v>
      </c>
      <c r="CM260" s="482"/>
      <c r="CN260" s="63" t="str">
        <f>IF(B260=1,"dato"," ")</f>
        <v xml:space="preserve"> </v>
      </c>
      <c r="CO260" s="498" t="e">
        <f>+CR260</f>
        <v>#N/A</v>
      </c>
      <c r="CP260" s="472" t="e">
        <f>+BK260/100</f>
        <v>#N/A</v>
      </c>
      <c r="CQ260" s="482" t="s">
        <v>2508</v>
      </c>
      <c r="CR260" s="204" t="e">
        <f>IF(BA260="","",AX260)</f>
        <v>#N/A</v>
      </c>
      <c r="CS260" s="486">
        <v>1.2</v>
      </c>
      <c r="CT260" s="486">
        <v>1.2</v>
      </c>
      <c r="CU260" s="23" t="e">
        <f>IF($BA260="","",SQRT((BH260-BI260)^2+$CR260^2))</f>
        <v>#N/A</v>
      </c>
      <c r="CV260" s="499" t="s">
        <v>2509</v>
      </c>
      <c r="CW260" s="488" t="str">
        <f ca="1">+IF(BD260&lt;=0.9,"E1",IF(BD260&lt;=2.5,"E2","E3"))</f>
        <v>E2</v>
      </c>
      <c r="CX260" s="204">
        <f ca="1">IF(AND(L260="",H260=""),"",IF(AND(BA260&lt;&gt;4,BA260&lt;&gt;5),VLOOKUP(AY260,'TABLA (2)'!$A$9:$D$43,4),IF(BA260=4,VLOOKUP(AY260,'TABLA (2)'!$A$74:$D$89,4),VLOOKUP(AY260,'TABLA (2)'!$A$51:$D$66,4))))</f>
        <v>3.6999999999999998E-2</v>
      </c>
      <c r="CY260" s="482"/>
      <c r="CZ260" s="482"/>
      <c r="DA260" s="482"/>
      <c r="DB260" s="490"/>
    </row>
    <row r="261" spans="1:106" ht="15" hidden="1" customHeight="1">
      <c r="A261" s="465"/>
      <c r="B261" s="491"/>
      <c r="C261" s="466"/>
      <c r="D261" s="466"/>
      <c r="E261" s="468"/>
      <c r="F261" s="468"/>
      <c r="G261" s="468"/>
      <c r="H261" s="468"/>
      <c r="I261" s="468"/>
      <c r="J261" s="468"/>
      <c r="K261" s="467"/>
      <c r="L261" s="468"/>
      <c r="M261" s="469"/>
      <c r="N261" s="470"/>
      <c r="O261" s="470"/>
      <c r="P261" s="470"/>
      <c r="Q261" s="469">
        <f t="shared" si="736"/>
        <v>140</v>
      </c>
      <c r="R261" s="471"/>
      <c r="S261" s="471"/>
      <c r="T261" s="471"/>
      <c r="U261" s="471"/>
      <c r="V261" s="471"/>
      <c r="W261" s="471"/>
      <c r="X261" s="471"/>
      <c r="Y261" s="471"/>
      <c r="Z261" s="471"/>
      <c r="AA261" s="471" t="str">
        <f t="shared" si="527"/>
        <v/>
      </c>
      <c r="AB261" s="471"/>
      <c r="AC261" s="471"/>
      <c r="AD261" s="471"/>
      <c r="AE261" s="471"/>
      <c r="AF261" s="510" t="str">
        <f t="shared" si="518"/>
        <v/>
      </c>
      <c r="AG261" s="471"/>
      <c r="AH261" s="471"/>
      <c r="AI261" s="471"/>
      <c r="AJ261" s="471"/>
      <c r="AK261" s="472"/>
      <c r="AL261" s="471"/>
      <c r="AM261" s="473">
        <f t="shared" si="665"/>
        <v>474.44695720875893</v>
      </c>
      <c r="AN261" s="474" t="e">
        <f t="shared" si="666"/>
        <v>#N/A</v>
      </c>
      <c r="AO261" s="474"/>
      <c r="AP261" s="474"/>
      <c r="AQ261" s="475">
        <v>3</v>
      </c>
      <c r="AR261" s="474"/>
      <c r="AS261" s="474"/>
      <c r="AT261" s="471"/>
      <c r="AU261" s="492"/>
      <c r="AV261" s="471"/>
      <c r="AW261" s="471">
        <f t="shared" si="667"/>
        <v>0</v>
      </c>
      <c r="AX261" s="478"/>
      <c r="AY261" s="493"/>
      <c r="AZ261" s="480"/>
      <c r="BA261" s="493"/>
      <c r="BB261" s="478" t="str">
        <f>IF(OR(C261="",D261=""),"",VLOOKUP(C261,'Base de Diseño (2)'!$A$2:$D$330,4,FALSE))</f>
        <v/>
      </c>
      <c r="BC261" s="478" t="str">
        <f>IF(OR(C261="",D261=""),"",VLOOKUP(D261,'Base de Diseño (2)'!$A$2:$D$330,4,FALSE))</f>
        <v/>
      </c>
      <c r="BD261" s="478"/>
      <c r="BE261" s="478"/>
      <c r="BF261" s="494"/>
      <c r="BG261" s="494"/>
      <c r="BH261" s="495"/>
      <c r="BI261" s="495"/>
      <c r="BJ261" s="468"/>
      <c r="BK261" s="475"/>
      <c r="BL261" s="475"/>
      <c r="BM261" s="475"/>
      <c r="BN261" s="475"/>
      <c r="BO261" s="204"/>
      <c r="BP261" s="496"/>
      <c r="BQ261" s="497"/>
      <c r="BR261" s="497"/>
      <c r="BS261" s="475"/>
      <c r="BT261" s="475"/>
      <c r="BU261" s="475"/>
      <c r="BV261" s="475"/>
      <c r="BW261" s="475"/>
      <c r="BX261" s="475"/>
      <c r="BY261" s="475"/>
      <c r="BZ261" s="475"/>
      <c r="CA261" s="471"/>
      <c r="CB261" s="471"/>
      <c r="CC261" s="471" t="e">
        <f t="shared" si="668"/>
        <v>#DIV/0!</v>
      </c>
      <c r="CD261" s="471"/>
      <c r="CE261" s="471"/>
      <c r="CF261" s="471"/>
      <c r="CG261" s="471"/>
      <c r="CH261" s="471"/>
      <c r="CI261" s="471"/>
      <c r="CJ261" s="471"/>
      <c r="CK261" s="468"/>
      <c r="CL261" s="482" t="s">
        <v>2507</v>
      </c>
      <c r="CM261" s="482"/>
      <c r="CN261" s="63"/>
      <c r="CO261" s="498"/>
      <c r="CP261" s="472"/>
      <c r="CQ261" s="482"/>
      <c r="CR261" s="204"/>
      <c r="CS261" s="486"/>
      <c r="CT261" s="486"/>
      <c r="CU261" s="23"/>
      <c r="CV261" s="499"/>
      <c r="CW261" s="488"/>
      <c r="CX261" s="204"/>
      <c r="CY261" s="482"/>
      <c r="CZ261" s="482"/>
      <c r="DA261" s="482"/>
      <c r="DB261" s="490"/>
    </row>
    <row r="262" spans="1:106" ht="15" hidden="1" customHeight="1">
      <c r="A262" s="465">
        <f>+A260+1</f>
        <v>174</v>
      </c>
      <c r="B262" s="491">
        <v>1</v>
      </c>
      <c r="C262" s="466" t="s">
        <v>2233</v>
      </c>
      <c r="D262" s="466" t="s">
        <v>2522</v>
      </c>
      <c r="E262" s="468">
        <v>6.21203039E-2</v>
      </c>
      <c r="F262" s="468"/>
      <c r="G262" s="468">
        <f>IF(B262=1,0,SUMIF($D$22:$D$583,C262,$H$22:$H$583))</f>
        <v>0</v>
      </c>
      <c r="H262" s="468">
        <f>+E262+F262+G262</f>
        <v>6.21203039E-2</v>
      </c>
      <c r="I262" s="468">
        <v>6.21203039E-2</v>
      </c>
      <c r="J262" s="468"/>
      <c r="K262" s="467">
        <f>+IF(B262=1,0,SUMIF($D$22:$D$583,C262,$L$22:$L$580))</f>
        <v>0</v>
      </c>
      <c r="L262" s="468">
        <f>+I262+J262+K262</f>
        <v>6.21203039E-2</v>
      </c>
      <c r="M262" s="469">
        <f>+$P$12</f>
        <v>242.33666300502347</v>
      </c>
      <c r="N262" s="470">
        <f>M262*E262</f>
        <v>15.054027151983945</v>
      </c>
      <c r="O262" s="470">
        <f>M262*F262</f>
        <v>0</v>
      </c>
      <c r="P262" s="470">
        <f>M262*H262</f>
        <v>15.054027151983945</v>
      </c>
      <c r="Q262" s="469">
        <f t="shared" si="736"/>
        <v>140</v>
      </c>
      <c r="R262" s="471">
        <f>Q262*P262*$P$14/86400</f>
        <v>2.0734134619051957E-2</v>
      </c>
      <c r="S262" s="471"/>
      <c r="T262" s="471"/>
      <c r="U262" s="471">
        <f>IF(C262="","",T262*$P$17)</f>
        <v>0</v>
      </c>
      <c r="V262" s="471"/>
      <c r="W262" s="471"/>
      <c r="X262" s="471">
        <f>IF(C262="","",W262*$P$16)</f>
        <v>0</v>
      </c>
      <c r="Y262" s="471">
        <f>IF(H262=0,0,$H$15*H262)</f>
        <v>1.2424060780000001E-2</v>
      </c>
      <c r="Z262" s="471">
        <f>IF(L262=0,$H$16*H262,0)</f>
        <v>0</v>
      </c>
      <c r="AA262" s="471">
        <f t="shared" si="527"/>
        <v>3.8</v>
      </c>
      <c r="AB262" s="471">
        <f>R262*AA262</f>
        <v>7.8789711552397432E-2</v>
      </c>
      <c r="AC262" s="471">
        <f>Q262*(N262+O262)*$P$14/86400</f>
        <v>2.0734134619051957E-2</v>
      </c>
      <c r="AD262" s="471">
        <f>IF(E262=0,0,$H$15*(E262+F262))</f>
        <v>1.2424060780000001E-2</v>
      </c>
      <c r="AE262" s="471">
        <f>IF(F262=0,0,$H$15*(F262+G262))</f>
        <v>0</v>
      </c>
      <c r="AF262" s="510">
        <f t="shared" si="518"/>
        <v>3.8</v>
      </c>
      <c r="AG262" s="471">
        <f>AC262*AF262</f>
        <v>7.8789711552397432E-2</v>
      </c>
      <c r="AH262" s="471">
        <f>+AD262+AE262+AG262</f>
        <v>9.1213772332397428E-2</v>
      </c>
      <c r="AI262" s="471">
        <f>IF(H262="","",IF(AB262+Y262+Z262+X262+U262&lt;1.5,1.5,AB262+Y262+Z262+X262+U262))</f>
        <v>1.5</v>
      </c>
      <c r="AJ262" s="471">
        <f>+$P$17</f>
        <v>0.75</v>
      </c>
      <c r="AK262" s="472" t="e">
        <f>+BK262/100</f>
        <v>#N/A</v>
      </c>
      <c r="AL262" s="471" t="e">
        <f>IF(AJ262=0," ",0.14+0.65*AJ262+0.05*AK262)</f>
        <v>#N/A</v>
      </c>
      <c r="AM262" s="473" t="e">
        <f t="shared" si="665"/>
        <v>#N/A</v>
      </c>
      <c r="AN262" s="474" t="e">
        <f t="shared" si="666"/>
        <v>#N/A</v>
      </c>
      <c r="AO262" s="474" t="e">
        <f>((1/60)*$AX262/$AQ262)</f>
        <v>#N/A</v>
      </c>
      <c r="AP262" s="474" t="e">
        <f>IF(B262=1,IF(($AN262+$AO262)&lt;10,10,IF(($AN262+$AO262)&gt;20,20,($AN262+$AO262))),($AN262+$AO262))</f>
        <v>#N/A</v>
      </c>
      <c r="AQ262" s="475">
        <v>3</v>
      </c>
      <c r="AR262" s="474" t="e">
        <f>((1/60)*$AX262/$BT262)</f>
        <v>#N/A</v>
      </c>
      <c r="AS262" s="474" t="e">
        <f>AO262/AR262</f>
        <v>#N/A</v>
      </c>
      <c r="AT262" s="471" t="e">
        <f>IF(AS262&lt;0.9,"Disminuir vel.",IF(AS262&gt;1.1,"Aumentar vel.","Cumple"))</f>
        <v>#N/A</v>
      </c>
      <c r="AU262" s="492" t="e">
        <f>+I262*AL262*AM262</f>
        <v>#N/A</v>
      </c>
      <c r="AV262" s="471" t="e">
        <f>+L262*AL262*AM262</f>
        <v>#N/A</v>
      </c>
      <c r="AW262" s="471" t="e">
        <f t="shared" si="667"/>
        <v>#N/A</v>
      </c>
      <c r="AX262" s="478" t="e">
        <f>IF(OR(C262="",D262=""),"",ROUND(((VLOOKUP(C262,'Base de Diseño (2)'!$A$2:$C$333,2,FALSE)-VLOOKUP(D262,'Base de Diseño (2)'!$A$2:$C$333,2,FALSE))^2+(VLOOKUP(C262,'Base de Diseño (2)'!$A$2:$C$333,3,0)-VLOOKUP(D262,'Base de Diseño (2)'!$A$2:$C$333,3,FALSE))^2)^0.5,2))</f>
        <v>#N/A</v>
      </c>
      <c r="AY262" s="493">
        <v>12</v>
      </c>
      <c r="AZ262" s="480">
        <f>IF(AND(L262="",H262=""),"",IF(BA262=4,VLOOKUP(AY262,'TABLA (2)'!$A$74:$C$89,2),IF(BA262=5,VLOOKUP(AY262,'TABLA (2)'!$A$51:$B$66,2),IF(BA262=6,VLOOKUP(AY262,'TABLA (2)'!$A$9:$B$43,2)))))</f>
        <v>300</v>
      </c>
      <c r="BA262" s="493">
        <v>6</v>
      </c>
      <c r="BB262" s="478">
        <f>IF(OR(C262="",D262=""),"",VLOOKUP(C262,'Base de Diseño (2)'!$A$2:$D$330,4,FALSE))</f>
        <v>990.39160000000004</v>
      </c>
      <c r="BC262" s="478" t="e">
        <f>IF(OR(C262="",D262=""),"",VLOOKUP(D262,'Base de Diseño (2)'!$A$2:$D$330,4,FALSE))</f>
        <v>#N/A</v>
      </c>
      <c r="BD262" s="478">
        <f>+BF262-((AZ262/1000)+CX262)</f>
        <v>0.65300000000000002</v>
      </c>
      <c r="BE262" s="478">
        <f>+BG262-((AZ262/1000)+CX262)</f>
        <v>0.75300000000002276</v>
      </c>
      <c r="BF262" s="494">
        <v>1</v>
      </c>
      <c r="BG262" s="494">
        <v>1.1000000000000227</v>
      </c>
      <c r="BH262" s="495">
        <f>BB262-BF262</f>
        <v>989.39160000000004</v>
      </c>
      <c r="BI262" s="495" t="e">
        <f>BC262-BG262</f>
        <v>#N/A</v>
      </c>
      <c r="BJ262" s="468" t="e">
        <f>IF(A262="",0,BI262-BH263)</f>
        <v>#N/A</v>
      </c>
      <c r="BK262" s="475" t="e">
        <f>ABS((BB262-BC262)/AX262)*100</f>
        <v>#N/A</v>
      </c>
      <c r="BL262" s="475" t="e">
        <f>((BH262-BI262)/AX262)*100</f>
        <v>#N/A</v>
      </c>
      <c r="BM262" s="475" t="e">
        <f>IF(BA262=6,(1/0.013)*((AZ262/4000)^(2/3))*((BL262/100)^(0.5)),(1/0.009)*((AZ262/4000)^(2/3))*((BL262/100)^(0.5)))</f>
        <v>#N/A</v>
      </c>
      <c r="BN262" s="475" t="e">
        <f>1000*BM262*PI()*((AZ262/1000/2)^2)</f>
        <v>#N/A</v>
      </c>
      <c r="BO262" s="204" t="e">
        <f>AI262/BN262</f>
        <v>#N/A</v>
      </c>
      <c r="BP262" s="496" t="e">
        <f>IF(L262=0," ",AW262/BN262)</f>
        <v>#N/A</v>
      </c>
      <c r="BQ262" s="497" t="e">
        <f>IF($BO262&gt;0 =AND($BO262&lt;=0.06),10^(0.029806+0.29095*LOG($BO262)),IF($BO262&gt;0.06 =AND($BO262&lt;=0.26),10^(0.013778+0.282597*LOG($BO262)),IF($BO262&gt;0.26 =AND($BO262&lt;=0.91),10^(0.021763+0.28995*LOG($BO262)),1)))</f>
        <v>#N/A</v>
      </c>
      <c r="BR262" s="497" t="e">
        <f>IF($BP262&gt;0 =AND($BP262&lt;=0.06),10^(0.029806+0.29095*LOG($BP262)),IF($BP262&gt;0.06 =AND($BP262&lt;=0.26),10^(0.013778+0.282597*LOG($BP262)),IF($BP262&gt;0.26 =AND($BP262&lt;=2),10^(0.021763+0.28995*LOG($BP262))," ")))</f>
        <v>#N/A</v>
      </c>
      <c r="BS262" s="475" t="e">
        <f>BM262*BQ262</f>
        <v>#N/A</v>
      </c>
      <c r="BT262" s="475" t="e">
        <f>IF(BP262=" "," ",(BM262*BR262))</f>
        <v>#N/A</v>
      </c>
      <c r="BU262" s="475" t="e">
        <f>IF(BO262&lt;=0.11,0.3827+0.0645*LN(BO262),IF(BO262&lt;=0.21,0.60025+0.15471*LN(BO262),IF(BO262&lt;1,0.225+0.6666666667*BO262,0)))</f>
        <v>#N/A</v>
      </c>
      <c r="BV262" s="475" t="e">
        <f>IF(BP262&lt;=0.11,0.3827+0.0645*LN(BP262),IF(BP262&lt;=0.21,0.60025+0.15471*LN(BP262),IF(BP262&lt;1,0.225+0.6666666667*BP262," ")))</f>
        <v>#N/A</v>
      </c>
      <c r="BW262" s="475" t="e">
        <f>2*ACOS(1-2*(BU262))</f>
        <v>#N/A</v>
      </c>
      <c r="BX262" s="475" t="e">
        <f>IF(BP262=" "," ",(2*ACOS(1-2*(BV262))))</f>
        <v>#N/A</v>
      </c>
      <c r="BY262" s="475" t="e">
        <f>(1/4)*(1-(SIN(BW262))/BW262)</f>
        <v>#N/A</v>
      </c>
      <c r="BZ262" s="475" t="e">
        <f>IF(BP262=" "," ",((1/4)*(1-(SIN(BX262))/BX262)))</f>
        <v>#N/A</v>
      </c>
      <c r="CA262" s="471" t="e">
        <f>BY262*AZ262/1000</f>
        <v>#N/A</v>
      </c>
      <c r="CB262" s="471" t="e">
        <f>IF(BP262=" "," ",(BZ262*AZ262/1000))</f>
        <v>#N/A</v>
      </c>
      <c r="CC262" s="471" t="e">
        <f t="shared" si="668"/>
        <v>#N/A</v>
      </c>
      <c r="CD262" s="471" t="e">
        <f>IF(CC262="","",IF(CC262&lt;0.7,"F. Subcrítico",IF(AND(CC262&gt;0.7,CC262&lt;1),"F. Subcrítico Inestable",IF(CC262=1,"F. Crítico",IF(AND(CC262&gt;1,CC262&lt;1.5),"F. Supercrítico Inestable",IF(CC262&gt;1.5,"F. Supercrítico",""))))))</f>
        <v>#N/A</v>
      </c>
      <c r="CE262" s="471" t="e">
        <f>1000*BL262*CA262/100</f>
        <v>#N/A</v>
      </c>
      <c r="CF262" s="471" t="e">
        <f>IF(BP262=" "," ",(1000*BL262*CB262/100))</f>
        <v>#N/A</v>
      </c>
      <c r="CG262" s="471" t="e">
        <f>IF(BS262&lt;0.45,"No cumple",IF(BS262&gt;5,"No cumple","O.K"))</f>
        <v>#N/A</v>
      </c>
      <c r="CH262" s="471" t="e">
        <f>IF(BT262&lt;0.75,"No cumple",IF(BT262&gt;10,"No cumple","O.K"))</f>
        <v>#N/A</v>
      </c>
      <c r="CI262" s="471" t="e">
        <f>IF(CE262&gt;0.1,"OK","V.C.H.")</f>
        <v>#N/A</v>
      </c>
      <c r="CJ262" s="471" t="e">
        <f>IF(CF262&gt;0.2,"OK","V.C.H.")</f>
        <v>#N/A</v>
      </c>
      <c r="CK262" s="468" t="e">
        <f>+BJ262</f>
        <v>#N/A</v>
      </c>
      <c r="CL262" s="482" t="s">
        <v>2507</v>
      </c>
      <c r="CM262" s="482"/>
      <c r="CN262" s="63" t="str">
        <f>IF(B262=1,"dato"," ")</f>
        <v>dato</v>
      </c>
      <c r="CO262" s="498" t="e">
        <f>+CR262</f>
        <v>#N/A</v>
      </c>
      <c r="CP262" s="472" t="e">
        <f>+BK262/100</f>
        <v>#N/A</v>
      </c>
      <c r="CQ262" s="482" t="s">
        <v>2508</v>
      </c>
      <c r="CR262" s="204" t="e">
        <f>IF(BA262="","",AX262)</f>
        <v>#N/A</v>
      </c>
      <c r="CS262" s="486">
        <v>1.2</v>
      </c>
      <c r="CT262" s="486">
        <v>1.2</v>
      </c>
      <c r="CU262" s="23" t="e">
        <f>IF($BA262="","",SQRT((BH262-BI262)^2+$CR262^2))</f>
        <v>#N/A</v>
      </c>
      <c r="CV262" s="499" t="s">
        <v>2509</v>
      </c>
      <c r="CW262" s="488" t="str">
        <f>+IF(BD262&lt;=0.9,"E1",IF(BD262&lt;=2.5,"E2","E3"))</f>
        <v>E1</v>
      </c>
      <c r="CX262" s="204">
        <f>IF(AND(L262="",H262=""),"",IF(AND(BA262&lt;&gt;4,BA262&lt;&gt;5),VLOOKUP(AY262,'TABLA (2)'!$A$9:$D$43,4),IF(BA262=4,VLOOKUP(AY262,'TABLA (2)'!$A$74:$D$89,4),VLOOKUP(AY262,'TABLA (2)'!$A$51:$D$66,4))))</f>
        <v>4.7E-2</v>
      </c>
      <c r="CY262" s="482"/>
      <c r="CZ262" s="482"/>
      <c r="DA262" s="482"/>
      <c r="DB262" s="490"/>
    </row>
    <row r="263" spans="1:106" ht="15" hidden="1" customHeight="1">
      <c r="A263" s="465"/>
      <c r="B263" s="491"/>
      <c r="C263" s="466"/>
      <c r="D263" s="466"/>
      <c r="E263" s="468"/>
      <c r="F263" s="468"/>
      <c r="G263" s="468"/>
      <c r="H263" s="468"/>
      <c r="I263" s="468"/>
      <c r="J263" s="468"/>
      <c r="K263" s="467"/>
      <c r="L263" s="468"/>
      <c r="M263" s="469"/>
      <c r="N263" s="470"/>
      <c r="O263" s="470"/>
      <c r="P263" s="470"/>
      <c r="Q263" s="469">
        <f t="shared" si="736"/>
        <v>140</v>
      </c>
      <c r="R263" s="471"/>
      <c r="S263" s="471"/>
      <c r="T263" s="471"/>
      <c r="U263" s="471"/>
      <c r="V263" s="471"/>
      <c r="W263" s="471"/>
      <c r="X263" s="471"/>
      <c r="Y263" s="471"/>
      <c r="Z263" s="471"/>
      <c r="AA263" s="471" t="str">
        <f t="shared" si="527"/>
        <v/>
      </c>
      <c r="AB263" s="471"/>
      <c r="AC263" s="471"/>
      <c r="AD263" s="471"/>
      <c r="AE263" s="471"/>
      <c r="AF263" s="510" t="str">
        <f t="shared" ref="AF263:AF326" si="737">IF(N263="","",IF(1+((14/(4+(((N263+O263)+O263)/1000)^1/2)))&lt;1.4,1.4,IF(1+((14/(4+((N263+O263)/1000)^1/2)))&gt;=3.8,3.8,(1+((14/(4+((N263+O263)/1000)^1/2)))))))</f>
        <v/>
      </c>
      <c r="AG263" s="471"/>
      <c r="AH263" s="471"/>
      <c r="AI263" s="471"/>
      <c r="AJ263" s="471"/>
      <c r="AK263" s="472"/>
      <c r="AL263" s="471"/>
      <c r="AM263" s="473">
        <f t="shared" si="665"/>
        <v>474.44695720875893</v>
      </c>
      <c r="AN263" s="474" t="e">
        <f t="shared" si="666"/>
        <v>#N/A</v>
      </c>
      <c r="AO263" s="474"/>
      <c r="AP263" s="474"/>
      <c r="AQ263" s="475">
        <v>3</v>
      </c>
      <c r="AR263" s="474"/>
      <c r="AS263" s="474"/>
      <c r="AT263" s="471"/>
      <c r="AU263" s="492"/>
      <c r="AV263" s="471"/>
      <c r="AW263" s="471">
        <f t="shared" si="667"/>
        <v>0</v>
      </c>
      <c r="AX263" s="478"/>
      <c r="AY263" s="493"/>
      <c r="AZ263" s="480"/>
      <c r="BA263" s="493"/>
      <c r="BB263" s="478" t="str">
        <f>IF(OR(C263="",D263=""),"",VLOOKUP(C263,'Base de Diseño (2)'!$A$2:$D$330,4,FALSE))</f>
        <v/>
      </c>
      <c r="BC263" s="478" t="str">
        <f>IF(OR(C263="",D263=""),"",VLOOKUP(D263,'Base de Diseño (2)'!$A$2:$D$330,4,FALSE))</f>
        <v/>
      </c>
      <c r="BD263" s="478"/>
      <c r="BE263" s="478"/>
      <c r="BF263" s="494"/>
      <c r="BG263" s="494"/>
      <c r="BH263" s="495"/>
      <c r="BI263" s="495"/>
      <c r="BJ263" s="468"/>
      <c r="BK263" s="475"/>
      <c r="BL263" s="475"/>
      <c r="BM263" s="475"/>
      <c r="BN263" s="475"/>
      <c r="BO263" s="204"/>
      <c r="BP263" s="496"/>
      <c r="BQ263" s="497"/>
      <c r="BR263" s="497"/>
      <c r="BS263" s="475"/>
      <c r="BT263" s="475"/>
      <c r="BU263" s="475"/>
      <c r="BV263" s="475"/>
      <c r="BW263" s="475"/>
      <c r="BX263" s="475"/>
      <c r="BY263" s="475"/>
      <c r="BZ263" s="475"/>
      <c r="CA263" s="471"/>
      <c r="CB263" s="471"/>
      <c r="CC263" s="471" t="e">
        <f t="shared" si="668"/>
        <v>#DIV/0!</v>
      </c>
      <c r="CD263" s="471"/>
      <c r="CE263" s="471"/>
      <c r="CF263" s="471"/>
      <c r="CG263" s="471"/>
      <c r="CH263" s="471"/>
      <c r="CI263" s="471"/>
      <c r="CJ263" s="471"/>
      <c r="CK263" s="468"/>
      <c r="CL263" s="482" t="s">
        <v>2507</v>
      </c>
      <c r="CM263" s="482"/>
      <c r="CN263" s="63"/>
      <c r="CO263" s="498"/>
      <c r="CP263" s="472"/>
      <c r="CQ263" s="482"/>
      <c r="CR263" s="204"/>
      <c r="CS263" s="486"/>
      <c r="CT263" s="486"/>
      <c r="CU263" s="23"/>
      <c r="CV263" s="499"/>
      <c r="CW263" s="488"/>
      <c r="CX263" s="204"/>
      <c r="CY263" s="482"/>
      <c r="CZ263" s="482"/>
      <c r="DA263" s="482"/>
      <c r="DB263" s="490"/>
    </row>
    <row r="264" spans="1:106" ht="15" hidden="1" customHeight="1">
      <c r="A264" s="465">
        <f>+A262+1</f>
        <v>175</v>
      </c>
      <c r="B264" s="491">
        <v>1</v>
      </c>
      <c r="C264" s="466" t="s">
        <v>2231</v>
      </c>
      <c r="D264" s="466" t="s">
        <v>2232</v>
      </c>
      <c r="E264" s="468">
        <v>0.16949402009999998</v>
      </c>
      <c r="F264" s="468"/>
      <c r="G264" s="468">
        <f>IF(B264=1,0,SUMIF($D$22:$D$583,C264,$H$22:$H$583))</f>
        <v>0</v>
      </c>
      <c r="H264" s="468">
        <f>+E264+F264+G264</f>
        <v>0.16949402009999998</v>
      </c>
      <c r="I264" s="468">
        <v>0.16949402009999998</v>
      </c>
      <c r="J264" s="468"/>
      <c r="K264" s="467">
        <f>+IF(B264=1,0,SUMIF($D$22:$D$583,C264,$L$22:$L$580))</f>
        <v>0</v>
      </c>
      <c r="L264" s="468">
        <f>+I264+J264+K264</f>
        <v>0.16949402009999998</v>
      </c>
      <c r="M264" s="469">
        <f>+$P$12</f>
        <v>242.33666300502347</v>
      </c>
      <c r="N264" s="470">
        <f>M264*E264</f>
        <v>41.07461523034037</v>
      </c>
      <c r="O264" s="470">
        <f>M264*F264</f>
        <v>0</v>
      </c>
      <c r="P264" s="470">
        <f>M264*H264</f>
        <v>41.07461523034037</v>
      </c>
      <c r="Q264" s="469">
        <f t="shared" si="736"/>
        <v>140</v>
      </c>
      <c r="R264" s="471">
        <f>Q264*P264*$P$14/86400</f>
        <v>5.6572676069566015E-2</v>
      </c>
      <c r="S264" s="471"/>
      <c r="T264" s="471"/>
      <c r="U264" s="471">
        <f>IF(C264="","",T264*$P$17)</f>
        <v>0</v>
      </c>
      <c r="V264" s="471"/>
      <c r="W264" s="471"/>
      <c r="X264" s="471">
        <f>IF(C264="","",W264*$P$16)</f>
        <v>0</v>
      </c>
      <c r="Y264" s="471">
        <f>IF(H264=0,0,$H$15*H264)</f>
        <v>3.3898804019999999E-2</v>
      </c>
      <c r="Z264" s="471">
        <f>IF(L264=0,$H$16*H264,0)</f>
        <v>0</v>
      </c>
      <c r="AA264" s="471">
        <f t="shared" si="527"/>
        <v>3.8</v>
      </c>
      <c r="AB264" s="471">
        <f>R264*AA264</f>
        <v>0.21497616906435085</v>
      </c>
      <c r="AC264" s="471">
        <f>Q264*(N264+O264)*$P$14/86400</f>
        <v>5.6572676069566015E-2</v>
      </c>
      <c r="AD264" s="471">
        <f>IF(E264=0,0,$H$15*(E264+F264))</f>
        <v>3.3898804019999999E-2</v>
      </c>
      <c r="AE264" s="471">
        <f>IF(F264=0,0,$H$15*(F264+G264))</f>
        <v>0</v>
      </c>
      <c r="AF264" s="510">
        <f t="shared" si="737"/>
        <v>3.8</v>
      </c>
      <c r="AG264" s="471">
        <f>AC264*AF264</f>
        <v>0.21497616906435085</v>
      </c>
      <c r="AH264" s="471">
        <f>+AD264+AE264+AG264</f>
        <v>0.24887497308435086</v>
      </c>
      <c r="AI264" s="471">
        <f>IF(H264="","",IF(AB264+Y264+Z264+X264+U264&lt;1.5,1.5,AB264+Y264+Z264+X264+U264))</f>
        <v>1.5</v>
      </c>
      <c r="AJ264" s="471">
        <f>+$P$17</f>
        <v>0.75</v>
      </c>
      <c r="AK264" s="472">
        <f>+BK264/100</f>
        <v>2.2394744699907026E-3</v>
      </c>
      <c r="AL264" s="471">
        <f>IF(AJ264=0," ",0.14+0.65*AJ264+0.05*AK264)</f>
        <v>0.62761197372349964</v>
      </c>
      <c r="AM264" s="473">
        <f t="shared" si="665"/>
        <v>287.3073248037046</v>
      </c>
      <c r="AN264" s="474">
        <f t="shared" si="666"/>
        <v>15.369592609637534</v>
      </c>
      <c r="AO264" s="474">
        <f>((1/60)*$AX264/$AQ264)</f>
        <v>0.37211111111111111</v>
      </c>
      <c r="AP264" s="474">
        <f>IF(B264=1,IF(($AN264+$AO264)&lt;10,10,IF(($AN264+$AO264)&gt;20,20,($AN264+$AO264))),($AN264+$AO264))</f>
        <v>15.741703720748646</v>
      </c>
      <c r="AQ264" s="475">
        <v>3</v>
      </c>
      <c r="AR264" s="474">
        <f>((1/60)*$AX264/$BT264)</f>
        <v>0.86295800169516468</v>
      </c>
      <c r="AS264" s="474">
        <f>AO264/AR264</f>
        <v>0.43120419577795094</v>
      </c>
      <c r="AT264" s="471" t="str">
        <f>IF(AS264&lt;0.9,"Disminuir vel.",IF(AS264&gt;1.1,"Aumentar vel.","Cumple"))</f>
        <v>Disminuir vel.</v>
      </c>
      <c r="AU264" s="492">
        <f>+I264*AL264*AM264</f>
        <v>30.562740882182521</v>
      </c>
      <c r="AV264" s="471">
        <f>+L264*AL264*AM264</f>
        <v>30.562740882182521</v>
      </c>
      <c r="AW264" s="471">
        <f t="shared" si="667"/>
        <v>30.56</v>
      </c>
      <c r="AX264" s="478">
        <f>IF(OR(C264="",D264=""),"",ROUND(((VLOOKUP(C264,'Base de Diseño (2)'!$A$2:$C$333,2,FALSE)-VLOOKUP(D264,'Base de Diseño (2)'!$A$2:$C$333,2,FALSE))^2+(VLOOKUP(C264,'Base de Diseño (2)'!$A$2:$C$333,3,0)-VLOOKUP(D264,'Base de Diseño (2)'!$A$2:$C$333,3,FALSE))^2)^0.5,2))</f>
        <v>66.98</v>
      </c>
      <c r="AY264" s="493">
        <v>12</v>
      </c>
      <c r="AZ264" s="480">
        <f>IF(AND(L264="",H264=""),"",IF(BA264=4,VLOOKUP(AY264,'TABLA (2)'!$A$74:$C$89,2),IF(BA264=5,VLOOKUP(AY264,'TABLA (2)'!$A$51:$B$66,2),IF(BA264=6,VLOOKUP(AY264,'TABLA (2)'!$A$9:$B$43,2)))))</f>
        <v>300</v>
      </c>
      <c r="BA264" s="493">
        <v>6</v>
      </c>
      <c r="BB264" s="478">
        <f>IF(OR(C264="",D264=""),"",VLOOKUP(C264,'Base de Diseño (2)'!$A$2:$D$330,4,FALSE))</f>
        <v>990.89160000000004</v>
      </c>
      <c r="BC264" s="478">
        <f>IF(OR(C264="",D264=""),"",VLOOKUP(D264,'Base de Diseño (2)'!$A$2:$D$330,4,FALSE))</f>
        <v>990.74160000000006</v>
      </c>
      <c r="BD264" s="478">
        <f>+BF264-((AZ264/1000)+CX264)</f>
        <v>0.50300000000002276</v>
      </c>
      <c r="BE264" s="478">
        <f>+BG264-((AZ264/1000)+CX264)</f>
        <v>1.653</v>
      </c>
      <c r="BF264" s="494">
        <v>0.85000000000002274</v>
      </c>
      <c r="BG264" s="494">
        <v>2</v>
      </c>
      <c r="BH264" s="495">
        <f>BB264-BF264</f>
        <v>990.04160000000002</v>
      </c>
      <c r="BI264" s="495">
        <f>BC264-BG264</f>
        <v>988.74160000000006</v>
      </c>
      <c r="BJ264" s="468">
        <f>IF(A264="",0,BI264-BH265)</f>
        <v>988.74160000000006</v>
      </c>
      <c r="BK264" s="475">
        <f>ABS((BB264-BC264)/AX264)*100</f>
        <v>0.22394744699907027</v>
      </c>
      <c r="BL264" s="475">
        <f>((BH264-BI264)/AX264)*100</f>
        <v>1.9408778739921684</v>
      </c>
      <c r="BM264" s="475">
        <f>IF(BA264=6,(1/0.013)*((AZ264/4000)^(2/3))*((BL264/100)^(0.5)),(1/0.009)*((AZ264/4000)^(2/3))*((BL264/100)^(0.5)))</f>
        <v>1.9058845720858357</v>
      </c>
      <c r="BN264" s="475">
        <f>1000*BM264*PI()*((AZ264/1000/2)^2)</f>
        <v>134.71904183073724</v>
      </c>
      <c r="BO264" s="204">
        <f>AI264/BN264</f>
        <v>1.1134283465915825E-2</v>
      </c>
      <c r="BP264" s="496">
        <f>IF(L264=0," ",AW264/BN264)</f>
        <v>0.22684246847892506</v>
      </c>
      <c r="BQ264" s="497">
        <f>IF($BO264&gt;0 =AND($BO264&lt;=0.06),10^(0.029806+0.29095*LOG($BO264)),IF($BO264&gt;0.06 =AND($BO264&lt;=0.26),10^(0.013778+0.282597*LOG($BO264)),IF($BO264&gt;0.26 =AND($BO264&lt;=0.91),10^(0.021763+0.28995*LOG($BO264)),1)))</f>
        <v>0.28938924619300332</v>
      </c>
      <c r="BR264" s="497">
        <f>IF($BP264&gt;0 =AND($BP264&lt;=0.06),10^(0.029806+0.29095*LOG($BP264)),IF($BP264&gt;0.06 =AND($BP264&lt;=0.26),10^(0.013778+0.282597*LOG($BP264)),IF($BP264&gt;0.26 =AND($BP264&lt;=2),10^(0.021763+0.28995*LOG($BP264))," ")))</f>
        <v>0.67874655489660585</v>
      </c>
      <c r="BS264" s="475">
        <f>BM264*BQ264</f>
        <v>0.55154249964679469</v>
      </c>
      <c r="BT264" s="475">
        <f>IF(BP264=" "," ",(BM264*BR264))</f>
        <v>1.2936125873338529</v>
      </c>
      <c r="BU264" s="475">
        <f>IF(BO264&lt;=0.11,0.3827+0.0645*LN(BO264),IF(BO264&lt;=0.21,0.60025+0.15471*LN(BO264),IF(BO264&lt;1,0.225+0.6666666667*BO264,0)))</f>
        <v>9.2596651711192912E-2</v>
      </c>
      <c r="BV264" s="475">
        <f>IF(BP264&lt;=0.11,0.3827+0.0645*LN(BP264),IF(BP264&lt;=0.21,0.60025+0.15471*LN(BP264),IF(BP264&lt;1,0.225+0.6666666667*BP264," ")))</f>
        <v>0.37622831232684478</v>
      </c>
      <c r="BW264" s="475">
        <f>2*ACOS(1-2*(BU264))</f>
        <v>1.2368012908744641</v>
      </c>
      <c r="BX264" s="475">
        <f>IF(BP264=" "," ",(2*ACOS(1-2*(BV264))))</f>
        <v>2.6413048697811035</v>
      </c>
      <c r="BY264" s="475">
        <f>(1/4)*(1-(SIN(BW264))/BW264)</f>
        <v>5.9035566010289392E-2</v>
      </c>
      <c r="BZ264" s="475">
        <f>IF(BP264=" "," ",((1/4)*(1-(SIN(BX264))/BX264)))</f>
        <v>0.20459838068222752</v>
      </c>
      <c r="CA264" s="471">
        <f>BY264*AZ264/1000</f>
        <v>1.7710669803086818E-2</v>
      </c>
      <c r="CB264" s="471">
        <f>IF(BP264=" "," ",(BZ264*AZ264/1000))</f>
        <v>6.1379514204668258E-2</v>
      </c>
      <c r="CC264" s="471">
        <f t="shared" si="668"/>
        <v>1.4279007396805354</v>
      </c>
      <c r="CD264" s="471" t="str">
        <f>IF(CC264="","",IF(CC264&lt;0.7,"F. Subcrítico",IF(AND(CC264&gt;0.7,CC264&lt;1),"F. Subcrítico Inestable",IF(CC264=1,"F. Crítico",IF(AND(CC264&gt;1,CC264&lt;1.5),"F. Supercrítico Inestable",IF(CC264&gt;1.5,"F. Supercrítico",""))))))</f>
        <v>F. Supercrítico Inestable</v>
      </c>
      <c r="CE264" s="471">
        <f>1000*BL264*CA264/100</f>
        <v>0.34374247154392434</v>
      </c>
      <c r="CF264" s="471">
        <f>IF(BP264=" "," ",(1000*BL264*CB264/100))</f>
        <v>1.1913014103622863</v>
      </c>
      <c r="CG264" s="471" t="str">
        <f>IF(BS264&lt;0.45,"No cumple",IF(BS264&gt;5,"No cumple","O.K"))</f>
        <v>O.K</v>
      </c>
      <c r="CH264" s="471" t="str">
        <f>IF(BT264&lt;0.75,"No cumple",IF(BT264&gt;10,"No cumple","O.K"))</f>
        <v>O.K</v>
      </c>
      <c r="CI264" s="471" t="str">
        <f>IF(CE264&gt;0.1,"OK","V.C.H.")</f>
        <v>OK</v>
      </c>
      <c r="CJ264" s="471" t="str">
        <f>IF(CF264&gt;0.2,"OK","V.C.H.")</f>
        <v>OK</v>
      </c>
      <c r="CK264" s="468">
        <f>+BJ264</f>
        <v>988.74160000000006</v>
      </c>
      <c r="CL264" s="482" t="s">
        <v>2507</v>
      </c>
      <c r="CM264" s="482"/>
      <c r="CN264" s="63" t="str">
        <f>IF(B264=1,"dato"," ")</f>
        <v>dato</v>
      </c>
      <c r="CO264" s="498">
        <f>+CR264</f>
        <v>66.98</v>
      </c>
      <c r="CP264" s="472">
        <f>+BK264/100</f>
        <v>2.2394744699907026E-3</v>
      </c>
      <c r="CQ264" s="482" t="s">
        <v>2508</v>
      </c>
      <c r="CR264" s="204">
        <f>IF(BA264="","",AX264)</f>
        <v>66.98</v>
      </c>
      <c r="CS264" s="486">
        <v>1.2</v>
      </c>
      <c r="CT264" s="486">
        <v>1.2</v>
      </c>
      <c r="CU264" s="23">
        <f>IF($BA264="","",SQRT((BH264-BI264)^2+$CR264^2))</f>
        <v>66.992614518318362</v>
      </c>
      <c r="CV264" s="499" t="s">
        <v>2509</v>
      </c>
      <c r="CW264" s="488" t="str">
        <f>+IF(BD264&lt;=0.9,"E1",IF(BD264&lt;=2.5,"E2","E3"))</f>
        <v>E1</v>
      </c>
      <c r="CX264" s="204">
        <f>IF(AND(L264="",H264=""),"",IF(AND(BA264&lt;&gt;4,BA264&lt;&gt;5),VLOOKUP(AY264,'TABLA (2)'!$A$9:$D$43,4),IF(BA264=4,VLOOKUP(AY264,'TABLA (2)'!$A$74:$D$89,4),VLOOKUP(AY264,'TABLA (2)'!$A$51:$D$66,4))))</f>
        <v>4.7E-2</v>
      </c>
      <c r="CY264" s="482"/>
      <c r="CZ264" s="482"/>
      <c r="DA264" s="482"/>
      <c r="DB264" s="490"/>
    </row>
    <row r="265" spans="1:106" ht="15" hidden="1" customHeight="1">
      <c r="A265" s="465"/>
      <c r="B265" s="491"/>
      <c r="C265" s="491"/>
      <c r="D265" s="491"/>
      <c r="E265" s="468"/>
      <c r="F265" s="468"/>
      <c r="G265" s="468"/>
      <c r="H265" s="468"/>
      <c r="I265" s="468"/>
      <c r="J265" s="468"/>
      <c r="K265" s="467"/>
      <c r="L265" s="468"/>
      <c r="M265" s="469"/>
      <c r="N265" s="470"/>
      <c r="O265" s="470"/>
      <c r="P265" s="470"/>
      <c r="Q265" s="469">
        <f t="shared" si="736"/>
        <v>140</v>
      </c>
      <c r="R265" s="471"/>
      <c r="S265" s="471"/>
      <c r="T265" s="471"/>
      <c r="U265" s="471"/>
      <c r="V265" s="471"/>
      <c r="W265" s="471"/>
      <c r="X265" s="471"/>
      <c r="Y265" s="471"/>
      <c r="Z265" s="471"/>
      <c r="AA265" s="471" t="str">
        <f t="shared" si="527"/>
        <v/>
      </c>
      <c r="AB265" s="471"/>
      <c r="AC265" s="471"/>
      <c r="AD265" s="471"/>
      <c r="AE265" s="471"/>
      <c r="AF265" s="510" t="str">
        <f t="shared" si="737"/>
        <v/>
      </c>
      <c r="AG265" s="471"/>
      <c r="AH265" s="471"/>
      <c r="AI265" s="471"/>
      <c r="AJ265" s="471"/>
      <c r="AK265" s="472"/>
      <c r="AL265" s="471"/>
      <c r="AM265" s="473"/>
      <c r="AN265" s="474"/>
      <c r="AO265" s="474"/>
      <c r="AP265" s="474"/>
      <c r="AQ265" s="475"/>
      <c r="AR265" s="474"/>
      <c r="AS265" s="474"/>
      <c r="AT265" s="471"/>
      <c r="AU265" s="492"/>
      <c r="AV265" s="471"/>
      <c r="AW265" s="471">
        <f t="shared" si="667"/>
        <v>0</v>
      </c>
      <c r="AX265" s="478"/>
      <c r="AY265" s="493"/>
      <c r="AZ265" s="480"/>
      <c r="BA265" s="493"/>
      <c r="BB265" s="478" t="str">
        <f>IF(OR(C265="",D265=""),"",VLOOKUP(C265,'Base de Diseño (2)'!$A$2:$D$330,4,FALSE))</f>
        <v/>
      </c>
      <c r="BC265" s="494"/>
      <c r="BD265" s="478"/>
      <c r="BE265" s="478"/>
      <c r="BF265" s="494"/>
      <c r="BG265" s="494"/>
      <c r="BH265" s="495"/>
      <c r="BI265" s="495"/>
      <c r="BJ265" s="468"/>
      <c r="BK265" s="475"/>
      <c r="BL265" s="475"/>
      <c r="BM265" s="475"/>
      <c r="BN265" s="475"/>
      <c r="BO265" s="204"/>
      <c r="BP265" s="496"/>
      <c r="BQ265" s="497"/>
      <c r="BR265" s="475"/>
      <c r="BS265" s="475"/>
      <c r="BT265" s="475"/>
      <c r="BU265" s="475"/>
      <c r="BV265" s="475"/>
      <c r="BW265" s="475"/>
      <c r="BX265" s="475"/>
      <c r="BY265" s="475"/>
      <c r="BZ265" s="475"/>
      <c r="CA265" s="471"/>
      <c r="CB265" s="471"/>
      <c r="CC265" s="471"/>
      <c r="CD265" s="471"/>
      <c r="CE265" s="471"/>
      <c r="CF265" s="471"/>
      <c r="CG265" s="471"/>
      <c r="CH265" s="471"/>
      <c r="CI265" s="471"/>
      <c r="CJ265" s="471"/>
      <c r="CK265" s="468"/>
      <c r="CL265" s="482" t="s">
        <v>2507</v>
      </c>
      <c r="CM265" s="482"/>
      <c r="CN265" s="63"/>
      <c r="CO265" s="498"/>
      <c r="CP265" s="472"/>
      <c r="CQ265" s="482"/>
      <c r="CR265" s="204"/>
      <c r="CS265" s="486"/>
      <c r="CT265" s="486"/>
      <c r="CU265" s="23"/>
      <c r="CV265" s="499"/>
      <c r="CW265" s="488"/>
      <c r="CX265" s="204"/>
      <c r="CY265" s="482"/>
      <c r="CZ265" s="482"/>
      <c r="DA265" s="482"/>
      <c r="DB265" s="490"/>
    </row>
    <row r="266" spans="1:106" ht="15" hidden="1" customHeight="1">
      <c r="A266" s="465">
        <f>+A264+1</f>
        <v>176</v>
      </c>
      <c r="B266" s="491">
        <v>1</v>
      </c>
      <c r="C266" s="466" t="s">
        <v>2340</v>
      </c>
      <c r="D266" s="466" t="s">
        <v>98</v>
      </c>
      <c r="E266" s="468">
        <v>0.1269747956</v>
      </c>
      <c r="F266" s="468"/>
      <c r="G266" s="468">
        <f>IF(B266=1,0,SUMIF($D$22:$D$583,C266,$H$22:$H$583))</f>
        <v>0</v>
      </c>
      <c r="H266" s="468">
        <f>+E266+F266+G266</f>
        <v>0.1269747956</v>
      </c>
      <c r="I266" s="468">
        <v>0.1269747956</v>
      </c>
      <c r="J266" s="468"/>
      <c r="K266" s="467">
        <f>+IF(B266=1,0,SUMIF($D$22:$D$583,C266,$L$22:$L$580))</f>
        <v>0</v>
      </c>
      <c r="L266" s="468">
        <f>+I266+J266+K266</f>
        <v>0.1269747956</v>
      </c>
      <c r="M266" s="469">
        <f>+$P$12</f>
        <v>242.33666300502347</v>
      </c>
      <c r="N266" s="470">
        <f>M266*E266</f>
        <v>30.770648251448936</v>
      </c>
      <c r="O266" s="470">
        <f>M266*F266</f>
        <v>0</v>
      </c>
      <c r="P266" s="470">
        <f>M266*H266</f>
        <v>30.770648251448936</v>
      </c>
      <c r="Q266" s="469">
        <f t="shared" si="736"/>
        <v>140</v>
      </c>
      <c r="R266" s="471">
        <f>Q266*P266*$P$14/86400</f>
        <v>4.2380869698176199E-2</v>
      </c>
      <c r="S266" s="471"/>
      <c r="T266" s="471"/>
      <c r="U266" s="471">
        <f>IF(C266="","",T266*$P$17)</f>
        <v>0</v>
      </c>
      <c r="V266" s="471"/>
      <c r="W266" s="471"/>
      <c r="X266" s="471">
        <f>IF(C266="","",W266*$P$16)</f>
        <v>0</v>
      </c>
      <c r="Y266" s="471">
        <f>IF(H266=0,0,$H$15*H266)</f>
        <v>2.5394959120000001E-2</v>
      </c>
      <c r="Z266" s="471">
        <f>IF(L266=0,$H$16*H266,0)</f>
        <v>0</v>
      </c>
      <c r="AA266" s="471">
        <f t="shared" si="527"/>
        <v>3.8</v>
      </c>
      <c r="AB266" s="471">
        <f>R266*AA266</f>
        <v>0.16104730485306956</v>
      </c>
      <c r="AC266" s="471">
        <f>Q266*(N266+O266)*$P$14/86400</f>
        <v>4.2380869698176199E-2</v>
      </c>
      <c r="AD266" s="471">
        <f t="shared" ref="AD266:AE269" si="738">IF(E266=0,0,$H$15*(E266+F266))</f>
        <v>2.5394959120000001E-2</v>
      </c>
      <c r="AE266" s="471">
        <f t="shared" si="738"/>
        <v>0</v>
      </c>
      <c r="AF266" s="510">
        <f t="shared" si="737"/>
        <v>3.8</v>
      </c>
      <c r="AG266" s="471">
        <f>AC266*AF266</f>
        <v>0.16104730485306956</v>
      </c>
      <c r="AH266" s="471">
        <f>+AD266+AE266+AG266</f>
        <v>0.18644226397306957</v>
      </c>
      <c r="AI266" s="471">
        <f>IF(H266="","",IF(AB266+Y266+Z266+X266+U266&lt;1.5,1.5,AB266+Y266+Z266+X266+U266))</f>
        <v>1.5</v>
      </c>
      <c r="AJ266" s="471">
        <f>+$P$17</f>
        <v>0.75</v>
      </c>
      <c r="AK266" s="472">
        <f>+BK266/100</f>
        <v>1.1507293354943599E-2</v>
      </c>
      <c r="AL266" s="471">
        <f>IF(AJ266=0," ",0.14+0.65*AJ266+0.05*AK266)</f>
        <v>0.62807536466774727</v>
      </c>
      <c r="AM266" s="473">
        <f>((100/36)*$AM$14*(AP266+$AN$14)^$AO$14)</f>
        <v>325.97501987022315</v>
      </c>
      <c r="AN266" s="474">
        <f>IF(B266=1,IF((0.702*(1.1-$AJ266)*SQRT($CO266))/(($CP266)^(1/3))&lt;5,5,(0.702*(1.1-$AJ266)*SQRT($CO266))/(($CP266)^(1/3))),AP265)</f>
        <v>10.114723799982734</v>
      </c>
      <c r="AO266" s="474">
        <f>((1/60)*$AX266/$AQ266)</f>
        <v>0.95977777777777773</v>
      </c>
      <c r="AP266" s="474">
        <f>IF(B266=1,IF(($AN266+$AO266)&lt;10,10,IF(($AN266+$AO266)&gt;20,20,($AN266+$AO266))),($AN266+$AO266))</f>
        <v>11.074501577760511</v>
      </c>
      <c r="AQ266" s="475">
        <v>1.5</v>
      </c>
      <c r="AR266" s="474">
        <f>((1/60)*$AX266/$BT266)</f>
        <v>0.98413549560075542</v>
      </c>
      <c r="AS266" s="474">
        <f>AO266/AR266</f>
        <v>0.97524962982042551</v>
      </c>
      <c r="AT266" s="471" t="str">
        <f>IF(AS266&lt;0.9,"Disminuir vel.",IF(AS266&gt;1.1,"Aumentar vel.","Cumple"))</f>
        <v>Cumple</v>
      </c>
      <c r="AU266" s="492">
        <f>+I266*AL266*AM266</f>
        <v>25.996423423445851</v>
      </c>
      <c r="AV266" s="471">
        <f>+L266*AL266*AM266</f>
        <v>25.996423423445851</v>
      </c>
      <c r="AW266" s="471">
        <f t="shared" si="667"/>
        <v>27.5</v>
      </c>
      <c r="AX266" s="478">
        <f>IF(OR(C266="",D266=""),"",ROUND(((VLOOKUP(C266,'Base de Diseño (2)'!$A$2:$C$333,2,FALSE)-VLOOKUP(D266,'Base de Diseño (2)'!$A$2:$C$333,2,FALSE))^2+(VLOOKUP(C266,'Base de Diseño (2)'!$A$2:$C$333,3,0)-VLOOKUP(D266,'Base de Diseño (2)'!$A$2:$C$333,3,FALSE))^2)^0.5,2))</f>
        <v>86.38</v>
      </c>
      <c r="AY266" s="493">
        <v>12</v>
      </c>
      <c r="AZ266" s="480">
        <f>IF(AND(L266="",H266=""),"",IF(BA266=4,VLOOKUP(AY266,'TABLA (2)'!$A$74:$C$89,2),IF(BA266=5,VLOOKUP(AY266,'TABLA (2)'!$A$51:$B$66,2),IF(BA266=6,VLOOKUP(AY266,'TABLA (2)'!$A$9:$B$43,2)))))</f>
        <v>284</v>
      </c>
      <c r="BA266" s="493">
        <v>4</v>
      </c>
      <c r="BB266" s="478">
        <f>IF(OR(C266="",D266=""),"",VLOOKUP(C266,'Base de Diseño (2)'!$A$2:$D$330,4,FALSE))</f>
        <v>996.71500000000003</v>
      </c>
      <c r="BC266" s="478">
        <f>IF(OR(C266="",D266=""),"",VLOOKUP(D266,'Base de Diseño (2)'!$A$2:$D$330,4,FALSE))</f>
        <v>995.721</v>
      </c>
      <c r="BD266" s="478">
        <f>+BF266-((AZ266/1000)+CX266)</f>
        <v>0.9405</v>
      </c>
      <c r="BE266" s="478">
        <f>+BG266-((AZ266/1000)+CX266)</f>
        <v>1.1604999999999999</v>
      </c>
      <c r="BF266" s="494">
        <v>1.24</v>
      </c>
      <c r="BG266" s="494">
        <v>1.46</v>
      </c>
      <c r="BH266" s="495">
        <f t="shared" ref="BH266:BI269" si="739">BB266-BF266</f>
        <v>995.47500000000002</v>
      </c>
      <c r="BI266" s="495">
        <f t="shared" si="739"/>
        <v>994.26099999999997</v>
      </c>
      <c r="BJ266" s="468">
        <f>IF(A266="",0,BI266-BH267)</f>
        <v>0.14999999999997726</v>
      </c>
      <c r="BK266" s="475">
        <f>ABS((BB266-BC266)/AX266)*100</f>
        <v>1.15072933549436</v>
      </c>
      <c r="BL266" s="475">
        <f>((BH266-BI266)/AX266)*100</f>
        <v>1.4054179208150677</v>
      </c>
      <c r="BM266" s="475">
        <f>IF(BA266=6,(1/0.013)*((AZ266/4000)^(2/3))*((BL266/100)^(0.5)),(1/0.009)*((AZ266/4000)^(2/3))*((BL266/100)^(0.5)))</f>
        <v>2.2585643383359284</v>
      </c>
      <c r="BN266" s="475">
        <f>1000*BM266*PI()*((AZ266/1000/2)^2)</f>
        <v>143.07344287732894</v>
      </c>
      <c r="BO266" s="204">
        <f>AI266/BN266</f>
        <v>1.048412598336715E-2</v>
      </c>
      <c r="BP266" s="496">
        <f>IF(L266=0," ",AW266/BN266)</f>
        <v>0.19220897636173107</v>
      </c>
      <c r="BQ266" s="497">
        <f>IF($BO266&gt;0 =AND($BO266&lt;=0.06),10^(0.029806+0.29095*LOG($BO266)),IF($BO266&gt;0.06 =AND($BO266&lt;=0.26),10^(0.013778+0.282597*LOG($BO266)),IF($BO266&gt;0.26 =AND($BO266&lt;=0.91),10^(0.021763+0.28995*LOG($BO266)),1)))</f>
        <v>0.28436742973669177</v>
      </c>
      <c r="BR266" s="497">
        <f>IF($BP266&gt;0 =AND($BP266&lt;=0.06),10^(0.029806+0.29095*LOG($BP266)),IF($BP266&gt;0.06 =AND($BP266&lt;=0.26),10^(0.013778+0.282597*LOG($BP266)),IF($BP266&gt;0.26 =AND($BP266&lt;=2),10^(0.021763+0.28995*LOG($BP266))," ")))</f>
        <v>0.64770102843670119</v>
      </c>
      <c r="BS266" s="475">
        <f>BM266*BQ266</f>
        <v>0.64226213578753988</v>
      </c>
      <c r="BT266" s="475">
        <f>IF(BP266=" "," ",(BM266*BR266))</f>
        <v>1.4628744447306383</v>
      </c>
      <c r="BU266" s="475">
        <f>IF(BO266&lt;=0.11,0.3827+0.0645*LN(BO266),IF(BO266&lt;=0.21,0.60025+0.15471*LN(BO266),IF(BO266&lt;1,0.225+0.6666666667*BO266,0)))</f>
        <v>8.8715902992139384E-2</v>
      </c>
      <c r="BV266" s="475">
        <f>IF(BP266&lt;=0.11,0.3827+0.0645*LN(BP266),IF(BP266&lt;=0.21,0.60025+0.15471*LN(BP266),IF(BP266&lt;1,0.225+0.6666666667*BP266," ")))</f>
        <v>0.34510658745652489</v>
      </c>
      <c r="BW266" s="475">
        <f>2*ACOS(1-2*(BU266))</f>
        <v>1.2097675585587633</v>
      </c>
      <c r="BX266" s="475">
        <f>IF(BP266=" "," ",(2*ACOS(1-2*(BV266))))</f>
        <v>2.5116550139241669</v>
      </c>
      <c r="BY266" s="475">
        <f>(1/4)*(1-(SIN(BW266))/BW266)</f>
        <v>5.667072915745805E-2</v>
      </c>
      <c r="BZ266" s="475">
        <f>IF(BP266=" "," ",((1/4)*(1-(SIN(BX266))/BX266)))</f>
        <v>0.19136392491551085</v>
      </c>
      <c r="CA266" s="471">
        <f>BY266*AZ266/1000</f>
        <v>1.6094487080718086E-2</v>
      </c>
      <c r="CB266" s="471">
        <f>IF(BP266=" "," ",(BZ266*AZ266/1000))</f>
        <v>5.4347354676005086E-2</v>
      </c>
      <c r="CC266" s="471">
        <f>+(BT266/SQRT(9.81*(0.125*(BX266-SIN(BX266))*(AZ266/1000)^2)/((AZ266/1000)*SIN(BX266/2))))</f>
        <v>1.7432686274401525</v>
      </c>
      <c r="CD266" s="471" t="str">
        <f>IF(CC266="","",IF(CC266&lt;0.7,"F. Subcrítico",IF(AND(CC266&gt;0.7,CC266&lt;1),"F. Subcrítico Inestable",IF(CC266=1,"F. Crítico",IF(AND(CC266&gt;1,CC266&lt;1.5),"F. Supercrítico Inestable",IF(CC266&gt;1.5,"F. Supercrítico",""))))))</f>
        <v>F. Supercrítico</v>
      </c>
      <c r="CE266" s="471">
        <f>1000*BL266*CA266/100</f>
        <v>0.22619480569567782</v>
      </c>
      <c r="CF266" s="471">
        <f>IF(BP266=" "," ",(1000*BL266*CB266/100))</f>
        <v>0.7638074621055011</v>
      </c>
      <c r="CG266" s="471" t="str">
        <f>IF(BS266&lt;0.45,"No cumple",IF(BS266&gt;5,"No cumple","O.K"))</f>
        <v>O.K</v>
      </c>
      <c r="CH266" s="471" t="str">
        <f>IF(BT266&lt;0.75,"No cumple",IF(BT266&gt;10,"No cumple","O.K"))</f>
        <v>O.K</v>
      </c>
      <c r="CI266" s="471" t="str">
        <f>IF(CE266&gt;0.1,"OK","V.C.H.")</f>
        <v>OK</v>
      </c>
      <c r="CJ266" s="471" t="str">
        <f>IF(CF266&gt;0.2,"OK","V.C.H.")</f>
        <v>OK</v>
      </c>
      <c r="CK266" s="468">
        <f>+BJ266</f>
        <v>0.14999999999997726</v>
      </c>
      <c r="CL266" s="482" t="s">
        <v>2507</v>
      </c>
      <c r="CM266" s="482"/>
      <c r="CN266" s="63" t="str">
        <f>IF(B266=1,"dato"," ")</f>
        <v>dato</v>
      </c>
      <c r="CO266" s="498">
        <f>+CR266</f>
        <v>86.38</v>
      </c>
      <c r="CP266" s="472">
        <f>+BK266/100</f>
        <v>1.1507293354943599E-2</v>
      </c>
      <c r="CQ266" s="482" t="s">
        <v>2508</v>
      </c>
      <c r="CR266" s="204">
        <f>IF(BA266="","",AX266)</f>
        <v>86.38</v>
      </c>
      <c r="CS266" s="486">
        <v>1.2</v>
      </c>
      <c r="CT266" s="486">
        <v>1.2</v>
      </c>
      <c r="CU266" s="23">
        <f>IF($BA266="","",SQRT((BH266-BI266)^2+$CR266^2))</f>
        <v>86.38853046556585</v>
      </c>
      <c r="CV266" s="499" t="s">
        <v>2509</v>
      </c>
      <c r="CW266" s="488" t="str">
        <f>+IF(BD266&lt;=0.9,"E1",IF(BD266&lt;=2.5,"E2","E3"))</f>
        <v>E2</v>
      </c>
      <c r="CX266" s="204">
        <f>IF(AND(L266="",H266=""),"",IF(AND(BA266&lt;&gt;4,BA266&lt;&gt;5),VLOOKUP(AY266,'TABLA (2)'!$A$9:$D$43,4),IF(BA266=4,VLOOKUP(AY266,'TABLA (2)'!$A$74:$D$89,4),VLOOKUP(AY266,'TABLA (2)'!$A$51:$D$66,4))))</f>
        <v>1.55E-2</v>
      </c>
      <c r="CY266" s="482"/>
      <c r="CZ266" s="482"/>
      <c r="DA266" s="482"/>
      <c r="DB266" s="490"/>
    </row>
    <row r="267" spans="1:106" s="562" customFormat="1" ht="15" customHeight="1">
      <c r="A267" s="563">
        <f>+A266+1</f>
        <v>177</v>
      </c>
      <c r="B267" s="535"/>
      <c r="C267" s="536" t="s">
        <v>98</v>
      </c>
      <c r="D267" s="536" t="s">
        <v>2341</v>
      </c>
      <c r="E267" s="537">
        <v>0.60338866300000005</v>
      </c>
      <c r="F267" s="537"/>
      <c r="G267" s="537">
        <f>IF(B267=1,0,SUMIF($D$22:$D$583,C267,$H$22:$H$583))</f>
        <v>0.5209987626</v>
      </c>
      <c r="H267" s="537">
        <f>+E267+F267+G267</f>
        <v>1.1243874256000002</v>
      </c>
      <c r="I267" s="537">
        <v>0.60338866300000005</v>
      </c>
      <c r="J267" s="537"/>
      <c r="K267" s="538">
        <f ca="1">+IF(B267=1,0,SUMIF($D$22:$D$583,C267,$L$22:$L$580))</f>
        <v>0.5209987626</v>
      </c>
      <c r="L267" s="537">
        <f ca="1">+I267+J267+K267</f>
        <v>1.1243874256000002</v>
      </c>
      <c r="M267" s="539">
        <f>+$P$12</f>
        <v>242.33666300502347</v>
      </c>
      <c r="N267" s="540">
        <f>M267*E267</f>
        <v>146.22319508648269</v>
      </c>
      <c r="O267" s="540">
        <f>M267*F267</f>
        <v>0</v>
      </c>
      <c r="P267" s="540">
        <f>M267*H267</f>
        <v>272.48029664471312</v>
      </c>
      <c r="Q267" s="539">
        <f t="shared" si="736"/>
        <v>140</v>
      </c>
      <c r="R267" s="541">
        <f>Q267*P267*$P$14/86400</f>
        <v>0.37529114931389884</v>
      </c>
      <c r="S267" s="541"/>
      <c r="T267" s="541"/>
      <c r="U267" s="541">
        <f>IF(C267="","",T267*$P$17)</f>
        <v>0</v>
      </c>
      <c r="V267" s="541"/>
      <c r="W267" s="541"/>
      <c r="X267" s="541">
        <f>IF(C267="","",W267*$P$16)</f>
        <v>0</v>
      </c>
      <c r="Y267" s="541">
        <f>IF(H267=0,0,$H$15*H267)</f>
        <v>0.22487748512000005</v>
      </c>
      <c r="Z267" s="541">
        <f ca="1">IF(L267=0,$H$16*H267,0)</f>
        <v>0</v>
      </c>
      <c r="AA267" s="471">
        <f t="shared" si="527"/>
        <v>3.8</v>
      </c>
      <c r="AB267" s="541">
        <f>R267*AA267</f>
        <v>1.4261063673928156</v>
      </c>
      <c r="AC267" s="541">
        <f>Q267*(N267+O267)*$P$14/86400</f>
        <v>0.20139537286216944</v>
      </c>
      <c r="AD267" s="541">
        <f t="shared" si="738"/>
        <v>0.12067773260000002</v>
      </c>
      <c r="AE267" s="541">
        <f t="shared" si="738"/>
        <v>0</v>
      </c>
      <c r="AF267" s="510">
        <f t="shared" si="737"/>
        <v>3.8</v>
      </c>
      <c r="AG267" s="541">
        <f>AC267*AF267</f>
        <v>0.76530241687624379</v>
      </c>
      <c r="AH267" s="541">
        <f>+AD267+AE267+AG267</f>
        <v>0.88598014947624382</v>
      </c>
      <c r="AI267" s="541">
        <f ca="1">IF(H267="","",IF(AB267+Y267+Z267+X267+U267&lt;1.5,1.5,AB267+Y267+Z267+X267+U267))</f>
        <v>1.6509838525128155</v>
      </c>
      <c r="AJ267" s="541">
        <f>+$P$17</f>
        <v>0.75</v>
      </c>
      <c r="AK267" s="542">
        <f>+BK267/100</f>
        <v>3.8044435744348216E-2</v>
      </c>
      <c r="AL267" s="541">
        <f>IF(AJ267=0," ",0.14+0.65*AJ267+0.05*AK267)</f>
        <v>0.6294022217872175</v>
      </c>
      <c r="AM267" s="543">
        <f>((100/36)*$AM$14*(AP267+$AN$14)^$AO$14)</f>
        <v>322.04102023189034</v>
      </c>
      <c r="AN267" s="544">
        <f>IF(B267=1,IF((0.702*(1.1-$AJ267)*SQRT($CO267))/(($CP267)^(1/3))&lt;5,5,(0.702*(1.1-$AJ267)*SQRT($CO267))/(($CP267)^(1/3))),AP266)</f>
        <v>11.074501577760511</v>
      </c>
      <c r="AO267" s="544">
        <f>((1/60)*$AX267/$AQ267)</f>
        <v>0.42570833333333336</v>
      </c>
      <c r="AP267" s="544">
        <f>IF(B267=1,IF(($AN267+$AO267)&lt;10,10,IF(($AN267+$AO267)&gt;20,20,($AN267+$AO267))),($AN267+$AO267))</f>
        <v>11.500209911093844</v>
      </c>
      <c r="AQ267" s="545">
        <v>4</v>
      </c>
      <c r="AR267" s="544">
        <f ca="1">((1/60)*$AX267/$BT267)</f>
        <v>0.41515422932161267</v>
      </c>
      <c r="AS267" s="544">
        <f ca="1">AO267/AR267</f>
        <v>1.0254221281304703</v>
      </c>
      <c r="AT267" s="541" t="str">
        <f ca="1">IF(AS267&lt;0.9,"Disminuir vel.",IF(AS267&gt;1.1,"Aumentar vel.","Cumple"))</f>
        <v>Cumple</v>
      </c>
      <c r="AU267" s="546">
        <f>+I267*AL267*AM267</f>
        <v>122.3028595843989</v>
      </c>
      <c r="AV267" s="541">
        <f ca="1">+L267*AL267*AM267</f>
        <v>227.90583559840695</v>
      </c>
      <c r="AW267" s="541">
        <f t="shared" ca="1" si="667"/>
        <v>227.91</v>
      </c>
      <c r="AX267" s="547">
        <f>IF(OR(C267="",D267=""),"",ROUND(((VLOOKUP(C267,'Base de Diseño (2)'!$A$2:$C$333,2,FALSE)-VLOOKUP(D267,'Base de Diseño (2)'!$A$2:$C$333,2,FALSE))^2+(VLOOKUP(C267,'Base de Diseño (2)'!$A$2:$C$333,3,0)-VLOOKUP(D267,'Base de Diseño (2)'!$A$2:$C$333,3,FALSE))^2)^0.5,2))</f>
        <v>102.17</v>
      </c>
      <c r="AY267" s="548">
        <v>12</v>
      </c>
      <c r="AZ267" s="549">
        <f ca="1">IF(AND(L267="",H267=""),"",IF(BA267=4,VLOOKUP(AY267,'TABLA (2)'!$A$74:$C$89,2),IF(BA267=5,VLOOKUP(AY267,'TABLA (2)'!$A$51:$B$66,2),IF(BA267=6,VLOOKUP(AY267,'TABLA (2)'!$A$9:$B$43,2)))))</f>
        <v>284</v>
      </c>
      <c r="BA267" s="548">
        <v>4</v>
      </c>
      <c r="BB267" s="547">
        <f>IF(OR(C267="",D267=""),"",VLOOKUP(C267,'Base de Diseño (2)'!$A$2:$D$330,4,FALSE))</f>
        <v>995.721</v>
      </c>
      <c r="BC267" s="547">
        <f>IF(OR(C267="",D267=""),"",VLOOKUP(D267,'Base de Diseño (2)'!$A$2:$D$330,4,FALSE))</f>
        <v>991.83399999999995</v>
      </c>
      <c r="BD267" s="547">
        <f ca="1">+BF267-((AZ267/1000)+CX267)</f>
        <v>1.3105000000000002</v>
      </c>
      <c r="BE267" s="547">
        <f ca="1">+BG267-((AZ267/1000)+CX267)</f>
        <v>2.0004999999999544</v>
      </c>
      <c r="BF267" s="551">
        <v>1.61</v>
      </c>
      <c r="BG267" s="551">
        <v>2.2999999999999545</v>
      </c>
      <c r="BH267" s="552">
        <f t="shared" si="739"/>
        <v>994.11099999999999</v>
      </c>
      <c r="BI267" s="552">
        <f t="shared" si="739"/>
        <v>989.53399999999999</v>
      </c>
      <c r="BJ267" s="537">
        <f>IF(A267="",0,BI267-BH268)</f>
        <v>4.0000000000077307E-2</v>
      </c>
      <c r="BK267" s="545">
        <f>ABS((BB267-BC267)/AX267)*100</f>
        <v>3.8044435744348215</v>
      </c>
      <c r="BL267" s="545">
        <f>((BH267-BI267)/AX267)*100</f>
        <v>4.4797885876480352</v>
      </c>
      <c r="BM267" s="545">
        <f ca="1">IF(BA267=6,(1/0.013)*((AZ267/4000)^(2/3))*((BL267/100)^(0.5)),(1/0.009)*((AZ267/4000)^(2/3))*((BL267/100)^(0.5)))</f>
        <v>4.0323524288016062</v>
      </c>
      <c r="BN267" s="545">
        <f ca="1">1000*BM267*PI()*((AZ267/1000/2)^2)</f>
        <v>255.43772877795101</v>
      </c>
      <c r="BO267" s="553">
        <f ca="1">AI267/BN267</f>
        <v>6.4633515981031772E-3</v>
      </c>
      <c r="BP267" s="564">
        <f ca="1">IF(L267=0," ",AW267/BN267)</f>
        <v>0.89223311329282706</v>
      </c>
      <c r="BQ267" s="554">
        <f ca="1">IF($BO267&gt;0 =AND($BO267&lt;=0.06),10^(0.029806+0.29095*LOG($BO267)),IF($BO267&gt;0.06 =AND($BO267&lt;=0.26),10^(0.013778+0.282597*LOG($BO267)),IF($BO267&gt;0.26 =AND($BO267&lt;=0.91),10^(0.021763+0.28995*LOG($BO267)),1)))</f>
        <v>0.24703511544874204</v>
      </c>
      <c r="BR267" s="554">
        <f ca="1">IF($BP267&gt;0 =AND($BP267&lt;=0.06),10^(0.029806+0.29095*LOG($BP267)),IF($BP267&gt;0.06 =AND($BP267&lt;=0.26),10^(0.013778+0.282597*LOG($BP267)),IF($BP267&gt;0.26 =AND($BP267&lt;=2),10^(0.021763+0.28995*LOG($BP267))," ")))</f>
        <v>1.0171949463605992</v>
      </c>
      <c r="BS267" s="545">
        <f ca="1">BM267*BQ267</f>
        <v>0.99613264777902011</v>
      </c>
      <c r="BT267" s="545">
        <f ca="1">IF(BP267=" "," ",(BM267*BR267))</f>
        <v>4.1016885125218812</v>
      </c>
      <c r="BU267" s="545">
        <f ca="1">IF(BO267&lt;=0.11,0.3827+0.0645*LN(BO267),IF(BO267&lt;=0.21,0.60025+0.15471*LN(BO267),IF(BO267&lt;1,0.225+0.6666666667*BO267,0)))</f>
        <v>5.751633092413172E-2</v>
      </c>
      <c r="BV267" s="545">
        <f ca="1">IF(BP267&lt;=0.11,0.3827+0.0645*LN(BP267),IF(BP267&lt;=0.21,0.60025+0.15471*LN(BP267),IF(BP267&lt;1,0.225+0.6666666667*BP267," ")))</f>
        <v>0.81982207555829245</v>
      </c>
      <c r="BW267" s="545">
        <f ca="1">2*ACOS(1-2*(BU267))</f>
        <v>0.96874492487973685</v>
      </c>
      <c r="BX267" s="545">
        <f ca="1">IF(BP267=" "," ",(2*ACOS(1-2*(BV267))))</f>
        <v>4.5296631257398285</v>
      </c>
      <c r="BY267" s="545">
        <f ca="1">(1/4)*(1-(SIN(BW267))/BW267)</f>
        <v>3.7308415947447909E-2</v>
      </c>
      <c r="BZ267" s="545">
        <f ca="1">IF(BP267=" "," ",((1/4)*(1-(SIN(BX267))/BX267)))</f>
        <v>0.30427291182503902</v>
      </c>
      <c r="CA267" s="541">
        <f ca="1">BY267*AZ267/1000</f>
        <v>1.0595590129075207E-2</v>
      </c>
      <c r="CB267" s="541">
        <f ca="1">IF(BP267=" "," ",(BZ267*AZ267/1000))</f>
        <v>8.641350695831107E-2</v>
      </c>
      <c r="CC267" s="541">
        <f ca="1">+(BT267/SQRT(9.81*(0.125*(BX267-SIN(BX267))*(AZ267/1000)^2)/((AZ267/1000)*SIN(BX267/2))))</f>
        <v>2.5953127356458547</v>
      </c>
      <c r="CD267" s="541" t="str">
        <f ca="1">IF(CC267="","",IF(CC267&lt;0.7,"F. Subcrítico",IF(AND(CC267&gt;0.7,CC267&lt;1),"F. Subcrítico Inestable",IF(CC267=1,"F. Crítico",IF(AND(CC267&gt;1,CC267&lt;1.5),"F. Supercrítico Inestable",IF(CC267&gt;1.5,"F. Supercrítico",""))))))</f>
        <v>F. Supercrítico</v>
      </c>
      <c r="CE267" s="541">
        <f ca="1">1000*BL267*CA267/100</f>
        <v>0.47466003739627283</v>
      </c>
      <c r="CF267" s="541">
        <f ca="1">IF(BP267=" "," ",(1000*BL267*CB267/100))</f>
        <v>3.8711424229048599</v>
      </c>
      <c r="CG267" s="541" t="str">
        <f ca="1">IF(BS267&lt;0.45,"No cumple",IF(BS267&gt;5,"No cumple","O.K"))</f>
        <v>O.K</v>
      </c>
      <c r="CH267" s="541" t="str">
        <f ca="1">IF(BT267&lt;0.75,"No cumple",IF(BT267&gt;10,"No cumple","O.K"))</f>
        <v>O.K</v>
      </c>
      <c r="CI267" s="541" t="str">
        <f ca="1">IF(CE267&gt;0.1,"OK","V.C.H.")</f>
        <v>OK</v>
      </c>
      <c r="CJ267" s="541" t="str">
        <f ca="1">IF(CF267&gt;0.2,"OK","V.C.H.")</f>
        <v>OK</v>
      </c>
      <c r="CK267" s="537">
        <f>+BJ267</f>
        <v>4.0000000000077307E-2</v>
      </c>
      <c r="CL267" s="555" t="s">
        <v>2507</v>
      </c>
      <c r="CM267" s="555"/>
      <c r="CN267" s="556" t="str">
        <f>IF(B267=1,"dato"," ")</f>
        <v xml:space="preserve"> </v>
      </c>
      <c r="CO267" s="557">
        <f>+CR267</f>
        <v>102.17</v>
      </c>
      <c r="CP267" s="542"/>
      <c r="CQ267" s="555" t="s">
        <v>2508</v>
      </c>
      <c r="CR267" s="553">
        <f>IF(BA267="","",AX267)</f>
        <v>102.17</v>
      </c>
      <c r="CS267" s="558">
        <v>1.2</v>
      </c>
      <c r="CT267" s="558">
        <v>1.2</v>
      </c>
      <c r="CU267" s="550">
        <f>IF($BA267="","",SQRT((BH267-BI267)^2+$CR267^2))</f>
        <v>102.27246857781424</v>
      </c>
      <c r="CV267" s="559" t="s">
        <v>2509</v>
      </c>
      <c r="CW267" s="560" t="str">
        <f ca="1">+IF(BD267&lt;=0.9,"E1",IF(BD267&lt;=2.5,"E2","E3"))</f>
        <v>E2</v>
      </c>
      <c r="CX267" s="553">
        <f ca="1">IF(AND(L267="",H267=""),"",IF(AND(BA267&lt;&gt;4,BA267&lt;&gt;5),VLOOKUP(AY267,'TABLA (2)'!$A$9:$D$43,4),IF(BA267=4,VLOOKUP(AY267,'TABLA (2)'!$A$74:$D$89,4),VLOOKUP(AY267,'TABLA (2)'!$A$51:$D$66,4))))</f>
        <v>1.55E-2</v>
      </c>
      <c r="CY267" s="555"/>
      <c r="CZ267" s="555"/>
      <c r="DA267" s="555"/>
      <c r="DB267" s="561"/>
    </row>
    <row r="268" spans="1:106" ht="15" hidden="1" customHeight="1">
      <c r="A268" s="465">
        <f>+A267+1</f>
        <v>178</v>
      </c>
      <c r="B268" s="491"/>
      <c r="C268" s="466" t="s">
        <v>2341</v>
      </c>
      <c r="D268" s="466" t="s">
        <v>2232</v>
      </c>
      <c r="E268" s="468">
        <v>8.398241020000001E-2</v>
      </c>
      <c r="F268" s="468"/>
      <c r="G268" s="468">
        <f>IF(B268=1,0,SUMIF($D$22:$D$583,C268,$H$22:$H$583))</f>
        <v>1.3065015362000001</v>
      </c>
      <c r="H268" s="468">
        <f>+E268+F268+G268</f>
        <v>1.3904839464000001</v>
      </c>
      <c r="I268" s="468">
        <v>8.398241020000001E-2</v>
      </c>
      <c r="J268" s="468"/>
      <c r="K268" s="467">
        <f ca="1">+IF(B268=1,0,SUMIF($D$22:$D$583,C268,$L$22:$L$580))</f>
        <v>1.3065015362000001</v>
      </c>
      <c r="L268" s="468">
        <f ca="1">+I268+J268+K268</f>
        <v>1.3904839464000001</v>
      </c>
      <c r="M268" s="469">
        <f>+$P$12</f>
        <v>242.33666300502347</v>
      </c>
      <c r="N268" s="470">
        <f>M268*E268</f>
        <v>20.352017038987047</v>
      </c>
      <c r="O268" s="470">
        <f>M268*F268</f>
        <v>0</v>
      </c>
      <c r="P268" s="470">
        <f>M268*H268</f>
        <v>336.96523953263193</v>
      </c>
      <c r="Q268" s="469">
        <f t="shared" si="736"/>
        <v>140</v>
      </c>
      <c r="R268" s="471">
        <f>Q268*P268*$P$14/86400</f>
        <v>0.46410721648591663</v>
      </c>
      <c r="S268" s="471"/>
      <c r="T268" s="471"/>
      <c r="U268" s="471">
        <f>IF(C268="","",T268*$P$17)</f>
        <v>0</v>
      </c>
      <c r="V268" s="471"/>
      <c r="W268" s="471"/>
      <c r="X268" s="471">
        <f>IF(C268="","",W268*$P$16)</f>
        <v>0</v>
      </c>
      <c r="Y268" s="471">
        <f>IF(H268=0,0,$H$15*H268)</f>
        <v>0.27809678928000003</v>
      </c>
      <c r="Z268" s="471">
        <f ca="1">IF(L268=0,$H$16*H268,0)</f>
        <v>0</v>
      </c>
      <c r="AA268" s="471">
        <f t="shared" si="527"/>
        <v>3.8</v>
      </c>
      <c r="AB268" s="471">
        <f>R268*AA268</f>
        <v>1.7636074226464831</v>
      </c>
      <c r="AC268" s="471">
        <f>Q268*(N268+O268)*$P$14/86400</f>
        <v>2.8031134579160399E-2</v>
      </c>
      <c r="AD268" s="471">
        <f t="shared" si="738"/>
        <v>1.6796482040000001E-2</v>
      </c>
      <c r="AE268" s="471">
        <f t="shared" si="738"/>
        <v>0</v>
      </c>
      <c r="AF268" s="510">
        <f t="shared" si="737"/>
        <v>3.8</v>
      </c>
      <c r="AG268" s="471">
        <f>AC268*AF268</f>
        <v>0.10651831140080951</v>
      </c>
      <c r="AH268" s="471">
        <f>+AD268+AE268+AG268</f>
        <v>0.12331479344080952</v>
      </c>
      <c r="AI268" s="471">
        <f ca="1">IF(H268="","",IF(AB268+Y268+Z268+X268+U268&lt;1.5,1.5,AB268+Y268+Z268+X268+U268))</f>
        <v>2.0417042119264832</v>
      </c>
      <c r="AJ268" s="471">
        <f>+$P$17</f>
        <v>0.75</v>
      </c>
      <c r="AK268" s="472">
        <f>+BK268/100</f>
        <v>2.8679443423467683E-2</v>
      </c>
      <c r="AL268" s="471">
        <f>IF(AJ268=0," ",0.14+0.65*AJ268+0.05*AK268)</f>
        <v>0.62893397217117342</v>
      </c>
      <c r="AM268" s="473">
        <f>((100/36)*$AM$14*(AP268+$AN$14)^$AO$14)</f>
        <v>320.1191710641038</v>
      </c>
      <c r="AN268" s="474">
        <f>IF(B268=1,IF((0.702*(1.1-$AJ268)*SQRT($CO268))/(($CP268)^(1/3))&lt;5,5,(0.702*(1.1-$AJ268)*SQRT($CO268))/(($CP268)^(1/3))),AP267)</f>
        <v>11.500209911093844</v>
      </c>
      <c r="AO268" s="474">
        <f>((1/60)*$AX268/$AQ268)</f>
        <v>0.21161111111111111</v>
      </c>
      <c r="AP268" s="474">
        <f>IF(B268=1,IF(($AN268+$AO268)&lt;10,10,IF(($AN268+$AO268)&gt;20,20,($AN268+$AO268))),($AN268+$AO268))</f>
        <v>11.711821022204955</v>
      </c>
      <c r="AQ268" s="475">
        <v>3</v>
      </c>
      <c r="AR268" s="474">
        <f ca="1">((1/60)*$AX268/$BT268)</f>
        <v>0.23766447108739297</v>
      </c>
      <c r="AS268" s="474">
        <f ca="1">AO268/AR268</f>
        <v>0.89037755682589326</v>
      </c>
      <c r="AT268" s="471" t="str">
        <f ca="1">IF(AS268&lt;0.9,"Disminuir vel.",IF(AS268&gt;1.1,"Aumentar vel.","Cumple"))</f>
        <v>Disminuir vel.</v>
      </c>
      <c r="AU268" s="492">
        <f>+I268*AL268*AM268</f>
        <v>16.908499611682029</v>
      </c>
      <c r="AV268" s="471">
        <f ca="1">+L268*AL268*AM268</f>
        <v>279.95144711570202</v>
      </c>
      <c r="AW268" s="471">
        <f t="shared" ca="1" si="667"/>
        <v>279.95</v>
      </c>
      <c r="AX268" s="478">
        <f>IF(OR(C268="",D268=""),"",ROUND(((VLOOKUP(C268,'Base de Diseño (2)'!$A$2:$C$333,2,FALSE)-VLOOKUP(D268,'Base de Diseño (2)'!$A$2:$C$333,2,FALSE))^2+(VLOOKUP(C268,'Base de Diseño (2)'!$A$2:$C$333,3,0)-VLOOKUP(D268,'Base de Diseño (2)'!$A$2:$C$333,3,FALSE))^2)^0.5,2))</f>
        <v>38.090000000000003</v>
      </c>
      <c r="AY268" s="493">
        <v>18</v>
      </c>
      <c r="AZ268" s="480">
        <f ca="1">IF(AND(L268="",H268=""),"",IF(BA268=4,VLOOKUP(AY268,'TABLA (2)'!$A$74:$C$89,2),IF(BA268=5,VLOOKUP(AY268,'TABLA (2)'!$A$51:$B$66,2),IF(BA268=6,VLOOKUP(AY268,'TABLA (2)'!$A$9:$B$43,2)))))</f>
        <v>450</v>
      </c>
      <c r="BA268" s="493">
        <v>6</v>
      </c>
      <c r="BB268" s="478">
        <f>IF(OR(C268="",D268=""),"",VLOOKUP(C268,'Base de Diseño (2)'!$A$2:$D$330,4,FALSE))</f>
        <v>991.83399999999995</v>
      </c>
      <c r="BC268" s="478">
        <f>IF(OR(C268="",D268=""),"",VLOOKUP(D268,'Base de Diseño (2)'!$A$2:$D$330,4,FALSE))</f>
        <v>990.74160000000006</v>
      </c>
      <c r="BD268" s="478">
        <f ca="1">+BF268-((AZ268/1000)+CX268)</f>
        <v>1.8280000000000318</v>
      </c>
      <c r="BE268" s="478">
        <f ca="1">+BG268-((AZ268/1000)+CX268)</f>
        <v>1.7679999999999727</v>
      </c>
      <c r="BF268" s="494">
        <v>2.3400000000000318</v>
      </c>
      <c r="BG268" s="494">
        <v>2.2799999999999727</v>
      </c>
      <c r="BH268" s="495">
        <f t="shared" si="739"/>
        <v>989.49399999999991</v>
      </c>
      <c r="BI268" s="495">
        <f t="shared" si="739"/>
        <v>988.46160000000009</v>
      </c>
      <c r="BJ268" s="468">
        <f>IF(A268="",0,BI268-BH269)</f>
        <v>1.999999999998181E-2</v>
      </c>
      <c r="BK268" s="475">
        <f>ABS((BB268-BC268)/AX268)*100</f>
        <v>2.8679443423467683</v>
      </c>
      <c r="BL268" s="475">
        <f>((BH268-BI268)/AX268)*100</f>
        <v>2.7104226831184692</v>
      </c>
      <c r="BM268" s="475">
        <f ca="1">IF(BA268=6,(1/0.013)*((AZ268/4000)^(2/3))*((BL268/100)^(0.5)),(1/0.009)*((AZ268/4000)^(2/3))*((BL268/100)^(0.5)))</f>
        <v>2.9512783657718895</v>
      </c>
      <c r="BN268" s="475">
        <f ca="1">1000*BM268*PI()*((AZ268/1000/2)^2)</f>
        <v>469.38054315075266</v>
      </c>
      <c r="BO268" s="204">
        <f ca="1">AI268/BN268</f>
        <v>4.349784501550465E-3</v>
      </c>
      <c r="BP268" s="496">
        <f ca="1">IF(L268=0," ",AW268/BN268)</f>
        <v>0.59642438120850572</v>
      </c>
      <c r="BQ268" s="497">
        <f ca="1">IF($BO268&gt;0 =AND($BO268&lt;=0.06),10^(0.029806+0.29095*LOG($BO268)),IF($BO268&gt;0.06 =AND($BO268&lt;=0.26),10^(0.013778+0.282597*LOG($BO268)),IF($BO268&gt;0.26 =AND($BO268&lt;=0.91),10^(0.021763+0.28995*LOG($BO268)),1)))</f>
        <v>0.22014974634135706</v>
      </c>
      <c r="BR268" s="497">
        <f ca="1">IF($BP268&gt;0 =AND($BP268&lt;=0.06),10^(0.029806+0.29095*LOG($BP268)),IF($BP268&gt;0.06 =AND($BP268&lt;=0.26),10^(0.013778+0.282597*LOG($BP268)),IF($BP268&gt;0.26 =AND($BP268&lt;=2),10^(0.021763+0.28995*LOG($BP268))," ")))</f>
        <v>0.90507649209127072</v>
      </c>
      <c r="BS268" s="475">
        <f ca="1">BM268*BQ268</f>
        <v>0.64972318360741632</v>
      </c>
      <c r="BT268" s="475">
        <f ca="1">IF(BP268=" "," ",(BM268*BR268))</f>
        <v>2.6711326704776801</v>
      </c>
      <c r="BU268" s="475">
        <f ca="1">IF(BO268&lt;=0.11,0.3827+0.0645*LN(BO268),IF(BO268&lt;=0.21,0.60025+0.15471*LN(BO268),IF(BO268&lt;1,0.225+0.6666666667*BO268,0)))</f>
        <v>3.1972931113651903E-2</v>
      </c>
      <c r="BV268" s="475">
        <f ca="1">IF(BP268&lt;=0.11,0.3827+0.0645*LN(BP268),IF(BP268&lt;=0.21,0.60025+0.15471*LN(BP268),IF(BP268&lt;1,0.225+0.6666666667*BP268," ")))</f>
        <v>0.62261625415888466</v>
      </c>
      <c r="BW268" s="475">
        <f ca="1">2*ACOS(1-2*(BU268))</f>
        <v>0.71910633526202572</v>
      </c>
      <c r="BX268" s="475">
        <f ca="1">IF(BP268=" "," ",(2*ACOS(1-2*(BV268))))</f>
        <v>3.6371116876122684</v>
      </c>
      <c r="BY268" s="475">
        <f ca="1">(1/4)*(1-(SIN(BW268))/BW268)</f>
        <v>2.0996125960087514E-2</v>
      </c>
      <c r="BZ268" s="475">
        <f ca="1">IF(BP268=" "," ",((1/4)*(1-(SIN(BX268))/BX268)))</f>
        <v>0.28268309869223657</v>
      </c>
      <c r="CA268" s="471">
        <f ca="1">BY268*AZ268/1000</f>
        <v>9.4482566820393819E-3</v>
      </c>
      <c r="CB268" s="471">
        <f ca="1">IF(BP268=" "," ",(BZ268*AZ268/1000))</f>
        <v>0.12720739441150647</v>
      </c>
      <c r="CC268" s="471">
        <f ca="1">+(BT268/SQRT(9.81*(0.125*(BX268-SIN(BX268))*(AZ268/1000)^2)/((AZ268/1000)*SIN(BX268/2))))</f>
        <v>1.7458517605807304</v>
      </c>
      <c r="CD268" s="471" t="str">
        <f ca="1">IF(CC268="","",IF(CC268&lt;0.7,"F. Subcrítico",IF(AND(CC268&gt;0.7,CC268&lt;1),"F. Subcrítico Inestable",IF(CC268=1,"F. Crítico",IF(AND(CC268&gt;1,CC268&lt;1.5),"F. Supercrítico Inestable",IF(CC268&gt;1.5,"F. Supercrítico",""))))))</f>
        <v>F. Supercrítico</v>
      </c>
      <c r="CE268" s="471">
        <f ca="1">1000*BL268*CA268/100</f>
        <v>0.25608769226925188</v>
      </c>
      <c r="CF268" s="471">
        <f ca="1">IF(BP268=" "," ",(1000*BL268*CB268/100))</f>
        <v>3.4478580727334474</v>
      </c>
      <c r="CG268" s="471" t="str">
        <f ca="1">IF(BS268&lt;0.45,"No cumple",IF(BS268&gt;5,"No cumple","O.K"))</f>
        <v>O.K</v>
      </c>
      <c r="CH268" s="471" t="str">
        <f ca="1">IF(BT268&lt;0.75,"No cumple",IF(BT268&gt;10,"No cumple","O.K"))</f>
        <v>O.K</v>
      </c>
      <c r="CI268" s="471" t="str">
        <f ca="1">IF(CE268&gt;0.1,"OK","V.C.H.")</f>
        <v>OK</v>
      </c>
      <c r="CJ268" s="471" t="str">
        <f ca="1">IF(CF268&gt;0.2,"OK","V.C.H.")</f>
        <v>OK</v>
      </c>
      <c r="CK268" s="468">
        <f>+BJ268</f>
        <v>1.999999999998181E-2</v>
      </c>
      <c r="CL268" s="482" t="s">
        <v>2507</v>
      </c>
      <c r="CM268" s="482"/>
      <c r="CN268" s="63" t="str">
        <f>IF(B268=1,"dato"," ")</f>
        <v xml:space="preserve"> </v>
      </c>
      <c r="CO268" s="498"/>
      <c r="CP268" s="472"/>
      <c r="CQ268" s="482" t="s">
        <v>2508</v>
      </c>
      <c r="CR268" s="204">
        <f>IF(BA268="","",AX268)</f>
        <v>38.090000000000003</v>
      </c>
      <c r="CS268" s="486">
        <v>1.2</v>
      </c>
      <c r="CT268" s="486">
        <v>1.2</v>
      </c>
      <c r="CU268" s="23">
        <f>IF($BA268="","",SQRT((BH268-BI268)^2+$CR268^2))</f>
        <v>38.103988633212658</v>
      </c>
      <c r="CV268" s="499" t="s">
        <v>2509</v>
      </c>
      <c r="CW268" s="488" t="str">
        <f ca="1">+IF(BD268&lt;=0.9,"E1",IF(BD268&lt;=2.5,"E2","E3"))</f>
        <v>E2</v>
      </c>
      <c r="CX268" s="204">
        <f ca="1">IF(AND(L268="",H268=""),"",IF(AND(BA268&lt;&gt;4,BA268&lt;&gt;5),VLOOKUP(AY268,'TABLA (2)'!$A$9:$D$43,4),IF(BA268=4,VLOOKUP(AY268,'TABLA (2)'!$A$74:$D$89,4),VLOOKUP(AY268,'TABLA (2)'!$A$51:$D$66,4))))</f>
        <v>6.2E-2</v>
      </c>
      <c r="CY268" s="482"/>
      <c r="CZ268" s="482"/>
      <c r="DA268" s="482"/>
      <c r="DB268" s="490"/>
    </row>
    <row r="269" spans="1:106" ht="15" hidden="1" customHeight="1">
      <c r="A269" s="465">
        <f>+A268+1</f>
        <v>179</v>
      </c>
      <c r="B269" s="491"/>
      <c r="C269" s="466" t="s">
        <v>2232</v>
      </c>
      <c r="D269" s="466" t="s">
        <v>2342</v>
      </c>
      <c r="E269" s="468">
        <v>0.37616218099999998</v>
      </c>
      <c r="F269" s="468"/>
      <c r="G269" s="468">
        <f>IF(B269=1,0,SUMIF($D$22:$D$583,C269,$H$22:$H$583))</f>
        <v>1.5599779665</v>
      </c>
      <c r="H269" s="468">
        <f>+E269+F269+G269</f>
        <v>1.9361401475</v>
      </c>
      <c r="I269" s="468">
        <v>0.37616218099999998</v>
      </c>
      <c r="J269" s="468"/>
      <c r="K269" s="467">
        <f ca="1">+IF(B269=1,0,SUMIF($D$22:$D$583,C269,$L$22:$L$580))</f>
        <v>1.5599779665</v>
      </c>
      <c r="L269" s="468">
        <f ca="1">+I269+J269+K269</f>
        <v>1.9361401475</v>
      </c>
      <c r="M269" s="469">
        <f>+$P$12</f>
        <v>242.33666300502347</v>
      </c>
      <c r="N269" s="470">
        <f>M269*E269</f>
        <v>91.15788769223164</v>
      </c>
      <c r="O269" s="470">
        <f>M269*F269</f>
        <v>0</v>
      </c>
      <c r="P269" s="470">
        <f>M269*H269</f>
        <v>469.19774245520392</v>
      </c>
      <c r="Q269" s="469">
        <f t="shared" si="736"/>
        <v>140</v>
      </c>
      <c r="R269" s="471">
        <f>Q269*P269*$P$14/86400</f>
        <v>0.64623300176121834</v>
      </c>
      <c r="S269" s="471"/>
      <c r="T269" s="471"/>
      <c r="U269" s="471">
        <f>IF(C269="","",T269*$P$17)</f>
        <v>0</v>
      </c>
      <c r="V269" s="471"/>
      <c r="W269" s="471"/>
      <c r="X269" s="471">
        <f>IF(C269="","",W269*$P$16)</f>
        <v>0</v>
      </c>
      <c r="Y269" s="471">
        <f>IF(H269=0,0,$H$15*H269)</f>
        <v>0.38722802950000001</v>
      </c>
      <c r="Z269" s="471">
        <f ca="1">IF(L269=0,$H$16*H269,0)</f>
        <v>0</v>
      </c>
      <c r="AA269" s="471">
        <f t="shared" si="527"/>
        <v>3.8</v>
      </c>
      <c r="AB269" s="471">
        <f>R269*AA269</f>
        <v>2.4556854066926297</v>
      </c>
      <c r="AC269" s="471">
        <f>Q269*(N269+O269)*$P$14/86400</f>
        <v>0.1255531092057357</v>
      </c>
      <c r="AD269" s="471">
        <f t="shared" si="738"/>
        <v>7.5232436200000002E-2</v>
      </c>
      <c r="AE269" s="471">
        <f t="shared" si="738"/>
        <v>0</v>
      </c>
      <c r="AF269" s="510">
        <f t="shared" si="737"/>
        <v>3.8</v>
      </c>
      <c r="AG269" s="471">
        <f>AC269*AF269</f>
        <v>0.47710181498179566</v>
      </c>
      <c r="AH269" s="471">
        <f>+AD269+AE269+AG269</f>
        <v>0.55233425118179569</v>
      </c>
      <c r="AI269" s="471">
        <f ca="1">IF(H269="","",IF(AB269+Y269+Z269+X269+U269&lt;1.5,1.5,AB269+Y269+Z269+X269+U269))</f>
        <v>2.8429134361926298</v>
      </c>
      <c r="AJ269" s="471">
        <f>+$P$17</f>
        <v>0.75</v>
      </c>
      <c r="AK269" s="472">
        <f>+BK269/100</f>
        <v>3.44041614123596E-2</v>
      </c>
      <c r="AL269" s="471">
        <f>IF(AJ269=0," ",0.14+0.65*AJ269+0.05*AK269)</f>
        <v>0.62922020807061807</v>
      </c>
      <c r="AM269" s="473">
        <f>((100/36)*$AM$14*(AP269+$AN$14)^$AO$14)</f>
        <v>316.9666023896666</v>
      </c>
      <c r="AN269" s="474">
        <f>IF(B269=1,IF((0.702*(1.1-$AJ269)*SQRT($CO269))/(($CP269)^(1/3))&lt;5,5,(0.702*(1.1-$AJ269)*SQRT($CO269))/(($CP269)^(1/3))),AP268)</f>
        <v>11.711821022204955</v>
      </c>
      <c r="AO269" s="474">
        <f>((1/60)*$AX269/$AQ269)</f>
        <v>0.35244444444444439</v>
      </c>
      <c r="AP269" s="474">
        <f>IF(B269=1,IF(($AN269+$AO269)&lt;10,10,IF(($AN269+$AO269)&gt;20,20,($AN269+$AO269))),($AN269+$AO269))</f>
        <v>12.064265466649399</v>
      </c>
      <c r="AQ269" s="475">
        <v>3</v>
      </c>
      <c r="AR269" s="474">
        <f ca="1">((1/60)*$AX269/$BT269)</f>
        <v>0.33237518347408695</v>
      </c>
      <c r="AS269" s="474">
        <f ca="1">AO269/AR269</f>
        <v>1.0603813460457168</v>
      </c>
      <c r="AT269" s="471" t="str">
        <f ca="1">IF(AS269&lt;0.9,"Disminuir vel.",IF(AS269&gt;1.1,"Aumentar vel.","Cumple"))</f>
        <v>Cumple</v>
      </c>
      <c r="AU269" s="492">
        <f>+I269*AL269*AM269</f>
        <v>75.022459275844056</v>
      </c>
      <c r="AV269" s="471">
        <f ca="1">+L269*AL269*AM269</f>
        <v>386.14725962614898</v>
      </c>
      <c r="AW269" s="471">
        <f t="shared" ca="1" si="667"/>
        <v>386.15</v>
      </c>
      <c r="AX269" s="478">
        <f>IF(OR(C269="",D269=""),"",ROUND(((VLOOKUP(C269,'Base de Diseño (2)'!$A$2:$C$333,2,FALSE)-VLOOKUP(D269,'Base de Diseño (2)'!$A$2:$C$333,2,FALSE))^2+(VLOOKUP(C269,'Base de Diseño (2)'!$A$2:$C$333,3,0)-VLOOKUP(D269,'Base de Diseño (2)'!$A$2:$C$333,3,FALSE))^2)^0.5,2))</f>
        <v>63.44</v>
      </c>
      <c r="AY269" s="493">
        <v>20</v>
      </c>
      <c r="AZ269" s="480">
        <f ca="1">IF(AND(L269="",H269=""),"",IF(BA269=4,VLOOKUP(AY269,'TABLA (2)'!$A$74:$C$89,2),IF(BA269=5,VLOOKUP(AY269,'TABLA (2)'!$A$51:$B$66,2),IF(BA269=6,VLOOKUP(AY269,'TABLA (2)'!$A$9:$B$43,2)))))</f>
        <v>500</v>
      </c>
      <c r="BA269" s="493">
        <v>6</v>
      </c>
      <c r="BB269" s="478">
        <f>IF(OR(C269="",D269=""),"",VLOOKUP(C269,'Base de Diseño (2)'!$A$2:$D$330,4,FALSE))</f>
        <v>990.74160000000006</v>
      </c>
      <c r="BC269" s="478">
        <f>IF(OR(C269="",D269=""),"",VLOOKUP(D269,'Base de Diseño (2)'!$A$2:$D$330,4,FALSE))</f>
        <v>988.55899999999997</v>
      </c>
      <c r="BD269" s="478">
        <f ca="1">+BF269-((AZ269/1000)+CX269)</f>
        <v>1.7299999999999545</v>
      </c>
      <c r="BE269" s="478">
        <f ca="1">+BG269-((AZ269/1000)+CX269)</f>
        <v>1.7800000000000227</v>
      </c>
      <c r="BF269" s="494">
        <v>2.2999999999999545</v>
      </c>
      <c r="BG269" s="494">
        <v>2.3500000000000227</v>
      </c>
      <c r="BH269" s="495">
        <f t="shared" si="739"/>
        <v>988.44160000000011</v>
      </c>
      <c r="BI269" s="495">
        <f t="shared" si="739"/>
        <v>986.20899999999995</v>
      </c>
      <c r="BJ269" s="468">
        <f>IF(A269="",0,BI269-BH270)</f>
        <v>986.20899999999995</v>
      </c>
      <c r="BK269" s="475">
        <f>ABS((BB269-BC269)/AX269)*100</f>
        <v>3.4404161412359602</v>
      </c>
      <c r="BL269" s="475">
        <f>((BH269-BI269)/AX269)*100</f>
        <v>3.5192307692310236</v>
      </c>
      <c r="BM269" s="475">
        <f ca="1">IF(BA269=6,(1/0.013)*((AZ269/4000)^(2/3))*((BL269/100)^(0.5)),(1/0.009)*((AZ269/4000)^(2/3))*((BL269/100)^(0.5)))</f>
        <v>3.6076178693069942</v>
      </c>
      <c r="BN269" s="475">
        <f ca="1">1000*BM269*PI()*((AZ269/1000/2)^2)</f>
        <v>708.35411219838215</v>
      </c>
      <c r="BO269" s="204">
        <f ca="1">AI269/BN269</f>
        <v>4.01340711832621E-3</v>
      </c>
      <c r="BP269" s="496">
        <f ca="1">IF(L269=0," ",AW269/BN269)</f>
        <v>0.54513694965584469</v>
      </c>
      <c r="BQ269" s="497">
        <f ca="1">IF($BO269&gt;0 =AND($BO269&lt;=0.06),10^(0.029806+0.29095*LOG($BO269)),IF($BO269&gt;0.06 =AND($BO269&lt;=0.26),10^(0.013778+0.282597*LOG($BO269)),IF($BO269&gt;0.26 =AND($BO269&lt;=0.91),10^(0.021763+0.28995*LOG($BO269)),1)))</f>
        <v>0.21505431965940425</v>
      </c>
      <c r="BR269" s="497">
        <f ca="1">IF($BP269&gt;0 =AND($BP269&lt;=0.06),10^(0.029806+0.29095*LOG($BP269)),IF($BP269&gt;0.06 =AND($BP269&lt;=0.26),10^(0.013778+0.282597*LOG($BP269)),IF($BP269&gt;0.26 =AND($BP269&lt;=2),10^(0.021763+0.28995*LOG($BP269))," ")))</f>
        <v>0.8817851982610988</v>
      </c>
      <c r="BS269" s="475">
        <f ca="1">BM269*BQ269</f>
        <v>0.77583380647492517</v>
      </c>
      <c r="BT269" s="475">
        <f ca="1">IF(BP269=" "," ",(BM269*BR269))</f>
        <v>3.1811440381371505</v>
      </c>
      <c r="BU269" s="475">
        <f ca="1">IF(BO269&lt;=0.11,0.3827+0.0645*LN(BO269),IF(BO269&lt;=0.21,0.60025+0.15471*LN(BO269),IF(BO269&lt;1,0.225+0.6666666667*BO269,0)))</f>
        <v>2.678159907820471E-2</v>
      </c>
      <c r="BV269" s="475">
        <f ca="1">IF(BP269&lt;=0.11,0.3827+0.0645*LN(BP269),IF(BP269&lt;=0.21,0.60025+0.15471*LN(BP269),IF(BP269&lt;1,0.225+0.6666666667*BP269," ")))</f>
        <v>0.58842463312206772</v>
      </c>
      <c r="BW269" s="475">
        <f ca="1">2*ACOS(1-2*(BU269))</f>
        <v>0.65756105322148262</v>
      </c>
      <c r="BX269" s="475">
        <f ca="1">IF(BP269=" "," ",(2*ACOS(1-2*(BV269))))</f>
        <v>3.4971613205693566</v>
      </c>
      <c r="BY269" s="475">
        <f ca="1">(1/4)*(1-(SIN(BW269))/BW269)</f>
        <v>1.763059554271984E-2</v>
      </c>
      <c r="BZ269" s="475">
        <f ca="1">IF(BP269=" "," ",((1/4)*(1-(SIN(BX269))/BX269)))</f>
        <v>0.2748861494860072</v>
      </c>
      <c r="CA269" s="471">
        <f ca="1">BY269*AZ269/1000</f>
        <v>8.8152977713599184E-3</v>
      </c>
      <c r="CB269" s="471">
        <f ca="1">IF(BP269=" "," ",(BZ269*AZ269/1000))</f>
        <v>0.1374430747430036</v>
      </c>
      <c r="CC269" s="471">
        <f ca="1">+(BT269/SQRT(9.81*(0.125*(BX269-SIN(BX269))*(AZ269/1000)^2)/((AZ269/1000)*SIN(BX269/2))))</f>
        <v>2.0553917847614569</v>
      </c>
      <c r="CD269" s="471" t="str">
        <f ca="1">IF(CC269="","",IF(CC269&lt;0.7,"F. Subcrítico",IF(AND(CC269&gt;0.7,CC269&lt;1),"F. Subcrítico Inestable",IF(CC269=1,"F. Crítico",IF(AND(CC269&gt;1,CC269&lt;1.5),"F. Supercrítico Inestable",IF(CC269&gt;1.5,"F. Supercrítico",""))))))</f>
        <v>F. Supercrítico</v>
      </c>
      <c r="CE269" s="471">
        <f ca="1">1000*BL269*CA269/100</f>
        <v>0.31023067156903494</v>
      </c>
      <c r="CF269" s="471">
        <f ca="1">IF(BP269=" "," ",(1000*BL269*CB269/100))</f>
        <v>4.8369389765329762</v>
      </c>
      <c r="CG269" s="471" t="str">
        <f ca="1">IF(BS269&lt;0.45,"No cumple",IF(BS269&gt;5,"No cumple","O.K"))</f>
        <v>O.K</v>
      </c>
      <c r="CH269" s="471" t="str">
        <f ca="1">IF(BT269&lt;0.75,"No cumple",IF(BT269&gt;10,"No cumple","O.K"))</f>
        <v>O.K</v>
      </c>
      <c r="CI269" s="471" t="str">
        <f ca="1">IF(CE269&gt;0.1,"OK","V.C.H.")</f>
        <v>OK</v>
      </c>
      <c r="CJ269" s="471" t="str">
        <f ca="1">IF(CF269&gt;0.2,"OK","V.C.H.")</f>
        <v>OK</v>
      </c>
      <c r="CK269" s="468">
        <f>+BJ269</f>
        <v>986.20899999999995</v>
      </c>
      <c r="CL269" s="482" t="s">
        <v>2507</v>
      </c>
      <c r="CM269" s="482"/>
      <c r="CN269" s="63" t="str">
        <f>IF(B269=1,"dato"," ")</f>
        <v xml:space="preserve"> </v>
      </c>
      <c r="CO269" s="498">
        <f>+CR269</f>
        <v>63.44</v>
      </c>
      <c r="CP269" s="472">
        <f>+BK269/100</f>
        <v>3.44041614123596E-2</v>
      </c>
      <c r="CQ269" s="482" t="s">
        <v>2508</v>
      </c>
      <c r="CR269" s="204">
        <f>IF(BA269="","",AX269)</f>
        <v>63.44</v>
      </c>
      <c r="CS269" s="486">
        <v>1.2</v>
      </c>
      <c r="CT269" s="486">
        <v>1.2</v>
      </c>
      <c r="CU269" s="23">
        <f>IF($BA269="","",SQRT((BH269-BI269)^2+$CR269^2))</f>
        <v>63.479273016946252</v>
      </c>
      <c r="CV269" s="499" t="s">
        <v>2509</v>
      </c>
      <c r="CW269" s="488" t="str">
        <f ca="1">+IF(BD269&lt;=0.9,"E1",IF(BD269&lt;=2.5,"E2","E3"))</f>
        <v>E2</v>
      </c>
      <c r="CX269" s="204">
        <f ca="1">IF(AND(L269="",H269=""),"",IF(AND(BA269&lt;&gt;4,BA269&lt;&gt;5),VLOOKUP(AY269,'TABLA (2)'!$A$9:$D$43,4),IF(BA269=4,VLOOKUP(AY269,'TABLA (2)'!$A$74:$D$89,4),VLOOKUP(AY269,'TABLA (2)'!$A$51:$D$66,4))))</f>
        <v>7.0000000000000007E-2</v>
      </c>
      <c r="CY269" s="482"/>
      <c r="CZ269" s="482"/>
      <c r="DA269" s="482"/>
      <c r="DB269" s="490"/>
    </row>
    <row r="270" spans="1:106" ht="15" hidden="1" customHeight="1">
      <c r="A270" s="465"/>
      <c r="B270" s="491"/>
      <c r="C270" s="466"/>
      <c r="D270" s="466"/>
      <c r="E270" s="468"/>
      <c r="F270" s="468"/>
      <c r="G270" s="468"/>
      <c r="H270" s="468"/>
      <c r="I270" s="468"/>
      <c r="J270" s="468"/>
      <c r="K270" s="467"/>
      <c r="L270" s="468"/>
      <c r="M270" s="469"/>
      <c r="N270" s="470"/>
      <c r="O270" s="470"/>
      <c r="P270" s="470"/>
      <c r="Q270" s="469">
        <f t="shared" si="736"/>
        <v>140</v>
      </c>
      <c r="R270" s="471"/>
      <c r="S270" s="471"/>
      <c r="T270" s="471"/>
      <c r="U270" s="471"/>
      <c r="V270" s="471"/>
      <c r="W270" s="471"/>
      <c r="X270" s="471"/>
      <c r="Y270" s="471"/>
      <c r="Z270" s="471"/>
      <c r="AA270" s="471" t="str">
        <f t="shared" si="527"/>
        <v/>
      </c>
      <c r="AB270" s="471"/>
      <c r="AC270" s="471"/>
      <c r="AD270" s="471"/>
      <c r="AE270" s="471"/>
      <c r="AF270" s="510" t="str">
        <f t="shared" si="737"/>
        <v/>
      </c>
      <c r="AG270" s="471"/>
      <c r="AH270" s="471"/>
      <c r="AI270" s="471"/>
      <c r="AJ270" s="471"/>
      <c r="AK270" s="472"/>
      <c r="AL270" s="471"/>
      <c r="AM270" s="473"/>
      <c r="AN270" s="474"/>
      <c r="AO270" s="474"/>
      <c r="AP270" s="474"/>
      <c r="AQ270" s="475"/>
      <c r="AR270" s="474"/>
      <c r="AS270" s="474"/>
      <c r="AT270" s="471"/>
      <c r="AU270" s="492"/>
      <c r="AV270" s="471"/>
      <c r="AW270" s="471">
        <f t="shared" si="667"/>
        <v>0</v>
      </c>
      <c r="AX270" s="478"/>
      <c r="AY270" s="493"/>
      <c r="AZ270" s="480"/>
      <c r="BA270" s="493"/>
      <c r="BB270" s="478" t="str">
        <f>IF(OR(C270="",D270=""),"",VLOOKUP(C270,'Base de Diseño (2)'!$A$2:$D$330,4,FALSE))</f>
        <v/>
      </c>
      <c r="BC270" s="478" t="str">
        <f>IF(OR(C270="",D270=""),"",VLOOKUP(D270,'Base de Diseño (2)'!$A$2:$D$330,4,FALSE))</f>
        <v/>
      </c>
      <c r="BD270" s="478"/>
      <c r="BE270" s="478"/>
      <c r="BF270" s="494"/>
      <c r="BG270" s="494"/>
      <c r="BH270" s="495"/>
      <c r="BI270" s="495"/>
      <c r="BJ270" s="468"/>
      <c r="BK270" s="475"/>
      <c r="BL270" s="475"/>
      <c r="BM270" s="475"/>
      <c r="BN270" s="475"/>
      <c r="BO270" s="204"/>
      <c r="BP270" s="496"/>
      <c r="BQ270" s="497"/>
      <c r="BR270" s="497"/>
      <c r="BS270" s="475"/>
      <c r="BT270" s="475"/>
      <c r="BU270" s="475"/>
      <c r="BV270" s="475"/>
      <c r="BW270" s="475"/>
      <c r="BX270" s="475"/>
      <c r="BY270" s="475"/>
      <c r="BZ270" s="475"/>
      <c r="CA270" s="471"/>
      <c r="CB270" s="471"/>
      <c r="CC270" s="471"/>
      <c r="CD270" s="471"/>
      <c r="CE270" s="471"/>
      <c r="CF270" s="471"/>
      <c r="CG270" s="471"/>
      <c r="CH270" s="471"/>
      <c r="CI270" s="471"/>
      <c r="CJ270" s="471"/>
      <c r="CK270" s="468"/>
      <c r="CL270" s="482" t="s">
        <v>2507</v>
      </c>
      <c r="CM270" s="482"/>
      <c r="CN270" s="63"/>
      <c r="CO270" s="498"/>
      <c r="CP270" s="472"/>
      <c r="CQ270" s="482"/>
      <c r="CR270" s="204"/>
      <c r="CS270" s="486"/>
      <c r="CT270" s="486"/>
      <c r="CU270" s="23"/>
      <c r="CV270" s="499"/>
      <c r="CW270" s="488"/>
      <c r="CX270" s="204"/>
      <c r="CY270" s="482"/>
      <c r="CZ270" s="482"/>
      <c r="DA270" s="482"/>
      <c r="DB270" s="490"/>
    </row>
    <row r="271" spans="1:106" ht="15" hidden="1" customHeight="1">
      <c r="A271" s="465">
        <f>+A269+1</f>
        <v>180</v>
      </c>
      <c r="B271" s="491">
        <v>1</v>
      </c>
      <c r="C271" s="466" t="s">
        <v>2189</v>
      </c>
      <c r="D271" s="466" t="s">
        <v>2191</v>
      </c>
      <c r="E271" s="468">
        <v>3.0940452E-2</v>
      </c>
      <c r="F271" s="468"/>
      <c r="G271" s="468">
        <f>IF(B271=1,0,SUMIF($D$22:$D$583,C271,$H$22:$H$583))</f>
        <v>0</v>
      </c>
      <c r="H271" s="468">
        <f>+E271+F271+G271</f>
        <v>3.0940452E-2</v>
      </c>
      <c r="I271" s="468">
        <v>3.0940452E-2</v>
      </c>
      <c r="J271" s="468"/>
      <c r="K271" s="467">
        <f>+IF(B271=1,0,SUMIF($D$22:$D$583,C271,$L$22:$L$580))</f>
        <v>0</v>
      </c>
      <c r="L271" s="468">
        <f>+I271+J271+K271</f>
        <v>3.0940452E-2</v>
      </c>
      <c r="M271" s="469">
        <f>+$P$12</f>
        <v>242.33666300502347</v>
      </c>
      <c r="N271" s="470">
        <f>M271*E271</f>
        <v>7.4980058895471045</v>
      </c>
      <c r="O271" s="470">
        <f>M271*F271</f>
        <v>0</v>
      </c>
      <c r="P271" s="470">
        <f>M271*H271</f>
        <v>7.4980058895471045</v>
      </c>
      <c r="Q271" s="469">
        <f t="shared" si="736"/>
        <v>140</v>
      </c>
      <c r="R271" s="471">
        <f>Q271*P271*$P$14/86400</f>
        <v>1.0327114593241961E-2</v>
      </c>
      <c r="S271" s="471"/>
      <c r="T271" s="471"/>
      <c r="U271" s="471">
        <f>IF(C271="","",T271*$P$17)</f>
        <v>0</v>
      </c>
      <c r="V271" s="471"/>
      <c r="W271" s="471"/>
      <c r="X271" s="471">
        <f>IF(C271="","",W271*$P$16)</f>
        <v>0</v>
      </c>
      <c r="Y271" s="471">
        <f>IF(H271=0,0,$H$15*H271)</f>
        <v>6.1880904000000004E-3</v>
      </c>
      <c r="Z271" s="471">
        <f>IF(L271=0,$H$16*H271,0)</f>
        <v>0</v>
      </c>
      <c r="AA271" s="471">
        <f t="shared" si="527"/>
        <v>3.8</v>
      </c>
      <c r="AB271" s="471">
        <f>R271*AA271</f>
        <v>3.9243035454319453E-2</v>
      </c>
      <c r="AC271" s="471">
        <f>Q271*(N271+O271)*$P$14/86400</f>
        <v>1.0327114593241961E-2</v>
      </c>
      <c r="AD271" s="471">
        <f>IF(E271=0,0,$H$15*(E271+F271))</f>
        <v>6.1880904000000004E-3</v>
      </c>
      <c r="AE271" s="471">
        <f>IF(F271=0,0,$H$15*(F271+G271))</f>
        <v>0</v>
      </c>
      <c r="AF271" s="510">
        <f t="shared" si="737"/>
        <v>3.8</v>
      </c>
      <c r="AG271" s="471">
        <f>AC271*AF271</f>
        <v>3.9243035454319453E-2</v>
      </c>
      <c r="AH271" s="471">
        <f>+AD271+AE271+AG271</f>
        <v>4.5431125854319451E-2</v>
      </c>
      <c r="AI271" s="471">
        <f>IF(H271="","",IF(AB271+Y271+Z271+X271+U271&lt;1.5,1.5,AB271+Y271+Z271+X271+U271))</f>
        <v>1.5</v>
      </c>
      <c r="AJ271" s="471">
        <f>+$P$17</f>
        <v>0.75</v>
      </c>
      <c r="AK271" s="472">
        <f>+BK271/100</f>
        <v>1.5539305301641599E-2</v>
      </c>
      <c r="AL271" s="471">
        <f>IF(AJ271=0," ",0.14+0.65*AJ271+0.05*AK271)</f>
        <v>0.62827696526508214</v>
      </c>
      <c r="AM271" s="473">
        <f t="shared" ref="AM271:AM279" si="740">((100/36)*$AM$14*(AP271+$AN$14)^$AO$14)</f>
        <v>336.32613267542746</v>
      </c>
      <c r="AN271" s="474">
        <f t="shared" ref="AN271:AN279" si="741">IF(B271=1,IF((0.702*(1.1-$AJ271)*SQRT($CO271))/(($CP271)^(1/3))&lt;5,5,(0.702*(1.1-$AJ271)*SQRT($CO271))/(($CP271)^(1/3))),AP270)</f>
        <v>5</v>
      </c>
      <c r="AO271" s="474">
        <f>((1/60)*$AX271/$AQ271)</f>
        <v>0.12155555555555554</v>
      </c>
      <c r="AP271" s="474">
        <f>IF(B271=1,IF(($AN271+$AO271)&lt;10,10,IF(($AN271+$AO271)&gt;20,20,($AN271+$AO271))),($AN271+$AO271))</f>
        <v>10</v>
      </c>
      <c r="AQ271" s="475">
        <v>3</v>
      </c>
      <c r="AR271" s="474">
        <f>((1/60)*$AX271/$BT271)</f>
        <v>0.91301169729121889</v>
      </c>
      <c r="AS271" s="474">
        <f>AO271/AR271</f>
        <v>0.13313690932569022</v>
      </c>
      <c r="AT271" s="471" t="str">
        <f>IF(AS271&lt;0.9,"Disminuir vel.",IF(AS271&gt;1.1,"Aumentar vel.","Cumple"))</f>
        <v>Disminuir vel.</v>
      </c>
      <c r="AU271" s="492">
        <f>+I271*AL271*AM271</f>
        <v>6.5379019738526409</v>
      </c>
      <c r="AV271" s="471">
        <f>+L271*AL271*AM271</f>
        <v>6.5379019738526409</v>
      </c>
      <c r="AW271" s="471">
        <f t="shared" si="667"/>
        <v>8.0399999999999991</v>
      </c>
      <c r="AX271" s="478">
        <f>IF(OR(C271="",D271=""),"",ROUND(((VLOOKUP(C271,'Base de Diseño (2)'!$A$2:$C$333,2,FALSE)-VLOOKUP(D271,'Base de Diseño (2)'!$A$2:$C$333,2,FALSE))^2+(VLOOKUP(C271,'Base de Diseño (2)'!$A$2:$C$333,3,0)-VLOOKUP(D271,'Base de Diseño (2)'!$A$2:$C$333,3,FALSE))^2)^0.5,2))</f>
        <v>21.88</v>
      </c>
      <c r="AY271" s="493">
        <v>8</v>
      </c>
      <c r="AZ271" s="480">
        <f>IF(AND(L271="",H271=""),"",IF(BA271=4,VLOOKUP(AY271,'TABLA (2)'!$A$74:$C$89,2),IF(BA271=5,VLOOKUP(AY271,'TABLA (2)'!$A$51:$B$66,2),IF(BA271=6,VLOOKUP(AY271,'TABLA (2)'!$A$9:$B$43,2)))))</f>
        <v>200</v>
      </c>
      <c r="BA271" s="493">
        <v>6</v>
      </c>
      <c r="BB271" s="478">
        <f>IF(OR(C271="",D271=""),"",VLOOKUP(C271,'Base de Diseño (2)'!$A$2:$D$330,4,FALSE))</f>
        <v>984.46159999999998</v>
      </c>
      <c r="BC271" s="478">
        <f>IF(OR(C271="",D271=""),"",VLOOKUP(D271,'Base de Diseño (2)'!$A$2:$D$330,4,FALSE))</f>
        <v>984.12160000000006</v>
      </c>
      <c r="BD271" s="478">
        <f>+BF271-((AZ271/1000)+CX271)</f>
        <v>0.76300000000000001</v>
      </c>
      <c r="BE271" s="478">
        <f>+BG271-((AZ271/1000)+CX271)</f>
        <v>0.46300000000004549</v>
      </c>
      <c r="BF271" s="494">
        <v>1</v>
      </c>
      <c r="BG271" s="494">
        <v>0.70000000000004547</v>
      </c>
      <c r="BH271" s="495">
        <f>BB271-BF271</f>
        <v>983.46159999999998</v>
      </c>
      <c r="BI271" s="495">
        <f>BC271-BG271</f>
        <v>983.42160000000001</v>
      </c>
      <c r="BJ271" s="468">
        <f>IF(A271="",0,BI271-BH272)</f>
        <v>0</v>
      </c>
      <c r="BK271" s="475">
        <f>ABS((BB271-BC271)/AX271)*100</f>
        <v>1.5539305301641599</v>
      </c>
      <c r="BL271" s="475">
        <f>((BH271-BI271)/AX271)*100</f>
        <v>0.1828153564897789</v>
      </c>
      <c r="BM271" s="475">
        <f>IF(BA271=6,(1/0.013)*((AZ271/4000)^(2/3))*((BL271/100)^(0.5)),(1/0.009)*((AZ271/4000)^(2/3))*((BL271/100)^(0.5)))</f>
        <v>0.4463850633435088</v>
      </c>
      <c r="BN271" s="475">
        <f>1000*BM271*PI()*((AZ271/1000/2)^2)</f>
        <v>14.02360035672182</v>
      </c>
      <c r="BO271" s="204">
        <f>AI271/BN271</f>
        <v>0.1069625461253976</v>
      </c>
      <c r="BP271" s="496">
        <f>IF(L271=0," ",AW271/BN271)</f>
        <v>0.57331924723213112</v>
      </c>
      <c r="BQ271" s="497">
        <f>IF($BO271&gt;0 =AND($BO271&lt;=0.06),10^(0.029806+0.29095*LOG($BO271)),IF($BO271&gt;0.06 =AND($BO271&lt;=0.26),10^(0.013778+0.282597*LOG($BO271)),IF($BO271&gt;0.26 =AND($BO271&lt;=0.91),10^(0.021763+0.28995*LOG($BO271)),1)))</f>
        <v>0.54883500085790649</v>
      </c>
      <c r="BR271" s="497">
        <f>IF($BP271&gt;0 =AND($BP271&lt;=0.06),10^(0.029806+0.29095*LOG($BP271)),IF($BP271&gt;0.06 =AND($BP271&lt;=0.26),10^(0.013778+0.282597*LOG($BP271)),IF($BP271&gt;0.26 =AND($BP271&lt;=2),10^(0.021763+0.28995*LOG($BP271))," ")))</f>
        <v>0.89476723299253913</v>
      </c>
      <c r="BS271" s="475">
        <f>BM271*BQ271</f>
        <v>0.24499174662309128</v>
      </c>
      <c r="BT271" s="475">
        <f>IF(BP271=" "," ",(BM271*BR271))</f>
        <v>0.39941072797707067</v>
      </c>
      <c r="BU271" s="475">
        <f>IF(BO271&lt;=0.11,0.3827+0.0645*LN(BO271),IF(BO271&lt;=0.21,0.60025+0.15471*LN(BO271),IF(BO271&lt;1,0.225+0.6666666667*BO271,0)))</f>
        <v>0.23852466304045541</v>
      </c>
      <c r="BV271" s="475">
        <f>IF(BP271&lt;=0.11,0.3827+0.0645*LN(BP271),IF(BP271&lt;=0.21,0.60025+0.15471*LN(BP271),IF(BP271&lt;1,0.225+0.6666666667*BP271," ")))</f>
        <v>0.60721283150719807</v>
      </c>
      <c r="BW271" s="475">
        <f>2*ACOS(1-2*(BU271))</f>
        <v>2.0409745600412528</v>
      </c>
      <c r="BX271" s="475">
        <f>IF(BP271=" "," ",(2*ACOS(1-2*(BV271))))</f>
        <v>3.5738002092733701</v>
      </c>
      <c r="BY271" s="475">
        <f>(1/4)*(1-(SIN(BW271))/BW271)</f>
        <v>0.14080124121885196</v>
      </c>
      <c r="BZ271" s="475">
        <f>IF(BP271=" "," ",((1/4)*(1-(SIN(BX271))/BX271)))</f>
        <v>0.27930188825687008</v>
      </c>
      <c r="CA271" s="471">
        <f>BY271*AZ271/1000</f>
        <v>2.8160248243770388E-2</v>
      </c>
      <c r="CB271" s="471">
        <f>IF(BP271=" "," ",(BZ271*AZ271/1000))</f>
        <v>5.5860377651374013E-2</v>
      </c>
      <c r="CC271" s="471">
        <f t="shared" ref="CC271:CC279" si="742">+(BT271/SQRT(9.81*(0.125*(BX271-SIN(BX271))*(AZ271/1000)^2)/((AZ271/1000)*SIN(BX271/2))))</f>
        <v>0.39890796409487694</v>
      </c>
      <c r="CD271" s="471" t="str">
        <f>IF(CC271="","",IF(CC271&lt;0.7,"F. Subcrítico",IF(AND(CC271&gt;0.7,CC271&lt;1),"F. Subcrítico Inestable",IF(CC271=1,"F. Crítico",IF(AND(CC271&gt;1,CC271&lt;1.5),"F. Supercrítico Inestable",IF(CC271&gt;1.5,"F. Supercrítico",""))))))</f>
        <v>F. Subcrítico</v>
      </c>
      <c r="CE271" s="471">
        <f>1000*BL271*CA271/100</f>
        <v>5.1481258215255538E-2</v>
      </c>
      <c r="CF271" s="471">
        <f>IF(BP271=" "," ",(1000*BL271*CB271/100))</f>
        <v>0.1021213485398962</v>
      </c>
      <c r="CG271" s="471" t="str">
        <f>IF(BS271&lt;0.45,"No cumple",IF(BS271&gt;5,"No cumple","O.K"))</f>
        <v>No cumple</v>
      </c>
      <c r="CH271" s="471" t="str">
        <f>IF(BT271&lt;0.75,"No cumple",IF(BT271&gt;10,"No cumple","O.K"))</f>
        <v>No cumple</v>
      </c>
      <c r="CI271" s="471" t="str">
        <f>IF(CE271&gt;0.1,"OK","V.C.H.")</f>
        <v>V.C.H.</v>
      </c>
      <c r="CJ271" s="471" t="str">
        <f>IF(CF271&gt;0.2,"OK","V.C.H.")</f>
        <v>V.C.H.</v>
      </c>
      <c r="CK271" s="468">
        <f>+BJ271</f>
        <v>0</v>
      </c>
      <c r="CL271" s="482" t="s">
        <v>2507</v>
      </c>
      <c r="CM271" s="482"/>
      <c r="CN271" s="63" t="str">
        <f>IF(B271=1,"dato"," ")</f>
        <v>dato</v>
      </c>
      <c r="CO271" s="498">
        <f>+CR271</f>
        <v>21.88</v>
      </c>
      <c r="CP271" s="472">
        <f>+BK271/100</f>
        <v>1.5539305301641599E-2</v>
      </c>
      <c r="CQ271" s="482" t="s">
        <v>2508</v>
      </c>
      <c r="CR271" s="204">
        <f>IF(BA271="","",AX271)</f>
        <v>21.88</v>
      </c>
      <c r="CS271" s="486">
        <v>1.2</v>
      </c>
      <c r="CT271" s="486">
        <v>1.2</v>
      </c>
      <c r="CU271" s="23">
        <f>IF($BA271="","",SQRT((BH271-BI271)^2+$CR271^2))</f>
        <v>21.880036563040747</v>
      </c>
      <c r="CV271" s="499" t="s">
        <v>2509</v>
      </c>
      <c r="CW271" s="488" t="str">
        <f>+IF(BD271&lt;=0.9,"E1",IF(BD271&lt;=2.5,"E2","E3"))</f>
        <v>E1</v>
      </c>
      <c r="CX271" s="204">
        <f>IF(AND(L271="",H271=""),"",IF(AND(BA271&lt;&gt;4,BA271&lt;&gt;5),VLOOKUP(AY271,'TABLA (2)'!$A$9:$D$43,4),IF(BA271=4,VLOOKUP(AY271,'TABLA (2)'!$A$74:$D$89,4),VLOOKUP(AY271,'TABLA (2)'!$A$51:$D$66,4))))</f>
        <v>3.6999999999999998E-2</v>
      </c>
      <c r="CY271" s="482"/>
      <c r="CZ271" s="482"/>
      <c r="DA271" s="482"/>
      <c r="DB271" s="490"/>
    </row>
    <row r="272" spans="1:106" ht="15" hidden="1" customHeight="1">
      <c r="A272" s="465">
        <f>+A271+1</f>
        <v>181</v>
      </c>
      <c r="B272" s="491"/>
      <c r="C272" s="466" t="s">
        <v>2191</v>
      </c>
      <c r="D272" s="466" t="s">
        <v>2193</v>
      </c>
      <c r="E272" s="468">
        <v>1.8453323300000001E-2</v>
      </c>
      <c r="F272" s="468"/>
      <c r="G272" s="468">
        <f>IF(B272=1,0,SUMIF($D$22:$D$583,C272,$H$22:$H$583))</f>
        <v>0.12492689009999999</v>
      </c>
      <c r="H272" s="468">
        <f>+E272+F272+G272</f>
        <v>0.14338021339999998</v>
      </c>
      <c r="I272" s="468">
        <v>1.8453323300000001E-2</v>
      </c>
      <c r="J272" s="468"/>
      <c r="K272" s="467">
        <f ca="1">+IF(B272=1,0,SUMIF($D$22:$D$583,C272,$L$22:$L$580))</f>
        <v>0.12492689009999999</v>
      </c>
      <c r="L272" s="468">
        <f ca="1">+I272+J272+K272</f>
        <v>0.14338021339999998</v>
      </c>
      <c r="M272" s="469">
        <f>+$P$12</f>
        <v>242.33666300502347</v>
      </c>
      <c r="N272" s="470">
        <f>M272*E272</f>
        <v>4.4719167898748475</v>
      </c>
      <c r="O272" s="470">
        <f>M272*F272</f>
        <v>0</v>
      </c>
      <c r="P272" s="470">
        <f>M272*H272</f>
        <v>34.746282456304144</v>
      </c>
      <c r="Q272" s="469">
        <f t="shared" si="736"/>
        <v>140</v>
      </c>
      <c r="R272" s="471">
        <f>Q272*P272*$P$14/86400</f>
        <v>4.7856569586807791E-2</v>
      </c>
      <c r="S272" s="471"/>
      <c r="T272" s="471"/>
      <c r="U272" s="471">
        <f>IF(C272="","",T272*$P$17)</f>
        <v>0</v>
      </c>
      <c r="V272" s="471"/>
      <c r="W272" s="471"/>
      <c r="X272" s="471">
        <f>IF(C272="","",W272*$P$16)</f>
        <v>0</v>
      </c>
      <c r="Y272" s="471">
        <f>IF(H272=0,0,$H$15*H272)</f>
        <v>2.867604268E-2</v>
      </c>
      <c r="Z272" s="471">
        <f ca="1">IF(L272=0,$H$16*H272,0)</f>
        <v>0</v>
      </c>
      <c r="AA272" s="471">
        <f t="shared" si="527"/>
        <v>3.8</v>
      </c>
      <c r="AB272" s="471">
        <f>R272*AA272</f>
        <v>0.18185496442986959</v>
      </c>
      <c r="AC272" s="471">
        <f>Q272*(N272+O272)*$P$14/86400</f>
        <v>6.159237245313736E-3</v>
      </c>
      <c r="AD272" s="471">
        <f>IF(E272=0,0,$H$15*(E272+F272))</f>
        <v>3.6906646600000006E-3</v>
      </c>
      <c r="AE272" s="471">
        <f>IF(F272=0,0,$H$15*(F272+G272))</f>
        <v>0</v>
      </c>
      <c r="AF272" s="510">
        <f t="shared" si="737"/>
        <v>3.8</v>
      </c>
      <c r="AG272" s="471">
        <f>AC272*AF272</f>
        <v>2.3405101532192194E-2</v>
      </c>
      <c r="AH272" s="471">
        <f>+AD272+AE272+AG272</f>
        <v>2.7095766192192193E-2</v>
      </c>
      <c r="AI272" s="471">
        <f ca="1">IF(H272="","",IF(AB272+Y272+Z272+X272+U272&lt;1.5,1.5,AB272+Y272+Z272+X272+U272))</f>
        <v>1.5</v>
      </c>
      <c r="AJ272" s="471">
        <f>+$P$17</f>
        <v>0.75</v>
      </c>
      <c r="AK272" s="472">
        <f>+BK272/100</f>
        <v>6.0109289617486891E-2</v>
      </c>
      <c r="AL272" s="471">
        <f>IF(AJ272=0," ",0.14+0.65*AJ272+0.05*AK272)</f>
        <v>0.63050546448087441</v>
      </c>
      <c r="AM272" s="473">
        <f t="shared" si="740"/>
        <v>335.42023190827831</v>
      </c>
      <c r="AN272" s="474">
        <f t="shared" si="741"/>
        <v>10</v>
      </c>
      <c r="AO272" s="474">
        <f>((1/60)*$AX272/$AQ272)</f>
        <v>9.1499999999999984E-2</v>
      </c>
      <c r="AP272" s="474">
        <f>IF(B272=1,IF(($AN272+$AO272)&lt;10,10,IF(($AN272+$AO272)&gt;20,20,($AN272+$AO272))),($AN272+$AO272))</f>
        <v>10.0915</v>
      </c>
      <c r="AQ272" s="475">
        <v>3</v>
      </c>
      <c r="AR272" s="474">
        <f ca="1">((1/60)*$AX272/$BT272)</f>
        <v>0.11705540539997505</v>
      </c>
      <c r="AS272" s="474">
        <f ca="1">AO272/AR272</f>
        <v>0.78168111662461925</v>
      </c>
      <c r="AT272" s="471" t="str">
        <f ca="1">IF(AS272&lt;0.9,"Disminuir vel.",IF(AS272&gt;1.1,"Aumentar vel.","Cumple"))</f>
        <v>Disminuir vel.</v>
      </c>
      <c r="AU272" s="492">
        <f>+I272*AL272*AM272</f>
        <v>3.9025879599210525</v>
      </c>
      <c r="AV272" s="471">
        <f ca="1">+L272*AL272*AM272</f>
        <v>30.32266250414369</v>
      </c>
      <c r="AW272" s="471">
        <f t="shared" ca="1" si="667"/>
        <v>30.32</v>
      </c>
      <c r="AX272" s="478">
        <f>IF(OR(C272="",D272=""),"",ROUND(((VLOOKUP(C272,'Base de Diseño (2)'!$A$2:$C$333,2,FALSE)-VLOOKUP(D272,'Base de Diseño (2)'!$A$2:$C$333,2,FALSE))^2+(VLOOKUP(C272,'Base de Diseño (2)'!$A$2:$C$333,3,0)-VLOOKUP(D272,'Base de Diseño (2)'!$A$2:$C$333,3,FALSE))^2)^0.5,2))</f>
        <v>16.47</v>
      </c>
      <c r="AY272" s="493">
        <v>8</v>
      </c>
      <c r="AZ272" s="480">
        <f ca="1">IF(AND(L272="",H272=""),"",IF(BA272=4,VLOOKUP(AY272,'TABLA (2)'!$A$74:$C$89,2),IF(BA272=5,VLOOKUP(AY272,'TABLA (2)'!$A$51:$B$66,2),IF(BA272=6,VLOOKUP(AY272,'TABLA (2)'!$A$9:$B$43,2)))))</f>
        <v>200</v>
      </c>
      <c r="BA272" s="493">
        <v>6</v>
      </c>
      <c r="BB272" s="478">
        <f>IF(OR(C272="",D272=""),"",VLOOKUP(C272,'Base de Diseño (2)'!$A$2:$D$330,4,FALSE))</f>
        <v>984.12160000000006</v>
      </c>
      <c r="BC272" s="478">
        <f>IF(OR(C272="",D272=""),"",VLOOKUP(D272,'Base de Diseño (2)'!$A$2:$D$330,4,FALSE))</f>
        <v>983.13160000000005</v>
      </c>
      <c r="BD272" s="478">
        <f ca="1">+BF272-((AZ272/1000)+CX272)</f>
        <v>0.46300000000004549</v>
      </c>
      <c r="BE272" s="478">
        <f ca="1">+BG272-((AZ272/1000)+CX272)</f>
        <v>0.96300000000004549</v>
      </c>
      <c r="BF272" s="494">
        <v>0.70000000000004547</v>
      </c>
      <c r="BG272" s="494">
        <v>1.2000000000000455</v>
      </c>
      <c r="BH272" s="495">
        <f>BB272-BF272</f>
        <v>983.42160000000001</v>
      </c>
      <c r="BI272" s="495">
        <f>BC272-BG272</f>
        <v>981.9316</v>
      </c>
      <c r="BJ272" s="468">
        <f>IF(A272="",0,BI272-BH273)</f>
        <v>981.9316</v>
      </c>
      <c r="BK272" s="475">
        <f>ABS((BB272-BC272)/AX272)*100</f>
        <v>6.0109289617486894</v>
      </c>
      <c r="BL272" s="475">
        <f>((BH272-BI272)/AX272)*100</f>
        <v>9.0467516697025445</v>
      </c>
      <c r="BM272" s="475">
        <f ca="1">IF(BA272=6,(1/0.013)*((AZ272/4000)^(2/3))*((BL272/100)^(0.5)),(1/0.009)*((AZ272/4000)^(2/3))*((BL272/100)^(0.5)))</f>
        <v>3.1401446331387488</v>
      </c>
      <c r="BN272" s="475">
        <f ca="1">1000*BM272*PI()*((AZ272/1000/2)^2)</f>
        <v>98.650553106781118</v>
      </c>
      <c r="BO272" s="204">
        <f ca="1">AI272/BN272</f>
        <v>1.5205185908855202E-2</v>
      </c>
      <c r="BP272" s="496">
        <f ca="1">IF(L272=0," ",AW272/BN272)</f>
        <v>0.30734749117099314</v>
      </c>
      <c r="BQ272" s="497">
        <f ca="1">IF($BO272&gt;0 =AND($BO272&lt;=0.06),10^(0.029806+0.29095*LOG($BO272)),IF($BO272&gt;0.06 =AND($BO272&lt;=0.26),10^(0.013778+0.282597*LOG($BO272)),IF($BO272&gt;0.26 =AND($BO272&lt;=0.91),10^(0.021763+0.28995*LOG($BO272)),1)))</f>
        <v>0.31685203091353464</v>
      </c>
      <c r="BR272" s="497">
        <f ca="1">IF($BP272&gt;0 =AND($BP272&lt;=0.06),10^(0.029806+0.29095*LOG($BP272)),IF($BP272&gt;0.06 =AND($BP272&lt;=0.26),10^(0.013778+0.282597*LOG($BP272)),IF($BP272&gt;0.26 =AND($BP272&lt;=2),10^(0.021763+0.28995*LOG($BP272))," ")))</f>
        <v>0.74679469382588815</v>
      </c>
      <c r="BS272" s="475">
        <f ca="1">BM272*BQ272</f>
        <v>0.99496120437224878</v>
      </c>
      <c r="BT272" s="475">
        <f ca="1">IF(BP272=" "," ",(BM272*BR272))</f>
        <v>2.3450433498738579</v>
      </c>
      <c r="BU272" s="475">
        <f ca="1">IF(BO272&lt;=0.11,0.3827+0.0645*LN(BO272),IF(BO272&lt;=0.21,0.60025+0.15471*LN(BO272),IF(BO272&lt;1,0.225+0.6666666667*BO272,0)))</f>
        <v>0.11269534184380486</v>
      </c>
      <c r="BV272" s="475">
        <f ca="1">IF(BP272&lt;=0.11,0.3827+0.0645*LN(BP272),IF(BP272&lt;=0.21,0.60025+0.15471*LN(BP272),IF(BP272&lt;1,0.225+0.6666666667*BP272," ")))</f>
        <v>0.42989832745757367</v>
      </c>
      <c r="BW272" s="475">
        <f ca="1">2*ACOS(1-2*(BU272))</f>
        <v>1.3693984119650155</v>
      </c>
      <c r="BX272" s="475">
        <f ca="1">IF(BP272=" "," ",(2*ACOS(1-2*(BV272))))</f>
        <v>2.8602590829088745</v>
      </c>
      <c r="BY272" s="475">
        <f ca="1">(1/4)*(1-(SIN(BW272))/BW272)</f>
        <v>7.11280426205885E-2</v>
      </c>
      <c r="BZ272" s="475">
        <f ca="1">IF(BP272=" "," ",((1/4)*(1-(SIN(BX272))/BX272)))</f>
        <v>0.22573322645301644</v>
      </c>
      <c r="CA272" s="471">
        <f ca="1">BY272*AZ272/1000</f>
        <v>1.42256085241177E-2</v>
      </c>
      <c r="CB272" s="471">
        <f ca="1">IF(BP272=" "," ",(BZ272*AZ272/1000))</f>
        <v>4.5146645290603291E-2</v>
      </c>
      <c r="CC272" s="471">
        <f t="shared" ca="1" si="742"/>
        <v>2.931976303184419</v>
      </c>
      <c r="CD272" s="471" t="str">
        <f ca="1">IF(CC272="","",IF(CC272&lt;0.7,"F. Subcrítico",IF(AND(CC272&gt;0.7,CC272&lt;1),"F. Subcrítico Inestable",IF(CC272=1,"F. Crítico",IF(AND(CC272&gt;1,CC272&lt;1.5),"F. Supercrítico Inestable",IF(CC272&gt;1.5,"F. Supercrítico",""))))))</f>
        <v>F. Supercrítico</v>
      </c>
      <c r="CE272" s="471">
        <f ca="1">1000*BL272*CA272/100</f>
        <v>1.2869554766809654</v>
      </c>
      <c r="CF272" s="471">
        <f ca="1">IF(BP272=" "," ",(1000*BL272*CB272/100))</f>
        <v>4.0843048866423377</v>
      </c>
      <c r="CG272" s="471" t="str">
        <f ca="1">IF(BS272&lt;0.45,"No cumple",IF(BS272&gt;5,"No cumple","O.K"))</f>
        <v>O.K</v>
      </c>
      <c r="CH272" s="471" t="str">
        <f ca="1">IF(BT272&lt;0.75,"No cumple",IF(BT272&gt;10,"No cumple","O.K"))</f>
        <v>O.K</v>
      </c>
      <c r="CI272" s="471" t="str">
        <f ca="1">IF(CE272&gt;0.1,"OK","V.C.H.")</f>
        <v>OK</v>
      </c>
      <c r="CJ272" s="471" t="str">
        <f ca="1">IF(CF272&gt;0.2,"OK","V.C.H.")</f>
        <v>OK</v>
      </c>
      <c r="CK272" s="468">
        <f>+BJ272</f>
        <v>981.9316</v>
      </c>
      <c r="CL272" s="482" t="s">
        <v>2507</v>
      </c>
      <c r="CM272" s="482"/>
      <c r="CN272" s="63" t="str">
        <f>IF(B272=1,"dato"," ")</f>
        <v xml:space="preserve"> </v>
      </c>
      <c r="CO272" s="498">
        <f>+CR272</f>
        <v>16.47</v>
      </c>
      <c r="CP272" s="472">
        <f>+BK272/100</f>
        <v>6.0109289617486891E-2</v>
      </c>
      <c r="CQ272" s="482" t="s">
        <v>2508</v>
      </c>
      <c r="CR272" s="204">
        <f>IF(BA272="","",AX272)</f>
        <v>16.47</v>
      </c>
      <c r="CS272" s="486">
        <v>1.2</v>
      </c>
      <c r="CT272" s="486">
        <v>1.2</v>
      </c>
      <c r="CU272" s="23">
        <f>IF($BA272="","",SQRT((BH272-BI272)^2+$CR272^2))</f>
        <v>16.53726095821191</v>
      </c>
      <c r="CV272" s="499" t="s">
        <v>2509</v>
      </c>
      <c r="CW272" s="488" t="str">
        <f ca="1">+IF(BD272&lt;=0.9,"E1",IF(BD272&lt;=2.5,"E2","E3"))</f>
        <v>E1</v>
      </c>
      <c r="CX272" s="204">
        <f ca="1">IF(AND(L272="",H272=""),"",IF(AND(BA272&lt;&gt;4,BA272&lt;&gt;5),VLOOKUP(AY272,'TABLA (2)'!$A$9:$D$43,4),IF(BA272=4,VLOOKUP(AY272,'TABLA (2)'!$A$74:$D$89,4),VLOOKUP(AY272,'TABLA (2)'!$A$51:$D$66,4))))</f>
        <v>3.6999999999999998E-2</v>
      </c>
      <c r="CY272" s="482"/>
      <c r="CZ272" s="482"/>
      <c r="DA272" s="482"/>
      <c r="DB272" s="490"/>
    </row>
    <row r="273" spans="1:106" ht="15" hidden="1" customHeight="1">
      <c r="A273" s="465"/>
      <c r="B273" s="491"/>
      <c r="C273" s="466"/>
      <c r="D273" s="466"/>
      <c r="E273" s="468"/>
      <c r="F273" s="468"/>
      <c r="G273" s="468"/>
      <c r="H273" s="468"/>
      <c r="I273" s="468"/>
      <c r="J273" s="468"/>
      <c r="K273" s="467"/>
      <c r="L273" s="468"/>
      <c r="M273" s="469"/>
      <c r="N273" s="470"/>
      <c r="O273" s="470"/>
      <c r="P273" s="470"/>
      <c r="Q273" s="469">
        <f t="shared" si="736"/>
        <v>140</v>
      </c>
      <c r="R273" s="471"/>
      <c r="S273" s="471"/>
      <c r="T273" s="471"/>
      <c r="U273" s="471"/>
      <c r="V273" s="471"/>
      <c r="W273" s="471"/>
      <c r="X273" s="471"/>
      <c r="Y273" s="471"/>
      <c r="Z273" s="471"/>
      <c r="AA273" s="471" t="str">
        <f t="shared" si="527"/>
        <v/>
      </c>
      <c r="AB273" s="471"/>
      <c r="AC273" s="471"/>
      <c r="AD273" s="471"/>
      <c r="AE273" s="471"/>
      <c r="AF273" s="510" t="str">
        <f t="shared" si="737"/>
        <v/>
      </c>
      <c r="AG273" s="471"/>
      <c r="AH273" s="471"/>
      <c r="AI273" s="471"/>
      <c r="AJ273" s="471"/>
      <c r="AK273" s="472"/>
      <c r="AL273" s="471"/>
      <c r="AM273" s="473">
        <f t="shared" si="740"/>
        <v>474.44695720875893</v>
      </c>
      <c r="AN273" s="474">
        <f t="shared" si="741"/>
        <v>10.0915</v>
      </c>
      <c r="AO273" s="474"/>
      <c r="AP273" s="474"/>
      <c r="AQ273" s="475">
        <v>3</v>
      </c>
      <c r="AR273" s="474"/>
      <c r="AS273" s="474"/>
      <c r="AT273" s="471"/>
      <c r="AU273" s="492"/>
      <c r="AV273" s="471"/>
      <c r="AW273" s="471">
        <f t="shared" ref="AW273:AW304" si="743">ROUND(IF(AI273&gt;(AV273*0.05),(AV273+AI273),AV273),2)</f>
        <v>0</v>
      </c>
      <c r="AX273" s="478"/>
      <c r="AY273" s="493"/>
      <c r="AZ273" s="480"/>
      <c r="BA273" s="493"/>
      <c r="BB273" s="478" t="str">
        <f>IF(OR(C273="",D273=""),"",VLOOKUP(C273,'Base de Diseño (2)'!$A$2:$D$330,4,FALSE))</f>
        <v/>
      </c>
      <c r="BC273" s="478" t="str">
        <f>IF(OR(C273="",D273=""),"",VLOOKUP(D273,'Base de Diseño (2)'!$A$2:$D$330,4,FALSE))</f>
        <v/>
      </c>
      <c r="BD273" s="478"/>
      <c r="BE273" s="478"/>
      <c r="BF273" s="494"/>
      <c r="BG273" s="494"/>
      <c r="BH273" s="495"/>
      <c r="BI273" s="495"/>
      <c r="BJ273" s="468"/>
      <c r="BK273" s="475"/>
      <c r="BL273" s="475"/>
      <c r="BM273" s="475"/>
      <c r="BN273" s="475"/>
      <c r="BO273" s="204"/>
      <c r="BP273" s="496"/>
      <c r="BQ273" s="497"/>
      <c r="BR273" s="497"/>
      <c r="BS273" s="475"/>
      <c r="BT273" s="475"/>
      <c r="BU273" s="475"/>
      <c r="BV273" s="475"/>
      <c r="BW273" s="475"/>
      <c r="BX273" s="475"/>
      <c r="BY273" s="475"/>
      <c r="BZ273" s="475"/>
      <c r="CA273" s="471"/>
      <c r="CB273" s="471"/>
      <c r="CC273" s="471" t="e">
        <f t="shared" si="742"/>
        <v>#DIV/0!</v>
      </c>
      <c r="CD273" s="471"/>
      <c r="CE273" s="471"/>
      <c r="CF273" s="471"/>
      <c r="CG273" s="471"/>
      <c r="CH273" s="471"/>
      <c r="CI273" s="471"/>
      <c r="CJ273" s="471"/>
      <c r="CK273" s="468"/>
      <c r="CL273" s="482" t="s">
        <v>2507</v>
      </c>
      <c r="CM273" s="482"/>
      <c r="CN273" s="63"/>
      <c r="CO273" s="498"/>
      <c r="CP273" s="472"/>
      <c r="CQ273" s="482"/>
      <c r="CR273" s="204"/>
      <c r="CS273" s="486"/>
      <c r="CT273" s="486"/>
      <c r="CU273" s="23"/>
      <c r="CV273" s="499"/>
      <c r="CW273" s="488"/>
      <c r="CX273" s="204"/>
      <c r="CY273" s="482"/>
      <c r="CZ273" s="482"/>
      <c r="DA273" s="482"/>
      <c r="DB273" s="490"/>
    </row>
    <row r="274" spans="1:106" ht="15" hidden="1" customHeight="1">
      <c r="A274" s="465">
        <f>+A272+1</f>
        <v>182</v>
      </c>
      <c r="B274" s="491">
        <v>1</v>
      </c>
      <c r="C274" s="466" t="s">
        <v>2190</v>
      </c>
      <c r="D274" s="466" t="s">
        <v>2191</v>
      </c>
      <c r="E274" s="468">
        <v>9.39864381E-2</v>
      </c>
      <c r="F274" s="468"/>
      <c r="G274" s="468">
        <f>IF(B274=1,0,SUMIF($D$22:$D$583,C274,$H$22:$H$583))</f>
        <v>0</v>
      </c>
      <c r="H274" s="468">
        <f>+E274+F274+G274</f>
        <v>9.39864381E-2</v>
      </c>
      <c r="I274" s="468">
        <v>9.39864381E-2</v>
      </c>
      <c r="J274" s="468"/>
      <c r="K274" s="467">
        <f>+IF(B274=1,0,SUMIF($D$22:$D$583,C274,$L$22:$L$580))</f>
        <v>0</v>
      </c>
      <c r="L274" s="468">
        <f>+I274+J274+K274</f>
        <v>9.39864381E-2</v>
      </c>
      <c r="M274" s="469">
        <f>+$P$12</f>
        <v>242.33666300502347</v>
      </c>
      <c r="N274" s="470">
        <f>M274*E274</f>
        <v>22.776359776882199</v>
      </c>
      <c r="O274" s="470">
        <f>M274*F274</f>
        <v>0</v>
      </c>
      <c r="P274" s="470">
        <f>M274*H274</f>
        <v>22.776359776882199</v>
      </c>
      <c r="Q274" s="469">
        <f t="shared" si="736"/>
        <v>140</v>
      </c>
      <c r="R274" s="471">
        <f>Q274*P274*$P$14/86400</f>
        <v>3.1370217748252098E-2</v>
      </c>
      <c r="S274" s="471"/>
      <c r="T274" s="471"/>
      <c r="U274" s="471">
        <f>IF(C274="","",T274*$P$17)</f>
        <v>0</v>
      </c>
      <c r="V274" s="471"/>
      <c r="W274" s="471"/>
      <c r="X274" s="471">
        <f>IF(C274="","",W274*$P$16)</f>
        <v>0</v>
      </c>
      <c r="Y274" s="471">
        <f>IF(H274=0,0,$H$15*H274)</f>
        <v>1.8797287620000002E-2</v>
      </c>
      <c r="Z274" s="471">
        <f>IF(L274=0,$H$16*H274,0)</f>
        <v>0</v>
      </c>
      <c r="AA274" s="471">
        <f t="shared" si="527"/>
        <v>3.8</v>
      </c>
      <c r="AB274" s="471">
        <f>R274*AA274</f>
        <v>0.11920682744335796</v>
      </c>
      <c r="AC274" s="471">
        <f>Q274*(N274+O274)*$P$14/86400</f>
        <v>3.1370217748252098E-2</v>
      </c>
      <c r="AD274" s="471">
        <f>IF(E274=0,0,$H$15*(E274+F274))</f>
        <v>1.8797287620000002E-2</v>
      </c>
      <c r="AE274" s="471">
        <f>IF(F274=0,0,$H$15*(F274+G274))</f>
        <v>0</v>
      </c>
      <c r="AF274" s="510">
        <f t="shared" si="737"/>
        <v>3.8</v>
      </c>
      <c r="AG274" s="471">
        <f>AC274*AF274</f>
        <v>0.11920682744335796</v>
      </c>
      <c r="AH274" s="471">
        <f>+AD274+AE274+AG274</f>
        <v>0.13800411506335797</v>
      </c>
      <c r="AI274" s="471">
        <f>IF(H274="","",IF(AB274+Y274+Z274+X274+U274&lt;1.5,1.5,AB274+Y274+Z274+X274+U274))</f>
        <v>1.5</v>
      </c>
      <c r="AJ274" s="471">
        <f>+$P$17</f>
        <v>0.75</v>
      </c>
      <c r="AK274" s="472">
        <f>+BK274/100</f>
        <v>0.17593465284323037</v>
      </c>
      <c r="AL274" s="471">
        <f>IF(AJ274=0," ",0.14+0.65*AJ274+0.05*AK274)</f>
        <v>0.63629673264216158</v>
      </c>
      <c r="AM274" s="473">
        <f t="shared" si="740"/>
        <v>336.32613267542746</v>
      </c>
      <c r="AN274" s="474">
        <f t="shared" si="741"/>
        <v>5</v>
      </c>
      <c r="AO274" s="474">
        <f>((1/60)*$AX274/$AQ274)</f>
        <v>0.17683333333333331</v>
      </c>
      <c r="AP274" s="474">
        <f>IF(B274=1,IF(($AN274+$AO274)&lt;10,10,IF(($AN274+$AO274)&gt;20,20,($AN274+$AO274))),($AN274+$AO274))</f>
        <v>10</v>
      </c>
      <c r="AQ274" s="475">
        <v>3</v>
      </c>
      <c r="AR274" s="474">
        <f>((1/60)*$AX274/$BT274)</f>
        <v>0.2019659317383638</v>
      </c>
      <c r="AS274" s="474">
        <f>AO274/AR274</f>
        <v>0.87556020865148465</v>
      </c>
      <c r="AT274" s="471" t="str">
        <f>IF(AS274&lt;0.9,"Disminuir vel.",IF(AS274&gt;1.1,"Aumentar vel.","Cumple"))</f>
        <v>Disminuir vel.</v>
      </c>
      <c r="AU274" s="492">
        <f>+I274*AL274*AM274</f>
        <v>20.113400326153428</v>
      </c>
      <c r="AV274" s="471">
        <f>+L274*AL274*AM274</f>
        <v>20.113400326153428</v>
      </c>
      <c r="AW274" s="471">
        <f t="shared" si="743"/>
        <v>21.61</v>
      </c>
      <c r="AX274" s="478">
        <f>IF(OR(C274="",D274=""),"",ROUND(((VLOOKUP(C274,'Base de Diseño (2)'!$A$2:$C$333,2,FALSE)-VLOOKUP(D274,'Base de Diseño (2)'!$A$2:$C$333,2,FALSE))^2+(VLOOKUP(C274,'Base de Diseño (2)'!$A$2:$C$333,3,0)-VLOOKUP(D274,'Base de Diseño (2)'!$A$2:$C$333,3,FALSE))^2)^0.5,2))</f>
        <v>31.83</v>
      </c>
      <c r="AY274" s="493">
        <v>8</v>
      </c>
      <c r="AZ274" s="480">
        <f>IF(AND(L274="",H274=""),"",IF(BA274=4,VLOOKUP(AY274,'TABLA (2)'!$A$74:$C$89,2),IF(BA274=5,VLOOKUP(AY274,'TABLA (2)'!$A$51:$B$66,2),IF(BA274=6,VLOOKUP(AY274,'TABLA (2)'!$A$9:$B$43,2)))))</f>
        <v>200</v>
      </c>
      <c r="BA274" s="493">
        <v>6</v>
      </c>
      <c r="BB274" s="478">
        <f>IF(OR(C274="",D274=""),"",VLOOKUP(C274,'Base de Diseño (2)'!$A$2:$D$330,4,FALSE))</f>
        <v>989.72160000000008</v>
      </c>
      <c r="BC274" s="478">
        <f>IF(OR(C274="",D274=""),"",VLOOKUP(D274,'Base de Diseño (2)'!$A$2:$D$330,4,FALSE))</f>
        <v>984.12160000000006</v>
      </c>
      <c r="BD274" s="478">
        <f>+BF274-((AZ274/1000)+CX274)</f>
        <v>0.76300000000000001</v>
      </c>
      <c r="BE274" s="478">
        <f>+BG274-((AZ274/1000)+CX274)</f>
        <v>0.46300000000004549</v>
      </c>
      <c r="BF274" s="494">
        <v>1</v>
      </c>
      <c r="BG274" s="494">
        <v>0.70000000000004547</v>
      </c>
      <c r="BH274" s="495">
        <f>BB274-BF274</f>
        <v>988.72160000000008</v>
      </c>
      <c r="BI274" s="495">
        <f>BC274-BG274</f>
        <v>983.42160000000001</v>
      </c>
      <c r="BJ274" s="468">
        <f>IF(A274="",0,BI274-BH275)</f>
        <v>983.42160000000001</v>
      </c>
      <c r="BK274" s="475">
        <f>ABS((BB274-BC274)/AX274)*100</f>
        <v>17.593465284323038</v>
      </c>
      <c r="BL274" s="475">
        <f>((BH274-BI274)/AX274)*100</f>
        <v>16.650958215520166</v>
      </c>
      <c r="BM274" s="475">
        <f>IF(BA274=6,(1/0.013)*((AZ274/4000)^(2/3))*((BL274/100)^(0.5)),(1/0.009)*((AZ274/4000)^(2/3))*((BL274/100)^(0.5)))</f>
        <v>4.2601307918264455</v>
      </c>
      <c r="BN274" s="475">
        <f>1000*BM274*PI()*((AZ274/1000/2)^2)</f>
        <v>133.83595598933633</v>
      </c>
      <c r="BO274" s="204">
        <f>AI274/BN274</f>
        <v>1.1207750480143884E-2</v>
      </c>
      <c r="BP274" s="496">
        <f>IF(L274=0," ",AW274/BN274)</f>
        <v>0.16146632525060622</v>
      </c>
      <c r="BQ274" s="497">
        <f>IF($BO274&gt;0 =AND($BO274&lt;=0.06),10^(0.029806+0.29095*LOG($BO274)),IF($BO274&gt;0.06 =AND($BO274&lt;=0.26),10^(0.013778+0.282597*LOG($BO274)),IF($BO274&gt;0.26 =AND($BO274&lt;=0.91),10^(0.021763+0.28995*LOG($BO274)),1)))</f>
        <v>0.28994351133032381</v>
      </c>
      <c r="BR274" s="497">
        <f>IF($BP274&gt;0 =AND($BP274&lt;=0.06),10^(0.029806+0.29095*LOG($BP274)),IF($BP274&gt;0.06 =AND($BP274&lt;=0.26),10^(0.013778+0.282597*LOG($BP274)),IF($BP274&gt;0.26 =AND($BP274&lt;=2),10^(0.021763+0.28995*LOG($BP274))," ")))</f>
        <v>0.61657276602728839</v>
      </c>
      <c r="BS274" s="475">
        <f>BM274*BQ274</f>
        <v>1.2351972805085925</v>
      </c>
      <c r="BT274" s="475">
        <f>IF(BP274=" "," ",(BM274*BR274))</f>
        <v>2.626680625954454</v>
      </c>
      <c r="BU274" s="475">
        <f>IF(BO274&lt;=0.11,0.3827+0.0645*LN(BO274),IF(BO274&lt;=0.21,0.60025+0.15471*LN(BO274),IF(BO274&lt;1,0.225+0.6666666667*BO274,0)))</f>
        <v>9.3020842231050338E-2</v>
      </c>
      <c r="BV274" s="475">
        <f>IF(BP274&lt;=0.11,0.3827+0.0645*LN(BP274),IF(BP274&lt;=0.21,0.60025+0.15471*LN(BP274),IF(BP274&lt;1,0.225+0.6666666667*BP274," ")))</f>
        <v>0.31814270909602621</v>
      </c>
      <c r="BW274" s="475">
        <f>2*ACOS(1-2*(BU274))</f>
        <v>1.2397250887045277</v>
      </c>
      <c r="BX274" s="475">
        <f>IF(BP274=" "," ",(2*ACOS(1-2*(BV274))))</f>
        <v>2.3970876500540941</v>
      </c>
      <c r="BY274" s="475">
        <f>(1/4)*(1-(SIN(BW274))/BW274)</f>
        <v>5.9293471157348593E-2</v>
      </c>
      <c r="BZ274" s="475">
        <f>IF(BP274=" "," ",((1/4)*(1-(SIN(BX274))/BX274)))</f>
        <v>0.17933009130018457</v>
      </c>
      <c r="CA274" s="471">
        <f>BY274*AZ274/1000</f>
        <v>1.1858694231469718E-2</v>
      </c>
      <c r="CB274" s="471">
        <f>IF(BP274=" "," ",(BZ274*AZ274/1000))</f>
        <v>3.5866018260036915E-2</v>
      </c>
      <c r="CC274" s="471">
        <f t="shared" si="742"/>
        <v>3.9038946455153902</v>
      </c>
      <c r="CD274" s="471" t="str">
        <f>IF(CC274="","",IF(CC274&lt;0.7,"F. Subcrítico",IF(AND(CC274&gt;0.7,CC274&lt;1),"F. Subcrítico Inestable",IF(CC274=1,"F. Crítico",IF(AND(CC274&gt;1,CC274&lt;1.5),"F. Supercrítico Inestable",IF(CC274&gt;1.5,"F. Supercrítico",""))))))</f>
        <v>F. Supercrítico</v>
      </c>
      <c r="CE274" s="471">
        <f>1000*BL274*CA274/100</f>
        <v>1.9745862213883232</v>
      </c>
      <c r="CF274" s="471">
        <f>IF(BP274=" "," ",(1000*BL274*CB274/100))</f>
        <v>5.9720357140495794</v>
      </c>
      <c r="CG274" s="471" t="str">
        <f>IF(BS274&lt;0.45,"No cumple",IF(BS274&gt;5,"No cumple","O.K"))</f>
        <v>O.K</v>
      </c>
      <c r="CH274" s="471" t="str">
        <f>IF(BT274&lt;0.75,"No cumple",IF(BT274&gt;10,"No cumple","O.K"))</f>
        <v>O.K</v>
      </c>
      <c r="CI274" s="471" t="str">
        <f>IF(CE274&gt;0.1,"OK","V.C.H.")</f>
        <v>OK</v>
      </c>
      <c r="CJ274" s="471" t="str">
        <f>IF(CF274&gt;0.2,"OK","V.C.H.")</f>
        <v>OK</v>
      </c>
      <c r="CK274" s="468">
        <f>+BJ274</f>
        <v>983.42160000000001</v>
      </c>
      <c r="CL274" s="482" t="s">
        <v>2507</v>
      </c>
      <c r="CM274" s="482"/>
      <c r="CN274" s="63" t="str">
        <f>IF(B274=1,"dato"," ")</f>
        <v>dato</v>
      </c>
      <c r="CO274" s="498">
        <f>+CR274</f>
        <v>31.83</v>
      </c>
      <c r="CP274" s="472">
        <f>+BK274/100</f>
        <v>0.17593465284323037</v>
      </c>
      <c r="CQ274" s="482" t="s">
        <v>2508</v>
      </c>
      <c r="CR274" s="204">
        <f>IF(BA274="","",AX274)</f>
        <v>31.83</v>
      </c>
      <c r="CS274" s="486">
        <v>1.2</v>
      </c>
      <c r="CT274" s="486">
        <v>1.2</v>
      </c>
      <c r="CU274" s="23">
        <f>IF($BA274="","",SQRT((BH274-BI274)^2+$CR274^2))</f>
        <v>32.268233605203754</v>
      </c>
      <c r="CV274" s="499" t="s">
        <v>2509</v>
      </c>
      <c r="CW274" s="488" t="str">
        <f>+IF(BD274&lt;=0.9,"E1",IF(BD274&lt;=2.5,"E2","E3"))</f>
        <v>E1</v>
      </c>
      <c r="CX274" s="204">
        <f>IF(AND(L274="",H274=""),"",IF(AND(BA274&lt;&gt;4,BA274&lt;&gt;5),VLOOKUP(AY274,'TABLA (2)'!$A$9:$D$43,4),IF(BA274=4,VLOOKUP(AY274,'TABLA (2)'!$A$74:$D$89,4),VLOOKUP(AY274,'TABLA (2)'!$A$51:$D$66,4))))</f>
        <v>3.6999999999999998E-2</v>
      </c>
      <c r="CY274" s="482"/>
      <c r="CZ274" s="482"/>
      <c r="DA274" s="482"/>
      <c r="DB274" s="490"/>
    </row>
    <row r="275" spans="1:106" ht="15" hidden="1" customHeight="1">
      <c r="A275" s="465"/>
      <c r="B275" s="491"/>
      <c r="C275" s="466"/>
      <c r="D275" s="466"/>
      <c r="E275" s="468"/>
      <c r="F275" s="468"/>
      <c r="G275" s="468"/>
      <c r="H275" s="468"/>
      <c r="I275" s="468"/>
      <c r="J275" s="468"/>
      <c r="K275" s="467"/>
      <c r="L275" s="468"/>
      <c r="M275" s="469"/>
      <c r="N275" s="470"/>
      <c r="O275" s="470"/>
      <c r="P275" s="470"/>
      <c r="Q275" s="469">
        <f t="shared" si="736"/>
        <v>140</v>
      </c>
      <c r="R275" s="471"/>
      <c r="S275" s="471"/>
      <c r="T275" s="471"/>
      <c r="U275" s="471"/>
      <c r="V275" s="471"/>
      <c r="W275" s="471"/>
      <c r="X275" s="471"/>
      <c r="Y275" s="471"/>
      <c r="Z275" s="471"/>
      <c r="AA275" s="471" t="str">
        <f t="shared" si="527"/>
        <v/>
      </c>
      <c r="AB275" s="471"/>
      <c r="AC275" s="471"/>
      <c r="AD275" s="471"/>
      <c r="AE275" s="471"/>
      <c r="AF275" s="510" t="str">
        <f t="shared" si="737"/>
        <v/>
      </c>
      <c r="AG275" s="471"/>
      <c r="AH275" s="471"/>
      <c r="AI275" s="471"/>
      <c r="AJ275" s="471"/>
      <c r="AK275" s="472"/>
      <c r="AL275" s="471"/>
      <c r="AM275" s="473">
        <f t="shared" si="740"/>
        <v>474.44695720875893</v>
      </c>
      <c r="AN275" s="474">
        <f t="shared" si="741"/>
        <v>10</v>
      </c>
      <c r="AO275" s="474"/>
      <c r="AP275" s="474"/>
      <c r="AQ275" s="475">
        <v>3</v>
      </c>
      <c r="AR275" s="474"/>
      <c r="AS275" s="474"/>
      <c r="AT275" s="471"/>
      <c r="AU275" s="492"/>
      <c r="AV275" s="471"/>
      <c r="AW275" s="471">
        <f t="shared" si="743"/>
        <v>0</v>
      </c>
      <c r="AX275" s="478"/>
      <c r="AY275" s="493"/>
      <c r="AZ275" s="480"/>
      <c r="BA275" s="493"/>
      <c r="BB275" s="478" t="str">
        <f>IF(OR(C275="",D275=""),"",VLOOKUP(C275,'Base de Diseño (2)'!$A$2:$D$330,4,FALSE))</f>
        <v/>
      </c>
      <c r="BC275" s="478" t="str">
        <f>IF(OR(C275="",D275=""),"",VLOOKUP(D275,'Base de Diseño (2)'!$A$2:$D$330,4,FALSE))</f>
        <v/>
      </c>
      <c r="BD275" s="478"/>
      <c r="BE275" s="478"/>
      <c r="BF275" s="494"/>
      <c r="BG275" s="494"/>
      <c r="BH275" s="495"/>
      <c r="BI275" s="495"/>
      <c r="BJ275" s="468"/>
      <c r="BK275" s="475"/>
      <c r="BL275" s="475"/>
      <c r="BM275" s="475"/>
      <c r="BN275" s="475"/>
      <c r="BO275" s="204"/>
      <c r="BP275" s="496"/>
      <c r="BQ275" s="497"/>
      <c r="BR275" s="497"/>
      <c r="BS275" s="475"/>
      <c r="BT275" s="475"/>
      <c r="BU275" s="475"/>
      <c r="BV275" s="475"/>
      <c r="BW275" s="475"/>
      <c r="BX275" s="475"/>
      <c r="BY275" s="475"/>
      <c r="BZ275" s="475"/>
      <c r="CA275" s="471"/>
      <c r="CB275" s="471"/>
      <c r="CC275" s="471" t="e">
        <f t="shared" si="742"/>
        <v>#DIV/0!</v>
      </c>
      <c r="CD275" s="471"/>
      <c r="CE275" s="471"/>
      <c r="CF275" s="471"/>
      <c r="CG275" s="471"/>
      <c r="CH275" s="471"/>
      <c r="CI275" s="471"/>
      <c r="CJ275" s="471"/>
      <c r="CK275" s="468"/>
      <c r="CL275" s="482" t="s">
        <v>2507</v>
      </c>
      <c r="CM275" s="482"/>
      <c r="CN275" s="63"/>
      <c r="CO275" s="498"/>
      <c r="CP275" s="472"/>
      <c r="CQ275" s="482"/>
      <c r="CR275" s="204"/>
      <c r="CS275" s="486"/>
      <c r="CT275" s="486"/>
      <c r="CU275" s="23"/>
      <c r="CV275" s="499"/>
      <c r="CW275" s="488"/>
      <c r="CX275" s="204"/>
      <c r="CY275" s="482"/>
      <c r="CZ275" s="482"/>
      <c r="DA275" s="482"/>
      <c r="DB275" s="490"/>
    </row>
    <row r="276" spans="1:106" ht="15" hidden="1" customHeight="1">
      <c r="A276" s="465">
        <f>+A274+1</f>
        <v>183</v>
      </c>
      <c r="B276" s="491">
        <v>1</v>
      </c>
      <c r="C276" s="466" t="s">
        <v>2189</v>
      </c>
      <c r="D276" s="466" t="s">
        <v>2203</v>
      </c>
      <c r="E276" s="468">
        <v>3.2510529199999999E-2</v>
      </c>
      <c r="F276" s="468"/>
      <c r="G276" s="468">
        <f>IF(B276=1,0,SUMIF($D$22:$D$583,C276,$H$22:$H$583))</f>
        <v>0</v>
      </c>
      <c r="H276" s="468">
        <f>+E276+F276+G276</f>
        <v>3.2510529199999999E-2</v>
      </c>
      <c r="I276" s="468">
        <v>3.2510529199999999E-2</v>
      </c>
      <c r="J276" s="468"/>
      <c r="K276" s="467">
        <f>+IF(B276=1,0,SUMIF($D$22:$D$583,C276,$L$22:$L$580))</f>
        <v>0</v>
      </c>
      <c r="L276" s="468">
        <f>+I276+J276+K276</f>
        <v>3.2510529199999999E-2</v>
      </c>
      <c r="M276" s="469">
        <f>+$P$12</f>
        <v>242.33666300502347</v>
      </c>
      <c r="N276" s="470">
        <f>M276*E276</f>
        <v>7.8784931588553748</v>
      </c>
      <c r="O276" s="470">
        <f>M276*F276</f>
        <v>0</v>
      </c>
      <c r="P276" s="470">
        <f>M276*H276</f>
        <v>7.8784931588553748</v>
      </c>
      <c r="Q276" s="469">
        <f t="shared" si="736"/>
        <v>140</v>
      </c>
      <c r="R276" s="471">
        <f>Q276*P276*$P$14/86400</f>
        <v>1.0851165346108676E-2</v>
      </c>
      <c r="S276" s="471"/>
      <c r="T276" s="471"/>
      <c r="U276" s="471">
        <f>IF(C276="","",T276*$P$17)</f>
        <v>0</v>
      </c>
      <c r="V276" s="471"/>
      <c r="W276" s="471"/>
      <c r="X276" s="471">
        <f>IF(C276="","",W276*$P$16)</f>
        <v>0</v>
      </c>
      <c r="Y276" s="471">
        <f>IF(H276=0,0,$H$15*H276)</f>
        <v>6.5021058400000003E-3</v>
      </c>
      <c r="Z276" s="471">
        <f>IF(L276=0,$H$16*H276,0)</f>
        <v>0</v>
      </c>
      <c r="AA276" s="471">
        <f t="shared" si="527"/>
        <v>3.8</v>
      </c>
      <c r="AB276" s="471">
        <f>R276*AA276</f>
        <v>4.1234428315212963E-2</v>
      </c>
      <c r="AC276" s="471">
        <f>Q276*(N276+O276)*$P$14/86400</f>
        <v>1.0851165346108676E-2</v>
      </c>
      <c r="AD276" s="471">
        <f>IF(E276=0,0,$H$15*(E276+F276))</f>
        <v>6.5021058400000003E-3</v>
      </c>
      <c r="AE276" s="471">
        <f>IF(F276=0,0,$H$15*(F276+G276))</f>
        <v>0</v>
      </c>
      <c r="AF276" s="510">
        <f t="shared" si="737"/>
        <v>3.8</v>
      </c>
      <c r="AG276" s="471">
        <f>AC276*AF276</f>
        <v>4.1234428315212963E-2</v>
      </c>
      <c r="AH276" s="471">
        <f>+AD276+AE276+AG276</f>
        <v>4.7736534155212965E-2</v>
      </c>
      <c r="AI276" s="471">
        <f>IF(H276="","",IF(AB276+Y276+Z276+X276+U276&lt;1.5,1.5,AB276+Y276+Z276+X276+U276))</f>
        <v>1.5</v>
      </c>
      <c r="AJ276" s="471">
        <f>+$P$17</f>
        <v>0.75</v>
      </c>
      <c r="AK276" s="472">
        <f>+BK276/100</f>
        <v>2.8315243039143665E-3</v>
      </c>
      <c r="AL276" s="471">
        <f>IF(AJ276=0," ",0.14+0.65*AJ276+0.05*AK276)</f>
        <v>0.62764157621519578</v>
      </c>
      <c r="AM276" s="473">
        <f t="shared" si="740"/>
        <v>336.32613267542746</v>
      </c>
      <c r="AN276" s="474">
        <f t="shared" si="741"/>
        <v>7.9946085483695937</v>
      </c>
      <c r="AO276" s="474">
        <f>((1/60)*$AX276/$AQ276)</f>
        <v>0.11772222222222223</v>
      </c>
      <c r="AP276" s="474">
        <f>IF(B276=1,IF(($AN276+$AO276)&lt;10,10,IF(($AN276+$AO276)&gt;20,20,($AN276+$AO276))),($AN276+$AO276))</f>
        <v>10</v>
      </c>
      <c r="AQ276" s="475">
        <v>3</v>
      </c>
      <c r="AR276" s="474">
        <f>((1/60)*$AX276/$BT276)</f>
        <v>0.49712025317021896</v>
      </c>
      <c r="AS276" s="474">
        <f>AO276/AR276</f>
        <v>0.23680834058054956</v>
      </c>
      <c r="AT276" s="471" t="str">
        <f>IF(AS276&lt;0.9,"Disminuir vel.",IF(AS276&gt;1.1,"Aumentar vel.","Cumple"))</f>
        <v>Disminuir vel.</v>
      </c>
      <c r="AU276" s="492">
        <f>+I276*AL276*AM276</f>
        <v>6.8627212137963811</v>
      </c>
      <c r="AV276" s="471">
        <f>+L276*AL276*AM276</f>
        <v>6.8627212137963811</v>
      </c>
      <c r="AW276" s="471">
        <f t="shared" si="743"/>
        <v>8.36</v>
      </c>
      <c r="AX276" s="478">
        <f>IF(OR(C276="",D276=""),"",ROUND(((VLOOKUP(C276,'Base de Diseño (2)'!$A$2:$C$333,2,FALSE)-VLOOKUP(D276,'Base de Diseño (2)'!$A$2:$C$333,2,FALSE))^2+(VLOOKUP(C276,'Base de Diseño (2)'!$A$2:$C$333,3,0)-VLOOKUP(D276,'Base de Diseño (2)'!$A$2:$C$333,3,FALSE))^2)^0.5,2))</f>
        <v>21.19</v>
      </c>
      <c r="AY276" s="493">
        <v>8</v>
      </c>
      <c r="AZ276" s="480">
        <f>IF(AND(L276="",H276=""),"",IF(BA276=4,VLOOKUP(AY276,'TABLA (2)'!$A$74:$C$89,2),IF(BA276=5,VLOOKUP(AY276,'TABLA (2)'!$A$51:$B$66,2),IF(BA276=6,VLOOKUP(AY276,'TABLA (2)'!$A$9:$B$43,2)))))</f>
        <v>200</v>
      </c>
      <c r="BA276" s="493">
        <v>6</v>
      </c>
      <c r="BB276" s="478">
        <f>IF(OR(C276="",D276=""),"",VLOOKUP(C276,'Base de Diseño (2)'!$A$2:$D$330,4,FALSE))</f>
        <v>984.46159999999998</v>
      </c>
      <c r="BC276" s="478">
        <f>IF(OR(C276="",D276=""),"",VLOOKUP(D276,'Base de Diseño (2)'!$A$2:$D$330,4,FALSE))</f>
        <v>984.40160000000003</v>
      </c>
      <c r="BD276" s="478">
        <f>+BF276-((AZ276/1000)+CX276)</f>
        <v>0.76300000000000001</v>
      </c>
      <c r="BE276" s="478">
        <f>+BG276-((AZ276/1000)+CX276)</f>
        <v>0.89299999999999546</v>
      </c>
      <c r="BF276" s="494">
        <v>1</v>
      </c>
      <c r="BG276" s="494">
        <v>1.1299999999999955</v>
      </c>
      <c r="BH276" s="495">
        <f>BB276-BF276</f>
        <v>983.46159999999998</v>
      </c>
      <c r="BI276" s="495">
        <f>BC276-BG276</f>
        <v>983.27160000000003</v>
      </c>
      <c r="BJ276" s="468">
        <f>IF(A276="",0,BI276-BH277)</f>
        <v>2.9999999999972715E-2</v>
      </c>
      <c r="BK276" s="475">
        <f>ABS((BB276-BC276)/AX276)*100</f>
        <v>0.28315243039143667</v>
      </c>
      <c r="BL276" s="475">
        <f>((BH276-BI276)/AX276)*100</f>
        <v>0.89664936290675268</v>
      </c>
      <c r="BM276" s="475">
        <f>IF(BA276=6,(1/0.013)*((AZ276/4000)^(2/3))*((BL276/100)^(0.5)),(1/0.009)*((AZ276/4000)^(2/3))*((BL276/100)^(0.5)))</f>
        <v>0.98858641776021483</v>
      </c>
      <c r="BN276" s="475">
        <f>1000*BM276*PI()*((AZ276/1000/2)^2)</f>
        <v>31.057358274741421</v>
      </c>
      <c r="BO276" s="204">
        <f>AI276/BN276</f>
        <v>4.8297733076027013E-2</v>
      </c>
      <c r="BP276" s="496">
        <f>IF(L276=0," ",AW276/BN276)</f>
        <v>0.26917936567705719</v>
      </c>
      <c r="BQ276" s="497">
        <f>IF($BO276&gt;0 =AND($BO276&lt;=0.06),10^(0.029806+0.29095*LOG($BO276)),IF($BO276&gt;0.06 =AND($BO276&lt;=0.26),10^(0.013778+0.282597*LOG($BO276)),IF($BO276&gt;0.26 =AND($BO276&lt;=0.91),10^(0.021763+0.28995*LOG($BO276)),1)))</f>
        <v>0.44350088115968989</v>
      </c>
      <c r="BR276" s="497">
        <f>IF($BP276&gt;0 =AND($BP276&lt;=0.06),10^(0.029806+0.29095*LOG($BP276)),IF($BP276&gt;0.06 =AND($BP276&lt;=0.26),10^(0.013778+0.282597*LOG($BP276)),IF($BP276&gt;0.26 =AND($BP276&lt;=2),10^(0.021763+0.28995*LOG($BP276))," ")))</f>
        <v>0.71862713160799752</v>
      </c>
      <c r="BS276" s="475">
        <f>BM276*BQ276</f>
        <v>0.43843894737915656</v>
      </c>
      <c r="BT276" s="475">
        <f>IF(BP276=" "," ",(BM276*BR276))</f>
        <v>0.71042502174164868</v>
      </c>
      <c r="BU276" s="475">
        <f>IF(BO276&lt;=0.11,0.3827+0.0645*LN(BO276),IF(BO276&lt;=0.21,0.60025+0.15471*LN(BO276),IF(BO276&lt;1,0.225+0.6666666667*BO276,0)))</f>
        <v>0.18724109283836218</v>
      </c>
      <c r="BV276" s="475">
        <f>IF(BP276&lt;=0.11,0.3827+0.0645*LN(BP276),IF(BP276&lt;=0.21,0.60025+0.15471*LN(BP276),IF(BP276&lt;1,0.225+0.6666666667*BP276," ")))</f>
        <v>0.40445291046034409</v>
      </c>
      <c r="BW276" s="475">
        <f>2*ACOS(1-2*(BU276))</f>
        <v>1.7900025687147936</v>
      </c>
      <c r="BX276" s="475">
        <f>IF(BP276=" "," ",(2*ACOS(1-2*(BV276))))</f>
        <v>2.7570391589374439</v>
      </c>
      <c r="BY276" s="475">
        <f>(1/4)*(1-(SIN(BW276))/BW276)</f>
        <v>0.113677519174335</v>
      </c>
      <c r="BZ276" s="475">
        <f>IF(BP276=" "," ",((1/4)*(1-(SIN(BX276))/BX276)))</f>
        <v>0.21598295696565337</v>
      </c>
      <c r="CA276" s="471">
        <f>BY276*AZ276/1000</f>
        <v>2.2735503834866999E-2</v>
      </c>
      <c r="CB276" s="471">
        <f>IF(BP276=" "," ",(BZ276*AZ276/1000))</f>
        <v>4.3196591393130673E-2</v>
      </c>
      <c r="CC276" s="471">
        <f t="shared" si="742"/>
        <v>0.92090228941217256</v>
      </c>
      <c r="CD276" s="471" t="str">
        <f>IF(CC276="","",IF(CC276&lt;0.7,"F. Subcrítico",IF(AND(CC276&gt;0.7,CC276&lt;1),"F. Subcrítico Inestable",IF(CC276=1,"F. Crítico",IF(AND(CC276&gt;1,CC276&lt;1.5),"F. Supercrítico Inestable",IF(CC276&gt;1.5,"F. Supercrítico",""))))))</f>
        <v>F. Subcrítico Inestable</v>
      </c>
      <c r="CE276" s="471">
        <f>1000*BL276*CA276/100</f>
        <v>0.20385775028897526</v>
      </c>
      <c r="CF276" s="471">
        <f>IF(BP276=" "," ",(1000*BL276*CB276/100))</f>
        <v>0.38732196152393933</v>
      </c>
      <c r="CG276" s="471" t="str">
        <f>IF(BS276&lt;0.45,"No cumple",IF(BS276&gt;5,"No cumple","O.K"))</f>
        <v>No cumple</v>
      </c>
      <c r="CH276" s="471" t="str">
        <f>IF(BT276&lt;0.75,"No cumple",IF(BT276&gt;10,"No cumple","O.K"))</f>
        <v>No cumple</v>
      </c>
      <c r="CI276" s="471" t="str">
        <f>IF(CE276&gt;0.1,"OK","V.C.H.")</f>
        <v>OK</v>
      </c>
      <c r="CJ276" s="471" t="str">
        <f>IF(CF276&gt;0.2,"OK","V.C.H.")</f>
        <v>OK</v>
      </c>
      <c r="CK276" s="468">
        <f>+BJ276</f>
        <v>2.9999999999972715E-2</v>
      </c>
      <c r="CL276" s="482" t="s">
        <v>2507</v>
      </c>
      <c r="CM276" s="482"/>
      <c r="CN276" s="63" t="str">
        <f>IF(B276=1,"dato"," ")</f>
        <v>dato</v>
      </c>
      <c r="CO276" s="498">
        <f>+CR276</f>
        <v>21.19</v>
      </c>
      <c r="CP276" s="472">
        <f>+BK276/100</f>
        <v>2.8315243039143665E-3</v>
      </c>
      <c r="CQ276" s="482" t="s">
        <v>2508</v>
      </c>
      <c r="CR276" s="204">
        <f>IF(BA276="","",AX276)</f>
        <v>21.19</v>
      </c>
      <c r="CS276" s="486">
        <v>1.2</v>
      </c>
      <c r="CT276" s="486">
        <v>1.2</v>
      </c>
      <c r="CU276" s="23">
        <f>IF($BA276="","",SQRT((BH276-BI276)^2+$CR276^2))</f>
        <v>21.190851799774354</v>
      </c>
      <c r="CV276" s="499" t="s">
        <v>2509</v>
      </c>
      <c r="CW276" s="488" t="str">
        <f>+IF(BD276&lt;=0.9,"E1",IF(BD276&lt;=2.5,"E2","E3"))</f>
        <v>E1</v>
      </c>
      <c r="CX276" s="204">
        <f>IF(AND(L276="",H276=""),"",IF(AND(BA276&lt;&gt;4,BA276&lt;&gt;5),VLOOKUP(AY276,'TABLA (2)'!$A$9:$D$43,4),IF(BA276=4,VLOOKUP(AY276,'TABLA (2)'!$A$74:$D$89,4),VLOOKUP(AY276,'TABLA (2)'!$A$51:$D$66,4))))</f>
        <v>3.6999999999999998E-2</v>
      </c>
      <c r="CY276" s="482"/>
      <c r="CZ276" s="482"/>
      <c r="DA276" s="482"/>
      <c r="DB276" s="490"/>
    </row>
    <row r="277" spans="1:106" ht="15" hidden="1" customHeight="1">
      <c r="A277" s="465">
        <f>+A276+1</f>
        <v>184</v>
      </c>
      <c r="B277" s="491"/>
      <c r="C277" s="466" t="s">
        <v>2203</v>
      </c>
      <c r="D277" s="466" t="s">
        <v>2194</v>
      </c>
      <c r="E277" s="468">
        <v>2.13370464E-2</v>
      </c>
      <c r="F277" s="468"/>
      <c r="G277" s="468">
        <f>IF(B277=1,0,SUMIF($D$22:$D$583,C277,$H$22:$H$583))</f>
        <v>0.1048820872</v>
      </c>
      <c r="H277" s="468">
        <f>+E277+F277+G277</f>
        <v>0.12621913360000001</v>
      </c>
      <c r="I277" s="468">
        <v>2.13370464E-2</v>
      </c>
      <c r="J277" s="468"/>
      <c r="K277" s="467">
        <f ca="1">+IF(B277=1,0,SUMIF($D$22:$D$583,C277,$L$22:$L$580))</f>
        <v>0.1048820872</v>
      </c>
      <c r="L277" s="468">
        <f ca="1">+I277+J277+K277</f>
        <v>0.12621913360000001</v>
      </c>
      <c r="M277" s="469">
        <f>+$P$12</f>
        <v>242.33666300502347</v>
      </c>
      <c r="N277" s="470">
        <f>M277*E277</f>
        <v>5.1707486229593496</v>
      </c>
      <c r="O277" s="470">
        <f>M277*F277</f>
        <v>0</v>
      </c>
      <c r="P277" s="470">
        <f>M277*H277</f>
        <v>30.587523644009234</v>
      </c>
      <c r="Q277" s="469">
        <f t="shared" si="736"/>
        <v>140</v>
      </c>
      <c r="R277" s="471">
        <f>Q277*P277*$P$14/86400</f>
        <v>4.2128649463392349E-2</v>
      </c>
      <c r="S277" s="471"/>
      <c r="T277" s="471"/>
      <c r="U277" s="471">
        <f>IF(C277="","",T277*$P$17)</f>
        <v>0</v>
      </c>
      <c r="V277" s="471"/>
      <c r="W277" s="471"/>
      <c r="X277" s="471">
        <f>IF(C277="","",W277*$P$16)</f>
        <v>0</v>
      </c>
      <c r="Y277" s="471">
        <f>IF(H277=0,0,$H$15*H277)</f>
        <v>2.5243826720000001E-2</v>
      </c>
      <c r="Z277" s="471">
        <f ca="1">IF(L277=0,$H$16*H277,0)</f>
        <v>0</v>
      </c>
      <c r="AA277" s="471">
        <f t="shared" si="527"/>
        <v>3.8</v>
      </c>
      <c r="AB277" s="471">
        <f>R277*AA277</f>
        <v>0.16008886796089092</v>
      </c>
      <c r="AC277" s="471">
        <f>Q277*(N277+O277)*$P$14/86400</f>
        <v>7.1217486820852145E-3</v>
      </c>
      <c r="AD277" s="471">
        <f>IF(E277=0,0,$H$15*(E277+F277))</f>
        <v>4.2674092800000004E-3</v>
      </c>
      <c r="AE277" s="471">
        <f>IF(F277=0,0,$H$15*(F277+G277))</f>
        <v>0</v>
      </c>
      <c r="AF277" s="510">
        <f t="shared" si="737"/>
        <v>3.8</v>
      </c>
      <c r="AG277" s="471">
        <f>AC277*AF277</f>
        <v>2.7062644991923814E-2</v>
      </c>
      <c r="AH277" s="471">
        <f>+AD277+AE277+AG277</f>
        <v>3.1330054271923813E-2</v>
      </c>
      <c r="AI277" s="471">
        <f ca="1">IF(H277="","",IF(AB277+Y277+Z277+X277+U277&lt;1.5,1.5,AB277+Y277+Z277+X277+U277))</f>
        <v>1.5</v>
      </c>
      <c r="AJ277" s="471">
        <f>+$P$17</f>
        <v>0.75</v>
      </c>
      <c r="AK277" s="472">
        <f>+BK277/100</f>
        <v>8.9758342922903273E-2</v>
      </c>
      <c r="AL277" s="471">
        <f>IF(AJ277=0," ",0.14+0.65*AJ277+0.05*AK277)</f>
        <v>0.63198791714614522</v>
      </c>
      <c r="AM277" s="473">
        <f t="shared" si="740"/>
        <v>335.3703153686705</v>
      </c>
      <c r="AN277" s="474">
        <f t="shared" si="741"/>
        <v>10</v>
      </c>
      <c r="AO277" s="474">
        <f>((1/60)*$AX277/$AQ277)</f>
        <v>9.6555555555555547E-2</v>
      </c>
      <c r="AP277" s="474">
        <f>IF(B277=1,IF(($AN277+$AO277)&lt;10,10,IF(($AN277+$AO277)&gt;20,20,($AN277+$AO277))),($AN277+$AO277))</f>
        <v>10.096555555555556</v>
      </c>
      <c r="AQ277" s="475">
        <v>3</v>
      </c>
      <c r="AR277" s="474">
        <f ca="1">((1/60)*$AX277/$BT277)</f>
        <v>0.11788680835893436</v>
      </c>
      <c r="AS277" s="474">
        <f ca="1">AO277/AR277</f>
        <v>0.81905309762538692</v>
      </c>
      <c r="AT277" s="471" t="str">
        <f ca="1">IF(AS277&lt;0.9,"Disminuir vel.",IF(AS277&gt;1.1,"Aumentar vel.","Cumple"))</f>
        <v>Disminuir vel.</v>
      </c>
      <c r="AU277" s="492">
        <f>+I277*AL277*AM277</f>
        <v>4.522386708858531</v>
      </c>
      <c r="AV277" s="471">
        <f ca="1">+L277*AL277*AM277</f>
        <v>26.752143736083323</v>
      </c>
      <c r="AW277" s="471">
        <f t="shared" ca="1" si="743"/>
        <v>28.25</v>
      </c>
      <c r="AX277" s="478">
        <f>IF(OR(C277="",D277=""),"",ROUND(((VLOOKUP(C277,'Base de Diseño (2)'!$A$2:$C$333,2,FALSE)-VLOOKUP(D277,'Base de Diseño (2)'!$A$2:$C$333,2,FALSE))^2+(VLOOKUP(C277,'Base de Diseño (2)'!$A$2:$C$333,3,0)-VLOOKUP(D277,'Base de Diseño (2)'!$A$2:$C$333,3,FALSE))^2)^0.5,2))</f>
        <v>17.38</v>
      </c>
      <c r="AY277" s="493">
        <v>8</v>
      </c>
      <c r="AZ277" s="480">
        <f ca="1">IF(AND(L277="",H277=""),"",IF(BA277=4,VLOOKUP(AY277,'TABLA (2)'!$A$74:$C$89,2),IF(BA277=5,VLOOKUP(AY277,'TABLA (2)'!$A$51:$B$66,2),IF(BA277=6,VLOOKUP(AY277,'TABLA (2)'!$A$9:$B$43,2)))))</f>
        <v>200</v>
      </c>
      <c r="BA277" s="493">
        <v>6</v>
      </c>
      <c r="BB277" s="478">
        <f>IF(OR(C277="",D277=""),"",VLOOKUP(C277,'Base de Diseño (2)'!$A$2:$D$330,4,FALSE))</f>
        <v>984.40160000000003</v>
      </c>
      <c r="BC277" s="478">
        <f>IF(OR(C277="",D277=""),"",VLOOKUP(D277,'Base de Diseño (2)'!$A$2:$D$330,4,FALSE))</f>
        <v>982.84159999999997</v>
      </c>
      <c r="BD277" s="478">
        <f ca="1">+BF277-((AZ277/1000)+CX277)</f>
        <v>0.92299999999996818</v>
      </c>
      <c r="BE277" s="478">
        <f ca="1">+BG277-((AZ277/1000)+CX277)</f>
        <v>1.2629999999999999</v>
      </c>
      <c r="BF277" s="494">
        <v>1.1599999999999682</v>
      </c>
      <c r="BG277" s="494">
        <v>1.5</v>
      </c>
      <c r="BH277" s="495">
        <f>BB277-BF277</f>
        <v>983.24160000000006</v>
      </c>
      <c r="BI277" s="495">
        <f>BC277-BG277</f>
        <v>981.34159999999997</v>
      </c>
      <c r="BJ277" s="468">
        <f>IF(A277="",0,BI277-BH278)</f>
        <v>981.34159999999997</v>
      </c>
      <c r="BK277" s="475">
        <f>ABS((BB277-BC277)/AX277)*100</f>
        <v>8.9758342922903278</v>
      </c>
      <c r="BL277" s="475">
        <f>((BH277-BI277)/AX277)*100</f>
        <v>10.932105868815253</v>
      </c>
      <c r="BM277" s="475">
        <f ca="1">IF(BA277=6,(1/0.013)*((AZ277/4000)^(2/3))*((BL277/100)^(0.5)),(1/0.009)*((AZ277/4000)^(2/3))*((BL277/100)^(0.5)))</f>
        <v>3.4518763599661479</v>
      </c>
      <c r="BN277" s="475">
        <f ca="1">1000*BM277*PI()*((AZ277/1000/2)^2)</f>
        <v>108.44389413569928</v>
      </c>
      <c r="BO277" s="204">
        <f ca="1">AI277/BN277</f>
        <v>1.3832037404733939E-2</v>
      </c>
      <c r="BP277" s="496">
        <f ca="1">IF(L277=0," ",AW277/BN277)</f>
        <v>0.26050337112248922</v>
      </c>
      <c r="BQ277" s="497">
        <f ca="1">IF($BO277&gt;0 =AND($BO277&lt;=0.06),10^(0.029806+0.29095*LOG($BO277)),IF($BO277&gt;0.06 =AND($BO277&lt;=0.26),10^(0.013778+0.282597*LOG($BO277)),IF($BO277&gt;0.26 =AND($BO277&lt;=0.91),10^(0.021763+0.28995*LOG($BO277)),1)))</f>
        <v>0.30824555788195412</v>
      </c>
      <c r="BR277" s="497">
        <f ca="1">IF($BP277&gt;0 =AND($BP277&lt;=0.06),10^(0.029806+0.29095*LOG($BP277)),IF($BP277&gt;0.06 =AND($BP277&lt;=0.26),10^(0.013778+0.282597*LOG($BP277)),IF($BP277&gt;0.26 =AND($BP277&lt;=2),10^(0.021763+0.28995*LOG($BP277))," ")))</f>
        <v>0.711832938564537</v>
      </c>
      <c r="BS277" s="475">
        <f ca="1">BM277*BQ277</f>
        <v>1.0640255543172943</v>
      </c>
      <c r="BT277" s="475">
        <f ca="1">IF(BP277=" "," ",(BM277*BR277))</f>
        <v>2.4571592928761605</v>
      </c>
      <c r="BU277" s="475">
        <f ca="1">IF(BO277&lt;=0.11,0.3827+0.0645*LN(BO277),IF(BO277&lt;=0.21,0.60025+0.15471*LN(BO277),IF(BO277&lt;1,0.225+0.6666666667*BO277,0)))</f>
        <v>0.10659047519800713</v>
      </c>
      <c r="BV277" s="475">
        <f ca="1">IF(BP277&lt;=0.11,0.3827+0.0645*LN(BP277),IF(BP277&lt;=0.21,0.60025+0.15471*LN(BP277),IF(BP277&lt;1,0.225+0.6666666667*BP277," ")))</f>
        <v>0.39866891409034289</v>
      </c>
      <c r="BW277" s="475">
        <f ca="1">2*ACOS(1-2*(BU277))</f>
        <v>1.3303167464863954</v>
      </c>
      <c r="BX277" s="475">
        <f ca="1">IF(BP277=" "," ",(2*ACOS(1-2*(BV277))))</f>
        <v>2.7334411620696666</v>
      </c>
      <c r="BY277" s="475">
        <f ca="1">(1/4)*(1-(SIN(BW277))/BW277)</f>
        <v>6.7482590477019516E-2</v>
      </c>
      <c r="BZ277" s="475">
        <f ca="1">IF(BP277=" "," ",((1/4)*(1-(SIN(BX277))/BX277)))</f>
        <v>0.21369838248038725</v>
      </c>
      <c r="CA277" s="471">
        <f ca="1">BY277*AZ277/1000</f>
        <v>1.3496518095403904E-2</v>
      </c>
      <c r="CB277" s="471">
        <f ca="1">IF(BP277=" "," ",(BZ277*AZ277/1000))</f>
        <v>4.2739676496077447E-2</v>
      </c>
      <c r="CC277" s="471">
        <f t="shared" ca="1" si="742"/>
        <v>3.2121057191486324</v>
      </c>
      <c r="CD277" s="471" t="str">
        <f ca="1">IF(CC277="","",IF(CC277&lt;0.7,"F. Subcrítico",IF(AND(CC277&gt;0.7,CC277&lt;1),"F. Subcrítico Inestable",IF(CC277=1,"F. Crítico",IF(AND(CC277&gt;1,CC277&lt;1.5),"F. Supercrítico Inestable",IF(CC277&gt;1.5,"F. Supercrítico",""))))))</f>
        <v>F. Supercrítico</v>
      </c>
      <c r="CE277" s="471">
        <f ca="1">1000*BL277*CA277/100</f>
        <v>1.475453646793363</v>
      </c>
      <c r="CF277" s="471">
        <f ca="1">IF(BP277=" "," ",(1000*BL277*CB277/100))</f>
        <v>4.6723466825403355</v>
      </c>
      <c r="CG277" s="471" t="str">
        <f ca="1">IF(BS277&lt;0.45,"No cumple",IF(BS277&gt;5,"No cumple","O.K"))</f>
        <v>O.K</v>
      </c>
      <c r="CH277" s="471" t="str">
        <f ca="1">IF(BT277&lt;0.75,"No cumple",IF(BT277&gt;10,"No cumple","O.K"))</f>
        <v>O.K</v>
      </c>
      <c r="CI277" s="471" t="str">
        <f ca="1">IF(CE277&gt;0.1,"OK","V.C.H.")</f>
        <v>OK</v>
      </c>
      <c r="CJ277" s="471" t="str">
        <f ca="1">IF(CF277&gt;0.2,"OK","V.C.H.")</f>
        <v>OK</v>
      </c>
      <c r="CK277" s="468">
        <f>+BJ277</f>
        <v>981.34159999999997</v>
      </c>
      <c r="CL277" s="482" t="s">
        <v>2507</v>
      </c>
      <c r="CM277" s="482"/>
      <c r="CN277" s="63" t="str">
        <f>IF(B277=1,"dato"," ")</f>
        <v xml:space="preserve"> </v>
      </c>
      <c r="CO277" s="498">
        <f>+CR277</f>
        <v>17.38</v>
      </c>
      <c r="CP277" s="472">
        <f>+BK277/100</f>
        <v>8.9758342922903273E-2</v>
      </c>
      <c r="CQ277" s="482" t="s">
        <v>2508</v>
      </c>
      <c r="CR277" s="204">
        <f>IF(BA277="","",AX277)</f>
        <v>17.38</v>
      </c>
      <c r="CS277" s="486">
        <v>1.2</v>
      </c>
      <c r="CT277" s="486">
        <v>1.2</v>
      </c>
      <c r="CU277" s="23">
        <f>IF($BA277="","",SQRT((BH277-BI277)^2+$CR277^2))</f>
        <v>17.483546550971869</v>
      </c>
      <c r="CV277" s="499" t="s">
        <v>2509</v>
      </c>
      <c r="CW277" s="488" t="str">
        <f ca="1">+IF(BD277&lt;=0.9,"E1",IF(BD277&lt;=2.5,"E2","E3"))</f>
        <v>E2</v>
      </c>
      <c r="CX277" s="204">
        <f ca="1">IF(AND(L277="",H277=""),"",IF(AND(BA277&lt;&gt;4,BA277&lt;&gt;5),VLOOKUP(AY277,'TABLA (2)'!$A$9:$D$43,4),IF(BA277=4,VLOOKUP(AY277,'TABLA (2)'!$A$74:$D$89,4),VLOOKUP(AY277,'TABLA (2)'!$A$51:$D$66,4))))</f>
        <v>3.6999999999999998E-2</v>
      </c>
      <c r="CY277" s="482"/>
      <c r="CZ277" s="482"/>
      <c r="DA277" s="482"/>
      <c r="DB277" s="490"/>
    </row>
    <row r="278" spans="1:106" ht="15" hidden="1" customHeight="1">
      <c r="A278" s="465"/>
      <c r="B278" s="491"/>
      <c r="C278" s="466"/>
      <c r="D278" s="466"/>
      <c r="E278" s="468"/>
      <c r="F278" s="468"/>
      <c r="G278" s="468"/>
      <c r="H278" s="468"/>
      <c r="I278" s="468"/>
      <c r="J278" s="468"/>
      <c r="K278" s="467"/>
      <c r="L278" s="468"/>
      <c r="M278" s="469"/>
      <c r="N278" s="470"/>
      <c r="O278" s="470"/>
      <c r="P278" s="470"/>
      <c r="Q278" s="469">
        <f t="shared" si="736"/>
        <v>140</v>
      </c>
      <c r="R278" s="471"/>
      <c r="S278" s="471"/>
      <c r="T278" s="471"/>
      <c r="U278" s="471"/>
      <c r="V278" s="471"/>
      <c r="W278" s="471"/>
      <c r="X278" s="471"/>
      <c r="Y278" s="471"/>
      <c r="Z278" s="471"/>
      <c r="AA278" s="471" t="str">
        <f t="shared" ref="AA278:AA341" si="744">IF(P278="","",IF(1+((14/(4+(P278/1000)^1/2)))&lt;1.4,1.4,IF(1+((14/(4+(P278/1000)^1/2)))&gt;=3.8,3.8,(1+((14/(4+(P278/1000)^1/2)))))))</f>
        <v/>
      </c>
      <c r="AB278" s="471"/>
      <c r="AC278" s="471"/>
      <c r="AD278" s="471"/>
      <c r="AE278" s="471"/>
      <c r="AF278" s="510" t="str">
        <f t="shared" si="737"/>
        <v/>
      </c>
      <c r="AG278" s="471"/>
      <c r="AH278" s="471"/>
      <c r="AI278" s="471"/>
      <c r="AJ278" s="471"/>
      <c r="AK278" s="472"/>
      <c r="AL278" s="471"/>
      <c r="AM278" s="473">
        <f t="shared" si="740"/>
        <v>474.44695720875893</v>
      </c>
      <c r="AN278" s="474">
        <f t="shared" si="741"/>
        <v>10.096555555555556</v>
      </c>
      <c r="AO278" s="474"/>
      <c r="AP278" s="474"/>
      <c r="AQ278" s="475">
        <v>3</v>
      </c>
      <c r="AR278" s="474"/>
      <c r="AS278" s="474"/>
      <c r="AT278" s="471"/>
      <c r="AU278" s="492"/>
      <c r="AV278" s="471"/>
      <c r="AW278" s="471">
        <f t="shared" si="743"/>
        <v>0</v>
      </c>
      <c r="AX278" s="478"/>
      <c r="AY278" s="493"/>
      <c r="AZ278" s="480"/>
      <c r="BA278" s="493"/>
      <c r="BB278" s="478" t="str">
        <f>IF(OR(C278="",D278=""),"",VLOOKUP(C278,'Base de Diseño (2)'!$A$2:$D$330,4,FALSE))</f>
        <v/>
      </c>
      <c r="BC278" s="478" t="str">
        <f>IF(OR(C278="",D278=""),"",VLOOKUP(D278,'Base de Diseño (2)'!$A$2:$D$330,4,FALSE))</f>
        <v/>
      </c>
      <c r="BD278" s="478"/>
      <c r="BE278" s="478"/>
      <c r="BF278" s="494"/>
      <c r="BG278" s="494"/>
      <c r="BH278" s="495"/>
      <c r="BI278" s="495"/>
      <c r="BJ278" s="468"/>
      <c r="BK278" s="475"/>
      <c r="BL278" s="475"/>
      <c r="BM278" s="475"/>
      <c r="BN278" s="475"/>
      <c r="BO278" s="204"/>
      <c r="BP278" s="496"/>
      <c r="BQ278" s="497"/>
      <c r="BR278" s="497"/>
      <c r="BS278" s="475"/>
      <c r="BT278" s="475"/>
      <c r="BU278" s="475"/>
      <c r="BV278" s="475"/>
      <c r="BW278" s="475"/>
      <c r="BX278" s="475"/>
      <c r="BY278" s="475"/>
      <c r="BZ278" s="475"/>
      <c r="CA278" s="471"/>
      <c r="CB278" s="471"/>
      <c r="CC278" s="471" t="e">
        <f t="shared" si="742"/>
        <v>#DIV/0!</v>
      </c>
      <c r="CD278" s="471"/>
      <c r="CE278" s="471"/>
      <c r="CF278" s="471"/>
      <c r="CG278" s="471"/>
      <c r="CH278" s="471"/>
      <c r="CI278" s="471"/>
      <c r="CJ278" s="471"/>
      <c r="CK278" s="468"/>
      <c r="CL278" s="482" t="s">
        <v>2507</v>
      </c>
      <c r="CM278" s="482"/>
      <c r="CN278" s="63"/>
      <c r="CO278" s="498"/>
      <c r="CP278" s="472"/>
      <c r="CQ278" s="482"/>
      <c r="CR278" s="204"/>
      <c r="CS278" s="486"/>
      <c r="CT278" s="486"/>
      <c r="CU278" s="23"/>
      <c r="CV278" s="499"/>
      <c r="CW278" s="488"/>
      <c r="CX278" s="204"/>
      <c r="CY278" s="482"/>
      <c r="CZ278" s="482"/>
      <c r="DA278" s="482"/>
      <c r="DB278" s="490"/>
    </row>
    <row r="279" spans="1:106" ht="15" hidden="1" customHeight="1">
      <c r="A279" s="465">
        <f>+A277+1</f>
        <v>185</v>
      </c>
      <c r="B279" s="491">
        <v>1</v>
      </c>
      <c r="C279" s="466" t="s">
        <v>2202</v>
      </c>
      <c r="D279" s="466" t="s">
        <v>2203</v>
      </c>
      <c r="E279" s="468">
        <v>7.2371558000000002E-2</v>
      </c>
      <c r="F279" s="468"/>
      <c r="G279" s="468">
        <f>IF(B279=1,0,SUMIF($D$22:$D$583,C279,$H$22:$H$583))</f>
        <v>0</v>
      </c>
      <c r="H279" s="468">
        <f>+E279+F279+G279</f>
        <v>7.2371558000000002E-2</v>
      </c>
      <c r="I279" s="468">
        <v>7.2371558000000002E-2</v>
      </c>
      <c r="J279" s="468"/>
      <c r="K279" s="467">
        <f>+IF(B279=1,0,SUMIF($D$22:$D$583,C279,$L$22:$L$580))</f>
        <v>0</v>
      </c>
      <c r="L279" s="468">
        <f>+I279+J279+K279</f>
        <v>7.2371558000000002E-2</v>
      </c>
      <c r="M279" s="469">
        <f>+$P$12</f>
        <v>242.33666300502347</v>
      </c>
      <c r="N279" s="470">
        <f>M279*E279</f>
        <v>17.538281862194509</v>
      </c>
      <c r="O279" s="470">
        <f>M279*F279</f>
        <v>0</v>
      </c>
      <c r="P279" s="470">
        <f>M279*H279</f>
        <v>17.538281862194509</v>
      </c>
      <c r="Q279" s="469">
        <f t="shared" si="736"/>
        <v>140</v>
      </c>
      <c r="R279" s="471">
        <f>Q279*P279*$P$14/86400</f>
        <v>2.4155735435198455E-2</v>
      </c>
      <c r="S279" s="471"/>
      <c r="T279" s="471"/>
      <c r="U279" s="471">
        <f>IF(C279="","",T279*$P$17)</f>
        <v>0</v>
      </c>
      <c r="V279" s="471"/>
      <c r="W279" s="471"/>
      <c r="X279" s="471">
        <f>IF(C279="","",W279*$P$16)</f>
        <v>0</v>
      </c>
      <c r="Y279" s="471">
        <f>IF(H279=0,0,$H$15*H279)</f>
        <v>1.4474311600000001E-2</v>
      </c>
      <c r="Z279" s="471">
        <f>IF(L279=0,$H$16*H279,0)</f>
        <v>0</v>
      </c>
      <c r="AA279" s="471">
        <f t="shared" si="744"/>
        <v>3.8</v>
      </c>
      <c r="AB279" s="471">
        <f>R279*AA279</f>
        <v>9.179179465375413E-2</v>
      </c>
      <c r="AC279" s="471">
        <f>Q279*(N279+O279)*$P$14/86400</f>
        <v>2.4155735435198455E-2</v>
      </c>
      <c r="AD279" s="471">
        <f>IF(E279=0,0,$H$15*(E279+F279))</f>
        <v>1.4474311600000001E-2</v>
      </c>
      <c r="AE279" s="471">
        <f>IF(F279=0,0,$H$15*(F279+G279))</f>
        <v>0</v>
      </c>
      <c r="AF279" s="510">
        <f t="shared" si="737"/>
        <v>3.8</v>
      </c>
      <c r="AG279" s="471">
        <f>AC279*AF279</f>
        <v>9.179179465375413E-2</v>
      </c>
      <c r="AH279" s="471">
        <f>+AD279+AE279+AG279</f>
        <v>0.10626610625375413</v>
      </c>
      <c r="AI279" s="471">
        <f>IF(H279="","",IF(AB279+Y279+Z279+X279+U279&lt;1.5,1.5,AB279+Y279+Z279+X279+U279))</f>
        <v>1.5</v>
      </c>
      <c r="AJ279" s="471">
        <f>+$P$17</f>
        <v>0.75</v>
      </c>
      <c r="AK279" s="472">
        <f>+BK279/100</f>
        <v>0.14218566392479418</v>
      </c>
      <c r="AL279" s="471">
        <f>IF(AJ279=0," ",0.14+0.65*AJ279+0.05*AK279)</f>
        <v>0.63460928319623977</v>
      </c>
      <c r="AM279" s="473">
        <f t="shared" si="740"/>
        <v>336.32613267542746</v>
      </c>
      <c r="AN279" s="474">
        <f t="shared" si="741"/>
        <v>5</v>
      </c>
      <c r="AO279" s="474">
        <f>((1/60)*$AX279/$AQ279)</f>
        <v>0.14183333333333334</v>
      </c>
      <c r="AP279" s="474">
        <f>IF(B279=1,IF(($AN279+$AO279)&lt;10,10,IF(($AN279+$AO279)&gt;20,20,($AN279+$AO279))),($AN279+$AO279))</f>
        <v>10</v>
      </c>
      <c r="AQ279" s="475">
        <v>3</v>
      </c>
      <c r="AR279" s="474">
        <f>((1/60)*$AX279/$BT279)</f>
        <v>0.18546192790267341</v>
      </c>
      <c r="AS279" s="474">
        <f>AO279/AR279</f>
        <v>0.76475713876847295</v>
      </c>
      <c r="AT279" s="471" t="str">
        <f>IF(AS279&lt;0.9,"Disminuir vel.",IF(AS279&gt;1.1,"Aumentar vel.","Cumple"))</f>
        <v>Disminuir vel.</v>
      </c>
      <c r="AU279" s="492">
        <f>+I279*AL279*AM279</f>
        <v>15.446673126977144</v>
      </c>
      <c r="AV279" s="471">
        <f>+L279*AL279*AM279</f>
        <v>15.446673126977144</v>
      </c>
      <c r="AW279" s="471">
        <f t="shared" si="743"/>
        <v>16.95</v>
      </c>
      <c r="AX279" s="478">
        <f>IF(OR(C279="",D279=""),"",ROUND(((VLOOKUP(C279,'Base de Diseño (2)'!$A$2:$C$333,2,FALSE)-VLOOKUP(D279,'Base de Diseño (2)'!$A$2:$C$333,2,FALSE))^2+(VLOOKUP(C279,'Base de Diseño (2)'!$A$2:$C$333,3,0)-VLOOKUP(D279,'Base de Diseño (2)'!$A$2:$C$333,3,FALSE))^2)^0.5,2))</f>
        <v>25.53</v>
      </c>
      <c r="AY279" s="493">
        <v>8</v>
      </c>
      <c r="AZ279" s="480">
        <f>IF(AND(L279="",H279=""),"",IF(BA279=4,VLOOKUP(AY279,'TABLA (2)'!$A$74:$C$89,2),IF(BA279=5,VLOOKUP(AY279,'TABLA (2)'!$A$51:$B$66,2),IF(BA279=6,VLOOKUP(AY279,'TABLA (2)'!$A$9:$B$43,2)))))</f>
        <v>200</v>
      </c>
      <c r="BA279" s="493">
        <v>6</v>
      </c>
      <c r="BB279" s="478">
        <f>IF(OR(C279="",D279=""),"",VLOOKUP(C279,'Base de Diseño (2)'!$A$2:$D$330,4,FALSE))</f>
        <v>988.03160000000003</v>
      </c>
      <c r="BC279" s="478">
        <f>IF(OR(C279="",D279=""),"",VLOOKUP(D279,'Base de Diseño (2)'!$A$2:$D$330,4,FALSE))</f>
        <v>984.40160000000003</v>
      </c>
      <c r="BD279" s="478">
        <f>+BF279-((AZ279/1000)+CX279)</f>
        <v>0.76300000000000001</v>
      </c>
      <c r="BE279" s="478">
        <f>+BG279-((AZ279/1000)+CX279)</f>
        <v>0.66299999999997727</v>
      </c>
      <c r="BF279" s="494">
        <v>1</v>
      </c>
      <c r="BG279" s="494">
        <v>0.89999999999997726</v>
      </c>
      <c r="BH279" s="495">
        <f>BB279-BF279</f>
        <v>987.03160000000003</v>
      </c>
      <c r="BI279" s="495">
        <f>BC279-BG279</f>
        <v>983.50160000000005</v>
      </c>
      <c r="BJ279" s="468" t="e">
        <f>IF(A279="",0,BI279-#REF!)</f>
        <v>#REF!</v>
      </c>
      <c r="BK279" s="475">
        <f>ABS((BB279-BC279)/AX279)*100</f>
        <v>14.218566392479417</v>
      </c>
      <c r="BL279" s="475">
        <f>((BH279-BI279)/AX279)*100</f>
        <v>13.826870348609372</v>
      </c>
      <c r="BM279" s="475">
        <f>IF(BA279=6,(1/0.013)*((AZ279/4000)^(2/3))*((BL279/100)^(0.5)),(1/0.009)*((AZ279/4000)^(2/3))*((BL279/100)^(0.5)))</f>
        <v>3.8820869872144694</v>
      </c>
      <c r="BN279" s="475">
        <f>1000*BM279*PI()*((AZ279/1000/2)^2)</f>
        <v>121.95935959629513</v>
      </c>
      <c r="BO279" s="204">
        <f>AI279/BN279</f>
        <v>1.2299179045915282E-2</v>
      </c>
      <c r="BP279" s="496">
        <f>IF(L279=0," ",AW279/BN279)</f>
        <v>0.13898072321884269</v>
      </c>
      <c r="BQ279" s="497">
        <f>IF($BO279&gt;0 =AND($BO279&lt;=0.06),10^(0.029806+0.29095*LOG($BO279)),IF($BO279&gt;0.06 =AND($BO279&lt;=0.26),10^(0.013778+0.282597*LOG($BO279)),IF($BO279&gt;0.26 =AND($BO279&lt;=0.91),10^(0.021763+0.28995*LOG($BO279)),1)))</f>
        <v>0.29788968021693418</v>
      </c>
      <c r="BR279" s="497">
        <f>IF($BP279&gt;0 =AND($BP279&lt;=0.06),10^(0.029806+0.29095*LOG($BP279)),IF($BP279&gt;0.06 =AND($BP279&lt;=0.26),10^(0.013778+0.282597*LOG($BP279)),IF($BP279&gt;0.26 =AND($BP279&lt;=2),10^(0.021763+0.28995*LOG($BP279))," ")))</f>
        <v>0.59098918284457025</v>
      </c>
      <c r="BS279" s="475">
        <f>BM279*BQ279</f>
        <v>1.1564336511956397</v>
      </c>
      <c r="BT279" s="475">
        <f>IF(BP279=" "," ",(BM279*BR279))</f>
        <v>2.2942714163054188</v>
      </c>
      <c r="BU279" s="475">
        <f>IF(BO279&lt;=0.11,0.3827+0.0645*LN(BO279),IF(BO279&lt;=0.21,0.60025+0.15471*LN(BO279),IF(BO279&lt;1,0.225+0.6666666667*BO279,0)))</f>
        <v>9.9014631782256501E-2</v>
      </c>
      <c r="BV279" s="475">
        <f>IF(BP279&lt;=0.11,0.3827+0.0645*LN(BP279),IF(BP279&lt;=0.21,0.60025+0.15471*LN(BP279),IF(BP279&lt;1,0.225+0.6666666667*BP279," ")))</f>
        <v>0.29494218602196892</v>
      </c>
      <c r="BW279" s="475">
        <f>2*ACOS(1-2*(BU279))</f>
        <v>1.2804186364111452</v>
      </c>
      <c r="BX279" s="475">
        <f>IF(BP279=" "," ",(2*ACOS(1-2*(BV279))))</f>
        <v>2.2964309756878558</v>
      </c>
      <c r="BY279" s="475">
        <f>(1/4)*(1-(SIN(BW279))/BW279)</f>
        <v>6.2925285036382644E-2</v>
      </c>
      <c r="BZ279" s="475">
        <f>IF(BP279=" "," ",((1/4)*(1-(SIN(BX279))/BX279)))</f>
        <v>0.16856075569005785</v>
      </c>
      <c r="CA279" s="471">
        <f>BY279*AZ279/1000</f>
        <v>1.2585057007276529E-2</v>
      </c>
      <c r="CB279" s="471">
        <f>IF(BP279=" "," ",(BZ279*AZ279/1000))</f>
        <v>3.371215113801157E-2</v>
      </c>
      <c r="CC279" s="471">
        <f t="shared" si="742"/>
        <v>3.5555825148466602</v>
      </c>
      <c r="CD279" s="471" t="str">
        <f>IF(CC279="","",IF(CC279&lt;0.7,"F. Subcrítico",IF(AND(CC279&gt;0.7,CC279&lt;1),"F. Subcrítico Inestable",IF(CC279=1,"F. Crítico",IF(AND(CC279&gt;1,CC279&lt;1.5),"F. Supercrítico Inestable",IF(CC279&gt;1.5,"F. Supercrítico",""))))))</f>
        <v>F. Supercrítico</v>
      </c>
      <c r="CE279" s="471">
        <f>1000*BL279*CA279/100</f>
        <v>1.7401195156947045</v>
      </c>
      <c r="CF279" s="471">
        <f>IF(BP279=" "," ",(1000*BL279*CB279/100))</f>
        <v>4.6613354295800988</v>
      </c>
      <c r="CG279" s="471" t="str">
        <f>IF(BS279&lt;0.45,"No cumple",IF(BS279&gt;5,"No cumple","O.K"))</f>
        <v>O.K</v>
      </c>
      <c r="CH279" s="471" t="str">
        <f>IF(BT279&lt;0.75,"No cumple",IF(BT279&gt;10,"No cumple","O.K"))</f>
        <v>O.K</v>
      </c>
      <c r="CI279" s="471" t="str">
        <f>IF(CE279&gt;0.1,"OK","V.C.H.")</f>
        <v>OK</v>
      </c>
      <c r="CJ279" s="471" t="str">
        <f>IF(CF279&gt;0.2,"OK","V.C.H.")</f>
        <v>OK</v>
      </c>
      <c r="CK279" s="468" t="e">
        <f>+BJ279</f>
        <v>#REF!</v>
      </c>
      <c r="CL279" s="482" t="s">
        <v>2507</v>
      </c>
      <c r="CM279" s="482"/>
      <c r="CN279" s="63" t="str">
        <f>IF(B279=1,"dato"," ")</f>
        <v>dato</v>
      </c>
      <c r="CO279" s="498">
        <f>+CR279</f>
        <v>25.53</v>
      </c>
      <c r="CP279" s="472">
        <f>+BK279/100</f>
        <v>0.14218566392479418</v>
      </c>
      <c r="CQ279" s="482" t="s">
        <v>2508</v>
      </c>
      <c r="CR279" s="204">
        <f>IF(BA279="","",AX279)</f>
        <v>25.53</v>
      </c>
      <c r="CS279" s="486">
        <v>1.2</v>
      </c>
      <c r="CT279" s="486">
        <v>1.2</v>
      </c>
      <c r="CU279" s="23">
        <f>IF($BA279="","",SQRT((BH279-BI279)^2+$CR279^2))</f>
        <v>25.77288885631566</v>
      </c>
      <c r="CV279" s="499" t="s">
        <v>2509</v>
      </c>
      <c r="CW279" s="488" t="str">
        <f>+IF(BD279&lt;=0.9,"E1",IF(BD279&lt;=2.5,"E2","E3"))</f>
        <v>E1</v>
      </c>
      <c r="CX279" s="204">
        <f>IF(AND(L279="",H279=""),"",IF(AND(BA279&lt;&gt;4,BA279&lt;&gt;5),VLOOKUP(AY279,'TABLA (2)'!$A$9:$D$43,4),IF(BA279=4,VLOOKUP(AY279,'TABLA (2)'!$A$74:$D$89,4),VLOOKUP(AY279,'TABLA (2)'!$A$51:$D$66,4))))</f>
        <v>3.6999999999999998E-2</v>
      </c>
      <c r="CY279" s="482"/>
      <c r="CZ279" s="482"/>
      <c r="DA279" s="482"/>
      <c r="DB279" s="490"/>
    </row>
    <row r="280" spans="1:106" ht="16.149999999999999" hidden="1" customHeight="1">
      <c r="A280" s="465"/>
      <c r="B280" s="466"/>
      <c r="C280" s="466"/>
      <c r="D280" s="466"/>
      <c r="Q280" s="469">
        <f t="shared" si="736"/>
        <v>140</v>
      </c>
      <c r="AA280" s="471" t="str">
        <f t="shared" si="744"/>
        <v/>
      </c>
      <c r="AF280" s="510" t="str">
        <f t="shared" si="737"/>
        <v/>
      </c>
      <c r="AM280" s="473"/>
      <c r="AN280" s="474"/>
      <c r="AQ280" s="475"/>
      <c r="AW280" s="471">
        <f t="shared" si="743"/>
        <v>0</v>
      </c>
      <c r="AX280" s="478"/>
      <c r="BB280" s="478" t="str">
        <f>IF(OR(C280="",D280=""),"",VLOOKUP(C280,'Base de Diseño (2)'!$A$2:$D$330,4,FALSE))</f>
        <v/>
      </c>
      <c r="BC280" s="478" t="str">
        <f>IF(OR(C280="",D280=""),"",VLOOKUP(D280,'Base de Diseño (2)'!$A$2:$D$330,4,FALSE))</f>
        <v/>
      </c>
      <c r="BD280" s="478"/>
      <c r="BE280" s="478"/>
      <c r="CC280" s="471"/>
      <c r="CL280" s="482" t="s">
        <v>2507</v>
      </c>
    </row>
    <row r="281" spans="1:106" ht="15" hidden="1" customHeight="1">
      <c r="A281" s="465">
        <f>+A279+1</f>
        <v>186</v>
      </c>
      <c r="B281" s="491">
        <v>1</v>
      </c>
      <c r="C281" s="466" t="s">
        <v>2340</v>
      </c>
      <c r="D281" s="466" t="s">
        <v>2347</v>
      </c>
      <c r="E281" s="468">
        <v>0.57282836780000002</v>
      </c>
      <c r="F281" s="468"/>
      <c r="G281" s="468">
        <f t="shared" ref="G281:G290" si="745">IF(B281=1,0,SUMIF($D$22:$D$583,C281,$H$22:$H$583))</f>
        <v>0</v>
      </c>
      <c r="H281" s="468">
        <f t="shared" ref="H281:H290" si="746">+E281+F281+G281</f>
        <v>0.57282836780000002</v>
      </c>
      <c r="I281" s="468">
        <v>0.57282836780000002</v>
      </c>
      <c r="J281" s="468"/>
      <c r="K281" s="467">
        <f t="shared" ref="K281:K290" si="747">+IF(B281=1,0,SUMIF($D$22:$D$583,C281,$L$22:$L$580))</f>
        <v>0</v>
      </c>
      <c r="L281" s="468">
        <f t="shared" ref="L281:L290" si="748">+I281+J281+K281</f>
        <v>0.57282836780000002</v>
      </c>
      <c r="M281" s="469">
        <f t="shared" ref="M281:M290" si="749">+$P$12</f>
        <v>242.33666300502347</v>
      </c>
      <c r="N281" s="470">
        <f t="shared" ref="N281:N290" si="750">M281*E281</f>
        <v>138.81731512726623</v>
      </c>
      <c r="O281" s="470">
        <f t="shared" ref="O281:O290" si="751">M281*F281</f>
        <v>0</v>
      </c>
      <c r="P281" s="470">
        <f t="shared" ref="P281:P290" si="752">M281*H281</f>
        <v>138.81731512726623</v>
      </c>
      <c r="Q281" s="469">
        <f t="shared" si="736"/>
        <v>140</v>
      </c>
      <c r="R281" s="471">
        <f t="shared" ref="R281:R290" si="753">Q281*P281*$P$14/86400</f>
        <v>0.19119514467760046</v>
      </c>
      <c r="S281" s="471"/>
      <c r="T281" s="471"/>
      <c r="U281" s="471">
        <f t="shared" ref="U281:U290" si="754">IF(C281="","",T281*$P$17)</f>
        <v>0</v>
      </c>
      <c r="V281" s="471"/>
      <c r="W281" s="471"/>
      <c r="X281" s="471">
        <f t="shared" ref="X281:X290" si="755">IF(C281="","",W281*$P$16)</f>
        <v>0</v>
      </c>
      <c r="Y281" s="471">
        <f t="shared" ref="Y281:Y290" si="756">IF(H281=0,0,$H$15*H281)</f>
        <v>0.11456567356000001</v>
      </c>
      <c r="Z281" s="471">
        <f t="shared" ref="Z281:Z290" si="757">IF(L281=0,$H$16*H281,0)</f>
        <v>0</v>
      </c>
      <c r="AA281" s="471">
        <f t="shared" si="744"/>
        <v>3.8</v>
      </c>
      <c r="AB281" s="471">
        <f t="shared" ref="AB281:AB290" si="758">R281*AA281</f>
        <v>0.72654154977488172</v>
      </c>
      <c r="AC281" s="471">
        <f t="shared" ref="AC281:AC290" si="759">Q281*(N281+O281)*$P$14/86400</f>
        <v>0.19119514467760046</v>
      </c>
      <c r="AD281" s="471">
        <f t="shared" ref="AD281:AD290" si="760">IF(E281=0,0,$H$15*(E281+F281))</f>
        <v>0.11456567356000001</v>
      </c>
      <c r="AE281" s="471">
        <f t="shared" ref="AE281:AE290" si="761">IF(F281=0,0,$H$15*(F281+G281))</f>
        <v>0</v>
      </c>
      <c r="AF281" s="510">
        <f t="shared" si="737"/>
        <v>3.8</v>
      </c>
      <c r="AG281" s="471">
        <f t="shared" ref="AG281:AG290" si="762">AC281*AF281</f>
        <v>0.72654154977488172</v>
      </c>
      <c r="AH281" s="471">
        <f t="shared" ref="AH281:AH290" si="763">+AD281+AE281+AG281</f>
        <v>0.84110722333488175</v>
      </c>
      <c r="AI281" s="471">
        <f t="shared" ref="AI281:AI290" si="764">IF(H281="","",IF(AB281+Y281+Z281+X281+U281&lt;1.5,1.5,AB281+Y281+Z281+X281+U281))</f>
        <v>1.5</v>
      </c>
      <c r="AJ281" s="471">
        <f t="shared" ref="AJ281:AJ290" si="765">+$P$17</f>
        <v>0.75</v>
      </c>
      <c r="AK281" s="472">
        <f t="shared" ref="AK281:AK290" si="766">+BK281/100</f>
        <v>5.9885894156994676E-2</v>
      </c>
      <c r="AL281" s="471">
        <f t="shared" ref="AL281:AL290" si="767">IF(AJ281=0," ",0.14+0.65*AJ281+0.05*AK281)</f>
        <v>0.63049429470784979</v>
      </c>
      <c r="AM281" s="473">
        <f t="shared" ref="AM281:AM290" si="768">((100/36)*$AM$14*(AP281+$AN$14)^$AO$14)</f>
        <v>336.32613267542746</v>
      </c>
      <c r="AN281" s="474">
        <f t="shared" ref="AN281:AN290" si="769">IF(B281=1,IF((0.702*(1.1-$AJ281)*SQRT($CO281))/(($CP281)^(1/3))&lt;5,5,(0.702*(1.1-$AJ281)*SQRT($CO281))/(($CP281)^(1/3))),AP280)</f>
        <v>6.3319677808950008</v>
      </c>
      <c r="AO281" s="474">
        <f t="shared" ref="AO281:AO290" si="770">((1/60)*$AX281/$AQ281)</f>
        <v>0.42358333333333331</v>
      </c>
      <c r="AP281" s="474">
        <f t="shared" ref="AP281:AP290" si="771">IF(B281=1,IF(($AN281+$AO281)&lt;10,10,IF(($AN281+$AO281)&gt;20,20,($AN281+$AO281))),($AN281+$AO281))</f>
        <v>10</v>
      </c>
      <c r="AQ281" s="475">
        <v>4</v>
      </c>
      <c r="AR281" s="474">
        <f t="shared" ref="AR281:AR290" si="772">((1/60)*$AX281/$BT281)</f>
        <v>0.43651391531641665</v>
      </c>
      <c r="AS281" s="474">
        <f t="shared" ref="AS281:AS290" si="773">AO281/AR281</f>
        <v>0.97037761791921273</v>
      </c>
      <c r="AT281" s="471" t="str">
        <f t="shared" ref="AT281:AT290" si="774">IF(AS281&lt;0.9,"Disminuir vel.",IF(AS281&gt;1.1,"Aumentar vel.","Cumple"))</f>
        <v>Cumple</v>
      </c>
      <c r="AU281" s="492">
        <f t="shared" ref="AU281:AU290" si="775">+I281*AL281*AM281</f>
        <v>121.46923367573037</v>
      </c>
      <c r="AV281" s="471">
        <f t="shared" ref="AV281:AV290" si="776">+L281*AL281*AM281</f>
        <v>121.46923367573037</v>
      </c>
      <c r="AW281" s="471">
        <f t="shared" si="743"/>
        <v>121.47</v>
      </c>
      <c r="AX281" s="478">
        <f>IF(OR(C281="",D281=""),"",ROUND(((VLOOKUP(C281,'Base de Diseño (2)'!$A$2:$C$333,2,FALSE)-VLOOKUP(D281,'Base de Diseño (2)'!$A$2:$C$333,2,FALSE))^2+(VLOOKUP(C281,'Base de Diseño (2)'!$A$2:$C$333,3,0)-VLOOKUP(D281,'Base de Diseño (2)'!$A$2:$C$333,3,FALSE))^2)^0.5,2))</f>
        <v>101.66</v>
      </c>
      <c r="AY281" s="493">
        <v>12</v>
      </c>
      <c r="AZ281" s="480">
        <f>IF(AND(L281="",H281=""),"",IF(BA281=4,VLOOKUP(AY281,'TABLA (2)'!$A$74:$C$89,2),IF(BA281=5,VLOOKUP(AY281,'TABLA (2)'!$A$51:$B$66,2),IF(BA281=6,VLOOKUP(AY281,'TABLA (2)'!$A$9:$B$43,2)))))</f>
        <v>284</v>
      </c>
      <c r="BA281" s="493">
        <v>4</v>
      </c>
      <c r="BB281" s="478">
        <f>IF(OR(C281="",D281=""),"",VLOOKUP(C281,'Base de Diseño (2)'!$A$2:$D$330,4,FALSE))</f>
        <v>996.71500000000003</v>
      </c>
      <c r="BC281" s="478">
        <f>IF(OR(C281="",D281=""),"",VLOOKUP(D281,'Base de Diseño (2)'!$A$2:$D$330,4,FALSE))</f>
        <v>990.62699999999995</v>
      </c>
      <c r="BD281" s="478">
        <f t="shared" ref="BD281:BD290" si="777">+BF281-((AZ281/1000)+CX281)</f>
        <v>1.3205000000000044</v>
      </c>
      <c r="BE281" s="478">
        <f t="shared" ref="BE281:BE290" si="778">+BG281-((AZ281/1000)+CX281)</f>
        <v>1.7504999999999544</v>
      </c>
      <c r="BF281" s="494">
        <v>1.6200000000000045</v>
      </c>
      <c r="BG281" s="494">
        <v>2.0499999999999545</v>
      </c>
      <c r="BH281" s="495">
        <f t="shared" ref="BH281:BH290" si="779">BB281-BF281</f>
        <v>995.09500000000003</v>
      </c>
      <c r="BI281" s="495">
        <f t="shared" ref="BI281:BI290" si="780">BC281-BG281</f>
        <v>988.577</v>
      </c>
      <c r="BJ281" s="468">
        <f t="shared" ref="BJ281:BJ289" si="781">IF(A281="",0,BI281-BH282)</f>
        <v>-1.0499999999999545</v>
      </c>
      <c r="BK281" s="475">
        <f t="shared" ref="BK281:BK290" si="782">ABS((BB281-BC281)/AX281)*100</f>
        <v>5.9885894156994679</v>
      </c>
      <c r="BL281" s="475">
        <f t="shared" ref="BL281:BL290" si="783">((BH281-BI281)/AX281)*100</f>
        <v>6.4115679716703022</v>
      </c>
      <c r="BM281" s="475">
        <f t="shared" ref="BM281:BM290" si="784">IF(BA281=6,(1/0.013)*((AZ281/4000)^(2/3))*((BL281/100)^(0.5)),(1/0.009)*((AZ281/4000)^(2/3))*((BL281/100)^(0.5)))</f>
        <v>4.8240505322698901</v>
      </c>
      <c r="BN281" s="475">
        <f t="shared" ref="BN281:BN290" si="785">1000*BM281*PI()*((AZ281/1000/2)^2)</f>
        <v>305.58948733538722</v>
      </c>
      <c r="BO281" s="204">
        <f t="shared" ref="BO281:BO290" si="786">AI281/BN281</f>
        <v>4.9085458177222452E-3</v>
      </c>
      <c r="BP281" s="496">
        <f t="shared" ref="BP281:BP290" si="787">IF(L281=0," ",AW281/BN281)</f>
        <v>0.39749404031914742</v>
      </c>
      <c r="BQ281" s="497">
        <f t="shared" ref="BQ281:BQ290" si="788">IF($BO281&gt;0 =AND($BO281&lt;=0.06),10^(0.029806+0.29095*LOG($BO281)),IF($BO281&gt;0.06 =AND($BO281&lt;=0.26),10^(0.013778+0.282597*LOG($BO281)),IF($BO281&gt;0.26 =AND($BO281&lt;=0.91),10^(0.021763+0.28995*LOG($BO281)),1)))</f>
        <v>0.22802829052895901</v>
      </c>
      <c r="BR281" s="497">
        <f t="shared" ref="BR281:BR290" si="789">IF($BP281&gt;0 =AND($BP281&lt;=0.06),10^(0.029806+0.29095*LOG($BP281)),IF($BP281&gt;0.06 =AND($BP281&lt;=0.26),10^(0.013778+0.282597*LOG($BP281)),IF($BP281&gt;0.26 =AND($BP281&lt;=2),10^(0.021763+0.28995*LOG($BP281))," ")))</f>
        <v>0.80461646197774384</v>
      </c>
      <c r="BS281" s="475">
        <f t="shared" ref="BS281:BS290" si="790">BM281*BQ281</f>
        <v>1.1000199962988177</v>
      </c>
      <c r="BT281" s="475">
        <f t="shared" ref="BT281:BT290" si="791">IF(BP281=" "," ",(BM281*BR281))</f>
        <v>3.8815104716768509</v>
      </c>
      <c r="BU281" s="475">
        <f t="shared" ref="BU281:BU290" si="792">IF(BO281&lt;=0.11,0.3827+0.0645*LN(BO281),IF(BO281&lt;=0.21,0.60025+0.15471*LN(BO281),IF(BO281&lt;1,0.225+0.6666666667*BO281,0)))</f>
        <v>3.9767848120978166E-2</v>
      </c>
      <c r="BV281" s="475">
        <f t="shared" ref="BV281:BV290" si="793">IF(BP281&lt;=0.11,0.3827+0.0645*LN(BP281),IF(BP281&lt;=0.21,0.60025+0.15471*LN(BP281),IF(BP281&lt;1,0.225+0.6666666667*BP281," ")))</f>
        <v>0.4899960268926814</v>
      </c>
      <c r="BW281" s="475">
        <f t="shared" ref="BW281:BW290" si="794">2*ACOS(1-2*(BU281))</f>
        <v>0.80305898859532165</v>
      </c>
      <c r="BX281" s="475">
        <f t="shared" ref="BX281:BX290" si="795">IF(BP281=" "," ",(2*ACOS(1-2*(BV281))))</f>
        <v>3.1015740908330343</v>
      </c>
      <c r="BY281" s="475">
        <f t="shared" ref="BY281:BY290" si="796">(1/4)*(1-(SIN(BW281))/BW281)</f>
        <v>2.6017714957321719E-2</v>
      </c>
      <c r="BZ281" s="475">
        <f t="shared" ref="BZ281:BZ290" si="797">IF(BP281=" "," ",((1/4)*(1-(SIN(BX281))/BX281)))</f>
        <v>0.24677519535914655</v>
      </c>
      <c r="CA281" s="471">
        <f t="shared" ref="CA281:CA290" si="798">BY281*AZ281/1000</f>
        <v>7.3890310478793679E-3</v>
      </c>
      <c r="CB281" s="471">
        <f t="shared" ref="CB281:CB290" si="799">IF(BP281=" "," ",(BZ281*AZ281/1000))</f>
        <v>7.0084155481997631E-2</v>
      </c>
      <c r="CC281" s="471">
        <f t="shared" ref="CC281:CC290" si="800">+(BT281/SQRT(9.81*(0.125*(BX281-SIN(BX281))*(AZ281/1000)^2)/((AZ281/1000)*SIN(BX281/2))))</f>
        <v>3.7586923613488636</v>
      </c>
      <c r="CD281" s="471" t="str">
        <f t="shared" ref="CD281:CD290" si="801">IF(CC281="","",IF(CC281&lt;0.7,"F. Subcrítico",IF(AND(CC281&gt;0.7,CC281&lt;1),"F. Subcrítico Inestable",IF(CC281=1,"F. Crítico",IF(AND(CC281&gt;1,CC281&lt;1.5),"F. Supercrítico Inestable",IF(CC281&gt;1.5,"F. Supercrítico",""))))))</f>
        <v>F. Supercrítico</v>
      </c>
      <c r="CE281" s="471">
        <f t="shared" ref="CE281:CE290" si="802">1000*BL281*CA281/100</f>
        <v>0.47375274808260814</v>
      </c>
      <c r="CF281" s="471">
        <f t="shared" ref="CF281:CF290" si="803">IF(BP281=" "," ",(1000*BL281*CB281/100))</f>
        <v>4.4934932660993772</v>
      </c>
      <c r="CG281" s="471" t="str">
        <f t="shared" ref="CG281:CG290" si="804">IF(BS281&lt;0.45,"No cumple",IF(BS281&gt;5,"No cumple","O.K"))</f>
        <v>O.K</v>
      </c>
      <c r="CH281" s="471" t="str">
        <f t="shared" ref="CH281:CH290" si="805">IF(BT281&lt;0.75,"No cumple",IF(BT281&gt;10,"No cumple","O.K"))</f>
        <v>O.K</v>
      </c>
      <c r="CI281" s="471" t="str">
        <f t="shared" ref="CI281:CI290" si="806">IF(CE281&gt;0.1,"OK","V.C.H.")</f>
        <v>OK</v>
      </c>
      <c r="CJ281" s="471" t="str">
        <f t="shared" ref="CJ281:CJ290" si="807">IF(CF281&gt;0.2,"OK","V.C.H.")</f>
        <v>OK</v>
      </c>
      <c r="CK281" s="468">
        <f t="shared" ref="CK281:CK290" si="808">+BJ281</f>
        <v>-1.0499999999999545</v>
      </c>
      <c r="CL281" s="482" t="s">
        <v>2507</v>
      </c>
      <c r="CM281" s="482"/>
      <c r="CN281" s="63" t="str">
        <f t="shared" ref="CN281:CN290" si="809">IF(B281=1,"dato"," ")</f>
        <v>dato</v>
      </c>
      <c r="CO281" s="498">
        <f>+CR281</f>
        <v>101.66</v>
      </c>
      <c r="CP281" s="472">
        <f>+BK281/100</f>
        <v>5.9885894156994676E-2</v>
      </c>
      <c r="CQ281" s="482" t="s">
        <v>2508</v>
      </c>
      <c r="CR281" s="204">
        <f t="shared" ref="CR281:CR290" si="810">IF(BA281="","",AX281)</f>
        <v>101.66</v>
      </c>
      <c r="CS281" s="486">
        <v>1.2</v>
      </c>
      <c r="CT281" s="486">
        <v>1.2</v>
      </c>
      <c r="CU281" s="23">
        <f t="shared" ref="CU281:CU290" si="811">IF($BA281="","",SQRT((BH281-BI281)^2+$CR281^2))</f>
        <v>101.86873869838577</v>
      </c>
      <c r="CV281" s="499" t="s">
        <v>2509</v>
      </c>
      <c r="CW281" s="488" t="str">
        <f t="shared" ref="CW281:CW290" si="812">+IF(BD281&lt;=0.9,"E1",IF(BD281&lt;=2.5,"E2","E3"))</f>
        <v>E2</v>
      </c>
      <c r="CX281" s="204">
        <f>IF(AND(L281="",H281=""),"",IF(AND(BA281&lt;&gt;4,BA281&lt;&gt;5),VLOOKUP(AY281,'TABLA (2)'!$A$9:$D$43,4),IF(BA281=4,VLOOKUP(AY281,'TABLA (2)'!$A$74:$D$89,4),VLOOKUP(AY281,'TABLA (2)'!$A$51:$D$66,4))))</f>
        <v>1.55E-2</v>
      </c>
      <c r="CY281" s="482"/>
      <c r="CZ281" s="482"/>
      <c r="DA281" s="482"/>
      <c r="DB281" s="490"/>
    </row>
    <row r="282" spans="1:106" ht="15" hidden="1" customHeight="1">
      <c r="A282" s="465">
        <f t="shared" ref="A282:A290" si="813">+A281+1</f>
        <v>187</v>
      </c>
      <c r="B282" s="491"/>
      <c r="C282" s="466" t="str">
        <f>D281</f>
        <v>C401</v>
      </c>
      <c r="D282" s="466" t="s">
        <v>2343</v>
      </c>
      <c r="E282" s="468">
        <v>0.3031098888</v>
      </c>
      <c r="F282" s="468"/>
      <c r="G282" s="468">
        <f t="shared" si="745"/>
        <v>0.72981199350000003</v>
      </c>
      <c r="H282" s="468">
        <f t="shared" si="746"/>
        <v>1.0329218823000001</v>
      </c>
      <c r="I282" s="468">
        <v>0.3031098888</v>
      </c>
      <c r="J282" s="468"/>
      <c r="K282" s="467">
        <f t="shared" ca="1" si="747"/>
        <v>0.72981199350000003</v>
      </c>
      <c r="L282" s="468">
        <f t="shared" ca="1" si="748"/>
        <v>1.0329218823000001</v>
      </c>
      <c r="M282" s="469">
        <f t="shared" si="749"/>
        <v>242.33666300502347</v>
      </c>
      <c r="N282" s="470">
        <f t="shared" si="750"/>
        <v>73.454638975615737</v>
      </c>
      <c r="O282" s="470">
        <f t="shared" si="751"/>
        <v>0</v>
      </c>
      <c r="P282" s="470">
        <f t="shared" si="752"/>
        <v>250.31484210144964</v>
      </c>
      <c r="Q282" s="469">
        <f t="shared" si="736"/>
        <v>140</v>
      </c>
      <c r="R282" s="471">
        <f t="shared" si="753"/>
        <v>0.34476234039435771</v>
      </c>
      <c r="S282" s="471"/>
      <c r="T282" s="471"/>
      <c r="U282" s="471">
        <f t="shared" si="754"/>
        <v>0</v>
      </c>
      <c r="V282" s="471"/>
      <c r="W282" s="471"/>
      <c r="X282" s="471">
        <f t="shared" si="755"/>
        <v>0</v>
      </c>
      <c r="Y282" s="471">
        <f t="shared" si="756"/>
        <v>0.20658437646000005</v>
      </c>
      <c r="Z282" s="471">
        <f t="shared" ca="1" si="757"/>
        <v>0</v>
      </c>
      <c r="AA282" s="471">
        <f t="shared" si="744"/>
        <v>3.8</v>
      </c>
      <c r="AB282" s="471">
        <f t="shared" si="758"/>
        <v>1.3100968934985593</v>
      </c>
      <c r="AC282" s="471">
        <f t="shared" si="759"/>
        <v>0.10117016247798925</v>
      </c>
      <c r="AD282" s="471">
        <f t="shared" si="760"/>
        <v>6.0621977760000001E-2</v>
      </c>
      <c r="AE282" s="471">
        <f t="shared" si="761"/>
        <v>0</v>
      </c>
      <c r="AF282" s="510">
        <f t="shared" si="737"/>
        <v>3.8</v>
      </c>
      <c r="AG282" s="471">
        <f t="shared" si="762"/>
        <v>0.38444661741635916</v>
      </c>
      <c r="AH282" s="471">
        <f t="shared" si="763"/>
        <v>0.44506859517635916</v>
      </c>
      <c r="AI282" s="471">
        <f t="shared" ca="1" si="764"/>
        <v>1.5166812699585592</v>
      </c>
      <c r="AJ282" s="471">
        <f t="shared" si="765"/>
        <v>0.75</v>
      </c>
      <c r="AK282" s="472">
        <f t="shared" si="766"/>
        <v>2.3539839522298104E-2</v>
      </c>
      <c r="AL282" s="471">
        <f t="shared" si="767"/>
        <v>0.62867699197611493</v>
      </c>
      <c r="AM282" s="473">
        <f t="shared" si="768"/>
        <v>330.51352216516966</v>
      </c>
      <c r="AN282" s="474">
        <f t="shared" si="769"/>
        <v>10</v>
      </c>
      <c r="AO282" s="474">
        <f t="shared" si="770"/>
        <v>0.59544444444444444</v>
      </c>
      <c r="AP282" s="474">
        <f t="shared" si="771"/>
        <v>10.595444444444444</v>
      </c>
      <c r="AQ282" s="475">
        <v>3</v>
      </c>
      <c r="AR282" s="474">
        <f t="shared" ca="1" si="772"/>
        <v>0.52893488720046311</v>
      </c>
      <c r="AS282" s="474">
        <f t="shared" ca="1" si="773"/>
        <v>1.1257424285170561</v>
      </c>
      <c r="AT282" s="471" t="str">
        <f t="shared" ca="1" si="774"/>
        <v>Aumentar vel.</v>
      </c>
      <c r="AU282" s="492">
        <f t="shared" si="775"/>
        <v>62.982066198766439</v>
      </c>
      <c r="AV282" s="471">
        <f t="shared" ca="1" si="776"/>
        <v>214.62696128696228</v>
      </c>
      <c r="AW282" s="471">
        <f t="shared" ca="1" si="743"/>
        <v>214.63</v>
      </c>
      <c r="AX282" s="478">
        <f>IF(OR(C282="",D282=""),"",ROUND(((VLOOKUP(C282,'Base de Diseño (2)'!$A$2:$C$333,2,FALSE)-VLOOKUP(D282,'Base de Diseño (2)'!$A$2:$C$333,2,FALSE))^2+(VLOOKUP(C282,'Base de Diseño (2)'!$A$2:$C$333,3,0)-VLOOKUP(D282,'Base de Diseño (2)'!$A$2:$C$333,3,FALSE))^2)^0.5,2))</f>
        <v>107.18</v>
      </c>
      <c r="AY282" s="493">
        <v>14</v>
      </c>
      <c r="AZ282" s="480">
        <f ca="1">IF(AND(L282="",H282=""),"",IF(BA282=4,VLOOKUP(AY282,'TABLA (2)'!$A$74:$C$89,2),IF(BA282=5,VLOOKUP(AY282,'TABLA (2)'!$A$51:$B$66,2),IF(BA282=6,VLOOKUP(AY282,'TABLA (2)'!$A$9:$B$43,2)))))</f>
        <v>327</v>
      </c>
      <c r="BA282" s="493">
        <v>4</v>
      </c>
      <c r="BB282" s="478">
        <f>IF(OR(C282="",D282=""),"",VLOOKUP(C282,'Base de Diseño (2)'!$A$2:$D$330,4,FALSE))</f>
        <v>990.62699999999995</v>
      </c>
      <c r="BC282" s="478">
        <f>IF(OR(C282="",D282=""),"",VLOOKUP(D282,'Base de Diseño (2)'!$A$2:$D$330,4,FALSE))</f>
        <v>988.10400000000004</v>
      </c>
      <c r="BD282" s="478">
        <f t="shared" ca="1" si="777"/>
        <v>0.65900000000000003</v>
      </c>
      <c r="BE282" s="478">
        <f t="shared" ca="1" si="778"/>
        <v>1.179</v>
      </c>
      <c r="BF282" s="494">
        <v>1</v>
      </c>
      <c r="BG282" s="494">
        <v>1.52</v>
      </c>
      <c r="BH282" s="495">
        <f t="shared" si="779"/>
        <v>989.62699999999995</v>
      </c>
      <c r="BI282" s="495">
        <f t="shared" si="780"/>
        <v>986.58400000000006</v>
      </c>
      <c r="BJ282" s="468">
        <f t="shared" si="781"/>
        <v>0</v>
      </c>
      <c r="BK282" s="475">
        <f t="shared" si="782"/>
        <v>2.3539839522298105</v>
      </c>
      <c r="BL282" s="475">
        <f t="shared" si="783"/>
        <v>2.8391490949803067</v>
      </c>
      <c r="BM282" s="475">
        <f t="shared" ca="1" si="784"/>
        <v>3.5264962898912686</v>
      </c>
      <c r="BN282" s="475">
        <f t="shared" ca="1" si="785"/>
        <v>296.16164793265051</v>
      </c>
      <c r="BO282" s="204">
        <f t="shared" ca="1" si="786"/>
        <v>5.1211265217684923E-3</v>
      </c>
      <c r="BP282" s="496">
        <f t="shared" ca="1" si="787"/>
        <v>0.7247055839208747</v>
      </c>
      <c r="BQ282" s="497">
        <f t="shared" ca="1" si="788"/>
        <v>0.23085851293798318</v>
      </c>
      <c r="BR282" s="497">
        <f t="shared" ca="1" si="789"/>
        <v>0.95767215046617771</v>
      </c>
      <c r="BS282" s="475">
        <f t="shared" ca="1" si="790"/>
        <v>0.81412168936561313</v>
      </c>
      <c r="BT282" s="475">
        <f t="shared" ca="1" si="791"/>
        <v>3.3772272855511685</v>
      </c>
      <c r="BU282" s="475">
        <f t="shared" ca="1" si="792"/>
        <v>4.250243579745755E-2</v>
      </c>
      <c r="BV282" s="475">
        <f t="shared" ca="1" si="793"/>
        <v>0.70813705597140664</v>
      </c>
      <c r="BW282" s="475">
        <f t="shared" ca="1" si="794"/>
        <v>0.83060096133330719</v>
      </c>
      <c r="BX282" s="475">
        <f t="shared" ca="1" si="795"/>
        <v>4.0002799512440053</v>
      </c>
      <c r="BY282" s="475">
        <f t="shared" ca="1" si="796"/>
        <v>2.7770299325408032E-2</v>
      </c>
      <c r="BZ282" s="475">
        <f t="shared" ca="1" si="797"/>
        <v>0.29730827987167502</v>
      </c>
      <c r="CA282" s="471">
        <f t="shared" ca="1" si="798"/>
        <v>9.0808878794084256E-3</v>
      </c>
      <c r="CB282" s="471">
        <f t="shared" ca="1" si="799"/>
        <v>9.7219807518037729E-2</v>
      </c>
      <c r="CC282" s="471">
        <f t="shared" ca="1" si="800"/>
        <v>2.3316173596979439</v>
      </c>
      <c r="CD282" s="471" t="str">
        <f t="shared" ca="1" si="801"/>
        <v>F. Supercrítico</v>
      </c>
      <c r="CE282" s="471">
        <f t="shared" ca="1" si="802"/>
        <v>0.25781994604440067</v>
      </c>
      <c r="CF282" s="471">
        <f t="shared" ca="1" si="803"/>
        <v>2.7602152852899646</v>
      </c>
      <c r="CG282" s="471" t="str">
        <f t="shared" ca="1" si="804"/>
        <v>O.K</v>
      </c>
      <c r="CH282" s="471" t="str">
        <f t="shared" ca="1" si="805"/>
        <v>O.K</v>
      </c>
      <c r="CI282" s="471" t="str">
        <f t="shared" ca="1" si="806"/>
        <v>OK</v>
      </c>
      <c r="CJ282" s="471" t="str">
        <f t="shared" ca="1" si="807"/>
        <v>OK</v>
      </c>
      <c r="CK282" s="468">
        <f t="shared" si="808"/>
        <v>0</v>
      </c>
      <c r="CL282" s="482" t="s">
        <v>2507</v>
      </c>
      <c r="CM282" s="482"/>
      <c r="CN282" s="63" t="str">
        <f t="shared" si="809"/>
        <v xml:space="preserve"> </v>
      </c>
      <c r="CO282" s="498"/>
      <c r="CP282" s="472"/>
      <c r="CQ282" s="482" t="s">
        <v>2508</v>
      </c>
      <c r="CR282" s="204">
        <f t="shared" si="810"/>
        <v>107.18</v>
      </c>
      <c r="CS282" s="486">
        <v>1.2</v>
      </c>
      <c r="CT282" s="486">
        <v>1.2</v>
      </c>
      <c r="CU282" s="23">
        <f t="shared" si="811"/>
        <v>107.22318895183076</v>
      </c>
      <c r="CV282" s="499" t="s">
        <v>2509</v>
      </c>
      <c r="CW282" s="488" t="str">
        <f t="shared" ca="1" si="812"/>
        <v>E1</v>
      </c>
      <c r="CX282" s="204">
        <f ca="1">IF(AND(L282="",H282=""),"",IF(AND(BA282&lt;&gt;4,BA282&lt;&gt;5),VLOOKUP(AY282,'TABLA (2)'!$A$9:$D$43,4),IF(BA282=4,VLOOKUP(AY282,'TABLA (2)'!$A$74:$D$89,4),VLOOKUP(AY282,'TABLA (2)'!$A$51:$D$66,4))))</f>
        <v>1.4E-2</v>
      </c>
      <c r="CY282" s="482"/>
      <c r="CZ282" s="482"/>
      <c r="DA282" s="482"/>
      <c r="DB282" s="490"/>
    </row>
    <row r="283" spans="1:106" ht="15" hidden="1" customHeight="1">
      <c r="A283" s="465">
        <f t="shared" si="813"/>
        <v>188</v>
      </c>
      <c r="B283" s="491"/>
      <c r="C283" s="466" t="s">
        <v>2343</v>
      </c>
      <c r="D283" s="466" t="s">
        <v>2344</v>
      </c>
      <c r="E283" s="468">
        <v>5.4456937800000001E-2</v>
      </c>
      <c r="F283" s="468"/>
      <c r="G283" s="468">
        <f t="shared" si="745"/>
        <v>1.0329218823000001</v>
      </c>
      <c r="H283" s="468">
        <f t="shared" si="746"/>
        <v>1.0873788201000001</v>
      </c>
      <c r="I283" s="468">
        <v>5.4456937800000001E-2</v>
      </c>
      <c r="J283" s="468"/>
      <c r="K283" s="467">
        <f t="shared" ca="1" si="747"/>
        <v>1.0329218823000001</v>
      </c>
      <c r="L283" s="468">
        <f t="shared" ca="1" si="748"/>
        <v>1.0873788201000001</v>
      </c>
      <c r="M283" s="469">
        <f t="shared" si="749"/>
        <v>242.33666300502347</v>
      </c>
      <c r="N283" s="470">
        <f t="shared" si="750"/>
        <v>13.196912583924124</v>
      </c>
      <c r="O283" s="470">
        <f t="shared" si="751"/>
        <v>0</v>
      </c>
      <c r="P283" s="470">
        <f t="shared" si="752"/>
        <v>263.51175468537377</v>
      </c>
      <c r="Q283" s="469">
        <f t="shared" si="736"/>
        <v>140</v>
      </c>
      <c r="R283" s="471">
        <f t="shared" si="753"/>
        <v>0.36293864360601247</v>
      </c>
      <c r="S283" s="471"/>
      <c r="T283" s="471"/>
      <c r="U283" s="471">
        <f t="shared" si="754"/>
        <v>0</v>
      </c>
      <c r="V283" s="471"/>
      <c r="W283" s="471"/>
      <c r="X283" s="471">
        <f t="shared" si="755"/>
        <v>0</v>
      </c>
      <c r="Y283" s="471">
        <f t="shared" si="756"/>
        <v>0.21747576402000002</v>
      </c>
      <c r="Z283" s="471">
        <f t="shared" ca="1" si="757"/>
        <v>0</v>
      </c>
      <c r="AA283" s="471">
        <f t="shared" si="744"/>
        <v>3.8</v>
      </c>
      <c r="AB283" s="471">
        <f t="shared" si="758"/>
        <v>1.3791668457028474</v>
      </c>
      <c r="AC283" s="471">
        <f t="shared" si="759"/>
        <v>1.8176303211654754E-2</v>
      </c>
      <c r="AD283" s="471">
        <f t="shared" si="760"/>
        <v>1.089138756E-2</v>
      </c>
      <c r="AE283" s="471">
        <f t="shared" si="761"/>
        <v>0</v>
      </c>
      <c r="AF283" s="510">
        <f t="shared" si="737"/>
        <v>3.8</v>
      </c>
      <c r="AG283" s="471">
        <f t="shared" si="762"/>
        <v>6.9069952204288063E-2</v>
      </c>
      <c r="AH283" s="471">
        <f t="shared" si="763"/>
        <v>7.996133976428807E-2</v>
      </c>
      <c r="AI283" s="471">
        <f t="shared" ca="1" si="764"/>
        <v>1.5966426097228474</v>
      </c>
      <c r="AJ283" s="471">
        <f t="shared" si="765"/>
        <v>0.75</v>
      </c>
      <c r="AK283" s="472">
        <f t="shared" si="766"/>
        <v>1.1615628299919854E-3</v>
      </c>
      <c r="AL283" s="471">
        <f t="shared" si="767"/>
        <v>0.62755807814149966</v>
      </c>
      <c r="AM283" s="473">
        <f t="shared" si="768"/>
        <v>327.50947127163363</v>
      </c>
      <c r="AN283" s="474">
        <f t="shared" si="769"/>
        <v>10.595444444444444</v>
      </c>
      <c r="AO283" s="474">
        <f t="shared" si="770"/>
        <v>0.31566666666666671</v>
      </c>
      <c r="AP283" s="474">
        <f t="shared" si="771"/>
        <v>10.911111111111111</v>
      </c>
      <c r="AQ283" s="475">
        <v>2</v>
      </c>
      <c r="AR283" s="474">
        <f t="shared" ca="1" si="772"/>
        <v>0.38426805608119713</v>
      </c>
      <c r="AS283" s="474">
        <f t="shared" ca="1" si="773"/>
        <v>0.82147516992660274</v>
      </c>
      <c r="AT283" s="471" t="str">
        <f t="shared" ca="1" si="774"/>
        <v>Disminuir vel.</v>
      </c>
      <c r="AU283" s="492">
        <f t="shared" si="775"/>
        <v>11.192600556598697</v>
      </c>
      <c r="AV283" s="471">
        <f t="shared" ca="1" si="776"/>
        <v>223.4902893692435</v>
      </c>
      <c r="AW283" s="471">
        <f t="shared" ca="1" si="743"/>
        <v>223.49</v>
      </c>
      <c r="AX283" s="478">
        <f>IF(OR(C283="",D283=""),"",ROUND(((VLOOKUP(C283,'Base de Diseño (2)'!$A$2:$C$333,2,FALSE)-VLOOKUP(D283,'Base de Diseño (2)'!$A$2:$C$333,2,FALSE))^2+(VLOOKUP(C283,'Base de Diseño (2)'!$A$2:$C$333,3,0)-VLOOKUP(D283,'Base de Diseño (2)'!$A$2:$C$333,3,FALSE))^2)^0.5,2))</f>
        <v>37.880000000000003</v>
      </c>
      <c r="AY283" s="493">
        <v>20</v>
      </c>
      <c r="AZ283" s="480">
        <f ca="1">IF(AND(L283="",H283=""),"",IF(BA283=4,VLOOKUP(AY283,'TABLA (2)'!$A$74:$C$89,2),IF(BA283=5,VLOOKUP(AY283,'TABLA (2)'!$A$51:$B$66,2),IF(BA283=6,VLOOKUP(AY283,'TABLA (2)'!$A$9:$B$43,2)))))</f>
        <v>500</v>
      </c>
      <c r="BA283" s="493">
        <v>6</v>
      </c>
      <c r="BB283" s="478">
        <f>IF(OR(C283="",D283=""),"",VLOOKUP(C283,'Base de Diseño (2)'!$A$2:$D$330,4,FALSE))</f>
        <v>988.10400000000004</v>
      </c>
      <c r="BC283" s="478">
        <f>IF(OR(C283="",D283=""),"",VLOOKUP(D283,'Base de Diseño (2)'!$A$2:$D$330,4,FALSE))</f>
        <v>988.06</v>
      </c>
      <c r="BD283" s="478">
        <f t="shared" ca="1" si="777"/>
        <v>0.94999999999998175</v>
      </c>
      <c r="BE283" s="478">
        <f t="shared" ca="1" si="778"/>
        <v>1.2299999999999545</v>
      </c>
      <c r="BF283" s="494">
        <v>1.5199999999999818</v>
      </c>
      <c r="BG283" s="494">
        <v>1.7999999999999545</v>
      </c>
      <c r="BH283" s="495">
        <f t="shared" si="779"/>
        <v>986.58400000000006</v>
      </c>
      <c r="BI283" s="495">
        <f t="shared" si="780"/>
        <v>986.26</v>
      </c>
      <c r="BJ283" s="468">
        <f t="shared" si="781"/>
        <v>2.0000000000095497E-2</v>
      </c>
      <c r="BK283" s="475">
        <f t="shared" si="782"/>
        <v>0.11615628299919854</v>
      </c>
      <c r="BL283" s="475">
        <f t="shared" si="783"/>
        <v>0.85533262935604315</v>
      </c>
      <c r="BM283" s="475">
        <f t="shared" ca="1" si="784"/>
        <v>1.7785422082907558</v>
      </c>
      <c r="BN283" s="475">
        <f t="shared" ca="1" si="785"/>
        <v>349.21594597910035</v>
      </c>
      <c r="BO283" s="204">
        <f t="shared" ca="1" si="786"/>
        <v>4.5720781886013943E-3</v>
      </c>
      <c r="BP283" s="496">
        <f t="shared" ca="1" si="787"/>
        <v>0.63997650328766853</v>
      </c>
      <c r="BQ283" s="497">
        <f t="shared" ca="1" si="788"/>
        <v>0.22336548522443034</v>
      </c>
      <c r="BR283" s="497">
        <f t="shared" ca="1" si="789"/>
        <v>0.92376235559354025</v>
      </c>
      <c r="BS283" s="475">
        <f t="shared" ca="1" si="790"/>
        <v>0.39726494334699453</v>
      </c>
      <c r="BT283" s="475">
        <f t="shared" ca="1" si="791"/>
        <v>1.6429503398532055</v>
      </c>
      <c r="BU283" s="475">
        <f t="shared" ca="1" si="792"/>
        <v>3.5187710663286631E-2</v>
      </c>
      <c r="BV283" s="475">
        <f t="shared" ca="1" si="793"/>
        <v>0.65165100221311156</v>
      </c>
      <c r="BW283" s="475">
        <f t="shared" ca="1" si="794"/>
        <v>0.75480711060926398</v>
      </c>
      <c r="BX283" s="475">
        <f t="shared" ca="1" si="795"/>
        <v>3.7579046299590768</v>
      </c>
      <c r="BY283" s="475">
        <f t="shared" ca="1" si="796"/>
        <v>2.3071765479759226E-2</v>
      </c>
      <c r="BZ283" s="475">
        <f t="shared" ca="1" si="797"/>
        <v>0.28845424976176015</v>
      </c>
      <c r="CA283" s="471">
        <f t="shared" ca="1" si="798"/>
        <v>1.1535882739879613E-2</v>
      </c>
      <c r="CB283" s="471">
        <f t="shared" ca="1" si="799"/>
        <v>0.14422712488088008</v>
      </c>
      <c r="CC283" s="471">
        <f t="shared" ca="1" si="800"/>
        <v>0.98362823499071406</v>
      </c>
      <c r="CD283" s="471" t="str">
        <f t="shared" ca="1" si="801"/>
        <v>F. Subcrítico Inestable</v>
      </c>
      <c r="CE283" s="471">
        <f t="shared" ca="1" si="802"/>
        <v>9.8670169158442247E-2</v>
      </c>
      <c r="CF283" s="471">
        <f t="shared" ca="1" si="803"/>
        <v>1.2336216594882554</v>
      </c>
      <c r="CG283" s="471" t="str">
        <f t="shared" ca="1" si="804"/>
        <v>No cumple</v>
      </c>
      <c r="CH283" s="471" t="str">
        <f t="shared" ca="1" si="805"/>
        <v>O.K</v>
      </c>
      <c r="CI283" s="471" t="str">
        <f t="shared" ca="1" si="806"/>
        <v>V.C.H.</v>
      </c>
      <c r="CJ283" s="471" t="str">
        <f t="shared" ca="1" si="807"/>
        <v>OK</v>
      </c>
      <c r="CK283" s="468">
        <f t="shared" si="808"/>
        <v>2.0000000000095497E-2</v>
      </c>
      <c r="CL283" s="482" t="s">
        <v>2507</v>
      </c>
      <c r="CM283" s="482"/>
      <c r="CN283" s="63" t="str">
        <f t="shared" si="809"/>
        <v xml:space="preserve"> </v>
      </c>
      <c r="CO283" s="498"/>
      <c r="CP283" s="472"/>
      <c r="CQ283" s="482" t="s">
        <v>2508</v>
      </c>
      <c r="CR283" s="204">
        <f t="shared" si="810"/>
        <v>37.880000000000003</v>
      </c>
      <c r="CS283" s="486">
        <v>1.2</v>
      </c>
      <c r="CT283" s="486">
        <v>1.2</v>
      </c>
      <c r="CU283" s="23">
        <f t="shared" si="811"/>
        <v>37.881385613517359</v>
      </c>
      <c r="CV283" s="499" t="s">
        <v>2509</v>
      </c>
      <c r="CW283" s="488" t="str">
        <f t="shared" ca="1" si="812"/>
        <v>E2</v>
      </c>
      <c r="CX283" s="204">
        <f ca="1">IF(AND(L283="",H283=""),"",IF(AND(BA283&lt;&gt;4,BA283&lt;&gt;5),VLOOKUP(AY283,'TABLA (2)'!$A$9:$D$43,4),IF(BA283=4,VLOOKUP(AY283,'TABLA (2)'!$A$74:$D$89,4),VLOOKUP(AY283,'TABLA (2)'!$A$51:$D$66,4))))</f>
        <v>7.0000000000000007E-2</v>
      </c>
      <c r="CY283" s="482"/>
      <c r="CZ283" s="482"/>
      <c r="DA283" s="482"/>
      <c r="DB283" s="490"/>
    </row>
    <row r="284" spans="1:106" ht="15" hidden="1" customHeight="1">
      <c r="A284" s="465">
        <f t="shared" si="813"/>
        <v>189</v>
      </c>
      <c r="B284" s="491"/>
      <c r="C284" s="466" t="s">
        <v>2344</v>
      </c>
      <c r="D284" s="466" t="s">
        <v>2234</v>
      </c>
      <c r="E284" s="468">
        <v>0.1099611362</v>
      </c>
      <c r="F284" s="468"/>
      <c r="G284" s="468">
        <f t="shared" si="745"/>
        <v>1.0873788201000001</v>
      </c>
      <c r="H284" s="468">
        <f t="shared" si="746"/>
        <v>1.1973399563</v>
      </c>
      <c r="I284" s="468">
        <v>0.1099611362</v>
      </c>
      <c r="J284" s="468"/>
      <c r="K284" s="467">
        <f t="shared" ca="1" si="747"/>
        <v>1.0873788201000001</v>
      </c>
      <c r="L284" s="468">
        <f t="shared" ca="1" si="748"/>
        <v>1.1973399563</v>
      </c>
      <c r="M284" s="469">
        <f t="shared" si="749"/>
        <v>242.33666300502347</v>
      </c>
      <c r="N284" s="470">
        <f t="shared" si="750"/>
        <v>26.647614806948887</v>
      </c>
      <c r="O284" s="470">
        <f t="shared" si="751"/>
        <v>0</v>
      </c>
      <c r="P284" s="470">
        <f t="shared" si="752"/>
        <v>290.15936949232264</v>
      </c>
      <c r="Q284" s="469">
        <f t="shared" si="736"/>
        <v>140</v>
      </c>
      <c r="R284" s="471">
        <f t="shared" si="753"/>
        <v>0.39964079825910176</v>
      </c>
      <c r="S284" s="471"/>
      <c r="T284" s="471"/>
      <c r="U284" s="471">
        <f t="shared" si="754"/>
        <v>0</v>
      </c>
      <c r="V284" s="471"/>
      <c r="W284" s="471"/>
      <c r="X284" s="471">
        <f t="shared" si="755"/>
        <v>0</v>
      </c>
      <c r="Y284" s="471">
        <f t="shared" si="756"/>
        <v>0.23946799126000001</v>
      </c>
      <c r="Z284" s="471">
        <f t="shared" ca="1" si="757"/>
        <v>0</v>
      </c>
      <c r="AA284" s="471">
        <f t="shared" si="744"/>
        <v>3.8</v>
      </c>
      <c r="AB284" s="471">
        <f t="shared" si="758"/>
        <v>1.5186350333845866</v>
      </c>
      <c r="AC284" s="471">
        <f t="shared" si="759"/>
        <v>3.6702154653089319E-2</v>
      </c>
      <c r="AD284" s="471">
        <f t="shared" si="760"/>
        <v>2.1992227240000002E-2</v>
      </c>
      <c r="AE284" s="471">
        <f t="shared" si="761"/>
        <v>0</v>
      </c>
      <c r="AF284" s="510">
        <f t="shared" si="737"/>
        <v>3.8</v>
      </c>
      <c r="AG284" s="471">
        <f t="shared" si="762"/>
        <v>0.13946818768173941</v>
      </c>
      <c r="AH284" s="471">
        <f t="shared" si="763"/>
        <v>0.1614604149217394</v>
      </c>
      <c r="AI284" s="471">
        <f t="shared" ca="1" si="764"/>
        <v>1.7581030246445866</v>
      </c>
      <c r="AJ284" s="471">
        <f t="shared" si="765"/>
        <v>0.75</v>
      </c>
      <c r="AK284" s="472">
        <f t="shared" si="766"/>
        <v>1.2696850393730641E-3</v>
      </c>
      <c r="AL284" s="471">
        <f t="shared" si="767"/>
        <v>0.62756348425196873</v>
      </c>
      <c r="AM284" s="473">
        <f t="shared" si="768"/>
        <v>325.39274872736962</v>
      </c>
      <c r="AN284" s="474">
        <f t="shared" si="769"/>
        <v>10.911111111111111</v>
      </c>
      <c r="AO284" s="474">
        <f t="shared" si="770"/>
        <v>0.22577777777777777</v>
      </c>
      <c r="AP284" s="474">
        <f t="shared" si="771"/>
        <v>11.136888888888889</v>
      </c>
      <c r="AQ284" s="475">
        <v>3</v>
      </c>
      <c r="AR284" s="474">
        <f t="shared" ca="1" si="772"/>
        <v>0.60747400641282412</v>
      </c>
      <c r="AS284" s="474">
        <f t="shared" ca="1" si="773"/>
        <v>0.37166656580256185</v>
      </c>
      <c r="AT284" s="471" t="str">
        <f t="shared" ca="1" si="774"/>
        <v>Disminuir vel.</v>
      </c>
      <c r="AU284" s="492">
        <f t="shared" si="775"/>
        <v>22.454570618573047</v>
      </c>
      <c r="AV284" s="471">
        <f t="shared" ca="1" si="776"/>
        <v>244.50233539126995</v>
      </c>
      <c r="AW284" s="471">
        <f t="shared" ca="1" si="743"/>
        <v>244.5</v>
      </c>
      <c r="AX284" s="478">
        <f>IF(OR(C284="",D284=""),"",ROUND(((VLOOKUP(C284,'Base de Diseño (2)'!$A$2:$C$333,2,FALSE)-VLOOKUP(D284,'Base de Diseño (2)'!$A$2:$C$333,2,FALSE))^2+(VLOOKUP(C284,'Base de Diseño (2)'!$A$2:$C$333,3,0)-VLOOKUP(D284,'Base de Diseño (2)'!$A$2:$C$333,3,FALSE))^2)^0.5,2))</f>
        <v>40.64</v>
      </c>
      <c r="AY284" s="493">
        <v>20</v>
      </c>
      <c r="AZ284" s="480">
        <f ca="1">IF(AND(L284="",H284=""),"",IF(BA284=4,VLOOKUP(AY284,'TABLA (2)'!$A$74:$C$89,2),IF(BA284=5,VLOOKUP(AY284,'TABLA (2)'!$A$51:$B$66,2),IF(BA284=6,VLOOKUP(AY284,'TABLA (2)'!$A$9:$B$43,2)))))</f>
        <v>500</v>
      </c>
      <c r="BA284" s="493">
        <v>6</v>
      </c>
      <c r="BB284" s="478">
        <f>IF(OR(C284="",D284=""),"",VLOOKUP(C284,'Base de Diseño (2)'!$A$2:$D$330,4,FALSE))</f>
        <v>988.06</v>
      </c>
      <c r="BC284" s="478">
        <f>IF(OR(C284="",D284=""),"",VLOOKUP(D284,'Base de Diseño (2)'!$A$2:$D$330,4,FALSE))</f>
        <v>988.11160000000007</v>
      </c>
      <c r="BD284" s="478">
        <f t="shared" ca="1" si="777"/>
        <v>1.25000000000005</v>
      </c>
      <c r="BE284" s="478">
        <f t="shared" ca="1" si="778"/>
        <v>1.4100000000000181</v>
      </c>
      <c r="BF284" s="494">
        <v>1.82000000000005</v>
      </c>
      <c r="BG284" s="494">
        <v>1.9800000000000182</v>
      </c>
      <c r="BH284" s="495">
        <f t="shared" si="779"/>
        <v>986.2399999999999</v>
      </c>
      <c r="BI284" s="495">
        <f t="shared" si="780"/>
        <v>986.13160000000005</v>
      </c>
      <c r="BJ284" s="468">
        <f t="shared" si="781"/>
        <v>5.999999999994543E-2</v>
      </c>
      <c r="BK284" s="475">
        <f t="shared" si="782"/>
        <v>0.12696850393730641</v>
      </c>
      <c r="BL284" s="475">
        <f t="shared" si="783"/>
        <v>0.26673228346419003</v>
      </c>
      <c r="BM284" s="475">
        <f t="shared" ca="1" si="784"/>
        <v>0.99319482457215613</v>
      </c>
      <c r="BN284" s="475">
        <f t="shared" ca="1" si="785"/>
        <v>195.01334777870557</v>
      </c>
      <c r="BO284" s="204">
        <f t="shared" ca="1" si="786"/>
        <v>9.0152958485673566E-3</v>
      </c>
      <c r="BP284" s="496">
        <f t="shared" ca="1" si="787"/>
        <v>1.253760333766744</v>
      </c>
      <c r="BQ284" s="497">
        <f t="shared" ca="1" si="788"/>
        <v>0.27214942816285603</v>
      </c>
      <c r="BR284" s="497">
        <f t="shared" ca="1" si="789"/>
        <v>1.1226394558469432</v>
      </c>
      <c r="BS284" s="475">
        <f t="shared" ca="1" si="790"/>
        <v>0.27029740356162041</v>
      </c>
      <c r="BT284" s="475">
        <f t="shared" ca="1" si="791"/>
        <v>1.1149996974076857</v>
      </c>
      <c r="BU284" s="475">
        <f t="shared" ca="1" si="792"/>
        <v>7.8980296945384998E-2</v>
      </c>
      <c r="BV284" s="475" t="str">
        <f t="shared" ca="1" si="793"/>
        <v xml:space="preserve"> </v>
      </c>
      <c r="BW284" s="475">
        <f t="shared" ca="1" si="794"/>
        <v>1.1394868404820975</v>
      </c>
      <c r="BX284" s="475" t="e">
        <f t="shared" ca="1" si="795"/>
        <v>#VALUE!</v>
      </c>
      <c r="BY284" s="475">
        <f t="shared" ca="1" si="796"/>
        <v>5.0695573739541255E-2</v>
      </c>
      <c r="BZ284" s="475" t="e">
        <f t="shared" ca="1" si="797"/>
        <v>#VALUE!</v>
      </c>
      <c r="CA284" s="471">
        <f t="shared" ca="1" si="798"/>
        <v>2.5347786869770628E-2</v>
      </c>
      <c r="CB284" s="471" t="e">
        <f t="shared" ca="1" si="799"/>
        <v>#VALUE!</v>
      </c>
      <c r="CC284" s="471" t="e">
        <f t="shared" ca="1" si="800"/>
        <v>#VALUE!</v>
      </c>
      <c r="CD284" s="471" t="e">
        <f t="shared" ca="1" si="801"/>
        <v>#VALUE!</v>
      </c>
      <c r="CE284" s="471">
        <f t="shared" ca="1" si="802"/>
        <v>6.7610730725375337E-2</v>
      </c>
      <c r="CF284" s="471" t="e">
        <f t="shared" ca="1" si="803"/>
        <v>#VALUE!</v>
      </c>
      <c r="CG284" s="471" t="str">
        <f t="shared" ca="1" si="804"/>
        <v>No cumple</v>
      </c>
      <c r="CH284" s="471" t="str">
        <f t="shared" ca="1" si="805"/>
        <v>O.K</v>
      </c>
      <c r="CI284" s="471" t="str">
        <f t="shared" ca="1" si="806"/>
        <v>V.C.H.</v>
      </c>
      <c r="CJ284" s="471" t="e">
        <f t="shared" ca="1" si="807"/>
        <v>#VALUE!</v>
      </c>
      <c r="CK284" s="468">
        <f t="shared" si="808"/>
        <v>5.999999999994543E-2</v>
      </c>
      <c r="CL284" s="482" t="s">
        <v>2507</v>
      </c>
      <c r="CM284" s="482"/>
      <c r="CN284" s="63" t="str">
        <f t="shared" si="809"/>
        <v xml:space="preserve"> </v>
      </c>
      <c r="CO284" s="498"/>
      <c r="CP284" s="472">
        <f t="shared" ref="CP284:CP289" si="814">+BK284/100</f>
        <v>1.2696850393730641E-3</v>
      </c>
      <c r="CQ284" s="482" t="s">
        <v>2508</v>
      </c>
      <c r="CR284" s="204">
        <f t="shared" si="810"/>
        <v>40.64</v>
      </c>
      <c r="CS284" s="486">
        <v>1.2</v>
      </c>
      <c r="CT284" s="486">
        <v>1.2</v>
      </c>
      <c r="CU284" s="23">
        <f t="shared" si="811"/>
        <v>40.640144568640501</v>
      </c>
      <c r="CV284" s="499" t="s">
        <v>2509</v>
      </c>
      <c r="CW284" s="488" t="str">
        <f t="shared" ca="1" si="812"/>
        <v>E2</v>
      </c>
      <c r="CX284" s="204">
        <f ca="1">IF(AND(L284="",H284=""),"",IF(AND(BA284&lt;&gt;4,BA284&lt;&gt;5),VLOOKUP(AY284,'TABLA (2)'!$A$9:$D$43,4),IF(BA284=4,VLOOKUP(AY284,'TABLA (2)'!$A$74:$D$89,4),VLOOKUP(AY284,'TABLA (2)'!$A$51:$D$66,4))))</f>
        <v>7.0000000000000007E-2</v>
      </c>
      <c r="CY284" s="482"/>
      <c r="CZ284" s="482"/>
      <c r="DA284" s="482"/>
      <c r="DB284" s="490"/>
    </row>
    <row r="285" spans="1:106" ht="15" hidden="1" customHeight="1">
      <c r="A285" s="465">
        <f t="shared" si="813"/>
        <v>190</v>
      </c>
      <c r="B285" s="491"/>
      <c r="C285" s="466" t="s">
        <v>2234</v>
      </c>
      <c r="D285" s="466" t="s">
        <v>2346</v>
      </c>
      <c r="E285" s="468">
        <v>6.0917907799999997E-2</v>
      </c>
      <c r="F285" s="468"/>
      <c r="G285" s="468">
        <f t="shared" si="745"/>
        <v>1.1973399563</v>
      </c>
      <c r="H285" s="468">
        <f t="shared" si="746"/>
        <v>1.2582578641</v>
      </c>
      <c r="I285" s="468">
        <v>6.0917907799999997E-2</v>
      </c>
      <c r="J285" s="468"/>
      <c r="K285" s="467">
        <f t="shared" ca="1" si="747"/>
        <v>1.1973399563</v>
      </c>
      <c r="L285" s="468">
        <f t="shared" ca="1" si="748"/>
        <v>1.2582578641</v>
      </c>
      <c r="M285" s="469">
        <f t="shared" si="749"/>
        <v>242.33666300502347</v>
      </c>
      <c r="N285" s="470">
        <f t="shared" si="750"/>
        <v>14.76264249349969</v>
      </c>
      <c r="O285" s="470">
        <f t="shared" si="751"/>
        <v>0</v>
      </c>
      <c r="P285" s="470">
        <f t="shared" si="752"/>
        <v>304.92201198582228</v>
      </c>
      <c r="Q285" s="469">
        <f t="shared" si="736"/>
        <v>140</v>
      </c>
      <c r="R285" s="471">
        <f t="shared" si="753"/>
        <v>0.41997360447121362</v>
      </c>
      <c r="S285" s="471"/>
      <c r="T285" s="471"/>
      <c r="U285" s="471">
        <f t="shared" si="754"/>
        <v>0</v>
      </c>
      <c r="V285" s="471"/>
      <c r="W285" s="471"/>
      <c r="X285" s="471">
        <f t="shared" si="755"/>
        <v>0</v>
      </c>
      <c r="Y285" s="471">
        <f t="shared" si="756"/>
        <v>0.25165157282</v>
      </c>
      <c r="Z285" s="471">
        <f t="shared" ca="1" si="757"/>
        <v>0</v>
      </c>
      <c r="AA285" s="471">
        <f t="shared" si="744"/>
        <v>3.8</v>
      </c>
      <c r="AB285" s="471">
        <f t="shared" si="758"/>
        <v>1.5958996969906116</v>
      </c>
      <c r="AC285" s="471">
        <f t="shared" si="759"/>
        <v>2.033280621211184E-2</v>
      </c>
      <c r="AD285" s="471">
        <f t="shared" si="760"/>
        <v>1.218358156E-2</v>
      </c>
      <c r="AE285" s="471">
        <f t="shared" si="761"/>
        <v>0</v>
      </c>
      <c r="AF285" s="510">
        <f t="shared" si="737"/>
        <v>3.8</v>
      </c>
      <c r="AG285" s="471">
        <f t="shared" si="762"/>
        <v>7.7264663606024991E-2</v>
      </c>
      <c r="AH285" s="471">
        <f t="shared" si="763"/>
        <v>8.9448245166024995E-2</v>
      </c>
      <c r="AI285" s="471">
        <f t="shared" ca="1" si="764"/>
        <v>1.8475512698106116</v>
      </c>
      <c r="AJ285" s="471">
        <f t="shared" si="765"/>
        <v>0.75</v>
      </c>
      <c r="AK285" s="472">
        <f t="shared" si="766"/>
        <v>6.5546218487399612E-3</v>
      </c>
      <c r="AL285" s="471">
        <f t="shared" si="767"/>
        <v>0.62782773109243706</v>
      </c>
      <c r="AM285" s="473">
        <f t="shared" si="768"/>
        <v>324.04299898980338</v>
      </c>
      <c r="AN285" s="474">
        <f t="shared" si="769"/>
        <v>11.136888888888889</v>
      </c>
      <c r="AO285" s="474">
        <f t="shared" si="770"/>
        <v>0.14544444444444443</v>
      </c>
      <c r="AP285" s="474">
        <f t="shared" si="771"/>
        <v>11.282333333333334</v>
      </c>
      <c r="AQ285" s="475">
        <v>3</v>
      </c>
      <c r="AR285" s="474">
        <f t="shared" ca="1" si="772"/>
        <v>0.16771007217610573</v>
      </c>
      <c r="AS285" s="474">
        <f t="shared" ca="1" si="773"/>
        <v>0.86723738507320514</v>
      </c>
      <c r="AT285" s="471" t="str">
        <f t="shared" ca="1" si="774"/>
        <v>Disminuir vel.</v>
      </c>
      <c r="AU285" s="492">
        <f t="shared" si="775"/>
        <v>12.393332932472074</v>
      </c>
      <c r="AV285" s="471">
        <f t="shared" ca="1" si="776"/>
        <v>255.9839821795801</v>
      </c>
      <c r="AW285" s="471">
        <f t="shared" ca="1" si="743"/>
        <v>255.98</v>
      </c>
      <c r="AX285" s="478">
        <f>IF(OR(C285="",D285=""),"",ROUND(((VLOOKUP(C285,'Base de Diseño (2)'!$A$2:$C$333,2,FALSE)-VLOOKUP(D285,'Base de Diseño (2)'!$A$2:$C$333,2,FALSE))^2+(VLOOKUP(C285,'Base de Diseño (2)'!$A$2:$C$333,3,0)-VLOOKUP(D285,'Base de Diseño (2)'!$A$2:$C$333,3,FALSE))^2)^0.5,2))</f>
        <v>26.18</v>
      </c>
      <c r="AY285" s="493">
        <v>20</v>
      </c>
      <c r="AZ285" s="480">
        <f ca="1">IF(AND(L285="",H285=""),"",IF(BA285=4,VLOOKUP(AY285,'TABLA (2)'!$A$74:$C$89,2),IF(BA285=5,VLOOKUP(AY285,'TABLA (2)'!$A$51:$B$66,2),IF(BA285=6,VLOOKUP(AY285,'TABLA (2)'!$A$9:$B$43,2)))))</f>
        <v>500</v>
      </c>
      <c r="BA285" s="493">
        <v>6</v>
      </c>
      <c r="BB285" s="478">
        <f>IF(OR(C285="",D285=""),"",VLOOKUP(C285,'Base de Diseño (2)'!$A$2:$D$330,4,FALSE))</f>
        <v>988.11160000000007</v>
      </c>
      <c r="BC285" s="478">
        <f>IF(OR(C285="",D285=""),"",VLOOKUP(D285,'Base de Diseño (2)'!$A$2:$D$330,4,FALSE))</f>
        <v>987.94</v>
      </c>
      <c r="BD285" s="478">
        <f t="shared" ca="1" si="777"/>
        <v>1.4699999999999636</v>
      </c>
      <c r="BE285" s="478">
        <f t="shared" ca="1" si="778"/>
        <v>2.0300000000000225</v>
      </c>
      <c r="BF285" s="494">
        <v>2.0399999999999636</v>
      </c>
      <c r="BG285" s="494">
        <v>2.6000000000000227</v>
      </c>
      <c r="BH285" s="495">
        <f t="shared" si="779"/>
        <v>986.0716000000001</v>
      </c>
      <c r="BI285" s="495">
        <f t="shared" si="780"/>
        <v>985.34</v>
      </c>
      <c r="BJ285" s="468">
        <f t="shared" si="781"/>
        <v>0.22000000000002728</v>
      </c>
      <c r="BK285" s="475">
        <f t="shared" si="782"/>
        <v>0.6554621848739961</v>
      </c>
      <c r="BL285" s="475">
        <f t="shared" si="783"/>
        <v>2.7944996180293025</v>
      </c>
      <c r="BM285" s="475">
        <f t="shared" ca="1" si="784"/>
        <v>3.214760945466848</v>
      </c>
      <c r="BN285" s="475">
        <f t="shared" ca="1" si="785"/>
        <v>631.21683558287668</v>
      </c>
      <c r="BO285" s="204">
        <f t="shared" ca="1" si="786"/>
        <v>2.9269676688907552E-3</v>
      </c>
      <c r="BP285" s="496">
        <f t="shared" ca="1" si="787"/>
        <v>0.40553417711621009</v>
      </c>
      <c r="BQ285" s="497">
        <f t="shared" ca="1" si="788"/>
        <v>0.19618251391617297</v>
      </c>
      <c r="BR285" s="497">
        <f t="shared" ca="1" si="789"/>
        <v>0.80930190435724436</v>
      </c>
      <c r="BS285" s="475">
        <f t="shared" ca="1" si="790"/>
        <v>0.63067988392121932</v>
      </c>
      <c r="BT285" s="475">
        <f t="shared" ca="1" si="791"/>
        <v>2.6017121552196154</v>
      </c>
      <c r="BU285" s="475">
        <f t="shared" ca="1" si="792"/>
        <v>6.4206535437359435E-3</v>
      </c>
      <c r="BV285" s="475">
        <f t="shared" ca="1" si="793"/>
        <v>0.49535611809099123</v>
      </c>
      <c r="BW285" s="475">
        <f t="shared" ca="1" si="794"/>
        <v>0.32085990443636891</v>
      </c>
      <c r="BX285" s="475">
        <f t="shared" ca="1" si="795"/>
        <v>3.1230168588813063</v>
      </c>
      <c r="BY285" s="475">
        <f t="shared" ca="1" si="796"/>
        <v>4.2676012169197697E-3</v>
      </c>
      <c r="BZ285" s="475">
        <f t="shared" ca="1" si="797"/>
        <v>0.24851307827720495</v>
      </c>
      <c r="CA285" s="471">
        <f t="shared" ca="1" si="798"/>
        <v>2.1338006084598853E-3</v>
      </c>
      <c r="CB285" s="471">
        <f t="shared" ca="1" si="799"/>
        <v>0.12425653913860248</v>
      </c>
      <c r="CC285" s="471">
        <f t="shared" ca="1" si="800"/>
        <v>1.8857476836753768</v>
      </c>
      <c r="CD285" s="471" t="str">
        <f t="shared" ca="1" si="801"/>
        <v>F. Supercrítico</v>
      </c>
      <c r="CE285" s="471">
        <f t="shared" ca="1" si="802"/>
        <v>5.9629049852918427E-2</v>
      </c>
      <c r="CF285" s="471">
        <f t="shared" ca="1" si="803"/>
        <v>3.4723485116046766</v>
      </c>
      <c r="CG285" s="471" t="str">
        <f t="shared" ca="1" si="804"/>
        <v>O.K</v>
      </c>
      <c r="CH285" s="471" t="str">
        <f t="shared" ca="1" si="805"/>
        <v>O.K</v>
      </c>
      <c r="CI285" s="471" t="str">
        <f t="shared" ca="1" si="806"/>
        <v>V.C.H.</v>
      </c>
      <c r="CJ285" s="471" t="str">
        <f t="shared" ca="1" si="807"/>
        <v>OK</v>
      </c>
      <c r="CK285" s="468">
        <f t="shared" si="808"/>
        <v>0.22000000000002728</v>
      </c>
      <c r="CL285" s="482" t="s">
        <v>2507</v>
      </c>
      <c r="CM285" s="482"/>
      <c r="CN285" s="63" t="str">
        <f t="shared" si="809"/>
        <v xml:space="preserve"> </v>
      </c>
      <c r="CO285" s="498"/>
      <c r="CP285" s="472">
        <f t="shared" si="814"/>
        <v>6.5546218487399612E-3</v>
      </c>
      <c r="CQ285" s="482" t="s">
        <v>2508</v>
      </c>
      <c r="CR285" s="204">
        <f t="shared" si="810"/>
        <v>26.18</v>
      </c>
      <c r="CS285" s="486">
        <v>1.2</v>
      </c>
      <c r="CT285" s="486">
        <v>1.2</v>
      </c>
      <c r="CU285" s="23">
        <f t="shared" si="811"/>
        <v>26.190220284678784</v>
      </c>
      <c r="CV285" s="499" t="s">
        <v>2509</v>
      </c>
      <c r="CW285" s="488" t="str">
        <f t="shared" ca="1" si="812"/>
        <v>E2</v>
      </c>
      <c r="CX285" s="204">
        <f ca="1">IF(AND(L285="",H285=""),"",IF(AND(BA285&lt;&gt;4,BA285&lt;&gt;5),VLOOKUP(AY285,'TABLA (2)'!$A$9:$D$43,4),IF(BA285=4,VLOOKUP(AY285,'TABLA (2)'!$A$74:$D$89,4),VLOOKUP(AY285,'TABLA (2)'!$A$51:$D$66,4))))</f>
        <v>7.0000000000000007E-2</v>
      </c>
      <c r="CY285" s="482"/>
      <c r="CZ285" s="482"/>
      <c r="DA285" s="482"/>
      <c r="DB285" s="490"/>
    </row>
    <row r="286" spans="1:106" ht="15" hidden="1" customHeight="1">
      <c r="A286" s="465">
        <f t="shared" si="813"/>
        <v>191</v>
      </c>
      <c r="B286" s="491"/>
      <c r="C286" s="466" t="s">
        <v>2346</v>
      </c>
      <c r="D286" s="466" t="s">
        <v>2364</v>
      </c>
      <c r="E286" s="468">
        <v>6.0592843600000001E-2</v>
      </c>
      <c r="F286" s="468"/>
      <c r="G286" s="468">
        <f t="shared" si="745"/>
        <v>2.4743992375000001</v>
      </c>
      <c r="H286" s="468">
        <f t="shared" si="746"/>
        <v>2.5349920811</v>
      </c>
      <c r="I286" s="468">
        <v>6.0592843600000001E-2</v>
      </c>
      <c r="J286" s="468"/>
      <c r="K286" s="467">
        <f t="shared" ca="1" si="747"/>
        <v>2.4743992375000001</v>
      </c>
      <c r="L286" s="468">
        <f t="shared" ca="1" si="748"/>
        <v>2.5349920811</v>
      </c>
      <c r="M286" s="469">
        <f t="shared" si="749"/>
        <v>242.33666300502347</v>
      </c>
      <c r="N286" s="470">
        <f t="shared" si="750"/>
        <v>14.683867520009294</v>
      </c>
      <c r="O286" s="470">
        <f t="shared" si="751"/>
        <v>0</v>
      </c>
      <c r="P286" s="470">
        <f t="shared" si="752"/>
        <v>614.32152167793379</v>
      </c>
      <c r="Q286" s="469">
        <f t="shared" ref="Q286:Q304" si="815">+$H$14</f>
        <v>140</v>
      </c>
      <c r="R286" s="471">
        <f t="shared" si="753"/>
        <v>0.84611413286659864</v>
      </c>
      <c r="S286" s="471"/>
      <c r="T286" s="471"/>
      <c r="U286" s="471">
        <f t="shared" si="754"/>
        <v>0</v>
      </c>
      <c r="V286" s="471"/>
      <c r="W286" s="471"/>
      <c r="X286" s="471">
        <f t="shared" si="755"/>
        <v>0</v>
      </c>
      <c r="Y286" s="471">
        <f t="shared" si="756"/>
        <v>0.50699841621999997</v>
      </c>
      <c r="Z286" s="471">
        <f t="shared" ca="1" si="757"/>
        <v>0</v>
      </c>
      <c r="AA286" s="471">
        <f t="shared" si="744"/>
        <v>3.8</v>
      </c>
      <c r="AB286" s="471">
        <f t="shared" si="758"/>
        <v>3.2152337048930746</v>
      </c>
      <c r="AC286" s="471">
        <f t="shared" si="759"/>
        <v>2.0224308274086871E-2</v>
      </c>
      <c r="AD286" s="471">
        <f t="shared" si="760"/>
        <v>1.211856872E-2</v>
      </c>
      <c r="AE286" s="471">
        <f t="shared" si="761"/>
        <v>0</v>
      </c>
      <c r="AF286" s="510">
        <f t="shared" si="737"/>
        <v>3.8</v>
      </c>
      <c r="AG286" s="471">
        <f t="shared" si="762"/>
        <v>7.6852371441530107E-2</v>
      </c>
      <c r="AH286" s="471">
        <f t="shared" si="763"/>
        <v>8.8970940161530107E-2</v>
      </c>
      <c r="AI286" s="471">
        <f t="shared" ca="1" si="764"/>
        <v>3.7222321211130747</v>
      </c>
      <c r="AJ286" s="471">
        <f t="shared" si="765"/>
        <v>0.75</v>
      </c>
      <c r="AK286" s="472">
        <f t="shared" si="766"/>
        <v>3.7361799466260698E-2</v>
      </c>
      <c r="AL286" s="471">
        <f t="shared" si="767"/>
        <v>0.62936808997331306</v>
      </c>
      <c r="AM286" s="473">
        <f t="shared" si="768"/>
        <v>321.37037676886359</v>
      </c>
      <c r="AN286" s="474">
        <f t="shared" si="769"/>
        <v>11.282333333333334</v>
      </c>
      <c r="AO286" s="474">
        <f t="shared" si="770"/>
        <v>0.29144444444444445</v>
      </c>
      <c r="AP286" s="474">
        <f t="shared" si="771"/>
        <v>11.573777777777778</v>
      </c>
      <c r="AQ286" s="475">
        <v>3</v>
      </c>
      <c r="AR286" s="474">
        <f t="shared" ca="1" si="772"/>
        <v>0.28696058547484526</v>
      </c>
      <c r="AS286" s="474">
        <f t="shared" ca="1" si="773"/>
        <v>1.0156253478580675</v>
      </c>
      <c r="AT286" s="471" t="str">
        <f t="shared" ca="1" si="774"/>
        <v>Cumple</v>
      </c>
      <c r="AU286" s="492">
        <f t="shared" si="775"/>
        <v>12.255524312855933</v>
      </c>
      <c r="AV286" s="471">
        <f t="shared" ca="1" si="776"/>
        <v>512.72815793082043</v>
      </c>
      <c r="AW286" s="471">
        <f t="shared" ca="1" si="743"/>
        <v>512.73</v>
      </c>
      <c r="AX286" s="478">
        <f>IF(OR(C286="",D286=""),"",ROUND(((VLOOKUP(C286,'Base de Diseño (2)'!$A$2:$C$333,2,FALSE)-VLOOKUP(D286,'Base de Diseño (2)'!$A$2:$C$333,2,FALSE))^2+(VLOOKUP(C286,'Base de Diseño (2)'!$A$2:$C$333,3,0)-VLOOKUP(D286,'Base de Diseño (2)'!$A$2:$C$333,3,FALSE))^2)^0.5,2))</f>
        <v>52.46</v>
      </c>
      <c r="AY286" s="493">
        <v>24</v>
      </c>
      <c r="AZ286" s="480">
        <f ca="1">IF(AND(L286="",H286=""),"",IF(BA286=4,VLOOKUP(AY286,'TABLA (2)'!$A$74:$C$89,2),IF(BA286=5,VLOOKUP(AY286,'TABLA (2)'!$A$51:$B$66,2),IF(BA286=6,VLOOKUP(AY286,'TABLA (2)'!$A$9:$B$43,2)))))</f>
        <v>600</v>
      </c>
      <c r="BA286" s="493">
        <v>6</v>
      </c>
      <c r="BB286" s="478">
        <f>IF(OR(C286="",D286=""),"",VLOOKUP(C286,'Base de Diseño (2)'!$A$2:$D$330,4,FALSE))</f>
        <v>987.94</v>
      </c>
      <c r="BC286" s="478">
        <f>IF(OR(C286="",D286=""),"",VLOOKUP(D286,'Base de Diseño (2)'!$A$2:$D$330,4,FALSE))</f>
        <v>985.98</v>
      </c>
      <c r="BD286" s="478">
        <f t="shared" ca="1" si="777"/>
        <v>2.1480000000000503</v>
      </c>
      <c r="BE286" s="478">
        <f t="shared" ca="1" si="778"/>
        <v>1.5580000000000183</v>
      </c>
      <c r="BF286" s="494">
        <v>2.82000000000005</v>
      </c>
      <c r="BG286" s="494">
        <v>2.2300000000000182</v>
      </c>
      <c r="BH286" s="495">
        <f t="shared" si="779"/>
        <v>985.12</v>
      </c>
      <c r="BI286" s="495">
        <f t="shared" si="780"/>
        <v>983.75</v>
      </c>
      <c r="BJ286" s="468">
        <f t="shared" si="781"/>
        <v>6.9999999999936335E-2</v>
      </c>
      <c r="BK286" s="475">
        <f t="shared" si="782"/>
        <v>3.7361799466260699</v>
      </c>
      <c r="BL286" s="475">
        <f t="shared" si="783"/>
        <v>2.6115135341212437</v>
      </c>
      <c r="BM286" s="475">
        <f t="shared" ca="1" si="784"/>
        <v>3.5093791715473985</v>
      </c>
      <c r="BN286" s="475">
        <f t="shared" ca="1" si="785"/>
        <v>992.25358415949074</v>
      </c>
      <c r="BO286" s="204">
        <f t="shared" ca="1" si="786"/>
        <v>3.7512911825519578E-3</v>
      </c>
      <c r="BP286" s="496">
        <f t="shared" ca="1" si="787"/>
        <v>0.51673282735916615</v>
      </c>
      <c r="BQ286" s="497">
        <f t="shared" ca="1" si="788"/>
        <v>0.21086956243228039</v>
      </c>
      <c r="BR286" s="497">
        <f t="shared" ca="1" si="789"/>
        <v>0.86820941671878016</v>
      </c>
      <c r="BS286" s="475">
        <f t="shared" ca="1" si="790"/>
        <v>0.74002125031315857</v>
      </c>
      <c r="BT286" s="475">
        <f t="shared" ca="1" si="791"/>
        <v>3.0468760435742026</v>
      </c>
      <c r="BU286" s="475">
        <f t="shared" ca="1" si="792"/>
        <v>2.242524070194668E-2</v>
      </c>
      <c r="BV286" s="475">
        <f t="shared" ca="1" si="793"/>
        <v>0.56948855159000189</v>
      </c>
      <c r="BW286" s="475">
        <f t="shared" ca="1" si="794"/>
        <v>0.60126407415252014</v>
      </c>
      <c r="BX286" s="475">
        <f t="shared" ca="1" si="795"/>
        <v>3.4204494914867629</v>
      </c>
      <c r="BY286" s="475">
        <f t="shared" ca="1" si="796"/>
        <v>1.4793319717250702E-2</v>
      </c>
      <c r="BZ286" s="475">
        <f t="shared" ca="1" si="797"/>
        <v>0.27011846884152491</v>
      </c>
      <c r="CA286" s="471">
        <f t="shared" ca="1" si="798"/>
        <v>8.8759918303504218E-3</v>
      </c>
      <c r="CB286" s="471">
        <f t="shared" ca="1" si="799"/>
        <v>0.16207108130491493</v>
      </c>
      <c r="CC286" s="471">
        <f t="shared" ca="1" si="800"/>
        <v>1.8387528044393295</v>
      </c>
      <c r="CD286" s="471" t="str">
        <f t="shared" ca="1" si="801"/>
        <v>F. Supercrítico</v>
      </c>
      <c r="CE286" s="471">
        <f t="shared" ca="1" si="802"/>
        <v>0.23179772793709716</v>
      </c>
      <c r="CF286" s="471">
        <f t="shared" ca="1" si="803"/>
        <v>4.2325082231744977</v>
      </c>
      <c r="CG286" s="471" t="str">
        <f t="shared" ca="1" si="804"/>
        <v>O.K</v>
      </c>
      <c r="CH286" s="471" t="str">
        <f t="shared" ca="1" si="805"/>
        <v>O.K</v>
      </c>
      <c r="CI286" s="471" t="str">
        <f t="shared" ca="1" si="806"/>
        <v>OK</v>
      </c>
      <c r="CJ286" s="471" t="str">
        <f t="shared" ca="1" si="807"/>
        <v>OK</v>
      </c>
      <c r="CK286" s="468">
        <f t="shared" si="808"/>
        <v>6.9999999999936335E-2</v>
      </c>
      <c r="CL286" s="482" t="s">
        <v>2507</v>
      </c>
      <c r="CM286" s="482"/>
      <c r="CN286" s="63" t="str">
        <f t="shared" si="809"/>
        <v xml:space="preserve"> </v>
      </c>
      <c r="CO286" s="498"/>
      <c r="CP286" s="472">
        <f t="shared" si="814"/>
        <v>3.7361799466260698E-2</v>
      </c>
      <c r="CQ286" s="482" t="s">
        <v>2508</v>
      </c>
      <c r="CR286" s="204">
        <f t="shared" si="810"/>
        <v>52.46</v>
      </c>
      <c r="CS286" s="486">
        <v>1.2</v>
      </c>
      <c r="CT286" s="486">
        <v>1.2</v>
      </c>
      <c r="CU286" s="23">
        <f t="shared" si="811"/>
        <v>52.4778858186951</v>
      </c>
      <c r="CV286" s="499" t="s">
        <v>2509</v>
      </c>
      <c r="CW286" s="488" t="str">
        <f t="shared" ca="1" si="812"/>
        <v>E2</v>
      </c>
      <c r="CX286" s="204">
        <f ca="1">IF(AND(L286="",H286=""),"",IF(AND(BA286&lt;&gt;4,BA286&lt;&gt;5),VLOOKUP(AY286,'TABLA (2)'!$A$9:$D$43,4),IF(BA286=4,VLOOKUP(AY286,'TABLA (2)'!$A$74:$D$89,4),VLOOKUP(AY286,'TABLA (2)'!$A$51:$D$66,4))))</f>
        <v>7.1999999999999995E-2</v>
      </c>
      <c r="CY286" s="482"/>
      <c r="CZ286" s="482"/>
      <c r="DA286" s="482"/>
      <c r="DB286" s="490"/>
    </row>
    <row r="287" spans="1:106" ht="15" hidden="1" customHeight="1">
      <c r="A287" s="465">
        <f t="shared" si="813"/>
        <v>192</v>
      </c>
      <c r="B287" s="491"/>
      <c r="C287" s="466" t="s">
        <v>2364</v>
      </c>
      <c r="D287" s="466" t="s">
        <v>2206</v>
      </c>
      <c r="E287" s="468">
        <v>0.167623682</v>
      </c>
      <c r="F287" s="468"/>
      <c r="G287" s="468">
        <f t="shared" si="745"/>
        <v>2.5349920811</v>
      </c>
      <c r="H287" s="468">
        <f t="shared" si="746"/>
        <v>2.7026157630999998</v>
      </c>
      <c r="I287" s="468">
        <v>0.167623682</v>
      </c>
      <c r="J287" s="468"/>
      <c r="K287" s="467">
        <f t="shared" ca="1" si="747"/>
        <v>2.5349920811</v>
      </c>
      <c r="L287" s="468">
        <f t="shared" ca="1" si="748"/>
        <v>2.7026157630999998</v>
      </c>
      <c r="M287" s="469">
        <f t="shared" si="749"/>
        <v>242.33666300502347</v>
      </c>
      <c r="N287" s="470">
        <f t="shared" si="750"/>
        <v>40.621363736495219</v>
      </c>
      <c r="O287" s="470">
        <f t="shared" si="751"/>
        <v>0</v>
      </c>
      <c r="P287" s="470">
        <f t="shared" si="752"/>
        <v>654.94288541442904</v>
      </c>
      <c r="Q287" s="469">
        <f t="shared" si="815"/>
        <v>140</v>
      </c>
      <c r="R287" s="471">
        <f t="shared" si="753"/>
        <v>0.9020625389388548</v>
      </c>
      <c r="S287" s="471"/>
      <c r="T287" s="471"/>
      <c r="U287" s="471">
        <f t="shared" si="754"/>
        <v>0</v>
      </c>
      <c r="V287" s="471"/>
      <c r="W287" s="471"/>
      <c r="X287" s="471">
        <f t="shared" si="755"/>
        <v>0</v>
      </c>
      <c r="Y287" s="471">
        <f t="shared" si="756"/>
        <v>0.54052315261999995</v>
      </c>
      <c r="Z287" s="471">
        <f t="shared" ca="1" si="757"/>
        <v>0</v>
      </c>
      <c r="AA287" s="471">
        <f t="shared" si="744"/>
        <v>3.8</v>
      </c>
      <c r="AB287" s="471">
        <f t="shared" si="758"/>
        <v>3.4278376479676482</v>
      </c>
      <c r="AC287" s="471">
        <f t="shared" si="759"/>
        <v>5.5948406072256145E-2</v>
      </c>
      <c r="AD287" s="471">
        <f t="shared" si="760"/>
        <v>3.3524736399999998E-2</v>
      </c>
      <c r="AE287" s="471">
        <f t="shared" si="761"/>
        <v>0</v>
      </c>
      <c r="AF287" s="510">
        <f t="shared" si="737"/>
        <v>3.8</v>
      </c>
      <c r="AG287" s="471">
        <f t="shared" si="762"/>
        <v>0.21260394307457334</v>
      </c>
      <c r="AH287" s="471">
        <f t="shared" si="763"/>
        <v>0.24612867947457334</v>
      </c>
      <c r="AI287" s="471">
        <f t="shared" ca="1" si="764"/>
        <v>3.9683608005876483</v>
      </c>
      <c r="AJ287" s="471">
        <f t="shared" si="765"/>
        <v>0.75</v>
      </c>
      <c r="AK287" s="472">
        <f t="shared" si="766"/>
        <v>3.6503442999235441E-2</v>
      </c>
      <c r="AL287" s="471">
        <f t="shared" si="767"/>
        <v>0.62932517214996186</v>
      </c>
      <c r="AM287" s="473">
        <f t="shared" si="768"/>
        <v>318.74862294401919</v>
      </c>
      <c r="AN287" s="474">
        <f t="shared" si="769"/>
        <v>11.573777777777778</v>
      </c>
      <c r="AO287" s="474">
        <f t="shared" si="770"/>
        <v>0.29044444444444445</v>
      </c>
      <c r="AP287" s="474">
        <f t="shared" si="771"/>
        <v>11.864222222222223</v>
      </c>
      <c r="AQ287" s="475">
        <v>3</v>
      </c>
      <c r="AR287" s="474">
        <f t="shared" ca="1" si="772"/>
        <v>0.28883970361177613</v>
      </c>
      <c r="AS287" s="474">
        <f t="shared" ca="1" si="773"/>
        <v>1.005555818028484</v>
      </c>
      <c r="AT287" s="471" t="str">
        <f t="shared" ca="1" si="774"/>
        <v>Cumple</v>
      </c>
      <c r="AU287" s="492">
        <f t="shared" si="775"/>
        <v>33.624729291412031</v>
      </c>
      <c r="AV287" s="471">
        <f t="shared" ca="1" si="776"/>
        <v>542.13534942479339</v>
      </c>
      <c r="AW287" s="471">
        <f t="shared" ca="1" si="743"/>
        <v>542.14</v>
      </c>
      <c r="AX287" s="478">
        <f>IF(OR(C287="",D287=""),"",ROUND(((VLOOKUP(C287,'Base de Diseño (2)'!$A$2:$C$333,2,FALSE)-VLOOKUP(D287,'Base de Diseño (2)'!$A$2:$C$333,2,FALSE))^2+(VLOOKUP(C287,'Base de Diseño (2)'!$A$2:$C$333,3,0)-VLOOKUP(D287,'Base de Diseño (2)'!$A$2:$C$333,3,FALSE))^2)^0.5,2))</f>
        <v>52.28</v>
      </c>
      <c r="AY287" s="493">
        <v>24</v>
      </c>
      <c r="AZ287" s="480">
        <f ca="1">IF(AND(L287="",H287=""),"",IF(BA287=4,VLOOKUP(AY287,'TABLA (2)'!$A$74:$C$89,2),IF(BA287=5,VLOOKUP(AY287,'TABLA (2)'!$A$51:$B$66,2),IF(BA287=6,VLOOKUP(AY287,'TABLA (2)'!$A$9:$B$43,2)))))</f>
        <v>600</v>
      </c>
      <c r="BA287" s="493">
        <v>6</v>
      </c>
      <c r="BB287" s="478">
        <f>IF(OR(C287="",D287=""),"",VLOOKUP(C287,'Base de Diseño (2)'!$A$2:$D$330,4,FALSE))</f>
        <v>985.98</v>
      </c>
      <c r="BC287" s="478">
        <f>IF(OR(C287="",D287=""),"",VLOOKUP(D287,'Base de Diseño (2)'!$A$2:$D$330,4,FALSE))</f>
        <v>984.07159999999999</v>
      </c>
      <c r="BD287" s="478">
        <f t="shared" ca="1" si="777"/>
        <v>1.6279999999999546</v>
      </c>
      <c r="BE287" s="478">
        <f t="shared" ca="1" si="778"/>
        <v>0.98799999999996824</v>
      </c>
      <c r="BF287" s="494">
        <v>2.2999999999999545</v>
      </c>
      <c r="BG287" s="494">
        <v>1.6599999999999682</v>
      </c>
      <c r="BH287" s="495">
        <f t="shared" si="779"/>
        <v>983.68000000000006</v>
      </c>
      <c r="BI287" s="495">
        <f t="shared" si="780"/>
        <v>982.41160000000002</v>
      </c>
      <c r="BJ287" s="468">
        <f t="shared" si="781"/>
        <v>4.0000000000077307E-2</v>
      </c>
      <c r="BK287" s="475">
        <f t="shared" si="782"/>
        <v>3.6503442999235443</v>
      </c>
      <c r="BL287" s="475">
        <f t="shared" si="783"/>
        <v>2.4261667941852378</v>
      </c>
      <c r="BM287" s="475">
        <f t="shared" ca="1" si="784"/>
        <v>3.3825519939241451</v>
      </c>
      <c r="BN287" s="475">
        <f t="shared" ca="1" si="785"/>
        <v>956.39404450478389</v>
      </c>
      <c r="BO287" s="204">
        <f t="shared" ca="1" si="786"/>
        <v>4.1492947633759531E-3</v>
      </c>
      <c r="BP287" s="496">
        <f t="shared" ca="1" si="787"/>
        <v>0.56685840226108619</v>
      </c>
      <c r="BQ287" s="497">
        <f t="shared" ca="1" si="788"/>
        <v>0.21714789267249798</v>
      </c>
      <c r="BR287" s="497">
        <f t="shared" ca="1" si="789"/>
        <v>0.89183180613456714</v>
      </c>
      <c r="BS287" s="475">
        <f t="shared" ca="1" si="790"/>
        <v>0.73451403733578435</v>
      </c>
      <c r="BT287" s="475">
        <f t="shared" ca="1" si="791"/>
        <v>3.0166674540854519</v>
      </c>
      <c r="BU287" s="475">
        <f t="shared" ca="1" si="792"/>
        <v>2.8929310226298965E-2</v>
      </c>
      <c r="BV287" s="475">
        <f t="shared" ca="1" si="793"/>
        <v>0.60290560152628603</v>
      </c>
      <c r="BW287" s="475">
        <f t="shared" ca="1" si="794"/>
        <v>0.68366851007887153</v>
      </c>
      <c r="BX287" s="475">
        <f t="shared" ca="1" si="795"/>
        <v>3.5561778226815388</v>
      </c>
      <c r="BY287" s="475">
        <f t="shared" ca="1" si="796"/>
        <v>1.9025006077033585E-2</v>
      </c>
      <c r="BZ287" s="475">
        <f t="shared" ca="1" si="797"/>
        <v>0.27831764166864559</v>
      </c>
      <c r="CA287" s="471">
        <f t="shared" ca="1" si="798"/>
        <v>1.1415003646220152E-2</v>
      </c>
      <c r="CB287" s="471">
        <f t="shared" ca="1" si="799"/>
        <v>0.16699058500118735</v>
      </c>
      <c r="CC287" s="471">
        <f t="shared" ca="1" si="800"/>
        <v>1.7485214808496836</v>
      </c>
      <c r="CD287" s="471" t="str">
        <f t="shared" ca="1" si="801"/>
        <v>F. Supercrítico</v>
      </c>
      <c r="CE287" s="471">
        <f t="shared" ca="1" si="802"/>
        <v>0.27694702801962751</v>
      </c>
      <c r="CF287" s="471">
        <f t="shared" ca="1" si="803"/>
        <v>4.0514701227144823</v>
      </c>
      <c r="CG287" s="471" t="str">
        <f t="shared" ca="1" si="804"/>
        <v>O.K</v>
      </c>
      <c r="CH287" s="471" t="str">
        <f t="shared" ca="1" si="805"/>
        <v>O.K</v>
      </c>
      <c r="CI287" s="471" t="str">
        <f t="shared" ca="1" si="806"/>
        <v>OK</v>
      </c>
      <c r="CJ287" s="471" t="str">
        <f t="shared" ca="1" si="807"/>
        <v>OK</v>
      </c>
      <c r="CK287" s="468">
        <f t="shared" si="808"/>
        <v>4.0000000000077307E-2</v>
      </c>
      <c r="CL287" s="482" t="s">
        <v>2507</v>
      </c>
      <c r="CM287" s="482"/>
      <c r="CN287" s="63" t="str">
        <f t="shared" si="809"/>
        <v xml:space="preserve"> </v>
      </c>
      <c r="CO287" s="498"/>
      <c r="CP287" s="472">
        <f t="shared" si="814"/>
        <v>3.6503442999235441E-2</v>
      </c>
      <c r="CQ287" s="482" t="s">
        <v>2508</v>
      </c>
      <c r="CR287" s="204">
        <f t="shared" si="810"/>
        <v>52.28</v>
      </c>
      <c r="CS287" s="486">
        <v>1.2</v>
      </c>
      <c r="CT287" s="486">
        <v>1.2</v>
      </c>
      <c r="CU287" s="23">
        <f t="shared" si="811"/>
        <v>52.295384486204902</v>
      </c>
      <c r="CV287" s="499" t="s">
        <v>2509</v>
      </c>
      <c r="CW287" s="488" t="str">
        <f t="shared" ca="1" si="812"/>
        <v>E2</v>
      </c>
      <c r="CX287" s="204">
        <f ca="1">IF(AND(L287="",H287=""),"",IF(AND(BA287&lt;&gt;4,BA287&lt;&gt;5),VLOOKUP(AY287,'TABLA (2)'!$A$9:$D$43,4),IF(BA287=4,VLOOKUP(AY287,'TABLA (2)'!$A$74:$D$89,4),VLOOKUP(AY287,'TABLA (2)'!$A$51:$D$66,4))))</f>
        <v>7.1999999999999995E-2</v>
      </c>
      <c r="CY287" s="482"/>
      <c r="CZ287" s="482"/>
      <c r="DA287" s="482"/>
      <c r="DB287" s="490"/>
    </row>
    <row r="288" spans="1:106" ht="15" hidden="1" customHeight="1">
      <c r="A288" s="465">
        <f t="shared" si="813"/>
        <v>193</v>
      </c>
      <c r="B288" s="491"/>
      <c r="C288" s="466" t="s">
        <v>2206</v>
      </c>
      <c r="D288" s="466" t="s">
        <v>2244</v>
      </c>
      <c r="E288" s="468"/>
      <c r="F288" s="468"/>
      <c r="G288" s="468">
        <f t="shared" si="745"/>
        <v>2.7026157630999998</v>
      </c>
      <c r="H288" s="468">
        <f t="shared" si="746"/>
        <v>2.7026157630999998</v>
      </c>
      <c r="I288" s="468"/>
      <c r="J288" s="468"/>
      <c r="K288" s="467">
        <f t="shared" ca="1" si="747"/>
        <v>2.7026157630999998</v>
      </c>
      <c r="L288" s="468">
        <f t="shared" ca="1" si="748"/>
        <v>2.7026157630999998</v>
      </c>
      <c r="M288" s="469">
        <f t="shared" si="749"/>
        <v>242.33666300502347</v>
      </c>
      <c r="N288" s="470">
        <f t="shared" si="750"/>
        <v>0</v>
      </c>
      <c r="O288" s="470">
        <f t="shared" si="751"/>
        <v>0</v>
      </c>
      <c r="P288" s="470">
        <f t="shared" si="752"/>
        <v>654.94288541442904</v>
      </c>
      <c r="Q288" s="469">
        <f t="shared" si="815"/>
        <v>140</v>
      </c>
      <c r="R288" s="471">
        <f t="shared" si="753"/>
        <v>0.9020625389388548</v>
      </c>
      <c r="S288" s="471"/>
      <c r="T288" s="471"/>
      <c r="U288" s="471">
        <f t="shared" si="754"/>
        <v>0</v>
      </c>
      <c r="V288" s="471"/>
      <c r="W288" s="471"/>
      <c r="X288" s="471">
        <f t="shared" si="755"/>
        <v>0</v>
      </c>
      <c r="Y288" s="471">
        <f t="shared" si="756"/>
        <v>0.54052315261999995</v>
      </c>
      <c r="Z288" s="471">
        <f t="shared" ca="1" si="757"/>
        <v>0</v>
      </c>
      <c r="AA288" s="471">
        <f t="shared" si="744"/>
        <v>3.8</v>
      </c>
      <c r="AB288" s="471">
        <f t="shared" si="758"/>
        <v>3.4278376479676482</v>
      </c>
      <c r="AC288" s="471">
        <f t="shared" si="759"/>
        <v>0</v>
      </c>
      <c r="AD288" s="471">
        <f t="shared" si="760"/>
        <v>0</v>
      </c>
      <c r="AE288" s="471">
        <f t="shared" si="761"/>
        <v>0</v>
      </c>
      <c r="AF288" s="510">
        <f t="shared" si="737"/>
        <v>3.8</v>
      </c>
      <c r="AG288" s="471">
        <f t="shared" si="762"/>
        <v>0</v>
      </c>
      <c r="AH288" s="471">
        <f t="shared" si="763"/>
        <v>0</v>
      </c>
      <c r="AI288" s="471">
        <f t="shared" ca="1" si="764"/>
        <v>3.9683608005876483</v>
      </c>
      <c r="AJ288" s="471">
        <f t="shared" si="765"/>
        <v>0.75</v>
      </c>
      <c r="AK288" s="472">
        <f t="shared" si="766"/>
        <v>0.13016027197668528</v>
      </c>
      <c r="AL288" s="471">
        <f t="shared" si="767"/>
        <v>0.6340080135988343</v>
      </c>
      <c r="AM288" s="473">
        <f t="shared" si="768"/>
        <v>317.72728432583602</v>
      </c>
      <c r="AN288" s="474">
        <f t="shared" si="769"/>
        <v>11.864222222222223</v>
      </c>
      <c r="AO288" s="474">
        <f t="shared" si="770"/>
        <v>0.11438888888888889</v>
      </c>
      <c r="AP288" s="474">
        <f t="shared" si="771"/>
        <v>11.978611111111112</v>
      </c>
      <c r="AQ288" s="475">
        <v>3</v>
      </c>
      <c r="AR288" s="474">
        <f t="shared" ca="1" si="772"/>
        <v>6.0899175168929467E-2</v>
      </c>
      <c r="AS288" s="474">
        <f t="shared" ca="1" si="773"/>
        <v>1.8783323184851553</v>
      </c>
      <c r="AT288" s="471" t="str">
        <f t="shared" ca="1" si="774"/>
        <v>Aumentar vel.</v>
      </c>
      <c r="AU288" s="492">
        <f t="shared" si="775"/>
        <v>0</v>
      </c>
      <c r="AV288" s="471">
        <f t="shared" ca="1" si="776"/>
        <v>544.41936350448236</v>
      </c>
      <c r="AW288" s="471">
        <f t="shared" ca="1" si="743"/>
        <v>544.41999999999996</v>
      </c>
      <c r="AX288" s="478">
        <f>IF(OR(C288="",D288=""),"",ROUND(((VLOOKUP(C288,'Base de Diseño (2)'!$A$2:$C$333,2,FALSE)-VLOOKUP(D288,'Base de Diseño (2)'!$A$2:$C$333,2,FALSE))^2+(VLOOKUP(C288,'Base de Diseño (2)'!$A$2:$C$333,3,0)-VLOOKUP(D288,'Base de Diseño (2)'!$A$2:$C$333,3,FALSE))^2)^0.5,2))</f>
        <v>20.59</v>
      </c>
      <c r="AY288" s="493">
        <v>23.8048</v>
      </c>
      <c r="AZ288" s="480">
        <f ca="1">IF(AND(L288="",H288=""),"",IF(BA288=4,VLOOKUP(AY288,'TABLA (2)'!$A$74:$C$89,2),IF(BA288=5,VLOOKUP(AY288,'TABLA (2)'!$A$51:$B$66,2),IF(BA288=6,VLOOKUP(AY288,'TABLA (2)'!$A$9:$B$43,2)))))</f>
        <v>525</v>
      </c>
      <c r="BA288" s="493">
        <v>6</v>
      </c>
      <c r="BB288" s="478">
        <f>IF(OR(C288="",D288=""),"",VLOOKUP(C288,'Base de Diseño (2)'!$A$2:$D$330,4,FALSE))</f>
        <v>984.07159999999999</v>
      </c>
      <c r="BC288" s="478">
        <f>IF(OR(C288="",D288=""),"",VLOOKUP(D288,'Base de Diseño (2)'!$A$2:$D$330,4,FALSE))</f>
        <v>981.39160000000004</v>
      </c>
      <c r="BD288" s="478">
        <f t="shared" ca="1" si="777"/>
        <v>1.1050000000000455</v>
      </c>
      <c r="BE288" s="478">
        <f t="shared" ca="1" si="778"/>
        <v>1.2049999999999546</v>
      </c>
      <c r="BF288" s="494">
        <v>1.7000000000000455</v>
      </c>
      <c r="BG288" s="494">
        <v>1.7999999999999545</v>
      </c>
      <c r="BH288" s="495">
        <f t="shared" si="779"/>
        <v>982.37159999999994</v>
      </c>
      <c r="BI288" s="495">
        <f t="shared" si="780"/>
        <v>979.59160000000008</v>
      </c>
      <c r="BJ288" s="468">
        <f t="shared" si="781"/>
        <v>5.0000000000068212E-2</v>
      </c>
      <c r="BK288" s="475">
        <f t="shared" si="782"/>
        <v>13.016027197668528</v>
      </c>
      <c r="BL288" s="475">
        <f t="shared" si="783"/>
        <v>13.501699854297518</v>
      </c>
      <c r="BM288" s="475">
        <f t="shared" ca="1" si="784"/>
        <v>7.2999028499886895</v>
      </c>
      <c r="BN288" s="475">
        <f t="shared" ca="1" si="785"/>
        <v>1580.2491615563524</v>
      </c>
      <c r="BO288" s="204">
        <f t="shared" ca="1" si="786"/>
        <v>2.5112247467856887E-3</v>
      </c>
      <c r="BP288" s="496">
        <f t="shared" ca="1" si="787"/>
        <v>0.34451529116067542</v>
      </c>
      <c r="BQ288" s="497">
        <f t="shared" ca="1" si="788"/>
        <v>0.1876301864864923</v>
      </c>
      <c r="BR288" s="497">
        <f t="shared" ca="1" si="789"/>
        <v>0.77192766414202307</v>
      </c>
      <c r="BS288" s="475">
        <f t="shared" ca="1" si="790"/>
        <v>1.3696821330766544</v>
      </c>
      <c r="BT288" s="475">
        <f t="shared" ca="1" si="791"/>
        <v>5.634996955455466</v>
      </c>
      <c r="BU288" s="475">
        <f t="shared" ca="1" si="792"/>
        <v>-3.4605130157926989E-3</v>
      </c>
      <c r="BV288" s="475">
        <f t="shared" ca="1" si="793"/>
        <v>0.45467686078526748</v>
      </c>
      <c r="BW288" s="475" t="e">
        <f t="shared" ca="1" si="794"/>
        <v>#NUM!</v>
      </c>
      <c r="BX288" s="475">
        <f t="shared" ca="1" si="795"/>
        <v>2.9600509016829077</v>
      </c>
      <c r="BY288" s="475" t="e">
        <f t="shared" ca="1" si="796"/>
        <v>#NUM!</v>
      </c>
      <c r="BZ288" s="475">
        <f t="shared" ca="1" si="797"/>
        <v>0.23475142751471129</v>
      </c>
      <c r="CA288" s="471" t="e">
        <f t="shared" ca="1" si="798"/>
        <v>#NUM!</v>
      </c>
      <c r="CB288" s="471">
        <f t="shared" ca="1" si="799"/>
        <v>0.12324449944522342</v>
      </c>
      <c r="CC288" s="471">
        <f t="shared" ca="1" si="800"/>
        <v>4.2038286931977815</v>
      </c>
      <c r="CD288" s="471" t="str">
        <f t="shared" ca="1" si="801"/>
        <v>F. Supercrítico</v>
      </c>
      <c r="CE288" s="471" t="e">
        <f t="shared" ca="1" si="802"/>
        <v>#NUM!</v>
      </c>
      <c r="CF288" s="471">
        <f t="shared" ca="1" si="803"/>
        <v>16.640102402025438</v>
      </c>
      <c r="CG288" s="471" t="str">
        <f t="shared" ca="1" si="804"/>
        <v>O.K</v>
      </c>
      <c r="CH288" s="471" t="str">
        <f t="shared" ca="1" si="805"/>
        <v>O.K</v>
      </c>
      <c r="CI288" s="471" t="e">
        <f t="shared" ca="1" si="806"/>
        <v>#NUM!</v>
      </c>
      <c r="CJ288" s="471" t="str">
        <f t="shared" ca="1" si="807"/>
        <v>OK</v>
      </c>
      <c r="CK288" s="468">
        <f t="shared" si="808"/>
        <v>5.0000000000068212E-2</v>
      </c>
      <c r="CL288" s="482" t="s">
        <v>2507</v>
      </c>
      <c r="CM288" s="482"/>
      <c r="CN288" s="63" t="str">
        <f t="shared" si="809"/>
        <v xml:space="preserve"> </v>
      </c>
      <c r="CO288" s="498"/>
      <c r="CP288" s="472">
        <f t="shared" si="814"/>
        <v>0.13016027197668528</v>
      </c>
      <c r="CQ288" s="482" t="s">
        <v>2508</v>
      </c>
      <c r="CR288" s="204">
        <f t="shared" si="810"/>
        <v>20.59</v>
      </c>
      <c r="CS288" s="486">
        <v>1.2</v>
      </c>
      <c r="CT288" s="486">
        <v>1.2</v>
      </c>
      <c r="CU288" s="23">
        <f t="shared" si="811"/>
        <v>20.776826032866502</v>
      </c>
      <c r="CV288" s="499" t="s">
        <v>2509</v>
      </c>
      <c r="CW288" s="488" t="str">
        <f t="shared" ca="1" si="812"/>
        <v>E2</v>
      </c>
      <c r="CX288" s="204">
        <f ca="1">IF(AND(L288="",H288=""),"",IF(AND(BA288&lt;&gt;4,BA288&lt;&gt;5),VLOOKUP(AY288,'TABLA (2)'!$A$9:$D$43,4),IF(BA288=4,VLOOKUP(AY288,'TABLA (2)'!$A$74:$D$89,4),VLOOKUP(AY288,'TABLA (2)'!$A$51:$D$66,4))))</f>
        <v>7.0000000000000007E-2</v>
      </c>
      <c r="CY288" s="482"/>
      <c r="CZ288" s="482"/>
      <c r="DA288" s="482"/>
      <c r="DB288" s="490"/>
    </row>
    <row r="289" spans="1:106" ht="15" hidden="1" customHeight="1">
      <c r="A289" s="465">
        <f t="shared" si="813"/>
        <v>194</v>
      </c>
      <c r="B289" s="491"/>
      <c r="C289" s="466" t="s">
        <v>2244</v>
      </c>
      <c r="D289" s="466" t="s">
        <v>2355</v>
      </c>
      <c r="E289" s="468">
        <v>0.5665676637</v>
      </c>
      <c r="F289" s="468"/>
      <c r="G289" s="468">
        <f t="shared" si="745"/>
        <v>2.7026157630999998</v>
      </c>
      <c r="H289" s="468">
        <f t="shared" si="746"/>
        <v>3.2691834267999997</v>
      </c>
      <c r="I289" s="468">
        <v>0.5665676637</v>
      </c>
      <c r="J289" s="468"/>
      <c r="K289" s="467">
        <f t="shared" ca="1" si="747"/>
        <v>2.7026157630999998</v>
      </c>
      <c r="L289" s="468">
        <f t="shared" ca="1" si="748"/>
        <v>3.2691834267999997</v>
      </c>
      <c r="M289" s="469">
        <f t="shared" si="749"/>
        <v>242.33666300502347</v>
      </c>
      <c r="N289" s="470">
        <f t="shared" si="750"/>
        <v>137.30011698761038</v>
      </c>
      <c r="O289" s="470">
        <f t="shared" si="751"/>
        <v>0</v>
      </c>
      <c r="P289" s="470">
        <f t="shared" si="752"/>
        <v>792.24300240203934</v>
      </c>
      <c r="Q289" s="469">
        <f t="shared" si="815"/>
        <v>140</v>
      </c>
      <c r="R289" s="471">
        <f t="shared" si="753"/>
        <v>1.0911680241416977</v>
      </c>
      <c r="S289" s="471"/>
      <c r="T289" s="471"/>
      <c r="U289" s="471">
        <f t="shared" si="754"/>
        <v>0</v>
      </c>
      <c r="V289" s="471"/>
      <c r="W289" s="471"/>
      <c r="X289" s="471">
        <f t="shared" si="755"/>
        <v>0</v>
      </c>
      <c r="Y289" s="471">
        <f t="shared" si="756"/>
        <v>0.65383668535999995</v>
      </c>
      <c r="Z289" s="471">
        <f t="shared" ca="1" si="757"/>
        <v>0</v>
      </c>
      <c r="AA289" s="471">
        <f t="shared" si="744"/>
        <v>3.8</v>
      </c>
      <c r="AB289" s="471">
        <f t="shared" si="758"/>
        <v>4.1464384917384507</v>
      </c>
      <c r="AC289" s="471">
        <f t="shared" si="759"/>
        <v>0.18910548520284298</v>
      </c>
      <c r="AD289" s="471">
        <f t="shared" si="760"/>
        <v>0.11331353274</v>
      </c>
      <c r="AE289" s="471">
        <f t="shared" si="761"/>
        <v>0</v>
      </c>
      <c r="AF289" s="510">
        <f t="shared" si="737"/>
        <v>3.8</v>
      </c>
      <c r="AG289" s="471">
        <f t="shared" si="762"/>
        <v>0.71860084377080324</v>
      </c>
      <c r="AH289" s="471">
        <f t="shared" si="763"/>
        <v>0.83191437651080324</v>
      </c>
      <c r="AI289" s="471">
        <f t="shared" ca="1" si="764"/>
        <v>4.8002751770984506</v>
      </c>
      <c r="AJ289" s="471">
        <f t="shared" si="765"/>
        <v>0.75</v>
      </c>
      <c r="AK289" s="472">
        <f t="shared" si="766"/>
        <v>0.18553010122536029</v>
      </c>
      <c r="AL289" s="471">
        <f t="shared" si="767"/>
        <v>0.63677650506126804</v>
      </c>
      <c r="AM289" s="473">
        <f t="shared" si="768"/>
        <v>314.05558092723544</v>
      </c>
      <c r="AN289" s="474">
        <f t="shared" si="769"/>
        <v>11.978611111111112</v>
      </c>
      <c r="AO289" s="474">
        <f t="shared" si="770"/>
        <v>0.41711111111111104</v>
      </c>
      <c r="AP289" s="474">
        <f t="shared" si="771"/>
        <v>12.395722222222224</v>
      </c>
      <c r="AQ289" s="475">
        <v>3</v>
      </c>
      <c r="AR289" s="474">
        <f t="shared" ca="1" si="772"/>
        <v>0.18541140669701786</v>
      </c>
      <c r="AS289" s="474">
        <f t="shared" ca="1" si="773"/>
        <v>2.2496518339495442</v>
      </c>
      <c r="AT289" s="471" t="str">
        <f t="shared" ca="1" si="774"/>
        <v>Aumentar vel.</v>
      </c>
      <c r="AU289" s="492">
        <f t="shared" si="775"/>
        <v>113.30402302518091</v>
      </c>
      <c r="AV289" s="471">
        <f t="shared" ca="1" si="776"/>
        <v>653.78181282831122</v>
      </c>
      <c r="AW289" s="471">
        <f t="shared" ca="1" si="743"/>
        <v>653.78</v>
      </c>
      <c r="AX289" s="478">
        <f>IF(OR(C289="",D289=""),"",ROUND(((VLOOKUP(C289,'Base de Diseño (2)'!$A$2:$C$333,2,FALSE)-VLOOKUP(D289,'Base de Diseño (2)'!$A$2:$C$333,2,FALSE))^2+(VLOOKUP(C289,'Base de Diseño (2)'!$A$2:$C$333,3,0)-VLOOKUP(D289,'Base de Diseño (2)'!$A$2:$C$333,3,FALSE))^2)^0.5,2))</f>
        <v>75.08</v>
      </c>
      <c r="AY289" s="493">
        <v>23.8048</v>
      </c>
      <c r="AZ289" s="480">
        <f ca="1">IF(AND(L289="",H289=""),"",IF(BA289=4,VLOOKUP(AY289,'TABLA (2)'!$A$74:$C$89,2),IF(BA289=5,VLOOKUP(AY289,'TABLA (2)'!$A$51:$B$66,2),IF(BA289=6,VLOOKUP(AY289,'TABLA (2)'!$A$9:$B$43,2)))))</f>
        <v>525</v>
      </c>
      <c r="BA289" s="493">
        <v>6</v>
      </c>
      <c r="BB289" s="478">
        <f>IF(OR(C289="",D289=""),"",VLOOKUP(C289,'Base de Diseño (2)'!$A$2:$D$330,4,FALSE))</f>
        <v>981.39160000000004</v>
      </c>
      <c r="BC289" s="478">
        <f>IF(OR(C289="",D289=""),"",VLOOKUP(D289,'Base de Diseño (2)'!$A$2:$D$330,4,FALSE))</f>
        <v>967.46199999999999</v>
      </c>
      <c r="BD289" s="478">
        <f t="shared" ca="1" si="777"/>
        <v>1.2550000000000228</v>
      </c>
      <c r="BE289" s="478">
        <f t="shared" ca="1" si="778"/>
        <v>1.83499999999995</v>
      </c>
      <c r="BF289" s="494">
        <v>1.8500000000000227</v>
      </c>
      <c r="BG289" s="494">
        <v>2.42999999999995</v>
      </c>
      <c r="BH289" s="495">
        <f t="shared" si="779"/>
        <v>979.54160000000002</v>
      </c>
      <c r="BI289" s="495">
        <f t="shared" si="780"/>
        <v>965.03200000000004</v>
      </c>
      <c r="BJ289" s="468">
        <f t="shared" si="781"/>
        <v>0.12999999999999545</v>
      </c>
      <c r="BK289" s="475">
        <f t="shared" si="782"/>
        <v>18.55301012253603</v>
      </c>
      <c r="BL289" s="475">
        <f t="shared" si="783"/>
        <v>19.325519445924318</v>
      </c>
      <c r="BM289" s="475">
        <f t="shared" ca="1" si="784"/>
        <v>8.733502396723706</v>
      </c>
      <c r="BN289" s="475">
        <f t="shared" ca="1" si="785"/>
        <v>1890.588152127862</v>
      </c>
      <c r="BO289" s="204">
        <f t="shared" ca="1" si="786"/>
        <v>2.539038008725342E-3</v>
      </c>
      <c r="BP289" s="496">
        <f t="shared" ca="1" si="787"/>
        <v>0.34580773145339394</v>
      </c>
      <c r="BQ289" s="497">
        <f t="shared" ca="1" si="788"/>
        <v>0.1882324540762943</v>
      </c>
      <c r="BR289" s="497">
        <f t="shared" ca="1" si="789"/>
        <v>0.77276620481382619</v>
      </c>
      <c r="BS289" s="475">
        <f t="shared" ca="1" si="790"/>
        <v>1.6439285888165012</v>
      </c>
      <c r="BT289" s="475">
        <f t="shared" ca="1" si="791"/>
        <v>6.7489555018486334</v>
      </c>
      <c r="BU289" s="475">
        <f t="shared" ca="1" si="792"/>
        <v>-2.7500654136297653E-3</v>
      </c>
      <c r="BV289" s="475">
        <f t="shared" ca="1" si="793"/>
        <v>0.4555384876471229</v>
      </c>
      <c r="BW289" s="475" t="e">
        <f t="shared" ca="1" si="794"/>
        <v>#NUM!</v>
      </c>
      <c r="BX289" s="475">
        <f t="shared" ca="1" si="795"/>
        <v>2.9635113857661315</v>
      </c>
      <c r="BY289" s="475" t="e">
        <f t="shared" ca="1" si="796"/>
        <v>#NUM!</v>
      </c>
      <c r="BZ289" s="475">
        <f t="shared" ca="1" si="797"/>
        <v>0.23505645082607587</v>
      </c>
      <c r="CA289" s="471" t="e">
        <f t="shared" ca="1" si="798"/>
        <v>#NUM!</v>
      </c>
      <c r="CB289" s="471">
        <f t="shared" ca="1" si="799"/>
        <v>0.12340463668368983</v>
      </c>
      <c r="CC289" s="471">
        <f t="shared" ca="1" si="800"/>
        <v>5.0290514988020263</v>
      </c>
      <c r="CD289" s="471" t="str">
        <f t="shared" ca="1" si="801"/>
        <v>F. Supercrítico</v>
      </c>
      <c r="CE289" s="471" t="e">
        <f t="shared" ca="1" si="802"/>
        <v>#NUM!</v>
      </c>
      <c r="CF289" s="471">
        <f t="shared" ca="1" si="803"/>
        <v>23.848587059478731</v>
      </c>
      <c r="CG289" s="471" t="str">
        <f t="shared" ca="1" si="804"/>
        <v>O.K</v>
      </c>
      <c r="CH289" s="471" t="str">
        <f t="shared" ca="1" si="805"/>
        <v>O.K</v>
      </c>
      <c r="CI289" s="471" t="e">
        <f t="shared" ca="1" si="806"/>
        <v>#NUM!</v>
      </c>
      <c r="CJ289" s="471" t="str">
        <f t="shared" ca="1" si="807"/>
        <v>OK</v>
      </c>
      <c r="CK289" s="468">
        <f t="shared" si="808"/>
        <v>0.12999999999999545</v>
      </c>
      <c r="CL289" s="482" t="s">
        <v>2507</v>
      </c>
      <c r="CM289" s="482"/>
      <c r="CN289" s="63" t="str">
        <f t="shared" si="809"/>
        <v xml:space="preserve"> </v>
      </c>
      <c r="CO289" s="498"/>
      <c r="CP289" s="472">
        <f t="shared" si="814"/>
        <v>0.18553010122536029</v>
      </c>
      <c r="CQ289" s="482" t="s">
        <v>2508</v>
      </c>
      <c r="CR289" s="204">
        <f t="shared" si="810"/>
        <v>75.08</v>
      </c>
      <c r="CS289" s="486">
        <v>1.2</v>
      </c>
      <c r="CT289" s="486">
        <v>1.2</v>
      </c>
      <c r="CU289" s="23">
        <f t="shared" si="811"/>
        <v>76.469176091808379</v>
      </c>
      <c r="CV289" s="499" t="s">
        <v>2509</v>
      </c>
      <c r="CW289" s="488" t="str">
        <f t="shared" ca="1" si="812"/>
        <v>E2</v>
      </c>
      <c r="CX289" s="204">
        <f ca="1">IF(AND(L289="",H289=""),"",IF(AND(BA289&lt;&gt;4,BA289&lt;&gt;5),VLOOKUP(AY289,'TABLA (2)'!$A$9:$D$43,4),IF(BA289=4,VLOOKUP(AY289,'TABLA (2)'!$A$74:$D$89,4),VLOOKUP(AY289,'TABLA (2)'!$A$51:$D$66,4))))</f>
        <v>7.0000000000000007E-2</v>
      </c>
      <c r="CY289" s="482"/>
      <c r="CZ289" s="482"/>
      <c r="DA289" s="482"/>
      <c r="DB289" s="490"/>
    </row>
    <row r="290" spans="1:106" ht="15" hidden="1" customHeight="1">
      <c r="A290" s="465">
        <f t="shared" si="813"/>
        <v>195</v>
      </c>
      <c r="B290" s="491"/>
      <c r="C290" s="466" t="s">
        <v>2355</v>
      </c>
      <c r="D290" s="466" t="s">
        <v>2356</v>
      </c>
      <c r="E290" s="468">
        <v>0.13606706569999999</v>
      </c>
      <c r="F290" s="468"/>
      <c r="G290" s="468">
        <f t="shared" si="745"/>
        <v>3.2691834267999997</v>
      </c>
      <c r="H290" s="468">
        <f t="shared" si="746"/>
        <v>3.4052504924999996</v>
      </c>
      <c r="I290" s="468">
        <v>0.13606706569999999</v>
      </c>
      <c r="J290" s="468"/>
      <c r="K290" s="467">
        <f t="shared" ca="1" si="747"/>
        <v>3.2691834267999997</v>
      </c>
      <c r="L290" s="468">
        <f t="shared" ca="1" si="748"/>
        <v>3.4052504924999996</v>
      </c>
      <c r="M290" s="469">
        <f t="shared" si="749"/>
        <v>242.33666300502347</v>
      </c>
      <c r="N290" s="470">
        <f t="shared" si="750"/>
        <v>32.974038646623285</v>
      </c>
      <c r="O290" s="470">
        <f t="shared" si="751"/>
        <v>0</v>
      </c>
      <c r="P290" s="470">
        <f t="shared" si="752"/>
        <v>825.21704104866262</v>
      </c>
      <c r="Q290" s="469">
        <f t="shared" si="815"/>
        <v>140</v>
      </c>
      <c r="R290" s="471">
        <f t="shared" si="753"/>
        <v>1.1365836560739682</v>
      </c>
      <c r="S290" s="471"/>
      <c r="T290" s="471"/>
      <c r="U290" s="471">
        <f t="shared" si="754"/>
        <v>0</v>
      </c>
      <c r="V290" s="471"/>
      <c r="W290" s="471"/>
      <c r="X290" s="471">
        <f t="shared" si="755"/>
        <v>0</v>
      </c>
      <c r="Y290" s="471">
        <f t="shared" si="756"/>
        <v>0.68105009849999998</v>
      </c>
      <c r="Z290" s="471">
        <f t="shared" ca="1" si="757"/>
        <v>0</v>
      </c>
      <c r="AA290" s="471">
        <f t="shared" si="744"/>
        <v>3.8</v>
      </c>
      <c r="AB290" s="471">
        <f t="shared" si="758"/>
        <v>4.319017893081079</v>
      </c>
      <c r="AC290" s="471">
        <f t="shared" si="759"/>
        <v>4.5415631932270495E-2</v>
      </c>
      <c r="AD290" s="471">
        <f t="shared" si="760"/>
        <v>2.721341314E-2</v>
      </c>
      <c r="AE290" s="471">
        <f t="shared" si="761"/>
        <v>0</v>
      </c>
      <c r="AF290" s="510">
        <f t="shared" si="737"/>
        <v>3.8</v>
      </c>
      <c r="AG290" s="471">
        <f t="shared" si="762"/>
        <v>0.17257940134262786</v>
      </c>
      <c r="AH290" s="471">
        <f t="shared" si="763"/>
        <v>0.19979281448262787</v>
      </c>
      <c r="AI290" s="471">
        <f t="shared" ca="1" si="764"/>
        <v>5.0000679915810791</v>
      </c>
      <c r="AJ290" s="471">
        <f t="shared" si="765"/>
        <v>0.75</v>
      </c>
      <c r="AK290" s="472">
        <f t="shared" si="766"/>
        <v>5.6632860040566252E-2</v>
      </c>
      <c r="AL290" s="471">
        <f t="shared" si="767"/>
        <v>0.63033164300202837</v>
      </c>
      <c r="AM290" s="473">
        <f t="shared" si="768"/>
        <v>313.34185858151119</v>
      </c>
      <c r="AN290" s="474">
        <f t="shared" si="769"/>
        <v>12.395722222222224</v>
      </c>
      <c r="AO290" s="474">
        <f t="shared" si="770"/>
        <v>8.2166666666666666E-2</v>
      </c>
      <c r="AP290" s="474">
        <f t="shared" si="771"/>
        <v>12.47788888888889</v>
      </c>
      <c r="AQ290" s="475">
        <v>5</v>
      </c>
      <c r="AR290" s="474">
        <f t="shared" ca="1" si="772"/>
        <v>8.1002999475067727E-2</v>
      </c>
      <c r="AS290" s="474">
        <f t="shared" ca="1" si="773"/>
        <v>1.0143657296537163</v>
      </c>
      <c r="AT290" s="471" t="str">
        <f t="shared" ca="1" si="774"/>
        <v>Cumple</v>
      </c>
      <c r="AU290" s="492">
        <f t="shared" si="775"/>
        <v>26.874509340267572</v>
      </c>
      <c r="AV290" s="471">
        <f t="shared" ca="1" si="776"/>
        <v>672.56860207754153</v>
      </c>
      <c r="AW290" s="471">
        <f t="shared" ca="1" si="743"/>
        <v>672.57</v>
      </c>
      <c r="AX290" s="478">
        <f>IF(OR(C290="",D290=""),"",ROUND(((VLOOKUP(C290,'Base de Diseño (2)'!$A$2:$C$333,2,FALSE)-VLOOKUP(D290,'Base de Diseño (2)'!$A$2:$C$333,2,FALSE))^2+(VLOOKUP(C290,'Base de Diseño (2)'!$A$2:$C$333,3,0)-VLOOKUP(D290,'Base de Diseño (2)'!$A$2:$C$333,3,FALSE))^2)^0.5,2))</f>
        <v>24.65</v>
      </c>
      <c r="AY290" s="493">
        <v>24</v>
      </c>
      <c r="AZ290" s="480">
        <f ca="1">IF(AND(L290="",H290=""),"",IF(BA290=4,VLOOKUP(AY290,'TABLA (2)'!$A$74:$C$89,2),IF(BA290=5,VLOOKUP(AY290,'TABLA (2)'!$A$51:$B$66,2),IF(BA290=6,VLOOKUP(AY290,'TABLA (2)'!$A$9:$B$43,2)))))</f>
        <v>595.12</v>
      </c>
      <c r="BA290" s="493">
        <v>4</v>
      </c>
      <c r="BB290" s="478">
        <f>IF(OR(C290="",D290=""),"",VLOOKUP(C290,'Base de Diseño (2)'!$A$2:$D$330,4,FALSE))</f>
        <v>967.46199999999999</v>
      </c>
      <c r="BC290" s="478">
        <f>IF(OR(C290="",D290=""),"",VLOOKUP(D290,'Base de Diseño (2)'!$A$2:$D$330,4,FALSE))</f>
        <v>966.06600000000003</v>
      </c>
      <c r="BD290" s="478">
        <f t="shared" ca="1" si="777"/>
        <v>1.9344399999999453</v>
      </c>
      <c r="BE290" s="478">
        <f t="shared" ca="1" si="778"/>
        <v>1.5744400000000454</v>
      </c>
      <c r="BF290" s="494">
        <v>2.5599999999999454</v>
      </c>
      <c r="BG290" s="494">
        <v>2.2000000000000455</v>
      </c>
      <c r="BH290" s="495">
        <f t="shared" si="779"/>
        <v>964.90200000000004</v>
      </c>
      <c r="BI290" s="495">
        <f t="shared" si="780"/>
        <v>963.86599999999999</v>
      </c>
      <c r="BJ290" s="468">
        <f>IF(A290="",0,BI290-BH363)</f>
        <v>0.15999999999996817</v>
      </c>
      <c r="BK290" s="475">
        <f t="shared" si="782"/>
        <v>5.6632860040566255</v>
      </c>
      <c r="BL290" s="475">
        <f t="shared" si="783"/>
        <v>4.2028397565925291</v>
      </c>
      <c r="BM290" s="475">
        <f t="shared" ca="1" si="784"/>
        <v>6.3957568214706466</v>
      </c>
      <c r="BN290" s="475">
        <f t="shared" ca="1" si="785"/>
        <v>1779.0613119586319</v>
      </c>
      <c r="BO290" s="204">
        <f t="shared" ca="1" si="786"/>
        <v>2.8105090914918082E-3</v>
      </c>
      <c r="BP290" s="496">
        <f t="shared" ca="1" si="787"/>
        <v>0.37804767912104381</v>
      </c>
      <c r="BQ290" s="497">
        <f t="shared" ca="1" si="788"/>
        <v>0.19387865318353398</v>
      </c>
      <c r="BR290" s="497">
        <f t="shared" ca="1" si="789"/>
        <v>0.79299898195665919</v>
      </c>
      <c r="BS290" s="475">
        <f t="shared" ca="1" si="790"/>
        <v>1.240000718636129</v>
      </c>
      <c r="BT290" s="475">
        <f t="shared" ca="1" si="791"/>
        <v>5.071828648268581</v>
      </c>
      <c r="BU290" s="475">
        <f t="shared" ca="1" si="792"/>
        <v>3.8018681750672245E-3</v>
      </c>
      <c r="BV290" s="475">
        <f t="shared" ca="1" si="793"/>
        <v>0.47703178609329744</v>
      </c>
      <c r="BW290" s="475">
        <f t="shared" ca="1" si="794"/>
        <v>0.24679371258223171</v>
      </c>
      <c r="BX290" s="475">
        <f t="shared" ca="1" si="795"/>
        <v>3.0496874562424292</v>
      </c>
      <c r="BY290" s="475">
        <f t="shared" ca="1" si="796"/>
        <v>2.5300800567380211E-3</v>
      </c>
      <c r="BZ290" s="475">
        <f t="shared" ca="1" si="797"/>
        <v>0.24247661664084733</v>
      </c>
      <c r="CA290" s="471">
        <f t="shared" ca="1" si="798"/>
        <v>1.5057012433659311E-3</v>
      </c>
      <c r="CB290" s="471">
        <f t="shared" ca="1" si="799"/>
        <v>0.14430268409530106</v>
      </c>
      <c r="CC290" s="471">
        <f t="shared" ca="1" si="800"/>
        <v>3.4502522359955492</v>
      </c>
      <c r="CD290" s="471" t="str">
        <f t="shared" ca="1" si="801"/>
        <v>F. Supercrítico</v>
      </c>
      <c r="CE290" s="471">
        <f t="shared" ca="1" si="802"/>
        <v>6.3282210471691386E-2</v>
      </c>
      <c r="CF290" s="471">
        <f t="shared" ca="1" si="803"/>
        <v>6.064810576987437</v>
      </c>
      <c r="CG290" s="471" t="str">
        <f t="shared" ca="1" si="804"/>
        <v>O.K</v>
      </c>
      <c r="CH290" s="471" t="str">
        <f t="shared" ca="1" si="805"/>
        <v>O.K</v>
      </c>
      <c r="CI290" s="471" t="str">
        <f t="shared" ca="1" si="806"/>
        <v>V.C.H.</v>
      </c>
      <c r="CJ290" s="471" t="str">
        <f t="shared" ca="1" si="807"/>
        <v>OK</v>
      </c>
      <c r="CK290" s="468">
        <f t="shared" si="808"/>
        <v>0.15999999999996817</v>
      </c>
      <c r="CL290" s="482" t="s">
        <v>2507</v>
      </c>
      <c r="CM290" s="482"/>
      <c r="CN290" s="63" t="str">
        <f t="shared" si="809"/>
        <v xml:space="preserve"> </v>
      </c>
      <c r="CO290" s="498"/>
      <c r="CP290" s="472"/>
      <c r="CQ290" s="482" t="s">
        <v>2508</v>
      </c>
      <c r="CR290" s="204">
        <f t="shared" si="810"/>
        <v>24.65</v>
      </c>
      <c r="CS290" s="486">
        <v>1.5</v>
      </c>
      <c r="CT290" s="486">
        <v>1.5</v>
      </c>
      <c r="CU290" s="23">
        <f t="shared" si="811"/>
        <v>24.671761104550281</v>
      </c>
      <c r="CV290" s="499" t="s">
        <v>2509</v>
      </c>
      <c r="CW290" s="488" t="str">
        <f t="shared" ca="1" si="812"/>
        <v>E2</v>
      </c>
      <c r="CX290" s="204">
        <f ca="1">IF(AND(L290="",H290=""),"",IF(AND(BA290&lt;&gt;4,BA290&lt;&gt;5),VLOOKUP(AY290,'TABLA (2)'!$A$9:$D$43,4),IF(BA290=4,VLOOKUP(AY290,'TABLA (2)'!$A$74:$D$89,4),VLOOKUP(AY290,'TABLA (2)'!$A$51:$D$66,4))))</f>
        <v>3.0439999999999998E-2</v>
      </c>
      <c r="CY290" s="482"/>
      <c r="CZ290" s="482"/>
      <c r="DA290" s="482"/>
      <c r="DB290" s="490"/>
    </row>
    <row r="291" spans="1:106" ht="15" hidden="1" customHeight="1">
      <c r="A291" s="465"/>
      <c r="B291" s="491"/>
      <c r="C291" s="491"/>
      <c r="D291" s="491"/>
      <c r="E291" s="468"/>
      <c r="F291" s="468"/>
      <c r="G291" s="468"/>
      <c r="H291" s="468"/>
      <c r="I291" s="468"/>
      <c r="J291" s="468"/>
      <c r="K291" s="467"/>
      <c r="L291" s="468"/>
      <c r="M291" s="469"/>
      <c r="N291" s="470"/>
      <c r="O291" s="470"/>
      <c r="P291" s="470"/>
      <c r="Q291" s="469">
        <f t="shared" si="815"/>
        <v>140</v>
      </c>
      <c r="R291" s="471"/>
      <c r="S291" s="471"/>
      <c r="T291" s="471"/>
      <c r="U291" s="471"/>
      <c r="V291" s="471"/>
      <c r="W291" s="471"/>
      <c r="X291" s="471"/>
      <c r="Y291" s="471"/>
      <c r="Z291" s="471"/>
      <c r="AA291" s="471" t="str">
        <f t="shared" si="744"/>
        <v/>
      </c>
      <c r="AB291" s="471"/>
      <c r="AC291" s="471"/>
      <c r="AD291" s="471"/>
      <c r="AE291" s="471"/>
      <c r="AF291" s="510" t="str">
        <f t="shared" si="737"/>
        <v/>
      </c>
      <c r="AG291" s="471"/>
      <c r="AH291" s="471"/>
      <c r="AI291" s="471"/>
      <c r="AJ291" s="471"/>
      <c r="AK291" s="472"/>
      <c r="AL291" s="471"/>
      <c r="AM291" s="473"/>
      <c r="AN291" s="474"/>
      <c r="AO291" s="474"/>
      <c r="AP291" s="474"/>
      <c r="AQ291" s="475"/>
      <c r="AR291" s="474"/>
      <c r="AS291" s="474"/>
      <c r="AT291" s="471"/>
      <c r="AU291" s="492"/>
      <c r="AV291" s="471"/>
      <c r="AW291" s="471">
        <f t="shared" si="743"/>
        <v>0</v>
      </c>
      <c r="AX291" s="478"/>
      <c r="AY291" s="493"/>
      <c r="AZ291" s="480"/>
      <c r="BA291" s="493"/>
      <c r="BB291" s="478" t="str">
        <f>IF(OR(C291="",D291=""),"",VLOOKUP(C291,'Base de Diseño (2)'!$A$2:$D$330,4,FALSE))</f>
        <v/>
      </c>
      <c r="BC291" s="478" t="str">
        <f>IF(OR(C291="",D291=""),"",VLOOKUP(D291,'Base de Diseño (2)'!$A$2:$D$330,4,FALSE))</f>
        <v/>
      </c>
      <c r="BD291" s="478"/>
      <c r="BE291" s="478"/>
      <c r="BF291" s="494"/>
      <c r="BG291" s="494"/>
      <c r="BH291" s="495"/>
      <c r="BI291" s="495"/>
      <c r="BJ291" s="468"/>
      <c r="BK291" s="475"/>
      <c r="BL291" s="475"/>
      <c r="BM291" s="475"/>
      <c r="BN291" s="475"/>
      <c r="BO291" s="204"/>
      <c r="BP291" s="496"/>
      <c r="BQ291" s="497"/>
      <c r="BR291" s="497"/>
      <c r="BS291" s="475"/>
      <c r="BT291" s="475"/>
      <c r="BU291" s="475"/>
      <c r="BV291" s="475"/>
      <c r="BW291" s="475"/>
      <c r="BX291" s="475"/>
      <c r="BY291" s="475"/>
      <c r="BZ291" s="475"/>
      <c r="CA291" s="471"/>
      <c r="CB291" s="471"/>
      <c r="CC291" s="471"/>
      <c r="CD291" s="471"/>
      <c r="CE291" s="471"/>
      <c r="CF291" s="471"/>
      <c r="CG291" s="471"/>
      <c r="CH291" s="471"/>
      <c r="CI291" s="471"/>
      <c r="CJ291" s="471"/>
      <c r="CK291" s="468"/>
      <c r="CL291" s="482" t="s">
        <v>2507</v>
      </c>
      <c r="CM291" s="482"/>
      <c r="CN291" s="63"/>
      <c r="CO291" s="498"/>
      <c r="CP291" s="472"/>
      <c r="CQ291" s="482"/>
      <c r="CR291" s="204"/>
      <c r="CS291" s="486"/>
      <c r="CT291" s="486"/>
      <c r="CU291" s="23"/>
      <c r="CV291" s="499"/>
      <c r="CW291" s="488"/>
      <c r="CX291" s="204"/>
      <c r="CY291" s="482"/>
      <c r="CZ291" s="482"/>
      <c r="DA291" s="482"/>
      <c r="DB291" s="490"/>
    </row>
    <row r="292" spans="1:106" ht="15" hidden="1" customHeight="1">
      <c r="A292" s="465">
        <f>+A290+1</f>
        <v>196</v>
      </c>
      <c r="B292" s="491">
        <v>1</v>
      </c>
      <c r="C292" s="466" t="s">
        <v>2342</v>
      </c>
      <c r="D292" s="466" t="s">
        <v>2345</v>
      </c>
      <c r="E292" s="468">
        <v>0.32765455320000003</v>
      </c>
      <c r="F292" s="468"/>
      <c r="G292" s="468">
        <f>IF(B292=1,0,SUMIF($D$22:$D$583,C292,$H$22:$H$583))</f>
        <v>0</v>
      </c>
      <c r="H292" s="468">
        <f>+E292+F292+G292</f>
        <v>0.32765455320000003</v>
      </c>
      <c r="I292" s="468">
        <v>0.32765455320000003</v>
      </c>
      <c r="J292" s="468"/>
      <c r="K292" s="467">
        <f>+IF(B292=1,0,SUMIF($D$22:$D$583,C292,$L$22:$L$580))</f>
        <v>0</v>
      </c>
      <c r="L292" s="468">
        <f>+I292+J292+K292</f>
        <v>0.32765455320000003</v>
      </c>
      <c r="M292" s="469">
        <f>+$P$12</f>
        <v>242.33666300502347</v>
      </c>
      <c r="N292" s="470">
        <f>M292*E292</f>
        <v>79.40271104088994</v>
      </c>
      <c r="O292" s="470">
        <f>M292*F292</f>
        <v>0</v>
      </c>
      <c r="P292" s="470">
        <f>M292*H292</f>
        <v>79.40271104088994</v>
      </c>
      <c r="Q292" s="469">
        <f t="shared" si="815"/>
        <v>140</v>
      </c>
      <c r="R292" s="471">
        <f>Q292*P292*$P$14/86400</f>
        <v>0.10936253025307759</v>
      </c>
      <c r="S292" s="471"/>
      <c r="T292" s="471"/>
      <c r="U292" s="471">
        <f>IF(C292="","",T292*$P$17)</f>
        <v>0</v>
      </c>
      <c r="V292" s="471"/>
      <c r="W292" s="471"/>
      <c r="X292" s="471">
        <f>IF(C292="","",W292*$P$16)</f>
        <v>0</v>
      </c>
      <c r="Y292" s="471">
        <f>IF(H292=0,0,$H$15*H292)</f>
        <v>6.5530910640000009E-2</v>
      </c>
      <c r="Z292" s="471">
        <f>IF(L292=0,$H$16*H292,0)</f>
        <v>0</v>
      </c>
      <c r="AA292" s="471">
        <f t="shared" si="744"/>
        <v>3.8</v>
      </c>
      <c r="AB292" s="471">
        <f>R292*AA292</f>
        <v>0.41557761496169482</v>
      </c>
      <c r="AC292" s="471">
        <f>Q292*(N292+O292)*$P$14/86400</f>
        <v>0.10936253025307759</v>
      </c>
      <c r="AD292" s="471">
        <f>IF(E292=0,0,$H$15*(E292+F292))</f>
        <v>6.5530910640000009E-2</v>
      </c>
      <c r="AE292" s="471">
        <f>IF(F292=0,0,$H$15*(F292+G292))</f>
        <v>0</v>
      </c>
      <c r="AF292" s="510">
        <f t="shared" si="737"/>
        <v>3.8</v>
      </c>
      <c r="AG292" s="471">
        <f>AC292*AF292</f>
        <v>0.41557761496169482</v>
      </c>
      <c r="AH292" s="471">
        <f>+AD292+AE292+AG292</f>
        <v>0.48110852560169481</v>
      </c>
      <c r="AI292" s="471">
        <f>IF(H292="","",IF(AB292+Y292+Z292+X292+U292&lt;1.5,1.5,AB292+Y292+Z292+X292+U292))</f>
        <v>1.5</v>
      </c>
      <c r="AJ292" s="471">
        <f>+$P$17</f>
        <v>0.75</v>
      </c>
      <c r="AK292" s="472">
        <f>+BK292/100</f>
        <v>9.4480930982824788E-3</v>
      </c>
      <c r="AL292" s="471">
        <f>IF(AJ292=0," ",0.14+0.65*AJ292+0.05*AK292)</f>
        <v>0.62797240465491422</v>
      </c>
      <c r="AM292" s="473">
        <f>((100/36)*$AM$14*(AP292+$AN$14)^$AO$14)</f>
        <v>323.79120774398302</v>
      </c>
      <c r="AN292" s="474">
        <f>IF(B292=1,IF((0.702*(1.1-$AJ292)*SQRT($CO292))/(($CP292)^(1/3))&lt;5,5,(0.702*(1.1-$AJ292)*SQRT($CO292))/(($CP292)^(1/3))),AP291)</f>
        <v>10.827427373630066</v>
      </c>
      <c r="AO292" s="474">
        <f>((1/60)*$AX292/$AQ292)</f>
        <v>0.48216666666666669</v>
      </c>
      <c r="AP292" s="474">
        <f>IF(B292=1,IF(($AN292+$AO292)&lt;10,10,IF(($AN292+$AO292)&gt;20,20,($AN292+$AO292))),($AN292+$AO292))</f>
        <v>11.309594040296732</v>
      </c>
      <c r="AQ292" s="475">
        <v>3</v>
      </c>
      <c r="AR292" s="474">
        <f>((1/60)*$AX292/$BT292)</f>
        <v>0.79761564537993845</v>
      </c>
      <c r="AS292" s="474">
        <f>AO292/AR292</f>
        <v>0.60451004122040519</v>
      </c>
      <c r="AT292" s="471" t="str">
        <f>IF(AS292&lt;0.9,"Disminuir vel.",IF(AS292&gt;1.1,"Aumentar vel.","Cumple"))</f>
        <v>Disminuir vel.</v>
      </c>
      <c r="AU292" s="492">
        <f>+I292*AL292*AM292</f>
        <v>66.622637044097189</v>
      </c>
      <c r="AV292" s="471">
        <f>+L292*AL292*AM292</f>
        <v>66.622637044097189</v>
      </c>
      <c r="AW292" s="471">
        <f t="shared" si="743"/>
        <v>66.62</v>
      </c>
      <c r="AX292" s="478">
        <f>IF(OR(C292="",D292=""),"",ROUND(((VLOOKUP(C292,'Base de Diseño (2)'!$A$2:$C$333,2,FALSE)-VLOOKUP(D292,'Base de Diseño (2)'!$A$2:$C$333,2,FALSE))^2+(VLOOKUP(C292,'Base de Diseño (2)'!$A$2:$C$333,3,0)-VLOOKUP(D292,'Base de Diseño (2)'!$A$2:$C$333,3,FALSE))^2)^0.5,2))</f>
        <v>86.79</v>
      </c>
      <c r="AY292" s="493">
        <v>14</v>
      </c>
      <c r="AZ292" s="480">
        <f>IF(AND(L292="",H292=""),"",IF(BA292=4,VLOOKUP(AY292,'TABLA (2)'!$A$74:$C$89,2),IF(BA292=5,VLOOKUP(AY292,'TABLA (2)'!$A$51:$B$66,2),IF(BA292=6,VLOOKUP(AY292,'TABLA (2)'!$A$9:$B$43,2)))))</f>
        <v>350</v>
      </c>
      <c r="BA292" s="493">
        <v>6</v>
      </c>
      <c r="BB292" s="478">
        <f>IF(OR(C292="",D292=""),"",VLOOKUP(C292,'Base de Diseño (2)'!$A$2:$D$330,4,FALSE))</f>
        <v>988.55899999999997</v>
      </c>
      <c r="BC292" s="478">
        <f>IF(OR(C292="",D292=""),"",VLOOKUP(D292,'Base de Diseño (2)'!$A$2:$D$330,4,FALSE))</f>
        <v>987.73900000000003</v>
      </c>
      <c r="BD292" s="478">
        <f>+BF292-((AZ292/1000)+CX292)</f>
        <v>1.3300000000000092</v>
      </c>
      <c r="BE292" s="478">
        <f>+BG292-((AZ292/1000)+CX292)</f>
        <v>2.8773538060428017</v>
      </c>
      <c r="BF292" s="494">
        <v>1.7400000000000091</v>
      </c>
      <c r="BG292" s="494">
        <v>3.2873538060428018</v>
      </c>
      <c r="BH292" s="495">
        <f>BB292-BF292</f>
        <v>986.81899999999996</v>
      </c>
      <c r="BI292" s="495">
        <f>BC292-BG292</f>
        <v>984.45164619395723</v>
      </c>
      <c r="BJ292" s="468">
        <f>IF(A292="",0,BI292-BH293)</f>
        <v>-3.5380604276724625E-4</v>
      </c>
      <c r="BK292" s="475">
        <f>ABS((BB292-BC292)/AX292)*100</f>
        <v>0.94480930982824785</v>
      </c>
      <c r="BL292" s="475">
        <f>((BH292-BI292)/AX292)*100</f>
        <v>2.7276803848861952</v>
      </c>
      <c r="BM292" s="475">
        <f>IF(BA292=6,(1/0.013)*((AZ292/4000)^(2/3))*((BL292/100)^(0.5)),(1/0.009)*((AZ292/4000)^(2/3))*((BL292/100)^(0.5)))</f>
        <v>2.5039486792570429</v>
      </c>
      <c r="BN292" s="475">
        <f>1000*BM292*PI()*((AZ292/1000/2)^2)</f>
        <v>240.90809500641859</v>
      </c>
      <c r="BO292" s="204">
        <f>AI292/BN292</f>
        <v>6.2264408340451782E-3</v>
      </c>
      <c r="BP292" s="496">
        <f>IF(L292=0," ",AW292/BN292)</f>
        <v>0.27653699224272654</v>
      </c>
      <c r="BQ292" s="497">
        <f>IF($BO292&gt;0 =AND($BO292&lt;=0.06),10^(0.029806+0.29095*LOG($BO292)),IF($BO292&gt;0.06 =AND($BO292&lt;=0.26),10^(0.013778+0.282597*LOG($BO292)),IF($BO292&gt;0.26 =AND($BO292&lt;=0.91),10^(0.021763+0.28995*LOG($BO292)),1)))</f>
        <v>0.24436561115669514</v>
      </c>
      <c r="BR292" s="497">
        <f>IF($BP292&gt;0 =AND($BP292&lt;=0.06),10^(0.029806+0.29095*LOG($BP292)),IF($BP292&gt;0.06 =AND($BP292&lt;=0.26),10^(0.013778+0.282597*LOG($BP292)),IF($BP292&gt;0.26 =AND($BP292&lt;=2),10^(0.021763+0.28995*LOG($BP292))," ")))</f>
        <v>0.72426808851342583</v>
      </c>
      <c r="BS292" s="475">
        <f>BM292*BQ292</f>
        <v>0.61187894931164688</v>
      </c>
      <c r="BT292" s="475">
        <f>IF(BP292=" "," ",(BM292*BR292))</f>
        <v>1.8135301236612156</v>
      </c>
      <c r="BU292" s="475">
        <f>IF(BO292&lt;=0.11,0.3827+0.0645*LN(BO292),IF(BO292&lt;=0.21,0.60025+0.15471*LN(BO292),IF(BO292&lt;1,0.225+0.6666666667*BO292,0)))</f>
        <v>5.5107698933642923E-2</v>
      </c>
      <c r="BV292" s="475">
        <f>IF(BP292&lt;=0.11,0.3827+0.0645*LN(BP292),IF(BP292&lt;=0.21,0.60025+0.15471*LN(BP292),IF(BP292&lt;1,0.225+0.6666666667*BP292," ")))</f>
        <v>0.40935799483770224</v>
      </c>
      <c r="BW292" s="475">
        <f>2*ACOS(1-2*(BU292))</f>
        <v>0.94784668865634147</v>
      </c>
      <c r="BX292" s="475">
        <f>IF(BP292=" "," ",(2*ACOS(1-2*(BV292))))</f>
        <v>2.7770087768850469</v>
      </c>
      <c r="BY292" s="475">
        <f>(1/4)*(1-(SIN(BW292))/BW292)</f>
        <v>3.5787858711531978E-2</v>
      </c>
      <c r="BZ292" s="475">
        <f>IF(BP292=" "," ",((1/4)*(1-(SIN(BX292))/BX292)))</f>
        <v>0.21790066384611939</v>
      </c>
      <c r="CA292" s="471">
        <f>BY292*AZ292/1000</f>
        <v>1.2525750549036194E-2</v>
      </c>
      <c r="CB292" s="471">
        <f>IF(BP292=" "," ",(BZ292*AZ292/1000))</f>
        <v>7.6265232346141784E-2</v>
      </c>
      <c r="CC292" s="471">
        <f>+(BT292/SQRT(9.81*(0.125*(BX292-SIN(BX292))*(AZ292/1000)^2)/((AZ292/1000)*SIN(BX292/2))))</f>
        <v>1.7645145440235472</v>
      </c>
      <c r="CD292" s="471" t="str">
        <f>IF(CC292="","",IF(CC292&lt;0.7,"F. Subcrítico",IF(AND(CC292&gt;0.7,CC292&lt;1),"F. Subcrítico Inestable",IF(CC292=1,"F. Crítico",IF(AND(CC292&gt;1,CC292&lt;1.5),"F. Supercrítico Inestable",IF(CC292&gt;1.5,"F. Supercrítico",""))))))</f>
        <v>F. Supercrítico</v>
      </c>
      <c r="CE292" s="471">
        <f>1000*BL292*CA292/100</f>
        <v>0.34166244078583508</v>
      </c>
      <c r="CF292" s="471">
        <f>IF(BP292=" "," ",(1000*BL292*CB292/100))</f>
        <v>2.0802717831935911</v>
      </c>
      <c r="CG292" s="471" t="str">
        <f>IF(BS292&lt;0.45,"No cumple",IF(BS292&gt;5,"No cumple","O.K"))</f>
        <v>O.K</v>
      </c>
      <c r="CH292" s="471" t="str">
        <f>IF(BT292&lt;0.75,"No cumple",IF(BT292&gt;10,"No cumple","O.K"))</f>
        <v>O.K</v>
      </c>
      <c r="CI292" s="471" t="str">
        <f>IF(CE292&gt;0.1,"OK","V.C.H.")</f>
        <v>OK</v>
      </c>
      <c r="CJ292" s="471" t="str">
        <f>IF(CF292&gt;0.2,"OK","V.C.H.")</f>
        <v>OK</v>
      </c>
      <c r="CK292" s="468">
        <f>+BJ292</f>
        <v>-3.5380604276724625E-4</v>
      </c>
      <c r="CL292" s="482" t="s">
        <v>2507</v>
      </c>
      <c r="CM292" s="482"/>
      <c r="CN292" s="63" t="str">
        <f>IF(B292=1,"dato"," ")</f>
        <v>dato</v>
      </c>
      <c r="CO292" s="498">
        <f>+CR292</f>
        <v>86.79</v>
      </c>
      <c r="CP292" s="472">
        <f>+BK292/100</f>
        <v>9.4480930982824788E-3</v>
      </c>
      <c r="CQ292" s="482" t="s">
        <v>2508</v>
      </c>
      <c r="CR292" s="204">
        <f>IF(BA292="","",AX292)</f>
        <v>86.79</v>
      </c>
      <c r="CS292" s="486">
        <v>1.2</v>
      </c>
      <c r="CT292" s="486">
        <v>1.2</v>
      </c>
      <c r="CU292" s="23">
        <f>IF($BA292="","",SQRT((BH292-BI292)^2+$CR292^2))</f>
        <v>86.822280919375686</v>
      </c>
      <c r="CV292" s="499" t="s">
        <v>2509</v>
      </c>
      <c r="CW292" s="488" t="str">
        <f>+IF(BD292&lt;=0.9,"E1",IF(BD292&lt;=2.5,"E2","E3"))</f>
        <v>E2</v>
      </c>
      <c r="CX292" s="204">
        <f>IF(AND(L292="",H292=""),"",IF(AND(BA292&lt;&gt;4,BA292&lt;&gt;5),VLOOKUP(AY292,'TABLA (2)'!$A$9:$D$43,4),IF(BA292=4,VLOOKUP(AY292,'TABLA (2)'!$A$74:$D$89,4),VLOOKUP(AY292,'TABLA (2)'!$A$51:$D$66,4))))</f>
        <v>0.06</v>
      </c>
      <c r="CY292" s="482"/>
      <c r="CZ292" s="482"/>
      <c r="DA292" s="482"/>
      <c r="DB292" s="490"/>
    </row>
    <row r="293" spans="1:106" ht="15" hidden="1" customHeight="1">
      <c r="A293" s="465">
        <f>+A292+1</f>
        <v>197</v>
      </c>
      <c r="B293" s="491"/>
      <c r="C293" s="466" t="s">
        <v>2345</v>
      </c>
      <c r="D293" s="466" t="s">
        <v>2346</v>
      </c>
      <c r="E293" s="468">
        <v>0.38582992110000003</v>
      </c>
      <c r="F293" s="468"/>
      <c r="G293" s="468">
        <f>IF(B293=1,0,SUMIF($D$22:$D$583,C293,$H$22:$H$583))</f>
        <v>0.83031145230000003</v>
      </c>
      <c r="H293" s="468">
        <f>+E293+F293+G293</f>
        <v>1.2161413734000002</v>
      </c>
      <c r="I293" s="468">
        <v>0.38582992110000003</v>
      </c>
      <c r="J293" s="468"/>
      <c r="K293" s="467">
        <f ca="1">+IF(B293=1,0,SUMIF($D$22:$D$583,C293,$L$22:$L$580))</f>
        <v>0.83031145230000003</v>
      </c>
      <c r="L293" s="468">
        <f ca="1">+I293+J293+K293</f>
        <v>1.2161413734000002</v>
      </c>
      <c r="M293" s="469">
        <f>+$P$12</f>
        <v>242.33666300502347</v>
      </c>
      <c r="N293" s="470">
        <f>M293*E293</f>
        <v>93.500735566865501</v>
      </c>
      <c r="O293" s="470">
        <f>M293*F293</f>
        <v>0</v>
      </c>
      <c r="P293" s="470">
        <f>M293*H293</f>
        <v>294.71564217210226</v>
      </c>
      <c r="Q293" s="469">
        <f t="shared" si="815"/>
        <v>140</v>
      </c>
      <c r="R293" s="471">
        <f>Q293*P293*$P$14/86400</f>
        <v>0.40591622012129819</v>
      </c>
      <c r="S293" s="471"/>
      <c r="T293" s="471"/>
      <c r="U293" s="471">
        <f>IF(C293="","",T293*$P$17)</f>
        <v>0</v>
      </c>
      <c r="V293" s="471"/>
      <c r="W293" s="471"/>
      <c r="X293" s="471">
        <f>IF(C293="","",W293*$P$16)</f>
        <v>0</v>
      </c>
      <c r="Y293" s="471">
        <f>IF(H293=0,0,$H$15*H293)</f>
        <v>0.24322827468000005</v>
      </c>
      <c r="Z293" s="471">
        <f ca="1">IF(L293=0,$H$16*H293,0)</f>
        <v>0</v>
      </c>
      <c r="AA293" s="471">
        <f t="shared" si="744"/>
        <v>3.8</v>
      </c>
      <c r="AB293" s="471">
        <f>R293*AA293</f>
        <v>1.5424816364609331</v>
      </c>
      <c r="AC293" s="471">
        <f>Q293*(N293+O293)*$P$14/86400</f>
        <v>0.12877994829232634</v>
      </c>
      <c r="AD293" s="471">
        <f>IF(E293=0,0,$H$15*(E293+F293))</f>
        <v>7.7165984220000011E-2</v>
      </c>
      <c r="AE293" s="471">
        <f>IF(F293=0,0,$H$15*(F293+G293))</f>
        <v>0</v>
      </c>
      <c r="AF293" s="510">
        <f t="shared" si="737"/>
        <v>3.8</v>
      </c>
      <c r="AG293" s="471">
        <f>AC293*AF293</f>
        <v>0.48936380351084002</v>
      </c>
      <c r="AH293" s="471">
        <f>+AD293+AE293+AG293</f>
        <v>0.56652978773084006</v>
      </c>
      <c r="AI293" s="471">
        <f ca="1">IF(H293="","",IF(AB293+Y293+Z293+X293+U293&lt;1.5,1.5,AB293+Y293+Z293+X293+U293))</f>
        <v>1.7857099111409331</v>
      </c>
      <c r="AJ293" s="471">
        <f>+$P$17</f>
        <v>0.75</v>
      </c>
      <c r="AK293" s="472">
        <f>+BK293/100</f>
        <v>1.8226332970622218E-3</v>
      </c>
      <c r="AL293" s="471">
        <f>IF(AJ293=0," ",0.14+0.65*AJ293+0.05*AK293)</f>
        <v>0.62759113166485314</v>
      </c>
      <c r="AM293" s="473">
        <f>((100/36)*$AM$14*(AP293+$AN$14)^$AO$14)</f>
        <v>318.22963274075909</v>
      </c>
      <c r="AN293" s="474">
        <f>IF(B293=1,IF((0.702*(1.1-$AJ293)*SQRT($CO293))/(($CP293)^(1/3))&lt;5,5,(0.702*(1.1-$AJ293)*SQRT($CO293))/(($CP293)^(1/3))),AP292)</f>
        <v>11.309594040296732</v>
      </c>
      <c r="AO293" s="474">
        <f>((1/60)*$AX293/$AQ293)</f>
        <v>0.61266666666666669</v>
      </c>
      <c r="AP293" s="474">
        <f>IF(B293=1,IF(($AN293+$AO293)&lt;10,10,IF(($AN293+$AO293)&gt;20,20,($AN293+$AO293))),($AN293+$AO293))</f>
        <v>11.922260706963399</v>
      </c>
      <c r="AQ293" s="475">
        <v>3</v>
      </c>
      <c r="AR293" s="474" t="e">
        <f ca="1">((1/60)*$AX293/$BT293)</f>
        <v>#NUM!</v>
      </c>
      <c r="AS293" s="474" t="e">
        <f ca="1">AO293/AR293</f>
        <v>#NUM!</v>
      </c>
      <c r="AT293" s="471" t="e">
        <f ca="1">IF(AS293&lt;0.9,"Disminuir vel.",IF(AS293&gt;1.1,"Aumentar vel.","Cumple"))</f>
        <v>#NUM!</v>
      </c>
      <c r="AU293" s="492">
        <f>+I293*AL293*AM293</f>
        <v>77.057216967684852</v>
      </c>
      <c r="AV293" s="471">
        <f ca="1">+L293*AL293*AM293</f>
        <v>242.88543876091327</v>
      </c>
      <c r="AW293" s="471">
        <f t="shared" ca="1" si="743"/>
        <v>242.89</v>
      </c>
      <c r="AX293" s="478">
        <f>IF(OR(C293="",D293=""),"",ROUND(((VLOOKUP(C293,'Base de Diseño (2)'!$A$2:$C$333,2,FALSE)-VLOOKUP(D293,'Base de Diseño (2)'!$A$2:$C$333,2,FALSE))^2+(VLOOKUP(C293,'Base de Diseño (2)'!$A$2:$C$333,3,0)-VLOOKUP(D293,'Base de Diseño (2)'!$A$2:$C$333,3,FALSE))^2)^0.5,2))</f>
        <v>110.28</v>
      </c>
      <c r="AY293" s="493">
        <v>16</v>
      </c>
      <c r="AZ293" s="480">
        <f ca="1">IF(AND(L293="",H293=""),"",IF(BA293=4,VLOOKUP(AY293,'TABLA (2)'!$A$74:$C$89,2),IF(BA293=5,VLOOKUP(AY293,'TABLA (2)'!$A$51:$B$66,2),IF(BA293=6,VLOOKUP(AY293,'TABLA (2)'!$A$9:$B$43,2)))))</f>
        <v>362</v>
      </c>
      <c r="BA293" s="493">
        <v>4</v>
      </c>
      <c r="BB293" s="478">
        <f>IF(OR(C293="",D293=""),"",VLOOKUP(C293,'Base de Diseño (2)'!$A$2:$D$330,4,FALSE))</f>
        <v>987.73900000000003</v>
      </c>
      <c r="BC293" s="478">
        <f>IF(OR(C293="",D293=""),"",VLOOKUP(D293,'Base de Diseño (2)'!$A$2:$D$330,4,FALSE))</f>
        <v>987.94</v>
      </c>
      <c r="BD293" s="478">
        <f ca="1">+BF293-((AZ293/1000)+CX293)</f>
        <v>2.9060000000000343</v>
      </c>
      <c r="BE293" s="478">
        <f ca="1">+BG293-((AZ293/1000)+CX293)</f>
        <v>2.4390000000000498</v>
      </c>
      <c r="BF293" s="494">
        <v>3.2870000000000346</v>
      </c>
      <c r="BG293" s="494">
        <v>2.82000000000005</v>
      </c>
      <c r="BH293" s="495">
        <f>BB293-BF293</f>
        <v>984.452</v>
      </c>
      <c r="BI293" s="495">
        <f>BC293-BG293</f>
        <v>985.12</v>
      </c>
      <c r="BJ293" s="468">
        <f>IF(A293="",0,BI293-BH286)</f>
        <v>0</v>
      </c>
      <c r="BK293" s="475">
        <f>ABS((BB293-BC293)/AX293)*100</f>
        <v>0.18226332970622217</v>
      </c>
      <c r="BL293" s="475">
        <f>((BH293-BI293)/AX293)*100</f>
        <v>-0.60573086688430022</v>
      </c>
      <c r="BM293" s="475" t="e">
        <f ca="1">IF(BA293=6,(1/0.013)*((AZ293/4000)^(2/3))*((BL293/100)^(0.5)),(1/0.009)*((AZ293/4000)^(2/3))*((BL293/100)^(0.5)))</f>
        <v>#NUM!</v>
      </c>
      <c r="BN293" s="475" t="e">
        <f ca="1">1000*BM293*PI()*((AZ293/1000/2)^2)</f>
        <v>#NUM!</v>
      </c>
      <c r="BO293" s="204" t="e">
        <f ca="1">AI293/BN293</f>
        <v>#NUM!</v>
      </c>
      <c r="BP293" s="496" t="e">
        <f ca="1">IF(L293=0," ",AW293/BN293)</f>
        <v>#NUM!</v>
      </c>
      <c r="BQ293" s="497" t="e">
        <f ca="1">IF($BO293&gt;0 =AND($BO293&lt;=0.06),10^(0.029806+0.29095*LOG($BO293)),IF($BO293&gt;0.06 =AND($BO293&lt;=0.26),10^(0.013778+0.282597*LOG($BO293)),IF($BO293&gt;0.26 =AND($BO293&lt;=0.91),10^(0.021763+0.28995*LOG($BO293)),1)))</f>
        <v>#NUM!</v>
      </c>
      <c r="BR293" s="497" t="e">
        <f ca="1">IF($BP293&gt;0 =AND($BP293&lt;=0.06),10^(0.029806+0.29095*LOG($BP293)),IF($BP293&gt;0.06 =AND($BP293&lt;=0.26),10^(0.013778+0.282597*LOG($BP293)),IF($BP293&gt;0.26 =AND($BP293&lt;=2),10^(0.021763+0.28995*LOG($BP293))," ")))</f>
        <v>#NUM!</v>
      </c>
      <c r="BS293" s="475" t="e">
        <f ca="1">BM293*BQ293</f>
        <v>#NUM!</v>
      </c>
      <c r="BT293" s="475" t="e">
        <f ca="1">IF(BP293=" "," ",(BM293*BR293))</f>
        <v>#NUM!</v>
      </c>
      <c r="BU293" s="475" t="e">
        <f ca="1">IF(BO293&lt;=0.11,0.3827+0.0645*LN(BO293),IF(BO293&lt;=0.21,0.60025+0.15471*LN(BO293),IF(BO293&lt;1,0.225+0.6666666667*BO293,0)))</f>
        <v>#NUM!</v>
      </c>
      <c r="BV293" s="475" t="e">
        <f ca="1">IF(BP293&lt;=0.11,0.3827+0.0645*LN(BP293),IF(BP293&lt;=0.21,0.60025+0.15471*LN(BP293),IF(BP293&lt;1,0.225+0.6666666667*BP293," ")))</f>
        <v>#NUM!</v>
      </c>
      <c r="BW293" s="475" t="e">
        <f ca="1">2*ACOS(1-2*(BU293))</f>
        <v>#NUM!</v>
      </c>
      <c r="BX293" s="475" t="e">
        <f ca="1">IF(BP293=" "," ",(2*ACOS(1-2*(BV293))))</f>
        <v>#NUM!</v>
      </c>
      <c r="BY293" s="475" t="e">
        <f ca="1">(1/4)*(1-(SIN(BW293))/BW293)</f>
        <v>#NUM!</v>
      </c>
      <c r="BZ293" s="475" t="e">
        <f ca="1">IF(BP293=" "," ",((1/4)*(1-(SIN(BX293))/BX293)))</f>
        <v>#NUM!</v>
      </c>
      <c r="CA293" s="471" t="e">
        <f ca="1">BY293*AZ293/1000</f>
        <v>#NUM!</v>
      </c>
      <c r="CB293" s="471" t="e">
        <f ca="1">IF(BP293=" "," ",(BZ293*AZ293/1000))</f>
        <v>#NUM!</v>
      </c>
      <c r="CC293" s="471" t="e">
        <f ca="1">+(BT293/SQRT(9.81*(0.125*(BX293-SIN(BX293))*(AZ293/1000)^2)/((AZ293/1000)*SIN(BX293/2))))</f>
        <v>#NUM!</v>
      </c>
      <c r="CD293" s="471" t="e">
        <f ca="1">IF(CC293="","",IF(CC293&lt;0.7,"F. Subcrítico",IF(AND(CC293&gt;0.7,CC293&lt;1),"F. Subcrítico Inestable",IF(CC293=1,"F. Crítico",IF(AND(CC293&gt;1,CC293&lt;1.5),"F. Supercrítico Inestable",IF(CC293&gt;1.5,"F. Supercrítico",""))))))</f>
        <v>#NUM!</v>
      </c>
      <c r="CE293" s="471" t="e">
        <f ca="1">1000*BL293*CA293/100</f>
        <v>#NUM!</v>
      </c>
      <c r="CF293" s="471" t="e">
        <f ca="1">IF(BP293=" "," ",(1000*BL293*CB293/100))</f>
        <v>#NUM!</v>
      </c>
      <c r="CG293" s="471" t="e">
        <f ca="1">IF(BS293&lt;0.45,"No cumple",IF(BS293&gt;5,"No cumple","O.K"))</f>
        <v>#NUM!</v>
      </c>
      <c r="CH293" s="471" t="e">
        <f ca="1">IF(BT293&lt;0.75,"No cumple",IF(BT293&gt;10,"No cumple","O.K"))</f>
        <v>#NUM!</v>
      </c>
      <c r="CI293" s="471" t="e">
        <f ca="1">IF(CE293&gt;0.1,"OK","V.C.H.")</f>
        <v>#NUM!</v>
      </c>
      <c r="CJ293" s="471" t="e">
        <f ca="1">IF(CF293&gt;0.2,"OK","V.C.H.")</f>
        <v>#NUM!</v>
      </c>
      <c r="CK293" s="468">
        <f>+BJ293</f>
        <v>0</v>
      </c>
      <c r="CL293" s="482" t="s">
        <v>2507</v>
      </c>
      <c r="CM293" s="482"/>
      <c r="CN293" s="63" t="str">
        <f>IF(B293=1,"dato"," ")</f>
        <v xml:space="preserve"> </v>
      </c>
      <c r="CO293" s="498">
        <f>+CR293</f>
        <v>110.28</v>
      </c>
      <c r="CP293" s="472">
        <f>+BK293/100</f>
        <v>1.8226332970622218E-3</v>
      </c>
      <c r="CQ293" s="482" t="s">
        <v>2508</v>
      </c>
      <c r="CR293" s="204">
        <f>IF(BA293="","",AX293)</f>
        <v>110.28</v>
      </c>
      <c r="CS293" s="486">
        <v>1.2</v>
      </c>
      <c r="CT293" s="486">
        <v>1.2</v>
      </c>
      <c r="CU293" s="23">
        <f>IF($BA293="","",SQRT((BH293-BI293)^2+$CR293^2))</f>
        <v>110.28202312253798</v>
      </c>
      <c r="CV293" s="499" t="s">
        <v>2509</v>
      </c>
      <c r="CW293" s="488" t="str">
        <f ca="1">+IF(BD293&lt;=0.9,"E1",IF(BD293&lt;=2.5,"E2","E3"))</f>
        <v>E3</v>
      </c>
      <c r="CX293" s="204">
        <f ca="1">IF(AND(L293="",H293=""),"",IF(AND(BA293&lt;&gt;4,BA293&lt;&gt;5),VLOOKUP(AY293,'TABLA (2)'!$A$9:$D$43,4),IF(BA293=4,VLOOKUP(AY293,'TABLA (2)'!$A$74:$D$89,4),VLOOKUP(AY293,'TABLA (2)'!$A$51:$D$66,4))))</f>
        <v>1.9E-2</v>
      </c>
      <c r="CY293" s="482"/>
      <c r="CZ293" s="482"/>
      <c r="DA293" s="482"/>
      <c r="DB293" s="490"/>
    </row>
    <row r="294" spans="1:106" ht="15" hidden="1" customHeight="1">
      <c r="A294" s="465"/>
      <c r="B294" s="491"/>
      <c r="C294" s="466"/>
      <c r="D294" s="466"/>
      <c r="E294" s="468"/>
      <c r="F294" s="468"/>
      <c r="G294" s="468"/>
      <c r="H294" s="468"/>
      <c r="I294" s="468"/>
      <c r="J294" s="468"/>
      <c r="K294" s="467"/>
      <c r="L294" s="468"/>
      <c r="M294" s="469"/>
      <c r="N294" s="470"/>
      <c r="O294" s="470"/>
      <c r="P294" s="470"/>
      <c r="Q294" s="469">
        <f t="shared" si="815"/>
        <v>140</v>
      </c>
      <c r="R294" s="471"/>
      <c r="S294" s="471"/>
      <c r="T294" s="471"/>
      <c r="U294" s="471"/>
      <c r="V294" s="471"/>
      <c r="W294" s="471"/>
      <c r="X294" s="471"/>
      <c r="Y294" s="471"/>
      <c r="Z294" s="471"/>
      <c r="AA294" s="471" t="str">
        <f t="shared" si="744"/>
        <v/>
      </c>
      <c r="AB294" s="471"/>
      <c r="AC294" s="471"/>
      <c r="AD294" s="471"/>
      <c r="AE294" s="471"/>
      <c r="AF294" s="510" t="str">
        <f t="shared" si="737"/>
        <v/>
      </c>
      <c r="AG294" s="471"/>
      <c r="AH294" s="471"/>
      <c r="AI294" s="471"/>
      <c r="AJ294" s="471"/>
      <c r="AK294" s="472"/>
      <c r="AL294" s="471"/>
      <c r="AM294" s="473"/>
      <c r="AN294" s="474"/>
      <c r="AO294" s="474"/>
      <c r="AP294" s="474"/>
      <c r="AQ294" s="475"/>
      <c r="AR294" s="474"/>
      <c r="AS294" s="474"/>
      <c r="AT294" s="471"/>
      <c r="AU294" s="492"/>
      <c r="AV294" s="471"/>
      <c r="AW294" s="471">
        <f t="shared" si="743"/>
        <v>0</v>
      </c>
      <c r="AX294" s="478"/>
      <c r="AY294" s="493"/>
      <c r="AZ294" s="480"/>
      <c r="BA294" s="493"/>
      <c r="BB294" s="478" t="str">
        <f>IF(OR(C294="",D294=""),"",VLOOKUP(C294,'Base de Diseño (2)'!$A$2:$D$330,4,FALSE))</f>
        <v/>
      </c>
      <c r="BC294" s="478" t="str">
        <f>IF(OR(C294="",D294=""),"",VLOOKUP(D294,'Base de Diseño (2)'!$A$2:$D$330,4,FALSE))</f>
        <v/>
      </c>
      <c r="BD294" s="478"/>
      <c r="BE294" s="478"/>
      <c r="BF294" s="494"/>
      <c r="BG294" s="494"/>
      <c r="BH294" s="495"/>
      <c r="BI294" s="495"/>
      <c r="BJ294" s="468"/>
      <c r="BK294" s="475"/>
      <c r="BL294" s="475"/>
      <c r="BM294" s="475"/>
      <c r="BN294" s="475"/>
      <c r="BO294" s="204"/>
      <c r="BP294" s="496"/>
      <c r="BQ294" s="497"/>
      <c r="BR294" s="497"/>
      <c r="BS294" s="475"/>
      <c r="BT294" s="475"/>
      <c r="BU294" s="475"/>
      <c r="BV294" s="475"/>
      <c r="BW294" s="475"/>
      <c r="BX294" s="475"/>
      <c r="BY294" s="475"/>
      <c r="BZ294" s="475"/>
      <c r="CA294" s="471"/>
      <c r="CB294" s="471"/>
      <c r="CC294" s="471"/>
      <c r="CD294" s="471"/>
      <c r="CE294" s="471"/>
      <c r="CF294" s="471"/>
      <c r="CG294" s="471"/>
      <c r="CH294" s="471"/>
      <c r="CI294" s="471"/>
      <c r="CJ294" s="471"/>
      <c r="CK294" s="468"/>
      <c r="CL294" s="482" t="s">
        <v>2507</v>
      </c>
      <c r="CM294" s="482"/>
      <c r="CN294" s="63"/>
      <c r="CO294" s="498"/>
      <c r="CP294" s="472"/>
      <c r="CQ294" s="482"/>
      <c r="CR294" s="204"/>
      <c r="CS294" s="486"/>
      <c r="CT294" s="486"/>
      <c r="CU294" s="23"/>
      <c r="CV294" s="499"/>
      <c r="CW294" s="488"/>
      <c r="CX294" s="204"/>
      <c r="CY294" s="482"/>
      <c r="CZ294" s="482"/>
      <c r="DA294" s="482"/>
      <c r="DB294" s="490"/>
    </row>
    <row r="295" spans="1:106" ht="15" hidden="1" customHeight="1">
      <c r="A295" s="465">
        <f>+A293+1</f>
        <v>198</v>
      </c>
      <c r="B295" s="491">
        <v>1</v>
      </c>
      <c r="C295" s="466" t="s">
        <v>2347</v>
      </c>
      <c r="D295" s="466" t="s">
        <v>2345</v>
      </c>
      <c r="E295" s="468">
        <v>0.5026568991</v>
      </c>
      <c r="F295" s="468"/>
      <c r="G295" s="468">
        <f>IF(B295=1,0,SUMIF($D$22:$D$583,C295,$H$22:$H$583))</f>
        <v>0</v>
      </c>
      <c r="H295" s="468">
        <f>+E295+F295+G295</f>
        <v>0.5026568991</v>
      </c>
      <c r="I295" s="468">
        <v>0.5026568991</v>
      </c>
      <c r="J295" s="468"/>
      <c r="K295" s="467">
        <f>+IF(B295=1,0,SUMIF($D$22:$D$583,C295,$L$22:$L$580))</f>
        <v>0</v>
      </c>
      <c r="L295" s="468">
        <f>+I295+J295+K295</f>
        <v>0.5026568991</v>
      </c>
      <c r="M295" s="469">
        <f>+$P$12</f>
        <v>242.33666300502347</v>
      </c>
      <c r="N295" s="470">
        <f>M295*E295</f>
        <v>121.81219556434678</v>
      </c>
      <c r="O295" s="470">
        <f>M295*F295</f>
        <v>0</v>
      </c>
      <c r="P295" s="470">
        <f>M295*H295</f>
        <v>121.81219556434678</v>
      </c>
      <c r="Q295" s="469">
        <f t="shared" si="815"/>
        <v>140</v>
      </c>
      <c r="R295" s="471">
        <f>Q295*P295*$P$14/86400</f>
        <v>0.16777374157589428</v>
      </c>
      <c r="S295" s="471"/>
      <c r="T295" s="471"/>
      <c r="U295" s="471">
        <f>IF(C295="","",T295*$P$17)</f>
        <v>0</v>
      </c>
      <c r="V295" s="471"/>
      <c r="W295" s="471"/>
      <c r="X295" s="471">
        <f>IF(C295="","",W295*$P$16)</f>
        <v>0</v>
      </c>
      <c r="Y295" s="471">
        <f>IF(H295=0,0,$H$15*H295)</f>
        <v>0.10053137982</v>
      </c>
      <c r="Z295" s="471">
        <f>IF(L295=0,$H$16*H295,0)</f>
        <v>0</v>
      </c>
      <c r="AA295" s="471">
        <f t="shared" si="744"/>
        <v>3.8</v>
      </c>
      <c r="AB295" s="471">
        <f>R295*AA295</f>
        <v>0.63754021798839822</v>
      </c>
      <c r="AC295" s="471">
        <f>Q295*(N295+O295)*$P$14/86400</f>
        <v>0.16777374157589428</v>
      </c>
      <c r="AD295" s="471">
        <f>IF(E295=0,0,$H$15*(E295+F295))</f>
        <v>0.10053137982</v>
      </c>
      <c r="AE295" s="471">
        <f>IF(F295=0,0,$H$15*(F295+G295))</f>
        <v>0</v>
      </c>
      <c r="AF295" s="510">
        <f t="shared" si="737"/>
        <v>3.8</v>
      </c>
      <c r="AG295" s="471">
        <f>AC295*AF295</f>
        <v>0.63754021798839822</v>
      </c>
      <c r="AH295" s="471">
        <f>+AD295+AE295+AG295</f>
        <v>0.73807159780839826</v>
      </c>
      <c r="AI295" s="471">
        <f>IF(H295="","",IF(AB295+Y295+Z295+X295+U295&lt;1.5,1.5,AB295+Y295+Z295+X295+U295))</f>
        <v>1.5</v>
      </c>
      <c r="AJ295" s="471">
        <f>+$P$17</f>
        <v>0.75</v>
      </c>
      <c r="AK295" s="472">
        <f>+BK295/100</f>
        <v>2.867924528301807E-2</v>
      </c>
      <c r="AL295" s="471">
        <f>IF(AJ295=0," ",0.14+0.65*AJ295+0.05*AK295)</f>
        <v>0.62893396226415099</v>
      </c>
      <c r="AM295" s="473">
        <f t="shared" ref="AM295:AM304" si="816">((100/36)*$AM$14*(AP295+$AN$14)^$AO$14)</f>
        <v>336.32613267542746</v>
      </c>
      <c r="AN295" s="474">
        <f t="shared" ref="AN295:AN304" si="817">IF(B295=1,IF((0.702*(1.1-$AJ295)*SQRT($CO295))/(($CP295)^(1/3))&lt;5,5,(0.702*(1.1-$AJ295)*SQRT($CO295))/(($CP295)^(1/3))),AP294)</f>
        <v>8.0549710826795469</v>
      </c>
      <c r="AO295" s="474">
        <f>((1/60)*$AX295/$AQ295)</f>
        <v>0.55944444444444452</v>
      </c>
      <c r="AP295" s="474">
        <f>IF(B295=1,IF(($AN295+$AO295)&lt;10,10,IF(($AN295+$AO295)&gt;20,20,($AN295+$AO295))),($AN295+$AO295))</f>
        <v>10</v>
      </c>
      <c r="AQ295" s="475">
        <v>3</v>
      </c>
      <c r="AR295" s="474">
        <f>((1/60)*$AX295/$BT295)</f>
        <v>0.64226877857666131</v>
      </c>
      <c r="AS295" s="474">
        <f>AO295/AR295</f>
        <v>0.87104412218858795</v>
      </c>
      <c r="AT295" s="471" t="str">
        <f>IF(AS295&lt;0.9,"Disminuir vel.",IF(AS295&gt;1.1,"Aumentar vel.","Cumple"))</f>
        <v>Disminuir vel.</v>
      </c>
      <c r="AU295" s="492">
        <f>+I295*AL295*AM295</f>
        <v>106.32546932086808</v>
      </c>
      <c r="AV295" s="471">
        <f>+L295*AL295*AM295</f>
        <v>106.32546932086808</v>
      </c>
      <c r="AW295" s="471">
        <f t="shared" si="743"/>
        <v>106.33</v>
      </c>
      <c r="AX295" s="478">
        <f>IF(OR(C295="",D295=""),"",ROUND(((VLOOKUP(C295,'Base de Diseño (2)'!$A$2:$C$333,2,FALSE)-VLOOKUP(D295,'Base de Diseño (2)'!$A$2:$C$333,2,FALSE))^2+(VLOOKUP(C295,'Base de Diseño (2)'!$A$2:$C$333,3,0)-VLOOKUP(D295,'Base de Diseño (2)'!$A$2:$C$333,3,FALSE))^2)^0.5,2))</f>
        <v>100.7</v>
      </c>
      <c r="AY295" s="493">
        <v>8</v>
      </c>
      <c r="AZ295" s="480">
        <f>IF(AND(L295="",H295=""),"",IF(BA295=4,VLOOKUP(AY295,'TABLA (2)'!$A$74:$C$89,2),IF(BA295=5,VLOOKUP(AY295,'TABLA (2)'!$A$51:$B$66,2),IF(BA295=6,VLOOKUP(AY295,'TABLA (2)'!$A$9:$B$43,2)))))</f>
        <v>200</v>
      </c>
      <c r="BA295" s="493">
        <v>6</v>
      </c>
      <c r="BB295" s="478">
        <f>IF(OR(C295="",D295=""),"",VLOOKUP(C295,'Base de Diseño (2)'!$A$2:$D$330,4,FALSE))</f>
        <v>990.62699999999995</v>
      </c>
      <c r="BC295" s="478">
        <f>IF(OR(C295="",D295=""),"",VLOOKUP(D295,'Base de Diseño (2)'!$A$2:$D$330,4,FALSE))</f>
        <v>987.73900000000003</v>
      </c>
      <c r="BD295" s="478">
        <f>+BF295-((AZ295/1000)+CX295)</f>
        <v>1.503000000000009</v>
      </c>
      <c r="BE295" s="478">
        <f>+BG295-((AZ295/1000)+CX295)</f>
        <v>3.0500000000000345</v>
      </c>
      <c r="BF295" s="494">
        <v>1.7400000000000091</v>
      </c>
      <c r="BG295" s="494">
        <v>3.2870000000000346</v>
      </c>
      <c r="BH295" s="495">
        <f>BB295-BF295</f>
        <v>988.88699999999994</v>
      </c>
      <c r="BI295" s="495">
        <f>BC295-BG295</f>
        <v>984.452</v>
      </c>
      <c r="BJ295" s="468">
        <f>IF(A295="",0,BI295-BH296)</f>
        <v>984.452</v>
      </c>
      <c r="BK295" s="475">
        <f>ABS((BB295-BC295)/AX295)*100</f>
        <v>2.8679245283018071</v>
      </c>
      <c r="BL295" s="475">
        <f>((BH295-BI295)/AX295)*100</f>
        <v>4.4041708043693593</v>
      </c>
      <c r="BM295" s="475">
        <f>IF(BA295=6,(1/0.013)*((AZ295/4000)^(2/3))*((BL295/100)^(0.5)),(1/0.009)*((AZ295/4000)^(2/3))*((BL295/100)^(0.5)))</f>
        <v>2.1909647687617779</v>
      </c>
      <c r="BN295" s="475">
        <f>1000*BM295*PI()*((AZ295/1000/2)^2)</f>
        <v>68.831188218160634</v>
      </c>
      <c r="BO295" s="204">
        <f>AI295/BN295</f>
        <v>2.1792446692126627E-2</v>
      </c>
      <c r="BP295" s="496">
        <f>IF(L295=0," ",AW295/BN295)</f>
        <v>1.5447939045158829</v>
      </c>
      <c r="BQ295" s="497">
        <f>IF($BO295&gt;0 =AND($BO295&lt;=0.06),10^(0.029806+0.29095*LOG($BO295)),IF($BO295&gt;0.06 =AND($BO295&lt;=0.26),10^(0.013778+0.282597*LOG($BO295)),IF($BO295&gt;0.26 =AND($BO295&lt;=0.91),10^(0.021763+0.28995*LOG($BO295)),1)))</f>
        <v>0.35183264111102264</v>
      </c>
      <c r="BR295" s="497">
        <f>IF($BP295&gt;0 =AND($BP295&lt;=0.06),10^(0.029806+0.29095*LOG($BP295)),IF($BP295&gt;0.06 =AND($BP295&lt;=0.26),10^(0.013778+0.282597*LOG($BP295)),IF($BP295&gt;0.26 =AND($BP295&lt;=2),10^(0.021763+0.28995*LOG($BP295))," ")))</f>
        <v>1.1926857080602777</v>
      </c>
      <c r="BS295" s="475">
        <f>BM295*BQ295</f>
        <v>0.77085292117465731</v>
      </c>
      <c r="BT295" s="475">
        <f>IF(BP295=" "," ",(BM295*BR295))</f>
        <v>2.6131323665657638</v>
      </c>
      <c r="BU295" s="475">
        <f>IF(BO295&lt;=0.11,0.3827+0.0645*LN(BO295),IF(BO295&lt;=0.21,0.60025+0.15471*LN(BO295),IF(BO295&lt;1,0.225+0.6666666667*BO295,0)))</f>
        <v>0.13591062559512351</v>
      </c>
      <c r="BV295" s="475" t="str">
        <f>IF(BP295&lt;=0.11,0.3827+0.0645*LN(BP295),IF(BP295&lt;=0.21,0.60025+0.15471*LN(BP295),IF(BP295&lt;1,0.225+0.6666666667*BP295," ")))</f>
        <v xml:space="preserve"> </v>
      </c>
      <c r="BW295" s="475">
        <f>2*ACOS(1-2*(BU295))</f>
        <v>1.5102707988669832</v>
      </c>
      <c r="BX295" s="475" t="e">
        <f>IF(BP295=" "," ",(2*ACOS(1-2*(BV295))))</f>
        <v>#VALUE!</v>
      </c>
      <c r="BY295" s="475">
        <f>(1/4)*(1-(SIN(BW295))/BW295)</f>
        <v>8.4769881983399437E-2</v>
      </c>
      <c r="BZ295" s="475" t="e">
        <f>IF(BP295=" "," ",((1/4)*(1-(SIN(BX295))/BX295)))</f>
        <v>#VALUE!</v>
      </c>
      <c r="CA295" s="471">
        <f>BY295*AZ295/1000</f>
        <v>1.6953976396679889E-2</v>
      </c>
      <c r="CB295" s="471" t="e">
        <f>IF(BP295=" "," ",(BZ295*AZ295/1000))</f>
        <v>#VALUE!</v>
      </c>
      <c r="CC295" s="471" t="e">
        <f t="shared" ref="CC295:CC304" si="818">+(BT295/SQRT(9.81*(0.125*(BX295-SIN(BX295))*(AZ295/1000)^2)/((AZ295/1000)*SIN(BX295/2))))</f>
        <v>#VALUE!</v>
      </c>
      <c r="CD295" s="471" t="e">
        <f>IF(CC295="","",IF(CC295&lt;0.7,"F. Subcrítico",IF(AND(CC295&gt;0.7,CC295&lt;1),"F. Subcrítico Inestable",IF(CC295=1,"F. Crítico",IF(AND(CC295&gt;1,CC295&lt;1.5),"F. Supercrítico Inestable",IF(CC295&gt;1.5,"F. Supercrítico",""))))))</f>
        <v>#VALUE!</v>
      </c>
      <c r="CE295" s="471">
        <f>1000*BL295*CA295/100</f>
        <v>0.746682078642248</v>
      </c>
      <c r="CF295" s="471" t="e">
        <f>IF(BP295=" "," ",(1000*BL295*CB295/100))</f>
        <v>#VALUE!</v>
      </c>
      <c r="CG295" s="471" t="str">
        <f>IF(BS295&lt;0.45,"No cumple",IF(BS295&gt;5,"No cumple","O.K"))</f>
        <v>O.K</v>
      </c>
      <c r="CH295" s="471" t="str">
        <f>IF(BT295&lt;0.75,"No cumple",IF(BT295&gt;10,"No cumple","O.K"))</f>
        <v>O.K</v>
      </c>
      <c r="CI295" s="471" t="str">
        <f>IF(CE295&gt;0.1,"OK","V.C.H.")</f>
        <v>OK</v>
      </c>
      <c r="CJ295" s="471" t="e">
        <f>IF(CF295&gt;0.2,"OK","V.C.H.")</f>
        <v>#VALUE!</v>
      </c>
      <c r="CK295" s="468">
        <f>+BJ295</f>
        <v>984.452</v>
      </c>
      <c r="CL295" s="482" t="s">
        <v>2507</v>
      </c>
      <c r="CM295" s="482"/>
      <c r="CN295" s="63" t="str">
        <f>IF(B295=1,"dato"," ")</f>
        <v>dato</v>
      </c>
      <c r="CO295" s="498">
        <f>+CR295</f>
        <v>100.7</v>
      </c>
      <c r="CP295" s="472">
        <f>+BK295/100</f>
        <v>2.867924528301807E-2</v>
      </c>
      <c r="CQ295" s="482" t="s">
        <v>2508</v>
      </c>
      <c r="CR295" s="204">
        <f>IF(BA295="","",AX295)</f>
        <v>100.7</v>
      </c>
      <c r="CS295" s="486">
        <v>1.2</v>
      </c>
      <c r="CT295" s="486">
        <v>1.2</v>
      </c>
      <c r="CU295" s="23">
        <f>IF($BA295="","",SQRT((BH295-BI295)^2+$CR295^2))</f>
        <v>100.79761517516175</v>
      </c>
      <c r="CV295" s="499" t="s">
        <v>2509</v>
      </c>
      <c r="CW295" s="488" t="str">
        <f>+IF(BD295&lt;=0.9,"E1",IF(BD295&lt;=2.5,"E2","E3"))</f>
        <v>E2</v>
      </c>
      <c r="CX295" s="204">
        <f>IF(AND(L295="",H295=""),"",IF(AND(BA295&lt;&gt;4,BA295&lt;&gt;5),VLOOKUP(AY295,'TABLA (2)'!$A$9:$D$43,4),IF(BA295=4,VLOOKUP(AY295,'TABLA (2)'!$A$74:$D$89,4),VLOOKUP(AY295,'TABLA (2)'!$A$51:$D$66,4))))</f>
        <v>3.6999999999999998E-2</v>
      </c>
      <c r="CY295" s="482"/>
      <c r="CZ295" s="482"/>
      <c r="DA295" s="482"/>
      <c r="DB295" s="490"/>
    </row>
    <row r="296" spans="1:106" ht="15" hidden="1" customHeight="1">
      <c r="A296" s="465"/>
      <c r="B296" s="491"/>
      <c r="C296" s="466"/>
      <c r="D296" s="466"/>
      <c r="E296" s="468"/>
      <c r="F296" s="468"/>
      <c r="G296" s="468"/>
      <c r="H296" s="468"/>
      <c r="I296" s="468"/>
      <c r="J296" s="468"/>
      <c r="K296" s="467"/>
      <c r="L296" s="468"/>
      <c r="M296" s="469"/>
      <c r="N296" s="470"/>
      <c r="O296" s="470"/>
      <c r="P296" s="470"/>
      <c r="Q296" s="469">
        <f t="shared" si="815"/>
        <v>140</v>
      </c>
      <c r="R296" s="471"/>
      <c r="S296" s="471"/>
      <c r="T296" s="471"/>
      <c r="U296" s="471"/>
      <c r="V296" s="471"/>
      <c r="W296" s="471"/>
      <c r="X296" s="471"/>
      <c r="Y296" s="471"/>
      <c r="Z296" s="471"/>
      <c r="AA296" s="471" t="str">
        <f t="shared" si="744"/>
        <v/>
      </c>
      <c r="AB296" s="471"/>
      <c r="AC296" s="471"/>
      <c r="AD296" s="471"/>
      <c r="AE296" s="471"/>
      <c r="AF296" s="510" t="str">
        <f t="shared" si="737"/>
        <v/>
      </c>
      <c r="AG296" s="471"/>
      <c r="AH296" s="471"/>
      <c r="AI296" s="471"/>
      <c r="AJ296" s="471"/>
      <c r="AK296" s="472"/>
      <c r="AL296" s="471"/>
      <c r="AM296" s="473">
        <f t="shared" si="816"/>
        <v>474.44695720875893</v>
      </c>
      <c r="AN296" s="474">
        <f t="shared" si="817"/>
        <v>10</v>
      </c>
      <c r="AO296" s="474"/>
      <c r="AP296" s="474"/>
      <c r="AQ296" s="475">
        <v>3</v>
      </c>
      <c r="AR296" s="474"/>
      <c r="AS296" s="474"/>
      <c r="AT296" s="471"/>
      <c r="AU296" s="492"/>
      <c r="AV296" s="471"/>
      <c r="AW296" s="471">
        <f t="shared" si="743"/>
        <v>0</v>
      </c>
      <c r="AX296" s="478"/>
      <c r="AY296" s="493"/>
      <c r="AZ296" s="480"/>
      <c r="BA296" s="493"/>
      <c r="BB296" s="478" t="str">
        <f>IF(OR(C296="",D296=""),"",VLOOKUP(C296,'Base de Diseño (2)'!$A$2:$D$330,4,FALSE))</f>
        <v/>
      </c>
      <c r="BC296" s="478" t="str">
        <f>IF(OR(C296="",D296=""),"",VLOOKUP(D296,'Base de Diseño (2)'!$A$2:$D$330,4,FALSE))</f>
        <v/>
      </c>
      <c r="BD296" s="478"/>
      <c r="BE296" s="478"/>
      <c r="BF296" s="494"/>
      <c r="BG296" s="494"/>
      <c r="BH296" s="495"/>
      <c r="BI296" s="495"/>
      <c r="BJ296" s="468"/>
      <c r="BK296" s="475"/>
      <c r="BL296" s="475"/>
      <c r="BM296" s="475"/>
      <c r="BN296" s="475"/>
      <c r="BO296" s="204"/>
      <c r="BP296" s="496"/>
      <c r="BQ296" s="497"/>
      <c r="BR296" s="497"/>
      <c r="BS296" s="475"/>
      <c r="BT296" s="475"/>
      <c r="BU296" s="475"/>
      <c r="BV296" s="475"/>
      <c r="BW296" s="475"/>
      <c r="BX296" s="475"/>
      <c r="BY296" s="475"/>
      <c r="BZ296" s="475"/>
      <c r="CA296" s="471"/>
      <c r="CB296" s="471"/>
      <c r="CC296" s="471" t="e">
        <f t="shared" si="818"/>
        <v>#DIV/0!</v>
      </c>
      <c r="CD296" s="471"/>
      <c r="CE296" s="471"/>
      <c r="CF296" s="471"/>
      <c r="CG296" s="471"/>
      <c r="CH296" s="471"/>
      <c r="CI296" s="471"/>
      <c r="CJ296" s="471"/>
      <c r="CK296" s="468"/>
      <c r="CL296" s="482" t="s">
        <v>2507</v>
      </c>
      <c r="CM296" s="482"/>
      <c r="CN296" s="63"/>
      <c r="CO296" s="498"/>
      <c r="CP296" s="472"/>
      <c r="CQ296" s="482"/>
      <c r="CR296" s="204"/>
      <c r="CS296" s="486"/>
      <c r="CT296" s="486"/>
      <c r="CU296" s="23"/>
      <c r="CV296" s="499"/>
      <c r="CW296" s="488"/>
      <c r="CX296" s="204"/>
      <c r="CY296" s="482"/>
      <c r="CZ296" s="482"/>
      <c r="DA296" s="482"/>
      <c r="DB296" s="490"/>
    </row>
    <row r="297" spans="1:106" ht="15" hidden="1" customHeight="1">
      <c r="A297" s="465">
        <f>+A295+1</f>
        <v>199</v>
      </c>
      <c r="B297" s="491">
        <v>1</v>
      </c>
      <c r="C297" s="466" t="s">
        <v>2195</v>
      </c>
      <c r="D297" s="466" t="s">
        <v>2196</v>
      </c>
      <c r="E297" s="468"/>
      <c r="F297" s="468"/>
      <c r="G297" s="468">
        <f t="shared" ref="G297:G302" si="819">IF(B297=1,0,SUMIF($D$22:$D$583,C297,$H$22:$H$583))</f>
        <v>0</v>
      </c>
      <c r="H297" s="468">
        <f t="shared" ref="H297:H302" si="820">+E297+F297+G297</f>
        <v>0</v>
      </c>
      <c r="I297" s="468"/>
      <c r="J297" s="468"/>
      <c r="K297" s="467">
        <f t="shared" ref="K297:K302" si="821">+IF(B297=1,0,SUMIF($D$22:$D$583,C297,$L$22:$L$580))</f>
        <v>0</v>
      </c>
      <c r="L297" s="468">
        <f t="shared" ref="L297:L302" si="822">+I297+J297+K297</f>
        <v>0</v>
      </c>
      <c r="M297" s="469">
        <f t="shared" ref="M297:M302" si="823">+$P$12</f>
        <v>242.33666300502347</v>
      </c>
      <c r="N297" s="470">
        <f t="shared" ref="N297:N302" si="824">M297*E297</f>
        <v>0</v>
      </c>
      <c r="O297" s="470">
        <f t="shared" ref="O297:O302" si="825">M297*F297</f>
        <v>0</v>
      </c>
      <c r="P297" s="470">
        <f t="shared" ref="P297:P302" si="826">M297*H297</f>
        <v>0</v>
      </c>
      <c r="Q297" s="469">
        <f t="shared" si="815"/>
        <v>140</v>
      </c>
      <c r="R297" s="471">
        <f t="shared" ref="R297:R302" si="827">Q297*P297*$P$14/86400</f>
        <v>0</v>
      </c>
      <c r="S297" s="471"/>
      <c r="T297" s="471"/>
      <c r="U297" s="471">
        <f t="shared" ref="U297:U302" si="828">IF(C297="","",T297*$P$17)</f>
        <v>0</v>
      </c>
      <c r="V297" s="471"/>
      <c r="W297" s="471"/>
      <c r="X297" s="471">
        <f t="shared" ref="X297:X302" si="829">IF(C297="","",W297*$P$16)</f>
        <v>0</v>
      </c>
      <c r="Y297" s="471">
        <f t="shared" ref="Y297:Y302" si="830">IF(H297=0,0,$H$15*H297)</f>
        <v>0</v>
      </c>
      <c r="Z297" s="471">
        <f t="shared" ref="Z297:Z302" si="831">IF(L297=0,$H$16*H297,0)</f>
        <v>0</v>
      </c>
      <c r="AA297" s="471">
        <f t="shared" si="744"/>
        <v>3.8</v>
      </c>
      <c r="AB297" s="471">
        <f t="shared" ref="AB297:AB302" si="832">R297*AA297</f>
        <v>0</v>
      </c>
      <c r="AC297" s="471">
        <f t="shared" ref="AC297:AC302" si="833">Q297*(N297+O297)*$P$14/86400</f>
        <v>0</v>
      </c>
      <c r="AD297" s="471">
        <f t="shared" ref="AD297:AE302" si="834">IF(E297=0,0,$H$15*(E297+F297))</f>
        <v>0</v>
      </c>
      <c r="AE297" s="471">
        <f t="shared" si="834"/>
        <v>0</v>
      </c>
      <c r="AF297" s="510">
        <f t="shared" si="737"/>
        <v>3.8</v>
      </c>
      <c r="AG297" s="471">
        <f t="shared" ref="AG297:AG302" si="835">AC297*AF297</f>
        <v>0</v>
      </c>
      <c r="AH297" s="471">
        <f t="shared" ref="AH297:AH302" si="836">+AD297+AE297+AG297</f>
        <v>0</v>
      </c>
      <c r="AI297" s="471">
        <f t="shared" ref="AI297:AI302" si="837">IF(H297="","",IF(AB297+Y297+Z297+X297+U297&lt;1.5,1.5,AB297+Y297+Z297+X297+U297))</f>
        <v>1.5</v>
      </c>
      <c r="AJ297" s="471">
        <f t="shared" ref="AJ297:AJ302" si="838">+$P$17</f>
        <v>0.75</v>
      </c>
      <c r="AK297" s="472">
        <f t="shared" ref="AK297:AK302" si="839">+BK297/100</f>
        <v>0.13868613138685965</v>
      </c>
      <c r="AL297" s="471">
        <f t="shared" ref="AL297:AL302" si="840">IF(AJ297=0," ",0.14+0.65*AJ297+0.05*AK297)</f>
        <v>0.63443430656934308</v>
      </c>
      <c r="AM297" s="473">
        <f t="shared" si="816"/>
        <v>336.32613267542746</v>
      </c>
      <c r="AN297" s="474">
        <f t="shared" si="817"/>
        <v>5</v>
      </c>
      <c r="AO297" s="474">
        <f t="shared" ref="AO297:AO302" si="841">((1/60)*$AX297/$AQ297)</f>
        <v>3.0444444444444444E-2</v>
      </c>
      <c r="AP297" s="474">
        <f t="shared" ref="AP297:AP302" si="842">IF(B297=1,IF(($AN297+$AO297)&lt;10,10,IF(($AN297+$AO297)&gt;20,20,($AN297+$AO297))),($AN297+$AO297))</f>
        <v>10</v>
      </c>
      <c r="AQ297" s="475">
        <v>3</v>
      </c>
      <c r="AR297" s="474" t="e">
        <f t="shared" ref="AR297:AR302" si="843">((1/60)*$AX297/$BT297)</f>
        <v>#VALUE!</v>
      </c>
      <c r="AS297" s="474" t="e">
        <f t="shared" ref="AS297:AS302" si="844">AO297/AR297</f>
        <v>#VALUE!</v>
      </c>
      <c r="AT297" s="471" t="e">
        <f t="shared" ref="AT297:AT302" si="845">IF(AS297&lt;0.9,"Disminuir vel.",IF(AS297&gt;1.1,"Aumentar vel.","Cumple"))</f>
        <v>#VALUE!</v>
      </c>
      <c r="AU297" s="492">
        <f t="shared" ref="AU297:AU302" si="846">+I297*AL297*AM297</f>
        <v>0</v>
      </c>
      <c r="AV297" s="471">
        <f t="shared" ref="AV297:AV302" si="847">+L297*AL297*AM297</f>
        <v>0</v>
      </c>
      <c r="AW297" s="471">
        <f t="shared" si="743"/>
        <v>1.5</v>
      </c>
      <c r="AX297" s="478">
        <f>IF(OR(C297="",D297=""),"",ROUND(((VLOOKUP(C297,'Base de Diseño (2)'!$A$2:$C$333,2,FALSE)-VLOOKUP(D297,'Base de Diseño (2)'!$A$2:$C$333,2,FALSE))^2+(VLOOKUP(C297,'Base de Diseño (2)'!$A$2:$C$333,3,0)-VLOOKUP(D297,'Base de Diseño (2)'!$A$2:$C$333,3,FALSE))^2)^0.5,2))</f>
        <v>5.48</v>
      </c>
      <c r="AY297" s="493">
        <v>8</v>
      </c>
      <c r="AZ297" s="480">
        <f>IF(AND(L297="",H297=""),"",IF(BA297=4,VLOOKUP(AY297,'TABLA (2)'!$A$74:$C$89,2),IF(BA297=5,VLOOKUP(AY297,'TABLA (2)'!$A$51:$B$66,2),IF(BA297=6,VLOOKUP(AY297,'TABLA (2)'!$A$9:$B$43,2)))))</f>
        <v>200</v>
      </c>
      <c r="BA297" s="493">
        <v>6</v>
      </c>
      <c r="BB297" s="478">
        <f>IF(OR(C297="",D297=""),"",VLOOKUP(C297,'Base de Diseño (2)'!$A$2:$D$330,4,FALSE))</f>
        <v>983.04160000000002</v>
      </c>
      <c r="BC297" s="478">
        <f>IF(OR(C297="",D297=""),"",VLOOKUP(D297,'Base de Diseño (2)'!$A$2:$D$330,4,FALSE))</f>
        <v>982.28160000000003</v>
      </c>
      <c r="BD297" s="478">
        <f t="shared" ref="BD297:BD302" si="848">+BF297-((AZ297/1000)+CX297)</f>
        <v>0.76300000000000001</v>
      </c>
      <c r="BE297" s="478">
        <f t="shared" ref="BE297:BE302" si="849">+BG297-((AZ297/1000)+CX297)</f>
        <v>1.2330000000000272</v>
      </c>
      <c r="BF297" s="494">
        <v>1</v>
      </c>
      <c r="BG297" s="494">
        <v>1.4700000000000273</v>
      </c>
      <c r="BH297" s="495">
        <f t="shared" ref="BH297:BI302" si="850">BB297-BF297</f>
        <v>982.04160000000002</v>
      </c>
      <c r="BI297" s="495">
        <f t="shared" si="850"/>
        <v>980.8116</v>
      </c>
      <c r="BJ297" s="468">
        <f t="shared" ref="BJ297:BJ302" si="851">IF(A297="",0,BI297-BH298)</f>
        <v>7.999999999992724E-2</v>
      </c>
      <c r="BK297" s="475">
        <f t="shared" ref="BK297:BK302" si="852">ABS((BB297-BC297)/AX297)*100</f>
        <v>13.868613138685964</v>
      </c>
      <c r="BL297" s="475">
        <f t="shared" ref="BL297:BL302" si="853">((BH297-BI297)/AX297)*100</f>
        <v>22.445255474452885</v>
      </c>
      <c r="BM297" s="475">
        <f t="shared" ref="BM297:BM302" si="854">IF(BA297=6,(1/0.013)*((AZ297/4000)^(2/3))*((BL297/100)^(0.5)),(1/0.009)*((AZ297/4000)^(2/3))*((BL297/100)^(0.5)))</f>
        <v>4.9461307620861916</v>
      </c>
      <c r="BN297" s="475">
        <f t="shared" ref="BN297:BN302" si="855">1000*BM297*PI()*((AZ297/1000/2)^2)</f>
        <v>155.38728065864467</v>
      </c>
      <c r="BO297" s="204">
        <f t="shared" ref="BO297:BO302" si="856">AI297/BN297</f>
        <v>9.6532997658618225E-3</v>
      </c>
      <c r="BP297" s="496" t="str">
        <f t="shared" ref="BP297:BP302" si="857">IF(L297=0," ",AW297/BN297)</f>
        <v xml:space="preserve"> </v>
      </c>
      <c r="BQ297" s="497">
        <f t="shared" ref="BQ297:BQ302" si="858">IF($BO297&gt;0 =AND($BO297&lt;=0.06),10^(0.029806+0.29095*LOG($BO297)),IF($BO297&gt;0.06 =AND($BO297&lt;=0.26),10^(0.013778+0.282597*LOG($BO297)),IF($BO297&gt;0.26 =AND($BO297&lt;=0.91),10^(0.021763+0.28995*LOG($BO297)),1)))</f>
        <v>0.27761787259445503</v>
      </c>
      <c r="BR297" s="497" t="str">
        <f t="shared" ref="BR297:BR302" si="859">IF($BP297&gt;0 =AND($BP297&lt;=0.06),10^(0.029806+0.29095*LOG($BP297)),IF($BP297&gt;0.06 =AND($BP297&lt;=0.26),10^(0.013778+0.282597*LOG($BP297)),IF($BP297&gt;0.26 =AND($BP297&lt;=2),10^(0.021763+0.28995*LOG($BP297))," ")))</f>
        <v xml:space="preserve"> </v>
      </c>
      <c r="BS297" s="475">
        <f t="shared" ref="BS297:BS302" si="860">BM297*BQ297</f>
        <v>1.3731342997443592</v>
      </c>
      <c r="BT297" s="475" t="str">
        <f t="shared" ref="BT297:BT302" si="861">IF(BP297=" "," ",(BM297*BR297))</f>
        <v xml:space="preserve"> </v>
      </c>
      <c r="BU297" s="475">
        <f t="shared" ref="BU297:BU302" si="862">IF(BO297&lt;=0.11,0.3827+0.0645*LN(BO297),IF(BO297&lt;=0.21,0.60025+0.15471*LN(BO297),IF(BO297&lt;1,0.225+0.6666666667*BO297,0)))</f>
        <v>8.3390621705629719E-2</v>
      </c>
      <c r="BV297" s="475" t="str">
        <f t="shared" ref="BV297:BV302" si="863">IF(BP297&lt;=0.11,0.3827+0.0645*LN(BP297),IF(BP297&lt;=0.21,0.60025+0.15471*LN(BP297),IF(BP297&lt;1,0.225+0.6666666667*BP297," ")))</f>
        <v xml:space="preserve"> </v>
      </c>
      <c r="BW297" s="475">
        <f t="shared" ref="BW297:BW302" si="864">2*ACOS(1-2*(BU297))</f>
        <v>1.1717855764269554</v>
      </c>
      <c r="BX297" s="475" t="str">
        <f t="shared" ref="BX297:BX302" si="865">IF(BP297=" "," ",(2*ACOS(1-2*(BV297))))</f>
        <v xml:space="preserve"> </v>
      </c>
      <c r="BY297" s="475">
        <f t="shared" ref="BY297:BY302" si="866">(1/4)*(1-(SIN(BW297))/BW297)</f>
        <v>5.3409899868442662E-2</v>
      </c>
      <c r="BZ297" s="475" t="str">
        <f t="shared" ref="BZ297:BZ302" si="867">IF(BP297=" "," ",((1/4)*(1-(SIN(BX297))/BX297)))</f>
        <v xml:space="preserve"> </v>
      </c>
      <c r="CA297" s="471">
        <f t="shared" ref="CA297:CA302" si="868">BY297*AZ297/1000</f>
        <v>1.0681979973688532E-2</v>
      </c>
      <c r="CB297" s="471" t="str">
        <f t="shared" ref="CB297:CB302" si="869">IF(BP297=" "," ",(BZ297*AZ297/1000))</f>
        <v xml:space="preserve"> </v>
      </c>
      <c r="CC297" s="471" t="e">
        <f t="shared" si="818"/>
        <v>#VALUE!</v>
      </c>
      <c r="CD297" s="471" t="e">
        <f t="shared" ref="CD297:CD302" si="870">IF(CC297="","",IF(CC297&lt;0.7,"F. Subcrítico",IF(AND(CC297&gt;0.7,CC297&lt;1),"F. Subcrítico Inestable",IF(CC297=1,"F. Crítico",IF(AND(CC297&gt;1,CC297&lt;1.5),"F. Supercrítico Inestable",IF(CC297&gt;1.5,"F. Supercrítico",""))))))</f>
        <v>#VALUE!</v>
      </c>
      <c r="CE297" s="471">
        <f t="shared" ref="CE297:CE302" si="871">1000*BL297*CA297/100</f>
        <v>2.3975976948242863</v>
      </c>
      <c r="CF297" s="471" t="str">
        <f t="shared" ref="CF297:CF302" si="872">IF(BP297=" "," ",(1000*BL297*CB297/100))</f>
        <v xml:space="preserve"> </v>
      </c>
      <c r="CG297" s="471" t="str">
        <f t="shared" ref="CG297:CG302" si="873">IF(BS297&lt;0.45,"No cumple",IF(BS297&gt;5,"No cumple","O.K"))</f>
        <v>O.K</v>
      </c>
      <c r="CH297" s="471" t="str">
        <f t="shared" ref="CH297:CH302" si="874">IF(BT297&lt;0.75,"No cumple",IF(BT297&gt;10,"No cumple","O.K"))</f>
        <v>No cumple</v>
      </c>
      <c r="CI297" s="471" t="str">
        <f t="shared" ref="CI297:CI302" si="875">IF(CE297&gt;0.1,"OK","V.C.H.")</f>
        <v>OK</v>
      </c>
      <c r="CJ297" s="471" t="str">
        <f t="shared" ref="CJ297:CJ302" si="876">IF(CF297&gt;0.2,"OK","V.C.H.")</f>
        <v>OK</v>
      </c>
      <c r="CK297" s="468">
        <f t="shared" ref="CK297:CK302" si="877">+BJ297</f>
        <v>7.999999999992724E-2</v>
      </c>
      <c r="CL297" s="482" t="s">
        <v>2507</v>
      </c>
      <c r="CM297" s="482"/>
      <c r="CN297" s="63" t="str">
        <f t="shared" ref="CN297:CN302" si="878">IF(B297=1,"dato"," ")</f>
        <v>dato</v>
      </c>
      <c r="CO297" s="498">
        <f t="shared" ref="CO297:CO302" si="879">+CR297</f>
        <v>5.48</v>
      </c>
      <c r="CP297" s="472">
        <f t="shared" ref="CP297:CP302" si="880">+BK297/100</f>
        <v>0.13868613138685965</v>
      </c>
      <c r="CQ297" s="482" t="s">
        <v>2508</v>
      </c>
      <c r="CR297" s="204">
        <f t="shared" ref="CR297:CR302" si="881">IF(BA297="","",AX297)</f>
        <v>5.48</v>
      </c>
      <c r="CS297" s="486">
        <v>1.2</v>
      </c>
      <c r="CT297" s="486">
        <v>1.2</v>
      </c>
      <c r="CU297" s="23">
        <f t="shared" ref="CU297:CU302" si="882">IF($BA297="","",SQRT((BH297-BI297)^2+$CR297^2))</f>
        <v>5.6163422260400093</v>
      </c>
      <c r="CV297" s="499" t="s">
        <v>2509</v>
      </c>
      <c r="CW297" s="488" t="str">
        <f t="shared" ref="CW297:CW302" si="883">+IF(BD297&lt;=0.9,"E1",IF(BD297&lt;=2.5,"E2","E3"))</f>
        <v>E1</v>
      </c>
      <c r="CX297" s="204">
        <f>IF(AND(L297="",H297=""),"",IF(AND(BA297&lt;&gt;4,BA297&lt;&gt;5),VLOOKUP(AY297,'TABLA (2)'!$A$9:$D$43,4),IF(BA297=4,VLOOKUP(AY297,'TABLA (2)'!$A$74:$D$89,4),VLOOKUP(AY297,'TABLA (2)'!$A$51:$D$66,4))))</f>
        <v>3.6999999999999998E-2</v>
      </c>
      <c r="CY297" s="482"/>
      <c r="CZ297" s="482"/>
      <c r="DA297" s="482"/>
      <c r="DB297" s="490"/>
    </row>
    <row r="298" spans="1:106" ht="15" hidden="1" customHeight="1">
      <c r="A298" s="465">
        <f>+A297+1</f>
        <v>200</v>
      </c>
      <c r="B298" s="491"/>
      <c r="C298" s="466" t="s">
        <v>2196</v>
      </c>
      <c r="D298" s="466" t="s">
        <v>2197</v>
      </c>
      <c r="E298" s="468">
        <v>0.13845045009999998</v>
      </c>
      <c r="F298" s="468"/>
      <c r="G298" s="468">
        <f t="shared" si="819"/>
        <v>0</v>
      </c>
      <c r="H298" s="468">
        <f t="shared" si="820"/>
        <v>0.13845045009999998</v>
      </c>
      <c r="I298" s="468">
        <v>0.13845045009999998</v>
      </c>
      <c r="J298" s="468"/>
      <c r="K298" s="467">
        <f t="shared" ca="1" si="821"/>
        <v>0</v>
      </c>
      <c r="L298" s="468">
        <f t="shared" ca="1" si="822"/>
        <v>0.13845045009999998</v>
      </c>
      <c r="M298" s="469">
        <f t="shared" si="823"/>
        <v>242.33666300502347</v>
      </c>
      <c r="N298" s="470">
        <f t="shared" si="824"/>
        <v>33.551620068777517</v>
      </c>
      <c r="O298" s="470">
        <f t="shared" si="825"/>
        <v>0</v>
      </c>
      <c r="P298" s="470">
        <f t="shared" si="826"/>
        <v>33.551620068777517</v>
      </c>
      <c r="Q298" s="469">
        <f t="shared" si="815"/>
        <v>140</v>
      </c>
      <c r="R298" s="471">
        <f t="shared" si="827"/>
        <v>4.6211143381765331E-2</v>
      </c>
      <c r="S298" s="471"/>
      <c r="T298" s="471"/>
      <c r="U298" s="471">
        <f t="shared" si="828"/>
        <v>0</v>
      </c>
      <c r="V298" s="471"/>
      <c r="W298" s="471"/>
      <c r="X298" s="471">
        <f t="shared" si="829"/>
        <v>0</v>
      </c>
      <c r="Y298" s="471">
        <f t="shared" si="830"/>
        <v>2.7690090019999999E-2</v>
      </c>
      <c r="Z298" s="471">
        <f t="shared" ca="1" si="831"/>
        <v>0</v>
      </c>
      <c r="AA298" s="471">
        <f t="shared" si="744"/>
        <v>3.8</v>
      </c>
      <c r="AB298" s="471">
        <f t="shared" si="832"/>
        <v>0.17560234485070825</v>
      </c>
      <c r="AC298" s="471">
        <f t="shared" si="833"/>
        <v>4.6211143381765331E-2</v>
      </c>
      <c r="AD298" s="471">
        <f t="shared" si="834"/>
        <v>2.7690090019999999E-2</v>
      </c>
      <c r="AE298" s="471">
        <f t="shared" si="834"/>
        <v>0</v>
      </c>
      <c r="AF298" s="510">
        <f t="shared" si="737"/>
        <v>3.8</v>
      </c>
      <c r="AG298" s="471">
        <f t="shared" si="835"/>
        <v>0.17560234485070825</v>
      </c>
      <c r="AH298" s="471">
        <f t="shared" si="836"/>
        <v>0.20329243487070825</v>
      </c>
      <c r="AI298" s="471">
        <f t="shared" ca="1" si="837"/>
        <v>1.5</v>
      </c>
      <c r="AJ298" s="471">
        <f t="shared" si="838"/>
        <v>0.75</v>
      </c>
      <c r="AK298" s="472">
        <f t="shared" si="839"/>
        <v>5.5958549222797103E-2</v>
      </c>
      <c r="AL298" s="471">
        <f t="shared" si="840"/>
        <v>0.63029792746113988</v>
      </c>
      <c r="AM298" s="473">
        <f t="shared" si="816"/>
        <v>334.21034941786809</v>
      </c>
      <c r="AN298" s="474">
        <f t="shared" si="817"/>
        <v>10</v>
      </c>
      <c r="AO298" s="474">
        <f t="shared" si="841"/>
        <v>0.21444444444444444</v>
      </c>
      <c r="AP298" s="474">
        <f t="shared" si="842"/>
        <v>10.214444444444444</v>
      </c>
      <c r="AQ298" s="475">
        <v>3</v>
      </c>
      <c r="AR298" s="474">
        <f t="shared" ca="1" si="843"/>
        <v>0.32700888555923052</v>
      </c>
      <c r="AS298" s="474">
        <f t="shared" ca="1" si="844"/>
        <v>0.65577558872051656</v>
      </c>
      <c r="AT298" s="471" t="str">
        <f t="shared" ca="1" si="845"/>
        <v>Disminuir vel.</v>
      </c>
      <c r="AU298" s="492">
        <f t="shared" si="846"/>
        <v>29.164876754496429</v>
      </c>
      <c r="AV298" s="471">
        <f t="shared" ca="1" si="847"/>
        <v>29.164876754496429</v>
      </c>
      <c r="AW298" s="471">
        <f t="shared" ca="1" si="743"/>
        <v>30.66</v>
      </c>
      <c r="AX298" s="478">
        <f>IF(OR(C298="",D298=""),"",ROUND(((VLOOKUP(C298,'Base de Diseño (2)'!$A$2:$C$333,2,FALSE)-VLOOKUP(D298,'Base de Diseño (2)'!$A$2:$C$333,2,FALSE))^2+(VLOOKUP(C298,'Base de Diseño (2)'!$A$2:$C$333,3,0)-VLOOKUP(D298,'Base de Diseño (2)'!$A$2:$C$333,3,FALSE))^2)^0.5,2))</f>
        <v>38.6</v>
      </c>
      <c r="AY298" s="493">
        <v>8</v>
      </c>
      <c r="AZ298" s="480">
        <f ca="1">IF(AND(L298="",H298=""),"",IF(BA298=4,VLOOKUP(AY298,'TABLA (2)'!$A$74:$C$89,2),IF(BA298=5,VLOOKUP(AY298,'TABLA (2)'!$A$51:$B$66,2),IF(BA298=6,VLOOKUP(AY298,'TABLA (2)'!$A$9:$B$43,2)))))</f>
        <v>200</v>
      </c>
      <c r="BA298" s="493">
        <v>6</v>
      </c>
      <c r="BB298" s="478">
        <f>IF(OR(C298="",D298=""),"",VLOOKUP(C298,'Base de Diseño (2)'!$A$2:$D$330,4,FALSE))</f>
        <v>982.28160000000003</v>
      </c>
      <c r="BC298" s="478">
        <f>IF(OR(C298="",D298=""),"",VLOOKUP(D298,'Base de Diseño (2)'!$A$2:$D$330,4,FALSE))</f>
        <v>980.12160000000006</v>
      </c>
      <c r="BD298" s="478">
        <f t="shared" ca="1" si="848"/>
        <v>1.3129999999999544</v>
      </c>
      <c r="BE298" s="478">
        <f t="shared" ca="1" si="849"/>
        <v>1.2629999999999999</v>
      </c>
      <c r="BF298" s="494">
        <v>1.5499999999999545</v>
      </c>
      <c r="BG298" s="494">
        <v>1.5</v>
      </c>
      <c r="BH298" s="495">
        <f t="shared" si="850"/>
        <v>980.73160000000007</v>
      </c>
      <c r="BI298" s="495">
        <f t="shared" si="850"/>
        <v>978.62160000000006</v>
      </c>
      <c r="BJ298" s="468">
        <f t="shared" si="851"/>
        <v>3.999999999996362E-2</v>
      </c>
      <c r="BK298" s="475">
        <f t="shared" si="852"/>
        <v>5.5958549222797105</v>
      </c>
      <c r="BL298" s="475">
        <f t="shared" si="853"/>
        <v>5.4663212435233515</v>
      </c>
      <c r="BM298" s="475">
        <f t="shared" ca="1" si="854"/>
        <v>2.4409050874228679</v>
      </c>
      <c r="BN298" s="475">
        <f t="shared" ca="1" si="855"/>
        <v>76.683294907576354</v>
      </c>
      <c r="BO298" s="204">
        <f t="shared" ca="1" si="856"/>
        <v>1.956097480954485E-2</v>
      </c>
      <c r="BP298" s="496">
        <f t="shared" ca="1" si="857"/>
        <v>0.39982632510709676</v>
      </c>
      <c r="BQ298" s="497">
        <f t="shared" ca="1" si="858"/>
        <v>0.3409463646830343</v>
      </c>
      <c r="BR298" s="497">
        <f t="shared" ca="1" si="859"/>
        <v>0.80598249243630904</v>
      </c>
      <c r="BS298" s="475">
        <f t="shared" ca="1" si="860"/>
        <v>0.83221771609315087</v>
      </c>
      <c r="BT298" s="475">
        <f t="shared" ca="1" si="861"/>
        <v>1.9673267661615499</v>
      </c>
      <c r="BU298" s="475">
        <f t="shared" ca="1" si="862"/>
        <v>0.1289428887720126</v>
      </c>
      <c r="BV298" s="475">
        <f t="shared" ca="1" si="863"/>
        <v>0.49155088341805875</v>
      </c>
      <c r="BW298" s="475">
        <f t="shared" ca="1" si="864"/>
        <v>1.4691543668270837</v>
      </c>
      <c r="BX298" s="475">
        <f t="shared" ca="1" si="865"/>
        <v>3.1077945786235532</v>
      </c>
      <c r="BY298" s="475">
        <f t="shared" ca="1" si="866"/>
        <v>8.071232607347778E-2</v>
      </c>
      <c r="BZ298" s="475">
        <f t="shared" ca="1" si="867"/>
        <v>0.24728170251981904</v>
      </c>
      <c r="CA298" s="471">
        <f t="shared" ca="1" si="868"/>
        <v>1.6142465214695555E-2</v>
      </c>
      <c r="CB298" s="471">
        <f t="shared" ca="1" si="869"/>
        <v>4.945634050396381E-2</v>
      </c>
      <c r="CC298" s="471">
        <f t="shared" ca="1" si="818"/>
        <v>2.265629265619364</v>
      </c>
      <c r="CD298" s="471" t="str">
        <f t="shared" ca="1" si="870"/>
        <v>F. Supercrítico</v>
      </c>
      <c r="CE298" s="471">
        <f t="shared" ca="1" si="871"/>
        <v>0.88239900525927051</v>
      </c>
      <c r="CF298" s="471">
        <f t="shared" ca="1" si="872"/>
        <v>2.7034424472374177</v>
      </c>
      <c r="CG298" s="471" t="str">
        <f t="shared" ca="1" si="873"/>
        <v>O.K</v>
      </c>
      <c r="CH298" s="471" t="str">
        <f t="shared" ca="1" si="874"/>
        <v>O.K</v>
      </c>
      <c r="CI298" s="471" t="str">
        <f t="shared" ca="1" si="875"/>
        <v>OK</v>
      </c>
      <c r="CJ298" s="471" t="str">
        <f t="shared" ca="1" si="876"/>
        <v>OK</v>
      </c>
      <c r="CK298" s="468">
        <f t="shared" si="877"/>
        <v>3.999999999996362E-2</v>
      </c>
      <c r="CL298" s="482" t="s">
        <v>2507</v>
      </c>
      <c r="CM298" s="482"/>
      <c r="CN298" s="63" t="str">
        <f t="shared" si="878"/>
        <v xml:space="preserve"> </v>
      </c>
      <c r="CO298" s="498">
        <f t="shared" si="879"/>
        <v>38.6</v>
      </c>
      <c r="CP298" s="472">
        <f t="shared" si="880"/>
        <v>5.5958549222797103E-2</v>
      </c>
      <c r="CQ298" s="482" t="s">
        <v>2508</v>
      </c>
      <c r="CR298" s="204">
        <f t="shared" si="881"/>
        <v>38.6</v>
      </c>
      <c r="CS298" s="486">
        <v>1.2</v>
      </c>
      <c r="CT298" s="486">
        <v>1.2</v>
      </c>
      <c r="CU298" s="23">
        <f t="shared" si="882"/>
        <v>38.657626673141742</v>
      </c>
      <c r="CV298" s="499" t="s">
        <v>2509</v>
      </c>
      <c r="CW298" s="488" t="str">
        <f t="shared" ca="1" si="883"/>
        <v>E2</v>
      </c>
      <c r="CX298" s="204">
        <f ca="1">IF(AND(L298="",H298=""),"",IF(AND(BA298&lt;&gt;4,BA298&lt;&gt;5),VLOOKUP(AY298,'TABLA (2)'!$A$9:$D$43,4),IF(BA298=4,VLOOKUP(AY298,'TABLA (2)'!$A$74:$D$89,4),VLOOKUP(AY298,'TABLA (2)'!$A$51:$D$66,4))))</f>
        <v>3.6999999999999998E-2</v>
      </c>
      <c r="CY298" s="482"/>
      <c r="CZ298" s="482"/>
      <c r="DA298" s="482"/>
      <c r="DB298" s="490"/>
    </row>
    <row r="299" spans="1:106" ht="15" hidden="1" customHeight="1">
      <c r="A299" s="465">
        <f>+A298+1</f>
        <v>201</v>
      </c>
      <c r="B299" s="491"/>
      <c r="C299" s="466" t="s">
        <v>2197</v>
      </c>
      <c r="D299" s="466" t="s">
        <v>2198</v>
      </c>
      <c r="E299" s="468">
        <v>0.1143974514</v>
      </c>
      <c r="F299" s="468"/>
      <c r="G299" s="468">
        <f t="shared" si="819"/>
        <v>0.13845045009999998</v>
      </c>
      <c r="H299" s="468">
        <f t="shared" si="820"/>
        <v>0.25284790149999997</v>
      </c>
      <c r="I299" s="468">
        <v>0.1143974514</v>
      </c>
      <c r="J299" s="468"/>
      <c r="K299" s="467">
        <f t="shared" ca="1" si="821"/>
        <v>0.13845045009999998</v>
      </c>
      <c r="L299" s="468">
        <f t="shared" ca="1" si="822"/>
        <v>0.25284790149999997</v>
      </c>
      <c r="M299" s="469">
        <f t="shared" si="823"/>
        <v>242.33666300502347</v>
      </c>
      <c r="N299" s="470">
        <f t="shared" si="824"/>
        <v>27.722696628555351</v>
      </c>
      <c r="O299" s="470">
        <f t="shared" si="825"/>
        <v>0</v>
      </c>
      <c r="P299" s="470">
        <f t="shared" si="826"/>
        <v>61.274316697332864</v>
      </c>
      <c r="Q299" s="469">
        <f t="shared" si="815"/>
        <v>140</v>
      </c>
      <c r="R299" s="471">
        <f t="shared" si="827"/>
        <v>8.4394024154891334E-2</v>
      </c>
      <c r="S299" s="471"/>
      <c r="T299" s="471"/>
      <c r="U299" s="471">
        <f t="shared" si="828"/>
        <v>0</v>
      </c>
      <c r="V299" s="471"/>
      <c r="W299" s="471"/>
      <c r="X299" s="471">
        <f t="shared" si="829"/>
        <v>0</v>
      </c>
      <c r="Y299" s="471">
        <f t="shared" si="830"/>
        <v>5.05695803E-2</v>
      </c>
      <c r="Z299" s="471">
        <f t="shared" ca="1" si="831"/>
        <v>0</v>
      </c>
      <c r="AA299" s="471">
        <f t="shared" si="744"/>
        <v>3.8</v>
      </c>
      <c r="AB299" s="471">
        <f t="shared" si="832"/>
        <v>0.32069729178858708</v>
      </c>
      <c r="AC299" s="471">
        <f t="shared" si="833"/>
        <v>3.8182880773126003E-2</v>
      </c>
      <c r="AD299" s="471">
        <f t="shared" si="834"/>
        <v>2.2879490280000001E-2</v>
      </c>
      <c r="AE299" s="471">
        <f t="shared" si="834"/>
        <v>0</v>
      </c>
      <c r="AF299" s="510">
        <f t="shared" si="737"/>
        <v>3.8</v>
      </c>
      <c r="AG299" s="471">
        <f t="shared" si="835"/>
        <v>0.1450949469378788</v>
      </c>
      <c r="AH299" s="471">
        <f t="shared" si="836"/>
        <v>0.1679744372178788</v>
      </c>
      <c r="AI299" s="471">
        <f t="shared" ca="1" si="837"/>
        <v>1.5</v>
      </c>
      <c r="AJ299" s="471">
        <f t="shared" si="838"/>
        <v>0.75</v>
      </c>
      <c r="AK299" s="472">
        <f t="shared" si="839"/>
        <v>3.0105368790768829E-2</v>
      </c>
      <c r="AL299" s="471">
        <f t="shared" si="840"/>
        <v>0.62900526843953852</v>
      </c>
      <c r="AM299" s="473">
        <f t="shared" si="816"/>
        <v>333.12787846417558</v>
      </c>
      <c r="AN299" s="474">
        <f t="shared" si="817"/>
        <v>10.214444444444444</v>
      </c>
      <c r="AO299" s="474">
        <f t="shared" si="841"/>
        <v>0.11072222222222222</v>
      </c>
      <c r="AP299" s="474">
        <f t="shared" si="842"/>
        <v>10.325166666666666</v>
      </c>
      <c r="AQ299" s="475">
        <v>3</v>
      </c>
      <c r="AR299" s="474">
        <f t="shared" ca="1" si="843"/>
        <v>0.15182838237040083</v>
      </c>
      <c r="AS299" s="474">
        <f t="shared" ca="1" si="844"/>
        <v>0.72925905218501286</v>
      </c>
      <c r="AT299" s="471" t="str">
        <f t="shared" ca="1" si="845"/>
        <v>Disminuir vel.</v>
      </c>
      <c r="AU299" s="492">
        <f t="shared" si="846"/>
        <v>23.970749375124026</v>
      </c>
      <c r="AV299" s="471">
        <f t="shared" ca="1" si="847"/>
        <v>52.981544629783109</v>
      </c>
      <c r="AW299" s="471">
        <f t="shared" ca="1" si="743"/>
        <v>52.98</v>
      </c>
      <c r="AX299" s="478">
        <f>IF(OR(C299="",D299=""),"",ROUND(((VLOOKUP(C299,'Base de Diseño (2)'!$A$2:$C$333,2,FALSE)-VLOOKUP(D299,'Base de Diseño (2)'!$A$2:$C$333,2,FALSE))^2+(VLOOKUP(C299,'Base de Diseño (2)'!$A$2:$C$333,3,0)-VLOOKUP(D299,'Base de Diseño (2)'!$A$2:$C$333,3,FALSE))^2)^0.5,2))</f>
        <v>19.93</v>
      </c>
      <c r="AY299" s="493">
        <v>8</v>
      </c>
      <c r="AZ299" s="480">
        <f ca="1">IF(AND(L299="",H299=""),"",IF(BA299=4,VLOOKUP(AY299,'TABLA (2)'!$A$74:$C$89,2),IF(BA299=5,VLOOKUP(AY299,'TABLA (2)'!$A$51:$B$66,2),IF(BA299=6,VLOOKUP(AY299,'TABLA (2)'!$A$9:$B$43,2)))))</f>
        <v>200</v>
      </c>
      <c r="BA299" s="493">
        <v>6</v>
      </c>
      <c r="BB299" s="478">
        <f>IF(OR(C299="",D299=""),"",VLOOKUP(C299,'Base de Diseño (2)'!$A$2:$D$330,4,FALSE))</f>
        <v>980.12160000000006</v>
      </c>
      <c r="BC299" s="478">
        <f>IF(OR(C299="",D299=""),"",VLOOKUP(D299,'Base de Diseño (2)'!$A$2:$D$330,4,FALSE))</f>
        <v>979.52160000000003</v>
      </c>
      <c r="BD299" s="478">
        <f t="shared" ca="1" si="848"/>
        <v>1.3029999999999635</v>
      </c>
      <c r="BE299" s="478">
        <f t="shared" ca="1" si="849"/>
        <v>1.6429999999999954</v>
      </c>
      <c r="BF299" s="494">
        <v>1.5399999999999636</v>
      </c>
      <c r="BG299" s="494">
        <v>1.8799999999999955</v>
      </c>
      <c r="BH299" s="495">
        <f t="shared" si="850"/>
        <v>978.58160000000009</v>
      </c>
      <c r="BI299" s="495">
        <f t="shared" si="850"/>
        <v>977.64160000000004</v>
      </c>
      <c r="BJ299" s="468">
        <f t="shared" si="851"/>
        <v>0.37999999999999545</v>
      </c>
      <c r="BK299" s="475">
        <f t="shared" si="852"/>
        <v>3.0105368790768829</v>
      </c>
      <c r="BL299" s="475">
        <f t="shared" si="853"/>
        <v>4.7165077772205448</v>
      </c>
      <c r="BM299" s="475">
        <f t="shared" ca="1" si="854"/>
        <v>2.2673240499744534</v>
      </c>
      <c r="BN299" s="475">
        <f t="shared" ca="1" si="855"/>
        <v>71.230085787072014</v>
      </c>
      <c r="BO299" s="204">
        <f t="shared" ca="1" si="856"/>
        <v>2.1058517386655234E-2</v>
      </c>
      <c r="BP299" s="496">
        <f t="shared" ca="1" si="857"/>
        <v>0.74378683409666291</v>
      </c>
      <c r="BQ299" s="497">
        <f t="shared" ca="1" si="858"/>
        <v>0.34834318306279188</v>
      </c>
      <c r="BR299" s="497">
        <f t="shared" ca="1" si="859"/>
        <v>0.96491595746081771</v>
      </c>
      <c r="BS299" s="475">
        <f t="shared" ca="1" si="860"/>
        <v>0.7898068766029217</v>
      </c>
      <c r="BT299" s="475">
        <f t="shared" ca="1" si="861"/>
        <v>2.1877771565550383</v>
      </c>
      <c r="BU299" s="475">
        <f t="shared" ca="1" si="862"/>
        <v>0.13370096376097035</v>
      </c>
      <c r="BV299" s="475">
        <f t="shared" ca="1" si="863"/>
        <v>0.72085788942256812</v>
      </c>
      <c r="BW299" s="475">
        <f t="shared" ca="1" si="864"/>
        <v>1.4973303874263715</v>
      </c>
      <c r="BX299" s="475">
        <f t="shared" ca="1" si="865"/>
        <v>4.0566131363457725</v>
      </c>
      <c r="BY299" s="475">
        <f t="shared" ca="1" si="866"/>
        <v>8.3486550497981843E-2</v>
      </c>
      <c r="BZ299" s="475">
        <f t="shared" ca="1" si="867"/>
        <v>0.29884463037644432</v>
      </c>
      <c r="CA299" s="471">
        <f t="shared" ca="1" si="868"/>
        <v>1.6697310099596369E-2</v>
      </c>
      <c r="CB299" s="471">
        <f t="shared" ca="1" si="869"/>
        <v>5.9768926075288865E-2</v>
      </c>
      <c r="CC299" s="471">
        <f t="shared" ca="1" si="818"/>
        <v>1.9001934039063704</v>
      </c>
      <c r="CD299" s="471" t="str">
        <f t="shared" ca="1" si="870"/>
        <v>F. Supercrítico</v>
      </c>
      <c r="CE299" s="471">
        <f t="shared" ca="1" si="871"/>
        <v>0.78752992943409428</v>
      </c>
      <c r="CF299" s="471">
        <f t="shared" ca="1" si="872"/>
        <v>2.8190060467021976</v>
      </c>
      <c r="CG299" s="471" t="str">
        <f t="shared" ca="1" si="873"/>
        <v>O.K</v>
      </c>
      <c r="CH299" s="471" t="str">
        <f t="shared" ca="1" si="874"/>
        <v>O.K</v>
      </c>
      <c r="CI299" s="471" t="str">
        <f t="shared" ca="1" si="875"/>
        <v>OK</v>
      </c>
      <c r="CJ299" s="471" t="str">
        <f t="shared" ca="1" si="876"/>
        <v>OK</v>
      </c>
      <c r="CK299" s="468">
        <f t="shared" si="877"/>
        <v>0.37999999999999545</v>
      </c>
      <c r="CL299" s="482" t="s">
        <v>2507</v>
      </c>
      <c r="CM299" s="482"/>
      <c r="CN299" s="63" t="str">
        <f t="shared" si="878"/>
        <v xml:space="preserve"> </v>
      </c>
      <c r="CO299" s="498">
        <f t="shared" si="879"/>
        <v>19.93</v>
      </c>
      <c r="CP299" s="472">
        <f t="shared" si="880"/>
        <v>3.0105368790768829E-2</v>
      </c>
      <c r="CQ299" s="482" t="s">
        <v>2508</v>
      </c>
      <c r="CR299" s="204">
        <f t="shared" si="881"/>
        <v>19.93</v>
      </c>
      <c r="CS299" s="486">
        <v>1.2</v>
      </c>
      <c r="CT299" s="486">
        <v>1.2</v>
      </c>
      <c r="CU299" s="23">
        <f t="shared" si="882"/>
        <v>19.952155272050188</v>
      </c>
      <c r="CV299" s="499" t="s">
        <v>2509</v>
      </c>
      <c r="CW299" s="488" t="str">
        <f t="shared" ca="1" si="883"/>
        <v>E2</v>
      </c>
      <c r="CX299" s="204">
        <f ca="1">IF(AND(L299="",H299=""),"",IF(AND(BA299&lt;&gt;4,BA299&lt;&gt;5),VLOOKUP(AY299,'TABLA (2)'!$A$9:$D$43,4),IF(BA299=4,VLOOKUP(AY299,'TABLA (2)'!$A$74:$D$89,4),VLOOKUP(AY299,'TABLA (2)'!$A$51:$D$66,4))))</f>
        <v>3.6999999999999998E-2</v>
      </c>
      <c r="CY299" s="482"/>
      <c r="CZ299" s="482"/>
      <c r="DA299" s="482"/>
      <c r="DB299" s="490"/>
    </row>
    <row r="300" spans="1:106" ht="15" hidden="1" customHeight="1">
      <c r="A300" s="465">
        <f>+A299+1</f>
        <v>202</v>
      </c>
      <c r="B300" s="491"/>
      <c r="C300" s="466" t="s">
        <v>2198</v>
      </c>
      <c r="D300" s="466" t="s">
        <v>2201</v>
      </c>
      <c r="E300" s="468">
        <v>8.4785130900000005E-2</v>
      </c>
      <c r="F300" s="468"/>
      <c r="G300" s="468">
        <f t="shared" si="819"/>
        <v>0.25284790149999997</v>
      </c>
      <c r="H300" s="468">
        <f t="shared" si="820"/>
        <v>0.33763303239999998</v>
      </c>
      <c r="I300" s="468">
        <v>8.4785130900000005E-2</v>
      </c>
      <c r="J300" s="468"/>
      <c r="K300" s="467">
        <f t="shared" ca="1" si="821"/>
        <v>0.25284790149999997</v>
      </c>
      <c r="L300" s="468">
        <f t="shared" ca="1" si="822"/>
        <v>0.33763303239999998</v>
      </c>
      <c r="M300" s="469">
        <f t="shared" si="823"/>
        <v>242.33666300502347</v>
      </c>
      <c r="N300" s="470">
        <f t="shared" si="824"/>
        <v>20.546545694750105</v>
      </c>
      <c r="O300" s="470">
        <f t="shared" si="825"/>
        <v>0</v>
      </c>
      <c r="P300" s="470">
        <f t="shared" si="826"/>
        <v>81.820862392082958</v>
      </c>
      <c r="Q300" s="469">
        <f t="shared" si="815"/>
        <v>140</v>
      </c>
      <c r="R300" s="471">
        <f t="shared" si="827"/>
        <v>0.11269308593354017</v>
      </c>
      <c r="S300" s="471"/>
      <c r="T300" s="471"/>
      <c r="U300" s="471">
        <f t="shared" si="828"/>
        <v>0</v>
      </c>
      <c r="V300" s="471"/>
      <c r="W300" s="471"/>
      <c r="X300" s="471">
        <f t="shared" si="829"/>
        <v>0</v>
      </c>
      <c r="Y300" s="471">
        <f t="shared" si="830"/>
        <v>6.7526606480000001E-2</v>
      </c>
      <c r="Z300" s="471">
        <f t="shared" ca="1" si="831"/>
        <v>0</v>
      </c>
      <c r="AA300" s="471">
        <f t="shared" si="744"/>
        <v>3.8</v>
      </c>
      <c r="AB300" s="471">
        <f t="shared" si="832"/>
        <v>0.42823372654745262</v>
      </c>
      <c r="AC300" s="471">
        <f t="shared" si="833"/>
        <v>2.8299061778648868E-2</v>
      </c>
      <c r="AD300" s="471">
        <f t="shared" si="834"/>
        <v>1.6957026180000001E-2</v>
      </c>
      <c r="AE300" s="471">
        <f t="shared" si="834"/>
        <v>0</v>
      </c>
      <c r="AF300" s="510">
        <f t="shared" si="737"/>
        <v>3.8</v>
      </c>
      <c r="AG300" s="471">
        <f t="shared" si="835"/>
        <v>0.10753643475886569</v>
      </c>
      <c r="AH300" s="471">
        <f t="shared" si="836"/>
        <v>0.12449346093886569</v>
      </c>
      <c r="AI300" s="471">
        <f t="shared" ca="1" si="837"/>
        <v>1.5</v>
      </c>
      <c r="AJ300" s="471">
        <f t="shared" si="838"/>
        <v>0.75</v>
      </c>
      <c r="AK300" s="472">
        <f t="shared" si="839"/>
        <v>1.6045640934213141E-2</v>
      </c>
      <c r="AL300" s="471">
        <f t="shared" si="840"/>
        <v>0.62830228204671068</v>
      </c>
      <c r="AM300" s="473">
        <f t="shared" si="816"/>
        <v>324.24955865582058</v>
      </c>
      <c r="AN300" s="474">
        <f t="shared" si="817"/>
        <v>10.325166666666666</v>
      </c>
      <c r="AO300" s="474">
        <f t="shared" si="841"/>
        <v>0.93483333333333329</v>
      </c>
      <c r="AP300" s="474">
        <f t="shared" si="842"/>
        <v>11.26</v>
      </c>
      <c r="AQ300" s="475">
        <v>3</v>
      </c>
      <c r="AR300" s="474" t="e">
        <f t="shared" ca="1" si="843"/>
        <v>#NUM!</v>
      </c>
      <c r="AS300" s="474" t="e">
        <f t="shared" ca="1" si="844"/>
        <v>#NUM!</v>
      </c>
      <c r="AT300" s="471" t="e">
        <f t="shared" ca="1" si="845"/>
        <v>#NUM!</v>
      </c>
      <c r="AU300" s="492">
        <f t="shared" si="846"/>
        <v>17.272998120001624</v>
      </c>
      <c r="AV300" s="471">
        <f t="shared" ca="1" si="847"/>
        <v>68.784876215785218</v>
      </c>
      <c r="AW300" s="471">
        <f t="shared" ca="1" si="743"/>
        <v>68.78</v>
      </c>
      <c r="AX300" s="478">
        <f>IF(OR(C300="",D300=""),"",ROUND(((VLOOKUP(C300,'Base de Diseño (2)'!$A$2:$C$333,2,FALSE)-VLOOKUP(D300,'Base de Diseño (2)'!$A$2:$C$333,2,FALSE))^2+(VLOOKUP(C300,'Base de Diseño (2)'!$A$2:$C$333,3,0)-VLOOKUP(D300,'Base de Diseño (2)'!$A$2:$C$333,3,FALSE))^2)^0.5,2))</f>
        <v>168.27</v>
      </c>
      <c r="AY300" s="493">
        <v>10</v>
      </c>
      <c r="AZ300" s="480">
        <f ca="1">IF(AND(L300="",H300=""),"",IF(BA300=4,VLOOKUP(AY300,'TABLA (2)'!$A$74:$C$89,2),IF(BA300=5,VLOOKUP(AY300,'TABLA (2)'!$A$51:$B$66,2),IF(BA300=6,VLOOKUP(AY300,'TABLA (2)'!$A$9:$B$43,2)))))</f>
        <v>250</v>
      </c>
      <c r="BA300" s="493">
        <v>6</v>
      </c>
      <c r="BB300" s="478">
        <f>IF(OR(C300="",D300=""),"",VLOOKUP(C300,'Base de Diseño (2)'!$A$2:$D$330,4,FALSE))</f>
        <v>979.52160000000003</v>
      </c>
      <c r="BC300" s="478">
        <f>IF(OR(C300="",D300=""),"",VLOOKUP(D300,'Base de Diseño (2)'!$A$2:$D$330,4,FALSE))</f>
        <v>982.22160000000008</v>
      </c>
      <c r="BD300" s="478">
        <f t="shared" ca="1" si="848"/>
        <v>1.972999999999991</v>
      </c>
      <c r="BE300" s="478">
        <f t="shared" ca="1" si="849"/>
        <v>1.9630000000000001</v>
      </c>
      <c r="BF300" s="494">
        <v>2.2599999999999909</v>
      </c>
      <c r="BG300" s="494">
        <v>2.25</v>
      </c>
      <c r="BH300" s="495">
        <f t="shared" si="850"/>
        <v>977.26160000000004</v>
      </c>
      <c r="BI300" s="495">
        <f t="shared" si="850"/>
        <v>979.97160000000008</v>
      </c>
      <c r="BJ300" s="468">
        <f t="shared" si="851"/>
        <v>0</v>
      </c>
      <c r="BK300" s="475">
        <f t="shared" si="852"/>
        <v>1.6045640934213141</v>
      </c>
      <c r="BL300" s="475">
        <f t="shared" si="853"/>
        <v>-1.6105069233969431</v>
      </c>
      <c r="BM300" s="475" t="e">
        <f t="shared" ca="1" si="854"/>
        <v>#NUM!</v>
      </c>
      <c r="BN300" s="475" t="e">
        <f t="shared" ca="1" si="855"/>
        <v>#NUM!</v>
      </c>
      <c r="BO300" s="204" t="e">
        <f t="shared" ca="1" si="856"/>
        <v>#NUM!</v>
      </c>
      <c r="BP300" s="496" t="e">
        <f t="shared" ca="1" si="857"/>
        <v>#NUM!</v>
      </c>
      <c r="BQ300" s="497" t="e">
        <f t="shared" ca="1" si="858"/>
        <v>#NUM!</v>
      </c>
      <c r="BR300" s="497" t="e">
        <f t="shared" ca="1" si="859"/>
        <v>#NUM!</v>
      </c>
      <c r="BS300" s="475" t="e">
        <f t="shared" ca="1" si="860"/>
        <v>#NUM!</v>
      </c>
      <c r="BT300" s="475" t="e">
        <f t="shared" ca="1" si="861"/>
        <v>#NUM!</v>
      </c>
      <c r="BU300" s="475" t="e">
        <f t="shared" ca="1" si="862"/>
        <v>#NUM!</v>
      </c>
      <c r="BV300" s="475" t="e">
        <f t="shared" ca="1" si="863"/>
        <v>#NUM!</v>
      </c>
      <c r="BW300" s="475" t="e">
        <f t="shared" ca="1" si="864"/>
        <v>#NUM!</v>
      </c>
      <c r="BX300" s="475" t="e">
        <f t="shared" ca="1" si="865"/>
        <v>#NUM!</v>
      </c>
      <c r="BY300" s="475" t="e">
        <f t="shared" ca="1" si="866"/>
        <v>#NUM!</v>
      </c>
      <c r="BZ300" s="475" t="e">
        <f t="shared" ca="1" si="867"/>
        <v>#NUM!</v>
      </c>
      <c r="CA300" s="471" t="e">
        <f t="shared" ca="1" si="868"/>
        <v>#NUM!</v>
      </c>
      <c r="CB300" s="471" t="e">
        <f t="shared" ca="1" si="869"/>
        <v>#NUM!</v>
      </c>
      <c r="CC300" s="471" t="e">
        <f t="shared" ca="1" si="818"/>
        <v>#NUM!</v>
      </c>
      <c r="CD300" s="471" t="e">
        <f t="shared" ca="1" si="870"/>
        <v>#NUM!</v>
      </c>
      <c r="CE300" s="471" t="e">
        <f t="shared" ca="1" si="871"/>
        <v>#NUM!</v>
      </c>
      <c r="CF300" s="471" t="e">
        <f t="shared" ca="1" si="872"/>
        <v>#NUM!</v>
      </c>
      <c r="CG300" s="471" t="e">
        <f t="shared" ca="1" si="873"/>
        <v>#NUM!</v>
      </c>
      <c r="CH300" s="471" t="e">
        <f t="shared" ca="1" si="874"/>
        <v>#NUM!</v>
      </c>
      <c r="CI300" s="471" t="e">
        <f t="shared" ca="1" si="875"/>
        <v>#NUM!</v>
      </c>
      <c r="CJ300" s="471" t="e">
        <f t="shared" ca="1" si="876"/>
        <v>#NUM!</v>
      </c>
      <c r="CK300" s="468">
        <f t="shared" si="877"/>
        <v>0</v>
      </c>
      <c r="CL300" s="482" t="s">
        <v>2507</v>
      </c>
      <c r="CM300" s="482"/>
      <c r="CN300" s="63" t="str">
        <f t="shared" si="878"/>
        <v xml:space="preserve"> </v>
      </c>
      <c r="CO300" s="498">
        <f t="shared" si="879"/>
        <v>168.27</v>
      </c>
      <c r="CP300" s="472">
        <f t="shared" si="880"/>
        <v>1.6045640934213141E-2</v>
      </c>
      <c r="CQ300" s="482" t="s">
        <v>2508</v>
      </c>
      <c r="CR300" s="204">
        <f t="shared" si="881"/>
        <v>168.27</v>
      </c>
      <c r="CS300" s="486">
        <v>1.2</v>
      </c>
      <c r="CT300" s="486">
        <v>1.2</v>
      </c>
      <c r="CU300" s="23">
        <f t="shared" si="882"/>
        <v>168.29182095396081</v>
      </c>
      <c r="CV300" s="499" t="s">
        <v>2509</v>
      </c>
      <c r="CW300" s="488" t="str">
        <f t="shared" ca="1" si="883"/>
        <v>E2</v>
      </c>
      <c r="CX300" s="204">
        <f ca="1">IF(AND(L300="",H300=""),"",IF(AND(BA300&lt;&gt;4,BA300&lt;&gt;5),VLOOKUP(AY300,'TABLA (2)'!$A$9:$D$43,4),IF(BA300=4,VLOOKUP(AY300,'TABLA (2)'!$A$74:$D$89,4),VLOOKUP(AY300,'TABLA (2)'!$A$51:$D$66,4))))</f>
        <v>3.6999999999999998E-2</v>
      </c>
      <c r="CY300" s="482"/>
      <c r="CZ300" s="482"/>
      <c r="DA300" s="482"/>
      <c r="DB300" s="490"/>
    </row>
    <row r="301" spans="1:106" ht="15" hidden="1" customHeight="1">
      <c r="A301" s="465">
        <f>+A300+1</f>
        <v>203</v>
      </c>
      <c r="B301" s="491"/>
      <c r="C301" s="466" t="s">
        <v>2201</v>
      </c>
      <c r="D301" s="466" t="s">
        <v>2523</v>
      </c>
      <c r="E301" s="468">
        <v>3.0882495899999998E-2</v>
      </c>
      <c r="F301" s="468"/>
      <c r="G301" s="468">
        <f t="shared" si="819"/>
        <v>3.3169280760999995</v>
      </c>
      <c r="H301" s="468">
        <f t="shared" si="820"/>
        <v>3.3478105719999993</v>
      </c>
      <c r="I301" s="468">
        <v>3.0882495899999998E-2</v>
      </c>
      <c r="J301" s="468"/>
      <c r="K301" s="467">
        <f t="shared" ca="1" si="821"/>
        <v>1.8847143225999998</v>
      </c>
      <c r="L301" s="468">
        <f t="shared" ca="1" si="822"/>
        <v>1.9155968184999999</v>
      </c>
      <c r="M301" s="469">
        <f t="shared" si="823"/>
        <v>242.33666300502347</v>
      </c>
      <c r="N301" s="470">
        <f t="shared" si="824"/>
        <v>7.4839610016723181</v>
      </c>
      <c r="O301" s="470">
        <f t="shared" si="825"/>
        <v>0</v>
      </c>
      <c r="P301" s="470">
        <f t="shared" si="826"/>
        <v>811.29724239141865</v>
      </c>
      <c r="Q301" s="469">
        <f t="shared" si="815"/>
        <v>140</v>
      </c>
      <c r="R301" s="471">
        <f t="shared" si="827"/>
        <v>1.1174117111641069</v>
      </c>
      <c r="S301" s="471"/>
      <c r="T301" s="471"/>
      <c r="U301" s="471">
        <f t="shared" si="828"/>
        <v>0</v>
      </c>
      <c r="V301" s="471"/>
      <c r="W301" s="471"/>
      <c r="X301" s="471">
        <f t="shared" si="829"/>
        <v>0</v>
      </c>
      <c r="Y301" s="471">
        <f t="shared" si="830"/>
        <v>0.66956211439999991</v>
      </c>
      <c r="Z301" s="471">
        <f t="shared" ca="1" si="831"/>
        <v>0</v>
      </c>
      <c r="AA301" s="471">
        <f t="shared" si="744"/>
        <v>3.8</v>
      </c>
      <c r="AB301" s="471">
        <f t="shared" si="832"/>
        <v>4.2461645024236061</v>
      </c>
      <c r="AC301" s="471">
        <f t="shared" si="833"/>
        <v>1.0307770361099604E-2</v>
      </c>
      <c r="AD301" s="471">
        <f t="shared" si="834"/>
        <v>6.1764991799999995E-3</v>
      </c>
      <c r="AE301" s="471">
        <f t="shared" si="834"/>
        <v>0</v>
      </c>
      <c r="AF301" s="510">
        <f t="shared" si="737"/>
        <v>3.8</v>
      </c>
      <c r="AG301" s="471">
        <f t="shared" si="835"/>
        <v>3.9169527372178492E-2</v>
      </c>
      <c r="AH301" s="471">
        <f t="shared" si="836"/>
        <v>4.5346026552178495E-2</v>
      </c>
      <c r="AI301" s="471">
        <f t="shared" ca="1" si="837"/>
        <v>4.9157266168236058</v>
      </c>
      <c r="AJ301" s="471">
        <f t="shared" si="838"/>
        <v>0.75</v>
      </c>
      <c r="AK301" s="472" t="e">
        <f t="shared" si="839"/>
        <v>#N/A</v>
      </c>
      <c r="AL301" s="471" t="e">
        <f t="shared" si="840"/>
        <v>#N/A</v>
      </c>
      <c r="AM301" s="473" t="e">
        <f t="shared" si="816"/>
        <v>#N/A</v>
      </c>
      <c r="AN301" s="474">
        <f t="shared" si="817"/>
        <v>11.26</v>
      </c>
      <c r="AO301" s="474" t="e">
        <f t="shared" si="841"/>
        <v>#N/A</v>
      </c>
      <c r="AP301" s="474" t="e">
        <f t="shared" si="842"/>
        <v>#N/A</v>
      </c>
      <c r="AQ301" s="475">
        <v>3</v>
      </c>
      <c r="AR301" s="474" t="e">
        <f t="shared" ca="1" si="843"/>
        <v>#N/A</v>
      </c>
      <c r="AS301" s="474" t="e">
        <f t="shared" ca="1" si="844"/>
        <v>#N/A</v>
      </c>
      <c r="AT301" s="471" t="e">
        <f t="shared" ca="1" si="845"/>
        <v>#N/A</v>
      </c>
      <c r="AU301" s="492" t="e">
        <f t="shared" si="846"/>
        <v>#N/A</v>
      </c>
      <c r="AV301" s="471" t="e">
        <f t="shared" ca="1" si="847"/>
        <v>#N/A</v>
      </c>
      <c r="AW301" s="471" t="e">
        <f t="shared" ca="1" si="743"/>
        <v>#N/A</v>
      </c>
      <c r="AX301" s="478" t="e">
        <f>IF(OR(C301="",D301=""),"",ROUND(((VLOOKUP(C301,'Base de Diseño (2)'!$A$2:$C$333,2,FALSE)-VLOOKUP(D301,'Base de Diseño (2)'!$A$2:$C$333,2,FALSE))^2+(VLOOKUP(C301,'Base de Diseño (2)'!$A$2:$C$333,3,0)-VLOOKUP(D301,'Base de Diseño (2)'!$A$2:$C$333,3,FALSE))^2)^0.5,2))</f>
        <v>#N/A</v>
      </c>
      <c r="AY301" s="493">
        <v>12</v>
      </c>
      <c r="AZ301" s="480">
        <f ca="1">IF(AND(L301="",H301=""),"",IF(BA301=4,VLOOKUP(AY301,'TABLA (2)'!$A$74:$C$89,2),IF(BA301=5,VLOOKUP(AY301,'TABLA (2)'!$A$51:$B$66,2),IF(BA301=6,VLOOKUP(AY301,'TABLA (2)'!$A$9:$B$43,2)))))</f>
        <v>300</v>
      </c>
      <c r="BA301" s="493">
        <v>6</v>
      </c>
      <c r="BB301" s="478">
        <f>IF(OR(C301="",D301=""),"",VLOOKUP(C301,'Base de Diseño (2)'!$A$2:$D$330,4,FALSE))</f>
        <v>982.22160000000008</v>
      </c>
      <c r="BC301" s="478" t="e">
        <f>IF(OR(C301="",D301=""),"",VLOOKUP(D301,'Base de Diseño (2)'!$A$2:$D$330,4,FALSE))</f>
        <v>#N/A</v>
      </c>
      <c r="BD301" s="478">
        <f t="shared" ca="1" si="848"/>
        <v>1.903</v>
      </c>
      <c r="BE301" s="478">
        <f t="shared" ca="1" si="849"/>
        <v>1.9329999999999727</v>
      </c>
      <c r="BF301" s="494">
        <v>2.25</v>
      </c>
      <c r="BG301" s="494">
        <v>2.2799999999999727</v>
      </c>
      <c r="BH301" s="495">
        <f t="shared" si="850"/>
        <v>979.97160000000008</v>
      </c>
      <c r="BI301" s="495" t="e">
        <f t="shared" si="850"/>
        <v>#N/A</v>
      </c>
      <c r="BJ301" s="468" t="e">
        <f t="shared" si="851"/>
        <v>#N/A</v>
      </c>
      <c r="BK301" s="475" t="e">
        <f t="shared" si="852"/>
        <v>#N/A</v>
      </c>
      <c r="BL301" s="475" t="e">
        <f t="shared" si="853"/>
        <v>#N/A</v>
      </c>
      <c r="BM301" s="475" t="e">
        <f t="shared" ca="1" si="854"/>
        <v>#N/A</v>
      </c>
      <c r="BN301" s="475" t="e">
        <f t="shared" ca="1" si="855"/>
        <v>#N/A</v>
      </c>
      <c r="BO301" s="204" t="e">
        <f t="shared" ca="1" si="856"/>
        <v>#N/A</v>
      </c>
      <c r="BP301" s="496" t="e">
        <f t="shared" ca="1" si="857"/>
        <v>#N/A</v>
      </c>
      <c r="BQ301" s="497" t="e">
        <f t="shared" ca="1" si="858"/>
        <v>#N/A</v>
      </c>
      <c r="BR301" s="497" t="e">
        <f t="shared" ca="1" si="859"/>
        <v>#N/A</v>
      </c>
      <c r="BS301" s="475" t="e">
        <f t="shared" ca="1" si="860"/>
        <v>#N/A</v>
      </c>
      <c r="BT301" s="475" t="e">
        <f t="shared" ca="1" si="861"/>
        <v>#N/A</v>
      </c>
      <c r="BU301" s="475" t="e">
        <f t="shared" ca="1" si="862"/>
        <v>#N/A</v>
      </c>
      <c r="BV301" s="475" t="e">
        <f t="shared" ca="1" si="863"/>
        <v>#N/A</v>
      </c>
      <c r="BW301" s="475" t="e">
        <f t="shared" ca="1" si="864"/>
        <v>#N/A</v>
      </c>
      <c r="BX301" s="475" t="e">
        <f t="shared" ca="1" si="865"/>
        <v>#N/A</v>
      </c>
      <c r="BY301" s="475" t="e">
        <f t="shared" ca="1" si="866"/>
        <v>#N/A</v>
      </c>
      <c r="BZ301" s="475" t="e">
        <f t="shared" ca="1" si="867"/>
        <v>#N/A</v>
      </c>
      <c r="CA301" s="471" t="e">
        <f t="shared" ca="1" si="868"/>
        <v>#N/A</v>
      </c>
      <c r="CB301" s="471" t="e">
        <f t="shared" ca="1" si="869"/>
        <v>#N/A</v>
      </c>
      <c r="CC301" s="471" t="e">
        <f t="shared" ca="1" si="818"/>
        <v>#N/A</v>
      </c>
      <c r="CD301" s="471" t="e">
        <f t="shared" ca="1" si="870"/>
        <v>#N/A</v>
      </c>
      <c r="CE301" s="471" t="e">
        <f t="shared" ca="1" si="871"/>
        <v>#N/A</v>
      </c>
      <c r="CF301" s="471" t="e">
        <f t="shared" ca="1" si="872"/>
        <v>#N/A</v>
      </c>
      <c r="CG301" s="471" t="e">
        <f t="shared" ca="1" si="873"/>
        <v>#N/A</v>
      </c>
      <c r="CH301" s="471" t="e">
        <f t="shared" ca="1" si="874"/>
        <v>#N/A</v>
      </c>
      <c r="CI301" s="471" t="e">
        <f t="shared" ca="1" si="875"/>
        <v>#N/A</v>
      </c>
      <c r="CJ301" s="471" t="e">
        <f t="shared" ca="1" si="876"/>
        <v>#N/A</v>
      </c>
      <c r="CK301" s="468" t="e">
        <f t="shared" si="877"/>
        <v>#N/A</v>
      </c>
      <c r="CL301" s="482" t="s">
        <v>2507</v>
      </c>
      <c r="CM301" s="482"/>
      <c r="CN301" s="63" t="str">
        <f t="shared" si="878"/>
        <v xml:space="preserve"> </v>
      </c>
      <c r="CO301" s="498" t="e">
        <f t="shared" si="879"/>
        <v>#N/A</v>
      </c>
      <c r="CP301" s="472" t="e">
        <f t="shared" si="880"/>
        <v>#N/A</v>
      </c>
      <c r="CQ301" s="482" t="s">
        <v>2508</v>
      </c>
      <c r="CR301" s="204" t="e">
        <f t="shared" si="881"/>
        <v>#N/A</v>
      </c>
      <c r="CS301" s="486">
        <v>1.2</v>
      </c>
      <c r="CT301" s="486">
        <v>1.2</v>
      </c>
      <c r="CU301" s="23" t="e">
        <f t="shared" si="882"/>
        <v>#N/A</v>
      </c>
      <c r="CV301" s="499" t="s">
        <v>2509</v>
      </c>
      <c r="CW301" s="488" t="str">
        <f t="shared" ca="1" si="883"/>
        <v>E2</v>
      </c>
      <c r="CX301" s="204">
        <f ca="1">IF(AND(L301="",H301=""),"",IF(AND(BA301&lt;&gt;4,BA301&lt;&gt;5),VLOOKUP(AY301,'TABLA (2)'!$A$9:$D$43,4),IF(BA301=4,VLOOKUP(AY301,'TABLA (2)'!$A$74:$D$89,4),VLOOKUP(AY301,'TABLA (2)'!$A$51:$D$66,4))))</f>
        <v>4.7E-2</v>
      </c>
      <c r="CY301" s="482"/>
      <c r="CZ301" s="482"/>
      <c r="DA301" s="482"/>
      <c r="DB301" s="490"/>
    </row>
    <row r="302" spans="1:106" ht="15" hidden="1" customHeight="1">
      <c r="A302" s="465">
        <f>+A301+1</f>
        <v>204</v>
      </c>
      <c r="B302" s="491"/>
      <c r="C302" s="466" t="s">
        <v>2523</v>
      </c>
      <c r="D302" s="466" t="s">
        <v>2332</v>
      </c>
      <c r="E302" s="468">
        <v>0.18844257150000002</v>
      </c>
      <c r="F302" s="468"/>
      <c r="G302" s="468">
        <f t="shared" si="819"/>
        <v>3.5036390130999995</v>
      </c>
      <c r="H302" s="468">
        <f t="shared" si="820"/>
        <v>3.6920815845999995</v>
      </c>
      <c r="I302" s="468">
        <v>0.18844257150000002</v>
      </c>
      <c r="J302" s="468"/>
      <c r="K302" s="467">
        <f t="shared" ca="1" si="821"/>
        <v>2.0714252595999998</v>
      </c>
      <c r="L302" s="468">
        <f t="shared" ca="1" si="822"/>
        <v>2.2598678310999998</v>
      </c>
      <c r="M302" s="469">
        <f t="shared" si="823"/>
        <v>242.33666300502347</v>
      </c>
      <c r="N302" s="470">
        <f t="shared" si="824"/>
        <v>45.666543945395546</v>
      </c>
      <c r="O302" s="470">
        <f t="shared" si="825"/>
        <v>0</v>
      </c>
      <c r="P302" s="470">
        <f t="shared" si="826"/>
        <v>894.72673075426314</v>
      </c>
      <c r="Q302" s="469">
        <f t="shared" si="815"/>
        <v>140</v>
      </c>
      <c r="R302" s="471">
        <f t="shared" si="827"/>
        <v>1.2323203814786725</v>
      </c>
      <c r="S302" s="471"/>
      <c r="T302" s="471"/>
      <c r="U302" s="471">
        <f t="shared" si="828"/>
        <v>0</v>
      </c>
      <c r="V302" s="471"/>
      <c r="W302" s="471"/>
      <c r="X302" s="471">
        <f t="shared" si="829"/>
        <v>0</v>
      </c>
      <c r="Y302" s="471">
        <f t="shared" si="830"/>
        <v>0.73841631691999998</v>
      </c>
      <c r="Z302" s="471">
        <f t="shared" ca="1" si="831"/>
        <v>0</v>
      </c>
      <c r="AA302" s="471">
        <f t="shared" si="744"/>
        <v>3.8</v>
      </c>
      <c r="AB302" s="471">
        <f t="shared" si="832"/>
        <v>4.6828174496189554</v>
      </c>
      <c r="AC302" s="471">
        <f t="shared" si="833"/>
        <v>6.2897207517385062E-2</v>
      </c>
      <c r="AD302" s="471">
        <f t="shared" si="834"/>
        <v>3.7688514300000003E-2</v>
      </c>
      <c r="AE302" s="471">
        <f t="shared" si="834"/>
        <v>0</v>
      </c>
      <c r="AF302" s="510">
        <f t="shared" si="737"/>
        <v>3.8</v>
      </c>
      <c r="AG302" s="471">
        <f t="shared" si="835"/>
        <v>0.23900938856606321</v>
      </c>
      <c r="AH302" s="471">
        <f t="shared" si="836"/>
        <v>0.27669790286606322</v>
      </c>
      <c r="AI302" s="471">
        <f t="shared" ca="1" si="837"/>
        <v>5.4212337665389558</v>
      </c>
      <c r="AJ302" s="471">
        <f t="shared" si="838"/>
        <v>0.75</v>
      </c>
      <c r="AK302" s="472" t="e">
        <f t="shared" si="839"/>
        <v>#N/A</v>
      </c>
      <c r="AL302" s="471" t="e">
        <f t="shared" si="840"/>
        <v>#N/A</v>
      </c>
      <c r="AM302" s="473" t="e">
        <f t="shared" si="816"/>
        <v>#N/A</v>
      </c>
      <c r="AN302" s="474" t="e">
        <f t="shared" si="817"/>
        <v>#N/A</v>
      </c>
      <c r="AO302" s="474" t="e">
        <f t="shared" si="841"/>
        <v>#N/A</v>
      </c>
      <c r="AP302" s="474" t="e">
        <f t="shared" si="842"/>
        <v>#N/A</v>
      </c>
      <c r="AQ302" s="475">
        <v>3</v>
      </c>
      <c r="AR302" s="474" t="e">
        <f t="shared" ca="1" si="843"/>
        <v>#N/A</v>
      </c>
      <c r="AS302" s="474" t="e">
        <f t="shared" ca="1" si="844"/>
        <v>#N/A</v>
      </c>
      <c r="AT302" s="471" t="e">
        <f t="shared" ca="1" si="845"/>
        <v>#N/A</v>
      </c>
      <c r="AU302" s="492" t="e">
        <f t="shared" si="846"/>
        <v>#N/A</v>
      </c>
      <c r="AV302" s="471" t="e">
        <f t="shared" ca="1" si="847"/>
        <v>#N/A</v>
      </c>
      <c r="AW302" s="471" t="e">
        <f t="shared" ca="1" si="743"/>
        <v>#N/A</v>
      </c>
      <c r="AX302" s="478" t="e">
        <f>IF(OR(C302="",D302=""),"",ROUND(((VLOOKUP(C302,'Base de Diseño (2)'!$A$2:$C$333,2,FALSE)-VLOOKUP(D302,'Base de Diseño (2)'!$A$2:$C$333,2,FALSE))^2+(VLOOKUP(C302,'Base de Diseño (2)'!$A$2:$C$333,3,0)-VLOOKUP(D302,'Base de Diseño (2)'!$A$2:$C$333,3,FALSE))^2)^0.5,2))</f>
        <v>#N/A</v>
      </c>
      <c r="AY302" s="493">
        <v>12</v>
      </c>
      <c r="AZ302" s="480">
        <f ca="1">IF(AND(L302="",H302=""),"",IF(BA302=4,VLOOKUP(AY302,'TABLA (2)'!$A$74:$C$89,2),IF(BA302=5,VLOOKUP(AY302,'TABLA (2)'!$A$51:$B$66,2),IF(BA302=6,VLOOKUP(AY302,'TABLA (2)'!$A$9:$B$43,2)))))</f>
        <v>300</v>
      </c>
      <c r="BA302" s="493">
        <v>6</v>
      </c>
      <c r="BB302" s="478" t="e">
        <f>IF(OR(C302="",D302=""),"",VLOOKUP(C302,'Base de Diseño (2)'!$A$2:$D$330,4,FALSE))</f>
        <v>#N/A</v>
      </c>
      <c r="BC302" s="478">
        <f>IF(OR(C302="",D302=""),"",VLOOKUP(D302,'Base de Diseño (2)'!$A$2:$D$330,4,FALSE))</f>
        <v>969.16399999999999</v>
      </c>
      <c r="BD302" s="478">
        <f t="shared" ca="1" si="848"/>
        <v>1.9329999999999727</v>
      </c>
      <c r="BE302" s="478">
        <f t="shared" ca="1" si="849"/>
        <v>0.65300000000000002</v>
      </c>
      <c r="BF302" s="494">
        <v>2.2799999999999727</v>
      </c>
      <c r="BG302" s="494">
        <v>1</v>
      </c>
      <c r="BH302" s="495" t="e">
        <f t="shared" si="850"/>
        <v>#N/A</v>
      </c>
      <c r="BI302" s="495">
        <f t="shared" si="850"/>
        <v>968.16399999999999</v>
      </c>
      <c r="BJ302" s="468">
        <f t="shared" si="851"/>
        <v>968.16399999999999</v>
      </c>
      <c r="BK302" s="475" t="e">
        <f t="shared" si="852"/>
        <v>#N/A</v>
      </c>
      <c r="BL302" s="475" t="e">
        <f t="shared" si="853"/>
        <v>#N/A</v>
      </c>
      <c r="BM302" s="475" t="e">
        <f t="shared" ca="1" si="854"/>
        <v>#N/A</v>
      </c>
      <c r="BN302" s="475" t="e">
        <f t="shared" ca="1" si="855"/>
        <v>#N/A</v>
      </c>
      <c r="BO302" s="204" t="e">
        <f t="shared" ca="1" si="856"/>
        <v>#N/A</v>
      </c>
      <c r="BP302" s="496" t="e">
        <f t="shared" ca="1" si="857"/>
        <v>#N/A</v>
      </c>
      <c r="BQ302" s="497" t="e">
        <f t="shared" ca="1" si="858"/>
        <v>#N/A</v>
      </c>
      <c r="BR302" s="497" t="e">
        <f t="shared" ca="1" si="859"/>
        <v>#N/A</v>
      </c>
      <c r="BS302" s="475" t="e">
        <f t="shared" ca="1" si="860"/>
        <v>#N/A</v>
      </c>
      <c r="BT302" s="475" t="e">
        <f t="shared" ca="1" si="861"/>
        <v>#N/A</v>
      </c>
      <c r="BU302" s="475" t="e">
        <f t="shared" ca="1" si="862"/>
        <v>#N/A</v>
      </c>
      <c r="BV302" s="475" t="e">
        <f t="shared" ca="1" si="863"/>
        <v>#N/A</v>
      </c>
      <c r="BW302" s="475" t="e">
        <f t="shared" ca="1" si="864"/>
        <v>#N/A</v>
      </c>
      <c r="BX302" s="475" t="e">
        <f t="shared" ca="1" si="865"/>
        <v>#N/A</v>
      </c>
      <c r="BY302" s="475" t="e">
        <f t="shared" ca="1" si="866"/>
        <v>#N/A</v>
      </c>
      <c r="BZ302" s="475" t="e">
        <f t="shared" ca="1" si="867"/>
        <v>#N/A</v>
      </c>
      <c r="CA302" s="471" t="e">
        <f t="shared" ca="1" si="868"/>
        <v>#N/A</v>
      </c>
      <c r="CB302" s="471" t="e">
        <f t="shared" ca="1" si="869"/>
        <v>#N/A</v>
      </c>
      <c r="CC302" s="471" t="e">
        <f t="shared" ca="1" si="818"/>
        <v>#N/A</v>
      </c>
      <c r="CD302" s="471" t="e">
        <f t="shared" ca="1" si="870"/>
        <v>#N/A</v>
      </c>
      <c r="CE302" s="471" t="e">
        <f t="shared" ca="1" si="871"/>
        <v>#N/A</v>
      </c>
      <c r="CF302" s="471" t="e">
        <f t="shared" ca="1" si="872"/>
        <v>#N/A</v>
      </c>
      <c r="CG302" s="471" t="e">
        <f t="shared" ca="1" si="873"/>
        <v>#N/A</v>
      </c>
      <c r="CH302" s="471" t="e">
        <f t="shared" ca="1" si="874"/>
        <v>#N/A</v>
      </c>
      <c r="CI302" s="471" t="e">
        <f t="shared" ca="1" si="875"/>
        <v>#N/A</v>
      </c>
      <c r="CJ302" s="471" t="e">
        <f t="shared" ca="1" si="876"/>
        <v>#N/A</v>
      </c>
      <c r="CK302" s="468">
        <f t="shared" si="877"/>
        <v>968.16399999999999</v>
      </c>
      <c r="CL302" s="482" t="s">
        <v>2507</v>
      </c>
      <c r="CM302" s="482"/>
      <c r="CN302" s="63" t="str">
        <f t="shared" si="878"/>
        <v xml:space="preserve"> </v>
      </c>
      <c r="CO302" s="498" t="e">
        <f t="shared" si="879"/>
        <v>#N/A</v>
      </c>
      <c r="CP302" s="472" t="e">
        <f t="shared" si="880"/>
        <v>#N/A</v>
      </c>
      <c r="CQ302" s="482" t="s">
        <v>2508</v>
      </c>
      <c r="CR302" s="204" t="e">
        <f t="shared" si="881"/>
        <v>#N/A</v>
      </c>
      <c r="CS302" s="486">
        <v>1.2</v>
      </c>
      <c r="CT302" s="486">
        <v>1.2</v>
      </c>
      <c r="CU302" s="23" t="e">
        <f t="shared" si="882"/>
        <v>#N/A</v>
      </c>
      <c r="CV302" s="499" t="s">
        <v>2509</v>
      </c>
      <c r="CW302" s="488" t="str">
        <f t="shared" ca="1" si="883"/>
        <v>E2</v>
      </c>
      <c r="CX302" s="204">
        <f ca="1">IF(AND(L302="",H302=""),"",IF(AND(BA302&lt;&gt;4,BA302&lt;&gt;5),VLOOKUP(AY302,'TABLA (2)'!$A$9:$D$43,4),IF(BA302=4,VLOOKUP(AY302,'TABLA (2)'!$A$74:$D$89,4),VLOOKUP(AY302,'TABLA (2)'!$A$51:$D$66,4))))</f>
        <v>4.7E-2</v>
      </c>
      <c r="CY302" s="482"/>
      <c r="CZ302" s="482"/>
      <c r="DA302" s="482"/>
      <c r="DB302" s="490"/>
    </row>
    <row r="303" spans="1:106" ht="15" hidden="1" customHeight="1">
      <c r="A303" s="465"/>
      <c r="B303" s="491"/>
      <c r="C303" s="466"/>
      <c r="D303" s="466"/>
      <c r="E303" s="468"/>
      <c r="F303" s="468"/>
      <c r="G303" s="468"/>
      <c r="H303" s="468"/>
      <c r="I303" s="468"/>
      <c r="J303" s="468"/>
      <c r="K303" s="467"/>
      <c r="L303" s="468"/>
      <c r="M303" s="469"/>
      <c r="N303" s="470"/>
      <c r="O303" s="470"/>
      <c r="P303" s="470"/>
      <c r="Q303" s="469">
        <f t="shared" si="815"/>
        <v>140</v>
      </c>
      <c r="R303" s="471"/>
      <c r="S303" s="471"/>
      <c r="T303" s="471"/>
      <c r="U303" s="471"/>
      <c r="V303" s="471"/>
      <c r="W303" s="471"/>
      <c r="X303" s="471"/>
      <c r="Y303" s="471"/>
      <c r="Z303" s="471"/>
      <c r="AA303" s="471" t="str">
        <f t="shared" si="744"/>
        <v/>
      </c>
      <c r="AB303" s="471"/>
      <c r="AC303" s="471"/>
      <c r="AD303" s="471"/>
      <c r="AE303" s="471"/>
      <c r="AF303" s="510" t="str">
        <f t="shared" si="737"/>
        <v/>
      </c>
      <c r="AG303" s="471"/>
      <c r="AH303" s="471"/>
      <c r="AI303" s="471"/>
      <c r="AJ303" s="471"/>
      <c r="AK303" s="472"/>
      <c r="AL303" s="471"/>
      <c r="AM303" s="473">
        <f t="shared" si="816"/>
        <v>474.44695720875893</v>
      </c>
      <c r="AN303" s="474" t="e">
        <f t="shared" si="817"/>
        <v>#N/A</v>
      </c>
      <c r="AO303" s="474"/>
      <c r="AP303" s="474"/>
      <c r="AQ303" s="475">
        <v>3</v>
      </c>
      <c r="AR303" s="474"/>
      <c r="AS303" s="474"/>
      <c r="AT303" s="471"/>
      <c r="AU303" s="492"/>
      <c r="AV303" s="471"/>
      <c r="AW303" s="471">
        <f t="shared" si="743"/>
        <v>0</v>
      </c>
      <c r="AX303" s="478"/>
      <c r="AY303" s="493"/>
      <c r="AZ303" s="480"/>
      <c r="BA303" s="493"/>
      <c r="BB303" s="478" t="str">
        <f>IF(OR(C303="",D303=""),"",VLOOKUP(C303,'Base de Diseño (2)'!$A$2:$D$330,4,FALSE))</f>
        <v/>
      </c>
      <c r="BC303" s="478" t="str">
        <f>IF(OR(C303="",D303=""),"",VLOOKUP(D303,'Base de Diseño (2)'!$A$2:$D$330,4,FALSE))</f>
        <v/>
      </c>
      <c r="BD303" s="478"/>
      <c r="BE303" s="478"/>
      <c r="BF303" s="494"/>
      <c r="BG303" s="494"/>
      <c r="BH303" s="495"/>
      <c r="BI303" s="495"/>
      <c r="BJ303" s="468"/>
      <c r="BK303" s="475"/>
      <c r="BL303" s="475"/>
      <c r="BM303" s="475"/>
      <c r="BN303" s="475"/>
      <c r="BO303" s="204"/>
      <c r="BP303" s="496"/>
      <c r="BQ303" s="497"/>
      <c r="BR303" s="497"/>
      <c r="BS303" s="475"/>
      <c r="BT303" s="475"/>
      <c r="BU303" s="475"/>
      <c r="BV303" s="475"/>
      <c r="BW303" s="475"/>
      <c r="BX303" s="475"/>
      <c r="BY303" s="475"/>
      <c r="BZ303" s="475"/>
      <c r="CA303" s="471"/>
      <c r="CB303" s="471"/>
      <c r="CC303" s="471" t="e">
        <f t="shared" si="818"/>
        <v>#DIV/0!</v>
      </c>
      <c r="CD303" s="471"/>
      <c r="CE303" s="471"/>
      <c r="CF303" s="471"/>
      <c r="CG303" s="471"/>
      <c r="CH303" s="471"/>
      <c r="CI303" s="471"/>
      <c r="CJ303" s="471"/>
      <c r="CK303" s="468"/>
      <c r="CL303" s="482" t="s">
        <v>2507</v>
      </c>
      <c r="CM303" s="482"/>
      <c r="CN303" s="63"/>
      <c r="CO303" s="498"/>
      <c r="CP303" s="472"/>
      <c r="CQ303" s="482"/>
      <c r="CR303" s="204"/>
      <c r="CS303" s="486"/>
      <c r="CT303" s="486"/>
      <c r="CU303" s="23"/>
      <c r="CV303" s="499"/>
      <c r="CW303" s="488"/>
      <c r="CX303" s="204"/>
      <c r="CY303" s="482"/>
      <c r="CZ303" s="482"/>
      <c r="DA303" s="482"/>
      <c r="DB303" s="490"/>
    </row>
    <row r="304" spans="1:106" ht="13.9" hidden="1" customHeight="1">
      <c r="A304" s="465">
        <f>+A302+1</f>
        <v>205</v>
      </c>
      <c r="B304" s="491">
        <v>1</v>
      </c>
      <c r="C304" s="466" t="s">
        <v>2200</v>
      </c>
      <c r="D304" s="466" t="s">
        <v>2523</v>
      </c>
      <c r="E304" s="468">
        <v>0.15582844110000002</v>
      </c>
      <c r="F304" s="468"/>
      <c r="G304" s="468">
        <f>IF(B304=1,0,SUMIF($D$22:$D$583,C304,$H$22:$H$583))</f>
        <v>0</v>
      </c>
      <c r="H304" s="468">
        <f>+E304+F304+G304</f>
        <v>0.15582844110000002</v>
      </c>
      <c r="I304" s="468">
        <v>0.15582844110000002</v>
      </c>
      <c r="J304" s="468"/>
      <c r="K304" s="467">
        <f>+IF(B304=1,0,SUMIF($D$22:$D$583,C304,$L$22:$L$580))</f>
        <v>0</v>
      </c>
      <c r="L304" s="468">
        <f>+I304+J304+K304</f>
        <v>0.15582844110000002</v>
      </c>
      <c r="M304" s="469">
        <f>+$P$12</f>
        <v>242.33666300502347</v>
      </c>
      <c r="N304" s="470">
        <f>M304*E304</f>
        <v>37.76294441744885</v>
      </c>
      <c r="O304" s="470">
        <f>M304*F304</f>
        <v>0</v>
      </c>
      <c r="P304" s="470">
        <f>M304*H304</f>
        <v>37.76294441744885</v>
      </c>
      <c r="Q304" s="469">
        <f t="shared" si="815"/>
        <v>140</v>
      </c>
      <c r="R304" s="471">
        <f>Q304*P304*$P$14/86400</f>
        <v>5.2011462797180712E-2</v>
      </c>
      <c r="S304" s="471"/>
      <c r="T304" s="471"/>
      <c r="U304" s="471">
        <f>IF(C304="","",T304*$P$17)</f>
        <v>0</v>
      </c>
      <c r="V304" s="471"/>
      <c r="W304" s="471"/>
      <c r="X304" s="471">
        <f>IF(C304="","",W304*$P$16)</f>
        <v>0</v>
      </c>
      <c r="Y304" s="471">
        <f>IF(H304=0,0,$H$15*H304)</f>
        <v>3.1165688220000005E-2</v>
      </c>
      <c r="Z304" s="471">
        <f>IF(L304=0,$H$16*H304,0)</f>
        <v>0</v>
      </c>
      <c r="AA304" s="471">
        <f t="shared" si="744"/>
        <v>3.8</v>
      </c>
      <c r="AB304" s="471">
        <f>R304*AA304</f>
        <v>0.1976435586292867</v>
      </c>
      <c r="AC304" s="471">
        <f>Q304*(N304+O304)*$P$14/86400</f>
        <v>5.2011462797180712E-2</v>
      </c>
      <c r="AD304" s="471">
        <f>IF(E304=0,0,$H$15*(E304+F304))</f>
        <v>3.1165688220000005E-2</v>
      </c>
      <c r="AE304" s="471">
        <f>IF(F304=0,0,$H$15*(F304+G304))</f>
        <v>0</v>
      </c>
      <c r="AF304" s="510">
        <f t="shared" si="737"/>
        <v>3.8</v>
      </c>
      <c r="AG304" s="471">
        <f>AC304*AF304</f>
        <v>0.1976435586292867</v>
      </c>
      <c r="AH304" s="471">
        <f>+AD304+AE304+AG304</f>
        <v>0.22880924684928672</v>
      </c>
      <c r="AI304" s="471">
        <f>IF(H304="","",IF(AB304+Y304+Z304+X304+U304&lt;1.5,1.5,AB304+Y304+Z304+X304+U304))</f>
        <v>1.5</v>
      </c>
      <c r="AJ304" s="471">
        <f>+$P$17</f>
        <v>0.75</v>
      </c>
      <c r="AK304" s="472" t="e">
        <f>+BK304/100</f>
        <v>#N/A</v>
      </c>
      <c r="AL304" s="471" t="e">
        <f>IF(AJ304=0," ",0.14+0.65*AJ304+0.05*AK304)</f>
        <v>#N/A</v>
      </c>
      <c r="AM304" s="473" t="e">
        <f t="shared" si="816"/>
        <v>#N/A</v>
      </c>
      <c r="AN304" s="474" t="e">
        <f t="shared" si="817"/>
        <v>#N/A</v>
      </c>
      <c r="AO304" s="474" t="e">
        <f>((1/60)*$AX304/$AQ304)</f>
        <v>#N/A</v>
      </c>
      <c r="AP304" s="474" t="e">
        <f>IF(B304=1,IF(($AN304+$AO304)&lt;10,10,IF(($AN304+$AO304)&gt;20,20,($AN304+$AO304))),($AN304+$AO304))</f>
        <v>#N/A</v>
      </c>
      <c r="AQ304" s="475">
        <v>3</v>
      </c>
      <c r="AR304" s="474" t="e">
        <f>((1/60)*$AX304/$BT304)</f>
        <v>#N/A</v>
      </c>
      <c r="AS304" s="474" t="e">
        <f>AO304/AR304</f>
        <v>#N/A</v>
      </c>
      <c r="AT304" s="471" t="e">
        <f>IF(AS304&lt;0.9,"Disminuir vel.",IF(AS304&gt;1.1,"Aumentar vel.","Cumple"))</f>
        <v>#N/A</v>
      </c>
      <c r="AU304" s="492" t="e">
        <f>+I304*AL304*AM304</f>
        <v>#N/A</v>
      </c>
      <c r="AV304" s="471" t="e">
        <f>+L304*AL304*AM304</f>
        <v>#N/A</v>
      </c>
      <c r="AW304" s="471" t="e">
        <f t="shared" si="743"/>
        <v>#N/A</v>
      </c>
      <c r="AX304" s="478" t="e">
        <f>IF(OR(C304="",D304=""),"",ROUND(((VLOOKUP(C304,'Base de Diseño (2)'!$A$2:$C$333,2,FALSE)-VLOOKUP(D304,'Base de Diseño (2)'!$A$2:$C$333,2,FALSE))^2+(VLOOKUP(C304,'Base de Diseño (2)'!$A$2:$C$333,3,0)-VLOOKUP(D304,'Base de Diseño (2)'!$A$2:$C$333,3,FALSE))^2)^0.5,2))</f>
        <v>#N/A</v>
      </c>
      <c r="AY304" s="493">
        <v>12</v>
      </c>
      <c r="AZ304" s="480">
        <f>IF(AND(L304="",H304=""),"",IF(BA304=4,VLOOKUP(AY304,'TABLA (2)'!$A$74:$C$89,2),IF(BA304=5,VLOOKUP(AY304,'TABLA (2)'!$A$51:$B$66,2),IF(BA304=6,VLOOKUP(AY304,'TABLA (2)'!$A$9:$B$43,2)))))</f>
        <v>300</v>
      </c>
      <c r="BA304" s="493">
        <v>6</v>
      </c>
      <c r="BB304" s="478">
        <f>IF(OR(C304="",D304=""),"",VLOOKUP(C304,'Base de Diseño (2)'!$A$2:$D$330,4,FALSE))</f>
        <v>984.64160000000004</v>
      </c>
      <c r="BC304" s="478" t="e">
        <f>IF(OR(C304="",D304=""),"",VLOOKUP(D304,'Base de Diseño (2)'!$A$2:$D$330,4,FALSE))</f>
        <v>#N/A</v>
      </c>
      <c r="BD304" s="478">
        <f>+BF304-((AZ304/1000)+CX304)</f>
        <v>2.0130000000000137</v>
      </c>
      <c r="BE304" s="478">
        <f>+BG304-((AZ304/1000)+CX304)</f>
        <v>1.3530000000000455</v>
      </c>
      <c r="BF304" s="494">
        <v>2.3600000000000136</v>
      </c>
      <c r="BG304" s="494">
        <v>1.7000000000000455</v>
      </c>
      <c r="BH304" s="495">
        <f>BB304-BF304</f>
        <v>982.28160000000003</v>
      </c>
      <c r="BI304" s="495" t="e">
        <f>BC304-BG304</f>
        <v>#N/A</v>
      </c>
      <c r="BJ304" s="468" t="e">
        <f>IF(A304="",0,BI304-BH305)</f>
        <v>#N/A</v>
      </c>
      <c r="BK304" s="475" t="e">
        <f>ABS((BB304-BC304)/AX304)*100</f>
        <v>#N/A</v>
      </c>
      <c r="BL304" s="475" t="e">
        <f>((BH304-BI304)/AX304)*100</f>
        <v>#N/A</v>
      </c>
      <c r="BM304" s="475" t="e">
        <f>IF(BA304=6,(1/0.013)*((AZ304/4000)^(2/3))*((BL304/100)^(0.5)),(1/0.009)*((AZ304/4000)^(2/3))*((BL304/100)^(0.5)))</f>
        <v>#N/A</v>
      </c>
      <c r="BN304" s="475" t="e">
        <f>1000*BM304*PI()*((AZ304/1000/2)^2)</f>
        <v>#N/A</v>
      </c>
      <c r="BO304" s="204" t="e">
        <f>AI304/BN304</f>
        <v>#N/A</v>
      </c>
      <c r="BP304" s="496" t="e">
        <f>IF(L304=0," ",AW304/BN304)</f>
        <v>#N/A</v>
      </c>
      <c r="BQ304" s="497" t="e">
        <f>IF($BO304&gt;0 =AND($BO304&lt;=0.06),10^(0.029806+0.29095*LOG($BO304)),IF($BO304&gt;0.06 =AND($BO304&lt;=0.26),10^(0.013778+0.282597*LOG($BO304)),IF($BO304&gt;0.26 =AND($BO304&lt;=0.91),10^(0.021763+0.28995*LOG($BO304)),1)))</f>
        <v>#N/A</v>
      </c>
      <c r="BR304" s="497" t="e">
        <f>IF($BP304&gt;0 =AND($BP304&lt;=0.06),10^(0.029806+0.29095*LOG($BP304)),IF($BP304&gt;0.06 =AND($BP304&lt;=0.26),10^(0.013778+0.282597*LOG($BP304)),IF($BP304&gt;0.26 =AND($BP304&lt;=2),10^(0.021763+0.28995*LOG($BP304))," ")))</f>
        <v>#N/A</v>
      </c>
      <c r="BS304" s="475" t="e">
        <f>BM304*BQ304</f>
        <v>#N/A</v>
      </c>
      <c r="BT304" s="475" t="e">
        <f>IF(BP304=" "," ",(BM304*BR304))</f>
        <v>#N/A</v>
      </c>
      <c r="BU304" s="475" t="e">
        <f>IF(BO304&lt;=0.11,0.3827+0.0645*LN(BO304),IF(BO304&lt;=0.21,0.60025+0.15471*LN(BO304),IF(BO304&lt;1,0.225+0.6666666667*BO304,0)))</f>
        <v>#N/A</v>
      </c>
      <c r="BV304" s="475" t="e">
        <f>IF(BP304&lt;=0.11,0.3827+0.0645*LN(BP304),IF(BP304&lt;=0.21,0.60025+0.15471*LN(BP304),IF(BP304&lt;1,0.225+0.6666666667*BP304," ")))</f>
        <v>#N/A</v>
      </c>
      <c r="BW304" s="475" t="e">
        <f>2*ACOS(1-2*(BU304))</f>
        <v>#N/A</v>
      </c>
      <c r="BX304" s="475" t="e">
        <f>IF(BP304=" "," ",(2*ACOS(1-2*(BV304))))</f>
        <v>#N/A</v>
      </c>
      <c r="BY304" s="475" t="e">
        <f>(1/4)*(1-(SIN(BW304))/BW304)</f>
        <v>#N/A</v>
      </c>
      <c r="BZ304" s="475" t="e">
        <f>IF(BP304=" "," ",((1/4)*(1-(SIN(BX304))/BX304)))</f>
        <v>#N/A</v>
      </c>
      <c r="CA304" s="471" t="e">
        <f>BY304*AZ304/1000</f>
        <v>#N/A</v>
      </c>
      <c r="CB304" s="471" t="e">
        <f>IF(BP304=" "," ",(BZ304*AZ304/1000))</f>
        <v>#N/A</v>
      </c>
      <c r="CC304" s="471" t="e">
        <f t="shared" si="818"/>
        <v>#N/A</v>
      </c>
      <c r="CD304" s="471" t="e">
        <f>IF(CC304="","",IF(CC304&lt;0.7,"F. Subcrítico",IF(AND(CC304&gt;0.7,CC304&lt;1),"F. Subcrítico Inestable",IF(CC304=1,"F. Crítico",IF(AND(CC304&gt;1,CC304&lt;1.5),"F. Supercrítico Inestable",IF(CC304&gt;1.5,"F. Supercrítico",""))))))</f>
        <v>#N/A</v>
      </c>
      <c r="CE304" s="471" t="e">
        <f>1000*BL304*CA304/100</f>
        <v>#N/A</v>
      </c>
      <c r="CF304" s="471" t="e">
        <f>IF(BP304=" "," ",(1000*BL304*CB304/100))</f>
        <v>#N/A</v>
      </c>
      <c r="CG304" s="471" t="e">
        <f>IF(BS304&lt;0.45,"No cumple",IF(BS304&gt;5,"No cumple","O.K"))</f>
        <v>#N/A</v>
      </c>
      <c r="CH304" s="471" t="e">
        <f>IF(BT304&lt;0.75,"No cumple",IF(BT304&gt;10,"No cumple","O.K"))</f>
        <v>#N/A</v>
      </c>
      <c r="CI304" s="471" t="e">
        <f>IF(CE304&gt;0.1,"OK","V.C.H.")</f>
        <v>#N/A</v>
      </c>
      <c r="CJ304" s="471" t="e">
        <f>IF(CF304&gt;0.2,"OK","V.C.H.")</f>
        <v>#N/A</v>
      </c>
      <c r="CK304" s="468" t="e">
        <f>+BJ304</f>
        <v>#N/A</v>
      </c>
      <c r="CL304" s="482" t="s">
        <v>2507</v>
      </c>
      <c r="CM304" s="482"/>
      <c r="CN304" s="63" t="str">
        <f>IF(B304=1,"dato"," ")</f>
        <v>dato</v>
      </c>
      <c r="CO304" s="498" t="e">
        <f>+CR304</f>
        <v>#N/A</v>
      </c>
      <c r="CP304" s="472" t="e">
        <f>+BK304/100</f>
        <v>#N/A</v>
      </c>
      <c r="CQ304" s="482" t="s">
        <v>2508</v>
      </c>
      <c r="CR304" s="204" t="e">
        <f>IF(BA304="","",AX304)</f>
        <v>#N/A</v>
      </c>
      <c r="CS304" s="486">
        <v>1.2</v>
      </c>
      <c r="CT304" s="486">
        <v>1.2</v>
      </c>
      <c r="CU304" s="23" t="e">
        <f>IF($BA304="","",SQRT((BH304-BI304)^2+$CR304^2))</f>
        <v>#N/A</v>
      </c>
      <c r="CV304" s="499" t="s">
        <v>2509</v>
      </c>
      <c r="CW304" s="488" t="str">
        <f>+IF(BD304&lt;=0.9,"E1",IF(BD304&lt;=2.5,"E2","E3"))</f>
        <v>E2</v>
      </c>
      <c r="CX304" s="204">
        <f>IF(AND(L304="",H304=""),"",IF(AND(BA304&lt;&gt;4,BA304&lt;&gt;5),VLOOKUP(AY304,'TABLA (2)'!$A$9:$D$43,4),IF(BA304=4,VLOOKUP(AY304,'TABLA (2)'!$A$74:$D$89,4),VLOOKUP(AY304,'TABLA (2)'!$A$51:$D$66,4))))</f>
        <v>4.7E-2</v>
      </c>
      <c r="CY304" s="482"/>
      <c r="CZ304" s="482"/>
      <c r="DA304" s="482"/>
      <c r="DB304" s="490"/>
    </row>
    <row r="305" spans="1:106" ht="14.45" customHeight="1">
      <c r="A305" s="465"/>
      <c r="B305" s="491"/>
      <c r="C305" s="468"/>
      <c r="D305" s="468"/>
      <c r="E305" s="468"/>
      <c r="F305" s="468"/>
      <c r="G305" s="468"/>
      <c r="H305" s="468"/>
      <c r="I305" s="468"/>
      <c r="J305" s="468"/>
      <c r="K305" s="467"/>
      <c r="L305" s="468"/>
      <c r="M305" s="469"/>
      <c r="N305" s="470"/>
      <c r="O305" s="470"/>
      <c r="P305" s="470"/>
      <c r="Q305" s="469"/>
      <c r="R305" s="471"/>
      <c r="S305" s="471"/>
      <c r="T305" s="471"/>
      <c r="U305" s="471"/>
      <c r="V305" s="471"/>
      <c r="W305" s="471"/>
      <c r="X305" s="471"/>
      <c r="Y305" s="471"/>
      <c r="Z305" s="471"/>
      <c r="AA305" s="471" t="str">
        <f t="shared" si="744"/>
        <v/>
      </c>
      <c r="AB305" s="471"/>
      <c r="AC305" s="471"/>
      <c r="AD305" s="471"/>
      <c r="AE305" s="471"/>
      <c r="AF305" s="471" t="str">
        <f t="shared" si="737"/>
        <v/>
      </c>
      <c r="AG305" s="471"/>
      <c r="AH305" s="471"/>
      <c r="AI305" s="471"/>
      <c r="AJ305" s="471"/>
      <c r="AK305" s="472"/>
      <c r="AL305" s="471"/>
      <c r="AM305" s="473"/>
      <c r="AN305" s="474"/>
      <c r="AO305" s="474"/>
      <c r="AP305" s="474"/>
      <c r="AQ305" s="475"/>
      <c r="AR305" s="474"/>
      <c r="AS305" s="474"/>
      <c r="AT305" s="471"/>
      <c r="AU305" s="492"/>
      <c r="AV305" s="471"/>
      <c r="AW305" s="471"/>
      <c r="AX305" s="478"/>
      <c r="AY305" s="493"/>
      <c r="AZ305" s="480"/>
      <c r="BA305" s="493"/>
      <c r="BB305" s="478" t="str">
        <f>IF(OR(C305="",D305=""),"",VLOOKUP(C305,'Base de Diseño (2)'!$A$2:$D$330,4,FALSE))</f>
        <v/>
      </c>
      <c r="BC305" s="494"/>
      <c r="BD305" s="478"/>
      <c r="BE305" s="478"/>
      <c r="BF305" s="494"/>
      <c r="BG305" s="494"/>
      <c r="BH305" s="495"/>
      <c r="BI305" s="495"/>
      <c r="BJ305" s="468"/>
      <c r="BK305" s="475"/>
      <c r="BL305" s="475"/>
      <c r="BM305" s="475"/>
      <c r="BN305" s="475"/>
      <c r="BO305" s="204"/>
      <c r="BP305" s="496"/>
      <c r="BQ305" s="497"/>
      <c r="BR305" s="497"/>
      <c r="BS305" s="475"/>
      <c r="BT305" s="475"/>
      <c r="BU305" s="475"/>
      <c r="BV305" s="475"/>
      <c r="BW305" s="475"/>
      <c r="BX305" s="475"/>
      <c r="BY305" s="475"/>
      <c r="BZ305" s="475"/>
      <c r="CA305" s="471"/>
      <c r="CB305" s="471"/>
      <c r="CC305" s="471"/>
      <c r="CD305" s="471"/>
      <c r="CE305" s="471"/>
      <c r="CF305" s="471"/>
      <c r="CG305" s="471"/>
      <c r="CH305" s="471"/>
      <c r="CI305" s="471"/>
      <c r="CJ305" s="471"/>
      <c r="CK305" s="468"/>
      <c r="CL305" s="482"/>
      <c r="CM305" s="482"/>
      <c r="CN305" s="63"/>
      <c r="CO305" s="498"/>
      <c r="CP305" s="472"/>
      <c r="CQ305" s="482"/>
      <c r="CR305" s="204"/>
      <c r="CS305" s="486"/>
      <c r="CT305" s="486"/>
      <c r="CU305" s="23"/>
      <c r="CV305" s="499"/>
      <c r="CW305" s="488"/>
      <c r="CX305" s="204"/>
      <c r="CY305" s="482"/>
      <c r="CZ305" s="482"/>
      <c r="DA305" s="482"/>
      <c r="DB305" s="490"/>
    </row>
    <row r="306" spans="1:106" s="532" customFormat="1" ht="15" customHeight="1">
      <c r="A306" s="503">
        <f>+A304+1</f>
        <v>206</v>
      </c>
      <c r="B306" s="504">
        <v>1</v>
      </c>
      <c r="C306" s="505" t="s">
        <v>104</v>
      </c>
      <c r="D306" s="505" t="s">
        <v>105</v>
      </c>
      <c r="E306" s="506">
        <v>0.1211333923</v>
      </c>
      <c r="F306" s="506"/>
      <c r="G306" s="506">
        <f>IF(B306=1,0,SUMIF($D$22:$D$585,C306,$H$22:$H$585))</f>
        <v>0</v>
      </c>
      <c r="H306" s="506">
        <f>+E306+F306+G306</f>
        <v>0.1211333923</v>
      </c>
      <c r="I306" s="506">
        <v>0.12113339229999999</v>
      </c>
      <c r="J306" s="506"/>
      <c r="K306" s="507">
        <f>+IF(B306=1,0,SUMIF($D$22:$D$585,C306,$L$22:$L$582))</f>
        <v>0</v>
      </c>
      <c r="L306" s="506">
        <f>+I306+J306+K306</f>
        <v>0.12113339229999999</v>
      </c>
      <c r="M306" s="508">
        <f>+$P$12</f>
        <v>242.33666300502347</v>
      </c>
      <c r="N306" s="509">
        <f>M306*E306</f>
        <v>29.355062068460406</v>
      </c>
      <c r="O306" s="509">
        <f>M306*F306</f>
        <v>0</v>
      </c>
      <c r="P306" s="509">
        <f>M306*H306</f>
        <v>29.355062068460406</v>
      </c>
      <c r="Q306" s="508">
        <f>+$H$14</f>
        <v>140</v>
      </c>
      <c r="R306" s="510">
        <f>Q306*P306*$P$14/86400</f>
        <v>4.0431161876698936E-2</v>
      </c>
      <c r="S306" s="510"/>
      <c r="T306" s="510"/>
      <c r="U306" s="510">
        <f>IF(C306="","",T306*$P$17)</f>
        <v>0</v>
      </c>
      <c r="V306" s="510"/>
      <c r="W306" s="510"/>
      <c r="X306" s="510">
        <f>IF(C306="","",W306*$P$16)</f>
        <v>0</v>
      </c>
      <c r="Y306" s="510">
        <f>IF(H306=0,0,$H$15*H306)</f>
        <v>2.4226678460000001E-2</v>
      </c>
      <c r="Z306" s="510">
        <f>IF(L306=0,$H$16*H306,0)</f>
        <v>0</v>
      </c>
      <c r="AA306" s="471">
        <f t="shared" si="744"/>
        <v>3.8</v>
      </c>
      <c r="AB306" s="510">
        <f>R306*AA306</f>
        <v>0.15363841513145596</v>
      </c>
      <c r="AC306" s="510">
        <f>Q306*(N306+O306)*$P$14/86400</f>
        <v>4.0431161876698936E-2</v>
      </c>
      <c r="AD306" s="510">
        <f>IF(E306=0,0,$H$15*(E306+F306))</f>
        <v>2.4226678460000001E-2</v>
      </c>
      <c r="AE306" s="510">
        <f>IF(F306=0,0,$H$15*(F306+G306))</f>
        <v>0</v>
      </c>
      <c r="AF306" s="510">
        <f t="shared" si="737"/>
        <v>3.8</v>
      </c>
      <c r="AG306" s="510">
        <f>AC306*AF306</f>
        <v>0.15363841513145596</v>
      </c>
      <c r="AH306" s="510">
        <f>+AD306+AE306+AG306</f>
        <v>0.17786509359145597</v>
      </c>
      <c r="AI306" s="510">
        <f>IF(H306="","",IF(AB306+Y306+Z306+X306+U306&lt;1.5,1.5,AB306+Y306+Z306+X306+U306))</f>
        <v>1.5</v>
      </c>
      <c r="AJ306" s="510">
        <f>+$P$17</f>
        <v>0.75</v>
      </c>
      <c r="AK306" s="511">
        <f>+BK306/100</f>
        <v>0.11631759924976567</v>
      </c>
      <c r="AL306" s="510">
        <f>IF(AJ306=0," ",0.14+0.65*AJ306+0.05*AK306)</f>
        <v>0.63331587996248839</v>
      </c>
      <c r="AM306" s="512">
        <f>((100/36)*$AM$14*(AP306+$AN$14)^$AO$14)</f>
        <v>336.32613267542746</v>
      </c>
      <c r="AN306" s="513">
        <f>IF(B306=1,IF((0.702*(1.1-$AJ306)*SQRT($CO306))/(($CP306)^(1/3))&lt;5,5,(0.702*(1.1-$AJ306)*SQRT($CO306))/(($CP306)^(1/3))),AP333)</f>
        <v>5</v>
      </c>
      <c r="AO306" s="513">
        <f>((1/60)*$AX306/$AQ306)</f>
        <v>0.13329166666666667</v>
      </c>
      <c r="AP306" s="513">
        <f>IF(B306=1,IF(($AN306+$AO306)&lt;10,10,IF(($AN306+$AO306)&gt;20,20,($AN306+$AO306))),($AN306+$AO306))</f>
        <v>10</v>
      </c>
      <c r="AQ306" s="514">
        <v>4</v>
      </c>
      <c r="AR306" s="513">
        <f>((1/60)*$AX306/$BT306)</f>
        <v>0.16982728313243173</v>
      </c>
      <c r="AS306" s="513">
        <f>AO306/AR306</f>
        <v>0.78486603688245726</v>
      </c>
      <c r="AT306" s="510" t="str">
        <f>IF(AS306&lt;0.9,"Disminuir vel.",IF(AS306&gt;1.1,"Aumentar vel.","Cumple"))</f>
        <v>Disminuir vel.</v>
      </c>
      <c r="AU306" s="515">
        <f>+I306*AL306*AM306</f>
        <v>25.80149501173209</v>
      </c>
      <c r="AV306" s="510">
        <f>+L306*AL306*AM306</f>
        <v>25.80149501173209</v>
      </c>
      <c r="AW306" s="510">
        <f>ROUND(IF(AI306&gt;(AV306*0.05),(AV306+AI306),AV306),2)</f>
        <v>27.3</v>
      </c>
      <c r="AX306" s="516">
        <f>IF(OR(C306="",D306=""),"",ROUND(((VLOOKUP(C306,'Base de Diseño (2)'!$A$2:$C$333,2,FALSE)-VLOOKUP(D306,'Base de Diseño (2)'!$A$2:$C$333,2,FALSE))^2+(VLOOKUP(C306,'Base de Diseño (2)'!$A$2:$C$333,3,0)-VLOOKUP(D306,'Base de Diseño (2)'!$A$2:$C$333,3,FALSE))^2)^0.5,2))</f>
        <v>31.99</v>
      </c>
      <c r="AY306" s="517">
        <v>12</v>
      </c>
      <c r="AZ306" s="518">
        <v>284</v>
      </c>
      <c r="BA306" s="517">
        <v>4</v>
      </c>
      <c r="BB306" s="516">
        <v>988.68600000000004</v>
      </c>
      <c r="BC306" s="516">
        <v>984.96500000000003</v>
      </c>
      <c r="BD306" s="519">
        <f>+BF306-((AZ306/1000)+CX306)</f>
        <v>1.6505000000000001</v>
      </c>
      <c r="BE306" s="519">
        <f>+BG306-((AZ306/1000)+CX306)</f>
        <v>1.7304999999999997</v>
      </c>
      <c r="BF306" s="520">
        <v>1.95</v>
      </c>
      <c r="BG306" s="520">
        <v>2.0299999999999998</v>
      </c>
      <c r="BH306" s="521">
        <f>BB306-BF306</f>
        <v>986.73599999999999</v>
      </c>
      <c r="BI306" s="521">
        <f>BC306-BG306</f>
        <v>982.93500000000006</v>
      </c>
      <c r="BJ306" s="506">
        <f>IF(A306="",0,BI306-BH307)</f>
        <v>0.16000000000008185</v>
      </c>
      <c r="BK306" s="514">
        <f>ABS((BB306-BC306)/AX306)*100</f>
        <v>11.631759924976567</v>
      </c>
      <c r="BL306" s="514">
        <f>((BH306-BI306)/AX306)*100</f>
        <v>11.881838074398035</v>
      </c>
      <c r="BM306" s="514">
        <f>IF(BA306=6,(1/0.013)*((AZ306/4000)^(2/3))*((BL306/100)^(0.5)),(1/0.009)*((AZ306/4000)^(2/3))*((BL306/100)^(0.5)))</f>
        <v>6.5670683704832564</v>
      </c>
      <c r="BN306" s="514">
        <f>1000*BM306*PI()*((AZ306/1000/2)^2)</f>
        <v>416.00456778136822</v>
      </c>
      <c r="BO306" s="522">
        <f>AI306/BN306</f>
        <v>3.6057296389791736E-3</v>
      </c>
      <c r="BP306" s="523">
        <f>IF(L306=0," ",AW306/BN306)</f>
        <v>6.5624279429420965E-2</v>
      </c>
      <c r="BQ306" s="524">
        <f>IF($BO306&gt;0 =AND($BO306&lt;=0.06),10^(0.029806+0.29095*LOG($BO306)),IF($BO306&gt;0.06 =AND($BO306&lt;=0.26),10^(0.013778+0.282597*LOG($BO306)),IF($BO306&gt;0.26 =AND($BO306&lt;=0.91),10^(0.021763+0.28995*LOG($BO306)),1)))</f>
        <v>0.20845540475829211</v>
      </c>
      <c r="BR306" s="524">
        <f>IF($BP306&gt;0 =AND($BP306&lt;=0.06),10^(0.029806+0.29095*LOG($BP306)),IF($BP306&gt;0.06 =AND($BP306&lt;=0.26),10^(0.013778+0.282597*LOG($BP306)),IF($BP306&gt;0.26 =AND($BP306&lt;=2),10^(0.021763+0.28995*LOG($BP306))," ")))</f>
        <v>0.47806174238122068</v>
      </c>
      <c r="BS306" s="514">
        <f>BM306*BQ306</f>
        <v>1.3689408952444651</v>
      </c>
      <c r="BT306" s="514">
        <f>IF(BP306=" "," ",(BM306*BR306))</f>
        <v>3.1394641475298291</v>
      </c>
      <c r="BU306" s="514">
        <f>IF(BO306&lt;=0.11,0.3827+0.0645*LN(BO306),IF(BO306&lt;=0.21,0.60025+0.15471*LN(BO306),IF(BO306&lt;1,0.225+0.6666666667*BO306,0)))</f>
        <v>1.9872591964296416E-2</v>
      </c>
      <c r="BV306" s="514">
        <f>IF(BP306&lt;=0.11,0.3827+0.0645*LN(BP306),IF(BP306&lt;=0.21,0.60025+0.15471*LN(BP306),IF(BP306&lt;1,0.225+0.6666666667*BP306," ")))</f>
        <v>0.20701428478263373</v>
      </c>
      <c r="BW306" s="514">
        <f>2*ACOS(1-2*(BU306))</f>
        <v>0.56576525491501517</v>
      </c>
      <c r="BX306" s="514">
        <f>IF(BP306=" "," ",(2*ACOS(1-2*(BV306))))</f>
        <v>1.8894359640282696</v>
      </c>
      <c r="BY306" s="514">
        <f>(1/4)*(1-(SIN(BW306))/BW306)</f>
        <v>1.3125262600086035E-2</v>
      </c>
      <c r="BZ306" s="514">
        <f>IF(BP306=" "," ",((1/4)*(1-(SIN(BX306))/BX306)))</f>
        <v>0.124345772713923</v>
      </c>
      <c r="CA306" s="510">
        <f>BY306*AZ306/1000</f>
        <v>3.7275745784244338E-3</v>
      </c>
      <c r="CB306" s="510">
        <f>IF(BP306=" "," ",(BZ306*AZ306/1000))</f>
        <v>3.5314199450754133E-2</v>
      </c>
      <c r="CC306" s="510">
        <f>+(BS306/SQRT(9.81*(0.125*(BW306-SIN(BW306))*(AZ306/1000)^2)/((AZ306/1000)*SIN(BW306/2))))</f>
        <v>7.1110403821760571</v>
      </c>
      <c r="CD306" s="510" t="str">
        <f>IF(CC306="","",IF(CC306&lt;0.7,"F. Subcrítico",IF(AND(CC306&gt;0.7,CC306&lt;1),"F. Subcrítico Inestable",IF(CC306=1,"F. Crítico",IF(AND(CC306&gt;1,CC306&lt;1.5),"F. Supercrítico Inestable",IF(CC306&gt;1.5,"F. Supercrítico",""))))))</f>
        <v>F. Supercrítico</v>
      </c>
      <c r="CE306" s="510">
        <f>1000*BL306*CA306/100</f>
        <v>0.44290437551081641</v>
      </c>
      <c r="CF306" s="510">
        <f>IF(BP306=" "," ",(1000*BL306*CB306/100))</f>
        <v>4.1959759960085661</v>
      </c>
      <c r="CG306" s="510" t="str">
        <f>IF(BS306&lt;0.45,"No cumple",IF(BS306&gt;5,"No cumple","O.K"))</f>
        <v>O.K</v>
      </c>
      <c r="CH306" s="510" t="str">
        <f>IF(BT306&lt;0.75,"No cumple",IF(BT306&gt;10,"No cumple","O.K"))</f>
        <v>O.K</v>
      </c>
      <c r="CI306" s="510" t="str">
        <f>IF(CE306&gt;0.1,"OK","V.C.H.")</f>
        <v>OK</v>
      </c>
      <c r="CJ306" s="510" t="str">
        <f>IF(CF306&gt;0.2,"OK","V.C.H.")</f>
        <v>OK</v>
      </c>
      <c r="CK306" s="506">
        <f>+BJ306</f>
        <v>0.16000000000008185</v>
      </c>
      <c r="CL306" s="525" t="s">
        <v>2515</v>
      </c>
      <c r="CM306" s="525"/>
      <c r="CN306" s="526" t="str">
        <f>IF(B306=1,"dato"," ")</f>
        <v>dato</v>
      </c>
      <c r="CO306" s="527">
        <f>+CR306</f>
        <v>31.99</v>
      </c>
      <c r="CP306" s="511">
        <f>+BK306/100</f>
        <v>0.11631759924976567</v>
      </c>
      <c r="CQ306" s="525" t="s">
        <v>2508</v>
      </c>
      <c r="CR306" s="522">
        <f>IF(BA306="","",AX306)</f>
        <v>31.99</v>
      </c>
      <c r="CS306" s="528">
        <v>1.2</v>
      </c>
      <c r="CT306" s="528">
        <v>1.2</v>
      </c>
      <c r="CU306" s="519">
        <f>IF($BA306="","",SQRT((BH306-BI306)^2+$CR306^2))</f>
        <v>32.215022908574802</v>
      </c>
      <c r="CV306" s="529" t="s">
        <v>2509</v>
      </c>
      <c r="CW306" s="530" t="str">
        <f>+IF(BD306&lt;=0.9,"E1",IF(BD306&lt;=2.5,"E2","E3"))</f>
        <v>E2</v>
      </c>
      <c r="CX306" s="522">
        <v>1.55E-2</v>
      </c>
      <c r="CY306" s="525"/>
      <c r="CZ306" s="525"/>
      <c r="DA306" s="525"/>
      <c r="DB306" s="531"/>
    </row>
    <row r="307" spans="1:106" s="532" customFormat="1" ht="15" customHeight="1">
      <c r="A307" s="503">
        <f>+A306+1</f>
        <v>207</v>
      </c>
      <c r="B307" s="504"/>
      <c r="C307" s="505" t="s">
        <v>105</v>
      </c>
      <c r="D307" s="505" t="s">
        <v>108</v>
      </c>
      <c r="E307" s="506">
        <v>0.38656458110000003</v>
      </c>
      <c r="F307" s="506"/>
      <c r="G307" s="506">
        <f>IF(B307=1,0,SUMIF($D$22:$D$585,C307,$H$22:$H$585))</f>
        <v>0.1211333923</v>
      </c>
      <c r="H307" s="506">
        <f>+E307+F307+G307</f>
        <v>0.5076979734</v>
      </c>
      <c r="I307" s="506">
        <v>0.38656458109999997</v>
      </c>
      <c r="J307" s="506"/>
      <c r="K307" s="507">
        <f ca="1">+IF(B307=1,0,SUMIF($D$22:$D$585,C307,$L$22:$L$582))</f>
        <v>0.12113339229999999</v>
      </c>
      <c r="L307" s="506">
        <f ca="1">+I307+J307+K307</f>
        <v>0.5076979734</v>
      </c>
      <c r="M307" s="508">
        <f>+$P$12</f>
        <v>242.33666300502347</v>
      </c>
      <c r="N307" s="509">
        <f>M307*E307</f>
        <v>93.678770619708772</v>
      </c>
      <c r="O307" s="509">
        <f>M307*F307</f>
        <v>0</v>
      </c>
      <c r="P307" s="509">
        <f>M307*H307</f>
        <v>123.03383268816917</v>
      </c>
      <c r="Q307" s="508">
        <f>+$H$14</f>
        <v>140</v>
      </c>
      <c r="R307" s="510">
        <f>Q307*P307*$P$14/86400</f>
        <v>0.16945632048486262</v>
      </c>
      <c r="S307" s="510"/>
      <c r="T307" s="510"/>
      <c r="U307" s="510">
        <f>IF(C307="","",T307*$P$17)</f>
        <v>0</v>
      </c>
      <c r="V307" s="510"/>
      <c r="W307" s="510"/>
      <c r="X307" s="510">
        <f>IF(C307="","",W307*$P$16)</f>
        <v>0</v>
      </c>
      <c r="Y307" s="510">
        <f>IF(H307=0,0,$H$15*H307)</f>
        <v>0.10153959468000001</v>
      </c>
      <c r="Z307" s="510">
        <f ca="1">IF(L307=0,$H$16*H307,0)</f>
        <v>0</v>
      </c>
      <c r="AA307" s="471">
        <f t="shared" si="744"/>
        <v>3.8</v>
      </c>
      <c r="AB307" s="510">
        <f>R307*AA307</f>
        <v>0.64393401784247795</v>
      </c>
      <c r="AC307" s="510">
        <f>Q307*(N307+O307)*$P$14/86400</f>
        <v>0.12902515860816369</v>
      </c>
      <c r="AD307" s="510">
        <f>IF(E307=0,0,$H$15*(E307+F307))</f>
        <v>7.7312916220000014E-2</v>
      </c>
      <c r="AE307" s="510">
        <f>IF(F307=0,0,$H$15*(F307+G307))</f>
        <v>0</v>
      </c>
      <c r="AF307" s="510">
        <f t="shared" si="737"/>
        <v>3.8</v>
      </c>
      <c r="AG307" s="510">
        <f>AC307*AF307</f>
        <v>0.49029560271102196</v>
      </c>
      <c r="AH307" s="510">
        <f>+AD307+AE307+AG307</f>
        <v>0.56760851893102193</v>
      </c>
      <c r="AI307" s="510">
        <f ca="1">IF(H307="","",IF(AB307+Y307+Z307+X307+U307&lt;1.5,1.5,AB307+Y307+Z307+X307+U307))</f>
        <v>1.5</v>
      </c>
      <c r="AJ307" s="510">
        <f>+$P$17</f>
        <v>0.75</v>
      </c>
      <c r="AK307" s="511">
        <f>+BK307/100</f>
        <v>1.4838802533102317E-2</v>
      </c>
      <c r="AL307" s="510">
        <f>IF(AJ307=0," ",0.14+0.65*AJ307+0.05*AK307)</f>
        <v>0.62824194012665513</v>
      </c>
      <c r="AM307" s="512">
        <f>((100/36)*$AM$14*(AP307+$AN$14)^$AO$14)</f>
        <v>332.53599840885414</v>
      </c>
      <c r="AN307" s="513">
        <f>IF(B307=1,IF((0.702*(1.1-$AJ307)*SQRT($CO307))/(($CP307)^(1/3))&lt;5,5,(0.702*(1.1-$AJ307)*SQRT($CO307))/(($CP307)^(1/3))),AP306)</f>
        <v>10</v>
      </c>
      <c r="AO307" s="513">
        <f>((1/60)*$AX307/$AQ307)</f>
        <v>0.38600000000000007</v>
      </c>
      <c r="AP307" s="513">
        <f>IF(B307=1,IF(($AN307+$AO307)&lt;10,10,IF(($AN307+$AO307)&gt;20,20,($AN307+$AO307))),($AN307+$AO307))</f>
        <v>10.385999999999999</v>
      </c>
      <c r="AQ307" s="514">
        <v>3</v>
      </c>
      <c r="AR307" s="513">
        <f ca="1">((1/60)*$AX307/$BT307)</f>
        <v>0.47114102473476499</v>
      </c>
      <c r="AS307" s="513">
        <f ca="1">AO307/AR307</f>
        <v>0.81928760123851196</v>
      </c>
      <c r="AT307" s="510" t="str">
        <f ca="1">IF(AS307&lt;0.9,"Disminuir vel.",IF(AS307&gt;1.1,"Aumentar vel.","Cumple"))</f>
        <v>Disminuir vel.</v>
      </c>
      <c r="AU307" s="515">
        <f>+I307*AL307*AM307</f>
        <v>80.758389835372611</v>
      </c>
      <c r="AV307" s="510">
        <f ca="1">+L307*AL307*AM307</f>
        <v>106.06473758613537</v>
      </c>
      <c r="AW307" s="510">
        <f ca="1">ROUND(IF(AI307&gt;(AV307*0.05),(AV307+AI307),AV307),2)</f>
        <v>106.06</v>
      </c>
      <c r="AX307" s="516">
        <f>IF(OR(C307="",D307=""),"",ROUND(((VLOOKUP(C307,'Base de Diseño (2)'!$A$2:$C$333,2,FALSE)-VLOOKUP(D307,'Base de Diseño (2)'!$A$2:$C$333,2,FALSE))^2+(VLOOKUP(C307,'Base de Diseño (2)'!$A$2:$C$333,3,0)-VLOOKUP(D307,'Base de Diseño (2)'!$A$2:$C$333,3,FALSE))^2)^0.5,2))</f>
        <v>69.48</v>
      </c>
      <c r="AY307" s="517">
        <v>12</v>
      </c>
      <c r="AZ307" s="518">
        <v>284</v>
      </c>
      <c r="BA307" s="517">
        <v>4</v>
      </c>
      <c r="BB307" s="516">
        <v>984.96500000000003</v>
      </c>
      <c r="BC307" s="516">
        <v>985.99599999999998</v>
      </c>
      <c r="BD307" s="519">
        <f>+BF307-((AZ307/1000)+CX307)</f>
        <v>1.8904999999999998</v>
      </c>
      <c r="BE307" s="519">
        <f>+BG307-((AZ307/1000)+CX307)</f>
        <v>4.2954999999999997</v>
      </c>
      <c r="BF307" s="520">
        <v>2.19</v>
      </c>
      <c r="BG307" s="520">
        <v>4.5949999999999998</v>
      </c>
      <c r="BH307" s="521">
        <f>BB307-BF307</f>
        <v>982.77499999999998</v>
      </c>
      <c r="BI307" s="521">
        <f>BC307-BG307</f>
        <v>981.40099999999995</v>
      </c>
      <c r="BJ307" s="506">
        <f>IF(A307="",0,BI307-BH339)</f>
        <v>0.20499999999992724</v>
      </c>
      <c r="BK307" s="514">
        <f>ABS((BB307-BC307)/AX307)*100</f>
        <v>1.4838802533102318</v>
      </c>
      <c r="BL307" s="514">
        <f>((BH307-BI307)/AX307)*100</f>
        <v>1.9775474956822445</v>
      </c>
      <c r="BM307" s="514">
        <f>IF(BA307=6,(1/0.013)*((AZ307/4000)^(2/3))*((BL307/100)^(0.5)),(1/0.009)*((AZ307/4000)^(2/3))*((BL307/100)^(0.5)))</f>
        <v>2.6791262803287248</v>
      </c>
      <c r="BN307" s="514">
        <f>1000*BM307*PI()*((AZ307/1000/2)^2)</f>
        <v>169.71481145061389</v>
      </c>
      <c r="BO307" s="522">
        <f ca="1">AI307/BN307</f>
        <v>8.8383564591620334E-3</v>
      </c>
      <c r="BP307" s="523">
        <f ca="1">IF(L307=0," ",AW307/BN307)</f>
        <v>0.62493072403915018</v>
      </c>
      <c r="BQ307" s="524">
        <f ca="1">IF($BO307&gt;0 =AND($BO307&lt;=0.06),10^(0.029806+0.29095*LOG($BO307)),IF($BO307&gt;0.06 =AND($BO307&lt;=0.26),10^(0.013778+0.282597*LOG($BO307)),IF($BO307&gt;0.26 =AND($BO307&lt;=0.91),10^(0.021763+0.28995*LOG($BO307)),1)))</f>
        <v>0.27058442312956255</v>
      </c>
      <c r="BR307" s="524">
        <f ca="1">IF($BP307&gt;0 =AND($BP307&lt;=0.06),10^(0.029806+0.29095*LOG($BP307)),IF($BP307&gt;0.06 =AND($BP307&lt;=0.26),10^(0.013778+0.282597*LOG($BP307)),IF($BP307&gt;0.26 =AND($BP307&lt;=2),10^(0.021763+0.28995*LOG($BP307))," ")))</f>
        <v>0.91741207637810929</v>
      </c>
      <c r="BS307" s="514">
        <f ca="1">BM307*BQ307</f>
        <v>0.72492983905399866</v>
      </c>
      <c r="BT307" s="514">
        <f ca="1">IF(BP307=" "," ",(BM307*BR307))</f>
        <v>2.4578628037155359</v>
      </c>
      <c r="BU307" s="514">
        <f ca="1">IF(BO307&lt;=0.11,0.3827+0.0645*LN(BO307),IF(BO307&lt;=0.21,0.60025+0.15471*LN(BO307),IF(BO307&lt;1,0.225+0.6666666667*BO307,0)))</f>
        <v>7.7701795035989618E-2</v>
      </c>
      <c r="BV307" s="514">
        <f ca="1">IF(BP307&lt;=0.11,0.3827+0.0645*LN(BP307),IF(BP307&lt;=0.21,0.60025+0.15471*LN(BP307),IF(BP307&lt;1,0.225+0.6666666667*BP307," ")))</f>
        <v>0.64162048271359784</v>
      </c>
      <c r="BW307" s="514">
        <f ca="1">2*ACOS(1-2*(BU307))</f>
        <v>1.1299708279274596</v>
      </c>
      <c r="BX307" s="514">
        <f ca="1">IF(BP307=" "," ",(2*ACOS(1-2*(BV307))))</f>
        <v>3.7159362236906697</v>
      </c>
      <c r="BY307" s="514">
        <f ca="1">(1/4)*(1-(SIN(BW307))/BW307)</f>
        <v>4.990639579122208E-2</v>
      </c>
      <c r="BZ307" s="514">
        <f ca="1">IF(BP307=" "," ",((1/4)*(1-(SIN(BX307))/BX307)))</f>
        <v>0.2865509369598338</v>
      </c>
      <c r="CA307" s="510">
        <f ca="1">BY307*AZ307/1000</f>
        <v>1.4173416404707071E-2</v>
      </c>
      <c r="CB307" s="510">
        <f ca="1">IF(BP307=" "," ",(BZ307*AZ307/1000))</f>
        <v>8.1380466096592802E-2</v>
      </c>
      <c r="CC307" s="510">
        <f ca="1">+(BS307/SQRT(9.81*(0.125*(BW307-SIN(BW307))*(AZ307/1000)^2)/((AZ307/1000)*SIN(BW307/2))))</f>
        <v>1.8925448614374107</v>
      </c>
      <c r="CD307" s="510" t="str">
        <f ca="1">IF(CC307="","",IF(CC307&lt;0.7,"F. Subcrítico",IF(AND(CC307&gt;0.7,CC307&lt;1),"F. Subcrítico Inestable",IF(CC307=1,"F. Crítico",IF(AND(CC307&gt;1,CC307&lt;1.5),"F. Supercrítico Inestable",IF(CC307&gt;1.5,"F. Supercrítico",""))))))</f>
        <v>F. Supercrítico</v>
      </c>
      <c r="CE307" s="510">
        <f ca="1">1000*BL307*CA307/100</f>
        <v>0.2802860411639011</v>
      </c>
      <c r="CF307" s="510">
        <f ca="1">IF(BP307=" "," ",(1000*BL307*CB307/100))</f>
        <v>1.6093373692677091</v>
      </c>
      <c r="CG307" s="510" t="str">
        <f ca="1">IF(BS307&lt;0.45,"No cumple",IF(BS307&gt;5,"No cumple","O.K"))</f>
        <v>O.K</v>
      </c>
      <c r="CH307" s="510" t="str">
        <f ca="1">IF(BT307&lt;0.75,"No cumple",IF(BT307&gt;10,"No cumple","O.K"))</f>
        <v>O.K</v>
      </c>
      <c r="CI307" s="510" t="str">
        <f ca="1">IF(CE307&gt;0.1,"OK","V.C.H.")</f>
        <v>OK</v>
      </c>
      <c r="CJ307" s="510" t="str">
        <f ca="1">IF(CF307&gt;0.2,"OK","V.C.H.")</f>
        <v>OK</v>
      </c>
      <c r="CK307" s="506">
        <f>+BJ307</f>
        <v>0.20499999999992724</v>
      </c>
      <c r="CL307" s="525" t="s">
        <v>2515</v>
      </c>
      <c r="CM307" s="525"/>
      <c r="CN307" s="526" t="str">
        <f>IF(B307=1,"dato"," ")</f>
        <v xml:space="preserve"> </v>
      </c>
      <c r="CO307" s="527">
        <f>+CR307</f>
        <v>69.48</v>
      </c>
      <c r="CP307" s="511">
        <f>+BK307/100</f>
        <v>1.4838802533102317E-2</v>
      </c>
      <c r="CQ307" s="525" t="s">
        <v>2508</v>
      </c>
      <c r="CR307" s="522">
        <f>IF(BA307="","",AX307)</f>
        <v>69.48</v>
      </c>
      <c r="CS307" s="528">
        <v>1.2</v>
      </c>
      <c r="CT307" s="528">
        <v>1.2</v>
      </c>
      <c r="CU307" s="519">
        <f>IF($BA307="","",SQRT((BH307-BI307)^2+$CR307^2))</f>
        <v>69.493584423312058</v>
      </c>
      <c r="CV307" s="529" t="s">
        <v>2509</v>
      </c>
      <c r="CW307" s="530" t="str">
        <f>+IF(BD307&lt;=0.9,"E1",IF(BD307&lt;=2.5,"E2","E3"))</f>
        <v>E2</v>
      </c>
      <c r="CX307" s="522">
        <v>1.55E-2</v>
      </c>
      <c r="CY307" s="525"/>
      <c r="CZ307" s="525"/>
      <c r="DA307" s="525"/>
      <c r="DB307" s="531"/>
    </row>
    <row r="308" spans="1:106" ht="15" customHeight="1">
      <c r="A308" s="465"/>
      <c r="B308" s="491"/>
      <c r="C308" s="466"/>
      <c r="D308" s="466"/>
      <c r="E308" s="468"/>
      <c r="F308" s="468"/>
      <c r="G308" s="468"/>
      <c r="H308" s="468"/>
      <c r="I308" s="468"/>
      <c r="J308" s="468"/>
      <c r="K308" s="467"/>
      <c r="L308" s="468"/>
      <c r="M308" s="469"/>
      <c r="N308" s="470"/>
      <c r="O308" s="470"/>
      <c r="P308" s="470"/>
      <c r="Q308" s="469"/>
      <c r="R308" s="471"/>
      <c r="S308" s="471"/>
      <c r="T308" s="471"/>
      <c r="U308" s="471"/>
      <c r="V308" s="471"/>
      <c r="W308" s="471"/>
      <c r="X308" s="471"/>
      <c r="Y308" s="471"/>
      <c r="Z308" s="471"/>
      <c r="AA308" s="471" t="str">
        <f t="shared" si="744"/>
        <v/>
      </c>
      <c r="AB308" s="471"/>
      <c r="AC308" s="471"/>
      <c r="AD308" s="471"/>
      <c r="AE308" s="471"/>
      <c r="AF308" s="471" t="str">
        <f t="shared" si="737"/>
        <v/>
      </c>
      <c r="AG308" s="471"/>
      <c r="AH308" s="471"/>
      <c r="AI308" s="471"/>
      <c r="AJ308" s="471"/>
      <c r="AK308" s="472"/>
      <c r="AL308" s="471"/>
      <c r="AM308" s="473"/>
      <c r="AN308" s="474"/>
      <c r="AO308" s="474"/>
      <c r="AP308" s="474"/>
      <c r="AQ308" s="475"/>
      <c r="AR308" s="474"/>
      <c r="AS308" s="474"/>
      <c r="AT308" s="471"/>
      <c r="AU308" s="492"/>
      <c r="AV308" s="471"/>
      <c r="AW308" s="471"/>
      <c r="AX308" s="478"/>
      <c r="AY308" s="493"/>
      <c r="AZ308" s="480"/>
      <c r="BA308" s="493"/>
      <c r="BB308" s="478" t="str">
        <f>IF(OR(C308="",D308=""),"",VLOOKUP(C308,'Base de Diseño (2)'!$A$2:$D$330,4,FALSE))</f>
        <v/>
      </c>
      <c r="BC308" s="478" t="str">
        <f>IF(OR(C308="",D308=""),"",VLOOKUP(D308,'Base de Diseño (2)'!$A$2:$D$330,4,FALSE))</f>
        <v/>
      </c>
      <c r="BD308" s="466"/>
      <c r="BE308" s="466"/>
      <c r="BF308" s="494"/>
      <c r="BG308" s="494"/>
      <c r="BH308" s="495"/>
      <c r="BI308" s="495"/>
      <c r="BJ308" s="468"/>
      <c r="BK308" s="475"/>
      <c r="BL308" s="475"/>
      <c r="BM308" s="475"/>
      <c r="BN308" s="475"/>
      <c r="BO308" s="204"/>
      <c r="BP308" s="496"/>
      <c r="BQ308" s="497"/>
      <c r="BR308" s="497"/>
      <c r="BS308" s="475"/>
      <c r="BT308" s="475"/>
      <c r="BU308" s="475"/>
      <c r="BV308" s="475"/>
      <c r="BW308" s="475"/>
      <c r="BX308" s="475"/>
      <c r="BY308" s="475"/>
      <c r="BZ308" s="475"/>
      <c r="CA308" s="471"/>
      <c r="CB308" s="471"/>
      <c r="CC308" s="471"/>
      <c r="CD308" s="471"/>
      <c r="CE308" s="471"/>
      <c r="CF308" s="471"/>
      <c r="CG308" s="471"/>
      <c r="CH308" s="471"/>
      <c r="CI308" s="471"/>
      <c r="CJ308" s="471"/>
      <c r="CK308" s="468"/>
      <c r="CL308" s="482"/>
      <c r="CM308" s="482"/>
      <c r="CN308" s="63"/>
      <c r="CO308" s="498"/>
      <c r="CP308" s="472"/>
      <c r="CQ308" s="482"/>
      <c r="CR308" s="204"/>
      <c r="CS308" s="486"/>
      <c r="CT308" s="486"/>
      <c r="CU308" s="23"/>
      <c r="CV308" s="499"/>
      <c r="CW308" s="488"/>
      <c r="CX308" s="204"/>
      <c r="CY308" s="482"/>
      <c r="CZ308" s="482"/>
      <c r="DA308" s="482"/>
      <c r="DB308" s="490"/>
    </row>
    <row r="309" spans="1:106" ht="15" hidden="1" customHeight="1">
      <c r="A309" s="465">
        <f>+A307+1</f>
        <v>208</v>
      </c>
      <c r="B309" s="491">
        <v>1</v>
      </c>
      <c r="C309" s="466" t="s">
        <v>104</v>
      </c>
      <c r="D309" s="466" t="s">
        <v>2080</v>
      </c>
      <c r="E309" s="468">
        <v>0.258978969</v>
      </c>
      <c r="F309" s="468"/>
      <c r="G309" s="468">
        <f>IF(B309=1,0,SUMIF($D$22:$D$583,C309,$H$22:$H$583))</f>
        <v>0</v>
      </c>
      <c r="H309" s="468">
        <f>+E309+F309+G309</f>
        <v>0.258978969</v>
      </c>
      <c r="I309" s="468">
        <v>0.258978969</v>
      </c>
      <c r="J309" s="468"/>
      <c r="K309" s="467">
        <f>+IF(B309=1,0,SUMIF($D$22:$D$583,C309,$L$22:$L$580))</f>
        <v>0</v>
      </c>
      <c r="L309" s="468">
        <f>+I309+J309+K309</f>
        <v>0.258978969</v>
      </c>
      <c r="M309" s="469">
        <f>+$P$12</f>
        <v>242.33666300502347</v>
      </c>
      <c r="N309" s="470">
        <f>M309*E309</f>
        <v>62.760099135941424</v>
      </c>
      <c r="O309" s="470">
        <f>M309*F309</f>
        <v>0</v>
      </c>
      <c r="P309" s="470">
        <f>M309*H309</f>
        <v>62.760099135941424</v>
      </c>
      <c r="Q309" s="469">
        <f>+$H$14</f>
        <v>140</v>
      </c>
      <c r="R309" s="471">
        <f>Q309*P309*$P$14/86400</f>
        <v>8.644041431917858E-2</v>
      </c>
      <c r="S309" s="471"/>
      <c r="T309" s="471"/>
      <c r="U309" s="471">
        <f>IF(C309="","",T309*$P$17)</f>
        <v>0</v>
      </c>
      <c r="V309" s="471"/>
      <c r="W309" s="471"/>
      <c r="X309" s="471">
        <f>IF(C309="","",W309*$P$16)</f>
        <v>0</v>
      </c>
      <c r="Y309" s="471">
        <f>IF(H309=0,0,$H$15*H309)</f>
        <v>5.1795793800000003E-2</v>
      </c>
      <c r="Z309" s="471">
        <f>IF(L309=0,$H$16*H309,0)</f>
        <v>0</v>
      </c>
      <c r="AA309" s="471">
        <f t="shared" si="744"/>
        <v>3.8</v>
      </c>
      <c r="AB309" s="471">
        <f>R309*AA309</f>
        <v>0.32847357441287861</v>
      </c>
      <c r="AC309" s="471">
        <f>Q309*(N309+O309)*$P$14/86400</f>
        <v>8.644041431917858E-2</v>
      </c>
      <c r="AD309" s="471">
        <f>IF(E309=0,0,$H$15*(E309+F309))</f>
        <v>5.1795793800000003E-2</v>
      </c>
      <c r="AE309" s="471">
        <f>IF(F309=0,0,$H$15*(F309+G309))</f>
        <v>0</v>
      </c>
      <c r="AF309" s="510">
        <f t="shared" si="737"/>
        <v>3.8</v>
      </c>
      <c r="AG309" s="471">
        <f>AC309*AF309</f>
        <v>0.32847357441287861</v>
      </c>
      <c r="AH309" s="471">
        <f>+AD309+AE309+AG309</f>
        <v>0.3802693682128786</v>
      </c>
      <c r="AI309" s="471">
        <f>IF(H309="","",IF(AB309+Y309+Z309+X309+U309&lt;1.5,1.5,AB309+Y309+Z309+X309+U309))</f>
        <v>1.5</v>
      </c>
      <c r="AJ309" s="471">
        <f>+$P$17</f>
        <v>0.75</v>
      </c>
      <c r="AK309" s="472">
        <f>+BK309/100</f>
        <v>1.8184658647086193E-2</v>
      </c>
      <c r="AL309" s="471">
        <f>IF(AJ309=0," ",0.14+0.65*AJ309+0.05*AK309)</f>
        <v>0.6284092329323544</v>
      </c>
      <c r="AM309" s="473">
        <f>((100/36)*$AM$14*(AP309+$AN$14)^$AO$14)</f>
        <v>336.32613267542746</v>
      </c>
      <c r="AN309" s="474">
        <f>IF(B309=1,IF((0.702*(1.1-$AJ309)*SQRT($CO309))/(($CP309)^(1/3))&lt;5,5,(0.702*(1.1-$AJ309)*SQRT($CO309))/(($CP309)^(1/3))),AP308)</f>
        <v>7.4752780686444664</v>
      </c>
      <c r="AO309" s="474">
        <f>((1/60)*$AX309/$AQ309)</f>
        <v>0.3556111111111111</v>
      </c>
      <c r="AP309" s="474">
        <f>IF(B309=1,IF(($AN309+$AO309)&lt;10,10,IF(($AN309+$AO309)&gt;20,20,($AN309+$AO309))),($AN309+$AO309))</f>
        <v>10</v>
      </c>
      <c r="AQ309" s="475">
        <v>3</v>
      </c>
      <c r="AR309" s="474">
        <f>((1/60)*$AX309/$BT309)</f>
        <v>0.77958592924400638</v>
      </c>
      <c r="AS309" s="474">
        <f>AO309/AR309</f>
        <v>0.45615383471063992</v>
      </c>
      <c r="AT309" s="471" t="str">
        <f>IF(AS309&lt;0.9,"Disminuir vel.",IF(AS309&gt;1.1,"Aumentar vel.","Cumple"))</f>
        <v>Disminuir vel.</v>
      </c>
      <c r="AU309" s="492">
        <f>+I309*AL309*AM309</f>
        <v>54.735320874612789</v>
      </c>
      <c r="AV309" s="471">
        <f>+L309*AL309*AM309</f>
        <v>54.735320874612789</v>
      </c>
      <c r="AW309" s="471">
        <f>ROUND(IF(AI309&gt;(AV309*0.05),(AV309+AI309),AV309),2)</f>
        <v>54.74</v>
      </c>
      <c r="AX309" s="478">
        <f>IF(OR(C309="",D309=""),"",ROUND(((VLOOKUP(C309,'Base de Diseño (2)'!$A$2:$C$333,2,FALSE)-VLOOKUP(D309,'Base de Diseño (2)'!$A$2:$C$333,2,FALSE))^2+(VLOOKUP(C309,'Base de Diseño (2)'!$A$2:$C$333,3,0)-VLOOKUP(D309,'Base de Diseño (2)'!$A$2:$C$333,3,FALSE))^2)^0.5,2))</f>
        <v>64.010000000000005</v>
      </c>
      <c r="AY309" s="493">
        <v>8</v>
      </c>
      <c r="AZ309" s="480">
        <f>IF(AND(L309="",H309=""),"",IF(BA309=4,VLOOKUP(AY309,'TABLA (2)'!$A$74:$C$89,2),IF(BA309=5,VLOOKUP(AY309,'TABLA (2)'!$A$51:$B$66,2),IF(BA309=6,VLOOKUP(AY309,'TABLA (2)'!$A$9:$B$43,2)))))</f>
        <v>200</v>
      </c>
      <c r="BA309" s="493">
        <v>6</v>
      </c>
      <c r="BB309" s="478">
        <f>IF(OR(C309="",D309=""),"",VLOOKUP(C309,'Base de Diseño (2)'!$A$2:$D$330,4,FALSE))</f>
        <v>988.69399999999996</v>
      </c>
      <c r="BC309" s="478">
        <f>IF(OR(C309="",D309=""),"",VLOOKUP(D309,'Base de Diseño (2)'!$A$2:$D$330,4,FALSE))</f>
        <v>987.53</v>
      </c>
      <c r="BD309" s="23">
        <f>+BF309-((AZ309/1000)+CX309)</f>
        <v>1.8129999999999544</v>
      </c>
      <c r="BE309" s="23">
        <f>+BG309-((AZ309/1000)+CX309)</f>
        <v>1.432999999999959</v>
      </c>
      <c r="BF309" s="494">
        <v>2.0499999999999545</v>
      </c>
      <c r="BG309" s="494">
        <v>1.6699999999999591</v>
      </c>
      <c r="BH309" s="495">
        <f>BB309-BF309</f>
        <v>986.64400000000001</v>
      </c>
      <c r="BI309" s="495">
        <f>BC309-BG309</f>
        <v>985.86</v>
      </c>
      <c r="BJ309" s="468">
        <f>IF(A309="",0,BI309-BH310)</f>
        <v>0.55000000000006821</v>
      </c>
      <c r="BK309" s="475">
        <f>ABS((BB309-BC309)/AX309)*100</f>
        <v>1.8184658647086194</v>
      </c>
      <c r="BL309" s="475">
        <f>((BH309-BI309)/AX309)*100</f>
        <v>1.2248086236525413</v>
      </c>
      <c r="BM309" s="475">
        <f>IF(BA309=6,(1/0.013)*((AZ309/4000)^(2/3))*((BL309/100)^(0.5)),(1/0.009)*((AZ309/4000)^(2/3))*((BL309/100)^(0.5)))</f>
        <v>1.1554134931019773</v>
      </c>
      <c r="BN309" s="475">
        <f>1000*BM309*PI()*((AZ309/1000/2)^2)</f>
        <v>36.298385417876936</v>
      </c>
      <c r="BO309" s="204">
        <f>AI309/BN309</f>
        <v>4.132415210019922E-2</v>
      </c>
      <c r="BP309" s="496">
        <f>IF(L309=0," ",AW309/BN309)</f>
        <v>1.5080560573099371</v>
      </c>
      <c r="BQ309" s="497">
        <f>IF($BO309&gt;0 =AND($BO309&lt;=0.06),10^(0.029806+0.29095*LOG($BO309)),IF($BO309&gt;0.06 =AND($BO309&lt;=0.26),10^(0.013778+0.282597*LOG($BO309)),IF($BO309&gt;0.26 =AND($BO309&lt;=0.91),10^(0.021763+0.28995*LOG($BO309)),1)))</f>
        <v>0.4238288732990188</v>
      </c>
      <c r="BR309" s="497">
        <f>IF($BP309&gt;0 =AND($BP309&lt;=0.06),10^(0.029806+0.29095*LOG($BP309)),IF($BP309&gt;0.06 =AND($BP309&lt;=0.26),10^(0.013778+0.282597*LOG($BP309)),IF($BP309&gt;0.26 =AND($BP309&lt;=2),10^(0.021763+0.28995*LOG($BP309))," ")))</f>
        <v>1.18439113988358</v>
      </c>
      <c r="BS309" s="475">
        <f>BM309*BQ309</f>
        <v>0.48969759897589465</v>
      </c>
      <c r="BT309" s="475">
        <f>IF(BP309=" "," ",(BM309*BR309))</f>
        <v>1.3684615041319197</v>
      </c>
      <c r="BU309" s="475">
        <f>IF(BO309&lt;=0.11,0.3827+0.0645*LN(BO309),IF(BO309&lt;=0.21,0.60025+0.15471*LN(BO309),IF(BO309&lt;1,0.225+0.6666666667*BO309,0)))</f>
        <v>0.17718312411040449</v>
      </c>
      <c r="BV309" s="475" t="str">
        <f>IF(BP309&lt;=0.11,0.3827+0.0645*LN(BP309),IF(BP309&lt;=0.21,0.60025+0.15471*LN(BP309),IF(BP309&lt;1,0.225+0.6666666667*BP309," ")))</f>
        <v xml:space="preserve"> </v>
      </c>
      <c r="BW309" s="475">
        <f>2*ACOS(1-2*(BU309))</f>
        <v>1.7378868663188769</v>
      </c>
      <c r="BX309" s="475" t="e">
        <f>IF(BP309=" "," ",(2*ACOS(1-2*(BV309))))</f>
        <v>#VALUE!</v>
      </c>
      <c r="BY309" s="475">
        <f>(1/4)*(1-(SIN(BW309))/BW309)</f>
        <v>0.10815060185755632</v>
      </c>
      <c r="BZ309" s="475" t="e">
        <f>IF(BP309=" "," ",((1/4)*(1-(SIN(BX309))/BX309)))</f>
        <v>#VALUE!</v>
      </c>
      <c r="CA309" s="471">
        <f>BY309*AZ309/1000</f>
        <v>2.1630120371511265E-2</v>
      </c>
      <c r="CB309" s="471" t="e">
        <f>IF(BP309=" "," ",(BZ309*AZ309/1000))</f>
        <v>#VALUE!</v>
      </c>
      <c r="CC309" s="471" t="e">
        <f>+(BT309/SQRT(9.81*(0.125*(BX309-SIN(BX309))*(AZ309/1000)^2)/((AZ309/1000)*SIN(BX309/2))))</f>
        <v>#VALUE!</v>
      </c>
      <c r="CD309" s="471" t="e">
        <f>IF(CC309="","",IF(CC309&lt;0.7,"F. Subcrítico",IF(AND(CC309&gt;0.7,CC309&lt;1),"F. Subcrítico Inestable",IF(CC309=1,"F. Crítico",IF(AND(CC309&gt;1,CC309&lt;1.5),"F. Supercrítico Inestable",IF(CC309&gt;1.5,"F. Supercrítico",""))))))</f>
        <v>#VALUE!</v>
      </c>
      <c r="CE309" s="471">
        <f>1000*BL309*CA309/100</f>
        <v>0.26492757961669505</v>
      </c>
      <c r="CF309" s="471" t="e">
        <f>IF(BP309=" "," ",(1000*BL309*CB309/100))</f>
        <v>#VALUE!</v>
      </c>
      <c r="CG309" s="471" t="str">
        <f>IF(BS309&lt;0.45,"No cumple",IF(BS309&gt;5,"No cumple","O.K"))</f>
        <v>O.K</v>
      </c>
      <c r="CH309" s="471" t="str">
        <f>IF(BT309&lt;0.75,"No cumple",IF(BT309&gt;10,"No cumple","O.K"))</f>
        <v>O.K</v>
      </c>
      <c r="CI309" s="471" t="str">
        <f>IF(CE309&gt;0.1,"OK","V.C.H.")</f>
        <v>OK</v>
      </c>
      <c r="CJ309" s="471" t="e">
        <f>IF(CF309&gt;0.2,"OK","V.C.H.")</f>
        <v>#VALUE!</v>
      </c>
      <c r="CK309" s="468">
        <f>+BJ309</f>
        <v>0.55000000000006821</v>
      </c>
      <c r="CL309" s="482" t="s">
        <v>2507</v>
      </c>
      <c r="CM309" s="482"/>
      <c r="CN309" s="63" t="str">
        <f>IF(B309=1,"dato"," ")</f>
        <v>dato</v>
      </c>
      <c r="CO309" s="498">
        <f>+CR309</f>
        <v>64.010000000000005</v>
      </c>
      <c r="CP309" s="472">
        <f>+BK309/100</f>
        <v>1.8184658647086193E-2</v>
      </c>
      <c r="CQ309" s="482" t="s">
        <v>2508</v>
      </c>
      <c r="CR309" s="204">
        <f>IF(BA309="","",AX309)</f>
        <v>64.010000000000005</v>
      </c>
      <c r="CS309" s="486">
        <v>1.2</v>
      </c>
      <c r="CT309" s="486">
        <v>1.2</v>
      </c>
      <c r="CU309" s="23">
        <f>IF($BA309="","",SQRT((BH309-BI309)^2+$CR309^2))</f>
        <v>64.014801069752622</v>
      </c>
      <c r="CV309" s="499" t="s">
        <v>2509</v>
      </c>
      <c r="CW309" s="488" t="str">
        <f>+IF(BD309&lt;=0.9,"E1",IF(BD309&lt;=2.5,"E2","E3"))</f>
        <v>E2</v>
      </c>
      <c r="CX309" s="204">
        <f>IF(AND(L309="",H309=""),"",IF(AND(BA309&lt;&gt;4,BA309&lt;&gt;5),VLOOKUP(AY309,'TABLA (2)'!$A$9:$D$43,4),IF(BA309=4,VLOOKUP(AY309,'TABLA (2)'!$A$74:$D$89,4),VLOOKUP(AY309,'TABLA (2)'!$A$51:$D$66,4))))</f>
        <v>3.6999999999999998E-2</v>
      </c>
      <c r="CY309" s="482"/>
      <c r="CZ309" s="482"/>
      <c r="DA309" s="482"/>
      <c r="DB309" s="490"/>
    </row>
    <row r="310" spans="1:106" ht="15" hidden="1" customHeight="1">
      <c r="A310" s="465">
        <f>+A309+1</f>
        <v>209</v>
      </c>
      <c r="B310" s="491"/>
      <c r="C310" s="466" t="s">
        <v>2080</v>
      </c>
      <c r="D310" s="466" t="s">
        <v>2200</v>
      </c>
      <c r="E310" s="468">
        <v>0.1856932017</v>
      </c>
      <c r="F310" s="468"/>
      <c r="G310" s="468">
        <f>IF(B310=1,0,SUMIF($D$22:$D$583,C310,$H$22:$H$583))</f>
        <v>0.48726045480000002</v>
      </c>
      <c r="H310" s="468">
        <f>+E310+F310+G310</f>
        <v>0.67295365650000005</v>
      </c>
      <c r="I310" s="468">
        <v>0.1856932017</v>
      </c>
      <c r="J310" s="468"/>
      <c r="K310" s="467">
        <f ca="1">+IF(B310=1,0,SUMIF($D$22:$D$583,C310,$L$22:$L$580))</f>
        <v>0.48726045480000002</v>
      </c>
      <c r="L310" s="468">
        <f ca="1">+I310+J310+K310</f>
        <v>0.67295365650000005</v>
      </c>
      <c r="M310" s="469">
        <f>+$P$12</f>
        <v>242.33666300502347</v>
      </c>
      <c r="N310" s="470">
        <f>M310*E310</f>
        <v>45.00027084269675</v>
      </c>
      <c r="O310" s="470">
        <f>M310*F310</f>
        <v>0</v>
      </c>
      <c r="P310" s="470">
        <f>M310*H310</f>
        <v>163.08134347323883</v>
      </c>
      <c r="Q310" s="469">
        <f>+$H$14</f>
        <v>140</v>
      </c>
      <c r="R310" s="471">
        <f>Q310*P310*$P$14/86400</f>
        <v>0.22461435038559516</v>
      </c>
      <c r="S310" s="471"/>
      <c r="T310" s="471"/>
      <c r="U310" s="471">
        <f>IF(C310="","",T310*$P$17)</f>
        <v>0</v>
      </c>
      <c r="V310" s="471"/>
      <c r="W310" s="471"/>
      <c r="X310" s="471">
        <f>IF(C310="","",W310*$P$16)</f>
        <v>0</v>
      </c>
      <c r="Y310" s="471">
        <f>IF(H310=0,0,$H$15*H310)</f>
        <v>0.13459073130000002</v>
      </c>
      <c r="Z310" s="471">
        <f ca="1">IF(L310=0,$H$16*H310,0)</f>
        <v>0</v>
      </c>
      <c r="AA310" s="471">
        <f t="shared" si="744"/>
        <v>3.8</v>
      </c>
      <c r="AB310" s="471">
        <f>R310*AA310</f>
        <v>0.85353453146526159</v>
      </c>
      <c r="AC310" s="471">
        <f>Q310*(N310+O310)*$P$14/86400</f>
        <v>6.1979539702325379E-2</v>
      </c>
      <c r="AD310" s="471">
        <f>IF(E310=0,0,$H$15*(E310+F310))</f>
        <v>3.7138640340000001E-2</v>
      </c>
      <c r="AE310" s="471">
        <f>IF(F310=0,0,$H$15*(F310+G310))</f>
        <v>0</v>
      </c>
      <c r="AF310" s="510">
        <f t="shared" si="737"/>
        <v>3.8</v>
      </c>
      <c r="AG310" s="471">
        <f>AC310*AF310</f>
        <v>0.23552225086883644</v>
      </c>
      <c r="AH310" s="471">
        <f>+AD310+AE310+AG310</f>
        <v>0.27266089120883641</v>
      </c>
      <c r="AI310" s="471">
        <f ca="1">IF(H310="","",IF(AB310+Y310+Z310+X310+U310&lt;1.5,1.5,AB310+Y310+Z310+X310+U310))</f>
        <v>1.5</v>
      </c>
      <c r="AJ310" s="471">
        <f>+$P$17</f>
        <v>0.75</v>
      </c>
      <c r="AK310" s="472">
        <f>+BK310/100</f>
        <v>7.7229946524062384E-2</v>
      </c>
      <c r="AL310" s="471">
        <f>IF(AJ310=0," ",0.14+0.65*AJ310+0.05*AK310)</f>
        <v>0.63136149732620317</v>
      </c>
      <c r="AM310" s="473">
        <f>((100/36)*$AM$14*(AP310+$AN$14)^$AO$14)</f>
        <v>334.27574089086676</v>
      </c>
      <c r="AN310" s="474">
        <f>IF(B310=1,IF((0.702*(1.1-$AJ310)*SQRT($CO310))/(($CP310)^(1/3))&lt;5,5,(0.702*(1.1-$AJ310)*SQRT($CO310))/(($CP310)^(1/3))),AP309)</f>
        <v>10</v>
      </c>
      <c r="AO310" s="474">
        <f>((1/60)*$AX310/$AQ310)</f>
        <v>0.20777777777777776</v>
      </c>
      <c r="AP310" s="474">
        <f>IF(B310=1,IF(($AN310+$AO310)&lt;10,10,IF(($AN310+$AO310)&gt;20,20,($AN310+$AO310))),($AN310+$AO310))</f>
        <v>10.207777777777778</v>
      </c>
      <c r="AQ310" s="475">
        <v>3</v>
      </c>
      <c r="AR310" s="474">
        <f ca="1">((1/60)*$AX310/$BT310)</f>
        <v>0.18080038341927032</v>
      </c>
      <c r="AS310" s="474">
        <f ca="1">AO310/AR310</f>
        <v>1.149210935553979</v>
      </c>
      <c r="AT310" s="471" t="str">
        <f ca="1">IF(AS310&lt;0.9,"Disminuir vel.",IF(AS310&gt;1.1,"Aumentar vel.","Cumple"))</f>
        <v>Aumentar vel.</v>
      </c>
      <c r="AU310" s="492">
        <f>+I310*AL310*AM310</f>
        <v>39.190333382731993</v>
      </c>
      <c r="AV310" s="471">
        <f ca="1">+L310*AL310*AM310</f>
        <v>142.02608338872489</v>
      </c>
      <c r="AW310" s="471">
        <f ca="1">ROUND(IF(AI310&gt;(AV310*0.05),(AV310+AI310),AV310),2)</f>
        <v>142.03</v>
      </c>
      <c r="AX310" s="478">
        <f>IF(OR(C310="",D310=""),"",ROUND(((VLOOKUP(C310,'Base de Diseño (2)'!$A$2:$C$333,2,FALSE)-VLOOKUP(D310,'Base de Diseño (2)'!$A$2:$C$333,2,FALSE))^2+(VLOOKUP(C310,'Base de Diseño (2)'!$A$2:$C$333,3,0)-VLOOKUP(D310,'Base de Diseño (2)'!$A$2:$C$333,3,FALSE))^2)^0.5,2))</f>
        <v>37.4</v>
      </c>
      <c r="AY310" s="493">
        <v>8</v>
      </c>
      <c r="AZ310" s="480">
        <f ca="1">IF(AND(L310="",H310=""),"",IF(BA310=4,VLOOKUP(AY310,'TABLA (2)'!$A$74:$C$89,2),IF(BA310=5,VLOOKUP(AY310,'TABLA (2)'!$A$51:$B$66,2),IF(BA310=6,VLOOKUP(AY310,'TABLA (2)'!$A$9:$B$43,2)))))</f>
        <v>200</v>
      </c>
      <c r="BA310" s="493">
        <v>6</v>
      </c>
      <c r="BB310" s="478">
        <f>IF(OR(C310="",D310=""),"",VLOOKUP(C310,'Base de Diseño (2)'!$A$2:$D$330,4,FALSE))</f>
        <v>987.53</v>
      </c>
      <c r="BC310" s="478">
        <f>IF(OR(C310="",D310=""),"",VLOOKUP(D310,'Base de Diseño (2)'!$A$2:$D$330,4,FALSE))</f>
        <v>984.64160000000004</v>
      </c>
      <c r="BD310" s="23">
        <f ca="1">+BF310-((AZ310/1000)+CX310)</f>
        <v>1.9830000000000272</v>
      </c>
      <c r="BE310" s="23">
        <f ca="1">+BG310-((AZ310/1000)+CX310)</f>
        <v>1.932999999999959</v>
      </c>
      <c r="BF310" s="494">
        <v>2.2200000000000273</v>
      </c>
      <c r="BG310" s="494">
        <v>2.1699999999999591</v>
      </c>
      <c r="BH310" s="495">
        <f>BB310-BF310</f>
        <v>985.31</v>
      </c>
      <c r="BI310" s="495">
        <f>BC310-BG310</f>
        <v>982.47160000000008</v>
      </c>
      <c r="BJ310" s="468">
        <f>IF(A310="",0,BI310-BH311)</f>
        <v>982.47160000000008</v>
      </c>
      <c r="BK310" s="475">
        <f>ABS((BB310-BC310)/AX310)*100</f>
        <v>7.7229946524062383</v>
      </c>
      <c r="BL310" s="475">
        <f>((BH310-BI310)/AX310)*100</f>
        <v>7.5893048128338636</v>
      </c>
      <c r="BM310" s="475">
        <f ca="1">IF(BA310=6,(1/0.013)*((AZ310/4000)^(2/3))*((BL310/100)^(0.5)),(1/0.009)*((AZ310/4000)^(2/3))*((BL310/100)^(0.5)))</f>
        <v>2.8761022061765606</v>
      </c>
      <c r="BN310" s="475">
        <f ca="1">1000*BM310*PI()*((AZ310/1000/2)^2)</f>
        <v>90.355415618976821</v>
      </c>
      <c r="BO310" s="204">
        <f ca="1">AI310/BN310</f>
        <v>1.660110785528791E-2</v>
      </c>
      <c r="BP310" s="496">
        <f ca="1">IF(L310=0," ",AW310/BN310)</f>
        <v>1.5719035657910279</v>
      </c>
      <c r="BQ310" s="497">
        <f ca="1">IF($BO310&gt;0 =AND($BO310&lt;=0.06),10^(0.029806+0.29095*LOG($BO310)),IF($BO310&gt;0.06 =AND($BO310&lt;=0.26),10^(0.013778+0.282597*LOG($BO310)),IF($BO310&gt;0.26 =AND($BO310&lt;=0.91),10^(0.021763+0.28995*LOG($BO310)),1)))</f>
        <v>0.32505352559630635</v>
      </c>
      <c r="BR310" s="497">
        <f ca="1">IF($BP310&gt;0 =AND($BP310&lt;=0.06),10^(0.029806+0.29095*LOG($BP310)),IF($BP310&gt;0.06 =AND($BP310&lt;=0.26),10^(0.013778+0.282597*LOG($BP310)),IF($BP310&gt;0.26 =AND($BP310&lt;=2),10^(0.021763+0.28995*LOG($BP310))," ")))</f>
        <v>1.1987170689755002</v>
      </c>
      <c r="BS310" s="475">
        <f ca="1">BM310*BQ310</f>
        <v>0.93488716209300582</v>
      </c>
      <c r="BT310" s="475">
        <f ca="1">IF(BP310=" "," ",(BM310*BR310))</f>
        <v>3.4476328066619368</v>
      </c>
      <c r="BU310" s="475">
        <f ca="1">IF(BO310&lt;=0.11,0.3827+0.0645*LN(BO310),IF(BO310&lt;=0.21,0.60025+0.15471*LN(BO310),IF(BO310&lt;1,0.225+0.6666666667*BO310,0)))</f>
        <v>0.11836056283133622</v>
      </c>
      <c r="BV310" s="475" t="str">
        <f ca="1">IF(BP310&lt;=0.11,0.3827+0.0645*LN(BP310),IF(BP310&lt;=0.21,0.60025+0.15471*LN(BP310),IF(BP310&lt;1,0.225+0.6666666667*BP310," ")))</f>
        <v xml:space="preserve"> </v>
      </c>
      <c r="BW310" s="475">
        <f ca="1">2*ACOS(1-2*(BU310))</f>
        <v>1.4048464019766833</v>
      </c>
      <c r="BX310" s="475" t="e">
        <f ca="1">IF(BP310=" "," ",(2*ACOS(1-2*(BV310))))</f>
        <v>#VALUE!</v>
      </c>
      <c r="BY310" s="475">
        <f ca="1">(1/4)*(1-(SIN(BW310))/BW310)</f>
        <v>7.4489374502856559E-2</v>
      </c>
      <c r="BZ310" s="475" t="e">
        <f ca="1">IF(BP310=" "," ",((1/4)*(1-(SIN(BX310))/BX310)))</f>
        <v>#VALUE!</v>
      </c>
      <c r="CA310" s="471">
        <f ca="1">BY310*AZ310/1000</f>
        <v>1.4897874900571312E-2</v>
      </c>
      <c r="CB310" s="471" t="e">
        <f ca="1">IF(BP310=" "," ",(BZ310*AZ310/1000))</f>
        <v>#VALUE!</v>
      </c>
      <c r="CC310" s="471" t="e">
        <f ca="1">+(BT310/SQRT(9.81*(0.125*(BX310-SIN(BX310))*(AZ310/1000)^2)/((AZ310/1000)*SIN(BX310/2))))</f>
        <v>#VALUE!</v>
      </c>
      <c r="CD310" s="471" t="e">
        <f ca="1">IF(CC310="","",IF(CC310&lt;0.7,"F. Subcrítico",IF(AND(CC310&gt;0.7,CC310&lt;1),"F. Subcrítico Inestable",IF(CC310=1,"F. Crítico",IF(AND(CC310&gt;1,CC310&lt;1.5),"F. Supercrítico Inestable",IF(CC310&gt;1.5,"F. Supercrítico",""))))))</f>
        <v>#VALUE!</v>
      </c>
      <c r="CE310" s="471">
        <f ca="1">1000*BL310*CA310/100</f>
        <v>1.1306451368390267</v>
      </c>
      <c r="CF310" s="471" t="e">
        <f ca="1">IF(BP310=" "," ",(1000*BL310*CB310/100))</f>
        <v>#VALUE!</v>
      </c>
      <c r="CG310" s="471" t="str">
        <f ca="1">IF(BS310&lt;0.45,"No cumple",IF(BS310&gt;5,"No cumple","O.K"))</f>
        <v>O.K</v>
      </c>
      <c r="CH310" s="471" t="str">
        <f ca="1">IF(BT310&lt;0.75,"No cumple",IF(BT310&gt;10,"No cumple","O.K"))</f>
        <v>O.K</v>
      </c>
      <c r="CI310" s="471" t="str">
        <f ca="1">IF(CE310&gt;0.1,"OK","V.C.H.")</f>
        <v>OK</v>
      </c>
      <c r="CJ310" s="471" t="e">
        <f ca="1">IF(CF310&gt;0.2,"OK","V.C.H.")</f>
        <v>#VALUE!</v>
      </c>
      <c r="CK310" s="468">
        <f>+BJ310</f>
        <v>982.47160000000008</v>
      </c>
      <c r="CL310" s="482" t="s">
        <v>2507</v>
      </c>
      <c r="CM310" s="482"/>
      <c r="CN310" s="63" t="str">
        <f>IF(B310=1,"dato"," ")</f>
        <v xml:space="preserve"> </v>
      </c>
      <c r="CO310" s="498">
        <f>+CR310</f>
        <v>37.4</v>
      </c>
      <c r="CP310" s="472">
        <f>+BK310/100</f>
        <v>7.7229946524062384E-2</v>
      </c>
      <c r="CQ310" s="482" t="s">
        <v>2508</v>
      </c>
      <c r="CR310" s="204">
        <f>IF(BA310="","",AX310)</f>
        <v>37.4</v>
      </c>
      <c r="CS310" s="486">
        <v>1.2</v>
      </c>
      <c r="CT310" s="486">
        <v>1.2</v>
      </c>
      <c r="CU310" s="23">
        <f>IF($BA310="","",SQRT((BH310-BI310)^2+$CR310^2))</f>
        <v>37.507552766876152</v>
      </c>
      <c r="CV310" s="499" t="s">
        <v>2509</v>
      </c>
      <c r="CW310" s="488" t="str">
        <f ca="1">+IF(BD310&lt;=0.9,"E1",IF(BD310&lt;=2.5,"E2","E3"))</f>
        <v>E2</v>
      </c>
      <c r="CX310" s="204">
        <f ca="1">IF(AND(L310="",H310=""),"",IF(AND(BA310&lt;&gt;4,BA310&lt;&gt;5),VLOOKUP(AY310,'TABLA (2)'!$A$9:$D$43,4),IF(BA310=4,VLOOKUP(AY310,'TABLA (2)'!$A$74:$D$89,4),VLOOKUP(AY310,'TABLA (2)'!$A$51:$D$66,4))))</f>
        <v>3.6999999999999998E-2</v>
      </c>
      <c r="CY310" s="482"/>
      <c r="CZ310" s="482"/>
      <c r="DA310" s="482"/>
      <c r="DB310" s="490"/>
    </row>
    <row r="311" spans="1:106" ht="15" hidden="1" customHeight="1">
      <c r="A311" s="465"/>
      <c r="B311" s="491"/>
      <c r="C311" s="466"/>
      <c r="D311" s="466"/>
      <c r="E311" s="468"/>
      <c r="F311" s="468"/>
      <c r="G311" s="468"/>
      <c r="H311" s="468"/>
      <c r="I311" s="468"/>
      <c r="J311" s="468"/>
      <c r="K311" s="467"/>
      <c r="L311" s="468"/>
      <c r="M311" s="469"/>
      <c r="N311" s="470"/>
      <c r="O311" s="470"/>
      <c r="P311" s="470"/>
      <c r="Q311" s="469"/>
      <c r="R311" s="471"/>
      <c r="S311" s="471"/>
      <c r="T311" s="471"/>
      <c r="U311" s="471"/>
      <c r="V311" s="471"/>
      <c r="W311" s="471"/>
      <c r="X311" s="471"/>
      <c r="Y311" s="471"/>
      <c r="Z311" s="471"/>
      <c r="AA311" s="471" t="str">
        <f t="shared" si="744"/>
        <v/>
      </c>
      <c r="AB311" s="471"/>
      <c r="AC311" s="471"/>
      <c r="AD311" s="471"/>
      <c r="AE311" s="471"/>
      <c r="AF311" s="510" t="str">
        <f t="shared" si="737"/>
        <v/>
      </c>
      <c r="AG311" s="471"/>
      <c r="AH311" s="471"/>
      <c r="AI311" s="471"/>
      <c r="AJ311" s="471"/>
      <c r="AK311" s="472"/>
      <c r="AL311" s="471"/>
      <c r="AM311" s="473"/>
      <c r="AN311" s="474"/>
      <c r="AO311" s="474"/>
      <c r="AP311" s="474"/>
      <c r="AQ311" s="475"/>
      <c r="AR311" s="474"/>
      <c r="AS311" s="474"/>
      <c r="AT311" s="471"/>
      <c r="AU311" s="492"/>
      <c r="AV311" s="471"/>
      <c r="AW311" s="471"/>
      <c r="AX311" s="478"/>
      <c r="AY311" s="493"/>
      <c r="AZ311" s="480"/>
      <c r="BA311" s="493"/>
      <c r="BB311" s="478" t="str">
        <f>IF(OR(C311="",D311=""),"",VLOOKUP(C311,'Base de Diseño (2)'!$A$2:$D$330,4,FALSE))</f>
        <v/>
      </c>
      <c r="BC311" s="478" t="str">
        <f>IF(OR(C311="",D311=""),"",VLOOKUP(D311,'Base de Diseño (2)'!$A$2:$D$330,4,FALSE))</f>
        <v/>
      </c>
      <c r="BD311" s="23"/>
      <c r="BE311" s="23"/>
      <c r="BF311" s="494"/>
      <c r="BG311" s="494"/>
      <c r="BH311" s="495"/>
      <c r="BI311" s="495"/>
      <c r="BJ311" s="468"/>
      <c r="BK311" s="475"/>
      <c r="BL311" s="475"/>
      <c r="BM311" s="475"/>
      <c r="BN311" s="475"/>
      <c r="BO311" s="204"/>
      <c r="BP311" s="496"/>
      <c r="BQ311" s="497"/>
      <c r="BR311" s="497"/>
      <c r="BS311" s="475"/>
      <c r="BT311" s="475"/>
      <c r="BU311" s="475"/>
      <c r="BV311" s="475"/>
      <c r="BW311" s="475"/>
      <c r="BX311" s="475"/>
      <c r="BY311" s="475"/>
      <c r="BZ311" s="475"/>
      <c r="CA311" s="471"/>
      <c r="CB311" s="471"/>
      <c r="CC311" s="471" t="e">
        <f>+(BT311/SQRT(9.81*(0.125*(BX311-SIN(BX311))*(AZ311/1000)^2)/((AZ311/1000)*SIN(BX311/2))))</f>
        <v>#DIV/0!</v>
      </c>
      <c r="CD311" s="471"/>
      <c r="CE311" s="471"/>
      <c r="CF311" s="471"/>
      <c r="CG311" s="471"/>
      <c r="CH311" s="471"/>
      <c r="CI311" s="471"/>
      <c r="CJ311" s="471"/>
      <c r="CK311" s="468"/>
      <c r="CL311" s="482" t="s">
        <v>2507</v>
      </c>
      <c r="CM311" s="482"/>
      <c r="CN311" s="63"/>
      <c r="CO311" s="498"/>
      <c r="CP311" s="472"/>
      <c r="CQ311" s="482"/>
      <c r="CR311" s="204"/>
      <c r="CS311" s="486"/>
      <c r="CT311" s="486"/>
      <c r="CU311" s="23"/>
      <c r="CV311" s="499"/>
      <c r="CW311" s="488"/>
      <c r="CX311" s="204"/>
      <c r="CY311" s="482"/>
      <c r="CZ311" s="482"/>
      <c r="DA311" s="482"/>
      <c r="DB311" s="490"/>
    </row>
    <row r="312" spans="1:106" ht="15" hidden="1" customHeight="1">
      <c r="A312" s="465">
        <f>+A310+1</f>
        <v>210</v>
      </c>
      <c r="B312" s="491">
        <v>1</v>
      </c>
      <c r="C312" s="466" t="s">
        <v>2074</v>
      </c>
      <c r="D312" s="466" t="s">
        <v>2080</v>
      </c>
      <c r="E312" s="468">
        <v>0.22828148579999999</v>
      </c>
      <c r="F312" s="468"/>
      <c r="G312" s="468">
        <f>IF(B312=1,0,SUMIF($D$22:$D$583,C312,$H$22:$H$583))</f>
        <v>0</v>
      </c>
      <c r="H312" s="468">
        <f>+E312+F312+G312</f>
        <v>0.22828148579999999</v>
      </c>
      <c r="I312" s="468">
        <v>0.22828148580000002</v>
      </c>
      <c r="J312" s="468"/>
      <c r="K312" s="467">
        <f>+IF(B312=1,0,SUMIF($D$22:$D$583,C312,$L$22:$L$580))</f>
        <v>0</v>
      </c>
      <c r="L312" s="468">
        <f>+I312+J312+K312</f>
        <v>0.22828148580000002</v>
      </c>
      <c r="M312" s="469">
        <f>+$P$12</f>
        <v>242.33666300502347</v>
      </c>
      <c r="N312" s="470">
        <f>M312*E312</f>
        <v>55.320973494600651</v>
      </c>
      <c r="O312" s="470">
        <f>M312*F312</f>
        <v>0</v>
      </c>
      <c r="P312" s="470">
        <f>M312*H312</f>
        <v>55.320973494600651</v>
      </c>
      <c r="Q312" s="469">
        <f>+$H$14</f>
        <v>140</v>
      </c>
      <c r="R312" s="471">
        <f>Q312*P312*$P$14/86400</f>
        <v>7.6194396364091171E-2</v>
      </c>
      <c r="S312" s="471"/>
      <c r="T312" s="471"/>
      <c r="U312" s="471">
        <f>IF(C312="","",T312*$P$17)</f>
        <v>0</v>
      </c>
      <c r="V312" s="471"/>
      <c r="W312" s="471"/>
      <c r="X312" s="471">
        <f>IF(C312="","",W312*$P$16)</f>
        <v>0</v>
      </c>
      <c r="Y312" s="471">
        <f>IF(H312=0,0,$H$15*H312)</f>
        <v>4.5656297159999998E-2</v>
      </c>
      <c r="Z312" s="471">
        <f>IF(L312=0,$H$16*H312,0)</f>
        <v>0</v>
      </c>
      <c r="AA312" s="471">
        <f t="shared" si="744"/>
        <v>3.8</v>
      </c>
      <c r="AB312" s="471">
        <f>R312*AA312</f>
        <v>0.28953870618354643</v>
      </c>
      <c r="AC312" s="471">
        <f>Q312*(N312+O312)*$P$14/86400</f>
        <v>7.6194396364091171E-2</v>
      </c>
      <c r="AD312" s="471">
        <f>IF(E312=0,0,$H$15*(E312+F312))</f>
        <v>4.5656297159999998E-2</v>
      </c>
      <c r="AE312" s="471">
        <f>IF(F312=0,0,$H$15*(F312+G312))</f>
        <v>0</v>
      </c>
      <c r="AF312" s="510">
        <f t="shared" si="737"/>
        <v>3.8</v>
      </c>
      <c r="AG312" s="471">
        <f>AC312*AF312</f>
        <v>0.28953870618354643</v>
      </c>
      <c r="AH312" s="471">
        <f>+AD312+AE312+AG312</f>
        <v>0.33519500334354646</v>
      </c>
      <c r="AI312" s="471">
        <f>IF(H312="","",IF(AB312+Y312+Z312+X312+U312&lt;1.5,1.5,AB312+Y312+Z312+X312+U312))</f>
        <v>1.5</v>
      </c>
      <c r="AJ312" s="471">
        <f>+$P$17</f>
        <v>0.75</v>
      </c>
      <c r="AK312" s="472">
        <f>+BK312/100</f>
        <v>1.4408099688473697E-2</v>
      </c>
      <c r="AL312" s="471">
        <f>IF(AJ312=0," ",0.14+0.65*AJ312+0.05*AK312)</f>
        <v>0.62822040498442377</v>
      </c>
      <c r="AM312" s="473">
        <f>((100/36)*$AM$14*(AP312+$AN$14)^$AO$14)</f>
        <v>336.32613267542746</v>
      </c>
      <c r="AN312" s="474">
        <f>IF(B312=1,IF((0.702*(1.1-$AJ312)*SQRT($CO312))/(($CP312)^(1/3))&lt;5,5,(0.702*(1.1-$AJ312)*SQRT($CO312))/(($CP312)^(1/3))),AP311)</f>
        <v>7.2362811006008183</v>
      </c>
      <c r="AO312" s="474">
        <f>((1/60)*$AX312/$AQ312)</f>
        <v>0.28533333333333333</v>
      </c>
      <c r="AP312" s="474">
        <f>IF(B312=1,IF(($AN312+$AO312)&lt;10,10,IF(($AN312+$AO312)&gt;20,20,($AN312+$AO312))),($AN312+$AO312))</f>
        <v>10</v>
      </c>
      <c r="AQ312" s="475">
        <v>3</v>
      </c>
      <c r="AR312" s="474">
        <f>((1/60)*$AX312/$BT312)</f>
        <v>0.57142723922202621</v>
      </c>
      <c r="AS312" s="474">
        <f>AO312/AR312</f>
        <v>0.49933449746253344</v>
      </c>
      <c r="AT312" s="471" t="str">
        <f>IF(AS312&lt;0.9,"Disminuir vel.",IF(AS312&gt;1.1,"Aumentar vel.","Cumple"))</f>
        <v>Disminuir vel.</v>
      </c>
      <c r="AU312" s="492">
        <f>+I312*AL312*AM312</f>
        <v>48.232896428105796</v>
      </c>
      <c r="AV312" s="471">
        <f>+L312*AL312*AM312</f>
        <v>48.232896428105796</v>
      </c>
      <c r="AW312" s="471">
        <f>ROUND(IF(AI312&gt;(AV312*0.05),(AV312+AI312),AV312),2)</f>
        <v>48.23</v>
      </c>
      <c r="AX312" s="478">
        <f>IF(OR(C312="",D312=""),"",ROUND(((VLOOKUP(C312,'Base de Diseño (2)'!$A$2:$C$333,2,FALSE)-VLOOKUP(D312,'Base de Diseño (2)'!$A$2:$C$333,2,FALSE))^2+(VLOOKUP(C312,'Base de Diseño (2)'!$A$2:$C$333,3,0)-VLOOKUP(D312,'Base de Diseño (2)'!$A$2:$C$333,3,FALSE))^2)^0.5,2))</f>
        <v>51.36</v>
      </c>
      <c r="AY312" s="493">
        <v>8</v>
      </c>
      <c r="AZ312" s="480">
        <f>IF(AND(L312="",H312=""),"",IF(BA312=4,VLOOKUP(AY312,'TABLA (2)'!$A$74:$C$89,2),IF(BA312=5,VLOOKUP(AY312,'TABLA (2)'!$A$51:$B$66,2),IF(BA312=6,VLOOKUP(AY312,'TABLA (2)'!$A$9:$B$43,2)))))</f>
        <v>200</v>
      </c>
      <c r="BA312" s="493">
        <v>6</v>
      </c>
      <c r="BB312" s="478">
        <f>IF(OR(C312="",D312=""),"",VLOOKUP(C312,'Base de Diseño (2)'!$A$2:$D$330,4,FALSE))</f>
        <v>988.27</v>
      </c>
      <c r="BC312" s="478">
        <f>IF(OR(C312="",D312=""),"",VLOOKUP(D312,'Base de Diseño (2)'!$A$2:$D$330,4,FALSE))</f>
        <v>987.53</v>
      </c>
      <c r="BD312" s="23">
        <f>+BF312-((AZ312/1000)+CX312)</f>
        <v>1.0329999999999817</v>
      </c>
      <c r="BE312" s="23">
        <f>+BG312-((AZ312/1000)+CX312)</f>
        <v>1.1929999999999499</v>
      </c>
      <c r="BF312" s="494">
        <v>1.2699999999999818</v>
      </c>
      <c r="BG312" s="494">
        <v>1.42999999999995</v>
      </c>
      <c r="BH312" s="495">
        <f>BB312-BF312</f>
        <v>987</v>
      </c>
      <c r="BI312" s="495">
        <f>BC312-BG312</f>
        <v>986.1</v>
      </c>
      <c r="BJ312" s="468">
        <f>IF(A312="",0,BI312-BH313)</f>
        <v>986.1</v>
      </c>
      <c r="BK312" s="475">
        <f>ABS((BB312-BC312)/AX312)*100</f>
        <v>1.4408099688473697</v>
      </c>
      <c r="BL312" s="475">
        <f>((BH312-BI312)/AX312)*100</f>
        <v>1.7523364485980866</v>
      </c>
      <c r="BM312" s="475">
        <f>IF(BA312=6,(1/0.013)*((AZ312/4000)^(2/3))*((BL312/100)^(0.5)),(1/0.009)*((AZ312/4000)^(2/3))*((BL312/100)^(0.5)))</f>
        <v>1.3820127968531881</v>
      </c>
      <c r="BN312" s="475">
        <f>1000*BM312*PI()*((AZ312/1000/2)^2)</f>
        <v>43.417212497610599</v>
      </c>
      <c r="BO312" s="204">
        <f>AI312/BN312</f>
        <v>3.4548509996641316E-2</v>
      </c>
      <c r="BP312" s="496">
        <f>IF(L312=0," ",AW312/BN312)</f>
        <v>1.1108497580920069</v>
      </c>
      <c r="BQ312" s="497">
        <f>IF($BO312&gt;0 =AND($BO312&lt;=0.06),10^(0.029806+0.29095*LOG($BO312)),IF($BO312&gt;0.06 =AND($BO312&lt;=0.26),10^(0.013778+0.282597*LOG($BO312)),IF($BO312&gt;0.26 =AND($BO312&lt;=0.91),10^(0.021763+0.28995*LOG($BO312)),1)))</f>
        <v>0.40231109632815631</v>
      </c>
      <c r="BR312" s="497">
        <f>IF($BP312&gt;0 =AND($BP312&lt;=0.06),10^(0.029806+0.29095*LOG($BP312)),IF($BP312&gt;0.06 =AND($BP312&lt;=0.26),10^(0.013778+0.282597*LOG($BP312)),IF($BP312&gt;0.26 =AND($BP312&lt;=2),10^(0.021763+0.28995*LOG($BP312))," ")))</f>
        <v>1.083928814406437</v>
      </c>
      <c r="BS312" s="475">
        <f>BM312*BQ312</f>
        <v>0.55599908344154769</v>
      </c>
      <c r="BT312" s="475">
        <f>IF(BP312=" "," ",(BM312*BR312))</f>
        <v>1.4980034923876002</v>
      </c>
      <c r="BU312" s="475">
        <f>IF(BO312&lt;=0.11,0.3827+0.0645*LN(BO312),IF(BO312&lt;=0.21,0.60025+0.15471*LN(BO312),IF(BO312&lt;1,0.225+0.6666666667*BO312,0)))</f>
        <v>0.1656322898073429</v>
      </c>
      <c r="BV312" s="475" t="str">
        <f>IF(BP312&lt;=0.11,0.3827+0.0645*LN(BP312),IF(BP312&lt;=0.21,0.60025+0.15471*LN(BP312),IF(BP312&lt;1,0.225+0.6666666667*BP312," ")))</f>
        <v xml:space="preserve"> </v>
      </c>
      <c r="BW312" s="475">
        <f>2*ACOS(1-2*(BU312))</f>
        <v>1.6765793778264197</v>
      </c>
      <c r="BX312" s="475" t="e">
        <f>IF(BP312=" "," ",(2*ACOS(1-2*(BV312))))</f>
        <v>#VALUE!</v>
      </c>
      <c r="BY312" s="475">
        <f>(1/4)*(1-(SIN(BW312))/BW312)</f>
        <v>0.10172038353047383</v>
      </c>
      <c r="BZ312" s="475" t="e">
        <f>IF(BP312=" "," ",((1/4)*(1-(SIN(BX312))/BX312)))</f>
        <v>#VALUE!</v>
      </c>
      <c r="CA312" s="471">
        <f>BY312*AZ312/1000</f>
        <v>2.0344076706094765E-2</v>
      </c>
      <c r="CB312" s="471" t="e">
        <f>IF(BP312=" "," ",(BZ312*AZ312/1000))</f>
        <v>#VALUE!</v>
      </c>
      <c r="CC312" s="471" t="e">
        <f>+(BT312/SQRT(9.81*(0.125*(BX312-SIN(BX312))*(AZ312/1000)^2)/((AZ312/1000)*SIN(BX312/2))))</f>
        <v>#VALUE!</v>
      </c>
      <c r="CD312" s="471" t="e">
        <f>IF(CC312="","",IF(CC312&lt;0.7,"F. Subcrítico",IF(AND(CC312&gt;0.7,CC312&lt;1),"F. Subcrítico Inestable",IF(CC312=1,"F. Crítico",IF(AND(CC312&gt;1,CC312&lt;1.5),"F. Supercrítico Inestable",IF(CC312&gt;1.5,"F. Supercrítico",""))))))</f>
        <v>#VALUE!</v>
      </c>
      <c r="CE312" s="471">
        <f>1000*BL312*CA312/100</f>
        <v>0.35649667125165158</v>
      </c>
      <c r="CF312" s="471" t="e">
        <f>IF(BP312=" "," ",(1000*BL312*CB312/100))</f>
        <v>#VALUE!</v>
      </c>
      <c r="CG312" s="471" t="str">
        <f>IF(BS312&lt;0.45,"No cumple",IF(BS312&gt;5,"No cumple","O.K"))</f>
        <v>O.K</v>
      </c>
      <c r="CH312" s="471" t="str">
        <f>IF(BT312&lt;0.75,"No cumple",IF(BT312&gt;10,"No cumple","O.K"))</f>
        <v>O.K</v>
      </c>
      <c r="CI312" s="471" t="str">
        <f>IF(CE312&gt;0.1,"OK","V.C.H.")</f>
        <v>OK</v>
      </c>
      <c r="CJ312" s="471" t="e">
        <f>IF(CF312&gt;0.2,"OK","V.C.H.")</f>
        <v>#VALUE!</v>
      </c>
      <c r="CK312" s="468">
        <f>+BJ312</f>
        <v>986.1</v>
      </c>
      <c r="CL312" s="482" t="s">
        <v>2507</v>
      </c>
      <c r="CM312" s="482"/>
      <c r="CN312" s="63" t="str">
        <f>IF(B312=1,"dato"," ")</f>
        <v>dato</v>
      </c>
      <c r="CO312" s="498">
        <f>+CR312</f>
        <v>51.36</v>
      </c>
      <c r="CP312" s="472">
        <f>+BK312/100</f>
        <v>1.4408099688473697E-2</v>
      </c>
      <c r="CQ312" s="482" t="s">
        <v>2508</v>
      </c>
      <c r="CR312" s="204">
        <f>IF(BA312="","",AX312)</f>
        <v>51.36</v>
      </c>
      <c r="CS312" s="486">
        <v>1.2</v>
      </c>
      <c r="CT312" s="486">
        <v>1.2</v>
      </c>
      <c r="CU312" s="23">
        <f>IF($BA312="","",SQRT((BH312-BI312)^2+$CR312^2))</f>
        <v>51.367884908763763</v>
      </c>
      <c r="CV312" s="499" t="s">
        <v>2509</v>
      </c>
      <c r="CW312" s="488" t="str">
        <f>+IF(BD312&lt;=0.9,"E1",IF(BD312&lt;=2.5,"E2","E3"))</f>
        <v>E2</v>
      </c>
      <c r="CX312" s="204">
        <f>IF(AND(L312="",H312=""),"",IF(AND(BA312&lt;&gt;4,BA312&lt;&gt;5),VLOOKUP(AY312,'TABLA (2)'!$A$9:$D$43,4),IF(BA312=4,VLOOKUP(AY312,'TABLA (2)'!$A$74:$D$89,4),VLOOKUP(AY312,'TABLA (2)'!$A$51:$D$66,4))))</f>
        <v>3.6999999999999998E-2</v>
      </c>
      <c r="CY312" s="482"/>
      <c r="CZ312" s="482"/>
      <c r="DA312" s="482"/>
      <c r="DB312" s="490"/>
    </row>
    <row r="313" spans="1:106" ht="15" hidden="1" customHeight="1">
      <c r="A313" s="465"/>
      <c r="B313" s="491"/>
      <c r="C313" s="466"/>
      <c r="D313" s="466"/>
      <c r="E313" s="468"/>
      <c r="F313" s="468"/>
      <c r="G313" s="468"/>
      <c r="H313" s="468"/>
      <c r="I313" s="468"/>
      <c r="J313" s="468"/>
      <c r="K313" s="467"/>
      <c r="L313" s="468"/>
      <c r="M313" s="469"/>
      <c r="N313" s="470"/>
      <c r="O313" s="470"/>
      <c r="P313" s="470"/>
      <c r="Q313" s="469"/>
      <c r="R313" s="471"/>
      <c r="S313" s="471"/>
      <c r="T313" s="471"/>
      <c r="U313" s="471"/>
      <c r="V313" s="471"/>
      <c r="W313" s="471"/>
      <c r="X313" s="471"/>
      <c r="Y313" s="471"/>
      <c r="Z313" s="471"/>
      <c r="AA313" s="471" t="str">
        <f t="shared" si="744"/>
        <v/>
      </c>
      <c r="AB313" s="471"/>
      <c r="AC313" s="471"/>
      <c r="AD313" s="471"/>
      <c r="AE313" s="471"/>
      <c r="AF313" s="510" t="str">
        <f t="shared" si="737"/>
        <v/>
      </c>
      <c r="AG313" s="471"/>
      <c r="AH313" s="471"/>
      <c r="AI313" s="471"/>
      <c r="AJ313" s="471"/>
      <c r="AK313" s="472"/>
      <c r="AL313" s="471"/>
      <c r="AM313" s="473"/>
      <c r="AN313" s="474"/>
      <c r="AO313" s="474"/>
      <c r="AP313" s="474"/>
      <c r="AQ313" s="475"/>
      <c r="AR313" s="474"/>
      <c r="AS313" s="474"/>
      <c r="AT313" s="471"/>
      <c r="AU313" s="492"/>
      <c r="AV313" s="471"/>
      <c r="AW313" s="471"/>
      <c r="AX313" s="478"/>
      <c r="AY313" s="493"/>
      <c r="AZ313" s="480"/>
      <c r="BA313" s="493"/>
      <c r="BB313" s="478"/>
      <c r="BC313" s="478"/>
      <c r="BD313" s="478"/>
      <c r="BE313" s="478"/>
      <c r="BF313" s="494"/>
      <c r="BG313" s="494"/>
      <c r="BH313" s="495"/>
      <c r="BI313" s="495"/>
      <c r="BJ313" s="468"/>
      <c r="BK313" s="475"/>
      <c r="BL313" s="475"/>
      <c r="BM313" s="475"/>
      <c r="BN313" s="475"/>
      <c r="BO313" s="204"/>
      <c r="BP313" s="496"/>
      <c r="BQ313" s="497"/>
      <c r="BR313" s="497"/>
      <c r="BS313" s="475"/>
      <c r="BT313" s="475"/>
      <c r="BU313" s="475"/>
      <c r="BV313" s="475"/>
      <c r="BW313" s="475"/>
      <c r="BX313" s="475"/>
      <c r="BY313" s="475"/>
      <c r="BZ313" s="475"/>
      <c r="CA313" s="471"/>
      <c r="CB313" s="471"/>
      <c r="CC313" s="471"/>
      <c r="CD313" s="471"/>
      <c r="CE313" s="471"/>
      <c r="CF313" s="471"/>
      <c r="CG313" s="471"/>
      <c r="CH313" s="471"/>
      <c r="CI313" s="471"/>
      <c r="CJ313" s="471"/>
      <c r="CK313" s="468"/>
      <c r="CL313" s="482"/>
      <c r="CM313" s="482"/>
      <c r="CN313" s="63"/>
      <c r="CO313" s="498"/>
      <c r="CP313" s="472"/>
      <c r="CQ313" s="482"/>
      <c r="CR313" s="204"/>
      <c r="CS313" s="486"/>
      <c r="CT313" s="486"/>
      <c r="CU313" s="23"/>
      <c r="CV313" s="499"/>
      <c r="CW313" s="488"/>
      <c r="CX313" s="204"/>
      <c r="CY313" s="482"/>
      <c r="CZ313" s="482"/>
      <c r="DA313" s="482"/>
      <c r="DB313" s="490"/>
    </row>
    <row r="314" spans="1:106" s="532" customFormat="1" ht="15" customHeight="1">
      <c r="A314" s="503">
        <f>+A312+1</f>
        <v>211</v>
      </c>
      <c r="B314" s="504">
        <v>1</v>
      </c>
      <c r="C314" s="505" t="s">
        <v>109</v>
      </c>
      <c r="D314" s="505" t="s">
        <v>98</v>
      </c>
      <c r="E314" s="506">
        <v>0.39402396699999997</v>
      </c>
      <c r="F314" s="506"/>
      <c r="G314" s="506">
        <f>IF(B314=1,0,SUMIF($D$22:$D$583,C314,$H$22:$H$583))</f>
        <v>0</v>
      </c>
      <c r="H314" s="506">
        <f>+E314+F314+G314</f>
        <v>0.39402396699999997</v>
      </c>
      <c r="I314" s="506">
        <v>0.39402396699999997</v>
      </c>
      <c r="J314" s="506"/>
      <c r="K314" s="507">
        <f>+IF(B314=1,0,SUMIF($D$22:$D$583,C314,$L$22:$L$580))</f>
        <v>0</v>
      </c>
      <c r="L314" s="506">
        <f>+I314+J314+K314</f>
        <v>0.39402396699999997</v>
      </c>
      <c r="M314" s="508">
        <f>+$P$12</f>
        <v>242.33666300502347</v>
      </c>
      <c r="N314" s="509">
        <f>M314*E314</f>
        <v>95.486453306781485</v>
      </c>
      <c r="O314" s="509">
        <f>M314*F314</f>
        <v>0</v>
      </c>
      <c r="P314" s="509">
        <f>M314*H314</f>
        <v>95.486453306781485</v>
      </c>
      <c r="Q314" s="508">
        <f>+$H$14</f>
        <v>140</v>
      </c>
      <c r="R314" s="510">
        <f>Q314*P314*$P$14/86400</f>
        <v>0.13151490675355318</v>
      </c>
      <c r="S314" s="510"/>
      <c r="T314" s="510"/>
      <c r="U314" s="510">
        <f>IF(C314="","",T314*$P$17)</f>
        <v>0</v>
      </c>
      <c r="V314" s="510"/>
      <c r="W314" s="510"/>
      <c r="X314" s="510">
        <f>IF(C314="","",W314*$P$16)</f>
        <v>0</v>
      </c>
      <c r="Y314" s="510">
        <f>IF(H314=0,0,$H$15*H314)</f>
        <v>7.8804793400000003E-2</v>
      </c>
      <c r="Z314" s="510">
        <f>IF(L314=0,$H$16*H314,0)</f>
        <v>0</v>
      </c>
      <c r="AA314" s="471">
        <f t="shared" si="744"/>
        <v>3.8</v>
      </c>
      <c r="AB314" s="510">
        <f>R314*AA314</f>
        <v>0.49975664566350203</v>
      </c>
      <c r="AC314" s="510">
        <f>Q314*(N314+O314)*$P$14/86400</f>
        <v>0.13151490675355318</v>
      </c>
      <c r="AD314" s="510">
        <f>IF(E314=0,0,$H$15*(E314+F314))</f>
        <v>7.8804793400000003E-2</v>
      </c>
      <c r="AE314" s="510">
        <f>IF(F314=0,0,$H$15*(F314+G314))</f>
        <v>0</v>
      </c>
      <c r="AF314" s="510">
        <f t="shared" si="737"/>
        <v>3.8</v>
      </c>
      <c r="AG314" s="510">
        <f>AC314*AF314</f>
        <v>0.49975664566350203</v>
      </c>
      <c r="AH314" s="510">
        <f>+AD314+AE314+AG314</f>
        <v>0.57856143906350199</v>
      </c>
      <c r="AI314" s="510">
        <f>IF(H314="","",IF(AB314+Y314+Z314+X314+U314&lt;1.5,1.5,AB314+Y314+Z314+X314+U314))</f>
        <v>1.5</v>
      </c>
      <c r="AJ314" s="510">
        <f>+$P$17</f>
        <v>0.75</v>
      </c>
      <c r="AK314" s="511">
        <f>+BK314/100</f>
        <v>1.1507293354943599E-2</v>
      </c>
      <c r="AL314" s="510">
        <f>IF(AJ314=0," ",0.14+0.65*AJ314+0.05*AK314)</f>
        <v>0.62807536466774727</v>
      </c>
      <c r="AM314" s="512">
        <f>((100/36)*$AM$14*(AP314+$AN$14)^$AO$14)</f>
        <v>328.85425593670669</v>
      </c>
      <c r="AN314" s="513">
        <f t="shared" ref="AN314:AN326" si="884">IF(B314=1,IF((0.702*(1.1-$AJ314)*SQRT($CO314))/(($CP314)^(1/3))&lt;5,5,(0.702*(1.1-$AJ314)*SQRT($CO314))/(($CP314)^(1/3))),AP313)</f>
        <v>10.114723799982734</v>
      </c>
      <c r="AO314" s="513">
        <f>((1/60)*$AX314/$AQ314)</f>
        <v>0.65439393939393931</v>
      </c>
      <c r="AP314" s="513">
        <f>IF(B314=1,IF(($AN314+$AO314)&lt;10,10,IF(($AN314+$AO314)&gt;20,20,($AN314+$AO314))),($AN314+$AO314))</f>
        <v>10.769117739376673</v>
      </c>
      <c r="AQ314" s="514">
        <v>2.2000000000000002</v>
      </c>
      <c r="AR314" s="513">
        <f>((1/60)*$AX314/$BT314)</f>
        <v>0.71825308193310278</v>
      </c>
      <c r="AS314" s="513">
        <f>AO314/AR314</f>
        <v>0.91109102885114912</v>
      </c>
      <c r="AT314" s="510" t="str">
        <f>IF(AS314&lt;0.9,"Disminuir vel.",IF(AS314&gt;1.1,"Aumentar vel.","Cumple"))</f>
        <v>Cumple</v>
      </c>
      <c r="AU314" s="533">
        <f>+I314*AL314*AM314</f>
        <v>81.383781417842968</v>
      </c>
      <c r="AV314" s="510">
        <f>+L314*AL314*AM314</f>
        <v>81.383781417842968</v>
      </c>
      <c r="AW314" s="510">
        <f>ROUND(IF(AI314&gt;(AV314*0.05),(AV314+AI314),AV314),2)</f>
        <v>81.38</v>
      </c>
      <c r="AX314" s="516">
        <f>IF(OR(C314="",D314=""),"",ROUND(((VLOOKUP(C314,'Base de Diseño (2)'!$A$2:$C$333,2,FALSE)-VLOOKUP(D314,'Base de Diseño (2)'!$A$2:$C$333,2,FALSE))^2+(VLOOKUP(C314,'Base de Diseño (2)'!$A$2:$C$333,3,0)-VLOOKUP(D314,'Base de Diseño (2)'!$A$2:$C$333,3,FALSE))^2)^0.5,2))</f>
        <v>86.38</v>
      </c>
      <c r="AY314" s="517">
        <v>12</v>
      </c>
      <c r="AZ314" s="518">
        <f>IF(AND(L314="",H314=""),"",IF(BA314=4,VLOOKUP(AY314,'TABLA (2)'!$A$74:$C$89,2),IF(BA314=5,VLOOKUP(AY314,'TABLA (2)'!$A$51:$B$66,2),IF(BA314=6,VLOOKUP(AY314,'TABLA (2)'!$A$9:$B$43,2)))))</f>
        <v>284</v>
      </c>
      <c r="BA314" s="517">
        <v>4</v>
      </c>
      <c r="BB314" s="516">
        <f>IF(OR(C314="",D314=""),"",VLOOKUP(C314,'Base de Diseño (2)'!$A$2:$D$333,4,FALSE))</f>
        <v>996.71500000000003</v>
      </c>
      <c r="BC314" s="516">
        <f>IF(OR(C314="",D314=""),"",VLOOKUP(D314,'Base de Diseño (2)'!$A$2:$D$330,4,FALSE))</f>
        <v>995.721</v>
      </c>
      <c r="BD314" s="519">
        <f>+BF314-((AZ314/1000)+CX314)</f>
        <v>0.96050000000000002</v>
      </c>
      <c r="BE314" s="519">
        <f>+BG314-((AZ314/1000)+CX314)</f>
        <v>1.1605000000000363</v>
      </c>
      <c r="BF314" s="520">
        <v>1.26</v>
      </c>
      <c r="BG314" s="520">
        <v>1.4600000000000364</v>
      </c>
      <c r="BH314" s="521">
        <f>BB314-BF314</f>
        <v>995.45500000000004</v>
      </c>
      <c r="BI314" s="521">
        <f>BC314-BG314</f>
        <v>994.26099999999997</v>
      </c>
      <c r="BJ314" s="521">
        <f>IF(A314="",0,BI314-BH267)</f>
        <v>0.14999999999997726</v>
      </c>
      <c r="BK314" s="514">
        <f>ABS((BB314-BC314)/AX314)*100</f>
        <v>1.15072933549436</v>
      </c>
      <c r="BL314" s="514">
        <f>((BH314-BI314)/AX314)*100</f>
        <v>1.3822644130586637</v>
      </c>
      <c r="BM314" s="514">
        <f>IF(BA314=6,(1/0.013)*((AZ314/4000)^(2/3))*((BL314/100)^(0.5)),(1/0.009)*((AZ314/4000)^(2/3))*((BL314/100)^(0.5)))</f>
        <v>2.2398827574454341</v>
      </c>
      <c r="BN314" s="514">
        <f>1000*BM314*PI()*((AZ314/1000/2)^2)</f>
        <v>141.89001938523413</v>
      </c>
      <c r="BO314" s="522">
        <f>AI314/BN314</f>
        <v>1.0571568081384718E-2</v>
      </c>
      <c r="BP314" s="523">
        <f>IF(L314=0," ",AW314/BN314)</f>
        <v>0.57354280697539217</v>
      </c>
      <c r="BQ314" s="524">
        <f>IF($BO314&gt;0 =AND($BO314&lt;=0.06),10^(0.029806+0.29095*LOG($BO314)),IF($BO314&gt;0.06 =AND($BO314&lt;=0.26),10^(0.013778+0.282597*LOG($BO314)),IF($BO314&gt;0.26 =AND($BO314&lt;=0.91),10^(0.021763+0.28995*LOG($BO314)),1)))</f>
        <v>0.28505545846779573</v>
      </c>
      <c r="BR314" s="524">
        <f>IF($BP314&gt;0 =AND($BP314&lt;=0.06),10^(0.029806+0.29095*LOG($BP314)),IF($BP314&gt;0.06 =AND($BP314&lt;=0.26),10^(0.013778+0.282597*LOG($BP314)),IF($BP314&gt;0.26 =AND($BP314&lt;=2),10^(0.021763+0.28995*LOG($BP314))," ")))</f>
        <v>0.89486838398565482</v>
      </c>
      <c r="BS314" s="514">
        <f>BM314*BQ314</f>
        <v>0.63849080633771871</v>
      </c>
      <c r="BT314" s="514">
        <f>IF(BP314=" "," ",(BM314*BR314))</f>
        <v>2.0044002634725282</v>
      </c>
      <c r="BU314" s="514">
        <f>IF(BO314&lt;=0.11,0.3827+0.0645*LN(BO314),IF(BO314&lt;=0.21,0.60025+0.15471*LN(BO314),IF(BO314&lt;1,0.225+0.6666666667*BO314,0)))</f>
        <v>8.9251629596896309E-2</v>
      </c>
      <c r="BV314" s="514">
        <f>IF(BP314&lt;=0.11,0.3827+0.0645*LN(BP314),IF(BP314&lt;=0.21,0.60025+0.15471*LN(BP314),IF(BP314&lt;1,0.225+0.6666666667*BP314," ")))</f>
        <v>0.60736187133604624</v>
      </c>
      <c r="BW314" s="514">
        <f>2*ACOS(1-2*(BU314))</f>
        <v>1.213530740577816</v>
      </c>
      <c r="BX314" s="514">
        <f>IF(BP314=" "," ",(2*ACOS(1-2*(BV314))))</f>
        <v>3.5744105857363224</v>
      </c>
      <c r="BY314" s="514">
        <f>(1/4)*(1-(SIN(BW314))/BW314)</f>
        <v>5.6997763671516405E-2</v>
      </c>
      <c r="BZ314" s="514">
        <f>IF(BP314=" "," ",((1/4)*(1-(SIN(BX314))/BX314)))</f>
        <v>0.2793356441330902</v>
      </c>
      <c r="CA314" s="510">
        <f>BY314*AZ314/1000</f>
        <v>1.6187364882710661E-2</v>
      </c>
      <c r="CB314" s="510">
        <f>IF(BP314=" "," ",(BZ314*AZ314/1000))</f>
        <v>7.9331322933797618E-2</v>
      </c>
      <c r="CC314" s="510">
        <f>+(BT314/SQRT(9.81*(0.125*(BX314-SIN(BX314))*(AZ314/1000)^2)/((AZ314/1000)*SIN(BX314/2))))</f>
        <v>1.6796367755144628</v>
      </c>
      <c r="CD314" s="510" t="str">
        <f>IF(CC314="","",IF(CC314&lt;0.7,"F. Subcrítico",IF(AND(CC314&gt;0.7,CC314&lt;1),"F. Subcrítico Inestable",IF(CC314=1,"F. Crítico",IF(AND(CC314&gt;1,CC314&lt;1.5),"F. Supercrítico Inestable",IF(CC314&gt;1.5,"F. Supercrítico",""))))))</f>
        <v>F. Supercrítico</v>
      </c>
      <c r="CE314" s="510">
        <f>1000*BL314*CA314/100</f>
        <v>0.22375218418566475</v>
      </c>
      <c r="CF314" s="510">
        <f>IF(BP314=" "," ",(1000*BL314*CB314/100))</f>
        <v>1.0965686453225307</v>
      </c>
      <c r="CG314" s="510" t="str">
        <f>IF(BS314&lt;0.45,"No cumple",IF(BS314&gt;5,"No cumple","O.K"))</f>
        <v>O.K</v>
      </c>
      <c r="CH314" s="510" t="str">
        <f>IF(BT314&lt;0.75,"No cumple",IF(BT314&gt;10,"No cumple","O.K"))</f>
        <v>O.K</v>
      </c>
      <c r="CI314" s="510" t="str">
        <f>IF(CE314&gt;0.1,"OK","V.C.H.")</f>
        <v>OK</v>
      </c>
      <c r="CJ314" s="510" t="str">
        <f>IF(CF314&gt;0.2,"OK","V.C.H.")</f>
        <v>OK</v>
      </c>
      <c r="CK314" s="506">
        <f>+BJ314</f>
        <v>0.14999999999997726</v>
      </c>
      <c r="CL314" s="525" t="s">
        <v>2515</v>
      </c>
      <c r="CM314" s="525"/>
      <c r="CN314" s="526" t="str">
        <f>IF(B314=1,"dato"," ")</f>
        <v>dato</v>
      </c>
      <c r="CO314" s="527">
        <f>+CR314</f>
        <v>86.38</v>
      </c>
      <c r="CP314" s="511">
        <f>+BK314/100</f>
        <v>1.1507293354943599E-2</v>
      </c>
      <c r="CQ314" s="525" t="s">
        <v>2508</v>
      </c>
      <c r="CR314" s="522">
        <f>IF(BA314="","",AX314)</f>
        <v>86.38</v>
      </c>
      <c r="CS314" s="528">
        <v>1.2</v>
      </c>
      <c r="CT314" s="528">
        <v>1.2</v>
      </c>
      <c r="CU314" s="519">
        <f>IF($BA314="","",SQRT((BH314-BI314)^2+$CR314^2))</f>
        <v>86.388251724409841</v>
      </c>
      <c r="CV314" s="529" t="s">
        <v>2509</v>
      </c>
      <c r="CW314" s="530" t="str">
        <f>+IF(BD314&lt;=0.9,"E1",IF(BD314&lt;=2.5,"E2","E3"))</f>
        <v>E2</v>
      </c>
      <c r="CX314" s="522">
        <f>IF(AND(L314="",H314=""),"",IF(AND(BA314&lt;&gt;4,BA314&lt;&gt;5),VLOOKUP(AY314,'TABLA (2)'!$A$9:$D$43,4),IF(BA314=4,VLOOKUP(AY314,'TABLA (2)'!$A$74:$D$89,4),VLOOKUP(AY314,'TABLA (2)'!$A$51:$D$66,4))))</f>
        <v>1.55E-2</v>
      </c>
      <c r="CY314" s="525"/>
      <c r="CZ314" s="525"/>
      <c r="DA314" s="525"/>
      <c r="DB314" s="531"/>
    </row>
    <row r="315" spans="1:106" ht="15" hidden="1" customHeight="1">
      <c r="A315" s="465"/>
      <c r="B315" s="491"/>
      <c r="C315" s="1981" t="s">
        <v>2524</v>
      </c>
      <c r="D315" s="1982"/>
      <c r="E315" s="468"/>
      <c r="F315" s="468"/>
      <c r="G315" s="468"/>
      <c r="H315" s="468"/>
      <c r="I315" s="468"/>
      <c r="J315" s="468"/>
      <c r="K315" s="467"/>
      <c r="L315" s="468"/>
      <c r="M315" s="469"/>
      <c r="N315" s="470"/>
      <c r="O315" s="470"/>
      <c r="P315" s="470"/>
      <c r="Q315" s="469"/>
      <c r="R315" s="471"/>
      <c r="S315" s="471"/>
      <c r="T315" s="471"/>
      <c r="U315" s="471"/>
      <c r="V315" s="471"/>
      <c r="W315" s="471"/>
      <c r="X315" s="471"/>
      <c r="Y315" s="471"/>
      <c r="Z315" s="471"/>
      <c r="AA315" s="471" t="str">
        <f t="shared" si="744"/>
        <v/>
      </c>
      <c r="AB315" s="471"/>
      <c r="AC315" s="471"/>
      <c r="AD315" s="471"/>
      <c r="AE315" s="471"/>
      <c r="AF315" s="510" t="str">
        <f t="shared" si="737"/>
        <v/>
      </c>
      <c r="AG315" s="471"/>
      <c r="AH315" s="471"/>
      <c r="AI315" s="471"/>
      <c r="AJ315" s="471"/>
      <c r="AK315" s="472"/>
      <c r="AL315" s="471"/>
      <c r="AM315" s="473"/>
      <c r="AN315" s="513">
        <f t="shared" si="884"/>
        <v>10.769117739376673</v>
      </c>
      <c r="AO315" s="474"/>
      <c r="AP315" s="474"/>
      <c r="AQ315" s="475"/>
      <c r="AR315" s="474"/>
      <c r="AS315" s="474"/>
      <c r="AT315" s="471"/>
      <c r="AU315" s="492"/>
      <c r="AV315" s="471"/>
      <c r="AW315" s="471"/>
      <c r="AX315" s="478"/>
      <c r="AY315" s="493"/>
      <c r="AZ315" s="480"/>
      <c r="BA315" s="493"/>
      <c r="BB315" s="478" t="str">
        <f>IF(OR(C315="",D315=""),"",VLOOKUP(C315,'Base de Diseño (2)'!$A$2:$D$330,4,FALSE))</f>
        <v/>
      </c>
      <c r="BC315" s="494"/>
      <c r="BD315" s="494"/>
      <c r="BE315" s="494"/>
      <c r="BF315" s="494"/>
      <c r="BG315" s="494"/>
      <c r="BH315" s="495"/>
      <c r="BI315" s="495"/>
      <c r="BJ315" s="468"/>
      <c r="BK315" s="475"/>
      <c r="BL315" s="475"/>
      <c r="BM315" s="475"/>
      <c r="BN315" s="475"/>
      <c r="BO315" s="204"/>
      <c r="BP315" s="496"/>
      <c r="BQ315" s="475"/>
      <c r="BR315" s="475"/>
      <c r="BS315" s="475"/>
      <c r="BT315" s="475"/>
      <c r="BU315" s="475"/>
      <c r="BV315" s="475"/>
      <c r="BW315" s="475"/>
      <c r="BX315" s="475"/>
      <c r="BY315" s="475"/>
      <c r="BZ315" s="475"/>
      <c r="CA315" s="471"/>
      <c r="CB315" s="471"/>
      <c r="CC315" s="471"/>
      <c r="CD315" s="471"/>
      <c r="CE315" s="471"/>
      <c r="CF315" s="471"/>
      <c r="CG315" s="471"/>
      <c r="CH315" s="471"/>
      <c r="CI315" s="471"/>
      <c r="CJ315" s="471"/>
      <c r="CK315" s="468"/>
      <c r="CL315" s="482" t="s">
        <v>2507</v>
      </c>
      <c r="CM315" s="482"/>
      <c r="CN315" s="63"/>
      <c r="CO315" s="498"/>
      <c r="CP315" s="472"/>
      <c r="CQ315" s="482"/>
      <c r="CR315" s="204"/>
      <c r="CS315" s="486"/>
      <c r="CT315" s="486"/>
      <c r="CU315" s="23"/>
      <c r="CV315" s="499"/>
      <c r="CW315" s="488"/>
      <c r="CX315" s="204"/>
      <c r="CY315" s="482"/>
      <c r="CZ315" s="482"/>
      <c r="DA315" s="482"/>
      <c r="DB315" s="490"/>
    </row>
    <row r="316" spans="1:106" ht="15" hidden="1" customHeight="1">
      <c r="A316" s="465">
        <f>+A314+1</f>
        <v>212</v>
      </c>
      <c r="B316" s="491">
        <v>1</v>
      </c>
      <c r="C316" s="466" t="s">
        <v>2104</v>
      </c>
      <c r="D316" s="466" t="s">
        <v>2105</v>
      </c>
      <c r="E316" s="468">
        <v>9.7824962500000001E-2</v>
      </c>
      <c r="F316" s="468"/>
      <c r="G316" s="468">
        <f t="shared" ref="G316:G325" si="885">IF(B316=1,0,SUMIF($D$22:$D$583,C316,$H$22:$H$583))</f>
        <v>0</v>
      </c>
      <c r="H316" s="468">
        <f t="shared" ref="H316:H326" si="886">+E316+F316+G316</f>
        <v>9.7824962500000001E-2</v>
      </c>
      <c r="I316" s="468">
        <v>9.7824962500000001E-2</v>
      </c>
      <c r="J316" s="468"/>
      <c r="K316" s="467">
        <f t="shared" ref="K316:K325" si="887">+IF(B316=1,0,SUMIF($D$22:$D$583,C316,$L$22:$L$580))</f>
        <v>0</v>
      </c>
      <c r="L316" s="468">
        <f t="shared" ref="L316:L324" si="888">+I316+J316+K316</f>
        <v>9.7824962500000001E-2</v>
      </c>
      <c r="M316" s="469">
        <f t="shared" ref="M316:M326" si="889">+$P$12</f>
        <v>242.33666300502347</v>
      </c>
      <c r="N316" s="470">
        <f t="shared" ref="N316:N326" si="890">M316*E316</f>
        <v>23.706574970841558</v>
      </c>
      <c r="O316" s="470">
        <f t="shared" ref="O316:O326" si="891">M316*F316</f>
        <v>0</v>
      </c>
      <c r="P316" s="470">
        <f t="shared" ref="P316:P326" si="892">M316*H316</f>
        <v>23.706574970841558</v>
      </c>
      <c r="Q316" s="469">
        <f t="shared" ref="Q316:Q325" si="893">+$H$14</f>
        <v>140</v>
      </c>
      <c r="R316" s="471">
        <f t="shared" ref="R316:R326" si="894">Q316*P316*$P$14/86400</f>
        <v>3.2651416915858163E-2</v>
      </c>
      <c r="S316" s="471"/>
      <c r="T316" s="471"/>
      <c r="U316" s="471">
        <f t="shared" ref="U316:U326" si="895">IF(C316="","",T316*$P$17)</f>
        <v>0</v>
      </c>
      <c r="V316" s="471"/>
      <c r="W316" s="471"/>
      <c r="X316" s="471">
        <f t="shared" ref="X316:X326" si="896">IF(C316="","",W316*$P$16)</f>
        <v>0</v>
      </c>
      <c r="Y316" s="471">
        <f t="shared" ref="Y316:Y326" si="897">IF(H316=0,0,$H$15*H316)</f>
        <v>1.9564992500000003E-2</v>
      </c>
      <c r="Z316" s="471">
        <f t="shared" ref="Z316:Z326" si="898">IF(L316=0,$H$16*H316,0)</f>
        <v>0</v>
      </c>
      <c r="AA316" s="471">
        <f t="shared" si="744"/>
        <v>3.8</v>
      </c>
      <c r="AB316" s="471">
        <f t="shared" ref="AB316:AB326" si="899">R316*AA316</f>
        <v>0.12407538428026101</v>
      </c>
      <c r="AC316" s="471">
        <f t="shared" ref="AC316:AC326" si="900">Q316*(N316+O316)*$P$14/86400</f>
        <v>3.2651416915858163E-2</v>
      </c>
      <c r="AD316" s="471">
        <f t="shared" ref="AD316:AD326" si="901">IF(E316=0,0,$H$15*(E316+F316))</f>
        <v>1.9564992500000003E-2</v>
      </c>
      <c r="AE316" s="471">
        <f t="shared" ref="AE316:AE326" si="902">IF(F316=0,0,$H$15*(F316+G316))</f>
        <v>0</v>
      </c>
      <c r="AF316" s="510">
        <f t="shared" si="737"/>
        <v>3.8</v>
      </c>
      <c r="AG316" s="471">
        <f t="shared" ref="AG316:AG326" si="903">AC316*AF316</f>
        <v>0.12407538428026101</v>
      </c>
      <c r="AH316" s="471">
        <f t="shared" ref="AH316:AH326" si="904">+AD316+AE316+AG316</f>
        <v>0.14364037678026101</v>
      </c>
      <c r="AI316" s="471">
        <f t="shared" ref="AI316:AI326" si="905">IF(H316="","",IF(AB316+Y316+Z316+X316+U316&lt;1.5,1.5,AB316+Y316+Z316+X316+U316))</f>
        <v>1.5</v>
      </c>
      <c r="AJ316" s="471">
        <f t="shared" ref="AJ316:AJ326" si="906">+$P$17</f>
        <v>0.75</v>
      </c>
      <c r="AK316" s="472">
        <f t="shared" ref="AK316:AK326" si="907">+BK316/100</f>
        <v>2.2597467097093819E-2</v>
      </c>
      <c r="AL316" s="471">
        <f t="shared" ref="AL316:AL326" si="908">IF(AJ316=0," ",0.14+0.65*AJ316+0.05*AK316)</f>
        <v>0.62862987335485476</v>
      </c>
      <c r="AM316" s="473">
        <f t="shared" ref="AM316:AM326" si="909">((100/36)*$AM$14*(AP316+$AN$14)^$AO$14)</f>
        <v>336.32613267542746</v>
      </c>
      <c r="AN316" s="513">
        <f t="shared" si="884"/>
        <v>5.5149644470205121</v>
      </c>
      <c r="AO316" s="474">
        <f t="shared" ref="AO316:AO326" si="910">((1/60)*$AX316/$AQ316)</f>
        <v>0.22372222222222224</v>
      </c>
      <c r="AP316" s="474">
        <f t="shared" ref="AP316:AP326" si="911">IF(B316=1,IF(($AN316+$AO316)&lt;10,10,IF(($AN316+$AO316)&gt;20,20,($AN316+$AO316))),($AN316+$AO316))</f>
        <v>10</v>
      </c>
      <c r="AQ316" s="475">
        <v>3</v>
      </c>
      <c r="AR316" s="474">
        <f t="shared" ref="AR316:AR326" si="912">((1/60)*$AX316/$BT316)</f>
        <v>0.49071034382869844</v>
      </c>
      <c r="AS316" s="474">
        <f t="shared" ref="AS316:AS326" si="913">AO316/AR316</f>
        <v>0.45591503222993235</v>
      </c>
      <c r="AT316" s="471" t="str">
        <f t="shared" ref="AT316:AT326" si="914">IF(AS316&lt;0.9,"Disminuir vel.",IF(AS316&gt;1.1,"Aumentar vel.","Cumple"))</f>
        <v>Disminuir vel.</v>
      </c>
      <c r="AU316" s="492">
        <f t="shared" ref="AU316:AU326" si="915">+I316*AL316*AM316</f>
        <v>20.682608867681115</v>
      </c>
      <c r="AV316" s="471">
        <f t="shared" ref="AV316:AV326" si="916">+L316*AL316*AM316</f>
        <v>20.682608867681115</v>
      </c>
      <c r="AW316" s="571">
        <f t="shared" ref="AW316:AW325" si="917">ROUND(IF(AI316&gt;(AV316*0.05),(AV316+AI316),AV316),2)</f>
        <v>22.18</v>
      </c>
      <c r="AX316" s="478">
        <f>IF(OR(C316="",D316=""),"",ROUND(((VLOOKUP(C316,'Base de Diseño (2)'!$A$2:$C$333,2,FALSE)-VLOOKUP(D316,'Base de Diseño (2)'!$A$2:$C$333,2,FALSE))^2+(VLOOKUP(C316,'Base de Diseño (2)'!$A$2:$C$333,3,0)-VLOOKUP(D316,'Base de Diseño (2)'!$A$2:$C$333,3,FALSE))^2)^0.5,2))</f>
        <v>40.270000000000003</v>
      </c>
      <c r="AY316" s="493">
        <v>8</v>
      </c>
      <c r="AZ316" s="480">
        <f>IF(AND(L316="",H316=""),"",IF(BA316=4,VLOOKUP(AY316,'TABLA (2)'!$A$74:$C$89,2),IF(BA316=5,VLOOKUP(AY316,'TABLA (2)'!$A$51:$B$66,2),IF(BA316=6,VLOOKUP(AY316,'TABLA (2)'!$A$9:$B$43,2)))))</f>
        <v>200</v>
      </c>
      <c r="BA316" s="493">
        <v>6</v>
      </c>
      <c r="BB316" s="478">
        <f>IF(OR(C316="",D316=""),"",VLOOKUP(C316,'Base de Diseño (2)'!$A$2:$D$330,4,FALSE))</f>
        <v>995.16160000000002</v>
      </c>
      <c r="BC316" s="478">
        <f>IF(OR(C316="",D316=""),"",VLOOKUP(D316,'Base de Diseño (2)'!$A$2:$D$330,4,FALSE))</f>
        <v>994.25160000000005</v>
      </c>
      <c r="BD316" s="23">
        <f t="shared" ref="BD316:BD326" si="918">+BF316-((AZ316/1000)+CX316)</f>
        <v>1.0629999999999544</v>
      </c>
      <c r="BE316" s="23">
        <f t="shared" ref="BE316:BE326" si="919">+BG316-((AZ316/1000)+CX316)</f>
        <v>1.182999999999959</v>
      </c>
      <c r="BF316" s="494">
        <v>1.2999999999999545</v>
      </c>
      <c r="BG316" s="494">
        <v>1.4199999999999591</v>
      </c>
      <c r="BH316" s="495">
        <f t="shared" ref="BH316:BH326" si="920">BB316-BF316</f>
        <v>993.86160000000007</v>
      </c>
      <c r="BI316" s="495">
        <f t="shared" ref="BI316:BI326" si="921">BC316-BG316</f>
        <v>992.83160000000009</v>
      </c>
      <c r="BJ316" s="468">
        <f t="shared" ref="BJ316:BJ325" si="922">IF(A316="",0,BI316-BH317)</f>
        <v>4.0000000000077307E-2</v>
      </c>
      <c r="BK316" s="475">
        <f t="shared" ref="BK316:BK326" si="923">ABS((BB316-BC316)/AX316)*100</f>
        <v>2.2597467097093817</v>
      </c>
      <c r="BL316" s="475">
        <f t="shared" ref="BL316:BL326" si="924">((BH316-BI316)/AX316)*100</f>
        <v>2.5577352868139376</v>
      </c>
      <c r="BM316" s="475">
        <f t="shared" ref="BM316:BM326" si="925">IF(BA316=6,(1/0.013)*((AZ316/4000)^(2/3))*((BL316/100)^(0.5)),(1/0.009)*((AZ316/4000)^(2/3))*((BL316/100)^(0.5)))</f>
        <v>1.6696718100265107</v>
      </c>
      <c r="BN316" s="475">
        <f t="shared" ref="BN316:BN326" si="926">1000*BM316*PI()*((AZ316/1000/2)^2)</f>
        <v>52.454286922852596</v>
      </c>
      <c r="BO316" s="204">
        <f t="shared" ref="BO316:BO326" si="927">AI316/BN316</f>
        <v>2.8596328117206748E-2</v>
      </c>
      <c r="BP316" s="496">
        <f t="shared" ref="BP316:BP326" si="928">IF(L316=0," ",AW316/BN316)</f>
        <v>0.4228443717597638</v>
      </c>
      <c r="BQ316" s="497">
        <f t="shared" ref="BQ316:BQ326" si="929">IF($BO316&gt;0 =AND($BO316&lt;=0.06),10^(0.029806+0.29095*LOG($BO316)),IF($BO316&gt;0.06 =AND($BO316&lt;=0.26),10^(0.013778+0.282597*LOG($BO316)),IF($BO316&gt;0.26 =AND($BO316&lt;=0.91),10^(0.021763+0.28995*LOG($BO316)),1)))</f>
        <v>0.38077591772585268</v>
      </c>
      <c r="BR316" s="497">
        <f t="shared" ref="BR316:BR326" si="930">IF($BP316&gt;0 =AND($BP316&lt;=0.06),10^(0.029806+0.29095*LOG($BP316)),IF($BP316&gt;0.06 =AND($BP316&lt;=0.26),10^(0.013778+0.282597*LOG($BP316)),IF($BP316&gt;0.26 =AND($BP316&lt;=2),10^(0.021763+0.28995*LOG($BP316))," ")))</f>
        <v>0.819170023998956</v>
      </c>
      <c r="BS316" s="475">
        <f t="shared" ref="BS316:BS326" si="931">BM316*BQ316</f>
        <v>0.6357708157638301</v>
      </c>
      <c r="BT316" s="475">
        <f t="shared" ref="BT316:BT326" si="932">IF(BP316=" "," ",(BM316*BR316))</f>
        <v>1.367745096689797</v>
      </c>
      <c r="BU316" s="475">
        <f t="shared" ref="BU316:BU326" si="933">IF(BO316&lt;=0.11,0.3827+0.0645*LN(BO316),IF(BO316&lt;=0.21,0.60025+0.15471*LN(BO316),IF(BO316&lt;1,0.225+0.6666666667*BO316,0)))</f>
        <v>0.1534362362793717</v>
      </c>
      <c r="BV316" s="475">
        <f t="shared" ref="BV316:BV326" si="934">IF(BP316&lt;=0.11,0.3827+0.0645*LN(BP316),IF(BP316&lt;=0.21,0.60025+0.15471*LN(BP316),IF(BP316&lt;1,0.225+0.6666666667*BP316," ")))</f>
        <v>0.50689624785393739</v>
      </c>
      <c r="BW316" s="475">
        <f t="shared" ref="BW316:BW326" si="935">2*ACOS(1-2*(BU316))</f>
        <v>1.6099547949393704</v>
      </c>
      <c r="BX316" s="475">
        <f t="shared" ref="BX316:BX326" si="936">IF(BP316=" "," ",(2*ACOS(1-2*(BV316))))</f>
        <v>3.1691785196760804</v>
      </c>
      <c r="BY316" s="475">
        <f t="shared" ref="BY316:BY326" si="937">(1/4)*(1-(SIN(BW316))/BW316)</f>
        <v>9.4835176693803203E-2</v>
      </c>
      <c r="BZ316" s="475">
        <f t="shared" ref="BZ316:BZ326" si="938">IF(BP316=" "," ",((1/4)*(1-(SIN(BX316))/BX316)))</f>
        <v>0.25217582942493844</v>
      </c>
      <c r="CA316" s="471">
        <f t="shared" ref="CA316:CA326" si="939">BY316*AZ316/1000</f>
        <v>1.8967035338760641E-2</v>
      </c>
      <c r="CB316" s="471">
        <f t="shared" ref="CB316:CB326" si="940">IF(BP316=" "," ",(BZ316*AZ316/1000))</f>
        <v>5.0435165884987691E-2</v>
      </c>
      <c r="CC316" s="471">
        <f t="shared" ref="CC316:CC325" si="941">+(BT316/SQRT(9.81*(0.125*(BX316-SIN(BX316))*(AZ316/1000)^2)/((AZ316/1000)*SIN(BX316/2))))</f>
        <v>1.5446316370727031</v>
      </c>
      <c r="CD316" s="471" t="str">
        <f t="shared" ref="CD316:CD326" si="942">IF(CC316="","",IF(CC316&lt;0.7,"F. Subcrítico",IF(AND(CC316&gt;0.7,CC316&lt;1),"F. Subcrítico Inestable",IF(CC316=1,"F. Crítico",IF(AND(CC316&gt;1,CC316&lt;1.5),"F. Supercrítico Inestable",IF(CC316&gt;1.5,"F. Supercrítico",""))))))</f>
        <v>F. Supercrítico</v>
      </c>
      <c r="CE316" s="471">
        <f t="shared" ref="CE316:CE326" si="943">1000*BL316*CA316/100</f>
        <v>0.48512655572195035</v>
      </c>
      <c r="CF316" s="471">
        <f t="shared" ref="CF316:CF326" si="944">IF(BP316=" "," ",(1000*BL316*CB316/100))</f>
        <v>1.2899980348034752</v>
      </c>
      <c r="CG316" s="471" t="str">
        <f t="shared" ref="CG316:CG326" si="945">IF(BS316&lt;0.45,"No cumple",IF(BS316&gt;5,"No cumple","O.K"))</f>
        <v>O.K</v>
      </c>
      <c r="CH316" s="471" t="str">
        <f t="shared" ref="CH316:CH326" si="946">IF(BT316&lt;0.75,"No cumple",IF(BT316&gt;10,"No cumple","O.K"))</f>
        <v>O.K</v>
      </c>
      <c r="CI316" s="471" t="str">
        <f t="shared" ref="CI316:CI326" si="947">IF(CE316&gt;0.1,"OK","V.C.H.")</f>
        <v>OK</v>
      </c>
      <c r="CJ316" s="471" t="str">
        <f t="shared" ref="CJ316:CJ326" si="948">IF(CF316&gt;0.2,"OK","V.C.H.")</f>
        <v>OK</v>
      </c>
      <c r="CK316" s="468">
        <f t="shared" ref="CK316:CK326" si="949">+BJ316</f>
        <v>4.0000000000077307E-2</v>
      </c>
      <c r="CL316" s="482" t="s">
        <v>2507</v>
      </c>
      <c r="CM316" s="482"/>
      <c r="CN316" s="63" t="str">
        <f t="shared" ref="CN316:CN326" si="950">IF(B316=1,"dato"," ")</f>
        <v>dato</v>
      </c>
      <c r="CO316" s="498">
        <f t="shared" ref="CO316:CO324" si="951">+CR316</f>
        <v>40.270000000000003</v>
      </c>
      <c r="CP316" s="472">
        <f t="shared" ref="CP316:CP324" si="952">+BK316/100</f>
        <v>2.2597467097093819E-2</v>
      </c>
      <c r="CQ316" s="482" t="s">
        <v>2508</v>
      </c>
      <c r="CR316" s="204">
        <f t="shared" ref="CR316:CR326" si="953">IF(BA316="","",AX316)</f>
        <v>40.270000000000003</v>
      </c>
      <c r="CS316" s="486">
        <v>1.2</v>
      </c>
      <c r="CT316" s="486">
        <v>1.2</v>
      </c>
      <c r="CU316" s="23">
        <f t="shared" ref="CU316:CU326" si="954">IF($BA316="","",SQRT((BH316-BI316)^2+$CR316^2))</f>
        <v>40.283170183092594</v>
      </c>
      <c r="CV316" s="499" t="s">
        <v>2509</v>
      </c>
      <c r="CW316" s="488" t="str">
        <f t="shared" ref="CW316:CW326" si="955">+IF(BD316&lt;=0.9,"E1",IF(BD316&lt;=2.5,"E2","E3"))</f>
        <v>E2</v>
      </c>
      <c r="CX316" s="204">
        <f>IF(AND(L316="",H316=""),"",IF(AND(BA316&lt;&gt;4,BA316&lt;&gt;5),VLOOKUP(AY316,'TABLA (2)'!$A$9:$D$43,4),IF(BA316=4,VLOOKUP(AY316,'TABLA (2)'!$A$74:$D$89,4),VLOOKUP(AY316,'TABLA (2)'!$A$51:$D$66,4))))</f>
        <v>3.6999999999999998E-2</v>
      </c>
      <c r="CY316" s="482"/>
      <c r="CZ316" s="482"/>
      <c r="DA316" s="482"/>
      <c r="DB316" s="490"/>
    </row>
    <row r="317" spans="1:106" ht="15" hidden="1" customHeight="1">
      <c r="A317" s="465">
        <f t="shared" ref="A317:A326" si="956">+A316+1</f>
        <v>213</v>
      </c>
      <c r="B317" s="491"/>
      <c r="C317" s="466" t="s">
        <v>2105</v>
      </c>
      <c r="D317" s="466" t="s">
        <v>2106</v>
      </c>
      <c r="E317" s="468">
        <v>0.13615030389999999</v>
      </c>
      <c r="F317" s="468"/>
      <c r="G317" s="468">
        <f t="shared" si="885"/>
        <v>9.7824962500000001E-2</v>
      </c>
      <c r="H317" s="468">
        <f t="shared" si="886"/>
        <v>0.23397526639999999</v>
      </c>
      <c r="I317" s="468">
        <v>0.13615030389999999</v>
      </c>
      <c r="J317" s="468"/>
      <c r="K317" s="467">
        <f t="shared" ca="1" si="887"/>
        <v>9.7824962500000001E-2</v>
      </c>
      <c r="L317" s="468">
        <f t="shared" ca="1" si="888"/>
        <v>0.23397526639999999</v>
      </c>
      <c r="M317" s="469">
        <f t="shared" si="889"/>
        <v>242.33666300502347</v>
      </c>
      <c r="N317" s="470">
        <f t="shared" si="890"/>
        <v>32.994210314245834</v>
      </c>
      <c r="O317" s="470">
        <f t="shared" si="891"/>
        <v>0</v>
      </c>
      <c r="P317" s="470">
        <f t="shared" si="892"/>
        <v>56.700785285087392</v>
      </c>
      <c r="Q317" s="469">
        <f t="shared" si="893"/>
        <v>140</v>
      </c>
      <c r="R317" s="471">
        <f t="shared" si="894"/>
        <v>7.8094831584784724E-2</v>
      </c>
      <c r="S317" s="471"/>
      <c r="T317" s="471"/>
      <c r="U317" s="471">
        <f t="shared" si="895"/>
        <v>0</v>
      </c>
      <c r="V317" s="471"/>
      <c r="W317" s="471"/>
      <c r="X317" s="471">
        <f t="shared" si="896"/>
        <v>0</v>
      </c>
      <c r="Y317" s="471">
        <f t="shared" si="897"/>
        <v>4.6795053279999999E-2</v>
      </c>
      <c r="Z317" s="471">
        <f t="shared" ca="1" si="898"/>
        <v>0</v>
      </c>
      <c r="AA317" s="471">
        <f t="shared" si="744"/>
        <v>3.8</v>
      </c>
      <c r="AB317" s="471">
        <f t="shared" si="899"/>
        <v>0.29676036002218192</v>
      </c>
      <c r="AC317" s="471">
        <f t="shared" si="900"/>
        <v>4.5443414668926554E-2</v>
      </c>
      <c r="AD317" s="471">
        <f t="shared" si="901"/>
        <v>2.7230060779999999E-2</v>
      </c>
      <c r="AE317" s="471">
        <f t="shared" si="902"/>
        <v>0</v>
      </c>
      <c r="AF317" s="510">
        <f t="shared" si="737"/>
        <v>3.8</v>
      </c>
      <c r="AG317" s="471">
        <f t="shared" si="903"/>
        <v>0.1726849757419209</v>
      </c>
      <c r="AH317" s="471">
        <f t="shared" si="904"/>
        <v>0.19991503652192091</v>
      </c>
      <c r="AI317" s="471">
        <f t="shared" ca="1" si="905"/>
        <v>1.5</v>
      </c>
      <c r="AJ317" s="471">
        <f t="shared" si="906"/>
        <v>0.75</v>
      </c>
      <c r="AK317" s="472">
        <f t="shared" si="907"/>
        <v>1.2115839243501236E-2</v>
      </c>
      <c r="AL317" s="471">
        <f t="shared" si="908"/>
        <v>0.62810579196217509</v>
      </c>
      <c r="AM317" s="473">
        <f t="shared" si="909"/>
        <v>334.46987989247668</v>
      </c>
      <c r="AN317" s="513">
        <f t="shared" si="884"/>
        <v>10</v>
      </c>
      <c r="AO317" s="474">
        <f t="shared" si="910"/>
        <v>0.18800000000000003</v>
      </c>
      <c r="AP317" s="474">
        <f t="shared" si="911"/>
        <v>10.188000000000001</v>
      </c>
      <c r="AQ317" s="475">
        <v>3</v>
      </c>
      <c r="AR317" s="474">
        <f t="shared" ca="1" si="912"/>
        <v>0.22309059300609996</v>
      </c>
      <c r="AS317" s="474">
        <f t="shared" ca="1" si="913"/>
        <v>0.84270698045461534</v>
      </c>
      <c r="AT317" s="471" t="str">
        <f t="shared" ca="1" si="914"/>
        <v>Disminuir vel.</v>
      </c>
      <c r="AU317" s="492">
        <f t="shared" si="915"/>
        <v>28.602791970822508</v>
      </c>
      <c r="AV317" s="471">
        <f t="shared" ca="1" si="916"/>
        <v>49.154101602831446</v>
      </c>
      <c r="AW317" s="571">
        <f t="shared" ca="1" si="917"/>
        <v>49.15</v>
      </c>
      <c r="AX317" s="478">
        <f>IF(OR(C317="",D317=""),"",ROUND(((VLOOKUP(C317,'Base de Diseño (2)'!$A$2:$C$333,2,FALSE)-VLOOKUP(D317,'Base de Diseño (2)'!$A$2:$C$333,2,FALSE))^2+(VLOOKUP(C317,'Base de Diseño (2)'!$A$2:$C$333,3,0)-VLOOKUP(D317,'Base de Diseño (2)'!$A$2:$C$333,3,FALSE))^2)^0.5,2))</f>
        <v>33.840000000000003</v>
      </c>
      <c r="AY317" s="493">
        <v>8</v>
      </c>
      <c r="AZ317" s="480">
        <f ca="1">IF(AND(L317="",H317=""),"",IF(BA317=4,VLOOKUP(AY317,'TABLA (2)'!$A$74:$C$89,2),IF(BA317=5,VLOOKUP(AY317,'TABLA (2)'!$A$51:$B$66,2),IF(BA317=6,VLOOKUP(AY317,'TABLA (2)'!$A$9:$B$43,2)))))</f>
        <v>200</v>
      </c>
      <c r="BA317" s="493">
        <v>6</v>
      </c>
      <c r="BB317" s="478">
        <f>IF(OR(C317="",D317=""),"",VLOOKUP(C317,'Base de Diseño (2)'!$A$2:$D$330,4,FALSE))</f>
        <v>994.25160000000005</v>
      </c>
      <c r="BC317" s="478">
        <f>IF(OR(C317="",D317=""),"",VLOOKUP(D317,'Base de Diseño (2)'!$A$2:$D$330,4,FALSE))</f>
        <v>993.84159999999997</v>
      </c>
      <c r="BD317" s="23">
        <f t="shared" ca="1" si="918"/>
        <v>1.2230000000000363</v>
      </c>
      <c r="BE317" s="23">
        <f t="shared" ca="1" si="919"/>
        <v>3.3630000000000226</v>
      </c>
      <c r="BF317" s="494">
        <v>1.4600000000000364</v>
      </c>
      <c r="BG317" s="494">
        <v>3.6000000000000227</v>
      </c>
      <c r="BH317" s="495">
        <f t="shared" si="920"/>
        <v>992.79160000000002</v>
      </c>
      <c r="BI317" s="495">
        <f t="shared" si="921"/>
        <v>990.24159999999995</v>
      </c>
      <c r="BJ317" s="468">
        <f t="shared" si="922"/>
        <v>3.999999999996362E-2</v>
      </c>
      <c r="BK317" s="475">
        <f t="shared" si="923"/>
        <v>1.2115839243501236</v>
      </c>
      <c r="BL317" s="475">
        <f t="shared" si="924"/>
        <v>7.5354609929080025</v>
      </c>
      <c r="BM317" s="475">
        <f t="shared" ca="1" si="925"/>
        <v>2.8658815085243989</v>
      </c>
      <c r="BN317" s="475">
        <f t="shared" ca="1" si="926"/>
        <v>90.034322932390879</v>
      </c>
      <c r="BO317" s="204">
        <f t="shared" ca="1" si="927"/>
        <v>1.6660312991151043E-2</v>
      </c>
      <c r="BP317" s="496">
        <f t="shared" ca="1" si="928"/>
        <v>0.54590292234338245</v>
      </c>
      <c r="BQ317" s="497">
        <f t="shared" ca="1" si="929"/>
        <v>0.32539038386917968</v>
      </c>
      <c r="BR317" s="497">
        <f t="shared" ca="1" si="930"/>
        <v>0.88214426655257605</v>
      </c>
      <c r="BS317" s="475">
        <f t="shared" ca="1" si="931"/>
        <v>0.93253028418233785</v>
      </c>
      <c r="BT317" s="475">
        <f t="shared" ca="1" si="932"/>
        <v>2.5281209413638459</v>
      </c>
      <c r="BU317" s="475">
        <f t="shared" ca="1" si="933"/>
        <v>0.11859018232437429</v>
      </c>
      <c r="BV317" s="475">
        <f t="shared" ca="1" si="934"/>
        <v>0.58893528158045172</v>
      </c>
      <c r="BW317" s="475">
        <f t="shared" ca="1" si="935"/>
        <v>1.4062674459931028</v>
      </c>
      <c r="BX317" s="475">
        <f t="shared" ca="1" si="936"/>
        <v>3.4992368193436398</v>
      </c>
      <c r="BY317" s="475">
        <f t="shared" ca="1" si="937"/>
        <v>7.4625175120244996E-2</v>
      </c>
      <c r="BZ317" s="475">
        <f t="shared" ca="1" si="938"/>
        <v>0.27501034211507636</v>
      </c>
      <c r="CA317" s="471">
        <f t="shared" ca="1" si="939"/>
        <v>1.4925035024048999E-2</v>
      </c>
      <c r="CB317" s="471">
        <f t="shared" ca="1" si="940"/>
        <v>5.5002068423015277E-2</v>
      </c>
      <c r="CC317" s="471">
        <f t="shared" ca="1" si="941"/>
        <v>2.5811402501651215</v>
      </c>
      <c r="CD317" s="471" t="str">
        <f t="shared" ca="1" si="942"/>
        <v>F. Supercrítico</v>
      </c>
      <c r="CE317" s="471">
        <f t="shared" ca="1" si="943"/>
        <v>1.1246701924150697</v>
      </c>
      <c r="CF317" s="471">
        <f t="shared" ca="1" si="944"/>
        <v>4.1446594113088864</v>
      </c>
      <c r="CG317" s="471" t="str">
        <f t="shared" ca="1" si="945"/>
        <v>O.K</v>
      </c>
      <c r="CH317" s="471" t="str">
        <f t="shared" ca="1" si="946"/>
        <v>O.K</v>
      </c>
      <c r="CI317" s="471" t="str">
        <f t="shared" ca="1" si="947"/>
        <v>OK</v>
      </c>
      <c r="CJ317" s="471" t="str">
        <f t="shared" ca="1" si="948"/>
        <v>OK</v>
      </c>
      <c r="CK317" s="468">
        <f t="shared" si="949"/>
        <v>3.999999999996362E-2</v>
      </c>
      <c r="CL317" s="482" t="s">
        <v>2507</v>
      </c>
      <c r="CM317" s="482"/>
      <c r="CN317" s="63" t="str">
        <f t="shared" si="950"/>
        <v xml:space="preserve"> </v>
      </c>
      <c r="CO317" s="498">
        <f t="shared" si="951"/>
        <v>33.840000000000003</v>
      </c>
      <c r="CP317" s="472">
        <f t="shared" si="952"/>
        <v>1.2115839243501236E-2</v>
      </c>
      <c r="CQ317" s="482" t="s">
        <v>2508</v>
      </c>
      <c r="CR317" s="204">
        <f t="shared" si="953"/>
        <v>33.840000000000003</v>
      </c>
      <c r="CS317" s="486">
        <v>1.2</v>
      </c>
      <c r="CT317" s="486">
        <v>1.2</v>
      </c>
      <c r="CU317" s="23">
        <f t="shared" si="954"/>
        <v>33.935941124418527</v>
      </c>
      <c r="CV317" s="499" t="s">
        <v>2509</v>
      </c>
      <c r="CW317" s="488" t="str">
        <f t="shared" ca="1" si="955"/>
        <v>E2</v>
      </c>
      <c r="CX317" s="204">
        <f ca="1">IF(AND(L317="",H317=""),"",IF(AND(BA317&lt;&gt;4,BA317&lt;&gt;5),VLOOKUP(AY317,'TABLA (2)'!$A$9:$D$43,4),IF(BA317=4,VLOOKUP(AY317,'TABLA (2)'!$A$74:$D$89,4),VLOOKUP(AY317,'TABLA (2)'!$A$51:$D$66,4))))</f>
        <v>3.6999999999999998E-2</v>
      </c>
      <c r="CY317" s="482"/>
      <c r="CZ317" s="482"/>
      <c r="DA317" s="482"/>
      <c r="DB317" s="490"/>
    </row>
    <row r="318" spans="1:106" ht="15" hidden="1" customHeight="1">
      <c r="A318" s="465">
        <f t="shared" si="956"/>
        <v>214</v>
      </c>
      <c r="B318" s="491"/>
      <c r="C318" s="466" t="s">
        <v>2106</v>
      </c>
      <c r="D318" s="466" t="s">
        <v>2122</v>
      </c>
      <c r="E318" s="468">
        <f>0.0979+0.2105</f>
        <v>0.30840000000000001</v>
      </c>
      <c r="F318" s="468"/>
      <c r="G318" s="468">
        <f t="shared" si="885"/>
        <v>0.45137260150000003</v>
      </c>
      <c r="H318" s="468">
        <f t="shared" si="886"/>
        <v>0.75977260150000003</v>
      </c>
      <c r="I318" s="468">
        <f t="shared" ref="I318:I326" si="957">+E318</f>
        <v>0.30840000000000001</v>
      </c>
      <c r="J318" s="468"/>
      <c r="K318" s="467">
        <f t="shared" ca="1" si="887"/>
        <v>0.45137260150000003</v>
      </c>
      <c r="L318" s="468">
        <f t="shared" ca="1" si="888"/>
        <v>0.75977260150000003</v>
      </c>
      <c r="M318" s="469">
        <f t="shared" si="889"/>
        <v>242.33666300502347</v>
      </c>
      <c r="N318" s="470">
        <f t="shared" si="890"/>
        <v>74.736626870749234</v>
      </c>
      <c r="O318" s="470">
        <f t="shared" si="891"/>
        <v>0</v>
      </c>
      <c r="P318" s="470">
        <f t="shared" si="892"/>
        <v>184.12075689015549</v>
      </c>
      <c r="Q318" s="469">
        <f t="shared" si="893"/>
        <v>140</v>
      </c>
      <c r="R318" s="471">
        <f t="shared" si="894"/>
        <v>0.25359224617972803</v>
      </c>
      <c r="S318" s="471"/>
      <c r="T318" s="471"/>
      <c r="U318" s="471">
        <f t="shared" si="895"/>
        <v>0</v>
      </c>
      <c r="V318" s="471"/>
      <c r="W318" s="471"/>
      <c r="X318" s="471">
        <f t="shared" si="896"/>
        <v>0</v>
      </c>
      <c r="Y318" s="471">
        <f t="shared" si="897"/>
        <v>0.15195452030000001</v>
      </c>
      <c r="Z318" s="471">
        <f t="shared" ca="1" si="898"/>
        <v>0</v>
      </c>
      <c r="AA318" s="471">
        <f t="shared" si="744"/>
        <v>3.8</v>
      </c>
      <c r="AB318" s="471">
        <f t="shared" si="899"/>
        <v>0.96365053548296642</v>
      </c>
      <c r="AC318" s="471">
        <f t="shared" si="900"/>
        <v>0.10293586339836988</v>
      </c>
      <c r="AD318" s="471">
        <f t="shared" si="901"/>
        <v>6.1680000000000006E-2</v>
      </c>
      <c r="AE318" s="471">
        <f t="shared" si="902"/>
        <v>0</v>
      </c>
      <c r="AF318" s="510">
        <f t="shared" si="737"/>
        <v>3.8</v>
      </c>
      <c r="AG318" s="471">
        <f t="shared" si="903"/>
        <v>0.39115628091380555</v>
      </c>
      <c r="AH318" s="471">
        <f t="shared" si="904"/>
        <v>0.45283628091380557</v>
      </c>
      <c r="AI318" s="471">
        <f t="shared" ca="1" si="905"/>
        <v>1.5</v>
      </c>
      <c r="AJ318" s="471">
        <f t="shared" si="906"/>
        <v>0.75</v>
      </c>
      <c r="AK318" s="472">
        <f t="shared" si="907"/>
        <v>5.5376095985182668E-3</v>
      </c>
      <c r="AL318" s="471">
        <f t="shared" si="908"/>
        <v>0.62777688047992597</v>
      </c>
      <c r="AM318" s="473">
        <f t="shared" si="909"/>
        <v>333.2914736588512</v>
      </c>
      <c r="AN318" s="513">
        <f t="shared" si="884"/>
        <v>10.188000000000001</v>
      </c>
      <c r="AO318" s="474">
        <f t="shared" si="910"/>
        <v>0.12038888888888889</v>
      </c>
      <c r="AP318" s="474">
        <f t="shared" si="911"/>
        <v>10.30838888888889</v>
      </c>
      <c r="AQ318" s="475">
        <v>3</v>
      </c>
      <c r="AR318" s="474">
        <f t="shared" ca="1" si="912"/>
        <v>0.20965491301752442</v>
      </c>
      <c r="AS318" s="474">
        <f t="shared" ca="1" si="913"/>
        <v>0.57422402917324411</v>
      </c>
      <c r="AT318" s="471" t="str">
        <f t="shared" ca="1" si="914"/>
        <v>Disminuir vel.</v>
      </c>
      <c r="AU318" s="492">
        <f t="shared" si="915"/>
        <v>64.527359012875834</v>
      </c>
      <c r="AV318" s="471">
        <f t="shared" ca="1" si="916"/>
        <v>158.96925883637209</v>
      </c>
      <c r="AW318" s="571">
        <f t="shared" ca="1" si="917"/>
        <v>158.97</v>
      </c>
      <c r="AX318" s="478">
        <f>IF(OR(C318="",D318=""),"",ROUND(((VLOOKUP(C318,'Base de Diseño (2)'!$A$2:$C$333,2,FALSE)-VLOOKUP(D318,'Base de Diseño (2)'!$A$2:$C$333,2,FALSE))^2+(VLOOKUP(C318,'Base de Diseño (2)'!$A$2:$C$333,3,0)-VLOOKUP(D318,'Base de Diseño (2)'!$A$2:$C$333,3,FALSE))^2)^0.5,2))</f>
        <v>21.67</v>
      </c>
      <c r="AY318" s="493">
        <v>12</v>
      </c>
      <c r="AZ318" s="480">
        <f ca="1">IF(AND(L318="",H318=""),"",IF(BA318=4,VLOOKUP(AY318,'TABLA (2)'!$A$74:$C$89,2),IF(BA318=5,VLOOKUP(AY318,'TABLA (2)'!$A$51:$B$66,2),IF(BA318=6,VLOOKUP(AY318,'TABLA (2)'!$A$9:$B$43,2)))))</f>
        <v>300</v>
      </c>
      <c r="BA318" s="493">
        <v>6</v>
      </c>
      <c r="BB318" s="478">
        <f>IF(OR(C318="",D318=""),"",VLOOKUP(C318,'Base de Diseño (2)'!$A$2:$D$330,4,FALSE))</f>
        <v>993.84159999999997</v>
      </c>
      <c r="BC318" s="478">
        <f>IF(OR(C318="",D318=""),"",VLOOKUP(D318,'Base de Diseño (2)'!$A$2:$D$330,4,FALSE))</f>
        <v>993.72160000000008</v>
      </c>
      <c r="BD318" s="23">
        <f t="shared" ca="1" si="918"/>
        <v>3.2929999999999864</v>
      </c>
      <c r="BE318" s="23">
        <f t="shared" ca="1" si="919"/>
        <v>3.4129999999999909</v>
      </c>
      <c r="BF318" s="494">
        <v>3.6399999999999864</v>
      </c>
      <c r="BG318" s="494">
        <v>3.7599999999999909</v>
      </c>
      <c r="BH318" s="495">
        <f t="shared" si="920"/>
        <v>990.20159999999998</v>
      </c>
      <c r="BI318" s="495">
        <f t="shared" si="921"/>
        <v>989.96160000000009</v>
      </c>
      <c r="BJ318" s="468">
        <f t="shared" si="922"/>
        <v>2.9999999999972715E-2</v>
      </c>
      <c r="BK318" s="475">
        <f t="shared" si="923"/>
        <v>0.55376095985182672</v>
      </c>
      <c r="BL318" s="475">
        <f t="shared" si="924"/>
        <v>1.1075219197041781</v>
      </c>
      <c r="BM318" s="475">
        <f t="shared" ca="1" si="925"/>
        <v>1.4397054714637243</v>
      </c>
      <c r="BN318" s="475">
        <f t="shared" ca="1" si="926"/>
        <v>101.76678298087798</v>
      </c>
      <c r="BO318" s="204">
        <f t="shared" ca="1" si="927"/>
        <v>1.4739583546449048E-2</v>
      </c>
      <c r="BP318" s="496">
        <f t="shared" ca="1" si="928"/>
        <v>1.56210106425267</v>
      </c>
      <c r="BQ318" s="497">
        <f t="shared" ca="1" si="929"/>
        <v>0.3139979211155644</v>
      </c>
      <c r="BR318" s="497">
        <f t="shared" ca="1" si="930"/>
        <v>1.196544794518507</v>
      </c>
      <c r="BS318" s="475">
        <f t="shared" ca="1" si="931"/>
        <v>0.45206452505831296</v>
      </c>
      <c r="BT318" s="475">
        <f t="shared" ca="1" si="932"/>
        <v>1.7226720875197323</v>
      </c>
      <c r="BU318" s="475">
        <f t="shared" ca="1" si="933"/>
        <v>0.11068939733855332</v>
      </c>
      <c r="BV318" s="475" t="str">
        <f t="shared" ca="1" si="934"/>
        <v xml:space="preserve"> </v>
      </c>
      <c r="BW318" s="475">
        <f t="shared" ca="1" si="935"/>
        <v>1.3566616350884273</v>
      </c>
      <c r="BX318" s="475" t="e">
        <f t="shared" ca="1" si="936"/>
        <v>#VALUE!</v>
      </c>
      <c r="BY318" s="475">
        <f t="shared" ca="1" si="937"/>
        <v>6.9932875219176183E-2</v>
      </c>
      <c r="BZ318" s="475" t="e">
        <f t="shared" ca="1" si="938"/>
        <v>#VALUE!</v>
      </c>
      <c r="CA318" s="471">
        <f t="shared" ca="1" si="939"/>
        <v>2.0979862565752853E-2</v>
      </c>
      <c r="CB318" s="471" t="e">
        <f t="shared" ca="1" si="940"/>
        <v>#VALUE!</v>
      </c>
      <c r="CC318" s="471" t="e">
        <f t="shared" ca="1" si="941"/>
        <v>#VALUE!</v>
      </c>
      <c r="CD318" s="471" t="e">
        <f t="shared" ca="1" si="942"/>
        <v>#VALUE!</v>
      </c>
      <c r="CE318" s="471">
        <f t="shared" ca="1" si="943"/>
        <v>0.23235657663952425</v>
      </c>
      <c r="CF318" s="471" t="e">
        <f t="shared" ca="1" si="944"/>
        <v>#VALUE!</v>
      </c>
      <c r="CG318" s="471" t="str">
        <f t="shared" ca="1" si="945"/>
        <v>O.K</v>
      </c>
      <c r="CH318" s="471" t="str">
        <f t="shared" ca="1" si="946"/>
        <v>O.K</v>
      </c>
      <c r="CI318" s="471" t="str">
        <f t="shared" ca="1" si="947"/>
        <v>OK</v>
      </c>
      <c r="CJ318" s="471" t="e">
        <f t="shared" ca="1" si="948"/>
        <v>#VALUE!</v>
      </c>
      <c r="CK318" s="468">
        <f t="shared" si="949"/>
        <v>2.9999999999972715E-2</v>
      </c>
      <c r="CL318" s="482" t="s">
        <v>2507</v>
      </c>
      <c r="CM318" s="482"/>
      <c r="CN318" s="63" t="str">
        <f t="shared" si="950"/>
        <v xml:space="preserve"> </v>
      </c>
      <c r="CO318" s="498">
        <f t="shared" si="951"/>
        <v>21.67</v>
      </c>
      <c r="CP318" s="472">
        <f t="shared" si="952"/>
        <v>5.5376095985182668E-3</v>
      </c>
      <c r="CQ318" s="482" t="s">
        <v>2508</v>
      </c>
      <c r="CR318" s="204">
        <f t="shared" si="953"/>
        <v>21.67</v>
      </c>
      <c r="CS318" s="486">
        <v>1.2</v>
      </c>
      <c r="CT318" s="486">
        <v>1.2</v>
      </c>
      <c r="CU318" s="23">
        <f t="shared" si="954"/>
        <v>21.671328985551394</v>
      </c>
      <c r="CV318" s="499" t="s">
        <v>2509</v>
      </c>
      <c r="CW318" s="488" t="str">
        <f t="shared" ca="1" si="955"/>
        <v>E3</v>
      </c>
      <c r="CX318" s="204">
        <f ca="1">IF(AND(L318="",H318=""),"",IF(AND(BA318&lt;&gt;4,BA318&lt;&gt;5),VLOOKUP(AY318,'TABLA (2)'!$A$9:$D$43,4),IF(BA318=4,VLOOKUP(AY318,'TABLA (2)'!$A$74:$D$89,4),VLOOKUP(AY318,'TABLA (2)'!$A$51:$D$66,4))))</f>
        <v>4.7E-2</v>
      </c>
      <c r="CY318" s="482"/>
      <c r="CZ318" s="482"/>
      <c r="DA318" s="482"/>
      <c r="DB318" s="490"/>
    </row>
    <row r="319" spans="1:106" ht="15" hidden="1" customHeight="1">
      <c r="A319" s="465">
        <f t="shared" si="956"/>
        <v>215</v>
      </c>
      <c r="B319" s="491"/>
      <c r="C319" s="466" t="s">
        <v>2122</v>
      </c>
      <c r="D319" s="466" t="s">
        <v>2123</v>
      </c>
      <c r="E319" s="468">
        <v>0.11749999999999999</v>
      </c>
      <c r="F319" s="468"/>
      <c r="G319" s="468">
        <f t="shared" si="885"/>
        <v>0.75977260150000003</v>
      </c>
      <c r="H319" s="468">
        <f t="shared" si="886"/>
        <v>0.87727260150000008</v>
      </c>
      <c r="I319" s="468">
        <f t="shared" si="957"/>
        <v>0.11749999999999999</v>
      </c>
      <c r="J319" s="468"/>
      <c r="K319" s="467">
        <f t="shared" ca="1" si="887"/>
        <v>0.75977260150000003</v>
      </c>
      <c r="L319" s="468">
        <f t="shared" ca="1" si="888"/>
        <v>0.87727260150000008</v>
      </c>
      <c r="M319" s="469">
        <f t="shared" si="889"/>
        <v>242.33666300502347</v>
      </c>
      <c r="N319" s="470">
        <f t="shared" si="890"/>
        <v>28.474557903090258</v>
      </c>
      <c r="O319" s="470">
        <f t="shared" si="891"/>
        <v>0</v>
      </c>
      <c r="P319" s="470">
        <f t="shared" si="892"/>
        <v>212.59531479324576</v>
      </c>
      <c r="Q319" s="469">
        <f t="shared" si="893"/>
        <v>140</v>
      </c>
      <c r="R319" s="471">
        <f t="shared" si="894"/>
        <v>0.29281067662495652</v>
      </c>
      <c r="S319" s="471"/>
      <c r="T319" s="471"/>
      <c r="U319" s="471">
        <f t="shared" si="895"/>
        <v>0</v>
      </c>
      <c r="V319" s="471"/>
      <c r="W319" s="471"/>
      <c r="X319" s="471">
        <f t="shared" si="896"/>
        <v>0</v>
      </c>
      <c r="Y319" s="471">
        <f t="shared" si="897"/>
        <v>0.17545452030000003</v>
      </c>
      <c r="Z319" s="471">
        <f t="shared" ca="1" si="898"/>
        <v>0</v>
      </c>
      <c r="AA319" s="471">
        <f t="shared" si="744"/>
        <v>3.8</v>
      </c>
      <c r="AB319" s="471">
        <f t="shared" si="899"/>
        <v>1.1126805711748347</v>
      </c>
      <c r="AC319" s="471">
        <f t="shared" si="900"/>
        <v>3.9218430445228478E-2</v>
      </c>
      <c r="AD319" s="471">
        <f t="shared" si="901"/>
        <v>2.35E-2</v>
      </c>
      <c r="AE319" s="471">
        <f t="shared" si="902"/>
        <v>0</v>
      </c>
      <c r="AF319" s="510">
        <f t="shared" si="737"/>
        <v>3.8</v>
      </c>
      <c r="AG319" s="471">
        <f t="shared" si="903"/>
        <v>0.14903003569186821</v>
      </c>
      <c r="AH319" s="471">
        <f t="shared" si="904"/>
        <v>0.1725300356918682</v>
      </c>
      <c r="AI319" s="471">
        <f t="shared" ca="1" si="905"/>
        <v>1.5</v>
      </c>
      <c r="AJ319" s="471">
        <f t="shared" si="906"/>
        <v>0.75</v>
      </c>
      <c r="AK319" s="472">
        <f t="shared" si="907"/>
        <v>1.05988341282965E-3</v>
      </c>
      <c r="AL319" s="471">
        <f t="shared" si="908"/>
        <v>0.62755299417064159</v>
      </c>
      <c r="AM319" s="473">
        <f t="shared" si="909"/>
        <v>332.27179085703943</v>
      </c>
      <c r="AN319" s="513">
        <f t="shared" si="884"/>
        <v>10.30838888888889</v>
      </c>
      <c r="AO319" s="474">
        <f t="shared" si="910"/>
        <v>0.10483333333333333</v>
      </c>
      <c r="AP319" s="474">
        <f t="shared" si="911"/>
        <v>10.413222222222224</v>
      </c>
      <c r="AQ319" s="475">
        <v>3</v>
      </c>
      <c r="AR319" s="474">
        <f t="shared" ca="1" si="912"/>
        <v>0.13567343399186491</v>
      </c>
      <c r="AS319" s="474">
        <f t="shared" ca="1" si="913"/>
        <v>0.77268872946504197</v>
      </c>
      <c r="AT319" s="471" t="str">
        <f t="shared" ca="1" si="914"/>
        <v>Disminuir vel.</v>
      </c>
      <c r="AU319" s="492">
        <f t="shared" si="915"/>
        <v>24.500883474616217</v>
      </c>
      <c r="AV319" s="471">
        <f t="shared" ca="1" si="916"/>
        <v>182.92726625382917</v>
      </c>
      <c r="AW319" s="571">
        <f t="shared" ca="1" si="917"/>
        <v>182.93</v>
      </c>
      <c r="AX319" s="478">
        <f>IF(OR(C319="",D319=""),"",ROUND(((VLOOKUP(C319,'Base de Diseño (2)'!$A$2:$C$333,2,FALSE)-VLOOKUP(D319,'Base de Diseño (2)'!$A$2:$C$333,2,FALSE))^2+(VLOOKUP(C319,'Base de Diseño (2)'!$A$2:$C$333,3,0)-VLOOKUP(D319,'Base de Diseño (2)'!$A$2:$C$333,3,FALSE))^2)^0.5,2))</f>
        <v>18.87</v>
      </c>
      <c r="AY319" s="493">
        <v>12</v>
      </c>
      <c r="AZ319" s="480">
        <f ca="1">IF(AND(L319="",H319=""),"",IF(BA319=4,VLOOKUP(AY319,'TABLA (2)'!$A$74:$C$89,2),IF(BA319=5,VLOOKUP(AY319,'TABLA (2)'!$A$51:$B$66,2),IF(BA319=6,VLOOKUP(AY319,'TABLA (2)'!$A$9:$B$43,2)))))</f>
        <v>300</v>
      </c>
      <c r="BA319" s="493">
        <v>6</v>
      </c>
      <c r="BB319" s="478">
        <f>IF(OR(C319="",D319=""),"",VLOOKUP(C319,'Base de Diseño (2)'!$A$2:$D$330,4,FALSE))</f>
        <v>993.72160000000008</v>
      </c>
      <c r="BC319" s="478">
        <f>IF(OR(C319="",D319=""),"",VLOOKUP(D319,'Base de Diseño (2)'!$A$2:$D$330,4,FALSE))</f>
        <v>993.70159999999998</v>
      </c>
      <c r="BD319" s="23">
        <f t="shared" ca="1" si="918"/>
        <v>3.4429999999999636</v>
      </c>
      <c r="BE319" s="23">
        <f t="shared" ca="1" si="919"/>
        <v>3.8530000000000455</v>
      </c>
      <c r="BF319" s="494">
        <v>3.7899999999999636</v>
      </c>
      <c r="BG319" s="494">
        <v>4.2000000000000455</v>
      </c>
      <c r="BH319" s="495">
        <f t="shared" si="920"/>
        <v>989.93160000000012</v>
      </c>
      <c r="BI319" s="495">
        <f t="shared" si="921"/>
        <v>989.50159999999994</v>
      </c>
      <c r="BJ319" s="468">
        <f t="shared" si="922"/>
        <v>9.9999999999909051E-2</v>
      </c>
      <c r="BK319" s="475">
        <f t="shared" si="923"/>
        <v>0.105988341282965</v>
      </c>
      <c r="BL319" s="475">
        <f t="shared" si="924"/>
        <v>2.2787493375738066</v>
      </c>
      <c r="BM319" s="475">
        <f t="shared" ca="1" si="925"/>
        <v>2.0651222584467988</v>
      </c>
      <c r="BN319" s="475">
        <f t="shared" ca="1" si="926"/>
        <v>145.97489060777755</v>
      </c>
      <c r="BO319" s="204">
        <f t="shared" ca="1" si="927"/>
        <v>1.027573984645329E-2</v>
      </c>
      <c r="BP319" s="496">
        <f t="shared" ca="1" si="928"/>
        <v>1.2531607267411338</v>
      </c>
      <c r="BQ319" s="497">
        <f t="shared" ca="1" si="929"/>
        <v>0.28271120494861257</v>
      </c>
      <c r="BR319" s="497">
        <f t="shared" ca="1" si="930"/>
        <v>1.1224837555809259</v>
      </c>
      <c r="BS319" s="475">
        <f t="shared" ca="1" si="931"/>
        <v>0.58383320205169453</v>
      </c>
      <c r="BT319" s="475">
        <f t="shared" ca="1" si="932"/>
        <v>2.3180661883951261</v>
      </c>
      <c r="BU319" s="475">
        <f t="shared" ca="1" si="933"/>
        <v>8.7420966174717951E-2</v>
      </c>
      <c r="BV319" s="475" t="str">
        <f t="shared" ca="1" si="934"/>
        <v xml:space="preserve"> </v>
      </c>
      <c r="BW319" s="475">
        <f t="shared" ca="1" si="935"/>
        <v>1.2006287393780795</v>
      </c>
      <c r="BX319" s="475" t="e">
        <f t="shared" ca="1" si="936"/>
        <v>#VALUE!</v>
      </c>
      <c r="BY319" s="475">
        <f t="shared" ca="1" si="937"/>
        <v>5.5879473866200208E-2</v>
      </c>
      <c r="BZ319" s="475" t="e">
        <f t="shared" ca="1" si="938"/>
        <v>#VALUE!</v>
      </c>
      <c r="CA319" s="471">
        <f t="shared" ca="1" si="939"/>
        <v>1.676384215986006E-2</v>
      </c>
      <c r="CB319" s="471" t="e">
        <f t="shared" ca="1" si="940"/>
        <v>#VALUE!</v>
      </c>
      <c r="CC319" s="471" t="e">
        <f t="shared" ca="1" si="941"/>
        <v>#VALUE!</v>
      </c>
      <c r="CD319" s="471" t="e">
        <f t="shared" ca="1" si="942"/>
        <v>#VALUE!</v>
      </c>
      <c r="CE319" s="471">
        <f t="shared" ca="1" si="943"/>
        <v>0.38200594216972966</v>
      </c>
      <c r="CF319" s="471" t="e">
        <f t="shared" ca="1" si="944"/>
        <v>#VALUE!</v>
      </c>
      <c r="CG319" s="471" t="str">
        <f t="shared" ca="1" si="945"/>
        <v>O.K</v>
      </c>
      <c r="CH319" s="471" t="str">
        <f t="shared" ca="1" si="946"/>
        <v>O.K</v>
      </c>
      <c r="CI319" s="471" t="str">
        <f t="shared" ca="1" si="947"/>
        <v>OK</v>
      </c>
      <c r="CJ319" s="471" t="e">
        <f t="shared" ca="1" si="948"/>
        <v>#VALUE!</v>
      </c>
      <c r="CK319" s="468">
        <f t="shared" si="949"/>
        <v>9.9999999999909051E-2</v>
      </c>
      <c r="CL319" s="482" t="s">
        <v>2507</v>
      </c>
      <c r="CM319" s="482"/>
      <c r="CN319" s="63" t="str">
        <f t="shared" si="950"/>
        <v xml:space="preserve"> </v>
      </c>
      <c r="CO319" s="498">
        <f t="shared" si="951"/>
        <v>18.87</v>
      </c>
      <c r="CP319" s="472">
        <f t="shared" si="952"/>
        <v>1.05988341282965E-3</v>
      </c>
      <c r="CQ319" s="482" t="s">
        <v>2508</v>
      </c>
      <c r="CR319" s="204">
        <f t="shared" si="953"/>
        <v>18.87</v>
      </c>
      <c r="CS319" s="486">
        <v>1.2</v>
      </c>
      <c r="CT319" s="486">
        <v>1.2</v>
      </c>
      <c r="CU319" s="23">
        <f t="shared" si="954"/>
        <v>18.874898675224728</v>
      </c>
      <c r="CV319" s="499" t="s">
        <v>2509</v>
      </c>
      <c r="CW319" s="488" t="str">
        <f t="shared" ca="1" si="955"/>
        <v>E3</v>
      </c>
      <c r="CX319" s="204">
        <f ca="1">IF(AND(L319="",H319=""),"",IF(AND(BA319&lt;&gt;4,BA319&lt;&gt;5),VLOOKUP(AY319,'TABLA (2)'!$A$9:$D$43,4),IF(BA319=4,VLOOKUP(AY319,'TABLA (2)'!$A$74:$D$89,4),VLOOKUP(AY319,'TABLA (2)'!$A$51:$D$66,4))))</f>
        <v>4.7E-2</v>
      </c>
      <c r="CY319" s="482"/>
      <c r="CZ319" s="482"/>
      <c r="DA319" s="482"/>
      <c r="DB319" s="490"/>
    </row>
    <row r="320" spans="1:106" ht="15" hidden="1" customHeight="1">
      <c r="A320" s="465">
        <f t="shared" si="956"/>
        <v>216</v>
      </c>
      <c r="B320" s="491"/>
      <c r="C320" s="466" t="s">
        <v>2123</v>
      </c>
      <c r="D320" s="466" t="s">
        <v>2124</v>
      </c>
      <c r="E320" s="468">
        <v>0.2263</v>
      </c>
      <c r="F320" s="468"/>
      <c r="G320" s="468">
        <f t="shared" si="885"/>
        <v>1.1882726015</v>
      </c>
      <c r="H320" s="468">
        <f t="shared" si="886"/>
        <v>1.4145726015</v>
      </c>
      <c r="I320" s="468">
        <f t="shared" si="957"/>
        <v>0.2263</v>
      </c>
      <c r="J320" s="468"/>
      <c r="K320" s="467">
        <f t="shared" ca="1" si="887"/>
        <v>1.1882726015</v>
      </c>
      <c r="L320" s="468">
        <f t="shared" ca="1" si="888"/>
        <v>1.4145726015</v>
      </c>
      <c r="M320" s="469">
        <f t="shared" si="889"/>
        <v>242.33666300502347</v>
      </c>
      <c r="N320" s="470">
        <f t="shared" si="890"/>
        <v>54.840786838036813</v>
      </c>
      <c r="O320" s="470">
        <f t="shared" si="891"/>
        <v>0</v>
      </c>
      <c r="P320" s="470">
        <f t="shared" si="892"/>
        <v>342.80280382584482</v>
      </c>
      <c r="Q320" s="469">
        <f t="shared" si="893"/>
        <v>140</v>
      </c>
      <c r="R320" s="471">
        <f t="shared" si="894"/>
        <v>0.47214738026939274</v>
      </c>
      <c r="S320" s="471"/>
      <c r="T320" s="471"/>
      <c r="U320" s="471">
        <f t="shared" si="895"/>
        <v>0</v>
      </c>
      <c r="V320" s="471"/>
      <c r="W320" s="471"/>
      <c r="X320" s="471">
        <f t="shared" si="896"/>
        <v>0</v>
      </c>
      <c r="Y320" s="471">
        <f t="shared" si="897"/>
        <v>0.28291452030000003</v>
      </c>
      <c r="Z320" s="471">
        <f t="shared" ca="1" si="898"/>
        <v>0</v>
      </c>
      <c r="AA320" s="471">
        <f t="shared" si="744"/>
        <v>3.8</v>
      </c>
      <c r="AB320" s="471">
        <f t="shared" si="899"/>
        <v>1.7941600450236923</v>
      </c>
      <c r="AC320" s="471">
        <f t="shared" si="900"/>
        <v>7.5533028168129401E-2</v>
      </c>
      <c r="AD320" s="471">
        <f t="shared" si="901"/>
        <v>4.5260000000000002E-2</v>
      </c>
      <c r="AE320" s="471">
        <f t="shared" si="902"/>
        <v>0</v>
      </c>
      <c r="AF320" s="510">
        <f t="shared" si="737"/>
        <v>3.8</v>
      </c>
      <c r="AG320" s="471">
        <f t="shared" si="903"/>
        <v>0.28702550703889174</v>
      </c>
      <c r="AH320" s="471">
        <f t="shared" si="904"/>
        <v>0.33228550703889176</v>
      </c>
      <c r="AI320" s="471">
        <f t="shared" ca="1" si="905"/>
        <v>2.0770745653236924</v>
      </c>
      <c r="AJ320" s="471">
        <f t="shared" si="906"/>
        <v>0.75</v>
      </c>
      <c r="AK320" s="472">
        <f t="shared" si="907"/>
        <v>5.5452865064749644E-3</v>
      </c>
      <c r="AL320" s="471">
        <f t="shared" si="908"/>
        <v>0.62777726432532377</v>
      </c>
      <c r="AM320" s="473">
        <f t="shared" si="909"/>
        <v>331.68979957765202</v>
      </c>
      <c r="AN320" s="513">
        <f t="shared" si="884"/>
        <v>10.413222222222224</v>
      </c>
      <c r="AO320" s="474">
        <f t="shared" si="910"/>
        <v>6.0111111111111115E-2</v>
      </c>
      <c r="AP320" s="474">
        <f t="shared" si="911"/>
        <v>10.473333333333334</v>
      </c>
      <c r="AQ320" s="475">
        <v>3</v>
      </c>
      <c r="AR320" s="474" t="e">
        <f t="shared" ca="1" si="912"/>
        <v>#VALUE!</v>
      </c>
      <c r="AS320" s="474" t="e">
        <f t="shared" ca="1" si="913"/>
        <v>#VALUE!</v>
      </c>
      <c r="AT320" s="471" t="e">
        <f t="shared" ca="1" si="914"/>
        <v>#VALUE!</v>
      </c>
      <c r="AU320" s="492">
        <f t="shared" si="915"/>
        <v>47.12184138076001</v>
      </c>
      <c r="AV320" s="471">
        <f t="shared" ca="1" si="916"/>
        <v>294.55265465953175</v>
      </c>
      <c r="AW320" s="571">
        <f t="shared" ca="1" si="917"/>
        <v>294.55</v>
      </c>
      <c r="AX320" s="478">
        <f>IF(OR(C320="",D320=""),"",ROUND(((VLOOKUP(C320,'Base de Diseño (2)'!$A$2:$C$333,2,FALSE)-VLOOKUP(D320,'Base de Diseño (2)'!$A$2:$C$333,2,FALSE))^2+(VLOOKUP(C320,'Base de Diseño (2)'!$A$2:$C$333,3,0)-VLOOKUP(D320,'Base de Diseño (2)'!$A$2:$C$333,3,FALSE))^2)^0.5,2))</f>
        <v>10.82</v>
      </c>
      <c r="AY320" s="493">
        <v>8</v>
      </c>
      <c r="AZ320" s="480">
        <f ca="1">IF(AND(L320="",H320=""),"",IF(BA320=4,VLOOKUP(AY320,'TABLA (2)'!$A$74:$C$89,2),IF(BA320=5,VLOOKUP(AY320,'TABLA (2)'!$A$51:$B$66,2),IF(BA320=6,VLOOKUP(AY320,'TABLA (2)'!$A$9:$B$43,2)))))</f>
        <v>200</v>
      </c>
      <c r="BA320" s="493">
        <v>6</v>
      </c>
      <c r="BB320" s="478">
        <f>IF(OR(C320="",D320=""),"",VLOOKUP(C320,'Base de Diseño (2)'!$A$2:$D$330,4,FALSE))</f>
        <v>993.70159999999998</v>
      </c>
      <c r="BC320" s="478">
        <f>IF(OR(C320="",D320=""),"",VLOOKUP(D320,'Base de Diseño (2)'!$A$2:$D$330,4,FALSE))</f>
        <v>993.76160000000004</v>
      </c>
      <c r="BD320" s="23">
        <f t="shared" ca="1" si="918"/>
        <v>4.0629999999999544</v>
      </c>
      <c r="BE320" s="23">
        <f t="shared" ca="1" si="919"/>
        <v>4.2629999999999999</v>
      </c>
      <c r="BF320" s="494">
        <v>4.2999999999999545</v>
      </c>
      <c r="BG320" s="494">
        <v>4.5</v>
      </c>
      <c r="BH320" s="495">
        <f t="shared" si="920"/>
        <v>989.40160000000003</v>
      </c>
      <c r="BI320" s="495">
        <f t="shared" si="921"/>
        <v>989.26160000000004</v>
      </c>
      <c r="BJ320" s="468">
        <f t="shared" si="922"/>
        <v>3.999999999996362E-2</v>
      </c>
      <c r="BK320" s="475">
        <f t="shared" si="923"/>
        <v>0.55452865064749646</v>
      </c>
      <c r="BL320" s="475">
        <f t="shared" si="924"/>
        <v>1.2939001848427576</v>
      </c>
      <c r="BM320" s="475">
        <f t="shared" ca="1" si="925"/>
        <v>1.1875549239316228</v>
      </c>
      <c r="BN320" s="475">
        <f t="shared" ca="1" si="926"/>
        <v>37.308138247579727</v>
      </c>
      <c r="BO320" s="204">
        <f t="shared" ca="1" si="927"/>
        <v>5.5673498139737314E-2</v>
      </c>
      <c r="BP320" s="496">
        <f t="shared" ca="1" si="928"/>
        <v>7.8950602692995062</v>
      </c>
      <c r="BQ320" s="497">
        <f t="shared" ca="1" si="929"/>
        <v>0.46222393881017992</v>
      </c>
      <c r="BR320" s="497" t="str">
        <f t="shared" ca="1" si="930"/>
        <v xml:space="preserve"> </v>
      </c>
      <c r="BS320" s="475">
        <f t="shared" ca="1" si="931"/>
        <v>0.5489163144930983</v>
      </c>
      <c r="BT320" s="475" t="e">
        <f t="shared" ca="1" si="932"/>
        <v>#VALUE!</v>
      </c>
      <c r="BU320" s="475">
        <f t="shared" ca="1" si="933"/>
        <v>0.1964078078109962</v>
      </c>
      <c r="BV320" s="475" t="str">
        <f t="shared" ca="1" si="934"/>
        <v xml:space="preserve"> </v>
      </c>
      <c r="BW320" s="475">
        <f t="shared" ca="1" si="935"/>
        <v>1.8365683322832571</v>
      </c>
      <c r="BX320" s="475" t="e">
        <f t="shared" ca="1" si="936"/>
        <v>#VALUE!</v>
      </c>
      <c r="BY320" s="475">
        <f t="shared" ca="1" si="937"/>
        <v>0.11865585111180404</v>
      </c>
      <c r="BZ320" s="475" t="e">
        <f t="shared" ca="1" si="938"/>
        <v>#VALUE!</v>
      </c>
      <c r="CA320" s="471">
        <f t="shared" ca="1" si="939"/>
        <v>2.373117022236081E-2</v>
      </c>
      <c r="CB320" s="471" t="e">
        <f t="shared" ca="1" si="940"/>
        <v>#VALUE!</v>
      </c>
      <c r="CC320" s="471" t="e">
        <f t="shared" ca="1" si="941"/>
        <v>#VALUE!</v>
      </c>
      <c r="CD320" s="471" t="e">
        <f t="shared" ca="1" si="942"/>
        <v>#VALUE!</v>
      </c>
      <c r="CE320" s="471">
        <f t="shared" ca="1" si="943"/>
        <v>0.30705765537247598</v>
      </c>
      <c r="CF320" s="471" t="e">
        <f t="shared" ca="1" si="944"/>
        <v>#VALUE!</v>
      </c>
      <c r="CG320" s="471" t="str">
        <f t="shared" ca="1" si="945"/>
        <v>O.K</v>
      </c>
      <c r="CH320" s="471" t="e">
        <f t="shared" ca="1" si="946"/>
        <v>#VALUE!</v>
      </c>
      <c r="CI320" s="471" t="str">
        <f t="shared" ca="1" si="947"/>
        <v>OK</v>
      </c>
      <c r="CJ320" s="471" t="e">
        <f t="shared" ca="1" si="948"/>
        <v>#VALUE!</v>
      </c>
      <c r="CK320" s="468">
        <f t="shared" si="949"/>
        <v>3.999999999996362E-2</v>
      </c>
      <c r="CL320" s="482" t="s">
        <v>2507</v>
      </c>
      <c r="CM320" s="482"/>
      <c r="CN320" s="63" t="str">
        <f t="shared" si="950"/>
        <v xml:space="preserve"> </v>
      </c>
      <c r="CO320" s="498">
        <f t="shared" si="951"/>
        <v>10.82</v>
      </c>
      <c r="CP320" s="472">
        <f t="shared" si="952"/>
        <v>5.5452865064749644E-3</v>
      </c>
      <c r="CQ320" s="482" t="s">
        <v>2508</v>
      </c>
      <c r="CR320" s="204">
        <f t="shared" si="953"/>
        <v>10.82</v>
      </c>
      <c r="CS320" s="486">
        <v>1.2</v>
      </c>
      <c r="CT320" s="486">
        <v>1.2</v>
      </c>
      <c r="CU320" s="23">
        <f t="shared" si="954"/>
        <v>10.820905692223734</v>
      </c>
      <c r="CV320" s="499" t="s">
        <v>2509</v>
      </c>
      <c r="CW320" s="488" t="str">
        <f t="shared" ca="1" si="955"/>
        <v>E3</v>
      </c>
      <c r="CX320" s="204">
        <f ca="1">IF(AND(L320="",H320=""),"",IF(AND(BA320&lt;&gt;4,BA320&lt;&gt;5),VLOOKUP(AY320,'TABLA (2)'!$A$9:$D$43,4),IF(BA320=4,VLOOKUP(AY320,'TABLA (2)'!$A$74:$D$89,4),VLOOKUP(AY320,'TABLA (2)'!$A$51:$D$66,4))))</f>
        <v>3.6999999999999998E-2</v>
      </c>
      <c r="CY320" s="482"/>
      <c r="CZ320" s="482"/>
      <c r="DA320" s="482"/>
      <c r="DB320" s="490"/>
    </row>
    <row r="321" spans="1:106" ht="15" hidden="1" customHeight="1">
      <c r="A321" s="465">
        <f t="shared" si="956"/>
        <v>217</v>
      </c>
      <c r="B321" s="491"/>
      <c r="C321" s="466" t="s">
        <v>2124</v>
      </c>
      <c r="D321" s="466" t="s">
        <v>2125</v>
      </c>
      <c r="E321" s="468">
        <v>8.6699999999999999E-2</v>
      </c>
      <c r="F321" s="468"/>
      <c r="G321" s="468">
        <f t="shared" si="885"/>
        <v>1.4145726015</v>
      </c>
      <c r="H321" s="468">
        <f t="shared" si="886"/>
        <v>1.5012726015</v>
      </c>
      <c r="I321" s="468">
        <f t="shared" si="957"/>
        <v>8.6699999999999999E-2</v>
      </c>
      <c r="J321" s="468"/>
      <c r="K321" s="467">
        <f t="shared" ca="1" si="887"/>
        <v>1.4145726015</v>
      </c>
      <c r="L321" s="468">
        <f t="shared" ca="1" si="888"/>
        <v>1.5012726015</v>
      </c>
      <c r="M321" s="469">
        <f t="shared" si="889"/>
        <v>242.33666300502347</v>
      </c>
      <c r="N321" s="470">
        <f t="shared" si="890"/>
        <v>21.010588682535534</v>
      </c>
      <c r="O321" s="470">
        <f t="shared" si="891"/>
        <v>0</v>
      </c>
      <c r="P321" s="470">
        <f t="shared" si="892"/>
        <v>363.81339250838039</v>
      </c>
      <c r="Q321" s="469">
        <f t="shared" si="893"/>
        <v>140</v>
      </c>
      <c r="R321" s="471">
        <f t="shared" si="894"/>
        <v>0.50108557532982945</v>
      </c>
      <c r="S321" s="471"/>
      <c r="T321" s="471"/>
      <c r="U321" s="471">
        <f t="shared" si="895"/>
        <v>0</v>
      </c>
      <c r="V321" s="471"/>
      <c r="W321" s="471"/>
      <c r="X321" s="471">
        <f t="shared" si="896"/>
        <v>0</v>
      </c>
      <c r="Y321" s="471">
        <f t="shared" si="897"/>
        <v>0.30025452029999999</v>
      </c>
      <c r="Z321" s="471">
        <f t="shared" ca="1" si="898"/>
        <v>0</v>
      </c>
      <c r="AA321" s="471">
        <f t="shared" si="744"/>
        <v>3.8</v>
      </c>
      <c r="AB321" s="471">
        <f t="shared" si="899"/>
        <v>1.9041251862533517</v>
      </c>
      <c r="AC321" s="471">
        <f t="shared" si="900"/>
        <v>2.8938195060436676E-2</v>
      </c>
      <c r="AD321" s="471">
        <f t="shared" si="901"/>
        <v>1.7340000000000001E-2</v>
      </c>
      <c r="AE321" s="471">
        <f t="shared" si="902"/>
        <v>0</v>
      </c>
      <c r="AF321" s="510">
        <f t="shared" si="737"/>
        <v>3.8</v>
      </c>
      <c r="AG321" s="471">
        <f t="shared" si="903"/>
        <v>0.10996514122965936</v>
      </c>
      <c r="AH321" s="471">
        <f t="shared" si="904"/>
        <v>0.12730514122965936</v>
      </c>
      <c r="AI321" s="471">
        <f t="shared" ca="1" si="905"/>
        <v>2.2043797065533517</v>
      </c>
      <c r="AJ321" s="471">
        <f t="shared" si="906"/>
        <v>0.75</v>
      </c>
      <c r="AK321" s="472">
        <f t="shared" si="907"/>
        <v>9.1301843317974446E-2</v>
      </c>
      <c r="AL321" s="471">
        <f t="shared" si="908"/>
        <v>0.63206509216589879</v>
      </c>
      <c r="AM321" s="473">
        <f t="shared" si="909"/>
        <v>329.83538246974035</v>
      </c>
      <c r="AN321" s="513">
        <f t="shared" si="884"/>
        <v>10.473333333333334</v>
      </c>
      <c r="AO321" s="474">
        <f t="shared" si="910"/>
        <v>0.19288888888888889</v>
      </c>
      <c r="AP321" s="474">
        <f t="shared" si="911"/>
        <v>10.666222222222224</v>
      </c>
      <c r="AQ321" s="475">
        <v>3</v>
      </c>
      <c r="AR321" s="474" t="e">
        <f t="shared" ca="1" si="912"/>
        <v>#VALUE!</v>
      </c>
      <c r="AS321" s="474" t="e">
        <f t="shared" ca="1" si="913"/>
        <v>#VALUE!</v>
      </c>
      <c r="AT321" s="471" t="e">
        <f t="shared" ca="1" si="914"/>
        <v>#VALUE!</v>
      </c>
      <c r="AU321" s="492">
        <f t="shared" si="915"/>
        <v>18.074993304140957</v>
      </c>
      <c r="AV321" s="471">
        <f t="shared" ca="1" si="916"/>
        <v>312.98145582240801</v>
      </c>
      <c r="AW321" s="571">
        <f t="shared" ca="1" si="917"/>
        <v>312.98</v>
      </c>
      <c r="AX321" s="478">
        <f>IF(OR(C321="",D321=""),"",ROUND(((VLOOKUP(C321,'Base de Diseño (2)'!$A$2:$C$333,2,FALSE)-VLOOKUP(D321,'Base de Diseño (2)'!$A$2:$C$333,2,FALSE))^2+(VLOOKUP(C321,'Base de Diseño (2)'!$A$2:$C$333,3,0)-VLOOKUP(D321,'Base de Diseño (2)'!$A$2:$C$333,3,FALSE))^2)^0.5,2))</f>
        <v>34.72</v>
      </c>
      <c r="AY321" s="493">
        <v>8</v>
      </c>
      <c r="AZ321" s="480">
        <f ca="1">IF(AND(L321="",H321=""),"",IF(BA321=4,VLOOKUP(AY321,'TABLA (2)'!$A$74:$C$89,2),IF(BA321=5,VLOOKUP(AY321,'TABLA (2)'!$A$51:$B$66,2),IF(BA321=6,VLOOKUP(AY321,'TABLA (2)'!$A$9:$B$43,2)))))</f>
        <v>200</v>
      </c>
      <c r="BA321" s="493">
        <v>6</v>
      </c>
      <c r="BB321" s="478">
        <f>IF(OR(C321="",D321=""),"",VLOOKUP(C321,'Base de Diseño (2)'!$A$2:$D$330,4,FALSE))</f>
        <v>993.76160000000004</v>
      </c>
      <c r="BC321" s="478">
        <f>IF(OR(C321="",D321=""),"",VLOOKUP(D321,'Base de Diseño (2)'!$A$2:$D$330,4,FALSE))</f>
        <v>990.59159999999997</v>
      </c>
      <c r="BD321" s="23">
        <f t="shared" ca="1" si="918"/>
        <v>4.3029999999999635</v>
      </c>
      <c r="BE321" s="23">
        <f t="shared" ca="1" si="919"/>
        <v>1.9229999999999681</v>
      </c>
      <c r="BF321" s="494">
        <v>4.5399999999999636</v>
      </c>
      <c r="BG321" s="494">
        <v>2.1599999999999682</v>
      </c>
      <c r="BH321" s="495">
        <f t="shared" si="920"/>
        <v>989.22160000000008</v>
      </c>
      <c r="BI321" s="495">
        <f t="shared" si="921"/>
        <v>988.4316</v>
      </c>
      <c r="BJ321" s="468">
        <f t="shared" si="922"/>
        <v>0.10000000000002274</v>
      </c>
      <c r="BK321" s="475">
        <f t="shared" si="923"/>
        <v>9.1301843317974445</v>
      </c>
      <c r="BL321" s="475">
        <f t="shared" si="924"/>
        <v>2.2753456221200383</v>
      </c>
      <c r="BM321" s="475">
        <f t="shared" ca="1" si="925"/>
        <v>1.574805796440965</v>
      </c>
      <c r="BN321" s="475">
        <f t="shared" ca="1" si="926"/>
        <v>49.473983209295596</v>
      </c>
      <c r="BO321" s="204">
        <f t="shared" ca="1" si="927"/>
        <v>4.4556341809550801E-2</v>
      </c>
      <c r="BP321" s="496">
        <f t="shared" ca="1" si="928"/>
        <v>6.3261532566715726</v>
      </c>
      <c r="BQ321" s="497">
        <f t="shared" ca="1" si="929"/>
        <v>0.4332177344657353</v>
      </c>
      <c r="BR321" s="497" t="str">
        <f t="shared" ca="1" si="930"/>
        <v xml:space="preserve"> </v>
      </c>
      <c r="BS321" s="475">
        <f t="shared" ca="1" si="931"/>
        <v>0.68223379935766282</v>
      </c>
      <c r="BT321" s="475" t="e">
        <f t="shared" ca="1" si="932"/>
        <v>#VALUE!</v>
      </c>
      <c r="BU321" s="475">
        <f t="shared" ca="1" si="933"/>
        <v>0.18204044952429368</v>
      </c>
      <c r="BV321" s="475" t="str">
        <f t="shared" ca="1" si="934"/>
        <v xml:space="preserve"> </v>
      </c>
      <c r="BW321" s="475">
        <f t="shared" ca="1" si="935"/>
        <v>1.7631949362625878</v>
      </c>
      <c r="BX321" s="475" t="e">
        <f t="shared" ca="1" si="936"/>
        <v>#VALUE!</v>
      </c>
      <c r="BY321" s="475">
        <f t="shared" ca="1" si="937"/>
        <v>0.11082814898446572</v>
      </c>
      <c r="BZ321" s="475" t="e">
        <f t="shared" ca="1" si="938"/>
        <v>#VALUE!</v>
      </c>
      <c r="CA321" s="471">
        <f t="shared" ca="1" si="939"/>
        <v>2.2165629796893141E-2</v>
      </c>
      <c r="CB321" s="471" t="e">
        <f t="shared" ca="1" si="940"/>
        <v>#VALUE!</v>
      </c>
      <c r="CC321" s="471" t="e">
        <f t="shared" ca="1" si="941"/>
        <v>#VALUE!</v>
      </c>
      <c r="CD321" s="471" t="e">
        <f t="shared" ca="1" si="942"/>
        <v>#VALUE!</v>
      </c>
      <c r="CE321" s="471">
        <f t="shared" ca="1" si="943"/>
        <v>0.50434468719894276</v>
      </c>
      <c r="CF321" s="471" t="e">
        <f t="shared" ca="1" si="944"/>
        <v>#VALUE!</v>
      </c>
      <c r="CG321" s="471" t="str">
        <f t="shared" ca="1" si="945"/>
        <v>O.K</v>
      </c>
      <c r="CH321" s="471" t="e">
        <f t="shared" ca="1" si="946"/>
        <v>#VALUE!</v>
      </c>
      <c r="CI321" s="471" t="str">
        <f t="shared" ca="1" si="947"/>
        <v>OK</v>
      </c>
      <c r="CJ321" s="471" t="e">
        <f t="shared" ca="1" si="948"/>
        <v>#VALUE!</v>
      </c>
      <c r="CK321" s="468">
        <f t="shared" si="949"/>
        <v>0.10000000000002274</v>
      </c>
      <c r="CL321" s="482" t="s">
        <v>2507</v>
      </c>
      <c r="CM321" s="482"/>
      <c r="CN321" s="63" t="str">
        <f t="shared" si="950"/>
        <v xml:space="preserve"> </v>
      </c>
      <c r="CO321" s="498">
        <f t="shared" si="951"/>
        <v>34.72</v>
      </c>
      <c r="CP321" s="472">
        <f t="shared" si="952"/>
        <v>9.1301843317974446E-2</v>
      </c>
      <c r="CQ321" s="482" t="s">
        <v>2508</v>
      </c>
      <c r="CR321" s="204">
        <f t="shared" si="953"/>
        <v>34.72</v>
      </c>
      <c r="CS321" s="486">
        <v>1.2</v>
      </c>
      <c r="CT321" s="486">
        <v>1.2</v>
      </c>
      <c r="CU321" s="23">
        <f t="shared" si="954"/>
        <v>34.728986452241884</v>
      </c>
      <c r="CV321" s="499" t="s">
        <v>2509</v>
      </c>
      <c r="CW321" s="488" t="str">
        <f t="shared" ca="1" si="955"/>
        <v>E3</v>
      </c>
      <c r="CX321" s="204">
        <f ca="1">IF(AND(L321="",H321=""),"",IF(AND(BA321&lt;&gt;4,BA321&lt;&gt;5),VLOOKUP(AY321,'TABLA (2)'!$A$9:$D$43,4),IF(BA321=4,VLOOKUP(AY321,'TABLA (2)'!$A$74:$D$89,4),VLOOKUP(AY321,'TABLA (2)'!$A$51:$D$66,4))))</f>
        <v>3.6999999999999998E-2</v>
      </c>
      <c r="CY321" s="482"/>
      <c r="CZ321" s="482"/>
      <c r="DA321" s="482"/>
      <c r="DB321" s="490"/>
    </row>
    <row r="322" spans="1:106" ht="15" hidden="1" customHeight="1">
      <c r="A322" s="465">
        <f t="shared" si="956"/>
        <v>218</v>
      </c>
      <c r="B322" s="491"/>
      <c r="C322" s="466" t="s">
        <v>2125</v>
      </c>
      <c r="D322" s="466" t="s">
        <v>2126</v>
      </c>
      <c r="E322" s="468">
        <v>0.81310000000000004</v>
      </c>
      <c r="F322" s="468"/>
      <c r="G322" s="468">
        <f t="shared" si="885"/>
        <v>2.0122726014999999</v>
      </c>
      <c r="H322" s="468">
        <f t="shared" si="886"/>
        <v>2.8253726014999998</v>
      </c>
      <c r="I322" s="468">
        <f t="shared" si="957"/>
        <v>0.81310000000000004</v>
      </c>
      <c r="J322" s="468"/>
      <c r="K322" s="467">
        <f t="shared" ca="1" si="887"/>
        <v>2.0122726014999999</v>
      </c>
      <c r="L322" s="468">
        <f t="shared" ca="1" si="888"/>
        <v>2.8253726014999998</v>
      </c>
      <c r="M322" s="469">
        <f t="shared" si="889"/>
        <v>242.33666300502347</v>
      </c>
      <c r="N322" s="470">
        <f t="shared" si="890"/>
        <v>197.04394068938458</v>
      </c>
      <c r="O322" s="470">
        <f t="shared" si="891"/>
        <v>0</v>
      </c>
      <c r="P322" s="470">
        <f t="shared" si="892"/>
        <v>684.69136799333194</v>
      </c>
      <c r="Q322" s="469">
        <f t="shared" si="893"/>
        <v>140</v>
      </c>
      <c r="R322" s="471">
        <f t="shared" si="894"/>
        <v>0.94303556471303807</v>
      </c>
      <c r="S322" s="471"/>
      <c r="T322" s="471"/>
      <c r="U322" s="471">
        <f t="shared" si="895"/>
        <v>0</v>
      </c>
      <c r="V322" s="471"/>
      <c r="W322" s="471"/>
      <c r="X322" s="471">
        <f t="shared" si="896"/>
        <v>0</v>
      </c>
      <c r="Y322" s="471">
        <f t="shared" si="897"/>
        <v>0.56507452029999994</v>
      </c>
      <c r="Z322" s="471">
        <f t="shared" ca="1" si="898"/>
        <v>0</v>
      </c>
      <c r="AA322" s="471">
        <f t="shared" si="744"/>
        <v>3.8</v>
      </c>
      <c r="AB322" s="471">
        <f t="shared" si="899"/>
        <v>3.5835351459095444</v>
      </c>
      <c r="AC322" s="471">
        <f t="shared" si="900"/>
        <v>0.27139153868098109</v>
      </c>
      <c r="AD322" s="471">
        <f t="shared" si="901"/>
        <v>0.16262000000000001</v>
      </c>
      <c r="AE322" s="471">
        <f t="shared" si="902"/>
        <v>0</v>
      </c>
      <c r="AF322" s="510">
        <f t="shared" si="737"/>
        <v>3.8</v>
      </c>
      <c r="AG322" s="471">
        <f t="shared" si="903"/>
        <v>1.031287846987728</v>
      </c>
      <c r="AH322" s="471">
        <f t="shared" si="904"/>
        <v>1.193907846987728</v>
      </c>
      <c r="AI322" s="471">
        <f t="shared" ca="1" si="905"/>
        <v>4.148609666209544</v>
      </c>
      <c r="AJ322" s="471">
        <f t="shared" si="906"/>
        <v>0.75</v>
      </c>
      <c r="AK322" s="472">
        <f t="shared" si="907"/>
        <v>9.0646293619656954E-2</v>
      </c>
      <c r="AL322" s="471">
        <f t="shared" si="908"/>
        <v>0.63203231468098287</v>
      </c>
      <c r="AM322" s="473">
        <f t="shared" si="909"/>
        <v>327.28164318843551</v>
      </c>
      <c r="AN322" s="513">
        <f t="shared" si="884"/>
        <v>10.666222222222224</v>
      </c>
      <c r="AO322" s="474">
        <f t="shared" si="910"/>
        <v>0.26905555555555555</v>
      </c>
      <c r="AP322" s="474">
        <f t="shared" si="911"/>
        <v>10.935277777777779</v>
      </c>
      <c r="AQ322" s="475">
        <v>3</v>
      </c>
      <c r="AR322" s="474" t="e">
        <f t="shared" ca="1" si="912"/>
        <v>#VALUE!</v>
      </c>
      <c r="AS322" s="474" t="e">
        <f t="shared" ca="1" si="913"/>
        <v>#VALUE!</v>
      </c>
      <c r="AT322" s="471" t="e">
        <f t="shared" ca="1" si="914"/>
        <v>#VALUE!</v>
      </c>
      <c r="AU322" s="492">
        <f t="shared" si="915"/>
        <v>168.1918283234964</v>
      </c>
      <c r="AV322" s="471">
        <f t="shared" ca="1" si="916"/>
        <v>584.43559653351178</v>
      </c>
      <c r="AW322" s="571">
        <f t="shared" ca="1" si="917"/>
        <v>584.44000000000005</v>
      </c>
      <c r="AX322" s="478">
        <f>IF(OR(C322="",D322=""),"",ROUND(((VLOOKUP(C322,'Base de Diseño (2)'!$A$2:$C$333,2,FALSE)-VLOOKUP(D322,'Base de Diseño (2)'!$A$2:$C$333,2,FALSE))^2+(VLOOKUP(C322,'Base de Diseño (2)'!$A$2:$C$333,3,0)-VLOOKUP(D322,'Base de Diseño (2)'!$A$2:$C$333,3,FALSE))^2)^0.5,2))</f>
        <v>48.43</v>
      </c>
      <c r="AY322" s="493">
        <v>8</v>
      </c>
      <c r="AZ322" s="480">
        <f ca="1">IF(AND(L322="",H322=""),"",IF(BA322=4,VLOOKUP(AY322,'TABLA (2)'!$A$74:$C$89,2),IF(BA322=5,VLOOKUP(AY322,'TABLA (2)'!$A$51:$B$66,2),IF(BA322=6,VLOOKUP(AY322,'TABLA (2)'!$A$9:$B$43,2)))))</f>
        <v>200</v>
      </c>
      <c r="BA322" s="493">
        <v>6</v>
      </c>
      <c r="BB322" s="478">
        <f>IF(OR(C322="",D322=""),"",VLOOKUP(C322,'Base de Diseño (2)'!$A$2:$D$330,4,FALSE))</f>
        <v>990.59159999999997</v>
      </c>
      <c r="BC322" s="478">
        <f>IF(OR(C322="",D322=""),"",VLOOKUP(D322,'Base de Diseño (2)'!$A$2:$D$330,4,FALSE))</f>
        <v>986.20159999999998</v>
      </c>
      <c r="BD322" s="23">
        <f t="shared" ca="1" si="918"/>
        <v>2.0229999999999908</v>
      </c>
      <c r="BE322" s="23">
        <f t="shared" ca="1" si="919"/>
        <v>1.3630000000000226</v>
      </c>
      <c r="BF322" s="494">
        <v>2.2599999999999909</v>
      </c>
      <c r="BG322" s="494">
        <v>1.6000000000000227</v>
      </c>
      <c r="BH322" s="495">
        <f t="shared" si="920"/>
        <v>988.33159999999998</v>
      </c>
      <c r="BI322" s="495">
        <f t="shared" si="921"/>
        <v>984.60159999999996</v>
      </c>
      <c r="BJ322" s="468">
        <f t="shared" si="922"/>
        <v>2.9999999999972715E-2</v>
      </c>
      <c r="BK322" s="475">
        <f t="shared" si="923"/>
        <v>9.0646293619656948</v>
      </c>
      <c r="BL322" s="475">
        <f t="shared" si="924"/>
        <v>7.7018377039025765</v>
      </c>
      <c r="BM322" s="475">
        <f t="shared" ca="1" si="925"/>
        <v>2.8973469142640882</v>
      </c>
      <c r="BN322" s="475">
        <f t="shared" ca="1" si="926"/>
        <v>91.022837807531175</v>
      </c>
      <c r="BO322" s="204">
        <f t="shared" ca="1" si="927"/>
        <v>4.5577678812671454E-2</v>
      </c>
      <c r="BP322" s="496">
        <f t="shared" ca="1" si="928"/>
        <v>6.4208061853202718</v>
      </c>
      <c r="BQ322" s="497">
        <f t="shared" ca="1" si="929"/>
        <v>0.43608380019073278</v>
      </c>
      <c r="BR322" s="497" t="str">
        <f t="shared" ca="1" si="930"/>
        <v xml:space="preserve"> </v>
      </c>
      <c r="BS322" s="475">
        <f t="shared" ca="1" si="931"/>
        <v>1.2634860528431768</v>
      </c>
      <c r="BT322" s="475" t="e">
        <f t="shared" ca="1" si="932"/>
        <v>#VALUE!</v>
      </c>
      <c r="BU322" s="475">
        <f t="shared" ca="1" si="933"/>
        <v>0.1835022517591931</v>
      </c>
      <c r="BV322" s="475" t="str">
        <f t="shared" ca="1" si="934"/>
        <v xml:space="preserve"> </v>
      </c>
      <c r="BW322" s="475">
        <f t="shared" ca="1" si="935"/>
        <v>1.7707596682714855</v>
      </c>
      <c r="BX322" s="475" t="e">
        <f t="shared" ca="1" si="936"/>
        <v>#VALUE!</v>
      </c>
      <c r="BY322" s="475">
        <f t="shared" ca="1" si="937"/>
        <v>0.11163087548411971</v>
      </c>
      <c r="BZ322" s="475" t="e">
        <f t="shared" ca="1" si="938"/>
        <v>#VALUE!</v>
      </c>
      <c r="CA322" s="471">
        <f t="shared" ca="1" si="939"/>
        <v>2.2326175096823941E-2</v>
      </c>
      <c r="CB322" s="471" t="e">
        <f t="shared" ca="1" si="940"/>
        <v>#VALUE!</v>
      </c>
      <c r="CC322" s="471" t="e">
        <f t="shared" ca="1" si="941"/>
        <v>#VALUE!</v>
      </c>
      <c r="CD322" s="471" t="e">
        <f t="shared" ca="1" si="942"/>
        <v>#VALUE!</v>
      </c>
      <c r="CE322" s="471">
        <f t="shared" ca="1" si="943"/>
        <v>1.7195257714464938</v>
      </c>
      <c r="CF322" s="471" t="e">
        <f t="shared" ca="1" si="944"/>
        <v>#VALUE!</v>
      </c>
      <c r="CG322" s="471" t="str">
        <f t="shared" ca="1" si="945"/>
        <v>O.K</v>
      </c>
      <c r="CH322" s="471" t="e">
        <f t="shared" ca="1" si="946"/>
        <v>#VALUE!</v>
      </c>
      <c r="CI322" s="471" t="str">
        <f t="shared" ca="1" si="947"/>
        <v>OK</v>
      </c>
      <c r="CJ322" s="471" t="e">
        <f t="shared" ca="1" si="948"/>
        <v>#VALUE!</v>
      </c>
      <c r="CK322" s="468">
        <f t="shared" si="949"/>
        <v>2.9999999999972715E-2</v>
      </c>
      <c r="CL322" s="482" t="s">
        <v>2507</v>
      </c>
      <c r="CM322" s="482"/>
      <c r="CN322" s="63" t="str">
        <f t="shared" si="950"/>
        <v xml:space="preserve"> </v>
      </c>
      <c r="CO322" s="498">
        <f t="shared" si="951"/>
        <v>48.43</v>
      </c>
      <c r="CP322" s="472">
        <f t="shared" si="952"/>
        <v>9.0646293619656954E-2</v>
      </c>
      <c r="CQ322" s="482" t="s">
        <v>2508</v>
      </c>
      <c r="CR322" s="204">
        <f t="shared" si="953"/>
        <v>48.43</v>
      </c>
      <c r="CS322" s="486">
        <v>1.2</v>
      </c>
      <c r="CT322" s="486">
        <v>1.2</v>
      </c>
      <c r="CU322" s="23">
        <f t="shared" si="954"/>
        <v>48.573426891665775</v>
      </c>
      <c r="CV322" s="499" t="s">
        <v>2509</v>
      </c>
      <c r="CW322" s="488" t="str">
        <f t="shared" ca="1" si="955"/>
        <v>E2</v>
      </c>
      <c r="CX322" s="204">
        <f ca="1">IF(AND(L322="",H322=""),"",IF(AND(BA322&lt;&gt;4,BA322&lt;&gt;5),VLOOKUP(AY322,'TABLA (2)'!$A$9:$D$43,4),IF(BA322=4,VLOOKUP(AY322,'TABLA (2)'!$A$74:$D$89,4),VLOOKUP(AY322,'TABLA (2)'!$A$51:$D$66,4))))</f>
        <v>3.6999999999999998E-2</v>
      </c>
      <c r="CY322" s="482"/>
      <c r="CZ322" s="482"/>
      <c r="DA322" s="482"/>
      <c r="DB322" s="490"/>
    </row>
    <row r="323" spans="1:106" ht="15" hidden="1" customHeight="1">
      <c r="A323" s="465">
        <f t="shared" si="956"/>
        <v>219</v>
      </c>
      <c r="B323" s="491"/>
      <c r="C323" s="466" t="s">
        <v>2126</v>
      </c>
      <c r="D323" s="466" t="s">
        <v>2127</v>
      </c>
      <c r="E323" s="468">
        <f>0.2571+0.4601</f>
        <v>0.71720000000000006</v>
      </c>
      <c r="F323" s="468">
        <v>1.1181931599999999</v>
      </c>
      <c r="G323" s="468">
        <f t="shared" si="885"/>
        <v>2.8253726014999998</v>
      </c>
      <c r="H323" s="468">
        <f t="shared" si="886"/>
        <v>4.6607657614999995</v>
      </c>
      <c r="I323" s="468">
        <f t="shared" si="957"/>
        <v>0.71720000000000006</v>
      </c>
      <c r="J323" s="468"/>
      <c r="K323" s="467">
        <f t="shared" ca="1" si="887"/>
        <v>2.8253726014999998</v>
      </c>
      <c r="L323" s="468">
        <f t="shared" ca="1" si="888"/>
        <v>3.5425726014999999</v>
      </c>
      <c r="M323" s="469">
        <f t="shared" si="889"/>
        <v>242.33666300502347</v>
      </c>
      <c r="N323" s="470">
        <f t="shared" si="890"/>
        <v>173.80385470720285</v>
      </c>
      <c r="O323" s="470">
        <f t="shared" si="891"/>
        <v>270.97919898944224</v>
      </c>
      <c r="P323" s="470">
        <f t="shared" si="892"/>
        <v>1129.4744216899769</v>
      </c>
      <c r="Q323" s="469">
        <f t="shared" si="893"/>
        <v>140</v>
      </c>
      <c r="R323" s="471">
        <f t="shared" si="894"/>
        <v>1.5556418539480008</v>
      </c>
      <c r="S323" s="471"/>
      <c r="T323" s="471"/>
      <c r="U323" s="471">
        <f t="shared" si="895"/>
        <v>0</v>
      </c>
      <c r="V323" s="471"/>
      <c r="W323" s="471"/>
      <c r="X323" s="471">
        <f t="shared" si="896"/>
        <v>0</v>
      </c>
      <c r="Y323" s="471">
        <f t="shared" si="897"/>
        <v>0.93215315229999995</v>
      </c>
      <c r="Z323" s="471">
        <f t="shared" ca="1" si="898"/>
        <v>0</v>
      </c>
      <c r="AA323" s="471">
        <f t="shared" si="744"/>
        <v>3.8</v>
      </c>
      <c r="AB323" s="471">
        <f t="shared" si="899"/>
        <v>5.9114390450024024</v>
      </c>
      <c r="AC323" s="471">
        <f t="shared" si="900"/>
        <v>0.61260628923496252</v>
      </c>
      <c r="AD323" s="471">
        <f t="shared" si="901"/>
        <v>0.36707863200000002</v>
      </c>
      <c r="AE323" s="471">
        <f t="shared" si="902"/>
        <v>0.78871315229999994</v>
      </c>
      <c r="AF323" s="510">
        <f t="shared" si="737"/>
        <v>3.8</v>
      </c>
      <c r="AG323" s="471">
        <f t="shared" si="903"/>
        <v>2.3279038990928576</v>
      </c>
      <c r="AH323" s="471">
        <f t="shared" si="904"/>
        <v>3.4836956833928574</v>
      </c>
      <c r="AI323" s="471">
        <f t="shared" ca="1" si="905"/>
        <v>6.8435921973024021</v>
      </c>
      <c r="AJ323" s="471">
        <f t="shared" si="906"/>
        <v>0.75</v>
      </c>
      <c r="AK323" s="472">
        <f t="shared" si="907"/>
        <v>0.13997005988023986</v>
      </c>
      <c r="AL323" s="471">
        <f t="shared" si="908"/>
        <v>0.634498502994012</v>
      </c>
      <c r="AM323" s="473">
        <f t="shared" si="909"/>
        <v>325.19668321128182</v>
      </c>
      <c r="AN323" s="513">
        <f t="shared" si="884"/>
        <v>10.935277777777779</v>
      </c>
      <c r="AO323" s="474">
        <f t="shared" si="910"/>
        <v>0.22266666666666665</v>
      </c>
      <c r="AP323" s="474">
        <f t="shared" si="911"/>
        <v>11.157944444444446</v>
      </c>
      <c r="AQ323" s="475">
        <v>3</v>
      </c>
      <c r="AR323" s="474" t="e">
        <f t="shared" ca="1" si="912"/>
        <v>#VALUE!</v>
      </c>
      <c r="AS323" s="474" t="e">
        <f t="shared" ca="1" si="913"/>
        <v>#VALUE!</v>
      </c>
      <c r="AT323" s="471" t="e">
        <f t="shared" ca="1" si="914"/>
        <v>#VALUE!</v>
      </c>
      <c r="AU323" s="492">
        <f t="shared" si="915"/>
        <v>147.98475918255363</v>
      </c>
      <c r="AV323" s="471">
        <f t="shared" ca="1" si="916"/>
        <v>730.96312509716961</v>
      </c>
      <c r="AW323" s="571">
        <f t="shared" ca="1" si="917"/>
        <v>730.96</v>
      </c>
      <c r="AX323" s="478">
        <f>IF(OR(C323="",D323=""),"",ROUND(((VLOOKUP(C323,'Base de Diseño (2)'!$A$2:$C$333,2,FALSE)-VLOOKUP(D323,'Base de Diseño (2)'!$A$2:$C$333,2,FALSE))^2+(VLOOKUP(C323,'Base de Diseño (2)'!$A$2:$C$333,3,0)-VLOOKUP(D323,'Base de Diseño (2)'!$A$2:$C$333,3,FALSE))^2)^0.5,2))</f>
        <v>40.08</v>
      </c>
      <c r="AY323" s="493">
        <v>8</v>
      </c>
      <c r="AZ323" s="480">
        <f ca="1">IF(AND(L323="",H323=""),"",IF(BA323=4,VLOOKUP(AY323,'TABLA (2)'!$A$74:$C$89,2),IF(BA323=5,VLOOKUP(AY323,'TABLA (2)'!$A$51:$B$66,2),IF(BA323=6,VLOOKUP(AY323,'TABLA (2)'!$A$9:$B$43,2)))))</f>
        <v>200</v>
      </c>
      <c r="BA323" s="493">
        <v>6</v>
      </c>
      <c r="BB323" s="478">
        <f>IF(OR(C323="",D323=""),"",VLOOKUP(C323,'Base de Diseño (2)'!$A$2:$D$330,4,FALSE))</f>
        <v>986.20159999999998</v>
      </c>
      <c r="BC323" s="478">
        <f>IF(OR(C323="",D323=""),"",VLOOKUP(D323,'Base de Diseño (2)'!$A$2:$D$330,4,FALSE))</f>
        <v>980.59159999999997</v>
      </c>
      <c r="BD323" s="23">
        <f t="shared" ca="1" si="918"/>
        <v>1.3929999999999954</v>
      </c>
      <c r="BE323" s="23">
        <f t="shared" ca="1" si="919"/>
        <v>0.76300000000000001</v>
      </c>
      <c r="BF323" s="494">
        <v>1.6299999999999955</v>
      </c>
      <c r="BG323" s="494">
        <v>1</v>
      </c>
      <c r="BH323" s="495">
        <f t="shared" si="920"/>
        <v>984.57159999999999</v>
      </c>
      <c r="BI323" s="495">
        <f t="shared" si="921"/>
        <v>979.59159999999997</v>
      </c>
      <c r="BJ323" s="468">
        <f t="shared" si="922"/>
        <v>0</v>
      </c>
      <c r="BK323" s="475">
        <f t="shared" si="923"/>
        <v>13.997005988023986</v>
      </c>
      <c r="BL323" s="475">
        <f t="shared" si="924"/>
        <v>12.425149700598849</v>
      </c>
      <c r="BM323" s="475">
        <f t="shared" ca="1" si="925"/>
        <v>3.680053498145043</v>
      </c>
      <c r="BN323" s="475">
        <f t="shared" ca="1" si="926"/>
        <v>115.61229034589888</v>
      </c>
      <c r="BO323" s="204">
        <f t="shared" ca="1" si="927"/>
        <v>5.9194331128871756E-2</v>
      </c>
      <c r="BP323" s="496">
        <f t="shared" ca="1" si="928"/>
        <v>6.3225111950732096</v>
      </c>
      <c r="BQ323" s="497">
        <f t="shared" ca="1" si="929"/>
        <v>0.47054471530152758</v>
      </c>
      <c r="BR323" s="497" t="str">
        <f t="shared" ca="1" si="930"/>
        <v xml:space="preserve"> </v>
      </c>
      <c r="BS323" s="475">
        <f t="shared" ca="1" si="931"/>
        <v>1.73162972557905</v>
      </c>
      <c r="BT323" s="475" t="e">
        <f t="shared" ca="1" si="932"/>
        <v>#VALUE!</v>
      </c>
      <c r="BU323" s="475">
        <f t="shared" ca="1" si="933"/>
        <v>0.20036304727350954</v>
      </c>
      <c r="BV323" s="475" t="str">
        <f t="shared" ca="1" si="934"/>
        <v xml:space="preserve"> </v>
      </c>
      <c r="BW323" s="475">
        <f t="shared" ca="1" si="935"/>
        <v>1.8564050552117448</v>
      </c>
      <c r="BX323" s="475" t="e">
        <f t="shared" ca="1" si="936"/>
        <v>#VALUE!</v>
      </c>
      <c r="BY323" s="475">
        <f t="shared" ca="1" si="937"/>
        <v>0.12078650701222185</v>
      </c>
      <c r="BZ323" s="475" t="e">
        <f t="shared" ca="1" si="938"/>
        <v>#VALUE!</v>
      </c>
      <c r="CA323" s="471">
        <f t="shared" ca="1" si="939"/>
        <v>2.4157301402444372E-2</v>
      </c>
      <c r="CB323" s="471" t="e">
        <f t="shared" ca="1" si="940"/>
        <v>#VALUE!</v>
      </c>
      <c r="CC323" s="471" t="e">
        <f t="shared" ca="1" si="941"/>
        <v>#VALUE!</v>
      </c>
      <c r="CD323" s="471" t="e">
        <f t="shared" ca="1" si="942"/>
        <v>#VALUE!</v>
      </c>
      <c r="CE323" s="471">
        <f t="shared" ca="1" si="943"/>
        <v>3.0015808628785781</v>
      </c>
      <c r="CF323" s="471" t="e">
        <f t="shared" ca="1" si="944"/>
        <v>#VALUE!</v>
      </c>
      <c r="CG323" s="471" t="str">
        <f t="shared" ca="1" si="945"/>
        <v>O.K</v>
      </c>
      <c r="CH323" s="471" t="e">
        <f t="shared" ca="1" si="946"/>
        <v>#VALUE!</v>
      </c>
      <c r="CI323" s="471" t="str">
        <f t="shared" ca="1" si="947"/>
        <v>OK</v>
      </c>
      <c r="CJ323" s="471" t="e">
        <f t="shared" ca="1" si="948"/>
        <v>#VALUE!</v>
      </c>
      <c r="CK323" s="468">
        <f t="shared" si="949"/>
        <v>0</v>
      </c>
      <c r="CL323" s="482" t="s">
        <v>2507</v>
      </c>
      <c r="CM323" s="482"/>
      <c r="CN323" s="63" t="str">
        <f t="shared" si="950"/>
        <v xml:space="preserve"> </v>
      </c>
      <c r="CO323" s="498">
        <f t="shared" si="951"/>
        <v>40.08</v>
      </c>
      <c r="CP323" s="472">
        <f t="shared" si="952"/>
        <v>0.13997005988023986</v>
      </c>
      <c r="CQ323" s="482" t="s">
        <v>2508</v>
      </c>
      <c r="CR323" s="204">
        <f t="shared" si="953"/>
        <v>40.08</v>
      </c>
      <c r="CS323" s="486">
        <v>1.2</v>
      </c>
      <c r="CT323" s="486">
        <v>1.2</v>
      </c>
      <c r="CU323" s="23">
        <f t="shared" si="954"/>
        <v>40.388201247394022</v>
      </c>
      <c r="CV323" s="499" t="s">
        <v>2509</v>
      </c>
      <c r="CW323" s="488" t="str">
        <f t="shared" ca="1" si="955"/>
        <v>E2</v>
      </c>
      <c r="CX323" s="204">
        <f ca="1">IF(AND(L323="",H323=""),"",IF(AND(BA323&lt;&gt;4,BA323&lt;&gt;5),VLOOKUP(AY323,'TABLA (2)'!$A$9:$D$43,4),IF(BA323=4,VLOOKUP(AY323,'TABLA (2)'!$A$74:$D$89,4),VLOOKUP(AY323,'TABLA (2)'!$A$51:$D$66,4))))</f>
        <v>3.6999999999999998E-2</v>
      </c>
      <c r="CY323" s="482"/>
      <c r="CZ323" s="482"/>
      <c r="DA323" s="482"/>
      <c r="DB323" s="490"/>
    </row>
    <row r="324" spans="1:106" ht="15" hidden="1" customHeight="1">
      <c r="A324" s="465">
        <f t="shared" si="956"/>
        <v>220</v>
      </c>
      <c r="B324" s="491"/>
      <c r="C324" s="466" t="s">
        <v>2127</v>
      </c>
      <c r="D324" s="466" t="s">
        <v>2128</v>
      </c>
      <c r="E324" s="468">
        <v>0.5716</v>
      </c>
      <c r="F324" s="468"/>
      <c r="G324" s="468">
        <f t="shared" si="885"/>
        <v>4.6607657614999995</v>
      </c>
      <c r="H324" s="468">
        <f t="shared" si="886"/>
        <v>5.2323657614999997</v>
      </c>
      <c r="I324" s="468">
        <f t="shared" si="957"/>
        <v>0.5716</v>
      </c>
      <c r="J324" s="468"/>
      <c r="K324" s="467">
        <f t="shared" ca="1" si="887"/>
        <v>3.5425726014999999</v>
      </c>
      <c r="L324" s="468">
        <f t="shared" ca="1" si="888"/>
        <v>4.1141726015</v>
      </c>
      <c r="M324" s="469">
        <f t="shared" si="889"/>
        <v>242.33666300502347</v>
      </c>
      <c r="N324" s="470">
        <f t="shared" si="890"/>
        <v>138.51963657367142</v>
      </c>
      <c r="O324" s="470">
        <f t="shared" si="891"/>
        <v>0</v>
      </c>
      <c r="P324" s="470">
        <f t="shared" si="892"/>
        <v>1267.9940582636484</v>
      </c>
      <c r="Q324" s="469">
        <f t="shared" si="893"/>
        <v>140</v>
      </c>
      <c r="R324" s="471">
        <f t="shared" si="894"/>
        <v>1.7464270015436822</v>
      </c>
      <c r="S324" s="471"/>
      <c r="T324" s="471"/>
      <c r="U324" s="471">
        <f t="shared" si="895"/>
        <v>0</v>
      </c>
      <c r="V324" s="471"/>
      <c r="W324" s="471"/>
      <c r="X324" s="471">
        <f t="shared" si="896"/>
        <v>0</v>
      </c>
      <c r="Y324" s="471">
        <f t="shared" si="897"/>
        <v>1.0464731522999999</v>
      </c>
      <c r="Z324" s="471">
        <f t="shared" ca="1" si="898"/>
        <v>0</v>
      </c>
      <c r="AA324" s="471">
        <f t="shared" si="744"/>
        <v>3.8</v>
      </c>
      <c r="AB324" s="471">
        <f t="shared" si="899"/>
        <v>6.6364226058659925</v>
      </c>
      <c r="AC324" s="471">
        <f t="shared" si="900"/>
        <v>0.19078514759568171</v>
      </c>
      <c r="AD324" s="471">
        <f t="shared" si="901"/>
        <v>0.11432</v>
      </c>
      <c r="AE324" s="471">
        <f t="shared" si="902"/>
        <v>0</v>
      </c>
      <c r="AF324" s="510">
        <f t="shared" si="737"/>
        <v>3.8</v>
      </c>
      <c r="AG324" s="471">
        <f t="shared" si="903"/>
        <v>0.7249835608635905</v>
      </c>
      <c r="AH324" s="471">
        <f t="shared" si="904"/>
        <v>0.83930356086359048</v>
      </c>
      <c r="AI324" s="471">
        <f t="shared" ca="1" si="905"/>
        <v>7.6828957581659925</v>
      </c>
      <c r="AJ324" s="471">
        <f t="shared" si="906"/>
        <v>0.75</v>
      </c>
      <c r="AK324" s="472">
        <f t="shared" si="907"/>
        <v>6.8850107578292991E-2</v>
      </c>
      <c r="AL324" s="471">
        <f t="shared" si="908"/>
        <v>0.63094250537891472</v>
      </c>
      <c r="AM324" s="473">
        <f t="shared" si="909"/>
        <v>323.04766026489028</v>
      </c>
      <c r="AN324" s="513">
        <f t="shared" si="884"/>
        <v>11.157944444444446</v>
      </c>
      <c r="AO324" s="474">
        <f t="shared" si="910"/>
        <v>0.23238888888888887</v>
      </c>
      <c r="AP324" s="474">
        <f t="shared" si="911"/>
        <v>11.390333333333334</v>
      </c>
      <c r="AQ324" s="475">
        <v>3</v>
      </c>
      <c r="AR324" s="474" t="e">
        <f t="shared" ca="1" si="912"/>
        <v>#VALUE!</v>
      </c>
      <c r="AS324" s="474" t="e">
        <f t="shared" ca="1" si="913"/>
        <v>#VALUE!</v>
      </c>
      <c r="AT324" s="471" t="e">
        <f t="shared" ca="1" si="914"/>
        <v>#VALUE!</v>
      </c>
      <c r="AU324" s="492">
        <f t="shared" si="915"/>
        <v>116.50608427106494</v>
      </c>
      <c r="AV324" s="471">
        <f t="shared" ca="1" si="916"/>
        <v>838.56917392593675</v>
      </c>
      <c r="AW324" s="571">
        <f t="shared" ca="1" si="917"/>
        <v>838.57</v>
      </c>
      <c r="AX324" s="478">
        <f>IF(OR(C324="",D324=""),"",ROUND(((VLOOKUP(C324,'Base de Diseño (2)'!$A$2:$C$333,2,FALSE)-VLOOKUP(D324,'Base de Diseño (2)'!$A$2:$C$333,2,FALSE))^2+(VLOOKUP(C324,'Base de Diseño (2)'!$A$2:$C$333,3,0)-VLOOKUP(D324,'Base de Diseño (2)'!$A$2:$C$333,3,FALSE))^2)^0.5,2))</f>
        <v>41.83</v>
      </c>
      <c r="AY324" s="493">
        <v>8</v>
      </c>
      <c r="AZ324" s="480">
        <f ca="1">IF(AND(L324="",H324=""),"",IF(BA324=4,VLOOKUP(AY324,'TABLA (2)'!$A$74:$C$89,2),IF(BA324=5,VLOOKUP(AY324,'TABLA (2)'!$A$51:$B$66,2),IF(BA324=6,VLOOKUP(AY324,'TABLA (2)'!$A$9:$B$43,2)))))</f>
        <v>200</v>
      </c>
      <c r="BA324" s="493">
        <v>6</v>
      </c>
      <c r="BB324" s="478">
        <f>IF(OR(C324="",D324=""),"",VLOOKUP(C324,'Base de Diseño (2)'!$A$2:$D$330,4,FALSE))</f>
        <v>980.59159999999997</v>
      </c>
      <c r="BC324" s="478">
        <f>IF(OR(C324="",D324=""),"",VLOOKUP(D324,'Base de Diseño (2)'!$A$2:$D$330,4,FALSE))</f>
        <v>977.71159999999998</v>
      </c>
      <c r="BD324" s="23">
        <f t="shared" ca="1" si="918"/>
        <v>0.76300000000000001</v>
      </c>
      <c r="BE324" s="23">
        <f t="shared" ca="1" si="919"/>
        <v>2.2230000000000363</v>
      </c>
      <c r="BF324" s="494">
        <v>1</v>
      </c>
      <c r="BG324" s="494">
        <v>2.4600000000000364</v>
      </c>
      <c r="BH324" s="495">
        <f t="shared" si="920"/>
        <v>979.59159999999997</v>
      </c>
      <c r="BI324" s="495">
        <f t="shared" si="921"/>
        <v>975.25159999999994</v>
      </c>
      <c r="BJ324" s="468">
        <f t="shared" si="922"/>
        <v>2.9999999999972715E-2</v>
      </c>
      <c r="BK324" s="475">
        <f t="shared" si="923"/>
        <v>6.8850107578292992</v>
      </c>
      <c r="BL324" s="475">
        <f t="shared" si="924"/>
        <v>10.375328711451189</v>
      </c>
      <c r="BM324" s="475">
        <f t="shared" ca="1" si="925"/>
        <v>3.3628248630704309</v>
      </c>
      <c r="BN324" s="475">
        <f t="shared" ca="1" si="926"/>
        <v>105.6462588513117</v>
      </c>
      <c r="BO324" s="204">
        <f t="shared" ca="1" si="927"/>
        <v>7.2722837909282023E-2</v>
      </c>
      <c r="BP324" s="496">
        <f t="shared" ca="1" si="928"/>
        <v>7.937526696333066</v>
      </c>
      <c r="BQ324" s="497">
        <f t="shared" ca="1" si="929"/>
        <v>0.49214104630001132</v>
      </c>
      <c r="BR324" s="497" t="str">
        <f t="shared" ca="1" si="930"/>
        <v xml:space="preserve"> </v>
      </c>
      <c r="BS324" s="475">
        <f t="shared" ca="1" si="931"/>
        <v>1.6549841466351742</v>
      </c>
      <c r="BT324" s="475" t="e">
        <f t="shared" ca="1" si="932"/>
        <v>#VALUE!</v>
      </c>
      <c r="BU324" s="475">
        <f t="shared" ca="1" si="933"/>
        <v>0.21363906259560952</v>
      </c>
      <c r="BV324" s="475" t="str">
        <f t="shared" ca="1" si="934"/>
        <v xml:space="preserve"> </v>
      </c>
      <c r="BW324" s="475">
        <f t="shared" ca="1" si="935"/>
        <v>1.9219478701067172</v>
      </c>
      <c r="BX324" s="475" t="e">
        <f t="shared" ca="1" si="936"/>
        <v>#VALUE!</v>
      </c>
      <c r="BY324" s="475">
        <f t="shared" ca="1" si="937"/>
        <v>0.12786125172359211</v>
      </c>
      <c r="BZ324" s="475" t="e">
        <f t="shared" ca="1" si="938"/>
        <v>#VALUE!</v>
      </c>
      <c r="CA324" s="471">
        <f t="shared" ca="1" si="939"/>
        <v>2.5572250344718422E-2</v>
      </c>
      <c r="CB324" s="471" t="e">
        <f t="shared" ca="1" si="940"/>
        <v>#VALUE!</v>
      </c>
      <c r="CC324" s="471" t="e">
        <f t="shared" ca="1" si="941"/>
        <v>#VALUE!</v>
      </c>
      <c r="CD324" s="471" t="e">
        <f t="shared" ca="1" si="942"/>
        <v>#VALUE!</v>
      </c>
      <c r="CE324" s="471">
        <f t="shared" ca="1" si="943"/>
        <v>2.6532050321797467</v>
      </c>
      <c r="CF324" s="471" t="e">
        <f t="shared" ca="1" si="944"/>
        <v>#VALUE!</v>
      </c>
      <c r="CG324" s="471" t="str">
        <f t="shared" ca="1" si="945"/>
        <v>O.K</v>
      </c>
      <c r="CH324" s="471" t="e">
        <f t="shared" ca="1" si="946"/>
        <v>#VALUE!</v>
      </c>
      <c r="CI324" s="471" t="str">
        <f t="shared" ca="1" si="947"/>
        <v>OK</v>
      </c>
      <c r="CJ324" s="471" t="e">
        <f t="shared" ca="1" si="948"/>
        <v>#VALUE!</v>
      </c>
      <c r="CK324" s="468">
        <f t="shared" si="949"/>
        <v>2.9999999999972715E-2</v>
      </c>
      <c r="CL324" s="482" t="s">
        <v>2507</v>
      </c>
      <c r="CM324" s="482"/>
      <c r="CN324" s="63" t="str">
        <f t="shared" si="950"/>
        <v xml:space="preserve"> </v>
      </c>
      <c r="CO324" s="498">
        <f t="shared" si="951"/>
        <v>41.83</v>
      </c>
      <c r="CP324" s="472">
        <f t="shared" si="952"/>
        <v>6.8850107578292991E-2</v>
      </c>
      <c r="CQ324" s="482" t="s">
        <v>2508</v>
      </c>
      <c r="CR324" s="204">
        <f t="shared" si="953"/>
        <v>41.83</v>
      </c>
      <c r="CS324" s="486">
        <v>1.2</v>
      </c>
      <c r="CT324" s="486">
        <v>1.2</v>
      </c>
      <c r="CU324" s="23">
        <f t="shared" si="954"/>
        <v>42.054541966356027</v>
      </c>
      <c r="CV324" s="499" t="s">
        <v>2509</v>
      </c>
      <c r="CW324" s="488" t="str">
        <f t="shared" ca="1" si="955"/>
        <v>E1</v>
      </c>
      <c r="CX324" s="204">
        <f ca="1">IF(AND(L324="",H324=""),"",IF(AND(BA324&lt;&gt;4,BA324&lt;&gt;5),VLOOKUP(AY324,'TABLA (2)'!$A$9:$D$43,4),IF(BA324=4,VLOOKUP(AY324,'TABLA (2)'!$A$74:$D$89,4),VLOOKUP(AY324,'TABLA (2)'!$A$51:$D$66,4))))</f>
        <v>3.6999999999999998E-2</v>
      </c>
      <c r="CY324" s="482"/>
      <c r="CZ324" s="482"/>
      <c r="DA324" s="482"/>
      <c r="DB324" s="490"/>
    </row>
    <row r="325" spans="1:106" s="591" customFormat="1" ht="15.6" hidden="1" customHeight="1">
      <c r="A325" s="465">
        <f t="shared" si="956"/>
        <v>221</v>
      </c>
      <c r="B325" s="565"/>
      <c r="C325" s="566" t="s">
        <v>2128</v>
      </c>
      <c r="D325" s="566" t="s">
        <v>2362</v>
      </c>
      <c r="E325" s="567">
        <v>0.51570000000000005</v>
      </c>
      <c r="F325" s="567"/>
      <c r="G325" s="567">
        <f t="shared" si="885"/>
        <v>5.2323657614999997</v>
      </c>
      <c r="H325" s="567">
        <f t="shared" si="886"/>
        <v>5.7480657614999995</v>
      </c>
      <c r="I325" s="567">
        <f t="shared" si="957"/>
        <v>0.51570000000000005</v>
      </c>
      <c r="J325" s="567"/>
      <c r="K325" s="568">
        <f t="shared" ca="1" si="887"/>
        <v>4.1141726015</v>
      </c>
      <c r="L325" s="567"/>
      <c r="M325" s="569">
        <f t="shared" si="889"/>
        <v>242.33666300502347</v>
      </c>
      <c r="N325" s="570">
        <f t="shared" si="890"/>
        <v>124.97301711169061</v>
      </c>
      <c r="O325" s="570">
        <f t="shared" si="891"/>
        <v>0</v>
      </c>
      <c r="P325" s="570">
        <f t="shared" si="892"/>
        <v>1392.9670753753389</v>
      </c>
      <c r="Q325" s="570">
        <f t="shared" si="893"/>
        <v>140</v>
      </c>
      <c r="R325" s="571">
        <f t="shared" si="894"/>
        <v>1.9185541894637193</v>
      </c>
      <c r="S325" s="571"/>
      <c r="T325" s="571"/>
      <c r="U325" s="571">
        <f t="shared" si="895"/>
        <v>0</v>
      </c>
      <c r="V325" s="571"/>
      <c r="W325" s="571"/>
      <c r="X325" s="571">
        <f t="shared" si="896"/>
        <v>0</v>
      </c>
      <c r="Y325" s="571">
        <f t="shared" si="897"/>
        <v>1.1496131522999999</v>
      </c>
      <c r="Z325" s="571">
        <f t="shared" si="898"/>
        <v>1.1496131522999999</v>
      </c>
      <c r="AA325" s="471">
        <f t="shared" si="744"/>
        <v>3.8</v>
      </c>
      <c r="AB325" s="571">
        <f t="shared" si="899"/>
        <v>7.2905059199621327</v>
      </c>
      <c r="AC325" s="571">
        <f t="shared" si="900"/>
        <v>0.17212718792003684</v>
      </c>
      <c r="AD325" s="571">
        <f t="shared" si="901"/>
        <v>0.10314000000000001</v>
      </c>
      <c r="AE325" s="571">
        <f t="shared" si="902"/>
        <v>0</v>
      </c>
      <c r="AF325" s="510">
        <f t="shared" si="737"/>
        <v>3.8</v>
      </c>
      <c r="AG325" s="571">
        <f t="shared" si="903"/>
        <v>0.65408331409613996</v>
      </c>
      <c r="AH325" s="571">
        <f t="shared" si="904"/>
        <v>0.75722331409613997</v>
      </c>
      <c r="AI325" s="571">
        <f t="shared" si="905"/>
        <v>9.5897322245621339</v>
      </c>
      <c r="AJ325" s="571">
        <f t="shared" si="906"/>
        <v>0.75</v>
      </c>
      <c r="AK325" s="572">
        <f t="shared" si="907"/>
        <v>5.5471777590564618E-2</v>
      </c>
      <c r="AL325" s="571">
        <f t="shared" si="908"/>
        <v>0.63027358887952833</v>
      </c>
      <c r="AM325" s="592">
        <f t="shared" si="909"/>
        <v>318.26866990909951</v>
      </c>
      <c r="AN325" s="513">
        <f t="shared" si="884"/>
        <v>11.390333333333334</v>
      </c>
      <c r="AO325" s="573">
        <f t="shared" si="910"/>
        <v>0.52755555555555544</v>
      </c>
      <c r="AP325" s="573">
        <f t="shared" si="911"/>
        <v>11.917888888888889</v>
      </c>
      <c r="AQ325" s="581">
        <v>3</v>
      </c>
      <c r="AR325" s="573" t="e">
        <f t="shared" si="912"/>
        <v>#VALUE!</v>
      </c>
      <c r="AS325" s="573" t="e">
        <f t="shared" si="913"/>
        <v>#VALUE!</v>
      </c>
      <c r="AT325" s="571" t="e">
        <f t="shared" si="914"/>
        <v>#VALUE!</v>
      </c>
      <c r="AU325" s="574">
        <f t="shared" si="915"/>
        <v>103.44753089370195</v>
      </c>
      <c r="AV325" s="571">
        <f t="shared" si="916"/>
        <v>0</v>
      </c>
      <c r="AW325" s="571">
        <f t="shared" si="917"/>
        <v>9.59</v>
      </c>
      <c r="AX325" s="571">
        <f>IF(OR(C325="",D325=""),"",ROUND(((VLOOKUP(C325,'Base de Diseño (2)'!$A$2:$C$333,2,FALSE)-VLOOKUP(D325,'Base de Diseño (2)'!$A$2:$C$333,2,FALSE))^2+(VLOOKUP(C325,'Base de Diseño (2)'!$A$2:$C$333,3,0)-VLOOKUP(D325,'Base de Diseño (2)'!$A$2:$C$333,3,FALSE))^2)^0.5,2))</f>
        <v>94.96</v>
      </c>
      <c r="AY325" s="575">
        <v>24</v>
      </c>
      <c r="AZ325" s="576">
        <f>IF(AND(L325="",H325=""),"",IF(BA325=4,VLOOKUP(AY325,'TABLA (2)'!$A$74:$C$89,2),IF(BA325=5,VLOOKUP(AY325,'TABLA (2)'!$A$51:$B$66,2),IF(BA325=6,VLOOKUP(AY325,'TABLA (2)'!$A$9:$B$43,2)))))</f>
        <v>595.12</v>
      </c>
      <c r="BA325" s="575">
        <v>4</v>
      </c>
      <c r="BB325" s="577">
        <f>IF(OR(C325="",D325=""),"",VLOOKUP(C325,'Base de Diseño (2)'!$A$2:$D$330,4,FALSE))</f>
        <v>977.71159999999998</v>
      </c>
      <c r="BC325" s="577">
        <f>IF(OR(C325="",D325=""),"",VLOOKUP(D325,'Base de Diseño (2)'!$A$2:$D$330,4,FALSE))</f>
        <v>972.44399999999996</v>
      </c>
      <c r="BD325" s="578">
        <f t="shared" si="918"/>
        <v>1.864440000000009</v>
      </c>
      <c r="BE325" s="578">
        <f t="shared" si="919"/>
        <v>0.39443999999998181</v>
      </c>
      <c r="BF325" s="579">
        <v>2.4900000000000091</v>
      </c>
      <c r="BG325" s="579">
        <v>1.0199999999999818</v>
      </c>
      <c r="BH325" s="580">
        <f t="shared" si="920"/>
        <v>975.22159999999997</v>
      </c>
      <c r="BI325" s="580">
        <f t="shared" si="921"/>
        <v>971.42399999999998</v>
      </c>
      <c r="BJ325" s="567">
        <f t="shared" si="922"/>
        <v>0.61000000000001364</v>
      </c>
      <c r="BK325" s="581">
        <f t="shared" si="923"/>
        <v>5.5471777590564617</v>
      </c>
      <c r="BL325" s="581">
        <f t="shared" si="924"/>
        <v>3.9991575400168373</v>
      </c>
      <c r="BM325" s="581">
        <f t="shared" si="925"/>
        <v>6.2388534352255904</v>
      </c>
      <c r="BN325" s="581">
        <f t="shared" si="926"/>
        <v>1735.4166344051011</v>
      </c>
      <c r="BO325" s="582">
        <f t="shared" si="927"/>
        <v>5.5258962225226589E-3</v>
      </c>
      <c r="BP325" s="583" t="str">
        <f t="shared" si="928"/>
        <v xml:space="preserve"> </v>
      </c>
      <c r="BQ325" s="584">
        <f t="shared" si="929"/>
        <v>0.23602503608255349</v>
      </c>
      <c r="BR325" s="584" t="str">
        <f t="shared" si="930"/>
        <v xml:space="preserve"> </v>
      </c>
      <c r="BS325" s="581">
        <f t="shared" si="931"/>
        <v>1.4725256071628827</v>
      </c>
      <c r="BT325" s="581" t="str">
        <f t="shared" si="932"/>
        <v xml:space="preserve"> </v>
      </c>
      <c r="BU325" s="581">
        <f t="shared" si="933"/>
        <v>4.7409015802975685E-2</v>
      </c>
      <c r="BV325" s="581" t="str">
        <f t="shared" si="934"/>
        <v xml:space="preserve"> </v>
      </c>
      <c r="BW325" s="581">
        <f t="shared" si="935"/>
        <v>0.87797732789240923</v>
      </c>
      <c r="BX325" s="581" t="str">
        <f t="shared" si="936"/>
        <v xml:space="preserve"> </v>
      </c>
      <c r="BY325" s="581">
        <f t="shared" si="937"/>
        <v>3.0903068091393288E-2</v>
      </c>
      <c r="BZ325" s="581" t="str">
        <f t="shared" si="938"/>
        <v xml:space="preserve"> </v>
      </c>
      <c r="CA325" s="571">
        <f t="shared" si="939"/>
        <v>1.8391033882549972E-2</v>
      </c>
      <c r="CB325" s="571" t="str">
        <f t="shared" si="940"/>
        <v xml:space="preserve"> </v>
      </c>
      <c r="CC325" s="571" t="e">
        <f t="shared" si="941"/>
        <v>#VALUE!</v>
      </c>
      <c r="CD325" s="571" t="e">
        <f t="shared" si="942"/>
        <v>#VALUE!</v>
      </c>
      <c r="CE325" s="571">
        <f t="shared" si="943"/>
        <v>0.73548641820104843</v>
      </c>
      <c r="CF325" s="571" t="str">
        <f t="shared" si="944"/>
        <v xml:space="preserve"> </v>
      </c>
      <c r="CG325" s="571" t="str">
        <f t="shared" si="945"/>
        <v>O.K</v>
      </c>
      <c r="CH325" s="571" t="str">
        <f t="shared" si="946"/>
        <v>No cumple</v>
      </c>
      <c r="CI325" s="571" t="str">
        <f t="shared" si="947"/>
        <v>OK</v>
      </c>
      <c r="CJ325" s="571" t="str">
        <f t="shared" si="948"/>
        <v>OK</v>
      </c>
      <c r="CK325" s="567">
        <f t="shared" si="949"/>
        <v>0.61000000000001364</v>
      </c>
      <c r="CL325" s="482" t="s">
        <v>2507</v>
      </c>
      <c r="CM325" s="585"/>
      <c r="CN325" s="77" t="str">
        <f t="shared" si="950"/>
        <v xml:space="preserve"> </v>
      </c>
      <c r="CO325" s="586"/>
      <c r="CP325" s="572"/>
      <c r="CQ325" s="585" t="s">
        <v>2508</v>
      </c>
      <c r="CR325" s="582">
        <f t="shared" si="953"/>
        <v>94.96</v>
      </c>
      <c r="CS325" s="587">
        <v>1.2</v>
      </c>
      <c r="CT325" s="587">
        <v>1.2</v>
      </c>
      <c r="CU325" s="578">
        <f t="shared" si="954"/>
        <v>95.035905666016561</v>
      </c>
      <c r="CV325" s="588" t="s">
        <v>2509</v>
      </c>
      <c r="CW325" s="589" t="str">
        <f t="shared" si="955"/>
        <v>E2</v>
      </c>
      <c r="CX325" s="582">
        <f>IF(AND(L325="",H325=""),"",IF(AND(BA325&lt;&gt;4,BA325&lt;&gt;5),VLOOKUP(AY325,'TABLA (2)'!$A$9:$D$43,4),IF(BA325=4,VLOOKUP(AY325,'TABLA (2)'!$A$74:$D$89,4),VLOOKUP(AY325,'TABLA (2)'!$A$51:$D$66,4))))</f>
        <v>3.0439999999999998E-2</v>
      </c>
      <c r="CY325" s="585"/>
      <c r="CZ325" s="585"/>
      <c r="DA325" s="585"/>
      <c r="DB325" s="590"/>
    </row>
    <row r="326" spans="1:106" s="562" customFormat="1" ht="15" hidden="1" customHeight="1">
      <c r="A326" s="465">
        <f t="shared" si="956"/>
        <v>222</v>
      </c>
      <c r="B326" s="535"/>
      <c r="C326" s="536" t="str">
        <f>+D325</f>
        <v>C63</v>
      </c>
      <c r="D326" s="536" t="s">
        <v>2069</v>
      </c>
      <c r="E326" s="596">
        <v>0.59240000000000004</v>
      </c>
      <c r="F326" s="596"/>
      <c r="G326" s="596">
        <f>IF(B326=1,0,SUMIF($D$22:$D$585,C326,$H$22:$H$585))</f>
        <v>5.7480657614999995</v>
      </c>
      <c r="H326" s="596">
        <f t="shared" si="886"/>
        <v>6.3404657614999991</v>
      </c>
      <c r="I326" s="596">
        <f t="shared" si="957"/>
        <v>0.59240000000000004</v>
      </c>
      <c r="J326" s="596"/>
      <c r="K326" s="597">
        <f ca="1">+IF(B326=1,0,SUMIF($D$22:$D$585,C326,$L$22:$L$582))</f>
        <v>0</v>
      </c>
      <c r="L326" s="596">
        <f ca="1">+I326+J326+K326</f>
        <v>0.59240000000000004</v>
      </c>
      <c r="M326" s="598">
        <f t="shared" si="889"/>
        <v>242.33666300502347</v>
      </c>
      <c r="N326" s="599">
        <f t="shared" si="890"/>
        <v>143.56023916417593</v>
      </c>
      <c r="O326" s="599">
        <f t="shared" si="891"/>
        <v>0</v>
      </c>
      <c r="P326" s="599">
        <f t="shared" si="892"/>
        <v>1536.5273145395147</v>
      </c>
      <c r="Q326" s="598">
        <v>140</v>
      </c>
      <c r="R326" s="600">
        <f t="shared" si="894"/>
        <v>2.1162818336828964</v>
      </c>
      <c r="S326" s="600"/>
      <c r="T326" s="600"/>
      <c r="U326" s="600">
        <f t="shared" si="895"/>
        <v>0</v>
      </c>
      <c r="V326" s="600"/>
      <c r="W326" s="600"/>
      <c r="X326" s="600">
        <f t="shared" si="896"/>
        <v>0</v>
      </c>
      <c r="Y326" s="600">
        <f t="shared" si="897"/>
        <v>1.2680931522999999</v>
      </c>
      <c r="Z326" s="600">
        <f t="shared" ca="1" si="898"/>
        <v>0</v>
      </c>
      <c r="AA326" s="471">
        <f t="shared" si="744"/>
        <v>3.8</v>
      </c>
      <c r="AB326" s="600">
        <f t="shared" si="899"/>
        <v>8.0418709679950062</v>
      </c>
      <c r="AC326" s="600">
        <f t="shared" si="900"/>
        <v>0.19772764421917746</v>
      </c>
      <c r="AD326" s="600">
        <f t="shared" si="901"/>
        <v>0.11848000000000002</v>
      </c>
      <c r="AE326" s="600">
        <f t="shared" si="902"/>
        <v>0</v>
      </c>
      <c r="AF326" s="510">
        <f t="shared" si="737"/>
        <v>3.8</v>
      </c>
      <c r="AG326" s="600">
        <f t="shared" si="903"/>
        <v>0.75136504803287429</v>
      </c>
      <c r="AH326" s="600">
        <f t="shared" si="904"/>
        <v>0.86984504803287432</v>
      </c>
      <c r="AI326" s="600">
        <f t="shared" ca="1" si="905"/>
        <v>9.3099641202950068</v>
      </c>
      <c r="AJ326" s="600">
        <f t="shared" si="906"/>
        <v>0.75</v>
      </c>
      <c r="AK326" s="601">
        <f t="shared" si="907"/>
        <v>2.1361631753028213E-3</v>
      </c>
      <c r="AL326" s="600">
        <f t="shared" si="908"/>
        <v>0.62760680815876524</v>
      </c>
      <c r="AM326" s="602">
        <f t="shared" si="909"/>
        <v>314.70734785423542</v>
      </c>
      <c r="AN326" s="513">
        <f t="shared" si="884"/>
        <v>11.917888888888889</v>
      </c>
      <c r="AO326" s="603">
        <f t="shared" si="910"/>
        <v>0.40311111111111114</v>
      </c>
      <c r="AP326" s="603">
        <f t="shared" si="911"/>
        <v>12.321</v>
      </c>
      <c r="AQ326" s="604">
        <v>3</v>
      </c>
      <c r="AR326" s="603" t="e">
        <f t="shared" ca="1" si="912"/>
        <v>#VALUE!</v>
      </c>
      <c r="AS326" s="603" t="e">
        <f t="shared" ca="1" si="913"/>
        <v>#VALUE!</v>
      </c>
      <c r="AT326" s="600" t="e">
        <f t="shared" ca="1" si="914"/>
        <v>#VALUE!</v>
      </c>
      <c r="AU326" s="605">
        <f t="shared" si="915"/>
        <v>117.00638965145326</v>
      </c>
      <c r="AV326" s="600">
        <f t="shared" ca="1" si="916"/>
        <v>117.00638965145326</v>
      </c>
      <c r="AW326" s="600">
        <f ca="1">ROUND(AV326+AI326,2)</f>
        <v>126.32</v>
      </c>
      <c r="AX326" s="600">
        <f>IF(OR(C326="",D326=""),"",ROUND(((VLOOKUP(C326,'Base de Diseño (2)'!$A$2:$C$333,2,FALSE)-VLOOKUP(D326,'Base de Diseño (2)'!$A$2:$C$333,2,FALSE))^2+(VLOOKUP(C326,'Base de Diseño (2)'!$A$2:$C$333,3,0)-VLOOKUP(D326,'Base de Diseño (2)'!$A$2:$C$333,3,FALSE))^2)^0.5,2))</f>
        <v>72.56</v>
      </c>
      <c r="AY326" s="606">
        <v>10</v>
      </c>
      <c r="AZ326" s="607">
        <v>250</v>
      </c>
      <c r="BA326" s="606">
        <v>6</v>
      </c>
      <c r="BB326" s="608">
        <v>972.44399999999996</v>
      </c>
      <c r="BC326" s="608">
        <v>972.28899999999999</v>
      </c>
      <c r="BD326" s="609">
        <f t="shared" si="918"/>
        <v>1.343</v>
      </c>
      <c r="BE326" s="609">
        <f t="shared" si="919"/>
        <v>1.413</v>
      </c>
      <c r="BF326" s="610">
        <v>1.63</v>
      </c>
      <c r="BG326" s="610">
        <v>1.7</v>
      </c>
      <c r="BH326" s="611">
        <f t="shared" si="920"/>
        <v>970.81399999999996</v>
      </c>
      <c r="BI326" s="611">
        <f t="shared" si="921"/>
        <v>970.58899999999994</v>
      </c>
      <c r="BJ326" s="596" t="e">
        <f>IF(A326="",0,BI326-#REF!)</f>
        <v>#REF!</v>
      </c>
      <c r="BK326" s="612">
        <f t="shared" si="923"/>
        <v>0.21361631753028212</v>
      </c>
      <c r="BL326" s="612">
        <f t="shared" si="924"/>
        <v>0.31008820286662447</v>
      </c>
      <c r="BM326" s="612">
        <f t="shared" si="925"/>
        <v>0.67460975147402558</v>
      </c>
      <c r="BN326" s="612">
        <f t="shared" si="926"/>
        <v>33.114828738606789</v>
      </c>
      <c r="BO326" s="613">
        <f t="shared" ca="1" si="927"/>
        <v>0.28114184717014773</v>
      </c>
      <c r="BP326" s="614">
        <f t="shared" ca="1" si="928"/>
        <v>3.8146052633130587</v>
      </c>
      <c r="BQ326" s="615">
        <f t="shared" ca="1" si="929"/>
        <v>0.72774452524192568</v>
      </c>
      <c r="BR326" s="615" t="str">
        <f t="shared" ca="1" si="930"/>
        <v xml:space="preserve"> </v>
      </c>
      <c r="BS326" s="612">
        <f t="shared" ca="1" si="931"/>
        <v>0.49094355331003819</v>
      </c>
      <c r="BT326" s="612" t="e">
        <f t="shared" ca="1" si="932"/>
        <v>#VALUE!</v>
      </c>
      <c r="BU326" s="612">
        <f t="shared" ca="1" si="933"/>
        <v>0.41242789812280323</v>
      </c>
      <c r="BV326" s="612" t="str">
        <f t="shared" ca="1" si="934"/>
        <v xml:space="preserve"> </v>
      </c>
      <c r="BW326" s="612">
        <f t="shared" ca="1" si="935"/>
        <v>2.7894881856039979</v>
      </c>
      <c r="BX326" s="612" t="e">
        <f t="shared" ca="1" si="936"/>
        <v>#VALUE!</v>
      </c>
      <c r="BY326" s="612">
        <f t="shared" ca="1" si="937"/>
        <v>0.21909164840105255</v>
      </c>
      <c r="BZ326" s="612" t="e">
        <f t="shared" ca="1" si="938"/>
        <v>#VALUE!</v>
      </c>
      <c r="CA326" s="600">
        <f t="shared" ca="1" si="939"/>
        <v>5.4772912100263145E-2</v>
      </c>
      <c r="CB326" s="600" t="e">
        <f t="shared" ca="1" si="940"/>
        <v>#VALUE!</v>
      </c>
      <c r="CC326" s="600">
        <f ca="1">+(BS326/SQRT(9.81*(0.125*(BW326-SIN(BW326))*(AZ326/1000)^2)/((AZ326/1000)*SIN(BW326/2))))</f>
        <v>0.56270940651097201</v>
      </c>
      <c r="CD326" s="600" t="str">
        <f t="shared" ca="1" si="942"/>
        <v>F. Subcrítico</v>
      </c>
      <c r="CE326" s="600">
        <f t="shared" ca="1" si="943"/>
        <v>0.1698443387894219</v>
      </c>
      <c r="CF326" s="600" t="e">
        <f t="shared" ca="1" si="944"/>
        <v>#VALUE!</v>
      </c>
      <c r="CG326" s="600" t="str">
        <f t="shared" ca="1" si="945"/>
        <v>O.K</v>
      </c>
      <c r="CH326" s="600" t="e">
        <f t="shared" ca="1" si="946"/>
        <v>#VALUE!</v>
      </c>
      <c r="CI326" s="600" t="str">
        <f t="shared" ca="1" si="947"/>
        <v>OK</v>
      </c>
      <c r="CJ326" s="600" t="e">
        <f t="shared" ca="1" si="948"/>
        <v>#VALUE!</v>
      </c>
      <c r="CK326" s="596" t="e">
        <f t="shared" si="949"/>
        <v>#REF!</v>
      </c>
      <c r="CL326" s="482" t="s">
        <v>2507</v>
      </c>
      <c r="CM326" s="616"/>
      <c r="CN326" s="617" t="str">
        <f t="shared" si="950"/>
        <v xml:space="preserve"> </v>
      </c>
      <c r="CO326" s="618">
        <f>+CR326</f>
        <v>72.56</v>
      </c>
      <c r="CP326" s="601">
        <f>+BK326/100</f>
        <v>2.1361631753028213E-3</v>
      </c>
      <c r="CQ326" s="619" t="s">
        <v>2508</v>
      </c>
      <c r="CR326" s="613">
        <f t="shared" si="953"/>
        <v>72.56</v>
      </c>
      <c r="CS326" s="620">
        <v>1.2</v>
      </c>
      <c r="CT326" s="620">
        <v>1.2</v>
      </c>
      <c r="CU326" s="609">
        <f t="shared" si="954"/>
        <v>72.560348848389651</v>
      </c>
      <c r="CV326" s="621" t="s">
        <v>2509</v>
      </c>
      <c r="CW326" s="622" t="str">
        <f t="shared" si="955"/>
        <v>E2</v>
      </c>
      <c r="CX326" s="613">
        <v>3.6999999999999998E-2</v>
      </c>
      <c r="CY326" s="616"/>
      <c r="CZ326" s="616"/>
      <c r="DA326" s="616"/>
      <c r="DB326" s="561"/>
    </row>
    <row r="327" spans="1:106" ht="15" customHeight="1">
      <c r="A327" s="465"/>
      <c r="B327" s="491"/>
      <c r="C327" s="468"/>
      <c r="D327" s="468"/>
      <c r="E327" s="468"/>
      <c r="F327" s="468"/>
      <c r="G327" s="468"/>
      <c r="H327" s="468"/>
      <c r="I327" s="468"/>
      <c r="J327" s="468"/>
      <c r="K327" s="467"/>
      <c r="L327" s="468"/>
      <c r="M327" s="469"/>
      <c r="N327" s="470"/>
      <c r="O327" s="470"/>
      <c r="P327" s="470"/>
      <c r="Q327" s="469"/>
      <c r="R327" s="471"/>
      <c r="S327" s="471"/>
      <c r="T327" s="471"/>
      <c r="U327" s="471"/>
      <c r="V327" s="471"/>
      <c r="W327" s="471"/>
      <c r="X327" s="471"/>
      <c r="Y327" s="471"/>
      <c r="Z327" s="471"/>
      <c r="AA327" s="471" t="str">
        <f t="shared" si="744"/>
        <v/>
      </c>
      <c r="AB327" s="471"/>
      <c r="AC327" s="471"/>
      <c r="AD327" s="471"/>
      <c r="AE327" s="471"/>
      <c r="AF327" s="471" t="str">
        <f t="shared" ref="AF327:AF390" si="958">IF(N327="","",IF(1+((14/(4+(((N327+O327)+O327)/1000)^1/2)))&lt;1.4,1.4,IF(1+((14/(4+((N327+O327)/1000)^1/2)))&gt;=3.8,3.8,(1+((14/(4+((N327+O327)/1000)^1/2)))))))</f>
        <v/>
      </c>
      <c r="AG327" s="471"/>
      <c r="AH327" s="471"/>
      <c r="AI327" s="471"/>
      <c r="AJ327" s="471"/>
      <c r="AK327" s="472"/>
      <c r="AL327" s="471"/>
      <c r="AM327" s="473"/>
      <c r="AN327" s="473"/>
      <c r="AO327" s="474"/>
      <c r="AP327" s="474"/>
      <c r="AQ327" s="475"/>
      <c r="AR327" s="474"/>
      <c r="AS327" s="474"/>
      <c r="AT327" s="471"/>
      <c r="AU327" s="492"/>
      <c r="AV327" s="471"/>
      <c r="AW327" s="471"/>
      <c r="AX327" s="478"/>
      <c r="AY327" s="493"/>
      <c r="AZ327" s="480"/>
      <c r="BA327" s="493"/>
      <c r="BB327" s="478" t="str">
        <f>IF(OR(C327="",D327=""),"",VLOOKUP(C327,'Base de Diseño (2)'!$A$2:$D$330,4,FALSE))</f>
        <v/>
      </c>
      <c r="BC327" s="478"/>
      <c r="BD327" s="494"/>
      <c r="BE327" s="494"/>
      <c r="BF327" s="494"/>
      <c r="BG327" s="494"/>
      <c r="BH327" s="495"/>
      <c r="BI327" s="495"/>
      <c r="BJ327" s="468"/>
      <c r="BK327" s="475"/>
      <c r="BL327" s="475"/>
      <c r="BM327" s="475"/>
      <c r="BN327" s="475"/>
      <c r="BO327" s="204"/>
      <c r="BP327" s="496"/>
      <c r="BQ327" s="497"/>
      <c r="BR327" s="475"/>
      <c r="BS327" s="475"/>
      <c r="BT327" s="475"/>
      <c r="BU327" s="475"/>
      <c r="BV327" s="475"/>
      <c r="BW327" s="475"/>
      <c r="BX327" s="475"/>
      <c r="BY327" s="475"/>
      <c r="BZ327" s="475"/>
      <c r="CA327" s="471"/>
      <c r="CB327" s="471"/>
      <c r="CC327" s="471"/>
      <c r="CD327" s="471"/>
      <c r="CE327" s="471"/>
      <c r="CF327" s="471"/>
      <c r="CG327" s="471"/>
      <c r="CH327" s="471"/>
      <c r="CI327" s="471"/>
      <c r="CJ327" s="471"/>
      <c r="CK327" s="468"/>
      <c r="CL327" s="482"/>
      <c r="CM327" s="482"/>
      <c r="CN327" s="63"/>
      <c r="CO327" s="498"/>
      <c r="CP327" s="472"/>
      <c r="CQ327" s="482"/>
      <c r="CR327" s="204"/>
      <c r="CS327" s="486"/>
      <c r="CT327" s="486"/>
      <c r="CU327" s="23"/>
      <c r="CV327" s="499"/>
      <c r="CW327" s="488"/>
      <c r="CX327" s="204"/>
      <c r="CY327" s="482"/>
      <c r="CZ327" s="482"/>
      <c r="DA327" s="482"/>
      <c r="DB327" s="490"/>
    </row>
    <row r="328" spans="1:106" s="532" customFormat="1" ht="15" customHeight="1">
      <c r="A328" s="503">
        <f>+A326+1</f>
        <v>223</v>
      </c>
      <c r="B328" s="504">
        <v>1</v>
      </c>
      <c r="C328" s="505" t="s">
        <v>99</v>
      </c>
      <c r="D328" s="505" t="s">
        <v>113</v>
      </c>
      <c r="E328" s="506">
        <v>0.2397</v>
      </c>
      <c r="F328" s="506"/>
      <c r="G328" s="506">
        <f t="shared" ref="G328:G359" si="959">IF(B328=1,0,SUMIF($D$22:$D$583,C328,$H$22:$H$583))</f>
        <v>0</v>
      </c>
      <c r="H328" s="506">
        <f t="shared" ref="H328:H359" si="960">+E328+F328+G328</f>
        <v>0.2397</v>
      </c>
      <c r="I328" s="506">
        <f>+E328</f>
        <v>0.2397</v>
      </c>
      <c r="J328" s="506"/>
      <c r="K328" s="507">
        <f t="shared" ref="K328:K341" si="961">+IF(B328=1,0,SUMIF($D$22:$D$583,C328,$L$22:$L$580))</f>
        <v>0</v>
      </c>
      <c r="L328" s="506">
        <f t="shared" ref="L328:L369" si="962">+I328+J328+K328</f>
        <v>0.2397</v>
      </c>
      <c r="M328" s="508">
        <f t="shared" ref="M328:M369" si="963">+$P$12</f>
        <v>242.33666300502347</v>
      </c>
      <c r="N328" s="509">
        <f t="shared" ref="N328:N369" si="964">M328*E328</f>
        <v>58.088098122304125</v>
      </c>
      <c r="O328" s="509">
        <f t="shared" ref="O328:O369" si="965">M328*F328</f>
        <v>0</v>
      </c>
      <c r="P328" s="509">
        <f t="shared" ref="P328:P369" si="966">M328*H328</f>
        <v>58.088098122304125</v>
      </c>
      <c r="Q328" s="508">
        <f t="shared" ref="Q328:Q369" si="967">+$H$14</f>
        <v>140</v>
      </c>
      <c r="R328" s="510">
        <f t="shared" ref="R328:R369" si="968">Q328*P328*$P$14/86400</f>
        <v>8.0005598108266088E-2</v>
      </c>
      <c r="S328" s="510"/>
      <c r="T328" s="510"/>
      <c r="U328" s="510">
        <f t="shared" ref="U328:U369" si="969">IF(C328="","",T328*$P$17)</f>
        <v>0</v>
      </c>
      <c r="V328" s="510"/>
      <c r="W328" s="510"/>
      <c r="X328" s="510">
        <f t="shared" ref="X328:X369" si="970">IF(C328="","",W328*$P$16)</f>
        <v>0</v>
      </c>
      <c r="Y328" s="510">
        <f t="shared" ref="Y328:Y369" si="971">IF(H328=0,0,$H$15*H328)</f>
        <v>4.7940000000000003E-2</v>
      </c>
      <c r="Z328" s="510">
        <f t="shared" ref="Z328:Z369" si="972">IF(L328=0,$H$16*H328,0)</f>
        <v>0</v>
      </c>
      <c r="AA328" s="471">
        <f t="shared" si="744"/>
        <v>3.8</v>
      </c>
      <c r="AB328" s="510">
        <f t="shared" ref="AB328:AB369" si="973">R328*AA328</f>
        <v>0.30402127281141111</v>
      </c>
      <c r="AC328" s="510">
        <f t="shared" ref="AC328:AC369" si="974">Q328*(N328+O328)*$P$14/86400</f>
        <v>8.0005598108266088E-2</v>
      </c>
      <c r="AD328" s="510">
        <f t="shared" ref="AD328:AD369" si="975">IF(E328=0,0,$H$15*(E328+F328))</f>
        <v>4.7940000000000003E-2</v>
      </c>
      <c r="AE328" s="510">
        <f t="shared" ref="AE328:AE369" si="976">IF(F328=0,0,$H$15*(F328+G328))</f>
        <v>0</v>
      </c>
      <c r="AF328" s="510">
        <f t="shared" si="958"/>
        <v>3.8</v>
      </c>
      <c r="AG328" s="510">
        <f t="shared" ref="AG328:AG369" si="977">AC328*AF328</f>
        <v>0.30402127281141111</v>
      </c>
      <c r="AH328" s="510">
        <f t="shared" ref="AH328:AH369" si="978">+AD328+AE328+AG328</f>
        <v>0.3519612728114111</v>
      </c>
      <c r="AI328" s="510">
        <f t="shared" ref="AI328:AI369" si="979">IF(H328="","",IF(AB328+Y328+Z328+X328+U328&lt;1.5,1.5,AB328+Y328+Z328+X328+U328))</f>
        <v>1.5</v>
      </c>
      <c r="AJ328" s="510">
        <f t="shared" ref="AJ328:AJ369" si="980">+$P$17</f>
        <v>0.75</v>
      </c>
      <c r="AK328" s="511">
        <f t="shared" ref="AK328:AK369" si="981">+BK328/100</f>
        <v>1.9831223628692451E-2</v>
      </c>
      <c r="AL328" s="510">
        <f t="shared" ref="AL328:AL369" si="982">IF(AJ328=0," ",0.14+0.65*AJ328+0.05*AK328)</f>
        <v>0.62849156118143468</v>
      </c>
      <c r="AM328" s="512">
        <f t="shared" ref="AM328:AM359" si="983">((100/36)*$AM$14*(AP328+$AN$14)^$AO$14)</f>
        <v>336.32613267542746</v>
      </c>
      <c r="AN328" s="513">
        <f>IF(B328=1,IF((0.702*(1.1-$AJ328)*SQRT($CO328))/(($CP328)^(1/3))&lt;5,5,(0.702*(1.1-$AJ328)*SQRT($CO328))/(($CP328)^(1/3))),AP327)</f>
        <v>5.2286974162502222</v>
      </c>
      <c r="AO328" s="513">
        <f t="shared" ref="AO328:AO369" si="984">((1/60)*$AX328/$AQ328)</f>
        <v>0.23041666666666666</v>
      </c>
      <c r="AP328" s="513">
        <f t="shared" ref="AP328:AP369" si="985">IF(B328=1,IF(($AN328+$AO328)&lt;10,10,IF(($AN328+$AO328)&gt;20,20,($AN328+$AO328))),($AN328+$AO328))</f>
        <v>10</v>
      </c>
      <c r="AQ328" s="514">
        <v>2.4</v>
      </c>
      <c r="AR328" s="513">
        <f t="shared" ref="AR328:AR369" si="986">((1/60)*$AX328/$BT328)</f>
        <v>0.2544699609830558</v>
      </c>
      <c r="AS328" s="513">
        <f t="shared" ref="AS328:AS369" si="987">AO328/AR328</f>
        <v>0.90547688134399973</v>
      </c>
      <c r="AT328" s="510" t="str">
        <f t="shared" ref="AT328:AT369" si="988">IF(AS328&lt;0.9,"Disminuir vel.",IF(AS328&gt;1.1,"Aumentar vel.","Cumple"))</f>
        <v>Cumple</v>
      </c>
      <c r="AU328" s="533">
        <f t="shared" ref="AU328:AU369" si="989">+I328*AL328*AM328</f>
        <v>50.667339245053107</v>
      </c>
      <c r="AV328" s="510">
        <f t="shared" ref="AV328:AV369" si="990">+L328*AL328*AM328</f>
        <v>50.667339245053107</v>
      </c>
      <c r="AW328" s="510">
        <f t="shared" ref="AW328:AW369" si="991">ROUND(IF(AI328&gt;(AV328*0.05),(AV328+AI328),AV328),2)</f>
        <v>50.67</v>
      </c>
      <c r="AX328" s="516">
        <f>IF(OR(C328="",D328=""),"",ROUND(((VLOOKUP(C328,'Base de Diseño (2)'!$A$2:$C$333,2,FALSE)-VLOOKUP(D328,'Base de Diseño (2)'!$A$2:$C$333,2,FALSE))^2+(VLOOKUP(C328,'Base de Diseño (2)'!$A$2:$C$333,3,0)-VLOOKUP(D328,'Base de Diseño (2)'!$A$2:$C$333,3,FALSE))^2)^0.5,2))</f>
        <v>33.18</v>
      </c>
      <c r="AY328" s="517">
        <v>12</v>
      </c>
      <c r="AZ328" s="518">
        <f>IF(AND(L328="",H328=""),"",IF(BA328=4,VLOOKUP(AY328,'TABLA (2)'!$A$74:$C$89,2),IF(BA328=5,VLOOKUP(AY328,'TABLA (2)'!$A$51:$B$66,2),IF(BA328=6,VLOOKUP(AY328,'TABLA (2)'!$A$9:$B$43,2)))))</f>
        <v>284</v>
      </c>
      <c r="BA328" s="517">
        <v>4</v>
      </c>
      <c r="BB328" s="516">
        <f>IF(OR(C328="",D328=""),"",VLOOKUP(C328,'Base de Diseño (2)'!$A$2:$D$333,4,FALSE))</f>
        <v>993.63300000000004</v>
      </c>
      <c r="BC328" s="516">
        <f>IF(OR(C328="",D328=""),"",VLOOKUP(D328,'Base de Diseño (2)'!$A$2:$D$342,4,FALSE))</f>
        <v>992.97500000000002</v>
      </c>
      <c r="BD328" s="519">
        <f t="shared" ref="BD328:BD369" si="992">+BF328-((AZ328/1000)+CX328)</f>
        <v>1.5505000000000226</v>
      </c>
      <c r="BE328" s="519">
        <f t="shared" ref="BE328:BE369" si="993">+BG328-((AZ328/1000)+CX328)</f>
        <v>1.7404999999999999</v>
      </c>
      <c r="BF328" s="520">
        <v>1.8500000000000227</v>
      </c>
      <c r="BG328" s="520">
        <v>2.04</v>
      </c>
      <c r="BH328" s="521">
        <f t="shared" ref="BH328:BH369" si="994">BB328-BF328</f>
        <v>991.78300000000002</v>
      </c>
      <c r="BI328" s="521">
        <f t="shared" ref="BI328:BI369" si="995">BC328-BG328</f>
        <v>990.93500000000006</v>
      </c>
      <c r="BJ328" s="506">
        <f>IF(A328="",0,BI328-BH329)</f>
        <v>3.0000000000086402E-2</v>
      </c>
      <c r="BK328" s="514">
        <f t="shared" ref="BK328:BK369" si="996">ABS((BB328-BC328)/AX328)*100</f>
        <v>1.9831223628692451</v>
      </c>
      <c r="BL328" s="514">
        <f t="shared" ref="BL328:BL369" si="997">((BH328-BI328)/AX328)*100</f>
        <v>2.5557564798069814</v>
      </c>
      <c r="BM328" s="514">
        <f t="shared" ref="BM328:BM369" si="998">IF(BA328=6,(1/0.013)*((AZ328/4000)^(2/3))*((BL328/100)^(0.5)),(1/0.009)*((AZ328/4000)^(2/3))*((BL328/100)^(0.5)))</f>
        <v>3.0457163754813443</v>
      </c>
      <c r="BN328" s="514">
        <f t="shared" ref="BN328:BN369" si="999">1000*BM328*PI()*((AZ328/1000/2)^2)</f>
        <v>192.93722143378778</v>
      </c>
      <c r="BO328" s="522">
        <f t="shared" ref="BO328:BO369" si="1000">AI328/BN328</f>
        <v>7.7745496118009046E-3</v>
      </c>
      <c r="BP328" s="523">
        <f t="shared" ref="BP328:BP369" si="1001">IF(L328=0," ",AW328/BN328)</f>
        <v>0.26262428588663456</v>
      </c>
      <c r="BQ328" s="524">
        <f t="shared" ref="BQ328:BQ369" si="1002">IF($BO328&gt;0 =AND($BO328&lt;=0.06),10^(0.029806+0.29095*LOG($BO328)),IF($BO328&gt;0.06 =AND($BO328&lt;=0.26),10^(0.013778+0.282597*LOG($BO328)),IF($BO328&gt;0.26 =AND($BO328&lt;=0.91),10^(0.021763+0.28995*LOG($BO328)),1)))</f>
        <v>0.26067414687145185</v>
      </c>
      <c r="BR328" s="524">
        <f t="shared" ref="BR328:BR369" si="1003">IF($BP328&gt;0 =AND($BP328&lt;=0.06),10^(0.029806+0.29095*LOG($BP328)),IF($BP328&gt;0.06 =AND($BP328&lt;=0.26),10^(0.013778+0.282597*LOG($BP328)),IF($BP328&gt;0.26 =AND($BP328&lt;=2),10^(0.021763+0.28995*LOG($BP328))," ")))</f>
        <v>0.71350849761319479</v>
      </c>
      <c r="BS328" s="514">
        <f t="shared" ref="BS328:BS369" si="1004">BM328*BQ328</f>
        <v>0.79393951779100991</v>
      </c>
      <c r="BT328" s="514">
        <f t="shared" ref="BT328:BT369" si="1005">IF(BP328=" "," ",(BM328*BR328))</f>
        <v>2.1731445152255993</v>
      </c>
      <c r="BU328" s="514">
        <f t="shared" ref="BU328:BU369" si="1006">IF(BO328&lt;=0.11,0.3827+0.0645*LN(BO328),IF(BO328&lt;=0.21,0.60025+0.15471*LN(BO328),IF(BO328&lt;1,0.225+0.6666666667*BO328,0)))</f>
        <v>6.9429966103239926E-2</v>
      </c>
      <c r="BV328" s="514">
        <f t="shared" ref="BV328:BV369" si="1007">IF(BP328&lt;=0.11,0.3827+0.0645*LN(BP328),IF(BP328&lt;=0.21,0.60025+0.15471*LN(BP328),IF(BP328&lt;1,0.225+0.6666666667*BP328," ")))</f>
        <v>0.40008285726651049</v>
      </c>
      <c r="BW328" s="514">
        <f t="shared" ref="BW328:BW369" si="1008">2*ACOS(1-2*(BU328))</f>
        <v>1.0665765831019423</v>
      </c>
      <c r="BX328" s="514">
        <f t="shared" ref="BX328:BX369" si="1009">IF(BP328=" "," ",(2*ACOS(1-2*(BV328))))</f>
        <v>2.7392150695459212</v>
      </c>
      <c r="BY328" s="514">
        <f t="shared" ref="BY328:BY369" si="1010">(1/4)*(1-(SIN(BW328))/BW328)</f>
        <v>4.4775237975605453E-2</v>
      </c>
      <c r="BZ328" s="514">
        <f t="shared" ref="BZ328:BZ369" si="1011">IF(BP328=" "," ",((1/4)*(1-(SIN(BX328))/BX328)))</f>
        <v>0.21425918287231965</v>
      </c>
      <c r="CA328" s="510">
        <f t="shared" ref="CA328:CA369" si="1012">BY328*AZ328/1000</f>
        <v>1.2716167585071948E-2</v>
      </c>
      <c r="CB328" s="510">
        <f t="shared" ref="CB328:CB369" si="1013">IF(BP328=" "," ",(BZ328*AZ328/1000))</f>
        <v>6.0849607935738778E-2</v>
      </c>
      <c r="CC328" s="510">
        <f t="shared" ref="CC328:CC341" si="1014">+(BT328/SQRT(9.81*(0.125*(BX328-SIN(BX328))*(AZ328/1000)^2)/((AZ328/1000)*SIN(BX328/2))))</f>
        <v>2.3790438426991516</v>
      </c>
      <c r="CD328" s="510" t="str">
        <f t="shared" ref="CD328:CD369" si="1015">IF(CC328="","",IF(CC328&lt;0.7,"F. Subcrítico",IF(AND(CC328&gt;0.7,CC328&lt;1),"F. Subcrítico Inestable",IF(CC328=1,"F. Crítico",IF(AND(CC328&gt;1,CC328&lt;1.5),"F. Supercrítico Inestable",IF(CC328&gt;1.5,"F. Supercrítico",""))))))</f>
        <v>F. Supercrítico</v>
      </c>
      <c r="CE328" s="510">
        <f t="shared" ref="CE328:CE369" si="1016">1000*BL328*CA328/100</f>
        <v>0.32499427703859124</v>
      </c>
      <c r="CF328" s="510">
        <f t="shared" ref="CF328:CF369" si="1017">IF(BP328=" "," ",(1000*BL328*CB328/100))</f>
        <v>1.5551677977547871</v>
      </c>
      <c r="CG328" s="510" t="str">
        <f t="shared" ref="CG328:CG369" si="1018">IF(BS328&lt;0.45,"No cumple",IF(BS328&gt;5,"No cumple","O.K"))</f>
        <v>O.K</v>
      </c>
      <c r="CH328" s="510" t="str">
        <f t="shared" ref="CH328:CH369" si="1019">IF(BT328&lt;0.75,"No cumple",IF(BT328&gt;10,"No cumple","O.K"))</f>
        <v>O.K</v>
      </c>
      <c r="CI328" s="510" t="str">
        <f t="shared" ref="CI328:CI369" si="1020">IF(CE328&gt;0.1,"OK","V.C.H.")</f>
        <v>OK</v>
      </c>
      <c r="CJ328" s="510" t="str">
        <f t="shared" ref="CJ328:CJ369" si="1021">IF(CF328&gt;0.2,"OK","V.C.H.")</f>
        <v>OK</v>
      </c>
      <c r="CK328" s="506">
        <f t="shared" ref="CK328:CK369" si="1022">+BJ328</f>
        <v>3.0000000000086402E-2</v>
      </c>
      <c r="CL328" s="525" t="s">
        <v>2515</v>
      </c>
      <c r="CM328" s="525"/>
      <c r="CN328" s="526" t="str">
        <f t="shared" ref="CN328:CN369" si="1023">IF(B328=1,"dato"," ")</f>
        <v>dato</v>
      </c>
      <c r="CO328" s="527">
        <f t="shared" ref="CO328:CO359" si="1024">+CR328</f>
        <v>33.18</v>
      </c>
      <c r="CP328" s="511">
        <f t="shared" ref="CP328:CP359" si="1025">+BK328/100</f>
        <v>1.9831223628692451E-2</v>
      </c>
      <c r="CQ328" s="525" t="s">
        <v>2508</v>
      </c>
      <c r="CR328" s="522">
        <f t="shared" ref="CR328:CR369" si="1026">IF(BA328="","",AX328)</f>
        <v>33.18</v>
      </c>
      <c r="CS328" s="528">
        <v>1.2</v>
      </c>
      <c r="CT328" s="528">
        <v>1.2</v>
      </c>
      <c r="CU328" s="519">
        <f t="shared" ref="CU328:CU369" si="1027">IF($BA328="","",SQRT((BH328-BI328)^2+$CR328^2))</f>
        <v>33.190834638496213</v>
      </c>
      <c r="CV328" s="529" t="s">
        <v>2509</v>
      </c>
      <c r="CW328" s="530" t="str">
        <f t="shared" ref="CW328:CW369" si="1028">+IF(BD328&lt;=0.9,"E1",IF(BD328&lt;=2.5,"E2","E3"))</f>
        <v>E2</v>
      </c>
      <c r="CX328" s="522">
        <f>IF(AND(L328="",H328=""),"",IF(AND(BA328&lt;&gt;4,BA328&lt;&gt;5),VLOOKUP(AY328,'TABLA (2)'!$A$9:$D$43,4),IF(BA328=4,VLOOKUP(AY328,'TABLA (2)'!$A$74:$D$89,4),VLOOKUP(AY328,'TABLA (2)'!$A$51:$D$66,4))))</f>
        <v>1.55E-2</v>
      </c>
      <c r="CY328" s="525"/>
      <c r="CZ328" s="525"/>
      <c r="DA328" s="525"/>
      <c r="DB328" s="531"/>
    </row>
    <row r="329" spans="1:106" s="532" customFormat="1" ht="15" customHeight="1">
      <c r="A329" s="503">
        <f t="shared" ref="A329:A369" si="1029">+A328+1</f>
        <v>224</v>
      </c>
      <c r="B329" s="504"/>
      <c r="C329" s="505" t="str">
        <f>+D328</f>
        <v>C221</v>
      </c>
      <c r="D329" s="505" t="s">
        <v>116</v>
      </c>
      <c r="E329" s="506">
        <v>0.1389</v>
      </c>
      <c r="F329" s="506"/>
      <c r="G329" s="506">
        <f t="shared" si="959"/>
        <v>0.2397</v>
      </c>
      <c r="H329" s="506">
        <f t="shared" si="960"/>
        <v>0.37859999999999999</v>
      </c>
      <c r="I329" s="506">
        <f>+E329</f>
        <v>0.1389</v>
      </c>
      <c r="J329" s="506"/>
      <c r="K329" s="507">
        <f t="shared" ca="1" si="961"/>
        <v>0.2397</v>
      </c>
      <c r="L329" s="506">
        <f t="shared" ca="1" si="962"/>
        <v>0.37859999999999999</v>
      </c>
      <c r="M329" s="508">
        <f t="shared" si="963"/>
        <v>242.33666300502347</v>
      </c>
      <c r="N329" s="509">
        <f t="shared" si="964"/>
        <v>33.660562491397762</v>
      </c>
      <c r="O329" s="509">
        <f t="shared" si="965"/>
        <v>0</v>
      </c>
      <c r="P329" s="509">
        <f t="shared" si="966"/>
        <v>91.748660613701887</v>
      </c>
      <c r="Q329" s="508">
        <f t="shared" si="967"/>
        <v>140</v>
      </c>
      <c r="R329" s="510">
        <f t="shared" si="968"/>
        <v>0.12636678950266811</v>
      </c>
      <c r="S329" s="510"/>
      <c r="T329" s="510"/>
      <c r="U329" s="510">
        <f t="shared" si="969"/>
        <v>0</v>
      </c>
      <c r="V329" s="510"/>
      <c r="W329" s="510"/>
      <c r="X329" s="510">
        <f t="shared" si="970"/>
        <v>0</v>
      </c>
      <c r="Y329" s="510">
        <f t="shared" si="971"/>
        <v>7.572000000000001E-2</v>
      </c>
      <c r="Z329" s="510">
        <f t="shared" ca="1" si="972"/>
        <v>0</v>
      </c>
      <c r="AA329" s="471">
        <f t="shared" si="744"/>
        <v>3.8</v>
      </c>
      <c r="AB329" s="510">
        <f t="shared" si="973"/>
        <v>0.48019380011013879</v>
      </c>
      <c r="AC329" s="510">
        <f t="shared" si="974"/>
        <v>4.6361191394402007E-2</v>
      </c>
      <c r="AD329" s="510">
        <f t="shared" si="975"/>
        <v>2.7779999999999999E-2</v>
      </c>
      <c r="AE329" s="510">
        <f t="shared" si="976"/>
        <v>0</v>
      </c>
      <c r="AF329" s="510">
        <f t="shared" si="958"/>
        <v>3.8</v>
      </c>
      <c r="AG329" s="510">
        <f t="shared" si="977"/>
        <v>0.17617252729872762</v>
      </c>
      <c r="AH329" s="510">
        <f t="shared" si="978"/>
        <v>0.20395252729872762</v>
      </c>
      <c r="AI329" s="510">
        <f t="shared" ca="1" si="979"/>
        <v>1.5</v>
      </c>
      <c r="AJ329" s="510">
        <f t="shared" si="980"/>
        <v>0.75</v>
      </c>
      <c r="AK329" s="511">
        <f t="shared" si="981"/>
        <v>1.8710781517397291E-2</v>
      </c>
      <c r="AL329" s="510">
        <f t="shared" si="982"/>
        <v>0.62843553907586991</v>
      </c>
      <c r="AM329" s="510">
        <f t="shared" si="983"/>
        <v>335.36208873383794</v>
      </c>
      <c r="AN329" s="513">
        <f>IF(B329=1,IF((0.702*(1.1-$AJ329)*SQRT($CO329))/(($CP329)^(1/3))&lt;5,5,(0.702*(1.1-$AJ329)*SQRT($CO329))/(($CP329)^(1/3))),AP328)</f>
        <v>10</v>
      </c>
      <c r="AO329" s="513">
        <f t="shared" si="984"/>
        <v>9.73888888888889E-2</v>
      </c>
      <c r="AP329" s="513">
        <f t="shared" si="985"/>
        <v>10.097388888888888</v>
      </c>
      <c r="AQ329" s="514">
        <v>3</v>
      </c>
      <c r="AR329" s="513">
        <f t="shared" ca="1" si="986"/>
        <v>9.55958812985198E-2</v>
      </c>
      <c r="AS329" s="513">
        <f t="shared" ca="1" si="987"/>
        <v>1.0187561175859661</v>
      </c>
      <c r="AT329" s="510" t="str">
        <f t="shared" ca="1" si="988"/>
        <v>Cumple</v>
      </c>
      <c r="AU329" s="533">
        <f t="shared" si="989"/>
        <v>29.273654902147314</v>
      </c>
      <c r="AV329" s="510">
        <f t="shared" ca="1" si="990"/>
        <v>79.79125807021579</v>
      </c>
      <c r="AW329" s="510">
        <f t="shared" ca="1" si="991"/>
        <v>79.790000000000006</v>
      </c>
      <c r="AX329" s="516">
        <f>IF(OR(C329="",D329=""),"",ROUND(((VLOOKUP(C329,'Base de Diseño (2)'!$A$2:$C$333,2,FALSE)-VLOOKUP(D329,'Base de Diseño (2)'!$A$2:$C$333,2,FALSE))^2+(VLOOKUP(C329,'Base de Diseño (2)'!$A$2:$C$333,3,0)-VLOOKUP(D329,'Base de Diseño (2)'!$A$2:$C$333,3,FALSE))^2)^0.5,2))</f>
        <v>17.53</v>
      </c>
      <c r="AY329" s="517">
        <v>12</v>
      </c>
      <c r="AZ329" s="518">
        <f ca="1">IF(AND(L329="",H329=""),"",IF(BA329=4,VLOOKUP(AY329,'TABLA (2)'!$A$74:$C$89,2),IF(BA329=5,VLOOKUP(AY329,'TABLA (2)'!$A$51:$B$66,2),IF(BA329=6,VLOOKUP(AY329,'TABLA (2)'!$A$9:$B$43,2)))))</f>
        <v>284</v>
      </c>
      <c r="BA329" s="517">
        <v>4</v>
      </c>
      <c r="BB329" s="516">
        <f>IF(OR(C329="",D329=""),"",VLOOKUP(C329,'Base de Diseño (2)'!$A$2:$D$333,4,FALSE))</f>
        <v>992.97500000000002</v>
      </c>
      <c r="BC329" s="516">
        <f>IF(OR(C329="",D329=""),"",VLOOKUP(D329,'Base de Diseño (2)'!$A$2:$D$342,4,FALSE))</f>
        <v>992.64700000000005</v>
      </c>
      <c r="BD329" s="519">
        <f t="shared" ca="1" si="992"/>
        <v>1.7704999999999997</v>
      </c>
      <c r="BE329" s="519">
        <f t="shared" ca="1" si="993"/>
        <v>2.2504999999999997</v>
      </c>
      <c r="BF329" s="520">
        <v>2.0699999999999998</v>
      </c>
      <c r="BG329" s="520">
        <v>2.5499999999999998</v>
      </c>
      <c r="BH329" s="521">
        <f t="shared" si="994"/>
        <v>990.90499999999997</v>
      </c>
      <c r="BI329" s="521">
        <f t="shared" si="995"/>
        <v>990.09700000000009</v>
      </c>
      <c r="BJ329" s="506">
        <f>IF(A329="",0,BI329-BH330)</f>
        <v>5.0000000000068212E-2</v>
      </c>
      <c r="BK329" s="514">
        <f t="shared" si="996"/>
        <v>1.871078151739729</v>
      </c>
      <c r="BL329" s="514">
        <f t="shared" si="997"/>
        <v>4.6092413006268051</v>
      </c>
      <c r="BM329" s="514">
        <f t="shared" ca="1" si="998"/>
        <v>4.0901990675989808</v>
      </c>
      <c r="BN329" s="514">
        <f t="shared" ca="1" si="999"/>
        <v>259.10214410194374</v>
      </c>
      <c r="BO329" s="522">
        <f t="shared" ca="1" si="1000"/>
        <v>5.7892226449883216E-3</v>
      </c>
      <c r="BP329" s="523">
        <f t="shared" ca="1" si="1001"/>
        <v>0.30794804989574548</v>
      </c>
      <c r="BQ329" s="524">
        <f t="shared" ca="1" si="1002"/>
        <v>0.23924361849812778</v>
      </c>
      <c r="BR329" s="524">
        <f t="shared" ca="1" si="1003"/>
        <v>0.74721750757035443</v>
      </c>
      <c r="BS329" s="514">
        <f t="shared" ca="1" si="1004"/>
        <v>0.97855402531004854</v>
      </c>
      <c r="BT329" s="514">
        <f t="shared" ca="1" si="1005"/>
        <v>3.0562683527578982</v>
      </c>
      <c r="BU329" s="514">
        <f t="shared" ca="1" si="1006"/>
        <v>5.0411657077236383E-2</v>
      </c>
      <c r="BV329" s="514">
        <f t="shared" ca="1" si="1007"/>
        <v>0.43029869994076192</v>
      </c>
      <c r="BW329" s="514">
        <f t="shared" ca="1" si="1008"/>
        <v>0.90582391263043016</v>
      </c>
      <c r="BX329" s="514">
        <f t="shared" ca="1" si="1009"/>
        <v>2.8618764565617649</v>
      </c>
      <c r="BY329" s="514">
        <f t="shared" ca="1" si="1010"/>
        <v>3.281269793497199E-2</v>
      </c>
      <c r="BZ329" s="514">
        <f t="shared" ca="1" si="1011"/>
        <v>0.22588270394973439</v>
      </c>
      <c r="CA329" s="510">
        <f t="shared" ca="1" si="1012"/>
        <v>9.3188062135320451E-3</v>
      </c>
      <c r="CB329" s="510">
        <f t="shared" ca="1" si="1013"/>
        <v>6.415068792172457E-2</v>
      </c>
      <c r="CC329" s="510">
        <f t="shared" ca="1" si="1014"/>
        <v>3.2049051986561823</v>
      </c>
      <c r="CD329" s="510" t="str">
        <f t="shared" ca="1" si="1015"/>
        <v>F. Supercrítico</v>
      </c>
      <c r="CE329" s="510">
        <f t="shared" ca="1" si="1016"/>
        <v>0.42952626471949601</v>
      </c>
      <c r="CF329" s="510">
        <f t="shared" ca="1" si="1017"/>
        <v>2.9568600023243401</v>
      </c>
      <c r="CG329" s="510" t="str">
        <f t="shared" ca="1" si="1018"/>
        <v>O.K</v>
      </c>
      <c r="CH329" s="510" t="str">
        <f t="shared" ca="1" si="1019"/>
        <v>O.K</v>
      </c>
      <c r="CI329" s="510" t="str">
        <f t="shared" ca="1" si="1020"/>
        <v>OK</v>
      </c>
      <c r="CJ329" s="510" t="str">
        <f t="shared" ca="1" si="1021"/>
        <v>OK</v>
      </c>
      <c r="CK329" s="506">
        <f t="shared" si="1022"/>
        <v>5.0000000000068212E-2</v>
      </c>
      <c r="CL329" s="525" t="s">
        <v>2515</v>
      </c>
      <c r="CM329" s="525"/>
      <c r="CN329" s="526" t="str">
        <f t="shared" si="1023"/>
        <v xml:space="preserve"> </v>
      </c>
      <c r="CO329" s="527">
        <f t="shared" si="1024"/>
        <v>17.53</v>
      </c>
      <c r="CP329" s="511">
        <f t="shared" si="1025"/>
        <v>1.8710781517397291E-2</v>
      </c>
      <c r="CQ329" s="525" t="s">
        <v>2508</v>
      </c>
      <c r="CR329" s="522">
        <f t="shared" si="1026"/>
        <v>17.53</v>
      </c>
      <c r="CS329" s="528">
        <v>1.2</v>
      </c>
      <c r="CT329" s="528">
        <v>1.2</v>
      </c>
      <c r="CU329" s="519">
        <f t="shared" si="1027"/>
        <v>17.548611455041101</v>
      </c>
      <c r="CV329" s="529" t="s">
        <v>2509</v>
      </c>
      <c r="CW329" s="530" t="str">
        <f t="shared" ca="1" si="1028"/>
        <v>E2</v>
      </c>
      <c r="CX329" s="522">
        <f ca="1">IF(AND(L329="",H329=""),"",IF(AND(BA329&lt;&gt;4,BA329&lt;&gt;5),VLOOKUP(AY329,'TABLA (2)'!$A$9:$D$43,4),IF(BA329=4,VLOOKUP(AY329,'TABLA (2)'!$A$74:$D$89,4),VLOOKUP(AY329,'TABLA (2)'!$A$51:$D$66,4))))</f>
        <v>1.55E-2</v>
      </c>
      <c r="CY329" s="525"/>
      <c r="CZ329" s="525"/>
      <c r="DA329" s="525"/>
      <c r="DB329" s="531"/>
    </row>
    <row r="330" spans="1:106" s="532" customFormat="1" ht="15" customHeight="1">
      <c r="A330" s="503">
        <f t="shared" si="1029"/>
        <v>225</v>
      </c>
      <c r="B330" s="504"/>
      <c r="C330" s="505" t="s">
        <v>116</v>
      </c>
      <c r="D330" s="505" t="s">
        <v>117</v>
      </c>
      <c r="E330" s="506">
        <v>0.34560000000000002</v>
      </c>
      <c r="F330" s="506"/>
      <c r="G330" s="506">
        <f t="shared" si="959"/>
        <v>0.37859999999999999</v>
      </c>
      <c r="H330" s="506">
        <f t="shared" si="960"/>
        <v>0.72419999999999995</v>
      </c>
      <c r="I330" s="506">
        <f>+E330</f>
        <v>0.34560000000000002</v>
      </c>
      <c r="J330" s="506"/>
      <c r="K330" s="507">
        <f t="shared" ca="1" si="961"/>
        <v>0.37859999999999999</v>
      </c>
      <c r="L330" s="506">
        <f t="shared" ca="1" si="962"/>
        <v>0.72419999999999995</v>
      </c>
      <c r="M330" s="508">
        <f t="shared" si="963"/>
        <v>242.33666300502347</v>
      </c>
      <c r="N330" s="509">
        <f t="shared" si="964"/>
        <v>83.75155073453611</v>
      </c>
      <c r="O330" s="509">
        <f t="shared" si="965"/>
        <v>0</v>
      </c>
      <c r="P330" s="509">
        <f t="shared" si="966"/>
        <v>175.500211348238</v>
      </c>
      <c r="Q330" s="508">
        <f t="shared" si="967"/>
        <v>140</v>
      </c>
      <c r="R330" s="510">
        <f t="shared" si="968"/>
        <v>0.24171904109305931</v>
      </c>
      <c r="S330" s="510"/>
      <c r="T330" s="510"/>
      <c r="U330" s="510">
        <f t="shared" si="969"/>
        <v>0</v>
      </c>
      <c r="V330" s="510"/>
      <c r="W330" s="510"/>
      <c r="X330" s="510">
        <f t="shared" si="970"/>
        <v>0</v>
      </c>
      <c r="Y330" s="510">
        <f t="shared" si="971"/>
        <v>0.14484</v>
      </c>
      <c r="Z330" s="510">
        <f t="shared" ca="1" si="972"/>
        <v>0</v>
      </c>
      <c r="AA330" s="471">
        <f t="shared" si="744"/>
        <v>3.8</v>
      </c>
      <c r="AB330" s="510">
        <f t="shared" si="973"/>
        <v>0.91853235615362527</v>
      </c>
      <c r="AC330" s="510">
        <f t="shared" si="974"/>
        <v>0.11535225159039116</v>
      </c>
      <c r="AD330" s="510">
        <f t="shared" si="975"/>
        <v>6.9120000000000001E-2</v>
      </c>
      <c r="AE330" s="510">
        <f t="shared" si="976"/>
        <v>0</v>
      </c>
      <c r="AF330" s="510">
        <f t="shared" si="958"/>
        <v>3.8</v>
      </c>
      <c r="AG330" s="510">
        <f t="shared" si="977"/>
        <v>0.43833855604348637</v>
      </c>
      <c r="AH330" s="510">
        <f t="shared" si="978"/>
        <v>0.50745855604348633</v>
      </c>
      <c r="AI330" s="510">
        <f t="shared" ca="1" si="979"/>
        <v>1.5</v>
      </c>
      <c r="AJ330" s="510">
        <f t="shared" si="980"/>
        <v>0.75</v>
      </c>
      <c r="AK330" s="511">
        <f t="shared" si="981"/>
        <v>3.8782460621541143E-2</v>
      </c>
      <c r="AL330" s="510">
        <f t="shared" si="982"/>
        <v>0.62943912303107707</v>
      </c>
      <c r="AM330" s="510">
        <f t="shared" si="983"/>
        <v>332.29733132255711</v>
      </c>
      <c r="AN330" s="513">
        <f>IF(B330=1,IF((0.702*(1.1-$AJ330)*SQRT($CO330))/(($CP330)^(1/3))&lt;5,5,(0.702*(1.1-$AJ330)*SQRT($CO330))/(($CP330)^(1/3))),AP329)</f>
        <v>10.097388888888888</v>
      </c>
      <c r="AO330" s="513">
        <f t="shared" si="984"/>
        <v>0.31319999999999998</v>
      </c>
      <c r="AP330" s="513">
        <f t="shared" si="985"/>
        <v>10.410588888888888</v>
      </c>
      <c r="AQ330" s="514">
        <v>2.5</v>
      </c>
      <c r="AR330" s="513">
        <f t="shared" ca="1" si="986"/>
        <v>0.28919003473890825</v>
      </c>
      <c r="AS330" s="513">
        <f t="shared" ca="1" si="987"/>
        <v>1.0830248707662726</v>
      </c>
      <c r="AT330" s="510" t="str">
        <f t="shared" ca="1" si="988"/>
        <v>Cumple</v>
      </c>
      <c r="AU330" s="533">
        <f t="shared" si="989"/>
        <v>72.286021145054917</v>
      </c>
      <c r="AV330" s="510">
        <f t="shared" ca="1" si="990"/>
        <v>151.47435333694665</v>
      </c>
      <c r="AW330" s="510">
        <f t="shared" ca="1" si="991"/>
        <v>151.47</v>
      </c>
      <c r="AX330" s="516">
        <f>IF(OR(C330="",D330=""),"",ROUND(((VLOOKUP(C330,'Base de Diseño (2)'!$A$2:$C$333,2,FALSE)-VLOOKUP(D330,'Base de Diseño (2)'!$A$2:$C$333,2,FALSE))^2+(VLOOKUP(C330,'Base de Diseño (2)'!$A$2:$C$333,3,0)-VLOOKUP(D330,'Base de Diseño (2)'!$A$2:$C$333,3,FALSE))^2)^0.5,2))</f>
        <v>46.98</v>
      </c>
      <c r="AY330" s="517">
        <v>12</v>
      </c>
      <c r="AZ330" s="518">
        <f ca="1">IF(AND(L330="",H330=""),"",IF(BA330=4,VLOOKUP(AY330,'TABLA (2)'!$A$74:$C$89,2),IF(BA330=5,VLOOKUP(AY330,'TABLA (2)'!$A$51:$B$66,2),IF(BA330=6,VLOOKUP(AY330,'TABLA (2)'!$A$9:$B$43,2)))))</f>
        <v>284</v>
      </c>
      <c r="BA330" s="517">
        <v>4</v>
      </c>
      <c r="BB330" s="516">
        <f>IF(OR(C330="",D330=""),"",VLOOKUP(C330,'Base de Diseño (2)'!$A$2:$D$333,4,FALSE))</f>
        <v>992.64700000000005</v>
      </c>
      <c r="BC330" s="516">
        <f>IF(OR(C330="",D330=""),"",VLOOKUP(D330,'Base de Diseño (2)'!$A$2:$D$342,4,FALSE))</f>
        <v>990.82500000000005</v>
      </c>
      <c r="BD330" s="519">
        <f t="shared" ca="1" si="992"/>
        <v>2.3005000000000226</v>
      </c>
      <c r="BE330" s="519">
        <f t="shared" ca="1" si="993"/>
        <v>1.3904999999999998</v>
      </c>
      <c r="BF330" s="520">
        <v>2.6000000000000227</v>
      </c>
      <c r="BG330" s="520">
        <v>1.69</v>
      </c>
      <c r="BH330" s="521">
        <f t="shared" si="994"/>
        <v>990.04700000000003</v>
      </c>
      <c r="BI330" s="521">
        <f t="shared" si="995"/>
        <v>989.13499999999999</v>
      </c>
      <c r="BJ330" s="506">
        <f>IF(A330="",0,BI330-BH331)</f>
        <v>5.999999999994543E-2</v>
      </c>
      <c r="BK330" s="514">
        <f t="shared" si="996"/>
        <v>3.8782460621541142</v>
      </c>
      <c r="BL330" s="514">
        <f t="shared" si="997"/>
        <v>1.9412515964240837</v>
      </c>
      <c r="BM330" s="514">
        <f t="shared" ca="1" si="998"/>
        <v>2.6544260818079084</v>
      </c>
      <c r="BN330" s="514">
        <f t="shared" ca="1" si="999"/>
        <v>168.15012614050647</v>
      </c>
      <c r="BO330" s="522">
        <f t="shared" ca="1" si="1000"/>
        <v>8.9205999093131694E-3</v>
      </c>
      <c r="BP330" s="523">
        <f t="shared" ca="1" si="1001"/>
        <v>0.90080217884244385</v>
      </c>
      <c r="BQ330" s="524">
        <f t="shared" ca="1" si="1002"/>
        <v>0.2713145922227444</v>
      </c>
      <c r="BR330" s="524">
        <f t="shared" ca="1" si="1003"/>
        <v>1.0200179223192314</v>
      </c>
      <c r="BS330" s="514">
        <f t="shared" ca="1" si="1004"/>
        <v>0.72018452997112981</v>
      </c>
      <c r="BT330" s="514">
        <f t="shared" ca="1" si="1005"/>
        <v>2.707562176915681</v>
      </c>
      <c r="BU330" s="514">
        <f t="shared" ca="1" si="1006"/>
        <v>7.8299210824236909E-2</v>
      </c>
      <c r="BV330" s="514">
        <f t="shared" ca="1" si="1007"/>
        <v>0.8255347859249893</v>
      </c>
      <c r="BW330" s="514">
        <f t="shared" ca="1" si="1008"/>
        <v>1.134426296707161</v>
      </c>
      <c r="BX330" s="514">
        <f t="shared" ca="1" si="1009"/>
        <v>4.5595781308199896</v>
      </c>
      <c r="BY330" s="514">
        <f t="shared" ca="1" si="1010"/>
        <v>5.0275291331839722E-2</v>
      </c>
      <c r="BZ330" s="514">
        <f t="shared" ca="1" si="1011"/>
        <v>0.30419071106727041</v>
      </c>
      <c r="CA330" s="510">
        <f t="shared" ca="1" si="1012"/>
        <v>1.4278182738242481E-2</v>
      </c>
      <c r="CB330" s="510">
        <f t="shared" ca="1" si="1013"/>
        <v>8.6390161943104796E-2</v>
      </c>
      <c r="CC330" s="510">
        <f t="shared" ca="1" si="1014"/>
        <v>1.6970338769384365</v>
      </c>
      <c r="CD330" s="510" t="str">
        <f t="shared" ca="1" si="1015"/>
        <v>F. Supercrítico</v>
      </c>
      <c r="CE330" s="510">
        <f t="shared" ca="1" si="1016"/>
        <v>0.27717545034648011</v>
      </c>
      <c r="CF330" s="510">
        <f t="shared" ca="1" si="1017"/>
        <v>1.6770503978738731</v>
      </c>
      <c r="CG330" s="510" t="str">
        <f t="shared" ca="1" si="1018"/>
        <v>O.K</v>
      </c>
      <c r="CH330" s="510" t="str">
        <f t="shared" ca="1" si="1019"/>
        <v>O.K</v>
      </c>
      <c r="CI330" s="510" t="str">
        <f t="shared" ca="1" si="1020"/>
        <v>OK</v>
      </c>
      <c r="CJ330" s="510" t="str">
        <f t="shared" ca="1" si="1021"/>
        <v>OK</v>
      </c>
      <c r="CK330" s="506">
        <f t="shared" si="1022"/>
        <v>5.999999999994543E-2</v>
      </c>
      <c r="CL330" s="525" t="s">
        <v>2515</v>
      </c>
      <c r="CM330" s="525"/>
      <c r="CN330" s="526" t="str">
        <f t="shared" si="1023"/>
        <v xml:space="preserve"> </v>
      </c>
      <c r="CO330" s="527">
        <f t="shared" si="1024"/>
        <v>46.98</v>
      </c>
      <c r="CP330" s="511">
        <f t="shared" si="1025"/>
        <v>3.8782460621541143E-2</v>
      </c>
      <c r="CQ330" s="525" t="s">
        <v>2508</v>
      </c>
      <c r="CR330" s="522">
        <f t="shared" si="1026"/>
        <v>46.98</v>
      </c>
      <c r="CS330" s="528">
        <v>1.2</v>
      </c>
      <c r="CT330" s="528">
        <v>1.2</v>
      </c>
      <c r="CU330" s="519">
        <f t="shared" si="1027"/>
        <v>46.988851273466985</v>
      </c>
      <c r="CV330" s="529" t="s">
        <v>2509</v>
      </c>
      <c r="CW330" s="530" t="str">
        <f t="shared" ca="1" si="1028"/>
        <v>E2</v>
      </c>
      <c r="CX330" s="522">
        <f ca="1">IF(AND(L330="",H330=""),"",IF(AND(BA330&lt;&gt;4,BA330&lt;&gt;5),VLOOKUP(AY330,'TABLA (2)'!$A$9:$D$43,4),IF(BA330=4,VLOOKUP(AY330,'TABLA (2)'!$A$74:$D$89,4),VLOOKUP(AY330,'TABLA (2)'!$A$51:$D$66,4))))</f>
        <v>1.55E-2</v>
      </c>
      <c r="CY330" s="525"/>
      <c r="CZ330" s="525"/>
      <c r="DA330" s="525"/>
      <c r="DB330" s="531"/>
    </row>
    <row r="331" spans="1:106" s="532" customFormat="1" ht="15" customHeight="1">
      <c r="A331" s="503">
        <f t="shared" si="1029"/>
        <v>226</v>
      </c>
      <c r="B331" s="504"/>
      <c r="C331" s="505" t="s">
        <v>117</v>
      </c>
      <c r="D331" s="505" t="s">
        <v>92</v>
      </c>
      <c r="E331" s="506">
        <v>0.41997420000000002</v>
      </c>
      <c r="F331" s="506"/>
      <c r="G331" s="506">
        <f t="shared" si="959"/>
        <v>0.72419999999999995</v>
      </c>
      <c r="H331" s="506">
        <f t="shared" si="960"/>
        <v>1.1441741999999999</v>
      </c>
      <c r="I331" s="506">
        <f>+E331</f>
        <v>0.41997420000000002</v>
      </c>
      <c r="J331" s="506"/>
      <c r="K331" s="507">
        <f t="shared" ca="1" si="961"/>
        <v>0.72419999999999995</v>
      </c>
      <c r="L331" s="506">
        <f t="shared" ca="1" si="962"/>
        <v>1.1441741999999999</v>
      </c>
      <c r="M331" s="508">
        <f t="shared" si="963"/>
        <v>242.33666300502347</v>
      </c>
      <c r="N331" s="509">
        <f t="shared" si="964"/>
        <v>101.77514617620433</v>
      </c>
      <c r="O331" s="509">
        <f t="shared" si="965"/>
        <v>0</v>
      </c>
      <c r="P331" s="509">
        <f t="shared" si="966"/>
        <v>277.27535752444231</v>
      </c>
      <c r="Q331" s="508">
        <f t="shared" si="967"/>
        <v>140</v>
      </c>
      <c r="R331" s="510">
        <f t="shared" si="968"/>
        <v>0.38189545770148881</v>
      </c>
      <c r="S331" s="510"/>
      <c r="T331" s="510"/>
      <c r="U331" s="510">
        <f t="shared" si="969"/>
        <v>0</v>
      </c>
      <c r="V331" s="510"/>
      <c r="W331" s="510"/>
      <c r="X331" s="510">
        <f t="shared" si="970"/>
        <v>0</v>
      </c>
      <c r="Y331" s="510">
        <f t="shared" si="971"/>
        <v>0.22883483999999998</v>
      </c>
      <c r="Z331" s="510">
        <f t="shared" ca="1" si="972"/>
        <v>0</v>
      </c>
      <c r="AA331" s="471">
        <f t="shared" si="744"/>
        <v>3.8</v>
      </c>
      <c r="AB331" s="510">
        <f t="shared" si="973"/>
        <v>1.4512027392656575</v>
      </c>
      <c r="AC331" s="510">
        <f t="shared" si="974"/>
        <v>0.14017641660842958</v>
      </c>
      <c r="AD331" s="510">
        <f t="shared" si="975"/>
        <v>8.3994840000000015E-2</v>
      </c>
      <c r="AE331" s="510">
        <f t="shared" si="976"/>
        <v>0</v>
      </c>
      <c r="AF331" s="510">
        <f t="shared" si="958"/>
        <v>3.8</v>
      </c>
      <c r="AG331" s="510">
        <f t="shared" si="977"/>
        <v>0.53267038311203241</v>
      </c>
      <c r="AH331" s="510">
        <f t="shared" si="978"/>
        <v>0.61666522311203242</v>
      </c>
      <c r="AI331" s="510">
        <f t="shared" ca="1" si="979"/>
        <v>1.6800375792656574</v>
      </c>
      <c r="AJ331" s="510">
        <f t="shared" si="980"/>
        <v>0.75</v>
      </c>
      <c r="AK331" s="511">
        <f t="shared" si="981"/>
        <v>3.4909783705032039E-2</v>
      </c>
      <c r="AL331" s="510">
        <f t="shared" si="982"/>
        <v>0.62924548918525169</v>
      </c>
      <c r="AM331" s="510">
        <f t="shared" si="983"/>
        <v>328.72819935564638</v>
      </c>
      <c r="AN331" s="513">
        <f>IF(B331=1,IF((0.702*(1.1-$AJ331)*SQRT($CO331))/(($CP331)^(1/3))&lt;5,5,(0.702*(1.1-$AJ331)*SQRT($CO331))/(($CP331)^(1/3))),AP330)</f>
        <v>10.410588888888888</v>
      </c>
      <c r="AO331" s="513">
        <f t="shared" si="984"/>
        <v>0.37179166666666669</v>
      </c>
      <c r="AP331" s="513">
        <f t="shared" si="985"/>
        <v>10.782380555555555</v>
      </c>
      <c r="AQ331" s="514">
        <v>4</v>
      </c>
      <c r="AR331" s="513">
        <f t="shared" ca="1" si="986"/>
        <v>0.33821091982558299</v>
      </c>
      <c r="AS331" s="513">
        <f t="shared" ca="1" si="987"/>
        <v>1.0992893631536245</v>
      </c>
      <c r="AT331" s="510" t="str">
        <f t="shared" ca="1" si="988"/>
        <v>Cumple</v>
      </c>
      <c r="AU331" s="533">
        <f t="shared" si="989"/>
        <v>86.871972628258277</v>
      </c>
      <c r="AV331" s="510">
        <f t="shared" ca="1" si="990"/>
        <v>236.67327608305297</v>
      </c>
      <c r="AW331" s="510">
        <f t="shared" ca="1" si="991"/>
        <v>236.67</v>
      </c>
      <c r="AX331" s="516">
        <f>IF(OR(C331="",D331=""),"",ROUND(((VLOOKUP(C331,'Base de Diseño (2)'!$A$2:$C$333,2,FALSE)-VLOOKUP(D331,'Base de Diseño (2)'!$A$2:$C$333,2,FALSE))^2+(VLOOKUP(C331,'Base de Diseño (2)'!$A$2:$C$333,3,0)-VLOOKUP(D331,'Base de Diseño (2)'!$A$2:$C$333,3,FALSE))^2)^0.5,2))</f>
        <v>89.23</v>
      </c>
      <c r="AY331" s="517">
        <v>12</v>
      </c>
      <c r="AZ331" s="518">
        <f ca="1">IF(AND(L331="",H331=""),"",IF(BA331=4,VLOOKUP(AY331,'TABLA (2)'!$A$74:$C$89,2),IF(BA331=5,VLOOKUP(AY331,'TABLA (2)'!$A$51:$B$66,2),IF(BA331=6,VLOOKUP(AY331,'TABLA (2)'!$A$9:$B$43,2)))))</f>
        <v>284</v>
      </c>
      <c r="BA331" s="517">
        <v>4</v>
      </c>
      <c r="BB331" s="516">
        <f>IF(OR(C331="",D331=""),"",VLOOKUP(C331,'Base de Diseño (2)'!$A$2:$D$333,4,FALSE))</f>
        <v>990.82500000000005</v>
      </c>
      <c r="BC331" s="516">
        <f>IF(OR(C331="",D331=""),"",VLOOKUP(D331,'Base de Diseño (2)'!$A$2:$D$342,4,FALSE))</f>
        <v>987.71</v>
      </c>
      <c r="BD331" s="519">
        <f t="shared" ca="1" si="992"/>
        <v>1.4504999999999999</v>
      </c>
      <c r="BE331" s="519">
        <f t="shared" ca="1" si="993"/>
        <v>3.0505</v>
      </c>
      <c r="BF331" s="520">
        <v>1.75</v>
      </c>
      <c r="BG331" s="520">
        <v>3.35</v>
      </c>
      <c r="BH331" s="521">
        <f t="shared" si="994"/>
        <v>989.07500000000005</v>
      </c>
      <c r="BI331" s="521">
        <f t="shared" si="995"/>
        <v>984.36</v>
      </c>
      <c r="BJ331" s="506">
        <f>IF(A331="",0,BI331-BH332)</f>
        <v>7.999999999992724E-2</v>
      </c>
      <c r="BK331" s="514">
        <f t="shared" si="996"/>
        <v>3.4909783705032038</v>
      </c>
      <c r="BL331" s="514">
        <f t="shared" si="997"/>
        <v>5.2840972767006962</v>
      </c>
      <c r="BM331" s="514">
        <f t="shared" ca="1" si="998"/>
        <v>4.3794051533972365</v>
      </c>
      <c r="BN331" s="514">
        <f t="shared" ca="1" si="999"/>
        <v>277.42250349746973</v>
      </c>
      <c r="BO331" s="522">
        <f t="shared" ca="1" si="1000"/>
        <v>6.0558806804977897E-3</v>
      </c>
      <c r="BP331" s="523">
        <f t="shared" ca="1" si="1001"/>
        <v>0.85310310813397505</v>
      </c>
      <c r="BQ331" s="524">
        <f t="shared" ca="1" si="1002"/>
        <v>0.24239881268255883</v>
      </c>
      <c r="BR331" s="524">
        <f t="shared" ca="1" si="1003"/>
        <v>1.0040535868674973</v>
      </c>
      <c r="BS331" s="514">
        <f t="shared" ca="1" si="1004"/>
        <v>1.0615626094393695</v>
      </c>
      <c r="BT331" s="514">
        <f t="shared" ca="1" si="1005"/>
        <v>4.3971574526144979</v>
      </c>
      <c r="BU331" s="514">
        <f t="shared" ca="1" si="1006"/>
        <v>5.3316207460221421E-2</v>
      </c>
      <c r="BV331" s="514">
        <f t="shared" ca="1" si="1007"/>
        <v>0.79373540545108678</v>
      </c>
      <c r="BW331" s="514">
        <f t="shared" ca="1" si="1008"/>
        <v>0.93202274936739915</v>
      </c>
      <c r="BX331" s="514">
        <f t="shared" ca="1" si="1009"/>
        <v>4.3974524828636845</v>
      </c>
      <c r="BY331" s="514">
        <f t="shared" ca="1" si="1010"/>
        <v>3.4654513799663694E-2</v>
      </c>
      <c r="BZ331" s="514">
        <f t="shared" ca="1" si="1011"/>
        <v>0.30405493605764544</v>
      </c>
      <c r="CA331" s="510">
        <f t="shared" ca="1" si="1012"/>
        <v>9.8418819191044889E-3</v>
      </c>
      <c r="CB331" s="510">
        <f t="shared" ca="1" si="1013"/>
        <v>8.63516018403713E-2</v>
      </c>
      <c r="CC331" s="510">
        <f t="shared" ca="1" si="1014"/>
        <v>2.8983901313793923</v>
      </c>
      <c r="CD331" s="510" t="str">
        <f t="shared" ca="1" si="1015"/>
        <v>F. Supercrítico</v>
      </c>
      <c r="CE331" s="510">
        <f t="shared" ca="1" si="1016"/>
        <v>0.52005461446349843</v>
      </c>
      <c r="CF331" s="510">
        <f t="shared" ca="1" si="1017"/>
        <v>4.562902641234488</v>
      </c>
      <c r="CG331" s="510" t="str">
        <f t="shared" ca="1" si="1018"/>
        <v>O.K</v>
      </c>
      <c r="CH331" s="510" t="str">
        <f t="shared" ca="1" si="1019"/>
        <v>O.K</v>
      </c>
      <c r="CI331" s="510" t="str">
        <f t="shared" ca="1" si="1020"/>
        <v>OK</v>
      </c>
      <c r="CJ331" s="510" t="str">
        <f t="shared" ca="1" si="1021"/>
        <v>OK</v>
      </c>
      <c r="CK331" s="506">
        <f t="shared" si="1022"/>
        <v>7.999999999992724E-2</v>
      </c>
      <c r="CL331" s="525" t="s">
        <v>2515</v>
      </c>
      <c r="CM331" s="525"/>
      <c r="CN331" s="526" t="str">
        <f t="shared" si="1023"/>
        <v xml:space="preserve"> </v>
      </c>
      <c r="CO331" s="527">
        <f t="shared" si="1024"/>
        <v>89.23</v>
      </c>
      <c r="CP331" s="511">
        <f t="shared" si="1025"/>
        <v>3.4909783705032039E-2</v>
      </c>
      <c r="CQ331" s="525" t="s">
        <v>2508</v>
      </c>
      <c r="CR331" s="522">
        <f t="shared" si="1026"/>
        <v>89.23</v>
      </c>
      <c r="CS331" s="528">
        <v>1.2</v>
      </c>
      <c r="CT331" s="528">
        <v>1.2</v>
      </c>
      <c r="CU331" s="519">
        <f t="shared" si="1027"/>
        <v>89.35448575757124</v>
      </c>
      <c r="CV331" s="529" t="s">
        <v>2509</v>
      </c>
      <c r="CW331" s="530" t="str">
        <f t="shared" ca="1" si="1028"/>
        <v>E2</v>
      </c>
      <c r="CX331" s="522">
        <f ca="1">IF(AND(L331="",H331=""),"",IF(AND(BA331&lt;&gt;4,BA331&lt;&gt;5),VLOOKUP(AY331,'TABLA (2)'!$A$9:$D$43,4),IF(BA331=4,VLOOKUP(AY331,'TABLA (2)'!$A$74:$D$89,4),VLOOKUP(AY331,'TABLA (2)'!$A$51:$D$66,4))))</f>
        <v>1.55E-2</v>
      </c>
      <c r="CY331" s="525"/>
      <c r="CZ331" s="525"/>
      <c r="DA331" s="525"/>
      <c r="DB331" s="531"/>
    </row>
    <row r="332" spans="1:106" s="532" customFormat="1" ht="15" customHeight="1">
      <c r="A332" s="503">
        <f t="shared" si="1029"/>
        <v>227</v>
      </c>
      <c r="B332" s="504"/>
      <c r="C332" s="505" t="s">
        <v>92</v>
      </c>
      <c r="D332" s="505" t="s">
        <v>108</v>
      </c>
      <c r="E332" s="506">
        <v>0.37291191750000002</v>
      </c>
      <c r="F332" s="506"/>
      <c r="G332" s="506">
        <f t="shared" si="959"/>
        <v>1.4476741999999998</v>
      </c>
      <c r="H332" s="506">
        <f t="shared" si="960"/>
        <v>1.8205861174999998</v>
      </c>
      <c r="I332" s="506">
        <v>0.37291191749999997</v>
      </c>
      <c r="J332" s="506"/>
      <c r="K332" s="507">
        <f t="shared" ca="1" si="961"/>
        <v>1.4476741999999998</v>
      </c>
      <c r="L332" s="506">
        <f t="shared" ca="1" si="962"/>
        <v>1.8205861174999998</v>
      </c>
      <c r="M332" s="508">
        <f t="shared" si="963"/>
        <v>242.33666300502347</v>
      </c>
      <c r="N332" s="509">
        <f t="shared" si="964"/>
        <v>90.370229681754623</v>
      </c>
      <c r="O332" s="509">
        <f t="shared" si="965"/>
        <v>0</v>
      </c>
      <c r="P332" s="509">
        <f t="shared" si="966"/>
        <v>441.1947644282215</v>
      </c>
      <c r="Q332" s="508">
        <f t="shared" si="967"/>
        <v>140</v>
      </c>
      <c r="R332" s="510">
        <f t="shared" si="968"/>
        <v>0.6076640852657218</v>
      </c>
      <c r="S332" s="510"/>
      <c r="T332" s="510"/>
      <c r="U332" s="510">
        <f t="shared" si="969"/>
        <v>0</v>
      </c>
      <c r="V332" s="510"/>
      <c r="W332" s="510"/>
      <c r="X332" s="510">
        <f t="shared" si="970"/>
        <v>0</v>
      </c>
      <c r="Y332" s="510">
        <f t="shared" si="971"/>
        <v>0.36411722349999998</v>
      </c>
      <c r="Z332" s="510">
        <f t="shared" ca="1" si="972"/>
        <v>0</v>
      </c>
      <c r="AA332" s="471">
        <f t="shared" si="744"/>
        <v>3.8</v>
      </c>
      <c r="AB332" s="510">
        <f t="shared" si="973"/>
        <v>2.3091235240097427</v>
      </c>
      <c r="AC332" s="510">
        <f t="shared" si="974"/>
        <v>0.12446825615889814</v>
      </c>
      <c r="AD332" s="510">
        <f t="shared" si="975"/>
        <v>7.4582383500000002E-2</v>
      </c>
      <c r="AE332" s="510">
        <f t="shared" si="976"/>
        <v>0</v>
      </c>
      <c r="AF332" s="510">
        <f t="shared" si="958"/>
        <v>3.8</v>
      </c>
      <c r="AG332" s="510">
        <f t="shared" si="977"/>
        <v>0.47297937340381291</v>
      </c>
      <c r="AH332" s="510">
        <f t="shared" si="978"/>
        <v>0.54756175690381292</v>
      </c>
      <c r="AI332" s="510">
        <f t="shared" ca="1" si="979"/>
        <v>2.6732407475097428</v>
      </c>
      <c r="AJ332" s="510">
        <f t="shared" si="980"/>
        <v>0.75</v>
      </c>
      <c r="AK332" s="511">
        <f t="shared" si="981"/>
        <v>1.7070012946918192E-2</v>
      </c>
      <c r="AL332" s="510">
        <f t="shared" si="982"/>
        <v>0.62835350064734596</v>
      </c>
      <c r="AM332" s="510">
        <f t="shared" si="983"/>
        <v>324.89350044808759</v>
      </c>
      <c r="AN332" s="513">
        <f>IF(B332=1,IF((0.702*(1.1-$AJ332)*SQRT($CO332))/(($CP332)^(1/3))&lt;5,5,(0.702*(1.1-$AJ332)*SQRT($CO332))/(($CP332)^(1/3))),AP331)</f>
        <v>10.782380555555555</v>
      </c>
      <c r="AO332" s="513">
        <f t="shared" si="984"/>
        <v>0.4081707317073171</v>
      </c>
      <c r="AP332" s="513">
        <f t="shared" si="985"/>
        <v>11.190551287262872</v>
      </c>
      <c r="AQ332" s="514">
        <v>4.0999999999999996</v>
      </c>
      <c r="AR332" s="513">
        <f t="shared" ca="1" si="986"/>
        <v>0.42234354394764023</v>
      </c>
      <c r="AS332" s="513">
        <f t="shared" ca="1" si="987"/>
        <v>0.96644245557100261</v>
      </c>
      <c r="AT332" s="510" t="str">
        <f t="shared" ca="1" si="988"/>
        <v>Cumple</v>
      </c>
      <c r="AU332" s="533">
        <f t="shared" si="989"/>
        <v>76.129210328937276</v>
      </c>
      <c r="AV332" s="510">
        <f t="shared" ca="1" si="990"/>
        <v>371.66895708314502</v>
      </c>
      <c r="AW332" s="510">
        <f t="shared" ca="1" si="991"/>
        <v>371.67</v>
      </c>
      <c r="AX332" s="516">
        <f>IF(OR(C332="",D332=""),"",ROUND(((VLOOKUP(C332,'Base de Diseño (2)'!$A$2:$C$333,2,FALSE)-VLOOKUP(D332,'Base de Diseño (2)'!$A$2:$C$333,2,FALSE))^2+(VLOOKUP(C332,'Base de Diseño (2)'!$A$2:$C$333,3,0)-VLOOKUP(D332,'Base de Diseño (2)'!$A$2:$C$333,3,FALSE))^2)^0.5,2))</f>
        <v>100.41</v>
      </c>
      <c r="AY332" s="517">
        <v>16</v>
      </c>
      <c r="AZ332" s="518">
        <f ca="1">IF(AND(L332="",H332=""),"",IF(BA332=4,VLOOKUP(AY332,'TABLA (2)'!$A$74:$C$89,2),IF(BA332=5,VLOOKUP(AY332,'TABLA (2)'!$A$51:$B$66,2),IF(BA332=6,VLOOKUP(AY332,'TABLA (2)'!$A$9:$B$43,2)))))</f>
        <v>362</v>
      </c>
      <c r="BA332" s="517">
        <v>4</v>
      </c>
      <c r="BB332" s="516">
        <f>IF(OR(C332="",D332=""),"",VLOOKUP(C332,'Base de Diseño (2)'!$A$2:$D$333,4,FALSE))</f>
        <v>987.71</v>
      </c>
      <c r="BC332" s="516">
        <f>IF(OR(C332="",D332=""),"",VLOOKUP(D332,'Base de Diseño (2)'!$A$2:$D$342,4,FALSE))</f>
        <v>985.99599999999998</v>
      </c>
      <c r="BD332" s="519">
        <f t="shared" ca="1" si="992"/>
        <v>3.0490000000000004</v>
      </c>
      <c r="BE332" s="519">
        <f t="shared" ca="1" si="993"/>
        <v>4.2789999999999999</v>
      </c>
      <c r="BF332" s="520">
        <v>3.43</v>
      </c>
      <c r="BG332" s="520">
        <v>4.66</v>
      </c>
      <c r="BH332" s="521">
        <f t="shared" si="994"/>
        <v>984.28000000000009</v>
      </c>
      <c r="BI332" s="521">
        <f t="shared" si="995"/>
        <v>981.33600000000001</v>
      </c>
      <c r="BJ332" s="506">
        <f>IF(A332="",0,BI332-BH339)</f>
        <v>0.13999999999998636</v>
      </c>
      <c r="BK332" s="514">
        <f t="shared" si="996"/>
        <v>1.7070012946918192</v>
      </c>
      <c r="BL332" s="514">
        <f t="shared" si="997"/>
        <v>2.9319788865651568</v>
      </c>
      <c r="BM332" s="514">
        <f t="shared" ca="1" si="998"/>
        <v>3.8350435139344468</v>
      </c>
      <c r="BN332" s="514">
        <f t="shared" ca="1" si="999"/>
        <v>394.70926293336208</v>
      </c>
      <c r="BO332" s="522">
        <f t="shared" ca="1" si="1000"/>
        <v>6.7726830823351116E-3</v>
      </c>
      <c r="BP332" s="523">
        <f t="shared" ca="1" si="1001"/>
        <v>0.94162978907021055</v>
      </c>
      <c r="BQ332" s="524">
        <f t="shared" ca="1" si="1002"/>
        <v>0.25041817222353802</v>
      </c>
      <c r="BR332" s="524">
        <f t="shared" ca="1" si="1003"/>
        <v>1.0332122838877495</v>
      </c>
      <c r="BS332" s="514">
        <f t="shared" ca="1" si="1004"/>
        <v>0.96036458715719875</v>
      </c>
      <c r="BT332" s="514">
        <f t="shared" ca="1" si="1005"/>
        <v>3.9624140678411104</v>
      </c>
      <c r="BU332" s="514">
        <f t="shared" ca="1" si="1006"/>
        <v>6.0531662149394982E-2</v>
      </c>
      <c r="BV332" s="514">
        <f t="shared" ca="1" si="1007"/>
        <v>0.85275319274486128</v>
      </c>
      <c r="BW332" s="514">
        <f t="shared" ca="1" si="1008"/>
        <v>0.99433641220247138</v>
      </c>
      <c r="BX332" s="514">
        <f t="shared" ca="1" si="1009"/>
        <v>4.7078674849120681</v>
      </c>
      <c r="BY332" s="514">
        <f t="shared" ca="1" si="1010"/>
        <v>3.920679013642947E-2</v>
      </c>
      <c r="BZ332" s="514">
        <f t="shared" ca="1" si="1011"/>
        <v>0.30310205635893328</v>
      </c>
      <c r="CA332" s="510">
        <f t="shared" ca="1" si="1012"/>
        <v>1.4192858029387467E-2</v>
      </c>
      <c r="CB332" s="510">
        <f t="shared" ca="1" si="1013"/>
        <v>0.10972294440193385</v>
      </c>
      <c r="CC332" s="510">
        <f t="shared" ca="1" si="1014"/>
        <v>2.0956165393163331</v>
      </c>
      <c r="CD332" s="510" t="str">
        <f t="shared" ca="1" si="1015"/>
        <v>F. Supercrítico</v>
      </c>
      <c r="CE332" s="510">
        <f t="shared" ca="1" si="1016"/>
        <v>0.41613160082180811</v>
      </c>
      <c r="CF332" s="510">
        <f t="shared" ca="1" si="1017"/>
        <v>3.2170535635823261</v>
      </c>
      <c r="CG332" s="510" t="str">
        <f t="shared" ca="1" si="1018"/>
        <v>O.K</v>
      </c>
      <c r="CH332" s="510" t="str">
        <f t="shared" ca="1" si="1019"/>
        <v>O.K</v>
      </c>
      <c r="CI332" s="510" t="str">
        <f t="shared" ca="1" si="1020"/>
        <v>OK</v>
      </c>
      <c r="CJ332" s="510" t="str">
        <f t="shared" ca="1" si="1021"/>
        <v>OK</v>
      </c>
      <c r="CK332" s="506">
        <f t="shared" si="1022"/>
        <v>0.13999999999998636</v>
      </c>
      <c r="CL332" s="525" t="s">
        <v>2515</v>
      </c>
      <c r="CM332" s="525"/>
      <c r="CN332" s="526" t="str">
        <f t="shared" si="1023"/>
        <v xml:space="preserve"> </v>
      </c>
      <c r="CO332" s="527">
        <f t="shared" si="1024"/>
        <v>100.41</v>
      </c>
      <c r="CP332" s="511">
        <f t="shared" si="1025"/>
        <v>1.7070012946918192E-2</v>
      </c>
      <c r="CQ332" s="525" t="s">
        <v>2508</v>
      </c>
      <c r="CR332" s="522">
        <f t="shared" si="1026"/>
        <v>100.41</v>
      </c>
      <c r="CS332" s="528">
        <v>1.2</v>
      </c>
      <c r="CT332" s="528">
        <v>1.5</v>
      </c>
      <c r="CU332" s="519">
        <f t="shared" si="1027"/>
        <v>100.45314945784428</v>
      </c>
      <c r="CV332" s="529" t="s">
        <v>2509</v>
      </c>
      <c r="CW332" s="530" t="str">
        <f t="shared" ca="1" si="1028"/>
        <v>E3</v>
      </c>
      <c r="CX332" s="522">
        <f ca="1">IF(AND(L332="",H332=""),"",IF(AND(BA332&lt;&gt;4,BA332&lt;&gt;5),VLOOKUP(AY332,'TABLA (2)'!$A$9:$D$43,4),IF(BA332=4,VLOOKUP(AY332,'TABLA (2)'!$A$74:$D$89,4),VLOOKUP(AY332,'TABLA (2)'!$A$51:$D$66,4))))</f>
        <v>1.9E-2</v>
      </c>
      <c r="CY332" s="525"/>
      <c r="CZ332" s="525"/>
      <c r="DA332" s="525"/>
      <c r="DB332" s="531"/>
    </row>
    <row r="333" spans="1:106" s="562" customFormat="1" ht="15" customHeight="1">
      <c r="A333" s="563">
        <f t="shared" si="1029"/>
        <v>228</v>
      </c>
      <c r="B333" s="535">
        <v>1</v>
      </c>
      <c r="C333" s="536" t="s">
        <v>2321</v>
      </c>
      <c r="D333" s="536" t="s">
        <v>104</v>
      </c>
      <c r="E333" s="1377">
        <v>0.19918451279999999</v>
      </c>
      <c r="F333" s="537"/>
      <c r="G333" s="537">
        <f t="shared" si="959"/>
        <v>0</v>
      </c>
      <c r="H333" s="537">
        <f t="shared" si="960"/>
        <v>0.19918451279999999</v>
      </c>
      <c r="I333" s="537">
        <v>0.19918451279999999</v>
      </c>
      <c r="J333" s="537"/>
      <c r="K333" s="538">
        <f t="shared" si="961"/>
        <v>0</v>
      </c>
      <c r="L333" s="537">
        <f t="shared" si="962"/>
        <v>0.19918451279999999</v>
      </c>
      <c r="M333" s="539">
        <f t="shared" si="963"/>
        <v>242.33666300502347</v>
      </c>
      <c r="N333" s="540">
        <f t="shared" si="964"/>
        <v>48.26971015423338</v>
      </c>
      <c r="O333" s="540">
        <f t="shared" si="965"/>
        <v>0</v>
      </c>
      <c r="P333" s="540">
        <f t="shared" si="966"/>
        <v>48.26971015423338</v>
      </c>
      <c r="Q333" s="540">
        <f t="shared" si="967"/>
        <v>140</v>
      </c>
      <c r="R333" s="541">
        <f t="shared" si="968"/>
        <v>6.6482586902242735E-2</v>
      </c>
      <c r="S333" s="541"/>
      <c r="T333" s="541"/>
      <c r="U333" s="541">
        <f t="shared" si="969"/>
        <v>0</v>
      </c>
      <c r="V333" s="541"/>
      <c r="W333" s="541"/>
      <c r="X333" s="541">
        <f t="shared" si="970"/>
        <v>0</v>
      </c>
      <c r="Y333" s="541">
        <f t="shared" si="971"/>
        <v>3.9836902559999998E-2</v>
      </c>
      <c r="Z333" s="541">
        <f t="shared" si="972"/>
        <v>0</v>
      </c>
      <c r="AA333" s="471">
        <f t="shared" si="744"/>
        <v>3.8</v>
      </c>
      <c r="AB333" s="541">
        <f t="shared" si="973"/>
        <v>0.25263383022852237</v>
      </c>
      <c r="AC333" s="541">
        <f t="shared" si="974"/>
        <v>6.6482586902242735E-2</v>
      </c>
      <c r="AD333" s="541">
        <f t="shared" si="975"/>
        <v>3.9836902559999998E-2</v>
      </c>
      <c r="AE333" s="541">
        <f t="shared" si="976"/>
        <v>0</v>
      </c>
      <c r="AF333" s="541">
        <f t="shared" si="958"/>
        <v>3.8</v>
      </c>
      <c r="AG333" s="541">
        <f t="shared" si="977"/>
        <v>0.25263383022852237</v>
      </c>
      <c r="AH333" s="541">
        <f t="shared" si="978"/>
        <v>0.29247073278852237</v>
      </c>
      <c r="AI333" s="541">
        <f t="shared" si="979"/>
        <v>1.5</v>
      </c>
      <c r="AJ333" s="541">
        <f t="shared" si="980"/>
        <v>0.75</v>
      </c>
      <c r="AK333" s="542">
        <f t="shared" si="981"/>
        <v>4.0129449838189696E-2</v>
      </c>
      <c r="AL333" s="541">
        <f t="shared" si="982"/>
        <v>0.6295064724919095</v>
      </c>
      <c r="AM333" s="543">
        <f t="shared" si="983"/>
        <v>336.32613267542746</v>
      </c>
      <c r="AN333" s="544">
        <f>IF(B333=1,IF((0.702*(1.1-$AJ333)*SQRT($CO333))/(($CP333)^(1/3))&lt;5,5,(0.702*(1.1-$AJ333)*SQRT($CO333))/(($CP333)^(1/3))),AP305)</f>
        <v>5</v>
      </c>
      <c r="AO333" s="544">
        <f t="shared" si="984"/>
        <v>0.26779999999999998</v>
      </c>
      <c r="AP333" s="544">
        <f t="shared" si="985"/>
        <v>10</v>
      </c>
      <c r="AQ333" s="545">
        <v>2.5</v>
      </c>
      <c r="AR333" s="544">
        <f t="shared" si="986"/>
        <v>0.25709801231709312</v>
      </c>
      <c r="AS333" s="544">
        <f t="shared" si="987"/>
        <v>1.0416261004371652</v>
      </c>
      <c r="AT333" s="541" t="str">
        <f t="shared" si="988"/>
        <v>Cumple</v>
      </c>
      <c r="AU333" s="546">
        <f t="shared" si="989"/>
        <v>42.171240953670775</v>
      </c>
      <c r="AV333" s="541">
        <f t="shared" si="990"/>
        <v>42.171240953670775</v>
      </c>
      <c r="AW333" s="541">
        <f t="shared" si="991"/>
        <v>42.17</v>
      </c>
      <c r="AX333" s="541">
        <f>IF(OR(C333="",D333=""),"",ROUND(((VLOOKUP(C333,'Base de Diseño (2)'!$A$2:$C$333,2,FALSE)-VLOOKUP(D333,'Base de Diseño (2)'!$A$2:$C$333,2,FALSE))^2+(VLOOKUP(C333,'Base de Diseño (2)'!$A$2:$C$333,3,0)-VLOOKUP(D333,'Base de Diseño (2)'!$A$2:$C$333,3,FALSE))^2)^0.5,2))</f>
        <v>40.17</v>
      </c>
      <c r="AY333" s="548">
        <v>12</v>
      </c>
      <c r="AZ333" s="549">
        <f>IF(AND(L333="",H333=""),"",IF(BA333=4,VLOOKUP(AY333,'TABLA (2)'!$A$74:$C$89,2),IF(BA333=5,VLOOKUP(AY333,'TABLA (2)'!$A$51:$B$66,2),IF(BA333=6,VLOOKUP(AY333,'TABLA (2)'!$A$9:$B$43,2)))))</f>
        <v>284</v>
      </c>
      <c r="BA333" s="548">
        <v>4</v>
      </c>
      <c r="BB333" s="547">
        <f>IF(OR(C333="",D333=""),"",VLOOKUP(C333,'Base de Diseño (2)'!$A$2:$D$330,4,FALSE))</f>
        <v>990.30600000000004</v>
      </c>
      <c r="BC333" s="547">
        <f>IF(OR(C333="",D333=""),"",VLOOKUP(D333,'Base de Diseño (2)'!$A$2:$D$342,4,FALSE))</f>
        <v>988.69399999999996</v>
      </c>
      <c r="BD333" s="550">
        <f t="shared" si="992"/>
        <v>1.3005000000000226</v>
      </c>
      <c r="BE333" s="550">
        <f t="shared" si="993"/>
        <v>1.7004999999999999</v>
      </c>
      <c r="BF333" s="1376">
        <v>1.6000000000000227</v>
      </c>
      <c r="BG333" s="1376">
        <v>2</v>
      </c>
      <c r="BH333" s="552">
        <f t="shared" si="994"/>
        <v>988.70600000000002</v>
      </c>
      <c r="BI333" s="552">
        <f t="shared" si="995"/>
        <v>986.69399999999996</v>
      </c>
      <c r="BJ333" s="537">
        <f>IF(A333="",0,BI333-BH334)</f>
        <v>0.17999999999994998</v>
      </c>
      <c r="BK333" s="545">
        <f t="shared" si="996"/>
        <v>4.0129449838189695</v>
      </c>
      <c r="BL333" s="545">
        <f t="shared" si="997"/>
        <v>5.0087129698781609</v>
      </c>
      <c r="BM333" s="545">
        <f t="shared" si="998"/>
        <v>4.2637604356879244</v>
      </c>
      <c r="BN333" s="545">
        <f t="shared" si="999"/>
        <v>270.09674897615349</v>
      </c>
      <c r="BO333" s="553">
        <f t="shared" si="1000"/>
        <v>5.5535655489597664E-3</v>
      </c>
      <c r="BP333" s="564">
        <f t="shared" si="1001"/>
        <v>0.15612923946642224</v>
      </c>
      <c r="BQ333" s="554">
        <f t="shared" si="1002"/>
        <v>0.23636828000468929</v>
      </c>
      <c r="BR333" s="554">
        <f t="shared" si="1003"/>
        <v>0.61074380007299056</v>
      </c>
      <c r="BS333" s="545">
        <f t="shared" si="1004"/>
        <v>1.0078177205355994</v>
      </c>
      <c r="BT333" s="545">
        <f t="shared" si="1005"/>
        <v>2.604065251092913</v>
      </c>
      <c r="BU333" s="545">
        <f t="shared" si="1006"/>
        <v>4.7731175002079962E-2</v>
      </c>
      <c r="BV333" s="545">
        <f t="shared" si="1007"/>
        <v>0.31294252136295275</v>
      </c>
      <c r="BW333" s="545">
        <f t="shared" si="1008"/>
        <v>0.88100436408196448</v>
      </c>
      <c r="BX333" s="545">
        <f t="shared" si="1009"/>
        <v>2.3747081625090734</v>
      </c>
      <c r="BY333" s="545">
        <f t="shared" si="1010"/>
        <v>3.1108229078159966E-2</v>
      </c>
      <c r="BZ333" s="545">
        <f t="shared" si="1011"/>
        <v>0.17694942291995816</v>
      </c>
      <c r="CA333" s="541">
        <f t="shared" si="1012"/>
        <v>8.83473705819743E-3</v>
      </c>
      <c r="CB333" s="541">
        <f t="shared" si="1013"/>
        <v>5.0253636109268113E-2</v>
      </c>
      <c r="CC333" s="541">
        <f t="shared" si="1014"/>
        <v>3.2777279056165454</v>
      </c>
      <c r="CD333" s="541" t="str">
        <f t="shared" si="1015"/>
        <v>F. Supercrítico</v>
      </c>
      <c r="CE333" s="541">
        <f t="shared" si="1016"/>
        <v>0.44250662088856701</v>
      </c>
      <c r="CF333" s="541">
        <f t="shared" si="1017"/>
        <v>2.5170603896402866</v>
      </c>
      <c r="CG333" s="541" t="str">
        <f t="shared" si="1018"/>
        <v>O.K</v>
      </c>
      <c r="CH333" s="541" t="str">
        <f t="shared" si="1019"/>
        <v>O.K</v>
      </c>
      <c r="CI333" s="541" t="str">
        <f t="shared" si="1020"/>
        <v>OK</v>
      </c>
      <c r="CJ333" s="541" t="str">
        <f t="shared" si="1021"/>
        <v>OK</v>
      </c>
      <c r="CK333" s="537">
        <f t="shared" si="1022"/>
        <v>0.17999999999994998</v>
      </c>
      <c r="CL333" s="555" t="s">
        <v>2507</v>
      </c>
      <c r="CM333" s="555"/>
      <c r="CN333" s="556" t="str">
        <f t="shared" si="1023"/>
        <v>dato</v>
      </c>
      <c r="CO333" s="553">
        <f t="shared" si="1024"/>
        <v>40.17</v>
      </c>
      <c r="CP333" s="553">
        <f t="shared" si="1025"/>
        <v>4.0129449838189696E-2</v>
      </c>
      <c r="CQ333" s="555" t="s">
        <v>2508</v>
      </c>
      <c r="CR333" s="553">
        <f t="shared" si="1026"/>
        <v>40.17</v>
      </c>
      <c r="CS333" s="558">
        <v>1.2</v>
      </c>
      <c r="CT333" s="558">
        <v>1.2</v>
      </c>
      <c r="CU333" s="550">
        <f t="shared" si="1027"/>
        <v>40.220356089920443</v>
      </c>
      <c r="CV333" s="559" t="s">
        <v>2509</v>
      </c>
      <c r="CW333" s="560" t="str">
        <f t="shared" si="1028"/>
        <v>E2</v>
      </c>
      <c r="CX333" s="553">
        <f>IF(AND(L333="",H333=""),"",IF(AND(BA333&lt;&gt;4,BA333&lt;&gt;5),VLOOKUP(AY333,'TABLA (2)'!$A$9:$D$43,4),IF(BA333=4,VLOOKUP(AY333,'TABLA (2)'!$A$74:$D$89,4),VLOOKUP(AY333,'TABLA (2)'!$A$51:$D$66,4))))</f>
        <v>1.55E-2</v>
      </c>
      <c r="CY333" s="555"/>
      <c r="CZ333" s="555"/>
      <c r="DA333" s="555"/>
      <c r="DB333" s="561"/>
    </row>
    <row r="334" spans="1:106" s="562" customFormat="1" ht="15" customHeight="1">
      <c r="A334" s="563">
        <f t="shared" si="1029"/>
        <v>229</v>
      </c>
      <c r="B334" s="535"/>
      <c r="C334" s="536" t="s">
        <v>104</v>
      </c>
      <c r="D334" s="536" t="s">
        <v>2320</v>
      </c>
      <c r="E334" s="1377">
        <v>0.16598790129999999</v>
      </c>
      <c r="F334" s="537"/>
      <c r="G334" s="537">
        <f t="shared" si="959"/>
        <v>0.19918451279999999</v>
      </c>
      <c r="H334" s="537">
        <f t="shared" si="960"/>
        <v>0.36517241410000001</v>
      </c>
      <c r="I334" s="537">
        <v>0.16598790129999999</v>
      </c>
      <c r="J334" s="537"/>
      <c r="K334" s="538">
        <f t="shared" ca="1" si="961"/>
        <v>0.19918451279999999</v>
      </c>
      <c r="L334" s="537">
        <f t="shared" ca="1" si="962"/>
        <v>0.36517241410000001</v>
      </c>
      <c r="M334" s="539">
        <f t="shared" si="963"/>
        <v>242.33666300502347</v>
      </c>
      <c r="N334" s="540">
        <f t="shared" si="964"/>
        <v>40.224954100249192</v>
      </c>
      <c r="O334" s="540">
        <f t="shared" si="965"/>
        <v>0</v>
      </c>
      <c r="P334" s="540">
        <f t="shared" si="966"/>
        <v>88.494664254482586</v>
      </c>
      <c r="Q334" s="540">
        <f t="shared" si="967"/>
        <v>140</v>
      </c>
      <c r="R334" s="541">
        <f t="shared" si="968"/>
        <v>0.12188501210976188</v>
      </c>
      <c r="S334" s="541"/>
      <c r="T334" s="541"/>
      <c r="U334" s="541">
        <f t="shared" si="969"/>
        <v>0</v>
      </c>
      <c r="V334" s="541"/>
      <c r="W334" s="541"/>
      <c r="X334" s="541">
        <f t="shared" si="970"/>
        <v>0</v>
      </c>
      <c r="Y334" s="541">
        <f t="shared" si="971"/>
        <v>7.303448282000001E-2</v>
      </c>
      <c r="Z334" s="541">
        <f t="shared" ca="1" si="972"/>
        <v>0</v>
      </c>
      <c r="AA334" s="471">
        <f t="shared" si="744"/>
        <v>3.8</v>
      </c>
      <c r="AB334" s="541">
        <f t="shared" si="973"/>
        <v>0.46316304601709513</v>
      </c>
      <c r="AC334" s="541">
        <f t="shared" si="974"/>
        <v>5.5402425207519139E-2</v>
      </c>
      <c r="AD334" s="541">
        <f t="shared" si="975"/>
        <v>3.3197580259999998E-2</v>
      </c>
      <c r="AE334" s="541">
        <f t="shared" si="976"/>
        <v>0</v>
      </c>
      <c r="AF334" s="541">
        <f t="shared" si="958"/>
        <v>3.8</v>
      </c>
      <c r="AG334" s="541">
        <f t="shared" si="977"/>
        <v>0.21052921578857273</v>
      </c>
      <c r="AH334" s="541">
        <f t="shared" si="978"/>
        <v>0.24372679604857272</v>
      </c>
      <c r="AI334" s="541">
        <f t="shared" ca="1" si="979"/>
        <v>1.5</v>
      </c>
      <c r="AJ334" s="541">
        <f t="shared" si="980"/>
        <v>0.75</v>
      </c>
      <c r="AK334" s="542">
        <f t="shared" si="981"/>
        <v>7.7540578687367356E-2</v>
      </c>
      <c r="AL334" s="541">
        <f t="shared" si="982"/>
        <v>0.63137702893436842</v>
      </c>
      <c r="AM334" s="543">
        <f t="shared" si="983"/>
        <v>333.6673031183841</v>
      </c>
      <c r="AN334" s="544">
        <f>IF(B334=1,IF((0.702*(1.1-$AJ334)*SQRT($CO334))/(($CP334)^(1/3))&lt;5,5,(0.702*(1.1-$AJ334)*SQRT($CO334))/(($CP334)^(1/3))),AP333)</f>
        <v>10</v>
      </c>
      <c r="AO334" s="544">
        <f t="shared" si="984"/>
        <v>0.26990476190476193</v>
      </c>
      <c r="AP334" s="544">
        <f t="shared" si="985"/>
        <v>10.269904761904762</v>
      </c>
      <c r="AQ334" s="545">
        <v>3.5</v>
      </c>
      <c r="AR334" s="544">
        <f t="shared" ca="1" si="986"/>
        <v>0.27151878250249994</v>
      </c>
      <c r="AS334" s="544">
        <f t="shared" ca="1" si="987"/>
        <v>0.99405558398994676</v>
      </c>
      <c r="AT334" s="541" t="str">
        <f t="shared" ca="1" si="988"/>
        <v>Cumple</v>
      </c>
      <c r="AU334" s="546">
        <f t="shared" si="989"/>
        <v>34.968649670678992</v>
      </c>
      <c r="AV334" s="541">
        <f t="shared" ca="1" si="990"/>
        <v>76.930825186950059</v>
      </c>
      <c r="AW334" s="541">
        <f t="shared" ca="1" si="991"/>
        <v>76.930000000000007</v>
      </c>
      <c r="AX334" s="541">
        <f>IF(OR(C334="",D334=""),"",ROUND(((VLOOKUP(C334,'Base de Diseño (2)'!$A$2:$C$333,2,FALSE)-VLOOKUP(D334,'Base de Diseño (2)'!$A$2:$C$333,2,FALSE))^2+(VLOOKUP(C334,'Base de Diseño (2)'!$A$2:$C$333,3,0)-VLOOKUP(D334,'Base de Diseño (2)'!$A$2:$C$333,3,FALSE))^2)^0.5,2))</f>
        <v>56.68</v>
      </c>
      <c r="AY334" s="548">
        <v>12</v>
      </c>
      <c r="AZ334" s="549">
        <f ca="1">IF(AND(L334="",H334=""),"",IF(BA334=4,VLOOKUP(AY334,'TABLA (2)'!$A$74:$C$89,2),IF(BA334=5,VLOOKUP(AY334,'TABLA (2)'!$A$51:$B$66,2),IF(BA334=6,VLOOKUP(AY334,'TABLA (2)'!$A$9:$B$43,2)))))</f>
        <v>284</v>
      </c>
      <c r="BA334" s="548">
        <v>4</v>
      </c>
      <c r="BB334" s="547">
        <f>IF(OR(C334="",D334=""),"",VLOOKUP(C334,'Base de Diseño (2)'!$A$2:$D$330,4,FALSE))</f>
        <v>988.69399999999996</v>
      </c>
      <c r="BC334" s="547">
        <f>IF(OR(C334="",D334=""),"",VLOOKUP(D334,'Base de Diseño (2)'!$A$2:$D$342,4,FALSE))</f>
        <v>984.29899999999998</v>
      </c>
      <c r="BD334" s="550">
        <f t="shared" ca="1" si="992"/>
        <v>1.8805000000000001</v>
      </c>
      <c r="BE334" s="550">
        <f t="shared" ca="1" si="993"/>
        <v>1.4504999999999999</v>
      </c>
      <c r="BF334" s="1376">
        <v>2.1800000000000002</v>
      </c>
      <c r="BG334" s="1376">
        <v>1.75</v>
      </c>
      <c r="BH334" s="552">
        <f t="shared" si="994"/>
        <v>986.51400000000001</v>
      </c>
      <c r="BI334" s="552">
        <f t="shared" si="995"/>
        <v>982.54899999999998</v>
      </c>
      <c r="BJ334" s="537">
        <f>IF(A334="",0,BI334-BH335)</f>
        <v>1.999999999998181E-2</v>
      </c>
      <c r="BK334" s="545">
        <f t="shared" si="996"/>
        <v>7.7540578687367354</v>
      </c>
      <c r="BL334" s="545">
        <f t="shared" si="997"/>
        <v>6.9954128440367542</v>
      </c>
      <c r="BM334" s="545">
        <f t="shared" ca="1" si="998"/>
        <v>5.0389076399358181</v>
      </c>
      <c r="BN334" s="545">
        <f t="shared" ca="1" si="999"/>
        <v>319.20005649149027</v>
      </c>
      <c r="BO334" s="553">
        <f t="shared" ca="1" si="1000"/>
        <v>4.6992472886357066E-3</v>
      </c>
      <c r="BP334" s="564">
        <f t="shared" ca="1" si="1001"/>
        <v>0.24100872927649661</v>
      </c>
      <c r="BQ334" s="554">
        <f t="shared" ca="1" si="1002"/>
        <v>0.22515553813654482</v>
      </c>
      <c r="BR334" s="554">
        <f t="shared" ca="1" si="1003"/>
        <v>0.69046602807133983</v>
      </c>
      <c r="BS334" s="545">
        <f t="shared" ca="1" si="1004"/>
        <v>1.1345379612900961</v>
      </c>
      <c r="BT334" s="545">
        <f t="shared" ca="1" si="1005"/>
        <v>3.4791945439648133</v>
      </c>
      <c r="BU334" s="545">
        <f t="shared" ca="1" si="1006"/>
        <v>3.6957235728244164E-2</v>
      </c>
      <c r="BV334" s="545">
        <f t="shared" ca="1" si="1007"/>
        <v>0.38567248619236472</v>
      </c>
      <c r="BW334" s="545">
        <f t="shared" ca="1" si="1008"/>
        <v>0.77378764606690664</v>
      </c>
      <c r="BX334" s="545">
        <f t="shared" ca="1" si="1009"/>
        <v>2.6802008846268448</v>
      </c>
      <c r="BY334" s="545">
        <f t="shared" ca="1" si="1010"/>
        <v>2.4211492733683893E-2</v>
      </c>
      <c r="BZ334" s="545">
        <f t="shared" ca="1" si="1011"/>
        <v>0.20847374937421692</v>
      </c>
      <c r="CA334" s="541">
        <f t="shared" ca="1" si="1012"/>
        <v>6.8760639363662258E-3</v>
      </c>
      <c r="CB334" s="541">
        <f t="shared" ca="1" si="1013"/>
        <v>5.9206544822277607E-2</v>
      </c>
      <c r="CC334" s="541">
        <f t="shared" ca="1" si="1014"/>
        <v>3.8909919278957705</v>
      </c>
      <c r="CD334" s="541" t="str">
        <f t="shared" ca="1" si="1015"/>
        <v>F. Supercrítico</v>
      </c>
      <c r="CE334" s="541">
        <f t="shared" ca="1" si="1016"/>
        <v>0.48100905976874214</v>
      </c>
      <c r="CF334" s="541">
        <f t="shared" ca="1" si="1017"/>
        <v>4.1417422410079858</v>
      </c>
      <c r="CG334" s="541" t="str">
        <f t="shared" ca="1" si="1018"/>
        <v>O.K</v>
      </c>
      <c r="CH334" s="541" t="str">
        <f t="shared" ca="1" si="1019"/>
        <v>O.K</v>
      </c>
      <c r="CI334" s="541" t="str">
        <f t="shared" ca="1" si="1020"/>
        <v>OK</v>
      </c>
      <c r="CJ334" s="541" t="str">
        <f t="shared" ca="1" si="1021"/>
        <v>OK</v>
      </c>
      <c r="CK334" s="537">
        <f t="shared" si="1022"/>
        <v>1.999999999998181E-2</v>
      </c>
      <c r="CL334" s="555" t="s">
        <v>2507</v>
      </c>
      <c r="CM334" s="555"/>
      <c r="CN334" s="556" t="str">
        <f t="shared" si="1023"/>
        <v xml:space="preserve"> </v>
      </c>
      <c r="CO334" s="553">
        <f t="shared" si="1024"/>
        <v>56.68</v>
      </c>
      <c r="CP334" s="553">
        <f t="shared" si="1025"/>
        <v>7.7540578687367356E-2</v>
      </c>
      <c r="CQ334" s="555" t="s">
        <v>2508</v>
      </c>
      <c r="CR334" s="553">
        <f t="shared" si="1026"/>
        <v>56.68</v>
      </c>
      <c r="CS334" s="558">
        <v>1.2</v>
      </c>
      <c r="CT334" s="558">
        <v>1.2</v>
      </c>
      <c r="CU334" s="550">
        <f t="shared" si="1027"/>
        <v>56.818514808115147</v>
      </c>
      <c r="CV334" s="559" t="s">
        <v>2509</v>
      </c>
      <c r="CW334" s="560" t="str">
        <f t="shared" ca="1" si="1028"/>
        <v>E2</v>
      </c>
      <c r="CX334" s="553">
        <f ca="1">IF(AND(L334="",H334=""),"",IF(AND(BA334&lt;&gt;4,BA334&lt;&gt;5),VLOOKUP(AY334,'TABLA (2)'!$A$9:$D$43,4),IF(BA334=4,VLOOKUP(AY334,'TABLA (2)'!$A$74:$D$89,4),VLOOKUP(AY334,'TABLA (2)'!$A$51:$D$66,4))))</f>
        <v>1.55E-2</v>
      </c>
      <c r="CY334" s="555"/>
      <c r="CZ334" s="555"/>
      <c r="DA334" s="555"/>
      <c r="DB334" s="561"/>
    </row>
    <row r="335" spans="1:106" s="562" customFormat="1" ht="15" customHeight="1">
      <c r="A335" s="563">
        <f t="shared" si="1029"/>
        <v>230</v>
      </c>
      <c r="B335" s="535"/>
      <c r="C335" s="536" t="s">
        <v>2320</v>
      </c>
      <c r="D335" s="536" t="s">
        <v>73</v>
      </c>
      <c r="E335" s="1377">
        <v>0.37331449999999999</v>
      </c>
      <c r="F335" s="537"/>
      <c r="G335" s="537">
        <f t="shared" si="959"/>
        <v>0.36517241410000001</v>
      </c>
      <c r="H335" s="537">
        <f t="shared" si="960"/>
        <v>0.7384869141</v>
      </c>
      <c r="I335" s="537">
        <v>0.37331449999999999</v>
      </c>
      <c r="J335" s="537"/>
      <c r="K335" s="538">
        <f t="shared" ca="1" si="961"/>
        <v>0.36517241410000001</v>
      </c>
      <c r="L335" s="537">
        <f t="shared" ca="1" si="962"/>
        <v>0.7384869141</v>
      </c>
      <c r="M335" s="539">
        <f t="shared" si="963"/>
        <v>242.33666300502347</v>
      </c>
      <c r="N335" s="540">
        <f t="shared" si="964"/>
        <v>90.467790181388835</v>
      </c>
      <c r="O335" s="540">
        <f t="shared" si="965"/>
        <v>0</v>
      </c>
      <c r="P335" s="540">
        <f t="shared" si="966"/>
        <v>178.96245443587142</v>
      </c>
      <c r="Q335" s="540">
        <f t="shared" si="967"/>
        <v>140</v>
      </c>
      <c r="R335" s="541">
        <f t="shared" si="968"/>
        <v>0.24648763979014698</v>
      </c>
      <c r="S335" s="541"/>
      <c r="T335" s="541"/>
      <c r="U335" s="541">
        <f t="shared" si="969"/>
        <v>0</v>
      </c>
      <c r="V335" s="541"/>
      <c r="W335" s="541"/>
      <c r="X335" s="541">
        <f t="shared" si="970"/>
        <v>0</v>
      </c>
      <c r="Y335" s="541">
        <f t="shared" si="971"/>
        <v>0.14769738282</v>
      </c>
      <c r="Z335" s="541">
        <f t="shared" ca="1" si="972"/>
        <v>0</v>
      </c>
      <c r="AA335" s="471">
        <f t="shared" si="744"/>
        <v>3.8</v>
      </c>
      <c r="AB335" s="541">
        <f t="shared" si="973"/>
        <v>0.93665303120255849</v>
      </c>
      <c r="AC335" s="541">
        <f t="shared" si="974"/>
        <v>0.12460262768038509</v>
      </c>
      <c r="AD335" s="541">
        <f t="shared" si="975"/>
        <v>7.4662900000000004E-2</v>
      </c>
      <c r="AE335" s="541">
        <f t="shared" si="976"/>
        <v>0</v>
      </c>
      <c r="AF335" s="541">
        <f t="shared" si="958"/>
        <v>3.8</v>
      </c>
      <c r="AG335" s="541">
        <f t="shared" si="977"/>
        <v>0.47348998518546331</v>
      </c>
      <c r="AH335" s="541">
        <f t="shared" si="978"/>
        <v>0.54815288518546335</v>
      </c>
      <c r="AI335" s="541">
        <f t="shared" ca="1" si="979"/>
        <v>1.5</v>
      </c>
      <c r="AJ335" s="541">
        <f t="shared" si="980"/>
        <v>0.75</v>
      </c>
      <c r="AK335" s="542">
        <f t="shared" si="981"/>
        <v>1.1593172119488687E-2</v>
      </c>
      <c r="AL335" s="541">
        <f t="shared" si="982"/>
        <v>0.62807965860597448</v>
      </c>
      <c r="AM335" s="543">
        <f t="shared" si="983"/>
        <v>330.26447989105873</v>
      </c>
      <c r="AN335" s="544">
        <f>IF(B335=1,IF((0.702*(1.1-$AJ335)*SQRT($CO335))/(($CP335)^(1/3))&lt;5,5,(0.702*(1.1-$AJ335)*SQRT($CO335))/(($CP335)^(1/3))),AP334)</f>
        <v>10.269904761904762</v>
      </c>
      <c r="AO335" s="544">
        <f t="shared" si="984"/>
        <v>0.35149999999999998</v>
      </c>
      <c r="AP335" s="544">
        <f t="shared" si="985"/>
        <v>10.621404761904762</v>
      </c>
      <c r="AQ335" s="545">
        <v>2</v>
      </c>
      <c r="AR335" s="544">
        <f t="shared" ca="1" si="986"/>
        <v>0.35854328603562935</v>
      </c>
      <c r="AS335" s="544">
        <f t="shared" ca="1" si="987"/>
        <v>0.98035582784576403</v>
      </c>
      <c r="AT335" s="541" t="str">
        <f t="shared" ca="1" si="988"/>
        <v>Cumple</v>
      </c>
      <c r="AU335" s="546">
        <f t="shared" si="989"/>
        <v>77.437523354171347</v>
      </c>
      <c r="AV335" s="541">
        <f t="shared" ca="1" si="990"/>
        <v>153.18611427460942</v>
      </c>
      <c r="AW335" s="541">
        <f t="shared" ca="1" si="991"/>
        <v>153.19</v>
      </c>
      <c r="AX335" s="541">
        <f>IF(OR(C335="",D335=""),"",ROUND(((VLOOKUP(C335,'Base de Diseño (2)'!$A$2:$C$333,2,FALSE)-VLOOKUP(D335,'Base de Diseño (2)'!$A$2:$C$333,2,FALSE))^2+(VLOOKUP(C335,'Base de Diseño (2)'!$A$2:$C$333,3,0)-VLOOKUP(D335,'Base de Diseño (2)'!$A$2:$C$333,3,FALSE))^2)^0.5,2))</f>
        <v>42.18</v>
      </c>
      <c r="AY335" s="548">
        <v>14</v>
      </c>
      <c r="AZ335" s="549">
        <f ca="1">IF(AND(L335="",H335=""),"",IF(BA335=4,VLOOKUP(AY335,'TABLA (2)'!$A$74:$C$89,2),IF(BA335=5,VLOOKUP(AY335,'TABLA (2)'!$A$51:$B$66,2),IF(BA335=6,VLOOKUP(AY335,'TABLA (2)'!$A$9:$B$43,2)))))</f>
        <v>327</v>
      </c>
      <c r="BA335" s="548">
        <v>4</v>
      </c>
      <c r="BB335" s="547">
        <f>IF(OR(C335="",D335=""),"",VLOOKUP(C335,'Base de Diseño (2)'!$A$2:$D$330,4,FALSE))</f>
        <v>984.29899999999998</v>
      </c>
      <c r="BC335" s="547">
        <f>IF(OR(C335="",D335=""),"",VLOOKUP(D335,'Base de Diseño (2)'!$A$2:$D$342,4,FALSE))</f>
        <v>984.78800000000001</v>
      </c>
      <c r="BD335" s="550">
        <f t="shared" ca="1" si="992"/>
        <v>1.429</v>
      </c>
      <c r="BE335" s="550">
        <f t="shared" ca="1" si="993"/>
        <v>2.2589999999999999</v>
      </c>
      <c r="BF335" s="1376">
        <v>1.77</v>
      </c>
      <c r="BG335" s="1376">
        <v>2.6</v>
      </c>
      <c r="BH335" s="552">
        <f t="shared" si="994"/>
        <v>982.529</v>
      </c>
      <c r="BI335" s="552">
        <f t="shared" si="995"/>
        <v>982.18799999999999</v>
      </c>
      <c r="BJ335" s="537">
        <f>IF(A335="",0,BI335-BH336)</f>
        <v>2.9999999999972715E-2</v>
      </c>
      <c r="BK335" s="545">
        <f t="shared" si="996"/>
        <v>1.1593172119488686</v>
      </c>
      <c r="BL335" s="545">
        <f t="shared" si="997"/>
        <v>0.8084400189663542</v>
      </c>
      <c r="BM335" s="545">
        <f t="shared" ca="1" si="998"/>
        <v>1.8817989992795898</v>
      </c>
      <c r="BN335" s="545">
        <f t="shared" ca="1" si="999"/>
        <v>158.0369428722239</v>
      </c>
      <c r="BO335" s="553">
        <f t="shared" ca="1" si="1000"/>
        <v>9.4914516361707946E-3</v>
      </c>
      <c r="BP335" s="564">
        <f t="shared" ca="1" si="1001"/>
        <v>0.96933031743000264</v>
      </c>
      <c r="BQ335" s="554">
        <f t="shared" ca="1" si="1002"/>
        <v>0.27625549882925987</v>
      </c>
      <c r="BR335" s="554">
        <f t="shared" ca="1" si="1003"/>
        <v>1.0419346893276851</v>
      </c>
      <c r="BS335" s="545">
        <f t="shared" ca="1" si="1004"/>
        <v>0.51985732124238515</v>
      </c>
      <c r="BT335" s="545">
        <f t="shared" ca="1" si="1005"/>
        <v>1.9607116556915281</v>
      </c>
      <c r="BU335" s="545">
        <f t="shared" ca="1" si="1006"/>
        <v>8.2300040496331495E-2</v>
      </c>
      <c r="BV335" s="545">
        <f t="shared" ca="1" si="1007"/>
        <v>0.87122021165231267</v>
      </c>
      <c r="BW335" s="545">
        <f t="shared" ca="1" si="1008"/>
        <v>1.163872690115286</v>
      </c>
      <c r="BX335" s="545">
        <f t="shared" ca="1" si="1009"/>
        <v>4.8150045394067265</v>
      </c>
      <c r="BY335" s="545">
        <f t="shared" ca="1" si="1010"/>
        <v>5.2739862362072509E-2</v>
      </c>
      <c r="BZ335" s="545">
        <f t="shared" ca="1" si="1011"/>
        <v>0.30164790779308243</v>
      </c>
      <c r="CA335" s="541">
        <f t="shared" ca="1" si="1012"/>
        <v>1.724593499239771E-2</v>
      </c>
      <c r="CB335" s="541">
        <f t="shared" ca="1" si="1013"/>
        <v>9.8638865848337962E-2</v>
      </c>
      <c r="CC335" s="541">
        <f t="shared" ca="1" si="1014"/>
        <v>1.0514309319295141</v>
      </c>
      <c r="CD335" s="541" t="str">
        <f t="shared" ca="1" si="1015"/>
        <v>F. Supercrítico Inestable</v>
      </c>
      <c r="CE335" s="541">
        <f t="shared" ca="1" si="1016"/>
        <v>0.13942304012346515</v>
      </c>
      <c r="CF335" s="541">
        <f t="shared" ca="1" si="1017"/>
        <v>0.79743606577250004</v>
      </c>
      <c r="CG335" s="541" t="str">
        <f t="shared" ca="1" si="1018"/>
        <v>O.K</v>
      </c>
      <c r="CH335" s="541" t="str">
        <f t="shared" ca="1" si="1019"/>
        <v>O.K</v>
      </c>
      <c r="CI335" s="541" t="str">
        <f t="shared" ca="1" si="1020"/>
        <v>OK</v>
      </c>
      <c r="CJ335" s="541" t="str">
        <f t="shared" ca="1" si="1021"/>
        <v>OK</v>
      </c>
      <c r="CK335" s="537">
        <f t="shared" si="1022"/>
        <v>2.9999999999972715E-2</v>
      </c>
      <c r="CL335" s="555" t="s">
        <v>2507</v>
      </c>
      <c r="CM335" s="555"/>
      <c r="CN335" s="556" t="str">
        <f t="shared" si="1023"/>
        <v xml:space="preserve"> </v>
      </c>
      <c r="CO335" s="553">
        <f t="shared" si="1024"/>
        <v>42.18</v>
      </c>
      <c r="CP335" s="553">
        <f t="shared" si="1025"/>
        <v>1.1593172119488687E-2</v>
      </c>
      <c r="CQ335" s="555" t="s">
        <v>2508</v>
      </c>
      <c r="CR335" s="553">
        <f t="shared" si="1026"/>
        <v>42.18</v>
      </c>
      <c r="CS335" s="558">
        <v>1.2</v>
      </c>
      <c r="CT335" s="558">
        <v>1.2</v>
      </c>
      <c r="CU335" s="550">
        <f t="shared" si="1027"/>
        <v>42.181378367711027</v>
      </c>
      <c r="CV335" s="559" t="s">
        <v>2509</v>
      </c>
      <c r="CW335" s="560" t="str">
        <f t="shared" ca="1" si="1028"/>
        <v>E2</v>
      </c>
      <c r="CX335" s="553">
        <f ca="1">IF(AND(L335="",H335=""),"",IF(AND(BA335&lt;&gt;4,BA335&lt;&gt;5),VLOOKUP(AY335,'TABLA (2)'!$A$9:$D$43,4),IF(BA335=4,VLOOKUP(AY335,'TABLA (2)'!$A$74:$D$89,4),VLOOKUP(AY335,'TABLA (2)'!$A$51:$D$66,4))))</f>
        <v>1.4E-2</v>
      </c>
      <c r="CY335" s="555"/>
      <c r="CZ335" s="555"/>
      <c r="DA335" s="555"/>
      <c r="DB335" s="561"/>
    </row>
    <row r="336" spans="1:106" s="562" customFormat="1" ht="15" customHeight="1">
      <c r="A336" s="563">
        <f t="shared" si="1029"/>
        <v>231</v>
      </c>
      <c r="B336" s="535"/>
      <c r="C336" s="536" t="s">
        <v>73</v>
      </c>
      <c r="D336" s="536" t="s">
        <v>2325</v>
      </c>
      <c r="E336" s="1377">
        <v>3.26059E-2</v>
      </c>
      <c r="F336" s="537"/>
      <c r="G336" s="537">
        <f t="shared" si="959"/>
        <v>1.6734788311000002</v>
      </c>
      <c r="H336" s="537">
        <f t="shared" si="960"/>
        <v>1.7060847311000003</v>
      </c>
      <c r="I336" s="537">
        <v>3.26059E-2</v>
      </c>
      <c r="J336" s="537"/>
      <c r="K336" s="538">
        <f t="shared" ca="1" si="961"/>
        <v>1.6734788311000002</v>
      </c>
      <c r="L336" s="537">
        <f t="shared" ca="1" si="962"/>
        <v>1.7060847311000003</v>
      </c>
      <c r="M336" s="539">
        <f t="shared" si="963"/>
        <v>242.33666300502347</v>
      </c>
      <c r="N336" s="540">
        <f t="shared" si="964"/>
        <v>7.9016050002754943</v>
      </c>
      <c r="O336" s="540">
        <f t="shared" si="965"/>
        <v>0</v>
      </c>
      <c r="P336" s="540">
        <f t="shared" si="966"/>
        <v>413.44688053859682</v>
      </c>
      <c r="Q336" s="540">
        <f t="shared" si="967"/>
        <v>140</v>
      </c>
      <c r="R336" s="541">
        <f t="shared" si="968"/>
        <v>0.56944651370478028</v>
      </c>
      <c r="S336" s="541"/>
      <c r="T336" s="541"/>
      <c r="U336" s="541">
        <f t="shared" si="969"/>
        <v>0</v>
      </c>
      <c r="V336" s="541"/>
      <c r="W336" s="541"/>
      <c r="X336" s="541">
        <f t="shared" si="970"/>
        <v>0</v>
      </c>
      <c r="Y336" s="541">
        <f t="shared" si="971"/>
        <v>0.34121694622000009</v>
      </c>
      <c r="Z336" s="541">
        <f t="shared" ca="1" si="972"/>
        <v>0</v>
      </c>
      <c r="AA336" s="471">
        <f t="shared" si="744"/>
        <v>3.8</v>
      </c>
      <c r="AB336" s="541">
        <f t="shared" si="973"/>
        <v>2.1638967520781649</v>
      </c>
      <c r="AC336" s="541">
        <f t="shared" si="974"/>
        <v>1.0882997627694256E-2</v>
      </c>
      <c r="AD336" s="541">
        <f t="shared" si="975"/>
        <v>6.5211800000000006E-3</v>
      </c>
      <c r="AE336" s="541">
        <f t="shared" si="976"/>
        <v>0</v>
      </c>
      <c r="AF336" s="541">
        <f t="shared" si="958"/>
        <v>3.8</v>
      </c>
      <c r="AG336" s="541">
        <f t="shared" si="977"/>
        <v>4.1355390985238175E-2</v>
      </c>
      <c r="AH336" s="541">
        <f t="shared" si="978"/>
        <v>4.7876570985238176E-2</v>
      </c>
      <c r="AI336" s="541">
        <f t="shared" ca="1" si="979"/>
        <v>2.5051136982981648</v>
      </c>
      <c r="AJ336" s="541">
        <f t="shared" si="980"/>
        <v>0.75</v>
      </c>
      <c r="AK336" s="542">
        <f t="shared" si="981"/>
        <v>2.6782334384859507E-2</v>
      </c>
      <c r="AL336" s="541">
        <f t="shared" si="982"/>
        <v>0.62883911671924309</v>
      </c>
      <c r="AM336" s="543">
        <f t="shared" si="983"/>
        <v>327.47351236376733</v>
      </c>
      <c r="AN336" s="544">
        <f>IF(B336=1,IF((0.702*(1.1-$AJ336)*SQRT($CO336))/(($CP336)^(1/3))&lt;5,5,(0.702*(1.1-$AJ336)*SQRT($CO336))/(($CP336)^(1/3))),AP335)</f>
        <v>10.621404761904762</v>
      </c>
      <c r="AO336" s="544">
        <f t="shared" si="984"/>
        <v>0.29351851851851851</v>
      </c>
      <c r="AP336" s="544">
        <f t="shared" si="985"/>
        <v>10.914923280423281</v>
      </c>
      <c r="AQ336" s="545">
        <v>1.8</v>
      </c>
      <c r="AR336" s="544">
        <f t="shared" ca="1" si="986"/>
        <v>0.31934560897266023</v>
      </c>
      <c r="AS336" s="544">
        <f t="shared" ca="1" si="987"/>
        <v>0.91912495513175252</v>
      </c>
      <c r="AT336" s="541" t="str">
        <f t="shared" ca="1" si="988"/>
        <v>Cumple</v>
      </c>
      <c r="AU336" s="546">
        <f t="shared" si="989"/>
        <v>6.7144728051093701</v>
      </c>
      <c r="AV336" s="541">
        <f t="shared" ca="1" si="990"/>
        <v>351.33087969303978</v>
      </c>
      <c r="AW336" s="541">
        <f t="shared" ca="1" si="991"/>
        <v>351.33</v>
      </c>
      <c r="AX336" s="541">
        <f>IF(OR(C336="",D336=""),"",ROUND(((VLOOKUP(C336,'Base de Diseño (2)'!$A$2:$C$333,2,FALSE)-VLOOKUP(D336,'Base de Diseño (2)'!$A$2:$C$333,2,FALSE))^2+(VLOOKUP(C336,'Base de Diseño (2)'!$A$2:$C$333,3,0)-VLOOKUP(D336,'Base de Diseño (2)'!$A$2:$C$333,3,FALSE))^2)^0.5,2))</f>
        <v>31.7</v>
      </c>
      <c r="AY336" s="548">
        <v>27</v>
      </c>
      <c r="AZ336" s="549">
        <f ca="1">IF(AND(L336="",H336=""),"",IF(BA336=4,VLOOKUP(AY336,'TABLA (2)'!$A$74:$C$89,2),IF(BA336=5,VLOOKUP(AY336,'TABLA (2)'!$A$51:$B$66,2),IF(BA336=6,VLOOKUP(AY336,'TABLA (2)'!$A$9:$B$43,2)))))</f>
        <v>670</v>
      </c>
      <c r="BA336" s="548">
        <v>4</v>
      </c>
      <c r="BB336" s="547">
        <f>IF(OR(C336="",D336=""),"",VLOOKUP(C336,'Base de Diseño (2)'!$A$2:$D$330,4,FALSE))</f>
        <v>984.78800000000001</v>
      </c>
      <c r="BC336" s="547">
        <f>IF(OR(C336="",D336=""),"",VLOOKUP(D336,'Base de Diseño (2)'!$A$2:$D$342,4,FALSE))</f>
        <v>983.93899999999996</v>
      </c>
      <c r="BD336" s="550">
        <f t="shared" ca="1" si="992"/>
        <v>1.9299999999999997</v>
      </c>
      <c r="BE336" s="550">
        <f t="shared" ca="1" si="993"/>
        <v>1.181</v>
      </c>
      <c r="BF336" s="1376">
        <v>2.63</v>
      </c>
      <c r="BG336" s="1376">
        <v>1.881</v>
      </c>
      <c r="BH336" s="552">
        <f t="shared" si="994"/>
        <v>982.15800000000002</v>
      </c>
      <c r="BI336" s="552">
        <f t="shared" si="995"/>
        <v>982.05799999999999</v>
      </c>
      <c r="BJ336" s="537">
        <f>IF(A336="",0,BI336-BH338)</f>
        <v>0.26599999999996271</v>
      </c>
      <c r="BK336" s="545">
        <f t="shared" si="996"/>
        <v>2.6782334384859507</v>
      </c>
      <c r="BL336" s="545">
        <f t="shared" si="997"/>
        <v>0.31545741324928306</v>
      </c>
      <c r="BM336" s="545">
        <f t="shared" ca="1" si="998"/>
        <v>1.8962884523238135</v>
      </c>
      <c r="BN336" s="545">
        <f t="shared" ca="1" si="999"/>
        <v>668.56538486261138</v>
      </c>
      <c r="BO336" s="553">
        <f t="shared" ca="1" si="1000"/>
        <v>3.746998805229738E-3</v>
      </c>
      <c r="BP336" s="564">
        <f t="shared" ca="1" si="1001"/>
        <v>0.52549834010954288</v>
      </c>
      <c r="BQ336" s="554">
        <f t="shared" ca="1" si="1002"/>
        <v>0.21079933195341957</v>
      </c>
      <c r="BR336" s="554">
        <f t="shared" ca="1" si="1003"/>
        <v>0.87245424988468057</v>
      </c>
      <c r="BS336" s="545">
        <f t="shared" ca="1" si="1004"/>
        <v>0.39973633894084382</v>
      </c>
      <c r="BT336" s="545">
        <f t="shared" ca="1" si="1005"/>
        <v>1.6544249192371545</v>
      </c>
      <c r="BU336" s="545">
        <f t="shared" ca="1" si="1006"/>
        <v>2.2351394966992122E-2</v>
      </c>
      <c r="BV336" s="545">
        <f t="shared" ca="1" si="1007"/>
        <v>0.57533222675721185</v>
      </c>
      <c r="BW336" s="545">
        <f t="shared" ca="1" si="1008"/>
        <v>0.60026577285594218</v>
      </c>
      <c r="BX336" s="545">
        <f t="shared" ca="1" si="1009"/>
        <v>3.4440733821187761</v>
      </c>
      <c r="BY336" s="545">
        <f t="shared" ca="1" si="1010"/>
        <v>1.4745121745564055E-2</v>
      </c>
      <c r="BZ336" s="545">
        <f t="shared" ca="1" si="1011"/>
        <v>0.27162332159814384</v>
      </c>
      <c r="CA336" s="541">
        <f t="shared" ca="1" si="1012"/>
        <v>9.8792315695279166E-3</v>
      </c>
      <c r="CB336" s="541">
        <f t="shared" ca="1" si="1013"/>
        <v>0.18198762547075636</v>
      </c>
      <c r="CC336" s="541">
        <f t="shared" ca="1" si="1014"/>
        <v>0.93816111661360568</v>
      </c>
      <c r="CD336" s="541" t="str">
        <f t="shared" ca="1" si="1015"/>
        <v>F. Subcrítico Inestable</v>
      </c>
      <c r="CE336" s="541">
        <f t="shared" ca="1" si="1016"/>
        <v>3.1164768358139309E-2</v>
      </c>
      <c r="CF336" s="541">
        <f t="shared" ca="1" si="1017"/>
        <v>0.57409345574384141</v>
      </c>
      <c r="CG336" s="541" t="str">
        <f t="shared" ca="1" si="1018"/>
        <v>No cumple</v>
      </c>
      <c r="CH336" s="541" t="str">
        <f t="shared" ca="1" si="1019"/>
        <v>O.K</v>
      </c>
      <c r="CI336" s="541" t="str">
        <f t="shared" ca="1" si="1020"/>
        <v>V.C.H.</v>
      </c>
      <c r="CJ336" s="541" t="str">
        <f t="shared" ca="1" si="1021"/>
        <v>OK</v>
      </c>
      <c r="CK336" s="537">
        <f t="shared" si="1022"/>
        <v>0.26599999999996271</v>
      </c>
      <c r="CL336" s="555" t="s">
        <v>2507</v>
      </c>
      <c r="CM336" s="555"/>
      <c r="CN336" s="556" t="str">
        <f t="shared" si="1023"/>
        <v xml:space="preserve"> </v>
      </c>
      <c r="CO336" s="553">
        <f t="shared" si="1024"/>
        <v>31.7</v>
      </c>
      <c r="CP336" s="553">
        <f t="shared" si="1025"/>
        <v>2.6782334384859507E-2</v>
      </c>
      <c r="CQ336" s="555" t="s">
        <v>2508</v>
      </c>
      <c r="CR336" s="553">
        <f t="shared" si="1026"/>
        <v>31.7</v>
      </c>
      <c r="CS336" s="558">
        <v>1.5</v>
      </c>
      <c r="CT336" s="558">
        <v>1.5</v>
      </c>
      <c r="CU336" s="550">
        <f t="shared" si="1027"/>
        <v>31.700157728314224</v>
      </c>
      <c r="CV336" s="559" t="s">
        <v>2509</v>
      </c>
      <c r="CW336" s="560" t="str">
        <f t="shared" ca="1" si="1028"/>
        <v>E2</v>
      </c>
      <c r="CX336" s="553">
        <f ca="1">IF(AND(L336="",H336=""),"",IF(AND(BA336&lt;&gt;4,BA336&lt;&gt;5),VLOOKUP(AY336,'TABLA (2)'!$A$9:$D$43,4),IF(BA336=4,VLOOKUP(AY336,'TABLA (2)'!$A$74:$D$89,4),VLOOKUP(AY336,'TABLA (2)'!$A$51:$D$66,4))))</f>
        <v>0.03</v>
      </c>
      <c r="CY336" s="555"/>
      <c r="CZ336" s="555"/>
      <c r="DA336" s="555"/>
      <c r="DB336" s="561"/>
    </row>
    <row r="337" spans="1:106" s="562" customFormat="1" ht="15" customHeight="1">
      <c r="A337" s="563">
        <f t="shared" si="1029"/>
        <v>232</v>
      </c>
      <c r="B337" s="535"/>
      <c r="C337" s="536" t="str">
        <f>+D336</f>
        <v>C191B</v>
      </c>
      <c r="D337" s="536" t="s">
        <v>80</v>
      </c>
      <c r="E337" s="1377">
        <v>0.3991401</v>
      </c>
      <c r="F337" s="537"/>
      <c r="G337" s="537">
        <f t="shared" si="959"/>
        <v>1.7060847311000003</v>
      </c>
      <c r="H337" s="537">
        <f t="shared" si="960"/>
        <v>2.1052248311000001</v>
      </c>
      <c r="I337" s="537">
        <v>0.3991401</v>
      </c>
      <c r="J337" s="537"/>
      <c r="K337" s="538">
        <f t="shared" ca="1" si="961"/>
        <v>1.7060847311000003</v>
      </c>
      <c r="L337" s="537">
        <f t="shared" ca="1" si="962"/>
        <v>2.1052248311000001</v>
      </c>
      <c r="M337" s="539">
        <f t="shared" si="963"/>
        <v>242.33666300502347</v>
      </c>
      <c r="N337" s="540">
        <f t="shared" si="964"/>
        <v>96.726279905491367</v>
      </c>
      <c r="O337" s="540">
        <f t="shared" si="965"/>
        <v>0</v>
      </c>
      <c r="P337" s="540">
        <f t="shared" si="966"/>
        <v>510.17316044408818</v>
      </c>
      <c r="Q337" s="540">
        <f t="shared" si="967"/>
        <v>140</v>
      </c>
      <c r="R337" s="541">
        <f t="shared" si="968"/>
        <v>0.70266905200053809</v>
      </c>
      <c r="S337" s="541"/>
      <c r="T337" s="541"/>
      <c r="U337" s="541">
        <f t="shared" si="969"/>
        <v>0</v>
      </c>
      <c r="V337" s="541"/>
      <c r="W337" s="541"/>
      <c r="X337" s="541">
        <f t="shared" si="970"/>
        <v>0</v>
      </c>
      <c r="Y337" s="541">
        <f t="shared" si="971"/>
        <v>0.42104496622000004</v>
      </c>
      <c r="Z337" s="541">
        <f t="shared" ca="1" si="972"/>
        <v>0</v>
      </c>
      <c r="AA337" s="471">
        <f t="shared" si="744"/>
        <v>3.8</v>
      </c>
      <c r="AB337" s="541">
        <f t="shared" si="973"/>
        <v>2.6701423976020444</v>
      </c>
      <c r="AC337" s="541">
        <f t="shared" si="974"/>
        <v>0.13322253829575778</v>
      </c>
      <c r="AD337" s="541">
        <f t="shared" si="975"/>
        <v>7.982802E-2</v>
      </c>
      <c r="AE337" s="541">
        <f t="shared" si="976"/>
        <v>0</v>
      </c>
      <c r="AF337" s="541">
        <f t="shared" si="958"/>
        <v>3.8</v>
      </c>
      <c r="AG337" s="541">
        <f t="shared" si="977"/>
        <v>0.50624564552387952</v>
      </c>
      <c r="AH337" s="541">
        <f t="shared" si="978"/>
        <v>0.58607366552387952</v>
      </c>
      <c r="AI337" s="541">
        <f t="shared" ca="1" si="979"/>
        <v>3.0911873638220446</v>
      </c>
      <c r="AJ337" s="541">
        <f t="shared" si="980"/>
        <v>0.75</v>
      </c>
      <c r="AK337" s="542">
        <f t="shared" si="981"/>
        <v>2.939599209709404E-2</v>
      </c>
      <c r="AL337" s="541">
        <f t="shared" si="982"/>
        <v>0.62896979960485477</v>
      </c>
      <c r="AM337" s="543">
        <f t="shared" si="983"/>
        <v>321.70984533407227</v>
      </c>
      <c r="AN337" s="544">
        <f>IF(B337=1,IF((0.702*(1.1-$AJ337)*SQRT($CO337))/(($CP337)^(1/3))&lt;5,5,(0.702*(1.1-$AJ337)*SQRT($CO337))/(($CP337)^(1/3))),AP336)</f>
        <v>10.914923280423281</v>
      </c>
      <c r="AO337" s="544">
        <f t="shared" si="984"/>
        <v>0.62157894736842112</v>
      </c>
      <c r="AP337" s="544">
        <f t="shared" si="985"/>
        <v>11.536502227791702</v>
      </c>
      <c r="AQ337" s="545">
        <v>1.9</v>
      </c>
      <c r="AR337" s="544">
        <f t="shared" ca="1" si="986"/>
        <v>0.67506086224722928</v>
      </c>
      <c r="AS337" s="544">
        <f t="shared" ca="1" si="987"/>
        <v>0.92077467696650239</v>
      </c>
      <c r="AT337" s="541" t="str">
        <f t="shared" ca="1" si="988"/>
        <v>Cumple</v>
      </c>
      <c r="AU337" s="546">
        <f t="shared" si="989"/>
        <v>80.764313646672221</v>
      </c>
      <c r="AV337" s="541">
        <f t="shared" ca="1" si="990"/>
        <v>425.9833541047941</v>
      </c>
      <c r="AW337" s="541">
        <f t="shared" ca="1" si="991"/>
        <v>425.98</v>
      </c>
      <c r="AX337" s="541">
        <f>IF(OR(C337="",D337=""),"",ROUND(((VLOOKUP(C337,'Base de Diseño (2)'!$A$2:$C$333,2,FALSE)-VLOOKUP(D337,'Base de Diseño (2)'!$A$2:$C$333,2,FALSE))^2+(VLOOKUP(C337,'Base de Diseño (2)'!$A$2:$C$333,3,0)-VLOOKUP(D337,'Base de Diseño (2)'!$A$2:$C$333,3,FALSE))^2)^0.5,2))</f>
        <v>70.86</v>
      </c>
      <c r="AY337" s="548">
        <v>28</v>
      </c>
      <c r="AZ337" s="549">
        <f ca="1">IF(AND(L337="",H337=""),"",IF(BA337=4,VLOOKUP(AY337,'TABLA (2)'!$A$74:$C$89,2),IF(BA337=5,VLOOKUP(AY337,'TABLA (2)'!$A$51:$B$66,2),IF(BA337=6,VLOOKUP(AY337,'TABLA (2)'!$A$9:$B$43,2)))))</f>
        <v>625.79999999999995</v>
      </c>
      <c r="BA337" s="548">
        <v>5</v>
      </c>
      <c r="BB337" s="547">
        <f>IF(OR(C337="",D337=""),"",VLOOKUP(C337,'Base de Diseño (2)'!$A$2:$D$330,4,FALSE))</f>
        <v>983.93899999999996</v>
      </c>
      <c r="BC337" s="547">
        <f>IF(OR(C337="",D337=""),"",VLOOKUP(D337,'Base de Diseño (2)'!$A$2:$D$342,4,FALSE))</f>
        <v>986.02200000000005</v>
      </c>
      <c r="BD337" s="550">
        <f t="shared" ca="1" si="992"/>
        <v>1.2321</v>
      </c>
      <c r="BE337" s="550">
        <f t="shared" ca="1" si="993"/>
        <v>3.5341</v>
      </c>
      <c r="BF337" s="1376">
        <v>1.9</v>
      </c>
      <c r="BG337" s="1376">
        <v>4.202</v>
      </c>
      <c r="BH337" s="552">
        <f t="shared" si="994"/>
        <v>982.03899999999999</v>
      </c>
      <c r="BI337" s="552">
        <f t="shared" si="995"/>
        <v>981.82</v>
      </c>
      <c r="BJ337" s="537">
        <f>IF(A337="",0,BI337-BH339)</f>
        <v>0.62400000000002365</v>
      </c>
      <c r="BK337" s="545">
        <f t="shared" si="996"/>
        <v>2.9395992097094039</v>
      </c>
      <c r="BL337" s="545">
        <f t="shared" si="997"/>
        <v>0.30906011854351856</v>
      </c>
      <c r="BM337" s="545">
        <f t="shared" ca="1" si="998"/>
        <v>1.7934778565859932</v>
      </c>
      <c r="BN337" s="545">
        <f t="shared" ca="1" si="999"/>
        <v>551.64161081520047</v>
      </c>
      <c r="BO337" s="553">
        <f t="shared" ca="1" si="1000"/>
        <v>5.6036152879293767E-3</v>
      </c>
      <c r="BP337" s="564">
        <f t="shared" ca="1" si="1001"/>
        <v>0.77220425661961711</v>
      </c>
      <c r="BQ337" s="554">
        <f t="shared" ca="1" si="1002"/>
        <v>0.2369860897624049</v>
      </c>
      <c r="BR337" s="554">
        <f t="shared" ca="1" si="1003"/>
        <v>0.97546333221341963</v>
      </c>
      <c r="BS337" s="545">
        <f t="shared" ca="1" si="1004"/>
        <v>0.42502930430777375</v>
      </c>
      <c r="BT337" s="545">
        <f t="shared" ca="1" si="1005"/>
        <v>1.7494718862363545</v>
      </c>
      <c r="BU337" s="545">
        <f t="shared" ca="1" si="1006"/>
        <v>4.8309856994392886E-2</v>
      </c>
      <c r="BV337" s="545">
        <f t="shared" ca="1" si="1007"/>
        <v>0.7398028377721515</v>
      </c>
      <c r="BW337" s="545">
        <f t="shared" ca="1" si="1008"/>
        <v>0.88641744684897983</v>
      </c>
      <c r="BX337" s="545">
        <f t="shared" ca="1" si="1009"/>
        <v>4.1420032065116645</v>
      </c>
      <c r="BY337" s="545">
        <f t="shared" ca="1" si="1010"/>
        <v>3.1476586924568062E-2</v>
      </c>
      <c r="BZ337" s="545">
        <f t="shared" ca="1" si="1011"/>
        <v>0.30080227456441122</v>
      </c>
      <c r="CA337" s="541">
        <f t="shared" ca="1" si="1012"/>
        <v>1.9698048097394692E-2</v>
      </c>
      <c r="CB337" s="541">
        <f t="shared" ca="1" si="1013"/>
        <v>0.18824206342240854</v>
      </c>
      <c r="CC337" s="541">
        <f t="shared" ca="1" si="1014"/>
        <v>0.83799908456074312</v>
      </c>
      <c r="CD337" s="541" t="str">
        <f t="shared" ca="1" si="1015"/>
        <v>F. Subcrítico Inestable</v>
      </c>
      <c r="CE337" s="541">
        <f t="shared" ca="1" si="1016"/>
        <v>6.087881080056734E-2</v>
      </c>
      <c r="CF337" s="541">
        <f t="shared" ca="1" si="1017"/>
        <v>0.58178114436206119</v>
      </c>
      <c r="CG337" s="541" t="str">
        <f t="shared" ca="1" si="1018"/>
        <v>No cumple</v>
      </c>
      <c r="CH337" s="541" t="str">
        <f t="shared" ca="1" si="1019"/>
        <v>O.K</v>
      </c>
      <c r="CI337" s="541" t="str">
        <f t="shared" ca="1" si="1020"/>
        <v>V.C.H.</v>
      </c>
      <c r="CJ337" s="541" t="str">
        <f t="shared" ca="1" si="1021"/>
        <v>OK</v>
      </c>
      <c r="CK337" s="537">
        <f t="shared" si="1022"/>
        <v>0.62400000000002365</v>
      </c>
      <c r="CL337" s="555" t="s">
        <v>2507</v>
      </c>
      <c r="CM337" s="555"/>
      <c r="CN337" s="556" t="str">
        <f t="shared" si="1023"/>
        <v xml:space="preserve"> </v>
      </c>
      <c r="CO337" s="553">
        <f t="shared" si="1024"/>
        <v>70.86</v>
      </c>
      <c r="CP337" s="553">
        <f t="shared" si="1025"/>
        <v>2.939599209709404E-2</v>
      </c>
      <c r="CQ337" s="555" t="s">
        <v>2508</v>
      </c>
      <c r="CR337" s="553">
        <f t="shared" si="1026"/>
        <v>70.86</v>
      </c>
      <c r="CS337" s="558">
        <v>1.5</v>
      </c>
      <c r="CT337" s="558">
        <v>1.5</v>
      </c>
      <c r="CU337" s="550">
        <f t="shared" si="1027"/>
        <v>70.860338420021677</v>
      </c>
      <c r="CV337" s="559" t="s">
        <v>2509</v>
      </c>
      <c r="CW337" s="560" t="str">
        <f t="shared" ca="1" si="1028"/>
        <v>E2</v>
      </c>
      <c r="CX337" s="553">
        <f ca="1">IF(AND(L337="",H337=""),"",IF(AND(BA337&lt;&gt;4,BA337&lt;&gt;5),VLOOKUP(AY337,'TABLA (2)'!$A$9:$D$43,4),IF(BA337=4,VLOOKUP(AY337,'TABLA (2)'!$A$74:$D$89,4),VLOOKUP(AY337,'TABLA (2)'!$A$51:$D$66,4))))</f>
        <v>4.2099999999999999E-2</v>
      </c>
      <c r="CY337" s="555"/>
      <c r="CZ337" s="555"/>
      <c r="DA337" s="555"/>
      <c r="DB337" s="561"/>
    </row>
    <row r="338" spans="1:106" s="562" customFormat="1" ht="15" customHeight="1">
      <c r="A338" s="563">
        <f t="shared" si="1029"/>
        <v>233</v>
      </c>
      <c r="B338" s="535"/>
      <c r="C338" s="536" t="str">
        <f>+D337</f>
        <v>C183</v>
      </c>
      <c r="D338" s="536" t="s">
        <v>108</v>
      </c>
      <c r="E338" s="1377">
        <v>0.50583440000000002</v>
      </c>
      <c r="F338" s="537"/>
      <c r="G338" s="537">
        <f t="shared" si="959"/>
        <v>2.6879600722000001</v>
      </c>
      <c r="H338" s="537">
        <f t="shared" si="960"/>
        <v>3.1937944722</v>
      </c>
      <c r="I338" s="537">
        <v>0.50583440000000002</v>
      </c>
      <c r="J338" s="537"/>
      <c r="K338" s="538">
        <f t="shared" ca="1" si="961"/>
        <v>2.6879600722000001</v>
      </c>
      <c r="L338" s="537">
        <f t="shared" ca="1" si="962"/>
        <v>3.1937944722</v>
      </c>
      <c r="M338" s="539">
        <f t="shared" si="963"/>
        <v>242.33666300502347</v>
      </c>
      <c r="N338" s="540">
        <f t="shared" si="964"/>
        <v>122.58222052914824</v>
      </c>
      <c r="O338" s="540">
        <f t="shared" si="965"/>
        <v>0</v>
      </c>
      <c r="P338" s="540">
        <f t="shared" si="966"/>
        <v>773.97349471683822</v>
      </c>
      <c r="Q338" s="540">
        <f t="shared" si="967"/>
        <v>140</v>
      </c>
      <c r="R338" s="541">
        <f t="shared" si="968"/>
        <v>1.0660051605474972</v>
      </c>
      <c r="S338" s="541"/>
      <c r="T338" s="541"/>
      <c r="U338" s="541">
        <f t="shared" si="969"/>
        <v>0</v>
      </c>
      <c r="V338" s="541"/>
      <c r="W338" s="541"/>
      <c r="X338" s="541">
        <f t="shared" si="970"/>
        <v>0</v>
      </c>
      <c r="Y338" s="541">
        <f t="shared" si="971"/>
        <v>0.63875889444</v>
      </c>
      <c r="Z338" s="541">
        <f t="shared" ca="1" si="972"/>
        <v>0</v>
      </c>
      <c r="AA338" s="471">
        <f t="shared" si="744"/>
        <v>3.8</v>
      </c>
      <c r="AB338" s="541">
        <f t="shared" si="973"/>
        <v>4.050819610080489</v>
      </c>
      <c r="AC338" s="541">
        <f t="shared" si="974"/>
        <v>0.16883430836769261</v>
      </c>
      <c r="AD338" s="541">
        <f t="shared" si="975"/>
        <v>0.10116688000000001</v>
      </c>
      <c r="AE338" s="541">
        <f t="shared" si="976"/>
        <v>0</v>
      </c>
      <c r="AF338" s="541">
        <f t="shared" si="958"/>
        <v>3.8</v>
      </c>
      <c r="AG338" s="541">
        <f t="shared" si="977"/>
        <v>0.64157037179723186</v>
      </c>
      <c r="AH338" s="541">
        <f t="shared" si="978"/>
        <v>0.74273725179723193</v>
      </c>
      <c r="AI338" s="541">
        <f t="shared" ca="1" si="979"/>
        <v>4.6895785045204885</v>
      </c>
      <c r="AJ338" s="541">
        <f t="shared" si="980"/>
        <v>0.75</v>
      </c>
      <c r="AK338" s="542">
        <f t="shared" si="981"/>
        <v>2.746672300873368E-4</v>
      </c>
      <c r="AL338" s="541">
        <f t="shared" si="982"/>
        <v>0.6275137333615044</v>
      </c>
      <c r="AM338" s="543">
        <f t="shared" si="983"/>
        <v>321.62337548597617</v>
      </c>
      <c r="AN338" s="544">
        <f>IF(B338=1,IF((0.702*(1.1-$AJ338)*SQRT($CO338))/(($CP338)^(1/3))&lt;5,5,(0.702*(1.1-$AJ338)*SQRT($CO338))/(($CP338)^(1/3))),AP336)</f>
        <v>10.914923280423281</v>
      </c>
      <c r="AO338" s="544">
        <f t="shared" si="984"/>
        <v>0.63106666666666666</v>
      </c>
      <c r="AP338" s="544">
        <f t="shared" si="985"/>
        <v>11.545989947089948</v>
      </c>
      <c r="AQ338" s="545">
        <v>2.5</v>
      </c>
      <c r="AR338" s="544">
        <f t="shared" ca="1" si="986"/>
        <v>0.6373159643084032</v>
      </c>
      <c r="AS338" s="544">
        <f t="shared" ca="1" si="987"/>
        <v>0.99019434944091178</v>
      </c>
      <c r="AT338" s="541" t="str">
        <f t="shared" ca="1" si="988"/>
        <v>Cumple</v>
      </c>
      <c r="AU338" s="546">
        <f t="shared" si="989"/>
        <v>102.08905915140164</v>
      </c>
      <c r="AV338" s="541">
        <f t="shared" ca="1" si="990"/>
        <v>644.58145351491589</v>
      </c>
      <c r="AW338" s="541">
        <f t="shared" ca="1" si="991"/>
        <v>644.58000000000004</v>
      </c>
      <c r="AX338" s="541">
        <f>IF(OR(C338="",D338=""),"",ROUND(((VLOOKUP(C338,'Base de Diseño (2)'!$A$2:$C$333,2,FALSE)-VLOOKUP(D338,'Base de Diseño (2)'!$A$2:$C$333,2,FALSE))^2+(VLOOKUP(C338,'Base de Diseño (2)'!$A$2:$C$333,3,0)-VLOOKUP(D338,'Base de Diseño (2)'!$A$2:$C$333,3,FALSE))^2)^0.5,2))</f>
        <v>94.66</v>
      </c>
      <c r="AY338" s="548">
        <v>27</v>
      </c>
      <c r="AZ338" s="549">
        <f ca="1">IF(AND(L338="",H338=""),"",IF(BA338=4,VLOOKUP(AY338,'TABLA (2)'!$A$74:$C$89,2),IF(BA338=5,VLOOKUP(AY338,'TABLA (2)'!$A$51:$B$66,2),IF(BA338=6,VLOOKUP(AY338,'TABLA (2)'!$A$9:$B$43,2)))))</f>
        <v>670</v>
      </c>
      <c r="BA338" s="548">
        <v>4</v>
      </c>
      <c r="BB338" s="547">
        <f>IF(OR(C338="",D338=""),"",VLOOKUP(C338,'Base de Diseño (2)'!$A$2:$D$330,4,FALSE))</f>
        <v>986.02200000000005</v>
      </c>
      <c r="BC338" s="547">
        <f>IF(OR(C338="",D338=""),"",VLOOKUP(D338,'Base de Diseño (2)'!$A$2:$D$342,4,FALSE))</f>
        <v>985.99599999999998</v>
      </c>
      <c r="BD338" s="550">
        <f t="shared" ca="1" si="992"/>
        <v>3.5300000000000002</v>
      </c>
      <c r="BE338" s="550">
        <f t="shared" ca="1" si="993"/>
        <v>4.0699999999999994</v>
      </c>
      <c r="BF338" s="1376">
        <v>4.2300000000000004</v>
      </c>
      <c r="BG338" s="1376">
        <v>4.7699999999999996</v>
      </c>
      <c r="BH338" s="552">
        <f t="shared" si="994"/>
        <v>981.79200000000003</v>
      </c>
      <c r="BI338" s="552">
        <f t="shared" si="995"/>
        <v>981.226</v>
      </c>
      <c r="BJ338" s="537">
        <f t="shared" ref="BJ338:BJ369" si="1030">IF(A338="",0,BI338-BH339)</f>
        <v>2.9999999999972715E-2</v>
      </c>
      <c r="BK338" s="545">
        <f t="shared" si="996"/>
        <v>2.7466723008733679E-2</v>
      </c>
      <c r="BL338" s="545">
        <f t="shared" si="997"/>
        <v>0.59792943165014889</v>
      </c>
      <c r="BM338" s="545">
        <f t="shared" ca="1" si="998"/>
        <v>2.6107121900744348</v>
      </c>
      <c r="BN338" s="545">
        <f t="shared" ca="1" si="999"/>
        <v>920.44635824453792</v>
      </c>
      <c r="BO338" s="553">
        <f t="shared" ca="1" si="1000"/>
        <v>5.0948960387701301E-3</v>
      </c>
      <c r="BP338" s="564">
        <f t="shared" ca="1" si="1001"/>
        <v>0.70029067335258277</v>
      </c>
      <c r="BQ338" s="554">
        <f t="shared" ca="1" si="1002"/>
        <v>0.23051384946900974</v>
      </c>
      <c r="BR338" s="554">
        <f t="shared" ca="1" si="1003"/>
        <v>0.94820328453428648</v>
      </c>
      <c r="BS338" s="545">
        <f t="shared" ca="1" si="1004"/>
        <v>0.60180531678972704</v>
      </c>
      <c r="BT338" s="545">
        <f t="shared" ca="1" si="1005"/>
        <v>2.4754858736022793</v>
      </c>
      <c r="BU338" s="545">
        <f t="shared" ca="1" si="1006"/>
        <v>4.2171216898664377E-2</v>
      </c>
      <c r="BV338" s="545">
        <f t="shared" ca="1" si="1007"/>
        <v>0.69186044892506482</v>
      </c>
      <c r="BW338" s="545">
        <f t="shared" ca="1" si="1008"/>
        <v>0.82731107896979639</v>
      </c>
      <c r="BX338" s="545">
        <f t="shared" ca="1" si="1009"/>
        <v>3.9292372291261533</v>
      </c>
      <c r="BY338" s="545">
        <f t="shared" ca="1" si="1010"/>
        <v>2.7558273829798446E-2</v>
      </c>
      <c r="BZ338" s="545">
        <f t="shared" ca="1" si="1011"/>
        <v>0.29509103215341792</v>
      </c>
      <c r="CA338" s="541">
        <f t="shared" ca="1" si="1012"/>
        <v>1.846404346596496E-2</v>
      </c>
      <c r="CB338" s="541">
        <f t="shared" ca="1" si="1013"/>
        <v>0.19771099154279001</v>
      </c>
      <c r="CC338" s="541">
        <f t="shared" ca="1" si="1014"/>
        <v>1.218646932307403</v>
      </c>
      <c r="CD338" s="541" t="str">
        <f t="shared" ca="1" si="1015"/>
        <v>F. Supercrítico Inestable</v>
      </c>
      <c r="CE338" s="541">
        <f t="shared" ca="1" si="1016"/>
        <v>0.11040195015568073</v>
      </c>
      <c r="CF338" s="541">
        <f t="shared" ca="1" si="1017"/>
        <v>1.1821722080416783</v>
      </c>
      <c r="CG338" s="541" t="str">
        <f t="shared" ca="1" si="1018"/>
        <v>O.K</v>
      </c>
      <c r="CH338" s="541" t="str">
        <f t="shared" ca="1" si="1019"/>
        <v>O.K</v>
      </c>
      <c r="CI338" s="541" t="str">
        <f t="shared" ca="1" si="1020"/>
        <v>OK</v>
      </c>
      <c r="CJ338" s="541" t="str">
        <f t="shared" ca="1" si="1021"/>
        <v>OK</v>
      </c>
      <c r="CK338" s="537">
        <f t="shared" si="1022"/>
        <v>2.9999999999972715E-2</v>
      </c>
      <c r="CL338" s="555" t="s">
        <v>2507</v>
      </c>
      <c r="CM338" s="555"/>
      <c r="CN338" s="556" t="str">
        <f t="shared" si="1023"/>
        <v xml:space="preserve"> </v>
      </c>
      <c r="CO338" s="553">
        <f t="shared" si="1024"/>
        <v>94.66</v>
      </c>
      <c r="CP338" s="553">
        <f t="shared" si="1025"/>
        <v>2.746672300873368E-4</v>
      </c>
      <c r="CQ338" s="555" t="s">
        <v>2508</v>
      </c>
      <c r="CR338" s="553">
        <f t="shared" si="1026"/>
        <v>94.66</v>
      </c>
      <c r="CS338" s="558">
        <v>1.5</v>
      </c>
      <c r="CT338" s="558">
        <v>1.5</v>
      </c>
      <c r="CU338" s="550">
        <f t="shared" si="1027"/>
        <v>94.661692125167505</v>
      </c>
      <c r="CV338" s="559" t="s">
        <v>2509</v>
      </c>
      <c r="CW338" s="560" t="str">
        <f t="shared" ca="1" si="1028"/>
        <v>E3</v>
      </c>
      <c r="CX338" s="553">
        <f ca="1">IF(AND(L338="",H338=""),"",IF(AND(BA338&lt;&gt;4,BA338&lt;&gt;5),VLOOKUP(AY338,'TABLA (2)'!$A$9:$D$43,4),IF(BA338=4,VLOOKUP(AY338,'TABLA (2)'!$A$74:$D$89,4),VLOOKUP(AY338,'TABLA (2)'!$A$51:$D$66,4))))</f>
        <v>0.03</v>
      </c>
      <c r="CY338" s="555"/>
      <c r="CZ338" s="555"/>
      <c r="DA338" s="555"/>
      <c r="DB338" s="561"/>
    </row>
    <row r="339" spans="1:106" s="562" customFormat="1" ht="15" customHeight="1">
      <c r="A339" s="563">
        <f t="shared" si="1029"/>
        <v>234</v>
      </c>
      <c r="B339" s="535"/>
      <c r="C339" s="536" t="str">
        <f>D338</f>
        <v>C175</v>
      </c>
      <c r="D339" s="536" t="s">
        <v>87</v>
      </c>
      <c r="E339" s="1377">
        <v>0.34389702789999999</v>
      </c>
      <c r="F339" s="537"/>
      <c r="G339" s="537">
        <f t="shared" si="959"/>
        <v>5.5220785630999991</v>
      </c>
      <c r="H339" s="537">
        <f t="shared" si="960"/>
        <v>5.8659755909999989</v>
      </c>
      <c r="I339" s="537">
        <v>0.34389702789999999</v>
      </c>
      <c r="J339" s="537"/>
      <c r="K339" s="538">
        <f t="shared" ca="1" si="961"/>
        <v>5.5220785630999991</v>
      </c>
      <c r="L339" s="537">
        <f t="shared" ca="1" si="962"/>
        <v>5.8659755909999989</v>
      </c>
      <c r="M339" s="539">
        <f t="shared" si="963"/>
        <v>242.33666300502347</v>
      </c>
      <c r="N339" s="540">
        <f t="shared" si="964"/>
        <v>83.338858158631453</v>
      </c>
      <c r="O339" s="540">
        <f t="shared" si="965"/>
        <v>0</v>
      </c>
      <c r="P339" s="540">
        <f t="shared" si="966"/>
        <v>1421.5409499918601</v>
      </c>
      <c r="Q339" s="540">
        <f t="shared" si="967"/>
        <v>140</v>
      </c>
      <c r="R339" s="541">
        <f t="shared" si="968"/>
        <v>1.9579094102897148</v>
      </c>
      <c r="S339" s="541"/>
      <c r="T339" s="541"/>
      <c r="U339" s="541">
        <f t="shared" si="969"/>
        <v>0</v>
      </c>
      <c r="V339" s="541"/>
      <c r="W339" s="541"/>
      <c r="X339" s="541">
        <f t="shared" si="970"/>
        <v>0</v>
      </c>
      <c r="Y339" s="541">
        <f t="shared" si="971"/>
        <v>1.1731951181999998</v>
      </c>
      <c r="Z339" s="541">
        <f t="shared" ca="1" si="972"/>
        <v>0</v>
      </c>
      <c r="AA339" s="471">
        <f t="shared" si="744"/>
        <v>3.8</v>
      </c>
      <c r="AB339" s="541">
        <f t="shared" si="973"/>
        <v>7.4400557591009155</v>
      </c>
      <c r="AC339" s="541">
        <f t="shared" si="974"/>
        <v>0.11478384399163358</v>
      </c>
      <c r="AD339" s="541">
        <f t="shared" si="975"/>
        <v>6.8779405579999994E-2</v>
      </c>
      <c r="AE339" s="541">
        <f t="shared" si="976"/>
        <v>0</v>
      </c>
      <c r="AF339" s="541">
        <f t="shared" si="958"/>
        <v>3.8</v>
      </c>
      <c r="AG339" s="541">
        <f t="shared" si="977"/>
        <v>0.43617860716820755</v>
      </c>
      <c r="AH339" s="541">
        <f t="shared" si="978"/>
        <v>0.50495801274820751</v>
      </c>
      <c r="AI339" s="541">
        <f t="shared" ca="1" si="979"/>
        <v>8.6132508773009153</v>
      </c>
      <c r="AJ339" s="541">
        <f t="shared" si="980"/>
        <v>0.75</v>
      </c>
      <c r="AK339" s="542">
        <f t="shared" si="981"/>
        <v>3.493098159509208E-2</v>
      </c>
      <c r="AL339" s="541">
        <f t="shared" si="982"/>
        <v>0.62924654907975464</v>
      </c>
      <c r="AM339" s="543">
        <f t="shared" si="983"/>
        <v>317.50558956088719</v>
      </c>
      <c r="AN339" s="544">
        <f>IF(B339=1,IF((0.702*(1.1-$AJ339)*SQRT($CO339))/(($CP339)^(1/3))&lt;5,5,(0.702*(1.1-$AJ339)*SQRT($CO339))/(($CP339)^(1/3))),AP338)</f>
        <v>11.545989947089948</v>
      </c>
      <c r="AO339" s="544">
        <f t="shared" si="984"/>
        <v>0.45754385964912281</v>
      </c>
      <c r="AP339" s="544">
        <f t="shared" si="985"/>
        <v>12.003533806739071</v>
      </c>
      <c r="AQ339" s="545">
        <v>3.8</v>
      </c>
      <c r="AR339" s="544">
        <f t="shared" ca="1" si="986"/>
        <v>0.44969242197742665</v>
      </c>
      <c r="AS339" s="544">
        <f t="shared" ca="1" si="987"/>
        <v>1.0174595730058584</v>
      </c>
      <c r="AT339" s="541" t="str">
        <f t="shared" ca="1" si="988"/>
        <v>Cumple</v>
      </c>
      <c r="AU339" s="546">
        <f t="shared" si="989"/>
        <v>68.706945287961361</v>
      </c>
      <c r="AV339" s="541">
        <f t="shared" ca="1" si="990"/>
        <v>1171.9591368743952</v>
      </c>
      <c r="AW339" s="541">
        <f t="shared" ca="1" si="991"/>
        <v>1171.96</v>
      </c>
      <c r="AX339" s="541">
        <f>IF(OR(C339="",D339=""),"",ROUND(((VLOOKUP(C339,'Base de Diseño (2)'!$A$2:$C$333,2,FALSE)-VLOOKUP(D339,'Base de Diseño (2)'!$A$2:$C$333,2,FALSE))^2+(VLOOKUP(C339,'Base de Diseño (2)'!$A$2:$C$333,3,0)-VLOOKUP(D339,'Base de Diseño (2)'!$A$2:$C$333,3,FALSE))^2)^0.5,2))</f>
        <v>104.32</v>
      </c>
      <c r="AY339" s="548">
        <v>27</v>
      </c>
      <c r="AZ339" s="549">
        <f ca="1">IF(AND(L339="",H339=""),"",IF(BA339=4,VLOOKUP(AY339,'TABLA (2)'!$A$74:$C$89,2),IF(BA339=5,VLOOKUP(AY339,'TABLA (2)'!$A$51:$B$66,2),IF(BA339=6,VLOOKUP(AY339,'TABLA (2)'!$A$9:$B$43,2)))))</f>
        <v>670</v>
      </c>
      <c r="BA339" s="548">
        <v>4</v>
      </c>
      <c r="BB339" s="547">
        <f>IF(OR(C339="",D339=""),"",VLOOKUP(C339,'Base de Diseño (2)'!$A$2:$D$330,4,FALSE))</f>
        <v>985.99599999999998</v>
      </c>
      <c r="BC339" s="547">
        <f>IF(OR(C339="",D339=""),"",VLOOKUP(D339,'Base de Diseño (2)'!$A$2:$D$342,4,FALSE))</f>
        <v>982.35199999999998</v>
      </c>
      <c r="BD339" s="550">
        <f t="shared" ca="1" si="992"/>
        <v>4.0999999999999996</v>
      </c>
      <c r="BE339" s="550">
        <f t="shared" ca="1" si="993"/>
        <v>1.7999999999999998</v>
      </c>
      <c r="BF339" s="1376">
        <v>4.8</v>
      </c>
      <c r="BG339" s="1376">
        <v>2.5</v>
      </c>
      <c r="BH339" s="552">
        <f t="shared" si="994"/>
        <v>981.19600000000003</v>
      </c>
      <c r="BI339" s="552">
        <f t="shared" si="995"/>
        <v>979.85199999999998</v>
      </c>
      <c r="BJ339" s="537">
        <f t="shared" si="1030"/>
        <v>0.10000000000002274</v>
      </c>
      <c r="BK339" s="545">
        <f t="shared" si="996"/>
        <v>3.4930981595092079</v>
      </c>
      <c r="BL339" s="545">
        <f t="shared" si="997"/>
        <v>1.2883435582822576</v>
      </c>
      <c r="BM339" s="545">
        <f t="shared" ca="1" si="998"/>
        <v>3.8322150898886118</v>
      </c>
      <c r="BN339" s="545">
        <f t="shared" ca="1" si="999"/>
        <v>1351.1058158414498</v>
      </c>
      <c r="BO339" s="553">
        <f t="shared" ca="1" si="1000"/>
        <v>6.3749639564216537E-3</v>
      </c>
      <c r="BP339" s="564">
        <f t="shared" ca="1" si="1001"/>
        <v>0.86740800480539693</v>
      </c>
      <c r="BQ339" s="554">
        <f t="shared" ca="1" si="1002"/>
        <v>0.24604740930795893</v>
      </c>
      <c r="BR339" s="554">
        <f t="shared" ca="1" si="1003"/>
        <v>1.0089064122793383</v>
      </c>
      <c r="BS339" s="545">
        <f t="shared" ca="1" si="1004"/>
        <v>0.94290659477795991</v>
      </c>
      <c r="BT339" s="545">
        <f t="shared" ca="1" si="1005"/>
        <v>3.8663463774222615</v>
      </c>
      <c r="BU339" s="545">
        <f t="shared" ca="1" si="1006"/>
        <v>5.6628193700786367E-2</v>
      </c>
      <c r="BV339" s="545">
        <f t="shared" ca="1" si="1007"/>
        <v>0.80327200323251147</v>
      </c>
      <c r="BW339" s="545">
        <f t="shared" ca="1" si="1008"/>
        <v>0.96108787485394132</v>
      </c>
      <c r="BX339" s="545">
        <f t="shared" ca="1" si="1009"/>
        <v>4.4450055670049435</v>
      </c>
      <c r="BY339" s="545">
        <f t="shared" ca="1" si="1010"/>
        <v>3.674816766140318E-2</v>
      </c>
      <c r="BZ339" s="545">
        <f t="shared" ca="1" si="1011"/>
        <v>0.3042443371386287</v>
      </c>
      <c r="CA339" s="541">
        <f t="shared" ca="1" si="1012"/>
        <v>2.462127233314013E-2</v>
      </c>
      <c r="CB339" s="541">
        <f t="shared" ca="1" si="1013"/>
        <v>0.20384370588288123</v>
      </c>
      <c r="CC339" s="541">
        <f t="shared" ca="1" si="1014"/>
        <v>1.6352857159085303</v>
      </c>
      <c r="CD339" s="541" t="str">
        <f t="shared" ca="1" si="1015"/>
        <v>F. Supercrítico</v>
      </c>
      <c r="CE339" s="541">
        <f t="shared" ca="1" si="1016"/>
        <v>0.31720657607114261</v>
      </c>
      <c r="CF339" s="541">
        <f t="shared" ca="1" si="1017"/>
        <v>2.6262072537059318</v>
      </c>
      <c r="CG339" s="541" t="str">
        <f t="shared" ca="1" si="1018"/>
        <v>O.K</v>
      </c>
      <c r="CH339" s="541" t="str">
        <f t="shared" ca="1" si="1019"/>
        <v>O.K</v>
      </c>
      <c r="CI339" s="541" t="str">
        <f t="shared" ca="1" si="1020"/>
        <v>OK</v>
      </c>
      <c r="CJ339" s="541" t="str">
        <f t="shared" ca="1" si="1021"/>
        <v>OK</v>
      </c>
      <c r="CK339" s="537">
        <f t="shared" si="1022"/>
        <v>0.10000000000002274</v>
      </c>
      <c r="CL339" s="555" t="s">
        <v>2507</v>
      </c>
      <c r="CM339" s="555"/>
      <c r="CN339" s="556" t="str">
        <f t="shared" si="1023"/>
        <v xml:space="preserve"> </v>
      </c>
      <c r="CO339" s="553">
        <f t="shared" si="1024"/>
        <v>104.32</v>
      </c>
      <c r="CP339" s="553">
        <f t="shared" si="1025"/>
        <v>3.493098159509208E-2</v>
      </c>
      <c r="CQ339" s="555" t="s">
        <v>2508</v>
      </c>
      <c r="CR339" s="553">
        <f t="shared" si="1026"/>
        <v>104.32</v>
      </c>
      <c r="CS339" s="558">
        <v>1.5</v>
      </c>
      <c r="CT339" s="558">
        <v>1.5</v>
      </c>
      <c r="CU339" s="550">
        <f t="shared" si="1027"/>
        <v>104.32865730948519</v>
      </c>
      <c r="CV339" s="559" t="s">
        <v>2509</v>
      </c>
      <c r="CW339" s="560" t="str">
        <f t="shared" ca="1" si="1028"/>
        <v>E3</v>
      </c>
      <c r="CX339" s="553">
        <f ca="1">IF(AND(L339="",H339=""),"",IF(AND(BA339&lt;&gt;4,BA339&lt;&gt;5),VLOOKUP(AY339,'TABLA (2)'!$A$9:$D$43,4),IF(BA339=4,VLOOKUP(AY339,'TABLA (2)'!$A$74:$D$89,4),VLOOKUP(AY339,'TABLA (2)'!$A$51:$D$66,4))))</f>
        <v>0.03</v>
      </c>
      <c r="CY339" s="555"/>
      <c r="CZ339" s="555"/>
      <c r="DA339" s="555"/>
      <c r="DB339" s="561"/>
    </row>
    <row r="340" spans="1:106" s="562" customFormat="1" ht="15" customHeight="1">
      <c r="A340" s="563">
        <f t="shared" si="1029"/>
        <v>235</v>
      </c>
      <c r="B340" s="535"/>
      <c r="C340" s="536" t="s">
        <v>87</v>
      </c>
      <c r="D340" s="536" t="s">
        <v>2326</v>
      </c>
      <c r="E340" s="1377">
        <v>5.8031682199999997E-2</v>
      </c>
      <c r="F340" s="537"/>
      <c r="G340" s="537">
        <f t="shared" si="959"/>
        <v>8.5515575305999985</v>
      </c>
      <c r="H340" s="537">
        <f t="shared" si="960"/>
        <v>8.6095892127999978</v>
      </c>
      <c r="I340" s="537">
        <v>5.8031682199999997E-2</v>
      </c>
      <c r="J340" s="537"/>
      <c r="K340" s="538">
        <f t="shared" ca="1" si="961"/>
        <v>8.5515575305999985</v>
      </c>
      <c r="L340" s="537">
        <f t="shared" ca="1" si="962"/>
        <v>8.6095892127999978</v>
      </c>
      <c r="M340" s="539">
        <f t="shared" si="963"/>
        <v>242.33666300502347</v>
      </c>
      <c r="N340" s="540">
        <f t="shared" si="964"/>
        <v>14.063204212916018</v>
      </c>
      <c r="O340" s="540">
        <f t="shared" si="965"/>
        <v>0</v>
      </c>
      <c r="P340" s="540">
        <f t="shared" si="966"/>
        <v>2086.4191196739985</v>
      </c>
      <c r="Q340" s="540">
        <f t="shared" si="967"/>
        <v>140</v>
      </c>
      <c r="R340" s="541">
        <f t="shared" si="968"/>
        <v>2.8736559634398824</v>
      </c>
      <c r="S340" s="541"/>
      <c r="T340" s="541"/>
      <c r="U340" s="541">
        <f t="shared" si="969"/>
        <v>0</v>
      </c>
      <c r="V340" s="541"/>
      <c r="W340" s="541"/>
      <c r="X340" s="541">
        <f t="shared" si="970"/>
        <v>0</v>
      </c>
      <c r="Y340" s="541">
        <f t="shared" si="971"/>
        <v>1.7219178425599997</v>
      </c>
      <c r="Z340" s="541">
        <f t="shared" ca="1" si="972"/>
        <v>0</v>
      </c>
      <c r="AA340" s="471">
        <f t="shared" si="744"/>
        <v>3.776009966251034</v>
      </c>
      <c r="AB340" s="541">
        <f t="shared" si="973"/>
        <v>10.850953557525713</v>
      </c>
      <c r="AC340" s="541">
        <f t="shared" si="974"/>
        <v>1.9369459506215346E-2</v>
      </c>
      <c r="AD340" s="541">
        <f t="shared" si="975"/>
        <v>1.160633644E-2</v>
      </c>
      <c r="AE340" s="541">
        <f t="shared" si="976"/>
        <v>0</v>
      </c>
      <c r="AF340" s="541">
        <f t="shared" si="958"/>
        <v>3.8</v>
      </c>
      <c r="AG340" s="541">
        <f t="shared" si="977"/>
        <v>7.3603946123618313E-2</v>
      </c>
      <c r="AH340" s="541">
        <f t="shared" si="978"/>
        <v>8.5210282563618317E-2</v>
      </c>
      <c r="AI340" s="541">
        <f t="shared" ca="1" si="979"/>
        <v>12.572871400085713</v>
      </c>
      <c r="AJ340" s="541">
        <f t="shared" si="980"/>
        <v>0.75</v>
      </c>
      <c r="AK340" s="542">
        <f t="shared" si="981"/>
        <v>4.9488526403098622E-2</v>
      </c>
      <c r="AL340" s="541">
        <f t="shared" si="982"/>
        <v>0.62997442632015499</v>
      </c>
      <c r="AM340" s="543">
        <f t="shared" si="983"/>
        <v>316.17128347649378</v>
      </c>
      <c r="AN340" s="544">
        <f>IF(B340=1,IF((0.702*(1.1-$AJ340)*SQRT($CO340))/(($CP340)^(1/3))&lt;5,5,(0.702*(1.1-$AJ340)*SQRT($CO340))/(($CP340)^(1/3))),AP339)</f>
        <v>12.003533806739071</v>
      </c>
      <c r="AO340" s="544">
        <f t="shared" si="984"/>
        <v>0.15070833333333333</v>
      </c>
      <c r="AP340" s="544">
        <f t="shared" si="985"/>
        <v>12.154242140072405</v>
      </c>
      <c r="AQ340" s="545">
        <v>4</v>
      </c>
      <c r="AR340" s="544">
        <f t="shared" ca="1" si="986"/>
        <v>0.14534194037402237</v>
      </c>
      <c r="AS340" s="544">
        <f t="shared" ca="1" si="987"/>
        <v>1.0369225355427423</v>
      </c>
      <c r="AT340" s="541" t="str">
        <f t="shared" ca="1" si="988"/>
        <v>Cumple</v>
      </c>
      <c r="AU340" s="546">
        <f t="shared" si="989"/>
        <v>11.558740184752592</v>
      </c>
      <c r="AV340" s="541">
        <f t="shared" ca="1" si="990"/>
        <v>1714.8564548798099</v>
      </c>
      <c r="AW340" s="541">
        <f t="shared" ca="1" si="991"/>
        <v>1714.86</v>
      </c>
      <c r="AX340" s="541">
        <f>IF(OR(C340="",D340=""),"",ROUND(((VLOOKUP(C340,'Base de Diseño (2)'!$A$2:$C$333,2,FALSE)-VLOOKUP(D340,'Base de Diseño (2)'!$A$2:$C$333,2,FALSE))^2+(VLOOKUP(C340,'Base de Diseño (2)'!$A$2:$C$333,3,0)-VLOOKUP(D340,'Base de Diseño (2)'!$A$2:$C$333,3,FALSE))^2)^0.5,2))</f>
        <v>36.17</v>
      </c>
      <c r="AY340" s="548">
        <v>30</v>
      </c>
      <c r="AZ340" s="549">
        <f ca="1">IF(AND(L340="",H340=""),"",IF(BA340=4,VLOOKUP(AY340,'TABLA (2)'!$A$74:$C$89,2),IF(BA340=5,VLOOKUP(AY340,'TABLA (2)'!$A$51:$B$66,2),IF(BA340=6,VLOOKUP(AY340,'TABLA (2)'!$A$9:$B$43,2)))))</f>
        <v>747</v>
      </c>
      <c r="BA340" s="548">
        <v>4</v>
      </c>
      <c r="BB340" s="547">
        <f>IF(OR(C340="",D340=""),"",VLOOKUP(C340,'Base de Diseño (2)'!$A$2:$D$330,4,FALSE))</f>
        <v>982.35199999999998</v>
      </c>
      <c r="BC340" s="547">
        <f>IF(OR(C340="",D340=""),"",VLOOKUP(D340,'Base de Diseño (2)'!$A$2:$D$330,4,FALSE))</f>
        <v>984.14200000000005</v>
      </c>
      <c r="BD340" s="550">
        <f t="shared" ca="1" si="992"/>
        <v>1.82</v>
      </c>
      <c r="BE340" s="550">
        <f t="shared" ca="1" si="993"/>
        <v>4.04</v>
      </c>
      <c r="BF340" s="1376">
        <v>2.6</v>
      </c>
      <c r="BG340" s="1376">
        <v>4.82</v>
      </c>
      <c r="BH340" s="552">
        <f t="shared" si="994"/>
        <v>979.75199999999995</v>
      </c>
      <c r="BI340" s="552">
        <f t="shared" si="995"/>
        <v>979.322</v>
      </c>
      <c r="BJ340" s="537">
        <f t="shared" si="1030"/>
        <v>1.999999999998181E-2</v>
      </c>
      <c r="BK340" s="545">
        <f t="shared" si="996"/>
        <v>4.9488526403098625</v>
      </c>
      <c r="BL340" s="545">
        <f t="shared" si="997"/>
        <v>1.1888305225323472</v>
      </c>
      <c r="BM340" s="545">
        <f t="shared" ca="1" si="998"/>
        <v>3.9581404838797445</v>
      </c>
      <c r="BN340" s="545">
        <f t="shared" ca="1" si="999"/>
        <v>1734.6916551579955</v>
      </c>
      <c r="BO340" s="553">
        <f t="shared" ca="1" si="1000"/>
        <v>7.2478998574190857E-3</v>
      </c>
      <c r="BP340" s="564">
        <f t="shared" ca="1" si="1001"/>
        <v>0.98856761943886262</v>
      </c>
      <c r="BQ340" s="554">
        <f t="shared" ca="1" si="1002"/>
        <v>0.2554081403684329</v>
      </c>
      <c r="BR340" s="554">
        <f t="shared" ca="1" si="1003"/>
        <v>1.047888562587205</v>
      </c>
      <c r="BS340" s="545">
        <f t="shared" ca="1" si="1004"/>
        <v>1.0109413003047347</v>
      </c>
      <c r="BT340" s="545">
        <f t="shared" ca="1" si="1005"/>
        <v>4.1476901421709691</v>
      </c>
      <c r="BU340" s="545">
        <f t="shared" ca="1" si="1006"/>
        <v>6.490569251377859E-2</v>
      </c>
      <c r="BV340" s="545">
        <f t="shared" ca="1" si="1007"/>
        <v>0.88404507965886059</v>
      </c>
      <c r="BW340" s="545">
        <f t="shared" ca="1" si="1008"/>
        <v>1.0304226620415444</v>
      </c>
      <c r="BX340" s="545">
        <f t="shared" ca="1" si="1009"/>
        <v>4.8932991722619992</v>
      </c>
      <c r="BY340" s="545">
        <f t="shared" ca="1" si="1010"/>
        <v>4.1950298993842561E-2</v>
      </c>
      <c r="BZ340" s="545">
        <f t="shared" ca="1" si="1011"/>
        <v>0.30025649870290433</v>
      </c>
      <c r="CA340" s="541">
        <f t="shared" ca="1" si="1012"/>
        <v>3.1336873348400393E-2</v>
      </c>
      <c r="CB340" s="541">
        <f t="shared" ca="1" si="1013"/>
        <v>0.22429160453106953</v>
      </c>
      <c r="CC340" s="541">
        <f t="shared" ca="1" si="1014"/>
        <v>1.4304915652254939</v>
      </c>
      <c r="CD340" s="541" t="str">
        <f t="shared" ca="1" si="1015"/>
        <v>F. Supercrítico Inestable</v>
      </c>
      <c r="CE340" s="541">
        <f t="shared" ca="1" si="1016"/>
        <v>0.37254231517308822</v>
      </c>
      <c r="CF340" s="541">
        <f t="shared" ca="1" si="1017"/>
        <v>2.6664470541428993</v>
      </c>
      <c r="CG340" s="541" t="str">
        <f t="shared" ca="1" si="1018"/>
        <v>O.K</v>
      </c>
      <c r="CH340" s="541" t="str">
        <f t="shared" ca="1" si="1019"/>
        <v>O.K</v>
      </c>
      <c r="CI340" s="541" t="str">
        <f t="shared" ca="1" si="1020"/>
        <v>OK</v>
      </c>
      <c r="CJ340" s="541" t="str">
        <f t="shared" ca="1" si="1021"/>
        <v>OK</v>
      </c>
      <c r="CK340" s="537">
        <f t="shared" si="1022"/>
        <v>1.999999999998181E-2</v>
      </c>
      <c r="CL340" s="555" t="s">
        <v>2507</v>
      </c>
      <c r="CM340" s="555"/>
      <c r="CN340" s="556" t="str">
        <f t="shared" si="1023"/>
        <v xml:space="preserve"> </v>
      </c>
      <c r="CO340" s="553">
        <f t="shared" si="1024"/>
        <v>36.17</v>
      </c>
      <c r="CP340" s="553">
        <f t="shared" si="1025"/>
        <v>4.9488526403098622E-2</v>
      </c>
      <c r="CQ340" s="555" t="s">
        <v>2508</v>
      </c>
      <c r="CR340" s="553">
        <f t="shared" si="1026"/>
        <v>36.17</v>
      </c>
      <c r="CS340" s="558">
        <v>1.5</v>
      </c>
      <c r="CT340" s="558">
        <v>1.5</v>
      </c>
      <c r="CU340" s="550">
        <f t="shared" si="1027"/>
        <v>36.172555895319313</v>
      </c>
      <c r="CV340" s="559" t="s">
        <v>2509</v>
      </c>
      <c r="CW340" s="560" t="str">
        <f t="shared" ca="1" si="1028"/>
        <v>E2</v>
      </c>
      <c r="CX340" s="553">
        <f ca="1">IF(AND(L340="",H340=""),"",IF(AND(BA340&lt;&gt;4,BA340&lt;&gt;5),VLOOKUP(AY340,'TABLA (2)'!$A$9:$D$43,4),IF(BA340=4,VLOOKUP(AY340,'TABLA (2)'!$A$74:$D$89,4),VLOOKUP(AY340,'TABLA (2)'!$A$51:$D$66,4))))</f>
        <v>3.3000000000000002E-2</v>
      </c>
      <c r="CY340" s="555"/>
      <c r="CZ340" s="555"/>
      <c r="DA340" s="555"/>
      <c r="DB340" s="561"/>
    </row>
    <row r="341" spans="1:106" s="562" customFormat="1" ht="15" customHeight="1">
      <c r="A341" s="563">
        <f t="shared" si="1029"/>
        <v>236</v>
      </c>
      <c r="B341" s="535"/>
      <c r="C341" s="536" t="str">
        <f t="shared" ref="C341:C357" si="1031">D340</f>
        <v>C165</v>
      </c>
      <c r="D341" s="536" t="s">
        <v>2365</v>
      </c>
      <c r="E341" s="623">
        <v>7.7661900000000006E-2</v>
      </c>
      <c r="F341" s="537"/>
      <c r="G341" s="537">
        <f t="shared" si="959"/>
        <v>9.022242594299998</v>
      </c>
      <c r="H341" s="537">
        <f t="shared" si="960"/>
        <v>9.0999044942999987</v>
      </c>
      <c r="I341" s="537">
        <v>7.7661900000000006E-2</v>
      </c>
      <c r="J341" s="537"/>
      <c r="K341" s="538">
        <f t="shared" ca="1" si="961"/>
        <v>9.022242594299998</v>
      </c>
      <c r="L341" s="537">
        <f t="shared" ca="1" si="962"/>
        <v>9.0999044942999987</v>
      </c>
      <c r="M341" s="539">
        <f t="shared" si="963"/>
        <v>242.33666300502347</v>
      </c>
      <c r="N341" s="540">
        <f t="shared" si="964"/>
        <v>18.820325688629833</v>
      </c>
      <c r="O341" s="540">
        <f t="shared" si="965"/>
        <v>0</v>
      </c>
      <c r="P341" s="540">
        <f t="shared" si="966"/>
        <v>2205.2404888130773</v>
      </c>
      <c r="Q341" s="540">
        <f t="shared" si="967"/>
        <v>140</v>
      </c>
      <c r="R341" s="541">
        <f t="shared" si="968"/>
        <v>3.0373103954717151</v>
      </c>
      <c r="S341" s="541"/>
      <c r="T341" s="541"/>
      <c r="U341" s="541">
        <f t="shared" si="969"/>
        <v>0</v>
      </c>
      <c r="V341" s="541"/>
      <c r="W341" s="541"/>
      <c r="X341" s="541">
        <f t="shared" si="970"/>
        <v>0</v>
      </c>
      <c r="Y341" s="541">
        <f t="shared" si="971"/>
        <v>1.8199808988599999</v>
      </c>
      <c r="Z341" s="541">
        <f t="shared" ca="1" si="972"/>
        <v>0</v>
      </c>
      <c r="AA341" s="471">
        <f t="shared" si="744"/>
        <v>3.7436884050594821</v>
      </c>
      <c r="AB341" s="541">
        <f t="shared" si="973"/>
        <v>11.370743710094089</v>
      </c>
      <c r="AC341" s="541">
        <f t="shared" si="974"/>
        <v>2.5921513390589703E-2</v>
      </c>
      <c r="AD341" s="541">
        <f t="shared" si="975"/>
        <v>1.5532380000000002E-2</v>
      </c>
      <c r="AE341" s="541">
        <f t="shared" si="976"/>
        <v>0</v>
      </c>
      <c r="AF341" s="541">
        <f t="shared" si="958"/>
        <v>3.8</v>
      </c>
      <c r="AG341" s="541">
        <f t="shared" si="977"/>
        <v>9.8501750884240874E-2</v>
      </c>
      <c r="AH341" s="541">
        <f t="shared" si="978"/>
        <v>0.11403413088424087</v>
      </c>
      <c r="AI341" s="541">
        <f t="shared" ca="1" si="979"/>
        <v>13.190724608954088</v>
      </c>
      <c r="AJ341" s="541">
        <f t="shared" si="980"/>
        <v>0.75</v>
      </c>
      <c r="AK341" s="542">
        <f t="shared" si="981"/>
        <v>3.2715008431709242E-2</v>
      </c>
      <c r="AL341" s="541">
        <f t="shared" si="982"/>
        <v>0.62913575042158554</v>
      </c>
      <c r="AM341" s="543">
        <f t="shared" si="983"/>
        <v>315.649207806265</v>
      </c>
      <c r="AN341" s="544">
        <f>IF(B341=1,IF((0.702*(1.1-$AJ341)*SQRT($CO341))/(($CP341)^(1/3))&lt;5,5,(0.702*(1.1-$AJ341)*SQRT($CO341))/(($CP341)^(1/3))),AP340)</f>
        <v>12.154242140072405</v>
      </c>
      <c r="AO341" s="544">
        <f t="shared" si="984"/>
        <v>5.9299999999999999E-2</v>
      </c>
      <c r="AP341" s="544">
        <f t="shared" si="985"/>
        <v>12.213542140072406</v>
      </c>
      <c r="AQ341" s="545">
        <v>5</v>
      </c>
      <c r="AR341" s="544">
        <f t="shared" ca="1" si="986"/>
        <v>4.5358460590704218E-2</v>
      </c>
      <c r="AS341" s="544">
        <f t="shared" ca="1" si="987"/>
        <v>1.3073635927616327</v>
      </c>
      <c r="AT341" s="541" t="str">
        <f t="shared" ca="1" si="988"/>
        <v>Aumentar vel.</v>
      </c>
      <c r="AU341" s="546">
        <f t="shared" si="989"/>
        <v>15.42258170077398</v>
      </c>
      <c r="AV341" s="541">
        <f t="shared" ca="1" si="990"/>
        <v>1807.1154650167207</v>
      </c>
      <c r="AW341" s="541">
        <f t="shared" ca="1" si="991"/>
        <v>1807.12</v>
      </c>
      <c r="AX341" s="541">
        <f>IF(OR(C341="",D341=""),"",ROUND(((VLOOKUP(C341,'Base de Diseño (2)'!$A$2:$C$333,2,FALSE)-VLOOKUP(D341,'Base de Diseño (2)'!$A$2:$C$333,2,FALSE))^2+(VLOOKUP(C341,'Base de Diseño (2)'!$A$2:$C$333,3,0)-VLOOKUP(D341,'Base de Diseño (2)'!$A$2:$C$333,3,FALSE))^2)^0.5,2))</f>
        <v>17.79</v>
      </c>
      <c r="AY341" s="548">
        <v>31</v>
      </c>
      <c r="AZ341" s="549">
        <f ca="1">IF(AND(L341="",H341=""),"",IF(BA341=4,VLOOKUP(AY341,'TABLA (2)'!$A$74:$C$89,2),IF(BA341=5,VLOOKUP(AY341,'TABLA (2)'!$A$51:$B$66,2),IF(BA341=6,VLOOKUP(AY341,'TABLA (2)'!$A$9:$B$43,2)))))</f>
        <v>625.79999999999995</v>
      </c>
      <c r="BA341" s="548">
        <v>5</v>
      </c>
      <c r="BB341" s="547">
        <f>IF(OR(C341="",D341=""),"",VLOOKUP(C341,'Base de Diseño (2)'!$A$2:$D$330,4,FALSE))</f>
        <v>984.14200000000005</v>
      </c>
      <c r="BC341" s="547">
        <f>IF(OR(C341="",D341=""),"",VLOOKUP(D341,'Base de Diseño (2)'!$A$2:$D$330,4,FALSE))</f>
        <v>983.56</v>
      </c>
      <c r="BD341" s="550">
        <f t="shared" ca="1" si="992"/>
        <v>4.1721000000000004</v>
      </c>
      <c r="BE341" s="550">
        <f t="shared" ca="1" si="993"/>
        <v>4.2820999999999998</v>
      </c>
      <c r="BF341" s="624">
        <v>4.84</v>
      </c>
      <c r="BG341" s="624">
        <v>4.95</v>
      </c>
      <c r="BH341" s="552">
        <f t="shared" si="994"/>
        <v>979.30200000000002</v>
      </c>
      <c r="BI341" s="552">
        <f t="shared" si="995"/>
        <v>978.6099999999999</v>
      </c>
      <c r="BJ341" s="537">
        <f t="shared" si="1030"/>
        <v>0.67999999999994998</v>
      </c>
      <c r="BK341" s="545">
        <f t="shared" si="996"/>
        <v>3.2715008431709243</v>
      </c>
      <c r="BL341" s="545">
        <f t="shared" si="997"/>
        <v>3.8898257448011302</v>
      </c>
      <c r="BM341" s="545">
        <f t="shared" ca="1" si="998"/>
        <v>6.3626730708590111</v>
      </c>
      <c r="BN341" s="545">
        <f t="shared" ca="1" si="999"/>
        <v>1957.0440800314782</v>
      </c>
      <c r="BO341" s="553">
        <f t="shared" ca="1" si="1000"/>
        <v>6.7401264711124554E-3</v>
      </c>
      <c r="BP341" s="564">
        <f t="shared" ca="1" si="1001"/>
        <v>0.92339258907797983</v>
      </c>
      <c r="BQ341" s="554">
        <f t="shared" ca="1" si="1002"/>
        <v>0.25006733620388755</v>
      </c>
      <c r="BR341" s="554">
        <f t="shared" ca="1" si="1003"/>
        <v>1.0273697691221533</v>
      </c>
      <c r="BS341" s="545">
        <f t="shared" ca="1" si="1004"/>
        <v>1.591096705965922</v>
      </c>
      <c r="BT341" s="545">
        <f t="shared" ca="1" si="1005"/>
        <v>6.536817963808164</v>
      </c>
      <c r="BU341" s="545">
        <f t="shared" ca="1" si="1006"/>
        <v>6.0220859946679584E-2</v>
      </c>
      <c r="BV341" s="545">
        <f t="shared" ca="1" si="1007"/>
        <v>0.84059505941609958</v>
      </c>
      <c r="BW341" s="545">
        <f t="shared" ca="1" si="1008"/>
        <v>0.99172662959874147</v>
      </c>
      <c r="BX341" s="545">
        <f t="shared" ca="1" si="1009"/>
        <v>4.6403666867181608</v>
      </c>
      <c r="BY341" s="545">
        <f t="shared" ca="1" si="1010"/>
        <v>3.9011384008760697E-2</v>
      </c>
      <c r="BZ341" s="545">
        <f t="shared" ca="1" si="1011"/>
        <v>0.30373538250759258</v>
      </c>
      <c r="CA341" s="541">
        <f t="shared" ca="1" si="1012"/>
        <v>2.4413324112682443E-2</v>
      </c>
      <c r="CB341" s="541">
        <f t="shared" ca="1" si="1013"/>
        <v>0.19007760237325141</v>
      </c>
      <c r="CC341" s="541">
        <f t="shared" ca="1" si="1014"/>
        <v>2.6890099728927672</v>
      </c>
      <c r="CD341" s="541" t="str">
        <f t="shared" ca="1" si="1015"/>
        <v>F. Supercrítico</v>
      </c>
      <c r="CE341" s="541">
        <f t="shared" ca="1" si="1016"/>
        <v>0.94963576649686376</v>
      </c>
      <c r="CF341" s="541">
        <f t="shared" ca="1" si="1017"/>
        <v>7.3936875122154575</v>
      </c>
      <c r="CG341" s="541" t="str">
        <f t="shared" ca="1" si="1018"/>
        <v>O.K</v>
      </c>
      <c r="CH341" s="541" t="str">
        <f t="shared" ca="1" si="1019"/>
        <v>O.K</v>
      </c>
      <c r="CI341" s="541" t="str">
        <f t="shared" ca="1" si="1020"/>
        <v>OK</v>
      </c>
      <c r="CJ341" s="541" t="str">
        <f t="shared" ca="1" si="1021"/>
        <v>OK</v>
      </c>
      <c r="CK341" s="537">
        <f t="shared" si="1022"/>
        <v>0.67999999999994998</v>
      </c>
      <c r="CL341" s="555" t="s">
        <v>2507</v>
      </c>
      <c r="CM341" s="555"/>
      <c r="CN341" s="556" t="str">
        <f t="shared" si="1023"/>
        <v xml:space="preserve"> </v>
      </c>
      <c r="CO341" s="553">
        <f t="shared" si="1024"/>
        <v>17.79</v>
      </c>
      <c r="CP341" s="553">
        <f t="shared" si="1025"/>
        <v>3.2715008431709242E-2</v>
      </c>
      <c r="CQ341" s="555" t="s">
        <v>2508</v>
      </c>
      <c r="CR341" s="553">
        <f t="shared" si="1026"/>
        <v>17.79</v>
      </c>
      <c r="CS341" s="558">
        <v>1.5</v>
      </c>
      <c r="CT341" s="558">
        <v>1.5</v>
      </c>
      <c r="CU341" s="550">
        <f t="shared" si="1027"/>
        <v>17.803453709884497</v>
      </c>
      <c r="CV341" s="559" t="s">
        <v>2509</v>
      </c>
      <c r="CW341" s="560" t="str">
        <f t="shared" ca="1" si="1028"/>
        <v>E3</v>
      </c>
      <c r="CX341" s="553">
        <f ca="1">IF(AND(L341="",H341=""),"",IF(AND(BA341&lt;&gt;4,BA341&lt;&gt;5),VLOOKUP(AY341,'TABLA (2)'!$A$9:$D$43,4),IF(BA341=4,VLOOKUP(AY341,'TABLA (2)'!$A$74:$D$89,4),VLOOKUP(AY341,'TABLA (2)'!$A$51:$D$66,4))))</f>
        <v>4.2099999999999999E-2</v>
      </c>
      <c r="CY341" s="555"/>
      <c r="CZ341" s="555"/>
      <c r="DA341" s="555"/>
      <c r="DB341" s="561"/>
    </row>
    <row r="342" spans="1:106" s="562" customFormat="1" ht="15" hidden="1" customHeight="1">
      <c r="A342" s="465">
        <f t="shared" si="1029"/>
        <v>237</v>
      </c>
      <c r="B342" s="535"/>
      <c r="C342" s="536" t="str">
        <f t="shared" si="1031"/>
        <v>C169</v>
      </c>
      <c r="D342" s="536" t="s">
        <v>2366</v>
      </c>
      <c r="E342" s="596"/>
      <c r="F342" s="596"/>
      <c r="G342" s="537">
        <f t="shared" si="959"/>
        <v>9.0999044942999987</v>
      </c>
      <c r="H342" s="537">
        <f t="shared" si="960"/>
        <v>9.0999044942999987</v>
      </c>
      <c r="I342" s="596">
        <v>1.2500000000000001E-2</v>
      </c>
      <c r="J342" s="596"/>
      <c r="K342" s="597">
        <f t="shared" ref="K342:K351" ca="1" si="1032">+IF(B342=1,0,SUMIF($D$22:$D$585,C342,$L$22:$L$582))</f>
        <v>9.0999044942999987</v>
      </c>
      <c r="L342" s="596">
        <f t="shared" ca="1" si="962"/>
        <v>9.112404494299998</v>
      </c>
      <c r="M342" s="598">
        <f t="shared" si="963"/>
        <v>242.33666300502347</v>
      </c>
      <c r="N342" s="599">
        <f t="shared" si="964"/>
        <v>0</v>
      </c>
      <c r="O342" s="599">
        <f t="shared" si="965"/>
        <v>0</v>
      </c>
      <c r="P342" s="599">
        <f t="shared" si="966"/>
        <v>2205.2404888130773</v>
      </c>
      <c r="Q342" s="598">
        <f t="shared" si="967"/>
        <v>140</v>
      </c>
      <c r="R342" s="600">
        <f t="shared" si="968"/>
        <v>3.0373103954717151</v>
      </c>
      <c r="S342" s="600"/>
      <c r="T342" s="600"/>
      <c r="U342" s="600">
        <f t="shared" si="969"/>
        <v>0</v>
      </c>
      <c r="V342" s="600"/>
      <c r="W342" s="600"/>
      <c r="X342" s="600">
        <f t="shared" si="970"/>
        <v>0</v>
      </c>
      <c r="Y342" s="600">
        <f t="shared" si="971"/>
        <v>1.8199808988599999</v>
      </c>
      <c r="Z342" s="600">
        <f t="shared" ca="1" si="972"/>
        <v>0</v>
      </c>
      <c r="AA342" s="471">
        <f t="shared" ref="AA342:AA405" si="1033">IF(P342="","",IF(1+((14/(4+(P342/1000)^1/2)))&lt;1.4,1.4,IF(1+((14/(4+(P342/1000)^1/2)))&gt;=3.8,3.8,(1+((14/(4+(P342/1000)^1/2)))))))</f>
        <v>3.7436884050594821</v>
      </c>
      <c r="AB342" s="600">
        <f t="shared" si="973"/>
        <v>11.370743710094089</v>
      </c>
      <c r="AC342" s="600">
        <f t="shared" si="974"/>
        <v>0</v>
      </c>
      <c r="AD342" s="600">
        <f t="shared" si="975"/>
        <v>0</v>
      </c>
      <c r="AE342" s="600">
        <f t="shared" si="976"/>
        <v>0</v>
      </c>
      <c r="AF342" s="510">
        <f t="shared" si="958"/>
        <v>3.8</v>
      </c>
      <c r="AG342" s="600">
        <f t="shared" si="977"/>
        <v>0</v>
      </c>
      <c r="AH342" s="600">
        <f t="shared" si="978"/>
        <v>0</v>
      </c>
      <c r="AI342" s="600">
        <f t="shared" ca="1" si="979"/>
        <v>13.190724608954088</v>
      </c>
      <c r="AJ342" s="600">
        <f t="shared" si="980"/>
        <v>0.75</v>
      </c>
      <c r="AK342" s="601">
        <f t="shared" si="981"/>
        <v>0.20953237410071801</v>
      </c>
      <c r="AL342" s="600">
        <f t="shared" si="982"/>
        <v>0.63797661870503597</v>
      </c>
      <c r="AM342" s="602">
        <f t="shared" si="983"/>
        <v>320.50135817867346</v>
      </c>
      <c r="AN342" s="603">
        <f t="shared" ref="AN342:AN351" si="1034">IF(B342=1,IF((0.702*(1.1-$AJ342)*SQRT($CO342))/(($CP342)^(1/3))&lt;5,5,(0.702*(1.1-$AJ342)*SQRT($CO342))/(($CP342)^(1/3))),AP338)</f>
        <v>11.545989947089948</v>
      </c>
      <c r="AO342" s="603">
        <f t="shared" si="984"/>
        <v>0.12355555555555554</v>
      </c>
      <c r="AP342" s="603">
        <f t="shared" si="985"/>
        <v>11.669545502645503</v>
      </c>
      <c r="AQ342" s="612">
        <v>3</v>
      </c>
      <c r="AR342" s="603">
        <f t="shared" ca="1" si="986"/>
        <v>4.5395826500361676E-2</v>
      </c>
      <c r="AS342" s="603">
        <f t="shared" ca="1" si="987"/>
        <v>2.7217382098896503</v>
      </c>
      <c r="AT342" s="600" t="str">
        <f t="shared" ca="1" si="988"/>
        <v>Aumentar vel.</v>
      </c>
      <c r="AU342" s="605">
        <f t="shared" si="989"/>
        <v>2.5559046597650217</v>
      </c>
      <c r="AV342" s="600">
        <f t="shared" ca="1" si="990"/>
        <v>1863.234968691607</v>
      </c>
      <c r="AW342" s="600">
        <f t="shared" ca="1" si="991"/>
        <v>1863.23</v>
      </c>
      <c r="AX342" s="600">
        <f>IF(OR(C342="",D342=""),"",ROUND(((VLOOKUP(C342,'Base de Diseño (2)'!$A$2:$C$333,2,FALSE)-VLOOKUP(D342,'Base de Diseño (2)'!$A$2:$C$333,2,FALSE))^2+(VLOOKUP(C342,'Base de Diseño (2)'!$A$2:$C$333,3,0)-VLOOKUP(D342,'Base de Diseño (2)'!$A$2:$C$333,3,FALSE))^2)^0.5,2))</f>
        <v>22.24</v>
      </c>
      <c r="AY342" s="606">
        <v>24</v>
      </c>
      <c r="AZ342" s="607">
        <v>600</v>
      </c>
      <c r="BA342" s="606">
        <v>6</v>
      </c>
      <c r="BB342" s="547">
        <f>IF(OR(C342="",D342=""),"",VLOOKUP(C342,'Base de Diseño (2)'!$A$2:$D$330,4,FALSE))</f>
        <v>983.56</v>
      </c>
      <c r="BC342" s="608">
        <v>978.9</v>
      </c>
      <c r="BD342" s="609">
        <f t="shared" si="992"/>
        <v>4.9580000000000002</v>
      </c>
      <c r="BE342" s="609">
        <f t="shared" si="993"/>
        <v>3.5506065919522856</v>
      </c>
      <c r="BF342" s="1375">
        <v>5.63</v>
      </c>
      <c r="BG342" s="1375">
        <v>4.2226065919522853</v>
      </c>
      <c r="BH342" s="611">
        <f t="shared" si="994"/>
        <v>977.93</v>
      </c>
      <c r="BI342" s="611">
        <f t="shared" si="995"/>
        <v>974.67739340804769</v>
      </c>
      <c r="BJ342" s="537">
        <f t="shared" si="1030"/>
        <v>0</v>
      </c>
      <c r="BK342" s="612">
        <f t="shared" si="996"/>
        <v>20.9532374100718</v>
      </c>
      <c r="BL342" s="612">
        <f t="shared" si="997"/>
        <v>14.625029640073103</v>
      </c>
      <c r="BM342" s="612">
        <f t="shared" si="998"/>
        <v>8.3048641210505405</v>
      </c>
      <c r="BN342" s="612">
        <f t="shared" si="999"/>
        <v>2348.145010057845</v>
      </c>
      <c r="BO342" s="613">
        <f t="shared" ca="1" si="1000"/>
        <v>5.6175085237300335E-3</v>
      </c>
      <c r="BP342" s="614">
        <f t="shared" ca="1" si="1001"/>
        <v>0.79349017714800352</v>
      </c>
      <c r="BQ342" s="615">
        <f t="shared" ca="1" si="1002"/>
        <v>0.23715689254599762</v>
      </c>
      <c r="BR342" s="615">
        <f t="shared" ca="1" si="1003"/>
        <v>0.98318461454081885</v>
      </c>
      <c r="BS342" s="612">
        <f t="shared" ca="1" si="1004"/>
        <v>1.9695557679650939</v>
      </c>
      <c r="BT342" s="612">
        <f t="shared" ca="1" si="1005"/>
        <v>8.1652146296689523</v>
      </c>
      <c r="BU342" s="612">
        <f t="shared" ca="1" si="1006"/>
        <v>4.8469576142330217E-2</v>
      </c>
      <c r="BV342" s="612">
        <f t="shared" ca="1" si="1007"/>
        <v>0.75399345145845198</v>
      </c>
      <c r="BW342" s="612">
        <f t="shared" ca="1" si="1008"/>
        <v>0.8879060571541002</v>
      </c>
      <c r="BX342" s="612">
        <f t="shared" ca="1" si="1009"/>
        <v>4.207284800893488</v>
      </c>
      <c r="BY342" s="612">
        <f t="shared" ca="1" si="1010"/>
        <v>3.1578218253817097E-2</v>
      </c>
      <c r="BZ342" s="612">
        <f t="shared" ca="1" si="1011"/>
        <v>0.30200052458287219</v>
      </c>
      <c r="CA342" s="600">
        <f t="shared" ca="1" si="1012"/>
        <v>1.8946930952290258E-2</v>
      </c>
      <c r="CB342" s="600">
        <f t="shared" ca="1" si="1013"/>
        <v>0.18120031474972331</v>
      </c>
      <c r="CC342" s="600">
        <f t="shared" ref="CC342:CC351" ca="1" si="1035">+(BS342/SQRT(9.81*(0.125*(BW342-SIN(BW342))*(AZ342/1000)^2)/((AZ342/1000)*SIN(BW342/2))))</f>
        <v>4.4934902527520526</v>
      </c>
      <c r="CD342" s="600" t="str">
        <f t="shared" ca="1" si="1015"/>
        <v>F. Supercrítico</v>
      </c>
      <c r="CE342" s="600">
        <f t="shared" ca="1" si="1016"/>
        <v>2.7709942676566355</v>
      </c>
      <c r="CF342" s="600">
        <f t="shared" ca="1" si="1017"/>
        <v>26.500599740052788</v>
      </c>
      <c r="CG342" s="600" t="str">
        <f t="shared" ca="1" si="1018"/>
        <v>O.K</v>
      </c>
      <c r="CH342" s="600" t="str">
        <f t="shared" ca="1" si="1019"/>
        <v>O.K</v>
      </c>
      <c r="CI342" s="600" t="str">
        <f t="shared" ca="1" si="1020"/>
        <v>OK</v>
      </c>
      <c r="CJ342" s="600" t="str">
        <f t="shared" ca="1" si="1021"/>
        <v>OK</v>
      </c>
      <c r="CK342" s="596">
        <f t="shared" si="1022"/>
        <v>0</v>
      </c>
      <c r="CL342" s="482" t="s">
        <v>2507</v>
      </c>
      <c r="CM342" s="616"/>
      <c r="CN342" s="617" t="str">
        <f t="shared" si="1023"/>
        <v xml:space="preserve"> </v>
      </c>
      <c r="CO342" s="527">
        <f t="shared" si="1024"/>
        <v>22.24</v>
      </c>
      <c r="CP342" s="542">
        <f t="shared" si="1025"/>
        <v>0.20953237410071801</v>
      </c>
      <c r="CQ342" s="616" t="s">
        <v>2508</v>
      </c>
      <c r="CR342" s="613">
        <f t="shared" si="1026"/>
        <v>22.24</v>
      </c>
      <c r="CS342" s="620">
        <v>1.2</v>
      </c>
      <c r="CT342" s="620">
        <v>1.2</v>
      </c>
      <c r="CU342" s="609">
        <f t="shared" si="1027"/>
        <v>22.476588923633656</v>
      </c>
      <c r="CV342" s="621" t="s">
        <v>2525</v>
      </c>
      <c r="CW342" s="622" t="str">
        <f t="shared" si="1028"/>
        <v>E3</v>
      </c>
      <c r="CX342" s="613">
        <v>7.1999999999999995E-2</v>
      </c>
      <c r="CY342" s="616"/>
      <c r="CZ342" s="616"/>
      <c r="DA342" s="616"/>
      <c r="DB342" s="561"/>
    </row>
    <row r="343" spans="1:106" s="562" customFormat="1" ht="15" hidden="1" customHeight="1">
      <c r="A343" s="465">
        <f t="shared" si="1029"/>
        <v>238</v>
      </c>
      <c r="B343" s="535"/>
      <c r="C343" s="536" t="str">
        <f t="shared" si="1031"/>
        <v>CX1</v>
      </c>
      <c r="D343" s="536" t="s">
        <v>2367</v>
      </c>
      <c r="E343" s="596"/>
      <c r="F343" s="596"/>
      <c r="G343" s="537">
        <f t="shared" si="959"/>
        <v>9.0999044942999987</v>
      </c>
      <c r="H343" s="537">
        <f t="shared" si="960"/>
        <v>9.0999044942999987</v>
      </c>
      <c r="I343" s="596">
        <v>0.1186</v>
      </c>
      <c r="J343" s="596"/>
      <c r="K343" s="597">
        <f t="shared" ca="1" si="1032"/>
        <v>9.112404494299998</v>
      </c>
      <c r="L343" s="596">
        <f t="shared" ca="1" si="962"/>
        <v>9.2310044942999987</v>
      </c>
      <c r="M343" s="598">
        <f t="shared" si="963"/>
        <v>242.33666300502347</v>
      </c>
      <c r="N343" s="599">
        <f t="shared" si="964"/>
        <v>0</v>
      </c>
      <c r="O343" s="599">
        <f t="shared" si="965"/>
        <v>0</v>
      </c>
      <c r="P343" s="599">
        <f t="shared" si="966"/>
        <v>2205.2404888130773</v>
      </c>
      <c r="Q343" s="598">
        <f t="shared" si="967"/>
        <v>140</v>
      </c>
      <c r="R343" s="600">
        <f t="shared" si="968"/>
        <v>3.0373103954717151</v>
      </c>
      <c r="S343" s="600"/>
      <c r="T343" s="600"/>
      <c r="U343" s="600">
        <f t="shared" si="969"/>
        <v>0</v>
      </c>
      <c r="V343" s="600"/>
      <c r="W343" s="600"/>
      <c r="X343" s="600">
        <f t="shared" si="970"/>
        <v>0</v>
      </c>
      <c r="Y343" s="600">
        <f t="shared" si="971"/>
        <v>1.8199808988599999</v>
      </c>
      <c r="Z343" s="600">
        <f t="shared" ca="1" si="972"/>
        <v>0</v>
      </c>
      <c r="AA343" s="471">
        <f t="shared" si="1033"/>
        <v>3.7436884050594821</v>
      </c>
      <c r="AB343" s="600">
        <f t="shared" si="973"/>
        <v>11.370743710094089</v>
      </c>
      <c r="AC343" s="600">
        <f t="shared" si="974"/>
        <v>0</v>
      </c>
      <c r="AD343" s="600">
        <f t="shared" si="975"/>
        <v>0</v>
      </c>
      <c r="AE343" s="600">
        <f t="shared" si="976"/>
        <v>0</v>
      </c>
      <c r="AF343" s="510">
        <f t="shared" si="958"/>
        <v>3.8</v>
      </c>
      <c r="AG343" s="600">
        <f t="shared" si="977"/>
        <v>0</v>
      </c>
      <c r="AH343" s="600">
        <f t="shared" si="978"/>
        <v>0</v>
      </c>
      <c r="AI343" s="600">
        <f t="shared" ca="1" si="979"/>
        <v>13.190724608954088</v>
      </c>
      <c r="AJ343" s="600">
        <f t="shared" si="980"/>
        <v>0.75</v>
      </c>
      <c r="AK343" s="601">
        <f t="shared" si="981"/>
        <v>6.3960955561264035E-2</v>
      </c>
      <c r="AL343" s="600">
        <f t="shared" si="982"/>
        <v>0.63069804777806326</v>
      </c>
      <c r="AM343" s="602">
        <f t="shared" si="983"/>
        <v>315.59410830044033</v>
      </c>
      <c r="AN343" s="603">
        <f t="shared" si="1034"/>
        <v>12.003533806739071</v>
      </c>
      <c r="AO343" s="603">
        <f t="shared" si="984"/>
        <v>0.21627777777777779</v>
      </c>
      <c r="AP343" s="603">
        <f t="shared" si="985"/>
        <v>12.219811584516849</v>
      </c>
      <c r="AQ343" s="612">
        <v>3</v>
      </c>
      <c r="AR343" s="603">
        <f t="shared" ca="1" si="986"/>
        <v>0.21296764394208784</v>
      </c>
      <c r="AS343" s="603">
        <f t="shared" ca="1" si="987"/>
        <v>1.0155428955047747</v>
      </c>
      <c r="AT343" s="600" t="str">
        <f t="shared" ca="1" si="988"/>
        <v>Cumple</v>
      </c>
      <c r="AU343" s="605">
        <f t="shared" si="989"/>
        <v>23.606688136248081</v>
      </c>
      <c r="AV343" s="600">
        <f t="shared" ca="1" si="990"/>
        <v>1837.3814863511338</v>
      </c>
      <c r="AW343" s="600">
        <f t="shared" ca="1" si="991"/>
        <v>1837.38</v>
      </c>
      <c r="AX343" s="600">
        <f>IF(OR(C343="",D343=""),"",ROUND(((VLOOKUP(C343,'Base de Diseño (2)'!$A$2:$C$333,2,FALSE)-VLOOKUP(D343,'Base de Diseño (2)'!$A$2:$C$333,2,FALSE))^2+(VLOOKUP(C343,'Base de Diseño (2)'!$A$2:$C$333,3,0)-VLOOKUP(D343,'Base de Diseño (2)'!$A$2:$C$333,3,FALSE))^2)^0.5,2))</f>
        <v>38.93</v>
      </c>
      <c r="AY343" s="606">
        <v>36</v>
      </c>
      <c r="AZ343" s="607">
        <v>900</v>
      </c>
      <c r="BA343" s="606">
        <v>6</v>
      </c>
      <c r="BB343" s="608">
        <v>978.9</v>
      </c>
      <c r="BC343" s="608">
        <v>976.41</v>
      </c>
      <c r="BD343" s="609">
        <f t="shared" si="992"/>
        <v>3.2296065919522854</v>
      </c>
      <c r="BE343" s="609">
        <f t="shared" si="993"/>
        <v>1.1443787992068857</v>
      </c>
      <c r="BF343" s="625">
        <v>4.2226065919522853</v>
      </c>
      <c r="BG343" s="625">
        <v>2.1373787992068856</v>
      </c>
      <c r="BH343" s="611">
        <f t="shared" si="994"/>
        <v>974.67739340804769</v>
      </c>
      <c r="BI343" s="611">
        <f t="shared" si="995"/>
        <v>974.27262120079308</v>
      </c>
      <c r="BJ343" s="596">
        <f t="shared" si="1030"/>
        <v>8.2621200793141725E-2</v>
      </c>
      <c r="BK343" s="612">
        <f t="shared" si="996"/>
        <v>6.3960955561264035</v>
      </c>
      <c r="BL343" s="612">
        <f t="shared" si="997"/>
        <v>1.0397436610701498</v>
      </c>
      <c r="BM343" s="612">
        <f t="shared" si="998"/>
        <v>2.9016262205356225</v>
      </c>
      <c r="BN343" s="612">
        <f t="shared" si="999"/>
        <v>1845.9348426243914</v>
      </c>
      <c r="BO343" s="613">
        <f t="shared" ca="1" si="1000"/>
        <v>7.145823516826114E-3</v>
      </c>
      <c r="BP343" s="614">
        <f t="shared" ca="1" si="1001"/>
        <v>0.99536557714451679</v>
      </c>
      <c r="BQ343" s="615">
        <f t="shared" ca="1" si="1002"/>
        <v>0.25435630805106962</v>
      </c>
      <c r="BR343" s="615">
        <f t="shared" ca="1" si="1003"/>
        <v>1.0499728272899103</v>
      </c>
      <c r="BS343" s="612">
        <f t="shared" ca="1" si="1004"/>
        <v>0.73804693279961964</v>
      </c>
      <c r="BT343" s="612">
        <f t="shared" ca="1" si="1005"/>
        <v>3.0466286865143242</v>
      </c>
      <c r="BU343" s="612">
        <f t="shared" ca="1" si="1006"/>
        <v>6.3990844538094505E-2</v>
      </c>
      <c r="BV343" s="612">
        <f t="shared" ca="1" si="1007"/>
        <v>0.8885770514628567</v>
      </c>
      <c r="BW343" s="612">
        <f t="shared" ca="1" si="1008"/>
        <v>1.0229711909867971</v>
      </c>
      <c r="BX343" s="612">
        <f t="shared" ca="1" si="1009"/>
        <v>4.9218543646744699</v>
      </c>
      <c r="BY343" s="612">
        <f t="shared" ca="1" si="1010"/>
        <v>4.1377487902827775E-2</v>
      </c>
      <c r="BZ343" s="612">
        <f t="shared" ca="1" si="1011"/>
        <v>0.29968362269662069</v>
      </c>
      <c r="CA343" s="600">
        <f t="shared" ca="1" si="1012"/>
        <v>3.7239739112544995E-2</v>
      </c>
      <c r="CB343" s="600">
        <f t="shared" ca="1" si="1013"/>
        <v>0.26971526042695859</v>
      </c>
      <c r="CC343" s="600">
        <f t="shared" ca="1" si="1035"/>
        <v>1.1945214144195717</v>
      </c>
      <c r="CD343" s="600" t="str">
        <f t="shared" ca="1" si="1015"/>
        <v>F. Supercrítico Inestable</v>
      </c>
      <c r="CE343" s="600">
        <f t="shared" ca="1" si="1016"/>
        <v>0.3871978268217478</v>
      </c>
      <c r="CF343" s="600">
        <f t="shared" ca="1" si="1017"/>
        <v>2.8043473232281482</v>
      </c>
      <c r="CG343" s="600" t="str">
        <f t="shared" ca="1" si="1018"/>
        <v>O.K</v>
      </c>
      <c r="CH343" s="600" t="str">
        <f t="shared" ca="1" si="1019"/>
        <v>O.K</v>
      </c>
      <c r="CI343" s="600" t="str">
        <f t="shared" ca="1" si="1020"/>
        <v>OK</v>
      </c>
      <c r="CJ343" s="600" t="str">
        <f t="shared" ca="1" si="1021"/>
        <v>OK</v>
      </c>
      <c r="CK343" s="596">
        <f t="shared" si="1022"/>
        <v>8.2621200793141725E-2</v>
      </c>
      <c r="CL343" s="482" t="s">
        <v>2507</v>
      </c>
      <c r="CM343" s="616"/>
      <c r="CN343" s="617" t="str">
        <f t="shared" si="1023"/>
        <v xml:space="preserve"> </v>
      </c>
      <c r="CO343" s="527">
        <f t="shared" si="1024"/>
        <v>38.93</v>
      </c>
      <c r="CP343" s="511">
        <f t="shared" si="1025"/>
        <v>6.3960955561264035E-2</v>
      </c>
      <c r="CQ343" s="616" t="s">
        <v>2508</v>
      </c>
      <c r="CR343" s="613">
        <f t="shared" si="1026"/>
        <v>38.93</v>
      </c>
      <c r="CS343" s="620">
        <v>1.2</v>
      </c>
      <c r="CT343" s="620">
        <v>1.2</v>
      </c>
      <c r="CU343" s="609">
        <f t="shared" si="1027"/>
        <v>38.932104239814286</v>
      </c>
      <c r="CV343" s="621" t="s">
        <v>2525</v>
      </c>
      <c r="CW343" s="622" t="str">
        <f t="shared" si="1028"/>
        <v>E3</v>
      </c>
      <c r="CX343" s="613">
        <v>9.2999999999999999E-2</v>
      </c>
      <c r="CY343" s="616"/>
      <c r="CZ343" s="616"/>
      <c r="DA343" s="616"/>
      <c r="DB343" s="561"/>
    </row>
    <row r="344" spans="1:106" s="562" customFormat="1" ht="15" hidden="1" customHeight="1">
      <c r="A344" s="465">
        <f t="shared" si="1029"/>
        <v>239</v>
      </c>
      <c r="B344" s="535"/>
      <c r="C344" s="536" t="str">
        <f t="shared" si="1031"/>
        <v>CX2</v>
      </c>
      <c r="D344" s="536" t="s">
        <v>2369</v>
      </c>
      <c r="E344" s="596"/>
      <c r="F344" s="596"/>
      <c r="G344" s="537">
        <f t="shared" si="959"/>
        <v>9.0999044942999987</v>
      </c>
      <c r="H344" s="537">
        <f t="shared" si="960"/>
        <v>9.0999044942999987</v>
      </c>
      <c r="I344" s="596">
        <v>8.8200000000000001E-2</v>
      </c>
      <c r="J344" s="596"/>
      <c r="K344" s="597">
        <f t="shared" ca="1" si="1032"/>
        <v>9.2310044942999987</v>
      </c>
      <c r="L344" s="596">
        <f t="shared" ca="1" si="962"/>
        <v>9.3192044942999992</v>
      </c>
      <c r="M344" s="598">
        <f t="shared" si="963"/>
        <v>242.33666300502347</v>
      </c>
      <c r="N344" s="599">
        <f t="shared" si="964"/>
        <v>0</v>
      </c>
      <c r="O344" s="599">
        <f t="shared" si="965"/>
        <v>0</v>
      </c>
      <c r="P344" s="599">
        <f t="shared" si="966"/>
        <v>2205.2404888130773</v>
      </c>
      <c r="Q344" s="598">
        <f t="shared" si="967"/>
        <v>140</v>
      </c>
      <c r="R344" s="600">
        <f t="shared" si="968"/>
        <v>3.0373103954717151</v>
      </c>
      <c r="S344" s="600"/>
      <c r="T344" s="600"/>
      <c r="U344" s="600">
        <f t="shared" si="969"/>
        <v>0</v>
      </c>
      <c r="V344" s="600"/>
      <c r="W344" s="600"/>
      <c r="X344" s="600">
        <f t="shared" si="970"/>
        <v>0</v>
      </c>
      <c r="Y344" s="600">
        <f t="shared" si="971"/>
        <v>1.8199808988599999</v>
      </c>
      <c r="Z344" s="600">
        <f t="shared" ca="1" si="972"/>
        <v>0</v>
      </c>
      <c r="AA344" s="471">
        <f t="shared" si="1033"/>
        <v>3.7436884050594821</v>
      </c>
      <c r="AB344" s="600">
        <f t="shared" si="973"/>
        <v>11.370743710094089</v>
      </c>
      <c r="AC344" s="600">
        <f t="shared" si="974"/>
        <v>0</v>
      </c>
      <c r="AD344" s="600">
        <f t="shared" si="975"/>
        <v>0</v>
      </c>
      <c r="AE344" s="600">
        <f t="shared" si="976"/>
        <v>0</v>
      </c>
      <c r="AF344" s="510">
        <f t="shared" si="958"/>
        <v>3.8</v>
      </c>
      <c r="AG344" s="600">
        <f t="shared" si="977"/>
        <v>0</v>
      </c>
      <c r="AH344" s="600">
        <f t="shared" si="978"/>
        <v>0</v>
      </c>
      <c r="AI344" s="600">
        <f t="shared" ca="1" si="979"/>
        <v>13.190724608954088</v>
      </c>
      <c r="AJ344" s="600">
        <f t="shared" si="980"/>
        <v>0.75</v>
      </c>
      <c r="AK344" s="601">
        <f t="shared" si="981"/>
        <v>1.2511938872967698E-2</v>
      </c>
      <c r="AL344" s="600">
        <f t="shared" si="982"/>
        <v>0.62812559694364845</v>
      </c>
      <c r="AM344" s="602">
        <f t="shared" si="983"/>
        <v>314.63969649039404</v>
      </c>
      <c r="AN344" s="603">
        <f t="shared" si="1034"/>
        <v>12.154242140072405</v>
      </c>
      <c r="AO344" s="603">
        <f t="shared" si="984"/>
        <v>0.17449999999999999</v>
      </c>
      <c r="AP344" s="603">
        <f t="shared" si="985"/>
        <v>12.328742140072405</v>
      </c>
      <c r="AQ344" s="612">
        <v>3</v>
      </c>
      <c r="AR344" s="603" t="e">
        <f t="shared" ca="1" si="986"/>
        <v>#NUM!</v>
      </c>
      <c r="AS344" s="603" t="e">
        <f t="shared" ca="1" si="987"/>
        <v>#NUM!</v>
      </c>
      <c r="AT344" s="600" t="e">
        <f t="shared" ca="1" si="988"/>
        <v>#NUM!</v>
      </c>
      <c r="AU344" s="605">
        <f t="shared" si="989"/>
        <v>17.431252401293388</v>
      </c>
      <c r="AV344" s="600">
        <f t="shared" ca="1" si="990"/>
        <v>1841.7846453447958</v>
      </c>
      <c r="AW344" s="600">
        <f t="shared" ca="1" si="991"/>
        <v>1841.78</v>
      </c>
      <c r="AX344" s="600">
        <f>IF(OR(C344="",D344=""),"",ROUND(((VLOOKUP(C344,'Base de Diseño (2)'!$A$2:$C$333,2,FALSE)-VLOOKUP(D344,'Base de Diseño (2)'!$A$2:$C$333,2,FALSE))^2+(VLOOKUP(C344,'Base de Diseño (2)'!$A$2:$C$333,3,0)-VLOOKUP(D344,'Base de Diseño (2)'!$A$2:$C$333,3,FALSE))^2)^0.5,2))</f>
        <v>31.41</v>
      </c>
      <c r="AY344" s="606">
        <v>36</v>
      </c>
      <c r="AZ344" s="607">
        <v>900</v>
      </c>
      <c r="BA344" s="606">
        <v>6</v>
      </c>
      <c r="BB344" s="608">
        <v>976.41</v>
      </c>
      <c r="BC344" s="608">
        <v>976.01700000000005</v>
      </c>
      <c r="BD344" s="609">
        <f t="shared" si="992"/>
        <v>1.2270000000000274</v>
      </c>
      <c r="BE344" s="609">
        <f t="shared" si="993"/>
        <v>-0.50139154465211322</v>
      </c>
      <c r="BF344" s="625">
        <v>2.2200000000000273</v>
      </c>
      <c r="BG344" s="625">
        <v>0.49160845534788677</v>
      </c>
      <c r="BH344" s="611">
        <f t="shared" si="994"/>
        <v>974.18999999999994</v>
      </c>
      <c r="BI344" s="611">
        <f t="shared" si="995"/>
        <v>975.52539154465217</v>
      </c>
      <c r="BJ344" s="596">
        <f t="shared" si="1030"/>
        <v>0.30139154465211959</v>
      </c>
      <c r="BK344" s="612">
        <f t="shared" si="996"/>
        <v>1.2511938872967698</v>
      </c>
      <c r="BL344" s="612">
        <f t="shared" si="997"/>
        <v>-4.2514853379567814</v>
      </c>
      <c r="BM344" s="612" t="e">
        <f t="shared" si="998"/>
        <v>#NUM!</v>
      </c>
      <c r="BN344" s="612" t="e">
        <f t="shared" si="999"/>
        <v>#NUM!</v>
      </c>
      <c r="BO344" s="613" t="e">
        <f t="shared" ca="1" si="1000"/>
        <v>#NUM!</v>
      </c>
      <c r="BP344" s="614" t="e">
        <f t="shared" ca="1" si="1001"/>
        <v>#NUM!</v>
      </c>
      <c r="BQ344" s="615" t="e">
        <f t="shared" ca="1" si="1002"/>
        <v>#NUM!</v>
      </c>
      <c r="BR344" s="615" t="e">
        <f t="shared" ca="1" si="1003"/>
        <v>#NUM!</v>
      </c>
      <c r="BS344" s="612" t="e">
        <f t="shared" ca="1" si="1004"/>
        <v>#NUM!</v>
      </c>
      <c r="BT344" s="612" t="e">
        <f t="shared" ca="1" si="1005"/>
        <v>#NUM!</v>
      </c>
      <c r="BU344" s="612" t="e">
        <f t="shared" ca="1" si="1006"/>
        <v>#NUM!</v>
      </c>
      <c r="BV344" s="612" t="e">
        <f t="shared" ca="1" si="1007"/>
        <v>#NUM!</v>
      </c>
      <c r="BW344" s="612" t="e">
        <f t="shared" ca="1" si="1008"/>
        <v>#NUM!</v>
      </c>
      <c r="BX344" s="612" t="e">
        <f t="shared" ca="1" si="1009"/>
        <v>#NUM!</v>
      </c>
      <c r="BY344" s="612" t="e">
        <f t="shared" ca="1" si="1010"/>
        <v>#NUM!</v>
      </c>
      <c r="BZ344" s="612" t="e">
        <f t="shared" ca="1" si="1011"/>
        <v>#NUM!</v>
      </c>
      <c r="CA344" s="600" t="e">
        <f t="shared" ca="1" si="1012"/>
        <v>#NUM!</v>
      </c>
      <c r="CB344" s="600" t="e">
        <f t="shared" ca="1" si="1013"/>
        <v>#NUM!</v>
      </c>
      <c r="CC344" s="600" t="e">
        <f t="shared" ca="1" si="1035"/>
        <v>#NUM!</v>
      </c>
      <c r="CD344" s="600" t="e">
        <f t="shared" ca="1" si="1015"/>
        <v>#NUM!</v>
      </c>
      <c r="CE344" s="600" t="e">
        <f t="shared" ca="1" si="1016"/>
        <v>#NUM!</v>
      </c>
      <c r="CF344" s="600" t="e">
        <f t="shared" ca="1" si="1017"/>
        <v>#NUM!</v>
      </c>
      <c r="CG344" s="600" t="e">
        <f t="shared" ca="1" si="1018"/>
        <v>#NUM!</v>
      </c>
      <c r="CH344" s="600" t="e">
        <f t="shared" ca="1" si="1019"/>
        <v>#NUM!</v>
      </c>
      <c r="CI344" s="600" t="e">
        <f t="shared" ca="1" si="1020"/>
        <v>#NUM!</v>
      </c>
      <c r="CJ344" s="600" t="e">
        <f t="shared" ca="1" si="1021"/>
        <v>#NUM!</v>
      </c>
      <c r="CK344" s="596">
        <f t="shared" si="1022"/>
        <v>0.30139154465211959</v>
      </c>
      <c r="CL344" s="482" t="s">
        <v>2507</v>
      </c>
      <c r="CM344" s="616"/>
      <c r="CN344" s="617" t="str">
        <f t="shared" si="1023"/>
        <v xml:space="preserve"> </v>
      </c>
      <c r="CO344" s="527">
        <f t="shared" si="1024"/>
        <v>31.41</v>
      </c>
      <c r="CP344" s="542">
        <f t="shared" si="1025"/>
        <v>1.2511938872967698E-2</v>
      </c>
      <c r="CQ344" s="616" t="s">
        <v>2508</v>
      </c>
      <c r="CR344" s="613">
        <f t="shared" si="1026"/>
        <v>31.41</v>
      </c>
      <c r="CS344" s="620">
        <v>1.2</v>
      </c>
      <c r="CT344" s="620">
        <v>1.2</v>
      </c>
      <c r="CU344" s="609">
        <f t="shared" si="1027"/>
        <v>31.438374171981742</v>
      </c>
      <c r="CV344" s="621" t="s">
        <v>2525</v>
      </c>
      <c r="CW344" s="622" t="str">
        <f t="shared" si="1028"/>
        <v>E2</v>
      </c>
      <c r="CX344" s="613">
        <v>9.2999999999999999E-2</v>
      </c>
      <c r="CY344" s="616"/>
      <c r="CZ344" s="616"/>
      <c r="DA344" s="616"/>
      <c r="DB344" s="561"/>
    </row>
    <row r="345" spans="1:106" s="562" customFormat="1" ht="15" hidden="1" customHeight="1">
      <c r="A345" s="465">
        <f t="shared" si="1029"/>
        <v>240</v>
      </c>
      <c r="B345" s="535"/>
      <c r="C345" s="536" t="str">
        <f t="shared" si="1031"/>
        <v>CX3</v>
      </c>
      <c r="D345" s="536" t="s">
        <v>2368</v>
      </c>
      <c r="E345" s="596"/>
      <c r="F345" s="596"/>
      <c r="G345" s="537">
        <f t="shared" si="959"/>
        <v>9.0999044942999987</v>
      </c>
      <c r="H345" s="537">
        <f t="shared" si="960"/>
        <v>9.0999044942999987</v>
      </c>
      <c r="I345" s="596">
        <v>0.1037</v>
      </c>
      <c r="J345" s="596"/>
      <c r="K345" s="597">
        <f t="shared" ca="1" si="1032"/>
        <v>9.3192044942999992</v>
      </c>
      <c r="L345" s="596">
        <f t="shared" ca="1" si="962"/>
        <v>9.4229044942999991</v>
      </c>
      <c r="M345" s="598">
        <f t="shared" si="963"/>
        <v>242.33666300502347</v>
      </c>
      <c r="N345" s="599">
        <f t="shared" si="964"/>
        <v>0</v>
      </c>
      <c r="O345" s="599">
        <f t="shared" si="965"/>
        <v>0</v>
      </c>
      <c r="P345" s="599">
        <f t="shared" si="966"/>
        <v>2205.2404888130773</v>
      </c>
      <c r="Q345" s="598">
        <f t="shared" si="967"/>
        <v>140</v>
      </c>
      <c r="R345" s="600">
        <f t="shared" si="968"/>
        <v>3.0373103954717151</v>
      </c>
      <c r="S345" s="600"/>
      <c r="T345" s="600"/>
      <c r="U345" s="600">
        <f t="shared" si="969"/>
        <v>0</v>
      </c>
      <c r="V345" s="600"/>
      <c r="W345" s="600"/>
      <c r="X345" s="600">
        <f t="shared" si="970"/>
        <v>0</v>
      </c>
      <c r="Y345" s="600">
        <f t="shared" si="971"/>
        <v>1.8199808988599999</v>
      </c>
      <c r="Z345" s="600">
        <f t="shared" ca="1" si="972"/>
        <v>0</v>
      </c>
      <c r="AA345" s="471">
        <f t="shared" si="1033"/>
        <v>3.7436884050594821</v>
      </c>
      <c r="AB345" s="600">
        <f t="shared" si="973"/>
        <v>11.370743710094089</v>
      </c>
      <c r="AC345" s="600">
        <f t="shared" si="974"/>
        <v>0</v>
      </c>
      <c r="AD345" s="600">
        <f t="shared" si="975"/>
        <v>0</v>
      </c>
      <c r="AE345" s="600">
        <f t="shared" si="976"/>
        <v>0</v>
      </c>
      <c r="AF345" s="510">
        <f t="shared" si="958"/>
        <v>3.8</v>
      </c>
      <c r="AG345" s="600">
        <f t="shared" si="977"/>
        <v>0</v>
      </c>
      <c r="AH345" s="600">
        <f t="shared" si="978"/>
        <v>0</v>
      </c>
      <c r="AI345" s="600">
        <f t="shared" ca="1" si="979"/>
        <v>13.190724608954088</v>
      </c>
      <c r="AJ345" s="600">
        <f t="shared" si="980"/>
        <v>0.75</v>
      </c>
      <c r="AK345" s="601">
        <f t="shared" si="981"/>
        <v>6.5354330708663033E-2</v>
      </c>
      <c r="AL345" s="600">
        <f t="shared" si="982"/>
        <v>0.63076771653543318</v>
      </c>
      <c r="AM345" s="602">
        <f t="shared" si="983"/>
        <v>313.24810527163379</v>
      </c>
      <c r="AN345" s="603">
        <f t="shared" si="1034"/>
        <v>12.213542140072406</v>
      </c>
      <c r="AO345" s="603">
        <f t="shared" si="984"/>
        <v>0.27516666666666667</v>
      </c>
      <c r="AP345" s="603">
        <f t="shared" si="985"/>
        <v>12.488708806739073</v>
      </c>
      <c r="AQ345" s="612">
        <v>3</v>
      </c>
      <c r="AR345" s="603" t="e">
        <f t="shared" ca="1" si="986"/>
        <v>#VALUE!</v>
      </c>
      <c r="AS345" s="603" t="e">
        <f t="shared" ca="1" si="987"/>
        <v>#VALUE!</v>
      </c>
      <c r="AT345" s="600" t="e">
        <f t="shared" ca="1" si="988"/>
        <v>#VALUE!</v>
      </c>
      <c r="AU345" s="605">
        <f t="shared" si="989"/>
        <v>20.48975033778753</v>
      </c>
      <c r="AV345" s="600">
        <f t="shared" ca="1" si="990"/>
        <v>1861.8414710224015</v>
      </c>
      <c r="AW345" s="600">
        <f t="shared" ca="1" si="991"/>
        <v>1861.84</v>
      </c>
      <c r="AX345" s="600">
        <f>IF(OR(C345="",D345=""),"",ROUND(((VLOOKUP(C345,'Base de Diseño (2)'!$A$2:$C$333,2,FALSE)-VLOOKUP(D345,'Base de Diseño (2)'!$A$2:$C$333,2,FALSE))^2+(VLOOKUP(C345,'Base de Diseño (2)'!$A$2:$C$333,3,0)-VLOOKUP(D345,'Base de Diseño (2)'!$A$2:$C$333,3,FALSE))^2)^0.5,2))</f>
        <v>49.53</v>
      </c>
      <c r="AY345" s="606">
        <v>16</v>
      </c>
      <c r="AZ345" s="607">
        <v>400</v>
      </c>
      <c r="BA345" s="606">
        <v>6</v>
      </c>
      <c r="BB345" s="608">
        <v>976.01700000000005</v>
      </c>
      <c r="BC345" s="608">
        <v>972.78</v>
      </c>
      <c r="BD345" s="609">
        <f t="shared" si="992"/>
        <v>0.33100000000000634</v>
      </c>
      <c r="BE345" s="609">
        <f t="shared" si="993"/>
        <v>0.6979999999999682</v>
      </c>
      <c r="BF345" s="625">
        <v>0.79300000000000637</v>
      </c>
      <c r="BG345" s="625">
        <v>1.1599999999999682</v>
      </c>
      <c r="BH345" s="611">
        <f t="shared" si="994"/>
        <v>975.22400000000005</v>
      </c>
      <c r="BI345" s="611">
        <f t="shared" si="995"/>
        <v>971.62</v>
      </c>
      <c r="BJ345" s="596">
        <f t="shared" si="1030"/>
        <v>0</v>
      </c>
      <c r="BK345" s="612">
        <f t="shared" si="996"/>
        <v>6.5354330708663033</v>
      </c>
      <c r="BL345" s="612">
        <f t="shared" si="997"/>
        <v>7.2763981425399598</v>
      </c>
      <c r="BM345" s="612">
        <f t="shared" si="998"/>
        <v>4.4704187728153384</v>
      </c>
      <c r="BN345" s="612">
        <f t="shared" si="999"/>
        <v>561.76939100586276</v>
      </c>
      <c r="BO345" s="613">
        <f t="shared" ca="1" si="1000"/>
        <v>2.348067520256978E-2</v>
      </c>
      <c r="BP345" s="614">
        <f t="shared" ca="1" si="1001"/>
        <v>3.3142425162508888</v>
      </c>
      <c r="BQ345" s="615">
        <f t="shared" ca="1" si="1002"/>
        <v>0.35955409852011044</v>
      </c>
      <c r="BR345" s="615" t="str">
        <f t="shared" ca="1" si="1003"/>
        <v xml:space="preserve"> </v>
      </c>
      <c r="BS345" s="612">
        <f t="shared" ca="1" si="1004"/>
        <v>1.6073573918669974</v>
      </c>
      <c r="BT345" s="612" t="e">
        <f t="shared" ca="1" si="1005"/>
        <v>#VALUE!</v>
      </c>
      <c r="BU345" s="612">
        <f t="shared" ca="1" si="1006"/>
        <v>0.14072324944800929</v>
      </c>
      <c r="BV345" s="612" t="str">
        <f t="shared" ca="1" si="1007"/>
        <v xml:space="preserve"> </v>
      </c>
      <c r="BW345" s="612">
        <f t="shared" ca="1" si="1008"/>
        <v>1.5381522614297736</v>
      </c>
      <c r="BX345" s="612" t="e">
        <f t="shared" ca="1" si="1009"/>
        <v>#VALUE!</v>
      </c>
      <c r="BY345" s="612">
        <f t="shared" ca="1" si="1010"/>
        <v>8.7553918608284903E-2</v>
      </c>
      <c r="BZ345" s="612" t="e">
        <f t="shared" ca="1" si="1011"/>
        <v>#VALUE!</v>
      </c>
      <c r="CA345" s="600">
        <f t="shared" ca="1" si="1012"/>
        <v>3.5021567443313965E-2</v>
      </c>
      <c r="CB345" s="600" t="e">
        <f t="shared" ca="1" si="1013"/>
        <v>#VALUE!</v>
      </c>
      <c r="CC345" s="600">
        <f t="shared" ca="1" si="1035"/>
        <v>2.6077455848806599</v>
      </c>
      <c r="CD345" s="600" t="str">
        <f t="shared" ca="1" si="1015"/>
        <v>F. Supercrítico</v>
      </c>
      <c r="CE345" s="600">
        <f t="shared" ca="1" si="1016"/>
        <v>2.5483086829336767</v>
      </c>
      <c r="CF345" s="600" t="e">
        <f t="shared" ca="1" si="1017"/>
        <v>#VALUE!</v>
      </c>
      <c r="CG345" s="600" t="str">
        <f t="shared" ca="1" si="1018"/>
        <v>O.K</v>
      </c>
      <c r="CH345" s="600" t="e">
        <f t="shared" ca="1" si="1019"/>
        <v>#VALUE!</v>
      </c>
      <c r="CI345" s="600" t="str">
        <f t="shared" ca="1" si="1020"/>
        <v>OK</v>
      </c>
      <c r="CJ345" s="600" t="e">
        <f t="shared" ca="1" si="1021"/>
        <v>#VALUE!</v>
      </c>
      <c r="CK345" s="596">
        <f t="shared" si="1022"/>
        <v>0</v>
      </c>
      <c r="CL345" s="482" t="s">
        <v>2507</v>
      </c>
      <c r="CM345" s="616"/>
      <c r="CN345" s="617" t="str">
        <f t="shared" si="1023"/>
        <v xml:space="preserve"> </v>
      </c>
      <c r="CO345" s="527">
        <f t="shared" si="1024"/>
        <v>49.53</v>
      </c>
      <c r="CP345" s="511">
        <f t="shared" si="1025"/>
        <v>6.5354330708663033E-2</v>
      </c>
      <c r="CQ345" s="616" t="s">
        <v>2508</v>
      </c>
      <c r="CR345" s="613">
        <f t="shared" si="1026"/>
        <v>49.53</v>
      </c>
      <c r="CS345" s="620">
        <v>1.2</v>
      </c>
      <c r="CT345" s="620">
        <v>1.2</v>
      </c>
      <c r="CU345" s="609">
        <f t="shared" si="1027"/>
        <v>49.660947594664371</v>
      </c>
      <c r="CV345" s="621" t="s">
        <v>2525</v>
      </c>
      <c r="CW345" s="622" t="str">
        <f t="shared" si="1028"/>
        <v>E1</v>
      </c>
      <c r="CX345" s="613">
        <v>6.2E-2</v>
      </c>
      <c r="CY345" s="616"/>
      <c r="CZ345" s="616"/>
      <c r="DA345" s="616"/>
      <c r="DB345" s="561"/>
    </row>
    <row r="346" spans="1:106" s="562" customFormat="1" ht="15" hidden="1" customHeight="1">
      <c r="A346" s="465">
        <f t="shared" si="1029"/>
        <v>241</v>
      </c>
      <c r="B346" s="535"/>
      <c r="C346" s="536" t="str">
        <f t="shared" si="1031"/>
        <v>C119</v>
      </c>
      <c r="D346" s="536" t="s">
        <v>2072</v>
      </c>
      <c r="E346" s="596">
        <v>0.1003234797</v>
      </c>
      <c r="F346" s="596"/>
      <c r="G346" s="537">
        <f t="shared" si="959"/>
        <v>9.3736857858999993</v>
      </c>
      <c r="H346" s="537">
        <f t="shared" si="960"/>
        <v>9.4740092655999995</v>
      </c>
      <c r="I346" s="596">
        <v>0.1003234797</v>
      </c>
      <c r="J346" s="596"/>
      <c r="K346" s="597">
        <f t="shared" ca="1" si="1032"/>
        <v>9.6966857858999997</v>
      </c>
      <c r="L346" s="596">
        <f t="shared" ca="1" si="962"/>
        <v>9.7970092655999998</v>
      </c>
      <c r="M346" s="598">
        <f t="shared" si="963"/>
        <v>242.33666300502347</v>
      </c>
      <c r="N346" s="599">
        <f t="shared" si="964"/>
        <v>24.312057291550211</v>
      </c>
      <c r="O346" s="599">
        <f t="shared" si="965"/>
        <v>0</v>
      </c>
      <c r="P346" s="599">
        <f t="shared" si="966"/>
        <v>2295.8997907041771</v>
      </c>
      <c r="Q346" s="598">
        <f t="shared" si="967"/>
        <v>140</v>
      </c>
      <c r="R346" s="600">
        <f t="shared" si="968"/>
        <v>3.1621767950670954</v>
      </c>
      <c r="S346" s="600"/>
      <c r="T346" s="600"/>
      <c r="U346" s="600">
        <f t="shared" si="969"/>
        <v>0</v>
      </c>
      <c r="V346" s="600"/>
      <c r="W346" s="600"/>
      <c r="X346" s="600">
        <f t="shared" si="970"/>
        <v>0</v>
      </c>
      <c r="Y346" s="600">
        <f t="shared" si="971"/>
        <v>1.8948018531199999</v>
      </c>
      <c r="Z346" s="600">
        <f t="shared" ca="1" si="972"/>
        <v>0</v>
      </c>
      <c r="AA346" s="471">
        <f t="shared" si="1033"/>
        <v>3.7195291882386292</v>
      </c>
      <c r="AB346" s="600">
        <f t="shared" si="973"/>
        <v>11.761808887622943</v>
      </c>
      <c r="AC346" s="600">
        <f t="shared" si="974"/>
        <v>3.3485356686278646E-2</v>
      </c>
      <c r="AD346" s="600">
        <f t="shared" si="975"/>
        <v>2.0064695940000002E-2</v>
      </c>
      <c r="AE346" s="600">
        <f t="shared" si="976"/>
        <v>0</v>
      </c>
      <c r="AF346" s="510">
        <f t="shared" si="958"/>
        <v>3.8</v>
      </c>
      <c r="AG346" s="600">
        <f t="shared" si="977"/>
        <v>0.12724435540785886</v>
      </c>
      <c r="AH346" s="600">
        <f t="shared" si="978"/>
        <v>0.14730905134785888</v>
      </c>
      <c r="AI346" s="600">
        <f t="shared" ca="1" si="979"/>
        <v>13.656610740742943</v>
      </c>
      <c r="AJ346" s="600">
        <f t="shared" si="980"/>
        <v>0.75</v>
      </c>
      <c r="AK346" s="601">
        <f t="shared" si="981"/>
        <v>0.10123911587407985</v>
      </c>
      <c r="AL346" s="600">
        <f t="shared" si="982"/>
        <v>0.632561955793704</v>
      </c>
      <c r="AM346" s="602">
        <f t="shared" si="983"/>
        <v>319.00665076414379</v>
      </c>
      <c r="AN346" s="603">
        <f t="shared" si="1034"/>
        <v>11.669545502645503</v>
      </c>
      <c r="AO346" s="603">
        <f t="shared" si="984"/>
        <v>0.16588888888888889</v>
      </c>
      <c r="AP346" s="603">
        <f t="shared" si="985"/>
        <v>11.835434391534392</v>
      </c>
      <c r="AQ346" s="612">
        <v>3</v>
      </c>
      <c r="AR346" s="603" t="e">
        <f t="shared" ca="1" si="986"/>
        <v>#NUM!</v>
      </c>
      <c r="AS346" s="603" t="e">
        <f t="shared" ca="1" si="987"/>
        <v>#NUM!</v>
      </c>
      <c r="AT346" s="600" t="e">
        <f t="shared" ca="1" si="988"/>
        <v>#NUM!</v>
      </c>
      <c r="AU346" s="605">
        <f t="shared" si="989"/>
        <v>20.244422536331886</v>
      </c>
      <c r="AV346" s="600">
        <f t="shared" ca="1" si="990"/>
        <v>1976.952910308243</v>
      </c>
      <c r="AW346" s="600">
        <f t="shared" ca="1" si="991"/>
        <v>1976.95</v>
      </c>
      <c r="AX346" s="600">
        <f>IF(OR(C346="",D346=""),"",ROUND(((VLOOKUP(C346,'Base de Diseño (2)'!$A$2:$C$333,2,FALSE)-VLOOKUP(D346,'Base de Diseño (2)'!$A$2:$C$333,2,FALSE))^2+(VLOOKUP(C346,'Base de Diseño (2)'!$A$2:$C$333,3,0)-VLOOKUP(D346,'Base de Diseño (2)'!$A$2:$C$333,3,FALSE))^2)^0.5,2))</f>
        <v>29.86</v>
      </c>
      <c r="AY346" s="606">
        <v>16</v>
      </c>
      <c r="AZ346" s="607">
        <v>400</v>
      </c>
      <c r="BA346" s="606">
        <v>6</v>
      </c>
      <c r="BB346" s="608">
        <v>972.78</v>
      </c>
      <c r="BC346" s="608">
        <v>975.803</v>
      </c>
      <c r="BD346" s="609">
        <f t="shared" si="992"/>
        <v>0.6979999999999682</v>
      </c>
      <c r="BE346" s="609">
        <f t="shared" si="993"/>
        <v>2.1380000000000225</v>
      </c>
      <c r="BF346" s="625">
        <v>1.1599999999999682</v>
      </c>
      <c r="BG346" s="625">
        <v>2.6000000000000227</v>
      </c>
      <c r="BH346" s="611">
        <f t="shared" si="994"/>
        <v>971.62</v>
      </c>
      <c r="BI346" s="611">
        <f t="shared" si="995"/>
        <v>973.20299999999997</v>
      </c>
      <c r="BJ346" s="596">
        <f t="shared" si="1030"/>
        <v>0.10000000000002274</v>
      </c>
      <c r="BK346" s="612">
        <f t="shared" si="996"/>
        <v>10.123911587407985</v>
      </c>
      <c r="BL346" s="612">
        <f t="shared" si="997"/>
        <v>-5.3014065639650703</v>
      </c>
      <c r="BM346" s="612" t="e">
        <f t="shared" si="998"/>
        <v>#NUM!</v>
      </c>
      <c r="BN346" s="612" t="e">
        <f t="shared" si="999"/>
        <v>#NUM!</v>
      </c>
      <c r="BO346" s="613" t="e">
        <f t="shared" ca="1" si="1000"/>
        <v>#NUM!</v>
      </c>
      <c r="BP346" s="614" t="e">
        <f t="shared" ca="1" si="1001"/>
        <v>#NUM!</v>
      </c>
      <c r="BQ346" s="615" t="e">
        <f t="shared" ca="1" si="1002"/>
        <v>#NUM!</v>
      </c>
      <c r="BR346" s="615" t="e">
        <f t="shared" ca="1" si="1003"/>
        <v>#NUM!</v>
      </c>
      <c r="BS346" s="612" t="e">
        <f t="shared" ca="1" si="1004"/>
        <v>#NUM!</v>
      </c>
      <c r="BT346" s="612" t="e">
        <f t="shared" ca="1" si="1005"/>
        <v>#NUM!</v>
      </c>
      <c r="BU346" s="612" t="e">
        <f t="shared" ca="1" si="1006"/>
        <v>#NUM!</v>
      </c>
      <c r="BV346" s="612" t="e">
        <f t="shared" ca="1" si="1007"/>
        <v>#NUM!</v>
      </c>
      <c r="BW346" s="612" t="e">
        <f t="shared" ca="1" si="1008"/>
        <v>#NUM!</v>
      </c>
      <c r="BX346" s="612" t="e">
        <f t="shared" ca="1" si="1009"/>
        <v>#NUM!</v>
      </c>
      <c r="BY346" s="612" t="e">
        <f t="shared" ca="1" si="1010"/>
        <v>#NUM!</v>
      </c>
      <c r="BZ346" s="612" t="e">
        <f t="shared" ca="1" si="1011"/>
        <v>#NUM!</v>
      </c>
      <c r="CA346" s="600" t="e">
        <f t="shared" ca="1" si="1012"/>
        <v>#NUM!</v>
      </c>
      <c r="CB346" s="600" t="e">
        <f t="shared" ca="1" si="1013"/>
        <v>#NUM!</v>
      </c>
      <c r="CC346" s="600" t="e">
        <f t="shared" ca="1" si="1035"/>
        <v>#NUM!</v>
      </c>
      <c r="CD346" s="600" t="e">
        <f t="shared" ca="1" si="1015"/>
        <v>#NUM!</v>
      </c>
      <c r="CE346" s="600" t="e">
        <f t="shared" ca="1" si="1016"/>
        <v>#NUM!</v>
      </c>
      <c r="CF346" s="600" t="e">
        <f t="shared" ca="1" si="1017"/>
        <v>#NUM!</v>
      </c>
      <c r="CG346" s="600" t="e">
        <f t="shared" ca="1" si="1018"/>
        <v>#NUM!</v>
      </c>
      <c r="CH346" s="600" t="e">
        <f t="shared" ca="1" si="1019"/>
        <v>#NUM!</v>
      </c>
      <c r="CI346" s="600" t="e">
        <f t="shared" ca="1" si="1020"/>
        <v>#NUM!</v>
      </c>
      <c r="CJ346" s="600" t="e">
        <f t="shared" ca="1" si="1021"/>
        <v>#NUM!</v>
      </c>
      <c r="CK346" s="596">
        <f t="shared" si="1022"/>
        <v>0.10000000000002274</v>
      </c>
      <c r="CL346" s="482" t="s">
        <v>2507</v>
      </c>
      <c r="CM346" s="616"/>
      <c r="CN346" s="617" t="str">
        <f t="shared" si="1023"/>
        <v xml:space="preserve"> </v>
      </c>
      <c r="CO346" s="527">
        <f t="shared" si="1024"/>
        <v>29.86</v>
      </c>
      <c r="CP346" s="542">
        <f t="shared" si="1025"/>
        <v>0.10123911587407985</v>
      </c>
      <c r="CQ346" s="616" t="s">
        <v>2508</v>
      </c>
      <c r="CR346" s="613">
        <f t="shared" si="1026"/>
        <v>29.86</v>
      </c>
      <c r="CS346" s="620">
        <v>1.2</v>
      </c>
      <c r="CT346" s="620">
        <v>1.2</v>
      </c>
      <c r="CU346" s="609">
        <f t="shared" si="1027"/>
        <v>29.901931191814349</v>
      </c>
      <c r="CV346" s="621" t="s">
        <v>2525</v>
      </c>
      <c r="CW346" s="622" t="str">
        <f t="shared" si="1028"/>
        <v>E1</v>
      </c>
      <c r="CX346" s="613">
        <v>6.2E-2</v>
      </c>
      <c r="CY346" s="616"/>
      <c r="CZ346" s="616"/>
      <c r="DA346" s="616"/>
      <c r="DB346" s="561"/>
    </row>
    <row r="347" spans="1:106" s="562" customFormat="1" ht="15" hidden="1" customHeight="1">
      <c r="A347" s="465">
        <f t="shared" si="1029"/>
        <v>242</v>
      </c>
      <c r="B347" s="535"/>
      <c r="C347" s="536" t="str">
        <f t="shared" si="1031"/>
        <v>C113</v>
      </c>
      <c r="D347" s="536" t="s">
        <v>2327</v>
      </c>
      <c r="E347" s="596">
        <v>5.7291652200000001E-2</v>
      </c>
      <c r="F347" s="596"/>
      <c r="G347" s="537">
        <f t="shared" si="959"/>
        <v>9.4740092655999995</v>
      </c>
      <c r="H347" s="537">
        <f t="shared" si="960"/>
        <v>9.5313009177999994</v>
      </c>
      <c r="I347" s="596">
        <v>5.7291652200000001E-2</v>
      </c>
      <c r="J347" s="596"/>
      <c r="K347" s="597">
        <f t="shared" ca="1" si="1032"/>
        <v>9.7970092655999998</v>
      </c>
      <c r="L347" s="596">
        <f t="shared" ca="1" si="962"/>
        <v>9.8543009177999998</v>
      </c>
      <c r="M347" s="598">
        <f t="shared" si="963"/>
        <v>242.33666300502347</v>
      </c>
      <c r="N347" s="599">
        <f t="shared" si="964"/>
        <v>13.883867812192412</v>
      </c>
      <c r="O347" s="599">
        <f t="shared" si="965"/>
        <v>0</v>
      </c>
      <c r="P347" s="599">
        <f t="shared" si="966"/>
        <v>2309.7836585163695</v>
      </c>
      <c r="Q347" s="598">
        <f t="shared" si="967"/>
        <v>140</v>
      </c>
      <c r="R347" s="600">
        <f t="shared" si="968"/>
        <v>3.1812992518917591</v>
      </c>
      <c r="S347" s="600"/>
      <c r="T347" s="600"/>
      <c r="U347" s="600">
        <f t="shared" si="969"/>
        <v>0</v>
      </c>
      <c r="V347" s="600"/>
      <c r="W347" s="600"/>
      <c r="X347" s="600">
        <f t="shared" si="970"/>
        <v>0</v>
      </c>
      <c r="Y347" s="600">
        <f t="shared" si="971"/>
        <v>1.9062601835599999</v>
      </c>
      <c r="Z347" s="600">
        <f t="shared" ca="1" si="972"/>
        <v>0</v>
      </c>
      <c r="AA347" s="471">
        <f t="shared" si="1033"/>
        <v>3.7158668821213019</v>
      </c>
      <c r="AB347" s="600">
        <f t="shared" si="973"/>
        <v>11.821284532221862</v>
      </c>
      <c r="AC347" s="600">
        <f t="shared" si="974"/>
        <v>1.912245682466316E-2</v>
      </c>
      <c r="AD347" s="600">
        <f t="shared" si="975"/>
        <v>1.1458330440000001E-2</v>
      </c>
      <c r="AE347" s="600">
        <f t="shared" si="976"/>
        <v>0</v>
      </c>
      <c r="AF347" s="510">
        <f t="shared" si="958"/>
        <v>3.8</v>
      </c>
      <c r="AG347" s="600">
        <f t="shared" si="977"/>
        <v>7.2665335933720002E-2</v>
      </c>
      <c r="AH347" s="600">
        <f t="shared" si="978"/>
        <v>8.4123666373719999E-2</v>
      </c>
      <c r="AI347" s="600">
        <f t="shared" ca="1" si="979"/>
        <v>13.727544715781862</v>
      </c>
      <c r="AJ347" s="600">
        <f t="shared" si="980"/>
        <v>0.75</v>
      </c>
      <c r="AK347" s="601">
        <f t="shared" si="981"/>
        <v>7.2102853117295723E-2</v>
      </c>
      <c r="AL347" s="600">
        <f t="shared" si="982"/>
        <v>0.63110514265586481</v>
      </c>
      <c r="AM347" s="602">
        <f t="shared" si="983"/>
        <v>314.21399170758093</v>
      </c>
      <c r="AN347" s="603">
        <f t="shared" si="1034"/>
        <v>12.219811584516849</v>
      </c>
      <c r="AO347" s="603">
        <f t="shared" si="984"/>
        <v>0.15772222222222224</v>
      </c>
      <c r="AP347" s="603">
        <f t="shared" si="985"/>
        <v>12.377533806739072</v>
      </c>
      <c r="AQ347" s="612">
        <v>3</v>
      </c>
      <c r="AR347" s="603" t="e">
        <f t="shared" ca="1" si="986"/>
        <v>#VALUE!</v>
      </c>
      <c r="AS347" s="603" t="e">
        <f t="shared" ca="1" si="987"/>
        <v>#VALUE!</v>
      </c>
      <c r="AT347" s="600" t="e">
        <f t="shared" ca="1" si="988"/>
        <v>#VALUE!</v>
      </c>
      <c r="AU347" s="605">
        <f t="shared" si="989"/>
        <v>11.361052999312911</v>
      </c>
      <c r="AV347" s="600">
        <f t="shared" ca="1" si="990"/>
        <v>1954.1282315873525</v>
      </c>
      <c r="AW347" s="600">
        <f t="shared" ca="1" si="991"/>
        <v>1954.13</v>
      </c>
      <c r="AX347" s="600">
        <f>IF(OR(C347="",D347=""),"",ROUND(((VLOOKUP(C347,'Base de Diseño (2)'!$A$2:$C$333,2,FALSE)-VLOOKUP(D347,'Base de Diseño (2)'!$A$2:$C$333,2,FALSE))^2+(VLOOKUP(C347,'Base de Diseño (2)'!$A$2:$C$333,3,0)-VLOOKUP(D347,'Base de Diseño (2)'!$A$2:$C$333,3,FALSE))^2)^0.5,2))</f>
        <v>28.39</v>
      </c>
      <c r="AY347" s="606">
        <v>16</v>
      </c>
      <c r="AZ347" s="607">
        <v>400</v>
      </c>
      <c r="BA347" s="606">
        <v>6</v>
      </c>
      <c r="BB347" s="608">
        <v>975.803</v>
      </c>
      <c r="BC347" s="608">
        <v>973.75599999999997</v>
      </c>
      <c r="BD347" s="609">
        <f t="shared" si="992"/>
        <v>2.2380000000000453</v>
      </c>
      <c r="BE347" s="609">
        <f t="shared" si="993"/>
        <v>1.2380000000000455</v>
      </c>
      <c r="BF347" s="625">
        <v>2.7000000000000455</v>
      </c>
      <c r="BG347" s="625">
        <v>1.7000000000000455</v>
      </c>
      <c r="BH347" s="611">
        <f t="shared" si="994"/>
        <v>973.10299999999995</v>
      </c>
      <c r="BI347" s="611">
        <f t="shared" si="995"/>
        <v>972.05599999999993</v>
      </c>
      <c r="BJ347" s="596">
        <f t="shared" si="1030"/>
        <v>0.24000000000000909</v>
      </c>
      <c r="BK347" s="612">
        <f t="shared" si="996"/>
        <v>7.2102853117295727</v>
      </c>
      <c r="BL347" s="612">
        <f t="shared" si="997"/>
        <v>3.6879182810849787</v>
      </c>
      <c r="BM347" s="612">
        <f t="shared" si="998"/>
        <v>3.1825894998743309</v>
      </c>
      <c r="BN347" s="612">
        <f t="shared" si="999"/>
        <v>399.93599168788859</v>
      </c>
      <c r="BO347" s="613">
        <f t="shared" ca="1" si="1000"/>
        <v>3.4324354399428207E-2</v>
      </c>
      <c r="BP347" s="614">
        <f t="shared" ca="1" si="1001"/>
        <v>4.8861068786352435</v>
      </c>
      <c r="BQ347" s="615">
        <f t="shared" ca="1" si="1002"/>
        <v>0.40154989040452743</v>
      </c>
      <c r="BR347" s="615" t="str">
        <f t="shared" ca="1" si="1003"/>
        <v xml:space="preserve"> </v>
      </c>
      <c r="BS347" s="612">
        <f t="shared" ca="1" si="1004"/>
        <v>1.2779684648771374</v>
      </c>
      <c r="BT347" s="612" t="e">
        <f t="shared" ca="1" si="1005"/>
        <v>#VALUE!</v>
      </c>
      <c r="BU347" s="612">
        <f t="shared" ca="1" si="1006"/>
        <v>0.16521244122991596</v>
      </c>
      <c r="BV347" s="612" t="str">
        <f t="shared" ca="1" si="1007"/>
        <v xml:space="preserve"> </v>
      </c>
      <c r="BW347" s="612">
        <f t="shared" ca="1" si="1008"/>
        <v>1.6743194619326811</v>
      </c>
      <c r="BX347" s="612" t="e">
        <f t="shared" ca="1" si="1009"/>
        <v>#VALUE!</v>
      </c>
      <c r="BY347" s="612">
        <f t="shared" ca="1" si="1010"/>
        <v>0.10148499334013641</v>
      </c>
      <c r="BZ347" s="612" t="e">
        <f t="shared" ca="1" si="1011"/>
        <v>#VALUE!</v>
      </c>
      <c r="CA347" s="600">
        <f t="shared" ca="1" si="1012"/>
        <v>4.0593997336054566E-2</v>
      </c>
      <c r="CB347" s="600" t="e">
        <f t="shared" ca="1" si="1013"/>
        <v>#VALUE!</v>
      </c>
      <c r="CC347" s="600">
        <f t="shared" ca="1" si="1035"/>
        <v>1.9075249900427358</v>
      </c>
      <c r="CD347" s="600" t="str">
        <f t="shared" ca="1" si="1015"/>
        <v>F. Supercrítico</v>
      </c>
      <c r="CE347" s="600">
        <f t="shared" ca="1" si="1016"/>
        <v>1.4970734487795057</v>
      </c>
      <c r="CF347" s="600" t="e">
        <f t="shared" ca="1" si="1017"/>
        <v>#VALUE!</v>
      </c>
      <c r="CG347" s="600" t="str">
        <f t="shared" ca="1" si="1018"/>
        <v>O.K</v>
      </c>
      <c r="CH347" s="600" t="e">
        <f t="shared" ca="1" si="1019"/>
        <v>#VALUE!</v>
      </c>
      <c r="CI347" s="600" t="str">
        <f t="shared" ca="1" si="1020"/>
        <v>OK</v>
      </c>
      <c r="CJ347" s="600" t="e">
        <f t="shared" ca="1" si="1021"/>
        <v>#VALUE!</v>
      </c>
      <c r="CK347" s="596">
        <f t="shared" si="1022"/>
        <v>0.24000000000000909</v>
      </c>
      <c r="CL347" s="482" t="s">
        <v>2507</v>
      </c>
      <c r="CM347" s="616"/>
      <c r="CN347" s="617" t="str">
        <f t="shared" si="1023"/>
        <v xml:space="preserve"> </v>
      </c>
      <c r="CO347" s="527">
        <f t="shared" si="1024"/>
        <v>28.39</v>
      </c>
      <c r="CP347" s="511">
        <f t="shared" si="1025"/>
        <v>7.2102853117295723E-2</v>
      </c>
      <c r="CQ347" s="616" t="s">
        <v>2508</v>
      </c>
      <c r="CR347" s="613">
        <f t="shared" si="1026"/>
        <v>28.39</v>
      </c>
      <c r="CS347" s="620">
        <v>1.2</v>
      </c>
      <c r="CT347" s="620">
        <v>1.2</v>
      </c>
      <c r="CU347" s="609">
        <f t="shared" si="1027"/>
        <v>28.409299692178266</v>
      </c>
      <c r="CV347" s="621" t="s">
        <v>2509</v>
      </c>
      <c r="CW347" s="622" t="str">
        <f t="shared" si="1028"/>
        <v>E2</v>
      </c>
      <c r="CX347" s="613">
        <v>6.2E-2</v>
      </c>
      <c r="CY347" s="616"/>
      <c r="CZ347" s="616"/>
      <c r="DA347" s="616"/>
      <c r="DB347" s="561"/>
    </row>
    <row r="348" spans="1:106" ht="15" hidden="1" customHeight="1">
      <c r="A348" s="465">
        <f t="shared" si="1029"/>
        <v>243</v>
      </c>
      <c r="B348" s="491"/>
      <c r="C348" s="466" t="str">
        <f t="shared" si="1031"/>
        <v>C71</v>
      </c>
      <c r="D348" s="466" t="s">
        <v>2354</v>
      </c>
      <c r="E348" s="596"/>
      <c r="F348" s="596"/>
      <c r="G348" s="537">
        <f t="shared" si="959"/>
        <v>16.232334573499998</v>
      </c>
      <c r="H348" s="537">
        <f t="shared" si="960"/>
        <v>16.232334573499998</v>
      </c>
      <c r="I348" s="596"/>
      <c r="J348" s="596"/>
      <c r="K348" s="597">
        <f t="shared" ca="1" si="1032"/>
        <v>15.12312082</v>
      </c>
      <c r="L348" s="596">
        <f t="shared" ca="1" si="962"/>
        <v>15.12312082</v>
      </c>
      <c r="M348" s="598">
        <f t="shared" si="963"/>
        <v>242.33666300502347</v>
      </c>
      <c r="N348" s="599">
        <f t="shared" si="964"/>
        <v>0</v>
      </c>
      <c r="O348" s="599">
        <f t="shared" si="965"/>
        <v>0</v>
      </c>
      <c r="P348" s="599">
        <f t="shared" si="966"/>
        <v>3933.6897933230603</v>
      </c>
      <c r="Q348" s="598">
        <f t="shared" si="967"/>
        <v>140</v>
      </c>
      <c r="R348" s="600">
        <f t="shared" si="968"/>
        <v>5.4179292292296779</v>
      </c>
      <c r="S348" s="600"/>
      <c r="T348" s="600"/>
      <c r="U348" s="600">
        <f t="shared" si="969"/>
        <v>0</v>
      </c>
      <c r="V348" s="600"/>
      <c r="W348" s="600"/>
      <c r="X348" s="600">
        <f t="shared" si="970"/>
        <v>0</v>
      </c>
      <c r="Y348" s="600">
        <f t="shared" si="971"/>
        <v>3.2464669146999996</v>
      </c>
      <c r="Z348" s="600">
        <f t="shared" ca="1" si="972"/>
        <v>0</v>
      </c>
      <c r="AA348" s="471">
        <f t="shared" si="1033"/>
        <v>3.3462986289174448</v>
      </c>
      <c r="AB348" s="600">
        <f t="shared" si="973"/>
        <v>18.130009151343021</v>
      </c>
      <c r="AC348" s="600">
        <f t="shared" si="974"/>
        <v>0</v>
      </c>
      <c r="AD348" s="600">
        <f t="shared" si="975"/>
        <v>0</v>
      </c>
      <c r="AE348" s="600">
        <f t="shared" si="976"/>
        <v>0</v>
      </c>
      <c r="AF348" s="510">
        <f t="shared" si="958"/>
        <v>3.8</v>
      </c>
      <c r="AG348" s="600">
        <f t="shared" si="977"/>
        <v>0</v>
      </c>
      <c r="AH348" s="600">
        <f t="shared" si="978"/>
        <v>0</v>
      </c>
      <c r="AI348" s="600">
        <f t="shared" ca="1" si="979"/>
        <v>21.376476066043022</v>
      </c>
      <c r="AJ348" s="600">
        <f t="shared" si="980"/>
        <v>0.75</v>
      </c>
      <c r="AK348" s="601">
        <f t="shared" si="981"/>
        <v>2.659441433930471E-2</v>
      </c>
      <c r="AL348" s="600">
        <f t="shared" si="982"/>
        <v>0.6288297207169653</v>
      </c>
      <c r="AM348" s="602">
        <f t="shared" si="983"/>
        <v>313.47945861580757</v>
      </c>
      <c r="AN348" s="603">
        <f t="shared" si="1034"/>
        <v>12.328742140072405</v>
      </c>
      <c r="AO348" s="603">
        <f t="shared" si="984"/>
        <v>0.13327777777777777</v>
      </c>
      <c r="AP348" s="603">
        <f t="shared" si="985"/>
        <v>12.462019917850183</v>
      </c>
      <c r="AQ348" s="612">
        <v>3</v>
      </c>
      <c r="AR348" s="603" t="e">
        <f t="shared" ca="1" si="986"/>
        <v>#VALUE!</v>
      </c>
      <c r="AS348" s="603" t="e">
        <f t="shared" ca="1" si="987"/>
        <v>#VALUE!</v>
      </c>
      <c r="AT348" s="600" t="e">
        <f t="shared" ca="1" si="988"/>
        <v>#VALUE!</v>
      </c>
      <c r="AU348" s="605">
        <f t="shared" si="989"/>
        <v>0</v>
      </c>
      <c r="AV348" s="600">
        <f t="shared" ca="1" si="990"/>
        <v>2981.1482224956317</v>
      </c>
      <c r="AW348" s="600">
        <f t="shared" ca="1" si="991"/>
        <v>2981.15</v>
      </c>
      <c r="AX348" s="600">
        <f>IF(OR(C348="",D348=""),"",ROUND(((VLOOKUP(C348,'Base de Diseño (2)'!$A$2:$C$333,2,FALSE)-VLOOKUP(D348,'Base de Diseño (2)'!$A$2:$C$333,2,FALSE))^2+(VLOOKUP(C348,'Base de Diseño (2)'!$A$2:$C$333,3,0)-VLOOKUP(D348,'Base de Diseño (2)'!$A$2:$C$333,3,FALSE))^2)^0.5,2))</f>
        <v>23.99</v>
      </c>
      <c r="AY348" s="606">
        <v>16</v>
      </c>
      <c r="AZ348" s="607">
        <v>400</v>
      </c>
      <c r="BA348" s="606">
        <v>6</v>
      </c>
      <c r="BB348" s="608">
        <v>973.75599999999997</v>
      </c>
      <c r="BC348" s="608">
        <v>973.11800000000005</v>
      </c>
      <c r="BD348" s="609">
        <f t="shared" si="992"/>
        <v>1.4780000000000546</v>
      </c>
      <c r="BE348" s="609">
        <f t="shared" si="993"/>
        <v>1.9379999999999773</v>
      </c>
      <c r="BF348" s="625">
        <v>1.9400000000000546</v>
      </c>
      <c r="BG348" s="625">
        <v>2.3999999999999773</v>
      </c>
      <c r="BH348" s="611">
        <f t="shared" si="994"/>
        <v>971.81599999999992</v>
      </c>
      <c r="BI348" s="611">
        <f t="shared" si="995"/>
        <v>970.71800000000007</v>
      </c>
      <c r="BJ348" s="596">
        <f t="shared" si="1030"/>
        <v>0</v>
      </c>
      <c r="BK348" s="612">
        <f t="shared" si="996"/>
        <v>2.6594414339304708</v>
      </c>
      <c r="BL348" s="612">
        <f t="shared" si="997"/>
        <v>4.5769070446012616</v>
      </c>
      <c r="BM348" s="612">
        <f t="shared" si="998"/>
        <v>3.5454880595340827</v>
      </c>
      <c r="BN348" s="612">
        <f t="shared" si="999"/>
        <v>445.53916964890431</v>
      </c>
      <c r="BO348" s="613">
        <f t="shared" ca="1" si="1000"/>
        <v>4.7978892816288643E-2</v>
      </c>
      <c r="BP348" s="614">
        <f t="shared" ca="1" si="1001"/>
        <v>6.6911064235928315</v>
      </c>
      <c r="BQ348" s="615">
        <f t="shared" ca="1" si="1002"/>
        <v>0.44264703755620532</v>
      </c>
      <c r="BR348" s="615" t="str">
        <f t="shared" ca="1" si="1003"/>
        <v xml:space="preserve"> </v>
      </c>
      <c r="BS348" s="612">
        <f t="shared" ca="1" si="1004"/>
        <v>1.5693997862436606</v>
      </c>
      <c r="BT348" s="612" t="e">
        <f t="shared" ca="1" si="1005"/>
        <v>#VALUE!</v>
      </c>
      <c r="BU348" s="612">
        <f t="shared" ca="1" si="1006"/>
        <v>0.18681388069324556</v>
      </c>
      <c r="BV348" s="612" t="str">
        <f t="shared" ca="1" si="1007"/>
        <v xml:space="preserve"> </v>
      </c>
      <c r="BW348" s="612">
        <f t="shared" ca="1" si="1008"/>
        <v>1.7878113637668855</v>
      </c>
      <c r="BX348" s="612" t="e">
        <f t="shared" ca="1" si="1009"/>
        <v>#VALUE!</v>
      </c>
      <c r="BY348" s="612">
        <f t="shared" ca="1" si="1010"/>
        <v>0.11344413511834084</v>
      </c>
      <c r="BZ348" s="612" t="e">
        <f t="shared" ca="1" si="1011"/>
        <v>#VALUE!</v>
      </c>
      <c r="CA348" s="600">
        <f t="shared" ca="1" si="1012"/>
        <v>4.5377654047336333E-2</v>
      </c>
      <c r="CB348" s="600" t="e">
        <f t="shared" ca="1" si="1013"/>
        <v>#VALUE!</v>
      </c>
      <c r="CC348" s="600">
        <f t="shared" ca="1" si="1035"/>
        <v>2.1965798190521615</v>
      </c>
      <c r="CD348" s="600" t="str">
        <f t="shared" ca="1" si="1015"/>
        <v>F. Supercrítico</v>
      </c>
      <c r="CE348" s="600">
        <f t="shared" ca="1" si="1016"/>
        <v>2.0768930447673259</v>
      </c>
      <c r="CF348" s="600" t="e">
        <f t="shared" ca="1" si="1017"/>
        <v>#VALUE!</v>
      </c>
      <c r="CG348" s="600" t="str">
        <f t="shared" ca="1" si="1018"/>
        <v>O.K</v>
      </c>
      <c r="CH348" s="600" t="e">
        <f t="shared" ca="1" si="1019"/>
        <v>#VALUE!</v>
      </c>
      <c r="CI348" s="600" t="str">
        <f t="shared" ca="1" si="1020"/>
        <v>OK</v>
      </c>
      <c r="CJ348" s="600" t="e">
        <f t="shared" ca="1" si="1021"/>
        <v>#VALUE!</v>
      </c>
      <c r="CK348" s="596">
        <f t="shared" si="1022"/>
        <v>0</v>
      </c>
      <c r="CL348" s="482" t="s">
        <v>2507</v>
      </c>
      <c r="CM348" s="616"/>
      <c r="CN348" s="617" t="str">
        <f t="shared" si="1023"/>
        <v xml:space="preserve"> </v>
      </c>
      <c r="CO348" s="527">
        <f t="shared" si="1024"/>
        <v>23.99</v>
      </c>
      <c r="CP348" s="542">
        <f t="shared" si="1025"/>
        <v>2.659441433930471E-2</v>
      </c>
      <c r="CQ348" s="616" t="s">
        <v>2508</v>
      </c>
      <c r="CR348" s="613">
        <f t="shared" si="1026"/>
        <v>23.99</v>
      </c>
      <c r="CS348" s="620">
        <v>1.2</v>
      </c>
      <c r="CT348" s="620">
        <v>1.2</v>
      </c>
      <c r="CU348" s="609">
        <f t="shared" si="1027"/>
        <v>24.015114074265806</v>
      </c>
      <c r="CV348" s="621" t="s">
        <v>2509</v>
      </c>
      <c r="CW348" s="622" t="str">
        <f t="shared" si="1028"/>
        <v>E2</v>
      </c>
      <c r="CX348" s="613">
        <v>6.2E-2</v>
      </c>
      <c r="CY348" s="616"/>
      <c r="CZ348" s="616"/>
      <c r="DA348" s="616"/>
      <c r="DB348" s="490"/>
    </row>
    <row r="349" spans="1:106" s="562" customFormat="1" ht="15" hidden="1" customHeight="1">
      <c r="A349" s="465">
        <f t="shared" si="1029"/>
        <v>244</v>
      </c>
      <c r="B349" s="535"/>
      <c r="C349" s="536" t="str">
        <f t="shared" si="1031"/>
        <v>C69</v>
      </c>
      <c r="D349" s="536" t="s">
        <v>2328</v>
      </c>
      <c r="E349" s="596"/>
      <c r="F349" s="596"/>
      <c r="G349" s="537">
        <f t="shared" si="959"/>
        <v>32.464669146999995</v>
      </c>
      <c r="H349" s="537">
        <f t="shared" si="960"/>
        <v>32.464669146999995</v>
      </c>
      <c r="I349" s="596">
        <v>1.84E-2</v>
      </c>
      <c r="J349" s="596"/>
      <c r="K349" s="597">
        <f t="shared" ca="1" si="1032"/>
        <v>30.246241640000001</v>
      </c>
      <c r="L349" s="596">
        <f t="shared" ca="1" si="962"/>
        <v>30.264641640000001</v>
      </c>
      <c r="M349" s="598">
        <f t="shared" si="963"/>
        <v>242.33666300502347</v>
      </c>
      <c r="N349" s="599">
        <f t="shared" si="964"/>
        <v>0</v>
      </c>
      <c r="O349" s="599">
        <f t="shared" si="965"/>
        <v>0</v>
      </c>
      <c r="P349" s="599">
        <f t="shared" si="966"/>
        <v>7867.3795866461205</v>
      </c>
      <c r="Q349" s="598">
        <f t="shared" si="967"/>
        <v>140</v>
      </c>
      <c r="R349" s="600">
        <f t="shared" si="968"/>
        <v>10.835858458459356</v>
      </c>
      <c r="S349" s="600"/>
      <c r="T349" s="600"/>
      <c r="U349" s="600">
        <f t="shared" si="969"/>
        <v>0</v>
      </c>
      <c r="V349" s="600"/>
      <c r="W349" s="600"/>
      <c r="X349" s="600">
        <f t="shared" si="970"/>
        <v>0</v>
      </c>
      <c r="Y349" s="600">
        <f t="shared" si="971"/>
        <v>6.4929338293999992</v>
      </c>
      <c r="Z349" s="600">
        <f t="shared" ca="1" si="972"/>
        <v>0</v>
      </c>
      <c r="AA349" s="471">
        <f t="shared" si="1033"/>
        <v>2.7646265942717227</v>
      </c>
      <c r="AB349" s="600">
        <f t="shared" si="973"/>
        <v>29.957102466020928</v>
      </c>
      <c r="AC349" s="600">
        <f t="shared" si="974"/>
        <v>0</v>
      </c>
      <c r="AD349" s="600">
        <f t="shared" si="975"/>
        <v>0</v>
      </c>
      <c r="AE349" s="600">
        <f t="shared" si="976"/>
        <v>0</v>
      </c>
      <c r="AF349" s="510">
        <f t="shared" si="958"/>
        <v>3.8</v>
      </c>
      <c r="AG349" s="600">
        <f t="shared" si="977"/>
        <v>0</v>
      </c>
      <c r="AH349" s="600">
        <f t="shared" si="978"/>
        <v>0</v>
      </c>
      <c r="AI349" s="600">
        <f t="shared" ca="1" si="979"/>
        <v>36.450036295420929</v>
      </c>
      <c r="AJ349" s="600">
        <f t="shared" si="980"/>
        <v>0.75</v>
      </c>
      <c r="AK349" s="601">
        <f t="shared" si="981"/>
        <v>8.5943468296374725E-3</v>
      </c>
      <c r="AL349" s="600">
        <f t="shared" si="982"/>
        <v>0.62792971734148195</v>
      </c>
      <c r="AM349" s="602">
        <f t="shared" si="983"/>
        <v>311.99304308490946</v>
      </c>
      <c r="AN349" s="603">
        <f t="shared" si="1034"/>
        <v>12.488708806739073</v>
      </c>
      <c r="AO349" s="603">
        <f t="shared" si="984"/>
        <v>0.14544444444444443</v>
      </c>
      <c r="AP349" s="603">
        <f t="shared" si="985"/>
        <v>12.634153251183518</v>
      </c>
      <c r="AQ349" s="612">
        <v>3</v>
      </c>
      <c r="AR349" s="603" t="e">
        <f t="shared" ca="1" si="986"/>
        <v>#VALUE!</v>
      </c>
      <c r="AS349" s="603" t="e">
        <f t="shared" ca="1" si="987"/>
        <v>#VALUE!</v>
      </c>
      <c r="AT349" s="600" t="e">
        <f t="shared" ca="1" si="988"/>
        <v>#VALUE!</v>
      </c>
      <c r="AU349" s="605">
        <f t="shared" si="989"/>
        <v>3.6047385417654141</v>
      </c>
      <c r="AV349" s="600">
        <f t="shared" ca="1" si="990"/>
        <v>5929.1369658927415</v>
      </c>
      <c r="AW349" s="600">
        <f t="shared" ca="1" si="991"/>
        <v>5929.14</v>
      </c>
      <c r="AX349" s="600">
        <f>IF(OR(C349="",D349=""),"",ROUND(((VLOOKUP(C349,'Base de Diseño (2)'!$A$2:$C$333,2,FALSE)-VLOOKUP(D349,'Base de Diseño (2)'!$A$2:$C$333,2,FALSE))^2+(VLOOKUP(C349,'Base de Diseño (2)'!$A$2:$C$333,3,0)-VLOOKUP(D349,'Base de Diseño (2)'!$A$2:$C$333,3,FALSE))^2)^0.5,2))</f>
        <v>26.18</v>
      </c>
      <c r="AY349" s="606">
        <v>14</v>
      </c>
      <c r="AZ349" s="607">
        <v>350</v>
      </c>
      <c r="BA349" s="606">
        <v>6</v>
      </c>
      <c r="BB349" s="608">
        <v>973.11800000000005</v>
      </c>
      <c r="BC349" s="608">
        <v>973.34299999999996</v>
      </c>
      <c r="BD349" s="609">
        <f t="shared" si="992"/>
        <v>1.9899999999999773</v>
      </c>
      <c r="BE349" s="609">
        <f t="shared" si="993"/>
        <v>2.3899999999999544</v>
      </c>
      <c r="BF349" s="625">
        <v>2.3999999999999773</v>
      </c>
      <c r="BG349" s="625">
        <v>2.7999999999999545</v>
      </c>
      <c r="BH349" s="611">
        <f t="shared" si="994"/>
        <v>970.71800000000007</v>
      </c>
      <c r="BI349" s="611">
        <f t="shared" si="995"/>
        <v>970.54300000000001</v>
      </c>
      <c r="BJ349" s="596">
        <f t="shared" si="1030"/>
        <v>2.3400000000000318</v>
      </c>
      <c r="BK349" s="612">
        <f t="shared" si="996"/>
        <v>0.85943468296374725</v>
      </c>
      <c r="BL349" s="612">
        <f t="shared" si="997"/>
        <v>0.66844919786122314</v>
      </c>
      <c r="BM349" s="612">
        <f t="shared" si="998"/>
        <v>1.2395466794306418</v>
      </c>
      <c r="BN349" s="612">
        <f t="shared" si="999"/>
        <v>119.25836647010334</v>
      </c>
      <c r="BO349" s="613">
        <f t="shared" ca="1" si="1000"/>
        <v>0.30563923835531087</v>
      </c>
      <c r="BP349" s="614">
        <f t="shared" ca="1" si="1001"/>
        <v>49.716763490017833</v>
      </c>
      <c r="BQ349" s="615">
        <f t="shared" ca="1" si="1002"/>
        <v>0.74558880948628259</v>
      </c>
      <c r="BR349" s="615" t="str">
        <f t="shared" ca="1" si="1003"/>
        <v xml:space="preserve"> </v>
      </c>
      <c r="BS349" s="612">
        <f t="shared" ca="1" si="1004"/>
        <v>0.92419213301936698</v>
      </c>
      <c r="BT349" s="612" t="e">
        <f t="shared" ca="1" si="1005"/>
        <v>#VALUE!</v>
      </c>
      <c r="BU349" s="612">
        <f t="shared" ca="1" si="1006"/>
        <v>0.42875949224706189</v>
      </c>
      <c r="BV349" s="612" t="str">
        <f t="shared" ca="1" si="1007"/>
        <v xml:space="preserve"> </v>
      </c>
      <c r="BW349" s="612">
        <f t="shared" ca="1" si="1008"/>
        <v>2.855657545249656</v>
      </c>
      <c r="BX349" s="612" t="e">
        <f t="shared" ca="1" si="1009"/>
        <v>#VALUE!</v>
      </c>
      <c r="BY349" s="612">
        <f t="shared" ca="1" si="1010"/>
        <v>0.22530737567579623</v>
      </c>
      <c r="BZ349" s="612" t="e">
        <f t="shared" ca="1" si="1011"/>
        <v>#VALUE!</v>
      </c>
      <c r="CA349" s="600">
        <f t="shared" ca="1" si="1012"/>
        <v>7.8857581486528674E-2</v>
      </c>
      <c r="CB349" s="600" t="e">
        <f t="shared" ca="1" si="1013"/>
        <v>#VALUE!</v>
      </c>
      <c r="CC349" s="600">
        <f t="shared" ca="1" si="1035"/>
        <v>0.87486522933226196</v>
      </c>
      <c r="CD349" s="600" t="str">
        <f t="shared" ca="1" si="1015"/>
        <v>F. Subcrítico Inestable</v>
      </c>
      <c r="CE349" s="600">
        <f t="shared" ca="1" si="1016"/>
        <v>0.52712287089946142</v>
      </c>
      <c r="CF349" s="600" t="e">
        <f t="shared" ca="1" si="1017"/>
        <v>#VALUE!</v>
      </c>
      <c r="CG349" s="600" t="str">
        <f t="shared" ca="1" si="1018"/>
        <v>O.K</v>
      </c>
      <c r="CH349" s="600" t="e">
        <f t="shared" ca="1" si="1019"/>
        <v>#VALUE!</v>
      </c>
      <c r="CI349" s="600" t="str">
        <f t="shared" ca="1" si="1020"/>
        <v>OK</v>
      </c>
      <c r="CJ349" s="600" t="e">
        <f t="shared" ca="1" si="1021"/>
        <v>#VALUE!</v>
      </c>
      <c r="CK349" s="596">
        <f t="shared" si="1022"/>
        <v>2.3400000000000318</v>
      </c>
      <c r="CL349" s="482" t="s">
        <v>2507</v>
      </c>
      <c r="CM349" s="616"/>
      <c r="CN349" s="617" t="str">
        <f t="shared" si="1023"/>
        <v xml:space="preserve"> </v>
      </c>
      <c r="CO349" s="527">
        <f t="shared" si="1024"/>
        <v>26.18</v>
      </c>
      <c r="CP349" s="511">
        <f t="shared" si="1025"/>
        <v>8.5943468296374725E-3</v>
      </c>
      <c r="CQ349" s="616" t="s">
        <v>2508</v>
      </c>
      <c r="CR349" s="613">
        <f t="shared" si="1026"/>
        <v>26.18</v>
      </c>
      <c r="CS349" s="620">
        <v>1.2</v>
      </c>
      <c r="CT349" s="620">
        <v>1.2</v>
      </c>
      <c r="CU349" s="609">
        <f t="shared" si="1027"/>
        <v>26.180584886514662</v>
      </c>
      <c r="CV349" s="621" t="s">
        <v>2509</v>
      </c>
      <c r="CW349" s="622" t="str">
        <f t="shared" si="1028"/>
        <v>E2</v>
      </c>
      <c r="CX349" s="613">
        <v>0.06</v>
      </c>
      <c r="CY349" s="616"/>
      <c r="CZ349" s="616"/>
      <c r="DA349" s="616"/>
      <c r="DB349" s="561"/>
    </row>
    <row r="350" spans="1:106" s="562" customFormat="1" ht="15" hidden="1" customHeight="1">
      <c r="A350" s="465">
        <f t="shared" si="1029"/>
        <v>245</v>
      </c>
      <c r="B350" s="535"/>
      <c r="C350" s="536" t="str">
        <f t="shared" si="1031"/>
        <v>C73</v>
      </c>
      <c r="D350" s="536" t="s">
        <v>2329</v>
      </c>
      <c r="E350" s="596"/>
      <c r="F350" s="596"/>
      <c r="G350" s="537">
        <f t="shared" si="959"/>
        <v>32.464669146999995</v>
      </c>
      <c r="H350" s="537">
        <f t="shared" si="960"/>
        <v>32.464669146999995</v>
      </c>
      <c r="I350" s="596">
        <v>0.1918</v>
      </c>
      <c r="J350" s="596"/>
      <c r="K350" s="597">
        <f t="shared" ca="1" si="1032"/>
        <v>30.264641640000001</v>
      </c>
      <c r="L350" s="596">
        <f t="shared" ca="1" si="962"/>
        <v>30.456441640000001</v>
      </c>
      <c r="M350" s="598">
        <f t="shared" si="963"/>
        <v>242.33666300502347</v>
      </c>
      <c r="N350" s="599">
        <f t="shared" si="964"/>
        <v>0</v>
      </c>
      <c r="O350" s="599">
        <f t="shared" si="965"/>
        <v>0</v>
      </c>
      <c r="P350" s="599">
        <f t="shared" si="966"/>
        <v>7867.3795866461205</v>
      </c>
      <c r="Q350" s="598">
        <f t="shared" si="967"/>
        <v>140</v>
      </c>
      <c r="R350" s="600">
        <f t="shared" si="968"/>
        <v>10.835858458459356</v>
      </c>
      <c r="S350" s="600"/>
      <c r="T350" s="600"/>
      <c r="U350" s="600">
        <f t="shared" si="969"/>
        <v>0</v>
      </c>
      <c r="V350" s="600"/>
      <c r="W350" s="600"/>
      <c r="X350" s="600">
        <f t="shared" si="970"/>
        <v>0</v>
      </c>
      <c r="Y350" s="600">
        <f t="shared" si="971"/>
        <v>6.4929338293999992</v>
      </c>
      <c r="Z350" s="600">
        <f t="shared" ca="1" si="972"/>
        <v>0</v>
      </c>
      <c r="AA350" s="471">
        <f t="shared" si="1033"/>
        <v>2.7646265942717227</v>
      </c>
      <c r="AB350" s="600">
        <f t="shared" si="973"/>
        <v>29.957102466020928</v>
      </c>
      <c r="AC350" s="600">
        <f t="shared" si="974"/>
        <v>0</v>
      </c>
      <c r="AD350" s="600">
        <f t="shared" si="975"/>
        <v>0</v>
      </c>
      <c r="AE350" s="600">
        <f t="shared" si="976"/>
        <v>0</v>
      </c>
      <c r="AF350" s="510">
        <f t="shared" si="958"/>
        <v>3.8</v>
      </c>
      <c r="AG350" s="600">
        <f t="shared" si="977"/>
        <v>0</v>
      </c>
      <c r="AH350" s="600">
        <f t="shared" si="978"/>
        <v>0</v>
      </c>
      <c r="AI350" s="600">
        <f t="shared" ca="1" si="979"/>
        <v>36.450036295420929</v>
      </c>
      <c r="AJ350" s="600">
        <f t="shared" si="980"/>
        <v>0.75</v>
      </c>
      <c r="AK350" s="601">
        <f t="shared" si="981"/>
        <v>1.5748898678413725E-2</v>
      </c>
      <c r="AL350" s="600">
        <f t="shared" si="982"/>
        <v>0.62828744493392075</v>
      </c>
      <c r="AM350" s="602">
        <f t="shared" si="983"/>
        <v>315.86907606060123</v>
      </c>
      <c r="AN350" s="603">
        <f t="shared" si="1034"/>
        <v>11.835434391534392</v>
      </c>
      <c r="AO350" s="603">
        <f t="shared" si="984"/>
        <v>0.35311111111111115</v>
      </c>
      <c r="AP350" s="603">
        <f t="shared" si="985"/>
        <v>12.188545502645503</v>
      </c>
      <c r="AQ350" s="612">
        <v>3</v>
      </c>
      <c r="AR350" s="603" t="e">
        <f t="shared" ca="1" si="986"/>
        <v>#VALUE!</v>
      </c>
      <c r="AS350" s="603" t="e">
        <f t="shared" ca="1" si="987"/>
        <v>#VALUE!</v>
      </c>
      <c r="AT350" s="600" t="e">
        <f t="shared" ca="1" si="988"/>
        <v>#VALUE!</v>
      </c>
      <c r="AU350" s="605">
        <f t="shared" si="989"/>
        <v>38.063971033550303</v>
      </c>
      <c r="AV350" s="600">
        <f t="shared" ca="1" si="990"/>
        <v>6044.2810863919467</v>
      </c>
      <c r="AW350" s="600">
        <f t="shared" ca="1" si="991"/>
        <v>6044.28</v>
      </c>
      <c r="AX350" s="600">
        <f>IF(OR(C350="",D350=""),"",ROUND(((VLOOKUP(C350,'Base de Diseño (2)'!$A$2:$C$333,2,FALSE)-VLOOKUP(D350,'Base de Diseño (2)'!$A$2:$C$333,2,FALSE))^2+(VLOOKUP(C350,'Base de Diseño (2)'!$A$2:$C$333,3,0)-VLOOKUP(D350,'Base de Diseño (2)'!$A$2:$C$333,3,FALSE))^2)^0.5,2))</f>
        <v>63.56</v>
      </c>
      <c r="AY350" s="606">
        <v>8</v>
      </c>
      <c r="AZ350" s="607">
        <v>200</v>
      </c>
      <c r="BA350" s="606">
        <v>6</v>
      </c>
      <c r="BB350" s="608">
        <v>973.34299999999996</v>
      </c>
      <c r="BC350" s="608">
        <v>972.34199999999998</v>
      </c>
      <c r="BD350" s="609">
        <f t="shared" si="992"/>
        <v>4.9029999999999863</v>
      </c>
      <c r="BE350" s="609">
        <f t="shared" si="993"/>
        <v>4.4630000000000454</v>
      </c>
      <c r="BF350" s="625">
        <v>5.1399999999999864</v>
      </c>
      <c r="BG350" s="625">
        <v>4.7000000000000455</v>
      </c>
      <c r="BH350" s="611">
        <f t="shared" si="994"/>
        <v>968.20299999999997</v>
      </c>
      <c r="BI350" s="611">
        <f t="shared" si="995"/>
        <v>967.64199999999994</v>
      </c>
      <c r="BJ350" s="596">
        <f t="shared" si="1030"/>
        <v>1.999999999998181E-2</v>
      </c>
      <c r="BK350" s="612">
        <f t="shared" si="996"/>
        <v>1.5748898678413725</v>
      </c>
      <c r="BL350" s="612">
        <f t="shared" si="997"/>
        <v>0.88263058527381277</v>
      </c>
      <c r="BM350" s="612">
        <f t="shared" si="998"/>
        <v>0.98082788328575088</v>
      </c>
      <c r="BN350" s="612">
        <f t="shared" si="999"/>
        <v>30.813616725665426</v>
      </c>
      <c r="BO350" s="613">
        <f t="shared" ca="1" si="1000"/>
        <v>1.1829197662817941</v>
      </c>
      <c r="BP350" s="614">
        <f t="shared" ca="1" si="1001"/>
        <v>196.15613622420275</v>
      </c>
      <c r="BQ350" s="615">
        <f t="shared" ca="1" si="1002"/>
        <v>1</v>
      </c>
      <c r="BR350" s="615" t="str">
        <f t="shared" ca="1" si="1003"/>
        <v xml:space="preserve"> </v>
      </c>
      <c r="BS350" s="612">
        <f t="shared" ca="1" si="1004"/>
        <v>0.98082788328575088</v>
      </c>
      <c r="BT350" s="612" t="e">
        <f t="shared" ca="1" si="1005"/>
        <v>#VALUE!</v>
      </c>
      <c r="BU350" s="612">
        <f t="shared" ca="1" si="1006"/>
        <v>0</v>
      </c>
      <c r="BV350" s="612" t="str">
        <f t="shared" ca="1" si="1007"/>
        <v xml:space="preserve"> </v>
      </c>
      <c r="BW350" s="612">
        <f t="shared" ca="1" si="1008"/>
        <v>0</v>
      </c>
      <c r="BX350" s="612" t="e">
        <f t="shared" ca="1" si="1009"/>
        <v>#VALUE!</v>
      </c>
      <c r="BY350" s="612" t="e">
        <f t="shared" ca="1" si="1010"/>
        <v>#DIV/0!</v>
      </c>
      <c r="BZ350" s="612" t="e">
        <f t="shared" ca="1" si="1011"/>
        <v>#VALUE!</v>
      </c>
      <c r="CA350" s="600" t="e">
        <f t="shared" ca="1" si="1012"/>
        <v>#DIV/0!</v>
      </c>
      <c r="CB350" s="600" t="e">
        <f t="shared" ca="1" si="1013"/>
        <v>#VALUE!</v>
      </c>
      <c r="CC350" s="600" t="e">
        <f t="shared" ca="1" si="1035"/>
        <v>#DIV/0!</v>
      </c>
      <c r="CD350" s="600" t="e">
        <f t="shared" ca="1" si="1015"/>
        <v>#DIV/0!</v>
      </c>
      <c r="CE350" s="600" t="e">
        <f t="shared" ca="1" si="1016"/>
        <v>#DIV/0!</v>
      </c>
      <c r="CF350" s="600" t="e">
        <f t="shared" ca="1" si="1017"/>
        <v>#VALUE!</v>
      </c>
      <c r="CG350" s="600" t="str">
        <f t="shared" ca="1" si="1018"/>
        <v>O.K</v>
      </c>
      <c r="CH350" s="600" t="e">
        <f t="shared" ca="1" si="1019"/>
        <v>#VALUE!</v>
      </c>
      <c r="CI350" s="600" t="e">
        <f t="shared" ca="1" si="1020"/>
        <v>#DIV/0!</v>
      </c>
      <c r="CJ350" s="600" t="e">
        <f t="shared" ca="1" si="1021"/>
        <v>#VALUE!</v>
      </c>
      <c r="CK350" s="596">
        <f t="shared" si="1022"/>
        <v>1.999999999998181E-2</v>
      </c>
      <c r="CL350" s="482" t="s">
        <v>2507</v>
      </c>
      <c r="CM350" s="616"/>
      <c r="CN350" s="617" t="str">
        <f t="shared" si="1023"/>
        <v xml:space="preserve"> </v>
      </c>
      <c r="CO350" s="527">
        <f t="shared" si="1024"/>
        <v>63.56</v>
      </c>
      <c r="CP350" s="542">
        <f t="shared" si="1025"/>
        <v>1.5748898678413725E-2</v>
      </c>
      <c r="CQ350" s="616" t="s">
        <v>2508</v>
      </c>
      <c r="CR350" s="613">
        <f t="shared" si="1026"/>
        <v>63.56</v>
      </c>
      <c r="CS350" s="620">
        <v>1.2</v>
      </c>
      <c r="CT350" s="620">
        <v>1.2</v>
      </c>
      <c r="CU350" s="609">
        <f t="shared" si="1027"/>
        <v>63.562475730575507</v>
      </c>
      <c r="CV350" s="621" t="s">
        <v>2526</v>
      </c>
      <c r="CW350" s="622" t="str">
        <f t="shared" si="1028"/>
        <v>E3</v>
      </c>
      <c r="CX350" s="613">
        <v>3.6999999999999998E-2</v>
      </c>
      <c r="CY350" s="616"/>
      <c r="CZ350" s="616"/>
      <c r="DA350" s="616"/>
      <c r="DB350" s="561"/>
    </row>
    <row r="351" spans="1:106" s="562" customFormat="1" ht="15" hidden="1" customHeight="1">
      <c r="A351" s="465">
        <f t="shared" si="1029"/>
        <v>246</v>
      </c>
      <c r="B351" s="535"/>
      <c r="C351" s="536" t="str">
        <f t="shared" si="1031"/>
        <v>C75</v>
      </c>
      <c r="D351" s="536" t="s">
        <v>2330</v>
      </c>
      <c r="E351" s="596"/>
      <c r="F351" s="596"/>
      <c r="G351" s="537">
        <f t="shared" si="959"/>
        <v>32.464669146999995</v>
      </c>
      <c r="H351" s="537">
        <f t="shared" si="960"/>
        <v>32.464669146999995</v>
      </c>
      <c r="I351" s="596">
        <v>0.20649999999999999</v>
      </c>
      <c r="J351" s="596"/>
      <c r="K351" s="597">
        <f t="shared" ca="1" si="1032"/>
        <v>30.456441640000001</v>
      </c>
      <c r="L351" s="596">
        <f t="shared" ca="1" si="962"/>
        <v>30.66294164</v>
      </c>
      <c r="M351" s="598">
        <f t="shared" si="963"/>
        <v>242.33666300502347</v>
      </c>
      <c r="N351" s="599">
        <f t="shared" si="964"/>
        <v>0</v>
      </c>
      <c r="O351" s="599">
        <f t="shared" si="965"/>
        <v>0</v>
      </c>
      <c r="P351" s="599">
        <f t="shared" si="966"/>
        <v>7867.3795866461205</v>
      </c>
      <c r="Q351" s="598">
        <f t="shared" si="967"/>
        <v>140</v>
      </c>
      <c r="R351" s="600">
        <f t="shared" si="968"/>
        <v>10.835858458459356</v>
      </c>
      <c r="S351" s="600"/>
      <c r="T351" s="600"/>
      <c r="U351" s="600">
        <f t="shared" si="969"/>
        <v>0</v>
      </c>
      <c r="V351" s="600"/>
      <c r="W351" s="600"/>
      <c r="X351" s="600">
        <f t="shared" si="970"/>
        <v>0</v>
      </c>
      <c r="Y351" s="600">
        <f t="shared" si="971"/>
        <v>6.4929338293999992</v>
      </c>
      <c r="Z351" s="600">
        <f t="shared" ca="1" si="972"/>
        <v>0</v>
      </c>
      <c r="AA351" s="471">
        <f t="shared" si="1033"/>
        <v>2.7646265942717227</v>
      </c>
      <c r="AB351" s="600">
        <f t="shared" si="973"/>
        <v>29.957102466020928</v>
      </c>
      <c r="AC351" s="600">
        <f t="shared" si="974"/>
        <v>0</v>
      </c>
      <c r="AD351" s="600">
        <f t="shared" si="975"/>
        <v>0</v>
      </c>
      <c r="AE351" s="600">
        <f t="shared" si="976"/>
        <v>0</v>
      </c>
      <c r="AF351" s="510">
        <f t="shared" si="958"/>
        <v>3.8</v>
      </c>
      <c r="AG351" s="600">
        <f t="shared" si="977"/>
        <v>0</v>
      </c>
      <c r="AH351" s="600">
        <f t="shared" si="978"/>
        <v>0</v>
      </c>
      <c r="AI351" s="600">
        <f t="shared" ca="1" si="979"/>
        <v>36.450036295420929</v>
      </c>
      <c r="AJ351" s="600">
        <f t="shared" si="980"/>
        <v>0.75</v>
      </c>
      <c r="AK351" s="601">
        <f t="shared" si="981"/>
        <v>1.1712259371833324E-2</v>
      </c>
      <c r="AL351" s="600">
        <f t="shared" si="982"/>
        <v>0.62808561296859178</v>
      </c>
      <c r="AM351" s="602">
        <f t="shared" si="983"/>
        <v>309.50462135050992</v>
      </c>
      <c r="AN351" s="603">
        <f t="shared" si="1034"/>
        <v>12.377533806739072</v>
      </c>
      <c r="AO351" s="603">
        <f t="shared" si="984"/>
        <v>0.54833333333333334</v>
      </c>
      <c r="AP351" s="603">
        <f t="shared" si="985"/>
        <v>12.925867140072405</v>
      </c>
      <c r="AQ351" s="612">
        <v>3</v>
      </c>
      <c r="AR351" s="603" t="e">
        <f t="shared" ca="1" si="986"/>
        <v>#VALUE!</v>
      </c>
      <c r="AS351" s="603" t="e">
        <f t="shared" ca="1" si="987"/>
        <v>#VALUE!</v>
      </c>
      <c r="AT351" s="600" t="e">
        <f t="shared" ca="1" si="988"/>
        <v>#VALUE!</v>
      </c>
      <c r="AU351" s="605">
        <f t="shared" si="989"/>
        <v>40.142650062323433</v>
      </c>
      <c r="AV351" s="600">
        <f t="shared" ca="1" si="990"/>
        <v>5960.734799689908</v>
      </c>
      <c r="AW351" s="600">
        <f t="shared" ca="1" si="991"/>
        <v>5960.73</v>
      </c>
      <c r="AX351" s="600">
        <f>IF(OR(C351="",D351=""),"",ROUND(((VLOOKUP(C351,'Base de Diseño (2)'!$A$2:$C$333,2,FALSE)-VLOOKUP(D351,'Base de Diseño (2)'!$A$2:$C$333,2,FALSE))^2+(VLOOKUP(C351,'Base de Diseño (2)'!$A$2:$C$333,3,0)-VLOOKUP(D351,'Base de Diseño (2)'!$A$2:$C$333,3,FALSE))^2)^0.5,2))</f>
        <v>98.7</v>
      </c>
      <c r="AY351" s="606">
        <v>12</v>
      </c>
      <c r="AZ351" s="607">
        <v>300</v>
      </c>
      <c r="BA351" s="606">
        <v>6</v>
      </c>
      <c r="BB351" s="608">
        <v>972.34199999999998</v>
      </c>
      <c r="BC351" s="608">
        <v>971.18600000000004</v>
      </c>
      <c r="BD351" s="609">
        <f t="shared" si="992"/>
        <v>4.3730000000000278</v>
      </c>
      <c r="BE351" s="609">
        <f t="shared" si="993"/>
        <v>3.4129999999999909</v>
      </c>
      <c r="BF351" s="625">
        <v>4.7200000000000273</v>
      </c>
      <c r="BG351" s="625">
        <v>3.7599999999999909</v>
      </c>
      <c r="BH351" s="611">
        <f t="shared" si="994"/>
        <v>967.62199999999996</v>
      </c>
      <c r="BI351" s="611">
        <f t="shared" si="995"/>
        <v>967.42600000000004</v>
      </c>
      <c r="BJ351" s="596">
        <f t="shared" si="1030"/>
        <v>0.51999999999998181</v>
      </c>
      <c r="BK351" s="612">
        <f t="shared" si="996"/>
        <v>1.1712259371833325</v>
      </c>
      <c r="BL351" s="612">
        <f t="shared" si="997"/>
        <v>0.19858156028359947</v>
      </c>
      <c r="BM351" s="612">
        <f t="shared" si="998"/>
        <v>0.60963086853020187</v>
      </c>
      <c r="BN351" s="612">
        <f t="shared" si="999"/>
        <v>43.092266804461055</v>
      </c>
      <c r="BO351" s="613">
        <f t="shared" ca="1" si="1000"/>
        <v>0.8458602667810341</v>
      </c>
      <c r="BP351" s="614">
        <f t="shared" ca="1" si="1001"/>
        <v>138.32481886014233</v>
      </c>
      <c r="BQ351" s="615">
        <f t="shared" ca="1" si="1002"/>
        <v>1.0015744479084763</v>
      </c>
      <c r="BR351" s="615" t="str">
        <f t="shared" ca="1" si="1003"/>
        <v xml:space="preserve"> </v>
      </c>
      <c r="BS351" s="612">
        <f t="shared" ca="1" si="1004"/>
        <v>0.61059070057610187</v>
      </c>
      <c r="BT351" s="612" t="e">
        <f t="shared" ca="1" si="1005"/>
        <v>#VALUE!</v>
      </c>
      <c r="BU351" s="612">
        <f t="shared" ca="1" si="1006"/>
        <v>0.78890684454888471</v>
      </c>
      <c r="BV351" s="612" t="str">
        <f t="shared" ca="1" si="1007"/>
        <v xml:space="preserve"> </v>
      </c>
      <c r="BW351" s="612">
        <f t="shared" ca="1" si="1008"/>
        <v>4.3736874411799</v>
      </c>
      <c r="BX351" s="612" t="e">
        <f t="shared" ca="1" si="1009"/>
        <v>#VALUE!</v>
      </c>
      <c r="BY351" s="612">
        <f t="shared" ca="1" si="1010"/>
        <v>0.30391256824269075</v>
      </c>
      <c r="BZ351" s="612" t="e">
        <f t="shared" ca="1" si="1011"/>
        <v>#VALUE!</v>
      </c>
      <c r="CA351" s="600">
        <f t="shared" ca="1" si="1012"/>
        <v>9.1173770472807225E-2</v>
      </c>
      <c r="CB351" s="600" t="e">
        <f t="shared" ca="1" si="1013"/>
        <v>#VALUE!</v>
      </c>
      <c r="CC351" s="600">
        <f t="shared" ca="1" si="1035"/>
        <v>0.39442262313751186</v>
      </c>
      <c r="CD351" s="600" t="str">
        <f t="shared" ca="1" si="1015"/>
        <v>F. Subcrítico</v>
      </c>
      <c r="CE351" s="600">
        <f t="shared" ca="1" si="1016"/>
        <v>0.18105429597428827</v>
      </c>
      <c r="CF351" s="600" t="e">
        <f t="shared" ca="1" si="1017"/>
        <v>#VALUE!</v>
      </c>
      <c r="CG351" s="600" t="str">
        <f t="shared" ca="1" si="1018"/>
        <v>O.K</v>
      </c>
      <c r="CH351" s="600" t="e">
        <f t="shared" ca="1" si="1019"/>
        <v>#VALUE!</v>
      </c>
      <c r="CI351" s="600" t="str">
        <f t="shared" ca="1" si="1020"/>
        <v>OK</v>
      </c>
      <c r="CJ351" s="600" t="e">
        <f t="shared" ca="1" si="1021"/>
        <v>#VALUE!</v>
      </c>
      <c r="CK351" s="596">
        <f t="shared" si="1022"/>
        <v>0.51999999999998181</v>
      </c>
      <c r="CL351" s="482" t="s">
        <v>2507</v>
      </c>
      <c r="CM351" s="616"/>
      <c r="CN351" s="617" t="str">
        <f t="shared" si="1023"/>
        <v xml:space="preserve"> </v>
      </c>
      <c r="CO351" s="527">
        <f t="shared" si="1024"/>
        <v>98.7</v>
      </c>
      <c r="CP351" s="511">
        <f t="shared" si="1025"/>
        <v>1.1712259371833324E-2</v>
      </c>
      <c r="CQ351" s="616" t="s">
        <v>2508</v>
      </c>
      <c r="CR351" s="613">
        <f t="shared" si="1026"/>
        <v>98.7</v>
      </c>
      <c r="CS351" s="620">
        <v>1.2</v>
      </c>
      <c r="CT351" s="620">
        <v>1.2</v>
      </c>
      <c r="CU351" s="609">
        <f t="shared" si="1027"/>
        <v>98.700194609737224</v>
      </c>
      <c r="CV351" s="621" t="s">
        <v>2526</v>
      </c>
      <c r="CW351" s="622" t="str">
        <f t="shared" si="1028"/>
        <v>E3</v>
      </c>
      <c r="CX351" s="613">
        <v>4.7E-2</v>
      </c>
      <c r="CY351" s="616"/>
      <c r="CZ351" s="616"/>
      <c r="DA351" s="616"/>
      <c r="DB351" s="561"/>
    </row>
    <row r="352" spans="1:106" s="562" customFormat="1" ht="15" hidden="1" customHeight="1">
      <c r="A352" s="465">
        <f t="shared" si="1029"/>
        <v>247</v>
      </c>
      <c r="B352" s="535"/>
      <c r="C352" s="536" t="str">
        <f t="shared" si="1031"/>
        <v>C77</v>
      </c>
      <c r="D352" s="536" t="s">
        <v>2331</v>
      </c>
      <c r="E352" s="537">
        <v>5.0229598E-2</v>
      </c>
      <c r="F352" s="537"/>
      <c r="G352" s="537">
        <f t="shared" si="959"/>
        <v>32.464669146999995</v>
      </c>
      <c r="H352" s="537">
        <f t="shared" si="960"/>
        <v>32.514898744999996</v>
      </c>
      <c r="I352" s="537">
        <v>5.0229598E-2</v>
      </c>
      <c r="J352" s="537"/>
      <c r="K352" s="538">
        <f t="shared" ref="K352:K369" ca="1" si="1036">+IF(B352=1,0,SUMIF($D$22:$D$583,C352,$L$22:$L$580))</f>
        <v>30.66294164</v>
      </c>
      <c r="L352" s="537">
        <f t="shared" ca="1" si="962"/>
        <v>30.713171238000001</v>
      </c>
      <c r="M352" s="539">
        <f t="shared" si="963"/>
        <v>242.33666300502347</v>
      </c>
      <c r="N352" s="540">
        <f t="shared" si="964"/>
        <v>12.172473163403801</v>
      </c>
      <c r="O352" s="540">
        <f t="shared" si="965"/>
        <v>0</v>
      </c>
      <c r="P352" s="540">
        <f t="shared" si="966"/>
        <v>7879.5520598095245</v>
      </c>
      <c r="Q352" s="469">
        <f t="shared" si="967"/>
        <v>140</v>
      </c>
      <c r="R352" s="541">
        <f t="shared" si="968"/>
        <v>10.852623786080247</v>
      </c>
      <c r="S352" s="541"/>
      <c r="T352" s="541"/>
      <c r="U352" s="541">
        <f t="shared" si="969"/>
        <v>0</v>
      </c>
      <c r="V352" s="541"/>
      <c r="W352" s="541"/>
      <c r="X352" s="541">
        <f t="shared" si="970"/>
        <v>0</v>
      </c>
      <c r="Y352" s="541">
        <f t="shared" si="971"/>
        <v>6.5029797489999996</v>
      </c>
      <c r="Z352" s="541">
        <f t="shared" ca="1" si="972"/>
        <v>0</v>
      </c>
      <c r="AA352" s="471">
        <f t="shared" si="1033"/>
        <v>2.7632739194745182</v>
      </c>
      <c r="AB352" s="541">
        <f t="shared" si="973"/>
        <v>29.988772265944352</v>
      </c>
      <c r="AC352" s="541">
        <f t="shared" si="974"/>
        <v>1.676532762089181E-2</v>
      </c>
      <c r="AD352" s="541">
        <f t="shared" si="975"/>
        <v>1.0045919600000001E-2</v>
      </c>
      <c r="AE352" s="541">
        <f t="shared" si="976"/>
        <v>0</v>
      </c>
      <c r="AF352" s="510">
        <f t="shared" si="958"/>
        <v>3.8</v>
      </c>
      <c r="AG352" s="541">
        <f t="shared" si="977"/>
        <v>6.3708244959388871E-2</v>
      </c>
      <c r="AH352" s="541">
        <f t="shared" si="978"/>
        <v>7.3754164559388879E-2</v>
      </c>
      <c r="AI352" s="541">
        <f t="shared" ca="1" si="979"/>
        <v>36.491752014944353</v>
      </c>
      <c r="AJ352" s="541">
        <f t="shared" si="980"/>
        <v>0.75</v>
      </c>
      <c r="AK352" s="542">
        <f t="shared" si="981"/>
        <v>2.215282115344739E-2</v>
      </c>
      <c r="AL352" s="541">
        <f t="shared" si="982"/>
        <v>0.62860764105767242</v>
      </c>
      <c r="AM352" s="543">
        <f t="shared" si="983"/>
        <v>305.04934822090871</v>
      </c>
      <c r="AN352" s="544">
        <f t="shared" ref="AN352:AN383" si="1037">IF(B352=1,IF((0.702*(1.1-$AJ352)*SQRT($CO352))/(($CP352)^(1/3))&lt;5,5,(0.702*(1.1-$AJ352)*SQRT($CO352))/(($CP352)^(1/3))),AP351)</f>
        <v>12.925867140072405</v>
      </c>
      <c r="AO352" s="544">
        <f t="shared" si="984"/>
        <v>0.53366666666666662</v>
      </c>
      <c r="AP352" s="544">
        <f t="shared" si="985"/>
        <v>13.459533806739072</v>
      </c>
      <c r="AQ352" s="545">
        <v>1.5</v>
      </c>
      <c r="AR352" s="544" t="e">
        <f t="shared" ca="1" si="986"/>
        <v>#VALUE!</v>
      </c>
      <c r="AS352" s="544" t="e">
        <f t="shared" ca="1" si="987"/>
        <v>#VALUE!</v>
      </c>
      <c r="AT352" s="541" t="e">
        <f t="shared" ca="1" si="988"/>
        <v>#VALUE!</v>
      </c>
      <c r="AU352" s="546">
        <f t="shared" si="989"/>
        <v>9.631844434287121</v>
      </c>
      <c r="AV352" s="541">
        <f t="shared" ca="1" si="990"/>
        <v>5889.4456501132581</v>
      </c>
      <c r="AW352" s="541">
        <f t="shared" ca="1" si="991"/>
        <v>5889.45</v>
      </c>
      <c r="AX352" s="541">
        <f>IF(OR(C352="",D352=""),"",ROUND(((VLOOKUP(C352,'Base de Diseño (2)'!$A$2:$C$333,2,FALSE)-VLOOKUP(D352,'Base de Diseño (2)'!$A$2:$C$333,2,FALSE))^2+(VLOOKUP(C352,'Base de Diseño (2)'!$A$2:$C$333,3,0)-VLOOKUP(D352,'Base de Diseño (2)'!$A$2:$C$333,3,FALSE))^2)^0.5,2))</f>
        <v>48.03</v>
      </c>
      <c r="AY352" s="548">
        <v>16</v>
      </c>
      <c r="AZ352" s="549">
        <f ca="1">IF(AND(L352="",H352=""),"",IF(BA352=4,VLOOKUP(AY352,'TABLA (2)'!$A$74:$C$89,2),IF(BA352=5,VLOOKUP(AY352,'TABLA (2)'!$A$51:$B$66,2),IF(BA352=6,VLOOKUP(AY352,'TABLA (2)'!$A$9:$B$43,2)))))</f>
        <v>362</v>
      </c>
      <c r="BA352" s="548">
        <v>4</v>
      </c>
      <c r="BB352" s="547">
        <f>IF(OR(C352="",D352=""),"",VLOOKUP(C352,'Base de Diseño (2)'!$A$2:$D$330,4,FALSE))</f>
        <v>971.18600000000004</v>
      </c>
      <c r="BC352" s="547">
        <f>IF(OR(C352="",D352=""),"",VLOOKUP(D352,'Base de Diseño (2)'!$A$2:$D$330,4,FALSE))</f>
        <v>970.12199999999996</v>
      </c>
      <c r="BD352" s="550">
        <f t="shared" ca="1" si="992"/>
        <v>3.899</v>
      </c>
      <c r="BE352" s="550">
        <f t="shared" ca="1" si="993"/>
        <v>3.069</v>
      </c>
      <c r="BF352" s="551">
        <v>4.28</v>
      </c>
      <c r="BG352" s="551">
        <v>3.45</v>
      </c>
      <c r="BH352" s="552">
        <f t="shared" si="994"/>
        <v>966.90600000000006</v>
      </c>
      <c r="BI352" s="552">
        <f t="shared" si="995"/>
        <v>966.67199999999991</v>
      </c>
      <c r="BJ352" s="537">
        <f t="shared" si="1030"/>
        <v>9.9999999999909051E-3</v>
      </c>
      <c r="BK352" s="545">
        <f t="shared" si="996"/>
        <v>2.2152821153447388</v>
      </c>
      <c r="BL352" s="545">
        <f t="shared" si="997"/>
        <v>0.48719550281105761</v>
      </c>
      <c r="BM352" s="545">
        <f t="shared" ca="1" si="998"/>
        <v>1.563297063411988</v>
      </c>
      <c r="BN352" s="545">
        <f t="shared" ca="1" si="999"/>
        <v>160.89721782900807</v>
      </c>
      <c r="BO352" s="553">
        <f t="shared" ca="1" si="1000"/>
        <v>0.22680163465427725</v>
      </c>
      <c r="BP352" s="523">
        <f t="shared" ca="1" si="1001"/>
        <v>36.60380259812171</v>
      </c>
      <c r="BQ352" s="554">
        <f t="shared" ca="1" si="1002"/>
        <v>0.67871202471006453</v>
      </c>
      <c r="BR352" s="524" t="str">
        <f t="shared" ca="1" si="1003"/>
        <v xml:space="preserve"> </v>
      </c>
      <c r="BS352" s="545">
        <f t="shared" ca="1" si="1004"/>
        <v>1.0610285151316485</v>
      </c>
      <c r="BT352" s="514" t="e">
        <f t="shared" ca="1" si="1005"/>
        <v>#VALUE!</v>
      </c>
      <c r="BU352" s="545">
        <f t="shared" ca="1" si="1006"/>
        <v>0.37620108977707822</v>
      </c>
      <c r="BV352" s="514" t="str">
        <f t="shared" ca="1" si="1007"/>
        <v xml:space="preserve"> </v>
      </c>
      <c r="BW352" s="545">
        <f t="shared" ca="1" si="1008"/>
        <v>2.6411924809000378</v>
      </c>
      <c r="BX352" s="514" t="e">
        <f t="shared" ca="1" si="1009"/>
        <v>#VALUE!</v>
      </c>
      <c r="BY352" s="545">
        <f t="shared" ca="1" si="1010"/>
        <v>0.20458711469805066</v>
      </c>
      <c r="BZ352" s="514" t="e">
        <f t="shared" ca="1" si="1011"/>
        <v>#VALUE!</v>
      </c>
      <c r="CA352" s="541">
        <f t="shared" ca="1" si="1012"/>
        <v>7.4060535520694346E-2</v>
      </c>
      <c r="CB352" s="510" t="e">
        <f t="shared" ca="1" si="1013"/>
        <v>#VALUE!</v>
      </c>
      <c r="CC352" s="541" t="e">
        <f t="shared" ref="CC352:CC383" ca="1" si="1038">+(BT352/SQRT(9.81*(0.125*(BX352-SIN(BX352))*(AZ352/1000)^2)/((AZ352/1000)*SIN(BX352/2))))</f>
        <v>#VALUE!</v>
      </c>
      <c r="CD352" s="541" t="e">
        <f t="shared" ca="1" si="1015"/>
        <v>#VALUE!</v>
      </c>
      <c r="CE352" s="541">
        <f t="shared" ca="1" si="1016"/>
        <v>0.3608195984146087</v>
      </c>
      <c r="CF352" s="510" t="e">
        <f t="shared" ca="1" si="1017"/>
        <v>#VALUE!</v>
      </c>
      <c r="CG352" s="541" t="str">
        <f t="shared" ca="1" si="1018"/>
        <v>O.K</v>
      </c>
      <c r="CH352" s="510" t="e">
        <f t="shared" ca="1" si="1019"/>
        <v>#VALUE!</v>
      </c>
      <c r="CI352" s="541" t="str">
        <f t="shared" ca="1" si="1020"/>
        <v>OK</v>
      </c>
      <c r="CJ352" s="510" t="e">
        <f t="shared" ca="1" si="1021"/>
        <v>#VALUE!</v>
      </c>
      <c r="CK352" s="537">
        <f t="shared" si="1022"/>
        <v>9.9999999999909051E-3</v>
      </c>
      <c r="CL352" s="482" t="s">
        <v>2507</v>
      </c>
      <c r="CM352" s="555"/>
      <c r="CN352" s="556" t="str">
        <f t="shared" si="1023"/>
        <v xml:space="preserve"> </v>
      </c>
      <c r="CO352" s="527">
        <f t="shared" si="1024"/>
        <v>48.03</v>
      </c>
      <c r="CP352" s="542">
        <f t="shared" si="1025"/>
        <v>2.215282115344739E-2</v>
      </c>
      <c r="CQ352" s="555" t="s">
        <v>2508</v>
      </c>
      <c r="CR352" s="553">
        <f t="shared" si="1026"/>
        <v>48.03</v>
      </c>
      <c r="CS352" s="558">
        <v>1.2</v>
      </c>
      <c r="CT352" s="558">
        <v>1.2</v>
      </c>
      <c r="CU352" s="550">
        <f t="shared" si="1027"/>
        <v>48.030570015355849</v>
      </c>
      <c r="CV352" s="559" t="s">
        <v>2526</v>
      </c>
      <c r="CW352" s="560" t="str">
        <f t="shared" ca="1" si="1028"/>
        <v>E3</v>
      </c>
      <c r="CX352" s="553">
        <f ca="1">IF(AND(L352="",H352=""),"",IF(AND(BA352&lt;&gt;4,BA352&lt;&gt;5),VLOOKUP(AY352,'TABLA (2)'!$A$9:$D$43,4),IF(BA352=4,VLOOKUP(AY352,'TABLA (2)'!$A$74:$D$89,4),VLOOKUP(AY352,'TABLA (2)'!$A$51:$D$66,4))))</f>
        <v>1.9E-2</v>
      </c>
      <c r="CY352" s="555"/>
      <c r="CZ352" s="555"/>
      <c r="DA352" s="555"/>
      <c r="DB352" s="561"/>
    </row>
    <row r="353" spans="1:106" s="562" customFormat="1" ht="15" hidden="1" customHeight="1">
      <c r="A353" s="465">
        <f t="shared" si="1029"/>
        <v>248</v>
      </c>
      <c r="B353" s="535"/>
      <c r="C353" s="536" t="str">
        <f t="shared" si="1031"/>
        <v>C79</v>
      </c>
      <c r="D353" s="536" t="s">
        <v>2332</v>
      </c>
      <c r="E353" s="537">
        <v>0.1043247678</v>
      </c>
      <c r="F353" s="537"/>
      <c r="G353" s="537">
        <f t="shared" si="959"/>
        <v>32.514898744999996</v>
      </c>
      <c r="H353" s="537">
        <f t="shared" si="960"/>
        <v>32.619223512799998</v>
      </c>
      <c r="I353" s="537">
        <v>0.1043247678</v>
      </c>
      <c r="J353" s="537"/>
      <c r="K353" s="538">
        <f t="shared" ca="1" si="1036"/>
        <v>30.713171238000001</v>
      </c>
      <c r="L353" s="537">
        <f t="shared" ca="1" si="962"/>
        <v>30.817496005800002</v>
      </c>
      <c r="M353" s="539">
        <f t="shared" si="963"/>
        <v>242.33666300502347</v>
      </c>
      <c r="N353" s="540">
        <f t="shared" si="964"/>
        <v>25.281716097425921</v>
      </c>
      <c r="O353" s="540">
        <f t="shared" si="965"/>
        <v>0</v>
      </c>
      <c r="P353" s="540">
        <f t="shared" si="966"/>
        <v>7904.8337759069509</v>
      </c>
      <c r="Q353" s="469">
        <f t="shared" si="967"/>
        <v>140</v>
      </c>
      <c r="R353" s="541">
        <f t="shared" si="968"/>
        <v>10.887444668205177</v>
      </c>
      <c r="S353" s="541"/>
      <c r="T353" s="541"/>
      <c r="U353" s="541">
        <f t="shared" si="969"/>
        <v>0</v>
      </c>
      <c r="V353" s="541"/>
      <c r="W353" s="541"/>
      <c r="X353" s="541">
        <f t="shared" si="970"/>
        <v>0</v>
      </c>
      <c r="Y353" s="541">
        <f t="shared" si="971"/>
        <v>6.5238447025599999</v>
      </c>
      <c r="Z353" s="541">
        <f t="shared" ca="1" si="972"/>
        <v>0</v>
      </c>
      <c r="AA353" s="471">
        <f t="shared" si="1033"/>
        <v>2.7604710866211701</v>
      </c>
      <c r="AB353" s="541">
        <f t="shared" si="973"/>
        <v>30.054476213768211</v>
      </c>
      <c r="AC353" s="541">
        <f t="shared" si="974"/>
        <v>3.48208821249269E-2</v>
      </c>
      <c r="AD353" s="541">
        <f t="shared" si="975"/>
        <v>2.086495356E-2</v>
      </c>
      <c r="AE353" s="541">
        <f t="shared" si="976"/>
        <v>0</v>
      </c>
      <c r="AF353" s="510">
        <f t="shared" si="958"/>
        <v>3.8</v>
      </c>
      <c r="AG353" s="541">
        <f t="shared" si="977"/>
        <v>0.1323193520747222</v>
      </c>
      <c r="AH353" s="541">
        <f t="shared" si="978"/>
        <v>0.15318430563472221</v>
      </c>
      <c r="AI353" s="541">
        <f t="shared" ca="1" si="979"/>
        <v>36.578320916328209</v>
      </c>
      <c r="AJ353" s="541">
        <f t="shared" si="980"/>
        <v>0.75</v>
      </c>
      <c r="AK353" s="542">
        <f t="shared" si="981"/>
        <v>2.1092029942755833E-2</v>
      </c>
      <c r="AL353" s="541">
        <f t="shared" si="982"/>
        <v>0.62855460149713782</v>
      </c>
      <c r="AM353" s="543">
        <f t="shared" si="983"/>
        <v>301.62405254858822</v>
      </c>
      <c r="AN353" s="544">
        <f t="shared" si="1037"/>
        <v>13.459533806739072</v>
      </c>
      <c r="AO353" s="544">
        <f t="shared" si="984"/>
        <v>0.42055555555555557</v>
      </c>
      <c r="AP353" s="544">
        <f t="shared" si="985"/>
        <v>13.880089362294628</v>
      </c>
      <c r="AQ353" s="545">
        <v>1.8</v>
      </c>
      <c r="AR353" s="544" t="e">
        <f t="shared" ca="1" si="986"/>
        <v>#VALUE!</v>
      </c>
      <c r="AS353" s="544" t="e">
        <f t="shared" ca="1" si="987"/>
        <v>#VALUE!</v>
      </c>
      <c r="AT353" s="541" t="e">
        <f t="shared" ca="1" si="988"/>
        <v>#VALUE!</v>
      </c>
      <c r="AU353" s="546">
        <f t="shared" si="989"/>
        <v>19.778639173124134</v>
      </c>
      <c r="AV353" s="541">
        <f t="shared" ca="1" si="990"/>
        <v>5842.6023519787077</v>
      </c>
      <c r="AW353" s="541">
        <f t="shared" ca="1" si="991"/>
        <v>5842.6</v>
      </c>
      <c r="AX353" s="541">
        <f>IF(OR(C353="",D353=""),"",ROUND(((VLOOKUP(C353,'Base de Diseño (2)'!$A$2:$C$333,2,FALSE)-VLOOKUP(D353,'Base de Diseño (2)'!$A$2:$C$333,2,FALSE))^2+(VLOOKUP(C353,'Base de Diseño (2)'!$A$2:$C$333,3,0)-VLOOKUP(D353,'Base de Diseño (2)'!$A$2:$C$333,3,FALSE))^2)^0.5,2))</f>
        <v>45.42</v>
      </c>
      <c r="AY353" s="548">
        <v>16</v>
      </c>
      <c r="AZ353" s="549">
        <f ca="1">IF(AND(L353="",H353=""),"",IF(BA353=4,VLOOKUP(AY353,'TABLA (2)'!$A$74:$C$89,2),IF(BA353=5,VLOOKUP(AY353,'TABLA (2)'!$A$51:$B$66,2),IF(BA353=6,VLOOKUP(AY353,'TABLA (2)'!$A$9:$B$43,2)))))</f>
        <v>362</v>
      </c>
      <c r="BA353" s="548">
        <v>4</v>
      </c>
      <c r="BB353" s="547">
        <f>IF(OR(C353="",D353=""),"",VLOOKUP(C353,'Base de Diseño (2)'!$A$2:$D$330,4,FALSE))</f>
        <v>970.12199999999996</v>
      </c>
      <c r="BC353" s="547">
        <f>IF(OR(C353="",D353=""),"",VLOOKUP(D353,'Base de Diseño (2)'!$A$2:$D$330,4,FALSE))</f>
        <v>969.16399999999999</v>
      </c>
      <c r="BD353" s="550">
        <f t="shared" ca="1" si="992"/>
        <v>3.0789999999999997</v>
      </c>
      <c r="BE353" s="550">
        <f t="shared" ca="1" si="993"/>
        <v>2.3689999999999998</v>
      </c>
      <c r="BF353" s="551">
        <v>3.46</v>
      </c>
      <c r="BG353" s="551">
        <v>2.75</v>
      </c>
      <c r="BH353" s="552">
        <f t="shared" si="994"/>
        <v>966.66199999999992</v>
      </c>
      <c r="BI353" s="552">
        <f t="shared" si="995"/>
        <v>966.41399999999999</v>
      </c>
      <c r="BJ353" s="537">
        <f t="shared" si="1030"/>
        <v>2.9999999999972715E-2</v>
      </c>
      <c r="BK353" s="545">
        <f t="shared" si="996"/>
        <v>2.1092029942755834</v>
      </c>
      <c r="BL353" s="545">
        <f t="shared" si="997"/>
        <v>0.54601497137810129</v>
      </c>
      <c r="BM353" s="545">
        <f t="shared" ca="1" si="998"/>
        <v>1.6549777225567794</v>
      </c>
      <c r="BN353" s="545">
        <f t="shared" ca="1" si="999"/>
        <v>170.33314867693744</v>
      </c>
      <c r="BO353" s="553">
        <f t="shared" ca="1" si="1000"/>
        <v>0.21474575677400601</v>
      </c>
      <c r="BP353" s="523">
        <f t="shared" ca="1" si="1001"/>
        <v>34.301015658915425</v>
      </c>
      <c r="BQ353" s="554">
        <f t="shared" ca="1" si="1002"/>
        <v>0.66831605403828898</v>
      </c>
      <c r="BR353" s="524" t="str">
        <f t="shared" ca="1" si="1003"/>
        <v xml:space="preserve"> </v>
      </c>
      <c r="BS353" s="545">
        <f t="shared" ca="1" si="1004"/>
        <v>1.106048181060421</v>
      </c>
      <c r="BT353" s="514" t="e">
        <f t="shared" ca="1" si="1005"/>
        <v>#VALUE!</v>
      </c>
      <c r="BU353" s="545">
        <f t="shared" ca="1" si="1006"/>
        <v>0.36816383785649553</v>
      </c>
      <c r="BV353" s="514" t="str">
        <f t="shared" ca="1" si="1007"/>
        <v xml:space="preserve"> </v>
      </c>
      <c r="BW353" s="545">
        <f t="shared" ca="1" si="1008"/>
        <v>2.6079380932891834</v>
      </c>
      <c r="BX353" s="514" t="e">
        <f t="shared" ca="1" si="1009"/>
        <v>#VALUE!</v>
      </c>
      <c r="BY353" s="545">
        <f t="shared" ca="1" si="1010"/>
        <v>0.20123703855722291</v>
      </c>
      <c r="BZ353" s="514" t="e">
        <f t="shared" ca="1" si="1011"/>
        <v>#VALUE!</v>
      </c>
      <c r="CA353" s="541">
        <f t="shared" ca="1" si="1012"/>
        <v>7.28478079577147E-2</v>
      </c>
      <c r="CB353" s="510" t="e">
        <f t="shared" ca="1" si="1013"/>
        <v>#VALUE!</v>
      </c>
      <c r="CC353" s="541" t="e">
        <f t="shared" ca="1" si="1038"/>
        <v>#VALUE!</v>
      </c>
      <c r="CD353" s="541" t="e">
        <f t="shared" ca="1" si="1015"/>
        <v>#VALUE!</v>
      </c>
      <c r="CE353" s="541">
        <f t="shared" ca="1" si="1016"/>
        <v>0.3977599377698901</v>
      </c>
      <c r="CF353" s="510" t="e">
        <f t="shared" ca="1" si="1017"/>
        <v>#VALUE!</v>
      </c>
      <c r="CG353" s="541" t="str">
        <f t="shared" ca="1" si="1018"/>
        <v>O.K</v>
      </c>
      <c r="CH353" s="510" t="e">
        <f t="shared" ca="1" si="1019"/>
        <v>#VALUE!</v>
      </c>
      <c r="CI353" s="541" t="str">
        <f t="shared" ca="1" si="1020"/>
        <v>OK</v>
      </c>
      <c r="CJ353" s="510" t="e">
        <f t="shared" ca="1" si="1021"/>
        <v>#VALUE!</v>
      </c>
      <c r="CK353" s="537">
        <f t="shared" si="1022"/>
        <v>2.9999999999972715E-2</v>
      </c>
      <c r="CL353" s="482" t="s">
        <v>2507</v>
      </c>
      <c r="CM353" s="555"/>
      <c r="CN353" s="556" t="str">
        <f t="shared" si="1023"/>
        <v xml:space="preserve"> </v>
      </c>
      <c r="CO353" s="527">
        <f t="shared" si="1024"/>
        <v>45.42</v>
      </c>
      <c r="CP353" s="511">
        <f t="shared" si="1025"/>
        <v>2.1092029942755833E-2</v>
      </c>
      <c r="CQ353" s="555" t="s">
        <v>2508</v>
      </c>
      <c r="CR353" s="553">
        <f t="shared" si="1026"/>
        <v>45.42</v>
      </c>
      <c r="CS353" s="558">
        <v>1.2</v>
      </c>
      <c r="CT353" s="558">
        <v>1.2</v>
      </c>
      <c r="CU353" s="550">
        <f t="shared" si="1027"/>
        <v>45.420677053518254</v>
      </c>
      <c r="CV353" s="559" t="s">
        <v>2526</v>
      </c>
      <c r="CW353" s="560" t="str">
        <f t="shared" ca="1" si="1028"/>
        <v>E3</v>
      </c>
      <c r="CX353" s="553">
        <f ca="1">IF(AND(L353="",H353=""),"",IF(AND(BA353&lt;&gt;4,BA353&lt;&gt;5),VLOOKUP(AY353,'TABLA (2)'!$A$9:$D$43,4),IF(BA353=4,VLOOKUP(AY353,'TABLA (2)'!$A$74:$D$89,4),VLOOKUP(AY353,'TABLA (2)'!$A$51:$D$66,4))))</f>
        <v>1.9E-2</v>
      </c>
      <c r="CY353" s="555"/>
      <c r="CZ353" s="555"/>
      <c r="DA353" s="555"/>
      <c r="DB353" s="561"/>
    </row>
    <row r="354" spans="1:106" s="562" customFormat="1" ht="15" hidden="1" customHeight="1">
      <c r="A354" s="465">
        <f t="shared" si="1029"/>
        <v>249</v>
      </c>
      <c r="B354" s="535"/>
      <c r="C354" s="536" t="str">
        <f t="shared" si="1031"/>
        <v>C81</v>
      </c>
      <c r="D354" s="536" t="s">
        <v>2333</v>
      </c>
      <c r="E354" s="537"/>
      <c r="F354" s="537"/>
      <c r="G354" s="537">
        <f t="shared" si="959"/>
        <v>36.311305097399995</v>
      </c>
      <c r="H354" s="537">
        <f t="shared" si="960"/>
        <v>36.311305097399995</v>
      </c>
      <c r="I354" s="537"/>
      <c r="J354" s="537"/>
      <c r="K354" s="538">
        <f t="shared" ca="1" si="1036"/>
        <v>33.077363836900005</v>
      </c>
      <c r="L354" s="537">
        <f t="shared" ca="1" si="962"/>
        <v>33.077363836900005</v>
      </c>
      <c r="M354" s="539">
        <f t="shared" si="963"/>
        <v>242.33666300502347</v>
      </c>
      <c r="N354" s="540">
        <f t="shared" si="964"/>
        <v>0</v>
      </c>
      <c r="O354" s="540">
        <f t="shared" si="965"/>
        <v>0</v>
      </c>
      <c r="P354" s="540">
        <f t="shared" si="966"/>
        <v>8799.5605066612134</v>
      </c>
      <c r="Q354" s="469">
        <f t="shared" si="967"/>
        <v>140</v>
      </c>
      <c r="R354" s="541">
        <f t="shared" si="968"/>
        <v>12.119765049683847</v>
      </c>
      <c r="S354" s="541"/>
      <c r="T354" s="541"/>
      <c r="U354" s="541">
        <f t="shared" si="969"/>
        <v>0</v>
      </c>
      <c r="V354" s="541"/>
      <c r="W354" s="541"/>
      <c r="X354" s="541">
        <f t="shared" si="970"/>
        <v>0</v>
      </c>
      <c r="Y354" s="541">
        <f t="shared" si="971"/>
        <v>7.2622610194799995</v>
      </c>
      <c r="Z354" s="541">
        <f t="shared" ca="1" si="972"/>
        <v>0</v>
      </c>
      <c r="AA354" s="471">
        <f t="shared" si="1033"/>
        <v>2.6667102683369412</v>
      </c>
      <c r="AB354" s="541">
        <f t="shared" si="973"/>
        <v>32.319901907823095</v>
      </c>
      <c r="AC354" s="541">
        <f t="shared" si="974"/>
        <v>0</v>
      </c>
      <c r="AD354" s="541">
        <f t="shared" si="975"/>
        <v>0</v>
      </c>
      <c r="AE354" s="541">
        <f t="shared" si="976"/>
        <v>0</v>
      </c>
      <c r="AF354" s="510">
        <f t="shared" si="958"/>
        <v>3.8</v>
      </c>
      <c r="AG354" s="541">
        <f t="shared" si="977"/>
        <v>0</v>
      </c>
      <c r="AH354" s="541">
        <f t="shared" si="978"/>
        <v>0</v>
      </c>
      <c r="AI354" s="541">
        <f t="shared" ca="1" si="979"/>
        <v>39.582162927303095</v>
      </c>
      <c r="AJ354" s="541">
        <f t="shared" si="980"/>
        <v>0.75</v>
      </c>
      <c r="AK354" s="542">
        <f t="shared" si="981"/>
        <v>1.2381253958200214E-2</v>
      </c>
      <c r="AL354" s="541">
        <f t="shared" si="982"/>
        <v>0.62811906269791007</v>
      </c>
      <c r="AM354" s="543">
        <f t="shared" si="983"/>
        <v>299.93686164932041</v>
      </c>
      <c r="AN354" s="544">
        <f t="shared" si="1037"/>
        <v>13.880089362294628</v>
      </c>
      <c r="AO354" s="544">
        <f t="shared" si="984"/>
        <v>0.21053333333333332</v>
      </c>
      <c r="AP354" s="544">
        <f t="shared" si="985"/>
        <v>14.090622695627962</v>
      </c>
      <c r="AQ354" s="545">
        <v>2.5</v>
      </c>
      <c r="AR354" s="544" t="e">
        <f t="shared" ca="1" si="986"/>
        <v>#VALUE!</v>
      </c>
      <c r="AS354" s="544" t="e">
        <f t="shared" ca="1" si="987"/>
        <v>#VALUE!</v>
      </c>
      <c r="AT354" s="541" t="e">
        <f t="shared" ca="1" si="988"/>
        <v>#VALUE!</v>
      </c>
      <c r="AU354" s="546">
        <f t="shared" si="989"/>
        <v>0</v>
      </c>
      <c r="AV354" s="541">
        <f t="shared" ca="1" si="990"/>
        <v>6231.6450355448742</v>
      </c>
      <c r="AW354" s="541">
        <f t="shared" ca="1" si="991"/>
        <v>6231.65</v>
      </c>
      <c r="AX354" s="541">
        <f>IF(OR(C354="",D354=""),"",ROUND(((VLOOKUP(C354,'Base de Diseño (2)'!$A$2:$C$333,2,FALSE)-VLOOKUP(D354,'Base de Diseño (2)'!$A$2:$C$333,2,FALSE))^2+(VLOOKUP(C354,'Base de Diseño (2)'!$A$2:$C$333,3,0)-VLOOKUP(D354,'Base de Diseño (2)'!$A$2:$C$333,3,FALSE))^2)^0.5,2))</f>
        <v>31.58</v>
      </c>
      <c r="AY354" s="548">
        <v>24</v>
      </c>
      <c r="AZ354" s="549">
        <f ca="1">IF(AND(L354="",H354=""),"",IF(BA354=4,VLOOKUP(AY354,'TABLA (2)'!$A$74:$C$89,2),IF(BA354=5,VLOOKUP(AY354,'TABLA (2)'!$A$51:$B$66,2),IF(BA354=6,VLOOKUP(AY354,'TABLA (2)'!$A$9:$B$43,2)))))</f>
        <v>595.12</v>
      </c>
      <c r="BA354" s="548">
        <v>4</v>
      </c>
      <c r="BB354" s="547">
        <f>IF(OR(C354="",D354=""),"",VLOOKUP(C354,'Base de Diseño (2)'!$A$2:$D$330,4,FALSE))</f>
        <v>969.16399999999999</v>
      </c>
      <c r="BC354" s="547">
        <f>IF(OR(C354="",D354=""),"",VLOOKUP(D354,'Base de Diseño (2)'!$A$2:$D$330,4,FALSE))</f>
        <v>968.77300000000002</v>
      </c>
      <c r="BD354" s="550">
        <f t="shared" ca="1" si="992"/>
        <v>2.1544399999999997</v>
      </c>
      <c r="BE354" s="550">
        <f t="shared" ca="1" si="993"/>
        <v>1.9244399999999997</v>
      </c>
      <c r="BF354" s="551">
        <v>2.78</v>
      </c>
      <c r="BG354" s="551">
        <v>2.5499999999999998</v>
      </c>
      <c r="BH354" s="552">
        <f t="shared" si="994"/>
        <v>966.38400000000001</v>
      </c>
      <c r="BI354" s="552">
        <f t="shared" si="995"/>
        <v>966.22300000000007</v>
      </c>
      <c r="BJ354" s="537">
        <f t="shared" si="1030"/>
        <v>2.0000000000095497E-2</v>
      </c>
      <c r="BK354" s="545">
        <f t="shared" si="996"/>
        <v>1.2381253958200213</v>
      </c>
      <c r="BL354" s="545">
        <f t="shared" si="997"/>
        <v>0.5098163394551759</v>
      </c>
      <c r="BM354" s="545">
        <f t="shared" ca="1" si="998"/>
        <v>2.2275496969504154</v>
      </c>
      <c r="BN354" s="545">
        <f t="shared" ca="1" si="999"/>
        <v>619.62135161330514</v>
      </c>
      <c r="BO354" s="553">
        <f t="shared" ca="1" si="1000"/>
        <v>6.3881212008338975E-2</v>
      </c>
      <c r="BP354" s="523">
        <f t="shared" ca="1" si="1001"/>
        <v>10.0571905467342</v>
      </c>
      <c r="BQ354" s="554">
        <f t="shared" ca="1" si="1002"/>
        <v>0.47443862143907012</v>
      </c>
      <c r="BR354" s="524" t="str">
        <f t="shared" ca="1" si="1003"/>
        <v xml:space="preserve"> </v>
      </c>
      <c r="BS354" s="545">
        <f t="shared" ca="1" si="1004"/>
        <v>1.0568356074081735</v>
      </c>
      <c r="BT354" s="514" t="e">
        <f t="shared" ca="1" si="1005"/>
        <v>#VALUE!</v>
      </c>
      <c r="BU354" s="545">
        <f t="shared" ca="1" si="1006"/>
        <v>0.20527791612163832</v>
      </c>
      <c r="BV354" s="514" t="str">
        <f t="shared" ca="1" si="1007"/>
        <v xml:space="preserve"> </v>
      </c>
      <c r="BW354" s="545">
        <f t="shared" ca="1" si="1008"/>
        <v>1.8808514652643766</v>
      </c>
      <c r="BX354" s="514" t="e">
        <f t="shared" ca="1" si="1009"/>
        <v>#VALUE!</v>
      </c>
      <c r="BY354" s="545">
        <f t="shared" ca="1" si="1010"/>
        <v>0.1234194637961642</v>
      </c>
      <c r="BZ354" s="514" t="e">
        <f t="shared" ca="1" si="1011"/>
        <v>#VALUE!</v>
      </c>
      <c r="CA354" s="541">
        <f t="shared" ca="1" si="1012"/>
        <v>7.3449391294373237E-2</v>
      </c>
      <c r="CB354" s="510" t="e">
        <f t="shared" ca="1" si="1013"/>
        <v>#VALUE!</v>
      </c>
      <c r="CC354" s="541" t="e">
        <f t="shared" ca="1" si="1038"/>
        <v>#VALUE!</v>
      </c>
      <c r="CD354" s="541" t="e">
        <f t="shared" ca="1" si="1015"/>
        <v>#VALUE!</v>
      </c>
      <c r="CE354" s="541">
        <f t="shared" ca="1" si="1016"/>
        <v>0.37445699804908228</v>
      </c>
      <c r="CF354" s="510" t="e">
        <f t="shared" ca="1" si="1017"/>
        <v>#VALUE!</v>
      </c>
      <c r="CG354" s="541" t="str">
        <f t="shared" ca="1" si="1018"/>
        <v>O.K</v>
      </c>
      <c r="CH354" s="510" t="e">
        <f t="shared" ca="1" si="1019"/>
        <v>#VALUE!</v>
      </c>
      <c r="CI354" s="541" t="str">
        <f t="shared" ca="1" si="1020"/>
        <v>OK</v>
      </c>
      <c r="CJ354" s="510" t="e">
        <f t="shared" ca="1" si="1021"/>
        <v>#VALUE!</v>
      </c>
      <c r="CK354" s="537">
        <f t="shared" si="1022"/>
        <v>2.0000000000095497E-2</v>
      </c>
      <c r="CL354" s="482" t="s">
        <v>2507</v>
      </c>
      <c r="CM354" s="555"/>
      <c r="CN354" s="556" t="str">
        <f t="shared" si="1023"/>
        <v xml:space="preserve"> </v>
      </c>
      <c r="CO354" s="527">
        <f t="shared" si="1024"/>
        <v>31.58</v>
      </c>
      <c r="CP354" s="542">
        <f t="shared" si="1025"/>
        <v>1.2381253958200214E-2</v>
      </c>
      <c r="CQ354" s="555" t="s">
        <v>2508</v>
      </c>
      <c r="CR354" s="553">
        <f t="shared" si="1026"/>
        <v>31.58</v>
      </c>
      <c r="CS354" s="558">
        <v>1.2</v>
      </c>
      <c r="CT354" s="558">
        <v>1.5</v>
      </c>
      <c r="CU354" s="550">
        <f t="shared" si="1027"/>
        <v>31.580410399486578</v>
      </c>
      <c r="CV354" s="559" t="s">
        <v>2526</v>
      </c>
      <c r="CW354" s="560" t="str">
        <f t="shared" ca="1" si="1028"/>
        <v>E2</v>
      </c>
      <c r="CX354" s="553">
        <f ca="1">IF(AND(L354="",H354=""),"",IF(AND(BA354&lt;&gt;4,BA354&lt;&gt;5),VLOOKUP(AY354,'TABLA (2)'!$A$9:$D$43,4),IF(BA354=4,VLOOKUP(AY354,'TABLA (2)'!$A$74:$D$89,4),VLOOKUP(AY354,'TABLA (2)'!$A$51:$D$66,4))))</f>
        <v>3.0439999999999998E-2</v>
      </c>
      <c r="CY354" s="555"/>
      <c r="CZ354" s="555"/>
      <c r="DA354" s="555"/>
      <c r="DB354" s="561"/>
    </row>
    <row r="355" spans="1:106" s="562" customFormat="1" ht="15" hidden="1" customHeight="1">
      <c r="A355" s="465">
        <f t="shared" si="1029"/>
        <v>250</v>
      </c>
      <c r="B355" s="535"/>
      <c r="C355" s="536" t="str">
        <f t="shared" si="1031"/>
        <v>C87</v>
      </c>
      <c r="D355" s="536" t="s">
        <v>2335</v>
      </c>
      <c r="E355" s="537">
        <v>2.3612329899999999E-2</v>
      </c>
      <c r="F355" s="537"/>
      <c r="G355" s="537">
        <f t="shared" si="959"/>
        <v>36.388122690599992</v>
      </c>
      <c r="H355" s="537">
        <f t="shared" si="960"/>
        <v>36.411735020499989</v>
      </c>
      <c r="I355" s="537">
        <v>2.3612329899999999E-2</v>
      </c>
      <c r="J355" s="537"/>
      <c r="K355" s="538">
        <f t="shared" ca="1" si="1036"/>
        <v>33.154181430100003</v>
      </c>
      <c r="L355" s="537">
        <f t="shared" ca="1" si="962"/>
        <v>33.17779376</v>
      </c>
      <c r="M355" s="539">
        <f t="shared" si="963"/>
        <v>242.33666300502347</v>
      </c>
      <c r="N355" s="540">
        <f t="shared" si="964"/>
        <v>5.722133233739739</v>
      </c>
      <c r="O355" s="540">
        <f t="shared" si="965"/>
        <v>0</v>
      </c>
      <c r="P355" s="540">
        <f t="shared" si="966"/>
        <v>8823.8983590911175</v>
      </c>
      <c r="Q355" s="469">
        <f t="shared" si="967"/>
        <v>140</v>
      </c>
      <c r="R355" s="541">
        <f t="shared" si="968"/>
        <v>12.15328593439633</v>
      </c>
      <c r="S355" s="541"/>
      <c r="T355" s="541"/>
      <c r="U355" s="541">
        <f t="shared" si="969"/>
        <v>0</v>
      </c>
      <c r="V355" s="541"/>
      <c r="W355" s="541"/>
      <c r="X355" s="541">
        <f t="shared" si="970"/>
        <v>0</v>
      </c>
      <c r="Y355" s="541">
        <f t="shared" si="971"/>
        <v>7.2823470040999982</v>
      </c>
      <c r="Z355" s="541">
        <f t="shared" ca="1" si="972"/>
        <v>0</v>
      </c>
      <c r="AA355" s="471">
        <f t="shared" si="1033"/>
        <v>2.6642991655301853</v>
      </c>
      <c r="AB355" s="541">
        <f t="shared" si="973"/>
        <v>32.379989573461877</v>
      </c>
      <c r="AC355" s="541">
        <f t="shared" si="974"/>
        <v>7.8811788751739463E-3</v>
      </c>
      <c r="AD355" s="541">
        <f t="shared" si="975"/>
        <v>4.7224659799999999E-3</v>
      </c>
      <c r="AE355" s="541">
        <f t="shared" si="976"/>
        <v>0</v>
      </c>
      <c r="AF355" s="510">
        <f t="shared" si="958"/>
        <v>3.8</v>
      </c>
      <c r="AG355" s="541">
        <f t="shared" si="977"/>
        <v>2.9948479725660993E-2</v>
      </c>
      <c r="AH355" s="541">
        <f t="shared" si="978"/>
        <v>3.4670945705660997E-2</v>
      </c>
      <c r="AI355" s="541">
        <f t="shared" ca="1" si="979"/>
        <v>39.662336577561874</v>
      </c>
      <c r="AJ355" s="541">
        <f t="shared" si="980"/>
        <v>0.75</v>
      </c>
      <c r="AK355" s="542">
        <f t="shared" si="981"/>
        <v>8.5052631578946599E-3</v>
      </c>
      <c r="AL355" s="541">
        <f t="shared" si="982"/>
        <v>0.62792526315789476</v>
      </c>
      <c r="AM355" s="543">
        <f t="shared" si="983"/>
        <v>298.67986217713394</v>
      </c>
      <c r="AN355" s="544">
        <f t="shared" si="1037"/>
        <v>14.090622695627962</v>
      </c>
      <c r="AO355" s="544">
        <f t="shared" si="984"/>
        <v>0.15833333333333333</v>
      </c>
      <c r="AP355" s="544">
        <f t="shared" si="985"/>
        <v>14.248956028961295</v>
      </c>
      <c r="AQ355" s="545">
        <v>2.5</v>
      </c>
      <c r="AR355" s="544" t="e">
        <f t="shared" ca="1" si="986"/>
        <v>#VALUE!</v>
      </c>
      <c r="AS355" s="544" t="e">
        <f t="shared" ca="1" si="987"/>
        <v>#VALUE!</v>
      </c>
      <c r="AT355" s="541" t="e">
        <f t="shared" ca="1" si="988"/>
        <v>#VALUE!</v>
      </c>
      <c r="AU355" s="546">
        <f t="shared" si="989"/>
        <v>4.4284601488240334</v>
      </c>
      <c r="AV355" s="541">
        <f t="shared" ca="1" si="990"/>
        <v>6222.4498011974119</v>
      </c>
      <c r="AW355" s="541">
        <f t="shared" ca="1" si="991"/>
        <v>6222.45</v>
      </c>
      <c r="AX355" s="541">
        <f>IF(OR(C355="",D355=""),"",ROUND(((VLOOKUP(C355,'Base de Diseño (2)'!$A$2:$C$333,2,FALSE)-VLOOKUP(D355,'Base de Diseño (2)'!$A$2:$C$333,2,FALSE))^2+(VLOOKUP(C355,'Base de Diseño (2)'!$A$2:$C$333,3,0)-VLOOKUP(D355,'Base de Diseño (2)'!$A$2:$C$333,3,FALSE))^2)^0.5,2))</f>
        <v>23.75</v>
      </c>
      <c r="AY355" s="548">
        <v>24</v>
      </c>
      <c r="AZ355" s="549">
        <f ca="1">IF(AND(L355="",H355=""),"",IF(BA355=4,VLOOKUP(AY355,'TABLA (2)'!$A$74:$C$89,2),IF(BA355=5,VLOOKUP(AY355,'TABLA (2)'!$A$51:$B$66,2),IF(BA355=6,VLOOKUP(AY355,'TABLA (2)'!$A$9:$B$43,2)))))</f>
        <v>595.12</v>
      </c>
      <c r="BA355" s="548">
        <v>4</v>
      </c>
      <c r="BB355" s="547">
        <f>IF(OR(C355="",D355=""),"",VLOOKUP(C355,'Base de Diseño (2)'!$A$2:$D$330,4,FALSE))</f>
        <v>968.77300000000002</v>
      </c>
      <c r="BC355" s="547">
        <f>IF(OR(C355="",D355=""),"",VLOOKUP(D355,'Base de Diseño (2)'!$A$2:$D$330,4,FALSE))</f>
        <v>968.57100000000003</v>
      </c>
      <c r="BD355" s="550">
        <f t="shared" ca="1" si="992"/>
        <v>1.9444399999999997</v>
      </c>
      <c r="BE355" s="550">
        <f t="shared" ca="1" si="993"/>
        <v>1.9244399999999997</v>
      </c>
      <c r="BF355" s="551">
        <v>2.57</v>
      </c>
      <c r="BG355" s="551">
        <v>2.5499999999999998</v>
      </c>
      <c r="BH355" s="552">
        <f t="shared" si="994"/>
        <v>966.20299999999997</v>
      </c>
      <c r="BI355" s="552">
        <f t="shared" si="995"/>
        <v>966.02100000000007</v>
      </c>
      <c r="BJ355" s="537">
        <f t="shared" si="1030"/>
        <v>9.9999999999909051E-3</v>
      </c>
      <c r="BK355" s="545">
        <f t="shared" si="996"/>
        <v>0.85052631578946603</v>
      </c>
      <c r="BL355" s="545">
        <f t="shared" si="997"/>
        <v>0.7663157894732745</v>
      </c>
      <c r="BM355" s="545">
        <f t="shared" ca="1" si="998"/>
        <v>2.7310170646570877</v>
      </c>
      <c r="BN355" s="545">
        <f t="shared" ca="1" si="999"/>
        <v>759.667219635322</v>
      </c>
      <c r="BO355" s="553">
        <f t="shared" ca="1" si="1000"/>
        <v>5.2210146169794934E-2</v>
      </c>
      <c r="BP355" s="523">
        <f t="shared" ca="1" si="1001"/>
        <v>8.1910208038028607</v>
      </c>
      <c r="BQ355" s="554">
        <f t="shared" ca="1" si="1002"/>
        <v>0.45366658342595539</v>
      </c>
      <c r="BR355" s="524" t="str">
        <f t="shared" ca="1" si="1003"/>
        <v xml:space="preserve"> </v>
      </c>
      <c r="BS355" s="545">
        <f t="shared" ca="1" si="1004"/>
        <v>1.2389711810009625</v>
      </c>
      <c r="BT355" s="514" t="e">
        <f t="shared" ca="1" si="1005"/>
        <v>#VALUE!</v>
      </c>
      <c r="BU355" s="545">
        <f t="shared" ca="1" si="1006"/>
        <v>0.19226514114165763</v>
      </c>
      <c r="BV355" s="514" t="str">
        <f t="shared" ca="1" si="1007"/>
        <v xml:space="preserve"> </v>
      </c>
      <c r="BW355" s="545">
        <f t="shared" ca="1" si="1008"/>
        <v>1.8156290636202226</v>
      </c>
      <c r="BX355" s="514" t="e">
        <f t="shared" ca="1" si="1009"/>
        <v>#VALUE!</v>
      </c>
      <c r="BY355" s="545">
        <f t="shared" ca="1" si="1010"/>
        <v>0.11641298302857117</v>
      </c>
      <c r="BZ355" s="514" t="e">
        <f t="shared" ca="1" si="1011"/>
        <v>#VALUE!</v>
      </c>
      <c r="CA355" s="541">
        <f t="shared" ca="1" si="1012"/>
        <v>6.9279694459963279E-2</v>
      </c>
      <c r="CB355" s="510" t="e">
        <f t="shared" ca="1" si="1013"/>
        <v>#VALUE!</v>
      </c>
      <c r="CC355" s="541" t="e">
        <f t="shared" ca="1" si="1038"/>
        <v>#VALUE!</v>
      </c>
      <c r="CD355" s="541" t="e">
        <f t="shared" ca="1" si="1015"/>
        <v>#VALUE!</v>
      </c>
      <c r="CE355" s="541">
        <f t="shared" ca="1" si="1016"/>
        <v>0.53090123754554008</v>
      </c>
      <c r="CF355" s="510" t="e">
        <f t="shared" ca="1" si="1017"/>
        <v>#VALUE!</v>
      </c>
      <c r="CG355" s="541" t="str">
        <f t="shared" ca="1" si="1018"/>
        <v>O.K</v>
      </c>
      <c r="CH355" s="510" t="e">
        <f t="shared" ca="1" si="1019"/>
        <v>#VALUE!</v>
      </c>
      <c r="CI355" s="541" t="str">
        <f t="shared" ca="1" si="1020"/>
        <v>OK</v>
      </c>
      <c r="CJ355" s="510" t="e">
        <f t="shared" ca="1" si="1021"/>
        <v>#VALUE!</v>
      </c>
      <c r="CK355" s="537">
        <f t="shared" si="1022"/>
        <v>9.9999999999909051E-3</v>
      </c>
      <c r="CL355" s="482" t="s">
        <v>2507</v>
      </c>
      <c r="CM355" s="555"/>
      <c r="CN355" s="556" t="str">
        <f t="shared" si="1023"/>
        <v xml:space="preserve"> </v>
      </c>
      <c r="CO355" s="527">
        <f t="shared" si="1024"/>
        <v>23.75</v>
      </c>
      <c r="CP355" s="511">
        <f t="shared" si="1025"/>
        <v>8.5052631578946599E-3</v>
      </c>
      <c r="CQ355" s="555" t="s">
        <v>2508</v>
      </c>
      <c r="CR355" s="553">
        <f t="shared" si="1026"/>
        <v>23.75</v>
      </c>
      <c r="CS355" s="558">
        <v>1.5</v>
      </c>
      <c r="CT355" s="558">
        <v>1.5</v>
      </c>
      <c r="CU355" s="550">
        <f t="shared" si="1027"/>
        <v>23.750697337130966</v>
      </c>
      <c r="CV355" s="559" t="s">
        <v>2526</v>
      </c>
      <c r="CW355" s="560" t="str">
        <f t="shared" ca="1" si="1028"/>
        <v>E2</v>
      </c>
      <c r="CX355" s="553">
        <f ca="1">IF(AND(L355="",H355=""),"",IF(AND(BA355&lt;&gt;4,BA355&lt;&gt;5),VLOOKUP(AY355,'TABLA (2)'!$A$9:$D$43,4),IF(BA355=4,VLOOKUP(AY355,'TABLA (2)'!$A$74:$D$89,4),VLOOKUP(AY355,'TABLA (2)'!$A$51:$D$66,4))))</f>
        <v>3.0439999999999998E-2</v>
      </c>
      <c r="CY355" s="555"/>
      <c r="CZ355" s="555"/>
      <c r="DA355" s="555"/>
      <c r="DB355" s="561"/>
    </row>
    <row r="356" spans="1:106" s="562" customFormat="1" ht="15" hidden="1" customHeight="1">
      <c r="A356" s="465">
        <f t="shared" si="1029"/>
        <v>251</v>
      </c>
      <c r="B356" s="535"/>
      <c r="C356" s="536" t="str">
        <f t="shared" si="1031"/>
        <v>C93</v>
      </c>
      <c r="D356" s="536" t="s">
        <v>2336</v>
      </c>
      <c r="E356" s="537"/>
      <c r="F356" s="537"/>
      <c r="G356" s="537">
        <f t="shared" si="959"/>
        <v>36.470189928799989</v>
      </c>
      <c r="H356" s="537">
        <f t="shared" si="960"/>
        <v>36.470189928799989</v>
      </c>
      <c r="I356" s="537"/>
      <c r="J356" s="537"/>
      <c r="K356" s="538">
        <f t="shared" ca="1" si="1036"/>
        <v>33.2362486683</v>
      </c>
      <c r="L356" s="537">
        <f t="shared" ca="1" si="962"/>
        <v>33.2362486683</v>
      </c>
      <c r="M356" s="539">
        <f t="shared" si="963"/>
        <v>242.33666300502347</v>
      </c>
      <c r="N356" s="540">
        <f t="shared" si="964"/>
        <v>0</v>
      </c>
      <c r="O356" s="540">
        <f t="shared" si="965"/>
        <v>0</v>
      </c>
      <c r="P356" s="540">
        <f t="shared" si="966"/>
        <v>8838.0641265048034</v>
      </c>
      <c r="Q356" s="469">
        <f t="shared" si="967"/>
        <v>140</v>
      </c>
      <c r="R356" s="541">
        <f t="shared" si="968"/>
        <v>12.17279665571842</v>
      </c>
      <c r="S356" s="541"/>
      <c r="T356" s="541"/>
      <c r="U356" s="541">
        <f t="shared" si="969"/>
        <v>0</v>
      </c>
      <c r="V356" s="541"/>
      <c r="W356" s="541"/>
      <c r="X356" s="541">
        <f t="shared" si="970"/>
        <v>0</v>
      </c>
      <c r="Y356" s="541">
        <f t="shared" si="971"/>
        <v>7.2940379857599984</v>
      </c>
      <c r="Z356" s="541">
        <f t="shared" ca="1" si="972"/>
        <v>0</v>
      </c>
      <c r="AA356" s="471">
        <f t="shared" si="1033"/>
        <v>2.6628990001246748</v>
      </c>
      <c r="AB356" s="541">
        <f t="shared" si="973"/>
        <v>32.414928043233566</v>
      </c>
      <c r="AC356" s="541">
        <f t="shared" si="974"/>
        <v>0</v>
      </c>
      <c r="AD356" s="541">
        <f t="shared" si="975"/>
        <v>0</v>
      </c>
      <c r="AE356" s="541">
        <f t="shared" si="976"/>
        <v>0</v>
      </c>
      <c r="AF356" s="510">
        <f t="shared" si="958"/>
        <v>3.8</v>
      </c>
      <c r="AG356" s="541">
        <f t="shared" si="977"/>
        <v>0</v>
      </c>
      <c r="AH356" s="541">
        <f t="shared" si="978"/>
        <v>0</v>
      </c>
      <c r="AI356" s="541">
        <f t="shared" ca="1" si="979"/>
        <v>39.708966028993565</v>
      </c>
      <c r="AJ356" s="541">
        <f t="shared" si="980"/>
        <v>0.75</v>
      </c>
      <c r="AK356" s="542">
        <f t="shared" si="981"/>
        <v>1.0742430526752989E-2</v>
      </c>
      <c r="AL356" s="541">
        <f t="shared" si="982"/>
        <v>0.62803712152633773</v>
      </c>
      <c r="AM356" s="543">
        <f t="shared" si="983"/>
        <v>297.41409182962474</v>
      </c>
      <c r="AN356" s="544">
        <f t="shared" si="1037"/>
        <v>14.248956028961295</v>
      </c>
      <c r="AO356" s="544">
        <f t="shared" si="984"/>
        <v>0.16073333333333334</v>
      </c>
      <c r="AP356" s="544">
        <f t="shared" si="985"/>
        <v>14.409689362294628</v>
      </c>
      <c r="AQ356" s="545">
        <v>2.5</v>
      </c>
      <c r="AR356" s="544" t="e">
        <f t="shared" ca="1" si="986"/>
        <v>#VALUE!</v>
      </c>
      <c r="AS356" s="544" t="e">
        <f t="shared" ca="1" si="987"/>
        <v>#VALUE!</v>
      </c>
      <c r="AT356" s="541" t="e">
        <f t="shared" ca="1" si="988"/>
        <v>#VALUE!</v>
      </c>
      <c r="AU356" s="546">
        <f t="shared" si="989"/>
        <v>0</v>
      </c>
      <c r="AV356" s="541">
        <f t="shared" ca="1" si="990"/>
        <v>6208.1021757233648</v>
      </c>
      <c r="AW356" s="541">
        <f t="shared" ca="1" si="991"/>
        <v>6208.1</v>
      </c>
      <c r="AX356" s="541">
        <f>IF(OR(C356="",D356=""),"",ROUND(((VLOOKUP(C356,'Base de Diseño (2)'!$A$2:$C$333,2,FALSE)-VLOOKUP(D356,'Base de Diseño (2)'!$A$2:$C$333,2,FALSE))^2+(VLOOKUP(C356,'Base de Diseño (2)'!$A$2:$C$333,3,0)-VLOOKUP(D356,'Base de Diseño (2)'!$A$2:$C$333,3,FALSE))^2)^0.5,2))</f>
        <v>24.11</v>
      </c>
      <c r="AY356" s="548">
        <v>24</v>
      </c>
      <c r="AZ356" s="549">
        <f ca="1">IF(AND(L356="",H356=""),"",IF(BA356=4,VLOOKUP(AY356,'TABLA (2)'!$A$74:$C$89,2),IF(BA356=5,VLOOKUP(AY356,'TABLA (2)'!$A$51:$B$66,2),IF(BA356=6,VLOOKUP(AY356,'TABLA (2)'!$A$9:$B$43,2)))))</f>
        <v>595.12</v>
      </c>
      <c r="BA356" s="548">
        <v>4</v>
      </c>
      <c r="BB356" s="547">
        <f>IF(OR(C356="",D356=""),"",VLOOKUP(C356,'Base de Diseño (2)'!$A$2:$D$330,4,FALSE))</f>
        <v>968.57100000000003</v>
      </c>
      <c r="BC356" s="547">
        <f>IF(OR(C356="",D356=""),"",VLOOKUP(D356,'Base de Diseño (2)'!$A$2:$D$330,4,FALSE))</f>
        <v>968.31200000000001</v>
      </c>
      <c r="BD356" s="550">
        <f t="shared" ca="1" si="992"/>
        <v>1.9344399999999999</v>
      </c>
      <c r="BE356" s="550">
        <f t="shared" ca="1" si="993"/>
        <v>1.8344399999999998</v>
      </c>
      <c r="BF356" s="551">
        <v>2.56</v>
      </c>
      <c r="BG356" s="551">
        <v>2.46</v>
      </c>
      <c r="BH356" s="552">
        <f t="shared" si="994"/>
        <v>966.01100000000008</v>
      </c>
      <c r="BI356" s="552">
        <f t="shared" si="995"/>
        <v>965.85199999999998</v>
      </c>
      <c r="BJ356" s="537">
        <f t="shared" si="1030"/>
        <v>0</v>
      </c>
      <c r="BK356" s="545">
        <f t="shared" si="996"/>
        <v>1.0742430526752988</v>
      </c>
      <c r="BL356" s="545">
        <f t="shared" si="997"/>
        <v>0.65947739527210913</v>
      </c>
      <c r="BM356" s="545">
        <f t="shared" ca="1" si="998"/>
        <v>2.5334975216191129</v>
      </c>
      <c r="BN356" s="545">
        <f t="shared" ca="1" si="999"/>
        <v>704.72464017467769</v>
      </c>
      <c r="BO356" s="553">
        <f t="shared" ca="1" si="1000"/>
        <v>5.6346782509479221E-2</v>
      </c>
      <c r="BP356" s="523">
        <f t="shared" ca="1" si="1001"/>
        <v>8.8092563337379826</v>
      </c>
      <c r="BQ356" s="554">
        <f t="shared" ca="1" si="1002"/>
        <v>0.46384338897055288</v>
      </c>
      <c r="BR356" s="524" t="str">
        <f t="shared" ca="1" si="1003"/>
        <v xml:space="preserve"> </v>
      </c>
      <c r="BS356" s="545">
        <f t="shared" ca="1" si="1004"/>
        <v>1.175146076376306</v>
      </c>
      <c r="BT356" s="514" t="e">
        <f t="shared" ca="1" si="1005"/>
        <v>#VALUE!</v>
      </c>
      <c r="BU356" s="545">
        <f t="shared" ca="1" si="1006"/>
        <v>0.19718315606998318</v>
      </c>
      <c r="BV356" s="514" t="str">
        <f t="shared" ca="1" si="1007"/>
        <v xml:space="preserve"> </v>
      </c>
      <c r="BW356" s="545">
        <f t="shared" ca="1" si="1008"/>
        <v>1.8404687073131154</v>
      </c>
      <c r="BX356" s="514" t="e">
        <f t="shared" ca="1" si="1009"/>
        <v>#VALUE!</v>
      </c>
      <c r="BY356" s="545">
        <f t="shared" ca="1" si="1010"/>
        <v>0.11907435219809126</v>
      </c>
      <c r="BZ356" s="514" t="e">
        <f t="shared" ca="1" si="1011"/>
        <v>#VALUE!</v>
      </c>
      <c r="CA356" s="541">
        <f t="shared" ca="1" si="1012"/>
        <v>7.0863528480128071E-2</v>
      </c>
      <c r="CB356" s="510" t="e">
        <f t="shared" ca="1" si="1013"/>
        <v>#VALUE!</v>
      </c>
      <c r="CC356" s="541" t="e">
        <f t="shared" ca="1" si="1038"/>
        <v>#VALUE!</v>
      </c>
      <c r="CD356" s="541" t="e">
        <f t="shared" ca="1" si="1015"/>
        <v>#VALUE!</v>
      </c>
      <c r="CE356" s="541">
        <f t="shared" ca="1" si="1016"/>
        <v>0.4673289518186578</v>
      </c>
      <c r="CF356" s="510" t="e">
        <f t="shared" ca="1" si="1017"/>
        <v>#VALUE!</v>
      </c>
      <c r="CG356" s="541" t="str">
        <f t="shared" ca="1" si="1018"/>
        <v>O.K</v>
      </c>
      <c r="CH356" s="510" t="e">
        <f t="shared" ca="1" si="1019"/>
        <v>#VALUE!</v>
      </c>
      <c r="CI356" s="541" t="str">
        <f t="shared" ca="1" si="1020"/>
        <v>OK</v>
      </c>
      <c r="CJ356" s="510" t="e">
        <f t="shared" ca="1" si="1021"/>
        <v>#VALUE!</v>
      </c>
      <c r="CK356" s="537">
        <f t="shared" si="1022"/>
        <v>0</v>
      </c>
      <c r="CL356" s="482" t="s">
        <v>2507</v>
      </c>
      <c r="CM356" s="555"/>
      <c r="CN356" s="556" t="str">
        <f t="shared" si="1023"/>
        <v xml:space="preserve"> </v>
      </c>
      <c r="CO356" s="527">
        <f t="shared" si="1024"/>
        <v>24.11</v>
      </c>
      <c r="CP356" s="542">
        <f t="shared" si="1025"/>
        <v>1.0742430526752989E-2</v>
      </c>
      <c r="CQ356" s="555" t="s">
        <v>2508</v>
      </c>
      <c r="CR356" s="553">
        <f t="shared" si="1026"/>
        <v>24.11</v>
      </c>
      <c r="CS356" s="558">
        <v>1.5</v>
      </c>
      <c r="CT356" s="558">
        <v>1.5</v>
      </c>
      <c r="CU356" s="550">
        <f t="shared" si="1027"/>
        <v>24.110524278828947</v>
      </c>
      <c r="CV356" s="559" t="s">
        <v>2526</v>
      </c>
      <c r="CW356" s="560" t="str">
        <f t="shared" ca="1" si="1028"/>
        <v>E2</v>
      </c>
      <c r="CX356" s="553">
        <f ca="1">IF(AND(L356="",H356=""),"",IF(AND(BA356&lt;&gt;4,BA356&lt;&gt;5),VLOOKUP(AY356,'TABLA (2)'!$A$9:$D$43,4),IF(BA356=4,VLOOKUP(AY356,'TABLA (2)'!$A$74:$D$89,4),VLOOKUP(AY356,'TABLA (2)'!$A$51:$D$66,4))))</f>
        <v>3.0439999999999998E-2</v>
      </c>
      <c r="CY356" s="555"/>
      <c r="CZ356" s="555"/>
      <c r="DA356" s="555"/>
      <c r="DB356" s="561"/>
    </row>
    <row r="357" spans="1:106" s="562" customFormat="1" ht="15" hidden="1" customHeight="1">
      <c r="A357" s="465">
        <f t="shared" si="1029"/>
        <v>252</v>
      </c>
      <c r="B357" s="535"/>
      <c r="C357" s="536" t="str">
        <f t="shared" si="1031"/>
        <v>C95</v>
      </c>
      <c r="D357" s="536" t="s">
        <v>2337</v>
      </c>
      <c r="E357" s="537"/>
      <c r="F357" s="537"/>
      <c r="G357" s="537">
        <f t="shared" si="959"/>
        <v>36.538325275899986</v>
      </c>
      <c r="H357" s="537">
        <f t="shared" si="960"/>
        <v>36.538325275899986</v>
      </c>
      <c r="I357" s="537"/>
      <c r="J357" s="537"/>
      <c r="K357" s="538">
        <f t="shared" ca="1" si="1036"/>
        <v>33.304384015399997</v>
      </c>
      <c r="L357" s="537">
        <f t="shared" ca="1" si="962"/>
        <v>33.304384015399997</v>
      </c>
      <c r="M357" s="539">
        <f t="shared" si="963"/>
        <v>242.33666300502347</v>
      </c>
      <c r="N357" s="540">
        <f t="shared" si="964"/>
        <v>0</v>
      </c>
      <c r="O357" s="540">
        <f t="shared" si="965"/>
        <v>0</v>
      </c>
      <c r="P357" s="540">
        <f t="shared" si="966"/>
        <v>8854.5758191537061</v>
      </c>
      <c r="Q357" s="469">
        <f t="shared" si="967"/>
        <v>140</v>
      </c>
      <c r="R357" s="541">
        <f t="shared" si="968"/>
        <v>12.195538454621424</v>
      </c>
      <c r="S357" s="541"/>
      <c r="T357" s="541"/>
      <c r="U357" s="541">
        <f t="shared" si="969"/>
        <v>0</v>
      </c>
      <c r="V357" s="541"/>
      <c r="W357" s="541"/>
      <c r="X357" s="541">
        <f t="shared" si="970"/>
        <v>0</v>
      </c>
      <c r="Y357" s="541">
        <f t="shared" si="971"/>
        <v>7.3076650551799975</v>
      </c>
      <c r="Z357" s="541">
        <f t="shared" ca="1" si="972"/>
        <v>0</v>
      </c>
      <c r="AA357" s="471">
        <f t="shared" si="1033"/>
        <v>2.6612699305182468</v>
      </c>
      <c r="AB357" s="541">
        <f t="shared" si="973"/>
        <v>32.455619775762962</v>
      </c>
      <c r="AC357" s="541">
        <f t="shared" si="974"/>
        <v>0</v>
      </c>
      <c r="AD357" s="541">
        <f t="shared" si="975"/>
        <v>0</v>
      </c>
      <c r="AE357" s="541">
        <f t="shared" si="976"/>
        <v>0</v>
      </c>
      <c r="AF357" s="510">
        <f t="shared" si="958"/>
        <v>3.8</v>
      </c>
      <c r="AG357" s="541">
        <f t="shared" si="977"/>
        <v>0</v>
      </c>
      <c r="AH357" s="541">
        <f t="shared" si="978"/>
        <v>0</v>
      </c>
      <c r="AI357" s="541">
        <f t="shared" ca="1" si="979"/>
        <v>39.763284830942958</v>
      </c>
      <c r="AJ357" s="541">
        <f t="shared" si="980"/>
        <v>0.75</v>
      </c>
      <c r="AK357" s="542">
        <f t="shared" si="981"/>
        <v>5.3657301948870943E-3</v>
      </c>
      <c r="AL357" s="541">
        <f t="shared" si="982"/>
        <v>0.62776828650974437</v>
      </c>
      <c r="AM357" s="543">
        <f t="shared" si="983"/>
        <v>295.36190109536835</v>
      </c>
      <c r="AN357" s="544">
        <f t="shared" si="1037"/>
        <v>14.409689362294628</v>
      </c>
      <c r="AO357" s="544">
        <f t="shared" si="984"/>
        <v>0.26339999999999997</v>
      </c>
      <c r="AP357" s="544">
        <f t="shared" si="985"/>
        <v>14.673089362294629</v>
      </c>
      <c r="AQ357" s="545">
        <v>2.5</v>
      </c>
      <c r="AR357" s="544" t="e">
        <f t="shared" ca="1" si="986"/>
        <v>#VALUE!</v>
      </c>
      <c r="AS357" s="544" t="e">
        <f t="shared" ca="1" si="987"/>
        <v>#VALUE!</v>
      </c>
      <c r="AT357" s="541" t="e">
        <f t="shared" ca="1" si="988"/>
        <v>#VALUE!</v>
      </c>
      <c r="AU357" s="546">
        <f t="shared" si="989"/>
        <v>0</v>
      </c>
      <c r="AV357" s="541">
        <f t="shared" ca="1" si="990"/>
        <v>6175.2600695710898</v>
      </c>
      <c r="AW357" s="541">
        <f t="shared" ca="1" si="991"/>
        <v>6175.26</v>
      </c>
      <c r="AX357" s="541">
        <f>IF(OR(C357="",D357=""),"",ROUND(((VLOOKUP(C357,'Base de Diseño (2)'!$A$2:$C$333,2,FALSE)-VLOOKUP(D357,'Base de Diseño (2)'!$A$2:$C$333,2,FALSE))^2+(VLOOKUP(C357,'Base de Diseño (2)'!$A$2:$C$333,3,0)-VLOOKUP(D357,'Base de Diseño (2)'!$A$2:$C$333,3,FALSE))^2)^0.5,2))</f>
        <v>39.51</v>
      </c>
      <c r="AY357" s="548">
        <v>24</v>
      </c>
      <c r="AZ357" s="549">
        <f ca="1">IF(AND(L357="",H357=""),"",IF(BA357=4,VLOOKUP(AY357,'TABLA (2)'!$A$74:$C$89,2),IF(BA357=5,VLOOKUP(AY357,'TABLA (2)'!$A$51:$B$66,2),IF(BA357=6,VLOOKUP(AY357,'TABLA (2)'!$A$9:$B$43,2)))))</f>
        <v>595.12</v>
      </c>
      <c r="BA357" s="548">
        <v>4</v>
      </c>
      <c r="BB357" s="547">
        <f>IF(OR(C357="",D357=""),"",VLOOKUP(C357,'Base de Diseño (2)'!$A$2:$D$330,4,FALSE))</f>
        <v>968.31200000000001</v>
      </c>
      <c r="BC357" s="547">
        <f>IF(OR(C357="",D357=""),"",VLOOKUP(D357,'Base de Diseño (2)'!$A$2:$D$330,4,FALSE))</f>
        <v>968.1</v>
      </c>
      <c r="BD357" s="550">
        <f t="shared" ca="1" si="992"/>
        <v>1.8344399999999998</v>
      </c>
      <c r="BE357" s="550">
        <f t="shared" ca="1" si="993"/>
        <v>1.8544399999999999</v>
      </c>
      <c r="BF357" s="551">
        <v>2.46</v>
      </c>
      <c r="BG357" s="551">
        <v>2.48</v>
      </c>
      <c r="BH357" s="552">
        <f t="shared" si="994"/>
        <v>965.85199999999998</v>
      </c>
      <c r="BI357" s="552">
        <f t="shared" si="995"/>
        <v>965.62</v>
      </c>
      <c r="BJ357" s="537">
        <f t="shared" si="1030"/>
        <v>0</v>
      </c>
      <c r="BK357" s="545">
        <f t="shared" si="996"/>
        <v>0.53657301948870939</v>
      </c>
      <c r="BL357" s="545">
        <f t="shared" si="997"/>
        <v>0.58719311566684618</v>
      </c>
      <c r="BM357" s="545">
        <f t="shared" ca="1" si="998"/>
        <v>2.3906225096017306</v>
      </c>
      <c r="BN357" s="545">
        <f t="shared" ca="1" si="999"/>
        <v>664.98213378787261</v>
      </c>
      <c r="BO357" s="553">
        <f t="shared" ca="1" si="1000"/>
        <v>5.9796019788446425E-2</v>
      </c>
      <c r="BP357" s="523">
        <f t="shared" ca="1" si="1001"/>
        <v>9.2863547548630692</v>
      </c>
      <c r="BQ357" s="554">
        <f t="shared" ca="1" si="1002"/>
        <v>0.47193131833466706</v>
      </c>
      <c r="BR357" s="524" t="str">
        <f t="shared" ca="1" si="1003"/>
        <v xml:space="preserve"> </v>
      </c>
      <c r="BS357" s="545">
        <f t="shared" ca="1" si="1004"/>
        <v>1.1282096325968749</v>
      </c>
      <c r="BT357" s="514" t="e">
        <f t="shared" ca="1" si="1005"/>
        <v>#VALUE!</v>
      </c>
      <c r="BU357" s="545">
        <f t="shared" ca="1" si="1006"/>
        <v>0.2010153564569308</v>
      </c>
      <c r="BV357" s="514" t="str">
        <f t="shared" ca="1" si="1007"/>
        <v xml:space="preserve"> </v>
      </c>
      <c r="BW357" s="545">
        <f t="shared" ca="1" si="1008"/>
        <v>1.8596624003227999</v>
      </c>
      <c r="BX357" s="514" t="e">
        <f t="shared" ca="1" si="1009"/>
        <v>#VALUE!</v>
      </c>
      <c r="BY357" s="545">
        <f t="shared" ca="1" si="1010"/>
        <v>0.12113689183250997</v>
      </c>
      <c r="BZ357" s="514" t="e">
        <f t="shared" ca="1" si="1011"/>
        <v>#VALUE!</v>
      </c>
      <c r="CA357" s="541">
        <f t="shared" ca="1" si="1012"/>
        <v>7.2090987067363332E-2</v>
      </c>
      <c r="CB357" s="510" t="e">
        <f t="shared" ca="1" si="1013"/>
        <v>#VALUE!</v>
      </c>
      <c r="CC357" s="541" t="e">
        <f t="shared" ca="1" si="1038"/>
        <v>#VALUE!</v>
      </c>
      <c r="CD357" s="541" t="e">
        <f t="shared" ca="1" si="1015"/>
        <v>#VALUE!</v>
      </c>
      <c r="CE357" s="541">
        <f t="shared" ca="1" si="1016"/>
        <v>0.42331331307583392</v>
      </c>
      <c r="CF357" s="510" t="e">
        <f t="shared" ca="1" si="1017"/>
        <v>#VALUE!</v>
      </c>
      <c r="CG357" s="541" t="str">
        <f t="shared" ca="1" si="1018"/>
        <v>O.K</v>
      </c>
      <c r="CH357" s="510" t="e">
        <f t="shared" ca="1" si="1019"/>
        <v>#VALUE!</v>
      </c>
      <c r="CI357" s="541" t="str">
        <f t="shared" ca="1" si="1020"/>
        <v>OK</v>
      </c>
      <c r="CJ357" s="510" t="e">
        <f t="shared" ca="1" si="1021"/>
        <v>#VALUE!</v>
      </c>
      <c r="CK357" s="537">
        <f t="shared" si="1022"/>
        <v>0</v>
      </c>
      <c r="CL357" s="482" t="s">
        <v>2507</v>
      </c>
      <c r="CM357" s="555"/>
      <c r="CN357" s="556" t="str">
        <f t="shared" si="1023"/>
        <v xml:space="preserve"> </v>
      </c>
      <c r="CO357" s="527">
        <f t="shared" si="1024"/>
        <v>39.51</v>
      </c>
      <c r="CP357" s="511">
        <f t="shared" si="1025"/>
        <v>5.3657301948870943E-3</v>
      </c>
      <c r="CQ357" s="555" t="s">
        <v>2508</v>
      </c>
      <c r="CR357" s="553">
        <f t="shared" si="1026"/>
        <v>39.51</v>
      </c>
      <c r="CS357" s="558">
        <v>1.5</v>
      </c>
      <c r="CT357" s="558">
        <v>1.5</v>
      </c>
      <c r="CU357" s="550">
        <f t="shared" si="1027"/>
        <v>39.510681138142886</v>
      </c>
      <c r="CV357" s="559" t="s">
        <v>2526</v>
      </c>
      <c r="CW357" s="560" t="str">
        <f t="shared" ca="1" si="1028"/>
        <v>E2</v>
      </c>
      <c r="CX357" s="553">
        <f ca="1">IF(AND(L357="",H357=""),"",IF(AND(BA357&lt;&gt;4,BA357&lt;&gt;5),VLOOKUP(AY357,'TABLA (2)'!$A$9:$D$43,4),IF(BA357=4,VLOOKUP(AY357,'TABLA (2)'!$A$74:$D$89,4),VLOOKUP(AY357,'TABLA (2)'!$A$51:$D$66,4))))</f>
        <v>3.0439999999999998E-2</v>
      </c>
      <c r="CY357" s="555"/>
      <c r="CZ357" s="555"/>
      <c r="DA357" s="555"/>
      <c r="DB357" s="561"/>
    </row>
    <row r="358" spans="1:106" s="591" customFormat="1" ht="15" hidden="1" customHeight="1">
      <c r="A358" s="465">
        <f t="shared" si="1029"/>
        <v>253</v>
      </c>
      <c r="B358" s="565"/>
      <c r="C358" s="566" t="s">
        <v>2337</v>
      </c>
      <c r="D358" s="566" t="s">
        <v>2225</v>
      </c>
      <c r="E358" s="567">
        <v>0.1151116945</v>
      </c>
      <c r="F358" s="567"/>
      <c r="G358" s="537">
        <f t="shared" si="959"/>
        <v>36.570282251499989</v>
      </c>
      <c r="H358" s="537">
        <f t="shared" si="960"/>
        <v>36.685393945999991</v>
      </c>
      <c r="I358" s="567">
        <v>0.1151116945</v>
      </c>
      <c r="J358" s="567"/>
      <c r="K358" s="568">
        <f t="shared" ca="1" si="1036"/>
        <v>33.336340991</v>
      </c>
      <c r="L358" s="567">
        <f t="shared" ca="1" si="962"/>
        <v>33.451452685500001</v>
      </c>
      <c r="M358" s="569">
        <f t="shared" si="963"/>
        <v>242.33666300502347</v>
      </c>
      <c r="N358" s="570">
        <f t="shared" si="964"/>
        <v>27.895783917983714</v>
      </c>
      <c r="O358" s="570">
        <f t="shared" si="965"/>
        <v>0</v>
      </c>
      <c r="P358" s="570">
        <f t="shared" si="966"/>
        <v>8890.2159498983274</v>
      </c>
      <c r="Q358" s="469">
        <f t="shared" si="967"/>
        <v>140</v>
      </c>
      <c r="R358" s="571">
        <f t="shared" si="968"/>
        <v>12.244626134697928</v>
      </c>
      <c r="S358" s="571"/>
      <c r="T358" s="571"/>
      <c r="U358" s="571">
        <f t="shared" si="969"/>
        <v>0</v>
      </c>
      <c r="V358" s="571"/>
      <c r="W358" s="571"/>
      <c r="X358" s="571">
        <f t="shared" si="970"/>
        <v>0</v>
      </c>
      <c r="Y358" s="571">
        <f t="shared" si="971"/>
        <v>7.3370787891999987</v>
      </c>
      <c r="Z358" s="571">
        <f t="shared" ca="1" si="972"/>
        <v>0</v>
      </c>
      <c r="AA358" s="471">
        <f t="shared" si="1033"/>
        <v>2.6577644763724022</v>
      </c>
      <c r="AB358" s="571">
        <f t="shared" si="973"/>
        <v>32.543332367261272</v>
      </c>
      <c r="AC358" s="571">
        <f t="shared" si="974"/>
        <v>3.8421276461111827E-2</v>
      </c>
      <c r="AD358" s="571">
        <f t="shared" si="975"/>
        <v>2.3022338900000001E-2</v>
      </c>
      <c r="AE358" s="571">
        <f t="shared" si="976"/>
        <v>0</v>
      </c>
      <c r="AF358" s="510">
        <f t="shared" si="958"/>
        <v>3.8</v>
      </c>
      <c r="AG358" s="571">
        <f t="shared" si="977"/>
        <v>0.14600085055222495</v>
      </c>
      <c r="AH358" s="571">
        <f t="shared" si="978"/>
        <v>0.16902318945222494</v>
      </c>
      <c r="AI358" s="571">
        <f t="shared" ca="1" si="979"/>
        <v>39.880411156461271</v>
      </c>
      <c r="AJ358" s="571">
        <f t="shared" si="980"/>
        <v>0.75</v>
      </c>
      <c r="AK358" s="572">
        <f t="shared" si="981"/>
        <v>7.9797191887675204E-3</v>
      </c>
      <c r="AL358" s="571">
        <f t="shared" si="982"/>
        <v>0.62789898595943838</v>
      </c>
      <c r="AM358" s="592">
        <f t="shared" si="983"/>
        <v>291.01421098510804</v>
      </c>
      <c r="AN358" s="573">
        <f t="shared" si="1037"/>
        <v>14.673089362294629</v>
      </c>
      <c r="AO358" s="573">
        <f t="shared" si="984"/>
        <v>0.56977777777777783</v>
      </c>
      <c r="AP358" s="573">
        <f t="shared" si="985"/>
        <v>15.242867140072407</v>
      </c>
      <c r="AQ358" s="581">
        <v>3</v>
      </c>
      <c r="AR358" s="573" t="e">
        <f t="shared" ca="1" si="986"/>
        <v>#VALUE!</v>
      </c>
      <c r="AS358" s="573" t="e">
        <f t="shared" ca="1" si="987"/>
        <v>#VALUE!</v>
      </c>
      <c r="AT358" s="571" t="e">
        <f t="shared" ca="1" si="988"/>
        <v>#VALUE!</v>
      </c>
      <c r="AU358" s="574">
        <f t="shared" si="989"/>
        <v>21.034075377267236</v>
      </c>
      <c r="AV358" s="571">
        <f t="shared" ca="1" si="990"/>
        <v>6112.5012564722128</v>
      </c>
      <c r="AW358" s="571">
        <f t="shared" ca="1" si="991"/>
        <v>6112.5</v>
      </c>
      <c r="AX358" s="571">
        <f>IF(OR(C358="",D358=""),"",ROUND(((VLOOKUP(C358,'Base de Diseño (2)'!$A$2:$C$333,2,FALSE)-VLOOKUP(D358,'Base de Diseño (2)'!$A$2:$C$333,2,FALSE))^2+(VLOOKUP(C358,'Base de Diseño (2)'!$A$2:$C$333,3,0)-VLOOKUP(D358,'Base de Diseño (2)'!$A$2:$C$333,3,FALSE))^2)^0.5,2))</f>
        <v>102.56</v>
      </c>
      <c r="AY358" s="575">
        <v>12</v>
      </c>
      <c r="AZ358" s="576">
        <f ca="1">IF(AND(L358="",H358=""),"",IF(BA358=4,VLOOKUP(AY358,'TABLA (2)'!$A$74:$C$89,2),IF(BA358=5,VLOOKUP(AY358,'TABLA (2)'!$A$51:$B$66,2),IF(BA358=6,VLOOKUP(AY358,'TABLA (2)'!$A$9:$B$43,2)))))</f>
        <v>300</v>
      </c>
      <c r="BA358" s="575">
        <v>6</v>
      </c>
      <c r="BB358" s="577">
        <f>IF(OR(C358="",D358=""),"",VLOOKUP(C358,'Base de Diseño (2)'!$A$2:$D$330,4,FALSE))</f>
        <v>968.1</v>
      </c>
      <c r="BC358" s="577">
        <f>IF(OR(C358="",D358=""),"",VLOOKUP(D358,'Base de Diseño (2)'!$A$2:$D$330,4,FALSE))</f>
        <v>967.28160000000003</v>
      </c>
      <c r="BD358" s="578">
        <f t="shared" ca="1" si="992"/>
        <v>2.1330000000000182</v>
      </c>
      <c r="BE358" s="578">
        <f t="shared" ca="1" si="993"/>
        <v>1.7530000000000201</v>
      </c>
      <c r="BF358" s="579">
        <v>2.4800000000000182</v>
      </c>
      <c r="BG358" s="579">
        <v>2.1000000000000201</v>
      </c>
      <c r="BH358" s="580">
        <f t="shared" si="994"/>
        <v>965.62</v>
      </c>
      <c r="BI358" s="580">
        <f t="shared" si="995"/>
        <v>965.1816</v>
      </c>
      <c r="BJ358" s="567">
        <f t="shared" si="1030"/>
        <v>2.9999999999972715E-2</v>
      </c>
      <c r="BK358" s="581">
        <f t="shared" si="996"/>
        <v>0.79797191887675201</v>
      </c>
      <c r="BL358" s="581">
        <f t="shared" si="997"/>
        <v>0.42745709828393275</v>
      </c>
      <c r="BM358" s="581">
        <f t="shared" ca="1" si="998"/>
        <v>0.89442464363329188</v>
      </c>
      <c r="BN358" s="581">
        <f t="shared" ca="1" si="999"/>
        <v>63.223152516630421</v>
      </c>
      <c r="BO358" s="582">
        <f t="shared" ca="1" si="1000"/>
        <v>0.63078808267226161</v>
      </c>
      <c r="BP358" s="583">
        <f t="shared" ca="1" si="1001"/>
        <v>96.681354166769026</v>
      </c>
      <c r="BQ358" s="584">
        <f t="shared" ca="1" si="1002"/>
        <v>0.91989702630483083</v>
      </c>
      <c r="BR358" s="584" t="str">
        <f t="shared" ca="1" si="1003"/>
        <v xml:space="preserve"> </v>
      </c>
      <c r="BS358" s="581">
        <f t="shared" ca="1" si="1004"/>
        <v>0.82277856993202325</v>
      </c>
      <c r="BT358" s="581" t="e">
        <f t="shared" ca="1" si="1005"/>
        <v>#VALUE!</v>
      </c>
      <c r="BU358" s="581">
        <f t="shared" ca="1" si="1006"/>
        <v>0.64552538846920071</v>
      </c>
      <c r="BV358" s="581" t="str">
        <f t="shared" ca="1" si="1007"/>
        <v xml:space="preserve"> </v>
      </c>
      <c r="BW358" s="581">
        <f t="shared" ca="1" si="1008"/>
        <v>3.7322426148709136</v>
      </c>
      <c r="BX358" s="581" t="e">
        <f t="shared" ca="1" si="1009"/>
        <v>#VALUE!</v>
      </c>
      <c r="BY358" s="581">
        <f t="shared" ca="1" si="1010"/>
        <v>0.28730337508116965</v>
      </c>
      <c r="BZ358" s="581" t="e">
        <f t="shared" ca="1" si="1011"/>
        <v>#VALUE!</v>
      </c>
      <c r="CA358" s="571">
        <f t="shared" ca="1" si="1012"/>
        <v>8.6191012524350893E-2</v>
      </c>
      <c r="CB358" s="571" t="e">
        <f t="shared" ca="1" si="1013"/>
        <v>#VALUE!</v>
      </c>
      <c r="CC358" s="571" t="e">
        <f t="shared" ca="1" si="1038"/>
        <v>#VALUE!</v>
      </c>
      <c r="CD358" s="571" t="e">
        <f t="shared" ca="1" si="1015"/>
        <v>#VALUE!</v>
      </c>
      <c r="CE358" s="571">
        <f t="shared" ca="1" si="1016"/>
        <v>0.36842960111813133</v>
      </c>
      <c r="CF358" s="571" t="e">
        <f t="shared" ca="1" si="1017"/>
        <v>#VALUE!</v>
      </c>
      <c r="CG358" s="571" t="str">
        <f t="shared" ca="1" si="1018"/>
        <v>O.K</v>
      </c>
      <c r="CH358" s="571" t="e">
        <f t="shared" ca="1" si="1019"/>
        <v>#VALUE!</v>
      </c>
      <c r="CI358" s="571" t="str">
        <f t="shared" ca="1" si="1020"/>
        <v>OK</v>
      </c>
      <c r="CJ358" s="571" t="e">
        <f t="shared" ca="1" si="1021"/>
        <v>#VALUE!</v>
      </c>
      <c r="CK358" s="567">
        <f t="shared" si="1022"/>
        <v>2.9999999999972715E-2</v>
      </c>
      <c r="CL358" s="482" t="s">
        <v>2507</v>
      </c>
      <c r="CM358" s="585"/>
      <c r="CN358" s="77" t="str">
        <f t="shared" si="1023"/>
        <v xml:space="preserve"> </v>
      </c>
      <c r="CO358" s="527">
        <f t="shared" si="1024"/>
        <v>102.56</v>
      </c>
      <c r="CP358" s="542">
        <f t="shared" si="1025"/>
        <v>7.9797191887675204E-3</v>
      </c>
      <c r="CQ358" s="585" t="s">
        <v>2508</v>
      </c>
      <c r="CR358" s="582">
        <f t="shared" si="1026"/>
        <v>102.56</v>
      </c>
      <c r="CS358" s="587">
        <v>1.2</v>
      </c>
      <c r="CT358" s="587">
        <v>1.2</v>
      </c>
      <c r="CU358" s="578">
        <f t="shared" si="1027"/>
        <v>102.56093698167935</v>
      </c>
      <c r="CV358" s="588" t="s">
        <v>2526</v>
      </c>
      <c r="CW358" s="589" t="str">
        <f t="shared" ca="1" si="1028"/>
        <v>E2</v>
      </c>
      <c r="CX358" s="582">
        <f ca="1">IF(AND(L358="",H358=""),"",IF(AND(BA358&lt;&gt;4,BA358&lt;&gt;5),VLOOKUP(AY358,'TABLA (2)'!$A$9:$D$43,4),IF(BA358=4,VLOOKUP(AY358,'TABLA (2)'!$A$74:$D$89,4),VLOOKUP(AY358,'TABLA (2)'!$A$51:$D$66,4))))</f>
        <v>4.7E-2</v>
      </c>
      <c r="CY358" s="585"/>
      <c r="CZ358" s="585"/>
      <c r="DA358" s="585"/>
      <c r="DB358" s="590"/>
    </row>
    <row r="359" spans="1:106" ht="15" hidden="1" customHeight="1">
      <c r="A359" s="465">
        <f t="shared" si="1029"/>
        <v>254</v>
      </c>
      <c r="B359" s="491"/>
      <c r="C359" s="466" t="s">
        <v>2225</v>
      </c>
      <c r="D359" s="466" t="s">
        <v>2226</v>
      </c>
      <c r="E359" s="468">
        <v>0.21959277710000003</v>
      </c>
      <c r="F359" s="468">
        <v>2.7</v>
      </c>
      <c r="G359" s="537">
        <f t="shared" si="959"/>
        <v>42.718212891899988</v>
      </c>
      <c r="H359" s="537">
        <f t="shared" si="960"/>
        <v>45.637805668999988</v>
      </c>
      <c r="I359" s="468">
        <v>0.21959277710000003</v>
      </c>
      <c r="J359" s="468"/>
      <c r="K359" s="467">
        <f t="shared" ca="1" si="1036"/>
        <v>39.484271631399999</v>
      </c>
      <c r="L359" s="468">
        <f t="shared" ca="1" si="962"/>
        <v>39.703864408499996</v>
      </c>
      <c r="M359" s="469">
        <f t="shared" si="963"/>
        <v>242.33666300502347</v>
      </c>
      <c r="N359" s="470">
        <f t="shared" si="964"/>
        <v>53.215380822419938</v>
      </c>
      <c r="O359" s="470">
        <f t="shared" si="965"/>
        <v>654.30899011356337</v>
      </c>
      <c r="P359" s="470">
        <f t="shared" si="966"/>
        <v>11059.7135326972</v>
      </c>
      <c r="Q359" s="469">
        <f t="shared" si="967"/>
        <v>140</v>
      </c>
      <c r="R359" s="471">
        <f t="shared" si="968"/>
        <v>15.232707296191746</v>
      </c>
      <c r="S359" s="471"/>
      <c r="T359" s="471"/>
      <c r="U359" s="471">
        <f t="shared" si="969"/>
        <v>0</v>
      </c>
      <c r="V359" s="471"/>
      <c r="W359" s="471"/>
      <c r="X359" s="471">
        <f t="shared" si="970"/>
        <v>0</v>
      </c>
      <c r="Y359" s="471">
        <f t="shared" si="971"/>
        <v>9.1275611337999987</v>
      </c>
      <c r="Z359" s="471">
        <f t="shared" ca="1" si="972"/>
        <v>0</v>
      </c>
      <c r="AA359" s="471">
        <f t="shared" si="1033"/>
        <v>2.4690672004049596</v>
      </c>
      <c r="AB359" s="471">
        <f t="shared" si="973"/>
        <v>37.610577958396355</v>
      </c>
      <c r="AC359" s="471">
        <f t="shared" si="974"/>
        <v>0.97448379793266215</v>
      </c>
      <c r="AD359" s="471">
        <f t="shared" si="975"/>
        <v>0.58391855542000004</v>
      </c>
      <c r="AE359" s="471">
        <f t="shared" si="976"/>
        <v>9.0836425783799992</v>
      </c>
      <c r="AF359" s="510">
        <f t="shared" si="958"/>
        <v>3.8</v>
      </c>
      <c r="AG359" s="471">
        <f t="shared" si="977"/>
        <v>3.7030384321441159</v>
      </c>
      <c r="AH359" s="471">
        <f t="shared" si="978"/>
        <v>13.370599565944115</v>
      </c>
      <c r="AI359" s="471">
        <f t="shared" ca="1" si="979"/>
        <v>46.738139092196356</v>
      </c>
      <c r="AJ359" s="471">
        <f t="shared" si="980"/>
        <v>0.75</v>
      </c>
      <c r="AK359" s="472">
        <f t="shared" si="981"/>
        <v>8.5861476817323179E-4</v>
      </c>
      <c r="AL359" s="471">
        <f t="shared" si="982"/>
        <v>0.62754293073840872</v>
      </c>
      <c r="AM359" s="473">
        <f t="shared" si="983"/>
        <v>288.12147813243115</v>
      </c>
      <c r="AN359" s="474">
        <f t="shared" si="1037"/>
        <v>15.242867140072407</v>
      </c>
      <c r="AO359" s="474">
        <f t="shared" si="984"/>
        <v>0.38822222222222219</v>
      </c>
      <c r="AP359" s="474">
        <f t="shared" si="985"/>
        <v>15.631089362294629</v>
      </c>
      <c r="AQ359" s="475">
        <v>3</v>
      </c>
      <c r="AR359" s="474" t="e">
        <f t="shared" ca="1" si="986"/>
        <v>#NUM!</v>
      </c>
      <c r="AS359" s="474" t="e">
        <f t="shared" ca="1" si="987"/>
        <v>#NUM!</v>
      </c>
      <c r="AT359" s="471" t="e">
        <f t="shared" ca="1" si="988"/>
        <v>#NUM!</v>
      </c>
      <c r="AU359" s="492">
        <f t="shared" si="989"/>
        <v>39.70426189396764</v>
      </c>
      <c r="AV359" s="471">
        <f t="shared" ca="1" si="990"/>
        <v>7178.8000110758849</v>
      </c>
      <c r="AW359" s="471">
        <f t="shared" ca="1" si="991"/>
        <v>7178.8</v>
      </c>
      <c r="AX359" s="478">
        <f>IF(OR(C359="",D359=""),"",ROUND(((VLOOKUP(C359,'Base de Diseño (2)'!$A$2:$C$333,2,FALSE)-VLOOKUP(D359,'Base de Diseño (2)'!$A$2:$C$333,2,FALSE))^2+(VLOOKUP(C359,'Base de Diseño (2)'!$A$2:$C$333,3,0)-VLOOKUP(D359,'Base de Diseño (2)'!$A$2:$C$333,3,FALSE))^2)^0.5,2))</f>
        <v>69.88</v>
      </c>
      <c r="AY359" s="493">
        <v>23.8048</v>
      </c>
      <c r="AZ359" s="480">
        <f ca="1">IF(AND(L359="",H359=""),"",IF(BA359=4,VLOOKUP(AY359,'TABLA (2)'!$A$74:$C$89,2),IF(BA359=5,VLOOKUP(AY359,'TABLA (2)'!$A$51:$B$66,2),IF(BA359=6,VLOOKUP(AY359,'TABLA (2)'!$A$9:$B$43,2)))))</f>
        <v>525</v>
      </c>
      <c r="BA359" s="493">
        <v>6</v>
      </c>
      <c r="BB359" s="478">
        <f>IF(OR(C359="",D359=""),"",VLOOKUP(C359,'Base de Diseño (2)'!$A$2:$D$330,4,FALSE))</f>
        <v>967.28160000000003</v>
      </c>
      <c r="BC359" s="478">
        <f>IF(OR(C359="",D359=""),"",VLOOKUP(D359,'Base de Diseño (2)'!$A$2:$D$330,4,FALSE))</f>
        <v>967.34159999999997</v>
      </c>
      <c r="BD359" s="23">
        <f t="shared" ca="1" si="992"/>
        <v>1.5349999999999955</v>
      </c>
      <c r="BE359" s="23">
        <f t="shared" ca="1" si="993"/>
        <v>1.5549999999999773</v>
      </c>
      <c r="BF359" s="494">
        <v>2.1299999999999955</v>
      </c>
      <c r="BG359" s="494">
        <v>2.1499999999999773</v>
      </c>
      <c r="BH359" s="495">
        <f t="shared" si="994"/>
        <v>965.15160000000003</v>
      </c>
      <c r="BI359" s="495">
        <f t="shared" si="995"/>
        <v>965.19159999999999</v>
      </c>
      <c r="BJ359" s="534">
        <f t="shared" si="1030"/>
        <v>0.30000000000006821</v>
      </c>
      <c r="BK359" s="475">
        <f t="shared" si="996"/>
        <v>8.5861476817323173E-2</v>
      </c>
      <c r="BL359" s="475">
        <f t="shared" si="997"/>
        <v>-5.7240984544882113E-2</v>
      </c>
      <c r="BM359" s="475" t="e">
        <f t="shared" ca="1" si="998"/>
        <v>#NUM!</v>
      </c>
      <c r="BN359" s="475" t="e">
        <f t="shared" ca="1" si="999"/>
        <v>#NUM!</v>
      </c>
      <c r="BO359" s="204" t="e">
        <f t="shared" ca="1" si="1000"/>
        <v>#NUM!</v>
      </c>
      <c r="BP359" s="626" t="e">
        <f t="shared" ca="1" si="1001"/>
        <v>#NUM!</v>
      </c>
      <c r="BQ359" s="497" t="e">
        <f t="shared" ca="1" si="1002"/>
        <v>#NUM!</v>
      </c>
      <c r="BR359" s="497" t="e">
        <f t="shared" ca="1" si="1003"/>
        <v>#NUM!</v>
      </c>
      <c r="BS359" s="475" t="e">
        <f t="shared" ca="1" si="1004"/>
        <v>#NUM!</v>
      </c>
      <c r="BT359" s="475" t="e">
        <f t="shared" ca="1" si="1005"/>
        <v>#NUM!</v>
      </c>
      <c r="BU359" s="475" t="e">
        <f t="shared" ca="1" si="1006"/>
        <v>#NUM!</v>
      </c>
      <c r="BV359" s="475" t="e">
        <f t="shared" ca="1" si="1007"/>
        <v>#NUM!</v>
      </c>
      <c r="BW359" s="475" t="e">
        <f t="shared" ca="1" si="1008"/>
        <v>#NUM!</v>
      </c>
      <c r="BX359" s="475" t="e">
        <f t="shared" ca="1" si="1009"/>
        <v>#NUM!</v>
      </c>
      <c r="BY359" s="475" t="e">
        <f t="shared" ca="1" si="1010"/>
        <v>#NUM!</v>
      </c>
      <c r="BZ359" s="475" t="e">
        <f t="shared" ca="1" si="1011"/>
        <v>#NUM!</v>
      </c>
      <c r="CA359" s="471" t="e">
        <f t="shared" ca="1" si="1012"/>
        <v>#NUM!</v>
      </c>
      <c r="CB359" s="471" t="e">
        <f t="shared" ca="1" si="1013"/>
        <v>#NUM!</v>
      </c>
      <c r="CC359" s="471" t="e">
        <f t="shared" ca="1" si="1038"/>
        <v>#NUM!</v>
      </c>
      <c r="CD359" s="471" t="e">
        <f t="shared" ca="1" si="1015"/>
        <v>#NUM!</v>
      </c>
      <c r="CE359" s="471" t="e">
        <f t="shared" ca="1" si="1016"/>
        <v>#NUM!</v>
      </c>
      <c r="CF359" s="471" t="e">
        <f t="shared" ca="1" si="1017"/>
        <v>#NUM!</v>
      </c>
      <c r="CG359" s="471" t="e">
        <f t="shared" ca="1" si="1018"/>
        <v>#NUM!</v>
      </c>
      <c r="CH359" s="471" t="e">
        <f t="shared" ca="1" si="1019"/>
        <v>#NUM!</v>
      </c>
      <c r="CI359" s="471" t="e">
        <f t="shared" ca="1" si="1020"/>
        <v>#NUM!</v>
      </c>
      <c r="CJ359" s="471" t="e">
        <f t="shared" ca="1" si="1021"/>
        <v>#NUM!</v>
      </c>
      <c r="CK359" s="468">
        <f t="shared" si="1022"/>
        <v>0.30000000000006821</v>
      </c>
      <c r="CL359" s="482" t="s">
        <v>2507</v>
      </c>
      <c r="CM359" s="482"/>
      <c r="CN359" s="63" t="str">
        <f t="shared" si="1023"/>
        <v xml:space="preserve"> </v>
      </c>
      <c r="CO359" s="527">
        <f t="shared" si="1024"/>
        <v>69.88</v>
      </c>
      <c r="CP359" s="511">
        <f t="shared" si="1025"/>
        <v>8.5861476817323179E-4</v>
      </c>
      <c r="CQ359" s="482" t="s">
        <v>2508</v>
      </c>
      <c r="CR359" s="204">
        <f t="shared" si="1026"/>
        <v>69.88</v>
      </c>
      <c r="CS359" s="486">
        <v>1.2</v>
      </c>
      <c r="CT359" s="486">
        <v>1.2</v>
      </c>
      <c r="CU359" s="23">
        <f t="shared" si="1027"/>
        <v>69.880011448195958</v>
      </c>
      <c r="CV359" s="499" t="s">
        <v>2526</v>
      </c>
      <c r="CW359" s="488" t="str">
        <f t="shared" ca="1" si="1028"/>
        <v>E2</v>
      </c>
      <c r="CX359" s="204">
        <f ca="1">IF(AND(L359="",H359=""),"",IF(AND(BA359&lt;&gt;4,BA359&lt;&gt;5),VLOOKUP(AY359,'TABLA (2)'!$A$9:$D$43,4),IF(BA359=4,VLOOKUP(AY359,'TABLA (2)'!$A$74:$D$89,4),VLOOKUP(AY359,'TABLA (2)'!$A$51:$D$66,4))))</f>
        <v>7.0000000000000007E-2</v>
      </c>
      <c r="CY359" s="482"/>
      <c r="CZ359" s="482"/>
      <c r="DA359" s="482"/>
      <c r="DB359" s="490"/>
    </row>
    <row r="360" spans="1:106" ht="15" hidden="1" customHeight="1">
      <c r="A360" s="465">
        <f t="shared" si="1029"/>
        <v>255</v>
      </c>
      <c r="B360" s="491"/>
      <c r="C360" s="466" t="s">
        <v>2226</v>
      </c>
      <c r="D360" s="466" t="s">
        <v>2227</v>
      </c>
      <c r="E360" s="468"/>
      <c r="F360" s="468"/>
      <c r="G360" s="537">
        <f t="shared" ref="G360:G391" si="1039">IF(B360=1,0,SUMIF($D$22:$D$583,C360,$H$22:$H$583))</f>
        <v>55.673481699799986</v>
      </c>
      <c r="H360" s="537">
        <f t="shared" ref="H360:H391" si="1040">+E360+F360+G360</f>
        <v>55.673481699799986</v>
      </c>
      <c r="I360" s="468"/>
      <c r="J360" s="468"/>
      <c r="K360" s="467">
        <f t="shared" ca="1" si="1036"/>
        <v>49.739540439299994</v>
      </c>
      <c r="L360" s="468">
        <f t="shared" ca="1" si="962"/>
        <v>49.739540439299994</v>
      </c>
      <c r="M360" s="469">
        <f t="shared" si="963"/>
        <v>242.33666300502347</v>
      </c>
      <c r="N360" s="470">
        <f t="shared" si="964"/>
        <v>0</v>
      </c>
      <c r="O360" s="470">
        <f t="shared" si="965"/>
        <v>0</v>
      </c>
      <c r="P360" s="470">
        <f t="shared" si="966"/>
        <v>13491.72577300077</v>
      </c>
      <c r="Q360" s="469">
        <f t="shared" si="967"/>
        <v>140</v>
      </c>
      <c r="R360" s="471">
        <f t="shared" si="968"/>
        <v>18.58235378457282</v>
      </c>
      <c r="S360" s="471"/>
      <c r="T360" s="471"/>
      <c r="U360" s="471">
        <f t="shared" si="969"/>
        <v>0</v>
      </c>
      <c r="V360" s="471"/>
      <c r="W360" s="471"/>
      <c r="X360" s="471">
        <f t="shared" si="970"/>
        <v>0</v>
      </c>
      <c r="Y360" s="471">
        <f t="shared" si="971"/>
        <v>11.134696339959998</v>
      </c>
      <c r="Z360" s="471">
        <f t="shared" ca="1" si="972"/>
        <v>0</v>
      </c>
      <c r="AA360" s="471">
        <f t="shared" si="1033"/>
        <v>2.3028269714466267</v>
      </c>
      <c r="AB360" s="471">
        <f t="shared" si="973"/>
        <v>42.791945488077587</v>
      </c>
      <c r="AC360" s="471">
        <f t="shared" si="974"/>
        <v>0</v>
      </c>
      <c r="AD360" s="471">
        <f t="shared" si="975"/>
        <v>0</v>
      </c>
      <c r="AE360" s="471">
        <f t="shared" si="976"/>
        <v>0</v>
      </c>
      <c r="AF360" s="510">
        <f t="shared" si="958"/>
        <v>3.8</v>
      </c>
      <c r="AG360" s="471">
        <f t="shared" si="977"/>
        <v>0</v>
      </c>
      <c r="AH360" s="471">
        <f t="shared" si="978"/>
        <v>0</v>
      </c>
      <c r="AI360" s="471">
        <f t="shared" ca="1" si="979"/>
        <v>53.926641828037589</v>
      </c>
      <c r="AJ360" s="471">
        <f t="shared" si="980"/>
        <v>0.75</v>
      </c>
      <c r="AK360" s="472">
        <f t="shared" si="981"/>
        <v>2.1317416329121521E-4</v>
      </c>
      <c r="AL360" s="471">
        <f t="shared" si="982"/>
        <v>0.62751065870816458</v>
      </c>
      <c r="AM360" s="473">
        <f t="shared" ref="AM360:AM391" si="1041">((100/36)*$AM$14*(AP360+$AN$14)^$AO$14)</f>
        <v>286.21032137277939</v>
      </c>
      <c r="AN360" s="474">
        <f t="shared" si="1037"/>
        <v>15.631089362294629</v>
      </c>
      <c r="AO360" s="474">
        <f t="shared" si="984"/>
        <v>0.26061111111111107</v>
      </c>
      <c r="AP360" s="474">
        <f t="shared" si="985"/>
        <v>15.89170047340574</v>
      </c>
      <c r="AQ360" s="475">
        <v>3</v>
      </c>
      <c r="AR360" s="474" t="e">
        <f t="shared" ca="1" si="986"/>
        <v>#VALUE!</v>
      </c>
      <c r="AS360" s="474" t="e">
        <f t="shared" ca="1" si="987"/>
        <v>#VALUE!</v>
      </c>
      <c r="AT360" s="471" t="e">
        <f t="shared" ca="1" si="988"/>
        <v>#VALUE!</v>
      </c>
      <c r="AU360" s="492">
        <f t="shared" si="989"/>
        <v>0</v>
      </c>
      <c r="AV360" s="471">
        <f t="shared" ca="1" si="990"/>
        <v>8933.2228204747862</v>
      </c>
      <c r="AW360" s="471">
        <f t="shared" ca="1" si="991"/>
        <v>8933.2199999999993</v>
      </c>
      <c r="AX360" s="478">
        <f>IF(OR(C360="",D360=""),"",ROUND(((VLOOKUP(C360,'Base de Diseño (2)'!$A$2:$C$333,2,FALSE)-VLOOKUP(D360,'Base de Diseño (2)'!$A$2:$C$333,2,FALSE))^2+(VLOOKUP(C360,'Base de Diseño (2)'!$A$2:$C$333,3,0)-VLOOKUP(D360,'Base de Diseño (2)'!$A$2:$C$333,3,FALSE))^2)^0.5,2))</f>
        <v>46.91</v>
      </c>
      <c r="AY360" s="493">
        <v>30</v>
      </c>
      <c r="AZ360" s="480">
        <f ca="1">IF(AND(L360="",H360=""),"",IF(BA360=4,VLOOKUP(AY360,'TABLA (2)'!$A$74:$C$89,2),IF(BA360=5,VLOOKUP(AY360,'TABLA (2)'!$A$51:$B$66,2),IF(BA360=6,VLOOKUP(AY360,'TABLA (2)'!$A$9:$B$43,2)))))</f>
        <v>750</v>
      </c>
      <c r="BA360" s="493">
        <v>6</v>
      </c>
      <c r="BB360" s="478">
        <f>IF(OR(C360="",D360=""),"",VLOOKUP(C360,'Base de Diseño (2)'!$A$2:$D$330,4,FALSE))</f>
        <v>967.34159999999997</v>
      </c>
      <c r="BC360" s="478">
        <f>IF(OR(C360="",D360=""),"",VLOOKUP(D360,'Base de Diseño (2)'!$A$2:$D$330,4,FALSE))</f>
        <v>967.33159999999998</v>
      </c>
      <c r="BD360" s="23">
        <f t="shared" ca="1" si="992"/>
        <v>1.6150000000000455</v>
      </c>
      <c r="BE360" s="23">
        <f t="shared" ca="1" si="993"/>
        <v>1.8395301794352372</v>
      </c>
      <c r="BF360" s="494">
        <v>2.4500000000000455</v>
      </c>
      <c r="BG360" s="494">
        <v>2.6745301794352372</v>
      </c>
      <c r="BH360" s="495">
        <f t="shared" si="994"/>
        <v>964.89159999999993</v>
      </c>
      <c r="BI360" s="495">
        <f t="shared" si="995"/>
        <v>964.65706982056474</v>
      </c>
      <c r="BJ360" s="534">
        <f t="shared" si="1030"/>
        <v>0</v>
      </c>
      <c r="BK360" s="475">
        <f t="shared" si="996"/>
        <v>2.131741632912152E-2</v>
      </c>
      <c r="BL360" s="475">
        <f t="shared" si="997"/>
        <v>0.49995774767679096</v>
      </c>
      <c r="BM360" s="475">
        <f t="shared" ca="1" si="998"/>
        <v>1.781793952199449</v>
      </c>
      <c r="BN360" s="475">
        <f t="shared" ca="1" si="999"/>
        <v>787.17245490569701</v>
      </c>
      <c r="BO360" s="204">
        <f t="shared" ca="1" si="1000"/>
        <v>6.8506769376855264E-2</v>
      </c>
      <c r="BP360" s="626">
        <f t="shared" ca="1" si="1001"/>
        <v>11.34849160984704</v>
      </c>
      <c r="BQ360" s="497">
        <f t="shared" ca="1" si="1002"/>
        <v>0.4839046288354637</v>
      </c>
      <c r="BR360" s="497" t="str">
        <f t="shared" ca="1" si="1003"/>
        <v xml:space="preserve"> </v>
      </c>
      <c r="BS360" s="475">
        <f t="shared" ca="1" si="1004"/>
        <v>0.86221834110034834</v>
      </c>
      <c r="BT360" s="475" t="e">
        <f t="shared" ca="1" si="1005"/>
        <v>#VALUE!</v>
      </c>
      <c r="BU360" s="475">
        <f t="shared" ca="1" si="1006"/>
        <v>0.20978693484529345</v>
      </c>
      <c r="BV360" s="475" t="str">
        <f t="shared" ca="1" si="1007"/>
        <v xml:space="preserve"> </v>
      </c>
      <c r="BW360" s="475">
        <f t="shared" ca="1" si="1008"/>
        <v>1.9030888664154519</v>
      </c>
      <c r="BX360" s="475" t="e">
        <f t="shared" ca="1" si="1009"/>
        <v>#VALUE!</v>
      </c>
      <c r="BY360" s="475">
        <f t="shared" ca="1" si="1010"/>
        <v>0.1258206995341147</v>
      </c>
      <c r="BZ360" s="475" t="e">
        <f t="shared" ca="1" si="1011"/>
        <v>#VALUE!</v>
      </c>
      <c r="CA360" s="471">
        <f t="shared" ca="1" si="1012"/>
        <v>9.4365524650586022E-2</v>
      </c>
      <c r="CB360" s="471" t="e">
        <f t="shared" ca="1" si="1013"/>
        <v>#VALUE!</v>
      </c>
      <c r="CC360" s="471" t="e">
        <f t="shared" ca="1" si="1038"/>
        <v>#VALUE!</v>
      </c>
      <c r="CD360" s="471" t="e">
        <f t="shared" ca="1" si="1015"/>
        <v>#VALUE!</v>
      </c>
      <c r="CE360" s="471">
        <f t="shared" ca="1" si="1016"/>
        <v>0.47178775162645686</v>
      </c>
      <c r="CF360" s="471" t="e">
        <f t="shared" ca="1" si="1017"/>
        <v>#VALUE!</v>
      </c>
      <c r="CG360" s="471" t="str">
        <f t="shared" ca="1" si="1018"/>
        <v>O.K</v>
      </c>
      <c r="CH360" s="471" t="e">
        <f t="shared" ca="1" si="1019"/>
        <v>#VALUE!</v>
      </c>
      <c r="CI360" s="471" t="str">
        <f t="shared" ca="1" si="1020"/>
        <v>OK</v>
      </c>
      <c r="CJ360" s="471" t="e">
        <f t="shared" ca="1" si="1021"/>
        <v>#VALUE!</v>
      </c>
      <c r="CK360" s="468">
        <f t="shared" si="1022"/>
        <v>0</v>
      </c>
      <c r="CL360" s="482" t="s">
        <v>2507</v>
      </c>
      <c r="CM360" s="482"/>
      <c r="CN360" s="63" t="str">
        <f t="shared" si="1023"/>
        <v xml:space="preserve"> </v>
      </c>
      <c r="CO360" s="527">
        <f t="shared" ref="CO360:CO391" si="1042">+CR360</f>
        <v>46.91</v>
      </c>
      <c r="CP360" s="542">
        <f t="shared" ref="CP360:CP391" si="1043">+BK360/100</f>
        <v>2.1317416329121521E-4</v>
      </c>
      <c r="CQ360" s="482" t="s">
        <v>2508</v>
      </c>
      <c r="CR360" s="204">
        <f t="shared" si="1026"/>
        <v>46.91</v>
      </c>
      <c r="CS360" s="486">
        <v>1.2</v>
      </c>
      <c r="CT360" s="486">
        <v>1.2</v>
      </c>
      <c r="CU360" s="23">
        <f t="shared" si="1027"/>
        <v>46.910586272237801</v>
      </c>
      <c r="CV360" s="499" t="s">
        <v>2526</v>
      </c>
      <c r="CW360" s="488" t="str">
        <f t="shared" ca="1" si="1028"/>
        <v>E2</v>
      </c>
      <c r="CX360" s="204">
        <f ca="1">IF(AND(L360="",H360=""),"",IF(AND(BA360&lt;&gt;4,BA360&lt;&gt;5),VLOOKUP(AY360,'TABLA (2)'!$A$9:$D$43,4),IF(BA360=4,VLOOKUP(AY360,'TABLA (2)'!$A$74:$D$89,4),VLOOKUP(AY360,'TABLA (2)'!$A$51:$D$66,4))))</f>
        <v>8.5000000000000006E-2</v>
      </c>
      <c r="CY360" s="482"/>
      <c r="CZ360" s="482"/>
      <c r="DA360" s="482"/>
      <c r="DB360" s="490"/>
    </row>
    <row r="361" spans="1:106" ht="15" hidden="1" customHeight="1">
      <c r="A361" s="465">
        <f t="shared" si="1029"/>
        <v>256</v>
      </c>
      <c r="B361" s="491"/>
      <c r="C361" s="466" t="s">
        <v>2227</v>
      </c>
      <c r="D361" s="466" t="s">
        <v>2228</v>
      </c>
      <c r="E361" s="468">
        <v>0.1836477574</v>
      </c>
      <c r="F361" s="468"/>
      <c r="G361" s="537">
        <f t="shared" si="1039"/>
        <v>56.379065119599986</v>
      </c>
      <c r="H361" s="537">
        <f t="shared" si="1040"/>
        <v>56.562712876999989</v>
      </c>
      <c r="I361" s="468">
        <v>0.1836477574</v>
      </c>
      <c r="J361" s="468"/>
      <c r="K361" s="467">
        <f t="shared" ca="1" si="1036"/>
        <v>50.445595399099993</v>
      </c>
      <c r="L361" s="468">
        <f t="shared" ca="1" si="962"/>
        <v>50.629243156499996</v>
      </c>
      <c r="M361" s="469">
        <f t="shared" si="963"/>
        <v>242.33666300502347</v>
      </c>
      <c r="N361" s="470">
        <f t="shared" si="964"/>
        <v>44.504584696672104</v>
      </c>
      <c r="O361" s="470">
        <f t="shared" si="965"/>
        <v>0</v>
      </c>
      <c r="P361" s="470">
        <f t="shared" si="966"/>
        <v>13707.219089123448</v>
      </c>
      <c r="Q361" s="469">
        <f t="shared" si="967"/>
        <v>140</v>
      </c>
      <c r="R361" s="471">
        <f t="shared" si="968"/>
        <v>18.879155921362152</v>
      </c>
      <c r="S361" s="471"/>
      <c r="T361" s="471"/>
      <c r="U361" s="471">
        <f t="shared" si="969"/>
        <v>0</v>
      </c>
      <c r="V361" s="471"/>
      <c r="W361" s="471"/>
      <c r="X361" s="471">
        <f t="shared" si="970"/>
        <v>0</v>
      </c>
      <c r="Y361" s="471">
        <f t="shared" si="971"/>
        <v>11.312542575399998</v>
      </c>
      <c r="Z361" s="471">
        <f t="shared" ca="1" si="972"/>
        <v>0</v>
      </c>
      <c r="AA361" s="471">
        <f t="shared" si="1033"/>
        <v>2.2898934628632182</v>
      </c>
      <c r="AB361" s="471">
        <f t="shared" si="973"/>
        <v>43.231255728702607</v>
      </c>
      <c r="AC361" s="471">
        <f t="shared" si="974"/>
        <v>6.1296823829907185E-2</v>
      </c>
      <c r="AD361" s="471">
        <f t="shared" si="975"/>
        <v>3.6729551480000004E-2</v>
      </c>
      <c r="AE361" s="471">
        <f t="shared" si="976"/>
        <v>0</v>
      </c>
      <c r="AF361" s="510">
        <f t="shared" si="958"/>
        <v>3.8</v>
      </c>
      <c r="AG361" s="471">
        <f t="shared" si="977"/>
        <v>0.2329279305536473</v>
      </c>
      <c r="AH361" s="471">
        <f t="shared" si="978"/>
        <v>0.26965748203364731</v>
      </c>
      <c r="AI361" s="471">
        <f t="shared" ca="1" si="979"/>
        <v>54.543798304102609</v>
      </c>
      <c r="AJ361" s="471">
        <f t="shared" si="980"/>
        <v>0.75</v>
      </c>
      <c r="AK361" s="472">
        <f t="shared" si="981"/>
        <v>7.3972602739721047E-3</v>
      </c>
      <c r="AL361" s="471">
        <f t="shared" si="982"/>
        <v>0.62786986301369863</v>
      </c>
      <c r="AM361" s="473">
        <f t="shared" si="1041"/>
        <v>283.28407955472727</v>
      </c>
      <c r="AN361" s="474">
        <f t="shared" si="1037"/>
        <v>15.89170047340574</v>
      </c>
      <c r="AO361" s="474">
        <f t="shared" si="984"/>
        <v>0.4055555555555555</v>
      </c>
      <c r="AP361" s="474">
        <f t="shared" si="985"/>
        <v>16.297256028961296</v>
      </c>
      <c r="AQ361" s="475">
        <v>3</v>
      </c>
      <c r="AR361" s="474" t="e">
        <f t="shared" ca="1" si="986"/>
        <v>#VALUE!</v>
      </c>
      <c r="AS361" s="474" t="e">
        <f t="shared" ca="1" si="987"/>
        <v>#VALUE!</v>
      </c>
      <c r="AT361" s="471" t="e">
        <f t="shared" ca="1" si="988"/>
        <v>#VALUE!</v>
      </c>
      <c r="AU361" s="492">
        <f t="shared" si="989"/>
        <v>32.664606846283917</v>
      </c>
      <c r="AV361" s="471">
        <f t="shared" ca="1" si="990"/>
        <v>9005.1974826455626</v>
      </c>
      <c r="AW361" s="471">
        <f t="shared" ca="1" si="991"/>
        <v>9005.2000000000007</v>
      </c>
      <c r="AX361" s="478">
        <f>IF(OR(C361="",D361=""),"",ROUND(((VLOOKUP(C361,'Base de Diseño (2)'!$A$2:$C$333,2,FALSE)-VLOOKUP(D361,'Base de Diseño (2)'!$A$2:$C$333,2,FALSE))^2+(VLOOKUP(C361,'Base de Diseño (2)'!$A$2:$C$333,3,0)-VLOOKUP(D361,'Base de Diseño (2)'!$A$2:$C$333,3,FALSE))^2)^0.5,2))</f>
        <v>73</v>
      </c>
      <c r="AY361" s="493">
        <v>30</v>
      </c>
      <c r="AZ361" s="480">
        <f ca="1">IF(AND(L361="",H361=""),"",IF(BA361=4,VLOOKUP(AY361,'TABLA (2)'!$A$74:$C$89,2),IF(BA361=5,VLOOKUP(AY361,'TABLA (2)'!$A$51:$B$66,2),IF(BA361=6,VLOOKUP(AY361,'TABLA (2)'!$A$9:$B$43,2)))))</f>
        <v>750</v>
      </c>
      <c r="BA361" s="493">
        <v>6</v>
      </c>
      <c r="BB361" s="478">
        <f>IF(OR(C361="",D361=""),"",VLOOKUP(C361,'Base de Diseño (2)'!$A$2:$D$330,4,FALSE))</f>
        <v>967.33159999999998</v>
      </c>
      <c r="BC361" s="478">
        <f>IF(OR(C361="",D361=""),"",VLOOKUP(D361,'Base de Diseño (2)'!$A$2:$D$330,4,FALSE))</f>
        <v>966.79160000000002</v>
      </c>
      <c r="BD361" s="23">
        <f t="shared" ca="1" si="992"/>
        <v>1.8395301794352372</v>
      </c>
      <c r="BE361" s="23">
        <f t="shared" ca="1" si="993"/>
        <v>1.915</v>
      </c>
      <c r="BF361" s="494">
        <v>2.6745301794352372</v>
      </c>
      <c r="BG361" s="494">
        <v>2.75</v>
      </c>
      <c r="BH361" s="495">
        <f t="shared" si="994"/>
        <v>964.65706982056474</v>
      </c>
      <c r="BI361" s="495">
        <f t="shared" si="995"/>
        <v>964.04160000000002</v>
      </c>
      <c r="BJ361" s="534">
        <f t="shared" si="1030"/>
        <v>0</v>
      </c>
      <c r="BK361" s="475">
        <f t="shared" si="996"/>
        <v>0.73972602739721049</v>
      </c>
      <c r="BL361" s="475">
        <f t="shared" si="997"/>
        <v>0.84310934323935127</v>
      </c>
      <c r="BM361" s="475">
        <f t="shared" ca="1" si="998"/>
        <v>2.3138370993309811</v>
      </c>
      <c r="BN361" s="475">
        <f t="shared" ca="1" si="999"/>
        <v>1022.2219171211804</v>
      </c>
      <c r="BO361" s="204">
        <f t="shared" ca="1" si="1000"/>
        <v>5.3358079484062418E-2</v>
      </c>
      <c r="BP361" s="626">
        <f t="shared" ca="1" si="1001"/>
        <v>8.8094374119474779</v>
      </c>
      <c r="BQ361" s="497">
        <f t="shared" ca="1" si="1002"/>
        <v>0.45654637117797847</v>
      </c>
      <c r="BR361" s="497" t="str">
        <f t="shared" ca="1" si="1003"/>
        <v xml:space="preserve"> </v>
      </c>
      <c r="BS361" s="475">
        <f t="shared" ca="1" si="1004"/>
        <v>1.0563739311965392</v>
      </c>
      <c r="BT361" s="475" t="e">
        <f t="shared" ca="1" si="1005"/>
        <v>#VALUE!</v>
      </c>
      <c r="BU361" s="475">
        <f t="shared" ca="1" si="1006"/>
        <v>0.19366792340431932</v>
      </c>
      <c r="BV361" s="475" t="str">
        <f t="shared" ca="1" si="1007"/>
        <v xml:space="preserve"> </v>
      </c>
      <c r="BW361" s="475">
        <f t="shared" ca="1" si="1008"/>
        <v>1.8227384830466484</v>
      </c>
      <c r="BX361" s="475" t="e">
        <f t="shared" ca="1" si="1009"/>
        <v>#VALUE!</v>
      </c>
      <c r="BY361" s="475">
        <f t="shared" ca="1" si="1010"/>
        <v>0.11717374619017168</v>
      </c>
      <c r="BZ361" s="475" t="e">
        <f t="shared" ca="1" si="1011"/>
        <v>#VALUE!</v>
      </c>
      <c r="CA361" s="471">
        <f t="shared" ca="1" si="1012"/>
        <v>8.7880309642628759E-2</v>
      </c>
      <c r="CB361" s="471" t="e">
        <f t="shared" ca="1" si="1013"/>
        <v>#VALUE!</v>
      </c>
      <c r="CC361" s="471" t="e">
        <f t="shared" ca="1" si="1038"/>
        <v>#VALUE!</v>
      </c>
      <c r="CD361" s="471" t="e">
        <f t="shared" ca="1" si="1015"/>
        <v>#VALUE!</v>
      </c>
      <c r="CE361" s="471">
        <f t="shared" ca="1" si="1016"/>
        <v>0.74092710146467555</v>
      </c>
      <c r="CF361" s="471" t="e">
        <f t="shared" ca="1" si="1017"/>
        <v>#VALUE!</v>
      </c>
      <c r="CG361" s="471" t="str">
        <f t="shared" ca="1" si="1018"/>
        <v>O.K</v>
      </c>
      <c r="CH361" s="471" t="e">
        <f t="shared" ca="1" si="1019"/>
        <v>#VALUE!</v>
      </c>
      <c r="CI361" s="471" t="str">
        <f t="shared" ca="1" si="1020"/>
        <v>OK</v>
      </c>
      <c r="CJ361" s="471" t="e">
        <f t="shared" ca="1" si="1021"/>
        <v>#VALUE!</v>
      </c>
      <c r="CK361" s="468">
        <f t="shared" si="1022"/>
        <v>0</v>
      </c>
      <c r="CL361" s="482" t="s">
        <v>2507</v>
      </c>
      <c r="CM361" s="482"/>
      <c r="CN361" s="63" t="str">
        <f t="shared" si="1023"/>
        <v xml:space="preserve"> </v>
      </c>
      <c r="CO361" s="527">
        <f t="shared" si="1042"/>
        <v>73</v>
      </c>
      <c r="CP361" s="511">
        <f t="shared" si="1043"/>
        <v>7.3972602739721047E-3</v>
      </c>
      <c r="CQ361" s="482" t="s">
        <v>2508</v>
      </c>
      <c r="CR361" s="204">
        <f t="shared" si="1026"/>
        <v>73</v>
      </c>
      <c r="CS361" s="486">
        <v>1.2</v>
      </c>
      <c r="CT361" s="486">
        <v>1.2</v>
      </c>
      <c r="CU361" s="23">
        <f t="shared" si="1027"/>
        <v>73.002594495675467</v>
      </c>
      <c r="CV361" s="499" t="s">
        <v>2526</v>
      </c>
      <c r="CW361" s="488" t="str">
        <f t="shared" ca="1" si="1028"/>
        <v>E2</v>
      </c>
      <c r="CX361" s="204">
        <f ca="1">IF(AND(L361="",H361=""),"",IF(AND(BA361&lt;&gt;4,BA361&lt;&gt;5),VLOOKUP(AY361,'TABLA (2)'!$A$9:$D$43,4),IF(BA361=4,VLOOKUP(AY361,'TABLA (2)'!$A$74:$D$89,4),VLOOKUP(AY361,'TABLA (2)'!$A$51:$D$66,4))))</f>
        <v>8.5000000000000006E-2</v>
      </c>
      <c r="CY361" s="482"/>
      <c r="CZ361" s="482"/>
      <c r="DA361" s="482"/>
      <c r="DB361" s="490"/>
    </row>
    <row r="362" spans="1:106" ht="15" hidden="1" customHeight="1">
      <c r="A362" s="465">
        <f t="shared" si="1029"/>
        <v>257</v>
      </c>
      <c r="B362" s="491"/>
      <c r="C362" s="466" t="s">
        <v>2228</v>
      </c>
      <c r="D362" s="466" t="s">
        <v>2356</v>
      </c>
      <c r="E362" s="468"/>
      <c r="F362" s="468"/>
      <c r="G362" s="537">
        <f t="shared" si="1039"/>
        <v>56.562712876999989</v>
      </c>
      <c r="H362" s="537">
        <f t="shared" si="1040"/>
        <v>56.562712876999989</v>
      </c>
      <c r="I362" s="468"/>
      <c r="J362" s="468"/>
      <c r="K362" s="467">
        <f t="shared" ca="1" si="1036"/>
        <v>50.629243156499996</v>
      </c>
      <c r="L362" s="468">
        <f t="shared" ca="1" si="962"/>
        <v>50.629243156499996</v>
      </c>
      <c r="M362" s="469">
        <f t="shared" si="963"/>
        <v>242.33666300502347</v>
      </c>
      <c r="N362" s="470">
        <f t="shared" si="964"/>
        <v>0</v>
      </c>
      <c r="O362" s="470">
        <f t="shared" si="965"/>
        <v>0</v>
      </c>
      <c r="P362" s="470">
        <f t="shared" si="966"/>
        <v>13707.219089123448</v>
      </c>
      <c r="Q362" s="469">
        <f t="shared" si="967"/>
        <v>140</v>
      </c>
      <c r="R362" s="471">
        <f t="shared" si="968"/>
        <v>18.879155921362152</v>
      </c>
      <c r="S362" s="471"/>
      <c r="T362" s="471"/>
      <c r="U362" s="471">
        <f t="shared" si="969"/>
        <v>0</v>
      </c>
      <c r="V362" s="471"/>
      <c r="W362" s="471"/>
      <c r="X362" s="471">
        <f t="shared" si="970"/>
        <v>0</v>
      </c>
      <c r="Y362" s="471">
        <f t="shared" si="971"/>
        <v>11.312542575399998</v>
      </c>
      <c r="Z362" s="471">
        <f t="shared" ca="1" si="972"/>
        <v>0</v>
      </c>
      <c r="AA362" s="471">
        <f t="shared" si="1033"/>
        <v>2.2898934628632182</v>
      </c>
      <c r="AB362" s="471">
        <f t="shared" si="973"/>
        <v>43.231255728702607</v>
      </c>
      <c r="AC362" s="471">
        <f t="shared" si="974"/>
        <v>0</v>
      </c>
      <c r="AD362" s="471">
        <f t="shared" si="975"/>
        <v>0</v>
      </c>
      <c r="AE362" s="471">
        <f t="shared" si="976"/>
        <v>0</v>
      </c>
      <c r="AF362" s="510">
        <f t="shared" si="958"/>
        <v>3.8</v>
      </c>
      <c r="AG362" s="471">
        <f t="shared" si="977"/>
        <v>0</v>
      </c>
      <c r="AH362" s="471">
        <f t="shared" si="978"/>
        <v>0</v>
      </c>
      <c r="AI362" s="471">
        <f t="shared" ca="1" si="979"/>
        <v>54.543798304102609</v>
      </c>
      <c r="AJ362" s="471">
        <f t="shared" si="980"/>
        <v>0.75</v>
      </c>
      <c r="AK362" s="472">
        <f t="shared" si="981"/>
        <v>7.5285328906410653E-3</v>
      </c>
      <c r="AL362" s="471">
        <f t="shared" si="982"/>
        <v>0.62787642664453214</v>
      </c>
      <c r="AM362" s="473">
        <f t="shared" si="1041"/>
        <v>279.50734918697225</v>
      </c>
      <c r="AN362" s="474">
        <f t="shared" si="1037"/>
        <v>16.297256028961296</v>
      </c>
      <c r="AO362" s="474">
        <f t="shared" si="984"/>
        <v>0.53544444444444439</v>
      </c>
      <c r="AP362" s="474">
        <f t="shared" si="985"/>
        <v>16.83270047340574</v>
      </c>
      <c r="AQ362" s="475">
        <v>3</v>
      </c>
      <c r="AR362" s="474" t="e">
        <f t="shared" ca="1" si="986"/>
        <v>#VALUE!</v>
      </c>
      <c r="AS362" s="474" t="e">
        <f t="shared" ca="1" si="987"/>
        <v>#VALUE!</v>
      </c>
      <c r="AT362" s="471" t="e">
        <f t="shared" ca="1" si="988"/>
        <v>#VALUE!</v>
      </c>
      <c r="AU362" s="492">
        <f t="shared" si="989"/>
        <v>0</v>
      </c>
      <c r="AV362" s="471">
        <f t="shared" ca="1" si="990"/>
        <v>8885.2334860018582</v>
      </c>
      <c r="AW362" s="471">
        <f t="shared" ca="1" si="991"/>
        <v>8885.23</v>
      </c>
      <c r="AX362" s="478">
        <f>IF(OR(C362="",D362=""),"",ROUND(((VLOOKUP(C362,'Base de Diseño (2)'!$A$2:$C$333,2,FALSE)-VLOOKUP(D362,'Base de Diseño (2)'!$A$2:$C$333,2,FALSE))^2+(VLOOKUP(C362,'Base de Diseño (2)'!$A$2:$C$333,3,0)-VLOOKUP(D362,'Base de Diseño (2)'!$A$2:$C$333,3,FALSE))^2)^0.5,2))</f>
        <v>96.38</v>
      </c>
      <c r="AY362" s="493">
        <v>14</v>
      </c>
      <c r="AZ362" s="480">
        <f ca="1">IF(AND(L362="",H362=""),"",IF(BA362=4,VLOOKUP(AY362,'TABLA (2)'!$A$74:$C$89,2),IF(BA362=5,VLOOKUP(AY362,'TABLA (2)'!$A$51:$B$66,2),IF(BA362=6,VLOOKUP(AY362,'TABLA (2)'!$A$9:$B$43,2)))))</f>
        <v>350</v>
      </c>
      <c r="BA362" s="493">
        <v>6</v>
      </c>
      <c r="BB362" s="478">
        <f>IF(OR(C362="",D362=""),"",VLOOKUP(C362,'Base de Diseño (2)'!$A$2:$D$330,4,FALSE))</f>
        <v>966.79160000000002</v>
      </c>
      <c r="BC362" s="478">
        <f>IF(OR(C362="",D362=""),"",VLOOKUP(D362,'Base de Diseño (2)'!$A$2:$D$330,4,FALSE))</f>
        <v>966.06600000000003</v>
      </c>
      <c r="BD362" s="23">
        <f t="shared" ca="1" si="992"/>
        <v>2.34</v>
      </c>
      <c r="BE362" s="23">
        <f t="shared" ca="1" si="993"/>
        <v>1.7499999999999682</v>
      </c>
      <c r="BF362" s="494">
        <v>2.75</v>
      </c>
      <c r="BG362" s="494">
        <v>2.1599999999999682</v>
      </c>
      <c r="BH362" s="495">
        <f t="shared" si="994"/>
        <v>964.04160000000002</v>
      </c>
      <c r="BI362" s="495">
        <f t="shared" si="995"/>
        <v>963.90600000000006</v>
      </c>
      <c r="BJ362" s="534">
        <f t="shared" si="1030"/>
        <v>0.20000000000004547</v>
      </c>
      <c r="BK362" s="475">
        <f t="shared" si="996"/>
        <v>0.75285328906410653</v>
      </c>
      <c r="BL362" s="475">
        <f t="shared" si="997"/>
        <v>0.1406930898526188</v>
      </c>
      <c r="BM362" s="475">
        <f t="shared" ca="1" si="998"/>
        <v>0.56867621846800742</v>
      </c>
      <c r="BN362" s="475">
        <f t="shared" ca="1" si="999"/>
        <v>54.71306405019093</v>
      </c>
      <c r="BO362" s="204">
        <f t="shared" ca="1" si="1000"/>
        <v>0.99690630109962319</v>
      </c>
      <c r="BP362" s="626">
        <f t="shared" ca="1" si="1001"/>
        <v>162.39686360553944</v>
      </c>
      <c r="BQ362" s="497">
        <f t="shared" ca="1" si="1002"/>
        <v>1</v>
      </c>
      <c r="BR362" s="497" t="str">
        <f t="shared" ca="1" si="1003"/>
        <v xml:space="preserve"> </v>
      </c>
      <c r="BS362" s="475">
        <f t="shared" ca="1" si="1004"/>
        <v>0.56867621846800742</v>
      </c>
      <c r="BT362" s="475" t="e">
        <f t="shared" ca="1" si="1005"/>
        <v>#VALUE!</v>
      </c>
      <c r="BU362" s="475">
        <f t="shared" ca="1" si="1006"/>
        <v>0.8896042007663123</v>
      </c>
      <c r="BV362" s="475" t="str">
        <f t="shared" ca="1" si="1007"/>
        <v xml:space="preserve"> </v>
      </c>
      <c r="BW362" s="475">
        <f t="shared" ca="1" si="1008"/>
        <v>4.9283963191031042</v>
      </c>
      <c r="BX362" s="475" t="e">
        <f t="shared" ca="1" si="1009"/>
        <v>#VALUE!</v>
      </c>
      <c r="BY362" s="475">
        <f t="shared" ca="1" si="1010"/>
        <v>0.2995476074868379</v>
      </c>
      <c r="BZ362" s="475" t="e">
        <f t="shared" ca="1" si="1011"/>
        <v>#VALUE!</v>
      </c>
      <c r="CA362" s="471">
        <f t="shared" ca="1" si="1012"/>
        <v>0.10484166262039327</v>
      </c>
      <c r="CB362" s="471" t="e">
        <f t="shared" ca="1" si="1013"/>
        <v>#VALUE!</v>
      </c>
      <c r="CC362" s="471" t="e">
        <f t="shared" ca="1" si="1038"/>
        <v>#VALUE!</v>
      </c>
      <c r="CD362" s="471" t="e">
        <f t="shared" ca="1" si="1015"/>
        <v>#VALUE!</v>
      </c>
      <c r="CE362" s="471">
        <f t="shared" ca="1" si="1016"/>
        <v>0.14750497459348938</v>
      </c>
      <c r="CF362" s="471" t="e">
        <f t="shared" ca="1" si="1017"/>
        <v>#VALUE!</v>
      </c>
      <c r="CG362" s="471" t="str">
        <f t="shared" ca="1" si="1018"/>
        <v>O.K</v>
      </c>
      <c r="CH362" s="471" t="e">
        <f t="shared" ca="1" si="1019"/>
        <v>#VALUE!</v>
      </c>
      <c r="CI362" s="471" t="str">
        <f t="shared" ca="1" si="1020"/>
        <v>OK</v>
      </c>
      <c r="CJ362" s="471" t="e">
        <f t="shared" ca="1" si="1021"/>
        <v>#VALUE!</v>
      </c>
      <c r="CK362" s="468">
        <f t="shared" si="1022"/>
        <v>0.20000000000004547</v>
      </c>
      <c r="CL362" s="482" t="s">
        <v>2507</v>
      </c>
      <c r="CM362" s="482"/>
      <c r="CN362" s="63" t="str">
        <f t="shared" si="1023"/>
        <v xml:space="preserve"> </v>
      </c>
      <c r="CO362" s="527">
        <f t="shared" si="1042"/>
        <v>96.38</v>
      </c>
      <c r="CP362" s="542">
        <f t="shared" si="1043"/>
        <v>7.5285328906410653E-3</v>
      </c>
      <c r="CQ362" s="482" t="s">
        <v>2508</v>
      </c>
      <c r="CR362" s="204">
        <f t="shared" si="1026"/>
        <v>96.38</v>
      </c>
      <c r="CS362" s="486">
        <v>1.2</v>
      </c>
      <c r="CT362" s="486">
        <v>1.2</v>
      </c>
      <c r="CU362" s="23">
        <f t="shared" si="1027"/>
        <v>96.380095389867705</v>
      </c>
      <c r="CV362" s="499" t="s">
        <v>2526</v>
      </c>
      <c r="CW362" s="488" t="str">
        <f t="shared" ca="1" si="1028"/>
        <v>E2</v>
      </c>
      <c r="CX362" s="204">
        <f ca="1">IF(AND(L362="",H362=""),"",IF(AND(BA362&lt;&gt;4,BA362&lt;&gt;5),VLOOKUP(AY362,'TABLA (2)'!$A$9:$D$43,4),IF(BA362=4,VLOOKUP(AY362,'TABLA (2)'!$A$74:$D$89,4),VLOOKUP(AY362,'TABLA (2)'!$A$51:$D$66,4))))</f>
        <v>0.06</v>
      </c>
      <c r="CY362" s="482"/>
      <c r="CZ362" s="482"/>
      <c r="DA362" s="482"/>
      <c r="DB362" s="490"/>
    </row>
    <row r="363" spans="1:106" ht="15" hidden="1" customHeight="1">
      <c r="A363" s="465">
        <f t="shared" si="1029"/>
        <v>258</v>
      </c>
      <c r="B363" s="491"/>
      <c r="C363" s="466" t="s">
        <v>2356</v>
      </c>
      <c r="D363" s="466" t="s">
        <v>2357</v>
      </c>
      <c r="E363" s="468">
        <v>7.4881981599999994E-2</v>
      </c>
      <c r="F363" s="468"/>
      <c r="G363" s="537">
        <f t="shared" si="1039"/>
        <v>59.967963369499991</v>
      </c>
      <c r="H363" s="537">
        <f t="shared" si="1040"/>
        <v>60.042845351099992</v>
      </c>
      <c r="I363" s="468">
        <v>7.4881981599999994E-2</v>
      </c>
      <c r="J363" s="468"/>
      <c r="K363" s="467">
        <f t="shared" ca="1" si="1036"/>
        <v>54.034493648999998</v>
      </c>
      <c r="L363" s="468">
        <f t="shared" ca="1" si="962"/>
        <v>54.109375630599999</v>
      </c>
      <c r="M363" s="469">
        <f t="shared" si="963"/>
        <v>242.33666300502347</v>
      </c>
      <c r="N363" s="470">
        <f t="shared" si="964"/>
        <v>18.146649540147568</v>
      </c>
      <c r="O363" s="470">
        <f t="shared" si="965"/>
        <v>0</v>
      </c>
      <c r="P363" s="470">
        <f t="shared" si="966"/>
        <v>14550.582779712258</v>
      </c>
      <c r="Q363" s="469">
        <f t="shared" si="967"/>
        <v>140</v>
      </c>
      <c r="R363" s="471">
        <f t="shared" si="968"/>
        <v>20.040733226687021</v>
      </c>
      <c r="S363" s="471"/>
      <c r="T363" s="471"/>
      <c r="U363" s="471">
        <f t="shared" si="969"/>
        <v>0</v>
      </c>
      <c r="V363" s="471"/>
      <c r="W363" s="471"/>
      <c r="X363" s="471">
        <f t="shared" si="970"/>
        <v>0</v>
      </c>
      <c r="Y363" s="471">
        <f t="shared" si="971"/>
        <v>12.008569070219998</v>
      </c>
      <c r="Z363" s="471">
        <f t="shared" ca="1" si="972"/>
        <v>0</v>
      </c>
      <c r="AA363" s="471">
        <f t="shared" si="1033"/>
        <v>2.2416530549795963</v>
      </c>
      <c r="AB363" s="471">
        <f t="shared" si="973"/>
        <v>44.92437086163406</v>
      </c>
      <c r="AC363" s="471">
        <f t="shared" si="974"/>
        <v>2.4993649250897688E-2</v>
      </c>
      <c r="AD363" s="471">
        <f t="shared" si="975"/>
        <v>1.497639632E-2</v>
      </c>
      <c r="AE363" s="471">
        <f t="shared" si="976"/>
        <v>0</v>
      </c>
      <c r="AF363" s="510">
        <f t="shared" si="958"/>
        <v>3.8</v>
      </c>
      <c r="AG363" s="471">
        <f t="shared" si="977"/>
        <v>9.4975867153411206E-2</v>
      </c>
      <c r="AH363" s="471">
        <f t="shared" si="978"/>
        <v>0.10995226347341121</v>
      </c>
      <c r="AI363" s="471">
        <f t="shared" ca="1" si="979"/>
        <v>56.932939931854058</v>
      </c>
      <c r="AJ363" s="471">
        <f t="shared" si="980"/>
        <v>0.75</v>
      </c>
      <c r="AK363" s="472">
        <f t="shared" si="981"/>
        <v>2.8296002268217952E-2</v>
      </c>
      <c r="AL363" s="471">
        <f t="shared" si="982"/>
        <v>0.62891480011341094</v>
      </c>
      <c r="AM363" s="473">
        <f t="shared" si="1041"/>
        <v>278.14927195558772</v>
      </c>
      <c r="AN363" s="474">
        <f t="shared" si="1037"/>
        <v>16.83270047340574</v>
      </c>
      <c r="AO363" s="474">
        <f t="shared" si="984"/>
        <v>0.19594444444444448</v>
      </c>
      <c r="AP363" s="474">
        <f t="shared" si="985"/>
        <v>17.028644917850183</v>
      </c>
      <c r="AQ363" s="475">
        <v>3</v>
      </c>
      <c r="AR363" s="474" t="e">
        <f t="shared" ca="1" si="986"/>
        <v>#NUM!</v>
      </c>
      <c r="AS363" s="474" t="e">
        <f t="shared" ca="1" si="987"/>
        <v>#NUM!</v>
      </c>
      <c r="AT363" s="471" t="e">
        <f t="shared" ca="1" si="988"/>
        <v>#NUM!</v>
      </c>
      <c r="AU363" s="492">
        <f t="shared" si="989"/>
        <v>13.099269315405287</v>
      </c>
      <c r="AV363" s="471">
        <f t="shared" ca="1" si="990"/>
        <v>9465.4717827827517</v>
      </c>
      <c r="AW363" s="471">
        <f t="shared" ca="1" si="991"/>
        <v>9465.4699999999993</v>
      </c>
      <c r="AX363" s="478">
        <f>IF(OR(C363="",D363=""),"",ROUND(((VLOOKUP(C363,'Base de Diseño (2)'!$A$2:$C$333,2,FALSE)-VLOOKUP(D363,'Base de Diseño (2)'!$A$2:$C$333,2,FALSE))^2+(VLOOKUP(C363,'Base de Diseño (2)'!$A$2:$C$333,3,0)-VLOOKUP(D363,'Base de Diseño (2)'!$A$2:$C$333,3,FALSE))^2)^0.5,2))</f>
        <v>35.270000000000003</v>
      </c>
      <c r="AY363" s="493">
        <v>48</v>
      </c>
      <c r="AZ363" s="480">
        <f ca="1">IF(AND(L363="",H363=""),"",IF(BA363=4,VLOOKUP(AY363,'TABLA (2)'!$A$74:$C$89,2),IF(BA363=5,VLOOKUP(AY363,'TABLA (2)'!$A$51:$B$66,2),IF(BA363=6,VLOOKUP(AY363,'TABLA (2)'!$A$9:$B$43,2)))))</f>
        <v>1054</v>
      </c>
      <c r="BA363" s="493">
        <v>4</v>
      </c>
      <c r="BB363" s="478">
        <f>IF(OR(C363="",D363=""),"",VLOOKUP(C363,'Base de Diseño (2)'!$A$2:$D$330,4,FALSE))</f>
        <v>966.06600000000003</v>
      </c>
      <c r="BC363" s="478">
        <f>IF(OR(C363="",D363=""),"",VLOOKUP(D363,'Base de Diseño (2)'!$A$2:$D$330,4,FALSE))</f>
        <v>965.06799999999998</v>
      </c>
      <c r="BD363" s="23">
        <f t="shared" ca="1" si="992"/>
        <v>1.2585000000000135</v>
      </c>
      <c r="BE363" s="23">
        <f t="shared" ca="1" si="993"/>
        <v>0.19849999999995438</v>
      </c>
      <c r="BF363" s="494">
        <v>2.3600000000000136</v>
      </c>
      <c r="BG363" s="494">
        <v>1.2999999999999545</v>
      </c>
      <c r="BH363" s="495">
        <f t="shared" si="994"/>
        <v>963.70600000000002</v>
      </c>
      <c r="BI363" s="495">
        <f t="shared" si="995"/>
        <v>963.76800000000003</v>
      </c>
      <c r="BJ363" s="534">
        <f t="shared" si="1030"/>
        <v>0</v>
      </c>
      <c r="BK363" s="475">
        <f t="shared" si="996"/>
        <v>2.8296002268217952</v>
      </c>
      <c r="BL363" s="475">
        <f t="shared" si="997"/>
        <v>-0.17578678763825298</v>
      </c>
      <c r="BM363" s="475" t="e">
        <f t="shared" ca="1" si="998"/>
        <v>#NUM!</v>
      </c>
      <c r="BN363" s="475" t="e">
        <f t="shared" ca="1" si="999"/>
        <v>#NUM!</v>
      </c>
      <c r="BO363" s="204" t="e">
        <f t="shared" ca="1" si="1000"/>
        <v>#NUM!</v>
      </c>
      <c r="BP363" s="626" t="e">
        <f t="shared" ca="1" si="1001"/>
        <v>#NUM!</v>
      </c>
      <c r="BQ363" s="497" t="e">
        <f t="shared" ca="1" si="1002"/>
        <v>#NUM!</v>
      </c>
      <c r="BR363" s="497" t="e">
        <f t="shared" ca="1" si="1003"/>
        <v>#NUM!</v>
      </c>
      <c r="BS363" s="475" t="e">
        <f t="shared" ca="1" si="1004"/>
        <v>#NUM!</v>
      </c>
      <c r="BT363" s="475" t="e">
        <f t="shared" ca="1" si="1005"/>
        <v>#NUM!</v>
      </c>
      <c r="BU363" s="475" t="e">
        <f t="shared" ca="1" si="1006"/>
        <v>#NUM!</v>
      </c>
      <c r="BV363" s="475" t="e">
        <f t="shared" ca="1" si="1007"/>
        <v>#NUM!</v>
      </c>
      <c r="BW363" s="475" t="e">
        <f t="shared" ca="1" si="1008"/>
        <v>#NUM!</v>
      </c>
      <c r="BX363" s="475" t="e">
        <f t="shared" ca="1" si="1009"/>
        <v>#NUM!</v>
      </c>
      <c r="BY363" s="475" t="e">
        <f t="shared" ca="1" si="1010"/>
        <v>#NUM!</v>
      </c>
      <c r="BZ363" s="475" t="e">
        <f t="shared" ca="1" si="1011"/>
        <v>#NUM!</v>
      </c>
      <c r="CA363" s="471" t="e">
        <f t="shared" ca="1" si="1012"/>
        <v>#NUM!</v>
      </c>
      <c r="CB363" s="471" t="e">
        <f t="shared" ca="1" si="1013"/>
        <v>#NUM!</v>
      </c>
      <c r="CC363" s="471" t="e">
        <f t="shared" ca="1" si="1038"/>
        <v>#NUM!</v>
      </c>
      <c r="CD363" s="471" t="e">
        <f t="shared" ca="1" si="1015"/>
        <v>#NUM!</v>
      </c>
      <c r="CE363" s="471" t="e">
        <f t="shared" ca="1" si="1016"/>
        <v>#NUM!</v>
      </c>
      <c r="CF363" s="471" t="e">
        <f t="shared" ca="1" si="1017"/>
        <v>#NUM!</v>
      </c>
      <c r="CG363" s="471" t="e">
        <f t="shared" ca="1" si="1018"/>
        <v>#NUM!</v>
      </c>
      <c r="CH363" s="471" t="e">
        <f t="shared" ca="1" si="1019"/>
        <v>#NUM!</v>
      </c>
      <c r="CI363" s="471" t="e">
        <f t="shared" ca="1" si="1020"/>
        <v>#NUM!</v>
      </c>
      <c r="CJ363" s="471" t="e">
        <f t="shared" ca="1" si="1021"/>
        <v>#NUM!</v>
      </c>
      <c r="CK363" s="468">
        <f t="shared" si="1022"/>
        <v>0</v>
      </c>
      <c r="CL363" s="482" t="s">
        <v>2507</v>
      </c>
      <c r="CM363" s="482"/>
      <c r="CN363" s="63" t="str">
        <f t="shared" si="1023"/>
        <v xml:space="preserve"> </v>
      </c>
      <c r="CO363" s="527">
        <f t="shared" si="1042"/>
        <v>35.270000000000003</v>
      </c>
      <c r="CP363" s="511">
        <f t="shared" si="1043"/>
        <v>2.8296002268217952E-2</v>
      </c>
      <c r="CQ363" s="482" t="s">
        <v>2508</v>
      </c>
      <c r="CR363" s="204">
        <f t="shared" si="1026"/>
        <v>35.270000000000003</v>
      </c>
      <c r="CS363" s="486">
        <v>1.2</v>
      </c>
      <c r="CT363" s="486">
        <v>1.2</v>
      </c>
      <c r="CU363" s="23">
        <f t="shared" si="1027"/>
        <v>35.270054493862077</v>
      </c>
      <c r="CV363" s="499" t="s">
        <v>2509</v>
      </c>
      <c r="CW363" s="488" t="str">
        <f t="shared" ca="1" si="1028"/>
        <v>E2</v>
      </c>
      <c r="CX363" s="204">
        <f ca="1">IF(AND(L363="",H363=""),"",IF(AND(BA363&lt;&gt;4,BA363&lt;&gt;5),VLOOKUP(AY363,'TABLA (2)'!$A$9:$D$43,4),IF(BA363=4,VLOOKUP(AY363,'TABLA (2)'!$A$74:$D$89,4),VLOOKUP(AY363,'TABLA (2)'!$A$51:$D$66,4))))</f>
        <v>4.7500000000000001E-2</v>
      </c>
      <c r="CY363" s="482"/>
      <c r="CZ363" s="482"/>
      <c r="DA363" s="482"/>
      <c r="DB363" s="490"/>
    </row>
    <row r="364" spans="1:106" ht="15" hidden="1" customHeight="1">
      <c r="A364" s="465">
        <f t="shared" si="1029"/>
        <v>259</v>
      </c>
      <c r="B364" s="491"/>
      <c r="C364" s="466" t="s">
        <v>2357</v>
      </c>
      <c r="D364" s="466" t="s">
        <v>2358</v>
      </c>
      <c r="E364" s="468">
        <v>0.34550597620000001</v>
      </c>
      <c r="F364" s="468"/>
      <c r="G364" s="537">
        <f t="shared" si="1039"/>
        <v>60.042845351099992</v>
      </c>
      <c r="H364" s="537">
        <f t="shared" si="1040"/>
        <v>60.388351327299993</v>
      </c>
      <c r="I364" s="468">
        <v>0.34550597620000001</v>
      </c>
      <c r="J364" s="468"/>
      <c r="K364" s="467">
        <f t="shared" ca="1" si="1036"/>
        <v>54.109375630599999</v>
      </c>
      <c r="L364" s="468">
        <f t="shared" ca="1" si="962"/>
        <v>54.454881606800001</v>
      </c>
      <c r="M364" s="469">
        <f t="shared" si="963"/>
        <v>242.33666300502347</v>
      </c>
      <c r="N364" s="470">
        <f t="shared" si="964"/>
        <v>83.728765320601056</v>
      </c>
      <c r="O364" s="470">
        <f t="shared" si="965"/>
        <v>0</v>
      </c>
      <c r="P364" s="470">
        <f t="shared" si="966"/>
        <v>14634.311545032861</v>
      </c>
      <c r="Q364" s="469">
        <f t="shared" si="967"/>
        <v>140</v>
      </c>
      <c r="R364" s="471">
        <f t="shared" si="968"/>
        <v>20.156054095589241</v>
      </c>
      <c r="S364" s="471"/>
      <c r="T364" s="471"/>
      <c r="U364" s="471">
        <f t="shared" si="969"/>
        <v>0</v>
      </c>
      <c r="V364" s="471"/>
      <c r="W364" s="471"/>
      <c r="X364" s="471">
        <f t="shared" si="970"/>
        <v>0</v>
      </c>
      <c r="Y364" s="471">
        <f t="shared" si="971"/>
        <v>12.07767026546</v>
      </c>
      <c r="Z364" s="471">
        <f t="shared" ca="1" si="972"/>
        <v>0</v>
      </c>
      <c r="AA364" s="471">
        <f t="shared" si="1033"/>
        <v>2.2370599363842656</v>
      </c>
      <c r="AB364" s="471">
        <f t="shared" si="973"/>
        <v>45.090301092836683</v>
      </c>
      <c r="AC364" s="471">
        <f t="shared" si="974"/>
        <v>0.11532086890221674</v>
      </c>
      <c r="AD364" s="471">
        <f t="shared" si="975"/>
        <v>6.910119524000001E-2</v>
      </c>
      <c r="AE364" s="471">
        <f t="shared" si="976"/>
        <v>0</v>
      </c>
      <c r="AF364" s="510">
        <f t="shared" si="958"/>
        <v>3.8</v>
      </c>
      <c r="AG364" s="471">
        <f t="shared" si="977"/>
        <v>0.43821930182842361</v>
      </c>
      <c r="AH364" s="471">
        <f t="shared" si="978"/>
        <v>0.50732049706842364</v>
      </c>
      <c r="AI364" s="471">
        <f t="shared" ca="1" si="979"/>
        <v>57.167971358296683</v>
      </c>
      <c r="AJ364" s="471">
        <f t="shared" si="980"/>
        <v>0.75</v>
      </c>
      <c r="AK364" s="472">
        <f t="shared" si="981"/>
        <v>1.188215242269295E-2</v>
      </c>
      <c r="AL364" s="471">
        <f t="shared" si="982"/>
        <v>0.62809410762113471</v>
      </c>
      <c r="AM364" s="473">
        <f t="shared" si="1041"/>
        <v>275.03494821721279</v>
      </c>
      <c r="AN364" s="474">
        <f t="shared" si="1037"/>
        <v>17.028644917850183</v>
      </c>
      <c r="AO364" s="474">
        <f t="shared" si="984"/>
        <v>0.45633333333333331</v>
      </c>
      <c r="AP364" s="474">
        <f t="shared" si="985"/>
        <v>17.484978251183517</v>
      </c>
      <c r="AQ364" s="475">
        <v>3</v>
      </c>
      <c r="AR364" s="474" t="e">
        <f t="shared" ca="1" si="986"/>
        <v>#VALUE!</v>
      </c>
      <c r="AS364" s="474" t="e">
        <f t="shared" ca="1" si="987"/>
        <v>#VALUE!</v>
      </c>
      <c r="AT364" s="471" t="e">
        <f t="shared" ca="1" si="988"/>
        <v>#VALUE!</v>
      </c>
      <c r="AU364" s="492">
        <f t="shared" si="989"/>
        <v>59.685407766731153</v>
      </c>
      <c r="AV364" s="471">
        <f t="shared" ca="1" si="990"/>
        <v>9406.9626503639211</v>
      </c>
      <c r="AW364" s="471">
        <f t="shared" ca="1" si="991"/>
        <v>9406.9599999999991</v>
      </c>
      <c r="AX364" s="478">
        <f>IF(OR(C364="",D364=""),"",ROUND(((VLOOKUP(C364,'Base de Diseño (2)'!$A$2:$C$333,2,FALSE)-VLOOKUP(D364,'Base de Diseño (2)'!$A$2:$C$333,2,FALSE))^2+(VLOOKUP(C364,'Base de Diseño (2)'!$A$2:$C$333,3,0)-VLOOKUP(D364,'Base de Diseño (2)'!$A$2:$C$333,3,FALSE))^2)^0.5,2))</f>
        <v>82.14</v>
      </c>
      <c r="AY364" s="493">
        <v>48</v>
      </c>
      <c r="AZ364" s="480">
        <f ca="1">IF(AND(L364="",H364=""),"",IF(BA364=4,VLOOKUP(AY364,'TABLA (2)'!$A$74:$C$89,2),IF(BA364=5,VLOOKUP(AY364,'TABLA (2)'!$A$51:$B$66,2),IF(BA364=6,VLOOKUP(AY364,'TABLA (2)'!$A$9:$B$43,2)))))</f>
        <v>1054</v>
      </c>
      <c r="BA364" s="493">
        <v>4</v>
      </c>
      <c r="BB364" s="478">
        <f>IF(OR(C364="",D364=""),"",VLOOKUP(C364,'Base de Diseño (2)'!$A$2:$D$330,4,FALSE))</f>
        <v>965.06799999999998</v>
      </c>
      <c r="BC364" s="478">
        <f>IF(OR(C364="",D364=""),"",VLOOKUP(D364,'Base de Diseño (2)'!$A$2:$D$330,4,FALSE))</f>
        <v>964.09199999999998</v>
      </c>
      <c r="BD364" s="23">
        <f t="shared" ca="1" si="992"/>
        <v>0.19849999999995438</v>
      </c>
      <c r="BE364" s="23">
        <f t="shared" ca="1" si="993"/>
        <v>-0.30150000000004562</v>
      </c>
      <c r="BF364" s="494">
        <v>1.2999999999999545</v>
      </c>
      <c r="BG364" s="494">
        <v>0.79999999999995453</v>
      </c>
      <c r="BH364" s="495">
        <f t="shared" si="994"/>
        <v>963.76800000000003</v>
      </c>
      <c r="BI364" s="495">
        <f t="shared" si="995"/>
        <v>963.29200000000003</v>
      </c>
      <c r="BJ364" s="534">
        <f t="shared" si="1030"/>
        <v>2.0000000000095497E-2</v>
      </c>
      <c r="BK364" s="475">
        <f t="shared" si="996"/>
        <v>1.1882152422692951</v>
      </c>
      <c r="BL364" s="475">
        <f t="shared" si="997"/>
        <v>0.57949841733625407</v>
      </c>
      <c r="BM364" s="475">
        <f t="shared" ca="1" si="998"/>
        <v>3.4764610186259421</v>
      </c>
      <c r="BN364" s="475">
        <f t="shared" ca="1" si="999"/>
        <v>3033.2518220451402</v>
      </c>
      <c r="BO364" s="204">
        <f t="shared" ca="1" si="1000"/>
        <v>1.8847090420521611E-2</v>
      </c>
      <c r="BP364" s="626">
        <f t="shared" ca="1" si="1001"/>
        <v>3.1012789415082089</v>
      </c>
      <c r="BQ364" s="497">
        <f t="shared" ca="1" si="1002"/>
        <v>0.3372782479578596</v>
      </c>
      <c r="BR364" s="497" t="str">
        <f t="shared" ca="1" si="1003"/>
        <v xml:space="preserve"> </v>
      </c>
      <c r="BS364" s="475">
        <f t="shared" ca="1" si="1004"/>
        <v>1.1725346814559536</v>
      </c>
      <c r="BT364" s="475" t="e">
        <f t="shared" ca="1" si="1005"/>
        <v>#VALUE!</v>
      </c>
      <c r="BU364" s="475">
        <f t="shared" ca="1" si="1006"/>
        <v>0.12654491082786296</v>
      </c>
      <c r="BV364" s="475" t="str">
        <f t="shared" ca="1" si="1007"/>
        <v xml:space="preserve"> </v>
      </c>
      <c r="BW364" s="475">
        <f t="shared" ca="1" si="1008"/>
        <v>1.4547866584241191</v>
      </c>
      <c r="BX364" s="475" t="e">
        <f t="shared" ca="1" si="1009"/>
        <v>#VALUE!</v>
      </c>
      <c r="BY364" s="475">
        <f t="shared" ca="1" si="1010"/>
        <v>7.930857659918894E-2</v>
      </c>
      <c r="BZ364" s="475" t="e">
        <f t="shared" ca="1" si="1011"/>
        <v>#VALUE!</v>
      </c>
      <c r="CA364" s="471">
        <f t="shared" ca="1" si="1012"/>
        <v>8.359123973554515E-2</v>
      </c>
      <c r="CB364" s="471" t="e">
        <f t="shared" ca="1" si="1013"/>
        <v>#VALUE!</v>
      </c>
      <c r="CC364" s="471" t="e">
        <f t="shared" ca="1" si="1038"/>
        <v>#VALUE!</v>
      </c>
      <c r="CD364" s="471" t="e">
        <f t="shared" ca="1" si="1015"/>
        <v>#VALUE!</v>
      </c>
      <c r="CE364" s="471">
        <f t="shared" ca="1" si="1016"/>
        <v>0.48440991129923811</v>
      </c>
      <c r="CF364" s="471" t="e">
        <f t="shared" ca="1" si="1017"/>
        <v>#VALUE!</v>
      </c>
      <c r="CG364" s="471" t="str">
        <f t="shared" ca="1" si="1018"/>
        <v>O.K</v>
      </c>
      <c r="CH364" s="471" t="e">
        <f t="shared" ca="1" si="1019"/>
        <v>#VALUE!</v>
      </c>
      <c r="CI364" s="471" t="str">
        <f t="shared" ca="1" si="1020"/>
        <v>OK</v>
      </c>
      <c r="CJ364" s="471" t="e">
        <f t="shared" ca="1" si="1021"/>
        <v>#VALUE!</v>
      </c>
      <c r="CK364" s="468">
        <f t="shared" si="1022"/>
        <v>2.0000000000095497E-2</v>
      </c>
      <c r="CL364" s="482" t="s">
        <v>2507</v>
      </c>
      <c r="CM364" s="482"/>
      <c r="CN364" s="63" t="str">
        <f t="shared" si="1023"/>
        <v xml:space="preserve"> </v>
      </c>
      <c r="CO364" s="527">
        <f t="shared" si="1042"/>
        <v>82.14</v>
      </c>
      <c r="CP364" s="542">
        <f t="shared" si="1043"/>
        <v>1.188215242269295E-2</v>
      </c>
      <c r="CQ364" s="482" t="s">
        <v>2508</v>
      </c>
      <c r="CR364" s="204">
        <f t="shared" si="1026"/>
        <v>82.14</v>
      </c>
      <c r="CS364" s="486">
        <v>1.2</v>
      </c>
      <c r="CT364" s="486">
        <v>1.2</v>
      </c>
      <c r="CU364" s="23">
        <f t="shared" si="1027"/>
        <v>82.141379194654377</v>
      </c>
      <c r="CV364" s="499" t="s">
        <v>2527</v>
      </c>
      <c r="CW364" s="488" t="str">
        <f t="shared" ca="1" si="1028"/>
        <v>E1</v>
      </c>
      <c r="CX364" s="204">
        <f ca="1">IF(AND(L364="",H364=""),"",IF(AND(BA364&lt;&gt;4,BA364&lt;&gt;5),VLOOKUP(AY364,'TABLA (2)'!$A$9:$D$43,4),IF(BA364=4,VLOOKUP(AY364,'TABLA (2)'!$A$74:$D$89,4),VLOOKUP(AY364,'TABLA (2)'!$A$51:$D$66,4))))</f>
        <v>4.7500000000000001E-2</v>
      </c>
      <c r="CY364" s="482"/>
      <c r="CZ364" s="482"/>
      <c r="DA364" s="482"/>
      <c r="DB364" s="490"/>
    </row>
    <row r="365" spans="1:106" ht="15" hidden="1" customHeight="1">
      <c r="A365" s="465">
        <f t="shared" si="1029"/>
        <v>260</v>
      </c>
      <c r="B365" s="491"/>
      <c r="C365" s="466" t="s">
        <v>2358</v>
      </c>
      <c r="D365" s="466" t="s">
        <v>2361</v>
      </c>
      <c r="E365" s="468"/>
      <c r="F365" s="468"/>
      <c r="G365" s="537">
        <f t="shared" si="1039"/>
        <v>60.953185235499994</v>
      </c>
      <c r="H365" s="537">
        <f t="shared" si="1040"/>
        <v>60.953185235499994</v>
      </c>
      <c r="I365" s="468"/>
      <c r="J365" s="468"/>
      <c r="K365" s="467">
        <f t="shared" ca="1" si="1036"/>
        <v>55.033436174599998</v>
      </c>
      <c r="L365" s="468">
        <f t="shared" ca="1" si="962"/>
        <v>55.033436174599998</v>
      </c>
      <c r="M365" s="469">
        <f t="shared" si="963"/>
        <v>242.33666300502347</v>
      </c>
      <c r="N365" s="470">
        <f t="shared" si="964"/>
        <v>0</v>
      </c>
      <c r="O365" s="470">
        <f t="shared" si="965"/>
        <v>0</v>
      </c>
      <c r="P365" s="470">
        <f t="shared" si="966"/>
        <v>14771.191509498134</v>
      </c>
      <c r="Q365" s="469">
        <f t="shared" si="967"/>
        <v>140</v>
      </c>
      <c r="R365" s="471">
        <f t="shared" si="968"/>
        <v>20.344580898498585</v>
      </c>
      <c r="S365" s="471"/>
      <c r="T365" s="471"/>
      <c r="U365" s="471">
        <f t="shared" si="969"/>
        <v>0</v>
      </c>
      <c r="V365" s="471"/>
      <c r="W365" s="471"/>
      <c r="X365" s="471">
        <f t="shared" si="970"/>
        <v>0</v>
      </c>
      <c r="Y365" s="471">
        <f t="shared" si="971"/>
        <v>12.190637047099999</v>
      </c>
      <c r="Z365" s="471">
        <f t="shared" ca="1" si="972"/>
        <v>0</v>
      </c>
      <c r="AA365" s="471">
        <f t="shared" si="1033"/>
        <v>2.2296238424028392</v>
      </c>
      <c r="AB365" s="471">
        <f t="shared" si="973"/>
        <v>45.360762634985818</v>
      </c>
      <c r="AC365" s="471">
        <f t="shared" si="974"/>
        <v>0</v>
      </c>
      <c r="AD365" s="471">
        <f t="shared" si="975"/>
        <v>0</v>
      </c>
      <c r="AE365" s="471">
        <f t="shared" si="976"/>
        <v>0</v>
      </c>
      <c r="AF365" s="510">
        <f t="shared" si="958"/>
        <v>3.8</v>
      </c>
      <c r="AG365" s="471">
        <f t="shared" si="977"/>
        <v>0</v>
      </c>
      <c r="AH365" s="471">
        <f t="shared" si="978"/>
        <v>0</v>
      </c>
      <c r="AI365" s="471">
        <f t="shared" ca="1" si="979"/>
        <v>57.551399682085815</v>
      </c>
      <c r="AJ365" s="471">
        <f t="shared" si="980"/>
        <v>0.75</v>
      </c>
      <c r="AK365" s="472">
        <f t="shared" si="981"/>
        <v>8.7277701778390379E-2</v>
      </c>
      <c r="AL365" s="471">
        <f t="shared" si="982"/>
        <v>0.63186388508891955</v>
      </c>
      <c r="AM365" s="473">
        <f t="shared" si="1041"/>
        <v>274.76102585433421</v>
      </c>
      <c r="AN365" s="474">
        <f t="shared" si="1037"/>
        <v>17.484978251183517</v>
      </c>
      <c r="AO365" s="474">
        <f t="shared" si="984"/>
        <v>4.0611111111111105E-2</v>
      </c>
      <c r="AP365" s="474">
        <f t="shared" si="985"/>
        <v>17.525589362294628</v>
      </c>
      <c r="AQ365" s="475">
        <v>3</v>
      </c>
      <c r="AR365" s="474" t="e">
        <f t="shared" ca="1" si="986"/>
        <v>#VALUE!</v>
      </c>
      <c r="AS365" s="474" t="e">
        <f t="shared" ca="1" si="987"/>
        <v>#VALUE!</v>
      </c>
      <c r="AT365" s="471" t="e">
        <f t="shared" ca="1" si="988"/>
        <v>#VALUE!</v>
      </c>
      <c r="AU365" s="492">
        <f t="shared" si="989"/>
        <v>0</v>
      </c>
      <c r="AV365" s="471">
        <f t="shared" ca="1" si="990"/>
        <v>9554.4412164461191</v>
      </c>
      <c r="AW365" s="471">
        <f t="shared" ca="1" si="991"/>
        <v>9554.44</v>
      </c>
      <c r="AX365" s="478">
        <f>IF(OR(C365="",D365=""),"",ROUND(((VLOOKUP(C365,'Base de Diseño (2)'!$A$2:$C$333,2,FALSE)-VLOOKUP(D365,'Base de Diseño (2)'!$A$2:$C$333,2,FALSE))^2+(VLOOKUP(C365,'Base de Diseño (2)'!$A$2:$C$333,3,0)-VLOOKUP(D365,'Base de Diseño (2)'!$A$2:$C$333,3,FALSE))^2)^0.5,2))</f>
        <v>7.31</v>
      </c>
      <c r="AY365" s="493">
        <v>24</v>
      </c>
      <c r="AZ365" s="480">
        <f ca="1">IF(AND(L365="",H365=""),"",IF(BA365=4,VLOOKUP(AY365,'TABLA (2)'!$A$74:$C$89,2),IF(BA365=5,VLOOKUP(AY365,'TABLA (2)'!$A$51:$B$66,2),IF(BA365=6,VLOOKUP(AY365,'TABLA (2)'!$A$9:$B$43,2)))))</f>
        <v>600</v>
      </c>
      <c r="BA365" s="493">
        <v>6</v>
      </c>
      <c r="BB365" s="478">
        <f>IF(OR(C365="",D365=""),"",VLOOKUP(C365,'Base de Diseño (2)'!$A$2:$D$330,4,FALSE))</f>
        <v>964.09199999999998</v>
      </c>
      <c r="BC365" s="478">
        <f>IF(OR(C365="",D365=""),"",VLOOKUP(D365,'Base de Diseño (2)'!$A$2:$D$330,4,FALSE))</f>
        <v>964.73</v>
      </c>
      <c r="BD365" s="23">
        <f t="shared" ca="1" si="992"/>
        <v>0.14800000000005009</v>
      </c>
      <c r="BE365" s="23">
        <f t="shared" ca="1" si="993"/>
        <v>0.92800000000002281</v>
      </c>
      <c r="BF365" s="494">
        <v>0.82000000000005002</v>
      </c>
      <c r="BG365" s="494">
        <v>1.6000000000000227</v>
      </c>
      <c r="BH365" s="495">
        <f t="shared" si="994"/>
        <v>963.27199999999993</v>
      </c>
      <c r="BI365" s="495">
        <f t="shared" si="995"/>
        <v>963.13</v>
      </c>
      <c r="BJ365" s="534">
        <f t="shared" si="1030"/>
        <v>0</v>
      </c>
      <c r="BK365" s="475">
        <f t="shared" si="996"/>
        <v>8.7277701778390373</v>
      </c>
      <c r="BL365" s="475">
        <f t="shared" si="997"/>
        <v>1.9425444596434895</v>
      </c>
      <c r="BM365" s="475">
        <f t="shared" ca="1" si="998"/>
        <v>3.026701816802071</v>
      </c>
      <c r="BN365" s="475">
        <f t="shared" ca="1" si="999"/>
        <v>855.77977730450391</v>
      </c>
      <c r="BO365" s="204">
        <f t="shared" ca="1" si="1000"/>
        <v>6.725024499101695E-2</v>
      </c>
      <c r="BP365" s="626">
        <f t="shared" ca="1" si="1001"/>
        <v>11.164601283398095</v>
      </c>
      <c r="BQ365" s="497">
        <f t="shared" ca="1" si="1002"/>
        <v>0.48137973644121651</v>
      </c>
      <c r="BR365" s="497" t="str">
        <f t="shared" ca="1" si="1003"/>
        <v xml:space="preserve"> </v>
      </c>
      <c r="BS365" s="475">
        <f t="shared" ca="1" si="1004"/>
        <v>1.456992922858332</v>
      </c>
      <c r="BT365" s="475" t="e">
        <f t="shared" ca="1" si="1005"/>
        <v>#VALUE!</v>
      </c>
      <c r="BU365" s="475">
        <f t="shared" ca="1" si="1006"/>
        <v>0.20859291717010675</v>
      </c>
      <c r="BV365" s="475" t="str">
        <f t="shared" ca="1" si="1007"/>
        <v xml:space="preserve"> </v>
      </c>
      <c r="BW365" s="475">
        <f t="shared" ca="1" si="1008"/>
        <v>1.8972175610728808</v>
      </c>
      <c r="BX365" s="475" t="e">
        <f t="shared" ca="1" si="1009"/>
        <v>#VALUE!</v>
      </c>
      <c r="BY365" s="475">
        <f t="shared" ca="1" si="1010"/>
        <v>0.12518617048362093</v>
      </c>
      <c r="BZ365" s="475" t="e">
        <f t="shared" ca="1" si="1011"/>
        <v>#VALUE!</v>
      </c>
      <c r="CA365" s="471">
        <f t="shared" ca="1" si="1012"/>
        <v>7.5111702290172555E-2</v>
      </c>
      <c r="CB365" s="471" t="e">
        <f t="shared" ca="1" si="1013"/>
        <v>#VALUE!</v>
      </c>
      <c r="CC365" s="471" t="e">
        <f t="shared" ca="1" si="1038"/>
        <v>#VALUE!</v>
      </c>
      <c r="CD365" s="471" t="e">
        <f t="shared" ca="1" si="1015"/>
        <v>#VALUE!</v>
      </c>
      <c r="CE365" s="471">
        <f t="shared" ca="1" si="1016"/>
        <v>1.4590782113816589</v>
      </c>
      <c r="CF365" s="471" t="e">
        <f t="shared" ca="1" si="1017"/>
        <v>#VALUE!</v>
      </c>
      <c r="CG365" s="471" t="str">
        <f t="shared" ca="1" si="1018"/>
        <v>O.K</v>
      </c>
      <c r="CH365" s="471" t="e">
        <f t="shared" ca="1" si="1019"/>
        <v>#VALUE!</v>
      </c>
      <c r="CI365" s="471" t="str">
        <f t="shared" ca="1" si="1020"/>
        <v>OK</v>
      </c>
      <c r="CJ365" s="471" t="e">
        <f t="shared" ca="1" si="1021"/>
        <v>#VALUE!</v>
      </c>
      <c r="CK365" s="468">
        <f t="shared" si="1022"/>
        <v>0</v>
      </c>
      <c r="CL365" s="482" t="s">
        <v>2507</v>
      </c>
      <c r="CM365" s="482"/>
      <c r="CN365" s="63" t="str">
        <f t="shared" si="1023"/>
        <v xml:space="preserve"> </v>
      </c>
      <c r="CO365" s="527">
        <f t="shared" si="1042"/>
        <v>7.31</v>
      </c>
      <c r="CP365" s="511">
        <f t="shared" si="1043"/>
        <v>8.7277701778390379E-2</v>
      </c>
      <c r="CQ365" s="482" t="s">
        <v>2508</v>
      </c>
      <c r="CR365" s="204">
        <f t="shared" si="1026"/>
        <v>7.31</v>
      </c>
      <c r="CS365" s="486">
        <v>1.2</v>
      </c>
      <c r="CT365" s="486">
        <v>1.2</v>
      </c>
      <c r="CU365" s="23">
        <f t="shared" si="1027"/>
        <v>7.3113790764807138</v>
      </c>
      <c r="CV365" s="499" t="s">
        <v>2525</v>
      </c>
      <c r="CW365" s="488" t="str">
        <f t="shared" ca="1" si="1028"/>
        <v>E1</v>
      </c>
      <c r="CX365" s="204">
        <f ca="1">IF(AND(L365="",H365=""),"",IF(AND(BA365&lt;&gt;4,BA365&lt;&gt;5),VLOOKUP(AY365,'TABLA (2)'!$A$9:$D$43,4),IF(BA365=4,VLOOKUP(AY365,'TABLA (2)'!$A$74:$D$89,4),VLOOKUP(AY365,'TABLA (2)'!$A$51:$D$66,4))))</f>
        <v>7.1999999999999995E-2</v>
      </c>
      <c r="CY365" s="482"/>
      <c r="CZ365" s="482"/>
      <c r="DA365" s="482"/>
      <c r="DB365" s="490"/>
    </row>
    <row r="366" spans="1:106" ht="15" hidden="1" customHeight="1">
      <c r="A366" s="465">
        <f t="shared" si="1029"/>
        <v>261</v>
      </c>
      <c r="B366" s="491"/>
      <c r="C366" s="466" t="s">
        <v>2361</v>
      </c>
      <c r="D366" s="466" t="s">
        <v>2245</v>
      </c>
      <c r="E366" s="468">
        <v>2.7598107700000003E-2</v>
      </c>
      <c r="F366" s="468"/>
      <c r="G366" s="537">
        <f t="shared" si="1039"/>
        <v>60.953185235499994</v>
      </c>
      <c r="H366" s="537">
        <f t="shared" si="1040"/>
        <v>60.980783343199995</v>
      </c>
      <c r="I366" s="468">
        <v>2.7598107700000003E-2</v>
      </c>
      <c r="J366" s="468"/>
      <c r="K366" s="467">
        <f t="shared" ca="1" si="1036"/>
        <v>55.033436174599998</v>
      </c>
      <c r="L366" s="468">
        <f t="shared" ca="1" si="962"/>
        <v>55.0610342823</v>
      </c>
      <c r="M366" s="469">
        <f t="shared" si="963"/>
        <v>242.33666300502347</v>
      </c>
      <c r="N366" s="470">
        <f t="shared" si="964"/>
        <v>6.6880333252712436</v>
      </c>
      <c r="O366" s="470">
        <f t="shared" si="965"/>
        <v>0</v>
      </c>
      <c r="P366" s="470">
        <f t="shared" si="966"/>
        <v>14777.879542823406</v>
      </c>
      <c r="Q366" s="469">
        <f t="shared" si="967"/>
        <v>140</v>
      </c>
      <c r="R366" s="471">
        <f t="shared" si="968"/>
        <v>20.353792425879462</v>
      </c>
      <c r="S366" s="471"/>
      <c r="T366" s="471"/>
      <c r="U366" s="471">
        <f t="shared" si="969"/>
        <v>0</v>
      </c>
      <c r="V366" s="471"/>
      <c r="W366" s="471"/>
      <c r="X366" s="471">
        <f t="shared" si="970"/>
        <v>0</v>
      </c>
      <c r="Y366" s="471">
        <f t="shared" si="971"/>
        <v>12.19615666864</v>
      </c>
      <c r="Z366" s="471">
        <f t="shared" ca="1" si="972"/>
        <v>0</v>
      </c>
      <c r="AA366" s="471">
        <f t="shared" si="1033"/>
        <v>2.2292628006640731</v>
      </c>
      <c r="AB366" s="471">
        <f t="shared" si="973"/>
        <v>45.373952307451248</v>
      </c>
      <c r="AC366" s="471">
        <f t="shared" si="974"/>
        <v>9.2115273808712726E-3</v>
      </c>
      <c r="AD366" s="471">
        <f t="shared" si="975"/>
        <v>5.519621540000001E-3</v>
      </c>
      <c r="AE366" s="471">
        <f t="shared" si="976"/>
        <v>0</v>
      </c>
      <c r="AF366" s="510">
        <f t="shared" si="958"/>
        <v>3.8</v>
      </c>
      <c r="AG366" s="471">
        <f t="shared" si="977"/>
        <v>3.5003804047310835E-2</v>
      </c>
      <c r="AH366" s="471">
        <f t="shared" si="978"/>
        <v>4.0523425587310834E-2</v>
      </c>
      <c r="AI366" s="471">
        <f t="shared" ca="1" si="979"/>
        <v>57.570108976091248</v>
      </c>
      <c r="AJ366" s="471">
        <f t="shared" si="980"/>
        <v>0.75</v>
      </c>
      <c r="AK366" s="472">
        <f t="shared" si="981"/>
        <v>7.1625183016102864E-2</v>
      </c>
      <c r="AL366" s="471">
        <f t="shared" si="982"/>
        <v>0.63108125915080515</v>
      </c>
      <c r="AM366" s="473">
        <f t="shared" si="1041"/>
        <v>274.25055294587906</v>
      </c>
      <c r="AN366" s="474">
        <f t="shared" si="1037"/>
        <v>17.525589362294628</v>
      </c>
      <c r="AO366" s="474">
        <f t="shared" si="984"/>
        <v>7.5888888888888881E-2</v>
      </c>
      <c r="AP366" s="474">
        <f t="shared" si="985"/>
        <v>17.601478251183519</v>
      </c>
      <c r="AQ366" s="475">
        <v>3</v>
      </c>
      <c r="AR366" s="474" t="e">
        <f t="shared" ca="1" si="986"/>
        <v>#VALUE!</v>
      </c>
      <c r="AS366" s="474" t="e">
        <f t="shared" ca="1" si="987"/>
        <v>#VALUE!</v>
      </c>
      <c r="AT366" s="471" t="e">
        <f t="shared" ca="1" si="988"/>
        <v>#VALUE!</v>
      </c>
      <c r="AU366" s="492">
        <f t="shared" si="989"/>
        <v>4.7765254973571967</v>
      </c>
      <c r="AV366" s="471">
        <f t="shared" ca="1" si="990"/>
        <v>9529.6546060027395</v>
      </c>
      <c r="AW366" s="471">
        <f t="shared" ca="1" si="991"/>
        <v>9529.65</v>
      </c>
      <c r="AX366" s="478">
        <f>IF(OR(C366="",D366=""),"",ROUND(((VLOOKUP(C366,'Base de Diseño (2)'!$A$2:$C$333,2,FALSE)-VLOOKUP(D366,'Base de Diseño (2)'!$A$2:$C$333,2,FALSE))^2+(VLOOKUP(C366,'Base de Diseño (2)'!$A$2:$C$333,3,0)-VLOOKUP(D366,'Base de Diseño (2)'!$A$2:$C$333,3,FALSE))^2)^0.5,2))</f>
        <v>13.66</v>
      </c>
      <c r="AY366" s="493">
        <v>24</v>
      </c>
      <c r="AZ366" s="480">
        <f ca="1">IF(AND(L366="",H366=""),"",IF(BA366=4,VLOOKUP(AY366,'TABLA (2)'!$A$74:$C$89,2),IF(BA366=5,VLOOKUP(AY366,'TABLA (2)'!$A$51:$B$66,2),IF(BA366=6,VLOOKUP(AY366,'TABLA (2)'!$A$9:$B$43,2)))))</f>
        <v>600</v>
      </c>
      <c r="BA366" s="493">
        <v>6</v>
      </c>
      <c r="BB366" s="478">
        <f>IF(OR(C366="",D366=""),"",VLOOKUP(C366,'Base de Diseño (2)'!$A$2:$D$330,4,FALSE))</f>
        <v>964.73</v>
      </c>
      <c r="BC366" s="478">
        <f>IF(OR(C366="",D366=""),"",VLOOKUP(D366,'Base de Diseño (2)'!$A$2:$D$330,4,FALSE))</f>
        <v>963.75160000000005</v>
      </c>
      <c r="BD366" s="23">
        <f t="shared" ca="1" si="992"/>
        <v>0.92800000000002281</v>
      </c>
      <c r="BE366" s="23">
        <f t="shared" ca="1" si="993"/>
        <v>9.7999999999981879E-2</v>
      </c>
      <c r="BF366" s="494">
        <v>1.6000000000000227</v>
      </c>
      <c r="BG366" s="494">
        <v>0.76999999999998181</v>
      </c>
      <c r="BH366" s="495">
        <f t="shared" si="994"/>
        <v>963.13</v>
      </c>
      <c r="BI366" s="495">
        <f t="shared" si="995"/>
        <v>962.98160000000007</v>
      </c>
      <c r="BJ366" s="534">
        <f t="shared" si="1030"/>
        <v>-9.9999999999909051E-3</v>
      </c>
      <c r="BK366" s="475">
        <f t="shared" si="996"/>
        <v>7.1625183016102865</v>
      </c>
      <c r="BL366" s="475">
        <f t="shared" si="997"/>
        <v>1.0863836017563995</v>
      </c>
      <c r="BM366" s="475">
        <f t="shared" ca="1" si="998"/>
        <v>2.2634752732991954</v>
      </c>
      <c r="BN366" s="475">
        <f t="shared" ca="1" si="999"/>
        <v>639.98255611610125</v>
      </c>
      <c r="BO366" s="204">
        <f t="shared" ca="1" si="1000"/>
        <v>8.9955747115156179E-2</v>
      </c>
      <c r="BP366" s="626">
        <f t="shared" ca="1" si="1001"/>
        <v>14.890483981052752</v>
      </c>
      <c r="BQ366" s="497">
        <f t="shared" ca="1" si="1002"/>
        <v>0.52262443284377325</v>
      </c>
      <c r="BR366" s="497" t="str">
        <f t="shared" ca="1" si="1003"/>
        <v xml:space="preserve"> </v>
      </c>
      <c r="BS366" s="475">
        <f t="shared" ca="1" si="1004"/>
        <v>1.1829474809638967</v>
      </c>
      <c r="BT366" s="475" t="e">
        <f t="shared" ca="1" si="1005"/>
        <v>#VALUE!</v>
      </c>
      <c r="BU366" s="475">
        <f t="shared" ca="1" si="1006"/>
        <v>0.22735578587491992</v>
      </c>
      <c r="BV366" s="475" t="str">
        <f t="shared" ca="1" si="1007"/>
        <v xml:space="preserve"> </v>
      </c>
      <c r="BW366" s="475">
        <f t="shared" ca="1" si="1008"/>
        <v>1.9881263322514491</v>
      </c>
      <c r="BX366" s="475" t="e">
        <f t="shared" ca="1" si="1009"/>
        <v>#VALUE!</v>
      </c>
      <c r="BY366" s="475">
        <f t="shared" ca="1" si="1010"/>
        <v>0.13504573530752889</v>
      </c>
      <c r="BZ366" s="475" t="e">
        <f t="shared" ca="1" si="1011"/>
        <v>#VALUE!</v>
      </c>
      <c r="CA366" s="471">
        <f t="shared" ca="1" si="1012"/>
        <v>8.1027441184517324E-2</v>
      </c>
      <c r="CB366" s="471" t="e">
        <f t="shared" ca="1" si="1013"/>
        <v>#VALUE!</v>
      </c>
      <c r="CC366" s="471" t="e">
        <f t="shared" ca="1" si="1038"/>
        <v>#VALUE!</v>
      </c>
      <c r="CD366" s="471" t="e">
        <f t="shared" ca="1" si="1015"/>
        <v>#VALUE!</v>
      </c>
      <c r="CE366" s="471">
        <f t="shared" ca="1" si="1016"/>
        <v>0.88026883395140743</v>
      </c>
      <c r="CF366" s="471" t="e">
        <f t="shared" ca="1" si="1017"/>
        <v>#VALUE!</v>
      </c>
      <c r="CG366" s="471" t="str">
        <f t="shared" ca="1" si="1018"/>
        <v>O.K</v>
      </c>
      <c r="CH366" s="471" t="e">
        <f t="shared" ca="1" si="1019"/>
        <v>#VALUE!</v>
      </c>
      <c r="CI366" s="471" t="str">
        <f t="shared" ca="1" si="1020"/>
        <v>OK</v>
      </c>
      <c r="CJ366" s="471" t="e">
        <f t="shared" ca="1" si="1021"/>
        <v>#VALUE!</v>
      </c>
      <c r="CK366" s="468">
        <f t="shared" si="1022"/>
        <v>-9.9999999999909051E-3</v>
      </c>
      <c r="CL366" s="482" t="s">
        <v>2507</v>
      </c>
      <c r="CM366" s="482"/>
      <c r="CN366" s="63" t="str">
        <f t="shared" si="1023"/>
        <v xml:space="preserve"> </v>
      </c>
      <c r="CO366" s="527">
        <f t="shared" si="1042"/>
        <v>13.66</v>
      </c>
      <c r="CP366" s="542">
        <f t="shared" si="1043"/>
        <v>7.1625183016102864E-2</v>
      </c>
      <c r="CQ366" s="482" t="s">
        <v>2508</v>
      </c>
      <c r="CR366" s="204">
        <f t="shared" si="1026"/>
        <v>13.66</v>
      </c>
      <c r="CS366" s="486">
        <v>1.2</v>
      </c>
      <c r="CT366" s="486">
        <v>1.2</v>
      </c>
      <c r="CU366" s="23">
        <f t="shared" si="1027"/>
        <v>13.660806072849434</v>
      </c>
      <c r="CV366" s="499" t="s">
        <v>2525</v>
      </c>
      <c r="CW366" s="488" t="str">
        <f t="shared" ca="1" si="1028"/>
        <v>E2</v>
      </c>
      <c r="CX366" s="204">
        <f ca="1">IF(AND(L366="",H366=""),"",IF(AND(BA366&lt;&gt;4,BA366&lt;&gt;5),VLOOKUP(AY366,'TABLA (2)'!$A$9:$D$43,4),IF(BA366=4,VLOOKUP(AY366,'TABLA (2)'!$A$74:$D$89,4),VLOOKUP(AY366,'TABLA (2)'!$A$51:$D$66,4))))</f>
        <v>7.1999999999999995E-2</v>
      </c>
      <c r="CY366" s="482"/>
      <c r="CZ366" s="482"/>
      <c r="DA366" s="482"/>
      <c r="DB366" s="490"/>
    </row>
    <row r="367" spans="1:106" ht="15" hidden="1" customHeight="1">
      <c r="A367" s="465">
        <f t="shared" si="1029"/>
        <v>262</v>
      </c>
      <c r="B367" s="491"/>
      <c r="C367" s="466" t="s">
        <v>2245</v>
      </c>
      <c r="D367" s="466" t="s">
        <v>2246</v>
      </c>
      <c r="E367" s="468"/>
      <c r="F367" s="468"/>
      <c r="G367" s="537">
        <f t="shared" si="1039"/>
        <v>60.980783343199995</v>
      </c>
      <c r="H367" s="537">
        <f t="shared" si="1040"/>
        <v>60.980783343199995</v>
      </c>
      <c r="I367" s="468"/>
      <c r="J367" s="468"/>
      <c r="K367" s="467">
        <f t="shared" ca="1" si="1036"/>
        <v>55.0610342823</v>
      </c>
      <c r="L367" s="468">
        <f t="shared" ca="1" si="962"/>
        <v>55.0610342823</v>
      </c>
      <c r="M367" s="469">
        <f t="shared" si="963"/>
        <v>242.33666300502347</v>
      </c>
      <c r="N367" s="470">
        <f t="shared" si="964"/>
        <v>0</v>
      </c>
      <c r="O367" s="470">
        <f t="shared" si="965"/>
        <v>0</v>
      </c>
      <c r="P367" s="470">
        <f t="shared" si="966"/>
        <v>14777.879542823406</v>
      </c>
      <c r="Q367" s="469">
        <f t="shared" si="967"/>
        <v>140</v>
      </c>
      <c r="R367" s="471">
        <f t="shared" si="968"/>
        <v>20.353792425879462</v>
      </c>
      <c r="S367" s="471"/>
      <c r="T367" s="471"/>
      <c r="U367" s="471">
        <f t="shared" si="969"/>
        <v>0</v>
      </c>
      <c r="V367" s="471"/>
      <c r="W367" s="471"/>
      <c r="X367" s="471">
        <f t="shared" si="970"/>
        <v>0</v>
      </c>
      <c r="Y367" s="471">
        <f t="shared" si="971"/>
        <v>12.19615666864</v>
      </c>
      <c r="Z367" s="471">
        <f t="shared" ca="1" si="972"/>
        <v>0</v>
      </c>
      <c r="AA367" s="471">
        <f t="shared" si="1033"/>
        <v>2.2292628006640731</v>
      </c>
      <c r="AB367" s="471">
        <f t="shared" si="973"/>
        <v>45.373952307451248</v>
      </c>
      <c r="AC367" s="471">
        <f t="shared" si="974"/>
        <v>0</v>
      </c>
      <c r="AD367" s="471">
        <f t="shared" si="975"/>
        <v>0</v>
      </c>
      <c r="AE367" s="471">
        <f t="shared" si="976"/>
        <v>0</v>
      </c>
      <c r="AF367" s="510">
        <f t="shared" si="958"/>
        <v>3.8</v>
      </c>
      <c r="AG367" s="471">
        <f t="shared" si="977"/>
        <v>0</v>
      </c>
      <c r="AH367" s="471">
        <f t="shared" si="978"/>
        <v>0</v>
      </c>
      <c r="AI367" s="471">
        <f t="shared" ca="1" si="979"/>
        <v>57.570108976091248</v>
      </c>
      <c r="AJ367" s="471">
        <f t="shared" si="980"/>
        <v>0.75</v>
      </c>
      <c r="AK367" s="472">
        <f t="shared" si="981"/>
        <v>1.062451412283187E-2</v>
      </c>
      <c r="AL367" s="471">
        <f t="shared" si="982"/>
        <v>0.62803122570614167</v>
      </c>
      <c r="AM367" s="473">
        <f t="shared" si="1041"/>
        <v>272.81821696253343</v>
      </c>
      <c r="AN367" s="474">
        <f t="shared" si="1037"/>
        <v>17.601478251183519</v>
      </c>
      <c r="AO367" s="474">
        <f t="shared" si="984"/>
        <v>0.21438888888888888</v>
      </c>
      <c r="AP367" s="474">
        <f t="shared" si="985"/>
        <v>17.815867140072406</v>
      </c>
      <c r="AQ367" s="475">
        <v>3</v>
      </c>
      <c r="AR367" s="474" t="e">
        <f t="shared" ca="1" si="986"/>
        <v>#VALUE!</v>
      </c>
      <c r="AS367" s="474" t="e">
        <f t="shared" ca="1" si="987"/>
        <v>#VALUE!</v>
      </c>
      <c r="AT367" s="471" t="e">
        <f t="shared" ca="1" si="988"/>
        <v>#VALUE!</v>
      </c>
      <c r="AU367" s="492">
        <f t="shared" si="989"/>
        <v>0</v>
      </c>
      <c r="AV367" s="471">
        <f t="shared" ca="1" si="990"/>
        <v>9434.0672694507793</v>
      </c>
      <c r="AW367" s="471">
        <f t="shared" ca="1" si="991"/>
        <v>9434.07</v>
      </c>
      <c r="AX367" s="478">
        <f>IF(OR(C367="",D367=""),"",ROUND(((VLOOKUP(C367,'Base de Diseño (2)'!$A$2:$C$333,2,FALSE)-VLOOKUP(D367,'Base de Diseño (2)'!$A$2:$C$333,2,FALSE))^2+(VLOOKUP(C367,'Base de Diseño (2)'!$A$2:$C$333,3,0)-VLOOKUP(D367,'Base de Diseño (2)'!$A$2:$C$333,3,FALSE))^2)^0.5,2))</f>
        <v>38.590000000000003</v>
      </c>
      <c r="AY367" s="493">
        <v>24</v>
      </c>
      <c r="AZ367" s="480">
        <f ca="1">IF(AND(L367="",H367=""),"",IF(BA367=4,VLOOKUP(AY367,'TABLA (2)'!$A$74:$C$89,2),IF(BA367=5,VLOOKUP(AY367,'TABLA (2)'!$A$51:$B$66,2),IF(BA367=6,VLOOKUP(AY367,'TABLA (2)'!$A$9:$B$43,2)))))</f>
        <v>600</v>
      </c>
      <c r="BA367" s="493">
        <v>6</v>
      </c>
      <c r="BB367" s="478">
        <f>IF(OR(C367="",D367=""),"",VLOOKUP(C367,'Base de Diseño (2)'!$A$2:$D$330,4,FALSE))</f>
        <v>963.75160000000005</v>
      </c>
      <c r="BC367" s="478">
        <f>IF(OR(C367="",D367=""),"",VLOOKUP(D367,'Base de Diseño (2)'!$A$2:$D$330,4,FALSE))</f>
        <v>963.34159999999997</v>
      </c>
      <c r="BD367" s="23">
        <f t="shared" ca="1" si="992"/>
        <v>8.7999999999990974E-2</v>
      </c>
      <c r="BE367" s="23">
        <f t="shared" ca="1" si="993"/>
        <v>-0.28200000000001357</v>
      </c>
      <c r="BF367" s="494">
        <v>0.75999999999999091</v>
      </c>
      <c r="BG367" s="494">
        <v>0.38999999999998636</v>
      </c>
      <c r="BH367" s="495">
        <f t="shared" si="994"/>
        <v>962.99160000000006</v>
      </c>
      <c r="BI367" s="495">
        <f t="shared" si="995"/>
        <v>962.95159999999998</v>
      </c>
      <c r="BJ367" s="534">
        <f t="shared" si="1030"/>
        <v>9.9999999999909051E-3</v>
      </c>
      <c r="BK367" s="475">
        <f t="shared" si="996"/>
        <v>1.062451412283187</v>
      </c>
      <c r="BL367" s="475">
        <f t="shared" si="997"/>
        <v>0.10365379632049056</v>
      </c>
      <c r="BM367" s="475">
        <f t="shared" ca="1" si="998"/>
        <v>0.69916030010566144</v>
      </c>
      <c r="BN367" s="475">
        <f t="shared" ca="1" si="999"/>
        <v>197.68291762442229</v>
      </c>
      <c r="BO367" s="204">
        <f t="shared" ca="1" si="1000"/>
        <v>0.2912245006696465</v>
      </c>
      <c r="BP367" s="626">
        <f t="shared" ca="1" si="1001"/>
        <v>47.723243431300354</v>
      </c>
      <c r="BQ367" s="497">
        <f t="shared" ca="1" si="1002"/>
        <v>0.73521757874555826</v>
      </c>
      <c r="BR367" s="497" t="str">
        <f t="shared" ca="1" si="1003"/>
        <v xml:space="preserve"> </v>
      </c>
      <c r="BS367" s="475">
        <f t="shared" ca="1" si="1004"/>
        <v>0.51403494299870234</v>
      </c>
      <c r="BT367" s="475" t="e">
        <f t="shared" ca="1" si="1005"/>
        <v>#VALUE!</v>
      </c>
      <c r="BU367" s="475">
        <f t="shared" ca="1" si="1006"/>
        <v>0.41914966712280516</v>
      </c>
      <c r="BV367" s="475" t="str">
        <f t="shared" ca="1" si="1007"/>
        <v xml:space="preserve"> </v>
      </c>
      <c r="BW367" s="475">
        <f t="shared" ca="1" si="1008"/>
        <v>2.8167651420224522</v>
      </c>
      <c r="BX367" s="475" t="e">
        <f t="shared" ca="1" si="1009"/>
        <v>#VALUE!</v>
      </c>
      <c r="BY367" s="475">
        <f t="shared" ca="1" si="1010"/>
        <v>0.22167448240909454</v>
      </c>
      <c r="BZ367" s="475" t="e">
        <f t="shared" ca="1" si="1011"/>
        <v>#VALUE!</v>
      </c>
      <c r="CA367" s="471">
        <f t="shared" ca="1" si="1012"/>
        <v>0.13300468944545674</v>
      </c>
      <c r="CB367" s="471" t="e">
        <f t="shared" ca="1" si="1013"/>
        <v>#VALUE!</v>
      </c>
      <c r="CC367" s="471" t="e">
        <f t="shared" ca="1" si="1038"/>
        <v>#VALUE!</v>
      </c>
      <c r="CD367" s="471" t="e">
        <f t="shared" ca="1" si="1015"/>
        <v>#VALUE!</v>
      </c>
      <c r="CE367" s="471">
        <f t="shared" ca="1" si="1016"/>
        <v>0.13786440989449472</v>
      </c>
      <c r="CF367" s="471" t="e">
        <f t="shared" ca="1" si="1017"/>
        <v>#VALUE!</v>
      </c>
      <c r="CG367" s="471" t="str">
        <f t="shared" ca="1" si="1018"/>
        <v>O.K</v>
      </c>
      <c r="CH367" s="471" t="e">
        <f t="shared" ca="1" si="1019"/>
        <v>#VALUE!</v>
      </c>
      <c r="CI367" s="471" t="str">
        <f t="shared" ca="1" si="1020"/>
        <v>OK</v>
      </c>
      <c r="CJ367" s="471" t="e">
        <f t="shared" ca="1" si="1021"/>
        <v>#VALUE!</v>
      </c>
      <c r="CK367" s="468">
        <f t="shared" si="1022"/>
        <v>9.9999999999909051E-3</v>
      </c>
      <c r="CL367" s="482" t="s">
        <v>2507</v>
      </c>
      <c r="CM367" s="482"/>
      <c r="CN367" s="63" t="str">
        <f t="shared" si="1023"/>
        <v xml:space="preserve"> </v>
      </c>
      <c r="CO367" s="527">
        <f t="shared" si="1042"/>
        <v>38.590000000000003</v>
      </c>
      <c r="CP367" s="511">
        <f t="shared" si="1043"/>
        <v>1.062451412283187E-2</v>
      </c>
      <c r="CQ367" s="482" t="s">
        <v>2508</v>
      </c>
      <c r="CR367" s="204">
        <f t="shared" si="1026"/>
        <v>38.590000000000003</v>
      </c>
      <c r="CS367" s="486">
        <v>1.2</v>
      </c>
      <c r="CT367" s="486">
        <v>1.2</v>
      </c>
      <c r="CU367" s="23">
        <f t="shared" si="1027"/>
        <v>38.5900207307537</v>
      </c>
      <c r="CV367" s="499" t="s">
        <v>2509</v>
      </c>
      <c r="CW367" s="488" t="str">
        <f t="shared" ca="1" si="1028"/>
        <v>E1</v>
      </c>
      <c r="CX367" s="204">
        <f ca="1">IF(AND(L367="",H367=""),"",IF(AND(BA367&lt;&gt;4,BA367&lt;&gt;5),VLOOKUP(AY367,'TABLA (2)'!$A$9:$D$43,4),IF(BA367=4,VLOOKUP(AY367,'TABLA (2)'!$A$74:$D$89,4),VLOOKUP(AY367,'TABLA (2)'!$A$51:$D$66,4))))</f>
        <v>7.1999999999999995E-2</v>
      </c>
      <c r="CY367" s="482"/>
      <c r="CZ367" s="482"/>
      <c r="DA367" s="482"/>
      <c r="DB367" s="490"/>
    </row>
    <row r="368" spans="1:106" ht="15" hidden="1" customHeight="1">
      <c r="A368" s="465">
        <f t="shared" si="1029"/>
        <v>263</v>
      </c>
      <c r="B368" s="491"/>
      <c r="C368" s="466" t="s">
        <v>2246</v>
      </c>
      <c r="D368" s="466" t="s">
        <v>2247</v>
      </c>
      <c r="E368" s="468"/>
      <c r="F368" s="468"/>
      <c r="G368" s="537">
        <f t="shared" si="1039"/>
        <v>60.980783343199995</v>
      </c>
      <c r="H368" s="537">
        <f t="shared" si="1040"/>
        <v>60.980783343199995</v>
      </c>
      <c r="I368" s="468"/>
      <c r="J368" s="468"/>
      <c r="K368" s="467">
        <f t="shared" ca="1" si="1036"/>
        <v>55.0610342823</v>
      </c>
      <c r="L368" s="468">
        <f t="shared" ca="1" si="962"/>
        <v>55.0610342823</v>
      </c>
      <c r="M368" s="469">
        <f t="shared" si="963"/>
        <v>242.33666300502347</v>
      </c>
      <c r="N368" s="470">
        <f t="shared" si="964"/>
        <v>0</v>
      </c>
      <c r="O368" s="470">
        <f t="shared" si="965"/>
        <v>0</v>
      </c>
      <c r="P368" s="470">
        <f t="shared" si="966"/>
        <v>14777.879542823406</v>
      </c>
      <c r="Q368" s="469">
        <f t="shared" si="967"/>
        <v>140</v>
      </c>
      <c r="R368" s="471">
        <f t="shared" si="968"/>
        <v>20.353792425879462</v>
      </c>
      <c r="S368" s="471"/>
      <c r="T368" s="471"/>
      <c r="U368" s="471">
        <f t="shared" si="969"/>
        <v>0</v>
      </c>
      <c r="V368" s="471"/>
      <c r="W368" s="471"/>
      <c r="X368" s="471">
        <f t="shared" si="970"/>
        <v>0</v>
      </c>
      <c r="Y368" s="471">
        <f t="shared" si="971"/>
        <v>12.19615666864</v>
      </c>
      <c r="Z368" s="471">
        <f t="shared" ca="1" si="972"/>
        <v>0</v>
      </c>
      <c r="AA368" s="471">
        <f t="shared" si="1033"/>
        <v>2.2292628006640731</v>
      </c>
      <c r="AB368" s="471">
        <f t="shared" si="973"/>
        <v>45.373952307451248</v>
      </c>
      <c r="AC368" s="471">
        <f t="shared" si="974"/>
        <v>0</v>
      </c>
      <c r="AD368" s="471">
        <f t="shared" si="975"/>
        <v>0</v>
      </c>
      <c r="AE368" s="471">
        <f t="shared" si="976"/>
        <v>0</v>
      </c>
      <c r="AF368" s="510">
        <f t="shared" si="958"/>
        <v>3.8</v>
      </c>
      <c r="AG368" s="471">
        <f t="shared" si="977"/>
        <v>0</v>
      </c>
      <c r="AH368" s="471">
        <f t="shared" si="978"/>
        <v>0</v>
      </c>
      <c r="AI368" s="471">
        <f t="shared" ca="1" si="979"/>
        <v>57.570108976091248</v>
      </c>
      <c r="AJ368" s="471">
        <f t="shared" si="980"/>
        <v>0.75</v>
      </c>
      <c r="AK368" s="472">
        <f t="shared" si="981"/>
        <v>3.265686960580827E-3</v>
      </c>
      <c r="AL368" s="471">
        <f t="shared" si="982"/>
        <v>0.62766328434802909</v>
      </c>
      <c r="AM368" s="473">
        <f t="shared" si="1041"/>
        <v>271.24373563716722</v>
      </c>
      <c r="AN368" s="474">
        <f t="shared" si="1037"/>
        <v>17.815867140072406</v>
      </c>
      <c r="AO368" s="474">
        <f t="shared" si="984"/>
        <v>0.23816666666666664</v>
      </c>
      <c r="AP368" s="474">
        <f t="shared" si="985"/>
        <v>18.054033806739074</v>
      </c>
      <c r="AQ368" s="475">
        <v>3</v>
      </c>
      <c r="AR368" s="474" t="e">
        <f t="shared" ca="1" si="986"/>
        <v>#VALUE!</v>
      </c>
      <c r="AS368" s="474" t="e">
        <f t="shared" ca="1" si="987"/>
        <v>#VALUE!</v>
      </c>
      <c r="AT368" s="471" t="e">
        <f t="shared" ca="1" si="988"/>
        <v>#VALUE!</v>
      </c>
      <c r="AU368" s="492">
        <f t="shared" si="989"/>
        <v>0</v>
      </c>
      <c r="AV368" s="471">
        <f t="shared" ca="1" si="990"/>
        <v>9374.1264386114653</v>
      </c>
      <c r="AW368" s="471">
        <f t="shared" ca="1" si="991"/>
        <v>9374.1299999999992</v>
      </c>
      <c r="AX368" s="478">
        <f>IF(OR(C368="",D368=""),"",ROUND(((VLOOKUP(C368,'Base de Diseño (2)'!$A$2:$C$333,2,FALSE)-VLOOKUP(D368,'Base de Diseño (2)'!$A$2:$C$333,2,FALSE))^2+(VLOOKUP(C368,'Base de Diseño (2)'!$A$2:$C$333,3,0)-VLOOKUP(D368,'Base de Diseño (2)'!$A$2:$C$333,3,FALSE))^2)^0.5,2))</f>
        <v>42.87</v>
      </c>
      <c r="AY368" s="493">
        <v>24</v>
      </c>
      <c r="AZ368" s="480">
        <f ca="1">IF(AND(L368="",H368=""),"",IF(BA368=4,VLOOKUP(AY368,'TABLA (2)'!$A$74:$C$89,2),IF(BA368=5,VLOOKUP(AY368,'TABLA (2)'!$A$51:$B$66,2),IF(BA368=6,VLOOKUP(AY368,'TABLA (2)'!$A$9:$B$43,2)))))</f>
        <v>600</v>
      </c>
      <c r="BA368" s="493">
        <v>6</v>
      </c>
      <c r="BB368" s="478">
        <f>IF(OR(C368="",D368=""),"",VLOOKUP(C368,'Base de Diseño (2)'!$A$2:$D$330,4,FALSE))</f>
        <v>963.34159999999997</v>
      </c>
      <c r="BC368" s="478">
        <f>IF(OR(C368="",D368=""),"",VLOOKUP(D368,'Base de Diseño (2)'!$A$2:$D$330,4,FALSE))</f>
        <v>963.48160000000007</v>
      </c>
      <c r="BD368" s="23">
        <f t="shared" ca="1" si="992"/>
        <v>-0.27200000000002267</v>
      </c>
      <c r="BE368" s="23">
        <f t="shared" ca="1" si="993"/>
        <v>2.8000000000045544E-2</v>
      </c>
      <c r="BF368" s="494">
        <v>0.39999999999997726</v>
      </c>
      <c r="BG368" s="494">
        <v>0.70000000000004547</v>
      </c>
      <c r="BH368" s="495">
        <f t="shared" si="994"/>
        <v>962.94159999999999</v>
      </c>
      <c r="BI368" s="495">
        <f t="shared" si="995"/>
        <v>962.78160000000003</v>
      </c>
      <c r="BJ368" s="534">
        <f t="shared" si="1030"/>
        <v>-2.9999999999972715E-2</v>
      </c>
      <c r="BK368" s="475">
        <f t="shared" si="996"/>
        <v>0.3265686960580827</v>
      </c>
      <c r="BL368" s="475">
        <f t="shared" si="997"/>
        <v>0.37322136692318214</v>
      </c>
      <c r="BM368" s="475">
        <f t="shared" ca="1" si="998"/>
        <v>1.3266837305256931</v>
      </c>
      <c r="BN368" s="475">
        <f t="shared" ca="1" si="999"/>
        <v>375.11098753109559</v>
      </c>
      <c r="BO368" s="204">
        <f t="shared" ca="1" si="1000"/>
        <v>0.15347486714533751</v>
      </c>
      <c r="BP368" s="626">
        <f t="shared" ca="1" si="1001"/>
        <v>24.990283706959961</v>
      </c>
      <c r="BQ368" s="497">
        <f t="shared" ca="1" si="1002"/>
        <v>0.60779143161785132</v>
      </c>
      <c r="BR368" s="497" t="str">
        <f t="shared" ca="1" si="1003"/>
        <v xml:space="preserve"> </v>
      </c>
      <c r="BS368" s="475">
        <f t="shared" ca="1" si="1004"/>
        <v>0.80634700388032265</v>
      </c>
      <c r="BT368" s="475" t="e">
        <f t="shared" ca="1" si="1005"/>
        <v>#VALUE!</v>
      </c>
      <c r="BU368" s="475">
        <f t="shared" ca="1" si="1006"/>
        <v>0.31028966246916401</v>
      </c>
      <c r="BV368" s="475" t="str">
        <f t="shared" ca="1" si="1007"/>
        <v xml:space="preserve"> </v>
      </c>
      <c r="BW368" s="475">
        <f t="shared" ca="1" si="1008"/>
        <v>2.363252512378752</v>
      </c>
      <c r="BX368" s="475" t="e">
        <f t="shared" ca="1" si="1009"/>
        <v>#VALUE!</v>
      </c>
      <c r="BY368" s="475">
        <f t="shared" ca="1" si="1010"/>
        <v>0.1757275268758749</v>
      </c>
      <c r="BZ368" s="475" t="e">
        <f t="shared" ca="1" si="1011"/>
        <v>#VALUE!</v>
      </c>
      <c r="CA368" s="471">
        <f t="shared" ca="1" si="1012"/>
        <v>0.10543651612552493</v>
      </c>
      <c r="CB368" s="471" t="e">
        <f t="shared" ca="1" si="1013"/>
        <v>#VALUE!</v>
      </c>
      <c r="CC368" s="471" t="e">
        <f t="shared" ca="1" si="1038"/>
        <v>#VALUE!</v>
      </c>
      <c r="CD368" s="471" t="e">
        <f t="shared" ca="1" si="1015"/>
        <v>#VALUE!</v>
      </c>
      <c r="CE368" s="471">
        <f t="shared" ca="1" si="1016"/>
        <v>0.39351160671986546</v>
      </c>
      <c r="CF368" s="471" t="e">
        <f t="shared" ca="1" si="1017"/>
        <v>#VALUE!</v>
      </c>
      <c r="CG368" s="471" t="str">
        <f t="shared" ca="1" si="1018"/>
        <v>O.K</v>
      </c>
      <c r="CH368" s="471" t="e">
        <f t="shared" ca="1" si="1019"/>
        <v>#VALUE!</v>
      </c>
      <c r="CI368" s="471" t="str">
        <f t="shared" ca="1" si="1020"/>
        <v>OK</v>
      </c>
      <c r="CJ368" s="471" t="e">
        <f t="shared" ca="1" si="1021"/>
        <v>#VALUE!</v>
      </c>
      <c r="CK368" s="468">
        <f t="shared" si="1022"/>
        <v>-2.9999999999972715E-2</v>
      </c>
      <c r="CL368" s="482" t="s">
        <v>2507</v>
      </c>
      <c r="CM368" s="482"/>
      <c r="CN368" s="63" t="str">
        <f t="shared" si="1023"/>
        <v xml:space="preserve"> </v>
      </c>
      <c r="CO368" s="527">
        <f t="shared" si="1042"/>
        <v>42.87</v>
      </c>
      <c r="CP368" s="542">
        <f t="shared" si="1043"/>
        <v>3.265686960580827E-3</v>
      </c>
      <c r="CQ368" s="482" t="s">
        <v>2508</v>
      </c>
      <c r="CR368" s="204">
        <f t="shared" si="1026"/>
        <v>42.87</v>
      </c>
      <c r="CS368" s="486">
        <v>1.2</v>
      </c>
      <c r="CT368" s="486">
        <v>1.2</v>
      </c>
      <c r="CU368" s="23">
        <f t="shared" si="1027"/>
        <v>42.870298576053791</v>
      </c>
      <c r="CV368" s="499" t="s">
        <v>2509</v>
      </c>
      <c r="CW368" s="488" t="str">
        <f t="shared" ca="1" si="1028"/>
        <v>E1</v>
      </c>
      <c r="CX368" s="204">
        <f ca="1">IF(AND(L368="",H368=""),"",IF(AND(BA368&lt;&gt;4,BA368&lt;&gt;5),VLOOKUP(AY368,'TABLA (2)'!$A$9:$D$43,4),IF(BA368=4,VLOOKUP(AY368,'TABLA (2)'!$A$74:$D$89,4),VLOOKUP(AY368,'TABLA (2)'!$A$51:$D$66,4))))</f>
        <v>7.1999999999999995E-2</v>
      </c>
      <c r="CY368" s="482"/>
      <c r="CZ368" s="482"/>
      <c r="DA368" s="482"/>
      <c r="DB368" s="490"/>
    </row>
    <row r="369" spans="1:106" ht="15" hidden="1" customHeight="1">
      <c r="A369" s="465">
        <f t="shared" si="1029"/>
        <v>264</v>
      </c>
      <c r="B369" s="491"/>
      <c r="C369" s="466" t="s">
        <v>2247</v>
      </c>
      <c r="D369" s="466" t="s">
        <v>2319</v>
      </c>
      <c r="E369" s="468"/>
      <c r="F369" s="468"/>
      <c r="G369" s="537">
        <f t="shared" si="1039"/>
        <v>60.980783343199995</v>
      </c>
      <c r="H369" s="537">
        <f t="shared" si="1040"/>
        <v>60.980783343199995</v>
      </c>
      <c r="I369" s="468"/>
      <c r="J369" s="468"/>
      <c r="K369" s="467">
        <f t="shared" ca="1" si="1036"/>
        <v>55.0610342823</v>
      </c>
      <c r="L369" s="468">
        <f t="shared" ca="1" si="962"/>
        <v>55.0610342823</v>
      </c>
      <c r="M369" s="469">
        <f t="shared" si="963"/>
        <v>242.33666300502347</v>
      </c>
      <c r="N369" s="470">
        <f t="shared" si="964"/>
        <v>0</v>
      </c>
      <c r="O369" s="470">
        <f t="shared" si="965"/>
        <v>0</v>
      </c>
      <c r="P369" s="470">
        <f t="shared" si="966"/>
        <v>14777.879542823406</v>
      </c>
      <c r="Q369" s="469">
        <f t="shared" si="967"/>
        <v>140</v>
      </c>
      <c r="R369" s="471">
        <f t="shared" si="968"/>
        <v>20.353792425879462</v>
      </c>
      <c r="S369" s="471"/>
      <c r="T369" s="471"/>
      <c r="U369" s="471">
        <f t="shared" si="969"/>
        <v>0</v>
      </c>
      <c r="V369" s="471"/>
      <c r="W369" s="471"/>
      <c r="X369" s="471">
        <f t="shared" si="970"/>
        <v>0</v>
      </c>
      <c r="Y369" s="471">
        <f t="shared" si="971"/>
        <v>12.19615666864</v>
      </c>
      <c r="Z369" s="471">
        <f t="shared" ca="1" si="972"/>
        <v>0</v>
      </c>
      <c r="AA369" s="471">
        <f t="shared" si="1033"/>
        <v>2.2292628006640731</v>
      </c>
      <c r="AB369" s="471">
        <f t="shared" si="973"/>
        <v>45.373952307451248</v>
      </c>
      <c r="AC369" s="471">
        <f t="shared" si="974"/>
        <v>0</v>
      </c>
      <c r="AD369" s="471">
        <f t="shared" si="975"/>
        <v>0</v>
      </c>
      <c r="AE369" s="471">
        <f t="shared" si="976"/>
        <v>0</v>
      </c>
      <c r="AF369" s="510">
        <f t="shared" si="958"/>
        <v>3.8</v>
      </c>
      <c r="AG369" s="471">
        <f t="shared" si="977"/>
        <v>0</v>
      </c>
      <c r="AH369" s="471">
        <f t="shared" si="978"/>
        <v>0</v>
      </c>
      <c r="AI369" s="471">
        <f t="shared" ca="1" si="979"/>
        <v>57.570108976091248</v>
      </c>
      <c r="AJ369" s="471">
        <f t="shared" si="980"/>
        <v>0.75</v>
      </c>
      <c r="AK369" s="472">
        <f t="shared" si="981"/>
        <v>4.9361702127846893E-3</v>
      </c>
      <c r="AL369" s="471">
        <f t="shared" si="982"/>
        <v>0.62774680851063924</v>
      </c>
      <c r="AM369" s="473">
        <f t="shared" si="1041"/>
        <v>271.15793067298478</v>
      </c>
      <c r="AN369" s="474">
        <f t="shared" si="1037"/>
        <v>18.054033806739074</v>
      </c>
      <c r="AO369" s="474">
        <f t="shared" si="984"/>
        <v>1.3055555555555556E-2</v>
      </c>
      <c r="AP369" s="474">
        <f t="shared" si="985"/>
        <v>18.067089362294631</v>
      </c>
      <c r="AQ369" s="475">
        <v>3</v>
      </c>
      <c r="AR369" s="474" t="e">
        <f t="shared" ca="1" si="986"/>
        <v>#VALUE!</v>
      </c>
      <c r="AS369" s="474" t="e">
        <f t="shared" ca="1" si="987"/>
        <v>#VALUE!</v>
      </c>
      <c r="AT369" s="471" t="e">
        <f t="shared" ca="1" si="988"/>
        <v>#VALUE!</v>
      </c>
      <c r="AU369" s="492">
        <f t="shared" si="989"/>
        <v>0</v>
      </c>
      <c r="AV369" s="471">
        <f t="shared" ca="1" si="990"/>
        <v>9372.4080725704262</v>
      </c>
      <c r="AW369" s="471">
        <f t="shared" ca="1" si="991"/>
        <v>9372.41</v>
      </c>
      <c r="AX369" s="478">
        <f>IF(OR(C369="",D369=""),"",ROUND(((VLOOKUP(C369,'Base de Diseño (2)'!$A$2:$C$333,2,FALSE)-VLOOKUP(D369,'Base de Diseño (2)'!$A$2:$C$333,2,FALSE))^2+(VLOOKUP(C369,'Base de Diseño (2)'!$A$2:$C$333,3,0)-VLOOKUP(D369,'Base de Diseño (2)'!$A$2:$C$333,3,FALSE))^2)^0.5,2))</f>
        <v>2.35</v>
      </c>
      <c r="AY369" s="493">
        <v>24</v>
      </c>
      <c r="AZ369" s="480">
        <f ca="1">IF(AND(L369="",H369=""),"",IF(BA369=4,VLOOKUP(AY369,'TABLA (2)'!$A$74:$C$89,2),IF(BA369=5,VLOOKUP(AY369,'TABLA (2)'!$A$51:$B$66,2),IF(BA369=6,VLOOKUP(AY369,'TABLA (2)'!$A$9:$B$43,2)))))</f>
        <v>600</v>
      </c>
      <c r="BA369" s="493">
        <v>6</v>
      </c>
      <c r="BB369" s="478">
        <f>IF(OR(C369="",D369=""),"",VLOOKUP(C369,'Base de Diseño (2)'!$A$2:$D$330,4,FALSE))</f>
        <v>963.48160000000007</v>
      </c>
      <c r="BC369" s="478">
        <f>IF(OR(C369="",D369=""),"",VLOOKUP(D369,'Base de Diseño (2)'!$A$2:$D$330,4,FALSE))</f>
        <v>963.47</v>
      </c>
      <c r="BD369" s="23">
        <f t="shared" ca="1" si="992"/>
        <v>-1.9999999999271711E-3</v>
      </c>
      <c r="BE369" s="23">
        <f t="shared" ca="1" si="993"/>
        <v>2.8000000000045544E-2</v>
      </c>
      <c r="BF369" s="494">
        <v>0.67000000000007276</v>
      </c>
      <c r="BG369" s="494">
        <v>0.70000000000004547</v>
      </c>
      <c r="BH369" s="495">
        <f t="shared" si="994"/>
        <v>962.8116</v>
      </c>
      <c r="BI369" s="495">
        <f t="shared" si="995"/>
        <v>962.77</v>
      </c>
      <c r="BJ369" s="534">
        <f t="shared" si="1030"/>
        <v>962.77</v>
      </c>
      <c r="BK369" s="475">
        <f t="shared" si="996"/>
        <v>0.49361702127846896</v>
      </c>
      <c r="BL369" s="475">
        <f t="shared" si="997"/>
        <v>1.7702127659581588</v>
      </c>
      <c r="BM369" s="475">
        <f t="shared" ca="1" si="998"/>
        <v>2.8893282769718254</v>
      </c>
      <c r="BN369" s="475">
        <f t="shared" ca="1" si="999"/>
        <v>816.93832398695474</v>
      </c>
      <c r="BO369" s="204">
        <f t="shared" ca="1" si="1000"/>
        <v>7.0470569546949732E-2</v>
      </c>
      <c r="BP369" s="626">
        <f t="shared" ca="1" si="1001"/>
        <v>11.472604142573758</v>
      </c>
      <c r="BQ369" s="497">
        <f t="shared" ca="1" si="1002"/>
        <v>0.48778501566353083</v>
      </c>
      <c r="BR369" s="497" t="str">
        <f t="shared" ca="1" si="1003"/>
        <v xml:space="preserve"> </v>
      </c>
      <c r="BS369" s="475">
        <f t="shared" ca="1" si="1004"/>
        <v>1.4093710388397844</v>
      </c>
      <c r="BT369" s="475" t="e">
        <f t="shared" ca="1" si="1005"/>
        <v>#VALUE!</v>
      </c>
      <c r="BU369" s="475">
        <f t="shared" ca="1" si="1006"/>
        <v>0.21160987293360392</v>
      </c>
      <c r="BV369" s="475" t="str">
        <f t="shared" ca="1" si="1007"/>
        <v xml:space="preserve"> </v>
      </c>
      <c r="BW369" s="475">
        <f t="shared" ca="1" si="1008"/>
        <v>1.9120291379405776</v>
      </c>
      <c r="BX369" s="475" t="e">
        <f t="shared" ca="1" si="1009"/>
        <v>#VALUE!</v>
      </c>
      <c r="BY369" s="475">
        <f t="shared" ca="1" si="1010"/>
        <v>0.12678759649641541</v>
      </c>
      <c r="BZ369" s="475" t="e">
        <f t="shared" ca="1" si="1011"/>
        <v>#VALUE!</v>
      </c>
      <c r="CA369" s="471">
        <f t="shared" ca="1" si="1012"/>
        <v>7.6072557897849252E-2</v>
      </c>
      <c r="CB369" s="471" t="e">
        <f t="shared" ca="1" si="1013"/>
        <v>#VALUE!</v>
      </c>
      <c r="CC369" s="471" t="e">
        <f t="shared" ca="1" si="1038"/>
        <v>#VALUE!</v>
      </c>
      <c r="CD369" s="471" t="e">
        <f t="shared" ca="1" si="1015"/>
        <v>#VALUE!</v>
      </c>
      <c r="CE369" s="471">
        <f t="shared" ca="1" si="1016"/>
        <v>1.3466461312986391</v>
      </c>
      <c r="CF369" s="471" t="e">
        <f t="shared" ca="1" si="1017"/>
        <v>#VALUE!</v>
      </c>
      <c r="CG369" s="471" t="str">
        <f t="shared" ca="1" si="1018"/>
        <v>O.K</v>
      </c>
      <c r="CH369" s="471" t="e">
        <f t="shared" ca="1" si="1019"/>
        <v>#VALUE!</v>
      </c>
      <c r="CI369" s="471" t="str">
        <f t="shared" ca="1" si="1020"/>
        <v>OK</v>
      </c>
      <c r="CJ369" s="471" t="e">
        <f t="shared" ca="1" si="1021"/>
        <v>#VALUE!</v>
      </c>
      <c r="CK369" s="468">
        <f t="shared" si="1022"/>
        <v>962.77</v>
      </c>
      <c r="CL369" s="482" t="s">
        <v>2507</v>
      </c>
      <c r="CM369" s="482"/>
      <c r="CN369" s="63" t="str">
        <f t="shared" si="1023"/>
        <v xml:space="preserve"> </v>
      </c>
      <c r="CO369" s="527">
        <f t="shared" si="1042"/>
        <v>2.35</v>
      </c>
      <c r="CP369" s="511">
        <f t="shared" si="1043"/>
        <v>4.9361702127846893E-3</v>
      </c>
      <c r="CQ369" s="482" t="s">
        <v>2508</v>
      </c>
      <c r="CR369" s="204">
        <f t="shared" si="1026"/>
        <v>2.35</v>
      </c>
      <c r="CS369" s="486">
        <v>1.2</v>
      </c>
      <c r="CT369" s="486">
        <v>1.2</v>
      </c>
      <c r="CU369" s="23">
        <f t="shared" si="1027"/>
        <v>2.3503681754142267</v>
      </c>
      <c r="CV369" s="499" t="s">
        <v>2509</v>
      </c>
      <c r="CW369" s="488" t="str">
        <f t="shared" ca="1" si="1028"/>
        <v>E1</v>
      </c>
      <c r="CX369" s="204">
        <f ca="1">IF(AND(L369="",H369=""),"",IF(AND(BA369&lt;&gt;4,BA369&lt;&gt;5),VLOOKUP(AY369,'TABLA (2)'!$A$9:$D$43,4),IF(BA369=4,VLOOKUP(AY369,'TABLA (2)'!$A$74:$D$89,4),VLOOKUP(AY369,'TABLA (2)'!$A$51:$D$66,4))))</f>
        <v>7.1999999999999995E-2</v>
      </c>
      <c r="CY369" s="482"/>
      <c r="CZ369" s="482"/>
      <c r="DA369" s="482"/>
      <c r="DB369" s="490"/>
    </row>
    <row r="370" spans="1:106" ht="15" hidden="1" customHeight="1">
      <c r="A370" s="465"/>
      <c r="B370" s="491"/>
      <c r="C370" s="466"/>
      <c r="D370" s="466"/>
      <c r="E370" s="468"/>
      <c r="F370" s="468"/>
      <c r="G370" s="537">
        <f t="shared" si="1039"/>
        <v>0</v>
      </c>
      <c r="H370" s="537">
        <f t="shared" si="1040"/>
        <v>0</v>
      </c>
      <c r="I370" s="468"/>
      <c r="J370" s="468"/>
      <c r="K370" s="467"/>
      <c r="L370" s="468"/>
      <c r="M370" s="469"/>
      <c r="N370" s="470"/>
      <c r="O370" s="470"/>
      <c r="P370" s="470"/>
      <c r="Q370" s="469"/>
      <c r="R370" s="471"/>
      <c r="S370" s="471"/>
      <c r="T370" s="471"/>
      <c r="U370" s="471"/>
      <c r="V370" s="471"/>
      <c r="W370" s="471"/>
      <c r="X370" s="471"/>
      <c r="Y370" s="471"/>
      <c r="Z370" s="471"/>
      <c r="AA370" s="471" t="str">
        <f t="shared" si="1033"/>
        <v/>
      </c>
      <c r="AB370" s="471"/>
      <c r="AC370" s="471"/>
      <c r="AD370" s="471"/>
      <c r="AE370" s="471"/>
      <c r="AF370" s="510" t="str">
        <f t="shared" si="958"/>
        <v/>
      </c>
      <c r="AG370" s="471"/>
      <c r="AH370" s="471"/>
      <c r="AI370" s="471"/>
      <c r="AJ370" s="471"/>
      <c r="AK370" s="472"/>
      <c r="AL370" s="471"/>
      <c r="AM370" s="473">
        <f t="shared" si="1041"/>
        <v>474.44695720875893</v>
      </c>
      <c r="AN370" s="474">
        <f t="shared" si="1037"/>
        <v>18.067089362294631</v>
      </c>
      <c r="AO370" s="474"/>
      <c r="AP370" s="474"/>
      <c r="AQ370" s="475">
        <v>3</v>
      </c>
      <c r="AR370" s="474"/>
      <c r="AS370" s="474"/>
      <c r="AT370" s="471"/>
      <c r="AU370" s="492"/>
      <c r="AV370" s="471"/>
      <c r="AW370" s="471"/>
      <c r="AX370" s="478"/>
      <c r="AY370" s="493"/>
      <c r="AZ370" s="480"/>
      <c r="BA370" s="493"/>
      <c r="BB370" s="478" t="str">
        <f>IF(OR(C370="",D370=""),"",VLOOKUP(C370,'Base de Diseño (2)'!$A$2:$D$330,4,FALSE))</f>
        <v/>
      </c>
      <c r="BC370" s="478" t="str">
        <f>IF(OR(C370="",D370=""),"",VLOOKUP(D370,'Base de Diseño (2)'!$A$2:$D$330,4,FALSE))</f>
        <v/>
      </c>
      <c r="BD370" s="23"/>
      <c r="BE370" s="23"/>
      <c r="BF370" s="494"/>
      <c r="BG370" s="494"/>
      <c r="BH370" s="495"/>
      <c r="BI370" s="495"/>
      <c r="BJ370" s="534">
        <f t="shared" ref="BJ370:BJ401" si="1044">IF(A370="",0,BI370-BH371)</f>
        <v>0</v>
      </c>
      <c r="BK370" s="475"/>
      <c r="BL370" s="475"/>
      <c r="BM370" s="475"/>
      <c r="BN370" s="475"/>
      <c r="BO370" s="204"/>
      <c r="BP370" s="496"/>
      <c r="BQ370" s="497"/>
      <c r="BR370" s="497"/>
      <c r="BS370" s="475"/>
      <c r="BT370" s="475"/>
      <c r="BU370" s="475"/>
      <c r="BV370" s="475"/>
      <c r="BW370" s="475"/>
      <c r="BX370" s="475"/>
      <c r="BY370" s="475"/>
      <c r="BZ370" s="475"/>
      <c r="CA370" s="471"/>
      <c r="CB370" s="471"/>
      <c r="CC370" s="471" t="e">
        <f t="shared" si="1038"/>
        <v>#DIV/0!</v>
      </c>
      <c r="CD370" s="471"/>
      <c r="CE370" s="471"/>
      <c r="CF370" s="471"/>
      <c r="CG370" s="471"/>
      <c r="CH370" s="471"/>
      <c r="CI370" s="471"/>
      <c r="CJ370" s="471"/>
      <c r="CK370" s="468"/>
      <c r="CL370" s="482" t="s">
        <v>2507</v>
      </c>
      <c r="CM370" s="482"/>
      <c r="CN370" s="63"/>
      <c r="CO370" s="527">
        <f t="shared" si="1042"/>
        <v>0</v>
      </c>
      <c r="CP370" s="542">
        <f t="shared" si="1043"/>
        <v>0</v>
      </c>
      <c r="CQ370" s="482"/>
      <c r="CR370" s="204"/>
      <c r="CS370" s="486"/>
      <c r="CT370" s="486"/>
      <c r="CU370" s="23"/>
      <c r="CV370" s="499"/>
      <c r="CW370" s="488"/>
      <c r="CX370" s="204"/>
      <c r="CY370" s="482"/>
      <c r="CZ370" s="482"/>
      <c r="DA370" s="482"/>
      <c r="DB370" s="490"/>
    </row>
    <row r="371" spans="1:106" ht="15" hidden="1" customHeight="1">
      <c r="A371" s="465">
        <f>+A369+1</f>
        <v>265</v>
      </c>
      <c r="B371" s="491">
        <v>1</v>
      </c>
      <c r="C371" s="466" t="s">
        <v>2172</v>
      </c>
      <c r="D371" s="466" t="s">
        <v>2173</v>
      </c>
      <c r="E371" s="468">
        <v>5.1071928100000004E-2</v>
      </c>
      <c r="F371" s="468"/>
      <c r="G371" s="537">
        <f t="shared" si="1039"/>
        <v>0</v>
      </c>
      <c r="H371" s="537">
        <f t="shared" si="1040"/>
        <v>5.1071928100000004E-2</v>
      </c>
      <c r="I371" s="468">
        <v>5.1071928100000004E-2</v>
      </c>
      <c r="J371" s="468"/>
      <c r="K371" s="467">
        <f t="shared" ref="K371:K378" si="1045">+IF(B371=1,0,SUMIF($D$22:$D$583,C371,$L$22:$L$580))</f>
        <v>0</v>
      </c>
      <c r="L371" s="468">
        <f t="shared" ref="L371:L378" si="1046">+I371+J371+K371</f>
        <v>5.1071928100000004E-2</v>
      </c>
      <c r="M371" s="469">
        <f t="shared" ref="M371:M378" si="1047">+$P$12</f>
        <v>242.33666300502347</v>
      </c>
      <c r="N371" s="470">
        <f t="shared" ref="N371:N378" si="1048">M371*E371</f>
        <v>12.376600628986489</v>
      </c>
      <c r="O371" s="470">
        <f t="shared" ref="O371:O378" si="1049">M371*F371</f>
        <v>0</v>
      </c>
      <c r="P371" s="470">
        <f t="shared" ref="P371:P378" si="1050">M371*H371</f>
        <v>12.376600628986489</v>
      </c>
      <c r="Q371" s="469">
        <f t="shared" ref="Q371:Q378" si="1051">+$H$14</f>
        <v>140</v>
      </c>
      <c r="R371" s="471">
        <f t="shared" ref="R371:R378" si="1052">Q371*P371*$P$14/86400</f>
        <v>1.7046475403349446E-2</v>
      </c>
      <c r="S371" s="471"/>
      <c r="T371" s="471"/>
      <c r="U371" s="471">
        <f t="shared" ref="U371:U378" si="1053">IF(C371="","",T371*$P$17)</f>
        <v>0</v>
      </c>
      <c r="V371" s="471"/>
      <c r="W371" s="471"/>
      <c r="X371" s="471">
        <f t="shared" ref="X371:X378" si="1054">IF(C371="","",W371*$P$16)</f>
        <v>0</v>
      </c>
      <c r="Y371" s="471">
        <f t="shared" ref="Y371:Y378" si="1055">IF(H371=0,0,$H$15*H371)</f>
        <v>1.0214385620000002E-2</v>
      </c>
      <c r="Z371" s="471">
        <f t="shared" ref="Z371:Z378" si="1056">IF(L371=0,$H$16*H371,0)</f>
        <v>0</v>
      </c>
      <c r="AA371" s="471">
        <f t="shared" si="1033"/>
        <v>3.8</v>
      </c>
      <c r="AB371" s="471">
        <f t="shared" ref="AB371:AB378" si="1057">R371*AA371</f>
        <v>6.477660653272789E-2</v>
      </c>
      <c r="AC371" s="471">
        <f t="shared" ref="AC371:AC378" si="1058">Q371*(N371+O371)*$P$14/86400</f>
        <v>1.7046475403349446E-2</v>
      </c>
      <c r="AD371" s="471">
        <f t="shared" ref="AD371:AE378" si="1059">IF(E371=0,0,$H$15*(E371+F371))</f>
        <v>1.0214385620000002E-2</v>
      </c>
      <c r="AE371" s="471">
        <f t="shared" si="1059"/>
        <v>0</v>
      </c>
      <c r="AF371" s="510">
        <f t="shared" si="958"/>
        <v>3.8</v>
      </c>
      <c r="AG371" s="471">
        <f t="shared" ref="AG371:AG378" si="1060">AC371*AF371</f>
        <v>6.477660653272789E-2</v>
      </c>
      <c r="AH371" s="471">
        <f t="shared" ref="AH371:AH378" si="1061">+AD371+AE371+AG371</f>
        <v>7.4990992152727892E-2</v>
      </c>
      <c r="AI371" s="471">
        <f t="shared" ref="AI371:AI378" si="1062">IF(H371="","",IF(AB371+Y371+Z371+X371+U371&lt;1.5,1.5,AB371+Y371+Z371+X371+U371))</f>
        <v>1.5</v>
      </c>
      <c r="AJ371" s="471">
        <f t="shared" ref="AJ371:AJ378" si="1063">+$P$17</f>
        <v>0.75</v>
      </c>
      <c r="AK371" s="472">
        <f t="shared" ref="AK371:AK378" si="1064">+BK371/100</f>
        <v>0.23315118397087184</v>
      </c>
      <c r="AL371" s="471">
        <f t="shared" ref="AL371:AL378" si="1065">IF(AJ371=0," ",0.14+0.65*AJ371+0.05*AK371)</f>
        <v>0.63915755919854367</v>
      </c>
      <c r="AM371" s="473">
        <f t="shared" si="1041"/>
        <v>336.32613267542746</v>
      </c>
      <c r="AN371" s="474">
        <f t="shared" si="1037"/>
        <v>5</v>
      </c>
      <c r="AO371" s="474">
        <f t="shared" ref="AO371:AO378" si="1066">((1/60)*$AX371/$AQ371)</f>
        <v>3.0499999999999999E-2</v>
      </c>
      <c r="AP371" s="474">
        <f t="shared" ref="AP371:AP378" si="1067">IF(B371=1,IF(($AN371+$AO371)&lt;10,10,IF(($AN371+$AO371)&gt;20,20,($AN371+$AO371))),($AN371+$AO371))</f>
        <v>10</v>
      </c>
      <c r="AQ371" s="475">
        <v>3</v>
      </c>
      <c r="AR371" s="474">
        <f t="shared" ref="AR371:AR378" si="1068">((1/60)*$AX371/$BT371)</f>
        <v>3.712161934275765E-2</v>
      </c>
      <c r="AS371" s="474">
        <f t="shared" ref="AS371:AS378" si="1069">AO371/AR371</f>
        <v>0.82162363980898057</v>
      </c>
      <c r="AT371" s="471" t="str">
        <f t="shared" ref="AT371:AT378" si="1070">IF(AS371&lt;0.9,"Disminuir vel.",IF(AS371&gt;1.1,"Aumentar vel.","Cumple"))</f>
        <v>Disminuir vel.</v>
      </c>
      <c r="AU371" s="492">
        <f t="shared" ref="AU371:AU378" si="1071">+I371*AL371*AM371</f>
        <v>10.978696944903554</v>
      </c>
      <c r="AV371" s="471">
        <f t="shared" ref="AV371:AV378" si="1072">+L371*AL371*AM371</f>
        <v>10.978696944903554</v>
      </c>
      <c r="AW371" s="471">
        <f t="shared" ref="AW371:AW378" si="1073">ROUND(IF(AI371&gt;(AV371*0.05),(AV371+AI371),AV371),2)</f>
        <v>12.48</v>
      </c>
      <c r="AX371" s="478">
        <f>IF(OR(C371="",D371=""),"",ROUND(((VLOOKUP(C371,'Base de Diseño (2)'!$A$2:$C$333,2,FALSE)-VLOOKUP(D371,'Base de Diseño (2)'!$A$2:$C$333,2,FALSE))^2+(VLOOKUP(C371,'Base de Diseño (2)'!$A$2:$C$333,3,0)-VLOOKUP(D371,'Base de Diseño (2)'!$A$2:$C$333,3,FALSE))^2)^0.5,2))</f>
        <v>5.49</v>
      </c>
      <c r="AY371" s="493">
        <v>8</v>
      </c>
      <c r="AZ371" s="480">
        <f>IF(AND(L371="",H371=""),"",IF(BA371=4,VLOOKUP(AY371,'TABLA (2)'!$A$74:$C$89,2),IF(BA371=5,VLOOKUP(AY371,'TABLA (2)'!$A$51:$B$66,2),IF(BA371=6,VLOOKUP(AY371,'TABLA (2)'!$A$9:$B$43,2)))))</f>
        <v>200</v>
      </c>
      <c r="BA371" s="493">
        <v>6</v>
      </c>
      <c r="BB371" s="478">
        <f>IF(OR(C371="",D371=""),"",VLOOKUP(C371,'Base de Diseño (2)'!$A$2:$D$330,4,FALSE))</f>
        <v>1003.8516000000001</v>
      </c>
      <c r="BC371" s="478">
        <f>IF(OR(C371="",D371=""),"",VLOOKUP(D371,'Base de Diseño (2)'!$A$2:$D$330,4,FALSE))</f>
        <v>1002.5716</v>
      </c>
      <c r="BD371" s="23">
        <f t="shared" ref="BD371:BD378" si="1074">+BF371-((AZ371/1000)+CX371)</f>
        <v>0.36300000000002275</v>
      </c>
      <c r="BE371" s="23">
        <f t="shared" ref="BE371:BE378" si="1075">+BG371-((AZ371/1000)+CX371)</f>
        <v>0.26300000000000001</v>
      </c>
      <c r="BF371" s="494">
        <v>0.60000000000002274</v>
      </c>
      <c r="BG371" s="494">
        <v>0.5</v>
      </c>
      <c r="BH371" s="495">
        <f t="shared" ref="BH371:BI378" si="1076">BB371-BF371</f>
        <v>1003.2516000000001</v>
      </c>
      <c r="BI371" s="495">
        <f t="shared" si="1076"/>
        <v>1002.0716</v>
      </c>
      <c r="BJ371" s="534">
        <f t="shared" si="1044"/>
        <v>4.9999999999954525E-2</v>
      </c>
      <c r="BK371" s="475">
        <f t="shared" ref="BK371:BK378" si="1077">ABS((BB371-BC371)/AX371)*100</f>
        <v>23.315118397087183</v>
      </c>
      <c r="BL371" s="475">
        <f t="shared" ref="BL371:BL378" si="1078">((BH371-BI371)/AX371)*100</f>
        <v>21.493624772314458</v>
      </c>
      <c r="BM371" s="475">
        <f t="shared" ref="BM371:BM378" si="1079">IF(BA371=6,(1/0.013)*((AZ371/4000)^(2/3))*((BL371/100)^(0.5)),(1/0.009)*((AZ371/4000)^(2/3))*((BL371/100)^(0.5)))</f>
        <v>4.8401425073512634</v>
      </c>
      <c r="BN371" s="475">
        <f t="shared" ref="BN371:BN378" si="1080">1000*BM371*PI()*((AZ371/1000/2)^2)</f>
        <v>152.05756143422414</v>
      </c>
      <c r="BO371" s="204">
        <f t="shared" ref="BO371:BO378" si="1081">AI371/BN371</f>
        <v>9.8646853589642643E-3</v>
      </c>
      <c r="BP371" s="496">
        <f t="shared" ref="BP371:BP378" si="1082">IF(L371=0," ",AW371/BN371)</f>
        <v>8.2074182186582675E-2</v>
      </c>
      <c r="BQ371" s="497">
        <f t="shared" ref="BQ371:BQ378" si="1083">IF($BO371&gt;0 =AND($BO371&lt;=0.06),10^(0.029806+0.29095*LOG($BO371)),IF($BO371&gt;0.06 =AND($BO371&lt;=0.26),10^(0.013778+0.282597*LOG($BO371)),IF($BO371&gt;0.26 =AND($BO371&lt;=0.91),10^(0.021763+0.28995*LOG($BO371)),1)))</f>
        <v>0.27937305569665044</v>
      </c>
      <c r="BR371" s="497">
        <f t="shared" ref="BR371:BR378" si="1084">IF($BP371&gt;0 =AND($BP371&lt;=0.06),10^(0.029806+0.29095*LOG($BP371)),IF($BP371&gt;0.06 =AND($BP371&lt;=0.26),10^(0.013778+0.282597*LOG($BP371)),IF($BP371&gt;0.26 =AND($BP371&lt;=2),10^(0.021763+0.28995*LOG($BP371))," ")))</f>
        <v>0.50925585676109086</v>
      </c>
      <c r="BS371" s="475">
        <f t="shared" ref="BS371:BS378" si="1085">BM371*BQ371</f>
        <v>1.3522054022859697</v>
      </c>
      <c r="BT371" s="475">
        <f t="shared" ref="BT371:BT378" si="1086">IF(BP371=" "," ",(BM371*BR371))</f>
        <v>2.464870919426942</v>
      </c>
      <c r="BU371" s="475">
        <f t="shared" ref="BU371:BU378" si="1087">IF(BO371&lt;=0.11,0.3827+0.0645*LN(BO371),IF(BO371&lt;=0.21,0.60025+0.15471*LN(BO371),IF(BO371&lt;1,0.225+0.6666666667*BO371,0)))</f>
        <v>8.4787784761980123E-2</v>
      </c>
      <c r="BV371" s="475">
        <f t="shared" ref="BV371:BV378" si="1088">IF(BP371&lt;=0.11,0.3827+0.0645*LN(BP371),IF(BP371&lt;=0.21,0.60025+0.15471*LN(BP371),IF(BP371&lt;1,0.225+0.6666666667*BP371," ")))</f>
        <v>0.2214415001987162</v>
      </c>
      <c r="BW371" s="475">
        <f t="shared" ref="BW371:BW378" si="1089">2*ACOS(1-2*(BU371))</f>
        <v>1.1818545205383237</v>
      </c>
      <c r="BX371" s="475">
        <f t="shared" ref="BX371:BX378" si="1090">IF(BP371=" "," ",(2*ACOS(1-2*(BV371))))</f>
        <v>1.9597725304314721</v>
      </c>
      <c r="BY371" s="475">
        <f t="shared" ref="BY371:BY378" si="1091">(1/4)*(1-(SIN(BW371))/BW371)</f>
        <v>5.4267183722735979E-2</v>
      </c>
      <c r="BZ371" s="475">
        <f t="shared" ref="BZ371:BZ378" si="1092">IF(BP371=" "," ",((1/4)*(1-(SIN(BX371))/BX371)))</f>
        <v>0.13196362126060296</v>
      </c>
      <c r="CA371" s="471">
        <f t="shared" ref="CA371:CA378" si="1093">BY371*AZ371/1000</f>
        <v>1.0853436744547196E-2</v>
      </c>
      <c r="CB371" s="471">
        <f t="shared" ref="CB371:CB378" si="1094">IF(BP371=" "," ",(BZ371*AZ371/1000))</f>
        <v>2.6392724252120591E-2</v>
      </c>
      <c r="CC371" s="471">
        <f t="shared" si="1038"/>
        <v>4.4594602404263455</v>
      </c>
      <c r="CD371" s="471" t="str">
        <f t="shared" ref="CD371:CD378" si="1095">IF(CC371="","",IF(CC371&lt;0.7,"F. Subcrítico",IF(AND(CC371&gt;0.7,CC371&lt;1),"F. Subcrítico Inestable",IF(CC371=1,"F. Crítico",IF(AND(CC371&gt;1,CC371&lt;1.5),"F. Supercrítico Inestable",IF(CC371&gt;1.5,"F. Supercrítico",""))))))</f>
        <v>F. Supercrítico</v>
      </c>
      <c r="CE371" s="471">
        <f t="shared" ref="CE371:CE378" si="1096">1000*BL371*CA371/100</f>
        <v>2.3327969687734758</v>
      </c>
      <c r="CF371" s="471">
        <f t="shared" ref="CF371:CF378" si="1097">IF(BP371=" "," ",(1000*BL371*CB371/100))</f>
        <v>5.6727531179424373</v>
      </c>
      <c r="CG371" s="471" t="str">
        <f t="shared" ref="CG371:CG378" si="1098">IF(BS371&lt;0.45,"No cumple",IF(BS371&gt;5,"No cumple","O.K"))</f>
        <v>O.K</v>
      </c>
      <c r="CH371" s="471" t="str">
        <f t="shared" ref="CH371:CH378" si="1099">IF(BT371&lt;0.75,"No cumple",IF(BT371&gt;10,"No cumple","O.K"))</f>
        <v>O.K</v>
      </c>
      <c r="CI371" s="471" t="str">
        <f t="shared" ref="CI371:CI378" si="1100">IF(CE371&gt;0.1,"OK","V.C.H.")</f>
        <v>OK</v>
      </c>
      <c r="CJ371" s="471" t="str">
        <f t="shared" ref="CJ371:CJ378" si="1101">IF(CF371&gt;0.2,"OK","V.C.H.")</f>
        <v>OK</v>
      </c>
      <c r="CK371" s="468">
        <f t="shared" ref="CK371:CK378" si="1102">+BJ371</f>
        <v>4.9999999999954525E-2</v>
      </c>
      <c r="CL371" s="482" t="s">
        <v>2507</v>
      </c>
      <c r="CM371" s="482"/>
      <c r="CN371" s="63" t="str">
        <f t="shared" ref="CN371:CN378" si="1103">IF(B371=1,"dato"," ")</f>
        <v>dato</v>
      </c>
      <c r="CO371" s="527">
        <f t="shared" si="1042"/>
        <v>5.49</v>
      </c>
      <c r="CP371" s="511">
        <f t="shared" si="1043"/>
        <v>0.23315118397087184</v>
      </c>
      <c r="CQ371" s="482" t="s">
        <v>2508</v>
      </c>
      <c r="CR371" s="204">
        <f t="shared" ref="CR371:CR378" si="1104">IF(BA371="","",AX371)</f>
        <v>5.49</v>
      </c>
      <c r="CS371" s="486">
        <v>1.2</v>
      </c>
      <c r="CT371" s="486">
        <v>1.2</v>
      </c>
      <c r="CU371" s="23">
        <f t="shared" ref="CU371:CU378" si="1105">IF($BA371="","",SQRT((BH371-BI371)^2+$CR371^2))</f>
        <v>5.6153806638553148</v>
      </c>
      <c r="CV371" s="499" t="s">
        <v>2509</v>
      </c>
      <c r="CW371" s="488" t="str">
        <f t="shared" ref="CW371:CW378" si="1106">+IF(BD371&lt;=0.9,"E1",IF(BD371&lt;=2.5,"E2","E3"))</f>
        <v>E1</v>
      </c>
      <c r="CX371" s="204">
        <f>IF(AND(L371="",H371=""),"",IF(AND(BA371&lt;&gt;4,BA371&lt;&gt;5),VLOOKUP(AY371,'TABLA (2)'!$A$9:$D$43,4),IF(BA371=4,VLOOKUP(AY371,'TABLA (2)'!$A$74:$D$89,4),VLOOKUP(AY371,'TABLA (2)'!$A$51:$D$66,4))))</f>
        <v>3.6999999999999998E-2</v>
      </c>
      <c r="CY371" s="482"/>
      <c r="CZ371" s="482"/>
      <c r="DA371" s="482"/>
      <c r="DB371" s="490"/>
    </row>
    <row r="372" spans="1:106" ht="15" hidden="1" customHeight="1">
      <c r="A372" s="465">
        <f t="shared" ref="A372:A378" si="1107">+A371+1</f>
        <v>266</v>
      </c>
      <c r="B372" s="491"/>
      <c r="C372" s="466" t="s">
        <v>2173</v>
      </c>
      <c r="D372" s="466" t="s">
        <v>2174</v>
      </c>
      <c r="E372" s="468">
        <v>3.9755641100000003E-2</v>
      </c>
      <c r="F372" s="468"/>
      <c r="G372" s="537">
        <f t="shared" si="1039"/>
        <v>5.1071928100000004E-2</v>
      </c>
      <c r="H372" s="537">
        <f t="shared" si="1040"/>
        <v>9.0827569200000013E-2</v>
      </c>
      <c r="I372" s="468">
        <v>3.9755641100000003E-2</v>
      </c>
      <c r="J372" s="468"/>
      <c r="K372" s="467">
        <f t="shared" ca="1" si="1045"/>
        <v>5.1071928100000004E-2</v>
      </c>
      <c r="L372" s="468">
        <f t="shared" ca="1" si="1046"/>
        <v>9.0827569200000013E-2</v>
      </c>
      <c r="M372" s="469">
        <f t="shared" si="1047"/>
        <v>242.33666300502347</v>
      </c>
      <c r="N372" s="470">
        <f t="shared" si="1048"/>
        <v>9.6342493997993603</v>
      </c>
      <c r="O372" s="470">
        <f t="shared" si="1049"/>
        <v>0</v>
      </c>
      <c r="P372" s="470">
        <f t="shared" si="1050"/>
        <v>22.010850028785853</v>
      </c>
      <c r="Q372" s="469">
        <f t="shared" si="1051"/>
        <v>140</v>
      </c>
      <c r="R372" s="471">
        <f t="shared" si="1052"/>
        <v>3.0315869831313846E-2</v>
      </c>
      <c r="S372" s="471"/>
      <c r="T372" s="471"/>
      <c r="U372" s="471">
        <f t="shared" si="1053"/>
        <v>0</v>
      </c>
      <c r="V372" s="471"/>
      <c r="W372" s="471"/>
      <c r="X372" s="471">
        <f t="shared" si="1054"/>
        <v>0</v>
      </c>
      <c r="Y372" s="471">
        <f t="shared" si="1055"/>
        <v>1.8165513840000005E-2</v>
      </c>
      <c r="Z372" s="471">
        <f t="shared" ca="1" si="1056"/>
        <v>0</v>
      </c>
      <c r="AA372" s="471">
        <f t="shared" si="1033"/>
        <v>3.8</v>
      </c>
      <c r="AB372" s="471">
        <f t="shared" si="1057"/>
        <v>0.11520030535899262</v>
      </c>
      <c r="AC372" s="471">
        <f t="shared" si="1058"/>
        <v>1.3269394427964399E-2</v>
      </c>
      <c r="AD372" s="471">
        <f t="shared" si="1059"/>
        <v>7.9511282200000009E-3</v>
      </c>
      <c r="AE372" s="471">
        <f t="shared" si="1059"/>
        <v>0</v>
      </c>
      <c r="AF372" s="510">
        <f t="shared" si="958"/>
        <v>3.8</v>
      </c>
      <c r="AG372" s="471">
        <f t="shared" si="1060"/>
        <v>5.0423698826264712E-2</v>
      </c>
      <c r="AH372" s="471">
        <f t="shared" si="1061"/>
        <v>5.8374827046264711E-2</v>
      </c>
      <c r="AI372" s="471">
        <f t="shared" ca="1" si="1062"/>
        <v>1.5</v>
      </c>
      <c r="AJ372" s="471">
        <f t="shared" si="1063"/>
        <v>0.75</v>
      </c>
      <c r="AK372" s="472">
        <f t="shared" si="1064"/>
        <v>3.8007863695932322E-2</v>
      </c>
      <c r="AL372" s="471">
        <f t="shared" si="1065"/>
        <v>0.62940039318479668</v>
      </c>
      <c r="AM372" s="473">
        <f t="shared" si="1041"/>
        <v>335.486626499068</v>
      </c>
      <c r="AN372" s="474">
        <f t="shared" si="1037"/>
        <v>10</v>
      </c>
      <c r="AO372" s="474">
        <f t="shared" si="1066"/>
        <v>8.4777777777777771E-2</v>
      </c>
      <c r="AP372" s="474">
        <f t="shared" si="1067"/>
        <v>10.084777777777777</v>
      </c>
      <c r="AQ372" s="475">
        <v>3</v>
      </c>
      <c r="AR372" s="474">
        <f t="shared" ca="1" si="1068"/>
        <v>0.14517287227073145</v>
      </c>
      <c r="AS372" s="474">
        <f t="shared" ca="1" si="1069"/>
        <v>0.58397809764124897</v>
      </c>
      <c r="AT372" s="471" t="str">
        <f t="shared" ca="1" si="1070"/>
        <v>Disminuir vel.</v>
      </c>
      <c r="AU372" s="492">
        <f t="shared" si="1071"/>
        <v>8.3946188802229393</v>
      </c>
      <c r="AV372" s="471">
        <f t="shared" ca="1" si="1072"/>
        <v>19.178733033966232</v>
      </c>
      <c r="AW372" s="471">
        <f t="shared" ca="1" si="1073"/>
        <v>20.68</v>
      </c>
      <c r="AX372" s="478">
        <f>IF(OR(C372="",D372=""),"",ROUND(((VLOOKUP(C372,'Base de Diseño (2)'!$A$2:$C$333,2,FALSE)-VLOOKUP(D372,'Base de Diseño (2)'!$A$2:$C$333,2,FALSE))^2+(VLOOKUP(C372,'Base de Diseño (2)'!$A$2:$C$333,3,0)-VLOOKUP(D372,'Base de Diseño (2)'!$A$2:$C$333,3,FALSE))^2)^0.5,2))</f>
        <v>15.26</v>
      </c>
      <c r="AY372" s="493">
        <v>8</v>
      </c>
      <c r="AZ372" s="480">
        <f ca="1">IF(AND(L372="",H372=""),"",IF(BA372=4,VLOOKUP(AY372,'TABLA (2)'!$A$74:$C$89,2),IF(BA372=5,VLOOKUP(AY372,'TABLA (2)'!$A$51:$B$66,2),IF(BA372=6,VLOOKUP(AY372,'TABLA (2)'!$A$9:$B$43,2)))))</f>
        <v>200</v>
      </c>
      <c r="BA372" s="493">
        <v>6</v>
      </c>
      <c r="BB372" s="478">
        <f>IF(OR(C372="",D372=""),"",VLOOKUP(C372,'Base de Diseño (2)'!$A$2:$D$330,4,FALSE))</f>
        <v>1002.5716</v>
      </c>
      <c r="BC372" s="478">
        <f>IF(OR(C372="",D372=""),"",VLOOKUP(D372,'Base de Diseño (2)'!$A$2:$D$330,4,FALSE))</f>
        <v>1001.9916000000001</v>
      </c>
      <c r="BD372" s="23">
        <f t="shared" ca="1" si="1074"/>
        <v>0.31299999999995454</v>
      </c>
      <c r="BE372" s="23">
        <f t="shared" ca="1" si="1075"/>
        <v>0.56299999999995454</v>
      </c>
      <c r="BF372" s="494">
        <v>0.54999999999995453</v>
      </c>
      <c r="BG372" s="494">
        <v>0.79999999999995453</v>
      </c>
      <c r="BH372" s="495">
        <f t="shared" si="1076"/>
        <v>1002.0216</v>
      </c>
      <c r="BI372" s="495">
        <f t="shared" si="1076"/>
        <v>1001.1916000000001</v>
      </c>
      <c r="BJ372" s="534">
        <f t="shared" si="1044"/>
        <v>0.56000000000005912</v>
      </c>
      <c r="BK372" s="475">
        <f t="shared" si="1077"/>
        <v>3.800786369593232</v>
      </c>
      <c r="BL372" s="475">
        <f t="shared" si="1078"/>
        <v>5.4390563564870726</v>
      </c>
      <c r="BM372" s="475">
        <f t="shared" ca="1" si="1079"/>
        <v>2.434810111314504</v>
      </c>
      <c r="BN372" s="475">
        <f t="shared" ca="1" si="1080"/>
        <v>76.491815585917934</v>
      </c>
      <c r="BO372" s="204">
        <f t="shared" ca="1" si="1081"/>
        <v>1.9609941122591793E-2</v>
      </c>
      <c r="BP372" s="496">
        <f t="shared" ca="1" si="1082"/>
        <v>0.27035572161013222</v>
      </c>
      <c r="BQ372" s="497">
        <f t="shared" ca="1" si="1083"/>
        <v>0.34119446441284096</v>
      </c>
      <c r="BR372" s="497">
        <f t="shared" ca="1" si="1084"/>
        <v>0.71953631405691565</v>
      </c>
      <c r="BS372" s="475">
        <f t="shared" ca="1" si="1085"/>
        <v>0.83074373187692185</v>
      </c>
      <c r="BT372" s="475">
        <f t="shared" ca="1" si="1086"/>
        <v>1.7519342929237467</v>
      </c>
      <c r="BU372" s="475">
        <f t="shared" ca="1" si="1087"/>
        <v>0.12910414764286171</v>
      </c>
      <c r="BV372" s="475">
        <f t="shared" ca="1" si="1088"/>
        <v>0.40523714774910002</v>
      </c>
      <c r="BW372" s="475">
        <f t="shared" ca="1" si="1089"/>
        <v>1.4701164574362207</v>
      </c>
      <c r="BX372" s="475">
        <f t="shared" ca="1" si="1090"/>
        <v>2.7602345064495175</v>
      </c>
      <c r="BY372" s="475">
        <f t="shared" ca="1" si="1091"/>
        <v>8.0806590761382191E-2</v>
      </c>
      <c r="BZ372" s="475">
        <f t="shared" ca="1" si="1092"/>
        <v>0.21629078169974952</v>
      </c>
      <c r="CA372" s="471">
        <f t="shared" ca="1" si="1093"/>
        <v>1.6161318152276435E-2</v>
      </c>
      <c r="CB372" s="471">
        <f t="shared" ca="1" si="1094"/>
        <v>4.3258156339949907E-2</v>
      </c>
      <c r="CC372" s="471">
        <f t="shared" ca="1" si="1038"/>
        <v>2.2683997132149987</v>
      </c>
      <c r="CD372" s="471" t="str">
        <f t="shared" ca="1" si="1095"/>
        <v>F. Supercrítico</v>
      </c>
      <c r="CE372" s="471">
        <f t="shared" ca="1" si="1096"/>
        <v>0.87902320225349062</v>
      </c>
      <c r="CF372" s="471">
        <f t="shared" ca="1" si="1097"/>
        <v>2.352835502107161</v>
      </c>
      <c r="CG372" s="471" t="str">
        <f t="shared" ca="1" si="1098"/>
        <v>O.K</v>
      </c>
      <c r="CH372" s="471" t="str">
        <f t="shared" ca="1" si="1099"/>
        <v>O.K</v>
      </c>
      <c r="CI372" s="471" t="str">
        <f t="shared" ca="1" si="1100"/>
        <v>OK</v>
      </c>
      <c r="CJ372" s="471" t="str">
        <f t="shared" ca="1" si="1101"/>
        <v>OK</v>
      </c>
      <c r="CK372" s="468">
        <f t="shared" si="1102"/>
        <v>0.56000000000005912</v>
      </c>
      <c r="CL372" s="482" t="s">
        <v>2507</v>
      </c>
      <c r="CM372" s="482"/>
      <c r="CN372" s="63" t="str">
        <f t="shared" si="1103"/>
        <v xml:space="preserve"> </v>
      </c>
      <c r="CO372" s="527">
        <f t="shared" si="1042"/>
        <v>15.26</v>
      </c>
      <c r="CP372" s="542">
        <f t="shared" si="1043"/>
        <v>3.8007863695932322E-2</v>
      </c>
      <c r="CQ372" s="482" t="s">
        <v>2508</v>
      </c>
      <c r="CR372" s="204">
        <f t="shared" si="1104"/>
        <v>15.26</v>
      </c>
      <c r="CS372" s="486">
        <v>1.2</v>
      </c>
      <c r="CT372" s="486">
        <v>1.2</v>
      </c>
      <c r="CU372" s="23">
        <f t="shared" si="1105"/>
        <v>15.282555414589533</v>
      </c>
      <c r="CV372" s="499" t="s">
        <v>2509</v>
      </c>
      <c r="CW372" s="488" t="str">
        <f t="shared" ca="1" si="1106"/>
        <v>E1</v>
      </c>
      <c r="CX372" s="204">
        <f ca="1">IF(AND(L372="",H372=""),"",IF(AND(BA372&lt;&gt;4,BA372&lt;&gt;5),VLOOKUP(AY372,'TABLA (2)'!$A$9:$D$43,4),IF(BA372=4,VLOOKUP(AY372,'TABLA (2)'!$A$74:$D$89,4),VLOOKUP(AY372,'TABLA (2)'!$A$51:$D$66,4))))</f>
        <v>3.6999999999999998E-2</v>
      </c>
      <c r="CY372" s="482"/>
      <c r="CZ372" s="482"/>
      <c r="DA372" s="482"/>
      <c r="DB372" s="490"/>
    </row>
    <row r="373" spans="1:106" ht="15" hidden="1" customHeight="1">
      <c r="A373" s="465">
        <f t="shared" si="1107"/>
        <v>267</v>
      </c>
      <c r="B373" s="491"/>
      <c r="C373" s="466" t="s">
        <v>2174</v>
      </c>
      <c r="D373" s="466" t="s">
        <v>2175</v>
      </c>
      <c r="E373" s="468">
        <v>0.1206996618</v>
      </c>
      <c r="F373" s="468"/>
      <c r="G373" s="537">
        <f t="shared" si="1039"/>
        <v>9.0827569200000013E-2</v>
      </c>
      <c r="H373" s="537">
        <f t="shared" si="1040"/>
        <v>0.21152723100000001</v>
      </c>
      <c r="I373" s="468">
        <v>0.1206996618</v>
      </c>
      <c r="J373" s="468"/>
      <c r="K373" s="467">
        <f t="shared" ca="1" si="1045"/>
        <v>9.0827569200000013E-2</v>
      </c>
      <c r="L373" s="468">
        <f t="shared" ca="1" si="1046"/>
        <v>0.21152723100000001</v>
      </c>
      <c r="M373" s="469">
        <f t="shared" si="1047"/>
        <v>242.33666300502347</v>
      </c>
      <c r="N373" s="470">
        <f t="shared" si="1048"/>
        <v>29.249953266446905</v>
      </c>
      <c r="O373" s="470">
        <f t="shared" si="1049"/>
        <v>0</v>
      </c>
      <c r="P373" s="470">
        <f t="shared" si="1050"/>
        <v>51.260803295232755</v>
      </c>
      <c r="Q373" s="469">
        <f t="shared" si="1051"/>
        <v>140</v>
      </c>
      <c r="R373" s="471">
        <f t="shared" si="1052"/>
        <v>7.060226379783216E-2</v>
      </c>
      <c r="S373" s="471"/>
      <c r="T373" s="471"/>
      <c r="U373" s="471">
        <f t="shared" si="1053"/>
        <v>0</v>
      </c>
      <c r="V373" s="471"/>
      <c r="W373" s="471"/>
      <c r="X373" s="471">
        <f t="shared" si="1054"/>
        <v>0</v>
      </c>
      <c r="Y373" s="471">
        <f t="shared" si="1055"/>
        <v>4.2305446200000006E-2</v>
      </c>
      <c r="Z373" s="471">
        <f t="shared" ca="1" si="1056"/>
        <v>0</v>
      </c>
      <c r="AA373" s="471">
        <f t="shared" si="1033"/>
        <v>3.8</v>
      </c>
      <c r="AB373" s="471">
        <f t="shared" si="1057"/>
        <v>0.26828860243176217</v>
      </c>
      <c r="AC373" s="471">
        <f t="shared" si="1058"/>
        <v>4.0286393966518307E-2</v>
      </c>
      <c r="AD373" s="471">
        <f t="shared" si="1059"/>
        <v>2.4139932360000001E-2</v>
      </c>
      <c r="AE373" s="471">
        <f t="shared" si="1059"/>
        <v>0</v>
      </c>
      <c r="AF373" s="510">
        <f t="shared" si="958"/>
        <v>3.8</v>
      </c>
      <c r="AG373" s="471">
        <f t="shared" si="1060"/>
        <v>0.15308829707276955</v>
      </c>
      <c r="AH373" s="471">
        <f t="shared" si="1061"/>
        <v>0.17722822943276956</v>
      </c>
      <c r="AI373" s="471">
        <f t="shared" ca="1" si="1062"/>
        <v>1.5</v>
      </c>
      <c r="AJ373" s="471">
        <f t="shared" si="1063"/>
        <v>0.75</v>
      </c>
      <c r="AK373" s="472">
        <f t="shared" si="1064"/>
        <v>1.8434913468773857E-2</v>
      </c>
      <c r="AL373" s="471">
        <f t="shared" si="1065"/>
        <v>0.62842174567343878</v>
      </c>
      <c r="AM373" s="473">
        <f t="shared" si="1041"/>
        <v>334.033914789047</v>
      </c>
      <c r="AN373" s="474">
        <f t="shared" si="1037"/>
        <v>10.084777777777777</v>
      </c>
      <c r="AO373" s="474">
        <f t="shared" si="1066"/>
        <v>0.14766666666666664</v>
      </c>
      <c r="AP373" s="474">
        <f t="shared" si="1067"/>
        <v>10.232444444444443</v>
      </c>
      <c r="AQ373" s="475">
        <v>3</v>
      </c>
      <c r="AR373" s="474">
        <f t="shared" ca="1" si="1068"/>
        <v>0.28932898213198177</v>
      </c>
      <c r="AS373" s="474">
        <f t="shared" ca="1" si="1069"/>
        <v>0.51037633899844248</v>
      </c>
      <c r="AT373" s="471" t="str">
        <f t="shared" ca="1" si="1070"/>
        <v>Disminuir vel.</v>
      </c>
      <c r="AU373" s="492">
        <f t="shared" si="1071"/>
        <v>25.336570031621708</v>
      </c>
      <c r="AV373" s="471">
        <f t="shared" ca="1" si="1072"/>
        <v>44.402564364323034</v>
      </c>
      <c r="AW373" s="471">
        <f t="shared" ca="1" si="1073"/>
        <v>44.4</v>
      </c>
      <c r="AX373" s="478">
        <f>IF(OR(C373="",D373=""),"",ROUND(((VLOOKUP(C373,'Base de Diseño (2)'!$A$2:$C$333,2,FALSE)-VLOOKUP(D373,'Base de Diseño (2)'!$A$2:$C$333,2,FALSE))^2+(VLOOKUP(C373,'Base de Diseño (2)'!$A$2:$C$333,3,0)-VLOOKUP(D373,'Base de Diseño (2)'!$A$2:$C$333,3,FALSE))^2)^0.5,2))</f>
        <v>26.58</v>
      </c>
      <c r="AY373" s="493">
        <v>8</v>
      </c>
      <c r="AZ373" s="480">
        <f ca="1">IF(AND(L373="",H373=""),"",IF(BA373=4,VLOOKUP(AY373,'TABLA (2)'!$A$74:$C$89,2),IF(BA373=5,VLOOKUP(AY373,'TABLA (2)'!$A$51:$B$66,2),IF(BA373=6,VLOOKUP(AY373,'TABLA (2)'!$A$9:$B$43,2)))))</f>
        <v>200</v>
      </c>
      <c r="BA373" s="493">
        <v>6</v>
      </c>
      <c r="BB373" s="478">
        <f>IF(OR(C373="",D373=""),"",VLOOKUP(C373,'Base de Diseño (2)'!$A$2:$D$330,4,FALSE))</f>
        <v>1001.9916000000001</v>
      </c>
      <c r="BC373" s="478">
        <f>IF(OR(C373="",D373=""),"",VLOOKUP(D373,'Base de Diseño (2)'!$A$2:$D$330,4,FALSE))</f>
        <v>1001.5016000000001</v>
      </c>
      <c r="BD373" s="23">
        <f t="shared" ca="1" si="1074"/>
        <v>1.1230000000000135</v>
      </c>
      <c r="BE373" s="23">
        <f t="shared" ca="1" si="1075"/>
        <v>1.1629999999999772</v>
      </c>
      <c r="BF373" s="494">
        <v>1.3600000000000136</v>
      </c>
      <c r="BG373" s="494">
        <v>1.3999999999999773</v>
      </c>
      <c r="BH373" s="495">
        <f t="shared" si="1076"/>
        <v>1000.6316</v>
      </c>
      <c r="BI373" s="495">
        <f t="shared" si="1076"/>
        <v>1000.1016000000001</v>
      </c>
      <c r="BJ373" s="534">
        <f t="shared" si="1044"/>
        <v>0.30000000000006821</v>
      </c>
      <c r="BK373" s="475">
        <f t="shared" si="1077"/>
        <v>1.8434913468773857</v>
      </c>
      <c r="BL373" s="475">
        <f t="shared" si="1078"/>
        <v>1.9939804364182572</v>
      </c>
      <c r="BM373" s="475">
        <f t="shared" ca="1" si="1079"/>
        <v>1.4742249729398551</v>
      </c>
      <c r="BN373" s="475">
        <f t="shared" ca="1" si="1080"/>
        <v>46.314143447264613</v>
      </c>
      <c r="BO373" s="204">
        <f t="shared" ca="1" si="1081"/>
        <v>3.2387514662944553E-2</v>
      </c>
      <c r="BP373" s="496">
        <f t="shared" ca="1" si="1082"/>
        <v>0.95867043402315877</v>
      </c>
      <c r="BQ373" s="497">
        <f t="shared" ca="1" si="1083"/>
        <v>0.39482111377135931</v>
      </c>
      <c r="BR373" s="497">
        <f t="shared" ca="1" si="1084"/>
        <v>1.0385992946124065</v>
      </c>
      <c r="BS373" s="475">
        <f t="shared" ca="1" si="1085"/>
        <v>0.58205514576566564</v>
      </c>
      <c r="BT373" s="475">
        <f t="shared" ca="1" si="1086"/>
        <v>1.5311290169953276</v>
      </c>
      <c r="BU373" s="475">
        <f t="shared" ca="1" si="1087"/>
        <v>0.16146614291682332</v>
      </c>
      <c r="BV373" s="475">
        <f t="shared" ca="1" si="1088"/>
        <v>0.86411362271406145</v>
      </c>
      <c r="BW373" s="475">
        <f t="shared" ca="1" si="1089"/>
        <v>1.6540510924050857</v>
      </c>
      <c r="BX373" s="475">
        <f t="shared" ca="1" si="1090"/>
        <v>4.7730560295913271</v>
      </c>
      <c r="BY373" s="475">
        <f t="shared" ca="1" si="1091"/>
        <v>9.9379452675977198E-2</v>
      </c>
      <c r="BZ373" s="475">
        <f t="shared" ca="1" si="1092"/>
        <v>0.3022809868944546</v>
      </c>
      <c r="CA373" s="471">
        <f t="shared" ca="1" si="1093"/>
        <v>1.9875890535195437E-2</v>
      </c>
      <c r="CB373" s="471">
        <f t="shared" ca="1" si="1094"/>
        <v>6.0456197378890922E-2</v>
      </c>
      <c r="CC373" s="471">
        <f t="shared" ca="1" si="1038"/>
        <v>1.0654309101557715</v>
      </c>
      <c r="CD373" s="471" t="str">
        <f t="shared" ca="1" si="1095"/>
        <v>F. Supercrítico Inestable</v>
      </c>
      <c r="CE373" s="471">
        <f t="shared" ca="1" si="1096"/>
        <v>0.39632136883570501</v>
      </c>
      <c r="CF373" s="471">
        <f t="shared" ca="1" si="1097"/>
        <v>1.2054847483374922</v>
      </c>
      <c r="CG373" s="471" t="str">
        <f t="shared" ca="1" si="1098"/>
        <v>O.K</v>
      </c>
      <c r="CH373" s="471" t="str">
        <f t="shared" ca="1" si="1099"/>
        <v>O.K</v>
      </c>
      <c r="CI373" s="471" t="str">
        <f t="shared" ca="1" si="1100"/>
        <v>OK</v>
      </c>
      <c r="CJ373" s="471" t="str">
        <f t="shared" ca="1" si="1101"/>
        <v>OK</v>
      </c>
      <c r="CK373" s="468">
        <f t="shared" si="1102"/>
        <v>0.30000000000006821</v>
      </c>
      <c r="CL373" s="482" t="s">
        <v>2507</v>
      </c>
      <c r="CM373" s="482"/>
      <c r="CN373" s="63" t="str">
        <f t="shared" si="1103"/>
        <v xml:space="preserve"> </v>
      </c>
      <c r="CO373" s="527">
        <f t="shared" si="1042"/>
        <v>26.58</v>
      </c>
      <c r="CP373" s="511">
        <f t="shared" si="1043"/>
        <v>1.8434913468773857E-2</v>
      </c>
      <c r="CQ373" s="482" t="s">
        <v>2508</v>
      </c>
      <c r="CR373" s="204">
        <f t="shared" si="1104"/>
        <v>26.58</v>
      </c>
      <c r="CS373" s="486">
        <v>1.2</v>
      </c>
      <c r="CT373" s="486">
        <v>1.2</v>
      </c>
      <c r="CU373" s="23">
        <f t="shared" si="1105"/>
        <v>26.585283523032057</v>
      </c>
      <c r="CV373" s="499" t="s">
        <v>2509</v>
      </c>
      <c r="CW373" s="488" t="str">
        <f t="shared" ca="1" si="1106"/>
        <v>E2</v>
      </c>
      <c r="CX373" s="204">
        <f ca="1">IF(AND(L373="",H373=""),"",IF(AND(BA373&lt;&gt;4,BA373&lt;&gt;5),VLOOKUP(AY373,'TABLA (2)'!$A$9:$D$43,4),IF(BA373=4,VLOOKUP(AY373,'TABLA (2)'!$A$74:$D$89,4),VLOOKUP(AY373,'TABLA (2)'!$A$51:$D$66,4))))</f>
        <v>3.6999999999999998E-2</v>
      </c>
      <c r="CY373" s="482"/>
      <c r="CZ373" s="482"/>
      <c r="DA373" s="482"/>
      <c r="DB373" s="490"/>
    </row>
    <row r="374" spans="1:106" ht="15" hidden="1" customHeight="1">
      <c r="A374" s="465">
        <f t="shared" si="1107"/>
        <v>268</v>
      </c>
      <c r="B374" s="491"/>
      <c r="C374" s="466" t="s">
        <v>2175</v>
      </c>
      <c r="D374" s="466" t="s">
        <v>2176</v>
      </c>
      <c r="E374" s="468">
        <v>0.12268041800000001</v>
      </c>
      <c r="F374" s="468"/>
      <c r="G374" s="537">
        <f t="shared" si="1039"/>
        <v>0.21152723100000001</v>
      </c>
      <c r="H374" s="537">
        <f t="shared" si="1040"/>
        <v>0.334207649</v>
      </c>
      <c r="I374" s="468">
        <v>0.12268041800000001</v>
      </c>
      <c r="J374" s="468"/>
      <c r="K374" s="467">
        <f t="shared" ca="1" si="1045"/>
        <v>0.21152723100000001</v>
      </c>
      <c r="L374" s="468">
        <f t="shared" ca="1" si="1046"/>
        <v>0.334207649</v>
      </c>
      <c r="M374" s="469">
        <f t="shared" si="1047"/>
        <v>242.33666300502347</v>
      </c>
      <c r="N374" s="470">
        <f t="shared" si="1048"/>
        <v>29.72996311418142</v>
      </c>
      <c r="O374" s="470">
        <f t="shared" si="1049"/>
        <v>0</v>
      </c>
      <c r="P374" s="470">
        <f t="shared" si="1050"/>
        <v>80.990766409414164</v>
      </c>
      <c r="Q374" s="469">
        <f t="shared" si="1051"/>
        <v>140</v>
      </c>
      <c r="R374" s="471">
        <f t="shared" si="1052"/>
        <v>0.11154978243889219</v>
      </c>
      <c r="S374" s="471"/>
      <c r="T374" s="471"/>
      <c r="U374" s="471">
        <f t="shared" si="1053"/>
        <v>0</v>
      </c>
      <c r="V374" s="471"/>
      <c r="W374" s="471"/>
      <c r="X374" s="471">
        <f t="shared" si="1054"/>
        <v>0</v>
      </c>
      <c r="Y374" s="471">
        <f t="shared" si="1055"/>
        <v>6.6841529800000007E-2</v>
      </c>
      <c r="Z374" s="471">
        <f t="shared" ca="1" si="1056"/>
        <v>0</v>
      </c>
      <c r="AA374" s="471">
        <f t="shared" si="1033"/>
        <v>3.8</v>
      </c>
      <c r="AB374" s="471">
        <f t="shared" si="1057"/>
        <v>0.4238891732677903</v>
      </c>
      <c r="AC374" s="471">
        <f t="shared" si="1058"/>
        <v>4.0947518641060054E-2</v>
      </c>
      <c r="AD374" s="471">
        <f t="shared" si="1059"/>
        <v>2.4536083600000005E-2</v>
      </c>
      <c r="AE374" s="471">
        <f t="shared" si="1059"/>
        <v>0</v>
      </c>
      <c r="AF374" s="510">
        <f t="shared" si="958"/>
        <v>3.8</v>
      </c>
      <c r="AG374" s="471">
        <f t="shared" si="1060"/>
        <v>0.15560057083602821</v>
      </c>
      <c r="AH374" s="471">
        <f t="shared" si="1061"/>
        <v>0.18013665443602822</v>
      </c>
      <c r="AI374" s="471">
        <f t="shared" ca="1" si="1062"/>
        <v>1.5</v>
      </c>
      <c r="AJ374" s="471">
        <f t="shared" si="1063"/>
        <v>0.75</v>
      </c>
      <c r="AK374" s="472">
        <f t="shared" si="1064"/>
        <v>0.11434659090909188</v>
      </c>
      <c r="AL374" s="471">
        <f t="shared" si="1065"/>
        <v>0.63321732954545462</v>
      </c>
      <c r="AM374" s="473">
        <f t="shared" si="1041"/>
        <v>332.50794096900518</v>
      </c>
      <c r="AN374" s="474">
        <f t="shared" si="1037"/>
        <v>10.232444444444443</v>
      </c>
      <c r="AO374" s="474">
        <f t="shared" si="1066"/>
        <v>0.15644444444444444</v>
      </c>
      <c r="AP374" s="474">
        <f t="shared" si="1067"/>
        <v>10.388888888888888</v>
      </c>
      <c r="AQ374" s="475">
        <v>3</v>
      </c>
      <c r="AR374" s="474">
        <f t="shared" ca="1" si="1068"/>
        <v>0.16038059184102785</v>
      </c>
      <c r="AS374" s="474">
        <f t="shared" ca="1" si="1069"/>
        <v>0.97545745809140683</v>
      </c>
      <c r="AT374" s="471" t="str">
        <f t="shared" ca="1" si="1070"/>
        <v>Cumple</v>
      </c>
      <c r="AU374" s="492">
        <f t="shared" si="1071"/>
        <v>25.830336300139116</v>
      </c>
      <c r="AV374" s="471">
        <f t="shared" ca="1" si="1072"/>
        <v>70.367350458072707</v>
      </c>
      <c r="AW374" s="471">
        <f t="shared" ca="1" si="1073"/>
        <v>70.37</v>
      </c>
      <c r="AX374" s="478">
        <f>IF(OR(C374="",D374=""),"",ROUND(((VLOOKUP(C374,'Base de Diseño (2)'!$A$2:$C$333,2,FALSE)-VLOOKUP(D374,'Base de Diseño (2)'!$A$2:$C$333,2,FALSE))^2+(VLOOKUP(C374,'Base de Diseño (2)'!$A$2:$C$333,3,0)-VLOOKUP(D374,'Base de Diseño (2)'!$A$2:$C$333,3,FALSE))^2)^0.5,2))</f>
        <v>28.16</v>
      </c>
      <c r="AY374" s="493">
        <v>8</v>
      </c>
      <c r="AZ374" s="480">
        <f ca="1">IF(AND(L374="",H374=""),"",IF(BA374=4,VLOOKUP(AY374,'TABLA (2)'!$A$74:$C$89,2),IF(BA374=5,VLOOKUP(AY374,'TABLA (2)'!$A$51:$B$66,2),IF(BA374=6,VLOOKUP(AY374,'TABLA (2)'!$A$9:$B$43,2)))))</f>
        <v>200</v>
      </c>
      <c r="BA374" s="493">
        <v>6</v>
      </c>
      <c r="BB374" s="478">
        <f>IF(OR(C374="",D374=""),"",VLOOKUP(C374,'Base de Diseño (2)'!$A$2:$D$330,4,FALSE))</f>
        <v>1001.5016000000001</v>
      </c>
      <c r="BC374" s="478">
        <f>IF(OR(C374="",D374=""),"",VLOOKUP(D374,'Base de Diseño (2)'!$A$2:$D$330,4,FALSE))</f>
        <v>998.28160000000003</v>
      </c>
      <c r="BD374" s="23">
        <f t="shared" ca="1" si="1074"/>
        <v>1.4630000000000454</v>
      </c>
      <c r="BE374" s="23">
        <f t="shared" ca="1" si="1075"/>
        <v>0.63300000000000456</v>
      </c>
      <c r="BF374" s="494">
        <v>1.7000000000000455</v>
      </c>
      <c r="BG374" s="494">
        <v>0.87000000000000455</v>
      </c>
      <c r="BH374" s="495">
        <f t="shared" si="1076"/>
        <v>999.80160000000001</v>
      </c>
      <c r="BI374" s="495">
        <f t="shared" si="1076"/>
        <v>997.41160000000002</v>
      </c>
      <c r="BJ374" s="534">
        <f t="shared" si="1044"/>
        <v>2.9999999999972715E-2</v>
      </c>
      <c r="BK374" s="475">
        <f t="shared" si="1077"/>
        <v>11.434659090909188</v>
      </c>
      <c r="BL374" s="475">
        <f t="shared" si="1078"/>
        <v>8.4872159090908603</v>
      </c>
      <c r="BM374" s="475">
        <f t="shared" ca="1" si="1079"/>
        <v>3.0414868456406143</v>
      </c>
      <c r="BN374" s="475">
        <f t="shared" ca="1" si="1080"/>
        <v>95.551127302545481</v>
      </c>
      <c r="BO374" s="204">
        <f t="shared" ca="1" si="1081"/>
        <v>1.5698401916813806E-2</v>
      </c>
      <c r="BP374" s="496">
        <f t="shared" ca="1" si="1082"/>
        <v>0.73646436192412512</v>
      </c>
      <c r="BQ374" s="497">
        <f t="shared" ca="1" si="1083"/>
        <v>0.31980860234010583</v>
      </c>
      <c r="BR374" s="497">
        <f t="shared" ca="1" si="1084"/>
        <v>0.96215190884965085</v>
      </c>
      <c r="BS374" s="475">
        <f t="shared" ca="1" si="1085"/>
        <v>0.97269365714014211</v>
      </c>
      <c r="BT374" s="475">
        <f t="shared" ca="1" si="1086"/>
        <v>2.9263723742742203</v>
      </c>
      <c r="BU374" s="475">
        <f t="shared" ca="1" si="1087"/>
        <v>0.11475433474473951</v>
      </c>
      <c r="BV374" s="475">
        <f t="shared" ca="1" si="1088"/>
        <v>0.71597624130729887</v>
      </c>
      <c r="BW374" s="475">
        <f t="shared" ca="1" si="1089"/>
        <v>1.3823695187102323</v>
      </c>
      <c r="BX374" s="475">
        <f t="shared" ca="1" si="1090"/>
        <v>4.0349056957601812</v>
      </c>
      <c r="BY374" s="475">
        <f t="shared" ca="1" si="1091"/>
        <v>7.2352106692692902E-2</v>
      </c>
      <c r="BZ374" s="475">
        <f t="shared" ca="1" si="1092"/>
        <v>0.29827577187584753</v>
      </c>
      <c r="CA374" s="471">
        <f t="shared" ca="1" si="1093"/>
        <v>1.447042133853858E-2</v>
      </c>
      <c r="CB374" s="471">
        <f t="shared" ca="1" si="1094"/>
        <v>5.9655154375169502E-2</v>
      </c>
      <c r="CC374" s="471">
        <f t="shared" ca="1" si="1038"/>
        <v>2.5576889035010448</v>
      </c>
      <c r="CD374" s="471" t="str">
        <f t="shared" ca="1" si="1095"/>
        <v>F. Supercrítico</v>
      </c>
      <c r="CE374" s="471">
        <f t="shared" ca="1" si="1096"/>
        <v>1.2281359019569249</v>
      </c>
      <c r="CF374" s="471">
        <f t="shared" ca="1" si="1097"/>
        <v>5.0630617527220991</v>
      </c>
      <c r="CG374" s="471" t="str">
        <f t="shared" ca="1" si="1098"/>
        <v>O.K</v>
      </c>
      <c r="CH374" s="471" t="str">
        <f t="shared" ca="1" si="1099"/>
        <v>O.K</v>
      </c>
      <c r="CI374" s="471" t="str">
        <f t="shared" ca="1" si="1100"/>
        <v>OK</v>
      </c>
      <c r="CJ374" s="471" t="str">
        <f t="shared" ca="1" si="1101"/>
        <v>OK</v>
      </c>
      <c r="CK374" s="468">
        <f t="shared" si="1102"/>
        <v>2.9999999999972715E-2</v>
      </c>
      <c r="CL374" s="482" t="s">
        <v>2507</v>
      </c>
      <c r="CM374" s="482"/>
      <c r="CN374" s="63" t="str">
        <f t="shared" si="1103"/>
        <v xml:space="preserve"> </v>
      </c>
      <c r="CO374" s="527">
        <f t="shared" si="1042"/>
        <v>28.16</v>
      </c>
      <c r="CP374" s="542">
        <f t="shared" si="1043"/>
        <v>0.11434659090909188</v>
      </c>
      <c r="CQ374" s="482" t="s">
        <v>2508</v>
      </c>
      <c r="CR374" s="204">
        <f t="shared" si="1104"/>
        <v>28.16</v>
      </c>
      <c r="CS374" s="486">
        <v>1.2</v>
      </c>
      <c r="CT374" s="486">
        <v>1.2</v>
      </c>
      <c r="CU374" s="23">
        <f t="shared" si="1105"/>
        <v>28.261240241716216</v>
      </c>
      <c r="CV374" s="499" t="s">
        <v>2509</v>
      </c>
      <c r="CW374" s="488" t="str">
        <f t="shared" ca="1" si="1106"/>
        <v>E2</v>
      </c>
      <c r="CX374" s="204">
        <f ca="1">IF(AND(L374="",H374=""),"",IF(AND(BA374&lt;&gt;4,BA374&lt;&gt;5),VLOOKUP(AY374,'TABLA (2)'!$A$9:$D$43,4),IF(BA374=4,VLOOKUP(AY374,'TABLA (2)'!$A$74:$D$89,4),VLOOKUP(AY374,'TABLA (2)'!$A$51:$D$66,4))))</f>
        <v>3.6999999999999998E-2</v>
      </c>
      <c r="CY374" s="482"/>
      <c r="CZ374" s="482"/>
      <c r="DA374" s="482"/>
      <c r="DB374" s="490"/>
    </row>
    <row r="375" spans="1:106" ht="15" hidden="1" customHeight="1">
      <c r="A375" s="465">
        <f t="shared" si="1107"/>
        <v>269</v>
      </c>
      <c r="B375" s="491"/>
      <c r="C375" s="466" t="s">
        <v>2176</v>
      </c>
      <c r="D375" s="466" t="s">
        <v>2528</v>
      </c>
      <c r="E375" s="468">
        <v>5.0372910999999999E-2</v>
      </c>
      <c r="F375" s="468"/>
      <c r="G375" s="537">
        <f t="shared" si="1039"/>
        <v>0.334207649</v>
      </c>
      <c r="H375" s="537">
        <f t="shared" si="1040"/>
        <v>0.38458056000000002</v>
      </c>
      <c r="I375" s="468">
        <v>5.0372910999999999E-2</v>
      </c>
      <c r="J375" s="468"/>
      <c r="K375" s="467">
        <f t="shared" ca="1" si="1045"/>
        <v>0.334207649</v>
      </c>
      <c r="L375" s="468">
        <f t="shared" ca="1" si="1046"/>
        <v>0.38458056000000002</v>
      </c>
      <c r="M375" s="469">
        <f t="shared" si="1047"/>
        <v>242.33666300502347</v>
      </c>
      <c r="N375" s="470">
        <f t="shared" si="1048"/>
        <v>12.20720315758904</v>
      </c>
      <c r="O375" s="470">
        <f t="shared" si="1049"/>
        <v>0</v>
      </c>
      <c r="P375" s="470">
        <f t="shared" si="1050"/>
        <v>93.197969567003213</v>
      </c>
      <c r="Q375" s="469">
        <f t="shared" si="1051"/>
        <v>140</v>
      </c>
      <c r="R375" s="471">
        <f t="shared" si="1052"/>
        <v>0.12836294419529379</v>
      </c>
      <c r="S375" s="471"/>
      <c r="T375" s="471"/>
      <c r="U375" s="471">
        <f t="shared" si="1053"/>
        <v>0</v>
      </c>
      <c r="V375" s="471"/>
      <c r="W375" s="471"/>
      <c r="X375" s="471">
        <f t="shared" si="1054"/>
        <v>0</v>
      </c>
      <c r="Y375" s="471">
        <f t="shared" si="1055"/>
        <v>7.6916112000000009E-2</v>
      </c>
      <c r="Z375" s="471">
        <f t="shared" ca="1" si="1056"/>
        <v>0</v>
      </c>
      <c r="AA375" s="471">
        <f t="shared" si="1033"/>
        <v>3.8</v>
      </c>
      <c r="AB375" s="471">
        <f t="shared" si="1057"/>
        <v>0.48777918794211639</v>
      </c>
      <c r="AC375" s="471">
        <f t="shared" si="1058"/>
        <v>1.681316175640157E-2</v>
      </c>
      <c r="AD375" s="471">
        <f t="shared" si="1059"/>
        <v>1.0074582200000001E-2</v>
      </c>
      <c r="AE375" s="471">
        <f t="shared" si="1059"/>
        <v>0</v>
      </c>
      <c r="AF375" s="510">
        <f t="shared" si="958"/>
        <v>3.8</v>
      </c>
      <c r="AG375" s="471">
        <f t="shared" si="1060"/>
        <v>6.3890014674325965E-2</v>
      </c>
      <c r="AH375" s="471">
        <f t="shared" si="1061"/>
        <v>7.3964596874325966E-2</v>
      </c>
      <c r="AI375" s="471">
        <f t="shared" ca="1" si="1062"/>
        <v>1.5</v>
      </c>
      <c r="AJ375" s="471">
        <f t="shared" si="1063"/>
        <v>0.75</v>
      </c>
      <c r="AK375" s="472" t="e">
        <f t="shared" si="1064"/>
        <v>#N/A</v>
      </c>
      <c r="AL375" s="471" t="e">
        <f t="shared" si="1065"/>
        <v>#N/A</v>
      </c>
      <c r="AM375" s="473" t="e">
        <f t="shared" si="1041"/>
        <v>#N/A</v>
      </c>
      <c r="AN375" s="474">
        <f t="shared" si="1037"/>
        <v>10.388888888888888</v>
      </c>
      <c r="AO375" s="474" t="e">
        <f t="shared" si="1066"/>
        <v>#N/A</v>
      </c>
      <c r="AP375" s="474" t="e">
        <f t="shared" si="1067"/>
        <v>#N/A</v>
      </c>
      <c r="AQ375" s="475">
        <v>3</v>
      </c>
      <c r="AR375" s="474" t="e">
        <f t="shared" ca="1" si="1068"/>
        <v>#N/A</v>
      </c>
      <c r="AS375" s="474" t="e">
        <f t="shared" ca="1" si="1069"/>
        <v>#N/A</v>
      </c>
      <c r="AT375" s="471" t="e">
        <f t="shared" ca="1" si="1070"/>
        <v>#N/A</v>
      </c>
      <c r="AU375" s="492" t="e">
        <f t="shared" si="1071"/>
        <v>#N/A</v>
      </c>
      <c r="AV375" s="471" t="e">
        <f t="shared" ca="1" si="1072"/>
        <v>#N/A</v>
      </c>
      <c r="AW375" s="471" t="e">
        <f t="shared" ca="1" si="1073"/>
        <v>#N/A</v>
      </c>
      <c r="AX375" s="478" t="e">
        <f>IF(OR(C375="",D375=""),"",ROUND(((VLOOKUP(C375,'Base de Diseño (2)'!$A$2:$C$333,2,FALSE)-VLOOKUP(D375,'Base de Diseño (2)'!$A$2:$C$333,2,FALSE))^2+(VLOOKUP(C375,'Base de Diseño (2)'!$A$2:$C$333,3,0)-VLOOKUP(D375,'Base de Diseño (2)'!$A$2:$C$333,3,FALSE))^2)^0.5,2))</f>
        <v>#N/A</v>
      </c>
      <c r="AY375" s="493">
        <v>8</v>
      </c>
      <c r="AZ375" s="480">
        <f ca="1">IF(AND(L375="",H375=""),"",IF(BA375=4,VLOOKUP(AY375,'TABLA (2)'!$A$74:$C$89,2),IF(BA375=5,VLOOKUP(AY375,'TABLA (2)'!$A$51:$B$66,2),IF(BA375=6,VLOOKUP(AY375,'TABLA (2)'!$A$9:$B$43,2)))))</f>
        <v>200</v>
      </c>
      <c r="BA375" s="493">
        <v>6</v>
      </c>
      <c r="BB375" s="478">
        <f>IF(OR(C375="",D375=""),"",VLOOKUP(C375,'Base de Diseño (2)'!$A$2:$D$330,4,FALSE))</f>
        <v>998.28160000000003</v>
      </c>
      <c r="BC375" s="478" t="e">
        <f>IF(OR(C375="",D375=""),"",VLOOKUP(D375,'Base de Diseño (2)'!$A$2:$D$330,4,FALSE))</f>
        <v>#N/A</v>
      </c>
      <c r="BD375" s="23">
        <f t="shared" ca="1" si="1074"/>
        <v>0.66299999999997727</v>
      </c>
      <c r="BE375" s="23">
        <f t="shared" ca="1" si="1075"/>
        <v>0.88300000000000456</v>
      </c>
      <c r="BF375" s="494">
        <v>0.89999999999997726</v>
      </c>
      <c r="BG375" s="494">
        <v>1.1200000000000045</v>
      </c>
      <c r="BH375" s="495">
        <f t="shared" si="1076"/>
        <v>997.38160000000005</v>
      </c>
      <c r="BI375" s="495" t="e">
        <f t="shared" si="1076"/>
        <v>#N/A</v>
      </c>
      <c r="BJ375" s="534" t="e">
        <f t="shared" si="1044"/>
        <v>#N/A</v>
      </c>
      <c r="BK375" s="475" t="e">
        <f t="shared" si="1077"/>
        <v>#N/A</v>
      </c>
      <c r="BL375" s="475" t="e">
        <f t="shared" si="1078"/>
        <v>#N/A</v>
      </c>
      <c r="BM375" s="475" t="e">
        <f t="shared" ca="1" si="1079"/>
        <v>#N/A</v>
      </c>
      <c r="BN375" s="475" t="e">
        <f t="shared" ca="1" si="1080"/>
        <v>#N/A</v>
      </c>
      <c r="BO375" s="204" t="e">
        <f t="shared" ca="1" si="1081"/>
        <v>#N/A</v>
      </c>
      <c r="BP375" s="496" t="e">
        <f t="shared" ca="1" si="1082"/>
        <v>#N/A</v>
      </c>
      <c r="BQ375" s="497" t="e">
        <f t="shared" ca="1" si="1083"/>
        <v>#N/A</v>
      </c>
      <c r="BR375" s="497" t="e">
        <f t="shared" ca="1" si="1084"/>
        <v>#N/A</v>
      </c>
      <c r="BS375" s="475" t="e">
        <f t="shared" ca="1" si="1085"/>
        <v>#N/A</v>
      </c>
      <c r="BT375" s="475" t="e">
        <f t="shared" ca="1" si="1086"/>
        <v>#N/A</v>
      </c>
      <c r="BU375" s="475" t="e">
        <f t="shared" ca="1" si="1087"/>
        <v>#N/A</v>
      </c>
      <c r="BV375" s="475" t="e">
        <f t="shared" ca="1" si="1088"/>
        <v>#N/A</v>
      </c>
      <c r="BW375" s="475" t="e">
        <f t="shared" ca="1" si="1089"/>
        <v>#N/A</v>
      </c>
      <c r="BX375" s="475" t="e">
        <f t="shared" ca="1" si="1090"/>
        <v>#N/A</v>
      </c>
      <c r="BY375" s="475" t="e">
        <f t="shared" ca="1" si="1091"/>
        <v>#N/A</v>
      </c>
      <c r="BZ375" s="475" t="e">
        <f t="shared" ca="1" si="1092"/>
        <v>#N/A</v>
      </c>
      <c r="CA375" s="471" t="e">
        <f t="shared" ca="1" si="1093"/>
        <v>#N/A</v>
      </c>
      <c r="CB375" s="471" t="e">
        <f t="shared" ca="1" si="1094"/>
        <v>#N/A</v>
      </c>
      <c r="CC375" s="471" t="e">
        <f t="shared" ca="1" si="1038"/>
        <v>#N/A</v>
      </c>
      <c r="CD375" s="471" t="e">
        <f t="shared" ca="1" si="1095"/>
        <v>#N/A</v>
      </c>
      <c r="CE375" s="471" t="e">
        <f t="shared" ca="1" si="1096"/>
        <v>#N/A</v>
      </c>
      <c r="CF375" s="471" t="e">
        <f t="shared" ca="1" si="1097"/>
        <v>#N/A</v>
      </c>
      <c r="CG375" s="471" t="e">
        <f t="shared" ca="1" si="1098"/>
        <v>#N/A</v>
      </c>
      <c r="CH375" s="471" t="e">
        <f t="shared" ca="1" si="1099"/>
        <v>#N/A</v>
      </c>
      <c r="CI375" s="471" t="e">
        <f t="shared" ca="1" si="1100"/>
        <v>#N/A</v>
      </c>
      <c r="CJ375" s="471" t="e">
        <f t="shared" ca="1" si="1101"/>
        <v>#N/A</v>
      </c>
      <c r="CK375" s="468" t="e">
        <f t="shared" si="1102"/>
        <v>#N/A</v>
      </c>
      <c r="CL375" s="482" t="s">
        <v>2507</v>
      </c>
      <c r="CM375" s="482"/>
      <c r="CN375" s="63" t="str">
        <f t="shared" si="1103"/>
        <v xml:space="preserve"> </v>
      </c>
      <c r="CO375" s="527" t="e">
        <f t="shared" si="1042"/>
        <v>#N/A</v>
      </c>
      <c r="CP375" s="511" t="e">
        <f t="shared" si="1043"/>
        <v>#N/A</v>
      </c>
      <c r="CQ375" s="482" t="s">
        <v>2508</v>
      </c>
      <c r="CR375" s="204" t="e">
        <f t="shared" si="1104"/>
        <v>#N/A</v>
      </c>
      <c r="CS375" s="486">
        <v>1.2</v>
      </c>
      <c r="CT375" s="486">
        <v>1.2</v>
      </c>
      <c r="CU375" s="23" t="e">
        <f t="shared" si="1105"/>
        <v>#N/A</v>
      </c>
      <c r="CV375" s="499" t="s">
        <v>2509</v>
      </c>
      <c r="CW375" s="488" t="str">
        <f t="shared" ca="1" si="1106"/>
        <v>E1</v>
      </c>
      <c r="CX375" s="204">
        <f ca="1">IF(AND(L375="",H375=""),"",IF(AND(BA375&lt;&gt;4,BA375&lt;&gt;5),VLOOKUP(AY375,'TABLA (2)'!$A$9:$D$43,4),IF(BA375=4,VLOOKUP(AY375,'TABLA (2)'!$A$74:$D$89,4),VLOOKUP(AY375,'TABLA (2)'!$A$51:$D$66,4))))</f>
        <v>3.6999999999999998E-2</v>
      </c>
      <c r="CY375" s="482"/>
      <c r="CZ375" s="482"/>
      <c r="DA375" s="482"/>
      <c r="DB375" s="490"/>
    </row>
    <row r="376" spans="1:106" ht="15" hidden="1" customHeight="1">
      <c r="A376" s="465">
        <f t="shared" si="1107"/>
        <v>270</v>
      </c>
      <c r="B376" s="491"/>
      <c r="C376" s="466" t="s">
        <v>2528</v>
      </c>
      <c r="D376" s="466" t="s">
        <v>109</v>
      </c>
      <c r="E376" s="468">
        <v>0.15834792460000002</v>
      </c>
      <c r="F376" s="468"/>
      <c r="G376" s="537">
        <f t="shared" si="1039"/>
        <v>0.38458056000000002</v>
      </c>
      <c r="H376" s="537">
        <f t="shared" si="1040"/>
        <v>0.54292848459999998</v>
      </c>
      <c r="I376" s="468">
        <v>0.15834792460000002</v>
      </c>
      <c r="J376" s="468"/>
      <c r="K376" s="467">
        <f t="shared" ca="1" si="1045"/>
        <v>0.38458056000000002</v>
      </c>
      <c r="L376" s="468">
        <f t="shared" ca="1" si="1046"/>
        <v>0.54292848459999998</v>
      </c>
      <c r="M376" s="469">
        <f t="shared" si="1047"/>
        <v>242.33666300502347</v>
      </c>
      <c r="N376" s="470">
        <f t="shared" si="1048"/>
        <v>38.373507641335074</v>
      </c>
      <c r="O376" s="470">
        <f t="shared" si="1049"/>
        <v>0</v>
      </c>
      <c r="P376" s="470">
        <f t="shared" si="1050"/>
        <v>131.57147720833828</v>
      </c>
      <c r="Q376" s="469">
        <f t="shared" si="1051"/>
        <v>140</v>
      </c>
      <c r="R376" s="471">
        <f t="shared" si="1052"/>
        <v>0.18121534476611406</v>
      </c>
      <c r="S376" s="471"/>
      <c r="T376" s="471"/>
      <c r="U376" s="471">
        <f t="shared" si="1053"/>
        <v>0</v>
      </c>
      <c r="V376" s="471"/>
      <c r="W376" s="471"/>
      <c r="X376" s="471">
        <f t="shared" si="1054"/>
        <v>0</v>
      </c>
      <c r="Y376" s="471">
        <f t="shared" si="1055"/>
        <v>0.10858569692</v>
      </c>
      <c r="Z376" s="471">
        <f t="shared" ca="1" si="1056"/>
        <v>0</v>
      </c>
      <c r="AA376" s="471">
        <f t="shared" si="1033"/>
        <v>3.8</v>
      </c>
      <c r="AB376" s="471">
        <f t="shared" si="1057"/>
        <v>0.68861831011123342</v>
      </c>
      <c r="AC376" s="471">
        <f t="shared" si="1058"/>
        <v>5.2852400570820295E-2</v>
      </c>
      <c r="AD376" s="471">
        <f t="shared" si="1059"/>
        <v>3.1669584920000007E-2</v>
      </c>
      <c r="AE376" s="471">
        <f t="shared" si="1059"/>
        <v>0</v>
      </c>
      <c r="AF376" s="510">
        <f t="shared" si="958"/>
        <v>3.8</v>
      </c>
      <c r="AG376" s="471">
        <f t="shared" si="1060"/>
        <v>0.20083912216911712</v>
      </c>
      <c r="AH376" s="471">
        <f t="shared" si="1061"/>
        <v>0.23250870708911714</v>
      </c>
      <c r="AI376" s="471">
        <f t="shared" ca="1" si="1062"/>
        <v>1.5</v>
      </c>
      <c r="AJ376" s="471">
        <f t="shared" si="1063"/>
        <v>0.75</v>
      </c>
      <c r="AK376" s="472" t="e">
        <f t="shared" si="1064"/>
        <v>#N/A</v>
      </c>
      <c r="AL376" s="471" t="e">
        <f t="shared" si="1065"/>
        <v>#N/A</v>
      </c>
      <c r="AM376" s="473" t="e">
        <f t="shared" si="1041"/>
        <v>#N/A</v>
      </c>
      <c r="AN376" s="474" t="e">
        <f t="shared" si="1037"/>
        <v>#N/A</v>
      </c>
      <c r="AO376" s="474" t="e">
        <f t="shared" si="1066"/>
        <v>#N/A</v>
      </c>
      <c r="AP376" s="474" t="e">
        <f t="shared" si="1067"/>
        <v>#N/A</v>
      </c>
      <c r="AQ376" s="475">
        <v>3</v>
      </c>
      <c r="AR376" s="474" t="e">
        <f t="shared" ca="1" si="1068"/>
        <v>#N/A</v>
      </c>
      <c r="AS376" s="474" t="e">
        <f t="shared" ca="1" si="1069"/>
        <v>#N/A</v>
      </c>
      <c r="AT376" s="471" t="e">
        <f t="shared" ca="1" si="1070"/>
        <v>#N/A</v>
      </c>
      <c r="AU376" s="492" t="e">
        <f t="shared" si="1071"/>
        <v>#N/A</v>
      </c>
      <c r="AV376" s="471" t="e">
        <f t="shared" ca="1" si="1072"/>
        <v>#N/A</v>
      </c>
      <c r="AW376" s="471" t="e">
        <f t="shared" ca="1" si="1073"/>
        <v>#N/A</v>
      </c>
      <c r="AX376" s="478" t="e">
        <f>IF(OR(C376="",D376=""),"",ROUND(((VLOOKUP(C376,'Base de Diseño (2)'!$A$2:$C$333,2,FALSE)-VLOOKUP(D376,'Base de Diseño (2)'!$A$2:$C$333,2,FALSE))^2+(VLOOKUP(C376,'Base de Diseño (2)'!$A$2:$C$333,3,0)-VLOOKUP(D376,'Base de Diseño (2)'!$A$2:$C$333,3,FALSE))^2)^0.5,2))</f>
        <v>#N/A</v>
      </c>
      <c r="AY376" s="493">
        <v>8</v>
      </c>
      <c r="AZ376" s="480">
        <f ca="1">IF(AND(L376="",H376=""),"",IF(BA376=4,VLOOKUP(AY376,'TABLA (2)'!$A$74:$C$89,2),IF(BA376=5,VLOOKUP(AY376,'TABLA (2)'!$A$51:$B$66,2),IF(BA376=6,VLOOKUP(AY376,'TABLA (2)'!$A$9:$B$43,2)))))</f>
        <v>200</v>
      </c>
      <c r="BA376" s="493">
        <v>6</v>
      </c>
      <c r="BB376" s="478" t="e">
        <f>IF(OR(C376="",D376=""),"",VLOOKUP(C376,'Base de Diseño (2)'!$A$2:$D$330,4,FALSE))</f>
        <v>#N/A</v>
      </c>
      <c r="BC376" s="478" t="e">
        <f>IF(OR(C376="",D376=""),"",VLOOKUP(D376,'Base de Diseño (2)'!$A$2:$D$330,4,FALSE))</f>
        <v>#N/A</v>
      </c>
      <c r="BD376" s="23">
        <f t="shared" ca="1" si="1074"/>
        <v>1.0629999999999544</v>
      </c>
      <c r="BE376" s="23">
        <f t="shared" ca="1" si="1075"/>
        <v>1.3630000000000226</v>
      </c>
      <c r="BF376" s="494">
        <v>1.2999999999999545</v>
      </c>
      <c r="BG376" s="494">
        <v>1.6000000000000227</v>
      </c>
      <c r="BH376" s="495" t="e">
        <f t="shared" si="1076"/>
        <v>#N/A</v>
      </c>
      <c r="BI376" s="495" t="e">
        <f t="shared" si="1076"/>
        <v>#N/A</v>
      </c>
      <c r="BJ376" s="534" t="e">
        <f t="shared" si="1044"/>
        <v>#N/A</v>
      </c>
      <c r="BK376" s="475" t="e">
        <f t="shared" si="1077"/>
        <v>#N/A</v>
      </c>
      <c r="BL376" s="475" t="e">
        <f t="shared" si="1078"/>
        <v>#N/A</v>
      </c>
      <c r="BM376" s="475" t="e">
        <f t="shared" ca="1" si="1079"/>
        <v>#N/A</v>
      </c>
      <c r="BN376" s="475" t="e">
        <f t="shared" ca="1" si="1080"/>
        <v>#N/A</v>
      </c>
      <c r="BO376" s="204" t="e">
        <f t="shared" ca="1" si="1081"/>
        <v>#N/A</v>
      </c>
      <c r="BP376" s="496" t="e">
        <f t="shared" ca="1" si="1082"/>
        <v>#N/A</v>
      </c>
      <c r="BQ376" s="497" t="e">
        <f t="shared" ca="1" si="1083"/>
        <v>#N/A</v>
      </c>
      <c r="BR376" s="497" t="e">
        <f t="shared" ca="1" si="1084"/>
        <v>#N/A</v>
      </c>
      <c r="BS376" s="475" t="e">
        <f t="shared" ca="1" si="1085"/>
        <v>#N/A</v>
      </c>
      <c r="BT376" s="475" t="e">
        <f t="shared" ca="1" si="1086"/>
        <v>#N/A</v>
      </c>
      <c r="BU376" s="475" t="e">
        <f t="shared" ca="1" si="1087"/>
        <v>#N/A</v>
      </c>
      <c r="BV376" s="475" t="e">
        <f t="shared" ca="1" si="1088"/>
        <v>#N/A</v>
      </c>
      <c r="BW376" s="475" t="e">
        <f t="shared" ca="1" si="1089"/>
        <v>#N/A</v>
      </c>
      <c r="BX376" s="475" t="e">
        <f t="shared" ca="1" si="1090"/>
        <v>#N/A</v>
      </c>
      <c r="BY376" s="475" t="e">
        <f t="shared" ca="1" si="1091"/>
        <v>#N/A</v>
      </c>
      <c r="BZ376" s="475" t="e">
        <f t="shared" ca="1" si="1092"/>
        <v>#N/A</v>
      </c>
      <c r="CA376" s="471" t="e">
        <f t="shared" ca="1" si="1093"/>
        <v>#N/A</v>
      </c>
      <c r="CB376" s="471" t="e">
        <f t="shared" ca="1" si="1094"/>
        <v>#N/A</v>
      </c>
      <c r="CC376" s="471" t="e">
        <f t="shared" ca="1" si="1038"/>
        <v>#N/A</v>
      </c>
      <c r="CD376" s="471" t="e">
        <f t="shared" ca="1" si="1095"/>
        <v>#N/A</v>
      </c>
      <c r="CE376" s="471" t="e">
        <f t="shared" ca="1" si="1096"/>
        <v>#N/A</v>
      </c>
      <c r="CF376" s="471" t="e">
        <f t="shared" ca="1" si="1097"/>
        <v>#N/A</v>
      </c>
      <c r="CG376" s="471" t="e">
        <f t="shared" ca="1" si="1098"/>
        <v>#N/A</v>
      </c>
      <c r="CH376" s="471" t="e">
        <f t="shared" ca="1" si="1099"/>
        <v>#N/A</v>
      </c>
      <c r="CI376" s="471" t="e">
        <f t="shared" ca="1" si="1100"/>
        <v>#N/A</v>
      </c>
      <c r="CJ376" s="471" t="e">
        <f t="shared" ca="1" si="1101"/>
        <v>#N/A</v>
      </c>
      <c r="CK376" s="468" t="e">
        <f t="shared" si="1102"/>
        <v>#N/A</v>
      </c>
      <c r="CL376" s="482" t="s">
        <v>2507</v>
      </c>
      <c r="CM376" s="482"/>
      <c r="CN376" s="63" t="str">
        <f t="shared" si="1103"/>
        <v xml:space="preserve"> </v>
      </c>
      <c r="CO376" s="527" t="e">
        <f t="shared" si="1042"/>
        <v>#N/A</v>
      </c>
      <c r="CP376" s="542" t="e">
        <f t="shared" si="1043"/>
        <v>#N/A</v>
      </c>
      <c r="CQ376" s="482" t="s">
        <v>2508</v>
      </c>
      <c r="CR376" s="204" t="e">
        <f t="shared" si="1104"/>
        <v>#N/A</v>
      </c>
      <c r="CS376" s="486">
        <v>1.2</v>
      </c>
      <c r="CT376" s="486">
        <v>1.2</v>
      </c>
      <c r="CU376" s="23" t="e">
        <f t="shared" si="1105"/>
        <v>#N/A</v>
      </c>
      <c r="CV376" s="499" t="s">
        <v>2509</v>
      </c>
      <c r="CW376" s="488" t="str">
        <f t="shared" ca="1" si="1106"/>
        <v>E2</v>
      </c>
      <c r="CX376" s="204">
        <f ca="1">IF(AND(L376="",H376=""),"",IF(AND(BA376&lt;&gt;4,BA376&lt;&gt;5),VLOOKUP(AY376,'TABLA (2)'!$A$9:$D$43,4),IF(BA376=4,VLOOKUP(AY376,'TABLA (2)'!$A$74:$D$89,4),VLOOKUP(AY376,'TABLA (2)'!$A$51:$D$66,4))))</f>
        <v>3.6999999999999998E-2</v>
      </c>
      <c r="CY376" s="482"/>
      <c r="CZ376" s="482"/>
      <c r="DA376" s="482"/>
      <c r="DB376" s="490"/>
    </row>
    <row r="377" spans="1:106" ht="15" hidden="1" customHeight="1">
      <c r="A377" s="465">
        <f t="shared" si="1107"/>
        <v>271</v>
      </c>
      <c r="B377" s="491"/>
      <c r="C377" s="466" t="s">
        <v>109</v>
      </c>
      <c r="D377" s="466" t="s">
        <v>2529</v>
      </c>
      <c r="E377" s="468">
        <v>0.12481796890000001</v>
      </c>
      <c r="F377" s="468"/>
      <c r="G377" s="537">
        <f t="shared" si="1039"/>
        <v>0.54292848459999998</v>
      </c>
      <c r="H377" s="537">
        <f t="shared" si="1040"/>
        <v>0.66774645349999995</v>
      </c>
      <c r="I377" s="468">
        <v>0.12481796890000001</v>
      </c>
      <c r="J377" s="468"/>
      <c r="K377" s="467">
        <f t="shared" ca="1" si="1045"/>
        <v>0.54292848459999998</v>
      </c>
      <c r="L377" s="468">
        <f t="shared" ca="1" si="1046"/>
        <v>0.66774645349999995</v>
      </c>
      <c r="M377" s="469">
        <f t="shared" si="1047"/>
        <v>242.33666300502347</v>
      </c>
      <c r="N377" s="470">
        <f t="shared" si="1048"/>
        <v>30.247970066290801</v>
      </c>
      <c r="O377" s="470">
        <f t="shared" si="1049"/>
        <v>0</v>
      </c>
      <c r="P377" s="470">
        <f t="shared" si="1050"/>
        <v>161.81944727462906</v>
      </c>
      <c r="Q377" s="469">
        <f t="shared" si="1051"/>
        <v>140</v>
      </c>
      <c r="R377" s="471">
        <f t="shared" si="1052"/>
        <v>0.22287632205649141</v>
      </c>
      <c r="S377" s="471"/>
      <c r="T377" s="471"/>
      <c r="U377" s="471">
        <f t="shared" si="1053"/>
        <v>0</v>
      </c>
      <c r="V377" s="471"/>
      <c r="W377" s="471"/>
      <c r="X377" s="471">
        <f t="shared" si="1054"/>
        <v>0</v>
      </c>
      <c r="Y377" s="471">
        <f t="shared" si="1055"/>
        <v>0.13354929069999999</v>
      </c>
      <c r="Z377" s="471">
        <f t="shared" ca="1" si="1056"/>
        <v>0</v>
      </c>
      <c r="AA377" s="471">
        <f t="shared" si="1033"/>
        <v>3.8</v>
      </c>
      <c r="AB377" s="471">
        <f t="shared" si="1057"/>
        <v>0.84693002381466731</v>
      </c>
      <c r="AC377" s="471">
        <f t="shared" si="1058"/>
        <v>4.1660977290377377E-2</v>
      </c>
      <c r="AD377" s="471">
        <f t="shared" si="1059"/>
        <v>2.4963593780000001E-2</v>
      </c>
      <c r="AE377" s="471">
        <f t="shared" si="1059"/>
        <v>0</v>
      </c>
      <c r="AF377" s="510">
        <f t="shared" si="958"/>
        <v>3.8</v>
      </c>
      <c r="AG377" s="471">
        <f t="shared" si="1060"/>
        <v>0.15831171370343403</v>
      </c>
      <c r="AH377" s="471">
        <f t="shared" si="1061"/>
        <v>0.18327530748343401</v>
      </c>
      <c r="AI377" s="471">
        <f t="shared" ca="1" si="1062"/>
        <v>1.5</v>
      </c>
      <c r="AJ377" s="471">
        <f t="shared" si="1063"/>
        <v>0.75</v>
      </c>
      <c r="AK377" s="472" t="e">
        <f t="shared" si="1064"/>
        <v>#N/A</v>
      </c>
      <c r="AL377" s="471" t="e">
        <f t="shared" si="1065"/>
        <v>#N/A</v>
      </c>
      <c r="AM377" s="473" t="e">
        <f t="shared" si="1041"/>
        <v>#N/A</v>
      </c>
      <c r="AN377" s="474" t="e">
        <f t="shared" si="1037"/>
        <v>#N/A</v>
      </c>
      <c r="AO377" s="474" t="e">
        <f t="shared" si="1066"/>
        <v>#N/A</v>
      </c>
      <c r="AP377" s="474" t="e">
        <f t="shared" si="1067"/>
        <v>#N/A</v>
      </c>
      <c r="AQ377" s="475">
        <v>3</v>
      </c>
      <c r="AR377" s="474" t="e">
        <f t="shared" ca="1" si="1068"/>
        <v>#N/A</v>
      </c>
      <c r="AS377" s="474" t="e">
        <f t="shared" ca="1" si="1069"/>
        <v>#N/A</v>
      </c>
      <c r="AT377" s="471" t="e">
        <f t="shared" ca="1" si="1070"/>
        <v>#N/A</v>
      </c>
      <c r="AU377" s="492" t="e">
        <f t="shared" si="1071"/>
        <v>#N/A</v>
      </c>
      <c r="AV377" s="471" t="e">
        <f t="shared" ca="1" si="1072"/>
        <v>#N/A</v>
      </c>
      <c r="AW377" s="471" t="e">
        <f t="shared" ca="1" si="1073"/>
        <v>#N/A</v>
      </c>
      <c r="AX377" s="478" t="e">
        <f>IF(OR(C377="",D377=""),"",ROUND(((VLOOKUP(C377,'Base de Diseño (2)'!$A$2:$C$333,2,FALSE)-VLOOKUP(D377,'Base de Diseño (2)'!$A$2:$C$333,2,FALSE))^2+(VLOOKUP(C377,'Base de Diseño (2)'!$A$2:$C$333,3,0)-VLOOKUP(D377,'Base de Diseño (2)'!$A$2:$C$333,3,FALSE))^2)^0.5,2))</f>
        <v>#N/A</v>
      </c>
      <c r="AY377" s="493">
        <v>12</v>
      </c>
      <c r="AZ377" s="480">
        <f ca="1">IF(AND(L377="",H377=""),"",IF(BA377=4,VLOOKUP(AY377,'TABLA (2)'!$A$74:$C$89,2),IF(BA377=5,VLOOKUP(AY377,'TABLA (2)'!$A$51:$B$66,2),IF(BA377=6,VLOOKUP(AY377,'TABLA (2)'!$A$9:$B$43,2)))))</f>
        <v>300</v>
      </c>
      <c r="BA377" s="493">
        <v>6</v>
      </c>
      <c r="BB377" s="478" t="e">
        <f>IF(OR(C377="",D377=""),"",VLOOKUP(C377,'Base de Diseño (2)'!$A$2:$D$330,4,FALSE))</f>
        <v>#N/A</v>
      </c>
      <c r="BC377" s="478" t="e">
        <f>IF(OR(C377="",D377=""),"",VLOOKUP(D377,'Base de Diseño (2)'!$A$2:$D$330,4,FALSE))</f>
        <v>#N/A</v>
      </c>
      <c r="BD377" s="23">
        <f t="shared" ca="1" si="1074"/>
        <v>1.22300000000005</v>
      </c>
      <c r="BE377" s="23">
        <f t="shared" ca="1" si="1075"/>
        <v>1.0529999999999773</v>
      </c>
      <c r="BF377" s="494">
        <v>1.57000000000005</v>
      </c>
      <c r="BG377" s="494">
        <v>1.3999999999999773</v>
      </c>
      <c r="BH377" s="495" t="e">
        <f t="shared" si="1076"/>
        <v>#N/A</v>
      </c>
      <c r="BI377" s="495" t="e">
        <f t="shared" si="1076"/>
        <v>#N/A</v>
      </c>
      <c r="BJ377" s="534" t="e">
        <f t="shared" si="1044"/>
        <v>#N/A</v>
      </c>
      <c r="BK377" s="475" t="e">
        <f t="shared" si="1077"/>
        <v>#N/A</v>
      </c>
      <c r="BL377" s="475" t="e">
        <f t="shared" si="1078"/>
        <v>#N/A</v>
      </c>
      <c r="BM377" s="475" t="e">
        <f t="shared" ca="1" si="1079"/>
        <v>#N/A</v>
      </c>
      <c r="BN377" s="475" t="e">
        <f t="shared" ca="1" si="1080"/>
        <v>#N/A</v>
      </c>
      <c r="BO377" s="204" t="e">
        <f t="shared" ca="1" si="1081"/>
        <v>#N/A</v>
      </c>
      <c r="BP377" s="496" t="e">
        <f t="shared" ca="1" si="1082"/>
        <v>#N/A</v>
      </c>
      <c r="BQ377" s="497" t="e">
        <f t="shared" ca="1" si="1083"/>
        <v>#N/A</v>
      </c>
      <c r="BR377" s="497" t="e">
        <f t="shared" ca="1" si="1084"/>
        <v>#N/A</v>
      </c>
      <c r="BS377" s="475" t="e">
        <f t="shared" ca="1" si="1085"/>
        <v>#N/A</v>
      </c>
      <c r="BT377" s="475" t="e">
        <f t="shared" ca="1" si="1086"/>
        <v>#N/A</v>
      </c>
      <c r="BU377" s="475" t="e">
        <f t="shared" ca="1" si="1087"/>
        <v>#N/A</v>
      </c>
      <c r="BV377" s="475" t="e">
        <f t="shared" ca="1" si="1088"/>
        <v>#N/A</v>
      </c>
      <c r="BW377" s="475" t="e">
        <f t="shared" ca="1" si="1089"/>
        <v>#N/A</v>
      </c>
      <c r="BX377" s="475" t="e">
        <f t="shared" ca="1" si="1090"/>
        <v>#N/A</v>
      </c>
      <c r="BY377" s="475" t="e">
        <f t="shared" ca="1" si="1091"/>
        <v>#N/A</v>
      </c>
      <c r="BZ377" s="475" t="e">
        <f t="shared" ca="1" si="1092"/>
        <v>#N/A</v>
      </c>
      <c r="CA377" s="471" t="e">
        <f t="shared" ca="1" si="1093"/>
        <v>#N/A</v>
      </c>
      <c r="CB377" s="471" t="e">
        <f t="shared" ca="1" si="1094"/>
        <v>#N/A</v>
      </c>
      <c r="CC377" s="471" t="e">
        <f t="shared" ca="1" si="1038"/>
        <v>#N/A</v>
      </c>
      <c r="CD377" s="471" t="e">
        <f t="shared" ca="1" si="1095"/>
        <v>#N/A</v>
      </c>
      <c r="CE377" s="471" t="e">
        <f t="shared" ca="1" si="1096"/>
        <v>#N/A</v>
      </c>
      <c r="CF377" s="471" t="e">
        <f t="shared" ca="1" si="1097"/>
        <v>#N/A</v>
      </c>
      <c r="CG377" s="471" t="e">
        <f t="shared" ca="1" si="1098"/>
        <v>#N/A</v>
      </c>
      <c r="CH377" s="471" t="e">
        <f t="shared" ca="1" si="1099"/>
        <v>#N/A</v>
      </c>
      <c r="CI377" s="471" t="e">
        <f t="shared" ca="1" si="1100"/>
        <v>#N/A</v>
      </c>
      <c r="CJ377" s="471" t="e">
        <f t="shared" ca="1" si="1101"/>
        <v>#N/A</v>
      </c>
      <c r="CK377" s="468" t="e">
        <f t="shared" si="1102"/>
        <v>#N/A</v>
      </c>
      <c r="CL377" s="482" t="s">
        <v>2507</v>
      </c>
      <c r="CM377" s="482"/>
      <c r="CN377" s="63" t="str">
        <f t="shared" si="1103"/>
        <v xml:space="preserve"> </v>
      </c>
      <c r="CO377" s="527" t="e">
        <f t="shared" si="1042"/>
        <v>#N/A</v>
      </c>
      <c r="CP377" s="511" t="e">
        <f t="shared" si="1043"/>
        <v>#N/A</v>
      </c>
      <c r="CQ377" s="482" t="s">
        <v>2508</v>
      </c>
      <c r="CR377" s="204" t="e">
        <f t="shared" si="1104"/>
        <v>#N/A</v>
      </c>
      <c r="CS377" s="486">
        <v>1.2</v>
      </c>
      <c r="CT377" s="486">
        <v>1.2</v>
      </c>
      <c r="CU377" s="23" t="e">
        <f t="shared" si="1105"/>
        <v>#N/A</v>
      </c>
      <c r="CV377" s="499" t="s">
        <v>2509</v>
      </c>
      <c r="CW377" s="488" t="str">
        <f t="shared" ca="1" si="1106"/>
        <v>E2</v>
      </c>
      <c r="CX377" s="204">
        <f ca="1">IF(AND(L377="",H377=""),"",IF(AND(BA377&lt;&gt;4,BA377&lt;&gt;5),VLOOKUP(AY377,'TABLA (2)'!$A$9:$D$43,4),IF(BA377=4,VLOOKUP(AY377,'TABLA (2)'!$A$74:$D$89,4),VLOOKUP(AY377,'TABLA (2)'!$A$51:$D$66,4))))</f>
        <v>4.7E-2</v>
      </c>
      <c r="CY377" s="482"/>
      <c r="CZ377" s="482"/>
      <c r="DA377" s="482"/>
      <c r="DB377" s="490"/>
    </row>
    <row r="378" spans="1:106" ht="15" hidden="1" customHeight="1">
      <c r="A378" s="465">
        <f t="shared" si="1107"/>
        <v>272</v>
      </c>
      <c r="B378" s="491"/>
      <c r="C378" s="466" t="s">
        <v>2529</v>
      </c>
      <c r="D378" s="466" t="s">
        <v>2170</v>
      </c>
      <c r="E378" s="468"/>
      <c r="F378" s="468"/>
      <c r="G378" s="537">
        <f t="shared" si="1039"/>
        <v>0.66774645349999995</v>
      </c>
      <c r="H378" s="537">
        <f t="shared" si="1040"/>
        <v>0.66774645349999995</v>
      </c>
      <c r="I378" s="468"/>
      <c r="J378" s="468"/>
      <c r="K378" s="467">
        <f t="shared" ca="1" si="1045"/>
        <v>0.66774645349999995</v>
      </c>
      <c r="L378" s="468">
        <f t="shared" ca="1" si="1046"/>
        <v>0.66774645349999995</v>
      </c>
      <c r="M378" s="469">
        <f t="shared" si="1047"/>
        <v>242.33666300502347</v>
      </c>
      <c r="N378" s="470">
        <f t="shared" si="1048"/>
        <v>0</v>
      </c>
      <c r="O378" s="470">
        <f t="shared" si="1049"/>
        <v>0</v>
      </c>
      <c r="P378" s="470">
        <f t="shared" si="1050"/>
        <v>161.81944727462906</v>
      </c>
      <c r="Q378" s="469">
        <f t="shared" si="1051"/>
        <v>140</v>
      </c>
      <c r="R378" s="471">
        <f t="shared" si="1052"/>
        <v>0.22287632205649141</v>
      </c>
      <c r="S378" s="471"/>
      <c r="T378" s="471"/>
      <c r="U378" s="471">
        <f t="shared" si="1053"/>
        <v>0</v>
      </c>
      <c r="V378" s="471"/>
      <c r="W378" s="471"/>
      <c r="X378" s="471">
        <f t="shared" si="1054"/>
        <v>0</v>
      </c>
      <c r="Y378" s="471">
        <f t="shared" si="1055"/>
        <v>0.13354929069999999</v>
      </c>
      <c r="Z378" s="471">
        <f t="shared" ca="1" si="1056"/>
        <v>0</v>
      </c>
      <c r="AA378" s="471">
        <f t="shared" si="1033"/>
        <v>3.8</v>
      </c>
      <c r="AB378" s="471">
        <f t="shared" si="1057"/>
        <v>0.84693002381466731</v>
      </c>
      <c r="AC378" s="471">
        <f t="shared" si="1058"/>
        <v>0</v>
      </c>
      <c r="AD378" s="471">
        <f t="shared" si="1059"/>
        <v>0</v>
      </c>
      <c r="AE378" s="471">
        <f t="shared" si="1059"/>
        <v>0</v>
      </c>
      <c r="AF378" s="510">
        <f t="shared" si="958"/>
        <v>3.8</v>
      </c>
      <c r="AG378" s="471">
        <f t="shared" si="1060"/>
        <v>0</v>
      </c>
      <c r="AH378" s="471">
        <f t="shared" si="1061"/>
        <v>0</v>
      </c>
      <c r="AI378" s="471">
        <f t="shared" ca="1" si="1062"/>
        <v>1.5</v>
      </c>
      <c r="AJ378" s="471">
        <f t="shared" si="1063"/>
        <v>0.75</v>
      </c>
      <c r="AK378" s="472" t="e">
        <f t="shared" si="1064"/>
        <v>#N/A</v>
      </c>
      <c r="AL378" s="471" t="e">
        <f t="shared" si="1065"/>
        <v>#N/A</v>
      </c>
      <c r="AM378" s="473" t="e">
        <f t="shared" si="1041"/>
        <v>#N/A</v>
      </c>
      <c r="AN378" s="474" t="e">
        <f t="shared" si="1037"/>
        <v>#N/A</v>
      </c>
      <c r="AO378" s="474" t="e">
        <f t="shared" si="1066"/>
        <v>#N/A</v>
      </c>
      <c r="AP378" s="474" t="e">
        <f t="shared" si="1067"/>
        <v>#N/A</v>
      </c>
      <c r="AQ378" s="475">
        <v>3</v>
      </c>
      <c r="AR378" s="474" t="e">
        <f t="shared" ca="1" si="1068"/>
        <v>#N/A</v>
      </c>
      <c r="AS378" s="474" t="e">
        <f t="shared" ca="1" si="1069"/>
        <v>#N/A</v>
      </c>
      <c r="AT378" s="471" t="e">
        <f t="shared" ca="1" si="1070"/>
        <v>#N/A</v>
      </c>
      <c r="AU378" s="492" t="e">
        <f t="shared" si="1071"/>
        <v>#N/A</v>
      </c>
      <c r="AV378" s="471" t="e">
        <f t="shared" ca="1" si="1072"/>
        <v>#N/A</v>
      </c>
      <c r="AW378" s="471" t="e">
        <f t="shared" ca="1" si="1073"/>
        <v>#N/A</v>
      </c>
      <c r="AX378" s="478" t="e">
        <f>IF(OR(C378="",D378=""),"",ROUND(((VLOOKUP(C378,'Base de Diseño (2)'!$A$2:$C$333,2,FALSE)-VLOOKUP(D378,'Base de Diseño (2)'!$A$2:$C$333,2,FALSE))^2+(VLOOKUP(C378,'Base de Diseño (2)'!$A$2:$C$333,3,0)-VLOOKUP(D378,'Base de Diseño (2)'!$A$2:$C$333,3,FALSE))^2)^0.5,2))</f>
        <v>#N/A</v>
      </c>
      <c r="AY378" s="493">
        <v>10</v>
      </c>
      <c r="AZ378" s="480">
        <f ca="1">IF(AND(L378="",H378=""),"",IF(BA378=4,VLOOKUP(AY378,'TABLA (2)'!$A$74:$C$89,2),IF(BA378=5,VLOOKUP(AY378,'TABLA (2)'!$A$51:$B$66,2),IF(BA378=6,VLOOKUP(AY378,'TABLA (2)'!$A$9:$B$43,2)))))</f>
        <v>250</v>
      </c>
      <c r="BA378" s="493">
        <v>6</v>
      </c>
      <c r="BB378" s="478" t="e">
        <f>IF(OR(C378="",D378=""),"",VLOOKUP(C378,'Base de Diseño (2)'!$A$2:$D$330,4,FALSE))</f>
        <v>#N/A</v>
      </c>
      <c r="BC378" s="478">
        <f>IF(OR(C378="",D378=""),"",VLOOKUP(D378,'Base de Diseño (2)'!$A$2:$D$330,4,FALSE))</f>
        <v>977.87160000000006</v>
      </c>
      <c r="BD378" s="23">
        <f t="shared" ca="1" si="1074"/>
        <v>1.2429999999999728</v>
      </c>
      <c r="BE378" s="23">
        <f t="shared" ca="1" si="1075"/>
        <v>0.74299999999997279</v>
      </c>
      <c r="BF378" s="494">
        <v>1.5299999999999727</v>
      </c>
      <c r="BG378" s="494">
        <v>1.0299999999999727</v>
      </c>
      <c r="BH378" s="495" t="e">
        <f t="shared" si="1076"/>
        <v>#N/A</v>
      </c>
      <c r="BI378" s="495">
        <f t="shared" si="1076"/>
        <v>976.84160000000008</v>
      </c>
      <c r="BJ378" s="534">
        <f t="shared" si="1044"/>
        <v>976.84160000000008</v>
      </c>
      <c r="BK378" s="475" t="e">
        <f t="shared" si="1077"/>
        <v>#N/A</v>
      </c>
      <c r="BL378" s="475" t="e">
        <f t="shared" si="1078"/>
        <v>#N/A</v>
      </c>
      <c r="BM378" s="475" t="e">
        <f t="shared" ca="1" si="1079"/>
        <v>#N/A</v>
      </c>
      <c r="BN378" s="475" t="e">
        <f t="shared" ca="1" si="1080"/>
        <v>#N/A</v>
      </c>
      <c r="BO378" s="204" t="e">
        <f t="shared" ca="1" si="1081"/>
        <v>#N/A</v>
      </c>
      <c r="BP378" s="496" t="e">
        <f t="shared" ca="1" si="1082"/>
        <v>#N/A</v>
      </c>
      <c r="BQ378" s="497" t="e">
        <f t="shared" ca="1" si="1083"/>
        <v>#N/A</v>
      </c>
      <c r="BR378" s="497" t="e">
        <f t="shared" ca="1" si="1084"/>
        <v>#N/A</v>
      </c>
      <c r="BS378" s="475" t="e">
        <f t="shared" ca="1" si="1085"/>
        <v>#N/A</v>
      </c>
      <c r="BT378" s="475" t="e">
        <f t="shared" ca="1" si="1086"/>
        <v>#N/A</v>
      </c>
      <c r="BU378" s="475" t="e">
        <f t="shared" ca="1" si="1087"/>
        <v>#N/A</v>
      </c>
      <c r="BV378" s="475" t="e">
        <f t="shared" ca="1" si="1088"/>
        <v>#N/A</v>
      </c>
      <c r="BW378" s="475" t="e">
        <f t="shared" ca="1" si="1089"/>
        <v>#N/A</v>
      </c>
      <c r="BX378" s="475" t="e">
        <f t="shared" ca="1" si="1090"/>
        <v>#N/A</v>
      </c>
      <c r="BY378" s="475" t="e">
        <f t="shared" ca="1" si="1091"/>
        <v>#N/A</v>
      </c>
      <c r="BZ378" s="475" t="e">
        <f t="shared" ca="1" si="1092"/>
        <v>#N/A</v>
      </c>
      <c r="CA378" s="471" t="e">
        <f t="shared" ca="1" si="1093"/>
        <v>#N/A</v>
      </c>
      <c r="CB378" s="471" t="e">
        <f t="shared" ca="1" si="1094"/>
        <v>#N/A</v>
      </c>
      <c r="CC378" s="471" t="e">
        <f t="shared" ca="1" si="1038"/>
        <v>#N/A</v>
      </c>
      <c r="CD378" s="471" t="e">
        <f t="shared" ca="1" si="1095"/>
        <v>#N/A</v>
      </c>
      <c r="CE378" s="471" t="e">
        <f t="shared" ca="1" si="1096"/>
        <v>#N/A</v>
      </c>
      <c r="CF378" s="471" t="e">
        <f t="shared" ca="1" si="1097"/>
        <v>#N/A</v>
      </c>
      <c r="CG378" s="471" t="e">
        <f t="shared" ca="1" si="1098"/>
        <v>#N/A</v>
      </c>
      <c r="CH378" s="471" t="e">
        <f t="shared" ca="1" si="1099"/>
        <v>#N/A</v>
      </c>
      <c r="CI378" s="471" t="e">
        <f t="shared" ca="1" si="1100"/>
        <v>#N/A</v>
      </c>
      <c r="CJ378" s="471" t="e">
        <f t="shared" ca="1" si="1101"/>
        <v>#N/A</v>
      </c>
      <c r="CK378" s="468">
        <f t="shared" si="1102"/>
        <v>976.84160000000008</v>
      </c>
      <c r="CL378" s="482" t="s">
        <v>2507</v>
      </c>
      <c r="CM378" s="482"/>
      <c r="CN378" s="63" t="str">
        <f t="shared" si="1103"/>
        <v xml:space="preserve"> </v>
      </c>
      <c r="CO378" s="527" t="e">
        <f t="shared" si="1042"/>
        <v>#N/A</v>
      </c>
      <c r="CP378" s="542" t="e">
        <f t="shared" si="1043"/>
        <v>#N/A</v>
      </c>
      <c r="CQ378" s="482" t="s">
        <v>2508</v>
      </c>
      <c r="CR378" s="204" t="e">
        <f t="shared" si="1104"/>
        <v>#N/A</v>
      </c>
      <c r="CS378" s="486">
        <v>1.2</v>
      </c>
      <c r="CT378" s="486">
        <v>1.2</v>
      </c>
      <c r="CU378" s="23" t="e">
        <f t="shared" si="1105"/>
        <v>#N/A</v>
      </c>
      <c r="CV378" s="499" t="s">
        <v>2509</v>
      </c>
      <c r="CW378" s="488" t="str">
        <f t="shared" ca="1" si="1106"/>
        <v>E2</v>
      </c>
      <c r="CX378" s="204">
        <f ca="1">IF(AND(L378="",H378=""),"",IF(AND(BA378&lt;&gt;4,BA378&lt;&gt;5),VLOOKUP(AY378,'TABLA (2)'!$A$9:$D$43,4),IF(BA378=4,VLOOKUP(AY378,'TABLA (2)'!$A$74:$D$89,4),VLOOKUP(AY378,'TABLA (2)'!$A$51:$D$66,4))))</f>
        <v>3.6999999999999998E-2</v>
      </c>
      <c r="CY378" s="482"/>
      <c r="CZ378" s="482"/>
      <c r="DA378" s="482"/>
      <c r="DB378" s="490"/>
    </row>
    <row r="379" spans="1:106" ht="15" hidden="1" customHeight="1">
      <c r="A379" s="465"/>
      <c r="B379" s="491"/>
      <c r="C379" s="466"/>
      <c r="D379" s="466"/>
      <c r="E379" s="468"/>
      <c r="F379" s="468"/>
      <c r="G379" s="537">
        <f t="shared" si="1039"/>
        <v>0</v>
      </c>
      <c r="H379" s="537">
        <f t="shared" si="1040"/>
        <v>0</v>
      </c>
      <c r="I379" s="468"/>
      <c r="J379" s="468"/>
      <c r="K379" s="467"/>
      <c r="L379" s="468"/>
      <c r="M379" s="469"/>
      <c r="N379" s="470"/>
      <c r="O379" s="470"/>
      <c r="P379" s="470"/>
      <c r="Q379" s="469"/>
      <c r="R379" s="471"/>
      <c r="S379" s="471"/>
      <c r="T379" s="471"/>
      <c r="U379" s="471"/>
      <c r="V379" s="471"/>
      <c r="W379" s="471"/>
      <c r="X379" s="471"/>
      <c r="Y379" s="471"/>
      <c r="Z379" s="471"/>
      <c r="AA379" s="471" t="str">
        <f t="shared" si="1033"/>
        <v/>
      </c>
      <c r="AB379" s="471"/>
      <c r="AC379" s="471"/>
      <c r="AD379" s="471"/>
      <c r="AE379" s="471"/>
      <c r="AF379" s="510" t="str">
        <f t="shared" si="958"/>
        <v/>
      </c>
      <c r="AG379" s="471"/>
      <c r="AH379" s="471"/>
      <c r="AI379" s="471"/>
      <c r="AJ379" s="471"/>
      <c r="AK379" s="472"/>
      <c r="AL379" s="471"/>
      <c r="AM379" s="473">
        <f t="shared" si="1041"/>
        <v>474.44695720875893</v>
      </c>
      <c r="AN379" s="474" t="e">
        <f t="shared" si="1037"/>
        <v>#N/A</v>
      </c>
      <c r="AO379" s="474"/>
      <c r="AP379" s="474"/>
      <c r="AQ379" s="475">
        <v>3</v>
      </c>
      <c r="AR379" s="474"/>
      <c r="AS379" s="474"/>
      <c r="AT379" s="471"/>
      <c r="AU379" s="492"/>
      <c r="AV379" s="471"/>
      <c r="AW379" s="471"/>
      <c r="AX379" s="478"/>
      <c r="AY379" s="493"/>
      <c r="AZ379" s="480"/>
      <c r="BA379" s="493"/>
      <c r="BB379" s="478" t="str">
        <f>IF(OR(C379="",D379=""),"",VLOOKUP(C379,'Base de Diseño (2)'!$A$2:$D$330,4,FALSE))</f>
        <v/>
      </c>
      <c r="BC379" s="478" t="str">
        <f>IF(OR(C379="",D379=""),"",VLOOKUP(D379,'Base de Diseño (2)'!$A$2:$D$330,4,FALSE))</f>
        <v/>
      </c>
      <c r="BD379" s="23"/>
      <c r="BE379" s="23"/>
      <c r="BF379" s="494"/>
      <c r="BG379" s="494"/>
      <c r="BH379" s="495"/>
      <c r="BI379" s="495"/>
      <c r="BJ379" s="534">
        <f t="shared" si="1044"/>
        <v>0</v>
      </c>
      <c r="BK379" s="475"/>
      <c r="BL379" s="475"/>
      <c r="BM379" s="475"/>
      <c r="BN379" s="475"/>
      <c r="BO379" s="204"/>
      <c r="BP379" s="496"/>
      <c r="BQ379" s="497"/>
      <c r="BR379" s="497"/>
      <c r="BS379" s="475"/>
      <c r="BT379" s="475"/>
      <c r="BU379" s="475"/>
      <c r="BV379" s="475"/>
      <c r="BW379" s="475"/>
      <c r="BX379" s="475"/>
      <c r="BY379" s="475"/>
      <c r="BZ379" s="475"/>
      <c r="CA379" s="471"/>
      <c r="CB379" s="471"/>
      <c r="CC379" s="471" t="e">
        <f t="shared" si="1038"/>
        <v>#DIV/0!</v>
      </c>
      <c r="CD379" s="471"/>
      <c r="CE379" s="471"/>
      <c r="CF379" s="471"/>
      <c r="CG379" s="471"/>
      <c r="CH379" s="471"/>
      <c r="CI379" s="471"/>
      <c r="CJ379" s="471"/>
      <c r="CK379" s="468"/>
      <c r="CL379" s="482" t="s">
        <v>2507</v>
      </c>
      <c r="CM379" s="482"/>
      <c r="CN379" s="63"/>
      <c r="CO379" s="527">
        <f t="shared" si="1042"/>
        <v>0</v>
      </c>
      <c r="CP379" s="511">
        <f t="shared" si="1043"/>
        <v>0</v>
      </c>
      <c r="CQ379" s="482"/>
      <c r="CR379" s="204"/>
      <c r="CS379" s="486"/>
      <c r="CT379" s="486"/>
      <c r="CU379" s="23"/>
      <c r="CV379" s="499"/>
      <c r="CW379" s="488"/>
      <c r="CX379" s="204"/>
      <c r="CY379" s="482"/>
      <c r="CZ379" s="482"/>
      <c r="DA379" s="482"/>
      <c r="DB379" s="490"/>
    </row>
    <row r="380" spans="1:106" ht="15" hidden="1" customHeight="1">
      <c r="A380" s="465">
        <f>+A378+1</f>
        <v>273</v>
      </c>
      <c r="B380" s="491">
        <v>1</v>
      </c>
      <c r="C380" s="466" t="s">
        <v>2530</v>
      </c>
      <c r="D380" s="466" t="s">
        <v>2347</v>
      </c>
      <c r="E380" s="468">
        <v>0.15698362569999999</v>
      </c>
      <c r="F380" s="468"/>
      <c r="G380" s="537">
        <f t="shared" si="1039"/>
        <v>0</v>
      </c>
      <c r="H380" s="537">
        <f t="shared" si="1040"/>
        <v>0.15698362569999999</v>
      </c>
      <c r="I380" s="468">
        <v>0.15698362569999999</v>
      </c>
      <c r="J380" s="468"/>
      <c r="K380" s="467">
        <f t="shared" ref="K380:K387" si="1108">+IF(B380=1,0,SUMIF($D$22:$D$583,C380,$L$22:$L$580))</f>
        <v>0</v>
      </c>
      <c r="L380" s="468">
        <f t="shared" ref="L380:L387" si="1109">+I380+J380+K380</f>
        <v>0.15698362569999999</v>
      </c>
      <c r="M380" s="469">
        <f t="shared" ref="M380:M387" si="1110">+$P$12</f>
        <v>242.33666300502347</v>
      </c>
      <c r="N380" s="470">
        <f t="shared" ref="N380:N387" si="1111">M380*E380</f>
        <v>38.042887998567636</v>
      </c>
      <c r="O380" s="470">
        <f t="shared" ref="O380:O387" si="1112">M380*F380</f>
        <v>0</v>
      </c>
      <c r="P380" s="470">
        <f t="shared" ref="P380:P387" si="1113">M380*H380</f>
        <v>38.042887998567636</v>
      </c>
      <c r="Q380" s="469">
        <f t="shared" ref="Q380:Q387" si="1114">+$H$14</f>
        <v>140</v>
      </c>
      <c r="R380" s="471">
        <f t="shared" ref="R380:R387" si="1115">Q380*P380*$P$14/86400</f>
        <v>5.2397033238767932E-2</v>
      </c>
      <c r="S380" s="471"/>
      <c r="T380" s="471"/>
      <c r="U380" s="471">
        <f t="shared" ref="U380:U387" si="1116">IF(C380="","",T380*$P$17)</f>
        <v>0</v>
      </c>
      <c r="V380" s="471"/>
      <c r="W380" s="471"/>
      <c r="X380" s="471">
        <f t="shared" ref="X380:X387" si="1117">IF(C380="","",W380*$P$16)</f>
        <v>0</v>
      </c>
      <c r="Y380" s="471">
        <f t="shared" ref="Y380:Y387" si="1118">IF(H380=0,0,$H$15*H380)</f>
        <v>3.1396725139999998E-2</v>
      </c>
      <c r="Z380" s="471">
        <f t="shared" ref="Z380:Z387" si="1119">IF(L380=0,$H$16*H380,0)</f>
        <v>0</v>
      </c>
      <c r="AA380" s="471">
        <f t="shared" si="1033"/>
        <v>3.8</v>
      </c>
      <c r="AB380" s="471">
        <f t="shared" ref="AB380:AB387" si="1120">R380*AA380</f>
        <v>0.19910872630731813</v>
      </c>
      <c r="AC380" s="471">
        <f t="shared" ref="AC380:AC387" si="1121">Q380*(N380+O380)*$P$14/86400</f>
        <v>5.2397033238767932E-2</v>
      </c>
      <c r="AD380" s="471">
        <f t="shared" ref="AD380:AE387" si="1122">IF(E380=0,0,$H$15*(E380+F380))</f>
        <v>3.1396725139999998E-2</v>
      </c>
      <c r="AE380" s="471">
        <f t="shared" si="1122"/>
        <v>0</v>
      </c>
      <c r="AF380" s="510">
        <f t="shared" si="958"/>
        <v>3.8</v>
      </c>
      <c r="AG380" s="471">
        <f t="shared" ref="AG380:AG387" si="1123">AC380*AF380</f>
        <v>0.19910872630731813</v>
      </c>
      <c r="AH380" s="471">
        <f t="shared" ref="AH380:AH387" si="1124">+AD380+AE380+AG380</f>
        <v>0.23050545144731813</v>
      </c>
      <c r="AI380" s="471">
        <f t="shared" ref="AI380:AI387" si="1125">IF(H380="","",IF(AB380+Y380+Z380+X380+U380&lt;1.5,1.5,AB380+Y380+Z380+X380+U380))</f>
        <v>1.5</v>
      </c>
      <c r="AJ380" s="471">
        <f t="shared" ref="AJ380:AJ387" si="1126">+$P$17</f>
        <v>0.75</v>
      </c>
      <c r="AK380" s="472" t="e">
        <f t="shared" ref="AK380:AK387" si="1127">+BK380/100</f>
        <v>#N/A</v>
      </c>
      <c r="AL380" s="471" t="e">
        <f t="shared" ref="AL380:AL387" si="1128">IF(AJ380=0," ",0.14+0.65*AJ380+0.05*AK380)</f>
        <v>#N/A</v>
      </c>
      <c r="AM380" s="473" t="e">
        <f t="shared" si="1041"/>
        <v>#N/A</v>
      </c>
      <c r="AN380" s="474" t="e">
        <f t="shared" si="1037"/>
        <v>#N/A</v>
      </c>
      <c r="AO380" s="474" t="e">
        <f t="shared" ref="AO380:AO387" si="1129">((1/60)*$AX380/$AQ380)</f>
        <v>#N/A</v>
      </c>
      <c r="AP380" s="474" t="e">
        <f t="shared" ref="AP380:AP387" si="1130">IF(B380=1,IF(($AN380+$AO380)&lt;10,10,IF(($AN380+$AO380)&gt;20,20,($AN380+$AO380))),($AN380+$AO380))</f>
        <v>#N/A</v>
      </c>
      <c r="AQ380" s="475">
        <v>3</v>
      </c>
      <c r="AR380" s="474" t="e">
        <f t="shared" ref="AR380:AR387" si="1131">((1/60)*$AX380/$BT380)</f>
        <v>#N/A</v>
      </c>
      <c r="AS380" s="474" t="e">
        <f t="shared" ref="AS380:AS387" si="1132">AO380/AR380</f>
        <v>#N/A</v>
      </c>
      <c r="AT380" s="471" t="e">
        <f t="shared" ref="AT380:AT387" si="1133">IF(AS380&lt;0.9,"Disminuir vel.",IF(AS380&gt;1.1,"Aumentar vel.","Cumple"))</f>
        <v>#N/A</v>
      </c>
      <c r="AU380" s="492" t="e">
        <f t="shared" ref="AU380:AU387" si="1134">+I380*AL380*AM380</f>
        <v>#N/A</v>
      </c>
      <c r="AV380" s="471" t="e">
        <f t="shared" ref="AV380:AV387" si="1135">+L380*AL380*AM380</f>
        <v>#N/A</v>
      </c>
      <c r="AW380" s="471" t="e">
        <f t="shared" ref="AW380:AW387" si="1136">ROUND(IF(AI380&gt;(AV380*0.05),(AV380+AI380),AV380),2)</f>
        <v>#N/A</v>
      </c>
      <c r="AX380" s="478" t="e">
        <f>IF(OR(C380="",D380=""),"",ROUND(((VLOOKUP(C380,'Base de Diseño (2)'!$A$2:$C$333,2,FALSE)-VLOOKUP(D380,'Base de Diseño (2)'!$A$2:$C$333,2,FALSE))^2+(VLOOKUP(C380,'Base de Diseño (2)'!$A$2:$C$333,3,0)-VLOOKUP(D380,'Base de Diseño (2)'!$A$2:$C$333,3,FALSE))^2)^0.5,2))</f>
        <v>#N/A</v>
      </c>
      <c r="AY380" s="493">
        <v>14</v>
      </c>
      <c r="AZ380" s="480">
        <f>IF(AND(L380="",H380=""),"",IF(BA380=4,VLOOKUP(AY380,'TABLA (2)'!$A$74:$C$89,2),IF(BA380=5,VLOOKUP(AY380,'TABLA (2)'!$A$51:$B$66,2),IF(BA380=6,VLOOKUP(AY380,'TABLA (2)'!$A$9:$B$43,2)))))</f>
        <v>350</v>
      </c>
      <c r="BA380" s="493">
        <v>6</v>
      </c>
      <c r="BB380" s="478" t="e">
        <f>IF(OR(C380="",D380=""),"",VLOOKUP(C380,'Base de Diseño (2)'!$A$2:$D$330,4,FALSE))</f>
        <v>#N/A</v>
      </c>
      <c r="BC380" s="478">
        <f>IF(OR(C380="",D380=""),"",VLOOKUP(D380,'Base de Diseño (2)'!$A$2:$D$330,4,FALSE))</f>
        <v>990.62699999999995</v>
      </c>
      <c r="BD380" s="23">
        <f t="shared" ref="BD380:BD387" si="1137">+BF380-((AZ380/1000)+CX380)</f>
        <v>0.79000000000004555</v>
      </c>
      <c r="BE380" s="23">
        <f t="shared" ref="BE380:BE387" si="1138">+BG380-((AZ380/1000)+CX380)</f>
        <v>1.7599999999999592</v>
      </c>
      <c r="BF380" s="494">
        <v>1.2000000000000455</v>
      </c>
      <c r="BG380" s="494">
        <v>2.1699999999999591</v>
      </c>
      <c r="BH380" s="495" t="e">
        <f t="shared" ref="BH380:BI387" si="1139">BB380-BF380</f>
        <v>#N/A</v>
      </c>
      <c r="BI380" s="495">
        <f t="shared" si="1139"/>
        <v>988.45699999999999</v>
      </c>
      <c r="BJ380" s="534">
        <f t="shared" si="1044"/>
        <v>0</v>
      </c>
      <c r="BK380" s="475" t="e">
        <f t="shared" ref="BK380:BK387" si="1140">ABS((BB380-BC380)/AX380)*100</f>
        <v>#N/A</v>
      </c>
      <c r="BL380" s="475" t="e">
        <f t="shared" ref="BL380:BL387" si="1141">((BH380-BI380)/AX380)*100</f>
        <v>#N/A</v>
      </c>
      <c r="BM380" s="475" t="e">
        <f t="shared" ref="BM380:BM387" si="1142">IF(BA380=6,(1/0.013)*((AZ380/4000)^(2/3))*((BL380/100)^(0.5)),(1/0.009)*((AZ380/4000)^(2/3))*((BL380/100)^(0.5)))</f>
        <v>#N/A</v>
      </c>
      <c r="BN380" s="475" t="e">
        <f t="shared" ref="BN380:BN387" si="1143">1000*BM380*PI()*((AZ380/1000/2)^2)</f>
        <v>#N/A</v>
      </c>
      <c r="BO380" s="204" t="e">
        <f t="shared" ref="BO380:BO387" si="1144">AI380/BN380</f>
        <v>#N/A</v>
      </c>
      <c r="BP380" s="496" t="e">
        <f t="shared" ref="BP380:BP387" si="1145">IF(L380=0," ",AW380/BN380)</f>
        <v>#N/A</v>
      </c>
      <c r="BQ380" s="497" t="e">
        <f t="shared" ref="BQ380:BQ387" si="1146">IF($BO380&gt;0 =AND($BO380&lt;=0.06),10^(0.029806+0.29095*LOG($BO380)),IF($BO380&gt;0.06 =AND($BO380&lt;=0.26),10^(0.013778+0.282597*LOG($BO380)),IF($BO380&gt;0.26 =AND($BO380&lt;=0.91),10^(0.021763+0.28995*LOG($BO380)),1)))</f>
        <v>#N/A</v>
      </c>
      <c r="BR380" s="497" t="e">
        <f t="shared" ref="BR380:BR387" si="1147">IF($BP380&gt;0 =AND($BP380&lt;=0.06),10^(0.029806+0.29095*LOG($BP380)),IF($BP380&gt;0.06 =AND($BP380&lt;=0.26),10^(0.013778+0.282597*LOG($BP380)),IF($BP380&gt;0.26 =AND($BP380&lt;=2),10^(0.021763+0.28995*LOG($BP380))," ")))</f>
        <v>#N/A</v>
      </c>
      <c r="BS380" s="475" t="e">
        <f t="shared" ref="BS380:BS387" si="1148">BM380*BQ380</f>
        <v>#N/A</v>
      </c>
      <c r="BT380" s="475" t="e">
        <f t="shared" ref="BT380:BT387" si="1149">IF(BP380=" "," ",(BM380*BR380))</f>
        <v>#N/A</v>
      </c>
      <c r="BU380" s="475" t="e">
        <f t="shared" ref="BU380:BU387" si="1150">IF(BO380&lt;=0.11,0.3827+0.0645*LN(BO380),IF(BO380&lt;=0.21,0.60025+0.15471*LN(BO380),IF(BO380&lt;1,0.225+0.6666666667*BO380,0)))</f>
        <v>#N/A</v>
      </c>
      <c r="BV380" s="475" t="e">
        <f t="shared" ref="BV380:BV387" si="1151">IF(BP380&lt;=0.11,0.3827+0.0645*LN(BP380),IF(BP380&lt;=0.21,0.60025+0.15471*LN(BP380),IF(BP380&lt;1,0.225+0.6666666667*BP380," ")))</f>
        <v>#N/A</v>
      </c>
      <c r="BW380" s="475" t="e">
        <f t="shared" ref="BW380:BW387" si="1152">2*ACOS(1-2*(BU380))</f>
        <v>#N/A</v>
      </c>
      <c r="BX380" s="475" t="e">
        <f t="shared" ref="BX380:BX387" si="1153">IF(BP380=" "," ",(2*ACOS(1-2*(BV380))))</f>
        <v>#N/A</v>
      </c>
      <c r="BY380" s="475" t="e">
        <f t="shared" ref="BY380:BY387" si="1154">(1/4)*(1-(SIN(BW380))/BW380)</f>
        <v>#N/A</v>
      </c>
      <c r="BZ380" s="475" t="e">
        <f t="shared" ref="BZ380:BZ387" si="1155">IF(BP380=" "," ",((1/4)*(1-(SIN(BX380))/BX380)))</f>
        <v>#N/A</v>
      </c>
      <c r="CA380" s="471" t="e">
        <f t="shared" ref="CA380:CA387" si="1156">BY380*AZ380/1000</f>
        <v>#N/A</v>
      </c>
      <c r="CB380" s="471" t="e">
        <f t="shared" ref="CB380:CB387" si="1157">IF(BP380=" "," ",(BZ380*AZ380/1000))</f>
        <v>#N/A</v>
      </c>
      <c r="CC380" s="471" t="e">
        <f t="shared" si="1038"/>
        <v>#N/A</v>
      </c>
      <c r="CD380" s="471" t="e">
        <f t="shared" ref="CD380:CD387" si="1158">IF(CC380="","",IF(CC380&lt;0.7,"F. Subcrítico",IF(AND(CC380&gt;0.7,CC380&lt;1),"F. Subcrítico Inestable",IF(CC380=1,"F. Crítico",IF(AND(CC380&gt;1,CC380&lt;1.5),"F. Supercrítico Inestable",IF(CC380&gt;1.5,"F. Supercrítico",""))))))</f>
        <v>#N/A</v>
      </c>
      <c r="CE380" s="471" t="e">
        <f t="shared" ref="CE380:CE387" si="1159">1000*BL380*CA380/100</f>
        <v>#N/A</v>
      </c>
      <c r="CF380" s="471" t="e">
        <f t="shared" ref="CF380:CF387" si="1160">IF(BP380=" "," ",(1000*BL380*CB380/100))</f>
        <v>#N/A</v>
      </c>
      <c r="CG380" s="471" t="e">
        <f t="shared" ref="CG380:CG387" si="1161">IF(BS380&lt;0.45,"No cumple",IF(BS380&gt;5,"No cumple","O.K"))</f>
        <v>#N/A</v>
      </c>
      <c r="CH380" s="471" t="e">
        <f t="shared" ref="CH380:CH387" si="1162">IF(BT380&lt;0.75,"No cumple",IF(BT380&gt;10,"No cumple","O.K"))</f>
        <v>#N/A</v>
      </c>
      <c r="CI380" s="471" t="e">
        <f t="shared" ref="CI380:CI387" si="1163">IF(CE380&gt;0.1,"OK","V.C.H.")</f>
        <v>#N/A</v>
      </c>
      <c r="CJ380" s="471" t="e">
        <f t="shared" ref="CJ380:CJ387" si="1164">IF(CF380&gt;0.2,"OK","V.C.H.")</f>
        <v>#N/A</v>
      </c>
      <c r="CK380" s="468">
        <f t="shared" ref="CK380:CK387" si="1165">+BJ380</f>
        <v>0</v>
      </c>
      <c r="CL380" s="482" t="s">
        <v>2507</v>
      </c>
      <c r="CM380" s="482"/>
      <c r="CN380" s="63" t="str">
        <f t="shared" ref="CN380:CN387" si="1166">IF(B380=1,"dato"," ")</f>
        <v>dato</v>
      </c>
      <c r="CO380" s="527" t="e">
        <f t="shared" si="1042"/>
        <v>#N/A</v>
      </c>
      <c r="CP380" s="542" t="e">
        <f t="shared" si="1043"/>
        <v>#N/A</v>
      </c>
      <c r="CQ380" s="482" t="s">
        <v>2508</v>
      </c>
      <c r="CR380" s="204" t="e">
        <f t="shared" ref="CR380:CR387" si="1167">IF(BA380="","",AX380)</f>
        <v>#N/A</v>
      </c>
      <c r="CS380" s="486">
        <v>1.2</v>
      </c>
      <c r="CT380" s="486">
        <v>1.2</v>
      </c>
      <c r="CU380" s="23" t="e">
        <f t="shared" ref="CU380:CU387" si="1168">IF($BA380="","",SQRT((BH380-BI380)^2+$CR380^2))</f>
        <v>#N/A</v>
      </c>
      <c r="CV380" s="499" t="s">
        <v>2509</v>
      </c>
      <c r="CW380" s="488" t="str">
        <f t="shared" ref="CW380:CW387" si="1169">+IF(BD380&lt;=0.9,"E1",IF(BD380&lt;=2.5,"E2","E3"))</f>
        <v>E1</v>
      </c>
      <c r="CX380" s="204">
        <f>IF(AND(L380="",H380=""),"",IF(AND(BA380&lt;&gt;4,BA380&lt;&gt;5),VLOOKUP(AY380,'TABLA (2)'!$A$9:$D$43,4),IF(BA380=4,VLOOKUP(AY380,'TABLA (2)'!$A$74:$D$89,4),VLOOKUP(AY380,'TABLA (2)'!$A$51:$D$66,4))))</f>
        <v>0.06</v>
      </c>
      <c r="CY380" s="482"/>
      <c r="CZ380" s="482"/>
      <c r="DA380" s="482"/>
      <c r="DB380" s="490"/>
    </row>
    <row r="381" spans="1:106" ht="15" hidden="1" customHeight="1">
      <c r="A381" s="465">
        <f t="shared" ref="A381:A387" si="1170">+A380+1</f>
        <v>274</v>
      </c>
      <c r="B381" s="491"/>
      <c r="C381" s="466" t="s">
        <v>2347</v>
      </c>
      <c r="D381" s="466" t="s">
        <v>2077</v>
      </c>
      <c r="E381" s="468">
        <v>0.2708060477</v>
      </c>
      <c r="F381" s="468"/>
      <c r="G381" s="537">
        <f t="shared" si="1039"/>
        <v>0.72981199350000003</v>
      </c>
      <c r="H381" s="537">
        <f t="shared" si="1040"/>
        <v>1.0006180412000001</v>
      </c>
      <c r="I381" s="468">
        <v>0.2708060477</v>
      </c>
      <c r="J381" s="468"/>
      <c r="K381" s="467">
        <f t="shared" ca="1" si="1108"/>
        <v>0.72981199350000003</v>
      </c>
      <c r="L381" s="468">
        <f t="shared" ca="1" si="1109"/>
        <v>1.0006180412000001</v>
      </c>
      <c r="M381" s="469">
        <f t="shared" si="1110"/>
        <v>242.33666300502347</v>
      </c>
      <c r="N381" s="470">
        <f t="shared" si="1111"/>
        <v>65.626233921197212</v>
      </c>
      <c r="O381" s="470">
        <f t="shared" si="1112"/>
        <v>0</v>
      </c>
      <c r="P381" s="470">
        <f t="shared" si="1113"/>
        <v>242.4864370470311</v>
      </c>
      <c r="Q381" s="469">
        <f t="shared" si="1114"/>
        <v>140</v>
      </c>
      <c r="R381" s="471">
        <f t="shared" si="1115"/>
        <v>0.33398016213653586</v>
      </c>
      <c r="S381" s="471"/>
      <c r="T381" s="471"/>
      <c r="U381" s="471">
        <f t="shared" si="1116"/>
        <v>0</v>
      </c>
      <c r="V381" s="471"/>
      <c r="W381" s="471"/>
      <c r="X381" s="471">
        <f t="shared" si="1117"/>
        <v>0</v>
      </c>
      <c r="Y381" s="471">
        <f t="shared" si="1118"/>
        <v>0.20012360824000003</v>
      </c>
      <c r="Z381" s="471">
        <f t="shared" ca="1" si="1119"/>
        <v>0</v>
      </c>
      <c r="AA381" s="471">
        <f t="shared" si="1033"/>
        <v>3.8</v>
      </c>
      <c r="AB381" s="471">
        <f t="shared" si="1120"/>
        <v>1.2691246161188363</v>
      </c>
      <c r="AC381" s="471">
        <f t="shared" si="1121"/>
        <v>9.0387984220167458E-2</v>
      </c>
      <c r="AD381" s="471">
        <f t="shared" si="1122"/>
        <v>5.4161209540000005E-2</v>
      </c>
      <c r="AE381" s="471">
        <f t="shared" si="1122"/>
        <v>0</v>
      </c>
      <c r="AF381" s="510">
        <f t="shared" si="958"/>
        <v>3.8</v>
      </c>
      <c r="AG381" s="471">
        <f t="shared" si="1123"/>
        <v>0.34347434003663635</v>
      </c>
      <c r="AH381" s="471">
        <f t="shared" si="1124"/>
        <v>0.39763554957663638</v>
      </c>
      <c r="AI381" s="471">
        <f t="shared" ca="1" si="1125"/>
        <v>1.5</v>
      </c>
      <c r="AJ381" s="471">
        <f t="shared" si="1126"/>
        <v>0.75</v>
      </c>
      <c r="AK381" s="472">
        <f t="shared" si="1127"/>
        <v>2.3358736571480881E-2</v>
      </c>
      <c r="AL381" s="471">
        <f t="shared" si="1128"/>
        <v>0.62866793682857414</v>
      </c>
      <c r="AM381" s="473" t="e">
        <f t="shared" si="1041"/>
        <v>#N/A</v>
      </c>
      <c r="AN381" s="474" t="e">
        <f t="shared" si="1037"/>
        <v>#N/A</v>
      </c>
      <c r="AO381" s="474">
        <f t="shared" si="1129"/>
        <v>0.60505555555555557</v>
      </c>
      <c r="AP381" s="474" t="e">
        <f t="shared" si="1130"/>
        <v>#N/A</v>
      </c>
      <c r="AQ381" s="475">
        <v>3</v>
      </c>
      <c r="AR381" s="474" t="e">
        <f t="shared" ca="1" si="1131"/>
        <v>#N/A</v>
      </c>
      <c r="AS381" s="474" t="e">
        <f t="shared" ca="1" si="1132"/>
        <v>#N/A</v>
      </c>
      <c r="AT381" s="471" t="e">
        <f t="shared" ca="1" si="1133"/>
        <v>#N/A</v>
      </c>
      <c r="AU381" s="492" t="e">
        <f t="shared" si="1134"/>
        <v>#N/A</v>
      </c>
      <c r="AV381" s="471" t="e">
        <f t="shared" ca="1" si="1135"/>
        <v>#N/A</v>
      </c>
      <c r="AW381" s="471" t="e">
        <f t="shared" ca="1" si="1136"/>
        <v>#N/A</v>
      </c>
      <c r="AX381" s="478">
        <f>IF(OR(C381="",D381=""),"",ROUND(((VLOOKUP(C381,'Base de Diseño (2)'!$A$2:$C$333,2,FALSE)-VLOOKUP(D381,'Base de Diseño (2)'!$A$2:$C$333,2,FALSE))^2+(VLOOKUP(C381,'Base de Diseño (2)'!$A$2:$C$333,3,0)-VLOOKUP(D381,'Base de Diseño (2)'!$A$2:$C$333,3,FALSE))^2)^0.5,2))</f>
        <v>108.91</v>
      </c>
      <c r="AY381" s="493">
        <v>12</v>
      </c>
      <c r="AZ381" s="480">
        <f ca="1">IF(AND(L381="",H381=""),"",IF(BA381=4,VLOOKUP(AY381,'TABLA (2)'!$A$74:$C$89,2),IF(BA381=5,VLOOKUP(AY381,'TABLA (2)'!$A$51:$B$66,2),IF(BA381=6,VLOOKUP(AY381,'TABLA (2)'!$A$9:$B$43,2)))))</f>
        <v>300</v>
      </c>
      <c r="BA381" s="493">
        <v>6</v>
      </c>
      <c r="BB381" s="478">
        <f>IF(OR(C381="",D381=""),"",VLOOKUP(C381,'Base de Diseño (2)'!$A$2:$D$330,4,FALSE))</f>
        <v>990.62699999999995</v>
      </c>
      <c r="BC381" s="478">
        <f>IF(OR(C381="",D381=""),"",VLOOKUP(D381,'Base de Diseño (2)'!$A$2:$D$330,4,FALSE))</f>
        <v>988.08299999999997</v>
      </c>
      <c r="BD381" s="23">
        <f t="shared" ca="1" si="1137"/>
        <v>1.8229999999999591</v>
      </c>
      <c r="BE381" s="23">
        <f t="shared" ca="1" si="1138"/>
        <v>1.0529999999999773</v>
      </c>
      <c r="BF381" s="494">
        <v>2.1699999999999591</v>
      </c>
      <c r="BG381" s="494">
        <v>1.3999999999999773</v>
      </c>
      <c r="BH381" s="495">
        <f t="shared" si="1139"/>
        <v>988.45699999999999</v>
      </c>
      <c r="BI381" s="495">
        <f t="shared" si="1139"/>
        <v>986.68299999999999</v>
      </c>
      <c r="BJ381" s="534">
        <f t="shared" si="1044"/>
        <v>0.10000000000002274</v>
      </c>
      <c r="BK381" s="475">
        <f t="shared" si="1140"/>
        <v>2.3358736571480883</v>
      </c>
      <c r="BL381" s="475">
        <f t="shared" si="1141"/>
        <v>1.6288678725553218</v>
      </c>
      <c r="BM381" s="475">
        <f t="shared" ca="1" si="1142"/>
        <v>1.7459846397010128</v>
      </c>
      <c r="BN381" s="475">
        <f t="shared" ca="1" si="1143"/>
        <v>123.41638164071979</v>
      </c>
      <c r="BO381" s="204">
        <f t="shared" ca="1" si="1144"/>
        <v>1.215397810289629E-2</v>
      </c>
      <c r="BP381" s="496" t="e">
        <f t="shared" ca="1" si="1145"/>
        <v>#N/A</v>
      </c>
      <c r="BQ381" s="497">
        <f t="shared" ca="1" si="1146"/>
        <v>0.29686215303077829</v>
      </c>
      <c r="BR381" s="497" t="e">
        <f t="shared" ca="1" si="1147"/>
        <v>#N/A</v>
      </c>
      <c r="BS381" s="475">
        <f t="shared" ca="1" si="1148"/>
        <v>0.5183167593003104</v>
      </c>
      <c r="BT381" s="475" t="e">
        <f t="shared" ca="1" si="1149"/>
        <v>#N/A</v>
      </c>
      <c r="BU381" s="475">
        <f t="shared" ca="1" si="1150"/>
        <v>9.8248630824419592E-2</v>
      </c>
      <c r="BV381" s="475" t="e">
        <f t="shared" ca="1" si="1151"/>
        <v>#N/A</v>
      </c>
      <c r="BW381" s="475">
        <f t="shared" ca="1" si="1152"/>
        <v>1.2752805569997394</v>
      </c>
      <c r="BX381" s="475" t="e">
        <f t="shared" ca="1" si="1153"/>
        <v>#N/A</v>
      </c>
      <c r="BY381" s="475">
        <f t="shared" ca="1" si="1154"/>
        <v>6.2462431309655758E-2</v>
      </c>
      <c r="BZ381" s="475" t="e">
        <f t="shared" ca="1" si="1155"/>
        <v>#N/A</v>
      </c>
      <c r="CA381" s="471">
        <f t="shared" ca="1" si="1156"/>
        <v>1.8738729392896725E-2</v>
      </c>
      <c r="CB381" s="471" t="e">
        <f t="shared" ca="1" si="1157"/>
        <v>#N/A</v>
      </c>
      <c r="CC381" s="471" t="e">
        <f t="shared" ca="1" si="1038"/>
        <v>#N/A</v>
      </c>
      <c r="CD381" s="471" t="e">
        <f t="shared" ca="1" si="1158"/>
        <v>#N/A</v>
      </c>
      <c r="CE381" s="471">
        <f t="shared" ca="1" si="1159"/>
        <v>0.30522914280597563</v>
      </c>
      <c r="CF381" s="471" t="e">
        <f t="shared" ca="1" si="1160"/>
        <v>#N/A</v>
      </c>
      <c r="CG381" s="471" t="str">
        <f t="shared" ca="1" si="1161"/>
        <v>O.K</v>
      </c>
      <c r="CH381" s="471" t="e">
        <f t="shared" ca="1" si="1162"/>
        <v>#N/A</v>
      </c>
      <c r="CI381" s="471" t="str">
        <f t="shared" ca="1" si="1163"/>
        <v>OK</v>
      </c>
      <c r="CJ381" s="471" t="e">
        <f t="shared" ca="1" si="1164"/>
        <v>#N/A</v>
      </c>
      <c r="CK381" s="468">
        <f t="shared" si="1165"/>
        <v>0.10000000000002274</v>
      </c>
      <c r="CL381" s="482" t="s">
        <v>2507</v>
      </c>
      <c r="CM381" s="482"/>
      <c r="CN381" s="63" t="str">
        <f t="shared" si="1166"/>
        <v xml:space="preserve"> </v>
      </c>
      <c r="CO381" s="527">
        <f t="shared" si="1042"/>
        <v>108.91</v>
      </c>
      <c r="CP381" s="511">
        <f t="shared" si="1043"/>
        <v>2.3358736571480881E-2</v>
      </c>
      <c r="CQ381" s="482" t="s">
        <v>2508</v>
      </c>
      <c r="CR381" s="204">
        <f t="shared" si="1167"/>
        <v>108.91</v>
      </c>
      <c r="CS381" s="486">
        <v>1.2</v>
      </c>
      <c r="CT381" s="486">
        <v>1.2</v>
      </c>
      <c r="CU381" s="23">
        <f t="shared" si="1168"/>
        <v>108.92444709981318</v>
      </c>
      <c r="CV381" s="499" t="s">
        <v>2509</v>
      </c>
      <c r="CW381" s="488" t="str">
        <f t="shared" ca="1" si="1169"/>
        <v>E2</v>
      </c>
      <c r="CX381" s="204">
        <f ca="1">IF(AND(L381="",H381=""),"",IF(AND(BA381&lt;&gt;4,BA381&lt;&gt;5),VLOOKUP(AY381,'TABLA (2)'!$A$9:$D$43,4),IF(BA381=4,VLOOKUP(AY381,'TABLA (2)'!$A$74:$D$89,4),VLOOKUP(AY381,'TABLA (2)'!$A$51:$D$66,4))))</f>
        <v>4.7E-2</v>
      </c>
      <c r="CY381" s="482"/>
      <c r="CZ381" s="482"/>
      <c r="DA381" s="482"/>
      <c r="DB381" s="490"/>
    </row>
    <row r="382" spans="1:106" ht="15" hidden="1" customHeight="1">
      <c r="A382" s="465">
        <f t="shared" si="1170"/>
        <v>275</v>
      </c>
      <c r="B382" s="491"/>
      <c r="C382" s="466" t="s">
        <v>2077</v>
      </c>
      <c r="D382" s="466" t="s">
        <v>2531</v>
      </c>
      <c r="E382" s="468"/>
      <c r="F382" s="468"/>
      <c r="G382" s="537">
        <f t="shared" si="1039"/>
        <v>1.0006180412000001</v>
      </c>
      <c r="H382" s="537">
        <f t="shared" si="1040"/>
        <v>1.0006180412000001</v>
      </c>
      <c r="I382" s="468"/>
      <c r="J382" s="468"/>
      <c r="K382" s="467">
        <f t="shared" ca="1" si="1108"/>
        <v>1.0006180412000001</v>
      </c>
      <c r="L382" s="468">
        <f t="shared" ca="1" si="1109"/>
        <v>1.0006180412000001</v>
      </c>
      <c r="M382" s="469">
        <f t="shared" si="1110"/>
        <v>242.33666300502347</v>
      </c>
      <c r="N382" s="470">
        <f t="shared" si="1111"/>
        <v>0</v>
      </c>
      <c r="O382" s="470">
        <f t="shared" si="1112"/>
        <v>0</v>
      </c>
      <c r="P382" s="470">
        <f t="shared" si="1113"/>
        <v>242.4864370470311</v>
      </c>
      <c r="Q382" s="469">
        <f t="shared" si="1114"/>
        <v>140</v>
      </c>
      <c r="R382" s="471">
        <f t="shared" si="1115"/>
        <v>0.33398016213653586</v>
      </c>
      <c r="S382" s="471"/>
      <c r="T382" s="471"/>
      <c r="U382" s="471">
        <f t="shared" si="1116"/>
        <v>0</v>
      </c>
      <c r="V382" s="471"/>
      <c r="W382" s="471"/>
      <c r="X382" s="471">
        <f t="shared" si="1117"/>
        <v>0</v>
      </c>
      <c r="Y382" s="471">
        <f t="shared" si="1118"/>
        <v>0.20012360824000003</v>
      </c>
      <c r="Z382" s="471">
        <f t="shared" ca="1" si="1119"/>
        <v>0</v>
      </c>
      <c r="AA382" s="471">
        <f t="shared" si="1033"/>
        <v>3.8</v>
      </c>
      <c r="AB382" s="471">
        <f t="shared" si="1120"/>
        <v>1.2691246161188363</v>
      </c>
      <c r="AC382" s="471">
        <f t="shared" si="1121"/>
        <v>0</v>
      </c>
      <c r="AD382" s="471">
        <f t="shared" si="1122"/>
        <v>0</v>
      </c>
      <c r="AE382" s="471">
        <f t="shared" si="1122"/>
        <v>0</v>
      </c>
      <c r="AF382" s="510">
        <f t="shared" si="958"/>
        <v>3.8</v>
      </c>
      <c r="AG382" s="471">
        <f t="shared" si="1123"/>
        <v>0</v>
      </c>
      <c r="AH382" s="471">
        <f t="shared" si="1124"/>
        <v>0</v>
      </c>
      <c r="AI382" s="471">
        <f t="shared" ca="1" si="1125"/>
        <v>1.5</v>
      </c>
      <c r="AJ382" s="471">
        <f t="shared" si="1126"/>
        <v>0.75</v>
      </c>
      <c r="AK382" s="472" t="e">
        <f t="shared" si="1127"/>
        <v>#N/A</v>
      </c>
      <c r="AL382" s="471" t="e">
        <f t="shared" si="1128"/>
        <v>#N/A</v>
      </c>
      <c r="AM382" s="473" t="e">
        <f t="shared" si="1041"/>
        <v>#N/A</v>
      </c>
      <c r="AN382" s="474" t="e">
        <f t="shared" si="1037"/>
        <v>#N/A</v>
      </c>
      <c r="AO382" s="474" t="e">
        <f t="shared" si="1129"/>
        <v>#N/A</v>
      </c>
      <c r="AP382" s="474" t="e">
        <f t="shared" si="1130"/>
        <v>#N/A</v>
      </c>
      <c r="AQ382" s="475">
        <v>3</v>
      </c>
      <c r="AR382" s="474" t="e">
        <f t="shared" ca="1" si="1131"/>
        <v>#N/A</v>
      </c>
      <c r="AS382" s="474" t="e">
        <f t="shared" ca="1" si="1132"/>
        <v>#N/A</v>
      </c>
      <c r="AT382" s="471" t="e">
        <f t="shared" ca="1" si="1133"/>
        <v>#N/A</v>
      </c>
      <c r="AU382" s="492" t="e">
        <f t="shared" si="1134"/>
        <v>#N/A</v>
      </c>
      <c r="AV382" s="471" t="e">
        <f t="shared" ca="1" si="1135"/>
        <v>#N/A</v>
      </c>
      <c r="AW382" s="471" t="e">
        <f t="shared" ca="1" si="1136"/>
        <v>#N/A</v>
      </c>
      <c r="AX382" s="478" t="e">
        <f>IF(OR(C382="",D382=""),"",ROUND(((VLOOKUP(C382,'Base de Diseño (2)'!$A$2:$C$333,2,FALSE)-VLOOKUP(D382,'Base de Diseño (2)'!$A$2:$C$333,2,FALSE))^2+(VLOOKUP(C382,'Base de Diseño (2)'!$A$2:$C$333,3,0)-VLOOKUP(D382,'Base de Diseño (2)'!$A$2:$C$333,3,FALSE))^2)^0.5,2))</f>
        <v>#N/A</v>
      </c>
      <c r="AY382" s="493">
        <v>12</v>
      </c>
      <c r="AZ382" s="480">
        <f ca="1">IF(AND(L382="",H382=""),"",IF(BA382=4,VLOOKUP(AY382,'TABLA (2)'!$A$74:$C$89,2),IF(BA382=5,VLOOKUP(AY382,'TABLA (2)'!$A$51:$B$66,2),IF(BA382=6,VLOOKUP(AY382,'TABLA (2)'!$A$9:$B$43,2)))))</f>
        <v>300</v>
      </c>
      <c r="BA382" s="493">
        <v>6</v>
      </c>
      <c r="BB382" s="478">
        <f>IF(OR(C382="",D382=""),"",VLOOKUP(C382,'Base de Diseño (2)'!$A$2:$D$330,4,FALSE))</f>
        <v>988.08299999999997</v>
      </c>
      <c r="BC382" s="478" t="e">
        <f>IF(OR(C382="",D382=""),"",VLOOKUP(D382,'Base de Diseño (2)'!$A$2:$D$330,4,FALSE))</f>
        <v>#N/A</v>
      </c>
      <c r="BD382" s="23">
        <f t="shared" ca="1" si="1137"/>
        <v>1.153</v>
      </c>
      <c r="BE382" s="23">
        <f t="shared" ca="1" si="1138"/>
        <v>1.653</v>
      </c>
      <c r="BF382" s="494">
        <v>1.5</v>
      </c>
      <c r="BG382" s="494">
        <v>2</v>
      </c>
      <c r="BH382" s="495">
        <f t="shared" si="1139"/>
        <v>986.58299999999997</v>
      </c>
      <c r="BI382" s="495" t="e">
        <f t="shared" si="1139"/>
        <v>#N/A</v>
      </c>
      <c r="BJ382" s="534" t="e">
        <f t="shared" si="1044"/>
        <v>#N/A</v>
      </c>
      <c r="BK382" s="475" t="e">
        <f t="shared" si="1140"/>
        <v>#N/A</v>
      </c>
      <c r="BL382" s="475" t="e">
        <f t="shared" si="1141"/>
        <v>#N/A</v>
      </c>
      <c r="BM382" s="475" t="e">
        <f t="shared" ca="1" si="1142"/>
        <v>#N/A</v>
      </c>
      <c r="BN382" s="475" t="e">
        <f t="shared" ca="1" si="1143"/>
        <v>#N/A</v>
      </c>
      <c r="BO382" s="204" t="e">
        <f t="shared" ca="1" si="1144"/>
        <v>#N/A</v>
      </c>
      <c r="BP382" s="496" t="e">
        <f t="shared" ca="1" si="1145"/>
        <v>#N/A</v>
      </c>
      <c r="BQ382" s="497" t="e">
        <f t="shared" ca="1" si="1146"/>
        <v>#N/A</v>
      </c>
      <c r="BR382" s="497" t="e">
        <f t="shared" ca="1" si="1147"/>
        <v>#N/A</v>
      </c>
      <c r="BS382" s="475" t="e">
        <f t="shared" ca="1" si="1148"/>
        <v>#N/A</v>
      </c>
      <c r="BT382" s="475" t="e">
        <f t="shared" ca="1" si="1149"/>
        <v>#N/A</v>
      </c>
      <c r="BU382" s="475" t="e">
        <f t="shared" ca="1" si="1150"/>
        <v>#N/A</v>
      </c>
      <c r="BV382" s="475" t="e">
        <f t="shared" ca="1" si="1151"/>
        <v>#N/A</v>
      </c>
      <c r="BW382" s="475" t="e">
        <f t="shared" ca="1" si="1152"/>
        <v>#N/A</v>
      </c>
      <c r="BX382" s="475" t="e">
        <f t="shared" ca="1" si="1153"/>
        <v>#N/A</v>
      </c>
      <c r="BY382" s="475" t="e">
        <f t="shared" ca="1" si="1154"/>
        <v>#N/A</v>
      </c>
      <c r="BZ382" s="475" t="e">
        <f t="shared" ca="1" si="1155"/>
        <v>#N/A</v>
      </c>
      <c r="CA382" s="471" t="e">
        <f t="shared" ca="1" si="1156"/>
        <v>#N/A</v>
      </c>
      <c r="CB382" s="471" t="e">
        <f t="shared" ca="1" si="1157"/>
        <v>#N/A</v>
      </c>
      <c r="CC382" s="471" t="e">
        <f t="shared" ca="1" si="1038"/>
        <v>#N/A</v>
      </c>
      <c r="CD382" s="471" t="e">
        <f t="shared" ca="1" si="1158"/>
        <v>#N/A</v>
      </c>
      <c r="CE382" s="471" t="e">
        <f t="shared" ca="1" si="1159"/>
        <v>#N/A</v>
      </c>
      <c r="CF382" s="471" t="e">
        <f t="shared" ca="1" si="1160"/>
        <v>#N/A</v>
      </c>
      <c r="CG382" s="471" t="e">
        <f t="shared" ca="1" si="1161"/>
        <v>#N/A</v>
      </c>
      <c r="CH382" s="471" t="e">
        <f t="shared" ca="1" si="1162"/>
        <v>#N/A</v>
      </c>
      <c r="CI382" s="471" t="e">
        <f t="shared" ca="1" si="1163"/>
        <v>#N/A</v>
      </c>
      <c r="CJ382" s="471" t="e">
        <f t="shared" ca="1" si="1164"/>
        <v>#N/A</v>
      </c>
      <c r="CK382" s="468" t="e">
        <f t="shared" si="1165"/>
        <v>#N/A</v>
      </c>
      <c r="CL382" s="482" t="s">
        <v>2507</v>
      </c>
      <c r="CM382" s="482"/>
      <c r="CN382" s="63" t="str">
        <f t="shared" si="1166"/>
        <v xml:space="preserve"> </v>
      </c>
      <c r="CO382" s="527" t="e">
        <f t="shared" si="1042"/>
        <v>#N/A</v>
      </c>
      <c r="CP382" s="542" t="e">
        <f t="shared" si="1043"/>
        <v>#N/A</v>
      </c>
      <c r="CQ382" s="482" t="s">
        <v>2508</v>
      </c>
      <c r="CR382" s="204" t="e">
        <f t="shared" si="1167"/>
        <v>#N/A</v>
      </c>
      <c r="CS382" s="486">
        <v>1.2</v>
      </c>
      <c r="CT382" s="486">
        <v>1.2</v>
      </c>
      <c r="CU382" s="23" t="e">
        <f t="shared" si="1168"/>
        <v>#N/A</v>
      </c>
      <c r="CV382" s="499" t="s">
        <v>2509</v>
      </c>
      <c r="CW382" s="488" t="str">
        <f t="shared" ca="1" si="1169"/>
        <v>E2</v>
      </c>
      <c r="CX382" s="204">
        <f ca="1">IF(AND(L382="",H382=""),"",IF(AND(BA382&lt;&gt;4,BA382&lt;&gt;5),VLOOKUP(AY382,'TABLA (2)'!$A$9:$D$43,4),IF(BA382=4,VLOOKUP(AY382,'TABLA (2)'!$A$74:$D$89,4),VLOOKUP(AY382,'TABLA (2)'!$A$51:$D$66,4))))</f>
        <v>4.7E-2</v>
      </c>
      <c r="CY382" s="482"/>
      <c r="CZ382" s="482"/>
      <c r="DA382" s="482"/>
      <c r="DB382" s="490"/>
    </row>
    <row r="383" spans="1:106" ht="15" hidden="1" customHeight="1">
      <c r="A383" s="465">
        <f t="shared" si="1170"/>
        <v>276</v>
      </c>
      <c r="B383" s="491"/>
      <c r="C383" s="466" t="s">
        <v>2531</v>
      </c>
      <c r="D383" s="466" t="s">
        <v>2168</v>
      </c>
      <c r="E383" s="468">
        <v>6.4951091199999991E-2</v>
      </c>
      <c r="F383" s="468"/>
      <c r="G383" s="537">
        <f t="shared" si="1039"/>
        <v>1.0006180412000001</v>
      </c>
      <c r="H383" s="537">
        <f t="shared" si="1040"/>
        <v>1.0655691324000001</v>
      </c>
      <c r="I383" s="468">
        <v>6.4951091199999991E-2</v>
      </c>
      <c r="J383" s="468"/>
      <c r="K383" s="467">
        <f t="shared" ca="1" si="1108"/>
        <v>1.0006180412000001</v>
      </c>
      <c r="L383" s="468">
        <f t="shared" ca="1" si="1109"/>
        <v>1.0655691324000001</v>
      </c>
      <c r="M383" s="469">
        <f t="shared" si="1110"/>
        <v>242.33666300502347</v>
      </c>
      <c r="N383" s="470">
        <f t="shared" si="1111"/>
        <v>15.740030699942944</v>
      </c>
      <c r="O383" s="470">
        <f t="shared" si="1112"/>
        <v>0</v>
      </c>
      <c r="P383" s="470">
        <f t="shared" si="1113"/>
        <v>258.22646774697404</v>
      </c>
      <c r="Q383" s="469">
        <f t="shared" si="1114"/>
        <v>140</v>
      </c>
      <c r="R383" s="471">
        <f t="shared" si="1115"/>
        <v>0.35565913960520723</v>
      </c>
      <c r="S383" s="471"/>
      <c r="T383" s="471"/>
      <c r="U383" s="471">
        <f t="shared" si="1116"/>
        <v>0</v>
      </c>
      <c r="V383" s="471"/>
      <c r="W383" s="471"/>
      <c r="X383" s="471">
        <f t="shared" si="1117"/>
        <v>0</v>
      </c>
      <c r="Y383" s="471">
        <f t="shared" si="1118"/>
        <v>0.21311382648000002</v>
      </c>
      <c r="Z383" s="471">
        <f t="shared" ca="1" si="1119"/>
        <v>0</v>
      </c>
      <c r="AA383" s="471">
        <f t="shared" si="1033"/>
        <v>3.8</v>
      </c>
      <c r="AB383" s="471">
        <f t="shared" si="1120"/>
        <v>1.3515047304997874</v>
      </c>
      <c r="AC383" s="471">
        <f t="shared" si="1121"/>
        <v>2.1678977468671416E-2</v>
      </c>
      <c r="AD383" s="471">
        <f t="shared" si="1122"/>
        <v>1.2990218239999999E-2</v>
      </c>
      <c r="AE383" s="471">
        <f t="shared" si="1122"/>
        <v>0</v>
      </c>
      <c r="AF383" s="510">
        <f t="shared" si="958"/>
        <v>3.8</v>
      </c>
      <c r="AG383" s="471">
        <f t="shared" si="1123"/>
        <v>8.2380114380951372E-2</v>
      </c>
      <c r="AH383" s="471">
        <f t="shared" si="1124"/>
        <v>9.5370332620951376E-2</v>
      </c>
      <c r="AI383" s="471">
        <f t="shared" ca="1" si="1125"/>
        <v>1.5646185569797875</v>
      </c>
      <c r="AJ383" s="471">
        <f t="shared" si="1126"/>
        <v>0.75</v>
      </c>
      <c r="AK383" s="472" t="e">
        <f t="shared" si="1127"/>
        <v>#N/A</v>
      </c>
      <c r="AL383" s="471" t="e">
        <f t="shared" si="1128"/>
        <v>#N/A</v>
      </c>
      <c r="AM383" s="473" t="e">
        <f t="shared" si="1041"/>
        <v>#N/A</v>
      </c>
      <c r="AN383" s="474" t="e">
        <f t="shared" si="1037"/>
        <v>#N/A</v>
      </c>
      <c r="AO383" s="474" t="e">
        <f t="shared" si="1129"/>
        <v>#N/A</v>
      </c>
      <c r="AP383" s="474" t="e">
        <f t="shared" si="1130"/>
        <v>#N/A</v>
      </c>
      <c r="AQ383" s="475">
        <v>3</v>
      </c>
      <c r="AR383" s="474" t="e">
        <f t="shared" ca="1" si="1131"/>
        <v>#N/A</v>
      </c>
      <c r="AS383" s="474" t="e">
        <f t="shared" ca="1" si="1132"/>
        <v>#N/A</v>
      </c>
      <c r="AT383" s="471" t="e">
        <f t="shared" ca="1" si="1133"/>
        <v>#N/A</v>
      </c>
      <c r="AU383" s="492" t="e">
        <f t="shared" si="1134"/>
        <v>#N/A</v>
      </c>
      <c r="AV383" s="471" t="e">
        <f t="shared" ca="1" si="1135"/>
        <v>#N/A</v>
      </c>
      <c r="AW383" s="471" t="e">
        <f t="shared" ca="1" si="1136"/>
        <v>#N/A</v>
      </c>
      <c r="AX383" s="478" t="e">
        <f>IF(OR(C383="",D383=""),"",ROUND(((VLOOKUP(C383,'Base de Diseño (2)'!$A$2:$C$333,2,FALSE)-VLOOKUP(D383,'Base de Diseño (2)'!$A$2:$C$333,2,FALSE))^2+(VLOOKUP(C383,'Base de Diseño (2)'!$A$2:$C$333,3,0)-VLOOKUP(D383,'Base de Diseño (2)'!$A$2:$C$333,3,FALSE))^2)^0.5,2))</f>
        <v>#N/A</v>
      </c>
      <c r="AY383" s="493">
        <v>12</v>
      </c>
      <c r="AZ383" s="480">
        <f ca="1">IF(AND(L383="",H383=""),"",IF(BA383=4,VLOOKUP(AY383,'TABLA (2)'!$A$74:$C$89,2),IF(BA383=5,VLOOKUP(AY383,'TABLA (2)'!$A$51:$B$66,2),IF(BA383=6,VLOOKUP(AY383,'TABLA (2)'!$A$9:$B$43,2)))))</f>
        <v>300</v>
      </c>
      <c r="BA383" s="493">
        <v>6</v>
      </c>
      <c r="BB383" s="478" t="e">
        <f>IF(OR(C383="",D383=""),"",VLOOKUP(C383,'Base de Diseño (2)'!$A$2:$D$330,4,FALSE))</f>
        <v>#N/A</v>
      </c>
      <c r="BC383" s="478">
        <f>IF(OR(C383="",D383=""),"",VLOOKUP(D383,'Base de Diseño (2)'!$A$2:$D$330,4,FALSE))</f>
        <v>980.00160000000005</v>
      </c>
      <c r="BD383" s="23">
        <f t="shared" ca="1" si="1137"/>
        <v>1.7530000000000228</v>
      </c>
      <c r="BE383" s="23">
        <f t="shared" ca="1" si="1138"/>
        <v>1.153</v>
      </c>
      <c r="BF383" s="494">
        <v>2.1000000000000227</v>
      </c>
      <c r="BG383" s="494">
        <v>1.5</v>
      </c>
      <c r="BH383" s="495" t="e">
        <f t="shared" si="1139"/>
        <v>#N/A</v>
      </c>
      <c r="BI383" s="495">
        <f t="shared" si="1139"/>
        <v>978.50160000000005</v>
      </c>
      <c r="BJ383" s="534">
        <f t="shared" si="1044"/>
        <v>0.60000000000002274</v>
      </c>
      <c r="BK383" s="475" t="e">
        <f t="shared" si="1140"/>
        <v>#N/A</v>
      </c>
      <c r="BL383" s="475" t="e">
        <f t="shared" si="1141"/>
        <v>#N/A</v>
      </c>
      <c r="BM383" s="475" t="e">
        <f t="shared" ca="1" si="1142"/>
        <v>#N/A</v>
      </c>
      <c r="BN383" s="475" t="e">
        <f t="shared" ca="1" si="1143"/>
        <v>#N/A</v>
      </c>
      <c r="BO383" s="204" t="e">
        <f t="shared" ca="1" si="1144"/>
        <v>#N/A</v>
      </c>
      <c r="BP383" s="496" t="e">
        <f t="shared" ca="1" si="1145"/>
        <v>#N/A</v>
      </c>
      <c r="BQ383" s="497" t="e">
        <f t="shared" ca="1" si="1146"/>
        <v>#N/A</v>
      </c>
      <c r="BR383" s="497" t="e">
        <f t="shared" ca="1" si="1147"/>
        <v>#N/A</v>
      </c>
      <c r="BS383" s="475" t="e">
        <f t="shared" ca="1" si="1148"/>
        <v>#N/A</v>
      </c>
      <c r="BT383" s="475" t="e">
        <f t="shared" ca="1" si="1149"/>
        <v>#N/A</v>
      </c>
      <c r="BU383" s="475" t="e">
        <f t="shared" ca="1" si="1150"/>
        <v>#N/A</v>
      </c>
      <c r="BV383" s="475" t="e">
        <f t="shared" ca="1" si="1151"/>
        <v>#N/A</v>
      </c>
      <c r="BW383" s="475" t="e">
        <f t="shared" ca="1" si="1152"/>
        <v>#N/A</v>
      </c>
      <c r="BX383" s="475" t="e">
        <f t="shared" ca="1" si="1153"/>
        <v>#N/A</v>
      </c>
      <c r="BY383" s="475" t="e">
        <f t="shared" ca="1" si="1154"/>
        <v>#N/A</v>
      </c>
      <c r="BZ383" s="475" t="e">
        <f t="shared" ca="1" si="1155"/>
        <v>#N/A</v>
      </c>
      <c r="CA383" s="471" t="e">
        <f t="shared" ca="1" si="1156"/>
        <v>#N/A</v>
      </c>
      <c r="CB383" s="471" t="e">
        <f t="shared" ca="1" si="1157"/>
        <v>#N/A</v>
      </c>
      <c r="CC383" s="471" t="e">
        <f t="shared" ca="1" si="1038"/>
        <v>#N/A</v>
      </c>
      <c r="CD383" s="471" t="e">
        <f t="shared" ca="1" si="1158"/>
        <v>#N/A</v>
      </c>
      <c r="CE383" s="471" t="e">
        <f t="shared" ca="1" si="1159"/>
        <v>#N/A</v>
      </c>
      <c r="CF383" s="471" t="e">
        <f t="shared" ca="1" si="1160"/>
        <v>#N/A</v>
      </c>
      <c r="CG383" s="471" t="e">
        <f t="shared" ca="1" si="1161"/>
        <v>#N/A</v>
      </c>
      <c r="CH383" s="471" t="e">
        <f t="shared" ca="1" si="1162"/>
        <v>#N/A</v>
      </c>
      <c r="CI383" s="471" t="e">
        <f t="shared" ca="1" si="1163"/>
        <v>#N/A</v>
      </c>
      <c r="CJ383" s="471" t="e">
        <f t="shared" ca="1" si="1164"/>
        <v>#N/A</v>
      </c>
      <c r="CK383" s="468">
        <f t="shared" si="1165"/>
        <v>0.60000000000002274</v>
      </c>
      <c r="CL383" s="482" t="s">
        <v>2507</v>
      </c>
      <c r="CM383" s="482"/>
      <c r="CN383" s="63" t="str">
        <f t="shared" si="1166"/>
        <v xml:space="preserve"> </v>
      </c>
      <c r="CO383" s="527" t="e">
        <f t="shared" si="1042"/>
        <v>#N/A</v>
      </c>
      <c r="CP383" s="511" t="e">
        <f t="shared" si="1043"/>
        <v>#N/A</v>
      </c>
      <c r="CQ383" s="482" t="s">
        <v>2508</v>
      </c>
      <c r="CR383" s="204" t="e">
        <f t="shared" si="1167"/>
        <v>#N/A</v>
      </c>
      <c r="CS383" s="486">
        <v>1.2</v>
      </c>
      <c r="CT383" s="486">
        <v>1.2</v>
      </c>
      <c r="CU383" s="23" t="e">
        <f t="shared" si="1168"/>
        <v>#N/A</v>
      </c>
      <c r="CV383" s="499" t="s">
        <v>2509</v>
      </c>
      <c r="CW383" s="488" t="str">
        <f t="shared" ca="1" si="1169"/>
        <v>E2</v>
      </c>
      <c r="CX383" s="204">
        <f ca="1">IF(AND(L383="",H383=""),"",IF(AND(BA383&lt;&gt;4,BA383&lt;&gt;5),VLOOKUP(AY383,'TABLA (2)'!$A$9:$D$43,4),IF(BA383=4,VLOOKUP(AY383,'TABLA (2)'!$A$74:$D$89,4),VLOOKUP(AY383,'TABLA (2)'!$A$51:$D$66,4))))</f>
        <v>4.7E-2</v>
      </c>
      <c r="CY383" s="482"/>
      <c r="CZ383" s="482"/>
      <c r="DA383" s="482"/>
      <c r="DB383" s="490"/>
    </row>
    <row r="384" spans="1:106" ht="15" hidden="1" customHeight="1">
      <c r="A384" s="465">
        <f t="shared" si="1170"/>
        <v>277</v>
      </c>
      <c r="B384" s="491"/>
      <c r="C384" s="466" t="s">
        <v>2168</v>
      </c>
      <c r="D384" s="466" t="s">
        <v>2169</v>
      </c>
      <c r="E384" s="468">
        <v>4.9455949299999996E-2</v>
      </c>
      <c r="F384" s="468"/>
      <c r="G384" s="537">
        <f t="shared" si="1039"/>
        <v>1.0655691324000001</v>
      </c>
      <c r="H384" s="537">
        <f t="shared" si="1040"/>
        <v>1.1150250817</v>
      </c>
      <c r="I384" s="468">
        <v>4.9455949299999996E-2</v>
      </c>
      <c r="J384" s="468"/>
      <c r="K384" s="467">
        <f t="shared" ca="1" si="1108"/>
        <v>1.0655691324000001</v>
      </c>
      <c r="L384" s="468">
        <f t="shared" ca="1" si="1109"/>
        <v>1.1150250817</v>
      </c>
      <c r="M384" s="469">
        <f t="shared" si="1110"/>
        <v>242.33666300502347</v>
      </c>
      <c r="N384" s="470">
        <f t="shared" si="1111"/>
        <v>11.984989719107626</v>
      </c>
      <c r="O384" s="470">
        <f t="shared" si="1112"/>
        <v>0</v>
      </c>
      <c r="P384" s="470">
        <f t="shared" si="1113"/>
        <v>270.21145746608164</v>
      </c>
      <c r="Q384" s="469">
        <f t="shared" si="1114"/>
        <v>140</v>
      </c>
      <c r="R384" s="471">
        <f t="shared" si="1115"/>
        <v>0.37216624350073746</v>
      </c>
      <c r="S384" s="471"/>
      <c r="T384" s="471"/>
      <c r="U384" s="471">
        <f t="shared" si="1116"/>
        <v>0</v>
      </c>
      <c r="V384" s="471"/>
      <c r="W384" s="471"/>
      <c r="X384" s="471">
        <f t="shared" si="1117"/>
        <v>0</v>
      </c>
      <c r="Y384" s="471">
        <f t="shared" si="1118"/>
        <v>0.22300501634000003</v>
      </c>
      <c r="Z384" s="471">
        <f t="shared" ca="1" si="1119"/>
        <v>0</v>
      </c>
      <c r="AA384" s="471">
        <f t="shared" si="1033"/>
        <v>3.8</v>
      </c>
      <c r="AB384" s="471">
        <f t="shared" si="1120"/>
        <v>1.4142317253028023</v>
      </c>
      <c r="AC384" s="471">
        <f t="shared" si="1121"/>
        <v>1.6507103895530176E-2</v>
      </c>
      <c r="AD384" s="471">
        <f t="shared" si="1122"/>
        <v>9.8911898599999999E-3</v>
      </c>
      <c r="AE384" s="471">
        <f t="shared" si="1122"/>
        <v>0</v>
      </c>
      <c r="AF384" s="510">
        <f t="shared" si="958"/>
        <v>3.8</v>
      </c>
      <c r="AG384" s="471">
        <f t="shared" si="1123"/>
        <v>6.2726994803014663E-2</v>
      </c>
      <c r="AH384" s="471">
        <f t="shared" si="1124"/>
        <v>7.2618184663014659E-2</v>
      </c>
      <c r="AI384" s="471">
        <f t="shared" ca="1" si="1125"/>
        <v>1.6372367416428024</v>
      </c>
      <c r="AJ384" s="471">
        <f t="shared" si="1126"/>
        <v>0.75</v>
      </c>
      <c r="AK384" s="472">
        <f t="shared" si="1127"/>
        <v>4.7113163972285529E-2</v>
      </c>
      <c r="AL384" s="471">
        <f t="shared" si="1128"/>
        <v>0.62985565819861433</v>
      </c>
      <c r="AM384" s="473" t="e">
        <f t="shared" si="1041"/>
        <v>#N/A</v>
      </c>
      <c r="AN384" s="474" t="e">
        <f t="shared" ref="AN384:AN415" si="1171">IF(B384=1,IF((0.702*(1.1-$AJ384)*SQRT($CO384))/(($CP384)^(1/3))&lt;5,5,(0.702*(1.1-$AJ384)*SQRT($CO384))/(($CP384)^(1/3))),AP383)</f>
        <v>#N/A</v>
      </c>
      <c r="AO384" s="474">
        <f t="shared" si="1129"/>
        <v>0.12027777777777776</v>
      </c>
      <c r="AP384" s="474" t="e">
        <f t="shared" si="1130"/>
        <v>#N/A</v>
      </c>
      <c r="AQ384" s="475">
        <v>3</v>
      </c>
      <c r="AR384" s="474" t="e">
        <f t="shared" ca="1" si="1131"/>
        <v>#N/A</v>
      </c>
      <c r="AS384" s="474" t="e">
        <f t="shared" ca="1" si="1132"/>
        <v>#N/A</v>
      </c>
      <c r="AT384" s="471" t="e">
        <f t="shared" ca="1" si="1133"/>
        <v>#N/A</v>
      </c>
      <c r="AU384" s="492" t="e">
        <f t="shared" si="1134"/>
        <v>#N/A</v>
      </c>
      <c r="AV384" s="471" t="e">
        <f t="shared" ca="1" si="1135"/>
        <v>#N/A</v>
      </c>
      <c r="AW384" s="471" t="e">
        <f t="shared" ca="1" si="1136"/>
        <v>#N/A</v>
      </c>
      <c r="AX384" s="478">
        <f>IF(OR(C384="",D384=""),"",ROUND(((VLOOKUP(C384,'Base de Diseño (2)'!$A$2:$C$333,2,FALSE)-VLOOKUP(D384,'Base de Diseño (2)'!$A$2:$C$333,2,FALSE))^2+(VLOOKUP(C384,'Base de Diseño (2)'!$A$2:$C$333,3,0)-VLOOKUP(D384,'Base de Diseño (2)'!$A$2:$C$333,3,FALSE))^2)^0.5,2))</f>
        <v>21.65</v>
      </c>
      <c r="AY384" s="493">
        <v>12</v>
      </c>
      <c r="AZ384" s="480">
        <f ca="1">IF(AND(L384="",H384=""),"",IF(BA384=4,VLOOKUP(AY384,'TABLA (2)'!$A$74:$C$89,2),IF(BA384=5,VLOOKUP(AY384,'TABLA (2)'!$A$51:$B$66,2),IF(BA384=6,VLOOKUP(AY384,'TABLA (2)'!$A$9:$B$43,2)))))</f>
        <v>300</v>
      </c>
      <c r="BA384" s="493">
        <v>6</v>
      </c>
      <c r="BB384" s="478">
        <f>IF(OR(C384="",D384=""),"",VLOOKUP(C384,'Base de Diseño (2)'!$A$2:$D$330,4,FALSE))</f>
        <v>980.00160000000005</v>
      </c>
      <c r="BC384" s="478">
        <f>IF(OR(C384="",D384=""),"",VLOOKUP(D384,'Base de Diseño (2)'!$A$2:$D$330,4,FALSE))</f>
        <v>978.98160000000007</v>
      </c>
      <c r="BD384" s="23">
        <f t="shared" ca="1" si="1137"/>
        <v>1.7530000000000228</v>
      </c>
      <c r="BE384" s="23">
        <f t="shared" ca="1" si="1138"/>
        <v>1.4229999999999818</v>
      </c>
      <c r="BF384" s="494">
        <v>2.1000000000000227</v>
      </c>
      <c r="BG384" s="494">
        <v>1.7699999999999818</v>
      </c>
      <c r="BH384" s="495">
        <f t="shared" si="1139"/>
        <v>977.90160000000003</v>
      </c>
      <c r="BI384" s="495">
        <f t="shared" si="1139"/>
        <v>977.21160000000009</v>
      </c>
      <c r="BJ384" s="534">
        <f t="shared" si="1044"/>
        <v>0</v>
      </c>
      <c r="BK384" s="475">
        <f t="shared" si="1140"/>
        <v>4.7113163972285532</v>
      </c>
      <c r="BL384" s="475">
        <f t="shared" si="1141"/>
        <v>3.1870669745955702</v>
      </c>
      <c r="BM384" s="475">
        <f t="shared" ca="1" si="1142"/>
        <v>2.4422666832769928</v>
      </c>
      <c r="BN384" s="475">
        <f t="shared" ca="1" si="1143"/>
        <v>172.63365908152747</v>
      </c>
      <c r="BO384" s="204">
        <f t="shared" ca="1" si="1144"/>
        <v>9.4838790439447599E-3</v>
      </c>
      <c r="BP384" s="496" t="e">
        <f t="shared" ca="1" si="1145"/>
        <v>#N/A</v>
      </c>
      <c r="BQ384" s="497">
        <f t="shared" ca="1" si="1146"/>
        <v>0.27619135363799269</v>
      </c>
      <c r="BR384" s="497" t="e">
        <f t="shared" ca="1" si="1147"/>
        <v>#N/A</v>
      </c>
      <c r="BS384" s="475">
        <f t="shared" ca="1" si="1148"/>
        <v>0.67453294119924345</v>
      </c>
      <c r="BT384" s="475" t="e">
        <f t="shared" ca="1" si="1149"/>
        <v>#N/A</v>
      </c>
      <c r="BU384" s="475">
        <f t="shared" ca="1" si="1150"/>
        <v>8.2248559736102012E-2</v>
      </c>
      <c r="BV384" s="475" t="e">
        <f t="shared" ca="1" si="1151"/>
        <v>#N/A</v>
      </c>
      <c r="BW384" s="475">
        <f t="shared" ca="1" si="1152"/>
        <v>1.1634979877736626</v>
      </c>
      <c r="BX384" s="475" t="e">
        <f t="shared" ca="1" si="1153"/>
        <v>#N/A</v>
      </c>
      <c r="BY384" s="475">
        <f t="shared" ca="1" si="1154"/>
        <v>5.2708214495259836E-2</v>
      </c>
      <c r="BZ384" s="475" t="e">
        <f t="shared" ca="1" si="1155"/>
        <v>#N/A</v>
      </c>
      <c r="CA384" s="471">
        <f t="shared" ca="1" si="1156"/>
        <v>1.581246434857795E-2</v>
      </c>
      <c r="CB384" s="471" t="e">
        <f t="shared" ca="1" si="1157"/>
        <v>#N/A</v>
      </c>
      <c r="CC384" s="471" t="e">
        <f t="shared" ref="CC384:CC415" ca="1" si="1172">+(BT384/SQRT(9.81*(0.125*(BX384-SIN(BX384))*(AZ384/1000)^2)/((AZ384/1000)*SIN(BX384/2))))</f>
        <v>#N/A</v>
      </c>
      <c r="CD384" s="471" t="e">
        <f t="shared" ca="1" si="1158"/>
        <v>#N/A</v>
      </c>
      <c r="CE384" s="471">
        <f t="shared" ca="1" si="1159"/>
        <v>0.50395382912322639</v>
      </c>
      <c r="CF384" s="471" t="e">
        <f t="shared" ca="1" si="1160"/>
        <v>#N/A</v>
      </c>
      <c r="CG384" s="471" t="str">
        <f t="shared" ca="1" si="1161"/>
        <v>O.K</v>
      </c>
      <c r="CH384" s="471" t="e">
        <f t="shared" ca="1" si="1162"/>
        <v>#N/A</v>
      </c>
      <c r="CI384" s="471" t="str">
        <f t="shared" ca="1" si="1163"/>
        <v>OK</v>
      </c>
      <c r="CJ384" s="471" t="e">
        <f t="shared" ca="1" si="1164"/>
        <v>#N/A</v>
      </c>
      <c r="CK384" s="468">
        <f t="shared" si="1165"/>
        <v>0</v>
      </c>
      <c r="CL384" s="482" t="s">
        <v>2507</v>
      </c>
      <c r="CM384" s="482"/>
      <c r="CN384" s="63" t="str">
        <f t="shared" si="1166"/>
        <v xml:space="preserve"> </v>
      </c>
      <c r="CO384" s="527">
        <f t="shared" si="1042"/>
        <v>21.65</v>
      </c>
      <c r="CP384" s="542">
        <f t="shared" si="1043"/>
        <v>4.7113163972285529E-2</v>
      </c>
      <c r="CQ384" s="482" t="s">
        <v>2508</v>
      </c>
      <c r="CR384" s="204">
        <f t="shared" si="1167"/>
        <v>21.65</v>
      </c>
      <c r="CS384" s="486">
        <v>1.2</v>
      </c>
      <c r="CT384" s="486">
        <v>1.2</v>
      </c>
      <c r="CU384" s="23">
        <f t="shared" si="1168"/>
        <v>21.660992590368519</v>
      </c>
      <c r="CV384" s="499" t="s">
        <v>2509</v>
      </c>
      <c r="CW384" s="488" t="str">
        <f t="shared" ca="1" si="1169"/>
        <v>E2</v>
      </c>
      <c r="CX384" s="204">
        <f ca="1">IF(AND(L384="",H384=""),"",IF(AND(BA384&lt;&gt;4,BA384&lt;&gt;5),VLOOKUP(AY384,'TABLA (2)'!$A$9:$D$43,4),IF(BA384=4,VLOOKUP(AY384,'TABLA (2)'!$A$74:$D$89,4),VLOOKUP(AY384,'TABLA (2)'!$A$51:$D$66,4))))</f>
        <v>4.7E-2</v>
      </c>
      <c r="CY384" s="482"/>
      <c r="CZ384" s="482"/>
      <c r="DA384" s="482"/>
      <c r="DB384" s="490"/>
    </row>
    <row r="385" spans="1:106" ht="15" hidden="1" customHeight="1">
      <c r="A385" s="465">
        <f t="shared" si="1170"/>
        <v>278</v>
      </c>
      <c r="B385" s="491"/>
      <c r="C385" s="466" t="s">
        <v>2169</v>
      </c>
      <c r="D385" s="466" t="s">
        <v>2170</v>
      </c>
      <c r="E385" s="468">
        <v>3.6961729800000002E-2</v>
      </c>
      <c r="F385" s="468"/>
      <c r="G385" s="537">
        <f t="shared" si="1039"/>
        <v>1.1150250817</v>
      </c>
      <c r="H385" s="537">
        <f t="shared" si="1040"/>
        <v>1.1519868115</v>
      </c>
      <c r="I385" s="468">
        <v>3.6961729800000002E-2</v>
      </c>
      <c r="J385" s="468"/>
      <c r="K385" s="467">
        <f t="shared" ca="1" si="1108"/>
        <v>1.1150250817</v>
      </c>
      <c r="L385" s="468">
        <f t="shared" ca="1" si="1109"/>
        <v>1.1519868115</v>
      </c>
      <c r="M385" s="469">
        <f t="shared" si="1110"/>
        <v>242.33666300502347</v>
      </c>
      <c r="N385" s="470">
        <f t="shared" si="1111"/>
        <v>8.957182258625334</v>
      </c>
      <c r="O385" s="470">
        <f t="shared" si="1112"/>
        <v>0</v>
      </c>
      <c r="P385" s="470">
        <f t="shared" si="1113"/>
        <v>279.16863972470702</v>
      </c>
      <c r="Q385" s="469">
        <f t="shared" si="1114"/>
        <v>140</v>
      </c>
      <c r="R385" s="471">
        <f t="shared" si="1115"/>
        <v>0.38450310332453858</v>
      </c>
      <c r="S385" s="471"/>
      <c r="T385" s="471"/>
      <c r="U385" s="471">
        <f t="shared" si="1116"/>
        <v>0</v>
      </c>
      <c r="V385" s="471"/>
      <c r="W385" s="471"/>
      <c r="X385" s="471">
        <f t="shared" si="1117"/>
        <v>0</v>
      </c>
      <c r="Y385" s="471">
        <f t="shared" si="1118"/>
        <v>0.23039736230000002</v>
      </c>
      <c r="Z385" s="471">
        <f t="shared" ca="1" si="1119"/>
        <v>0</v>
      </c>
      <c r="AA385" s="471">
        <f t="shared" si="1033"/>
        <v>3.8</v>
      </c>
      <c r="AB385" s="471">
        <f t="shared" si="1120"/>
        <v>1.4611117926332464</v>
      </c>
      <c r="AC385" s="471">
        <f t="shared" si="1121"/>
        <v>1.2336859823801097E-2</v>
      </c>
      <c r="AD385" s="471">
        <f t="shared" si="1122"/>
        <v>7.3923459600000012E-3</v>
      </c>
      <c r="AE385" s="471">
        <f t="shared" si="1122"/>
        <v>0</v>
      </c>
      <c r="AF385" s="510">
        <f t="shared" si="958"/>
        <v>3.8</v>
      </c>
      <c r="AG385" s="471">
        <f t="shared" si="1123"/>
        <v>4.688006733044417E-2</v>
      </c>
      <c r="AH385" s="471">
        <f t="shared" si="1124"/>
        <v>5.4272413290444174E-2</v>
      </c>
      <c r="AI385" s="471">
        <f t="shared" ca="1" si="1125"/>
        <v>1.6915091549332464</v>
      </c>
      <c r="AJ385" s="471">
        <f t="shared" si="1126"/>
        <v>0.75</v>
      </c>
      <c r="AK385" s="472">
        <f t="shared" si="1127"/>
        <v>2.585604472396957E-2</v>
      </c>
      <c r="AL385" s="471">
        <f t="shared" si="1128"/>
        <v>0.62879280223619849</v>
      </c>
      <c r="AM385" s="473" t="e">
        <f t="shared" si="1041"/>
        <v>#N/A</v>
      </c>
      <c r="AN385" s="474" t="e">
        <f t="shared" si="1171"/>
        <v>#N/A</v>
      </c>
      <c r="AO385" s="474">
        <f t="shared" si="1129"/>
        <v>0.23850000000000002</v>
      </c>
      <c r="AP385" s="474" t="e">
        <f t="shared" si="1130"/>
        <v>#N/A</v>
      </c>
      <c r="AQ385" s="475">
        <v>3</v>
      </c>
      <c r="AR385" s="474" t="e">
        <f t="shared" ca="1" si="1131"/>
        <v>#N/A</v>
      </c>
      <c r="AS385" s="474" t="e">
        <f t="shared" ca="1" si="1132"/>
        <v>#N/A</v>
      </c>
      <c r="AT385" s="471" t="e">
        <f t="shared" ca="1" si="1133"/>
        <v>#N/A</v>
      </c>
      <c r="AU385" s="492" t="e">
        <f t="shared" si="1134"/>
        <v>#N/A</v>
      </c>
      <c r="AV385" s="471" t="e">
        <f t="shared" ca="1" si="1135"/>
        <v>#N/A</v>
      </c>
      <c r="AW385" s="471" t="e">
        <f t="shared" ca="1" si="1136"/>
        <v>#N/A</v>
      </c>
      <c r="AX385" s="478">
        <f>IF(OR(C385="",D385=""),"",ROUND(((VLOOKUP(C385,'Base de Diseño (2)'!$A$2:$C$333,2,FALSE)-VLOOKUP(D385,'Base de Diseño (2)'!$A$2:$C$333,2,FALSE))^2+(VLOOKUP(C385,'Base de Diseño (2)'!$A$2:$C$333,3,0)-VLOOKUP(D385,'Base de Diseño (2)'!$A$2:$C$333,3,FALSE))^2)^0.5,2))</f>
        <v>42.93</v>
      </c>
      <c r="AY385" s="493">
        <v>12</v>
      </c>
      <c r="AZ385" s="480">
        <f ca="1">IF(AND(L385="",H385=""),"",IF(BA385=4,VLOOKUP(AY385,'TABLA (2)'!$A$74:$C$89,2),IF(BA385=5,VLOOKUP(AY385,'TABLA (2)'!$A$51:$B$66,2),IF(BA385=6,VLOOKUP(AY385,'TABLA (2)'!$A$9:$B$43,2)))))</f>
        <v>300</v>
      </c>
      <c r="BA385" s="493">
        <v>6</v>
      </c>
      <c r="BB385" s="478">
        <f>IF(OR(C385="",D385=""),"",VLOOKUP(C385,'Base de Diseño (2)'!$A$2:$D$330,4,FALSE))</f>
        <v>978.98160000000007</v>
      </c>
      <c r="BC385" s="478">
        <f>IF(OR(C385="",D385=""),"",VLOOKUP(D385,'Base de Diseño (2)'!$A$2:$D$330,4,FALSE))</f>
        <v>977.87160000000006</v>
      </c>
      <c r="BD385" s="23">
        <f t="shared" ca="1" si="1137"/>
        <v>1.4229999999999818</v>
      </c>
      <c r="BE385" s="23">
        <f t="shared" ca="1" si="1138"/>
        <v>0.75300000000002276</v>
      </c>
      <c r="BF385" s="494">
        <v>1.7699999999999818</v>
      </c>
      <c r="BG385" s="494">
        <v>1.1000000000000227</v>
      </c>
      <c r="BH385" s="495">
        <f t="shared" si="1139"/>
        <v>977.21160000000009</v>
      </c>
      <c r="BI385" s="495">
        <f t="shared" si="1139"/>
        <v>976.77160000000003</v>
      </c>
      <c r="BJ385" s="534">
        <f t="shared" si="1044"/>
        <v>0.65999999999996817</v>
      </c>
      <c r="BK385" s="475">
        <f t="shared" si="1140"/>
        <v>2.5856044723969571</v>
      </c>
      <c r="BL385" s="475">
        <f t="shared" si="1141"/>
        <v>1.024924295364674</v>
      </c>
      <c r="BM385" s="475">
        <f t="shared" ca="1" si="1142"/>
        <v>1.3849796237034828</v>
      </c>
      <c r="BN385" s="475">
        <f t="shared" ca="1" si="1143"/>
        <v>97.898440751964387</v>
      </c>
      <c r="BO385" s="204">
        <f t="shared" ca="1" si="1144"/>
        <v>1.727820322714696E-2</v>
      </c>
      <c r="BP385" s="496" t="e">
        <f t="shared" ca="1" si="1145"/>
        <v>#N/A</v>
      </c>
      <c r="BQ385" s="497">
        <f t="shared" ca="1" si="1146"/>
        <v>0.32885633411418924</v>
      </c>
      <c r="BR385" s="497" t="e">
        <f t="shared" ca="1" si="1147"/>
        <v>#N/A</v>
      </c>
      <c r="BS385" s="475">
        <f t="shared" ca="1" si="1148"/>
        <v>0.45545932187397664</v>
      </c>
      <c r="BT385" s="475" t="e">
        <f t="shared" ca="1" si="1149"/>
        <v>#N/A</v>
      </c>
      <c r="BU385" s="475">
        <f t="shared" ca="1" si="1150"/>
        <v>0.12093903719046717</v>
      </c>
      <c r="BV385" s="475" t="e">
        <f t="shared" ca="1" si="1151"/>
        <v>#N/A</v>
      </c>
      <c r="BW385" s="475">
        <f t="shared" ca="1" si="1152"/>
        <v>1.4207360742169797</v>
      </c>
      <c r="BX385" s="475" t="e">
        <f t="shared" ca="1" si="1153"/>
        <v>#N/A</v>
      </c>
      <c r="BY385" s="475">
        <f t="shared" ca="1" si="1154"/>
        <v>7.6012359006674329E-2</v>
      </c>
      <c r="BZ385" s="475" t="e">
        <f t="shared" ca="1" si="1155"/>
        <v>#N/A</v>
      </c>
      <c r="CA385" s="471">
        <f t="shared" ca="1" si="1156"/>
        <v>2.2803707702002299E-2</v>
      </c>
      <c r="CB385" s="471" t="e">
        <f t="shared" ca="1" si="1157"/>
        <v>#N/A</v>
      </c>
      <c r="CC385" s="471" t="e">
        <f t="shared" ca="1" si="1172"/>
        <v>#N/A</v>
      </c>
      <c r="CD385" s="471" t="e">
        <f t="shared" ca="1" si="1158"/>
        <v>#N/A</v>
      </c>
      <c r="CE385" s="471">
        <f t="shared" ca="1" si="1159"/>
        <v>0.23372074048176697</v>
      </c>
      <c r="CF385" s="471" t="e">
        <f t="shared" ca="1" si="1160"/>
        <v>#N/A</v>
      </c>
      <c r="CG385" s="471" t="str">
        <f t="shared" ca="1" si="1161"/>
        <v>O.K</v>
      </c>
      <c r="CH385" s="471" t="e">
        <f t="shared" ca="1" si="1162"/>
        <v>#N/A</v>
      </c>
      <c r="CI385" s="471" t="str">
        <f t="shared" ca="1" si="1163"/>
        <v>OK</v>
      </c>
      <c r="CJ385" s="471" t="e">
        <f t="shared" ca="1" si="1164"/>
        <v>#N/A</v>
      </c>
      <c r="CK385" s="468">
        <f t="shared" si="1165"/>
        <v>0.65999999999996817</v>
      </c>
      <c r="CL385" s="482" t="s">
        <v>2507</v>
      </c>
      <c r="CM385" s="482"/>
      <c r="CN385" s="63" t="str">
        <f t="shared" si="1166"/>
        <v xml:space="preserve"> </v>
      </c>
      <c r="CO385" s="527">
        <f t="shared" si="1042"/>
        <v>42.93</v>
      </c>
      <c r="CP385" s="511">
        <f t="shared" si="1043"/>
        <v>2.585604472396957E-2</v>
      </c>
      <c r="CQ385" s="482" t="s">
        <v>2508</v>
      </c>
      <c r="CR385" s="204">
        <f t="shared" si="1167"/>
        <v>42.93</v>
      </c>
      <c r="CS385" s="486">
        <v>1.2</v>
      </c>
      <c r="CT385" s="486">
        <v>1.2</v>
      </c>
      <c r="CU385" s="23">
        <f t="shared" si="1168"/>
        <v>42.932254774237052</v>
      </c>
      <c r="CV385" s="499" t="s">
        <v>2509</v>
      </c>
      <c r="CW385" s="488" t="str">
        <f t="shared" ca="1" si="1169"/>
        <v>E2</v>
      </c>
      <c r="CX385" s="204">
        <f ca="1">IF(AND(L385="",H385=""),"",IF(AND(BA385&lt;&gt;4,BA385&lt;&gt;5),VLOOKUP(AY385,'TABLA (2)'!$A$9:$D$43,4),IF(BA385=4,VLOOKUP(AY385,'TABLA (2)'!$A$74:$D$89,4),VLOOKUP(AY385,'TABLA (2)'!$A$51:$D$66,4))))</f>
        <v>4.7E-2</v>
      </c>
      <c r="CY385" s="482"/>
      <c r="CZ385" s="482"/>
      <c r="DA385" s="482"/>
      <c r="DB385" s="490"/>
    </row>
    <row r="386" spans="1:106" ht="15" hidden="1" customHeight="1">
      <c r="A386" s="465">
        <f t="shared" si="1170"/>
        <v>279</v>
      </c>
      <c r="B386" s="491"/>
      <c r="C386" s="466" t="s">
        <v>2170</v>
      </c>
      <c r="D386" s="466" t="s">
        <v>2171</v>
      </c>
      <c r="E386" s="468"/>
      <c r="F386" s="468"/>
      <c r="G386" s="537">
        <f t="shared" si="1039"/>
        <v>1.819733265</v>
      </c>
      <c r="H386" s="537">
        <f t="shared" si="1040"/>
        <v>1.819733265</v>
      </c>
      <c r="I386" s="468"/>
      <c r="J386" s="468"/>
      <c r="K386" s="467">
        <f t="shared" ca="1" si="1108"/>
        <v>1.819733265</v>
      </c>
      <c r="L386" s="468">
        <f t="shared" ca="1" si="1109"/>
        <v>1.819733265</v>
      </c>
      <c r="M386" s="469">
        <f t="shared" si="1110"/>
        <v>242.33666300502347</v>
      </c>
      <c r="N386" s="470">
        <f t="shared" si="1111"/>
        <v>0</v>
      </c>
      <c r="O386" s="470">
        <f t="shared" si="1112"/>
        <v>0</v>
      </c>
      <c r="P386" s="470">
        <f t="shared" si="1113"/>
        <v>440.98808699933608</v>
      </c>
      <c r="Q386" s="469">
        <f t="shared" si="1114"/>
        <v>140</v>
      </c>
      <c r="R386" s="471">
        <f t="shared" si="1115"/>
        <v>0.60737942538102996</v>
      </c>
      <c r="S386" s="471"/>
      <c r="T386" s="471"/>
      <c r="U386" s="471">
        <f t="shared" si="1116"/>
        <v>0</v>
      </c>
      <c r="V386" s="471"/>
      <c r="W386" s="471"/>
      <c r="X386" s="471">
        <f t="shared" si="1117"/>
        <v>0</v>
      </c>
      <c r="Y386" s="471">
        <f t="shared" si="1118"/>
        <v>0.36394665300000001</v>
      </c>
      <c r="Z386" s="471">
        <f t="shared" ca="1" si="1119"/>
        <v>0</v>
      </c>
      <c r="AA386" s="471">
        <f t="shared" si="1033"/>
        <v>3.8</v>
      </c>
      <c r="AB386" s="471">
        <f t="shared" si="1120"/>
        <v>2.308041816447914</v>
      </c>
      <c r="AC386" s="471">
        <f t="shared" si="1121"/>
        <v>0</v>
      </c>
      <c r="AD386" s="471">
        <f t="shared" si="1122"/>
        <v>0</v>
      </c>
      <c r="AE386" s="471">
        <f t="shared" si="1122"/>
        <v>0</v>
      </c>
      <c r="AF386" s="510">
        <f t="shared" si="958"/>
        <v>3.8</v>
      </c>
      <c r="AG386" s="471">
        <f t="shared" si="1123"/>
        <v>0</v>
      </c>
      <c r="AH386" s="471">
        <f t="shared" si="1124"/>
        <v>0</v>
      </c>
      <c r="AI386" s="471">
        <f t="shared" ca="1" si="1125"/>
        <v>2.6719884694479141</v>
      </c>
      <c r="AJ386" s="471">
        <f t="shared" si="1126"/>
        <v>0.75</v>
      </c>
      <c r="AK386" s="472">
        <f t="shared" si="1127"/>
        <v>0.16639317361339187</v>
      </c>
      <c r="AL386" s="471">
        <f t="shared" si="1128"/>
        <v>0.6358196586806697</v>
      </c>
      <c r="AM386" s="473" t="e">
        <f t="shared" si="1041"/>
        <v>#N/A</v>
      </c>
      <c r="AN386" s="474" t="e">
        <f t="shared" si="1171"/>
        <v>#N/A</v>
      </c>
      <c r="AO386" s="474">
        <f t="shared" si="1129"/>
        <v>0.16927777777777778</v>
      </c>
      <c r="AP386" s="474" t="e">
        <f t="shared" si="1130"/>
        <v>#N/A</v>
      </c>
      <c r="AQ386" s="475">
        <v>3</v>
      </c>
      <c r="AR386" s="474" t="e">
        <f t="shared" ca="1" si="1131"/>
        <v>#N/A</v>
      </c>
      <c r="AS386" s="474" t="e">
        <f t="shared" ca="1" si="1132"/>
        <v>#N/A</v>
      </c>
      <c r="AT386" s="471" t="e">
        <f t="shared" ca="1" si="1133"/>
        <v>#N/A</v>
      </c>
      <c r="AU386" s="492" t="e">
        <f t="shared" si="1134"/>
        <v>#N/A</v>
      </c>
      <c r="AV386" s="471" t="e">
        <f t="shared" ca="1" si="1135"/>
        <v>#N/A</v>
      </c>
      <c r="AW386" s="471" t="e">
        <f t="shared" ca="1" si="1136"/>
        <v>#N/A</v>
      </c>
      <c r="AX386" s="478">
        <f>IF(OR(C386="",D386=""),"",ROUND(((VLOOKUP(C386,'Base de Diseño (2)'!$A$2:$C$333,2,FALSE)-VLOOKUP(D386,'Base de Diseño (2)'!$A$2:$C$333,2,FALSE))^2+(VLOOKUP(C386,'Base de Diseño (2)'!$A$2:$C$333,3,0)-VLOOKUP(D386,'Base de Diseño (2)'!$A$2:$C$333,3,FALSE))^2)^0.5,2))</f>
        <v>30.47</v>
      </c>
      <c r="AY386" s="493">
        <v>10</v>
      </c>
      <c r="AZ386" s="480">
        <f ca="1">IF(AND(L386="",H386=""),"",IF(BA386=4,VLOOKUP(AY386,'TABLA (2)'!$A$74:$C$89,2),IF(BA386=5,VLOOKUP(AY386,'TABLA (2)'!$A$51:$B$66,2),IF(BA386=6,VLOOKUP(AY386,'TABLA (2)'!$A$9:$B$43,2)))))</f>
        <v>250</v>
      </c>
      <c r="BA386" s="493">
        <v>6</v>
      </c>
      <c r="BB386" s="478">
        <f>IF(OR(C386="",D386=""),"",VLOOKUP(C386,'Base de Diseño (2)'!$A$2:$D$330,4,FALSE))</f>
        <v>977.87160000000006</v>
      </c>
      <c r="BC386" s="478">
        <f>IF(OR(C386="",D386=""),"",VLOOKUP(D386,'Base de Diseño (2)'!$A$2:$D$330,4,FALSE))</f>
        <v>972.80160000000001</v>
      </c>
      <c r="BD386" s="23">
        <f t="shared" ca="1" si="1137"/>
        <v>1.472999999999991</v>
      </c>
      <c r="BE386" s="23">
        <f t="shared" ca="1" si="1138"/>
        <v>0.52299999999994551</v>
      </c>
      <c r="BF386" s="494">
        <v>1.7599999999999909</v>
      </c>
      <c r="BG386" s="494">
        <v>0.80999999999994543</v>
      </c>
      <c r="BH386" s="495">
        <f t="shared" si="1139"/>
        <v>976.11160000000007</v>
      </c>
      <c r="BI386" s="495">
        <f t="shared" si="1139"/>
        <v>971.99160000000006</v>
      </c>
      <c r="BJ386" s="534">
        <f t="shared" si="1044"/>
        <v>3.0000000000086402E-2</v>
      </c>
      <c r="BK386" s="475">
        <f t="shared" si="1140"/>
        <v>16.639317361339188</v>
      </c>
      <c r="BL386" s="475">
        <f t="shared" si="1141"/>
        <v>13.521496553987545</v>
      </c>
      <c r="BM386" s="475">
        <f t="shared" ca="1" si="1142"/>
        <v>4.4547401219767373</v>
      </c>
      <c r="BN386" s="475">
        <f t="shared" ca="1" si="1143"/>
        <v>218.67154438834089</v>
      </c>
      <c r="BO386" s="204">
        <f t="shared" ca="1" si="1144"/>
        <v>1.2219186894764434E-2</v>
      </c>
      <c r="BP386" s="496" t="e">
        <f t="shared" ca="1" si="1145"/>
        <v>#N/A</v>
      </c>
      <c r="BQ386" s="497">
        <f t="shared" ca="1" si="1146"/>
        <v>0.2973246794654672</v>
      </c>
      <c r="BR386" s="497" t="e">
        <f t="shared" ca="1" si="1147"/>
        <v>#N/A</v>
      </c>
      <c r="BS386" s="475">
        <f t="shared" ca="1" si="1148"/>
        <v>1.3245041788686898</v>
      </c>
      <c r="BT386" s="475" t="e">
        <f t="shared" ca="1" si="1149"/>
        <v>#N/A</v>
      </c>
      <c r="BU386" s="475">
        <f t="shared" ca="1" si="1150"/>
        <v>9.8593762620910075E-2</v>
      </c>
      <c r="BV386" s="475" t="e">
        <f t="shared" ca="1" si="1151"/>
        <v>#N/A</v>
      </c>
      <c r="BW386" s="475">
        <f t="shared" ca="1" si="1152"/>
        <v>1.2775977860126155</v>
      </c>
      <c r="BX386" s="475" t="e">
        <f t="shared" ca="1" si="1153"/>
        <v>#N/A</v>
      </c>
      <c r="BY386" s="475">
        <f t="shared" ca="1" si="1154"/>
        <v>6.2671022921207659E-2</v>
      </c>
      <c r="BZ386" s="475" t="e">
        <f t="shared" ca="1" si="1155"/>
        <v>#N/A</v>
      </c>
      <c r="CA386" s="471">
        <f t="shared" ca="1" si="1156"/>
        <v>1.5667755730301915E-2</v>
      </c>
      <c r="CB386" s="471" t="e">
        <f t="shared" ca="1" si="1157"/>
        <v>#N/A</v>
      </c>
      <c r="CC386" s="471" t="e">
        <f t="shared" ca="1" si="1172"/>
        <v>#N/A</v>
      </c>
      <c r="CD386" s="471" t="e">
        <f t="shared" ca="1" si="1158"/>
        <v>#N/A</v>
      </c>
      <c r="CE386" s="471">
        <f t="shared" ca="1" si="1159"/>
        <v>2.1185150511599593</v>
      </c>
      <c r="CF386" s="471" t="e">
        <f t="shared" ca="1" si="1160"/>
        <v>#N/A</v>
      </c>
      <c r="CG386" s="471" t="str">
        <f t="shared" ca="1" si="1161"/>
        <v>O.K</v>
      </c>
      <c r="CH386" s="471" t="e">
        <f t="shared" ca="1" si="1162"/>
        <v>#N/A</v>
      </c>
      <c r="CI386" s="471" t="str">
        <f t="shared" ca="1" si="1163"/>
        <v>OK</v>
      </c>
      <c r="CJ386" s="471" t="e">
        <f t="shared" ca="1" si="1164"/>
        <v>#N/A</v>
      </c>
      <c r="CK386" s="468">
        <f t="shared" si="1165"/>
        <v>3.0000000000086402E-2</v>
      </c>
      <c r="CL386" s="482" t="s">
        <v>2507</v>
      </c>
      <c r="CM386" s="482"/>
      <c r="CN386" s="63" t="str">
        <f t="shared" si="1166"/>
        <v xml:space="preserve"> </v>
      </c>
      <c r="CO386" s="527">
        <f t="shared" si="1042"/>
        <v>30.47</v>
      </c>
      <c r="CP386" s="542">
        <f t="shared" si="1043"/>
        <v>0.16639317361339187</v>
      </c>
      <c r="CQ386" s="482" t="s">
        <v>2508</v>
      </c>
      <c r="CR386" s="204">
        <f t="shared" si="1167"/>
        <v>30.47</v>
      </c>
      <c r="CS386" s="486">
        <v>1.2</v>
      </c>
      <c r="CT386" s="486">
        <v>1.2</v>
      </c>
      <c r="CU386" s="23">
        <f t="shared" si="1168"/>
        <v>30.747281180618231</v>
      </c>
      <c r="CV386" s="499" t="s">
        <v>2509</v>
      </c>
      <c r="CW386" s="488" t="str">
        <f t="shared" ca="1" si="1169"/>
        <v>E2</v>
      </c>
      <c r="CX386" s="204">
        <f ca="1">IF(AND(L386="",H386=""),"",IF(AND(BA386&lt;&gt;4,BA386&lt;&gt;5),VLOOKUP(AY386,'TABLA (2)'!$A$9:$D$43,4),IF(BA386=4,VLOOKUP(AY386,'TABLA (2)'!$A$74:$D$89,4),VLOOKUP(AY386,'TABLA (2)'!$A$51:$D$66,4))))</f>
        <v>3.6999999999999998E-2</v>
      </c>
      <c r="CY386" s="482"/>
      <c r="CZ386" s="482"/>
      <c r="DA386" s="482"/>
      <c r="DB386" s="490"/>
    </row>
    <row r="387" spans="1:106" ht="15" hidden="1" customHeight="1">
      <c r="A387" s="465">
        <f t="shared" si="1170"/>
        <v>280</v>
      </c>
      <c r="B387" s="491"/>
      <c r="C387" s="466" t="s">
        <v>2171</v>
      </c>
      <c r="D387" s="466" t="s">
        <v>2078</v>
      </c>
      <c r="E387" s="468"/>
      <c r="F387" s="468"/>
      <c r="G387" s="537">
        <f t="shared" si="1039"/>
        <v>1.819733265</v>
      </c>
      <c r="H387" s="537">
        <f t="shared" si="1040"/>
        <v>1.819733265</v>
      </c>
      <c r="I387" s="468"/>
      <c r="J387" s="468"/>
      <c r="K387" s="467">
        <f t="shared" ca="1" si="1108"/>
        <v>1.819733265</v>
      </c>
      <c r="L387" s="468">
        <f t="shared" ca="1" si="1109"/>
        <v>1.819733265</v>
      </c>
      <c r="M387" s="469">
        <f t="shared" si="1110"/>
        <v>242.33666300502347</v>
      </c>
      <c r="N387" s="470">
        <f t="shared" si="1111"/>
        <v>0</v>
      </c>
      <c r="O387" s="470">
        <f t="shared" si="1112"/>
        <v>0</v>
      </c>
      <c r="P387" s="470">
        <f t="shared" si="1113"/>
        <v>440.98808699933608</v>
      </c>
      <c r="Q387" s="469">
        <f t="shared" si="1114"/>
        <v>140</v>
      </c>
      <c r="R387" s="471">
        <f t="shared" si="1115"/>
        <v>0.60737942538102996</v>
      </c>
      <c r="S387" s="471"/>
      <c r="T387" s="471"/>
      <c r="U387" s="471">
        <f t="shared" si="1116"/>
        <v>0</v>
      </c>
      <c r="V387" s="471"/>
      <c r="W387" s="471"/>
      <c r="X387" s="471">
        <f t="shared" si="1117"/>
        <v>0</v>
      </c>
      <c r="Y387" s="471">
        <f t="shared" si="1118"/>
        <v>0.36394665300000001</v>
      </c>
      <c r="Z387" s="471">
        <f t="shared" ca="1" si="1119"/>
        <v>0</v>
      </c>
      <c r="AA387" s="471">
        <f t="shared" si="1033"/>
        <v>3.8</v>
      </c>
      <c r="AB387" s="471">
        <f t="shared" si="1120"/>
        <v>2.308041816447914</v>
      </c>
      <c r="AC387" s="471">
        <f t="shared" si="1121"/>
        <v>0</v>
      </c>
      <c r="AD387" s="471">
        <f t="shared" si="1122"/>
        <v>0</v>
      </c>
      <c r="AE387" s="471">
        <f t="shared" si="1122"/>
        <v>0</v>
      </c>
      <c r="AF387" s="510">
        <f t="shared" si="958"/>
        <v>3.8</v>
      </c>
      <c r="AG387" s="471">
        <f t="shared" si="1123"/>
        <v>0</v>
      </c>
      <c r="AH387" s="471">
        <f t="shared" si="1124"/>
        <v>0</v>
      </c>
      <c r="AI387" s="471">
        <f t="shared" ca="1" si="1125"/>
        <v>2.6719884694479141</v>
      </c>
      <c r="AJ387" s="471">
        <f t="shared" si="1126"/>
        <v>0.75</v>
      </c>
      <c r="AK387" s="472">
        <f t="shared" si="1127"/>
        <v>0.28784688995218943</v>
      </c>
      <c r="AL387" s="471">
        <f t="shared" si="1128"/>
        <v>0.64189234449760957</v>
      </c>
      <c r="AM387" s="473" t="e">
        <f t="shared" si="1041"/>
        <v>#N/A</v>
      </c>
      <c r="AN387" s="474" t="e">
        <f t="shared" si="1171"/>
        <v>#N/A</v>
      </c>
      <c r="AO387" s="474">
        <f t="shared" si="1129"/>
        <v>1.1611111111111109E-2</v>
      </c>
      <c r="AP387" s="474" t="e">
        <f t="shared" si="1130"/>
        <v>#N/A</v>
      </c>
      <c r="AQ387" s="475">
        <v>3</v>
      </c>
      <c r="AR387" s="474" t="e">
        <f t="shared" ca="1" si="1131"/>
        <v>#N/A</v>
      </c>
      <c r="AS387" s="474" t="e">
        <f t="shared" ca="1" si="1132"/>
        <v>#N/A</v>
      </c>
      <c r="AT387" s="471" t="e">
        <f t="shared" ca="1" si="1133"/>
        <v>#N/A</v>
      </c>
      <c r="AU387" s="492" t="e">
        <f t="shared" si="1134"/>
        <v>#N/A</v>
      </c>
      <c r="AV387" s="471" t="e">
        <f t="shared" ca="1" si="1135"/>
        <v>#N/A</v>
      </c>
      <c r="AW387" s="471" t="e">
        <f t="shared" ca="1" si="1136"/>
        <v>#N/A</v>
      </c>
      <c r="AX387" s="478">
        <f>IF(OR(C387="",D387=""),"",ROUND(((VLOOKUP(C387,'Base de Diseño (2)'!$A$2:$C$333,2,FALSE)-VLOOKUP(D387,'Base de Diseño (2)'!$A$2:$C$333,2,FALSE))^2+(VLOOKUP(C387,'Base de Diseño (2)'!$A$2:$C$333,3,0)-VLOOKUP(D387,'Base de Diseño (2)'!$A$2:$C$333,3,FALSE))^2)^0.5,2))</f>
        <v>2.09</v>
      </c>
      <c r="AY387" s="493">
        <v>10</v>
      </c>
      <c r="AZ387" s="480">
        <f ca="1">IF(AND(L387="",H387=""),"",IF(BA387=4,VLOOKUP(AY387,'TABLA (2)'!$A$74:$C$89,2),IF(BA387=5,VLOOKUP(AY387,'TABLA (2)'!$A$51:$B$66,2),IF(BA387=6,VLOOKUP(AY387,'TABLA (2)'!$A$9:$B$43,2)))))</f>
        <v>250</v>
      </c>
      <c r="BA387" s="493">
        <v>6</v>
      </c>
      <c r="BB387" s="478">
        <f>IF(OR(C387="",D387=""),"",VLOOKUP(C387,'Base de Diseño (2)'!$A$2:$D$330,4,FALSE))</f>
        <v>972.80160000000001</v>
      </c>
      <c r="BC387" s="478">
        <f>IF(OR(C387="",D387=""),"",VLOOKUP(D387,'Base de Diseño (2)'!$A$2:$D$330,4,FALSE))</f>
        <v>972.19999999999993</v>
      </c>
      <c r="BD387" s="23">
        <f t="shared" ca="1" si="1137"/>
        <v>0.55300000000003191</v>
      </c>
      <c r="BE387" s="23">
        <f t="shared" ca="1" si="1138"/>
        <v>0.71300000000000008</v>
      </c>
      <c r="BF387" s="494">
        <v>0.84000000000003183</v>
      </c>
      <c r="BG387" s="494">
        <v>1</v>
      </c>
      <c r="BH387" s="495">
        <f t="shared" si="1139"/>
        <v>971.96159999999998</v>
      </c>
      <c r="BI387" s="495">
        <f t="shared" si="1139"/>
        <v>971.19999999999993</v>
      </c>
      <c r="BJ387" s="534">
        <f t="shared" si="1044"/>
        <v>971.19999999999993</v>
      </c>
      <c r="BK387" s="475">
        <f t="shared" si="1140"/>
        <v>28.784688995218943</v>
      </c>
      <c r="BL387" s="475">
        <f t="shared" si="1141"/>
        <v>36.440191387561917</v>
      </c>
      <c r="BM387" s="475">
        <f t="shared" ca="1" si="1142"/>
        <v>7.3130798803190107</v>
      </c>
      <c r="BN387" s="475">
        <f t="shared" ca="1" si="1143"/>
        <v>358.97996917383637</v>
      </c>
      <c r="BO387" s="204">
        <f t="shared" ca="1" si="1144"/>
        <v>7.4432801239503179E-3</v>
      </c>
      <c r="BP387" s="496" t="e">
        <f t="shared" ca="1" si="1145"/>
        <v>#N/A</v>
      </c>
      <c r="BQ387" s="497">
        <f t="shared" ca="1" si="1146"/>
        <v>0.25739247245022923</v>
      </c>
      <c r="BR387" s="497" t="e">
        <f t="shared" ca="1" si="1147"/>
        <v>#N/A</v>
      </c>
      <c r="BS387" s="475">
        <f t="shared" ca="1" si="1148"/>
        <v>1.8823317116213365</v>
      </c>
      <c r="BT387" s="475" t="e">
        <f t="shared" ca="1" si="1149"/>
        <v>#N/A</v>
      </c>
      <c r="BU387" s="475">
        <f t="shared" ca="1" si="1150"/>
        <v>6.662138454792621E-2</v>
      </c>
      <c r="BV387" s="475" t="e">
        <f t="shared" ca="1" si="1151"/>
        <v>#N/A</v>
      </c>
      <c r="BW387" s="475">
        <f t="shared" ca="1" si="1152"/>
        <v>1.0442665216857092</v>
      </c>
      <c r="BX387" s="475" t="e">
        <f t="shared" ca="1" si="1153"/>
        <v>#N/A</v>
      </c>
      <c r="BY387" s="475">
        <f t="shared" ca="1" si="1154"/>
        <v>4.3023104448742272E-2</v>
      </c>
      <c r="BZ387" s="475" t="e">
        <f t="shared" ca="1" si="1155"/>
        <v>#N/A</v>
      </c>
      <c r="CA387" s="471">
        <f t="shared" ca="1" si="1156"/>
        <v>1.0755776112185568E-2</v>
      </c>
      <c r="CB387" s="471" t="e">
        <f t="shared" ca="1" si="1157"/>
        <v>#N/A</v>
      </c>
      <c r="CC387" s="471" t="e">
        <f t="shared" ca="1" si="1172"/>
        <v>#N/A</v>
      </c>
      <c r="CD387" s="471" t="e">
        <f t="shared" ca="1" si="1158"/>
        <v>#N/A</v>
      </c>
      <c r="CE387" s="471">
        <f t="shared" ca="1" si="1159"/>
        <v>3.9194254004980871</v>
      </c>
      <c r="CF387" s="471" t="e">
        <f t="shared" ca="1" si="1160"/>
        <v>#N/A</v>
      </c>
      <c r="CG387" s="471" t="str">
        <f t="shared" ca="1" si="1161"/>
        <v>O.K</v>
      </c>
      <c r="CH387" s="471" t="e">
        <f t="shared" ca="1" si="1162"/>
        <v>#N/A</v>
      </c>
      <c r="CI387" s="471" t="str">
        <f t="shared" ca="1" si="1163"/>
        <v>OK</v>
      </c>
      <c r="CJ387" s="471" t="e">
        <f t="shared" ca="1" si="1164"/>
        <v>#N/A</v>
      </c>
      <c r="CK387" s="468">
        <f t="shared" si="1165"/>
        <v>971.19999999999993</v>
      </c>
      <c r="CL387" s="482" t="s">
        <v>2507</v>
      </c>
      <c r="CM387" s="482"/>
      <c r="CN387" s="63" t="str">
        <f t="shared" si="1166"/>
        <v xml:space="preserve"> </v>
      </c>
      <c r="CO387" s="527">
        <f t="shared" si="1042"/>
        <v>2.09</v>
      </c>
      <c r="CP387" s="511">
        <f t="shared" si="1043"/>
        <v>0.28784688995218943</v>
      </c>
      <c r="CQ387" s="482" t="s">
        <v>2508</v>
      </c>
      <c r="CR387" s="204">
        <f t="shared" si="1167"/>
        <v>2.09</v>
      </c>
      <c r="CS387" s="486">
        <v>1.2</v>
      </c>
      <c r="CT387" s="486">
        <v>1.2</v>
      </c>
      <c r="CU387" s="23">
        <f t="shared" si="1168"/>
        <v>2.2244402801603971</v>
      </c>
      <c r="CV387" s="499" t="s">
        <v>2509</v>
      </c>
      <c r="CW387" s="488" t="str">
        <f t="shared" ca="1" si="1169"/>
        <v>E1</v>
      </c>
      <c r="CX387" s="204">
        <f ca="1">IF(AND(L387="",H387=""),"",IF(AND(BA387&lt;&gt;4,BA387&lt;&gt;5),VLOOKUP(AY387,'TABLA (2)'!$A$9:$D$43,4),IF(BA387=4,VLOOKUP(AY387,'TABLA (2)'!$A$74:$D$89,4),VLOOKUP(AY387,'TABLA (2)'!$A$51:$D$66,4))))</f>
        <v>3.6999999999999998E-2</v>
      </c>
      <c r="CY387" s="482"/>
      <c r="CZ387" s="482"/>
      <c r="DA387" s="482"/>
      <c r="DB387" s="490"/>
    </row>
    <row r="388" spans="1:106" ht="15" hidden="1" customHeight="1">
      <c r="A388" s="465"/>
      <c r="B388" s="491"/>
      <c r="C388" s="466"/>
      <c r="D388" s="466"/>
      <c r="E388" s="468"/>
      <c r="F388" s="468"/>
      <c r="G388" s="537">
        <f t="shared" si="1039"/>
        <v>0</v>
      </c>
      <c r="H388" s="537">
        <f t="shared" si="1040"/>
        <v>0</v>
      </c>
      <c r="I388" s="468"/>
      <c r="J388" s="468"/>
      <c r="K388" s="467"/>
      <c r="L388" s="468"/>
      <c r="M388" s="469"/>
      <c r="N388" s="470"/>
      <c r="O388" s="470"/>
      <c r="P388" s="470"/>
      <c r="Q388" s="469"/>
      <c r="R388" s="471"/>
      <c r="S388" s="471"/>
      <c r="T388" s="471"/>
      <c r="U388" s="471"/>
      <c r="V388" s="471"/>
      <c r="W388" s="471"/>
      <c r="X388" s="471"/>
      <c r="Y388" s="471"/>
      <c r="Z388" s="471"/>
      <c r="AA388" s="471" t="str">
        <f t="shared" si="1033"/>
        <v/>
      </c>
      <c r="AB388" s="471"/>
      <c r="AC388" s="471"/>
      <c r="AD388" s="471"/>
      <c r="AE388" s="471"/>
      <c r="AF388" s="510" t="str">
        <f t="shared" si="958"/>
        <v/>
      </c>
      <c r="AG388" s="471"/>
      <c r="AH388" s="471"/>
      <c r="AI388" s="471"/>
      <c r="AJ388" s="471"/>
      <c r="AK388" s="472"/>
      <c r="AL388" s="471"/>
      <c r="AM388" s="473">
        <f t="shared" si="1041"/>
        <v>474.44695720875893</v>
      </c>
      <c r="AN388" s="474" t="e">
        <f t="shared" si="1171"/>
        <v>#N/A</v>
      </c>
      <c r="AO388" s="474"/>
      <c r="AP388" s="474"/>
      <c r="AQ388" s="475">
        <v>3</v>
      </c>
      <c r="AR388" s="474"/>
      <c r="AS388" s="474"/>
      <c r="AT388" s="471"/>
      <c r="AU388" s="492"/>
      <c r="AV388" s="471"/>
      <c r="AW388" s="471"/>
      <c r="AX388" s="478"/>
      <c r="AY388" s="493"/>
      <c r="AZ388" s="480"/>
      <c r="BA388" s="493"/>
      <c r="BB388" s="478" t="str">
        <f>IF(OR(C388="",D388=""),"",VLOOKUP(C388,'Base de Diseño (2)'!$A$2:$D$330,4,FALSE))</f>
        <v/>
      </c>
      <c r="BC388" s="478" t="str">
        <f>IF(OR(C388="",D388=""),"",VLOOKUP(D388,'Base de Diseño (2)'!$A$2:$D$330,4,FALSE))</f>
        <v/>
      </c>
      <c r="BD388" s="23"/>
      <c r="BE388" s="23"/>
      <c r="BF388" s="494"/>
      <c r="BG388" s="494"/>
      <c r="BH388" s="495"/>
      <c r="BI388" s="495"/>
      <c r="BJ388" s="534">
        <f t="shared" si="1044"/>
        <v>0</v>
      </c>
      <c r="BK388" s="475"/>
      <c r="BL388" s="475"/>
      <c r="BM388" s="475"/>
      <c r="BN388" s="475"/>
      <c r="BO388" s="204"/>
      <c r="BP388" s="496"/>
      <c r="BQ388" s="497"/>
      <c r="BR388" s="497"/>
      <c r="BS388" s="475"/>
      <c r="BT388" s="475"/>
      <c r="BU388" s="475"/>
      <c r="BV388" s="475"/>
      <c r="BW388" s="475"/>
      <c r="BX388" s="475"/>
      <c r="BY388" s="475"/>
      <c r="BZ388" s="475"/>
      <c r="CA388" s="471"/>
      <c r="CB388" s="471"/>
      <c r="CC388" s="471" t="e">
        <f t="shared" si="1172"/>
        <v>#DIV/0!</v>
      </c>
      <c r="CD388" s="471"/>
      <c r="CE388" s="471"/>
      <c r="CF388" s="471"/>
      <c r="CG388" s="471"/>
      <c r="CH388" s="471"/>
      <c r="CI388" s="471"/>
      <c r="CJ388" s="471"/>
      <c r="CK388" s="468"/>
      <c r="CL388" s="482" t="s">
        <v>2507</v>
      </c>
      <c r="CM388" s="482"/>
      <c r="CN388" s="63"/>
      <c r="CO388" s="527">
        <f t="shared" si="1042"/>
        <v>0</v>
      </c>
      <c r="CP388" s="542">
        <f t="shared" si="1043"/>
        <v>0</v>
      </c>
      <c r="CQ388" s="482"/>
      <c r="CR388" s="204"/>
      <c r="CS388" s="486"/>
      <c r="CT388" s="486"/>
      <c r="CU388" s="23"/>
      <c r="CV388" s="499"/>
      <c r="CW388" s="488"/>
      <c r="CX388" s="204"/>
      <c r="CY388" s="482"/>
      <c r="CZ388" s="482"/>
      <c r="DA388" s="482"/>
      <c r="DB388" s="490"/>
    </row>
    <row r="389" spans="1:106" ht="15" hidden="1" customHeight="1">
      <c r="A389" s="465">
        <f>+A387+1</f>
        <v>281</v>
      </c>
      <c r="B389" s="491">
        <v>1</v>
      </c>
      <c r="C389" s="466" t="s">
        <v>2065</v>
      </c>
      <c r="D389" s="466" t="s">
        <v>2066</v>
      </c>
      <c r="E389" s="468"/>
      <c r="F389" s="468"/>
      <c r="G389" s="537">
        <f t="shared" si="1039"/>
        <v>0</v>
      </c>
      <c r="H389" s="537">
        <f t="shared" si="1040"/>
        <v>0</v>
      </c>
      <c r="I389" s="468">
        <v>0.05</v>
      </c>
      <c r="J389" s="468"/>
      <c r="K389" s="467">
        <f>+IF(B389=1,0,SUMIF($D$22:$D$583,C389,$L$22:$L$580))</f>
        <v>0</v>
      </c>
      <c r="L389" s="468">
        <f>+I389+J389+K389</f>
        <v>0.05</v>
      </c>
      <c r="M389" s="469">
        <f>+$P$12</f>
        <v>242.33666300502347</v>
      </c>
      <c r="N389" s="470">
        <f>M389*E389</f>
        <v>0</v>
      </c>
      <c r="O389" s="470">
        <f>M389*F389</f>
        <v>0</v>
      </c>
      <c r="P389" s="470">
        <f>M389*H389</f>
        <v>0</v>
      </c>
      <c r="Q389" s="469">
        <f>+$H$14</f>
        <v>140</v>
      </c>
      <c r="R389" s="471">
        <f>Q389*P389*$P$14/86400</f>
        <v>0</v>
      </c>
      <c r="S389" s="471"/>
      <c r="T389" s="471"/>
      <c r="U389" s="471">
        <f>IF(C389="","",T389*$P$17)</f>
        <v>0</v>
      </c>
      <c r="V389" s="471"/>
      <c r="W389" s="471"/>
      <c r="X389" s="471">
        <f>IF(C389="","",W389*$P$16)</f>
        <v>0</v>
      </c>
      <c r="Y389" s="471">
        <f>IF(H389=0,0,$H$15*H389)</f>
        <v>0</v>
      </c>
      <c r="Z389" s="471">
        <f>IF(L389=0,$H$16*H389,0)</f>
        <v>0</v>
      </c>
      <c r="AA389" s="471">
        <f t="shared" si="1033"/>
        <v>3.8</v>
      </c>
      <c r="AB389" s="471">
        <f>R389*AA389</f>
        <v>0</v>
      </c>
      <c r="AC389" s="471">
        <f>Q389*(N389+O389)*$P$14/86400</f>
        <v>0</v>
      </c>
      <c r="AD389" s="471">
        <f t="shared" ref="AD389:AE391" si="1173">IF(E389=0,0,$H$15*(E389+F389))</f>
        <v>0</v>
      </c>
      <c r="AE389" s="471">
        <f t="shared" si="1173"/>
        <v>0</v>
      </c>
      <c r="AF389" s="510">
        <f t="shared" si="958"/>
        <v>3.8</v>
      </c>
      <c r="AG389" s="471">
        <f>AC389*AF389</f>
        <v>0</v>
      </c>
      <c r="AH389" s="471">
        <f>+AD389+AE389+AG389</f>
        <v>0</v>
      </c>
      <c r="AI389" s="471">
        <f>IF(H389="","",IF(AB389+Y389+Z389+X389+U389&lt;1.5,1.5,AB389+Y389+Z389+X389+U389))</f>
        <v>1.5</v>
      </c>
      <c r="AJ389" s="471">
        <f>+$P$17</f>
        <v>0.75</v>
      </c>
      <c r="AK389" s="472">
        <f>+BK389/100</f>
        <v>1.2659814489846965E-2</v>
      </c>
      <c r="AL389" s="471">
        <f>IF(AJ389=0," ",0.14+0.65*AJ389+0.05*AK389)</f>
        <v>0.62813299072449236</v>
      </c>
      <c r="AM389" s="473">
        <f t="shared" si="1041"/>
        <v>336.32613267542746</v>
      </c>
      <c r="AN389" s="474">
        <f t="shared" si="1171"/>
        <v>6.6582698734655263</v>
      </c>
      <c r="AO389" s="474">
        <f>((1/60)*$AX389/$AQ389)</f>
        <v>0.22161111111111112</v>
      </c>
      <c r="AP389" s="474">
        <f>IF(B389=1,IF(($AN389+$AO389)&lt;10,10,IF(($AN389+$AO389)&gt;20,20,($AN389+$AO389))),($AN389+$AO389))</f>
        <v>10</v>
      </c>
      <c r="AQ389" s="475">
        <v>3</v>
      </c>
      <c r="AR389" s="474">
        <f>((1/60)*$AX389/$BT389)</f>
        <v>0.83748303966454141</v>
      </c>
      <c r="AS389" s="474">
        <f>AO389/AR389</f>
        <v>0.26461564069390431</v>
      </c>
      <c r="AT389" s="471" t="str">
        <f>IF(AS389&lt;0.9,"Disminuir vel.",IF(AS389&gt;1.1,"Aumentar vel.","Cumple"))</f>
        <v>Disminuir vel.</v>
      </c>
      <c r="AU389" s="492">
        <f>+I389*AL389*AM389</f>
        <v>10.562876978810934</v>
      </c>
      <c r="AV389" s="471">
        <f>+L389*AL389*AM389</f>
        <v>10.562876978810934</v>
      </c>
      <c r="AW389" s="471">
        <f>ROUND(IF(AI389&gt;(AV389*0.05),(AV389+AI389),AV389),2)</f>
        <v>12.06</v>
      </c>
      <c r="AX389" s="478">
        <f>IF(OR(C389="",D389=""),"",ROUND(((VLOOKUP(C389,'Base de Diseño (2)'!$A$2:$C$333,2,FALSE)-VLOOKUP(D389,'Base de Diseño (2)'!$A$2:$C$333,2,FALSE))^2+(VLOOKUP(C389,'Base de Diseño (2)'!$A$2:$C$333,3,0)-VLOOKUP(D389,'Base de Diseño (2)'!$A$2:$C$333,3,FALSE))^2)^0.5,2))</f>
        <v>39.89</v>
      </c>
      <c r="AY389" s="493">
        <v>10</v>
      </c>
      <c r="AZ389" s="480">
        <f>IF(AND(L389="",H389=""),"",IF(BA389=4,VLOOKUP(AY389,'TABLA (2)'!$A$74:$C$89,2),IF(BA389=5,VLOOKUP(AY389,'TABLA (2)'!$A$51:$B$66,2),IF(BA389=6,VLOOKUP(AY389,'TABLA (2)'!$A$9:$B$43,2)))))</f>
        <v>250</v>
      </c>
      <c r="BA389" s="493">
        <v>6</v>
      </c>
      <c r="BB389" s="478">
        <f>IF(OR(C389="",D389=""),"",VLOOKUP(C389,'Base de Diseño (2)'!$A$2:$D$330,4,FALSE))</f>
        <v>984.27</v>
      </c>
      <c r="BC389" s="478">
        <f>IF(OR(C389="",D389=""),"",VLOOKUP(D389,'Base de Diseño (2)'!$A$2:$D$330,4,FALSE))</f>
        <v>984.77499999999998</v>
      </c>
      <c r="BD389" s="23">
        <f>+BF389-((AZ389/1000)+CX389)</f>
        <v>0.5129999999999546</v>
      </c>
      <c r="BE389" s="23">
        <f>+BG389-((AZ389/1000)+CX389)</f>
        <v>1.4130000000000456</v>
      </c>
      <c r="BF389" s="494">
        <v>0.79999999999995453</v>
      </c>
      <c r="BG389" s="494">
        <v>1.7000000000000455</v>
      </c>
      <c r="BH389" s="495">
        <f t="shared" ref="BH389:BI391" si="1174">BB389-BF389</f>
        <v>983.47</v>
      </c>
      <c r="BI389" s="495">
        <f t="shared" si="1174"/>
        <v>983.07499999999993</v>
      </c>
      <c r="BJ389" s="534">
        <f t="shared" si="1044"/>
        <v>4.9999999999954525E-2</v>
      </c>
      <c r="BK389" s="475">
        <f>ABS((BB389-BC389)/AX389)*100</f>
        <v>1.2659814489846966</v>
      </c>
      <c r="BL389" s="475">
        <f>((BH389-BI389)/AX389)*100</f>
        <v>0.99022311356253578</v>
      </c>
      <c r="BM389" s="475">
        <f>IF(BA389=6,(1/0.013)*((AZ389/4000)^(2/3))*((BL389/100)^(0.5)),(1/0.009)*((AZ389/4000)^(2/3))*((BL389/100)^(0.5)))</f>
        <v>1.2055258358166248</v>
      </c>
      <c r="BN389" s="475">
        <f>1000*BM389*PI()*((AZ389/1000/2)^2)</f>
        <v>59.17611108615943</v>
      </c>
      <c r="BO389" s="204">
        <f>AI389/BN389</f>
        <v>2.5348066516504016E-2</v>
      </c>
      <c r="BP389" s="496">
        <f>IF(L389=0," ",AW389/BN389)</f>
        <v>0.20379845479269229</v>
      </c>
      <c r="BQ389" s="497">
        <f>IF($BO389&gt;0 =AND($BO389&lt;=0.06),10^(0.029806+0.29095*LOG($BO389)),IF($BO389&gt;0.06 =AND($BO389&lt;=0.26),10^(0.013778+0.282597*LOG($BO389)),IF($BO389&gt;0.26 =AND($BO389&lt;=0.91),10^(0.021763+0.28995*LOG($BO389)),1)))</f>
        <v>0.36764930611854635</v>
      </c>
      <c r="BR389" s="497">
        <f>IF($BP389&gt;0 =AND($BP389&lt;=0.06),10^(0.029806+0.29095*LOG($BP389)),IF($BP389&gt;0.06 =AND($BP389&lt;=0.26),10^(0.013778+0.282597*LOG($BP389)),IF($BP389&gt;0.26 =AND($BP389&lt;=2),10^(0.021763+0.28995*LOG($BP389))," ")))</f>
        <v>0.65850676816391918</v>
      </c>
      <c r="BS389" s="475">
        <f>BM389*BQ389</f>
        <v>0.4432107370459627</v>
      </c>
      <c r="BT389" s="475">
        <f>IF(BP389=" "," ",(BM389*BR389))</f>
        <v>0.79384692208171304</v>
      </c>
      <c r="BU389" s="475">
        <f>IF(BO389&lt;=0.11,0.3827+0.0645*LN(BO389),IF(BO389&lt;=0.21,0.60025+0.15471*LN(BO389),IF(BO389&lt;1,0.225+0.6666666667*BO389,0)))</f>
        <v>0.14565909289121148</v>
      </c>
      <c r="BV389" s="475">
        <f>IF(BP389&lt;=0.11,0.3827+0.0645*LN(BP389),IF(BP389&lt;=0.21,0.60025+0.15471*LN(BP389),IF(BP389&lt;1,0.225+0.6666666667*BP389," ")))</f>
        <v>0.35416460115347315</v>
      </c>
      <c r="BW389" s="475">
        <f>2*ACOS(1-2*(BU389))</f>
        <v>1.5663364844049565</v>
      </c>
      <c r="BX389" s="475">
        <f>IF(BP389=" "," ",(2*ACOS(1-2*(BV389))))</f>
        <v>2.5496464092501241</v>
      </c>
      <c r="BY389" s="475">
        <f>(1/4)*(1-(SIN(BW389))/BW389)</f>
        <v>9.0393481082178873E-2</v>
      </c>
      <c r="BZ389" s="475">
        <f>IF(BP389=" "," ",((1/4)*(1-(SIN(BX389))/BX389)))</f>
        <v>0.1952887683023104</v>
      </c>
      <c r="CA389" s="471">
        <f>BY389*AZ389/1000</f>
        <v>2.2598370270544718E-2</v>
      </c>
      <c r="CB389" s="471">
        <f>IF(BP389=" "," ",(BZ389*AZ389/1000))</f>
        <v>4.88221920755776E-2</v>
      </c>
      <c r="CC389" s="471">
        <f t="shared" si="1172"/>
        <v>0.99360871270693518</v>
      </c>
      <c r="CD389" s="471" t="str">
        <f>IF(CC389="","",IF(CC389&lt;0.7,"F. Subcrítico",IF(AND(CC389&gt;0.7,CC389&lt;1),"F. Subcrítico Inestable",IF(CC389=1,"F. Crítico",IF(AND(CC389&gt;1,CC389&lt;1.5),"F. Supercrítico Inestable",IF(CC389&gt;1.5,"F. Supercrítico",""))))))</f>
        <v>F. Subcrítico Inestable</v>
      </c>
      <c r="CE389" s="471">
        <f>1000*BL389*CA389/100</f>
        <v>0.22377428570737834</v>
      </c>
      <c r="CF389" s="471">
        <f>IF(BP389=" "," ",(1000*BL389*CB389/100))</f>
        <v>0.48344863048026609</v>
      </c>
      <c r="CG389" s="471" t="str">
        <f>IF(BS389&lt;0.45,"No cumple",IF(BS389&gt;5,"No cumple","O.K"))</f>
        <v>No cumple</v>
      </c>
      <c r="CH389" s="471" t="str">
        <f>IF(BT389&lt;0.75,"No cumple",IF(BT389&gt;10,"No cumple","O.K"))</f>
        <v>O.K</v>
      </c>
      <c r="CI389" s="471" t="str">
        <f>IF(CE389&gt;0.1,"OK","V.C.H.")</f>
        <v>OK</v>
      </c>
      <c r="CJ389" s="471" t="str">
        <f>IF(CF389&gt;0.2,"OK","V.C.H.")</f>
        <v>OK</v>
      </c>
      <c r="CK389" s="468">
        <f>+BJ389</f>
        <v>4.9999999999954525E-2</v>
      </c>
      <c r="CL389" s="482" t="s">
        <v>2507</v>
      </c>
      <c r="CM389" s="482"/>
      <c r="CN389" s="63" t="str">
        <f>IF(B389=1,"dato"," ")</f>
        <v>dato</v>
      </c>
      <c r="CO389" s="527">
        <f t="shared" si="1042"/>
        <v>39.89</v>
      </c>
      <c r="CP389" s="511">
        <f t="shared" si="1043"/>
        <v>1.2659814489846965E-2</v>
      </c>
      <c r="CQ389" s="482" t="s">
        <v>2508</v>
      </c>
      <c r="CR389" s="204">
        <f>IF(BA389="","",AX389)</f>
        <v>39.89</v>
      </c>
      <c r="CS389" s="486">
        <v>1.2</v>
      </c>
      <c r="CT389" s="486">
        <v>1.2</v>
      </c>
      <c r="CU389" s="23">
        <f>IF($BA389="","",SQRT((BH389-BI389)^2+$CR389^2))</f>
        <v>39.891955642710727</v>
      </c>
      <c r="CV389" s="499" t="s">
        <v>2509</v>
      </c>
      <c r="CW389" s="488" t="str">
        <f>+IF(BD389&lt;=0.9,"E1",IF(BD389&lt;=2.5,"E2","E3"))</f>
        <v>E1</v>
      </c>
      <c r="CX389" s="204">
        <f>IF(AND(L389="",H389=""),"",IF(AND(BA389&lt;&gt;4,BA389&lt;&gt;5),VLOOKUP(AY389,'TABLA (2)'!$A$9:$D$43,4),IF(BA389=4,VLOOKUP(AY389,'TABLA (2)'!$A$74:$D$89,4),VLOOKUP(AY389,'TABLA (2)'!$A$51:$D$66,4))))</f>
        <v>3.6999999999999998E-2</v>
      </c>
      <c r="CY389" s="482"/>
      <c r="CZ389" s="482"/>
      <c r="DA389" s="482"/>
      <c r="DB389" s="490"/>
    </row>
    <row r="390" spans="1:106" ht="15" hidden="1" customHeight="1">
      <c r="A390" s="465">
        <f>+A389+1</f>
        <v>282</v>
      </c>
      <c r="B390" s="491"/>
      <c r="C390" s="466" t="s">
        <v>2066</v>
      </c>
      <c r="D390" s="466" t="s">
        <v>2067</v>
      </c>
      <c r="E390" s="468"/>
      <c r="F390" s="468"/>
      <c r="G390" s="537">
        <f t="shared" si="1039"/>
        <v>0</v>
      </c>
      <c r="H390" s="537">
        <f t="shared" si="1040"/>
        <v>0</v>
      </c>
      <c r="I390" s="468"/>
      <c r="J390" s="468"/>
      <c r="K390" s="467">
        <f ca="1">+IF(B390=1,0,SUMIF($D$22:$D$583,C390,$L$22:$L$580))</f>
        <v>0.05</v>
      </c>
      <c r="L390" s="468">
        <f ca="1">+I390+J390+K390</f>
        <v>0.05</v>
      </c>
      <c r="M390" s="469">
        <f>+$P$12</f>
        <v>242.33666300502347</v>
      </c>
      <c r="N390" s="470">
        <f>M390*E390</f>
        <v>0</v>
      </c>
      <c r="O390" s="470">
        <f>M390*F390</f>
        <v>0</v>
      </c>
      <c r="P390" s="470">
        <f>M390*H390</f>
        <v>0</v>
      </c>
      <c r="Q390" s="469">
        <f>+$H$14</f>
        <v>140</v>
      </c>
      <c r="R390" s="471">
        <f>Q390*P390*$P$14/86400</f>
        <v>0</v>
      </c>
      <c r="S390" s="471"/>
      <c r="T390" s="471"/>
      <c r="U390" s="471">
        <f>IF(C390="","",T390*$P$17)</f>
        <v>0</v>
      </c>
      <c r="V390" s="471"/>
      <c r="W390" s="471"/>
      <c r="X390" s="471">
        <f>IF(C390="","",W390*$P$16)</f>
        <v>0</v>
      </c>
      <c r="Y390" s="471">
        <f>IF(H390=0,0,$H$15*H390)</f>
        <v>0</v>
      </c>
      <c r="Z390" s="471">
        <f ca="1">IF(L390=0,$H$16*H390,0)</f>
        <v>0</v>
      </c>
      <c r="AA390" s="471">
        <f t="shared" si="1033"/>
        <v>3.8</v>
      </c>
      <c r="AB390" s="471">
        <f>R390*AA390</f>
        <v>0</v>
      </c>
      <c r="AC390" s="471">
        <f>Q390*(N390+O390)*$P$14/86400</f>
        <v>0</v>
      </c>
      <c r="AD390" s="471">
        <f t="shared" si="1173"/>
        <v>0</v>
      </c>
      <c r="AE390" s="471">
        <f t="shared" si="1173"/>
        <v>0</v>
      </c>
      <c r="AF390" s="510">
        <f t="shared" si="958"/>
        <v>3.8</v>
      </c>
      <c r="AG390" s="471">
        <f>AC390*AF390</f>
        <v>0</v>
      </c>
      <c r="AH390" s="471">
        <f>+AD390+AE390+AG390</f>
        <v>0</v>
      </c>
      <c r="AI390" s="471">
        <f ca="1">IF(H390="","",IF(AB390+Y390+Z390+X390+U390&lt;1.5,1.5,AB390+Y390+Z390+X390+U390))</f>
        <v>1.5</v>
      </c>
      <c r="AJ390" s="471">
        <f>+$P$17</f>
        <v>0.75</v>
      </c>
      <c r="AK390" s="472">
        <f>+BK390/100</f>
        <v>2.8651871480623023E-2</v>
      </c>
      <c r="AL390" s="471">
        <f>IF(AJ390=0," ",0.14+0.65*AJ390+0.05*AK390)</f>
        <v>0.6289325935740312</v>
      </c>
      <c r="AM390" s="473">
        <f t="shared" si="1041"/>
        <v>334.66915128814423</v>
      </c>
      <c r="AN390" s="474">
        <f t="shared" si="1171"/>
        <v>10</v>
      </c>
      <c r="AO390" s="474">
        <f>((1/60)*$AX390/$AQ390)</f>
        <v>0.16772222222222222</v>
      </c>
      <c r="AP390" s="474">
        <f>IF(B390=1,IF(($AN390+$AO390)&lt;10,10,IF(($AN390+$AO390)&gt;20,20,($AN390+$AO390))),($AN390+$AO390))</f>
        <v>10.167722222222222</v>
      </c>
      <c r="AQ390" s="475">
        <v>3</v>
      </c>
      <c r="AR390" s="474">
        <f ca="1">((1/60)*$AX390/$BT390)</f>
        <v>0.39068806873650164</v>
      </c>
      <c r="AS390" s="474">
        <f ca="1">AO390/AR390</f>
        <v>0.42929957591139534</v>
      </c>
      <c r="AT390" s="471" t="str">
        <f ca="1">IF(AS390&lt;0.9,"Disminuir vel.",IF(AS390&gt;1.1,"Aumentar vel.","Cumple"))</f>
        <v>Disminuir vel.</v>
      </c>
      <c r="AU390" s="492">
        <f>+I390*AL390*AM390</f>
        <v>0</v>
      </c>
      <c r="AV390" s="471">
        <f ca="1">+L390*AL390*AM390</f>
        <v>10.52421686544362</v>
      </c>
      <c r="AW390" s="471">
        <f ca="1">ROUND(IF(AI390&gt;(AV390*0.05),(AV390+AI390),AV390),2)</f>
        <v>12.02</v>
      </c>
      <c r="AX390" s="478">
        <f>IF(OR(C390="",D390=""),"",ROUND(((VLOOKUP(C390,'Base de Diseño (2)'!$A$2:$C$333,2,FALSE)-VLOOKUP(D390,'Base de Diseño (2)'!$A$2:$C$333,2,FALSE))^2+(VLOOKUP(C390,'Base de Diseño (2)'!$A$2:$C$333,3,0)-VLOOKUP(D390,'Base de Diseño (2)'!$A$2:$C$333,3,FALSE))^2)^0.5,2))</f>
        <v>30.19</v>
      </c>
      <c r="AY390" s="493">
        <v>10</v>
      </c>
      <c r="AZ390" s="480">
        <f ca="1">IF(AND(L390="",H390=""),"",IF(BA390=4,VLOOKUP(AY390,'TABLA (2)'!$A$74:$C$89,2),IF(BA390=5,VLOOKUP(AY390,'TABLA (2)'!$A$51:$B$66,2),IF(BA390=6,VLOOKUP(AY390,'TABLA (2)'!$A$9:$B$43,2)))))</f>
        <v>250</v>
      </c>
      <c r="BA390" s="493">
        <v>6</v>
      </c>
      <c r="BB390" s="478">
        <f>IF(OR(C390="",D390=""),"",VLOOKUP(C390,'Base de Diseño (2)'!$A$2:$D$330,4,FALSE))</f>
        <v>984.77499999999998</v>
      </c>
      <c r="BC390" s="478">
        <f>IF(OR(C390="",D390=""),"",VLOOKUP(D390,'Base de Diseño (2)'!$A$2:$D$330,4,FALSE))</f>
        <v>983.91</v>
      </c>
      <c r="BD390" s="23">
        <f ca="1">+BF390-((AZ390/1000)+CX390)</f>
        <v>1.4630000000000001</v>
      </c>
      <c r="BE390" s="23">
        <f ca="1">+BG390-((AZ390/1000)+CX390)</f>
        <v>1.7529999999999637</v>
      </c>
      <c r="BF390" s="494">
        <v>1.75</v>
      </c>
      <c r="BG390" s="494">
        <v>2.0399999999999636</v>
      </c>
      <c r="BH390" s="495">
        <f t="shared" si="1174"/>
        <v>983.02499999999998</v>
      </c>
      <c r="BI390" s="495">
        <f t="shared" si="1174"/>
        <v>981.87</v>
      </c>
      <c r="BJ390" s="534">
        <f t="shared" si="1044"/>
        <v>0.10000000000002274</v>
      </c>
      <c r="BK390" s="475">
        <f>ABS((BB390-BC390)/AX390)*100</f>
        <v>2.8651871480623021</v>
      </c>
      <c r="BL390" s="475">
        <f>((BH390-BI390)/AX390)*100</f>
        <v>3.8257701225570475</v>
      </c>
      <c r="BM390" s="475">
        <f ca="1">IF(BA390=6,(1/0.013)*((AZ390/4000)^(2/3))*((BL390/100)^(0.5)),(1/0.009)*((AZ390/4000)^(2/3))*((BL390/100)^(0.5)))</f>
        <v>2.3695693745953736</v>
      </c>
      <c r="BN390" s="475">
        <f ca="1">1000*BM390*PI()*((AZ390/1000/2)^2)</f>
        <v>116.31596467812791</v>
      </c>
      <c r="BO390" s="204">
        <f ca="1">AI390/BN390</f>
        <v>1.2895908176928532E-2</v>
      </c>
      <c r="BP390" s="496">
        <f ca="1">IF(L390=0," ",AW390/BN390)</f>
        <v>0.1033392108577873</v>
      </c>
      <c r="BQ390" s="497">
        <f ca="1">IF($BO390&gt;0 =AND($BO390&lt;=0.06),10^(0.029806+0.29095*LOG($BO390)),IF($BO390&gt;0.06 =AND($BO390&lt;=0.26),10^(0.013778+0.282597*LOG($BO390)),IF($BO390&gt;0.26 =AND($BO390&lt;=0.91),10^(0.021763+0.28995*LOG($BO390)),1)))</f>
        <v>0.30202437178413849</v>
      </c>
      <c r="BR390" s="497">
        <f ca="1">IF($BP390&gt;0 =AND($BP390&lt;=0.06),10^(0.029806+0.29095*LOG($BP390)),IF($BP390&gt;0.06 =AND($BP390&lt;=0.26),10^(0.013778+0.282597*LOG($BP390)),IF($BP390&gt;0.26 =AND($BP390&lt;=2),10^(0.021763+0.28995*LOG($BP390))," ")))</f>
        <v>0.54351594071986475</v>
      </c>
      <c r="BS390" s="475">
        <f ca="1">BM390*BQ390</f>
        <v>0.71566770176110162</v>
      </c>
      <c r="BT390" s="475">
        <f ca="1">IF(BP390=" "," ",(BM390*BR390))</f>
        <v>1.287898727734186</v>
      </c>
      <c r="BU390" s="475">
        <f ca="1">IF(BO390&lt;=0.11,0.3827+0.0645*LN(BO390),IF(BO390&lt;=0.21,0.60025+0.15471*LN(BO390),IF(BO390&lt;1,0.225+0.6666666667*BO390,0)))</f>
        <v>0.10207048372804983</v>
      </c>
      <c r="BV390" s="475">
        <f ca="1">IF(BP390&lt;=0.11,0.3827+0.0645*LN(BP390),IF(BP390&lt;=0.21,0.60025+0.15471*LN(BP390),IF(BP390&lt;1,0.225+0.6666666667*BP390," ")))</f>
        <v>0.23630187368247868</v>
      </c>
      <c r="BW390" s="475">
        <f ca="1">2*ACOS(1-2*(BU390))</f>
        <v>1.3007426179108375</v>
      </c>
      <c r="BX390" s="475">
        <f ca="1">IF(BP390=" "," ",(2*ACOS(1-2*(BV390))))</f>
        <v>2.0305265821038545</v>
      </c>
      <c r="BY390" s="475">
        <f ca="1">(1/4)*(1-(SIN(BW390))/BW390)</f>
        <v>6.4768011008215387E-2</v>
      </c>
      <c r="BZ390" s="475">
        <f ca="1">IF(BP390=" "," ",((1/4)*(1-(SIN(BX390))/BX390)))</f>
        <v>0.13966258488461708</v>
      </c>
      <c r="CA390" s="471">
        <f ca="1">BY390*AZ390/1000</f>
        <v>1.6192002752053847E-2</v>
      </c>
      <c r="CB390" s="471">
        <f ca="1">IF(BP390=" "," ",(BZ390*AZ390/1000))</f>
        <v>3.491564622115427E-2</v>
      </c>
      <c r="CC390" s="471">
        <f t="shared" ca="1" si="1172"/>
        <v>2.0130754237655597</v>
      </c>
      <c r="CD390" s="471" t="str">
        <f ca="1">IF(CC390="","",IF(CC390&lt;0.7,"F. Subcrítico",IF(AND(CC390&gt;0.7,CC390&lt;1),"F. Subcrítico Inestable",IF(CC390=1,"F. Crítico",IF(AND(CC390&gt;1,CC390&lt;1.5),"F. Supercrítico Inestable",IF(CC390&gt;1.5,"F. Supercrítico",""))))))</f>
        <v>F. Supercrítico</v>
      </c>
      <c r="CE390" s="471">
        <f ca="1">1000*BL390*CA390/100</f>
        <v>0.61946880353169098</v>
      </c>
      <c r="CF390" s="471">
        <f ca="1">IF(BP390=" "," ",(1000*BL390*CB390/100))</f>
        <v>1.3357923612266389</v>
      </c>
      <c r="CG390" s="471" t="str">
        <f ca="1">IF(BS390&lt;0.45,"No cumple",IF(BS390&gt;5,"No cumple","O.K"))</f>
        <v>O.K</v>
      </c>
      <c r="CH390" s="471" t="str">
        <f ca="1">IF(BT390&lt;0.75,"No cumple",IF(BT390&gt;10,"No cumple","O.K"))</f>
        <v>O.K</v>
      </c>
      <c r="CI390" s="471" t="str">
        <f ca="1">IF(CE390&gt;0.1,"OK","V.C.H.")</f>
        <v>OK</v>
      </c>
      <c r="CJ390" s="471" t="str">
        <f ca="1">IF(CF390&gt;0.2,"OK","V.C.H.")</f>
        <v>OK</v>
      </c>
      <c r="CK390" s="468">
        <f>+BJ390</f>
        <v>0.10000000000002274</v>
      </c>
      <c r="CL390" s="482" t="s">
        <v>2507</v>
      </c>
      <c r="CM390" s="482"/>
      <c r="CN390" s="63" t="str">
        <f>IF(B390=1,"dato"," ")</f>
        <v xml:space="preserve"> </v>
      </c>
      <c r="CO390" s="527">
        <f t="shared" si="1042"/>
        <v>30.19</v>
      </c>
      <c r="CP390" s="542">
        <f t="shared" si="1043"/>
        <v>2.8651871480623023E-2</v>
      </c>
      <c r="CQ390" s="482" t="s">
        <v>2508</v>
      </c>
      <c r="CR390" s="204">
        <f>IF(BA390="","",AX390)</f>
        <v>30.19</v>
      </c>
      <c r="CS390" s="486">
        <v>1.2</v>
      </c>
      <c r="CT390" s="486">
        <v>1.2</v>
      </c>
      <c r="CU390" s="23">
        <f>IF($BA390="","",SQRT((BH390-BI390)^2+$CR390^2))</f>
        <v>30.212085743953526</v>
      </c>
      <c r="CV390" s="499" t="s">
        <v>2509</v>
      </c>
      <c r="CW390" s="488" t="str">
        <f ca="1">+IF(BD390&lt;=0.9,"E1",IF(BD390&lt;=2.5,"E2","E3"))</f>
        <v>E2</v>
      </c>
      <c r="CX390" s="204">
        <f ca="1">IF(AND(L390="",H390=""),"",IF(AND(BA390&lt;&gt;4,BA390&lt;&gt;5),VLOOKUP(AY390,'TABLA (2)'!$A$9:$D$43,4),IF(BA390=4,VLOOKUP(AY390,'TABLA (2)'!$A$74:$D$89,4),VLOOKUP(AY390,'TABLA (2)'!$A$51:$D$66,4))))</f>
        <v>3.6999999999999998E-2</v>
      </c>
      <c r="CY390" s="482"/>
      <c r="CZ390" s="482"/>
      <c r="DA390" s="482"/>
      <c r="DB390" s="490"/>
    </row>
    <row r="391" spans="1:106" ht="15" hidden="1" customHeight="1">
      <c r="A391" s="465">
        <f>+A390+1</f>
        <v>283</v>
      </c>
      <c r="B391" s="491"/>
      <c r="C391" s="466" t="s">
        <v>2067</v>
      </c>
      <c r="D391" s="466" t="s">
        <v>2078</v>
      </c>
      <c r="E391" s="468"/>
      <c r="F391" s="468"/>
      <c r="G391" s="537">
        <f t="shared" si="1039"/>
        <v>0</v>
      </c>
      <c r="H391" s="537">
        <f t="shared" si="1040"/>
        <v>0</v>
      </c>
      <c r="I391" s="468"/>
      <c r="J391" s="468"/>
      <c r="K391" s="467">
        <f ca="1">+IF(B391=1,0,SUMIF($D$22:$D$583,C391,$L$22:$L$580))</f>
        <v>0.05</v>
      </c>
      <c r="L391" s="468">
        <f ca="1">+I391+J391+K391</f>
        <v>0.05</v>
      </c>
      <c r="M391" s="469">
        <f>+$P$12</f>
        <v>242.33666300502347</v>
      </c>
      <c r="N391" s="470">
        <f>M391*E391</f>
        <v>0</v>
      </c>
      <c r="O391" s="470">
        <f>M391*F391</f>
        <v>0</v>
      </c>
      <c r="P391" s="470">
        <f>M391*H391</f>
        <v>0</v>
      </c>
      <c r="Q391" s="469">
        <f>+$H$14</f>
        <v>140</v>
      </c>
      <c r="R391" s="471">
        <f>Q391*P391*$P$14/86400</f>
        <v>0</v>
      </c>
      <c r="S391" s="471"/>
      <c r="T391" s="471"/>
      <c r="U391" s="471">
        <f>IF(C391="","",T391*$P$17)</f>
        <v>0</v>
      </c>
      <c r="V391" s="471"/>
      <c r="W391" s="471"/>
      <c r="X391" s="471">
        <f>IF(C391="","",W391*$P$16)</f>
        <v>0</v>
      </c>
      <c r="Y391" s="471">
        <f>IF(H391=0,0,$H$15*H391)</f>
        <v>0</v>
      </c>
      <c r="Z391" s="471">
        <f ca="1">IF(L391=0,$H$16*H391,0)</f>
        <v>0</v>
      </c>
      <c r="AA391" s="471">
        <f t="shared" si="1033"/>
        <v>3.8</v>
      </c>
      <c r="AB391" s="471">
        <f>R391*AA391</f>
        <v>0</v>
      </c>
      <c r="AC391" s="471">
        <f>Q391*(N391+O391)*$P$14/86400</f>
        <v>0</v>
      </c>
      <c r="AD391" s="471">
        <f t="shared" si="1173"/>
        <v>0</v>
      </c>
      <c r="AE391" s="471">
        <f t="shared" si="1173"/>
        <v>0</v>
      </c>
      <c r="AF391" s="510">
        <f t="shared" ref="AF391:AF454" si="1175">IF(N391="","",IF(1+((14/(4+(((N391+O391)+O391)/1000)^1/2)))&lt;1.4,1.4,IF(1+((14/(4+((N391+O391)/1000)^1/2)))&gt;=3.8,3.8,(1+((14/(4+((N391+O391)/1000)^1/2)))))))</f>
        <v>3.8</v>
      </c>
      <c r="AG391" s="471">
        <f>AC391*AF391</f>
        <v>0</v>
      </c>
      <c r="AH391" s="471">
        <f>+AD391+AE391+AG391</f>
        <v>0</v>
      </c>
      <c r="AI391" s="471">
        <f ca="1">IF(H391="","",IF(AB391+Y391+Z391+X391+U391&lt;1.5,1.5,AB391+Y391+Z391+X391+U391))</f>
        <v>1.5</v>
      </c>
      <c r="AJ391" s="471">
        <f>+$P$17</f>
        <v>0.75</v>
      </c>
      <c r="AK391" s="472">
        <f>+BK391/100</f>
        <v>2.5662941047556512E-2</v>
      </c>
      <c r="AL391" s="471">
        <f>IF(AJ391=0," ",0.14+0.65*AJ391+0.05*AK391)</f>
        <v>0.62878314705237792</v>
      </c>
      <c r="AM391" s="473">
        <f t="shared" si="1041"/>
        <v>311.40468683147122</v>
      </c>
      <c r="AN391" s="474">
        <f t="shared" si="1171"/>
        <v>10.167722222222222</v>
      </c>
      <c r="AO391" s="474">
        <f>((1/60)*$AX391/$AQ391)</f>
        <v>2.5350000000000001</v>
      </c>
      <c r="AP391" s="474">
        <f>IF(B391=1,IF(($AN391+$AO391)&lt;10,10,IF(($AN391+$AO391)&gt;20,20,($AN391+$AO391))),($AN391+$AO391))</f>
        <v>12.702722222222222</v>
      </c>
      <c r="AQ391" s="475">
        <v>3</v>
      </c>
      <c r="AR391" s="474">
        <f ca="1">((1/60)*$AX391/$BT391)</f>
        <v>7.6945199069681882</v>
      </c>
      <c r="AS391" s="474">
        <f ca="1">AO391/AR391</f>
        <v>0.32945525265381326</v>
      </c>
      <c r="AT391" s="471" t="str">
        <f ca="1">IF(AS391&lt;0.9,"Disminuir vel.",IF(AS391&gt;1.1,"Aumentar vel.","Cumple"))</f>
        <v>Disminuir vel.</v>
      </c>
      <c r="AU391" s="492">
        <f>+I391*AL391*AM391</f>
        <v>0</v>
      </c>
      <c r="AV391" s="471">
        <f ca="1">+L391*AL391*AM391</f>
        <v>9.7903009496376328</v>
      </c>
      <c r="AW391" s="471">
        <f ca="1">ROUND(IF(AI391&gt;(AV391*0.05),(AV391+AI391),AV391),2)</f>
        <v>11.29</v>
      </c>
      <c r="AX391" s="478">
        <f>IF(OR(C391="",D391=""),"",ROUND(((VLOOKUP(C391,'Base de Diseño (2)'!$A$2:$C$333,2,FALSE)-VLOOKUP(D391,'Base de Diseño (2)'!$A$2:$C$333,2,FALSE))^2+(VLOOKUP(C391,'Base de Diseño (2)'!$A$2:$C$333,3,0)-VLOOKUP(D391,'Base de Diseño (2)'!$A$2:$C$333,3,FALSE))^2)^0.5,2))</f>
        <v>456.3</v>
      </c>
      <c r="AY391" s="493">
        <v>16</v>
      </c>
      <c r="AZ391" s="480">
        <f ca="1">IF(AND(L391="",H391=""),"",IF(BA391=4,VLOOKUP(AY391,'TABLA (2)'!$A$74:$C$89,2),IF(BA391=5,VLOOKUP(AY391,'TABLA (2)'!$A$51:$B$66,2),IF(BA391=6,VLOOKUP(AY391,'TABLA (2)'!$A$9:$B$43,2)))))</f>
        <v>400</v>
      </c>
      <c r="BA391" s="493">
        <v>6</v>
      </c>
      <c r="BB391" s="478">
        <f>IF(OR(C391="",D391=""),"",VLOOKUP(C391,'Base de Diseño (2)'!$A$2:$D$330,4,FALSE))</f>
        <v>983.91</v>
      </c>
      <c r="BC391" s="478">
        <f>IF(OR(C391="",D391=""),"",VLOOKUP(D391,'Base de Diseño (2)'!$A$2:$D$330,4,FALSE))</f>
        <v>972.19999999999993</v>
      </c>
      <c r="BD391" s="23">
        <f ca="1">+BF391-((AZ391/1000)+CX391)</f>
        <v>1.6779999999999864</v>
      </c>
      <c r="BE391" s="23">
        <f ca="1">+BG391-((AZ391/1000)+CX391)</f>
        <v>-0.46200000000000002</v>
      </c>
      <c r="BF391" s="494">
        <v>2.1399999999999864</v>
      </c>
      <c r="BG391" s="494">
        <v>0</v>
      </c>
      <c r="BH391" s="495">
        <f t="shared" si="1174"/>
        <v>981.77</v>
      </c>
      <c r="BI391" s="495">
        <f t="shared" si="1174"/>
        <v>972.19999999999993</v>
      </c>
      <c r="BJ391" s="534">
        <f t="shared" si="1044"/>
        <v>972.19999999999993</v>
      </c>
      <c r="BK391" s="475">
        <f>ABS((BB391-BC391)/AX391)*100</f>
        <v>2.5662941047556513</v>
      </c>
      <c r="BL391" s="475">
        <f>((BH391-BI391)/AX391)*100</f>
        <v>2.0973044049967235</v>
      </c>
      <c r="BM391" s="475">
        <f ca="1">IF(BA391=6,(1/0.013)*((AZ391/4000)^(2/3))*((BL391/100)^(0.5)),(1/0.009)*((AZ391/4000)^(2/3))*((BL391/100)^(0.5)))</f>
        <v>2.4000523548184609</v>
      </c>
      <c r="BN391" s="475">
        <f ca="1">1000*BM391*PI()*((AZ391/1000/2)^2)</f>
        <v>301.59947384514248</v>
      </c>
      <c r="BO391" s="204">
        <f ca="1">AI391/BN391</f>
        <v>4.9734834775281515E-3</v>
      </c>
      <c r="BP391" s="496">
        <f ca="1">IF(L391=0," ",AW391/BN391)</f>
        <v>3.7433752307528552E-2</v>
      </c>
      <c r="BQ391" s="497">
        <f ca="1">IF($BO391&gt;0 =AND($BO391&lt;=0.06),10^(0.029806+0.29095*LOG($BO391)),IF($BO391&gt;0.06 =AND($BO391&lt;=0.26),10^(0.013778+0.282597*LOG($BO391)),IF($BO391&gt;0.26 =AND($BO391&lt;=0.91),10^(0.021763+0.28995*LOG($BO391)),1)))</f>
        <v>0.22890191431066029</v>
      </c>
      <c r="BR391" s="497">
        <f ca="1">IF($BP391&gt;0 =AND($BP391&lt;=0.06),10^(0.029806+0.29095*LOG($BP391)),IF($BP391&gt;0.06 =AND($BP391&lt;=0.26),10^(0.013778+0.282597*LOG($BP391)),IF($BP391&gt;0.26 =AND($BP391&lt;=2),10^(0.021763+0.28995*LOG($BP391))," ")))</f>
        <v>0.41181008238305677</v>
      </c>
      <c r="BS391" s="475">
        <f ca="1">BM391*BQ391</f>
        <v>0.54937657846375376</v>
      </c>
      <c r="BT391" s="475">
        <f ca="1">IF(BP391=" "," ",(BM391*BR391))</f>
        <v>0.98836575796143977</v>
      </c>
      <c r="BU391" s="475">
        <f ca="1">IF(BO391&lt;=0.11,0.3827+0.0645*LN(BO391),IF(BO391&lt;=0.21,0.60025+0.15471*LN(BO391),IF(BO391&lt;1,0.225+0.6666666667*BO391,0)))</f>
        <v>4.0615556465615321E-2</v>
      </c>
      <c r="BV391" s="475">
        <f ca="1">IF(BP391&lt;=0.11,0.3827+0.0645*LN(BP391),IF(BP391&lt;=0.21,0.60025+0.15471*LN(BP391),IF(BP391&lt;1,0.225+0.6666666667*BP391," ")))</f>
        <v>0.17080572788406007</v>
      </c>
      <c r="BW391" s="475">
        <f ca="1">2*ACOS(1-2*(BU391))</f>
        <v>0.81169119633110043</v>
      </c>
      <c r="BX391" s="475">
        <f ca="1">IF(BP391=" "," ",(2*ACOS(1-2*(BV391))))</f>
        <v>1.7042410768845457</v>
      </c>
      <c r="BY391" s="475">
        <f ca="1">(1/4)*(1-(SIN(BW391))/BW391)</f>
        <v>2.65615117761068E-2</v>
      </c>
      <c r="BZ391" s="475">
        <f ca="1">IF(BP391=" "," ",((1/4)*(1-(SIN(BX391))/BX391)))</f>
        <v>0.10461131823788994</v>
      </c>
      <c r="CA391" s="471">
        <f ca="1">BY391*AZ391/1000</f>
        <v>1.062460471044272E-2</v>
      </c>
      <c r="CB391" s="471">
        <f ca="1">IF(BP391=" "," ",(BZ391*AZ391/1000))</f>
        <v>4.1844527295155975E-2</v>
      </c>
      <c r="CC391" s="471">
        <f t="shared" ca="1" si="1172"/>
        <v>1.4498331191285994</v>
      </c>
      <c r="CD391" s="471" t="str">
        <f ca="1">IF(CC391="","",IF(CC391&lt;0.7,"F. Subcrítico",IF(AND(CC391&gt;0.7,CC391&lt;1),"F. Subcrítico Inestable",IF(CC391=1,"F. Crítico",IF(AND(CC391&gt;1,CC391&lt;1.5),"F. Supercrítico Inestable",IF(CC391&gt;1.5,"F. Supercrítico",""))))))</f>
        <v>F. Supercrítico Inestable</v>
      </c>
      <c r="CE391" s="471">
        <f ca="1">1000*BL391*CA391/100</f>
        <v>0.22283030260560452</v>
      </c>
      <c r="CF391" s="471">
        <f ca="1">IF(BP391=" "," ",(1000*BL391*CB391/100))</f>
        <v>0.8776071142113625</v>
      </c>
      <c r="CG391" s="471" t="str">
        <f ca="1">IF(BS391&lt;0.45,"No cumple",IF(BS391&gt;5,"No cumple","O.K"))</f>
        <v>O.K</v>
      </c>
      <c r="CH391" s="471" t="str">
        <f ca="1">IF(BT391&lt;0.75,"No cumple",IF(BT391&gt;10,"No cumple","O.K"))</f>
        <v>O.K</v>
      </c>
      <c r="CI391" s="471" t="str">
        <f ca="1">IF(CE391&gt;0.1,"OK","V.C.H.")</f>
        <v>OK</v>
      </c>
      <c r="CJ391" s="471" t="str">
        <f ca="1">IF(CF391&gt;0.2,"OK","V.C.H.")</f>
        <v>OK</v>
      </c>
      <c r="CK391" s="468">
        <f>+BJ391</f>
        <v>972.19999999999993</v>
      </c>
      <c r="CL391" s="482" t="s">
        <v>2507</v>
      </c>
      <c r="CM391" s="482"/>
      <c r="CN391" s="63" t="str">
        <f>IF(B391=1,"dato"," ")</f>
        <v xml:space="preserve"> </v>
      </c>
      <c r="CO391" s="527">
        <f t="shared" si="1042"/>
        <v>456.3</v>
      </c>
      <c r="CP391" s="511">
        <f t="shared" si="1043"/>
        <v>2.5662941047556512E-2</v>
      </c>
      <c r="CQ391" s="482" t="s">
        <v>2508</v>
      </c>
      <c r="CR391" s="204">
        <f>IF(BA391="","",AX391)</f>
        <v>456.3</v>
      </c>
      <c r="CS391" s="486">
        <v>1.2</v>
      </c>
      <c r="CT391" s="486">
        <v>1.2</v>
      </c>
      <c r="CU391" s="23">
        <f>IF($BA391="","",SQRT((BH391-BI391)^2+$CR391^2))</f>
        <v>456.4003449823411</v>
      </c>
      <c r="CV391" s="499" t="s">
        <v>2509</v>
      </c>
      <c r="CW391" s="488" t="str">
        <f ca="1">+IF(BD391&lt;=0.9,"E1",IF(BD391&lt;=2.5,"E2","E3"))</f>
        <v>E2</v>
      </c>
      <c r="CX391" s="204">
        <f ca="1">IF(AND(L391="",H391=""),"",IF(AND(BA391&lt;&gt;4,BA391&lt;&gt;5),VLOOKUP(AY391,'TABLA (2)'!$A$9:$D$43,4),IF(BA391=4,VLOOKUP(AY391,'TABLA (2)'!$A$74:$D$89,4),VLOOKUP(AY391,'TABLA (2)'!$A$51:$D$66,4))))</f>
        <v>6.2E-2</v>
      </c>
      <c r="CY391" s="482"/>
      <c r="CZ391" s="482"/>
      <c r="DA391" s="482"/>
      <c r="DB391" s="490"/>
    </row>
    <row r="392" spans="1:106" ht="15" hidden="1" customHeight="1">
      <c r="A392" s="465"/>
      <c r="B392" s="491"/>
      <c r="C392" s="466"/>
      <c r="D392" s="466"/>
      <c r="E392" s="468"/>
      <c r="F392" s="468"/>
      <c r="G392" s="537">
        <f t="shared" ref="G392:G423" si="1176">IF(B392=1,0,SUMIF($D$22:$D$583,C392,$H$22:$H$583))</f>
        <v>0</v>
      </c>
      <c r="H392" s="537">
        <f t="shared" ref="H392:H423" si="1177">+E392+F392+G392</f>
        <v>0</v>
      </c>
      <c r="I392" s="468"/>
      <c r="J392" s="468"/>
      <c r="K392" s="467"/>
      <c r="L392" s="468"/>
      <c r="M392" s="469"/>
      <c r="N392" s="470"/>
      <c r="O392" s="470"/>
      <c r="P392" s="470"/>
      <c r="Q392" s="469"/>
      <c r="R392" s="471"/>
      <c r="S392" s="471"/>
      <c r="T392" s="471"/>
      <c r="U392" s="471"/>
      <c r="V392" s="471"/>
      <c r="W392" s="471"/>
      <c r="X392" s="471"/>
      <c r="Y392" s="471"/>
      <c r="Z392" s="471"/>
      <c r="AA392" s="471" t="str">
        <f t="shared" si="1033"/>
        <v/>
      </c>
      <c r="AB392" s="471"/>
      <c r="AC392" s="471"/>
      <c r="AD392" s="471"/>
      <c r="AE392" s="471"/>
      <c r="AF392" s="510" t="str">
        <f t="shared" si="1175"/>
        <v/>
      </c>
      <c r="AG392" s="471"/>
      <c r="AH392" s="471"/>
      <c r="AI392" s="471"/>
      <c r="AJ392" s="471"/>
      <c r="AK392" s="472"/>
      <c r="AL392" s="471"/>
      <c r="AM392" s="473">
        <f t="shared" ref="AM392:AM423" si="1178">((100/36)*$AM$14*(AP392+$AN$14)^$AO$14)</f>
        <v>474.44695720875893</v>
      </c>
      <c r="AN392" s="474">
        <f t="shared" si="1171"/>
        <v>12.702722222222222</v>
      </c>
      <c r="AO392" s="474"/>
      <c r="AP392" s="474"/>
      <c r="AQ392" s="475">
        <v>3</v>
      </c>
      <c r="AR392" s="474"/>
      <c r="AS392" s="474"/>
      <c r="AT392" s="471"/>
      <c r="AU392" s="492"/>
      <c r="AV392" s="471"/>
      <c r="AW392" s="471"/>
      <c r="AX392" s="478"/>
      <c r="AY392" s="493"/>
      <c r="AZ392" s="480"/>
      <c r="BA392" s="493"/>
      <c r="BB392" s="478" t="str">
        <f>IF(OR(C392="",D392=""),"",VLOOKUP(C392,'Base de Diseño (2)'!$A$2:$D$330,4,FALSE))</f>
        <v/>
      </c>
      <c r="BC392" s="478" t="str">
        <f>IF(OR(C392="",D392=""),"",VLOOKUP(D392,'Base de Diseño (2)'!$A$2:$D$330,4,FALSE))</f>
        <v/>
      </c>
      <c r="BD392" s="23"/>
      <c r="BE392" s="23"/>
      <c r="BF392" s="494"/>
      <c r="BG392" s="494"/>
      <c r="BH392" s="495"/>
      <c r="BI392" s="495"/>
      <c r="BJ392" s="534">
        <f t="shared" si="1044"/>
        <v>0</v>
      </c>
      <c r="BK392" s="475"/>
      <c r="BL392" s="475"/>
      <c r="BM392" s="475"/>
      <c r="BN392" s="475"/>
      <c r="BO392" s="204"/>
      <c r="BP392" s="496"/>
      <c r="BQ392" s="497"/>
      <c r="BR392" s="497"/>
      <c r="BS392" s="475"/>
      <c r="BT392" s="475"/>
      <c r="BU392" s="475"/>
      <c r="BV392" s="475"/>
      <c r="BW392" s="475"/>
      <c r="BX392" s="475"/>
      <c r="BY392" s="475"/>
      <c r="BZ392" s="475"/>
      <c r="CA392" s="471"/>
      <c r="CB392" s="471"/>
      <c r="CC392" s="471" t="e">
        <f t="shared" si="1172"/>
        <v>#DIV/0!</v>
      </c>
      <c r="CD392" s="471"/>
      <c r="CE392" s="471"/>
      <c r="CF392" s="471"/>
      <c r="CG392" s="471"/>
      <c r="CH392" s="471"/>
      <c r="CI392" s="471"/>
      <c r="CJ392" s="471"/>
      <c r="CK392" s="468"/>
      <c r="CL392" s="482" t="s">
        <v>2507</v>
      </c>
      <c r="CM392" s="482"/>
      <c r="CN392" s="63"/>
      <c r="CO392" s="527">
        <f t="shared" ref="CO392:CO423" si="1179">+CR392</f>
        <v>0</v>
      </c>
      <c r="CP392" s="542">
        <f t="shared" ref="CP392:CP423" si="1180">+BK392/100</f>
        <v>0</v>
      </c>
      <c r="CQ392" s="482"/>
      <c r="CR392" s="204"/>
      <c r="CS392" s="486"/>
      <c r="CT392" s="486"/>
      <c r="CU392" s="23"/>
      <c r="CV392" s="499"/>
      <c r="CW392" s="488"/>
      <c r="CX392" s="204"/>
      <c r="CY392" s="482"/>
      <c r="CZ392" s="482"/>
      <c r="DA392" s="482"/>
      <c r="DB392" s="490"/>
    </row>
    <row r="393" spans="1:106" ht="15" hidden="1" customHeight="1">
      <c r="A393" s="465">
        <f>+A391+1</f>
        <v>284</v>
      </c>
      <c r="B393" s="491">
        <v>1</v>
      </c>
      <c r="C393" s="466" t="s">
        <v>2081</v>
      </c>
      <c r="D393" s="466" t="s">
        <v>2082</v>
      </c>
      <c r="E393" s="468">
        <v>0.39479218780000003</v>
      </c>
      <c r="F393" s="468"/>
      <c r="G393" s="537">
        <f t="shared" si="1176"/>
        <v>0</v>
      </c>
      <c r="H393" s="537">
        <f t="shared" si="1177"/>
        <v>0.39479218780000003</v>
      </c>
      <c r="I393" s="468">
        <v>0.39479218780000003</v>
      </c>
      <c r="J393" s="468"/>
      <c r="K393" s="467">
        <f>+IF(B393=1,0,SUMIF($D$22:$D$583,C393,$L$22:$L$580))</f>
        <v>0</v>
      </c>
      <c r="L393" s="468">
        <f>+I393+J393+K393</f>
        <v>0.39479218780000003</v>
      </c>
      <c r="M393" s="469">
        <f>+$P$12</f>
        <v>242.33666300502347</v>
      </c>
      <c r="N393" s="470">
        <f>M393*E393</f>
        <v>95.67262137190454</v>
      </c>
      <c r="O393" s="470">
        <f>M393*F393</f>
        <v>0</v>
      </c>
      <c r="P393" s="470">
        <f>M393*H393</f>
        <v>95.67262137190454</v>
      </c>
      <c r="Q393" s="469">
        <f>+$H$14</f>
        <v>140</v>
      </c>
      <c r="R393" s="471">
        <f>Q393*P393*$P$14/86400</f>
        <v>0.13177131878769258</v>
      </c>
      <c r="S393" s="471"/>
      <c r="T393" s="471"/>
      <c r="U393" s="471">
        <f>IF(C393="","",T393*$P$17)</f>
        <v>0</v>
      </c>
      <c r="V393" s="471"/>
      <c r="W393" s="471"/>
      <c r="X393" s="471">
        <f>IF(C393="","",W393*$P$16)</f>
        <v>0</v>
      </c>
      <c r="Y393" s="471">
        <f>IF(H393=0,0,$H$15*H393)</f>
        <v>7.8958437560000011E-2</v>
      </c>
      <c r="Z393" s="471">
        <f>IF(L393=0,$H$16*H393,0)</f>
        <v>0</v>
      </c>
      <c r="AA393" s="471">
        <f t="shared" si="1033"/>
        <v>3.8</v>
      </c>
      <c r="AB393" s="471">
        <f>R393*AA393</f>
        <v>0.50073101139323173</v>
      </c>
      <c r="AC393" s="471">
        <f>Q393*(N393+O393)*$P$14/86400</f>
        <v>0.13177131878769258</v>
      </c>
      <c r="AD393" s="471">
        <f>IF(E393=0,0,$H$15*(E393+F393))</f>
        <v>7.8958437560000011E-2</v>
      </c>
      <c r="AE393" s="471">
        <f>IF(F393=0,0,$H$15*(F393+G393))</f>
        <v>0</v>
      </c>
      <c r="AF393" s="510">
        <f t="shared" si="1175"/>
        <v>3.8</v>
      </c>
      <c r="AG393" s="471">
        <f>AC393*AF393</f>
        <v>0.50073101139323173</v>
      </c>
      <c r="AH393" s="471">
        <f>+AD393+AE393+AG393</f>
        <v>0.57968944895323171</v>
      </c>
      <c r="AI393" s="471">
        <f>IF(H393="","",IF(AB393+Y393+Z393+X393+U393&lt;1.5,1.5,AB393+Y393+Z393+X393+U393))</f>
        <v>1.5</v>
      </c>
      <c r="AJ393" s="471">
        <f>+$P$17</f>
        <v>0.75</v>
      </c>
      <c r="AK393" s="472">
        <f>+BK393/100</f>
        <v>3.6635614475097802E-3</v>
      </c>
      <c r="AL393" s="471">
        <f>IF(AJ393=0," ",0.14+0.65*AJ393+0.05*AK393)</f>
        <v>0.6276831780723755</v>
      </c>
      <c r="AM393" s="473">
        <f t="shared" si="1178"/>
        <v>275.20083318949622</v>
      </c>
      <c r="AN393" s="474">
        <f t="shared" si="1171"/>
        <v>16.840199947009502</v>
      </c>
      <c r="AO393" s="474">
        <f>((1/60)*$AX393/$AQ393)</f>
        <v>0.62022222222222223</v>
      </c>
      <c r="AP393" s="474">
        <f>IF(B393=1,IF(($AN393+$AO393)&lt;10,10,IF(($AN393+$AO393)&gt;20,20,($AN393+$AO393))),($AN393+$AO393))</f>
        <v>17.460422169231723</v>
      </c>
      <c r="AQ393" s="475">
        <v>3</v>
      </c>
      <c r="AR393" s="474">
        <f>((1/60)*$AX393/$BT393)</f>
        <v>1.1534273904345633</v>
      </c>
      <c r="AS393" s="474">
        <f>AO393/AR393</f>
        <v>0.53772108011805442</v>
      </c>
      <c r="AT393" s="471" t="str">
        <f>IF(AS393&lt;0.9,"Disminuir vel.",IF(AS393&gt;1.1,"Aumentar vel.","Cumple"))</f>
        <v>Disminuir vel.</v>
      </c>
      <c r="AU393" s="492">
        <f>+I393*AL393*AM393</f>
        <v>68.195981508082866</v>
      </c>
      <c r="AV393" s="471">
        <f>+L393*AL393*AM393</f>
        <v>68.195981508082866</v>
      </c>
      <c r="AW393" s="471">
        <f>ROUND(IF(AI393&gt;(AV393*0.05),(AV393+AI393),AV393),2)</f>
        <v>68.2</v>
      </c>
      <c r="AX393" s="478">
        <f>IF(OR(C393="",D393=""),"",ROUND(((VLOOKUP(C393,'Base de Diseño (2)'!$A$2:$C$333,2,FALSE)-VLOOKUP(D393,'Base de Diseño (2)'!$A$2:$C$333,2,FALSE))^2+(VLOOKUP(C393,'Base de Diseño (2)'!$A$2:$C$333,3,0)-VLOOKUP(D393,'Base de Diseño (2)'!$A$2:$C$333,3,FALSE))^2)^0.5,2))</f>
        <v>111.64</v>
      </c>
      <c r="AY393" s="493">
        <v>20</v>
      </c>
      <c r="AZ393" s="480">
        <f>IF(AND(L393="",H393=""),"",IF(BA393=4,VLOOKUP(AY393,'TABLA (2)'!$A$74:$C$89,2),IF(BA393=5,VLOOKUP(AY393,'TABLA (2)'!$A$51:$B$66,2),IF(BA393=6,VLOOKUP(AY393,'TABLA (2)'!$A$9:$B$43,2)))))</f>
        <v>500</v>
      </c>
      <c r="BA393" s="493">
        <v>6</v>
      </c>
      <c r="BB393" s="478">
        <f>IF(OR(C393="",D393=""),"",VLOOKUP(C393,'Base de Diseño (2)'!$A$2:$D$330,4,FALSE))</f>
        <v>987.60199999999998</v>
      </c>
      <c r="BC393" s="478">
        <f>IF(OR(C393="",D393=""),"",VLOOKUP(D393,'Base de Diseño (2)'!$A$2:$D$330,4,FALSE))</f>
        <v>988.01099999999997</v>
      </c>
      <c r="BD393" s="23">
        <f>+BF393-((AZ393/1000)+CX393)</f>
        <v>-0.57000000000000006</v>
      </c>
      <c r="BE393" s="23">
        <f>+BG393-((AZ393/1000)+CX393)</f>
        <v>2.2500000000000497</v>
      </c>
      <c r="BF393" s="494">
        <v>0</v>
      </c>
      <c r="BG393" s="494">
        <v>2.82000000000005</v>
      </c>
      <c r="BH393" s="495">
        <f>BB393-BF393</f>
        <v>987.60199999999998</v>
      </c>
      <c r="BI393" s="495">
        <f>BC393-BG393</f>
        <v>985.19099999999992</v>
      </c>
      <c r="BJ393" s="534">
        <f t="shared" si="1044"/>
        <v>1.1099999999999</v>
      </c>
      <c r="BK393" s="475">
        <f>ABS((BB393-BC393)/AX393)*100</f>
        <v>0.366356144750978</v>
      </c>
      <c r="BL393" s="475">
        <f>((BH393-BI393)/AX393)*100</f>
        <v>2.1596202078108728</v>
      </c>
      <c r="BM393" s="475">
        <f>IF(BA393=6,(1/0.013)*((AZ393/4000)^(2/3))*((BL393/100)^(0.5)),(1/0.009)*((AZ393/4000)^(2/3))*((BL393/100)^(0.5)))</f>
        <v>2.8260858308906549</v>
      </c>
      <c r="BN393" s="475">
        <f>1000*BM393*PI()*((AZ393/1000/2)^2)</f>
        <v>554.90065529626804</v>
      </c>
      <c r="BO393" s="204">
        <f>AI393/BN393</f>
        <v>2.703186571656024E-3</v>
      </c>
      <c r="BP393" s="496">
        <f>IF(L393=0," ",AW393/BN393)</f>
        <v>0.1229048827912939</v>
      </c>
      <c r="BQ393" s="497">
        <f>IF($BO393&gt;0 =AND($BO393&lt;=0.06),10^(0.029806+0.29095*LOG($BO393)),IF($BO393&gt;0.06 =AND($BO393&lt;=0.26),10^(0.013778+0.282597*LOG($BO393)),IF($BO393&gt;0.26 =AND($BO393&lt;=0.91),10^(0.021763+0.28995*LOG($BO393)),1)))</f>
        <v>0.19169479834441225</v>
      </c>
      <c r="BR393" s="497">
        <f>IF($BP393&gt;0 =AND($BP393&lt;=0.06),10^(0.029806+0.29095*LOG($BP393)),IF($BP393&gt;0.06 =AND($BP393&lt;=0.26),10^(0.013778+0.282597*LOG($BP393)),IF($BP393&gt;0.26 =AND($BP393&lt;=2),10^(0.021763+0.28995*LOG($BP393))," ")))</f>
        <v>0.57081183547980452</v>
      </c>
      <c r="BS393" s="475">
        <f>BM393*BQ393</f>
        <v>0.54174595345658483</v>
      </c>
      <c r="BT393" s="475">
        <f>IF(BP393=" "," ",(BM393*BR393))</f>
        <v>1.6131632403541631</v>
      </c>
      <c r="BU393" s="475">
        <f>IF(BO393&lt;=0.11,0.3827+0.0645*LN(BO393),IF(BO393&lt;=0.21,0.60025+0.15471*LN(BO393),IF(BO393&lt;1,0.225+0.6666666667*BO393,0)))</f>
        <v>1.2906026353398103E-3</v>
      </c>
      <c r="BV393" s="475">
        <f>IF(BP393&lt;=0.11,0.3827+0.0645*LN(BP393),IF(BP393&lt;=0.21,0.60025+0.15471*LN(BP393),IF(BP393&lt;1,0.225+0.6666666667*BP393," ")))</f>
        <v>0.27592453723636817</v>
      </c>
      <c r="BW393" s="475">
        <f>2*ACOS(1-2*(BU393))</f>
        <v>0.14373076142361851</v>
      </c>
      <c r="BX393" s="475">
        <f>IF(BP393=" "," ",(2*ACOS(1-2*(BV393))))</f>
        <v>2.2122009521405284</v>
      </c>
      <c r="BY393" s="475">
        <f>(1/4)*(1-(SIN(BW393))/BW393)</f>
        <v>8.5988348023013916E-4</v>
      </c>
      <c r="BZ393" s="475">
        <f>IF(BP393=" "," ",((1/4)*(1-(SIN(BX393))/BX393)))</f>
        <v>0.15945034511044923</v>
      </c>
      <c r="CA393" s="471">
        <f>BY393*AZ393/1000</f>
        <v>4.2994174011506958E-4</v>
      </c>
      <c r="CB393" s="471">
        <f>IF(BP393=" "," ",(BZ393*AZ393/1000))</f>
        <v>7.9725172555224613E-2</v>
      </c>
      <c r="CC393" s="471">
        <f t="shared" si="1172"/>
        <v>1.6398620896314229</v>
      </c>
      <c r="CD393" s="471" t="str">
        <f>IF(CC393="","",IF(CC393&lt;0.7,"F. Subcrítico",IF(AND(CC393&gt;0.7,CC393&lt;1),"F. Subcrítico Inestable",IF(CC393=1,"F. Crítico",IF(AND(CC393&gt;1,CC393&lt;1.5),"F. Supercrítico Inestable",IF(CC393&gt;1.5,"F. Supercrítico",""))))))</f>
        <v>F. Supercrítico</v>
      </c>
      <c r="CE393" s="471">
        <f>1000*BL393*CA393/100</f>
        <v>9.2851087013387477E-3</v>
      </c>
      <c r="CF393" s="471">
        <f>IF(BP393=" "," ",(1000*BL393*CB393/100))</f>
        <v>1.7217609372147187</v>
      </c>
      <c r="CG393" s="471" t="str">
        <f>IF(BS393&lt;0.45,"No cumple",IF(BS393&gt;5,"No cumple","O.K"))</f>
        <v>O.K</v>
      </c>
      <c r="CH393" s="471" t="str">
        <f>IF(BT393&lt;0.75,"No cumple",IF(BT393&gt;10,"No cumple","O.K"))</f>
        <v>O.K</v>
      </c>
      <c r="CI393" s="471" t="str">
        <f>IF(CE393&gt;0.1,"OK","V.C.H.")</f>
        <v>V.C.H.</v>
      </c>
      <c r="CJ393" s="471" t="str">
        <f>IF(CF393&gt;0.2,"OK","V.C.H.")</f>
        <v>OK</v>
      </c>
      <c r="CK393" s="468">
        <f>+BJ393</f>
        <v>1.1099999999999</v>
      </c>
      <c r="CL393" s="482" t="s">
        <v>2507</v>
      </c>
      <c r="CM393" s="482"/>
      <c r="CN393" s="63" t="str">
        <f>IF(B393=1,"dato"," ")</f>
        <v>dato</v>
      </c>
      <c r="CO393" s="527">
        <f t="shared" si="1179"/>
        <v>111.64</v>
      </c>
      <c r="CP393" s="511">
        <f t="shared" si="1180"/>
        <v>3.6635614475097802E-3</v>
      </c>
      <c r="CQ393" s="482" t="s">
        <v>2508</v>
      </c>
      <c r="CR393" s="204">
        <f>IF(BA393="","",AX393)</f>
        <v>111.64</v>
      </c>
      <c r="CS393" s="486">
        <v>1.2</v>
      </c>
      <c r="CT393" s="486">
        <v>1.2</v>
      </c>
      <c r="CU393" s="23">
        <f>IF($BA393="","",SQRT((BH393-BI393)^2+$CR393^2))</f>
        <v>111.66603118674901</v>
      </c>
      <c r="CV393" s="499" t="s">
        <v>2509</v>
      </c>
      <c r="CW393" s="488" t="str">
        <f>+IF(BD393&lt;=0.9,"E1",IF(BD393&lt;=2.5,"E2","E3"))</f>
        <v>E1</v>
      </c>
      <c r="CX393" s="204">
        <f>IF(AND(L393="",H393=""),"",IF(AND(BA393&lt;&gt;4,BA393&lt;&gt;5),VLOOKUP(AY393,'TABLA (2)'!$A$9:$D$43,4),IF(BA393=4,VLOOKUP(AY393,'TABLA (2)'!$A$74:$D$89,4),VLOOKUP(AY393,'TABLA (2)'!$A$51:$D$66,4))))</f>
        <v>7.0000000000000007E-2</v>
      </c>
      <c r="CY393" s="482"/>
      <c r="CZ393" s="482"/>
      <c r="DA393" s="482"/>
      <c r="DB393" s="490"/>
    </row>
    <row r="394" spans="1:106" ht="15" hidden="1" customHeight="1">
      <c r="A394" s="465">
        <f>+A393+1</f>
        <v>285</v>
      </c>
      <c r="B394" s="491"/>
      <c r="C394" s="466" t="s">
        <v>2082</v>
      </c>
      <c r="D394" s="466" t="s">
        <v>2068</v>
      </c>
      <c r="E394" s="468">
        <v>0.29373140279999999</v>
      </c>
      <c r="F394" s="468"/>
      <c r="G394" s="537">
        <f t="shared" si="1176"/>
        <v>0.61269530900000002</v>
      </c>
      <c r="H394" s="537">
        <f t="shared" si="1177"/>
        <v>0.90642671180000001</v>
      </c>
      <c r="I394" s="468">
        <v>0.29373140279999999</v>
      </c>
      <c r="J394" s="468"/>
      <c r="K394" s="467">
        <f ca="1">+IF(B394=1,0,SUMIF($D$22:$D$583,C394,$L$22:$L$580))</f>
        <v>0.61269530900000002</v>
      </c>
      <c r="L394" s="468">
        <f ca="1">+I394+J394+K394</f>
        <v>0.90642671180000001</v>
      </c>
      <c r="M394" s="469">
        <f>+$P$12</f>
        <v>242.33666300502347</v>
      </c>
      <c r="N394" s="470">
        <f>M394*E394</f>
        <v>71.181887974336405</v>
      </c>
      <c r="O394" s="470">
        <f>M394*F394</f>
        <v>0</v>
      </c>
      <c r="P394" s="470">
        <f>M394*H394</f>
        <v>219.66042459622813</v>
      </c>
      <c r="Q394" s="469">
        <f>+$H$14</f>
        <v>140</v>
      </c>
      <c r="R394" s="471">
        <f>Q394*P394*$P$14/86400</f>
        <v>0.30254155702489754</v>
      </c>
      <c r="S394" s="471"/>
      <c r="T394" s="471"/>
      <c r="U394" s="471">
        <f>IF(C394="","",T394*$P$17)</f>
        <v>0</v>
      </c>
      <c r="V394" s="471"/>
      <c r="W394" s="471"/>
      <c r="X394" s="471">
        <f>IF(C394="","",W394*$P$16)</f>
        <v>0</v>
      </c>
      <c r="Y394" s="471">
        <f>IF(H394=0,0,$H$15*H394)</f>
        <v>0.18128534236000002</v>
      </c>
      <c r="Z394" s="471">
        <f ca="1">IF(L394=0,$H$16*H394,0)</f>
        <v>0</v>
      </c>
      <c r="AA394" s="471">
        <f t="shared" si="1033"/>
        <v>3.8</v>
      </c>
      <c r="AB394" s="471">
        <f>R394*AA394</f>
        <v>1.1496579166946106</v>
      </c>
      <c r="AC394" s="471">
        <f>Q394*(N394+O394)*$P$14/86400</f>
        <v>9.8039868853542031E-2</v>
      </c>
      <c r="AD394" s="471">
        <f>IF(E394=0,0,$H$15*(E394+F394))</f>
        <v>5.8746280560000003E-2</v>
      </c>
      <c r="AE394" s="471">
        <f>IF(F394=0,0,$H$15*(F394+G394))</f>
        <v>0</v>
      </c>
      <c r="AF394" s="510">
        <f t="shared" si="1175"/>
        <v>3.8</v>
      </c>
      <c r="AG394" s="471">
        <f>AC394*AF394</f>
        <v>0.37255150164345968</v>
      </c>
      <c r="AH394" s="471">
        <f>+AD394+AE394+AG394</f>
        <v>0.43129778220345971</v>
      </c>
      <c r="AI394" s="471">
        <f ca="1">IF(H394="","",IF(AB394+Y394+Z394+X394+U394&lt;1.5,1.5,AB394+Y394+Z394+X394+U394))</f>
        <v>1.5</v>
      </c>
      <c r="AJ394" s="471">
        <f>+$P$17</f>
        <v>0.75</v>
      </c>
      <c r="AK394" s="472">
        <f>+BK394/100</f>
        <v>3.8418178271893678E-2</v>
      </c>
      <c r="AL394" s="471">
        <f>IF(AJ394=0," ",0.14+0.65*AJ394+0.05*AK394)</f>
        <v>0.6294209089135947</v>
      </c>
      <c r="AM394" s="473">
        <f t="shared" si="1178"/>
        <v>271.40124431480825</v>
      </c>
      <c r="AN394" s="474">
        <f t="shared" si="1171"/>
        <v>17.460422169231723</v>
      </c>
      <c r="AO394" s="474">
        <f>((1/60)*$AX394/$AQ394)</f>
        <v>0.56966666666666665</v>
      </c>
      <c r="AP394" s="474">
        <f>IF(B394=1,IF(($AN394+$AO394)&lt;10,10,IF(($AN394+$AO394)&gt;20,20,($AN394+$AO394))),($AN394+$AO394))</f>
        <v>18.03008883589839</v>
      </c>
      <c r="AQ394" s="475">
        <v>3</v>
      </c>
      <c r="AR394" s="474">
        <f ca="1">((1/60)*$AX394/$BT394)</f>
        <v>0.84726155541092185</v>
      </c>
      <c r="AS394" s="474">
        <f ca="1">AO394/AR394</f>
        <v>0.67236222749464691</v>
      </c>
      <c r="AT394" s="471" t="str">
        <f ca="1">IF(AS394&lt;0.9,"Disminuir vel.",IF(AS394&gt;1.1,"Aumentar vel.","Cumple"))</f>
        <v>Disminuir vel.</v>
      </c>
      <c r="AU394" s="492">
        <f>+I394*AL394*AM394</f>
        <v>50.176848373160709</v>
      </c>
      <c r="AV394" s="471">
        <f ca="1">+L394*AL394*AM394</f>
        <v>154.84090310336828</v>
      </c>
      <c r="AW394" s="471">
        <f ca="1">ROUND(IF(AI394&gt;(AV394*0.05),(AV394+AI394),AV394),2)</f>
        <v>154.84</v>
      </c>
      <c r="AX394" s="478">
        <f>IF(OR(C394="",D394=""),"",ROUND(((VLOOKUP(C394,'Base de Diseño (2)'!$A$2:$C$333,2,FALSE)-VLOOKUP(D394,'Base de Diseño (2)'!$A$2:$C$333,2,FALSE))^2+(VLOOKUP(C394,'Base de Diseño (2)'!$A$2:$C$333,3,0)-VLOOKUP(D394,'Base de Diseño (2)'!$A$2:$C$333,3,FALSE))^2)^0.5,2))</f>
        <v>102.54</v>
      </c>
      <c r="AY394" s="493">
        <v>20</v>
      </c>
      <c r="AZ394" s="480">
        <f ca="1">IF(AND(L394="",H394=""),"",IF(BA394=4,VLOOKUP(AY394,'TABLA (2)'!$A$74:$C$89,2),IF(BA394=5,VLOOKUP(AY394,'TABLA (2)'!$A$51:$B$66,2),IF(BA394=6,VLOOKUP(AY394,'TABLA (2)'!$A$9:$B$43,2)))))</f>
        <v>500</v>
      </c>
      <c r="BA394" s="493">
        <v>6</v>
      </c>
      <c r="BB394" s="478">
        <f>IF(OR(C394="",D394=""),"",VLOOKUP(C394,'Base de Diseño (2)'!$A$2:$D$330,4,FALSE))</f>
        <v>988.01099999999997</v>
      </c>
      <c r="BC394" s="478">
        <f>IF(OR(C394="",D394=""),"",VLOOKUP(D394,'Base de Diseño (2)'!$A$2:$D$330,4,FALSE))</f>
        <v>984.07159999999999</v>
      </c>
      <c r="BD394" s="23">
        <f ca="1">+BF394-((AZ394/1000)+CX394)</f>
        <v>3.3599999999999497</v>
      </c>
      <c r="BE394" s="23">
        <f ca="1">+BG394-((AZ394/1000)+CX394)</f>
        <v>1.5300000000000227</v>
      </c>
      <c r="BF394" s="494">
        <v>3.92999999999995</v>
      </c>
      <c r="BG394" s="494">
        <v>2.1000000000000227</v>
      </c>
      <c r="BH394" s="495">
        <f>BB394-BF394</f>
        <v>984.08100000000002</v>
      </c>
      <c r="BI394" s="495">
        <f>BC394-BG394</f>
        <v>981.97159999999997</v>
      </c>
      <c r="BJ394" s="534">
        <f t="shared" si="1044"/>
        <v>981.97159999999997</v>
      </c>
      <c r="BK394" s="475">
        <f>ABS((BB394-BC394)/AX394)*100</f>
        <v>3.8418178271893679</v>
      </c>
      <c r="BL394" s="475">
        <f>((BH394-BI394)/AX394)*100</f>
        <v>2.0571484298810714</v>
      </c>
      <c r="BM394" s="475">
        <f ca="1">IF(BA394=6,(1/0.013)*((AZ394/4000)^(2/3))*((BL394/100)^(0.5)),(1/0.009)*((AZ394/4000)^(2/3))*((BL394/100)^(0.5)))</f>
        <v>2.7582236036596144</v>
      </c>
      <c r="BN394" s="475">
        <f ca="1">1000*BM394*PI()*((AZ394/1000/2)^2)</f>
        <v>541.57593813843812</v>
      </c>
      <c r="BO394" s="204">
        <f ca="1">AI394/BN394</f>
        <v>2.7696946898268008E-3</v>
      </c>
      <c r="BP394" s="496">
        <f ca="1">IF(L394=0," ",AW394/BN394)</f>
        <v>0.28590635051518787</v>
      </c>
      <c r="BQ394" s="497">
        <f ca="1">IF($BO394&gt;0 =AND($BO394&lt;=0.06),10^(0.029806+0.29095*LOG($BO394)),IF($BO394&gt;0.06 =AND($BO394&lt;=0.26),10^(0.013778+0.282597*LOG($BO394)),IF($BO394&gt;0.26 =AND($BO394&lt;=0.91),10^(0.021763+0.28995*LOG($BO394)),1)))</f>
        <v>0.19305522527555571</v>
      </c>
      <c r="BR394" s="497">
        <f ca="1">IF($BP394&gt;0 =AND($BP394&lt;=0.06),10^(0.029806+0.29095*LOG($BP394)),IF($BP394&gt;0.06 =AND($BP394&lt;=0.26),10^(0.013778+0.282597*LOG($BP394)),IF($BP394&gt;0.26 =AND($BP394&lt;=2),10^(0.021763+0.28995*LOG($BP394))," ")))</f>
        <v>0.7312991882919383</v>
      </c>
      <c r="BS394" s="475">
        <f ca="1">BM394*BQ394</f>
        <v>0.532489479164862</v>
      </c>
      <c r="BT394" s="475">
        <f ca="1">IF(BP394=" "," ",(BM394*BR394))</f>
        <v>2.0170866824839409</v>
      </c>
      <c r="BU394" s="475">
        <f ca="1">IF(BO394&lt;=0.11,0.3827+0.0645*LN(BO394),IF(BO394&lt;=0.21,0.60025+0.15471*LN(BO394),IF(BO394&lt;1,0.225+0.6666666667*BO394,0)))</f>
        <v>2.8583270586812204E-3</v>
      </c>
      <c r="BV394" s="475">
        <f ca="1">IF(BP394&lt;=0.11,0.3827+0.0645*LN(BP394),IF(BP394&lt;=0.21,0.60025+0.15471*LN(BP394),IF(BP394&lt;1,0.225+0.6666666667*BP394," ")))</f>
        <v>0.41560423368632216</v>
      </c>
      <c r="BW394" s="475">
        <f ca="1">2*ACOS(1-2*(BU394))</f>
        <v>0.21395530607782121</v>
      </c>
      <c r="BX394" s="475">
        <f ca="1">IF(BP394=" "," ",(2*ACOS(1-2*(BV394))))</f>
        <v>2.8023856917189414</v>
      </c>
      <c r="BY394" s="475">
        <f ca="1">(1/4)*(1-(SIN(BW394))/BW394)</f>
        <v>1.9030087924730987E-3</v>
      </c>
      <c r="BZ394" s="475">
        <f ca="1">IF(BP394=" "," ",((1/4)*(1-(SIN(BX394))/BX394)))</f>
        <v>0.22031642111758207</v>
      </c>
      <c r="CA394" s="471">
        <f ca="1">BY394*AZ394/1000</f>
        <v>9.5150439623654937E-4</v>
      </c>
      <c r="CB394" s="471">
        <f ca="1">IF(BP394=" "," ",(BZ394*AZ394/1000))</f>
        <v>0.11015821055879103</v>
      </c>
      <c r="CC394" s="471">
        <f t="shared" ca="1" si="1172"/>
        <v>1.6274004070642272</v>
      </c>
      <c r="CD394" s="471" t="str">
        <f ca="1">IF(CC394="","",IF(CC394&lt;0.7,"F. Subcrítico",IF(AND(CC394&gt;0.7,CC394&lt;1),"F. Subcrítico Inestable",IF(CC394=1,"F. Crítico",IF(AND(CC394&gt;1,CC394&lt;1.5),"F. Supercrítico Inestable",IF(CC394&gt;1.5,"F. Supercrítico",""))))))</f>
        <v>F. Supercrítico</v>
      </c>
      <c r="CE394" s="471">
        <f ca="1">1000*BL394*CA394/100</f>
        <v>1.9573857747429545E-2</v>
      </c>
      <c r="CF394" s="471">
        <f ca="1">IF(BP394=" "," ",(1000*BL394*CB394/100))</f>
        <v>2.2661178988952546</v>
      </c>
      <c r="CG394" s="471" t="str">
        <f ca="1">IF(BS394&lt;0.45,"No cumple",IF(BS394&gt;5,"No cumple","O.K"))</f>
        <v>O.K</v>
      </c>
      <c r="CH394" s="471" t="str">
        <f ca="1">IF(BT394&lt;0.75,"No cumple",IF(BT394&gt;10,"No cumple","O.K"))</f>
        <v>O.K</v>
      </c>
      <c r="CI394" s="471" t="str">
        <f ca="1">IF(CE394&gt;0.1,"OK","V.C.H.")</f>
        <v>V.C.H.</v>
      </c>
      <c r="CJ394" s="471" t="str">
        <f ca="1">IF(CF394&gt;0.2,"OK","V.C.H.")</f>
        <v>OK</v>
      </c>
      <c r="CK394" s="468">
        <f>+BJ394</f>
        <v>981.97159999999997</v>
      </c>
      <c r="CL394" s="482" t="s">
        <v>2507</v>
      </c>
      <c r="CM394" s="482"/>
      <c r="CN394" s="63" t="str">
        <f>IF(B394=1,"dato"," ")</f>
        <v xml:space="preserve"> </v>
      </c>
      <c r="CO394" s="527">
        <f t="shared" si="1179"/>
        <v>102.54</v>
      </c>
      <c r="CP394" s="542">
        <f t="shared" si="1180"/>
        <v>3.8418178271893678E-2</v>
      </c>
      <c r="CQ394" s="482" t="s">
        <v>2508</v>
      </c>
      <c r="CR394" s="204">
        <f>IF(BA394="","",AX394)</f>
        <v>102.54</v>
      </c>
      <c r="CS394" s="486">
        <v>1.2</v>
      </c>
      <c r="CT394" s="486">
        <v>1.2</v>
      </c>
      <c r="CU394" s="23">
        <f>IF($BA394="","",SQRT((BH394-BI394)^2+$CR394^2))</f>
        <v>102.56169444953609</v>
      </c>
      <c r="CV394" s="499" t="s">
        <v>2509</v>
      </c>
      <c r="CW394" s="488" t="str">
        <f ca="1">+IF(BD394&lt;=0.9,"E1",IF(BD394&lt;=2.5,"E2","E3"))</f>
        <v>E3</v>
      </c>
      <c r="CX394" s="204">
        <f ca="1">IF(AND(L394="",H394=""),"",IF(AND(BA394&lt;&gt;4,BA394&lt;&gt;5),VLOOKUP(AY394,'TABLA (2)'!$A$9:$D$43,4),IF(BA394=4,VLOOKUP(AY394,'TABLA (2)'!$A$74:$D$89,4),VLOOKUP(AY394,'TABLA (2)'!$A$51:$D$66,4))))</f>
        <v>7.0000000000000007E-2</v>
      </c>
      <c r="CY394" s="482"/>
      <c r="CZ394" s="482"/>
      <c r="DA394" s="482"/>
      <c r="DB394" s="490"/>
    </row>
    <row r="395" spans="1:106" ht="15" hidden="1" customHeight="1">
      <c r="A395" s="465"/>
      <c r="B395" s="491"/>
      <c r="C395" s="466"/>
      <c r="D395" s="466"/>
      <c r="E395" s="468"/>
      <c r="F395" s="468"/>
      <c r="G395" s="537">
        <f t="shared" si="1176"/>
        <v>0</v>
      </c>
      <c r="H395" s="537">
        <f t="shared" si="1177"/>
        <v>0</v>
      </c>
      <c r="I395" s="468"/>
      <c r="J395" s="468"/>
      <c r="K395" s="467"/>
      <c r="L395" s="468"/>
      <c r="M395" s="469"/>
      <c r="N395" s="470"/>
      <c r="O395" s="470"/>
      <c r="P395" s="470"/>
      <c r="Q395" s="469"/>
      <c r="R395" s="471"/>
      <c r="S395" s="471"/>
      <c r="T395" s="471"/>
      <c r="U395" s="471"/>
      <c r="V395" s="471"/>
      <c r="W395" s="471"/>
      <c r="X395" s="471"/>
      <c r="Y395" s="471"/>
      <c r="Z395" s="471"/>
      <c r="AA395" s="471" t="str">
        <f t="shared" si="1033"/>
        <v/>
      </c>
      <c r="AB395" s="471"/>
      <c r="AC395" s="471"/>
      <c r="AD395" s="471"/>
      <c r="AE395" s="471"/>
      <c r="AF395" s="510" t="str">
        <f t="shared" si="1175"/>
        <v/>
      </c>
      <c r="AG395" s="471"/>
      <c r="AH395" s="471"/>
      <c r="AI395" s="471"/>
      <c r="AJ395" s="471"/>
      <c r="AK395" s="472"/>
      <c r="AL395" s="471"/>
      <c r="AM395" s="473">
        <f t="shared" si="1178"/>
        <v>474.44695720875893</v>
      </c>
      <c r="AN395" s="474">
        <f t="shared" si="1171"/>
        <v>18.03008883589839</v>
      </c>
      <c r="AO395" s="474"/>
      <c r="AP395" s="474"/>
      <c r="AQ395" s="475">
        <v>3</v>
      </c>
      <c r="AR395" s="474"/>
      <c r="AS395" s="474"/>
      <c r="AT395" s="471"/>
      <c r="AU395" s="492"/>
      <c r="AV395" s="471"/>
      <c r="AW395" s="471"/>
      <c r="AX395" s="478"/>
      <c r="AY395" s="493"/>
      <c r="AZ395" s="480"/>
      <c r="BA395" s="493"/>
      <c r="BB395" s="478" t="str">
        <f>IF(OR(C395="",D395=""),"",VLOOKUP(C395,'Base de Diseño (2)'!$A$2:$D$330,4,FALSE))</f>
        <v/>
      </c>
      <c r="BC395" s="478" t="str">
        <f>IF(OR(C395="",D395=""),"",VLOOKUP(D395,'Base de Diseño (2)'!$A$2:$D$330,4,FALSE))</f>
        <v/>
      </c>
      <c r="BD395" s="23"/>
      <c r="BE395" s="23"/>
      <c r="BF395" s="494"/>
      <c r="BG395" s="494"/>
      <c r="BH395" s="495"/>
      <c r="BI395" s="495"/>
      <c r="BJ395" s="534">
        <f t="shared" si="1044"/>
        <v>0</v>
      </c>
      <c r="BK395" s="475"/>
      <c r="BL395" s="475"/>
      <c r="BM395" s="475"/>
      <c r="BN395" s="475"/>
      <c r="BO395" s="204"/>
      <c r="BP395" s="496"/>
      <c r="BQ395" s="497"/>
      <c r="BR395" s="497"/>
      <c r="BS395" s="475"/>
      <c r="BT395" s="475"/>
      <c r="BU395" s="475"/>
      <c r="BV395" s="475"/>
      <c r="BW395" s="475"/>
      <c r="BX395" s="475"/>
      <c r="BY395" s="475"/>
      <c r="BZ395" s="475"/>
      <c r="CA395" s="471"/>
      <c r="CB395" s="471"/>
      <c r="CC395" s="471" t="e">
        <f t="shared" si="1172"/>
        <v>#DIV/0!</v>
      </c>
      <c r="CD395" s="471"/>
      <c r="CE395" s="471"/>
      <c r="CF395" s="471"/>
      <c r="CG395" s="471"/>
      <c r="CH395" s="471"/>
      <c r="CI395" s="471"/>
      <c r="CJ395" s="471"/>
      <c r="CK395" s="468"/>
      <c r="CL395" s="482" t="s">
        <v>2507</v>
      </c>
      <c r="CM395" s="482"/>
      <c r="CN395" s="63"/>
      <c r="CO395" s="527">
        <f t="shared" si="1179"/>
        <v>0</v>
      </c>
      <c r="CP395" s="511">
        <f t="shared" si="1180"/>
        <v>0</v>
      </c>
      <c r="CQ395" s="482"/>
      <c r="CR395" s="204"/>
      <c r="CS395" s="486"/>
      <c r="CT395" s="486"/>
      <c r="CU395" s="23"/>
      <c r="CV395" s="499"/>
      <c r="CW395" s="488"/>
      <c r="CX395" s="204"/>
      <c r="CY395" s="482"/>
      <c r="CZ395" s="482"/>
      <c r="DA395" s="482"/>
      <c r="DB395" s="490"/>
    </row>
    <row r="396" spans="1:106" ht="15" hidden="1" customHeight="1">
      <c r="A396" s="465">
        <f>+A394+1</f>
        <v>286</v>
      </c>
      <c r="B396" s="491">
        <v>1</v>
      </c>
      <c r="C396" s="466" t="s">
        <v>2077</v>
      </c>
      <c r="D396" s="466" t="s">
        <v>2082</v>
      </c>
      <c r="E396" s="468">
        <v>0.21790312119999999</v>
      </c>
      <c r="F396" s="468"/>
      <c r="G396" s="537">
        <f t="shared" si="1176"/>
        <v>0</v>
      </c>
      <c r="H396" s="537">
        <f t="shared" si="1177"/>
        <v>0.21790312119999999</v>
      </c>
      <c r="I396" s="468">
        <v>0.21790312119999999</v>
      </c>
      <c r="J396" s="468"/>
      <c r="K396" s="467">
        <f>+IF(B396=1,0,SUMIF($D$22:$D$583,C396,$L$22:$L$580))</f>
        <v>0</v>
      </c>
      <c r="L396" s="468">
        <f>+I396+J396+K396</f>
        <v>0.21790312119999999</v>
      </c>
      <c r="M396" s="469">
        <f>+$P$12</f>
        <v>242.33666300502347</v>
      </c>
      <c r="N396" s="470">
        <f>M396*E396</f>
        <v>52.80591524998718</v>
      </c>
      <c r="O396" s="470">
        <f>M396*F396</f>
        <v>0</v>
      </c>
      <c r="P396" s="470">
        <f>M396*H396</f>
        <v>52.80591524998718</v>
      </c>
      <c r="Q396" s="469">
        <f t="shared" ref="Q396:Q427" si="1181">+$H$14</f>
        <v>140</v>
      </c>
      <c r="R396" s="471">
        <f>Q396*P396*$P$14/86400</f>
        <v>7.2730369383662896E-2</v>
      </c>
      <c r="S396" s="471"/>
      <c r="T396" s="471"/>
      <c r="U396" s="471">
        <f>IF(C396="","",T396*$P$17)</f>
        <v>0</v>
      </c>
      <c r="V396" s="471"/>
      <c r="W396" s="471"/>
      <c r="X396" s="471">
        <f>IF(C396="","",W396*$P$16)</f>
        <v>0</v>
      </c>
      <c r="Y396" s="471">
        <f>IF(H396=0,0,$H$15*H396)</f>
        <v>4.3580624240000004E-2</v>
      </c>
      <c r="Z396" s="471">
        <f>IF(L396=0,$H$16*H396,0)</f>
        <v>0</v>
      </c>
      <c r="AA396" s="471">
        <f t="shared" si="1033"/>
        <v>3.8</v>
      </c>
      <c r="AB396" s="471">
        <f>R396*AA396</f>
        <v>0.27637540365791902</v>
      </c>
      <c r="AC396" s="471">
        <f>Q396*(N396+O396)*$P$14/86400</f>
        <v>7.2730369383662896E-2</v>
      </c>
      <c r="AD396" s="471">
        <f>IF(E396=0,0,$H$15*(E396+F396))</f>
        <v>4.3580624240000004E-2</v>
      </c>
      <c r="AE396" s="471">
        <f>IF(F396=0,0,$H$15*(F396+G396))</f>
        <v>0</v>
      </c>
      <c r="AF396" s="510">
        <f t="shared" si="1175"/>
        <v>3.8</v>
      </c>
      <c r="AG396" s="471">
        <f>AC396*AF396</f>
        <v>0.27637540365791902</v>
      </c>
      <c r="AH396" s="471">
        <f>+AD396+AE396+AG396</f>
        <v>0.31995602789791899</v>
      </c>
      <c r="AI396" s="471">
        <f>IF(H396="","",IF(AB396+Y396+Z396+X396+U396&lt;1.5,1.5,AB396+Y396+Z396+X396+U396))</f>
        <v>1.5</v>
      </c>
      <c r="AJ396" s="471">
        <f>+$P$17</f>
        <v>0.75</v>
      </c>
      <c r="AK396" s="472">
        <f>+BK396/100</f>
        <v>6.8952307986978282E-4</v>
      </c>
      <c r="AL396" s="471">
        <f>IF(AJ396=0," ",0.14+0.65*AJ396+0.05*AK396)</f>
        <v>0.62753447615399349</v>
      </c>
      <c r="AM396" s="473">
        <f t="shared" si="1178"/>
        <v>259.00373998875932</v>
      </c>
      <c r="AN396" s="474">
        <f t="shared" si="1171"/>
        <v>28.419345054912224</v>
      </c>
      <c r="AO396" s="474">
        <f>((1/60)*$AX396/$AQ396)</f>
        <v>0.58011111111111113</v>
      </c>
      <c r="AP396" s="474">
        <f>IF(B396=1,IF(($AN396+$AO396)&lt;10,10,IF(($AN396+$AO396)&gt;20,20,($AN396+$AO396))),($AN396+$AO396))</f>
        <v>20</v>
      </c>
      <c r="AQ396" s="475">
        <v>3</v>
      </c>
      <c r="AR396" s="474">
        <f>((1/60)*$AX396/$BT396)</f>
        <v>1.0826420334371889</v>
      </c>
      <c r="AS396" s="474">
        <f>AO396/AR396</f>
        <v>0.53582910435258579</v>
      </c>
      <c r="AT396" s="471" t="str">
        <f>IF(AS396&lt;0.9,"Disminuir vel.",IF(AS396&gt;1.1,"Aumentar vel.","Cumple"))</f>
        <v>Disminuir vel.</v>
      </c>
      <c r="AU396" s="492">
        <f>+I396*AL396*AM396</f>
        <v>35.416617155271119</v>
      </c>
      <c r="AV396" s="471">
        <f>+L396*AL396*AM396</f>
        <v>35.416617155271119</v>
      </c>
      <c r="AW396" s="471">
        <f>ROUND(IF(AI396&gt;(AV396*0.05),(AV396+AI396),AV396),2)</f>
        <v>35.42</v>
      </c>
      <c r="AX396" s="478">
        <f>IF(OR(C396="",D396=""),"",ROUND(((VLOOKUP(C396,'Base de Diseño (2)'!$A$2:$C$333,2,FALSE)-VLOOKUP(D396,'Base de Diseño (2)'!$A$2:$C$333,2,FALSE))^2+(VLOOKUP(C396,'Base de Diseño (2)'!$A$2:$C$333,3,0)-VLOOKUP(D396,'Base de Diseño (2)'!$A$2:$C$333,3,FALSE))^2)^0.5,2))</f>
        <v>104.42</v>
      </c>
      <c r="AY396" s="493">
        <v>8</v>
      </c>
      <c r="AZ396" s="480">
        <f>IF(AND(L396="",H396=""),"",IF(BA396=4,VLOOKUP(AY396,'TABLA (2)'!$A$74:$C$89,2),IF(BA396=5,VLOOKUP(AY396,'TABLA (2)'!$A$51:$B$66,2),IF(BA396=6,VLOOKUP(AY396,'TABLA (2)'!$A$9:$B$43,2)))))</f>
        <v>200</v>
      </c>
      <c r="BA396" s="493">
        <v>6</v>
      </c>
      <c r="BB396" s="478">
        <f>IF(OR(C396="",D396=""),"",VLOOKUP(C396,'Base de Diseño (2)'!$A$2:$D$330,4,FALSE))</f>
        <v>988.08299999999997</v>
      </c>
      <c r="BC396" s="478">
        <f>IF(OR(C396="",D396=""),"",VLOOKUP(D396,'Base de Diseño (2)'!$A$2:$D$330,4,FALSE))</f>
        <v>988.01099999999997</v>
      </c>
      <c r="BD396" s="23">
        <f>+BF396-((AZ396/1000)+CX396)</f>
        <v>0.76300000000000001</v>
      </c>
      <c r="BE396" s="23">
        <f>+BG396-((AZ396/1000)+CX396)</f>
        <v>3.5629999999999544</v>
      </c>
      <c r="BF396" s="494">
        <v>1</v>
      </c>
      <c r="BG396" s="494">
        <v>3.7999999999999545</v>
      </c>
      <c r="BH396" s="495">
        <f>BB396-BF396</f>
        <v>987.08299999999997</v>
      </c>
      <c r="BI396" s="495">
        <f>BC396-BG396</f>
        <v>984.21100000000001</v>
      </c>
      <c r="BJ396" s="534">
        <f t="shared" si="1044"/>
        <v>984.21100000000001</v>
      </c>
      <c r="BK396" s="475">
        <f>ABS((BB396-BC396)/AX396)*100</f>
        <v>6.8952307986978281E-2</v>
      </c>
      <c r="BL396" s="475">
        <f>((BH396-BI396)/AX396)*100</f>
        <v>2.7504309519248777</v>
      </c>
      <c r="BM396" s="475">
        <f>IF(BA396=6,(1/0.013)*((AZ396/4000)^(2/3))*((BL396/100)^(0.5)),(1/0.009)*((AZ396/4000)^(2/3))*((BL396/100)^(0.5)))</f>
        <v>1.7314250263331175</v>
      </c>
      <c r="BN396" s="475">
        <f>1000*BM396*PI()*((AZ396/1000/2)^2)</f>
        <v>54.394321429696376</v>
      </c>
      <c r="BO396" s="204">
        <f>AI396/BN396</f>
        <v>2.7576407988446395E-2</v>
      </c>
      <c r="BP396" s="496">
        <f>IF(L396=0," ",AW396/BN396)</f>
        <v>0.65117091396718085</v>
      </c>
      <c r="BQ396" s="497">
        <f>IF($BO396&gt;0 =AND($BO396&lt;=0.06),10^(0.029806+0.29095*LOG($BO396)),IF($BO396&gt;0.06 =AND($BO396&lt;=0.26),10^(0.013778+0.282597*LOG($BO396)),IF($BO396&gt;0.26 =AND($BO396&lt;=0.91),10^(0.021763+0.28995*LOG($BO396)),1)))</f>
        <v>0.37677358074317285</v>
      </c>
      <c r="BR396" s="497">
        <f>IF($BP396&gt;0 =AND($BP396&lt;=0.06),10^(0.029806+0.29095*LOG($BP396)),IF($BP396&gt;0.06 =AND($BP396&lt;=0.26),10^(0.013778+0.282597*LOG($BP396)),IF($BP396&gt;0.26 =AND($BP396&lt;=2),10^(0.021763+0.28995*LOG($BP396))," ")))</f>
        <v>0.92841866590213229</v>
      </c>
      <c r="BS396" s="475">
        <f>BM396*BQ396</f>
        <v>0.65235520695987104</v>
      </c>
      <c r="BT396" s="475">
        <f>IF(BP396=" "," ",(BM396*BR396))</f>
        <v>1.6074873130577572</v>
      </c>
      <c r="BU396" s="475">
        <f>IF(BO396&lt;=0.11,0.3827+0.0645*LN(BO396),IF(BO396&lt;=0.21,0.60025+0.15471*LN(BO396),IF(BO396&lt;1,0.225+0.6666666667*BO396,0)))</f>
        <v>0.15109374476400253</v>
      </c>
      <c r="BV396" s="475">
        <f>IF(BP396&lt;=0.11,0.3827+0.0645*LN(BP396),IF(BP396&lt;=0.21,0.60025+0.15471*LN(BP396),IF(BP396&lt;1,0.225+0.6666666667*BP396," ")))</f>
        <v>0.65911394266649292</v>
      </c>
      <c r="BW396" s="475">
        <f>2*ACOS(1-2*(BU396))</f>
        <v>1.5969146966759342</v>
      </c>
      <c r="BX396" s="475">
        <f>IF(BP396=" "," ",(2*ACOS(1-2*(BV396))))</f>
        <v>3.7893118699663426</v>
      </c>
      <c r="BY396" s="475">
        <f>(1/4)*(1-(SIN(BW396))/BW396)</f>
        <v>9.3501513129103042E-2</v>
      </c>
      <c r="BZ396" s="475">
        <f>IF(BP396=" "," ",((1/4)*(1-(SIN(BX396))/BX396)))</f>
        <v>0.28980730268736765</v>
      </c>
      <c r="CA396" s="471">
        <f>BY396*AZ396/1000</f>
        <v>1.8700302625820609E-2</v>
      </c>
      <c r="CB396" s="471">
        <f>IF(BP396=" "," ",(BZ396*AZ396/1000))</f>
        <v>5.796146053747353E-2</v>
      </c>
      <c r="CC396" s="471">
        <f t="shared" si="1172"/>
        <v>1.5079454973869546</v>
      </c>
      <c r="CD396" s="471" t="str">
        <f>IF(CC396="","",IF(CC396&lt;0.7,"F. Subcrítico",IF(AND(CC396&gt;0.7,CC396&lt;1),"F. Subcrítico Inestable",IF(CC396=1,"F. Crítico",IF(AND(CC396&gt;1,CC396&lt;1.5),"F. Supercrítico Inestable",IF(CC396&gt;1.5,"F. Supercrítico",""))))))</f>
        <v>F. Supercrítico</v>
      </c>
      <c r="CE396" s="471">
        <f>1000*BL396*CA396/100</f>
        <v>0.51433891152419065</v>
      </c>
      <c r="CF396" s="471">
        <f>IF(BP396=" "," ",(1000*BL396*CB396/100))</f>
        <v>1.5941899508103956</v>
      </c>
      <c r="CG396" s="471" t="str">
        <f>IF(BS396&lt;0.45,"No cumple",IF(BS396&gt;5,"No cumple","O.K"))</f>
        <v>O.K</v>
      </c>
      <c r="CH396" s="471" t="str">
        <f>IF(BT396&lt;0.75,"No cumple",IF(BT396&gt;10,"No cumple","O.K"))</f>
        <v>O.K</v>
      </c>
      <c r="CI396" s="471" t="str">
        <f>IF(CE396&gt;0.1,"OK","V.C.H.")</f>
        <v>OK</v>
      </c>
      <c r="CJ396" s="471" t="str">
        <f>IF(CF396&gt;0.2,"OK","V.C.H.")</f>
        <v>OK</v>
      </c>
      <c r="CK396" s="468">
        <f>+BJ396</f>
        <v>984.21100000000001</v>
      </c>
      <c r="CL396" s="482" t="s">
        <v>2507</v>
      </c>
      <c r="CM396" s="482"/>
      <c r="CN396" s="63" t="str">
        <f>IF(B396=1,"dato"," ")</f>
        <v>dato</v>
      </c>
      <c r="CO396" s="527">
        <f t="shared" si="1179"/>
        <v>104.42</v>
      </c>
      <c r="CP396" s="542">
        <f t="shared" si="1180"/>
        <v>6.8952307986978282E-4</v>
      </c>
      <c r="CQ396" s="482" t="s">
        <v>2508</v>
      </c>
      <c r="CR396" s="204">
        <f>IF(BA396="","",AX396)</f>
        <v>104.42</v>
      </c>
      <c r="CS396" s="486">
        <v>1.2</v>
      </c>
      <c r="CT396" s="486">
        <v>1.2</v>
      </c>
      <c r="CU396" s="23">
        <f>IF($BA396="","",SQRT((BH396-BI396)^2+$CR396^2))</f>
        <v>104.45948872170494</v>
      </c>
      <c r="CV396" s="499" t="s">
        <v>2509</v>
      </c>
      <c r="CW396" s="488" t="str">
        <f>+IF(BD396&lt;=0.9,"E1",IF(BD396&lt;=2.5,"E2","E3"))</f>
        <v>E1</v>
      </c>
      <c r="CX396" s="204">
        <f>IF(AND(L396="",H396=""),"",IF(AND(BA396&lt;&gt;4,BA396&lt;&gt;5),VLOOKUP(AY396,'TABLA (2)'!$A$9:$D$43,4),IF(BA396=4,VLOOKUP(AY396,'TABLA (2)'!$A$74:$D$89,4),VLOOKUP(AY396,'TABLA (2)'!$A$51:$D$66,4))))</f>
        <v>3.6999999999999998E-2</v>
      </c>
      <c r="CY396" s="482"/>
      <c r="CZ396" s="482"/>
      <c r="DA396" s="482"/>
      <c r="DB396" s="490"/>
    </row>
    <row r="397" spans="1:106" ht="15" hidden="1" customHeight="1">
      <c r="A397" s="465"/>
      <c r="B397" s="491"/>
      <c r="C397" s="466"/>
      <c r="D397" s="466"/>
      <c r="E397" s="468"/>
      <c r="F397" s="468"/>
      <c r="G397" s="537">
        <f t="shared" si="1176"/>
        <v>0</v>
      </c>
      <c r="H397" s="537">
        <f t="shared" si="1177"/>
        <v>0</v>
      </c>
      <c r="I397" s="468"/>
      <c r="J397" s="468"/>
      <c r="K397" s="467"/>
      <c r="L397" s="468"/>
      <c r="M397" s="469"/>
      <c r="N397" s="470"/>
      <c r="O397" s="470"/>
      <c r="P397" s="470"/>
      <c r="Q397" s="469">
        <f t="shared" si="1181"/>
        <v>140</v>
      </c>
      <c r="R397" s="471"/>
      <c r="S397" s="471"/>
      <c r="T397" s="471"/>
      <c r="U397" s="471"/>
      <c r="V397" s="471"/>
      <c r="W397" s="471"/>
      <c r="X397" s="471"/>
      <c r="Y397" s="471"/>
      <c r="Z397" s="471"/>
      <c r="AA397" s="471" t="str">
        <f t="shared" si="1033"/>
        <v/>
      </c>
      <c r="AB397" s="471"/>
      <c r="AC397" s="471"/>
      <c r="AD397" s="471"/>
      <c r="AE397" s="471"/>
      <c r="AF397" s="510" t="str">
        <f t="shared" si="1175"/>
        <v/>
      </c>
      <c r="AG397" s="471"/>
      <c r="AH397" s="471"/>
      <c r="AI397" s="471"/>
      <c r="AJ397" s="471"/>
      <c r="AK397" s="472"/>
      <c r="AL397" s="471"/>
      <c r="AM397" s="473">
        <f t="shared" si="1178"/>
        <v>474.44695720875893</v>
      </c>
      <c r="AN397" s="474">
        <f t="shared" si="1171"/>
        <v>20</v>
      </c>
      <c r="AO397" s="474"/>
      <c r="AP397" s="474"/>
      <c r="AQ397" s="475">
        <v>3</v>
      </c>
      <c r="AR397" s="474"/>
      <c r="AS397" s="474"/>
      <c r="AT397" s="471"/>
      <c r="AU397" s="492"/>
      <c r="AV397" s="471"/>
      <c r="AW397" s="471"/>
      <c r="AX397" s="478"/>
      <c r="AY397" s="493"/>
      <c r="AZ397" s="480"/>
      <c r="BA397" s="493"/>
      <c r="BB397" s="478" t="str">
        <f>IF(OR(C397="",D397=""),"",VLOOKUP(C397,'Base de Diseño (2)'!$A$2:$D$330,4,FALSE))</f>
        <v/>
      </c>
      <c r="BC397" s="478" t="str">
        <f>IF(OR(C397="",D397=""),"",VLOOKUP(D397,'Base de Diseño (2)'!$A$2:$D$330,4,FALSE))</f>
        <v/>
      </c>
      <c r="BD397" s="23"/>
      <c r="BE397" s="23"/>
      <c r="BF397" s="494"/>
      <c r="BG397" s="494"/>
      <c r="BH397" s="495"/>
      <c r="BI397" s="495"/>
      <c r="BJ397" s="534">
        <f t="shared" si="1044"/>
        <v>0</v>
      </c>
      <c r="BK397" s="475"/>
      <c r="BL397" s="475"/>
      <c r="BM397" s="475"/>
      <c r="BN397" s="475"/>
      <c r="BO397" s="204"/>
      <c r="BP397" s="496"/>
      <c r="BQ397" s="497"/>
      <c r="BR397" s="497"/>
      <c r="BS397" s="475"/>
      <c r="BT397" s="475"/>
      <c r="BU397" s="475"/>
      <c r="BV397" s="475"/>
      <c r="BW397" s="475"/>
      <c r="BX397" s="475"/>
      <c r="BY397" s="475"/>
      <c r="BZ397" s="475"/>
      <c r="CA397" s="471"/>
      <c r="CB397" s="471"/>
      <c r="CC397" s="471" t="e">
        <f t="shared" si="1172"/>
        <v>#DIV/0!</v>
      </c>
      <c r="CD397" s="471"/>
      <c r="CE397" s="471"/>
      <c r="CF397" s="471"/>
      <c r="CG397" s="471"/>
      <c r="CH397" s="471"/>
      <c r="CI397" s="471"/>
      <c r="CJ397" s="471"/>
      <c r="CK397" s="468"/>
      <c r="CL397" s="482" t="s">
        <v>2507</v>
      </c>
      <c r="CM397" s="482"/>
      <c r="CN397" s="63"/>
      <c r="CO397" s="527">
        <f t="shared" si="1179"/>
        <v>0</v>
      </c>
      <c r="CP397" s="511">
        <f t="shared" si="1180"/>
        <v>0</v>
      </c>
      <c r="CQ397" s="482"/>
      <c r="CR397" s="204"/>
      <c r="CS397" s="486"/>
      <c r="CT397" s="486"/>
      <c r="CU397" s="23"/>
      <c r="CV397" s="499"/>
      <c r="CW397" s="488"/>
      <c r="CX397" s="204"/>
      <c r="CY397" s="482"/>
      <c r="CZ397" s="482"/>
      <c r="DA397" s="482"/>
      <c r="DB397" s="490"/>
    </row>
    <row r="398" spans="1:106" ht="15" hidden="1" customHeight="1">
      <c r="A398" s="465">
        <f>+A396+1</f>
        <v>287</v>
      </c>
      <c r="B398" s="491"/>
      <c r="C398" s="466" t="s">
        <v>2303</v>
      </c>
      <c r="D398" s="466" t="s">
        <v>2092</v>
      </c>
      <c r="E398" s="468"/>
      <c r="F398" s="468"/>
      <c r="G398" s="537">
        <f t="shared" si="1176"/>
        <v>1.8821431133000002</v>
      </c>
      <c r="H398" s="537">
        <f t="shared" si="1177"/>
        <v>1.8821431133000002</v>
      </c>
      <c r="I398" s="468"/>
      <c r="J398" s="468"/>
      <c r="K398" s="467">
        <f ca="1">+IF(B398=1,0,SUMIF($D$22:$D$583,C398,$L$22:$L$580))</f>
        <v>1.8821431133000002</v>
      </c>
      <c r="L398" s="468">
        <f ca="1">+I398+J398+K398</f>
        <v>1.8821431133000002</v>
      </c>
      <c r="M398" s="469">
        <f>+$P$12</f>
        <v>242.33666300502347</v>
      </c>
      <c r="N398" s="470">
        <f>M398*E398</f>
        <v>0</v>
      </c>
      <c r="O398" s="470">
        <f>M398*F398</f>
        <v>0</v>
      </c>
      <c r="P398" s="470">
        <f>M398*H398</f>
        <v>456.11228137500785</v>
      </c>
      <c r="Q398" s="469">
        <f t="shared" si="1181"/>
        <v>140</v>
      </c>
      <c r="R398" s="471">
        <f>Q398*P398*$P$14/86400</f>
        <v>0.62821020235678171</v>
      </c>
      <c r="S398" s="471"/>
      <c r="T398" s="471"/>
      <c r="U398" s="471">
        <f>IF(C398="","",T398*$P$17)</f>
        <v>0</v>
      </c>
      <c r="V398" s="471"/>
      <c r="W398" s="471"/>
      <c r="X398" s="471">
        <f>IF(C398="","",W398*$P$16)</f>
        <v>0</v>
      </c>
      <c r="Y398" s="471">
        <f>IF(H398=0,0,$H$15*H398)</f>
        <v>0.37642862266000005</v>
      </c>
      <c r="Z398" s="471">
        <f ca="1">IF(L398=0,$H$16*H398,0)</f>
        <v>0</v>
      </c>
      <c r="AA398" s="471">
        <f t="shared" si="1033"/>
        <v>3.8</v>
      </c>
      <c r="AB398" s="471">
        <f>R398*AA398</f>
        <v>2.3871987689557703</v>
      </c>
      <c r="AC398" s="471">
        <f>Q398*(N398+O398)*$P$14/86400</f>
        <v>0</v>
      </c>
      <c r="AD398" s="471">
        <f>IF(E398=0,0,$H$15*(E398+F398))</f>
        <v>0</v>
      </c>
      <c r="AE398" s="471">
        <f>IF(F398=0,0,$H$15*(F398+G398))</f>
        <v>0</v>
      </c>
      <c r="AF398" s="510">
        <f t="shared" si="1175"/>
        <v>3.8</v>
      </c>
      <c r="AG398" s="471">
        <f>AC398*AF398</f>
        <v>0</v>
      </c>
      <c r="AH398" s="471">
        <f>+AD398+AE398+AG398</f>
        <v>0</v>
      </c>
      <c r="AI398" s="471">
        <f ca="1">IF(H398="","",IF(AB398+Y398+Z398+X398+U398&lt;1.5,1.5,AB398+Y398+Z398+X398+U398))</f>
        <v>2.7636273916157705</v>
      </c>
      <c r="AJ398" s="471">
        <f>+$P$17</f>
        <v>0.75</v>
      </c>
      <c r="AK398" s="472">
        <f>+BK398/100</f>
        <v>0.46071351351351825</v>
      </c>
      <c r="AL398" s="471">
        <f>IF(AJ398=0," ",0.14+0.65*AJ398+0.05*AK398)</f>
        <v>0.65053567567567594</v>
      </c>
      <c r="AM398" s="473">
        <f t="shared" si="1178"/>
        <v>473.46282829972938</v>
      </c>
      <c r="AN398" s="474">
        <f t="shared" si="1171"/>
        <v>0</v>
      </c>
      <c r="AO398" s="474">
        <f>((1/60)*$AX398/$AQ398)</f>
        <v>5.1388888888888894E-2</v>
      </c>
      <c r="AP398" s="474">
        <f>IF(B398=1,IF(($AN398+$AO398)&lt;10,10,IF(($AN398+$AO398)&gt;20,20,($AN398+$AO398))),($AN398+$AO398))</f>
        <v>5.1388888888888894E-2</v>
      </c>
      <c r="AQ398" s="475">
        <v>3</v>
      </c>
      <c r="AR398" s="474">
        <f ca="1">((1/60)*$AX398/$BT398)</f>
        <v>2.0222986710560151E-2</v>
      </c>
      <c r="AS398" s="474">
        <f ca="1">AO398/AR398</f>
        <v>2.5411127260472539</v>
      </c>
      <c r="AT398" s="471" t="str">
        <f ca="1">IF(AS398&lt;0.9,"Disminuir vel.",IF(AS398&gt;1.1,"Aumentar vel.","Cumple"))</f>
        <v>Aumentar vel.</v>
      </c>
      <c r="AU398" s="492">
        <f>+I398*AL398*AM398</f>
        <v>0</v>
      </c>
      <c r="AV398" s="471">
        <f ca="1">+L398*AL398*AM398</f>
        <v>579.7084749773752</v>
      </c>
      <c r="AW398" s="471">
        <f ca="1">ROUND(IF(AI398&gt;(AV398*0.05),(AV398+AI398),AV398),2)</f>
        <v>579.71</v>
      </c>
      <c r="AX398" s="478">
        <f>IF(OR(C398="",D398=""),"",ROUND(((VLOOKUP(C398,'Base de Diseño (2)'!$A$2:$C$333,2,FALSE)-VLOOKUP(D398,'Base de Diseño (2)'!$A$2:$C$333,2,FALSE))^2+(VLOOKUP(C398,'Base de Diseño (2)'!$A$2:$C$333,3,0)-VLOOKUP(D398,'Base de Diseño (2)'!$A$2:$C$333,3,FALSE))^2)^0.5,2))</f>
        <v>9.25</v>
      </c>
      <c r="AY398" s="493">
        <v>16</v>
      </c>
      <c r="AZ398" s="480">
        <f ca="1">IF(AND(L398="",H398=""),"",IF(BA398=4,VLOOKUP(AY398,'TABLA (2)'!$A$74:$C$89,2),IF(BA398=5,VLOOKUP(AY398,'TABLA (2)'!$A$51:$B$66,2),IF(BA398=6,VLOOKUP(AY398,'TABLA (2)'!$A$9:$B$43,2)))))</f>
        <v>400</v>
      </c>
      <c r="BA398" s="493">
        <v>6</v>
      </c>
      <c r="BB398" s="478">
        <f>IF(OR(C398="",D398=""),"",VLOOKUP(C398,'Base de Diseño (2)'!$A$2:$D$330,4,FALSE))</f>
        <v>966.79160000000002</v>
      </c>
      <c r="BC398" s="478">
        <f>IF(OR(C398="",D398=""),"",VLOOKUP(D398,'Base de Diseño (2)'!$A$2:$D$330,4,FALSE))</f>
        <v>962.53</v>
      </c>
      <c r="BD398" s="23">
        <f ca="1">+BF398-((AZ398/1000)+CX398)</f>
        <v>1.2380000000000455</v>
      </c>
      <c r="BE398" s="23">
        <f ca="1">+BG398-((AZ398/1000)+CX398)</f>
        <v>-0.46200000000000002</v>
      </c>
      <c r="BF398" s="494">
        <v>1.7000000000000455</v>
      </c>
      <c r="BG398" s="494">
        <v>0</v>
      </c>
      <c r="BH398" s="495">
        <f>BB398-BF398</f>
        <v>965.09159999999997</v>
      </c>
      <c r="BI398" s="495">
        <f>BC398-BG398</f>
        <v>962.53</v>
      </c>
      <c r="BJ398" s="534">
        <f t="shared" si="1044"/>
        <v>962.53</v>
      </c>
      <c r="BK398" s="475">
        <f>ABS((BB398-BC398)/AX398)*100</f>
        <v>46.071351351351822</v>
      </c>
      <c r="BL398" s="475">
        <f>((BH398-BI398)/AX398)*100</f>
        <v>27.692972972972957</v>
      </c>
      <c r="BM398" s="475">
        <f ca="1">IF(BA398=6,(1/0.013)*((AZ398/4000)^(2/3))*((BL398/100)^(0.5)),(1/0.009)*((AZ398/4000)^(2/3))*((BL398/100)^(0.5)))</f>
        <v>8.7211703967578291</v>
      </c>
      <c r="BN398" s="475">
        <f ca="1">1000*BM398*PI()*((AZ398/1000/2)^2)</f>
        <v>1095.9345939663674</v>
      </c>
      <c r="BO398" s="204">
        <f ca="1">AI398/BN398</f>
        <v>2.521708327149113E-3</v>
      </c>
      <c r="BP398" s="496">
        <f ca="1">IF(L398=0," ",AW398/BN398)</f>
        <v>0.52896404875945591</v>
      </c>
      <c r="BQ398" s="497">
        <f ca="1">IF($BO398&gt;0 =AND($BO398&lt;=0.06),10^(0.029806+0.29095*LOG($BO398)),IF($BO398&gt;0.06 =AND($BO398&lt;=0.26),10^(0.013778+0.282597*LOG($BO398)),IF($BO398&gt;0.26 =AND($BO398&lt;=0.91),10^(0.021763+0.28995*LOG($BO398)),1)))</f>
        <v>0.18785775040268574</v>
      </c>
      <c r="BR398" s="497">
        <f ca="1">IF($BP398&gt;0 =AND($BP398&lt;=0.06),10^(0.029806+0.29095*LOG($BP398)),IF($BP398&gt;0.06 =AND($BP398&lt;=0.26),10^(0.013778+0.282597*LOG($BP398)),IF($BP398&gt;0.26 =AND($BP398&lt;=2),10^(0.021763+0.28995*LOG($BP398))," ")))</f>
        <v>0.87411870555536941</v>
      </c>
      <c r="BS398" s="475">
        <f ca="1">BM398*BQ398</f>
        <v>1.638339451613424</v>
      </c>
      <c r="BT398" s="475">
        <f ca="1">IF(BP398=" "," ",(BM398*BR398))</f>
        <v>7.6233381781417613</v>
      </c>
      <c r="BU398" s="475">
        <f ca="1">IF(BO398&lt;=0.11,0.3827+0.0645*LN(BO398),IF(BO398&lt;=0.21,0.60025+0.15471*LN(BO398),IF(BO398&lt;1,0.225+0.6666666667*BO398,0)))</f>
        <v>-3.1918061200406633E-3</v>
      </c>
      <c r="BV398" s="475">
        <f ca="1">IF(BP398&lt;=0.11,0.3827+0.0645*LN(BP398),IF(BP398&lt;=0.21,0.60025+0.15471*LN(BP398),IF(BP398&lt;1,0.225+0.6666666667*BP398," ")))</f>
        <v>0.57764269919060274</v>
      </c>
      <c r="BW398" s="475" t="e">
        <f ca="1">2*ACOS(1-2*(BU398))</f>
        <v>#NUM!</v>
      </c>
      <c r="BX398" s="475">
        <f ca="1">IF(BP398=" "," ",(2*ACOS(1-2*(BV398))))</f>
        <v>3.4534253529152426</v>
      </c>
      <c r="BY398" s="475" t="e">
        <f ca="1">(1/4)*(1-(SIN(BW398))/BW398)</f>
        <v>#NUM!</v>
      </c>
      <c r="BZ398" s="475">
        <f ca="1">IF(BP398=" "," ",((1/4)*(1-(SIN(BX398))/BX398)))</f>
        <v>0.27221008367715455</v>
      </c>
      <c r="CA398" s="471" t="e">
        <f ca="1">BY398*AZ398/1000</f>
        <v>#NUM!</v>
      </c>
      <c r="CB398" s="471">
        <f ca="1">IF(BP398=" "," ",(BZ398*AZ398/1000))</f>
        <v>0.10888403347086183</v>
      </c>
      <c r="CC398" s="471">
        <f t="shared" ca="1" si="1172"/>
        <v>5.5791541988306079</v>
      </c>
      <c r="CD398" s="471" t="str">
        <f ca="1">IF(CC398="","",IF(CC398&lt;0.7,"F. Subcrítico",IF(AND(CC398&gt;0.7,CC398&lt;1),"F. Subcrítico Inestable",IF(CC398=1,"F. Crítico",IF(AND(CC398&gt;1,CC398&lt;1.5),"F. Supercrítico Inestable",IF(CC398&gt;1.5,"F. Supercrítico",""))))))</f>
        <v>F. Supercrítico</v>
      </c>
      <c r="CE398" s="471" t="e">
        <f ca="1">1000*BL398*CA398/100</f>
        <v>#NUM!</v>
      </c>
      <c r="CF398" s="471">
        <f ca="1">IF(BP398=" "," ",(1000*BL398*CB398/100))</f>
        <v>30.153225960968594</v>
      </c>
      <c r="CG398" s="471" t="str">
        <f ca="1">IF(BS398&lt;0.45,"No cumple",IF(BS398&gt;5,"No cumple","O.K"))</f>
        <v>O.K</v>
      </c>
      <c r="CH398" s="471" t="str">
        <f ca="1">IF(BT398&lt;0.75,"No cumple",IF(BT398&gt;10,"No cumple","O.K"))</f>
        <v>O.K</v>
      </c>
      <c r="CI398" s="471" t="e">
        <f ca="1">IF(CE398&gt;0.1,"OK","V.C.H.")</f>
        <v>#NUM!</v>
      </c>
      <c r="CJ398" s="471" t="str">
        <f ca="1">IF(CF398&gt;0.2,"OK","V.C.H.")</f>
        <v>OK</v>
      </c>
      <c r="CK398" s="468">
        <f>+BJ398</f>
        <v>962.53</v>
      </c>
      <c r="CL398" s="482" t="s">
        <v>2507</v>
      </c>
      <c r="CM398" s="482"/>
      <c r="CN398" s="63" t="str">
        <f>IF(B398=1,"dato"," ")</f>
        <v xml:space="preserve"> </v>
      </c>
      <c r="CO398" s="527">
        <f t="shared" si="1179"/>
        <v>9.25</v>
      </c>
      <c r="CP398" s="542">
        <f t="shared" si="1180"/>
        <v>0.46071351351351825</v>
      </c>
      <c r="CQ398" s="482" t="s">
        <v>2508</v>
      </c>
      <c r="CR398" s="204">
        <f>IF(BA398="","",AX398)</f>
        <v>9.25</v>
      </c>
      <c r="CS398" s="486">
        <v>1.2</v>
      </c>
      <c r="CT398" s="486">
        <v>1.2</v>
      </c>
      <c r="CU398" s="23">
        <f>IF($BA398="","",SQRT((BH398-BI398)^2+$CR398^2))</f>
        <v>9.5981401615104573</v>
      </c>
      <c r="CV398" s="499" t="s">
        <v>2509</v>
      </c>
      <c r="CW398" s="488" t="str">
        <f ca="1">+IF(BD398&lt;=0.9,"E1",IF(BD398&lt;=2.5,"E2","E3"))</f>
        <v>E2</v>
      </c>
      <c r="CX398" s="204">
        <f ca="1">IF(AND(L398="",H398=""),"",IF(AND(BA398&lt;&gt;4,BA398&lt;&gt;5),VLOOKUP(AY398,'TABLA (2)'!$A$9:$D$43,4),IF(BA398=4,VLOOKUP(AY398,'TABLA (2)'!$A$74:$D$89,4),VLOOKUP(AY398,'TABLA (2)'!$A$51:$D$66,4))))</f>
        <v>6.2E-2</v>
      </c>
      <c r="CY398" s="482"/>
      <c r="CZ398" s="482"/>
      <c r="DA398" s="482"/>
      <c r="DB398" s="490"/>
    </row>
    <row r="399" spans="1:106" ht="15" hidden="1" customHeight="1">
      <c r="A399" s="465"/>
      <c r="B399" s="491"/>
      <c r="C399" s="466"/>
      <c r="D399" s="466"/>
      <c r="E399" s="468"/>
      <c r="F399" s="468"/>
      <c r="G399" s="537">
        <f t="shared" si="1176"/>
        <v>0</v>
      </c>
      <c r="H399" s="537">
        <f t="shared" si="1177"/>
        <v>0</v>
      </c>
      <c r="I399" s="468"/>
      <c r="J399" s="468"/>
      <c r="K399" s="467"/>
      <c r="L399" s="468"/>
      <c r="M399" s="469"/>
      <c r="N399" s="470"/>
      <c r="O399" s="470"/>
      <c r="P399" s="470"/>
      <c r="Q399" s="469">
        <f t="shared" si="1181"/>
        <v>140</v>
      </c>
      <c r="R399" s="471"/>
      <c r="S399" s="471"/>
      <c r="T399" s="471"/>
      <c r="U399" s="471"/>
      <c r="V399" s="471"/>
      <c r="W399" s="471"/>
      <c r="X399" s="471"/>
      <c r="Y399" s="471"/>
      <c r="Z399" s="471"/>
      <c r="AA399" s="471" t="str">
        <f t="shared" si="1033"/>
        <v/>
      </c>
      <c r="AB399" s="471"/>
      <c r="AC399" s="471"/>
      <c r="AD399" s="471"/>
      <c r="AE399" s="471"/>
      <c r="AF399" s="510" t="str">
        <f t="shared" si="1175"/>
        <v/>
      </c>
      <c r="AG399" s="471"/>
      <c r="AH399" s="471"/>
      <c r="AI399" s="471"/>
      <c r="AJ399" s="471"/>
      <c r="AK399" s="472"/>
      <c r="AL399" s="471"/>
      <c r="AM399" s="473">
        <f t="shared" si="1178"/>
        <v>474.44695720875893</v>
      </c>
      <c r="AN399" s="474">
        <f t="shared" si="1171"/>
        <v>5.1388888888888894E-2</v>
      </c>
      <c r="AO399" s="474"/>
      <c r="AP399" s="474"/>
      <c r="AQ399" s="475">
        <v>3</v>
      </c>
      <c r="AR399" s="474"/>
      <c r="AS399" s="474"/>
      <c r="AT399" s="471"/>
      <c r="AU399" s="492"/>
      <c r="AV399" s="471"/>
      <c r="AW399" s="471"/>
      <c r="AX399" s="478"/>
      <c r="AY399" s="493"/>
      <c r="AZ399" s="480"/>
      <c r="BA399" s="493"/>
      <c r="BB399" s="478" t="str">
        <f>IF(OR(C399="",D399=""),"",VLOOKUP(C399,'Base de Diseño (2)'!$A$2:$D$330,4,FALSE))</f>
        <v/>
      </c>
      <c r="BC399" s="478" t="str">
        <f>IF(OR(C399="",D399=""),"",VLOOKUP(D399,'Base de Diseño (2)'!$A$2:$D$330,4,FALSE))</f>
        <v/>
      </c>
      <c r="BD399" s="23"/>
      <c r="BE399" s="23"/>
      <c r="BF399" s="494"/>
      <c r="BG399" s="494"/>
      <c r="BH399" s="495"/>
      <c r="BI399" s="495"/>
      <c r="BJ399" s="534">
        <f t="shared" si="1044"/>
        <v>0</v>
      </c>
      <c r="BK399" s="475"/>
      <c r="BL399" s="475"/>
      <c r="BM399" s="475"/>
      <c r="BN399" s="475"/>
      <c r="BO399" s="204"/>
      <c r="BP399" s="496"/>
      <c r="BQ399" s="497"/>
      <c r="BR399" s="497"/>
      <c r="BS399" s="475"/>
      <c r="BT399" s="475"/>
      <c r="BU399" s="475"/>
      <c r="BV399" s="475"/>
      <c r="BW399" s="475"/>
      <c r="BX399" s="475"/>
      <c r="BY399" s="475"/>
      <c r="BZ399" s="475"/>
      <c r="CA399" s="471"/>
      <c r="CB399" s="471"/>
      <c r="CC399" s="471" t="e">
        <f t="shared" si="1172"/>
        <v>#DIV/0!</v>
      </c>
      <c r="CD399" s="471"/>
      <c r="CE399" s="471"/>
      <c r="CF399" s="471"/>
      <c r="CG399" s="471"/>
      <c r="CH399" s="471"/>
      <c r="CI399" s="471"/>
      <c r="CJ399" s="471"/>
      <c r="CK399" s="468"/>
      <c r="CL399" s="482" t="s">
        <v>2507</v>
      </c>
      <c r="CM399" s="482"/>
      <c r="CN399" s="63"/>
      <c r="CO399" s="527">
        <f t="shared" si="1179"/>
        <v>0</v>
      </c>
      <c r="CP399" s="511">
        <f t="shared" si="1180"/>
        <v>0</v>
      </c>
      <c r="CQ399" s="482"/>
      <c r="CR399" s="204"/>
      <c r="CS399" s="486"/>
      <c r="CT399" s="486"/>
      <c r="CU399" s="23"/>
      <c r="CV399" s="499"/>
      <c r="CW399" s="488"/>
      <c r="CX399" s="204"/>
      <c r="CY399" s="482"/>
      <c r="CZ399" s="482"/>
      <c r="DA399" s="482"/>
      <c r="DB399" s="490"/>
    </row>
    <row r="400" spans="1:106" ht="15" hidden="1" customHeight="1">
      <c r="A400" s="465">
        <f>+A398+1</f>
        <v>288</v>
      </c>
      <c r="B400" s="491">
        <v>1</v>
      </c>
      <c r="C400" s="466" t="s">
        <v>2261</v>
      </c>
      <c r="D400" s="466" t="s">
        <v>2264</v>
      </c>
      <c r="E400" s="468">
        <v>0.14393152219999999</v>
      </c>
      <c r="F400" s="468"/>
      <c r="G400" s="537">
        <f t="shared" si="1176"/>
        <v>0</v>
      </c>
      <c r="H400" s="537">
        <f t="shared" si="1177"/>
        <v>0.14393152219999999</v>
      </c>
      <c r="I400" s="468">
        <v>0.14393152219999999</v>
      </c>
      <c r="J400" s="468"/>
      <c r="K400" s="467">
        <f>+IF(B400=1,0,SUMIF($D$22:$D$583,C400,$L$22:$L$580))</f>
        <v>0</v>
      </c>
      <c r="L400" s="468">
        <f>+I400+J400+K400</f>
        <v>0.14393152219999999</v>
      </c>
      <c r="M400" s="469">
        <f>+$P$12</f>
        <v>242.33666300502347</v>
      </c>
      <c r="N400" s="470">
        <f>M400*E400</f>
        <v>34.879884791181453</v>
      </c>
      <c r="O400" s="470">
        <f>M400*F400</f>
        <v>0</v>
      </c>
      <c r="P400" s="470">
        <f>M400*H400</f>
        <v>34.879884791181453</v>
      </c>
      <c r="Q400" s="469">
        <f t="shared" si="1181"/>
        <v>140</v>
      </c>
      <c r="R400" s="471">
        <f>Q400*P400*$P$14/86400</f>
        <v>4.8040582061928155E-2</v>
      </c>
      <c r="S400" s="471"/>
      <c r="T400" s="471"/>
      <c r="U400" s="471">
        <f>IF(C400="","",T400*$P$17)</f>
        <v>0</v>
      </c>
      <c r="V400" s="471"/>
      <c r="W400" s="471"/>
      <c r="X400" s="471">
        <f>IF(C400="","",W400*$P$16)</f>
        <v>0</v>
      </c>
      <c r="Y400" s="471">
        <f>IF(H400=0,0,$H$15*H400)</f>
        <v>2.878630444E-2</v>
      </c>
      <c r="Z400" s="471">
        <f>IF(L400=0,$H$16*H400,0)</f>
        <v>0</v>
      </c>
      <c r="AA400" s="471">
        <f t="shared" si="1033"/>
        <v>3.8</v>
      </c>
      <c r="AB400" s="471">
        <f>R400*AA400</f>
        <v>0.18255421183532697</v>
      </c>
      <c r="AC400" s="471">
        <f>Q400*(N400+O400)*$P$14/86400</f>
        <v>4.8040582061928155E-2</v>
      </c>
      <c r="AD400" s="471">
        <f t="shared" ref="AD400:AE404" si="1182">IF(E400=0,0,$H$15*(E400+F400))</f>
        <v>2.878630444E-2</v>
      </c>
      <c r="AE400" s="471">
        <f t="shared" si="1182"/>
        <v>0</v>
      </c>
      <c r="AF400" s="510">
        <f t="shared" si="1175"/>
        <v>3.8</v>
      </c>
      <c r="AG400" s="471">
        <f>AC400*AF400</f>
        <v>0.18255421183532697</v>
      </c>
      <c r="AH400" s="471">
        <f>+AD400+AE400+AG400</f>
        <v>0.21134051627532696</v>
      </c>
      <c r="AI400" s="471">
        <f>IF(H400="","",IF(AB400+Y400+Z400+X400+U400&lt;1.5,1.5,AB400+Y400+Z400+X400+U400))</f>
        <v>1.5</v>
      </c>
      <c r="AJ400" s="471">
        <f>+$P$17</f>
        <v>0.75</v>
      </c>
      <c r="AK400" s="472">
        <f>+BK400/100</f>
        <v>2.8843917190044407E-2</v>
      </c>
      <c r="AL400" s="471">
        <f>IF(AJ400=0," ",0.14+0.65*AJ400+0.05*AK400)</f>
        <v>0.62894219585950228</v>
      </c>
      <c r="AM400" s="473">
        <f t="shared" si="1178"/>
        <v>336.32613267542746</v>
      </c>
      <c r="AN400" s="474">
        <f t="shared" si="1171"/>
        <v>5.2529604667239518</v>
      </c>
      <c r="AO400" s="474">
        <f>((1/60)*$AX400/$AQ400)</f>
        <v>0.23883333333333334</v>
      </c>
      <c r="AP400" s="474">
        <f>IF(B400=1,IF(($AN400+$AO400)&lt;10,10,IF(($AN400+$AO400)&gt;20,20,($AN400+$AO400))),($AN400+$AO400))</f>
        <v>10</v>
      </c>
      <c r="AQ400" s="475">
        <v>3</v>
      </c>
      <c r="AR400" s="474">
        <f>((1/60)*$AX400/$BT400)</f>
        <v>0.37246911096709701</v>
      </c>
      <c r="AS400" s="474">
        <f>AO400/AR400</f>
        <v>0.64121648292717426</v>
      </c>
      <c r="AT400" s="471" t="str">
        <f>IF(AS400&lt;0.9,"Disminuir vel.",IF(AS400&gt;1.1,"Aumentar vel.","Cumple"))</f>
        <v>Disminuir vel.</v>
      </c>
      <c r="AU400" s="492">
        <f>+I400*AL400*AM400</f>
        <v>30.445791194768926</v>
      </c>
      <c r="AV400" s="471">
        <f>+L400*AL400*AM400</f>
        <v>30.445791194768926</v>
      </c>
      <c r="AW400" s="471">
        <f>ROUND(IF(AI400&gt;(AV400*0.05),(AV400+AI400),AV400),2)</f>
        <v>30.45</v>
      </c>
      <c r="AX400" s="478">
        <f>IF(OR(C400="",D400=""),"",ROUND(((VLOOKUP(C400,'Base de Diseño (2)'!$A$2:$C$333,2,FALSE)-VLOOKUP(D400,'Base de Diseño (2)'!$A$2:$C$333,2,FALSE))^2+(VLOOKUP(C400,'Base de Diseño (2)'!$A$2:$C$333,3,0)-VLOOKUP(D400,'Base de Diseño (2)'!$A$2:$C$333,3,FALSE))^2)^0.5,2))</f>
        <v>42.99</v>
      </c>
      <c r="AY400" s="493">
        <v>10</v>
      </c>
      <c r="AZ400" s="480">
        <f>IF(AND(L400="",H400=""),"",IF(BA400=4,VLOOKUP(AY400,'TABLA (2)'!$A$74:$C$89,2),IF(BA400=5,VLOOKUP(AY400,'TABLA (2)'!$A$51:$B$66,2),IF(BA400=6,VLOOKUP(AY400,'TABLA (2)'!$A$9:$B$43,2)))))</f>
        <v>250</v>
      </c>
      <c r="BA400" s="493">
        <v>6</v>
      </c>
      <c r="BB400" s="478">
        <f>IF(OR(C400="",D400=""),"",VLOOKUP(C400,'Base de Diseño (2)'!$A$2:$D$330,4,FALSE))</f>
        <v>985.79160000000002</v>
      </c>
      <c r="BC400" s="478">
        <f>IF(OR(C400="",D400=""),"",VLOOKUP(D400,'Base de Diseño (2)'!$A$2:$D$330,4,FALSE))</f>
        <v>984.55160000000001</v>
      </c>
      <c r="BD400" s="23">
        <f>+BF400-((AZ400/1000)+CX400)</f>
        <v>1.0630000000000228</v>
      </c>
      <c r="BE400" s="23">
        <f>+BG400-((AZ400/1000)+CX400)</f>
        <v>2.2429999999999728</v>
      </c>
      <c r="BF400" s="494">
        <v>1.3500000000000227</v>
      </c>
      <c r="BG400" s="494">
        <v>2.5299999999999727</v>
      </c>
      <c r="BH400" s="495">
        <f t="shared" ref="BH400:BI404" si="1183">BB400-BF400</f>
        <v>984.44159999999999</v>
      </c>
      <c r="BI400" s="495">
        <f t="shared" si="1183"/>
        <v>982.02160000000003</v>
      </c>
      <c r="BJ400" s="534">
        <f t="shared" si="1044"/>
        <v>1.999999999998181E-2</v>
      </c>
      <c r="BK400" s="475">
        <f>ABS((BB400-BC400)/AX400)*100</f>
        <v>2.8843917190044408</v>
      </c>
      <c r="BL400" s="475">
        <f>((BH400-BI400)/AX400)*100</f>
        <v>5.6292160967665943</v>
      </c>
      <c r="BM400" s="475">
        <f>IF(BA400=6,(1/0.013)*((AZ400/4000)^(2/3))*((BL400/100)^(0.5)),(1/0.009)*((AZ400/4000)^(2/3))*((BL400/100)^(0.5)))</f>
        <v>2.8743122977614166</v>
      </c>
      <c r="BN400" s="475">
        <f>1000*BM400*PI()*((AZ400/1000/2)^2)</f>
        <v>141.09247498078227</v>
      </c>
      <c r="BO400" s="204">
        <f>AI400/BN400</f>
        <v>1.0631325307776407E-2</v>
      </c>
      <c r="BP400" s="496">
        <f>IF(L400=0," ",AW400/BN400)</f>
        <v>0.21581590374786105</v>
      </c>
      <c r="BQ400" s="497">
        <f>IF($BO400&gt;0 =AND($BO400&lt;=0.06),10^(0.029806+0.29095*LOG($BO400)),IF($BO400&gt;0.06 =AND($BO400&lt;=0.26),10^(0.013778+0.282597*LOG($BO400)),IF($BO400&gt;0.26 =AND($BO400&lt;=0.91),10^(0.021763+0.28995*LOG($BO400)),1)))</f>
        <v>0.28552333400810276</v>
      </c>
      <c r="BR400" s="497">
        <f>IF($BP400&gt;0 =AND($BP400&lt;=0.06),10^(0.029806+0.29095*LOG($BP400)),IF($BP400&gt;0.06 =AND($BP400&lt;=0.26),10^(0.013778+0.282597*LOG($BP400)),IF($BP400&gt;0.26 =AND($BP400&lt;=2),10^(0.021763+0.28995*LOG($BP400))," ")))</f>
        <v>0.66925554689367173</v>
      </c>
      <c r="BS400" s="475">
        <f>BM400*BQ400</f>
        <v>0.82068323023733025</v>
      </c>
      <c r="BT400" s="475">
        <f>IF(BP400=" "," ",(BM400*BR400))</f>
        <v>1.923649448781523</v>
      </c>
      <c r="BU400" s="475">
        <f>IF(BO400&lt;=0.11,0.3827+0.0645*LN(BO400),IF(BO400&lt;=0.21,0.60025+0.15471*LN(BO400),IF(BO400&lt;1,0.225+0.6666666667*BO400,0)))</f>
        <v>8.9615198024725617E-2</v>
      </c>
      <c r="BV400" s="475">
        <f>IF(BP400&lt;=0.11,0.3827+0.0645*LN(BP400),IF(BP400&lt;=0.21,0.60025+0.15471*LN(BP400),IF(BP400&lt;1,0.225+0.6666666667*BP400," ")))</f>
        <v>0.36887726917243457</v>
      </c>
      <c r="BW400" s="475">
        <f>2*ACOS(1-2*(BU400))</f>
        <v>1.2160788062114603</v>
      </c>
      <c r="BX400" s="475">
        <f>IF(BP400=" "," ",(2*ACOS(1-2*(BV400))))</f>
        <v>2.6108959133188172</v>
      </c>
      <c r="BY400" s="475">
        <f>(1/4)*(1-(SIN(BW400))/BW400)</f>
        <v>5.7219599226987911E-2</v>
      </c>
      <c r="BZ400" s="475">
        <f>IF(BP400=" "," ",((1/4)*(1-(SIN(BX400))/BX400)))</f>
        <v>0.20153633200182491</v>
      </c>
      <c r="CA400" s="471">
        <f>BY400*AZ400/1000</f>
        <v>1.4304899806746978E-2</v>
      </c>
      <c r="CB400" s="471">
        <f>IF(BP400=" "," ",(BZ400*AZ400/1000))</f>
        <v>5.0384083000456228E-2</v>
      </c>
      <c r="CC400" s="471">
        <f t="shared" si="1172"/>
        <v>2.3524960064596914</v>
      </c>
      <c r="CD400" s="471" t="str">
        <f>IF(CC400="","",IF(CC400&lt;0.7,"F. Subcrítico",IF(AND(CC400&gt;0.7,CC400&lt;1),"F. Subcrítico Inestable",IF(CC400=1,"F. Crítico",IF(AND(CC400&gt;1,CC400&lt;1.5),"F. Supercrítico Inestable",IF(CC400&gt;1.5,"F. Supercrítico",""))))))</f>
        <v>F. Supercrítico</v>
      </c>
      <c r="CE400" s="471">
        <f>1000*BL400*CA400/100</f>
        <v>0.80525372254773431</v>
      </c>
      <c r="CF400" s="471">
        <f>IF(BP400=" "," ",(1000*BL400*CB400/100))</f>
        <v>2.8362289104699232</v>
      </c>
      <c r="CG400" s="471" t="str">
        <f>IF(BS400&lt;0.45,"No cumple",IF(BS400&gt;5,"No cumple","O.K"))</f>
        <v>O.K</v>
      </c>
      <c r="CH400" s="471" t="str">
        <f>IF(BT400&lt;0.75,"No cumple",IF(BT400&gt;10,"No cumple","O.K"))</f>
        <v>O.K</v>
      </c>
      <c r="CI400" s="471" t="str">
        <f>IF(CE400&gt;0.1,"OK","V.C.H.")</f>
        <v>OK</v>
      </c>
      <c r="CJ400" s="471" t="str">
        <f>IF(CF400&gt;0.2,"OK","V.C.H.")</f>
        <v>OK</v>
      </c>
      <c r="CK400" s="468">
        <f>+BJ400</f>
        <v>1.999999999998181E-2</v>
      </c>
      <c r="CL400" s="482" t="s">
        <v>2507</v>
      </c>
      <c r="CM400" s="482"/>
      <c r="CN400" s="63" t="str">
        <f>IF(B400=1,"dato"," ")</f>
        <v>dato</v>
      </c>
      <c r="CO400" s="527">
        <f t="shared" si="1179"/>
        <v>42.99</v>
      </c>
      <c r="CP400" s="542">
        <f t="shared" si="1180"/>
        <v>2.8843917190044407E-2</v>
      </c>
      <c r="CQ400" s="482" t="s">
        <v>2508</v>
      </c>
      <c r="CR400" s="204">
        <f>IF(BA400="","",AX400)</f>
        <v>42.99</v>
      </c>
      <c r="CS400" s="486">
        <v>1.2</v>
      </c>
      <c r="CT400" s="486">
        <v>1.2</v>
      </c>
      <c r="CU400" s="23">
        <f>IF($BA400="","",SQRT((BH400-BI400)^2+$CR400^2))</f>
        <v>43.058059640443624</v>
      </c>
      <c r="CV400" s="499" t="s">
        <v>2509</v>
      </c>
      <c r="CW400" s="488" t="str">
        <f>+IF(BD400&lt;=0.9,"E1",IF(BD400&lt;=2.5,"E2","E3"))</f>
        <v>E2</v>
      </c>
      <c r="CX400" s="204">
        <f>IF(AND(L400="",H400=""),"",IF(AND(BA400&lt;&gt;4,BA400&lt;&gt;5),VLOOKUP(AY400,'TABLA (2)'!$A$9:$D$43,4),IF(BA400=4,VLOOKUP(AY400,'TABLA (2)'!$A$74:$D$89,4),VLOOKUP(AY400,'TABLA (2)'!$A$51:$D$66,4))))</f>
        <v>3.6999999999999998E-2</v>
      </c>
      <c r="CY400" s="482"/>
      <c r="CZ400" s="482"/>
      <c r="DA400" s="482"/>
      <c r="DB400" s="490"/>
    </row>
    <row r="401" spans="1:106" ht="15" hidden="1" customHeight="1">
      <c r="A401" s="465">
        <f>+A400+1</f>
        <v>289</v>
      </c>
      <c r="B401" s="491"/>
      <c r="C401" s="466" t="s">
        <v>2264</v>
      </c>
      <c r="D401" s="466" t="s">
        <v>2265</v>
      </c>
      <c r="E401" s="468">
        <v>3.5641461800000003E-2</v>
      </c>
      <c r="F401" s="468"/>
      <c r="G401" s="537">
        <f t="shared" si="1176"/>
        <v>0.14393152219999999</v>
      </c>
      <c r="H401" s="537">
        <f t="shared" si="1177"/>
        <v>0.17957298399999999</v>
      </c>
      <c r="I401" s="468">
        <v>3.5641461800000003E-2</v>
      </c>
      <c r="J401" s="468"/>
      <c r="K401" s="467">
        <f ca="1">+IF(B401=1,0,SUMIF($D$22:$D$583,C401,$L$22:$L$580))</f>
        <v>0.14393152219999999</v>
      </c>
      <c r="L401" s="468">
        <f ca="1">+I401+J401+K401</f>
        <v>0.17957298399999999</v>
      </c>
      <c r="M401" s="469">
        <f>+$P$12</f>
        <v>242.33666300502347</v>
      </c>
      <c r="N401" s="470">
        <f>M401*E401</f>
        <v>8.6372329172330176</v>
      </c>
      <c r="O401" s="470">
        <f>M401*F401</f>
        <v>0</v>
      </c>
      <c r="P401" s="470">
        <f>M401*H401</f>
        <v>43.517117708414467</v>
      </c>
      <c r="Q401" s="469">
        <f t="shared" si="1181"/>
        <v>140</v>
      </c>
      <c r="R401" s="471">
        <f>Q401*P401*$P$14/86400</f>
        <v>5.9936770917839374E-2</v>
      </c>
      <c r="S401" s="471"/>
      <c r="T401" s="471"/>
      <c r="U401" s="471">
        <f>IF(C401="","",T401*$P$17)</f>
        <v>0</v>
      </c>
      <c r="V401" s="471"/>
      <c r="W401" s="471"/>
      <c r="X401" s="471">
        <f>IF(C401="","",W401*$P$16)</f>
        <v>0</v>
      </c>
      <c r="Y401" s="471">
        <f>IF(H401=0,0,$H$15*H401)</f>
        <v>3.5914596799999997E-2</v>
      </c>
      <c r="Z401" s="471">
        <f ca="1">IF(L401=0,$H$16*H401,0)</f>
        <v>0</v>
      </c>
      <c r="AA401" s="471">
        <f t="shared" si="1033"/>
        <v>3.8</v>
      </c>
      <c r="AB401" s="471">
        <f>R401*AA401</f>
        <v>0.22775972948778961</v>
      </c>
      <c r="AC401" s="471">
        <f>Q401*(N401+O401)*$P$14/86400</f>
        <v>1.1896188855911219E-2</v>
      </c>
      <c r="AD401" s="471">
        <f t="shared" si="1182"/>
        <v>7.1282923600000008E-3</v>
      </c>
      <c r="AE401" s="471">
        <f t="shared" si="1182"/>
        <v>0</v>
      </c>
      <c r="AF401" s="510">
        <f t="shared" si="1175"/>
        <v>3.8</v>
      </c>
      <c r="AG401" s="471">
        <f>AC401*AF401</f>
        <v>4.5205517652462626E-2</v>
      </c>
      <c r="AH401" s="471">
        <f>+AD401+AE401+AG401</f>
        <v>5.233381001246263E-2</v>
      </c>
      <c r="AI401" s="471">
        <f ca="1">IF(H401="","",IF(AB401+Y401+Z401+X401+U401&lt;1.5,1.5,AB401+Y401+Z401+X401+U401))</f>
        <v>1.5</v>
      </c>
      <c r="AJ401" s="471">
        <f>+$P$17</f>
        <v>0.75</v>
      </c>
      <c r="AK401" s="472">
        <f>+BK401/100</f>
        <v>0.25079164027865969</v>
      </c>
      <c r="AL401" s="471">
        <f>IF(AJ401=0," ",0.14+0.65*AJ401+0.05*AK401)</f>
        <v>0.64003958201393307</v>
      </c>
      <c r="AM401" s="473">
        <f t="shared" si="1178"/>
        <v>335.45754147230093</v>
      </c>
      <c r="AN401" s="474">
        <f t="shared" si="1171"/>
        <v>10</v>
      </c>
      <c r="AO401" s="474">
        <f>((1/60)*$AX401/$AQ401)</f>
        <v>8.7722222222222215E-2</v>
      </c>
      <c r="AP401" s="474">
        <f>IF(B401=1,IF(($AN401+$AO401)&lt;10,10,IF(($AN401+$AO401)&gt;20,20,($AN401+$AO401))),($AN401+$AO401))</f>
        <v>10.087722222222222</v>
      </c>
      <c r="AQ401" s="475">
        <v>3</v>
      </c>
      <c r="AR401" s="474">
        <f ca="1">((1/60)*$AX401/$BT401)</f>
        <v>7.8924668783728558E-2</v>
      </c>
      <c r="AS401" s="474">
        <f ca="1">AO401/AR401</f>
        <v>1.1114677270626367</v>
      </c>
      <c r="AT401" s="471" t="str">
        <f ca="1">IF(AS401&lt;0.9,"Disminuir vel.",IF(AS401&gt;1.1,"Aumentar vel.","Cumple"))</f>
        <v>Aumentar vel.</v>
      </c>
      <c r="AU401" s="492">
        <f>+I401*AL401*AM401</f>
        <v>7.6524394263026094</v>
      </c>
      <c r="AV401" s="471">
        <f ca="1">+L401*AL401*AM401</f>
        <v>38.555415890950009</v>
      </c>
      <c r="AW401" s="471">
        <f ca="1">ROUND(IF(AI401&gt;(AV401*0.05),(AV401+AI401),AV401),2)</f>
        <v>38.56</v>
      </c>
      <c r="AX401" s="478">
        <f>IF(OR(C401="",D401=""),"",ROUND(((VLOOKUP(C401,'Base de Diseño (2)'!$A$2:$C$333,2,FALSE)-VLOOKUP(D401,'Base de Diseño (2)'!$A$2:$C$333,2,FALSE))^2+(VLOOKUP(C401,'Base de Diseño (2)'!$A$2:$C$333,3,0)-VLOOKUP(D401,'Base de Diseño (2)'!$A$2:$C$333,3,FALSE))^2)^0.5,2))</f>
        <v>15.79</v>
      </c>
      <c r="AY401" s="493">
        <v>8</v>
      </c>
      <c r="AZ401" s="480">
        <f ca="1">IF(AND(L401="",H401=""),"",IF(BA401=4,VLOOKUP(AY401,'TABLA (2)'!$A$74:$C$89,2),IF(BA401=5,VLOOKUP(AY401,'TABLA (2)'!$A$51:$B$66,2),IF(BA401=6,VLOOKUP(AY401,'TABLA (2)'!$A$9:$B$43,2)))))</f>
        <v>200</v>
      </c>
      <c r="BA401" s="493">
        <v>6</v>
      </c>
      <c r="BB401" s="478">
        <f>IF(OR(C401="",D401=""),"",VLOOKUP(C401,'Base de Diseño (2)'!$A$2:$D$330,4,FALSE))</f>
        <v>984.55160000000001</v>
      </c>
      <c r="BC401" s="478">
        <f>IF(OR(C401="",D401=""),"",VLOOKUP(D401,'Base de Diseño (2)'!$A$2:$D$330,4,FALSE))</f>
        <v>980.59159999999997</v>
      </c>
      <c r="BD401" s="23">
        <f ca="1">+BF401-((AZ401/1000)+CX401)</f>
        <v>2.3129999999999544</v>
      </c>
      <c r="BE401" s="23">
        <f ca="1">+BG401-((AZ401/1000)+CX401)</f>
        <v>1.5930000000000408</v>
      </c>
      <c r="BF401" s="494">
        <v>2.5499999999999545</v>
      </c>
      <c r="BG401" s="494">
        <v>1.8300000000000409</v>
      </c>
      <c r="BH401" s="495">
        <f t="shared" si="1183"/>
        <v>982.00160000000005</v>
      </c>
      <c r="BI401" s="495">
        <f t="shared" si="1183"/>
        <v>978.76159999999993</v>
      </c>
      <c r="BJ401" s="534">
        <f t="shared" si="1044"/>
        <v>0.14999999999997726</v>
      </c>
      <c r="BK401" s="475">
        <f>ABS((BB401-BC401)/AX401)*100</f>
        <v>25.079164027865968</v>
      </c>
      <c r="BL401" s="475">
        <f>((BH401-BI401)/AX401)*100</f>
        <v>20.51931602280002</v>
      </c>
      <c r="BM401" s="475">
        <f ca="1">IF(BA401=6,(1/0.013)*((AZ401/4000)^(2/3))*((BL401/100)^(0.5)),(1/0.009)*((AZ401/4000)^(2/3))*((BL401/100)^(0.5)))</f>
        <v>4.7291681642968371</v>
      </c>
      <c r="BN401" s="475">
        <f ca="1">1000*BM401*PI()*((AZ401/1000/2)^2)</f>
        <v>148.57119962545673</v>
      </c>
      <c r="BO401" s="204">
        <f ca="1">AI401/BN401</f>
        <v>1.0096169404174243E-2</v>
      </c>
      <c r="BP401" s="496">
        <f ca="1">IF(L401=0," ",AW401/BN401)</f>
        <v>0.2595388614833059</v>
      </c>
      <c r="BQ401" s="497">
        <f ca="1">IF($BO401&gt;0 =AND($BO401&lt;=0.06),10^(0.029806+0.29095*LOG($BO401)),IF($BO401&gt;0.06 =AND($BO401&lt;=0.26),10^(0.013778+0.282597*LOG($BO401)),IF($BO401&gt;0.26 =AND($BO401&lt;=0.91),10^(0.021763+0.28995*LOG($BO401)),1)))</f>
        <v>0.28126479167925478</v>
      </c>
      <c r="BR401" s="497">
        <f ca="1">IF($BP401&gt;0 =AND($BP401&lt;=0.06),10^(0.029806+0.29095*LOG($BP401)),IF($BP401&gt;0.06 =AND($BP401&lt;=0.26),10^(0.013778+0.282597*LOG($BP401)),IF($BP401&gt;0.26 =AND($BP401&lt;=2),10^(0.021763+0.28995*LOG($BP401))," ")))</f>
        <v>0.70507181503106708</v>
      </c>
      <c r="BS401" s="475">
        <f ca="1">BM401*BQ401</f>
        <v>1.3301484985471137</v>
      </c>
      <c r="BT401" s="475">
        <f ca="1">IF(BP401=" "," ",(BM401*BR401))</f>
        <v>3.3344031811879105</v>
      </c>
      <c r="BU401" s="475">
        <f ca="1">IF(BO401&lt;=0.11,0.3827+0.0645*LN(BO401),IF(BO401&lt;=0.21,0.60025+0.15471*LN(BO401),IF(BO401&lt;1,0.225+0.6666666667*BO401,0)))</f>
        <v>8.6283851987757842E-2</v>
      </c>
      <c r="BV401" s="475">
        <f ca="1">IF(BP401&lt;=0.11,0.3827+0.0645*LN(BP401),IF(BP401&lt;=0.21,0.60025+0.15471*LN(BP401),IF(BP401&lt;1,0.225+0.6666666667*BP401," ")))</f>
        <v>0.39802590766418855</v>
      </c>
      <c r="BW401" s="475">
        <f ca="1">2*ACOS(1-2*(BU401))</f>
        <v>1.1925531384350518</v>
      </c>
      <c r="BX401" s="475">
        <f ca="1">IF(BP401=" "," ",(2*ACOS(1-2*(BV401))))</f>
        <v>2.7308142747155726</v>
      </c>
      <c r="BY401" s="475">
        <f ca="1">(1/4)*(1-(SIN(BW401))/BW401)</f>
        <v>5.5183767167362868E-2</v>
      </c>
      <c r="BZ401" s="475">
        <f ca="1">IF(BP401=" "," ",((1/4)*(1-(SIN(BX401))/BX401)))</f>
        <v>0.21344285673967386</v>
      </c>
      <c r="CA401" s="471">
        <f ca="1">BY401*AZ401/1000</f>
        <v>1.1036753433472574E-2</v>
      </c>
      <c r="CB401" s="471">
        <f ca="1">IF(BP401=" "," ",(BZ401*AZ401/1000))</f>
        <v>4.2688571347934773E-2</v>
      </c>
      <c r="CC401" s="471">
        <f t="shared" ca="1" si="1172"/>
        <v>4.3629877801343788</v>
      </c>
      <c r="CD401" s="471" t="str">
        <f ca="1">IF(CC401="","",IF(CC401&lt;0.7,"F. Subcrítico",IF(AND(CC401&gt;0.7,CC401&lt;1),"F. Subcrítico Inestable",IF(CC401=1,"F. Crítico",IF(AND(CC401&gt;1,CC401&lt;1.5),"F. Supercrítico Inestable",IF(CC401&gt;1.5,"F. Supercrítico",""))))))</f>
        <v>F. Supercrítico</v>
      </c>
      <c r="CE401" s="471">
        <f ca="1">1000*BL401*CA401/100</f>
        <v>2.264666315671469</v>
      </c>
      <c r="CF401" s="471">
        <f ca="1">IF(BP401=" "," ",(1000*BL401*CB401/100))</f>
        <v>8.7594028605011971</v>
      </c>
      <c r="CG401" s="471" t="str">
        <f ca="1">IF(BS401&lt;0.45,"No cumple",IF(BS401&gt;5,"No cumple","O.K"))</f>
        <v>O.K</v>
      </c>
      <c r="CH401" s="471" t="str">
        <f ca="1">IF(BT401&lt;0.75,"No cumple",IF(BT401&gt;10,"No cumple","O.K"))</f>
        <v>O.K</v>
      </c>
      <c r="CI401" s="471" t="str">
        <f ca="1">IF(CE401&gt;0.1,"OK","V.C.H.")</f>
        <v>OK</v>
      </c>
      <c r="CJ401" s="471" t="str">
        <f ca="1">IF(CF401&gt;0.2,"OK","V.C.H.")</f>
        <v>OK</v>
      </c>
      <c r="CK401" s="468">
        <f>+BJ401</f>
        <v>0.14999999999997726</v>
      </c>
      <c r="CL401" s="482" t="s">
        <v>2507</v>
      </c>
      <c r="CM401" s="482"/>
      <c r="CN401" s="63" t="str">
        <f>IF(B401=1,"dato"," ")</f>
        <v xml:space="preserve"> </v>
      </c>
      <c r="CO401" s="527">
        <f t="shared" si="1179"/>
        <v>15.79</v>
      </c>
      <c r="CP401" s="511">
        <f t="shared" si="1180"/>
        <v>0.25079164027865969</v>
      </c>
      <c r="CQ401" s="482" t="s">
        <v>2508</v>
      </c>
      <c r="CR401" s="204">
        <f>IF(BA401="","",AX401)</f>
        <v>15.79</v>
      </c>
      <c r="CS401" s="486">
        <v>1.2</v>
      </c>
      <c r="CT401" s="486">
        <v>1.2</v>
      </c>
      <c r="CU401" s="23">
        <f>IF($BA401="","",SQRT((BH401-BI401)^2+$CR401^2))</f>
        <v>16.118985700099145</v>
      </c>
      <c r="CV401" s="499" t="s">
        <v>2509</v>
      </c>
      <c r="CW401" s="488" t="str">
        <f ca="1">+IF(BD401&lt;=0.9,"E1",IF(BD401&lt;=2.5,"E2","E3"))</f>
        <v>E2</v>
      </c>
      <c r="CX401" s="204">
        <f ca="1">IF(AND(L401="",H401=""),"",IF(AND(BA401&lt;&gt;4,BA401&lt;&gt;5),VLOOKUP(AY401,'TABLA (2)'!$A$9:$D$43,4),IF(BA401=4,VLOOKUP(AY401,'TABLA (2)'!$A$74:$D$89,4),VLOOKUP(AY401,'TABLA (2)'!$A$51:$D$66,4))))</f>
        <v>3.6999999999999998E-2</v>
      </c>
      <c r="CY401" s="482"/>
      <c r="CZ401" s="482"/>
      <c r="DA401" s="482"/>
      <c r="DB401" s="490"/>
    </row>
    <row r="402" spans="1:106" ht="15" hidden="1" customHeight="1">
      <c r="A402" s="465">
        <f>+A401+1</f>
        <v>290</v>
      </c>
      <c r="B402" s="491"/>
      <c r="C402" s="466" t="s">
        <v>2265</v>
      </c>
      <c r="D402" s="466" t="s">
        <v>2266</v>
      </c>
      <c r="E402" s="468"/>
      <c r="F402" s="468"/>
      <c r="G402" s="537">
        <f t="shared" si="1176"/>
        <v>0.17957298399999999</v>
      </c>
      <c r="H402" s="537">
        <f t="shared" si="1177"/>
        <v>0.17957298399999999</v>
      </c>
      <c r="I402" s="468"/>
      <c r="J402" s="468"/>
      <c r="K402" s="467">
        <f ca="1">+IF(B402=1,0,SUMIF($D$22:$D$583,C402,$L$22:$L$580))</f>
        <v>0.17957298399999999</v>
      </c>
      <c r="L402" s="468">
        <f ca="1">+I402+J402+K402</f>
        <v>0.17957298399999999</v>
      </c>
      <c r="M402" s="469">
        <f>+$P$12</f>
        <v>242.33666300502347</v>
      </c>
      <c r="N402" s="470">
        <f>M402*E402</f>
        <v>0</v>
      </c>
      <c r="O402" s="470">
        <f>M402*F402</f>
        <v>0</v>
      </c>
      <c r="P402" s="470">
        <f>M402*H402</f>
        <v>43.517117708414467</v>
      </c>
      <c r="Q402" s="469">
        <f t="shared" si="1181"/>
        <v>140</v>
      </c>
      <c r="R402" s="471">
        <f>Q402*P402*$P$14/86400</f>
        <v>5.9936770917839374E-2</v>
      </c>
      <c r="S402" s="471"/>
      <c r="T402" s="471"/>
      <c r="U402" s="471">
        <f>IF(C402="","",T402*$P$17)</f>
        <v>0</v>
      </c>
      <c r="V402" s="471"/>
      <c r="W402" s="471"/>
      <c r="X402" s="471">
        <f>IF(C402="","",W402*$P$16)</f>
        <v>0</v>
      </c>
      <c r="Y402" s="471">
        <f>IF(H402=0,0,$H$15*H402)</f>
        <v>3.5914596799999997E-2</v>
      </c>
      <c r="Z402" s="471">
        <f ca="1">IF(L402=0,$H$16*H402,0)</f>
        <v>0</v>
      </c>
      <c r="AA402" s="471">
        <f t="shared" si="1033"/>
        <v>3.8</v>
      </c>
      <c r="AB402" s="471">
        <f>R402*AA402</f>
        <v>0.22775972948778961</v>
      </c>
      <c r="AC402" s="471">
        <f>Q402*(N402+O402)*$P$14/86400</f>
        <v>0</v>
      </c>
      <c r="AD402" s="471">
        <f t="shared" si="1182"/>
        <v>0</v>
      </c>
      <c r="AE402" s="471">
        <f t="shared" si="1182"/>
        <v>0</v>
      </c>
      <c r="AF402" s="510">
        <f t="shared" si="1175"/>
        <v>3.8</v>
      </c>
      <c r="AG402" s="471">
        <f>AC402*AF402</f>
        <v>0</v>
      </c>
      <c r="AH402" s="471">
        <f>+AD402+AE402+AG402</f>
        <v>0</v>
      </c>
      <c r="AI402" s="471">
        <f ca="1">IF(H402="","",IF(AB402+Y402+Z402+X402+U402&lt;1.5,1.5,AB402+Y402+Z402+X402+U402))</f>
        <v>1.5</v>
      </c>
      <c r="AJ402" s="471">
        <f>+$P$17</f>
        <v>0.75</v>
      </c>
      <c r="AK402" s="472">
        <f>+BK402/100</f>
        <v>0.23164426059978235</v>
      </c>
      <c r="AL402" s="471">
        <f>IF(AJ402=0," ",0.14+0.65*AJ402+0.05*AK402)</f>
        <v>0.63908221302998913</v>
      </c>
      <c r="AM402" s="473">
        <f t="shared" si="1178"/>
        <v>334.92772376629733</v>
      </c>
      <c r="AN402" s="474">
        <f t="shared" si="1171"/>
        <v>10.087722222222222</v>
      </c>
      <c r="AO402" s="474">
        <f>((1/60)*$AX402/$AQ402)</f>
        <v>5.372222222222222E-2</v>
      </c>
      <c r="AP402" s="474">
        <f>IF(B402=1,IF(($AN402+$AO402)&lt;10,10,IF(($AN402+$AO402)&gt;20,20,($AN402+$AO402))),($AN402+$AO402))</f>
        <v>10.141444444444444</v>
      </c>
      <c r="AQ402" s="475">
        <v>3</v>
      </c>
      <c r="AR402" s="474">
        <f ca="1">((1/60)*$AX402/$BT402)</f>
        <v>4.6244171026696652E-2</v>
      </c>
      <c r="AS402" s="474">
        <f ca="1">AO402/AR402</f>
        <v>1.1617079737727054</v>
      </c>
      <c r="AT402" s="471" t="str">
        <f ca="1">IF(AS402&lt;0.9,"Disminuir vel.",IF(AS402&gt;1.1,"Aumentar vel.","Cumple"))</f>
        <v>Aumentar vel.</v>
      </c>
      <c r="AU402" s="492">
        <f>+I402*AL402*AM402</f>
        <v>0</v>
      </c>
      <c r="AV402" s="471">
        <f ca="1">+L402*AL402*AM402</f>
        <v>38.436941947159148</v>
      </c>
      <c r="AW402" s="471">
        <f ca="1">ROUND(IF(AI402&gt;(AV402*0.05),(AV402+AI402),AV402),2)</f>
        <v>38.44</v>
      </c>
      <c r="AX402" s="478">
        <f>IF(OR(C402="",D402=""),"",ROUND(((VLOOKUP(C402,'Base de Diseño (2)'!$A$2:$C$333,2,FALSE)-VLOOKUP(D402,'Base de Diseño (2)'!$A$2:$C$333,2,FALSE))^2+(VLOOKUP(C402,'Base de Diseño (2)'!$A$2:$C$333,3,0)-VLOOKUP(D402,'Base de Diseño (2)'!$A$2:$C$333,3,FALSE))^2)^0.5,2))</f>
        <v>9.67</v>
      </c>
      <c r="AY402" s="493">
        <v>8</v>
      </c>
      <c r="AZ402" s="480">
        <f ca="1">IF(AND(L402="",H402=""),"",IF(BA402=4,VLOOKUP(AY402,'TABLA (2)'!$A$74:$C$89,2),IF(BA402=5,VLOOKUP(AY402,'TABLA (2)'!$A$51:$B$66,2),IF(BA402=6,VLOOKUP(AY402,'TABLA (2)'!$A$9:$B$43,2)))))</f>
        <v>200</v>
      </c>
      <c r="BA402" s="493">
        <v>6</v>
      </c>
      <c r="BB402" s="478">
        <f>IF(OR(C402="",D402=""),"",VLOOKUP(C402,'Base de Diseño (2)'!$A$2:$D$330,4,FALSE))</f>
        <v>980.59159999999997</v>
      </c>
      <c r="BC402" s="478">
        <f>IF(OR(C402="",D402=""),"",VLOOKUP(D402,'Base de Diseño (2)'!$A$2:$D$330,4,FALSE))</f>
        <v>978.35160000000008</v>
      </c>
      <c r="BD402" s="23">
        <f ca="1">+BF402-((AZ402/1000)+CX402)</f>
        <v>1.7430000000000181</v>
      </c>
      <c r="BE402" s="23">
        <f ca="1">+BG402-((AZ402/1000)+CX402)</f>
        <v>1.753000000000009</v>
      </c>
      <c r="BF402" s="494">
        <v>1.9800000000000182</v>
      </c>
      <c r="BG402" s="494">
        <v>1.9900000000000091</v>
      </c>
      <c r="BH402" s="495">
        <f t="shared" si="1183"/>
        <v>978.61159999999995</v>
      </c>
      <c r="BI402" s="495">
        <f t="shared" si="1183"/>
        <v>976.36160000000007</v>
      </c>
      <c r="BJ402" s="534">
        <f t="shared" ref="BJ402:BJ433" si="1184">IF(A402="",0,BI402-BH403)</f>
        <v>0.13999999999998636</v>
      </c>
      <c r="BK402" s="475">
        <f>ABS((BB402-BC402)/AX402)*100</f>
        <v>23.164426059978236</v>
      </c>
      <c r="BL402" s="475">
        <f>((BH402-BI402)/AX402)*100</f>
        <v>23.267838676317336</v>
      </c>
      <c r="BM402" s="475">
        <f ca="1">IF(BA402=6,(1/0.013)*((AZ402/4000)^(2/3))*((BL402/100)^(0.5)),(1/0.009)*((AZ402/4000)^(2/3))*((BL402/100)^(0.5)))</f>
        <v>5.035949185394994</v>
      </c>
      <c r="BN402" s="475">
        <f ca="1">1000*BM402*PI()*((AZ402/1000/2)^2)</f>
        <v>158.2090096468842</v>
      </c>
      <c r="BO402" s="204">
        <f ca="1">AI402/BN402</f>
        <v>9.4811288140159433E-3</v>
      </c>
      <c r="BP402" s="496">
        <f ca="1">IF(L402=0," ",AW402/BN402)</f>
        <v>0.2429697277405152</v>
      </c>
      <c r="BQ402" s="497">
        <f ca="1">IF($BO402&gt;0 =AND($BO402&lt;=0.06),10^(0.029806+0.29095*LOG($BO402)),IF($BO402&gt;0.06 =AND($BO402&lt;=0.26),10^(0.013778+0.282597*LOG($BO402)),IF($BO402&gt;0.26 =AND($BO402&lt;=0.91),10^(0.021763+0.28995*LOG($BO402)),1)))</f>
        <v>0.27616804826318225</v>
      </c>
      <c r="BR402" s="497">
        <f ca="1">IF($BP402&gt;0 =AND($BP402&lt;=0.06),10^(0.029806+0.29095*LOG($BP402)),IF($BP402&gt;0.06 =AND($BP402&lt;=0.26),10^(0.013778+0.282597*LOG($BP402)),IF($BP402&gt;0.26 =AND($BP402&lt;=2),10^(0.021763+0.28995*LOG($BP402))," ")))</f>
        <v>0.6920490642410565</v>
      </c>
      <c r="BS402" s="475">
        <f ca="1">BM402*BQ402</f>
        <v>1.390768257683098</v>
      </c>
      <c r="BT402" s="475">
        <f ca="1">IF(BP402=" "," ",(BM402*BR402))</f>
        <v>3.4851239213181162</v>
      </c>
      <c r="BU402" s="475">
        <f ca="1">IF(BO402&lt;=0.11,0.3827+0.0645*LN(BO402),IF(BO402&lt;=0.21,0.60025+0.15471*LN(BO402),IF(BO402&lt;1,0.225+0.6666666667*BO402,0)))</f>
        <v>8.2229852669595038E-2</v>
      </c>
      <c r="BV402" s="475">
        <f ca="1">IF(BP402&lt;=0.11,0.3827+0.0645*LN(BP402),IF(BP402&lt;=0.21,0.60025+0.15471*LN(BP402),IF(BP402&lt;1,0.225+0.6666666667*BP402," ")))</f>
        <v>0.38697981850177576</v>
      </c>
      <c r="BW402" s="475">
        <f ca="1">2*ACOS(1-2*(BU402))</f>
        <v>1.163361802081885</v>
      </c>
      <c r="BX402" s="475">
        <f ca="1">IF(BP402=" "," ",(2*ACOS(1-2*(BV402))))</f>
        <v>2.6855708350930891</v>
      </c>
      <c r="BY402" s="475">
        <f ca="1">(1/4)*(1-(SIN(BW402))/BW402)</f>
        <v>5.2696713880570317E-2</v>
      </c>
      <c r="BZ402" s="475">
        <f ca="1">IF(BP402=" "," ",((1/4)*(1-(SIN(BX402))/BX402)))</f>
        <v>0.20900499642376974</v>
      </c>
      <c r="CA402" s="471">
        <f ca="1">BY402*AZ402/1000</f>
        <v>1.0539342776114064E-2</v>
      </c>
      <c r="CB402" s="471">
        <f ca="1">IF(BP402=" "," ",(BZ402*AZ402/1000))</f>
        <v>4.1800999284753948E-2</v>
      </c>
      <c r="CC402" s="471">
        <f t="shared" ca="1" si="1172"/>
        <v>4.6354601431558278</v>
      </c>
      <c r="CD402" s="471" t="str">
        <f ca="1">IF(CC402="","",IF(CC402&lt;0.7,"F. Subcrítico",IF(AND(CC402&gt;0.7,CC402&lt;1),"F. Subcrítico Inestable",IF(CC402=1,"F. Crítico",IF(AND(CC402&gt;1,CC402&lt;1.5),"F. Supercrítico Inestable",IF(CC402&gt;1.5,"F. Supercrítico",""))))))</f>
        <v>F. Supercrítico</v>
      </c>
      <c r="CE402" s="471">
        <f ca="1">1000*BL402*CA402/100</f>
        <v>2.4522772746903256</v>
      </c>
      <c r="CF402" s="471">
        <f ca="1">IF(BP402=" "," ",(1000*BL402*CB402/100))</f>
        <v>9.7261890786651115</v>
      </c>
      <c r="CG402" s="471" t="str">
        <f ca="1">IF(BS402&lt;0.45,"No cumple",IF(BS402&gt;5,"No cumple","O.K"))</f>
        <v>O.K</v>
      </c>
      <c r="CH402" s="471" t="str">
        <f ca="1">IF(BT402&lt;0.75,"No cumple",IF(BT402&gt;10,"No cumple","O.K"))</f>
        <v>O.K</v>
      </c>
      <c r="CI402" s="471" t="str">
        <f ca="1">IF(CE402&gt;0.1,"OK","V.C.H.")</f>
        <v>OK</v>
      </c>
      <c r="CJ402" s="471" t="str">
        <f ca="1">IF(CF402&gt;0.2,"OK","V.C.H.")</f>
        <v>OK</v>
      </c>
      <c r="CK402" s="468">
        <f>+BJ402</f>
        <v>0.13999999999998636</v>
      </c>
      <c r="CL402" s="482" t="s">
        <v>2507</v>
      </c>
      <c r="CM402" s="482"/>
      <c r="CN402" s="63" t="str">
        <f>IF(B402=1,"dato"," ")</f>
        <v xml:space="preserve"> </v>
      </c>
      <c r="CO402" s="527">
        <f t="shared" si="1179"/>
        <v>9.67</v>
      </c>
      <c r="CP402" s="542">
        <f t="shared" si="1180"/>
        <v>0.23164426059978235</v>
      </c>
      <c r="CQ402" s="482" t="s">
        <v>2508</v>
      </c>
      <c r="CR402" s="204">
        <f>IF(BA402="","",AX402)</f>
        <v>9.67</v>
      </c>
      <c r="CS402" s="486">
        <v>1.2</v>
      </c>
      <c r="CT402" s="486">
        <v>1.2</v>
      </c>
      <c r="CU402" s="23">
        <f>IF($BA402="","",SQRT((BH402-BI402)^2+$CR402^2))</f>
        <v>9.9283130490531715</v>
      </c>
      <c r="CV402" s="499" t="s">
        <v>2509</v>
      </c>
      <c r="CW402" s="488" t="str">
        <f ca="1">+IF(BD402&lt;=0.9,"E1",IF(BD402&lt;=2.5,"E2","E3"))</f>
        <v>E2</v>
      </c>
      <c r="CX402" s="204">
        <f ca="1">IF(AND(L402="",H402=""),"",IF(AND(BA402&lt;&gt;4,BA402&lt;&gt;5),VLOOKUP(AY402,'TABLA (2)'!$A$9:$D$43,4),IF(BA402=4,VLOOKUP(AY402,'TABLA (2)'!$A$74:$D$89,4),VLOOKUP(AY402,'TABLA (2)'!$A$51:$D$66,4))))</f>
        <v>3.6999999999999998E-2</v>
      </c>
      <c r="CY402" s="482"/>
      <c r="CZ402" s="482"/>
      <c r="DA402" s="482"/>
      <c r="DB402" s="490"/>
    </row>
    <row r="403" spans="1:106" ht="15" hidden="1" customHeight="1">
      <c r="A403" s="465">
        <f>+A402+1</f>
        <v>291</v>
      </c>
      <c r="B403" s="491"/>
      <c r="C403" s="466" t="s">
        <v>2266</v>
      </c>
      <c r="D403" s="466" t="s">
        <v>2267</v>
      </c>
      <c r="E403" s="468">
        <v>0.14075620489999999</v>
      </c>
      <c r="F403" s="468"/>
      <c r="G403" s="537">
        <f t="shared" si="1176"/>
        <v>0.17957298399999999</v>
      </c>
      <c r="H403" s="537">
        <f t="shared" si="1177"/>
        <v>0.32032918889999995</v>
      </c>
      <c r="I403" s="468">
        <v>0.14075620489999999</v>
      </c>
      <c r="J403" s="468"/>
      <c r="K403" s="467">
        <f ca="1">+IF(B403=1,0,SUMIF($D$22:$D$583,C403,$L$22:$L$580))</f>
        <v>0.17957298399999999</v>
      </c>
      <c r="L403" s="468">
        <f ca="1">+I403+J403+K403</f>
        <v>0.32032918889999995</v>
      </c>
      <c r="M403" s="469">
        <f>+$P$12</f>
        <v>242.33666300502347</v>
      </c>
      <c r="N403" s="470">
        <f>M403*E403</f>
        <v>34.110388992717333</v>
      </c>
      <c r="O403" s="470">
        <f>M403*F403</f>
        <v>0</v>
      </c>
      <c r="P403" s="470">
        <f>M403*H403</f>
        <v>77.627506701131793</v>
      </c>
      <c r="Q403" s="469">
        <f t="shared" si="1181"/>
        <v>140</v>
      </c>
      <c r="R403" s="471">
        <f>Q403*P403*$P$14/86400</f>
        <v>0.10691751501660512</v>
      </c>
      <c r="S403" s="471"/>
      <c r="T403" s="471"/>
      <c r="U403" s="471">
        <f>IF(C403="","",T403*$P$17)</f>
        <v>0</v>
      </c>
      <c r="V403" s="471"/>
      <c r="W403" s="471"/>
      <c r="X403" s="471">
        <f>IF(C403="","",W403*$P$16)</f>
        <v>0</v>
      </c>
      <c r="Y403" s="471">
        <f>IF(H403=0,0,$H$15*H403)</f>
        <v>6.4065837779999996E-2</v>
      </c>
      <c r="Z403" s="471">
        <f ca="1">IF(L403=0,$H$16*H403,0)</f>
        <v>0</v>
      </c>
      <c r="AA403" s="471">
        <f t="shared" si="1033"/>
        <v>3.8</v>
      </c>
      <c r="AB403" s="471">
        <f>R403*AA403</f>
        <v>0.40628655706309946</v>
      </c>
      <c r="AC403" s="471">
        <f>Q403*(N403+O403)*$P$14/86400</f>
        <v>4.6980744098765764E-2</v>
      </c>
      <c r="AD403" s="471">
        <f t="shared" si="1182"/>
        <v>2.8151240979999999E-2</v>
      </c>
      <c r="AE403" s="471">
        <f t="shared" si="1182"/>
        <v>0</v>
      </c>
      <c r="AF403" s="510">
        <f t="shared" si="1175"/>
        <v>3.8</v>
      </c>
      <c r="AG403" s="471">
        <f>AC403*AF403</f>
        <v>0.17852682757530988</v>
      </c>
      <c r="AH403" s="471">
        <f>+AD403+AE403+AG403</f>
        <v>0.20667806855530987</v>
      </c>
      <c r="AI403" s="471">
        <f ca="1">IF(H403="","",IF(AB403+Y403+Z403+X403+U403&lt;1.5,1.5,AB403+Y403+Z403+X403+U403))</f>
        <v>1.5</v>
      </c>
      <c r="AJ403" s="471">
        <f>+$P$17</f>
        <v>0.75</v>
      </c>
      <c r="AK403" s="472">
        <f>+BK403/100</f>
        <v>0.22729480330257443</v>
      </c>
      <c r="AL403" s="471">
        <f>IF(AJ403=0," ",0.14+0.65*AJ403+0.05*AK403)</f>
        <v>0.63886474016512873</v>
      </c>
      <c r="AM403" s="473">
        <f t="shared" si="1178"/>
        <v>332.68931526058259</v>
      </c>
      <c r="AN403" s="474">
        <f t="shared" si="1171"/>
        <v>10.141444444444444</v>
      </c>
      <c r="AO403" s="474">
        <f>((1/60)*$AX403/$AQ403)</f>
        <v>0.22877777777777777</v>
      </c>
      <c r="AP403" s="474">
        <f>IF(B403=1,IF(($AN403+$AO403)&lt;10,10,IF(($AN403+$AO403)&gt;20,20,($AN403+$AO403))),($AN403+$AO403))</f>
        <v>10.370222222222221</v>
      </c>
      <c r="AQ403" s="475">
        <v>3</v>
      </c>
      <c r="AR403" s="474">
        <f ca="1">((1/60)*$AX403/$BT403)</f>
        <v>0.17606400876753847</v>
      </c>
      <c r="AS403" s="474">
        <f ca="1">AO403/AR403</f>
        <v>1.2994011631294762</v>
      </c>
      <c r="AT403" s="471" t="str">
        <f ca="1">IF(AS403&lt;0.9,"Disminuir vel.",IF(AS403&gt;1.1,"Aumentar vel.","Cumple"))</f>
        <v>Aumentar vel.</v>
      </c>
      <c r="AU403" s="492">
        <f>+I403*AL403*AM403</f>
        <v>29.916812628660892</v>
      </c>
      <c r="AV403" s="471">
        <f ca="1">+L403*AL403*AM403</f>
        <v>68.083878295955813</v>
      </c>
      <c r="AW403" s="471">
        <f ca="1">ROUND(IF(AI403&gt;(AV403*0.05),(AV403+AI403),AV403),2)</f>
        <v>68.08</v>
      </c>
      <c r="AX403" s="478">
        <f>IF(OR(C403="",D403=""),"",ROUND(((VLOOKUP(C403,'Base de Diseño (2)'!$A$2:$C$333,2,FALSE)-VLOOKUP(D403,'Base de Diseño (2)'!$A$2:$C$333,2,FALSE))^2+(VLOOKUP(C403,'Base de Diseño (2)'!$A$2:$C$333,3,0)-VLOOKUP(D403,'Base de Diseño (2)'!$A$2:$C$333,3,FALSE))^2)^0.5,2))</f>
        <v>41.18</v>
      </c>
      <c r="AY403" s="493">
        <v>10</v>
      </c>
      <c r="AZ403" s="480">
        <f ca="1">IF(AND(L403="",H403=""),"",IF(BA403=4,VLOOKUP(AY403,'TABLA (2)'!$A$74:$C$89,2),IF(BA403=5,VLOOKUP(AY403,'TABLA (2)'!$A$51:$B$66,2),IF(BA403=6,VLOOKUP(AY403,'TABLA (2)'!$A$9:$B$43,2)))))</f>
        <v>250</v>
      </c>
      <c r="BA403" s="493">
        <v>6</v>
      </c>
      <c r="BB403" s="478">
        <f>IF(OR(C403="",D403=""),"",VLOOKUP(C403,'Base de Diseño (2)'!$A$2:$D$330,4,FALSE))</f>
        <v>978.35160000000008</v>
      </c>
      <c r="BC403" s="478">
        <f>IF(OR(C403="",D403=""),"",VLOOKUP(D403,'Base de Diseño (2)'!$A$2:$D$330,4,FALSE))</f>
        <v>968.99160000000006</v>
      </c>
      <c r="BD403" s="23">
        <f ca="1">+BF403-((AZ403/1000)+CX403)</f>
        <v>1.8429999999999955</v>
      </c>
      <c r="BE403" s="23">
        <f ca="1">+BG403-((AZ403/1000)+CX403)</f>
        <v>1.293000000000041</v>
      </c>
      <c r="BF403" s="494">
        <v>2.1299999999999955</v>
      </c>
      <c r="BG403" s="494">
        <v>1.5800000000000409</v>
      </c>
      <c r="BH403" s="495">
        <f t="shared" si="1183"/>
        <v>976.22160000000008</v>
      </c>
      <c r="BI403" s="495">
        <f t="shared" si="1183"/>
        <v>967.41160000000002</v>
      </c>
      <c r="BJ403" s="534">
        <f t="shared" si="1184"/>
        <v>1.999999999998181E-2</v>
      </c>
      <c r="BK403" s="475">
        <f>ABS((BB403-BC403)/AX403)*100</f>
        <v>22.729480330257442</v>
      </c>
      <c r="BL403" s="475">
        <f>((BH403-BI403)/AX403)*100</f>
        <v>21.393880524526612</v>
      </c>
      <c r="BM403" s="475">
        <f ca="1">IF(BA403=6,(1/0.013)*((AZ403/4000)^(2/3))*((BL403/100)^(0.5)),(1/0.009)*((AZ403/4000)^(2/3))*((BL403/100)^(0.5)))</f>
        <v>5.6034406407113089</v>
      </c>
      <c r="BN403" s="475">
        <f ca="1">1000*BM403*PI()*((AZ403/1000/2)^2)</f>
        <v>275.05824924508022</v>
      </c>
      <c r="BO403" s="204">
        <f ca="1">AI403/BN403</f>
        <v>5.4533903422888507E-3</v>
      </c>
      <c r="BP403" s="496">
        <f ca="1">IF(L403=0," ",AW403/BN403)</f>
        <v>0.24751120966868329</v>
      </c>
      <c r="BQ403" s="497">
        <f ca="1">IF($BO403&gt;0 =AND($BO403&lt;=0.06),10^(0.029806+0.29095*LOG($BO403)),IF($BO403&gt;0.06 =AND($BO403&lt;=0.26),10^(0.013778+0.282597*LOG($BO403)),IF($BO403&gt;0.26 =AND($BO403&lt;=0.91),10^(0.021763+0.28995*LOG($BO403)),1)))</f>
        <v>0.2351197670704627</v>
      </c>
      <c r="BR403" s="497">
        <f ca="1">IF($BP403&gt;0 =AND($BP403&lt;=0.06),10^(0.029806+0.29095*LOG($BP403)),IF($BP403&gt;0.06 =AND($BP403&lt;=0.26),10^(0.013778+0.282597*LOG($BP403)),IF($BP403&gt;0.26 =AND($BP403&lt;=2),10^(0.021763+0.28995*LOG($BP403))," ")))</f>
        <v>0.69568033987303646</v>
      </c>
      <c r="BS403" s="475">
        <f ca="1">BM403*BQ403</f>
        <v>1.3174796582372073</v>
      </c>
      <c r="BT403" s="475">
        <f ca="1">IF(BP403=" "," ",(BM403*BR403))</f>
        <v>3.8982034893884285</v>
      </c>
      <c r="BU403" s="475">
        <f ca="1">IF(BO403&lt;=0.11,0.3827+0.0645*LN(BO403),IF(BO403&lt;=0.21,0.60025+0.15471*LN(BO403),IF(BO403&lt;1,0.225+0.6666666667*BO403,0)))</f>
        <v>4.6557103024535529E-2</v>
      </c>
      <c r="BV403" s="475">
        <f ca="1">IF(BP403&lt;=0.11,0.3827+0.0645*LN(BP403),IF(BP403&lt;=0.21,0.60025+0.15471*LN(BP403),IF(BP403&lt;1,0.225+0.6666666667*BP403," ")))</f>
        <v>0.39000747312070588</v>
      </c>
      <c r="BW403" s="475">
        <f ca="1">2*ACOS(1-2*(BU403))</f>
        <v>0.8699252401691524</v>
      </c>
      <c r="BX403" s="475">
        <f ca="1">IF(BP403=" "," ",(2*ACOS(1-2*(BV403))))</f>
        <v>2.6979943557895472</v>
      </c>
      <c r="BY403" s="475">
        <f ca="1">(1/4)*(1-(SIN(BW403))/BW403)</f>
        <v>3.0360227386490024E-2</v>
      </c>
      <c r="BZ403" s="475">
        <f ca="1">IF(BP403=" "," ",((1/4)*(1-(SIN(BX403))/BX403)))</f>
        <v>0.21023043325091476</v>
      </c>
      <c r="CA403" s="471">
        <f ca="1">BY403*AZ403/1000</f>
        <v>7.590056846622506E-3</v>
      </c>
      <c r="CB403" s="471">
        <f ca="1">IF(BP403=" "," ",(BZ403*AZ403/1000))</f>
        <v>5.2557608312728689E-2</v>
      </c>
      <c r="CC403" s="471">
        <f t="shared" ca="1" si="1172"/>
        <v>4.6165872020080707</v>
      </c>
      <c r="CD403" s="471" t="str">
        <f ca="1">IF(CC403="","",IF(CC403&lt;0.7,"F. Subcrítico",IF(AND(CC403&gt;0.7,CC403&lt;1),"F. Subcrítico Inestable",IF(CC403=1,"F. Crítico",IF(AND(CC403&gt;1,CC403&lt;1.5),"F. Supercrítico Inestable",IF(CC403&gt;1.5,"F. Supercrítico",""))))))</f>
        <v>F. Supercrítico</v>
      </c>
      <c r="CE403" s="471">
        <f ca="1">1000*BL403*CA403/100</f>
        <v>1.6238076935100709</v>
      </c>
      <c r="CF403" s="471">
        <f ca="1">IF(BP403=" "," ",(1000*BL403*CB403/100))</f>
        <v>11.244111928973844</v>
      </c>
      <c r="CG403" s="471" t="str">
        <f ca="1">IF(BS403&lt;0.45,"No cumple",IF(BS403&gt;5,"No cumple","O.K"))</f>
        <v>O.K</v>
      </c>
      <c r="CH403" s="471" t="str">
        <f ca="1">IF(BT403&lt;0.75,"No cumple",IF(BT403&gt;10,"No cumple","O.K"))</f>
        <v>O.K</v>
      </c>
      <c r="CI403" s="471" t="str">
        <f ca="1">IF(CE403&gt;0.1,"OK","V.C.H.")</f>
        <v>OK</v>
      </c>
      <c r="CJ403" s="471" t="str">
        <f ca="1">IF(CF403&gt;0.2,"OK","V.C.H.")</f>
        <v>OK</v>
      </c>
      <c r="CK403" s="468">
        <f>+BJ403</f>
        <v>1.999999999998181E-2</v>
      </c>
      <c r="CL403" s="482" t="s">
        <v>2507</v>
      </c>
      <c r="CM403" s="482"/>
      <c r="CN403" s="63" t="str">
        <f>IF(B403=1,"dato"," ")</f>
        <v xml:space="preserve"> </v>
      </c>
      <c r="CO403" s="527">
        <f t="shared" si="1179"/>
        <v>41.18</v>
      </c>
      <c r="CP403" s="511">
        <f t="shared" si="1180"/>
        <v>0.22729480330257443</v>
      </c>
      <c r="CQ403" s="482" t="s">
        <v>2508</v>
      </c>
      <c r="CR403" s="204">
        <f>IF(BA403="","",AX403)</f>
        <v>41.18</v>
      </c>
      <c r="CS403" s="486">
        <v>1.2</v>
      </c>
      <c r="CT403" s="486">
        <v>1.2</v>
      </c>
      <c r="CU403" s="23">
        <f>IF($BA403="","",SQRT((BH403-BI403)^2+$CR403^2))</f>
        <v>42.111857000137164</v>
      </c>
      <c r="CV403" s="499" t="s">
        <v>2509</v>
      </c>
      <c r="CW403" s="488" t="str">
        <f ca="1">+IF(BD403&lt;=0.9,"E1",IF(BD403&lt;=2.5,"E2","E3"))</f>
        <v>E2</v>
      </c>
      <c r="CX403" s="204">
        <f ca="1">IF(AND(L403="",H403=""),"",IF(AND(BA403&lt;&gt;4,BA403&lt;&gt;5),VLOOKUP(AY403,'TABLA (2)'!$A$9:$D$43,4),IF(BA403=4,VLOOKUP(AY403,'TABLA (2)'!$A$74:$D$89,4),VLOOKUP(AY403,'TABLA (2)'!$A$51:$D$66,4))))</f>
        <v>3.6999999999999998E-2</v>
      </c>
      <c r="CY403" s="482"/>
      <c r="CZ403" s="482"/>
      <c r="DA403" s="482"/>
      <c r="DB403" s="490"/>
    </row>
    <row r="404" spans="1:106" ht="15" hidden="1" customHeight="1">
      <c r="A404" s="465">
        <f>+A403+1</f>
        <v>292</v>
      </c>
      <c r="B404" s="491"/>
      <c r="C404" s="466" t="s">
        <v>2267</v>
      </c>
      <c r="D404" s="466" t="s">
        <v>2268</v>
      </c>
      <c r="E404" s="468">
        <v>3.3986243899999997E-2</v>
      </c>
      <c r="F404" s="468"/>
      <c r="G404" s="537">
        <f t="shared" si="1176"/>
        <v>0.32032918889999995</v>
      </c>
      <c r="H404" s="537">
        <f t="shared" si="1177"/>
        <v>0.35431543279999994</v>
      </c>
      <c r="I404" s="468">
        <v>3.3986243899999997E-2</v>
      </c>
      <c r="J404" s="468"/>
      <c r="K404" s="467">
        <f ca="1">+IF(B404=1,0,SUMIF($D$22:$D$583,C404,$L$22:$L$580))</f>
        <v>0.32032918889999995</v>
      </c>
      <c r="L404" s="468">
        <f ca="1">+I404+J404+K404</f>
        <v>0.35431543279999994</v>
      </c>
      <c r="M404" s="469">
        <f>+$P$12</f>
        <v>242.33666300502347</v>
      </c>
      <c r="N404" s="470">
        <f>M404*E404</f>
        <v>8.2361129348008344</v>
      </c>
      <c r="O404" s="470">
        <f>M404*F404</f>
        <v>0</v>
      </c>
      <c r="P404" s="470">
        <f>M404*H404</f>
        <v>85.863619635932622</v>
      </c>
      <c r="Q404" s="469">
        <f t="shared" si="1181"/>
        <v>140</v>
      </c>
      <c r="R404" s="471">
        <f>Q404*P404*$P$14/86400</f>
        <v>0.11826123537819425</v>
      </c>
      <c r="S404" s="471"/>
      <c r="T404" s="471"/>
      <c r="U404" s="471">
        <f>IF(C404="","",T404*$P$17)</f>
        <v>0</v>
      </c>
      <c r="V404" s="471"/>
      <c r="W404" s="471"/>
      <c r="X404" s="471">
        <f>IF(C404="","",W404*$P$16)</f>
        <v>0</v>
      </c>
      <c r="Y404" s="471">
        <f>IF(H404=0,0,$H$15*H404)</f>
        <v>7.0863086559999997E-2</v>
      </c>
      <c r="Z404" s="471">
        <f ca="1">IF(L404=0,$H$16*H404,0)</f>
        <v>0</v>
      </c>
      <c r="AA404" s="471">
        <f t="shared" si="1033"/>
        <v>3.8</v>
      </c>
      <c r="AB404" s="471">
        <f>R404*AA404</f>
        <v>0.44939269443713814</v>
      </c>
      <c r="AC404" s="471">
        <f>Q404*(N404+O404)*$P$14/86400</f>
        <v>1.1343720361589113E-2</v>
      </c>
      <c r="AD404" s="471">
        <f t="shared" si="1182"/>
        <v>6.79724878E-3</v>
      </c>
      <c r="AE404" s="471">
        <f t="shared" si="1182"/>
        <v>0</v>
      </c>
      <c r="AF404" s="510">
        <f t="shared" si="1175"/>
        <v>3.8</v>
      </c>
      <c r="AG404" s="471">
        <f>AC404*AF404</f>
        <v>4.3106137374038629E-2</v>
      </c>
      <c r="AH404" s="471">
        <f>+AD404+AE404+AG404</f>
        <v>4.990338615403863E-2</v>
      </c>
      <c r="AI404" s="471">
        <f ca="1">IF(H404="","",IF(AB404+Y404+Z404+X404+U404&lt;1.5,1.5,AB404+Y404+Z404+X404+U404))</f>
        <v>1.5</v>
      </c>
      <c r="AJ404" s="471">
        <f>+$P$17</f>
        <v>0.75</v>
      </c>
      <c r="AK404" s="472">
        <f>+BK404/100</f>
        <v>0.13046231792273966</v>
      </c>
      <c r="AL404" s="471">
        <f>IF(AJ404=0," ",0.14+0.65*AJ404+0.05*AK404)</f>
        <v>0.63402311589613702</v>
      </c>
      <c r="AM404" s="473">
        <f t="shared" si="1178"/>
        <v>331.83860757888527</v>
      </c>
      <c r="AN404" s="474">
        <f t="shared" si="1171"/>
        <v>10.370222222222221</v>
      </c>
      <c r="AO404" s="474">
        <f>((1/60)*$AX404/$AQ404)</f>
        <v>8.7722222222222215E-2</v>
      </c>
      <c r="AP404" s="474">
        <f>IF(B404=1,IF(($AN404+$AO404)&lt;10,10,IF(($AN404+$AO404)&gt;20,20,($AN404+$AO404))),($AN404+$AO404))</f>
        <v>10.457944444444443</v>
      </c>
      <c r="AQ404" s="475">
        <v>3</v>
      </c>
      <c r="AR404" s="474">
        <f ca="1">((1/60)*$AX404/$BT404)</f>
        <v>8.8632055575059279E-2</v>
      </c>
      <c r="AS404" s="474">
        <f ca="1">AO404/AR404</f>
        <v>0.98973471452361206</v>
      </c>
      <c r="AT404" s="471" t="str">
        <f ca="1">IF(AS404&lt;0.9,"Disminuir vel.",IF(AS404&gt;1.1,"Aumentar vel.","Cumple"))</f>
        <v>Cumple</v>
      </c>
      <c r="AU404" s="492">
        <f>+I404*AL404*AM404</f>
        <v>7.1504796384274503</v>
      </c>
      <c r="AV404" s="471">
        <f ca="1">+L404*AL404*AM404</f>
        <v>74.545610137783115</v>
      </c>
      <c r="AW404" s="471">
        <f ca="1">ROUND(IF(AI404&gt;(AV404*0.05),(AV404+AI404),AV404),2)</f>
        <v>74.55</v>
      </c>
      <c r="AX404" s="478">
        <f>IF(OR(C404="",D404=""),"",ROUND(((VLOOKUP(C404,'Base de Diseño (2)'!$A$2:$C$333,2,FALSE)-VLOOKUP(D404,'Base de Diseño (2)'!$A$2:$C$333,2,FALSE))^2+(VLOOKUP(C404,'Base de Diseño (2)'!$A$2:$C$333,3,0)-VLOOKUP(D404,'Base de Diseño (2)'!$A$2:$C$333,3,FALSE))^2)^0.5,2))</f>
        <v>15.79</v>
      </c>
      <c r="AY404" s="493">
        <v>16</v>
      </c>
      <c r="AZ404" s="480">
        <f ca="1">IF(AND(L404="",H404=""),"",IF(BA404=4,VLOOKUP(AY404,'TABLA (2)'!$A$74:$C$89,2),IF(BA404=5,VLOOKUP(AY404,'TABLA (2)'!$A$51:$B$66,2),IF(BA404=6,VLOOKUP(AY404,'TABLA (2)'!$A$9:$B$43,2)))))</f>
        <v>400</v>
      </c>
      <c r="BA404" s="493">
        <v>6</v>
      </c>
      <c r="BB404" s="478">
        <f>IF(OR(C404="",D404=""),"",VLOOKUP(C404,'Base de Diseño (2)'!$A$2:$D$330,4,FALSE))</f>
        <v>968.99160000000006</v>
      </c>
      <c r="BC404" s="478">
        <f>IF(OR(C404="",D404=""),"",VLOOKUP(D404,'Base de Diseño (2)'!$A$2:$D$330,4,FALSE))</f>
        <v>966.9316</v>
      </c>
      <c r="BD404" s="23">
        <f ca="1">+BF404-((AZ404/1000)+CX404)</f>
        <v>1.1380000000000228</v>
      </c>
      <c r="BE404" s="23">
        <f ca="1">+BG404-((AZ404/1000)+CX404)</f>
        <v>0.7280000000000546</v>
      </c>
      <c r="BF404" s="494">
        <v>1.6000000000000227</v>
      </c>
      <c r="BG404" s="494">
        <v>1.1900000000000546</v>
      </c>
      <c r="BH404" s="495">
        <f t="shared" si="1183"/>
        <v>967.39160000000004</v>
      </c>
      <c r="BI404" s="495">
        <f t="shared" si="1183"/>
        <v>965.74159999999995</v>
      </c>
      <c r="BJ404" s="534">
        <f t="shared" si="1184"/>
        <v>965.74159999999995</v>
      </c>
      <c r="BK404" s="475">
        <f>ABS((BB404-BC404)/AX404)*100</f>
        <v>13.046231792273966</v>
      </c>
      <c r="BL404" s="475">
        <f>((BH404-BI404)/AX404)*100</f>
        <v>10.449651678277966</v>
      </c>
      <c r="BM404" s="475">
        <f ca="1">IF(BA404=6,(1/0.013)*((AZ404/4000)^(2/3))*((BL404/100)^(0.5)),(1/0.009)*((AZ404/4000)^(2/3))*((BL404/100)^(0.5)))</f>
        <v>5.3572373513298874</v>
      </c>
      <c r="BN404" s="475">
        <f ca="1">1000*BM404*PI()*((AZ404/1000/2)^2)</f>
        <v>673.21030025899279</v>
      </c>
      <c r="BO404" s="204">
        <f ca="1">AI404/BN404</f>
        <v>2.2281299014927881E-3</v>
      </c>
      <c r="BP404" s="496">
        <f ca="1">IF(L404=0," ",AW404/BN404)</f>
        <v>0.11073805610419157</v>
      </c>
      <c r="BQ404" s="497">
        <f ca="1">IF($BO404&gt;0 =AND($BO404&lt;=0.06),10^(0.029806+0.29095*LOG($BO404)),IF($BO404&gt;0.06 =AND($BO404&lt;=0.26),10^(0.013778+0.282597*LOG($BO404)),IF($BO404&gt;0.26 =AND($BO404&lt;=0.91),10^(0.021763+0.28995*LOG($BO404)),1)))</f>
        <v>0.18121297507633286</v>
      </c>
      <c r="BR404" s="497">
        <f ca="1">IF($BP404&gt;0 =AND($BP404&lt;=0.06),10^(0.029806+0.29095*LOG($BP404)),IF($BP404&gt;0.06 =AND($BP404&lt;=0.26),10^(0.013778+0.282597*LOG($BP404)),IF($BP404&gt;0.26 =AND($BP404&lt;=2),10^(0.021763+0.28995*LOG($BP404))," ")))</f>
        <v>0.55424166391167218</v>
      </c>
      <c r="BS404" s="475">
        <f ca="1">BM404*BQ404</f>
        <v>0.97080091862454232</v>
      </c>
      <c r="BT404" s="475">
        <f ca="1">IF(BP404=" "," ",(BM404*BR404))</f>
        <v>2.9692041435708365</v>
      </c>
      <c r="BU404" s="475">
        <f ca="1">IF(BO404&lt;=0.11,0.3827+0.0645*LN(BO404),IF(BO404&lt;=0.21,0.60025+0.15471*LN(BO404),IF(BO404&lt;1,0.225+0.6666666667*BO404,0)))</f>
        <v>-1.1175226217544465E-2</v>
      </c>
      <c r="BV404" s="475">
        <f ca="1">IF(BP404&lt;=0.11,0.3827+0.0645*LN(BP404),IF(BP404&lt;=0.21,0.60025+0.15471*LN(BP404),IF(BP404&lt;1,0.225+0.6666666667*BP404," ")))</f>
        <v>0.25979707361710219</v>
      </c>
      <c r="BW404" s="475" t="e">
        <f ca="1">2*ACOS(1-2*(BU404))</f>
        <v>#NUM!</v>
      </c>
      <c r="BX404" s="475">
        <f ca="1">IF(BP404=" "," ",(2*ACOS(1-2*(BV404))))</f>
        <v>2.1393578469488697</v>
      </c>
      <c r="BY404" s="475" t="e">
        <f ca="1">(1/4)*(1-(SIN(BW404))/BW404)</f>
        <v>#NUM!</v>
      </c>
      <c r="BZ404" s="475">
        <f ca="1">IF(BP404=" "," ",((1/4)*(1-(SIN(BX404))/BX404)))</f>
        <v>0.15152695178112213</v>
      </c>
      <c r="CA404" s="471" t="e">
        <f ca="1">BY404*AZ404/1000</f>
        <v>#NUM!</v>
      </c>
      <c r="CB404" s="471">
        <f ca="1">IF(BP404=" "," ",(BZ404*AZ404/1000))</f>
        <v>6.0610780712448853E-2</v>
      </c>
      <c r="CC404" s="471">
        <f t="shared" ca="1" si="1172"/>
        <v>3.4867046169682867</v>
      </c>
      <c r="CD404" s="471" t="str">
        <f ca="1">IF(CC404="","",IF(CC404&lt;0.7,"F. Subcrítico",IF(AND(CC404&gt;0.7,CC404&lt;1),"F. Subcrítico Inestable",IF(CC404=1,"F. Crítico",IF(AND(CC404&gt;1,CC404&lt;1.5),"F. Supercrítico Inestable",IF(CC404&gt;1.5,"F. Supercrítico",""))))))</f>
        <v>F. Supercrítico</v>
      </c>
      <c r="CE404" s="471" t="e">
        <f ca="1">1000*BL404*CA404/100</f>
        <v>#NUM!</v>
      </c>
      <c r="CF404" s="471">
        <f ca="1">IF(BP404=" "," ",(1000*BL404*CB404/100))</f>
        <v>6.3336154639357902</v>
      </c>
      <c r="CG404" s="471" t="str">
        <f ca="1">IF(BS404&lt;0.45,"No cumple",IF(BS404&gt;5,"No cumple","O.K"))</f>
        <v>O.K</v>
      </c>
      <c r="CH404" s="471" t="str">
        <f ca="1">IF(BT404&lt;0.75,"No cumple",IF(BT404&gt;10,"No cumple","O.K"))</f>
        <v>O.K</v>
      </c>
      <c r="CI404" s="471" t="e">
        <f ca="1">IF(CE404&gt;0.1,"OK","V.C.H.")</f>
        <v>#NUM!</v>
      </c>
      <c r="CJ404" s="471" t="str">
        <f ca="1">IF(CF404&gt;0.2,"OK","V.C.H.")</f>
        <v>OK</v>
      </c>
      <c r="CK404" s="468">
        <f>+BJ404</f>
        <v>965.74159999999995</v>
      </c>
      <c r="CL404" s="482" t="s">
        <v>2507</v>
      </c>
      <c r="CM404" s="482"/>
      <c r="CN404" s="63" t="str">
        <f>IF(B404=1,"dato"," ")</f>
        <v xml:space="preserve"> </v>
      </c>
      <c r="CO404" s="527">
        <f t="shared" si="1179"/>
        <v>15.79</v>
      </c>
      <c r="CP404" s="542">
        <f t="shared" si="1180"/>
        <v>0.13046231792273966</v>
      </c>
      <c r="CQ404" s="482" t="s">
        <v>2508</v>
      </c>
      <c r="CR404" s="204">
        <f>IF(BA404="","",AX404)</f>
        <v>15.79</v>
      </c>
      <c r="CS404" s="486">
        <v>1.2</v>
      </c>
      <c r="CT404" s="486">
        <v>1.2</v>
      </c>
      <c r="CU404" s="23">
        <f>IF($BA404="","",SQRT((BH404-BI404)^2+$CR404^2))</f>
        <v>15.875975560575807</v>
      </c>
      <c r="CV404" s="499" t="s">
        <v>2509</v>
      </c>
      <c r="CW404" s="488" t="str">
        <f ca="1">+IF(BD404&lt;=0.9,"E1",IF(BD404&lt;=2.5,"E2","E3"))</f>
        <v>E2</v>
      </c>
      <c r="CX404" s="204">
        <f ca="1">IF(AND(L404="",H404=""),"",IF(AND(BA404&lt;&gt;4,BA404&lt;&gt;5),VLOOKUP(AY404,'TABLA (2)'!$A$9:$D$43,4),IF(BA404=4,VLOOKUP(AY404,'TABLA (2)'!$A$74:$D$89,4),VLOOKUP(AY404,'TABLA (2)'!$A$51:$D$66,4))))</f>
        <v>6.2E-2</v>
      </c>
      <c r="CY404" s="482"/>
      <c r="CZ404" s="482"/>
      <c r="DA404" s="482"/>
      <c r="DB404" s="490"/>
    </row>
    <row r="405" spans="1:106" ht="15" hidden="1" customHeight="1">
      <c r="A405" s="465"/>
      <c r="B405" s="491"/>
      <c r="C405" s="466"/>
      <c r="D405" s="466"/>
      <c r="E405" s="468"/>
      <c r="F405" s="468"/>
      <c r="G405" s="537">
        <f t="shared" si="1176"/>
        <v>0</v>
      </c>
      <c r="H405" s="537">
        <f t="shared" si="1177"/>
        <v>0</v>
      </c>
      <c r="I405" s="468"/>
      <c r="J405" s="468"/>
      <c r="K405" s="467"/>
      <c r="L405" s="468"/>
      <c r="M405" s="469"/>
      <c r="N405" s="470"/>
      <c r="O405" s="470"/>
      <c r="P405" s="470"/>
      <c r="Q405" s="469">
        <f t="shared" si="1181"/>
        <v>140</v>
      </c>
      <c r="R405" s="471"/>
      <c r="S405" s="471"/>
      <c r="T405" s="471"/>
      <c r="U405" s="471"/>
      <c r="V405" s="471"/>
      <c r="W405" s="471"/>
      <c r="X405" s="471"/>
      <c r="Y405" s="471"/>
      <c r="Z405" s="471"/>
      <c r="AA405" s="471" t="str">
        <f t="shared" si="1033"/>
        <v/>
      </c>
      <c r="AB405" s="471"/>
      <c r="AC405" s="471"/>
      <c r="AD405" s="471"/>
      <c r="AE405" s="471"/>
      <c r="AF405" s="510" t="str">
        <f t="shared" si="1175"/>
        <v/>
      </c>
      <c r="AG405" s="471"/>
      <c r="AH405" s="471"/>
      <c r="AI405" s="471"/>
      <c r="AJ405" s="471"/>
      <c r="AK405" s="472"/>
      <c r="AL405" s="471"/>
      <c r="AM405" s="473">
        <f t="shared" si="1178"/>
        <v>474.44695720875893</v>
      </c>
      <c r="AN405" s="474">
        <f t="shared" si="1171"/>
        <v>10.457944444444443</v>
      </c>
      <c r="AO405" s="474"/>
      <c r="AP405" s="474"/>
      <c r="AQ405" s="475">
        <v>3</v>
      </c>
      <c r="AR405" s="474"/>
      <c r="AS405" s="474"/>
      <c r="AT405" s="471"/>
      <c r="AU405" s="492"/>
      <c r="AV405" s="471"/>
      <c r="AW405" s="471"/>
      <c r="AX405" s="478"/>
      <c r="AY405" s="493"/>
      <c r="AZ405" s="480"/>
      <c r="BA405" s="493"/>
      <c r="BB405" s="478" t="str">
        <f>IF(OR(C405="",D405=""),"",VLOOKUP(C405,'Base de Diseño (2)'!$A$2:$D$330,4,FALSE))</f>
        <v/>
      </c>
      <c r="BC405" s="478" t="str">
        <f>IF(OR(C405="",D405=""),"",VLOOKUP(D405,'Base de Diseño (2)'!$A$2:$D$330,4,FALSE))</f>
        <v/>
      </c>
      <c r="BD405" s="23"/>
      <c r="BE405" s="23"/>
      <c r="BF405" s="494"/>
      <c r="BG405" s="494"/>
      <c r="BH405" s="495"/>
      <c r="BI405" s="495"/>
      <c r="BJ405" s="534">
        <f t="shared" si="1184"/>
        <v>0</v>
      </c>
      <c r="BK405" s="475"/>
      <c r="BL405" s="475"/>
      <c r="BM405" s="475"/>
      <c r="BN405" s="475"/>
      <c r="BO405" s="204"/>
      <c r="BP405" s="496"/>
      <c r="BQ405" s="497"/>
      <c r="BR405" s="497"/>
      <c r="BS405" s="475"/>
      <c r="BT405" s="475"/>
      <c r="BU405" s="475"/>
      <c r="BV405" s="475"/>
      <c r="BW405" s="475"/>
      <c r="BX405" s="475"/>
      <c r="BY405" s="475"/>
      <c r="BZ405" s="475"/>
      <c r="CA405" s="471"/>
      <c r="CB405" s="471"/>
      <c r="CC405" s="471" t="e">
        <f t="shared" si="1172"/>
        <v>#DIV/0!</v>
      </c>
      <c r="CD405" s="471"/>
      <c r="CE405" s="471"/>
      <c r="CF405" s="471"/>
      <c r="CG405" s="471"/>
      <c r="CH405" s="471"/>
      <c r="CI405" s="471"/>
      <c r="CJ405" s="471"/>
      <c r="CK405" s="468"/>
      <c r="CL405" s="482" t="s">
        <v>2507</v>
      </c>
      <c r="CM405" s="482"/>
      <c r="CN405" s="63"/>
      <c r="CO405" s="527">
        <f t="shared" si="1179"/>
        <v>0</v>
      </c>
      <c r="CP405" s="511">
        <f t="shared" si="1180"/>
        <v>0</v>
      </c>
      <c r="CQ405" s="482"/>
      <c r="CR405" s="204"/>
      <c r="CS405" s="486"/>
      <c r="CT405" s="486"/>
      <c r="CU405" s="23"/>
      <c r="CV405" s="499"/>
      <c r="CW405" s="488"/>
      <c r="CX405" s="204"/>
      <c r="CY405" s="482"/>
      <c r="CZ405" s="482"/>
      <c r="DA405" s="482"/>
      <c r="DB405" s="490"/>
    </row>
    <row r="406" spans="1:106" ht="15" hidden="1" customHeight="1">
      <c r="A406" s="465">
        <f>+A404+1</f>
        <v>293</v>
      </c>
      <c r="B406" s="491">
        <v>1</v>
      </c>
      <c r="C406" s="466" t="s">
        <v>2293</v>
      </c>
      <c r="D406" s="466" t="s">
        <v>2294</v>
      </c>
      <c r="E406" s="468">
        <v>0.1428276302</v>
      </c>
      <c r="F406" s="468"/>
      <c r="G406" s="537">
        <f t="shared" si="1176"/>
        <v>0</v>
      </c>
      <c r="H406" s="537">
        <f t="shared" si="1177"/>
        <v>0.1428276302</v>
      </c>
      <c r="I406" s="468">
        <v>0.1428276302</v>
      </c>
      <c r="J406" s="468"/>
      <c r="K406" s="467">
        <f>+IF(B406=1,0,SUMIF($D$22:$D$583,C406,$L$22:$L$580))</f>
        <v>0</v>
      </c>
      <c r="L406" s="468">
        <f>+I406+J406+K406</f>
        <v>0.1428276302</v>
      </c>
      <c r="M406" s="469">
        <f>+$P$12</f>
        <v>242.33666300502347</v>
      </c>
      <c r="N406" s="470">
        <f>M406*E406</f>
        <v>34.612371287583514</v>
      </c>
      <c r="O406" s="470">
        <f>M406*F406</f>
        <v>0</v>
      </c>
      <c r="P406" s="470">
        <f>M406*H406</f>
        <v>34.612371287583514</v>
      </c>
      <c r="Q406" s="469">
        <f t="shared" si="1181"/>
        <v>140</v>
      </c>
      <c r="R406" s="471">
        <f>Q406*P406*$P$14/86400</f>
        <v>4.7672131750259701E-2</v>
      </c>
      <c r="S406" s="471"/>
      <c r="T406" s="471"/>
      <c r="U406" s="471">
        <f>IF(C406="","",T406*$P$17)</f>
        <v>0</v>
      </c>
      <c r="V406" s="471"/>
      <c r="W406" s="471"/>
      <c r="X406" s="471">
        <f>IF(C406="","",W406*$P$16)</f>
        <v>0</v>
      </c>
      <c r="Y406" s="471">
        <f>IF(H406=0,0,$H$15*H406)</f>
        <v>2.8565526040000001E-2</v>
      </c>
      <c r="Z406" s="471">
        <f>IF(L406=0,$H$16*H406,0)</f>
        <v>0</v>
      </c>
      <c r="AA406" s="471">
        <f t="shared" ref="AA406:AA469" si="1185">IF(P406="","",IF(1+((14/(4+(P406/1000)^1/2)))&lt;1.4,1.4,IF(1+((14/(4+(P406/1000)^1/2)))&gt;=3.8,3.8,(1+((14/(4+(P406/1000)^1/2)))))))</f>
        <v>3.8</v>
      </c>
      <c r="AB406" s="471">
        <f>R406*AA406</f>
        <v>0.18115410065098686</v>
      </c>
      <c r="AC406" s="471">
        <f>Q406*(N406+O406)*$P$14/86400</f>
        <v>4.7672131750259701E-2</v>
      </c>
      <c r="AD406" s="471">
        <f t="shared" ref="AD406:AE408" si="1186">IF(E406=0,0,$H$15*(E406+F406))</f>
        <v>2.8565526040000001E-2</v>
      </c>
      <c r="AE406" s="471">
        <f t="shared" si="1186"/>
        <v>0</v>
      </c>
      <c r="AF406" s="510">
        <f t="shared" si="1175"/>
        <v>3.8</v>
      </c>
      <c r="AG406" s="471">
        <f>AC406*AF406</f>
        <v>0.18115410065098686</v>
      </c>
      <c r="AH406" s="471">
        <f>+AD406+AE406+AG406</f>
        <v>0.20971962669098687</v>
      </c>
      <c r="AI406" s="471">
        <f>IF(H406="","",IF(AB406+Y406+Z406+X406+U406&lt;1.5,1.5,AB406+Y406+Z406+X406+U406))</f>
        <v>1.5</v>
      </c>
      <c r="AJ406" s="471">
        <f>+$P$17</f>
        <v>0.75</v>
      </c>
      <c r="AK406" s="472">
        <f>+BK406/100</f>
        <v>8.2877760769734618E-2</v>
      </c>
      <c r="AL406" s="471">
        <f>IF(AJ406=0," ",0.14+0.65*AJ406+0.05*AK406)</f>
        <v>0.63164388803848681</v>
      </c>
      <c r="AM406" s="473">
        <f t="shared" si="1178"/>
        <v>336.32613267542746</v>
      </c>
      <c r="AN406" s="474">
        <f t="shared" si="1171"/>
        <v>5</v>
      </c>
      <c r="AO406" s="474">
        <f>((1/60)*$AX406/$AQ406)</f>
        <v>0.25405555555555553</v>
      </c>
      <c r="AP406" s="474">
        <f>IF(B406=1,IF(($AN406+$AO406)&lt;10,10,IF(($AN406+$AO406)&gt;20,20,($AN406+$AO406))),($AN406+$AO406))</f>
        <v>10</v>
      </c>
      <c r="AQ406" s="475">
        <v>3</v>
      </c>
      <c r="AR406" s="474">
        <f>((1/60)*$AX406/$BT406)</f>
        <v>0.3473081593267513</v>
      </c>
      <c r="AS406" s="474">
        <f>AO406/AR406</f>
        <v>0.73149895484182192</v>
      </c>
      <c r="AT406" s="471" t="str">
        <f>IF(AS406&lt;0.9,"Disminuir vel.",IF(AS406&gt;1.1,"Aumentar vel.","Cumple"))</f>
        <v>Disminuir vel.</v>
      </c>
      <c r="AU406" s="492">
        <f>+I406*AL406*AM406</f>
        <v>30.342065535935639</v>
      </c>
      <c r="AV406" s="471">
        <f>+L406*AL406*AM406</f>
        <v>30.342065535935639</v>
      </c>
      <c r="AW406" s="471">
        <f>ROUND(IF(AI406&gt;(AV406*0.05),(AV406+AI406),AV406),2)</f>
        <v>30.34</v>
      </c>
      <c r="AX406" s="478">
        <f>IF(OR(C406="",D406=""),"",ROUND(((VLOOKUP(C406,'Base de Diseño (2)'!$A$2:$C$333,2,FALSE)-VLOOKUP(D406,'Base de Diseño (2)'!$A$2:$C$333,2,FALSE))^2+(VLOOKUP(C406,'Base de Diseño (2)'!$A$2:$C$333,3,0)-VLOOKUP(D406,'Base de Diseño (2)'!$A$2:$C$333,3,FALSE))^2)^0.5,2))</f>
        <v>45.73</v>
      </c>
      <c r="AY406" s="493">
        <v>8</v>
      </c>
      <c r="AZ406" s="480">
        <f>IF(AND(L406="",H406=""),"",IF(BA406=4,VLOOKUP(AY406,'TABLA (2)'!$A$74:$C$89,2),IF(BA406=5,VLOOKUP(AY406,'TABLA (2)'!$A$51:$B$66,2),IF(BA406=6,VLOOKUP(AY406,'TABLA (2)'!$A$9:$B$43,2)))))</f>
        <v>200</v>
      </c>
      <c r="BA406" s="493">
        <v>6</v>
      </c>
      <c r="BB406" s="478">
        <f>IF(OR(C406="",D406=""),"",VLOOKUP(C406,'Base de Diseño (2)'!$A$2:$D$330,4,FALSE))</f>
        <v>987.45159999999998</v>
      </c>
      <c r="BC406" s="478">
        <f>IF(OR(C406="",D406=""),"",VLOOKUP(D406,'Base de Diseño (2)'!$A$2:$D$330,4,FALSE))</f>
        <v>983.66160000000002</v>
      </c>
      <c r="BD406" s="23">
        <f>+BF406-((AZ406/1000)+CX406)</f>
        <v>1.1629999999999772</v>
      </c>
      <c r="BE406" s="23">
        <f>+BG406-((AZ406/1000)+CX406)</f>
        <v>0.80299999999996363</v>
      </c>
      <c r="BF406" s="494">
        <v>1.3999999999999773</v>
      </c>
      <c r="BG406" s="494">
        <v>1.0399999999999636</v>
      </c>
      <c r="BH406" s="495">
        <f t="shared" ref="BH406:BI408" si="1187">BB406-BF406</f>
        <v>986.05160000000001</v>
      </c>
      <c r="BI406" s="495">
        <f t="shared" si="1187"/>
        <v>982.62160000000006</v>
      </c>
      <c r="BJ406" s="534">
        <f t="shared" si="1184"/>
        <v>0.12000000000000455</v>
      </c>
      <c r="BK406" s="475">
        <f>ABS((BB406-BC406)/AX406)*100</f>
        <v>8.2877760769734614</v>
      </c>
      <c r="BL406" s="475">
        <f>((BH406-BI406)/AX406)*100</f>
        <v>7.5005466870762083</v>
      </c>
      <c r="BM406" s="475">
        <f>IF(BA406=6,(1/0.013)*((AZ406/4000)^(2/3))*((BL406/100)^(0.5)),(1/0.009)*((AZ406/4000)^(2/3))*((BL406/100)^(0.5)))</f>
        <v>2.8592345073655512</v>
      </c>
      <c r="BN406" s="475">
        <f>1000*BM406*PI()*((AZ406/1000/2)^2)</f>
        <v>89.825501232300482</v>
      </c>
      <c r="BO406" s="204">
        <f>AI406/BN406</f>
        <v>1.6699044028942338E-2</v>
      </c>
      <c r="BP406" s="496">
        <f>IF(L406=0," ",AW406/BN406)</f>
        <v>0.33776599722540701</v>
      </c>
      <c r="BQ406" s="497">
        <f>IF($BO406&gt;0 =AND($BO406&lt;=0.06),10^(0.029806+0.29095*LOG($BO406)),IF($BO406&gt;0.06 =AND($BO406&lt;=0.26),10^(0.013778+0.282597*LOG($BO406)),IF($BO406&gt;0.26 =AND($BO406&lt;=0.91),10^(0.021763+0.28995*LOG($BO406)),1)))</f>
        <v>0.32561029207858733</v>
      </c>
      <c r="BR406" s="497">
        <f>IF($BP406&gt;0 =AND($BP406&lt;=0.06),10^(0.029806+0.29095*LOG($BP406)),IF($BP406&gt;0.06 =AND($BP406&lt;=0.26),10^(0.013778+0.282597*LOG($BP406)),IF($BP406&gt;0.26 =AND($BP406&lt;=2),10^(0.021763+0.28995*LOG($BP406))," ")))</f>
        <v>0.76751202424016529</v>
      </c>
      <c r="BS406" s="475">
        <f>BM406*BQ406</f>
        <v>0.93099618306447285</v>
      </c>
      <c r="BT406" s="475">
        <f>IF(BP406=" "," ",(BM406*BR406))</f>
        <v>2.1944968645254659</v>
      </c>
      <c r="BU406" s="475">
        <f>IF(BO406&lt;=0.11,0.3827+0.0645*LN(BO406),IF(BO406&lt;=0.21,0.60025+0.15471*LN(BO406),IF(BO406&lt;1,0.225+0.6666666667*BO406,0)))</f>
        <v>0.1187399545791884</v>
      </c>
      <c r="BV406" s="475">
        <f>IF(BP406&lt;=0.11,0.3827+0.0645*LN(BP406),IF(BP406&lt;=0.21,0.60025+0.15471*LN(BP406),IF(BP406&lt;1,0.225+0.6666666667*BP406," ")))</f>
        <v>0.4501773314948635</v>
      </c>
      <c r="BW406" s="475">
        <f>2*ACOS(1-2*(BU406))</f>
        <v>1.4071936986036195</v>
      </c>
      <c r="BX406" s="475">
        <f>IF(BP406=" "," ",(2*ACOS(1-2*(BV406))))</f>
        <v>2.9419706979452744</v>
      </c>
      <c r="BY406" s="475">
        <f>(1/4)*(1-(SIN(BW406))/BW406)</f>
        <v>7.4713734370077028E-2</v>
      </c>
      <c r="BZ406" s="475">
        <f>IF(BP406=" "," ",((1/4)*(1-(SIN(BX406))/BX406)))</f>
        <v>0.23314915168020128</v>
      </c>
      <c r="CA406" s="471">
        <f>BY406*AZ406/1000</f>
        <v>1.4942746874015405E-2</v>
      </c>
      <c r="CB406" s="471">
        <f>IF(BP406=" "," ",(BZ406*AZ406/1000))</f>
        <v>4.6629830336040255E-2</v>
      </c>
      <c r="CC406" s="471">
        <f t="shared" si="1172"/>
        <v>2.6685843424620623</v>
      </c>
      <c r="CD406" s="471" t="str">
        <f>IF(CC406="","",IF(CC406&lt;0.7,"F. Subcrítico",IF(AND(CC406&gt;0.7,CC406&lt;1),"F. Subcrítico Inestable",IF(CC406=1,"F. Crítico",IF(AND(CC406&gt;1,CC406&lt;1.5),"F. Supercrítico Inestable",IF(CC406&gt;1.5,"F. Supercrítico",""))))))</f>
        <v>F. Supercrítico</v>
      </c>
      <c r="CE406" s="471">
        <f>1000*BL406*CA406/100</f>
        <v>1.1207877056171462</v>
      </c>
      <c r="CF406" s="471">
        <f>IF(BP406=" "," ",(1000*BL406*CB406/100))</f>
        <v>3.4974921944591246</v>
      </c>
      <c r="CG406" s="471" t="str">
        <f>IF(BS406&lt;0.45,"No cumple",IF(BS406&gt;5,"No cumple","O.K"))</f>
        <v>O.K</v>
      </c>
      <c r="CH406" s="471" t="str">
        <f>IF(BT406&lt;0.75,"No cumple",IF(BT406&gt;10,"No cumple","O.K"))</f>
        <v>O.K</v>
      </c>
      <c r="CI406" s="471" t="str">
        <f>IF(CE406&gt;0.1,"OK","V.C.H.")</f>
        <v>OK</v>
      </c>
      <c r="CJ406" s="471" t="str">
        <f>IF(CF406&gt;0.2,"OK","V.C.H.")</f>
        <v>OK</v>
      </c>
      <c r="CK406" s="468">
        <f>+BJ406</f>
        <v>0.12000000000000455</v>
      </c>
      <c r="CL406" s="482" t="s">
        <v>2507</v>
      </c>
      <c r="CM406" s="482"/>
      <c r="CN406" s="63" t="str">
        <f>IF(B406=1,"dato"," ")</f>
        <v>dato</v>
      </c>
      <c r="CO406" s="527">
        <f t="shared" si="1179"/>
        <v>45.73</v>
      </c>
      <c r="CP406" s="542">
        <f t="shared" si="1180"/>
        <v>8.2877760769734618E-2</v>
      </c>
      <c r="CQ406" s="482" t="s">
        <v>2508</v>
      </c>
      <c r="CR406" s="204">
        <f>IF(BA406="","",AX406)</f>
        <v>45.73</v>
      </c>
      <c r="CS406" s="486">
        <v>1.2</v>
      </c>
      <c r="CT406" s="486">
        <v>1.2</v>
      </c>
      <c r="CU406" s="23">
        <f>IF($BA406="","",SQRT((BH406-BI406)^2+$CR406^2))</f>
        <v>45.858453964345543</v>
      </c>
      <c r="CV406" s="499" t="s">
        <v>2509</v>
      </c>
      <c r="CW406" s="488" t="str">
        <f>+IF(BD406&lt;=0.9,"E1",IF(BD406&lt;=2.5,"E2","E3"))</f>
        <v>E2</v>
      </c>
      <c r="CX406" s="204">
        <f>IF(AND(L406="",H406=""),"",IF(AND(BA406&lt;&gt;4,BA406&lt;&gt;5),VLOOKUP(AY406,'TABLA (2)'!$A$9:$D$43,4),IF(BA406=4,VLOOKUP(AY406,'TABLA (2)'!$A$74:$D$89,4),VLOOKUP(AY406,'TABLA (2)'!$A$51:$D$66,4))))</f>
        <v>3.6999999999999998E-2</v>
      </c>
      <c r="CY406" s="482"/>
      <c r="CZ406" s="482"/>
      <c r="DA406" s="482"/>
      <c r="DB406" s="490"/>
    </row>
    <row r="407" spans="1:106" ht="15" hidden="1" customHeight="1">
      <c r="A407" s="465">
        <f>+A406+1</f>
        <v>294</v>
      </c>
      <c r="B407" s="491"/>
      <c r="C407" s="466" t="s">
        <v>2294</v>
      </c>
      <c r="D407" s="466" t="s">
        <v>2295</v>
      </c>
      <c r="E407" s="468">
        <v>7.0926078300000001E-2</v>
      </c>
      <c r="F407" s="468"/>
      <c r="G407" s="537">
        <f t="shared" si="1176"/>
        <v>0.1428276302</v>
      </c>
      <c r="H407" s="537">
        <f t="shared" si="1177"/>
        <v>0.2137537085</v>
      </c>
      <c r="I407" s="468">
        <v>7.0926078300000001E-2</v>
      </c>
      <c r="J407" s="468"/>
      <c r="K407" s="467">
        <f ca="1">+IF(B407=1,0,SUMIF($D$22:$D$583,C407,$L$22:$L$580))</f>
        <v>0.1428276302</v>
      </c>
      <c r="L407" s="468">
        <f ca="1">+I407+J407+K407</f>
        <v>0.2137537085</v>
      </c>
      <c r="M407" s="469">
        <f>+$P$12</f>
        <v>242.33666300502347</v>
      </c>
      <c r="N407" s="470">
        <f>M407*E407</f>
        <v>17.187989135255009</v>
      </c>
      <c r="O407" s="470">
        <f>M407*F407</f>
        <v>0</v>
      </c>
      <c r="P407" s="470">
        <f>M407*H407</f>
        <v>51.800360422838523</v>
      </c>
      <c r="Q407" s="469">
        <f t="shared" si="1181"/>
        <v>140</v>
      </c>
      <c r="R407" s="471">
        <f>Q407*P407*$P$14/86400</f>
        <v>7.1345403823122502E-2</v>
      </c>
      <c r="S407" s="471"/>
      <c r="T407" s="471"/>
      <c r="U407" s="471">
        <f>IF(C407="","",T407*$P$17)</f>
        <v>0</v>
      </c>
      <c r="V407" s="471"/>
      <c r="W407" s="471"/>
      <c r="X407" s="471">
        <f>IF(C407="","",W407*$P$16)</f>
        <v>0</v>
      </c>
      <c r="Y407" s="471">
        <f>IF(H407=0,0,$H$15*H407)</f>
        <v>4.2750741700000004E-2</v>
      </c>
      <c r="Z407" s="471">
        <f ca="1">IF(L407=0,$H$16*H407,0)</f>
        <v>0</v>
      </c>
      <c r="AA407" s="471">
        <f t="shared" si="1185"/>
        <v>3.8</v>
      </c>
      <c r="AB407" s="471">
        <f>R407*AA407</f>
        <v>0.27111253452786549</v>
      </c>
      <c r="AC407" s="471">
        <f>Q407*(N407+O407)*$P$14/86400</f>
        <v>2.3673272072862798E-2</v>
      </c>
      <c r="AD407" s="471">
        <f t="shared" si="1186"/>
        <v>1.418521566E-2</v>
      </c>
      <c r="AE407" s="471">
        <f t="shared" si="1186"/>
        <v>0</v>
      </c>
      <c r="AF407" s="510">
        <f t="shared" si="1175"/>
        <v>3.8</v>
      </c>
      <c r="AG407" s="471">
        <f>AC407*AF407</f>
        <v>8.995843387687863E-2</v>
      </c>
      <c r="AH407" s="471">
        <f>+AD407+AE407+AG407</f>
        <v>0.10414364953687863</v>
      </c>
      <c r="AI407" s="471">
        <f ca="1">IF(H407="","",IF(AB407+Y407+Z407+X407+U407&lt;1.5,1.5,AB407+Y407+Z407+X407+U407))</f>
        <v>1.5</v>
      </c>
      <c r="AJ407" s="471">
        <f>+$P$17</f>
        <v>0.75</v>
      </c>
      <c r="AK407" s="472">
        <f>+BK407/100</f>
        <v>5.4594594594594106E-2</v>
      </c>
      <c r="AL407" s="471">
        <f>IF(AJ407=0," ",0.14+0.65*AJ407+0.05*AK407)</f>
        <v>0.63022972972972979</v>
      </c>
      <c r="AM407" s="473">
        <f t="shared" si="1178"/>
        <v>335.30889916051592</v>
      </c>
      <c r="AN407" s="474">
        <f t="shared" si="1171"/>
        <v>10</v>
      </c>
      <c r="AO407" s="474">
        <f>((1/60)*$AX407/$AQ407)</f>
        <v>0.10277777777777779</v>
      </c>
      <c r="AP407" s="474">
        <f>IF(B407=1,IF(($AN407+$AO407)&lt;10,10,IF(($AN407+$AO407)&gt;20,20,($AN407+$AO407))),($AN407+$AO407))</f>
        <v>10.102777777777778</v>
      </c>
      <c r="AQ407" s="475">
        <v>3</v>
      </c>
      <c r="AR407" s="474">
        <f ca="1">((1/60)*$AX407/$BT407)</f>
        <v>0.13382288907510834</v>
      </c>
      <c r="AS407" s="474">
        <f ca="1">AO407/AR407</f>
        <v>0.76801344290283236</v>
      </c>
      <c r="AT407" s="471" t="str">
        <f ca="1">IF(AS407&lt;0.9,"Disminuir vel.",IF(AS407&gt;1.1,"Aumentar vel.","Cumple"))</f>
        <v>Disminuir vel.</v>
      </c>
      <c r="AU407" s="492">
        <f>+I407*AL407*AM407</f>
        <v>14.988214964821287</v>
      </c>
      <c r="AV407" s="471">
        <f ca="1">+L407*AL407*AM407</f>
        <v>45.170783572362652</v>
      </c>
      <c r="AW407" s="471">
        <f ca="1">ROUND(IF(AI407&gt;(AV407*0.05),(AV407+AI407),AV407),2)</f>
        <v>45.17</v>
      </c>
      <c r="AX407" s="478">
        <f>IF(OR(C407="",D407=""),"",ROUND(((VLOOKUP(C407,'Base de Diseño (2)'!$A$2:$C$333,2,FALSE)-VLOOKUP(D407,'Base de Diseño (2)'!$A$2:$C$333,2,FALSE))^2+(VLOOKUP(C407,'Base de Diseño (2)'!$A$2:$C$333,3,0)-VLOOKUP(D407,'Base de Diseño (2)'!$A$2:$C$333,3,FALSE))^2)^0.5,2))</f>
        <v>18.5</v>
      </c>
      <c r="AY407" s="493">
        <v>8</v>
      </c>
      <c r="AZ407" s="480">
        <f ca="1">IF(AND(L407="",H407=""),"",IF(BA407=4,VLOOKUP(AY407,'TABLA (2)'!$A$74:$C$89,2),IF(BA407=5,VLOOKUP(AY407,'TABLA (2)'!$A$51:$B$66,2),IF(BA407=6,VLOOKUP(AY407,'TABLA (2)'!$A$9:$B$43,2)))))</f>
        <v>200</v>
      </c>
      <c r="BA407" s="493">
        <v>6</v>
      </c>
      <c r="BB407" s="478">
        <f>IF(OR(C407="",D407=""),"",VLOOKUP(C407,'Base de Diseño (2)'!$A$2:$D$330,4,FALSE))</f>
        <v>983.66160000000002</v>
      </c>
      <c r="BC407" s="478">
        <f>IF(OR(C407="",D407=""),"",VLOOKUP(D407,'Base de Diseño (2)'!$A$2:$D$330,4,FALSE))</f>
        <v>982.65160000000003</v>
      </c>
      <c r="BD407" s="23">
        <f ca="1">+BF407-((AZ407/1000)+CX407)</f>
        <v>0.92299999999996818</v>
      </c>
      <c r="BE407" s="23">
        <f ca="1">+BG407-((AZ407/1000)+CX407)</f>
        <v>1.0629999999999544</v>
      </c>
      <c r="BF407" s="494">
        <v>1.1599999999999682</v>
      </c>
      <c r="BG407" s="494">
        <v>1.2999999999999545</v>
      </c>
      <c r="BH407" s="495">
        <f t="shared" si="1187"/>
        <v>982.50160000000005</v>
      </c>
      <c r="BI407" s="495">
        <f t="shared" si="1187"/>
        <v>981.35160000000008</v>
      </c>
      <c r="BJ407" s="534">
        <f t="shared" si="1184"/>
        <v>0.12000000000000455</v>
      </c>
      <c r="BK407" s="475">
        <f>ABS((BB407-BC407)/AX407)*100</f>
        <v>5.4594594594594108</v>
      </c>
      <c r="BL407" s="475">
        <f>((BH407-BI407)/AX407)*100</f>
        <v>6.2162162162160932</v>
      </c>
      <c r="BM407" s="475">
        <f ca="1">IF(BA407=6,(1/0.013)*((AZ407/4000)^(2/3))*((BL407/100)^(0.5)),(1/0.009)*((AZ407/4000)^(2/3))*((BL407/100)^(0.5)))</f>
        <v>2.6029532807799018</v>
      </c>
      <c r="BN407" s="475">
        <f ca="1">1000*BM407*PI()*((AZ407/1000/2)^2)</f>
        <v>81.774189045355911</v>
      </c>
      <c r="BO407" s="204">
        <f ca="1">AI407/BN407</f>
        <v>1.8343196276370623E-2</v>
      </c>
      <c r="BP407" s="496">
        <f ca="1">IF(L407=0," ",AW407/BN407)</f>
        <v>0.55237478386910743</v>
      </c>
      <c r="BQ407" s="497">
        <f ca="1">IF($BO407&gt;0 =AND($BO407&lt;=0.06),10^(0.029806+0.29095*LOG($BO407)),IF($BO407&gt;0.06 =AND($BO407&lt;=0.26),10^(0.013778+0.282597*LOG($BO407)),IF($BO407&gt;0.26 =AND($BO407&lt;=0.91),10^(0.021763+0.28995*LOG($BO407)),1)))</f>
        <v>0.33462936945353006</v>
      </c>
      <c r="BR407" s="497">
        <f ca="1">IF($BP407&gt;0 =AND($BP407&lt;=0.06),10^(0.029806+0.29095*LOG($BP407)),IF($BP407&gt;0.06 =AND($BP407&lt;=0.26),10^(0.013778+0.282597*LOG($BP407)),IF($BP407&gt;0.26 =AND($BP407&lt;=2),10^(0.021763+0.28995*LOG($BP407))," ")))</f>
        <v>0.88516391966057717</v>
      </c>
      <c r="BS407" s="475">
        <f ca="1">BM407*BQ407</f>
        <v>0.8710246150643759</v>
      </c>
      <c r="BT407" s="475">
        <f ca="1">IF(BP407=" "," ",(BM407*BR407))</f>
        <v>2.304040328708497</v>
      </c>
      <c r="BU407" s="475">
        <f ca="1">IF(BO407&lt;=0.11,0.3827+0.0645*LN(BO407),IF(BO407&lt;=0.21,0.60025+0.15471*LN(BO407),IF(BO407&lt;1,0.225+0.6666666667*BO407,0)))</f>
        <v>0.12479697263043699</v>
      </c>
      <c r="BV407" s="475">
        <f ca="1">IF(BP407&lt;=0.11,0.3827+0.0645*LN(BP407),IF(BP407&lt;=0.21,0.60025+0.15471*LN(BP407),IF(BP407&lt;1,0.225+0.6666666667*BP407," ")))</f>
        <v>0.59324985593115076</v>
      </c>
      <c r="BW407" s="475">
        <f ca="1">2*ACOS(1-2*(BU407))</f>
        <v>1.444240273798014</v>
      </c>
      <c r="BX407" s="475">
        <f ca="1">IF(BP407=" "," ",(2*ACOS(1-2*(BV407))))</f>
        <v>3.5167889255831293</v>
      </c>
      <c r="BY407" s="475">
        <f ca="1">(1/4)*(1-(SIN(BW407))/BW407)</f>
        <v>7.8282993555836872E-2</v>
      </c>
      <c r="BZ407" s="475">
        <f ca="1">IF(BP407=" "," ",((1/4)*(1-(SIN(BX407))/BX407)))</f>
        <v>0.27605040865190511</v>
      </c>
      <c r="CA407" s="471">
        <f ca="1">BY407*AZ407/1000</f>
        <v>1.5656598711167376E-2</v>
      </c>
      <c r="CB407" s="471">
        <f ca="1">IF(BP407=" "," ",(BZ407*AZ407/1000))</f>
        <v>5.5210081730381021E-2</v>
      </c>
      <c r="CC407" s="471">
        <f t="shared" ca="1" si="1172"/>
        <v>2.3401546618388731</v>
      </c>
      <c r="CD407" s="471" t="str">
        <f ca="1">IF(CC407="","",IF(CC407&lt;0.7,"F. Subcrítico",IF(AND(CC407&gt;0.7,CC407&lt;1),"F. Subcrítico Inestable",IF(CC407=1,"F. Crítico",IF(AND(CC407&gt;1,CC407&lt;1.5),"F. Supercrítico Inestable",IF(CC407&gt;1.5,"F. Supercrítico",""))))))</f>
        <v>F. Supercrítico</v>
      </c>
      <c r="CE407" s="471">
        <f ca="1">1000*BL407*CA407/100</f>
        <v>0.97324802799146626</v>
      </c>
      <c r="CF407" s="471">
        <f ca="1">IF(BP407=" "," ",(1000*BL407*CB407/100))</f>
        <v>3.4319780535101034</v>
      </c>
      <c r="CG407" s="471" t="str">
        <f ca="1">IF(BS407&lt;0.45,"No cumple",IF(BS407&gt;5,"No cumple","O.K"))</f>
        <v>O.K</v>
      </c>
      <c r="CH407" s="471" t="str">
        <f ca="1">IF(BT407&lt;0.75,"No cumple",IF(BT407&gt;10,"No cumple","O.K"))</f>
        <v>O.K</v>
      </c>
      <c r="CI407" s="471" t="str">
        <f ca="1">IF(CE407&gt;0.1,"OK","V.C.H.")</f>
        <v>OK</v>
      </c>
      <c r="CJ407" s="471" t="str">
        <f ca="1">IF(CF407&gt;0.2,"OK","V.C.H.")</f>
        <v>OK</v>
      </c>
      <c r="CK407" s="468">
        <f>+BJ407</f>
        <v>0.12000000000000455</v>
      </c>
      <c r="CL407" s="482" t="s">
        <v>2507</v>
      </c>
      <c r="CM407" s="482"/>
      <c r="CN407" s="63" t="str">
        <f>IF(B407=1,"dato"," ")</f>
        <v xml:space="preserve"> </v>
      </c>
      <c r="CO407" s="527">
        <f t="shared" si="1179"/>
        <v>18.5</v>
      </c>
      <c r="CP407" s="511">
        <f t="shared" si="1180"/>
        <v>5.4594594594594106E-2</v>
      </c>
      <c r="CQ407" s="482" t="s">
        <v>2508</v>
      </c>
      <c r="CR407" s="204">
        <f>IF(BA407="","",AX407)</f>
        <v>18.5</v>
      </c>
      <c r="CS407" s="486">
        <v>1.2</v>
      </c>
      <c r="CT407" s="486">
        <v>1.2</v>
      </c>
      <c r="CU407" s="23">
        <f>IF($BA407="","",SQRT((BH407-BI407)^2+$CR407^2))</f>
        <v>18.535708780621256</v>
      </c>
      <c r="CV407" s="499" t="s">
        <v>2509</v>
      </c>
      <c r="CW407" s="488" t="str">
        <f ca="1">+IF(BD407&lt;=0.9,"E1",IF(BD407&lt;=2.5,"E2","E3"))</f>
        <v>E2</v>
      </c>
      <c r="CX407" s="204">
        <f ca="1">IF(AND(L407="",H407=""),"",IF(AND(BA407&lt;&gt;4,BA407&lt;&gt;5),VLOOKUP(AY407,'TABLA (2)'!$A$9:$D$43,4),IF(BA407=4,VLOOKUP(AY407,'TABLA (2)'!$A$74:$D$89,4),VLOOKUP(AY407,'TABLA (2)'!$A$51:$D$66,4))))</f>
        <v>3.6999999999999998E-2</v>
      </c>
      <c r="CY407" s="482"/>
      <c r="CZ407" s="482"/>
      <c r="DA407" s="482"/>
      <c r="DB407" s="490"/>
    </row>
    <row r="408" spans="1:106" ht="15" hidden="1" customHeight="1">
      <c r="A408" s="465">
        <f>+A407+1</f>
        <v>295</v>
      </c>
      <c r="B408" s="491"/>
      <c r="C408" s="466" t="s">
        <v>2295</v>
      </c>
      <c r="D408" s="466" t="s">
        <v>2286</v>
      </c>
      <c r="E408" s="468">
        <v>4.83974317E-2</v>
      </c>
      <c r="F408" s="468"/>
      <c r="G408" s="537">
        <f t="shared" si="1176"/>
        <v>0.2137537085</v>
      </c>
      <c r="H408" s="537">
        <f t="shared" si="1177"/>
        <v>0.26215114020000002</v>
      </c>
      <c r="I408" s="468">
        <v>4.83974317E-2</v>
      </c>
      <c r="J408" s="468"/>
      <c r="K408" s="467">
        <f ca="1">+IF(B408=1,0,SUMIF($D$22:$D$583,C408,$L$22:$L$580))</f>
        <v>0.2137537085</v>
      </c>
      <c r="L408" s="468">
        <f ca="1">+I408+J408+K408</f>
        <v>0.26215114020000002</v>
      </c>
      <c r="M408" s="469">
        <f>+$P$12</f>
        <v>242.33666300502347</v>
      </c>
      <c r="N408" s="470">
        <f>M408*E408</f>
        <v>11.72847209619154</v>
      </c>
      <c r="O408" s="470">
        <f>M408*F408</f>
        <v>0</v>
      </c>
      <c r="P408" s="470">
        <f>M408*H408</f>
        <v>63.528832519030068</v>
      </c>
      <c r="Q408" s="469">
        <f t="shared" si="1181"/>
        <v>140</v>
      </c>
      <c r="R408" s="471">
        <f>Q408*P408*$P$14/86400</f>
        <v>8.7499202196349282E-2</v>
      </c>
      <c r="S408" s="471"/>
      <c r="T408" s="471"/>
      <c r="U408" s="471">
        <f>IF(C408="","",T408*$P$17)</f>
        <v>0</v>
      </c>
      <c r="V408" s="471"/>
      <c r="W408" s="471"/>
      <c r="X408" s="471">
        <f>IF(C408="","",W408*$P$16)</f>
        <v>0</v>
      </c>
      <c r="Y408" s="471">
        <f>IF(H408=0,0,$H$15*H408)</f>
        <v>5.2430228040000006E-2</v>
      </c>
      <c r="Z408" s="471">
        <f ca="1">IF(L408=0,$H$16*H408,0)</f>
        <v>0</v>
      </c>
      <c r="AA408" s="471">
        <f t="shared" si="1185"/>
        <v>3.8</v>
      </c>
      <c r="AB408" s="471">
        <f>R408*AA408</f>
        <v>0.33249696834612724</v>
      </c>
      <c r="AC408" s="471">
        <f>Q408*(N408+O408)*$P$14/86400</f>
        <v>1.6153798373226776E-2</v>
      </c>
      <c r="AD408" s="471">
        <f t="shared" si="1186"/>
        <v>9.6794863400000014E-3</v>
      </c>
      <c r="AE408" s="471">
        <f t="shared" si="1186"/>
        <v>0</v>
      </c>
      <c r="AF408" s="510">
        <f t="shared" si="1175"/>
        <v>3.8</v>
      </c>
      <c r="AG408" s="471">
        <f>AC408*AF408</f>
        <v>6.1384433818261745E-2</v>
      </c>
      <c r="AH408" s="471">
        <f>+AD408+AE408+AG408</f>
        <v>7.106392015826174E-2</v>
      </c>
      <c r="AI408" s="471">
        <f ca="1">IF(H408="","",IF(AB408+Y408+Z408+X408+U408&lt;1.5,1.5,AB408+Y408+Z408+X408+U408))</f>
        <v>1.5</v>
      </c>
      <c r="AJ408" s="471">
        <f>+$P$17</f>
        <v>0.75</v>
      </c>
      <c r="AK408" s="472">
        <f>+BK408/100</f>
        <v>4.7637490317583978E-2</v>
      </c>
      <c r="AL408" s="471">
        <f>IF(AJ408=0," ",0.14+0.65*AJ408+0.05*AK408)</f>
        <v>0.62988187451587929</v>
      </c>
      <c r="AM408" s="473">
        <f t="shared" si="1178"/>
        <v>333.89898657976124</v>
      </c>
      <c r="AN408" s="474">
        <f t="shared" si="1171"/>
        <v>10.102777777777778</v>
      </c>
      <c r="AO408" s="474">
        <f>((1/60)*$AX408/$AQ408)</f>
        <v>0.14344444444444446</v>
      </c>
      <c r="AP408" s="474">
        <f>IF(B408=1,IF(($AN408+$AO408)&lt;10,10,IF(($AN408+$AO408)&gt;20,20,($AN408+$AO408))),($AN408+$AO408))</f>
        <v>10.246222222222222</v>
      </c>
      <c r="AQ408" s="475">
        <v>3</v>
      </c>
      <c r="AR408" s="474">
        <f ca="1">((1/60)*$AX408/$BT408)</f>
        <v>0.18946996545387787</v>
      </c>
      <c r="AS408" s="474">
        <f ca="1">AO408/AR408</f>
        <v>0.75708276032468447</v>
      </c>
      <c r="AT408" s="471" t="str">
        <f ca="1">IF(AS408&lt;0.9,"Disminuir vel.",IF(AS408&gt;1.1,"Aumentar vel.","Cumple"))</f>
        <v>Disminuir vel.</v>
      </c>
      <c r="AU408" s="492">
        <f>+I408*AL408*AM408</f>
        <v>10.1787987500408</v>
      </c>
      <c r="AV408" s="471">
        <f ca="1">+L408*AL408*AM408</f>
        <v>55.13482026752942</v>
      </c>
      <c r="AW408" s="471">
        <f ca="1">ROUND(IF(AI408&gt;(AV408*0.05),(AV408+AI408),AV408),2)</f>
        <v>55.13</v>
      </c>
      <c r="AX408" s="478">
        <f>IF(OR(C408="",D408=""),"",ROUND(((VLOOKUP(C408,'Base de Diseño (2)'!$A$2:$C$333,2,FALSE)-VLOOKUP(D408,'Base de Diseño (2)'!$A$2:$C$333,2,FALSE))^2+(VLOOKUP(C408,'Base de Diseño (2)'!$A$2:$C$333,3,0)-VLOOKUP(D408,'Base de Diseño (2)'!$A$2:$C$333,3,FALSE))^2)^0.5,2))</f>
        <v>25.82</v>
      </c>
      <c r="AY408" s="493">
        <v>8</v>
      </c>
      <c r="AZ408" s="480">
        <f ca="1">IF(AND(L408="",H408=""),"",IF(BA408=4,VLOOKUP(AY408,'TABLA (2)'!$A$74:$C$89,2),IF(BA408=5,VLOOKUP(AY408,'TABLA (2)'!$A$51:$B$66,2),IF(BA408=6,VLOOKUP(AY408,'TABLA (2)'!$A$9:$B$43,2)))))</f>
        <v>200</v>
      </c>
      <c r="BA408" s="493">
        <v>6</v>
      </c>
      <c r="BB408" s="478">
        <f>IF(OR(C408="",D408=""),"",VLOOKUP(C408,'Base de Diseño (2)'!$A$2:$D$330,4,FALSE))</f>
        <v>982.65160000000003</v>
      </c>
      <c r="BC408" s="478">
        <f>IF(OR(C408="",D408=""),"",VLOOKUP(D408,'Base de Diseño (2)'!$A$2:$D$330,4,FALSE))</f>
        <v>981.42160000000001</v>
      </c>
      <c r="BD408" s="23">
        <f ca="1">+BF408-((AZ408/1000)+CX408)</f>
        <v>1.182999999999959</v>
      </c>
      <c r="BE408" s="23">
        <f ca="1">+BG408-((AZ408/1000)+CX408)</f>
        <v>1.2629999999999999</v>
      </c>
      <c r="BF408" s="494">
        <v>1.4199999999999591</v>
      </c>
      <c r="BG408" s="494">
        <v>1.5</v>
      </c>
      <c r="BH408" s="495">
        <f t="shared" si="1187"/>
        <v>981.23160000000007</v>
      </c>
      <c r="BI408" s="495">
        <f t="shared" si="1187"/>
        <v>979.92160000000001</v>
      </c>
      <c r="BJ408" s="534">
        <f t="shared" si="1184"/>
        <v>979.92160000000001</v>
      </c>
      <c r="BK408" s="475">
        <f>ABS((BB408-BC408)/AX408)*100</f>
        <v>4.7637490317583975</v>
      </c>
      <c r="BL408" s="475">
        <f>((BH408-BI408)/AX408)*100</f>
        <v>5.0735863671574712</v>
      </c>
      <c r="BM408" s="475">
        <f ca="1">IF(BA408=6,(1/0.013)*((AZ408/4000)^(2/3))*((BL408/100)^(0.5)),(1/0.009)*((AZ408/4000)^(2/3))*((BL408/100)^(0.5)))</f>
        <v>2.3515858924081323</v>
      </c>
      <c r="BN408" s="475">
        <f ca="1">1000*BM408*PI()*((AZ408/1000/2)^2)</f>
        <v>73.87724963874787</v>
      </c>
      <c r="BO408" s="204">
        <f ca="1">AI408/BN408</f>
        <v>2.0303950232782694E-2</v>
      </c>
      <c r="BP408" s="496">
        <f ca="1">IF(L408=0," ",AW408/BN408)</f>
        <v>0.74623785088887329</v>
      </c>
      <c r="BQ408" s="497">
        <f ca="1">IF($BO408&gt;0 =AND($BO408&lt;=0.06),10^(0.029806+0.29095*LOG($BO408)),IF($BO408&gt;0.06 =AND($BO408&lt;=0.26),10^(0.013778+0.282597*LOG($BO408)),IF($BO408&gt;0.26 =AND($BO408&lt;=0.91),10^(0.021763+0.28995*LOG($BO408)),1)))</f>
        <v>0.34466450337019461</v>
      </c>
      <c r="BR408" s="497">
        <f ca="1">IF($BP408&gt;0 =AND($BP408&lt;=0.06),10^(0.029806+0.29095*LOG($BP408)),IF($BP408&gt;0.06 =AND($BP408&lt;=0.26),10^(0.013778+0.282597*LOG($BP408)),IF($BP408&gt;0.26 =AND($BP408&lt;=2),10^(0.021763+0.28995*LOG($BP408))," ")))</f>
        <v>0.96583683730479875</v>
      </c>
      <c r="BS408" s="475">
        <f ca="1">BM408*BQ408</f>
        <v>0.81050818373920486</v>
      </c>
      <c r="BT408" s="475">
        <f ca="1">IF(BP408=" "," ",(BM408*BR408))</f>
        <v>2.2712482809740533</v>
      </c>
      <c r="BU408" s="475">
        <f ca="1">IF(BO408&lt;=0.11,0.3827+0.0645*LN(BO408),IF(BO408&lt;=0.21,0.60025+0.15471*LN(BO408),IF(BO408&lt;1,0.225+0.6666666667*BO408,0)))</f>
        <v>0.13134738166694104</v>
      </c>
      <c r="BV408" s="475">
        <f ca="1">IF(BP408&lt;=0.11,0.3827+0.0645*LN(BP408),IF(BP408&lt;=0.21,0.60025+0.15471*LN(BP408),IF(BP408&lt;1,0.225+0.6666666667*BP408," ")))</f>
        <v>0.72249190061745672</v>
      </c>
      <c r="BW408" s="475">
        <f ca="1">2*ACOS(1-2*(BU408))</f>
        <v>1.4834472683126232</v>
      </c>
      <c r="BX408" s="475">
        <f ca="1">IF(BP408=" "," ",(2*ACOS(1-2*(BV408))))</f>
        <v>4.0639049985103455</v>
      </c>
      <c r="BY408" s="475">
        <f ca="1">(1/4)*(1-(SIN(BW408))/BW408)</f>
        <v>8.2116126190091149E-2</v>
      </c>
      <c r="BZ408" s="475">
        <f ca="1">IF(BP408=" "," ",((1/4)*(1-(SIN(BX408))/BX408)))</f>
        <v>0.29902921926240744</v>
      </c>
      <c r="CA408" s="471">
        <f ca="1">BY408*AZ408/1000</f>
        <v>1.642322523801823E-2</v>
      </c>
      <c r="CB408" s="471">
        <f ca="1">IF(BP408=" "," ",(BZ408*AZ408/1000))</f>
        <v>5.9805843852481486E-2</v>
      </c>
      <c r="CC408" s="471">
        <f t="shared" ca="1" si="1172"/>
        <v>1.9685374452260223</v>
      </c>
      <c r="CD408" s="471" t="str">
        <f ca="1">IF(CC408="","",IF(CC408&lt;0.7,"F. Subcrítico",IF(AND(CC408&gt;0.7,CC408&lt;1),"F. Subcrítico Inestable",IF(CC408=1,"F. Crítico",IF(AND(CC408&gt;1,CC408&lt;1.5),"F. Supercrítico Inestable",IF(CC408&gt;1.5,"F. Supercrítico",""))))))</f>
        <v>F. Supercrítico</v>
      </c>
      <c r="CE408" s="471">
        <f ca="1">1000*BL408*CA408/100</f>
        <v>0.83324651672365813</v>
      </c>
      <c r="CF408" s="471">
        <f ca="1">IF(BP408=" "," ",(1000*BL408*CB408/100))</f>
        <v>3.0343011404629858</v>
      </c>
      <c r="CG408" s="471" t="str">
        <f ca="1">IF(BS408&lt;0.45,"No cumple",IF(BS408&gt;5,"No cumple","O.K"))</f>
        <v>O.K</v>
      </c>
      <c r="CH408" s="471" t="str">
        <f ca="1">IF(BT408&lt;0.75,"No cumple",IF(BT408&gt;10,"No cumple","O.K"))</f>
        <v>O.K</v>
      </c>
      <c r="CI408" s="471" t="str">
        <f ca="1">IF(CE408&gt;0.1,"OK","V.C.H.")</f>
        <v>OK</v>
      </c>
      <c r="CJ408" s="471" t="str">
        <f ca="1">IF(CF408&gt;0.2,"OK","V.C.H.")</f>
        <v>OK</v>
      </c>
      <c r="CK408" s="468">
        <f>+BJ408</f>
        <v>979.92160000000001</v>
      </c>
      <c r="CL408" s="482" t="s">
        <v>2507</v>
      </c>
      <c r="CM408" s="482"/>
      <c r="CN408" s="63" t="str">
        <f>IF(B408=1,"dato"," ")</f>
        <v xml:space="preserve"> </v>
      </c>
      <c r="CO408" s="527">
        <f t="shared" si="1179"/>
        <v>25.82</v>
      </c>
      <c r="CP408" s="542">
        <f t="shared" si="1180"/>
        <v>4.7637490317583978E-2</v>
      </c>
      <c r="CQ408" s="482" t="s">
        <v>2508</v>
      </c>
      <c r="CR408" s="204">
        <f>IF(BA408="","",AX408)</f>
        <v>25.82</v>
      </c>
      <c r="CS408" s="486">
        <v>1.2</v>
      </c>
      <c r="CT408" s="486">
        <v>1.2</v>
      </c>
      <c r="CU408" s="23">
        <f>IF($BA408="","",SQRT((BH408-BI408)^2+$CR408^2))</f>
        <v>25.853210632337337</v>
      </c>
      <c r="CV408" s="499" t="s">
        <v>2509</v>
      </c>
      <c r="CW408" s="488" t="str">
        <f ca="1">+IF(BD408&lt;=0.9,"E1",IF(BD408&lt;=2.5,"E2","E3"))</f>
        <v>E2</v>
      </c>
      <c r="CX408" s="204">
        <f ca="1">IF(AND(L408="",H408=""),"",IF(AND(BA408&lt;&gt;4,BA408&lt;&gt;5),VLOOKUP(AY408,'TABLA (2)'!$A$9:$D$43,4),IF(BA408=4,VLOOKUP(AY408,'TABLA (2)'!$A$74:$D$89,4),VLOOKUP(AY408,'TABLA (2)'!$A$51:$D$66,4))))</f>
        <v>3.6999999999999998E-2</v>
      </c>
      <c r="CY408" s="482"/>
      <c r="CZ408" s="482"/>
      <c r="DA408" s="482"/>
      <c r="DB408" s="490"/>
    </row>
    <row r="409" spans="1:106" ht="15" hidden="1" customHeight="1">
      <c r="A409" s="465"/>
      <c r="B409" s="491"/>
      <c r="C409" s="466"/>
      <c r="D409" s="466"/>
      <c r="E409" s="468"/>
      <c r="F409" s="468"/>
      <c r="G409" s="537">
        <f t="shared" si="1176"/>
        <v>0</v>
      </c>
      <c r="H409" s="537">
        <f t="shared" si="1177"/>
        <v>0</v>
      </c>
      <c r="I409" s="468"/>
      <c r="J409" s="468"/>
      <c r="K409" s="467"/>
      <c r="L409" s="468"/>
      <c r="M409" s="469"/>
      <c r="N409" s="470"/>
      <c r="O409" s="470"/>
      <c r="P409" s="470"/>
      <c r="Q409" s="469">
        <f t="shared" si="1181"/>
        <v>140</v>
      </c>
      <c r="R409" s="471"/>
      <c r="S409" s="471"/>
      <c r="T409" s="471"/>
      <c r="U409" s="471"/>
      <c r="V409" s="471"/>
      <c r="W409" s="471"/>
      <c r="X409" s="471"/>
      <c r="Y409" s="471"/>
      <c r="Z409" s="471"/>
      <c r="AA409" s="471" t="str">
        <f t="shared" si="1185"/>
        <v/>
      </c>
      <c r="AB409" s="471"/>
      <c r="AC409" s="471"/>
      <c r="AD409" s="471"/>
      <c r="AE409" s="471"/>
      <c r="AF409" s="510" t="str">
        <f t="shared" si="1175"/>
        <v/>
      </c>
      <c r="AG409" s="471"/>
      <c r="AH409" s="471"/>
      <c r="AI409" s="471"/>
      <c r="AJ409" s="471"/>
      <c r="AK409" s="472"/>
      <c r="AL409" s="471"/>
      <c r="AM409" s="473">
        <f t="shared" si="1178"/>
        <v>474.44695720875893</v>
      </c>
      <c r="AN409" s="474">
        <f t="shared" si="1171"/>
        <v>10.246222222222222</v>
      </c>
      <c r="AO409" s="474"/>
      <c r="AP409" s="474"/>
      <c r="AQ409" s="475">
        <v>3</v>
      </c>
      <c r="AR409" s="474"/>
      <c r="AS409" s="474"/>
      <c r="AT409" s="471"/>
      <c r="AU409" s="492"/>
      <c r="AV409" s="471"/>
      <c r="AW409" s="471"/>
      <c r="AX409" s="478"/>
      <c r="AY409" s="493"/>
      <c r="AZ409" s="480"/>
      <c r="BA409" s="493"/>
      <c r="BB409" s="478" t="str">
        <f>IF(OR(C409="",D409=""),"",VLOOKUP(C409,'Base de Diseño (2)'!$A$2:$D$330,4,FALSE))</f>
        <v/>
      </c>
      <c r="BC409" s="478" t="str">
        <f>IF(OR(C409="",D409=""),"",VLOOKUP(D409,'Base de Diseño (2)'!$A$2:$D$330,4,FALSE))</f>
        <v/>
      </c>
      <c r="BD409" s="23"/>
      <c r="BE409" s="23"/>
      <c r="BF409" s="494"/>
      <c r="BG409" s="494"/>
      <c r="BH409" s="495"/>
      <c r="BI409" s="495"/>
      <c r="BJ409" s="534">
        <f t="shared" si="1184"/>
        <v>0</v>
      </c>
      <c r="BK409" s="475"/>
      <c r="BL409" s="475"/>
      <c r="BM409" s="475"/>
      <c r="BN409" s="475"/>
      <c r="BO409" s="204"/>
      <c r="BP409" s="496"/>
      <c r="BQ409" s="497"/>
      <c r="BR409" s="497"/>
      <c r="BS409" s="475"/>
      <c r="BT409" s="475"/>
      <c r="BU409" s="475"/>
      <c r="BV409" s="475"/>
      <c r="BW409" s="475"/>
      <c r="BX409" s="475"/>
      <c r="BY409" s="475"/>
      <c r="BZ409" s="475"/>
      <c r="CA409" s="471"/>
      <c r="CB409" s="471"/>
      <c r="CC409" s="471" t="e">
        <f t="shared" si="1172"/>
        <v>#DIV/0!</v>
      </c>
      <c r="CD409" s="471"/>
      <c r="CE409" s="471"/>
      <c r="CF409" s="471"/>
      <c r="CG409" s="471"/>
      <c r="CH409" s="471"/>
      <c r="CI409" s="471"/>
      <c r="CJ409" s="471"/>
      <c r="CK409" s="468"/>
      <c r="CL409" s="482" t="s">
        <v>2507</v>
      </c>
      <c r="CM409" s="482"/>
      <c r="CN409" s="63"/>
      <c r="CO409" s="527">
        <f t="shared" si="1179"/>
        <v>0</v>
      </c>
      <c r="CP409" s="511">
        <f t="shared" si="1180"/>
        <v>0</v>
      </c>
      <c r="CQ409" s="482"/>
      <c r="CR409" s="204"/>
      <c r="CS409" s="486"/>
      <c r="CT409" s="486"/>
      <c r="CU409" s="23"/>
      <c r="CV409" s="499"/>
      <c r="CW409" s="488"/>
      <c r="CX409" s="204"/>
      <c r="CY409" s="482"/>
      <c r="CZ409" s="482"/>
      <c r="DA409" s="482"/>
      <c r="DB409" s="490"/>
    </row>
    <row r="410" spans="1:106" ht="15" hidden="1" customHeight="1">
      <c r="A410" s="465">
        <f>+A408+1</f>
        <v>296</v>
      </c>
      <c r="B410" s="491">
        <v>1</v>
      </c>
      <c r="C410" s="466" t="s">
        <v>2291</v>
      </c>
      <c r="D410" s="466" t="s">
        <v>2292</v>
      </c>
      <c r="E410" s="468">
        <v>0.1961198066</v>
      </c>
      <c r="F410" s="468"/>
      <c r="G410" s="537">
        <f t="shared" si="1176"/>
        <v>0</v>
      </c>
      <c r="H410" s="537">
        <f t="shared" si="1177"/>
        <v>0.1961198066</v>
      </c>
      <c r="I410" s="468">
        <v>0.1961198066</v>
      </c>
      <c r="J410" s="468"/>
      <c r="K410" s="467">
        <f>+IF(B410=1,0,SUMIF($D$22:$D$583,C410,$L$22:$L$580))</f>
        <v>0</v>
      </c>
      <c r="L410" s="468">
        <f>+I410+J410+K410</f>
        <v>0.1961198066</v>
      </c>
      <c r="M410" s="469">
        <f>+$P$12</f>
        <v>242.33666300502347</v>
      </c>
      <c r="N410" s="470">
        <f>M410*E410</f>
        <v>47.527019480634578</v>
      </c>
      <c r="O410" s="470">
        <f>M410*F410</f>
        <v>0</v>
      </c>
      <c r="P410" s="470">
        <f>M410*H410</f>
        <v>47.527019480634578</v>
      </c>
      <c r="Q410" s="469">
        <f t="shared" si="1181"/>
        <v>140</v>
      </c>
      <c r="R410" s="471">
        <f>Q410*P410*$P$14/86400</f>
        <v>6.5459668034670307E-2</v>
      </c>
      <c r="S410" s="471"/>
      <c r="T410" s="471"/>
      <c r="U410" s="471">
        <f>IF(C410="","",T410*$P$17)</f>
        <v>0</v>
      </c>
      <c r="V410" s="471"/>
      <c r="W410" s="471"/>
      <c r="X410" s="471">
        <f>IF(C410="","",W410*$P$16)</f>
        <v>0</v>
      </c>
      <c r="Y410" s="471">
        <f>IF(H410=0,0,$H$15*H410)</f>
        <v>3.922396132E-2</v>
      </c>
      <c r="Z410" s="471">
        <f>IF(L410=0,$H$16*H410,0)</f>
        <v>0</v>
      </c>
      <c r="AA410" s="471">
        <f t="shared" si="1185"/>
        <v>3.8</v>
      </c>
      <c r="AB410" s="471">
        <f>R410*AA410</f>
        <v>0.24874673853174714</v>
      </c>
      <c r="AC410" s="471">
        <f>Q410*(N410+O410)*$P$14/86400</f>
        <v>6.5459668034670307E-2</v>
      </c>
      <c r="AD410" s="471">
        <f>IF(E410=0,0,$H$15*(E410+F410))</f>
        <v>3.922396132E-2</v>
      </c>
      <c r="AE410" s="471">
        <f>IF(F410=0,0,$H$15*(F410+G410))</f>
        <v>0</v>
      </c>
      <c r="AF410" s="510">
        <f t="shared" si="1175"/>
        <v>3.8</v>
      </c>
      <c r="AG410" s="471">
        <f>AC410*AF410</f>
        <v>0.24874673853174714</v>
      </c>
      <c r="AH410" s="471">
        <f>+AD410+AE410+AG410</f>
        <v>0.28797069985174717</v>
      </c>
      <c r="AI410" s="471">
        <f>IF(H410="","",IF(AB410+Y410+Z410+X410+U410&lt;1.5,1.5,AB410+Y410+Z410+X410+U410))</f>
        <v>1.5</v>
      </c>
      <c r="AJ410" s="471">
        <f>+$P$17</f>
        <v>0.75</v>
      </c>
      <c r="AK410" s="472">
        <f>+BK410/100</f>
        <v>0.11826572225799752</v>
      </c>
      <c r="AL410" s="471">
        <f>IF(AJ410=0," ",0.14+0.65*AJ410+0.05*AK410)</f>
        <v>0.63341328611289993</v>
      </c>
      <c r="AM410" s="473">
        <f t="shared" si="1178"/>
        <v>336.32613267542746</v>
      </c>
      <c r="AN410" s="474">
        <f t="shared" si="1171"/>
        <v>5</v>
      </c>
      <c r="AO410" s="474">
        <f>((1/60)*$AX410/$AQ410)</f>
        <v>0.25883333333333336</v>
      </c>
      <c r="AP410" s="474">
        <f>IF(B410=1,IF(($AN410+$AO410)&lt;10,10,IF(($AN410+$AO410)&gt;20,20,($AN410+$AO410))),($AN410+$AO410))</f>
        <v>10</v>
      </c>
      <c r="AQ410" s="475">
        <v>3</v>
      </c>
      <c r="AR410" s="474">
        <f>((1/60)*$AX410/$BT410)</f>
        <v>0.27891035151833443</v>
      </c>
      <c r="AS410" s="474">
        <f>AO410/AR410</f>
        <v>0.9280162314675463</v>
      </c>
      <c r="AT410" s="471" t="str">
        <f>IF(AS410&lt;0.9,"Disminuir vel.",IF(AS410&gt;1.1,"Aumentar vel.","Cumple"))</f>
        <v>Cumple</v>
      </c>
      <c r="AU410" s="492">
        <f>+I410*AL410*AM410</f>
        <v>41.780077229343753</v>
      </c>
      <c r="AV410" s="471">
        <f>+L410*AL410*AM410</f>
        <v>41.780077229343753</v>
      </c>
      <c r="AW410" s="471">
        <f>ROUND(IF(AI410&gt;(AV410*0.05),(AV410+AI410),AV410),2)</f>
        <v>41.78</v>
      </c>
      <c r="AX410" s="478">
        <f>IF(OR(C410="",D410=""),"",ROUND(((VLOOKUP(C410,'Base de Diseño (2)'!$A$2:$C$333,2,FALSE)-VLOOKUP(D410,'Base de Diseño (2)'!$A$2:$C$333,2,FALSE))^2+(VLOOKUP(C410,'Base de Diseño (2)'!$A$2:$C$333,3,0)-VLOOKUP(D410,'Base de Diseño (2)'!$A$2:$C$333,3,FALSE))^2)^0.5,2))</f>
        <v>46.59</v>
      </c>
      <c r="AY410" s="493">
        <v>8</v>
      </c>
      <c r="AZ410" s="480">
        <f>IF(AND(L410="",H410=""),"",IF(BA410=4,VLOOKUP(AY410,'TABLA (2)'!$A$74:$C$89,2),IF(BA410=5,VLOOKUP(AY410,'TABLA (2)'!$A$51:$B$66,2),IF(BA410=6,VLOOKUP(AY410,'TABLA (2)'!$A$9:$B$43,2)))))</f>
        <v>200</v>
      </c>
      <c r="BA410" s="493">
        <v>6</v>
      </c>
      <c r="BB410" s="478">
        <f>IF(OR(C410="",D410=""),"",VLOOKUP(C410,'Base de Diseño (2)'!$A$2:$D$330,4,FALSE))</f>
        <v>987.47160000000008</v>
      </c>
      <c r="BC410" s="478">
        <f>IF(OR(C410="",D410=""),"",VLOOKUP(D410,'Base de Diseño (2)'!$A$2:$D$330,4,FALSE))</f>
        <v>981.96159999999998</v>
      </c>
      <c r="BD410" s="23">
        <f>+BF410-((AZ410/1000)+CX410)</f>
        <v>1.003000000000009</v>
      </c>
      <c r="BE410" s="23">
        <f>+BG410-((AZ410/1000)+CX410)</f>
        <v>0.75300000000000911</v>
      </c>
      <c r="BF410" s="494">
        <v>1.2400000000000091</v>
      </c>
      <c r="BG410" s="494">
        <v>0.99000000000000909</v>
      </c>
      <c r="BH410" s="495">
        <f>BB410-BF410</f>
        <v>986.23160000000007</v>
      </c>
      <c r="BI410" s="495">
        <f>BC410-BG410</f>
        <v>980.97159999999997</v>
      </c>
      <c r="BJ410" s="534">
        <f t="shared" si="1184"/>
        <v>5.999999999994543E-2</v>
      </c>
      <c r="BK410" s="475">
        <f>ABS((BB410-BC410)/AX410)*100</f>
        <v>11.826572225799751</v>
      </c>
      <c r="BL410" s="475">
        <f>((BH410-BI410)/AX410)*100</f>
        <v>11.289976389783439</v>
      </c>
      <c r="BM410" s="475">
        <f>IF(BA410=6,(1/0.013)*((AZ410/4000)^(2/3))*((BL410/100)^(0.5)),(1/0.009)*((AZ410/4000)^(2/3))*((BL410/100)^(0.5)))</f>
        <v>3.507921240794595</v>
      </c>
      <c r="BN410" s="475">
        <f>1000*BM410*PI()*((AZ410/1000/2)^2)</f>
        <v>110.20459599451894</v>
      </c>
      <c r="BO410" s="204">
        <f>AI410/BN410</f>
        <v>1.361104758348375E-2</v>
      </c>
      <c r="BP410" s="496">
        <f>IF(L410=0," ",AW410/BN410)</f>
        <v>0.37911304535863405</v>
      </c>
      <c r="BQ410" s="497">
        <f>IF($BO410&gt;0 =AND($BO410&lt;=0.06),10^(0.029806+0.29095*LOG($BO410)),IF($BO410&gt;0.06 =AND($BO410&lt;=0.26),10^(0.013778+0.282597*LOG($BO410)),IF($BO410&gt;0.26 =AND($BO410&lt;=0.91),10^(0.021763+0.28995*LOG($BO410)),1)))</f>
        <v>0.30680451544951853</v>
      </c>
      <c r="BR410" s="497">
        <f>IF($BP410&gt;0 =AND($BP410&lt;=0.06),10^(0.029806+0.29095*LOG($BP410)),IF($BP410&gt;0.06 =AND($BP410&lt;=0.26),10^(0.013778+0.282597*LOG($BP410)),IF($BP410&gt;0.26 =AND($BP410&lt;=2),10^(0.021763+0.28995*LOG($BP410))," ")))</f>
        <v>0.79364629457074465</v>
      </c>
      <c r="BS410" s="475">
        <f>BM410*BQ410</f>
        <v>1.0762460765170596</v>
      </c>
      <c r="BT410" s="475">
        <f>IF(BP410=" "," ",(BM410*BR410))</f>
        <v>2.7840486944026392</v>
      </c>
      <c r="BU410" s="475">
        <f>IF(BO410&lt;=0.11,0.3827+0.0645*LN(BO410),IF(BO410&lt;=0.21,0.60025+0.15471*LN(BO410),IF(BO410&lt;1,0.225+0.6666666667*BO410,0)))</f>
        <v>0.10555165965761709</v>
      </c>
      <c r="BV410" s="475">
        <f>IF(BP410&lt;=0.11,0.3827+0.0645*LN(BP410),IF(BP410&lt;=0.21,0.60025+0.15471*LN(BP410),IF(BP410&lt;1,0.225+0.6666666667*BP410," ")))</f>
        <v>0.47774203025172646</v>
      </c>
      <c r="BW410" s="475">
        <f>2*ACOS(1-2*(BU410))</f>
        <v>1.3235696070689389</v>
      </c>
      <c r="BX410" s="475">
        <f>IF(BP410=" "," ",(2*ACOS(1-2*(BV410))))</f>
        <v>3.0525313430597065</v>
      </c>
      <c r="BY410" s="475">
        <f>(1/4)*(1-(SIN(BW410))/BW410)</f>
        <v>6.6859874580477818E-2</v>
      </c>
      <c r="BZ410" s="475">
        <f>IF(BP410=" "," ",((1/4)*(1-(SIN(BX410))/BX410)))</f>
        <v>0.24271558508344035</v>
      </c>
      <c r="CA410" s="471">
        <f>BY410*AZ410/1000</f>
        <v>1.3371974916095564E-2</v>
      </c>
      <c r="CB410" s="471">
        <f>IF(BP410=" "," ",(BZ410*AZ410/1000))</f>
        <v>4.8543117016688071E-2</v>
      </c>
      <c r="CC410" s="471">
        <f t="shared" si="1172"/>
        <v>3.2639842543659414</v>
      </c>
      <c r="CD410" s="471" t="str">
        <f>IF(CC410="","",IF(CC410&lt;0.7,"F. Subcrítico",IF(AND(CC410&gt;0.7,CC410&lt;1),"F. Subcrítico Inestable",IF(CC410=1,"F. Crítico",IF(AND(CC410&gt;1,CC410&lt;1.5),"F. Supercrítico Inestable",IF(CC410&gt;1.5,"F. Supercrítico",""))))))</f>
        <v>F. Supercrítico</v>
      </c>
      <c r="CE410" s="471">
        <f>1000*BL410*CA410/100</f>
        <v>1.509692810874953</v>
      </c>
      <c r="CF410" s="471">
        <f>IF(BP410=" "," ",(1000*BL410*CB410/100))</f>
        <v>5.4805064500490301</v>
      </c>
      <c r="CG410" s="471" t="str">
        <f>IF(BS410&lt;0.45,"No cumple",IF(BS410&gt;5,"No cumple","O.K"))</f>
        <v>O.K</v>
      </c>
      <c r="CH410" s="471" t="str">
        <f>IF(BT410&lt;0.75,"No cumple",IF(BT410&gt;10,"No cumple","O.K"))</f>
        <v>O.K</v>
      </c>
      <c r="CI410" s="471" t="str">
        <f>IF(CE410&gt;0.1,"OK","V.C.H.")</f>
        <v>OK</v>
      </c>
      <c r="CJ410" s="471" t="str">
        <f>IF(CF410&gt;0.2,"OK","V.C.H.")</f>
        <v>OK</v>
      </c>
      <c r="CK410" s="468">
        <f>+BJ410</f>
        <v>5.999999999994543E-2</v>
      </c>
      <c r="CL410" s="482" t="s">
        <v>2507</v>
      </c>
      <c r="CM410" s="482"/>
      <c r="CN410" s="63" t="str">
        <f>IF(B410=1,"dato"," ")</f>
        <v>dato</v>
      </c>
      <c r="CO410" s="527">
        <f t="shared" si="1179"/>
        <v>46.59</v>
      </c>
      <c r="CP410" s="542">
        <f t="shared" si="1180"/>
        <v>0.11826572225799752</v>
      </c>
      <c r="CQ410" s="482" t="s">
        <v>2508</v>
      </c>
      <c r="CR410" s="204">
        <f>IF(BA410="","",AX410)</f>
        <v>46.59</v>
      </c>
      <c r="CS410" s="486">
        <v>1.2</v>
      </c>
      <c r="CT410" s="486">
        <v>1.2</v>
      </c>
      <c r="CU410" s="23">
        <f>IF($BA410="","",SQRT((BH410-BI410)^2+$CR410^2))</f>
        <v>46.88598617924125</v>
      </c>
      <c r="CV410" s="499" t="s">
        <v>2509</v>
      </c>
      <c r="CW410" s="488" t="str">
        <f>+IF(BD410&lt;=0.9,"E1",IF(BD410&lt;=2.5,"E2","E3"))</f>
        <v>E2</v>
      </c>
      <c r="CX410" s="204">
        <f>IF(AND(L410="",H410=""),"",IF(AND(BA410&lt;&gt;4,BA410&lt;&gt;5),VLOOKUP(AY410,'TABLA (2)'!$A$9:$D$43,4),IF(BA410=4,VLOOKUP(AY410,'TABLA (2)'!$A$74:$D$89,4),VLOOKUP(AY410,'TABLA (2)'!$A$51:$D$66,4))))</f>
        <v>3.6999999999999998E-2</v>
      </c>
      <c r="CY410" s="482"/>
      <c r="CZ410" s="482"/>
      <c r="DA410" s="482"/>
      <c r="DB410" s="490"/>
    </row>
    <row r="411" spans="1:106" ht="15" hidden="1" customHeight="1">
      <c r="A411" s="465">
        <f>+A410+1</f>
        <v>297</v>
      </c>
      <c r="B411" s="491"/>
      <c r="C411" s="466" t="s">
        <v>2292</v>
      </c>
      <c r="D411" s="466" t="s">
        <v>2287</v>
      </c>
      <c r="E411" s="468">
        <v>5.1283464300000005E-2</v>
      </c>
      <c r="F411" s="468"/>
      <c r="G411" s="537">
        <f t="shared" si="1176"/>
        <v>0.1961198066</v>
      </c>
      <c r="H411" s="537">
        <f t="shared" si="1177"/>
        <v>0.2474032709</v>
      </c>
      <c r="I411" s="468">
        <v>5.1283464300000005E-2</v>
      </c>
      <c r="J411" s="468"/>
      <c r="K411" s="467">
        <f ca="1">+IF(B411=1,0,SUMIF($D$22:$D$583,C411,$L$22:$L$580))</f>
        <v>0.1961198066</v>
      </c>
      <c r="L411" s="468">
        <f ca="1">+I411+J411+K411</f>
        <v>0.2474032709</v>
      </c>
      <c r="M411" s="469">
        <f>+$P$12</f>
        <v>242.33666300502347</v>
      </c>
      <c r="N411" s="470">
        <f>M411*E411</f>
        <v>12.427863605799253</v>
      </c>
      <c r="O411" s="470">
        <f>M411*F411</f>
        <v>0</v>
      </c>
      <c r="P411" s="470">
        <f>M411*H411</f>
        <v>59.954883086433831</v>
      </c>
      <c r="Q411" s="469">
        <f t="shared" si="1181"/>
        <v>140</v>
      </c>
      <c r="R411" s="471">
        <f>Q411*P411*$P$14/86400</f>
        <v>8.2576748695435478E-2</v>
      </c>
      <c r="S411" s="471"/>
      <c r="T411" s="471"/>
      <c r="U411" s="471">
        <f>IF(C411="","",T411*$P$17)</f>
        <v>0</v>
      </c>
      <c r="V411" s="471"/>
      <c r="W411" s="471"/>
      <c r="X411" s="471">
        <f>IF(C411="","",W411*$P$16)</f>
        <v>0</v>
      </c>
      <c r="Y411" s="471">
        <f>IF(H411=0,0,$H$15*H411)</f>
        <v>4.948065418E-2</v>
      </c>
      <c r="Z411" s="471">
        <f ca="1">IF(L411=0,$H$16*H411,0)</f>
        <v>0</v>
      </c>
      <c r="AA411" s="471">
        <f t="shared" si="1185"/>
        <v>3.8</v>
      </c>
      <c r="AB411" s="471">
        <f>R411*AA411</f>
        <v>0.31379164504265478</v>
      </c>
      <c r="AC411" s="471">
        <f>Q411*(N411+O411)*$P$14/86400</f>
        <v>1.7117080660765172E-2</v>
      </c>
      <c r="AD411" s="471">
        <f>IF(E411=0,0,$H$15*(E411+F411))</f>
        <v>1.0256692860000001E-2</v>
      </c>
      <c r="AE411" s="471">
        <f>IF(F411=0,0,$H$15*(F411+G411))</f>
        <v>0</v>
      </c>
      <c r="AF411" s="510">
        <f t="shared" si="1175"/>
        <v>3.8</v>
      </c>
      <c r="AG411" s="471">
        <f>AC411*AF411</f>
        <v>6.5044906510907649E-2</v>
      </c>
      <c r="AH411" s="471">
        <f>+AD411+AE411+AG411</f>
        <v>7.5301599370907649E-2</v>
      </c>
      <c r="AI411" s="471">
        <f ca="1">IF(H411="","",IF(AB411+Y411+Z411+X411+U411&lt;1.5,1.5,AB411+Y411+Z411+X411+U411))</f>
        <v>1.5</v>
      </c>
      <c r="AJ411" s="471">
        <f>+$P$17</f>
        <v>0.75</v>
      </c>
      <c r="AK411" s="472">
        <f>+BK411/100</f>
        <v>3.071539657853669E-2</v>
      </c>
      <c r="AL411" s="471">
        <f>IF(AJ411=0," ",0.14+0.65*AJ411+0.05*AK411)</f>
        <v>0.62903576982892684</v>
      </c>
      <c r="AM411" s="473">
        <f t="shared" si="1178"/>
        <v>334.91350053989527</v>
      </c>
      <c r="AN411" s="474">
        <f t="shared" si="1171"/>
        <v>10</v>
      </c>
      <c r="AO411" s="474">
        <f>((1/60)*$AX411/$AQ411)</f>
        <v>0.14288888888888887</v>
      </c>
      <c r="AP411" s="474">
        <f>IF(B411=1,IF(($AN411+$AO411)&lt;10,10,IF(($AN411+$AO411)&gt;20,20,($AN411+$AO411))),($AN411+$AO411))</f>
        <v>10.142888888888889</v>
      </c>
      <c r="AQ411" s="475">
        <v>3</v>
      </c>
      <c r="AR411" s="474">
        <f ca="1">((1/60)*$AX411/$BT411)</f>
        <v>0.22430750091374776</v>
      </c>
      <c r="AS411" s="474">
        <f ca="1">AO411/AR411</f>
        <v>0.63702233900699323</v>
      </c>
      <c r="AT411" s="471" t="str">
        <f ca="1">IF(AS411&lt;0.9,"Disminuir vel.",IF(AS411&gt;1.1,"Aumentar vel.","Cumple"))</f>
        <v>Disminuir vel.</v>
      </c>
      <c r="AU411" s="492">
        <f>+I411*AL411*AM411</f>
        <v>10.804019306597526</v>
      </c>
      <c r="AV411" s="471">
        <f ca="1">+L411*AL411*AM411</f>
        <v>52.121083312208647</v>
      </c>
      <c r="AW411" s="471">
        <f ca="1">ROUND(IF(AI411&gt;(AV411*0.05),(AV411+AI411),AV411),2)</f>
        <v>52.12</v>
      </c>
      <c r="AX411" s="478">
        <f>IF(OR(C411="",D411=""),"",ROUND(((VLOOKUP(C411,'Base de Diseño (2)'!$A$2:$C$333,2,FALSE)-VLOOKUP(D411,'Base de Diseño (2)'!$A$2:$C$333,2,FALSE))^2+(VLOOKUP(C411,'Base de Diseño (2)'!$A$2:$C$333,3,0)-VLOOKUP(D411,'Base de Diseño (2)'!$A$2:$C$333,3,FALSE))^2)^0.5,2))</f>
        <v>25.72</v>
      </c>
      <c r="AY411" s="493">
        <v>8</v>
      </c>
      <c r="AZ411" s="480">
        <f ca="1">IF(AND(L411="",H411=""),"",IF(BA411=4,VLOOKUP(AY411,'TABLA (2)'!$A$74:$C$89,2),IF(BA411=5,VLOOKUP(AY411,'TABLA (2)'!$A$51:$B$66,2),IF(BA411=6,VLOOKUP(AY411,'TABLA (2)'!$A$9:$B$43,2)))))</f>
        <v>200</v>
      </c>
      <c r="BA411" s="493">
        <v>6</v>
      </c>
      <c r="BB411" s="478">
        <f>IF(OR(C411="",D411=""),"",VLOOKUP(C411,'Base de Diseño (2)'!$A$2:$D$330,4,FALSE))</f>
        <v>981.96159999999998</v>
      </c>
      <c r="BC411" s="478">
        <f>IF(OR(C411="",D411=""),"",VLOOKUP(D411,'Base de Diseño (2)'!$A$2:$D$330,4,FALSE))</f>
        <v>981.17160000000001</v>
      </c>
      <c r="BD411" s="23">
        <f ca="1">+BF411-((AZ411/1000)+CX411)</f>
        <v>0.81299999999995454</v>
      </c>
      <c r="BE411" s="23">
        <f ca="1">+BG411-((AZ411/1000)+CX411)</f>
        <v>0.86300000000002275</v>
      </c>
      <c r="BF411" s="494">
        <v>1.0499999999999545</v>
      </c>
      <c r="BG411" s="494">
        <v>1.1000000000000227</v>
      </c>
      <c r="BH411" s="495">
        <f>BB411-BF411</f>
        <v>980.91160000000002</v>
      </c>
      <c r="BI411" s="495">
        <f>BC411-BG411</f>
        <v>980.07159999999999</v>
      </c>
      <c r="BJ411" s="534">
        <f t="shared" si="1184"/>
        <v>980.07159999999999</v>
      </c>
      <c r="BK411" s="475">
        <f>ABS((BB411-BC411)/AX411)*100</f>
        <v>3.0715396578536689</v>
      </c>
      <c r="BL411" s="475">
        <f>((BH411-BI411)/AX411)*100</f>
        <v>3.2659409020218968</v>
      </c>
      <c r="BM411" s="475">
        <f ca="1">IF(BA411=6,(1/0.013)*((AZ411/4000)^(2/3))*((BL411/100)^(0.5)),(1/0.009)*((AZ411/4000)^(2/3))*((BL411/100)^(0.5)))</f>
        <v>1.8867201085408472</v>
      </c>
      <c r="BN411" s="475">
        <f ca="1">1000*BM411*PI()*((AZ411/1000/2)^2)</f>
        <v>59.273060323720642</v>
      </c>
      <c r="BO411" s="204">
        <f ca="1">AI411/BN411</f>
        <v>2.5306606269487844E-2</v>
      </c>
      <c r="BP411" s="496">
        <f ca="1">IF(L411=0," ",AW411/BN411)</f>
        <v>0.87932021251047088</v>
      </c>
      <c r="BQ411" s="497">
        <f ca="1">IF($BO411&gt;0 =AND($BO411&lt;=0.06),10^(0.029806+0.29095*LOG($BO411)),IF($BO411&gt;0.06 =AND($BO411&lt;=0.26),10^(0.013778+0.282597*LOG($BO411)),IF($BO411&gt;0.26 =AND($BO411&lt;=0.91),10^(0.021763+0.28995*LOG($BO411)),1)))</f>
        <v>0.36747424441216336</v>
      </c>
      <c r="BR411" s="497">
        <f ca="1">IF($BP411&gt;0 =AND($BP411&lt;=0.06),10^(0.029806+0.29095*LOG($BP411)),IF($BP411&gt;0.06 =AND($BP411&lt;=0.26),10^(0.013778+0.282597*LOG($BP411)),IF($BP411&gt;0.26 =AND($BP411&lt;=2),10^(0.021763+0.28995*LOG($BP411))," ")))</f>
        <v>1.0129043562794071</v>
      </c>
      <c r="BS411" s="475">
        <f ca="1">BM411*BQ411</f>
        <v>0.69332104630328262</v>
      </c>
      <c r="BT411" s="475">
        <f ca="1">IF(BP411=" "," ",(BM411*BR411))</f>
        <v>1.9110670170209798</v>
      </c>
      <c r="BU411" s="475">
        <f ca="1">IF(BO411&lt;=0.11,0.3827+0.0645*LN(BO411),IF(BO411&lt;=0.21,0.60025+0.15471*LN(BO411),IF(BO411&lt;1,0.225+0.6666666667*BO411,0)))</f>
        <v>0.14555350790239879</v>
      </c>
      <c r="BV411" s="475">
        <f ca="1">IF(BP411&lt;=0.11,0.3827+0.0645*LN(BP411),IF(BP411&lt;=0.21,0.60025+0.15471*LN(BP411),IF(BP411&lt;1,0.225+0.6666666667*BP411," ")))</f>
        <v>0.81121347503629115</v>
      </c>
      <c r="BW411" s="475">
        <f ca="1">2*ACOS(1-2*(BU411))</f>
        <v>1.565737779138783</v>
      </c>
      <c r="BX411" s="475">
        <f ca="1">IF(BP411=" "," ",(2*ACOS(1-2*(BV411))))</f>
        <v>4.4852720995671556</v>
      </c>
      <c r="BY411" s="475">
        <f ca="1">(1/4)*(1-(SIN(BW411))/BW411)</f>
        <v>9.0332905851399914E-2</v>
      </c>
      <c r="BZ411" s="475">
        <f ca="1">IF(BP411=" "," ",((1/4)*(1-(SIN(BX411))/BX411)))</f>
        <v>0.30430660682894706</v>
      </c>
      <c r="CA411" s="471">
        <f ca="1">BY411*AZ411/1000</f>
        <v>1.8066581170279983E-2</v>
      </c>
      <c r="CB411" s="471">
        <f ca="1">IF(BP411=" "," ",(BZ411*AZ411/1000))</f>
        <v>6.0861321365789409E-2</v>
      </c>
      <c r="CC411" s="471">
        <f t="shared" ca="1" si="1172"/>
        <v>1.461109822192155</v>
      </c>
      <c r="CD411" s="471" t="str">
        <f ca="1">IF(CC411="","",IF(CC411&lt;0.7,"F. Subcrítico",IF(AND(CC411&gt;0.7,CC411&lt;1),"F. Subcrítico Inestable",IF(CC411=1,"F. Crítico",IF(AND(CC411&gt;1,CC411&lt;1.5),"F. Supercrítico Inestable",IF(CC411&gt;1.5,"F. Supercrítico",""))))))</f>
        <v>F. Supercrítico Inestable</v>
      </c>
      <c r="CE411" s="471">
        <f ca="1">1000*BL411*CA411/100</f>
        <v>0.59004386403716025</v>
      </c>
      <c r="CF411" s="471">
        <f ca="1">IF(BP411=" "," ",(1000*BL411*CB411/100))</f>
        <v>1.9876947879963081</v>
      </c>
      <c r="CG411" s="471" t="str">
        <f ca="1">IF(BS411&lt;0.45,"No cumple",IF(BS411&gt;5,"No cumple","O.K"))</f>
        <v>O.K</v>
      </c>
      <c r="CH411" s="471" t="str">
        <f ca="1">IF(BT411&lt;0.75,"No cumple",IF(BT411&gt;10,"No cumple","O.K"))</f>
        <v>O.K</v>
      </c>
      <c r="CI411" s="471" t="str">
        <f ca="1">IF(CE411&gt;0.1,"OK","V.C.H.")</f>
        <v>OK</v>
      </c>
      <c r="CJ411" s="471" t="str">
        <f ca="1">IF(CF411&gt;0.2,"OK","V.C.H.")</f>
        <v>OK</v>
      </c>
      <c r="CK411" s="468">
        <f>+BJ411</f>
        <v>980.07159999999999</v>
      </c>
      <c r="CL411" s="482" t="s">
        <v>2507</v>
      </c>
      <c r="CM411" s="482"/>
      <c r="CN411" s="63" t="str">
        <f>IF(B411=1,"dato"," ")</f>
        <v xml:space="preserve"> </v>
      </c>
      <c r="CO411" s="527">
        <f t="shared" si="1179"/>
        <v>25.72</v>
      </c>
      <c r="CP411" s="511">
        <f t="shared" si="1180"/>
        <v>3.071539657853669E-2</v>
      </c>
      <c r="CQ411" s="482" t="s">
        <v>2508</v>
      </c>
      <c r="CR411" s="204">
        <f>IF(BA411="","",AX411)</f>
        <v>25.72</v>
      </c>
      <c r="CS411" s="486">
        <v>1.2</v>
      </c>
      <c r="CT411" s="486">
        <v>1.2</v>
      </c>
      <c r="CU411" s="23">
        <f>IF($BA411="","",SQRT((BH411-BI411)^2+$CR411^2))</f>
        <v>25.733713295985869</v>
      </c>
      <c r="CV411" s="499" t="s">
        <v>2509</v>
      </c>
      <c r="CW411" s="488" t="str">
        <f ca="1">+IF(BD411&lt;=0.9,"E1",IF(BD411&lt;=2.5,"E2","E3"))</f>
        <v>E1</v>
      </c>
      <c r="CX411" s="204">
        <f ca="1">IF(AND(L411="",H411=""),"",IF(AND(BA411&lt;&gt;4,BA411&lt;&gt;5),VLOOKUP(AY411,'TABLA (2)'!$A$9:$D$43,4),IF(BA411=4,VLOOKUP(AY411,'TABLA (2)'!$A$74:$D$89,4),VLOOKUP(AY411,'TABLA (2)'!$A$51:$D$66,4))))</f>
        <v>3.6999999999999998E-2</v>
      </c>
      <c r="CY411" s="482"/>
      <c r="CZ411" s="482"/>
      <c r="DA411" s="482"/>
      <c r="DB411" s="490"/>
    </row>
    <row r="412" spans="1:106" ht="15" hidden="1" customHeight="1">
      <c r="A412" s="465"/>
      <c r="B412" s="491"/>
      <c r="C412" s="466"/>
      <c r="D412" s="466"/>
      <c r="E412" s="468"/>
      <c r="F412" s="468"/>
      <c r="G412" s="537">
        <f t="shared" si="1176"/>
        <v>0</v>
      </c>
      <c r="H412" s="537">
        <f t="shared" si="1177"/>
        <v>0</v>
      </c>
      <c r="I412" s="468"/>
      <c r="J412" s="468"/>
      <c r="K412" s="467"/>
      <c r="L412" s="468"/>
      <c r="M412" s="469"/>
      <c r="N412" s="470"/>
      <c r="O412" s="470"/>
      <c r="P412" s="470"/>
      <c r="Q412" s="469">
        <f t="shared" si="1181"/>
        <v>140</v>
      </c>
      <c r="R412" s="471"/>
      <c r="S412" s="471"/>
      <c r="T412" s="471"/>
      <c r="U412" s="471"/>
      <c r="V412" s="471"/>
      <c r="W412" s="471"/>
      <c r="X412" s="471"/>
      <c r="Y412" s="471"/>
      <c r="Z412" s="471"/>
      <c r="AA412" s="471" t="str">
        <f t="shared" si="1185"/>
        <v/>
      </c>
      <c r="AB412" s="471"/>
      <c r="AC412" s="471"/>
      <c r="AD412" s="471"/>
      <c r="AE412" s="471"/>
      <c r="AF412" s="510" t="str">
        <f t="shared" si="1175"/>
        <v/>
      </c>
      <c r="AG412" s="471"/>
      <c r="AH412" s="471"/>
      <c r="AI412" s="471"/>
      <c r="AJ412" s="471"/>
      <c r="AK412" s="472"/>
      <c r="AL412" s="471"/>
      <c r="AM412" s="473">
        <f t="shared" si="1178"/>
        <v>474.44695720875893</v>
      </c>
      <c r="AN412" s="474">
        <f t="shared" si="1171"/>
        <v>10.142888888888889</v>
      </c>
      <c r="AO412" s="474"/>
      <c r="AP412" s="474"/>
      <c r="AQ412" s="475">
        <v>3</v>
      </c>
      <c r="AR412" s="474"/>
      <c r="AS412" s="474"/>
      <c r="AT412" s="471"/>
      <c r="AU412" s="492"/>
      <c r="AV412" s="471"/>
      <c r="AW412" s="471"/>
      <c r="AX412" s="478"/>
      <c r="AY412" s="493"/>
      <c r="AZ412" s="480"/>
      <c r="BA412" s="493"/>
      <c r="BB412" s="478" t="str">
        <f>IF(OR(C412="",D412=""),"",VLOOKUP(C412,'Base de Diseño (2)'!$A$2:$D$330,4,FALSE))</f>
        <v/>
      </c>
      <c r="BC412" s="478" t="str">
        <f>IF(OR(C412="",D412=""),"",VLOOKUP(D412,'Base de Diseño (2)'!$A$2:$D$330,4,FALSE))</f>
        <v/>
      </c>
      <c r="BD412" s="23"/>
      <c r="BE412" s="23"/>
      <c r="BF412" s="494"/>
      <c r="BG412" s="494"/>
      <c r="BH412" s="495"/>
      <c r="BI412" s="495"/>
      <c r="BJ412" s="534">
        <f t="shared" si="1184"/>
        <v>0</v>
      </c>
      <c r="BK412" s="475"/>
      <c r="BL412" s="475"/>
      <c r="BM412" s="475"/>
      <c r="BN412" s="475"/>
      <c r="BO412" s="204"/>
      <c r="BP412" s="496"/>
      <c r="BQ412" s="497"/>
      <c r="BR412" s="497"/>
      <c r="BS412" s="475"/>
      <c r="BT412" s="475"/>
      <c r="BU412" s="475"/>
      <c r="BV412" s="475"/>
      <c r="BW412" s="475"/>
      <c r="BX412" s="475"/>
      <c r="BY412" s="475"/>
      <c r="BZ412" s="475"/>
      <c r="CA412" s="471"/>
      <c r="CB412" s="471"/>
      <c r="CC412" s="471" t="e">
        <f t="shared" si="1172"/>
        <v>#DIV/0!</v>
      </c>
      <c r="CD412" s="471"/>
      <c r="CE412" s="471"/>
      <c r="CF412" s="471"/>
      <c r="CG412" s="471"/>
      <c r="CH412" s="471"/>
      <c r="CI412" s="471"/>
      <c r="CJ412" s="471"/>
      <c r="CK412" s="468"/>
      <c r="CL412" s="482" t="s">
        <v>2507</v>
      </c>
      <c r="CM412" s="482"/>
      <c r="CN412" s="63"/>
      <c r="CO412" s="527">
        <f t="shared" si="1179"/>
        <v>0</v>
      </c>
      <c r="CP412" s="542">
        <f t="shared" si="1180"/>
        <v>0</v>
      </c>
      <c r="CQ412" s="482"/>
      <c r="CR412" s="204"/>
      <c r="CS412" s="486"/>
      <c r="CT412" s="486"/>
      <c r="CU412" s="23"/>
      <c r="CV412" s="499"/>
      <c r="CW412" s="488"/>
      <c r="CX412" s="204"/>
      <c r="CY412" s="482"/>
      <c r="CZ412" s="482"/>
      <c r="DA412" s="482"/>
      <c r="DB412" s="490"/>
    </row>
    <row r="413" spans="1:106" ht="15" hidden="1" customHeight="1">
      <c r="A413" s="465">
        <f>+A411+1</f>
        <v>298</v>
      </c>
      <c r="B413" s="491">
        <v>1</v>
      </c>
      <c r="C413" s="466" t="s">
        <v>2237</v>
      </c>
      <c r="D413" s="466" t="s">
        <v>2271</v>
      </c>
      <c r="E413" s="468">
        <v>0.14165446939999998</v>
      </c>
      <c r="F413" s="468"/>
      <c r="G413" s="537">
        <f t="shared" si="1176"/>
        <v>0</v>
      </c>
      <c r="H413" s="537">
        <f t="shared" si="1177"/>
        <v>0.14165446939999998</v>
      </c>
      <c r="I413" s="468">
        <v>0.14165446939999998</v>
      </c>
      <c r="J413" s="468"/>
      <c r="K413" s="467">
        <f>+IF(B413=1,0,SUMIF($D$22:$D$583,C413,$L$22:$L$580))</f>
        <v>0</v>
      </c>
      <c r="L413" s="468">
        <f>+I413+J413+K413</f>
        <v>0.14165446939999998</v>
      </c>
      <c r="M413" s="469">
        <f>+$P$12</f>
        <v>242.33666300502347</v>
      </c>
      <c r="N413" s="470">
        <f>M413*E413</f>
        <v>34.328071414143203</v>
      </c>
      <c r="O413" s="470">
        <f>M413*F413</f>
        <v>0</v>
      </c>
      <c r="P413" s="470">
        <f>M413*H413</f>
        <v>34.328071414143203</v>
      </c>
      <c r="Q413" s="469">
        <f t="shared" si="1181"/>
        <v>140</v>
      </c>
      <c r="R413" s="471">
        <f>Q413*P413*$P$14/86400</f>
        <v>4.7280561322720377E-2</v>
      </c>
      <c r="S413" s="471"/>
      <c r="T413" s="471"/>
      <c r="U413" s="471">
        <f>IF(C413="","",T413*$P$17)</f>
        <v>0</v>
      </c>
      <c r="V413" s="471"/>
      <c r="W413" s="471"/>
      <c r="X413" s="471">
        <f>IF(C413="","",W413*$P$16)</f>
        <v>0</v>
      </c>
      <c r="Y413" s="471">
        <f>IF(H413=0,0,$H$15*H413)</f>
        <v>2.8330893879999999E-2</v>
      </c>
      <c r="Z413" s="471">
        <f>IF(L413=0,$H$16*H413,0)</f>
        <v>0</v>
      </c>
      <c r="AA413" s="471">
        <f t="shared" si="1185"/>
        <v>3.8</v>
      </c>
      <c r="AB413" s="471">
        <f>R413*AA413</f>
        <v>0.17966613302633741</v>
      </c>
      <c r="AC413" s="471">
        <f>Q413*(N413+O413)*$P$14/86400</f>
        <v>4.7280561322720377E-2</v>
      </c>
      <c r="AD413" s="471">
        <f t="shared" ref="AD413:AE417" si="1188">IF(E413=0,0,$H$15*(E413+F413))</f>
        <v>2.8330893879999999E-2</v>
      </c>
      <c r="AE413" s="471">
        <f t="shared" si="1188"/>
        <v>0</v>
      </c>
      <c r="AF413" s="510">
        <f t="shared" si="1175"/>
        <v>3.8</v>
      </c>
      <c r="AG413" s="471">
        <f>AC413*AF413</f>
        <v>0.17966613302633741</v>
      </c>
      <c r="AH413" s="471">
        <f>+AD413+AE413+AG413</f>
        <v>0.20799702690633742</v>
      </c>
      <c r="AI413" s="471">
        <f>IF(H413="","",IF(AB413+Y413+Z413+X413+U413&lt;1.5,1.5,AB413+Y413+Z413+X413+U413))</f>
        <v>1.5</v>
      </c>
      <c r="AJ413" s="471">
        <f>+$P$17</f>
        <v>0.75</v>
      </c>
      <c r="AK413" s="472">
        <f>+BK413/100</f>
        <v>2.8904503353560297E-2</v>
      </c>
      <c r="AL413" s="471">
        <f>IF(AJ413=0," ",0.14+0.65*AJ413+0.05*AK413)</f>
        <v>0.62894522516767803</v>
      </c>
      <c r="AM413" s="473">
        <f t="shared" si="1178"/>
        <v>336.32613267542746</v>
      </c>
      <c r="AN413" s="474">
        <f t="shared" si="1171"/>
        <v>6.3353875127863803</v>
      </c>
      <c r="AO413" s="474">
        <f>((1/60)*$AX413/$AQ413)</f>
        <v>0.34788888888888886</v>
      </c>
      <c r="AP413" s="474">
        <f>IF(B413=1,IF(($AN413+$AO413)&lt;10,10,IF(($AN413+$AO413)&gt;20,20,($AN413+$AO413))),($AN413+$AO413))</f>
        <v>10</v>
      </c>
      <c r="AQ413" s="475">
        <v>3</v>
      </c>
      <c r="AR413" s="474">
        <f>((1/60)*$AX413/$BT413)</f>
        <v>0.71436748417288076</v>
      </c>
      <c r="AS413" s="474">
        <f>AO413/AR413</f>
        <v>0.4869886950295429</v>
      </c>
      <c r="AT413" s="471" t="str">
        <f>IF(AS413&lt;0.9,"Disminuir vel.",IF(AS413&gt;1.1,"Aumentar vel.","Cumple"))</f>
        <v>Disminuir vel.</v>
      </c>
      <c r="AU413" s="492">
        <f>+I413*AL413*AM413</f>
        <v>29.964271229878445</v>
      </c>
      <c r="AV413" s="471">
        <f>+L413*AL413*AM413</f>
        <v>29.964271229878445</v>
      </c>
      <c r="AW413" s="471">
        <f>ROUND(IF(AI413&gt;(AV413*0.05),(AV413+AI413),AV413),2)</f>
        <v>31.46</v>
      </c>
      <c r="AX413" s="478">
        <f>IF(OR(C413="",D413=""),"",ROUND(((VLOOKUP(C413,'Base de Diseño (2)'!$A$2:$C$333,2,FALSE)-VLOOKUP(D413,'Base de Diseño (2)'!$A$2:$C$333,2,FALSE))^2+(VLOOKUP(C413,'Base de Diseño (2)'!$A$2:$C$333,3,0)-VLOOKUP(D413,'Base de Diseño (2)'!$A$2:$C$333,3,FALSE))^2)^0.5,2))</f>
        <v>62.62</v>
      </c>
      <c r="AY413" s="493">
        <v>10</v>
      </c>
      <c r="AZ413" s="480">
        <f>IF(AND(L413="",H413=""),"",IF(BA413=4,VLOOKUP(AY413,'TABLA (2)'!$A$74:$C$89,2),IF(BA413=5,VLOOKUP(AY413,'TABLA (2)'!$A$51:$B$66,2),IF(BA413=6,VLOOKUP(AY413,'TABLA (2)'!$A$9:$B$43,2)))))</f>
        <v>250</v>
      </c>
      <c r="BA413" s="493">
        <v>6</v>
      </c>
      <c r="BB413" s="478">
        <f>IF(OR(C413="",D413=""),"",VLOOKUP(C413,'Base de Diseño (2)'!$A$2:$D$330,4,FALSE))</f>
        <v>984.71159999999998</v>
      </c>
      <c r="BC413" s="478">
        <f>IF(OR(C413="",D413=""),"",VLOOKUP(D413,'Base de Diseño (2)'!$A$2:$D$330,4,FALSE))</f>
        <v>982.90160000000003</v>
      </c>
      <c r="BD413" s="23">
        <f>+BF413-((AZ413/1000)+CX413)</f>
        <v>1.1730000000000365</v>
      </c>
      <c r="BE413" s="23">
        <f>+BG413-((AZ413/1000)+CX413)</f>
        <v>0.91300000000004555</v>
      </c>
      <c r="BF413" s="494">
        <v>1.4600000000000364</v>
      </c>
      <c r="BG413" s="494">
        <v>1.2000000000000455</v>
      </c>
      <c r="BH413" s="495">
        <f t="shared" ref="BH413:BI417" si="1189">BB413-BF413</f>
        <v>983.25159999999994</v>
      </c>
      <c r="BI413" s="495">
        <f t="shared" si="1189"/>
        <v>981.70159999999998</v>
      </c>
      <c r="BJ413" s="534">
        <f t="shared" si="1184"/>
        <v>0.18999999999994088</v>
      </c>
      <c r="BK413" s="475">
        <f>ABS((BB413-BC413)/AX413)*100</f>
        <v>2.8904503353560296</v>
      </c>
      <c r="BL413" s="475">
        <f>((BH413-BI413)/AX413)*100</f>
        <v>2.4752475247524028</v>
      </c>
      <c r="BM413" s="475">
        <f>IF(BA413=6,(1/0.013)*((AZ413/4000)^(2/3))*((BL413/100)^(0.5)),(1/0.009)*((AZ413/4000)^(2/3))*((BL413/100)^(0.5)))</f>
        <v>1.9059842609113435</v>
      </c>
      <c r="BN413" s="475">
        <f>1000*BM413*PI()*((AZ413/1000/2)^2)</f>
        <v>93.559783624013264</v>
      </c>
      <c r="BO413" s="204">
        <f>AI413/BN413</f>
        <v>1.6032529596562754E-2</v>
      </c>
      <c r="BP413" s="496">
        <f>IF(L413=0," ",AW413/BN413)</f>
        <v>0.33625558740524286</v>
      </c>
      <c r="BQ413" s="497">
        <f>IF($BO413&gt;0 =AND($BO413&lt;=0.06),10^(0.029806+0.29095*LOG($BO413)),IF($BO413&gt;0.06 =AND($BO413&lt;=0.26),10^(0.013778+0.282597*LOG($BO413)),IF($BO413&gt;0.26 =AND($BO413&lt;=0.91),10^(0.021763+0.28995*LOG($BO413)),1)))</f>
        <v>0.32177429432259363</v>
      </c>
      <c r="BR413" s="497">
        <f>IF($BP413&gt;0 =AND($BP413&lt;=0.06),10^(0.029806+0.29095*LOG($BP413)),IF($BP413&gt;0.06 =AND($BP413&lt;=0.26),10^(0.013778+0.282597*LOG($BP413)),IF($BP413&gt;0.26 =AND($BP413&lt;=2),10^(0.021763+0.28995*LOG($BP413))," ")))</f>
        <v>0.76651529346316316</v>
      </c>
      <c r="BS413" s="475">
        <f>BM413*BQ413</f>
        <v>0.61329674054471772</v>
      </c>
      <c r="BT413" s="475">
        <f>IF(BP413=" "," ",(BM413*BR413))</f>
        <v>1.4609660850886286</v>
      </c>
      <c r="BU413" s="475">
        <f>IF(BO413&lt;=0.11,0.3827+0.0645*LN(BO413),IF(BO413&lt;=0.21,0.60025+0.15471*LN(BO413),IF(BO413&lt;1,0.225+0.6666666667*BO413,0)))</f>
        <v>0.11611275890146316</v>
      </c>
      <c r="BV413" s="475">
        <f>IF(BP413&lt;=0.11,0.3827+0.0645*LN(BP413),IF(BP413&lt;=0.21,0.60025+0.15471*LN(BP413),IF(BP413&lt;1,0.225+0.6666666667*BP413," ")))</f>
        <v>0.44917039161470373</v>
      </c>
      <c r="BW413" s="475">
        <f>2*ACOS(1-2*(BU413))</f>
        <v>1.3908718081853495</v>
      </c>
      <c r="BX413" s="475">
        <f>IF(BP413=" "," ",(2*ACOS(1-2*(BV413))))</f>
        <v>2.9379223789954292</v>
      </c>
      <c r="BY413" s="475">
        <f>(1/4)*(1-(SIN(BW413))/BW413)</f>
        <v>7.31581807905482E-2</v>
      </c>
      <c r="BZ413" s="475">
        <f>IF(BP413=" "," ",((1/4)*(1-(SIN(BX413))/BX413)))</f>
        <v>0.23278842393019555</v>
      </c>
      <c r="CA413" s="471">
        <f>BY413*AZ413/1000</f>
        <v>1.828954519763705E-2</v>
      </c>
      <c r="CB413" s="471">
        <f>IF(BP413=" "," ",(BZ413*AZ413/1000))</f>
        <v>5.8197105982548888E-2</v>
      </c>
      <c r="CC413" s="471">
        <f t="shared" si="1172"/>
        <v>1.5911893839255848</v>
      </c>
      <c r="CD413" s="471" t="str">
        <f>IF(CC413="","",IF(CC413&lt;0.7,"F. Subcrítico",IF(AND(CC413&gt;0.7,CC413&lt;1),"F. Subcrítico Inestable",IF(CC413=1,"F. Crítico",IF(AND(CC413&gt;1,CC413&lt;1.5),"F. Supercrítico Inestable",IF(CC413&gt;1.5,"F. Supercrítico",""))))))</f>
        <v>F. Supercrítico</v>
      </c>
      <c r="CE413" s="471">
        <f>1000*BL413*CA413/100</f>
        <v>0.45271151479298311</v>
      </c>
      <c r="CF413" s="471">
        <f>IF(BP413=" "," ",(1000*BL413*CB413/100))</f>
        <v>1.440522425310574</v>
      </c>
      <c r="CG413" s="471" t="str">
        <f>IF(BS413&lt;0.45,"No cumple",IF(BS413&gt;5,"No cumple","O.K"))</f>
        <v>O.K</v>
      </c>
      <c r="CH413" s="471" t="str">
        <f>IF(BT413&lt;0.75,"No cumple",IF(BT413&gt;10,"No cumple","O.K"))</f>
        <v>O.K</v>
      </c>
      <c r="CI413" s="471" t="str">
        <f>IF(CE413&gt;0.1,"OK","V.C.H.")</f>
        <v>OK</v>
      </c>
      <c r="CJ413" s="471" t="str">
        <f>IF(CF413&gt;0.2,"OK","V.C.H.")</f>
        <v>OK</v>
      </c>
      <c r="CK413" s="468">
        <f>+BJ413</f>
        <v>0.18999999999994088</v>
      </c>
      <c r="CL413" s="482" t="s">
        <v>2507</v>
      </c>
      <c r="CM413" s="482"/>
      <c r="CN413" s="63" t="str">
        <f>IF(B413=1,"dato"," ")</f>
        <v>dato</v>
      </c>
      <c r="CO413" s="527">
        <f t="shared" si="1179"/>
        <v>62.62</v>
      </c>
      <c r="CP413" s="511">
        <f t="shared" si="1180"/>
        <v>2.8904503353560297E-2</v>
      </c>
      <c r="CQ413" s="482" t="s">
        <v>2508</v>
      </c>
      <c r="CR413" s="204">
        <f>IF(BA413="","",AX413)</f>
        <v>62.62</v>
      </c>
      <c r="CS413" s="486">
        <v>1.2</v>
      </c>
      <c r="CT413" s="486">
        <v>1.2</v>
      </c>
      <c r="CU413" s="23">
        <f>IF($BA413="","",SQRT((BH413-BI413)^2+$CR413^2))</f>
        <v>62.639180230906589</v>
      </c>
      <c r="CV413" s="499" t="s">
        <v>2509</v>
      </c>
      <c r="CW413" s="488" t="str">
        <f>+IF(BD413&lt;=0.9,"E1",IF(BD413&lt;=2.5,"E2","E3"))</f>
        <v>E2</v>
      </c>
      <c r="CX413" s="204">
        <f>IF(AND(L413="",H413=""),"",IF(AND(BA413&lt;&gt;4,BA413&lt;&gt;5),VLOOKUP(AY413,'TABLA (2)'!$A$9:$D$43,4),IF(BA413=4,VLOOKUP(AY413,'TABLA (2)'!$A$74:$D$89,4),VLOOKUP(AY413,'TABLA (2)'!$A$51:$D$66,4))))</f>
        <v>3.6999999999999998E-2</v>
      </c>
      <c r="CY413" s="482"/>
      <c r="CZ413" s="482"/>
      <c r="DA413" s="482"/>
      <c r="DB413" s="490"/>
    </row>
    <row r="414" spans="1:106" ht="15" hidden="1" customHeight="1">
      <c r="A414" s="465">
        <f>+A413+1</f>
        <v>299</v>
      </c>
      <c r="B414" s="491"/>
      <c r="C414" s="466" t="s">
        <v>2271</v>
      </c>
      <c r="D414" s="466" t="s">
        <v>2272</v>
      </c>
      <c r="E414" s="468">
        <v>0.44260813099999996</v>
      </c>
      <c r="F414" s="468"/>
      <c r="G414" s="537">
        <f t="shared" si="1176"/>
        <v>0.25179025739999999</v>
      </c>
      <c r="H414" s="537">
        <f t="shared" si="1177"/>
        <v>0.69439838840000001</v>
      </c>
      <c r="I414" s="468">
        <v>0.44260813099999996</v>
      </c>
      <c r="J414" s="468"/>
      <c r="K414" s="467">
        <f ca="1">+IF(B414=1,0,SUMIF($D$22:$D$583,C414,$L$22:$L$580))</f>
        <v>0.25179025739999999</v>
      </c>
      <c r="L414" s="468">
        <f ca="1">+I414+J414+K414</f>
        <v>0.69439838840000001</v>
      </c>
      <c r="M414" s="469">
        <f>+$P$12</f>
        <v>242.33666300502347</v>
      </c>
      <c r="N414" s="470">
        <f>M414*E414</f>
        <v>107.26017748543028</v>
      </c>
      <c r="O414" s="470">
        <f>M414*F414</f>
        <v>0</v>
      </c>
      <c r="P414" s="470">
        <f>M414*H414</f>
        <v>168.27818824092219</v>
      </c>
      <c r="Q414" s="469">
        <f t="shared" si="1181"/>
        <v>140</v>
      </c>
      <c r="R414" s="471">
        <f>Q414*P414*$P$14/86400</f>
        <v>0.23177204167441831</v>
      </c>
      <c r="S414" s="471"/>
      <c r="T414" s="471"/>
      <c r="U414" s="471">
        <f>IF(C414="","",T414*$P$17)</f>
        <v>0</v>
      </c>
      <c r="V414" s="471"/>
      <c r="W414" s="471"/>
      <c r="X414" s="471">
        <f>IF(C414="","",W414*$P$16)</f>
        <v>0</v>
      </c>
      <c r="Y414" s="471">
        <f>IF(H414=0,0,$H$15*H414)</f>
        <v>0.13887967768000001</v>
      </c>
      <c r="Z414" s="471">
        <f ca="1">IF(L414=0,$H$16*H414,0)</f>
        <v>0</v>
      </c>
      <c r="AA414" s="471">
        <f t="shared" si="1185"/>
        <v>3.8</v>
      </c>
      <c r="AB414" s="471">
        <f>R414*AA414</f>
        <v>0.88073375836278955</v>
      </c>
      <c r="AC414" s="471">
        <f>Q414*(N414+O414)*$P$14/86400</f>
        <v>0.14773103149034958</v>
      </c>
      <c r="AD414" s="471">
        <f t="shared" si="1188"/>
        <v>8.8521626199999995E-2</v>
      </c>
      <c r="AE414" s="471">
        <f t="shared" si="1188"/>
        <v>0</v>
      </c>
      <c r="AF414" s="510">
        <f t="shared" si="1175"/>
        <v>3.8</v>
      </c>
      <c r="AG414" s="471">
        <f>AC414*AF414</f>
        <v>0.5613779196633284</v>
      </c>
      <c r="AH414" s="471">
        <f>+AD414+AE414+AG414</f>
        <v>0.64989954586332843</v>
      </c>
      <c r="AI414" s="471">
        <f ca="1">IF(H414="","",IF(AB414+Y414+Z414+X414+U414&lt;1.5,1.5,AB414+Y414+Z414+X414+U414))</f>
        <v>1.5</v>
      </c>
      <c r="AJ414" s="471">
        <f>+$P$17</f>
        <v>0.75</v>
      </c>
      <c r="AK414" s="472">
        <f>+BK414/100</f>
        <v>4.2207792207790737E-2</v>
      </c>
      <c r="AL414" s="471">
        <f>IF(AJ414=0," ",0.14+0.65*AJ414+0.05*AK414)</f>
        <v>0.62961038961038962</v>
      </c>
      <c r="AM414" s="473">
        <f t="shared" si="1178"/>
        <v>335.14121110784816</v>
      </c>
      <c r="AN414" s="474">
        <f t="shared" si="1171"/>
        <v>10</v>
      </c>
      <c r="AO414" s="474">
        <f>((1/60)*$AX414/$AQ414)</f>
        <v>0.11977777777777776</v>
      </c>
      <c r="AP414" s="474">
        <f>IF(B414=1,IF(($AN414+$AO414)&lt;10,10,IF(($AN414+$AO414)&gt;20,20,($AN414+$AO414))),($AN414+$AO414))</f>
        <v>10.119777777777777</v>
      </c>
      <c r="AQ414" s="475">
        <v>3</v>
      </c>
      <c r="AR414" s="474">
        <f ca="1">((1/60)*$AX414/$BT414)</f>
        <v>0.12582155146194599</v>
      </c>
      <c r="AS414" s="474">
        <f ca="1">AO414/AR414</f>
        <v>0.95196551295112486</v>
      </c>
      <c r="AT414" s="471" t="str">
        <f ca="1">IF(AS414&lt;0.9,"Disminuir vel.",IF(AS414&gt;1.1,"Aumentar vel.","Cumple"))</f>
        <v>Cumple</v>
      </c>
      <c r="AU414" s="492">
        <f>+I414*AL414*AM414</f>
        <v>93.394028459355624</v>
      </c>
      <c r="AV414" s="471">
        <f ca="1">+L414*AL414*AM414</f>
        <v>146.52388491335756</v>
      </c>
      <c r="AW414" s="471">
        <f ca="1">ROUND(IF(AI414&gt;(AV414*0.05),(AV414+AI414),AV414),2)</f>
        <v>146.52000000000001</v>
      </c>
      <c r="AX414" s="478">
        <f>IF(OR(C414="",D414=""),"",ROUND(((VLOOKUP(C414,'Base de Diseño (2)'!$A$2:$C$333,2,FALSE)-VLOOKUP(D414,'Base de Diseño (2)'!$A$2:$C$333,2,FALSE))^2+(VLOOKUP(C414,'Base de Diseño (2)'!$A$2:$C$333,3,0)-VLOOKUP(D414,'Base de Diseño (2)'!$A$2:$C$333,3,FALSE))^2)^0.5,2))</f>
        <v>21.56</v>
      </c>
      <c r="AY414" s="493">
        <v>12</v>
      </c>
      <c r="AZ414" s="480">
        <f ca="1">IF(AND(L414="",H414=""),"",IF(BA414=4,VLOOKUP(AY414,'TABLA (2)'!$A$74:$C$89,2),IF(BA414=5,VLOOKUP(AY414,'TABLA (2)'!$A$51:$B$66,2),IF(BA414=6,VLOOKUP(AY414,'TABLA (2)'!$A$9:$B$43,2)))))</f>
        <v>300</v>
      </c>
      <c r="BA414" s="493">
        <v>6</v>
      </c>
      <c r="BB414" s="478">
        <f>IF(OR(C414="",D414=""),"",VLOOKUP(C414,'Base de Diseño (2)'!$A$2:$D$330,4,FALSE))</f>
        <v>982.90160000000003</v>
      </c>
      <c r="BC414" s="478">
        <f>IF(OR(C414="",D414=""),"",VLOOKUP(D414,'Base de Diseño (2)'!$A$2:$D$330,4,FALSE))</f>
        <v>981.99160000000006</v>
      </c>
      <c r="BD414" s="23">
        <f ca="1">+BF414-((AZ414/1000)+CX414)</f>
        <v>1.0429999999999864</v>
      </c>
      <c r="BE414" s="23">
        <f ca="1">+BG414-((AZ414/1000)+CX414)</f>
        <v>1.1929999999999636</v>
      </c>
      <c r="BF414" s="494">
        <v>1.3899999999999864</v>
      </c>
      <c r="BG414" s="494">
        <v>1.5399999999999636</v>
      </c>
      <c r="BH414" s="495">
        <f t="shared" si="1189"/>
        <v>981.51160000000004</v>
      </c>
      <c r="BI414" s="495">
        <f t="shared" si="1189"/>
        <v>980.4516000000001</v>
      </c>
      <c r="BJ414" s="534">
        <f t="shared" si="1184"/>
        <v>-3.999999999996362E-2</v>
      </c>
      <c r="BK414" s="475">
        <f>ABS((BB414-BC414)/AX414)*100</f>
        <v>4.2207792207790735</v>
      </c>
      <c r="BL414" s="475">
        <f>((BH414-BI414)/AX414)*100</f>
        <v>4.9165120593689497</v>
      </c>
      <c r="BM414" s="475">
        <f ca="1">IF(BA414=6,(1/0.013)*((AZ414/4000)^(2/3))*((BL414/100)^(0.5)),(1/0.009)*((AZ414/4000)^(2/3))*((BL414/100)^(0.5)))</f>
        <v>3.0333745892027633</v>
      </c>
      <c r="BN414" s="475">
        <f ca="1">1000*BM414*PI()*((AZ414/1000/2)^2)</f>
        <v>214.41661481307054</v>
      </c>
      <c r="BO414" s="204">
        <f ca="1">AI414/BN414</f>
        <v>6.9957265266393067E-3</v>
      </c>
      <c r="BP414" s="496">
        <f ca="1">IF(L414=0," ",AW414/BN414)</f>
        <v>0.68334256712212749</v>
      </c>
      <c r="BQ414" s="497">
        <f ca="1">IF($BO414&gt;0 =AND($BO414&lt;=0.06),10^(0.029806+0.29095*LOG($BO414)),IF($BO414&gt;0.06 =AND($BO414&lt;=0.26),10^(0.013778+0.282597*LOG($BO414)),IF($BO414&gt;0.26 =AND($BO414&lt;=0.91),10^(0.021763+0.28995*LOG($BO414)),1)))</f>
        <v>0.25279012818333146</v>
      </c>
      <c r="BR414" s="497">
        <f ca="1">IF($BP414&gt;0 =AND($BP414&lt;=0.06),10^(0.029806+0.29095*LOG($BP414)),IF($BP414&gt;0.06 =AND($BP414&lt;=0.26),10^(0.013778+0.282597*LOG($BP414)),IF($BP414&gt;0.26 =AND($BP414&lt;=2),10^(0.021763+0.28995*LOG($BP414))," ")))</f>
        <v>0.94149154839592897</v>
      </c>
      <c r="BS414" s="475">
        <f ca="1">BM414*BQ414</f>
        <v>0.76680715123262699</v>
      </c>
      <c r="BT414" s="475">
        <f ca="1">IF(BP414=" "," ",(BM414*BR414))</f>
        <v>2.8558965388533744</v>
      </c>
      <c r="BU414" s="475">
        <f ca="1">IF(BO414&lt;=0.11,0.3827+0.0645*LN(BO414),IF(BO414&lt;=0.21,0.60025+0.15471*LN(BO414),IF(BO414&lt;1,0.225+0.6666666667*BO414,0)))</f>
        <v>6.2621600090532081E-2</v>
      </c>
      <c r="BV414" s="475">
        <f ca="1">IF(BP414&lt;=0.11,0.3827+0.0645*LN(BP414),IF(BP414&lt;=0.21,0.60025+0.15471*LN(BP414),IF(BP414&lt;1,0.225+0.6666666667*BP414," ")))</f>
        <v>0.68056171143752975</v>
      </c>
      <c r="BW414" s="475">
        <f ca="1">2*ACOS(1-2*(BU414))</f>
        <v>1.0117252691826479</v>
      </c>
      <c r="BX414" s="475">
        <f ca="1">IF(BP414=" "," ",(2*ACOS(1-2*(BV414))))</f>
        <v>3.880537318739361</v>
      </c>
      <c r="BY414" s="475">
        <f ca="1">(1/4)*(1-(SIN(BW414))/BW414)</f>
        <v>4.0519172403446518E-2</v>
      </c>
      <c r="BZ414" s="475">
        <f ca="1">IF(BP414=" "," ",((1/4)*(1-(SIN(BX414))/BX414)))</f>
        <v>0.29339013835961314</v>
      </c>
      <c r="CA414" s="471">
        <f ca="1">BY414*AZ414/1000</f>
        <v>1.2155751721033954E-2</v>
      </c>
      <c r="CB414" s="471">
        <f ca="1">IF(BP414=" "," ",(BZ414*AZ414/1000))</f>
        <v>8.8017041507883947E-2</v>
      </c>
      <c r="CC414" s="471">
        <f t="shared" ca="1" si="1172"/>
        <v>2.1306998100741015</v>
      </c>
      <c r="CD414" s="471" t="str">
        <f ca="1">IF(CC414="","",IF(CC414&lt;0.7,"F. Subcrítico",IF(AND(CC414&gt;0.7,CC414&lt;1),"F. Subcrítico Inestable",IF(CC414=1,"F. Crítico",IF(AND(CC414&gt;1,CC414&lt;1.5),"F. Supercrítico Inestable",IF(CC414&gt;1.5,"F. Supercrítico",""))))))</f>
        <v>F. Supercrítico</v>
      </c>
      <c r="CE414" s="471">
        <f ca="1">1000*BL414*CA414/100</f>
        <v>0.59763899927158304</v>
      </c>
      <c r="CF414" s="471">
        <f ca="1">IF(BP414=" "," ",(1000*BL414*CB414/100))</f>
        <v>4.3273684600348883</v>
      </c>
      <c r="CG414" s="471" t="str">
        <f ca="1">IF(BS414&lt;0.45,"No cumple",IF(BS414&gt;5,"No cumple","O.K"))</f>
        <v>O.K</v>
      </c>
      <c r="CH414" s="471" t="str">
        <f ca="1">IF(BT414&lt;0.75,"No cumple",IF(BT414&gt;10,"No cumple","O.K"))</f>
        <v>O.K</v>
      </c>
      <c r="CI414" s="471" t="str">
        <f ca="1">IF(CE414&gt;0.1,"OK","V.C.H.")</f>
        <v>OK</v>
      </c>
      <c r="CJ414" s="471" t="str">
        <f ca="1">IF(CF414&gt;0.2,"OK","V.C.H.")</f>
        <v>OK</v>
      </c>
      <c r="CK414" s="468">
        <f>+BJ414</f>
        <v>-3.999999999996362E-2</v>
      </c>
      <c r="CL414" s="482" t="s">
        <v>2507</v>
      </c>
      <c r="CM414" s="482"/>
      <c r="CN414" s="63" t="str">
        <f>IF(B414=1,"dato"," ")</f>
        <v xml:space="preserve"> </v>
      </c>
      <c r="CO414" s="527">
        <f t="shared" si="1179"/>
        <v>21.56</v>
      </c>
      <c r="CP414" s="542">
        <f t="shared" si="1180"/>
        <v>4.2207792207790737E-2</v>
      </c>
      <c r="CQ414" s="482" t="s">
        <v>2508</v>
      </c>
      <c r="CR414" s="204">
        <f>IF(BA414="","",AX414)</f>
        <v>21.56</v>
      </c>
      <c r="CS414" s="486">
        <v>1.2</v>
      </c>
      <c r="CT414" s="486">
        <v>1.2</v>
      </c>
      <c r="CU414" s="23">
        <f>IF($BA414="","",SQRT((BH414-BI414)^2+$CR414^2))</f>
        <v>21.586041786302552</v>
      </c>
      <c r="CV414" s="499" t="s">
        <v>2509</v>
      </c>
      <c r="CW414" s="488" t="str">
        <f ca="1">+IF(BD414&lt;=0.9,"E1",IF(BD414&lt;=2.5,"E2","E3"))</f>
        <v>E2</v>
      </c>
      <c r="CX414" s="204">
        <f ca="1">IF(AND(L414="",H414=""),"",IF(AND(BA414&lt;&gt;4,BA414&lt;&gt;5),VLOOKUP(AY414,'TABLA (2)'!$A$9:$D$43,4),IF(BA414=4,VLOOKUP(AY414,'TABLA (2)'!$A$74:$D$89,4),VLOOKUP(AY414,'TABLA (2)'!$A$51:$D$66,4))))</f>
        <v>4.7E-2</v>
      </c>
      <c r="CY414" s="482"/>
      <c r="CZ414" s="482"/>
      <c r="DA414" s="482"/>
      <c r="DB414" s="490"/>
    </row>
    <row r="415" spans="1:106" ht="15" hidden="1" customHeight="1">
      <c r="A415" s="465">
        <f>+A414+1</f>
        <v>300</v>
      </c>
      <c r="B415" s="491"/>
      <c r="C415" s="466" t="s">
        <v>2272</v>
      </c>
      <c r="D415" s="466" t="s">
        <v>2273</v>
      </c>
      <c r="E415" s="468"/>
      <c r="F415" s="468"/>
      <c r="G415" s="537">
        <f t="shared" si="1176"/>
        <v>0.69439838840000001</v>
      </c>
      <c r="H415" s="537">
        <f t="shared" si="1177"/>
        <v>0.69439838840000001</v>
      </c>
      <c r="I415" s="468"/>
      <c r="J415" s="468"/>
      <c r="K415" s="467">
        <f ca="1">+IF(B415=1,0,SUMIF($D$22:$D$583,C415,$L$22:$L$580))</f>
        <v>0.69439838840000001</v>
      </c>
      <c r="L415" s="468">
        <f ca="1">+I415+J415+K415</f>
        <v>0.69439838840000001</v>
      </c>
      <c r="M415" s="469">
        <f>+$P$12</f>
        <v>242.33666300502347</v>
      </c>
      <c r="N415" s="470">
        <f>M415*E415</f>
        <v>0</v>
      </c>
      <c r="O415" s="470">
        <f>M415*F415</f>
        <v>0</v>
      </c>
      <c r="P415" s="470">
        <f>M415*H415</f>
        <v>168.27818824092219</v>
      </c>
      <c r="Q415" s="469">
        <f t="shared" si="1181"/>
        <v>140</v>
      </c>
      <c r="R415" s="471">
        <f>Q415*P415*$P$14/86400</f>
        <v>0.23177204167441831</v>
      </c>
      <c r="S415" s="471"/>
      <c r="T415" s="471"/>
      <c r="U415" s="471">
        <f>IF(C415="","",T415*$P$17)</f>
        <v>0</v>
      </c>
      <c r="V415" s="471"/>
      <c r="W415" s="471"/>
      <c r="X415" s="471">
        <f>IF(C415="","",W415*$P$16)</f>
        <v>0</v>
      </c>
      <c r="Y415" s="471">
        <f>IF(H415=0,0,$H$15*H415)</f>
        <v>0.13887967768000001</v>
      </c>
      <c r="Z415" s="471">
        <f ca="1">IF(L415=0,$H$16*H415,0)</f>
        <v>0</v>
      </c>
      <c r="AA415" s="471">
        <f t="shared" si="1185"/>
        <v>3.8</v>
      </c>
      <c r="AB415" s="471">
        <f>R415*AA415</f>
        <v>0.88073375836278955</v>
      </c>
      <c r="AC415" s="471">
        <f>Q415*(N415+O415)*$P$14/86400</f>
        <v>0</v>
      </c>
      <c r="AD415" s="471">
        <f t="shared" si="1188"/>
        <v>0</v>
      </c>
      <c r="AE415" s="471">
        <f t="shared" si="1188"/>
        <v>0</v>
      </c>
      <c r="AF415" s="510">
        <f t="shared" si="1175"/>
        <v>3.8</v>
      </c>
      <c r="AG415" s="471">
        <f>AC415*AF415</f>
        <v>0</v>
      </c>
      <c r="AH415" s="471">
        <f>+AD415+AE415+AG415</f>
        <v>0</v>
      </c>
      <c r="AI415" s="471">
        <f ca="1">IF(H415="","",IF(AB415+Y415+Z415+X415+U415&lt;1.5,1.5,AB415+Y415+Z415+X415+U415))</f>
        <v>1.5</v>
      </c>
      <c r="AJ415" s="471">
        <f>+$P$17</f>
        <v>0.75</v>
      </c>
      <c r="AK415" s="472">
        <f>+BK415/100</f>
        <v>2.6252983293555469E-2</v>
      </c>
      <c r="AL415" s="471">
        <f>IF(AJ415=0," ",0.14+0.65*AJ415+0.05*AK415)</f>
        <v>0.62881264916467783</v>
      </c>
      <c r="AM415" s="473">
        <f t="shared" si="1178"/>
        <v>333.54203983618612</v>
      </c>
      <c r="AN415" s="474">
        <f t="shared" si="1171"/>
        <v>10.119777777777777</v>
      </c>
      <c r="AO415" s="474">
        <f>((1/60)*$AX415/$AQ415)</f>
        <v>0.16294444444444442</v>
      </c>
      <c r="AP415" s="474">
        <f>IF(B415=1,IF(($AN415+$AO415)&lt;10,10,IF(($AN415+$AO415)&gt;20,20,($AN415+$AO415))),($AN415+$AO415))</f>
        <v>10.282722222222223</v>
      </c>
      <c r="AQ415" s="475">
        <v>3</v>
      </c>
      <c r="AR415" s="474">
        <f ca="1">((1/60)*$AX415/$BT415)</f>
        <v>0.12909696100350601</v>
      </c>
      <c r="AS415" s="474">
        <f ca="1">AO415/AR415</f>
        <v>1.2621865238176999</v>
      </c>
      <c r="AT415" s="471" t="str">
        <f ca="1">IF(AS415&lt;0.9,"Disminuir vel.",IF(AS415&gt;1.1,"Aumentar vel.","Cumple"))</f>
        <v>Aumentar vel.</v>
      </c>
      <c r="AU415" s="492">
        <f>+I415*AL415*AM415</f>
        <v>0</v>
      </c>
      <c r="AV415" s="471">
        <f ca="1">+L415*AL415*AM415</f>
        <v>145.63996102377851</v>
      </c>
      <c r="AW415" s="471">
        <f ca="1">ROUND(IF(AI415&gt;(AV415*0.05),(AV415+AI415),AV415),2)</f>
        <v>145.63999999999999</v>
      </c>
      <c r="AX415" s="478">
        <f>IF(OR(C415="",D415=""),"",ROUND(((VLOOKUP(C415,'Base de Diseño (2)'!$A$2:$C$333,2,FALSE)-VLOOKUP(D415,'Base de Diseño (2)'!$A$2:$C$333,2,FALSE))^2+(VLOOKUP(C415,'Base de Diseño (2)'!$A$2:$C$333,3,0)-VLOOKUP(D415,'Base de Diseño (2)'!$A$2:$C$333,3,FALSE))^2)^0.5,2))</f>
        <v>29.33</v>
      </c>
      <c r="AY415" s="493">
        <v>8</v>
      </c>
      <c r="AZ415" s="480">
        <f ca="1">IF(AND(L415="",H415=""),"",IF(BA415=4,VLOOKUP(AY415,'TABLA (2)'!$A$74:$C$89,2),IF(BA415=5,VLOOKUP(AY415,'TABLA (2)'!$A$51:$B$66,2),IF(BA415=6,VLOOKUP(AY415,'TABLA (2)'!$A$9:$B$43,2)))))</f>
        <v>200</v>
      </c>
      <c r="BA415" s="493">
        <v>6</v>
      </c>
      <c r="BB415" s="478">
        <f>IF(OR(C415="",D415=""),"",VLOOKUP(C415,'Base de Diseño (2)'!$A$2:$D$330,4,FALSE))</f>
        <v>981.99160000000006</v>
      </c>
      <c r="BC415" s="478">
        <f>IF(OR(C415="",D415=""),"",VLOOKUP(D415,'Base de Diseño (2)'!$A$2:$D$330,4,FALSE))</f>
        <v>981.22160000000008</v>
      </c>
      <c r="BD415" s="23">
        <f ca="1">+BF415-((AZ415/1000)+CX415)</f>
        <v>1.2629999999999999</v>
      </c>
      <c r="BE415" s="23">
        <f ca="1">+BG415-((AZ415/1000)+CX415)</f>
        <v>3.3330000000000499</v>
      </c>
      <c r="BF415" s="494">
        <v>1.5</v>
      </c>
      <c r="BG415" s="494">
        <v>3.57000000000005</v>
      </c>
      <c r="BH415" s="495">
        <f t="shared" si="1189"/>
        <v>980.49160000000006</v>
      </c>
      <c r="BI415" s="495">
        <f t="shared" si="1189"/>
        <v>977.65160000000003</v>
      </c>
      <c r="BJ415" s="534">
        <f t="shared" si="1184"/>
        <v>2.9999999999972715E-2</v>
      </c>
      <c r="BK415" s="475">
        <f>ABS((BB415-BC415)/AX415)*100</f>
        <v>2.6252983293555467</v>
      </c>
      <c r="BL415" s="475">
        <f>((BH415-BI415)/AX415)*100</f>
        <v>9.6829185134675484</v>
      </c>
      <c r="BM415" s="475">
        <f ca="1">IF(BA415=6,(1/0.013)*((AZ415/4000)^(2/3))*((BL415/100)^(0.5)),(1/0.009)*((AZ415/4000)^(2/3))*((BL415/100)^(0.5)))</f>
        <v>3.2486764169802096</v>
      </c>
      <c r="BN415" s="475">
        <f ca="1">1000*BM415*PI()*((AZ415/1000/2)^2)</f>
        <v>102.06017965475439</v>
      </c>
      <c r="BO415" s="204">
        <f ca="1">AI415/BN415</f>
        <v>1.4697211048169302E-2</v>
      </c>
      <c r="BP415" s="496">
        <f ca="1">IF(L415=0," ",AW415/BN415)</f>
        <v>1.4270012113702513</v>
      </c>
      <c r="BQ415" s="497">
        <f ca="1">IF($BO415&gt;0 =AND($BO415&lt;=0.06),10^(0.029806+0.29095*LOG($BO415)),IF($BO415&gt;0.06 =AND($BO415&lt;=0.26),10^(0.013778+0.282597*LOG($BO415)),IF($BO415&gt;0.26 =AND($BO415&lt;=0.91),10^(0.021763+0.28995*LOG($BO415)),1)))</f>
        <v>0.31373502321918456</v>
      </c>
      <c r="BR415" s="497">
        <f ca="1">IF($BP415&gt;0 =AND($BP415&lt;=0.06),10^(0.029806+0.29095*LOG($BP415)),IF($BP415&gt;0.06 =AND($BP415&lt;=0.26),10^(0.013778+0.282597*LOG($BP415)),IF($BP415&gt;0.26 =AND($BP415&lt;=2),10^(0.021763+0.28995*LOG($BP415))," ")))</f>
        <v>1.1655699384713967</v>
      </c>
      <c r="BS415" s="475">
        <f ca="1">BM415*BQ415</f>
        <v>1.0192235711129034</v>
      </c>
      <c r="BT415" s="475">
        <f ca="1">IF(BP415=" "," ",(BM415*BR415))</f>
        <v>3.7865595714531004</v>
      </c>
      <c r="BU415" s="475">
        <f ca="1">IF(BO415&lt;=0.11,0.3827+0.0645*LN(BO415),IF(BO415&lt;=0.21,0.60025+0.15471*LN(BO415),IF(BO415&lt;1,0.225+0.6666666667*BO415,0)))</f>
        <v>0.11050370945614074</v>
      </c>
      <c r="BV415" s="475" t="str">
        <f ca="1">IF(BP415&lt;=0.11,0.3827+0.0645*LN(BP415),IF(BP415&lt;=0.21,0.60025+0.15471*LN(BP415),IF(BP415&lt;1,0.225+0.6666666667*BP415," ")))</f>
        <v xml:space="preserve"> </v>
      </c>
      <c r="BW415" s="475">
        <f ca="1">2*ACOS(1-2*(BU415))</f>
        <v>1.3554775214197268</v>
      </c>
      <c r="BX415" s="475" t="e">
        <f ca="1">IF(BP415=" "," ",(2*ACOS(1-2*(BV415))))</f>
        <v>#VALUE!</v>
      </c>
      <c r="BY415" s="475">
        <f ca="1">(1/4)*(1-(SIN(BW415))/BW415)</f>
        <v>6.9822108294818774E-2</v>
      </c>
      <c r="BZ415" s="475" t="e">
        <f ca="1">IF(BP415=" "," ",((1/4)*(1-(SIN(BX415))/BX415)))</f>
        <v>#VALUE!</v>
      </c>
      <c r="CA415" s="471">
        <f ca="1">BY415*AZ415/1000</f>
        <v>1.3964421658963755E-2</v>
      </c>
      <c r="CB415" s="471" t="e">
        <f ca="1">IF(BP415=" "," ",(BZ415*AZ415/1000))</f>
        <v>#VALUE!</v>
      </c>
      <c r="CC415" s="471" t="e">
        <f t="shared" ca="1" si="1172"/>
        <v>#VALUE!</v>
      </c>
      <c r="CD415" s="471" t="e">
        <f ca="1">IF(CC415="","",IF(CC415&lt;0.7,"F. Subcrítico",IF(AND(CC415&gt;0.7,CC415&lt;1),"F. Subcrítico Inestable",IF(CC415=1,"F. Crítico",IF(AND(CC415&gt;1,CC415&lt;1.5),"F. Supercrítico Inestable",IF(CC415&gt;1.5,"F. Supercrítico",""))))))</f>
        <v>#VALUE!</v>
      </c>
      <c r="CE415" s="471">
        <f ca="1">1000*BL415*CA415/100</f>
        <v>1.3521635701144734</v>
      </c>
      <c r="CF415" s="471" t="e">
        <f ca="1">IF(BP415=" "," ",(1000*BL415*CB415/100))</f>
        <v>#VALUE!</v>
      </c>
      <c r="CG415" s="471" t="str">
        <f ca="1">IF(BS415&lt;0.45,"No cumple",IF(BS415&gt;5,"No cumple","O.K"))</f>
        <v>O.K</v>
      </c>
      <c r="CH415" s="471" t="str">
        <f ca="1">IF(BT415&lt;0.75,"No cumple",IF(BT415&gt;10,"No cumple","O.K"))</f>
        <v>O.K</v>
      </c>
      <c r="CI415" s="471" t="str">
        <f ca="1">IF(CE415&gt;0.1,"OK","V.C.H.")</f>
        <v>OK</v>
      </c>
      <c r="CJ415" s="471" t="e">
        <f ca="1">IF(CF415&gt;0.2,"OK","V.C.H.")</f>
        <v>#VALUE!</v>
      </c>
      <c r="CK415" s="468">
        <f>+BJ415</f>
        <v>2.9999999999972715E-2</v>
      </c>
      <c r="CL415" s="482" t="s">
        <v>2507</v>
      </c>
      <c r="CM415" s="482"/>
      <c r="CN415" s="63" t="str">
        <f>IF(B415=1,"dato"," ")</f>
        <v xml:space="preserve"> </v>
      </c>
      <c r="CO415" s="527">
        <f t="shared" si="1179"/>
        <v>29.33</v>
      </c>
      <c r="CP415" s="511">
        <f t="shared" si="1180"/>
        <v>2.6252983293555469E-2</v>
      </c>
      <c r="CQ415" s="482" t="s">
        <v>2508</v>
      </c>
      <c r="CR415" s="204">
        <f>IF(BA415="","",AX415)</f>
        <v>29.33</v>
      </c>
      <c r="CS415" s="486">
        <v>1.2</v>
      </c>
      <c r="CT415" s="486">
        <v>1.2</v>
      </c>
      <c r="CU415" s="23">
        <f>IF($BA415="","",SQRT((BH415-BI415)^2+$CR415^2))</f>
        <v>29.467176654711935</v>
      </c>
      <c r="CV415" s="499" t="s">
        <v>2509</v>
      </c>
      <c r="CW415" s="488" t="str">
        <f ca="1">+IF(BD415&lt;=0.9,"E1",IF(BD415&lt;=2.5,"E2","E3"))</f>
        <v>E2</v>
      </c>
      <c r="CX415" s="204">
        <f ca="1">IF(AND(L415="",H415=""),"",IF(AND(BA415&lt;&gt;4,BA415&lt;&gt;5),VLOOKUP(AY415,'TABLA (2)'!$A$9:$D$43,4),IF(BA415=4,VLOOKUP(AY415,'TABLA (2)'!$A$74:$D$89,4),VLOOKUP(AY415,'TABLA (2)'!$A$51:$D$66,4))))</f>
        <v>3.6999999999999998E-2</v>
      </c>
      <c r="CY415" s="482"/>
      <c r="CZ415" s="482"/>
      <c r="DA415" s="482"/>
      <c r="DB415" s="490"/>
    </row>
    <row r="416" spans="1:106" ht="15" hidden="1" customHeight="1">
      <c r="A416" s="465">
        <f>+A415+1</f>
        <v>301</v>
      </c>
      <c r="B416" s="491"/>
      <c r="C416" s="466" t="s">
        <v>2273</v>
      </c>
      <c r="D416" s="466" t="s">
        <v>2274</v>
      </c>
      <c r="E416" s="468"/>
      <c r="F416" s="468"/>
      <c r="G416" s="537">
        <f t="shared" si="1176"/>
        <v>0.69439838840000001</v>
      </c>
      <c r="H416" s="537">
        <f t="shared" si="1177"/>
        <v>0.69439838840000001</v>
      </c>
      <c r="I416" s="468"/>
      <c r="J416" s="468"/>
      <c r="K416" s="467">
        <f ca="1">+IF(B416=1,0,SUMIF($D$22:$D$583,C416,$L$22:$L$580))</f>
        <v>0.69439838840000001</v>
      </c>
      <c r="L416" s="468">
        <f ca="1">+I416+J416+K416</f>
        <v>0.69439838840000001</v>
      </c>
      <c r="M416" s="469">
        <f>+$P$12</f>
        <v>242.33666300502347</v>
      </c>
      <c r="N416" s="470">
        <f>M416*E416</f>
        <v>0</v>
      </c>
      <c r="O416" s="470">
        <f>M416*F416</f>
        <v>0</v>
      </c>
      <c r="P416" s="470">
        <f>M416*H416</f>
        <v>168.27818824092219</v>
      </c>
      <c r="Q416" s="469">
        <f t="shared" si="1181"/>
        <v>140</v>
      </c>
      <c r="R416" s="471">
        <f>Q416*P416*$P$14/86400</f>
        <v>0.23177204167441831</v>
      </c>
      <c r="S416" s="471"/>
      <c r="T416" s="471"/>
      <c r="U416" s="471">
        <f>IF(C416="","",T416*$P$17)</f>
        <v>0</v>
      </c>
      <c r="V416" s="471"/>
      <c r="W416" s="471"/>
      <c r="X416" s="471">
        <f>IF(C416="","",W416*$P$16)</f>
        <v>0</v>
      </c>
      <c r="Y416" s="471">
        <f>IF(H416=0,0,$H$15*H416)</f>
        <v>0.13887967768000001</v>
      </c>
      <c r="Z416" s="471">
        <f ca="1">IF(L416=0,$H$16*H416,0)</f>
        <v>0</v>
      </c>
      <c r="AA416" s="471">
        <f t="shared" si="1185"/>
        <v>3.8</v>
      </c>
      <c r="AB416" s="471">
        <f>R416*AA416</f>
        <v>0.88073375836278955</v>
      </c>
      <c r="AC416" s="471">
        <f>Q416*(N416+O416)*$P$14/86400</f>
        <v>0</v>
      </c>
      <c r="AD416" s="471">
        <f t="shared" si="1188"/>
        <v>0</v>
      </c>
      <c r="AE416" s="471">
        <f t="shared" si="1188"/>
        <v>0</v>
      </c>
      <c r="AF416" s="510">
        <f t="shared" si="1175"/>
        <v>3.8</v>
      </c>
      <c r="AG416" s="471">
        <f>AC416*AF416</f>
        <v>0</v>
      </c>
      <c r="AH416" s="471">
        <f>+AD416+AE416+AG416</f>
        <v>0</v>
      </c>
      <c r="AI416" s="471">
        <f ca="1">IF(H416="","",IF(AB416+Y416+Z416+X416+U416&lt;1.5,1.5,AB416+Y416+Z416+X416+U416))</f>
        <v>1.5</v>
      </c>
      <c r="AJ416" s="471">
        <f>+$P$17</f>
        <v>0.75</v>
      </c>
      <c r="AK416" s="472">
        <f>+BK416/100</f>
        <v>0.30733944954128517</v>
      </c>
      <c r="AL416" s="471">
        <f>IF(AJ416=0," ",0.14+0.65*AJ416+0.05*AK416)</f>
        <v>0.64286697247706437</v>
      </c>
      <c r="AM416" s="473">
        <f t="shared" si="1178"/>
        <v>331.65919429517794</v>
      </c>
      <c r="AN416" s="474">
        <f t="shared" ref="AN416:AN447" si="1190">IF(B416=1,IF((0.702*(1.1-$AJ416)*SQRT($CO416))/(($CP416)^(1/3))&lt;5,5,(0.702*(1.1-$AJ416)*SQRT($CO416))/(($CP416)^(1/3))),AP415)</f>
        <v>10.282722222222223</v>
      </c>
      <c r="AO416" s="474">
        <f>((1/60)*$AX416/$AQ416)</f>
        <v>0.1937777777777778</v>
      </c>
      <c r="AP416" s="474">
        <f>IF(B416=1,IF(($AN416+$AO416)&lt;10,10,IF(($AN416+$AO416)&gt;20,20,($AN416+$AO416))),($AN416+$AO416))</f>
        <v>10.4765</v>
      </c>
      <c r="AQ416" s="475">
        <v>3</v>
      </c>
      <c r="AR416" s="474">
        <f ca="1">((1/60)*$AX416/$BT416)</f>
        <v>0.1028469222802</v>
      </c>
      <c r="AS416" s="474">
        <f ca="1">AO416/AR416</f>
        <v>1.8841378378814524</v>
      </c>
      <c r="AT416" s="471" t="str">
        <f ca="1">IF(AS416&lt;0.9,"Disminuir vel.",IF(AS416&gt;1.1,"Aumentar vel.","Cumple"))</f>
        <v>Aumentar vel.</v>
      </c>
      <c r="AU416" s="492">
        <f>+I416*AL416*AM416</f>
        <v>0</v>
      </c>
      <c r="AV416" s="471">
        <f ca="1">+L416*AL416*AM416</f>
        <v>148.0545845219192</v>
      </c>
      <c r="AW416" s="471">
        <f ca="1">ROUND(IF(AI416&gt;(AV416*0.05),(AV416+AI416),AV416),2)</f>
        <v>148.05000000000001</v>
      </c>
      <c r="AX416" s="478">
        <f>IF(OR(C416="",D416=""),"",ROUND(((VLOOKUP(C416,'Base de Diseño (2)'!$A$2:$C$333,2,FALSE)-VLOOKUP(D416,'Base de Diseño (2)'!$A$2:$C$333,2,FALSE))^2+(VLOOKUP(C416,'Base de Diseño (2)'!$A$2:$C$333,3,0)-VLOOKUP(D416,'Base de Diseño (2)'!$A$2:$C$333,3,FALSE))^2)^0.5,2))</f>
        <v>34.880000000000003</v>
      </c>
      <c r="AY416" s="493">
        <v>8</v>
      </c>
      <c r="AZ416" s="480">
        <f ca="1">IF(AND(L416="",H416=""),"",IF(BA416=4,VLOOKUP(AY416,'TABLA (2)'!$A$74:$C$89,2),IF(BA416=5,VLOOKUP(AY416,'TABLA (2)'!$A$51:$B$66,2),IF(BA416=6,VLOOKUP(AY416,'TABLA (2)'!$A$9:$B$43,2)))))</f>
        <v>200</v>
      </c>
      <c r="BA416" s="493">
        <v>6</v>
      </c>
      <c r="BB416" s="478">
        <f>IF(OR(C416="",D416=""),"",VLOOKUP(C416,'Base de Diseño (2)'!$A$2:$D$330,4,FALSE))</f>
        <v>981.22160000000008</v>
      </c>
      <c r="BC416" s="478">
        <f>IF(OR(C416="",D416=""),"",VLOOKUP(D416,'Base de Diseño (2)'!$A$2:$D$330,4,FALSE))</f>
        <v>970.50160000000005</v>
      </c>
      <c r="BD416" s="23">
        <f ca="1">+BF416-((AZ416/1000)+CX416)</f>
        <v>3.3630000000000226</v>
      </c>
      <c r="BE416" s="23">
        <f ca="1">+BG416-((AZ416/1000)+CX416)</f>
        <v>2.9429999999999499</v>
      </c>
      <c r="BF416" s="494">
        <v>3.6000000000000227</v>
      </c>
      <c r="BG416" s="494">
        <v>3.17999999999995</v>
      </c>
      <c r="BH416" s="495">
        <f t="shared" si="1189"/>
        <v>977.62160000000006</v>
      </c>
      <c r="BI416" s="495">
        <f t="shared" si="1189"/>
        <v>967.3216000000001</v>
      </c>
      <c r="BJ416" s="534">
        <f t="shared" si="1184"/>
        <v>2.0000000000095497E-2</v>
      </c>
      <c r="BK416" s="475">
        <f>ABS((BB416-BC416)/AX416)*100</f>
        <v>30.733944954128518</v>
      </c>
      <c r="BL416" s="475">
        <f>((BH416-BI416)/AX416)*100</f>
        <v>29.529816513761336</v>
      </c>
      <c r="BM416" s="475">
        <f ca="1">IF(BA416=6,(1/0.013)*((AZ416/4000)^(2/3))*((BL416/100)^(0.5)),(1/0.009)*((AZ416/4000)^(2/3))*((BL416/100)^(0.5)))</f>
        <v>5.6732731174879802</v>
      </c>
      <c r="BN416" s="475">
        <f ca="1">1000*BM416*PI()*((AZ416/1000/2)^2)</f>
        <v>178.23113147708705</v>
      </c>
      <c r="BO416" s="204">
        <f ca="1">AI416/BN416</f>
        <v>8.4160381386168565E-3</v>
      </c>
      <c r="BP416" s="496">
        <f ca="1">IF(L416=0," ",AW416/BN416)</f>
        <v>0.8306629642814839</v>
      </c>
      <c r="BQ416" s="497">
        <f ca="1">IF($BO416&gt;0 =AND($BO416&lt;=0.06),10^(0.029806+0.29095*LOG($BO416)),IF($BO416&gt;0.06 =AND($BO416&lt;=0.26),10^(0.013778+0.282597*LOG($BO416)),IF($BO416&gt;0.26 =AND($BO416&lt;=0.91),10^(0.021763+0.28995*LOG($BO416)),1)))</f>
        <v>0.26675715921614002</v>
      </c>
      <c r="BR416" s="497">
        <f ca="1">IF($BP416&gt;0 =AND($BP416&lt;=0.06),10^(0.029806+0.29095*LOG($BP416)),IF($BP416&gt;0.06 =AND($BP416&lt;=0.26),10^(0.013778+0.282597*LOG($BP416)),IF($BP416&gt;0.26 =AND($BP416&lt;=2),10^(0.021763+0.28995*LOG($BP416))," ")))</f>
        <v>0.99632318003881692</v>
      </c>
      <c r="BS416" s="475">
        <f ca="1">BM416*BQ416</f>
        <v>1.5133862202783881</v>
      </c>
      <c r="BT416" s="475">
        <f ca="1">IF(BP416=" "," ",(BM416*BR416))</f>
        <v>5.6524135136443574</v>
      </c>
      <c r="BU416" s="475">
        <f ca="1">IF(BO416&lt;=0.11,0.3827+0.0645*LN(BO416),IF(BO416&lt;=0.21,0.60025+0.15471*LN(BO416),IF(BO416&lt;1,0.225+0.6666666667*BO416,0)))</f>
        <v>7.4543762110034661E-2</v>
      </c>
      <c r="BV416" s="475">
        <f ca="1">IF(BP416&lt;=0.11,0.3827+0.0645*LN(BP416),IF(BP416&lt;=0.21,0.60025+0.15471*LN(BP416),IF(BP416&lt;1,0.225+0.6666666667*BP416," ")))</f>
        <v>0.77877530954867802</v>
      </c>
      <c r="BW416" s="475">
        <f ca="1">2*ACOS(1-2*(BU416))</f>
        <v>1.1061528745507587</v>
      </c>
      <c r="BX416" s="475">
        <f ca="1">IF(BP416=" "," ",(2*ACOS(1-2*(BV416))))</f>
        <v>4.324457279945257</v>
      </c>
      <c r="BY416" s="475">
        <f ca="1">(1/4)*(1-(SIN(BW416))/BW416)</f>
        <v>4.7952567520148731E-2</v>
      </c>
      <c r="BZ416" s="475">
        <f ca="1">IF(BP416=" "," ",((1/4)*(1-(SIN(BX416))/BX416)))</f>
        <v>0.30351500573291984</v>
      </c>
      <c r="CA416" s="471">
        <f ca="1">BY416*AZ416/1000</f>
        <v>9.5905135040297452E-3</v>
      </c>
      <c r="CB416" s="471">
        <f ca="1">IF(BP416=" "," ",(BZ416*AZ416/1000))</f>
        <v>6.0703001146583967E-2</v>
      </c>
      <c r="CC416" s="471">
        <f t="shared" ref="CC416:CC447" ca="1" si="1191">+(BT416/SQRT(9.81*(0.125*(BX416-SIN(BX416))*(AZ416/1000)^2)/((AZ416/1000)*SIN(BX416/2))))</f>
        <v>4.5385797743702092</v>
      </c>
      <c r="CD416" s="471" t="str">
        <f ca="1">IF(CC416="","",IF(CC416&lt;0.7,"F. Subcrítico",IF(AND(CC416&gt;0.7,CC416&lt;1),"F. Subcrítico Inestable",IF(CC416=1,"F. Crítico",IF(AND(CC416&gt;1,CC416&lt;1.5),"F. Supercrítico Inestable",IF(CC416&gt;1.5,"F. Supercrítico",""))))))</f>
        <v>F. Supercrítico</v>
      </c>
      <c r="CE416" s="471">
        <f ca="1">1000*BL416*CA416/100</f>
        <v>2.8320610404674871</v>
      </c>
      <c r="CF416" s="471">
        <f ca="1">IF(BP416=" "," ",(1000*BL416*CB416/100))</f>
        <v>17.925484856932684</v>
      </c>
      <c r="CG416" s="471" t="str">
        <f ca="1">IF(BS416&lt;0.45,"No cumple",IF(BS416&gt;5,"No cumple","O.K"))</f>
        <v>O.K</v>
      </c>
      <c r="CH416" s="471" t="str">
        <f ca="1">IF(BT416&lt;0.75,"No cumple",IF(BT416&gt;10,"No cumple","O.K"))</f>
        <v>O.K</v>
      </c>
      <c r="CI416" s="471" t="str">
        <f ca="1">IF(CE416&gt;0.1,"OK","V.C.H.")</f>
        <v>OK</v>
      </c>
      <c r="CJ416" s="471" t="str">
        <f ca="1">IF(CF416&gt;0.2,"OK","V.C.H.")</f>
        <v>OK</v>
      </c>
      <c r="CK416" s="468">
        <f>+BJ416</f>
        <v>2.0000000000095497E-2</v>
      </c>
      <c r="CL416" s="482" t="s">
        <v>2507</v>
      </c>
      <c r="CM416" s="482"/>
      <c r="CN416" s="63" t="str">
        <f>IF(B416=1,"dato"," ")</f>
        <v xml:space="preserve"> </v>
      </c>
      <c r="CO416" s="527">
        <f t="shared" si="1179"/>
        <v>34.880000000000003</v>
      </c>
      <c r="CP416" s="542">
        <f t="shared" si="1180"/>
        <v>0.30733944954128517</v>
      </c>
      <c r="CQ416" s="482" t="s">
        <v>2508</v>
      </c>
      <c r="CR416" s="204">
        <f>IF(BA416="","",AX416)</f>
        <v>34.880000000000003</v>
      </c>
      <c r="CS416" s="486">
        <v>1.2</v>
      </c>
      <c r="CT416" s="486">
        <v>1.2</v>
      </c>
      <c r="CU416" s="23">
        <f>IF($BA416="","",SQRT((BH416-BI416)^2+$CR416^2))</f>
        <v>36.369003285765189</v>
      </c>
      <c r="CV416" s="499" t="s">
        <v>2509</v>
      </c>
      <c r="CW416" s="488" t="str">
        <f ca="1">+IF(BD416&lt;=0.9,"E1",IF(BD416&lt;=2.5,"E2","E3"))</f>
        <v>E3</v>
      </c>
      <c r="CX416" s="204">
        <f ca="1">IF(AND(L416="",H416=""),"",IF(AND(BA416&lt;&gt;4,BA416&lt;&gt;5),VLOOKUP(AY416,'TABLA (2)'!$A$9:$D$43,4),IF(BA416=4,VLOOKUP(AY416,'TABLA (2)'!$A$74:$D$89,4),VLOOKUP(AY416,'TABLA (2)'!$A$51:$D$66,4))))</f>
        <v>3.6999999999999998E-2</v>
      </c>
      <c r="CY416" s="482"/>
      <c r="CZ416" s="482"/>
      <c r="DA416" s="482"/>
      <c r="DB416" s="490"/>
    </row>
    <row r="417" spans="1:106" ht="15" hidden="1" customHeight="1">
      <c r="A417" s="465">
        <f>+A416+1</f>
        <v>302</v>
      </c>
      <c r="B417" s="491"/>
      <c r="C417" s="466" t="s">
        <v>2274</v>
      </c>
      <c r="D417" s="466" t="s">
        <v>2275</v>
      </c>
      <c r="E417" s="468"/>
      <c r="F417" s="468"/>
      <c r="G417" s="537">
        <f t="shared" si="1176"/>
        <v>0.69439838840000001</v>
      </c>
      <c r="H417" s="537">
        <f t="shared" si="1177"/>
        <v>0.69439838840000001</v>
      </c>
      <c r="I417" s="468"/>
      <c r="J417" s="468"/>
      <c r="K417" s="467">
        <f ca="1">+IF(B417=1,0,SUMIF($D$22:$D$583,C417,$L$22:$L$580))</f>
        <v>0.69439838840000001</v>
      </c>
      <c r="L417" s="468">
        <f ca="1">+I417+J417+K417</f>
        <v>0.69439838840000001</v>
      </c>
      <c r="M417" s="469">
        <f>+$P$12</f>
        <v>242.33666300502347</v>
      </c>
      <c r="N417" s="470">
        <f>M417*E417</f>
        <v>0</v>
      </c>
      <c r="O417" s="470">
        <f>M417*F417</f>
        <v>0</v>
      </c>
      <c r="P417" s="470">
        <f>M417*H417</f>
        <v>168.27818824092219</v>
      </c>
      <c r="Q417" s="469">
        <f t="shared" si="1181"/>
        <v>140</v>
      </c>
      <c r="R417" s="471">
        <f>Q417*P417*$P$14/86400</f>
        <v>0.23177204167441831</v>
      </c>
      <c r="S417" s="471"/>
      <c r="T417" s="471"/>
      <c r="U417" s="471">
        <f>IF(C417="","",T417*$P$17)</f>
        <v>0</v>
      </c>
      <c r="V417" s="471"/>
      <c r="W417" s="471"/>
      <c r="X417" s="471">
        <f>IF(C417="","",W417*$P$16)</f>
        <v>0</v>
      </c>
      <c r="Y417" s="471">
        <f>IF(H417=0,0,$H$15*H417)</f>
        <v>0.13887967768000001</v>
      </c>
      <c r="Z417" s="471">
        <f ca="1">IF(L417=0,$H$16*H417,0)</f>
        <v>0</v>
      </c>
      <c r="AA417" s="471">
        <f t="shared" si="1185"/>
        <v>3.8</v>
      </c>
      <c r="AB417" s="471">
        <f>R417*AA417</f>
        <v>0.88073375836278955</v>
      </c>
      <c r="AC417" s="471">
        <f>Q417*(N417+O417)*$P$14/86400</f>
        <v>0</v>
      </c>
      <c r="AD417" s="471">
        <f t="shared" si="1188"/>
        <v>0</v>
      </c>
      <c r="AE417" s="471">
        <f t="shared" si="1188"/>
        <v>0</v>
      </c>
      <c r="AF417" s="510">
        <f t="shared" si="1175"/>
        <v>3.8</v>
      </c>
      <c r="AG417" s="471">
        <f>AC417*AF417</f>
        <v>0</v>
      </c>
      <c r="AH417" s="471">
        <f>+AD417+AE417+AG417</f>
        <v>0</v>
      </c>
      <c r="AI417" s="471">
        <f ca="1">IF(H417="","",IF(AB417+Y417+Z417+X417+U417&lt;1.5,1.5,AB417+Y417+Z417+X417+U417))</f>
        <v>1.5</v>
      </c>
      <c r="AJ417" s="471">
        <f>+$P$17</f>
        <v>0.75</v>
      </c>
      <c r="AK417" s="472">
        <f>+BK417/100</f>
        <v>5.9961928934009728E-2</v>
      </c>
      <c r="AL417" s="471">
        <f>IF(AJ417=0," ",0.14+0.65*AJ417+0.05*AK417)</f>
        <v>0.63049809644670052</v>
      </c>
      <c r="AM417" s="473">
        <f t="shared" si="1178"/>
        <v>329.97515676487075</v>
      </c>
      <c r="AN417" s="474">
        <f t="shared" si="1190"/>
        <v>10.4765</v>
      </c>
      <c r="AO417" s="474">
        <f>((1/60)*$AX417/$AQ417)</f>
        <v>0.17511111111111111</v>
      </c>
      <c r="AP417" s="474">
        <f>IF(B417=1,IF(($AN417+$AO417)&lt;10,10,IF(($AN417+$AO417)&gt;20,20,($AN417+$AO417))),($AN417+$AO417))</f>
        <v>10.65161111111111</v>
      </c>
      <c r="AQ417" s="475">
        <v>3</v>
      </c>
      <c r="AR417" s="474">
        <f ca="1">((1/60)*$AX417/$BT417)</f>
        <v>0.40628237878791207</v>
      </c>
      <c r="AS417" s="474">
        <f ca="1">AO417/AR417</f>
        <v>0.43100838297129984</v>
      </c>
      <c r="AT417" s="471" t="str">
        <f ca="1">IF(AS417&lt;0.9,"Disminuir vel.",IF(AS417&gt;1.1,"Aumentar vel.","Cumple"))</f>
        <v>Disminuir vel.</v>
      </c>
      <c r="AU417" s="492">
        <f>+I417*AL417*AM417</f>
        <v>0</v>
      </c>
      <c r="AV417" s="471">
        <f ca="1">+L417*AL417*AM417</f>
        <v>144.46868769316492</v>
      </c>
      <c r="AW417" s="471">
        <f ca="1">ROUND(IF(AI417&gt;(AV417*0.05),(AV417+AI417),AV417),2)</f>
        <v>144.47</v>
      </c>
      <c r="AX417" s="478">
        <f>IF(OR(C417="",D417=""),"",ROUND(((VLOOKUP(C417,'Base de Diseño (2)'!$A$2:$C$333,2,FALSE)-VLOOKUP(D417,'Base de Diseño (2)'!$A$2:$C$333,2,FALSE))^2+(VLOOKUP(C417,'Base de Diseño (2)'!$A$2:$C$333,3,0)-VLOOKUP(D417,'Base de Diseño (2)'!$A$2:$C$333,3,FALSE))^2)^0.5,2))</f>
        <v>31.52</v>
      </c>
      <c r="AY417" s="493">
        <v>18</v>
      </c>
      <c r="AZ417" s="480">
        <f ca="1">IF(AND(L417="",H417=""),"",IF(BA417=4,VLOOKUP(AY417,'TABLA (2)'!$A$74:$C$89,2),IF(BA417=5,VLOOKUP(AY417,'TABLA (2)'!$A$51:$B$66,2),IF(BA417=6,VLOOKUP(AY417,'TABLA (2)'!$A$9:$B$43,2)))))</f>
        <v>450</v>
      </c>
      <c r="BA417" s="493">
        <v>6</v>
      </c>
      <c r="BB417" s="478">
        <f>IF(OR(C417="",D417=""),"",VLOOKUP(C417,'Base de Diseño (2)'!$A$2:$D$330,4,FALSE))</f>
        <v>970.50160000000005</v>
      </c>
      <c r="BC417" s="478">
        <f>IF(OR(C417="",D417=""),"",VLOOKUP(D417,'Base de Diseño (2)'!$A$2:$D$330,4,FALSE))</f>
        <v>968.61160000000007</v>
      </c>
      <c r="BD417" s="23">
        <f ca="1">+BF417-((AZ417/1000)+CX417)</f>
        <v>2.6880000000000455</v>
      </c>
      <c r="BE417" s="23">
        <f ca="1">+BG417-((AZ417/1000)+CX417)</f>
        <v>0.98799999999999999</v>
      </c>
      <c r="BF417" s="494">
        <v>3.2000000000000455</v>
      </c>
      <c r="BG417" s="494">
        <v>1.5</v>
      </c>
      <c r="BH417" s="495">
        <f t="shared" si="1189"/>
        <v>967.30160000000001</v>
      </c>
      <c r="BI417" s="495">
        <f t="shared" si="1189"/>
        <v>967.11160000000007</v>
      </c>
      <c r="BJ417" s="534">
        <f t="shared" si="1184"/>
        <v>967.11160000000007</v>
      </c>
      <c r="BK417" s="475">
        <f>ABS((BB417-BC417)/AX417)*100</f>
        <v>5.9961928934009725</v>
      </c>
      <c r="BL417" s="475">
        <f>((BH417-BI417)/AX417)*100</f>
        <v>0.60279187817240132</v>
      </c>
      <c r="BM417" s="475">
        <f ca="1">IF(BA417=6,(1/0.013)*((AZ417/4000)^(2/3))*((BL417/100)^(0.5)),(1/0.009)*((AZ417/4000)^(2/3))*((BL417/100)^(0.5)))</f>
        <v>1.391795278040346</v>
      </c>
      <c r="BN417" s="475">
        <f ca="1">1000*BM417*PI()*((AZ417/1000/2)^2)</f>
        <v>221.35547467762106</v>
      </c>
      <c r="BO417" s="204">
        <f ca="1">AI417/BN417</f>
        <v>6.7764305454137896E-3</v>
      </c>
      <c r="BP417" s="496">
        <f ca="1">IF(L417=0," ",AW417/BN417)</f>
        <v>0.65266061393062014</v>
      </c>
      <c r="BQ417" s="497">
        <f ca="1">IF($BO417&gt;0 =AND($BO417&lt;=0.06),10^(0.029806+0.29095*LOG($BO417)),IF($BO417&gt;0.06 =AND($BO417&lt;=0.26),10^(0.013778+0.282597*LOG($BO417)),IF($BO417&gt;0.26 =AND($BO417&lt;=0.91),10^(0.021763+0.28995*LOG($BO417)),1)))</f>
        <v>0.25045847877443728</v>
      </c>
      <c r="BR417" s="497">
        <f ca="1">IF($BP417&gt;0 =AND($BP417&lt;=0.06),10^(0.029806+0.29095*LOG($BP417)),IF($BP417&gt;0.06 =AND($BP417&lt;=0.26),10^(0.013778+0.282597*LOG($BP417)),IF($BP417&gt;0.26 =AND($BP417&lt;=2),10^(0.021763+0.28995*LOG($BP417))," ")))</f>
        <v>0.9290340104720608</v>
      </c>
      <c r="BS417" s="475">
        <f ca="1">BM417*BQ417</f>
        <v>0.34858692810343</v>
      </c>
      <c r="BT417" s="475">
        <f ca="1">IF(BP417=" "," ",(BM417*BR417))</f>
        <v>1.2930251489138995</v>
      </c>
      <c r="BU417" s="475">
        <f ca="1">IF(BO417&lt;=0.11,0.3827+0.0645*LN(BO417),IF(BO417&lt;=0.21,0.60025+0.15471*LN(BO417),IF(BO417&lt;1,0.225+0.6666666667*BO417,0)))</f>
        <v>6.0567341439034028E-2</v>
      </c>
      <c r="BV417" s="475">
        <f ca="1">IF(BP417&lt;=0.11,0.3827+0.0645*LN(BP417),IF(BP417&lt;=0.21,0.60025+0.15471*LN(BP417),IF(BP417&lt;1,0.225+0.6666666667*BP417," ")))</f>
        <v>0.66010707597550211</v>
      </c>
      <c r="BW417" s="475">
        <f ca="1">2*ACOS(1-2*(BU417))</f>
        <v>0.99463560694773046</v>
      </c>
      <c r="BX417" s="475">
        <f ca="1">IF(BP417=" "," ",(2*ACOS(1-2*(BV417))))</f>
        <v>3.7935037205643063</v>
      </c>
      <c r="BY417" s="475">
        <f ca="1">(1/4)*(1-(SIN(BW417))/BW417)</f>
        <v>3.9229218328733634E-2</v>
      </c>
      <c r="BZ417" s="475">
        <f ca="1">IF(BP417=" "," ",((1/4)*(1-(SIN(BX417))/BX417)))</f>
        <v>0.28998326572436411</v>
      </c>
      <c r="CA417" s="471">
        <f ca="1">BY417*AZ417/1000</f>
        <v>1.7653148247930135E-2</v>
      </c>
      <c r="CB417" s="471">
        <f ca="1">IF(BP417=" "," ",(BZ417*AZ417/1000))</f>
        <v>0.13049246957596383</v>
      </c>
      <c r="CC417" s="471">
        <f t="shared" ca="1" si="1191"/>
        <v>0.80766006469343399</v>
      </c>
      <c r="CD417" s="471" t="str">
        <f ca="1">IF(CC417="","",IF(CC417&lt;0.7,"F. Subcrítico",IF(AND(CC417&gt;0.7,CC417&lt;1),"F. Subcrítico Inestable",IF(CC417=1,"F. Crítico",IF(AND(CC417&gt;1,CC417&lt;1.5),"F. Supercrítico Inestable",IF(CC417&gt;1.5,"F. Supercrítico",""))))))</f>
        <v>F. Subcrítico Inestable</v>
      </c>
      <c r="CE417" s="471">
        <f ca="1">1000*BL417*CA417/100</f>
        <v>0.10641174388025641</v>
      </c>
      <c r="CF417" s="471">
        <f ca="1">IF(BP417=" "," ",(1000*BL417*CB417/100))</f>
        <v>0.78659800823050174</v>
      </c>
      <c r="CG417" s="471" t="str">
        <f ca="1">IF(BS417&lt;0.45,"No cumple",IF(BS417&gt;5,"No cumple","O.K"))</f>
        <v>No cumple</v>
      </c>
      <c r="CH417" s="471" t="str">
        <f ca="1">IF(BT417&lt;0.75,"No cumple",IF(BT417&gt;10,"No cumple","O.K"))</f>
        <v>O.K</v>
      </c>
      <c r="CI417" s="471" t="str">
        <f ca="1">IF(CE417&gt;0.1,"OK","V.C.H.")</f>
        <v>OK</v>
      </c>
      <c r="CJ417" s="471" t="str">
        <f ca="1">IF(CF417&gt;0.2,"OK","V.C.H.")</f>
        <v>OK</v>
      </c>
      <c r="CK417" s="468">
        <f>+BJ417</f>
        <v>967.11160000000007</v>
      </c>
      <c r="CL417" s="482" t="s">
        <v>2507</v>
      </c>
      <c r="CM417" s="482"/>
      <c r="CN417" s="63" t="str">
        <f>IF(B417=1,"dato"," ")</f>
        <v xml:space="preserve"> </v>
      </c>
      <c r="CO417" s="527">
        <f t="shared" si="1179"/>
        <v>31.52</v>
      </c>
      <c r="CP417" s="511">
        <f t="shared" si="1180"/>
        <v>5.9961928934009728E-2</v>
      </c>
      <c r="CQ417" s="482" t="s">
        <v>2508</v>
      </c>
      <c r="CR417" s="204">
        <f>IF(BA417="","",AX417)</f>
        <v>31.52</v>
      </c>
      <c r="CS417" s="486">
        <v>1.2</v>
      </c>
      <c r="CT417" s="486">
        <v>1.2</v>
      </c>
      <c r="CU417" s="23">
        <f>IF($BA417="","",SQRT((BH417-BI417)^2+$CR417^2))</f>
        <v>31.520572647082414</v>
      </c>
      <c r="CV417" s="499" t="s">
        <v>2509</v>
      </c>
      <c r="CW417" s="488" t="str">
        <f ca="1">+IF(BD417&lt;=0.9,"E1",IF(BD417&lt;=2.5,"E2","E3"))</f>
        <v>E3</v>
      </c>
      <c r="CX417" s="204">
        <f ca="1">IF(AND(L417="",H417=""),"",IF(AND(BA417&lt;&gt;4,BA417&lt;&gt;5),VLOOKUP(AY417,'TABLA (2)'!$A$9:$D$43,4),IF(BA417=4,VLOOKUP(AY417,'TABLA (2)'!$A$74:$D$89,4),VLOOKUP(AY417,'TABLA (2)'!$A$51:$D$66,4))))</f>
        <v>6.2E-2</v>
      </c>
      <c r="CY417" s="482"/>
      <c r="CZ417" s="482"/>
      <c r="DA417" s="482"/>
      <c r="DB417" s="490"/>
    </row>
    <row r="418" spans="1:106" ht="15" hidden="1" customHeight="1">
      <c r="A418" s="465"/>
      <c r="B418" s="491"/>
      <c r="C418" s="466"/>
      <c r="D418" s="466"/>
      <c r="E418" s="468"/>
      <c r="F418" s="468"/>
      <c r="G418" s="537">
        <f t="shared" si="1176"/>
        <v>0</v>
      </c>
      <c r="H418" s="537">
        <f t="shared" si="1177"/>
        <v>0</v>
      </c>
      <c r="I418" s="468"/>
      <c r="J418" s="468"/>
      <c r="K418" s="467"/>
      <c r="L418" s="468"/>
      <c r="M418" s="469"/>
      <c r="N418" s="470"/>
      <c r="O418" s="470"/>
      <c r="P418" s="470"/>
      <c r="Q418" s="469">
        <f t="shared" si="1181"/>
        <v>140</v>
      </c>
      <c r="R418" s="471"/>
      <c r="S418" s="471"/>
      <c r="T418" s="471"/>
      <c r="U418" s="471"/>
      <c r="V418" s="471"/>
      <c r="W418" s="471"/>
      <c r="X418" s="471"/>
      <c r="Y418" s="471"/>
      <c r="Z418" s="471"/>
      <c r="AA418" s="471" t="str">
        <f t="shared" si="1185"/>
        <v/>
      </c>
      <c r="AB418" s="471"/>
      <c r="AC418" s="471"/>
      <c r="AD418" s="471"/>
      <c r="AE418" s="471"/>
      <c r="AF418" s="510" t="str">
        <f t="shared" si="1175"/>
        <v/>
      </c>
      <c r="AG418" s="471"/>
      <c r="AH418" s="471"/>
      <c r="AI418" s="471"/>
      <c r="AJ418" s="471"/>
      <c r="AK418" s="472"/>
      <c r="AL418" s="471"/>
      <c r="AM418" s="473">
        <f t="shared" si="1178"/>
        <v>474.44695720875893</v>
      </c>
      <c r="AN418" s="474">
        <f t="shared" si="1190"/>
        <v>10.65161111111111</v>
      </c>
      <c r="AO418" s="474"/>
      <c r="AP418" s="474"/>
      <c r="AQ418" s="475">
        <v>3</v>
      </c>
      <c r="AR418" s="474"/>
      <c r="AS418" s="474"/>
      <c r="AT418" s="471"/>
      <c r="AU418" s="492"/>
      <c r="AV418" s="471"/>
      <c r="AW418" s="471"/>
      <c r="AX418" s="478"/>
      <c r="AY418" s="493"/>
      <c r="AZ418" s="480"/>
      <c r="BA418" s="493"/>
      <c r="BB418" s="478" t="str">
        <f>IF(OR(C418="",D418=""),"",VLOOKUP(C418,'Base de Diseño (2)'!$A$2:$D$330,4,FALSE))</f>
        <v/>
      </c>
      <c r="BC418" s="478" t="str">
        <f>IF(OR(C418="",D418=""),"",VLOOKUP(D418,'Base de Diseño (2)'!$A$2:$D$330,4,FALSE))</f>
        <v/>
      </c>
      <c r="BD418" s="23"/>
      <c r="BE418" s="23"/>
      <c r="BF418" s="494"/>
      <c r="BG418" s="494"/>
      <c r="BH418" s="495"/>
      <c r="BI418" s="495"/>
      <c r="BJ418" s="534">
        <f t="shared" si="1184"/>
        <v>0</v>
      </c>
      <c r="BK418" s="475"/>
      <c r="BL418" s="475"/>
      <c r="BM418" s="475"/>
      <c r="BN418" s="475"/>
      <c r="BO418" s="204"/>
      <c r="BP418" s="496"/>
      <c r="BQ418" s="497"/>
      <c r="BR418" s="497"/>
      <c r="BS418" s="475"/>
      <c r="BT418" s="475"/>
      <c r="BU418" s="475"/>
      <c r="BV418" s="475"/>
      <c r="BW418" s="475"/>
      <c r="BX418" s="475"/>
      <c r="BY418" s="475"/>
      <c r="BZ418" s="475"/>
      <c r="CA418" s="471"/>
      <c r="CB418" s="471"/>
      <c r="CC418" s="471" t="e">
        <f t="shared" si="1191"/>
        <v>#DIV/0!</v>
      </c>
      <c r="CD418" s="471"/>
      <c r="CE418" s="471"/>
      <c r="CF418" s="471"/>
      <c r="CG418" s="471"/>
      <c r="CH418" s="471"/>
      <c r="CI418" s="471"/>
      <c r="CJ418" s="471"/>
      <c r="CK418" s="468"/>
      <c r="CL418" s="482" t="s">
        <v>2507</v>
      </c>
      <c r="CM418" s="482"/>
      <c r="CN418" s="63"/>
      <c r="CO418" s="527">
        <f t="shared" si="1179"/>
        <v>0</v>
      </c>
      <c r="CP418" s="542">
        <f t="shared" si="1180"/>
        <v>0</v>
      </c>
      <c r="CQ418" s="482"/>
      <c r="CR418" s="204"/>
      <c r="CS418" s="486"/>
      <c r="CT418" s="486"/>
      <c r="CU418" s="23"/>
      <c r="CV418" s="499"/>
      <c r="CW418" s="488"/>
      <c r="CX418" s="204"/>
      <c r="CY418" s="482"/>
      <c r="CZ418" s="482"/>
      <c r="DA418" s="482"/>
      <c r="DB418" s="490"/>
    </row>
    <row r="419" spans="1:106" ht="15" hidden="1" customHeight="1">
      <c r="A419" s="465">
        <f>+A417+1</f>
        <v>303</v>
      </c>
      <c r="B419" s="491">
        <v>1</v>
      </c>
      <c r="C419" s="466" t="s">
        <v>2082</v>
      </c>
      <c r="D419" s="466" t="s">
        <v>2532</v>
      </c>
      <c r="E419" s="468">
        <v>0.20244389909999999</v>
      </c>
      <c r="F419" s="468"/>
      <c r="G419" s="537">
        <f t="shared" si="1176"/>
        <v>0</v>
      </c>
      <c r="H419" s="537">
        <f t="shared" si="1177"/>
        <v>0.20244389909999999</v>
      </c>
      <c r="I419" s="468">
        <v>0.20244389909999999</v>
      </c>
      <c r="J419" s="468"/>
      <c r="K419" s="467">
        <f t="shared" ref="K419:K426" si="1192">+IF(B419=1,0,SUMIF($D$22:$D$583,C419,$L$22:$L$580))</f>
        <v>0</v>
      </c>
      <c r="L419" s="468">
        <f t="shared" ref="L419:L426" si="1193">+I419+J419+K419</f>
        <v>0.20244389909999999</v>
      </c>
      <c r="M419" s="469">
        <f t="shared" ref="M419:M426" si="1194">+$P$12</f>
        <v>242.33666300502347</v>
      </c>
      <c r="N419" s="470">
        <f t="shared" ref="N419:N426" si="1195">M419*E419</f>
        <v>49.05957895361967</v>
      </c>
      <c r="O419" s="470">
        <f t="shared" ref="O419:O426" si="1196">M419*F419</f>
        <v>0</v>
      </c>
      <c r="P419" s="470">
        <f t="shared" ref="P419:P426" si="1197">M419*H419</f>
        <v>49.05957895361967</v>
      </c>
      <c r="Q419" s="469">
        <f t="shared" si="1181"/>
        <v>140</v>
      </c>
      <c r="R419" s="471">
        <f t="shared" ref="R419:R426" si="1198">Q419*P419*$P$14/86400</f>
        <v>6.7570484901397457E-2</v>
      </c>
      <c r="S419" s="471"/>
      <c r="T419" s="471"/>
      <c r="U419" s="471">
        <f t="shared" ref="U419:U426" si="1199">IF(C419="","",T419*$P$17)</f>
        <v>0</v>
      </c>
      <c r="V419" s="471"/>
      <c r="W419" s="471"/>
      <c r="X419" s="471">
        <f t="shared" ref="X419:X426" si="1200">IF(C419="","",W419*$P$16)</f>
        <v>0</v>
      </c>
      <c r="Y419" s="471">
        <f t="shared" ref="Y419:Y426" si="1201">IF(H419=0,0,$H$15*H419)</f>
        <v>4.0488779820000001E-2</v>
      </c>
      <c r="Z419" s="471">
        <f t="shared" ref="Z419:Z426" si="1202">IF(L419=0,$H$16*H419,0)</f>
        <v>0</v>
      </c>
      <c r="AA419" s="471">
        <f t="shared" si="1185"/>
        <v>3.8</v>
      </c>
      <c r="AB419" s="471">
        <f t="shared" ref="AB419:AB426" si="1203">R419*AA419</f>
        <v>0.25676784262531033</v>
      </c>
      <c r="AC419" s="471">
        <f t="shared" ref="AC419:AC426" si="1204">Q419*(N419+O419)*$P$14/86400</f>
        <v>6.7570484901397457E-2</v>
      </c>
      <c r="AD419" s="471">
        <f t="shared" ref="AD419:AE426" si="1205">IF(E419=0,0,$H$15*(E419+F419))</f>
        <v>4.0488779820000001E-2</v>
      </c>
      <c r="AE419" s="471">
        <f t="shared" si="1205"/>
        <v>0</v>
      </c>
      <c r="AF419" s="510">
        <f t="shared" si="1175"/>
        <v>3.8</v>
      </c>
      <c r="AG419" s="471">
        <f t="shared" ref="AG419:AG426" si="1206">AC419*AF419</f>
        <v>0.25676784262531033</v>
      </c>
      <c r="AH419" s="471">
        <f t="shared" ref="AH419:AH426" si="1207">+AD419+AE419+AG419</f>
        <v>0.29725662244531031</v>
      </c>
      <c r="AI419" s="471">
        <f t="shared" ref="AI419:AI426" si="1208">IF(H419="","",IF(AB419+Y419+Z419+X419+U419&lt;1.5,1.5,AB419+Y419+Z419+X419+U419))</f>
        <v>1.5</v>
      </c>
      <c r="AJ419" s="471">
        <f t="shared" ref="AJ419:AJ426" si="1209">+$P$17</f>
        <v>0.75</v>
      </c>
      <c r="AK419" s="472" t="e">
        <f t="shared" ref="AK419:AK426" si="1210">+BK419/100</f>
        <v>#N/A</v>
      </c>
      <c r="AL419" s="471" t="e">
        <f t="shared" ref="AL419:AL426" si="1211">IF(AJ419=0," ",0.14+0.65*AJ419+0.05*AK419)</f>
        <v>#N/A</v>
      </c>
      <c r="AM419" s="473" t="e">
        <f t="shared" si="1178"/>
        <v>#N/A</v>
      </c>
      <c r="AN419" s="474" t="e">
        <f t="shared" si="1190"/>
        <v>#N/A</v>
      </c>
      <c r="AO419" s="474" t="e">
        <f t="shared" ref="AO419:AO426" si="1212">((1/60)*$AX419/$AQ419)</f>
        <v>#N/A</v>
      </c>
      <c r="AP419" s="474" t="e">
        <f t="shared" ref="AP419:AP426" si="1213">IF(B419=1,IF(($AN419+$AO419)&lt;10,10,IF(($AN419+$AO419)&gt;20,20,($AN419+$AO419))),($AN419+$AO419))</f>
        <v>#N/A</v>
      </c>
      <c r="AQ419" s="475">
        <v>3</v>
      </c>
      <c r="AR419" s="474" t="e">
        <f t="shared" ref="AR419:AR426" si="1214">((1/60)*$AX419/$BT419)</f>
        <v>#N/A</v>
      </c>
      <c r="AS419" s="474" t="e">
        <f t="shared" ref="AS419:AS426" si="1215">AO419/AR419</f>
        <v>#N/A</v>
      </c>
      <c r="AT419" s="471" t="e">
        <f t="shared" ref="AT419:AT426" si="1216">IF(AS419&lt;0.9,"Disminuir vel.",IF(AS419&gt;1.1,"Aumentar vel.","Cumple"))</f>
        <v>#N/A</v>
      </c>
      <c r="AU419" s="492" t="e">
        <f t="shared" ref="AU419:AU426" si="1217">+I419*AL419*AM419</f>
        <v>#N/A</v>
      </c>
      <c r="AV419" s="471" t="e">
        <f t="shared" ref="AV419:AV426" si="1218">+L419*AL419*AM419</f>
        <v>#N/A</v>
      </c>
      <c r="AW419" s="471" t="e">
        <f t="shared" ref="AW419:AW426" si="1219">ROUND(IF(AI419&gt;(AV419*0.05),(AV419+AI419),AV419),2)</f>
        <v>#N/A</v>
      </c>
      <c r="AX419" s="478" t="e">
        <f>IF(OR(C419="",D419=""),"",ROUND(((VLOOKUP(C419,'Base de Diseño (2)'!$A$2:$C$333,2,FALSE)-VLOOKUP(D419,'Base de Diseño (2)'!$A$2:$C$333,2,FALSE))^2+(VLOOKUP(C419,'Base de Diseño (2)'!$A$2:$C$333,3,0)-VLOOKUP(D419,'Base de Diseño (2)'!$A$2:$C$333,3,FALSE))^2)^0.5,2))</f>
        <v>#N/A</v>
      </c>
      <c r="AY419" s="493">
        <v>8</v>
      </c>
      <c r="AZ419" s="480">
        <f>IF(AND(L419="",H419=""),"",IF(BA419=4,VLOOKUP(AY419,'TABLA (2)'!$A$74:$C$89,2),IF(BA419=5,VLOOKUP(AY419,'TABLA (2)'!$A$51:$B$66,2),IF(BA419=6,VLOOKUP(AY419,'TABLA (2)'!$A$9:$B$43,2)))))</f>
        <v>200</v>
      </c>
      <c r="BA419" s="493">
        <v>6</v>
      </c>
      <c r="BB419" s="478">
        <f>IF(OR(C419="",D419=""),"",VLOOKUP(C419,'Base de Diseño (2)'!$A$2:$D$330,4,FALSE))</f>
        <v>988.01099999999997</v>
      </c>
      <c r="BC419" s="478" t="e">
        <f>IF(OR(C419="",D419=""),"",VLOOKUP(D419,'Base de Diseño (2)'!$A$2:$D$330,4,FALSE))</f>
        <v>#N/A</v>
      </c>
      <c r="BD419" s="23">
        <f t="shared" ref="BD419:BD426" si="1220">+BF419-((AZ419/1000)+CX419)</f>
        <v>1.4630000000000454</v>
      </c>
      <c r="BE419" s="23">
        <f t="shared" ref="BE419:BE426" si="1221">+BG419-((AZ419/1000)+CX419)</f>
        <v>1.9630000000000454</v>
      </c>
      <c r="BF419" s="494">
        <v>1.7000000000000455</v>
      </c>
      <c r="BG419" s="494">
        <v>2.2000000000000455</v>
      </c>
      <c r="BH419" s="495">
        <f t="shared" ref="BH419:BI426" si="1222">BB419-BF419</f>
        <v>986.31099999999992</v>
      </c>
      <c r="BI419" s="495" t="e">
        <f t="shared" si="1222"/>
        <v>#N/A</v>
      </c>
      <c r="BJ419" s="534" t="e">
        <f t="shared" si="1184"/>
        <v>#N/A</v>
      </c>
      <c r="BK419" s="475" t="e">
        <f t="shared" ref="BK419:BK426" si="1223">ABS((BB419-BC419)/AX419)*100</f>
        <v>#N/A</v>
      </c>
      <c r="BL419" s="475" t="e">
        <f t="shared" ref="BL419:BL426" si="1224">((BH419-BI419)/AX419)*100</f>
        <v>#N/A</v>
      </c>
      <c r="BM419" s="475" t="e">
        <f t="shared" ref="BM419:BM426" si="1225">IF(BA419=6,(1/0.013)*((AZ419/4000)^(2/3))*((BL419/100)^(0.5)),(1/0.009)*((AZ419/4000)^(2/3))*((BL419/100)^(0.5)))</f>
        <v>#N/A</v>
      </c>
      <c r="BN419" s="475" t="e">
        <f t="shared" ref="BN419:BN426" si="1226">1000*BM419*PI()*((AZ419/1000/2)^2)</f>
        <v>#N/A</v>
      </c>
      <c r="BO419" s="204" t="e">
        <f t="shared" ref="BO419:BO426" si="1227">AI419/BN419</f>
        <v>#N/A</v>
      </c>
      <c r="BP419" s="496" t="e">
        <f t="shared" ref="BP419:BP426" si="1228">IF(L419=0," ",AW419/BN419)</f>
        <v>#N/A</v>
      </c>
      <c r="BQ419" s="497" t="e">
        <f t="shared" ref="BQ419:BQ426" si="1229">IF($BO419&gt;0 =AND($BO419&lt;=0.06),10^(0.029806+0.29095*LOG($BO419)),IF($BO419&gt;0.06 =AND($BO419&lt;=0.26),10^(0.013778+0.282597*LOG($BO419)),IF($BO419&gt;0.26 =AND($BO419&lt;=0.91),10^(0.021763+0.28995*LOG($BO419)),1)))</f>
        <v>#N/A</v>
      </c>
      <c r="BR419" s="497" t="e">
        <f t="shared" ref="BR419:BR426" si="1230">IF($BP419&gt;0 =AND($BP419&lt;=0.06),10^(0.029806+0.29095*LOG($BP419)),IF($BP419&gt;0.06 =AND($BP419&lt;=0.26),10^(0.013778+0.282597*LOG($BP419)),IF($BP419&gt;0.26 =AND($BP419&lt;=2),10^(0.021763+0.28995*LOG($BP419))," ")))</f>
        <v>#N/A</v>
      </c>
      <c r="BS419" s="475" t="e">
        <f t="shared" ref="BS419:BS426" si="1231">BM419*BQ419</f>
        <v>#N/A</v>
      </c>
      <c r="BT419" s="475" t="e">
        <f t="shared" ref="BT419:BT426" si="1232">IF(BP419=" "," ",(BM419*BR419))</f>
        <v>#N/A</v>
      </c>
      <c r="BU419" s="475" t="e">
        <f t="shared" ref="BU419:BU426" si="1233">IF(BO419&lt;=0.11,0.3827+0.0645*LN(BO419),IF(BO419&lt;=0.21,0.60025+0.15471*LN(BO419),IF(BO419&lt;1,0.225+0.6666666667*BO419,0)))</f>
        <v>#N/A</v>
      </c>
      <c r="BV419" s="475" t="e">
        <f t="shared" ref="BV419:BV426" si="1234">IF(BP419&lt;=0.11,0.3827+0.0645*LN(BP419),IF(BP419&lt;=0.21,0.60025+0.15471*LN(BP419),IF(BP419&lt;1,0.225+0.6666666667*BP419," ")))</f>
        <v>#N/A</v>
      </c>
      <c r="BW419" s="475" t="e">
        <f t="shared" ref="BW419:BW426" si="1235">2*ACOS(1-2*(BU419))</f>
        <v>#N/A</v>
      </c>
      <c r="BX419" s="475" t="e">
        <f t="shared" ref="BX419:BX426" si="1236">IF(BP419=" "," ",(2*ACOS(1-2*(BV419))))</f>
        <v>#N/A</v>
      </c>
      <c r="BY419" s="475" t="e">
        <f t="shared" ref="BY419:BY426" si="1237">(1/4)*(1-(SIN(BW419))/BW419)</f>
        <v>#N/A</v>
      </c>
      <c r="BZ419" s="475" t="e">
        <f t="shared" ref="BZ419:BZ426" si="1238">IF(BP419=" "," ",((1/4)*(1-(SIN(BX419))/BX419)))</f>
        <v>#N/A</v>
      </c>
      <c r="CA419" s="471" t="e">
        <f t="shared" ref="CA419:CA426" si="1239">BY419*AZ419/1000</f>
        <v>#N/A</v>
      </c>
      <c r="CB419" s="471" t="e">
        <f t="shared" ref="CB419:CB426" si="1240">IF(BP419=" "," ",(BZ419*AZ419/1000))</f>
        <v>#N/A</v>
      </c>
      <c r="CC419" s="471" t="e">
        <f t="shared" si="1191"/>
        <v>#N/A</v>
      </c>
      <c r="CD419" s="471" t="e">
        <f t="shared" ref="CD419:CD426" si="1241">IF(CC419="","",IF(CC419&lt;0.7,"F. Subcrítico",IF(AND(CC419&gt;0.7,CC419&lt;1),"F. Subcrítico Inestable",IF(CC419=1,"F. Crítico",IF(AND(CC419&gt;1,CC419&lt;1.5),"F. Supercrítico Inestable",IF(CC419&gt;1.5,"F. Supercrítico",""))))))</f>
        <v>#N/A</v>
      </c>
      <c r="CE419" s="471" t="e">
        <f t="shared" ref="CE419:CE426" si="1242">1000*BL419*CA419/100</f>
        <v>#N/A</v>
      </c>
      <c r="CF419" s="471" t="e">
        <f t="shared" ref="CF419:CF426" si="1243">IF(BP419=" "," ",(1000*BL419*CB419/100))</f>
        <v>#N/A</v>
      </c>
      <c r="CG419" s="471" t="e">
        <f t="shared" ref="CG419:CG426" si="1244">IF(BS419&lt;0.45,"No cumple",IF(BS419&gt;5,"No cumple","O.K"))</f>
        <v>#N/A</v>
      </c>
      <c r="CH419" s="471" t="e">
        <f t="shared" ref="CH419:CH426" si="1245">IF(BT419&lt;0.75,"No cumple",IF(BT419&gt;10,"No cumple","O.K"))</f>
        <v>#N/A</v>
      </c>
      <c r="CI419" s="471" t="e">
        <f t="shared" ref="CI419:CI426" si="1246">IF(CE419&gt;0.1,"OK","V.C.H.")</f>
        <v>#N/A</v>
      </c>
      <c r="CJ419" s="471" t="e">
        <f t="shared" ref="CJ419:CJ426" si="1247">IF(CF419&gt;0.2,"OK","V.C.H.")</f>
        <v>#N/A</v>
      </c>
      <c r="CK419" s="468" t="e">
        <f t="shared" ref="CK419:CK426" si="1248">+BJ419</f>
        <v>#N/A</v>
      </c>
      <c r="CL419" s="482" t="s">
        <v>2507</v>
      </c>
      <c r="CM419" s="482"/>
      <c r="CN419" s="63" t="str">
        <f t="shared" ref="CN419:CN426" si="1249">IF(B419=1,"dato"," ")</f>
        <v>dato</v>
      </c>
      <c r="CO419" s="527" t="e">
        <f t="shared" si="1179"/>
        <v>#N/A</v>
      </c>
      <c r="CP419" s="511" t="e">
        <f t="shared" si="1180"/>
        <v>#N/A</v>
      </c>
      <c r="CQ419" s="482" t="s">
        <v>2508</v>
      </c>
      <c r="CR419" s="204" t="e">
        <f t="shared" ref="CR419:CR426" si="1250">IF(BA419="","",AX419)</f>
        <v>#N/A</v>
      </c>
      <c r="CS419" s="486">
        <v>1.2</v>
      </c>
      <c r="CT419" s="486">
        <v>1.2</v>
      </c>
      <c r="CU419" s="23" t="e">
        <f t="shared" ref="CU419:CU426" si="1251">IF($BA419="","",SQRT((BH419-BI419)^2+$CR419^2))</f>
        <v>#N/A</v>
      </c>
      <c r="CV419" s="499" t="s">
        <v>2509</v>
      </c>
      <c r="CW419" s="488" t="str">
        <f t="shared" ref="CW419:CW426" si="1252">+IF(BD419&lt;=0.9,"E1",IF(BD419&lt;=2.5,"E2","E3"))</f>
        <v>E2</v>
      </c>
      <c r="CX419" s="204">
        <f>IF(AND(L419="",H419=""),"",IF(AND(BA419&lt;&gt;4,BA419&lt;&gt;5),VLOOKUP(AY419,'TABLA (2)'!$A$9:$D$43,4),IF(BA419=4,VLOOKUP(AY419,'TABLA (2)'!$A$74:$D$89,4),VLOOKUP(AY419,'TABLA (2)'!$A$51:$D$66,4))))</f>
        <v>3.6999999999999998E-2</v>
      </c>
      <c r="CY419" s="482"/>
      <c r="CZ419" s="482"/>
      <c r="DA419" s="482"/>
      <c r="DB419" s="490"/>
    </row>
    <row r="420" spans="1:106" ht="15" hidden="1" customHeight="1">
      <c r="A420" s="465">
        <f t="shared" ref="A420:A426" si="1253">+A419+1</f>
        <v>304</v>
      </c>
      <c r="B420" s="491"/>
      <c r="C420" s="466" t="s">
        <v>2532</v>
      </c>
      <c r="D420" s="466" t="s">
        <v>2259</v>
      </c>
      <c r="E420" s="468">
        <v>0.1824823092</v>
      </c>
      <c r="F420" s="468"/>
      <c r="G420" s="537">
        <f t="shared" si="1176"/>
        <v>0.20244389909999999</v>
      </c>
      <c r="H420" s="537">
        <f t="shared" si="1177"/>
        <v>0.38492620830000002</v>
      </c>
      <c r="I420" s="468">
        <v>0.1824823092</v>
      </c>
      <c r="J420" s="468"/>
      <c r="K420" s="467">
        <f t="shared" ca="1" si="1192"/>
        <v>0.20244389909999999</v>
      </c>
      <c r="L420" s="468">
        <f t="shared" ca="1" si="1193"/>
        <v>0.38492620830000002</v>
      </c>
      <c r="M420" s="469">
        <f t="shared" si="1194"/>
        <v>242.33666300502347</v>
      </c>
      <c r="N420" s="470">
        <f t="shared" si="1195"/>
        <v>44.222153868978893</v>
      </c>
      <c r="O420" s="470">
        <f t="shared" si="1196"/>
        <v>0</v>
      </c>
      <c r="P420" s="470">
        <f t="shared" si="1197"/>
        <v>93.28173282259857</v>
      </c>
      <c r="Q420" s="469">
        <f t="shared" si="1181"/>
        <v>140</v>
      </c>
      <c r="R420" s="471">
        <f t="shared" si="1198"/>
        <v>0.12847831256816239</v>
      </c>
      <c r="S420" s="471"/>
      <c r="T420" s="471"/>
      <c r="U420" s="471">
        <f t="shared" si="1199"/>
        <v>0</v>
      </c>
      <c r="V420" s="471"/>
      <c r="W420" s="471"/>
      <c r="X420" s="471">
        <f t="shared" si="1200"/>
        <v>0</v>
      </c>
      <c r="Y420" s="471">
        <f t="shared" si="1201"/>
        <v>7.6985241660000009E-2</v>
      </c>
      <c r="Z420" s="471">
        <f t="shared" ca="1" si="1202"/>
        <v>0</v>
      </c>
      <c r="AA420" s="471">
        <f t="shared" si="1185"/>
        <v>3.8</v>
      </c>
      <c r="AB420" s="471">
        <f t="shared" si="1203"/>
        <v>0.48821758775901708</v>
      </c>
      <c r="AC420" s="471">
        <f t="shared" si="1204"/>
        <v>6.0907827666764912E-2</v>
      </c>
      <c r="AD420" s="471">
        <f t="shared" si="1205"/>
        <v>3.6496461840000001E-2</v>
      </c>
      <c r="AE420" s="471">
        <f t="shared" si="1205"/>
        <v>0</v>
      </c>
      <c r="AF420" s="510">
        <f t="shared" si="1175"/>
        <v>3.8</v>
      </c>
      <c r="AG420" s="471">
        <f t="shared" si="1206"/>
        <v>0.23144974513370664</v>
      </c>
      <c r="AH420" s="471">
        <f t="shared" si="1207"/>
        <v>0.26794620697370664</v>
      </c>
      <c r="AI420" s="471">
        <f t="shared" ca="1" si="1208"/>
        <v>1.5</v>
      </c>
      <c r="AJ420" s="471">
        <f t="shared" si="1209"/>
        <v>0.75</v>
      </c>
      <c r="AK420" s="472" t="e">
        <f t="shared" si="1210"/>
        <v>#N/A</v>
      </c>
      <c r="AL420" s="471" t="e">
        <f t="shared" si="1211"/>
        <v>#N/A</v>
      </c>
      <c r="AM420" s="473" t="e">
        <f t="shared" si="1178"/>
        <v>#N/A</v>
      </c>
      <c r="AN420" s="474" t="e">
        <f t="shared" si="1190"/>
        <v>#N/A</v>
      </c>
      <c r="AO420" s="474" t="e">
        <f t="shared" si="1212"/>
        <v>#N/A</v>
      </c>
      <c r="AP420" s="474" t="e">
        <f t="shared" si="1213"/>
        <v>#N/A</v>
      </c>
      <c r="AQ420" s="475">
        <v>3</v>
      </c>
      <c r="AR420" s="474" t="e">
        <f t="shared" ca="1" si="1214"/>
        <v>#N/A</v>
      </c>
      <c r="AS420" s="474" t="e">
        <f t="shared" ca="1" si="1215"/>
        <v>#N/A</v>
      </c>
      <c r="AT420" s="471" t="e">
        <f t="shared" ca="1" si="1216"/>
        <v>#N/A</v>
      </c>
      <c r="AU420" s="492" t="e">
        <f t="shared" si="1217"/>
        <v>#N/A</v>
      </c>
      <c r="AV420" s="471" t="e">
        <f t="shared" ca="1" si="1218"/>
        <v>#N/A</v>
      </c>
      <c r="AW420" s="471" t="e">
        <f t="shared" ca="1" si="1219"/>
        <v>#N/A</v>
      </c>
      <c r="AX420" s="478" t="e">
        <f>IF(OR(C420="",D420=""),"",ROUND(((VLOOKUP(C420,'Base de Diseño (2)'!$A$2:$C$333,2,FALSE)-VLOOKUP(D420,'Base de Diseño (2)'!$A$2:$C$333,2,FALSE))^2+(VLOOKUP(C420,'Base de Diseño (2)'!$A$2:$C$333,3,0)-VLOOKUP(D420,'Base de Diseño (2)'!$A$2:$C$333,3,FALSE))^2)^0.5,2))</f>
        <v>#N/A</v>
      </c>
      <c r="AY420" s="493">
        <v>16</v>
      </c>
      <c r="AZ420" s="480">
        <f ca="1">IF(AND(L420="",H420=""),"",IF(BA420=4,VLOOKUP(AY420,'TABLA (2)'!$A$74:$C$89,2),IF(BA420=5,VLOOKUP(AY420,'TABLA (2)'!$A$51:$B$66,2),IF(BA420=6,VLOOKUP(AY420,'TABLA (2)'!$A$9:$B$43,2)))))</f>
        <v>400</v>
      </c>
      <c r="BA420" s="493">
        <v>6</v>
      </c>
      <c r="BB420" s="478" t="e">
        <f>IF(OR(C420="",D420=""),"",VLOOKUP(C420,'Base de Diseño (2)'!$A$2:$D$330,4,FALSE))</f>
        <v>#N/A</v>
      </c>
      <c r="BC420" s="478">
        <f>IF(OR(C420="",D420=""),"",VLOOKUP(D420,'Base de Diseño (2)'!$A$2:$D$330,4,FALSE))</f>
        <v>987.33159999999998</v>
      </c>
      <c r="BD420" s="23">
        <f t="shared" ca="1" si="1220"/>
        <v>1.7680000000000182</v>
      </c>
      <c r="BE420" s="23">
        <f t="shared" ca="1" si="1221"/>
        <v>1.7580000000000273</v>
      </c>
      <c r="BF420" s="494">
        <v>2.2300000000000182</v>
      </c>
      <c r="BG420" s="494">
        <v>2.2200000000000273</v>
      </c>
      <c r="BH420" s="495" t="e">
        <f t="shared" si="1222"/>
        <v>#N/A</v>
      </c>
      <c r="BI420" s="495">
        <f t="shared" si="1222"/>
        <v>985.11159999999995</v>
      </c>
      <c r="BJ420" s="534">
        <f t="shared" si="1184"/>
        <v>3.999999999996362E-2</v>
      </c>
      <c r="BK420" s="475" t="e">
        <f t="shared" si="1223"/>
        <v>#N/A</v>
      </c>
      <c r="BL420" s="475" t="e">
        <f t="shared" si="1224"/>
        <v>#N/A</v>
      </c>
      <c r="BM420" s="475" t="e">
        <f t="shared" ca="1" si="1225"/>
        <v>#N/A</v>
      </c>
      <c r="BN420" s="475" t="e">
        <f t="shared" ca="1" si="1226"/>
        <v>#N/A</v>
      </c>
      <c r="BO420" s="204" t="e">
        <f t="shared" ca="1" si="1227"/>
        <v>#N/A</v>
      </c>
      <c r="BP420" s="496" t="e">
        <f t="shared" ca="1" si="1228"/>
        <v>#N/A</v>
      </c>
      <c r="BQ420" s="497" t="e">
        <f t="shared" ca="1" si="1229"/>
        <v>#N/A</v>
      </c>
      <c r="BR420" s="497" t="e">
        <f t="shared" ca="1" si="1230"/>
        <v>#N/A</v>
      </c>
      <c r="BS420" s="475" t="e">
        <f t="shared" ca="1" si="1231"/>
        <v>#N/A</v>
      </c>
      <c r="BT420" s="475" t="e">
        <f t="shared" ca="1" si="1232"/>
        <v>#N/A</v>
      </c>
      <c r="BU420" s="475" t="e">
        <f t="shared" ca="1" si="1233"/>
        <v>#N/A</v>
      </c>
      <c r="BV420" s="475" t="e">
        <f t="shared" ca="1" si="1234"/>
        <v>#N/A</v>
      </c>
      <c r="BW420" s="475" t="e">
        <f t="shared" ca="1" si="1235"/>
        <v>#N/A</v>
      </c>
      <c r="BX420" s="475" t="e">
        <f t="shared" ca="1" si="1236"/>
        <v>#N/A</v>
      </c>
      <c r="BY420" s="475" t="e">
        <f t="shared" ca="1" si="1237"/>
        <v>#N/A</v>
      </c>
      <c r="BZ420" s="475" t="e">
        <f t="shared" ca="1" si="1238"/>
        <v>#N/A</v>
      </c>
      <c r="CA420" s="471" t="e">
        <f t="shared" ca="1" si="1239"/>
        <v>#N/A</v>
      </c>
      <c r="CB420" s="471" t="e">
        <f t="shared" ca="1" si="1240"/>
        <v>#N/A</v>
      </c>
      <c r="CC420" s="471" t="e">
        <f t="shared" ca="1" si="1191"/>
        <v>#N/A</v>
      </c>
      <c r="CD420" s="471" t="e">
        <f t="shared" ca="1" si="1241"/>
        <v>#N/A</v>
      </c>
      <c r="CE420" s="471" t="e">
        <f t="shared" ca="1" si="1242"/>
        <v>#N/A</v>
      </c>
      <c r="CF420" s="471" t="e">
        <f t="shared" ca="1" si="1243"/>
        <v>#N/A</v>
      </c>
      <c r="CG420" s="471" t="e">
        <f t="shared" ca="1" si="1244"/>
        <v>#N/A</v>
      </c>
      <c r="CH420" s="471" t="e">
        <f t="shared" ca="1" si="1245"/>
        <v>#N/A</v>
      </c>
      <c r="CI420" s="471" t="e">
        <f t="shared" ca="1" si="1246"/>
        <v>#N/A</v>
      </c>
      <c r="CJ420" s="471" t="e">
        <f t="shared" ca="1" si="1247"/>
        <v>#N/A</v>
      </c>
      <c r="CK420" s="468">
        <f t="shared" si="1248"/>
        <v>3.999999999996362E-2</v>
      </c>
      <c r="CL420" s="482" t="s">
        <v>2507</v>
      </c>
      <c r="CM420" s="482"/>
      <c r="CN420" s="63" t="str">
        <f t="shared" si="1249"/>
        <v xml:space="preserve"> </v>
      </c>
      <c r="CO420" s="527" t="e">
        <f t="shared" si="1179"/>
        <v>#N/A</v>
      </c>
      <c r="CP420" s="542" t="e">
        <f t="shared" si="1180"/>
        <v>#N/A</v>
      </c>
      <c r="CQ420" s="482" t="s">
        <v>2508</v>
      </c>
      <c r="CR420" s="204" t="e">
        <f t="shared" si="1250"/>
        <v>#N/A</v>
      </c>
      <c r="CS420" s="486">
        <v>1.2</v>
      </c>
      <c r="CT420" s="486">
        <v>1.2</v>
      </c>
      <c r="CU420" s="23" t="e">
        <f t="shared" si="1251"/>
        <v>#N/A</v>
      </c>
      <c r="CV420" s="499" t="s">
        <v>2509</v>
      </c>
      <c r="CW420" s="488" t="str">
        <f t="shared" ca="1" si="1252"/>
        <v>E2</v>
      </c>
      <c r="CX420" s="204">
        <f ca="1">IF(AND(L420="",H420=""),"",IF(AND(BA420&lt;&gt;4,BA420&lt;&gt;5),VLOOKUP(AY420,'TABLA (2)'!$A$9:$D$43,4),IF(BA420=4,VLOOKUP(AY420,'TABLA (2)'!$A$74:$D$89,4),VLOOKUP(AY420,'TABLA (2)'!$A$51:$D$66,4))))</f>
        <v>6.2E-2</v>
      </c>
      <c r="CY420" s="482"/>
      <c r="CZ420" s="482"/>
      <c r="DA420" s="482"/>
      <c r="DB420" s="490"/>
    </row>
    <row r="421" spans="1:106" ht="15" hidden="1" customHeight="1">
      <c r="A421" s="465">
        <f t="shared" si="1253"/>
        <v>305</v>
      </c>
      <c r="B421" s="491"/>
      <c r="C421" s="466" t="s">
        <v>2259</v>
      </c>
      <c r="D421" s="466" t="s">
        <v>2260</v>
      </c>
      <c r="E421" s="468">
        <v>0.19495009390000001</v>
      </c>
      <c r="F421" s="468"/>
      <c r="G421" s="537">
        <f t="shared" si="1176"/>
        <v>0.38492620830000002</v>
      </c>
      <c r="H421" s="537">
        <f t="shared" si="1177"/>
        <v>0.57987630219999997</v>
      </c>
      <c r="I421" s="468">
        <v>0.19495009390000001</v>
      </c>
      <c r="J421" s="468"/>
      <c r="K421" s="467">
        <f t="shared" ca="1" si="1192"/>
        <v>0.38492620830000002</v>
      </c>
      <c r="L421" s="468">
        <f t="shared" ca="1" si="1193"/>
        <v>0.57987630219999997</v>
      </c>
      <c r="M421" s="469">
        <f t="shared" si="1194"/>
        <v>242.33666300502347</v>
      </c>
      <c r="N421" s="470">
        <f t="shared" si="1195"/>
        <v>47.243555208241986</v>
      </c>
      <c r="O421" s="470">
        <f t="shared" si="1196"/>
        <v>0</v>
      </c>
      <c r="P421" s="470">
        <f t="shared" si="1197"/>
        <v>140.52528803084053</v>
      </c>
      <c r="Q421" s="469">
        <f t="shared" si="1181"/>
        <v>140</v>
      </c>
      <c r="R421" s="471">
        <f t="shared" si="1198"/>
        <v>0.19354756106099563</v>
      </c>
      <c r="S421" s="471"/>
      <c r="T421" s="471"/>
      <c r="U421" s="471">
        <f t="shared" si="1199"/>
        <v>0</v>
      </c>
      <c r="V421" s="471"/>
      <c r="W421" s="471"/>
      <c r="X421" s="471">
        <f t="shared" si="1200"/>
        <v>0</v>
      </c>
      <c r="Y421" s="471">
        <f t="shared" si="1201"/>
        <v>0.11597526044000001</v>
      </c>
      <c r="Z421" s="471">
        <f t="shared" ca="1" si="1202"/>
        <v>0</v>
      </c>
      <c r="AA421" s="471">
        <f t="shared" si="1185"/>
        <v>3.8</v>
      </c>
      <c r="AB421" s="471">
        <f t="shared" si="1203"/>
        <v>0.73548073203178332</v>
      </c>
      <c r="AC421" s="471">
        <f t="shared" si="1204"/>
        <v>6.5069248492833298E-2</v>
      </c>
      <c r="AD421" s="471">
        <f t="shared" si="1205"/>
        <v>3.8990018780000003E-2</v>
      </c>
      <c r="AE421" s="471">
        <f t="shared" si="1205"/>
        <v>0</v>
      </c>
      <c r="AF421" s="510">
        <f t="shared" si="1175"/>
        <v>3.8</v>
      </c>
      <c r="AG421" s="471">
        <f t="shared" si="1206"/>
        <v>0.24726314427276652</v>
      </c>
      <c r="AH421" s="471">
        <f t="shared" si="1207"/>
        <v>0.28625316305276655</v>
      </c>
      <c r="AI421" s="471">
        <f t="shared" ca="1" si="1208"/>
        <v>1.5</v>
      </c>
      <c r="AJ421" s="471">
        <f t="shared" si="1209"/>
        <v>0.75</v>
      </c>
      <c r="AK421" s="472">
        <f t="shared" si="1210"/>
        <v>1.4139444173572092E-2</v>
      </c>
      <c r="AL421" s="471">
        <f t="shared" si="1211"/>
        <v>0.62820697220867872</v>
      </c>
      <c r="AM421" s="473" t="e">
        <f t="shared" si="1178"/>
        <v>#N/A</v>
      </c>
      <c r="AN421" s="474" t="e">
        <f t="shared" si="1190"/>
        <v>#N/A</v>
      </c>
      <c r="AO421" s="474">
        <f t="shared" si="1212"/>
        <v>0.22788888888888892</v>
      </c>
      <c r="AP421" s="474" t="e">
        <f t="shared" si="1213"/>
        <v>#N/A</v>
      </c>
      <c r="AQ421" s="475">
        <v>3</v>
      </c>
      <c r="AR421" s="474" t="e">
        <f t="shared" ca="1" si="1214"/>
        <v>#N/A</v>
      </c>
      <c r="AS421" s="474" t="e">
        <f t="shared" ca="1" si="1215"/>
        <v>#N/A</v>
      </c>
      <c r="AT421" s="471" t="e">
        <f t="shared" ca="1" si="1216"/>
        <v>#N/A</v>
      </c>
      <c r="AU421" s="492" t="e">
        <f t="shared" si="1217"/>
        <v>#N/A</v>
      </c>
      <c r="AV421" s="471" t="e">
        <f t="shared" ca="1" si="1218"/>
        <v>#N/A</v>
      </c>
      <c r="AW421" s="471" t="e">
        <f t="shared" ca="1" si="1219"/>
        <v>#N/A</v>
      </c>
      <c r="AX421" s="478">
        <f>IF(OR(C421="",D421=""),"",ROUND(((VLOOKUP(C421,'Base de Diseño (2)'!$A$2:$C$333,2,FALSE)-VLOOKUP(D421,'Base de Diseño (2)'!$A$2:$C$333,2,FALSE))^2+(VLOOKUP(C421,'Base de Diseño (2)'!$A$2:$C$333,3,0)-VLOOKUP(D421,'Base de Diseño (2)'!$A$2:$C$333,3,FALSE))^2)^0.5,2))</f>
        <v>41.02</v>
      </c>
      <c r="AY421" s="493">
        <v>16</v>
      </c>
      <c r="AZ421" s="480">
        <f ca="1">IF(AND(L421="",H421=""),"",IF(BA421=4,VLOOKUP(AY421,'TABLA (2)'!$A$74:$C$89,2),IF(BA421=5,VLOOKUP(AY421,'TABLA (2)'!$A$51:$B$66,2),IF(BA421=6,VLOOKUP(AY421,'TABLA (2)'!$A$9:$B$43,2)))))</f>
        <v>400</v>
      </c>
      <c r="BA421" s="493">
        <v>6</v>
      </c>
      <c r="BB421" s="478">
        <f>IF(OR(C421="",D421=""),"",VLOOKUP(C421,'Base de Diseño (2)'!$A$2:$D$330,4,FALSE))</f>
        <v>987.33159999999998</v>
      </c>
      <c r="BC421" s="478">
        <f>IF(OR(C421="",D421=""),"",VLOOKUP(D421,'Base de Diseño (2)'!$A$2:$D$330,4,FALSE))</f>
        <v>986.75160000000005</v>
      </c>
      <c r="BD421" s="23">
        <f t="shared" ca="1" si="1220"/>
        <v>1.7979999999999909</v>
      </c>
      <c r="BE421" s="23">
        <f t="shared" ca="1" si="1221"/>
        <v>1.618000000000041</v>
      </c>
      <c r="BF421" s="494">
        <v>2.2599999999999909</v>
      </c>
      <c r="BG421" s="494">
        <v>2.0800000000000409</v>
      </c>
      <c r="BH421" s="495">
        <f t="shared" si="1222"/>
        <v>985.07159999999999</v>
      </c>
      <c r="BI421" s="495">
        <f t="shared" si="1222"/>
        <v>984.67160000000001</v>
      </c>
      <c r="BJ421" s="534">
        <f t="shared" si="1184"/>
        <v>1.999999999998181E-2</v>
      </c>
      <c r="BK421" s="475">
        <f t="shared" si="1223"/>
        <v>1.4139444173572091</v>
      </c>
      <c r="BL421" s="475">
        <f t="shared" si="1224"/>
        <v>0.97513408093607323</v>
      </c>
      <c r="BM421" s="475">
        <f t="shared" ca="1" si="1225"/>
        <v>1.6365231331376764</v>
      </c>
      <c r="BN421" s="475">
        <f t="shared" ca="1" si="1226"/>
        <v>205.65156209980304</v>
      </c>
      <c r="BO421" s="204">
        <f t="shared" ca="1" si="1227"/>
        <v>7.293890621030379E-3</v>
      </c>
      <c r="BP421" s="496" t="e">
        <f t="shared" ca="1" si="1228"/>
        <v>#N/A</v>
      </c>
      <c r="BQ421" s="497">
        <f t="shared" ca="1" si="1229"/>
        <v>0.25587861582012444</v>
      </c>
      <c r="BR421" s="497" t="e">
        <f t="shared" ca="1" si="1230"/>
        <v>#N/A</v>
      </c>
      <c r="BS421" s="475">
        <f t="shared" ca="1" si="1231"/>
        <v>0.41875127406488188</v>
      </c>
      <c r="BT421" s="475" t="e">
        <f t="shared" ca="1" si="1232"/>
        <v>#N/A</v>
      </c>
      <c r="BU421" s="475">
        <f t="shared" ca="1" si="1233"/>
        <v>6.5313677231726486E-2</v>
      </c>
      <c r="BV421" s="475" t="e">
        <f t="shared" ca="1" si="1234"/>
        <v>#N/A</v>
      </c>
      <c r="BW421" s="475">
        <f t="shared" ca="1" si="1235"/>
        <v>1.0337299444065668</v>
      </c>
      <c r="BX421" s="475" t="e">
        <f t="shared" ca="1" si="1236"/>
        <v>#N/A</v>
      </c>
      <c r="BY421" s="475">
        <f t="shared" ca="1" si="1237"/>
        <v>4.2205577606728634E-2</v>
      </c>
      <c r="BZ421" s="475" t="e">
        <f t="shared" ca="1" si="1238"/>
        <v>#N/A</v>
      </c>
      <c r="CA421" s="471">
        <f t="shared" ca="1" si="1239"/>
        <v>1.6882231042691456E-2</v>
      </c>
      <c r="CB421" s="471" t="e">
        <f t="shared" ca="1" si="1240"/>
        <v>#N/A</v>
      </c>
      <c r="CC421" s="471" t="e">
        <f t="shared" ca="1" si="1191"/>
        <v>#N/A</v>
      </c>
      <c r="CD421" s="471" t="e">
        <f t="shared" ca="1" si="1241"/>
        <v>#N/A</v>
      </c>
      <c r="CE421" s="471">
        <f t="shared" ca="1" si="1242"/>
        <v>0.16462438851965377</v>
      </c>
      <c r="CF421" s="471" t="e">
        <f t="shared" ca="1" si="1243"/>
        <v>#N/A</v>
      </c>
      <c r="CG421" s="471" t="str">
        <f t="shared" ca="1" si="1244"/>
        <v>No cumple</v>
      </c>
      <c r="CH421" s="471" t="e">
        <f t="shared" ca="1" si="1245"/>
        <v>#N/A</v>
      </c>
      <c r="CI421" s="471" t="str">
        <f t="shared" ca="1" si="1246"/>
        <v>OK</v>
      </c>
      <c r="CJ421" s="471" t="e">
        <f t="shared" ca="1" si="1247"/>
        <v>#N/A</v>
      </c>
      <c r="CK421" s="468">
        <f t="shared" si="1248"/>
        <v>1.999999999998181E-2</v>
      </c>
      <c r="CL421" s="482" t="s">
        <v>2507</v>
      </c>
      <c r="CM421" s="482"/>
      <c r="CN421" s="63" t="str">
        <f t="shared" si="1249"/>
        <v xml:space="preserve"> </v>
      </c>
      <c r="CO421" s="527">
        <f t="shared" si="1179"/>
        <v>41.02</v>
      </c>
      <c r="CP421" s="511">
        <f t="shared" si="1180"/>
        <v>1.4139444173572092E-2</v>
      </c>
      <c r="CQ421" s="482" t="s">
        <v>2508</v>
      </c>
      <c r="CR421" s="204">
        <f t="shared" si="1250"/>
        <v>41.02</v>
      </c>
      <c r="CS421" s="486">
        <v>1.2</v>
      </c>
      <c r="CT421" s="486">
        <v>1.2</v>
      </c>
      <c r="CU421" s="23">
        <f t="shared" si="1251"/>
        <v>41.021950221801987</v>
      </c>
      <c r="CV421" s="499" t="s">
        <v>2509</v>
      </c>
      <c r="CW421" s="488" t="str">
        <f t="shared" ca="1" si="1252"/>
        <v>E2</v>
      </c>
      <c r="CX421" s="204">
        <f ca="1">IF(AND(L421="",H421=""),"",IF(AND(BA421&lt;&gt;4,BA421&lt;&gt;5),VLOOKUP(AY421,'TABLA (2)'!$A$9:$D$43,4),IF(BA421=4,VLOOKUP(AY421,'TABLA (2)'!$A$74:$D$89,4),VLOOKUP(AY421,'TABLA (2)'!$A$51:$D$66,4))))</f>
        <v>6.2E-2</v>
      </c>
      <c r="CY421" s="482"/>
      <c r="CZ421" s="482"/>
      <c r="DA421" s="482"/>
      <c r="DB421" s="490"/>
    </row>
    <row r="422" spans="1:106" ht="15" hidden="1" customHeight="1">
      <c r="A422" s="465">
        <f t="shared" si="1253"/>
        <v>306</v>
      </c>
      <c r="B422" s="491"/>
      <c r="C422" s="466" t="s">
        <v>2260</v>
      </c>
      <c r="D422" s="466" t="s">
        <v>2261</v>
      </c>
      <c r="E422" s="468">
        <v>0.21154898469999997</v>
      </c>
      <c r="F422" s="468"/>
      <c r="G422" s="537">
        <f t="shared" si="1176"/>
        <v>0.66697362709999997</v>
      </c>
      <c r="H422" s="537">
        <f t="shared" si="1177"/>
        <v>0.87852261179999991</v>
      </c>
      <c r="I422" s="468">
        <v>0.21154898469999997</v>
      </c>
      <c r="J422" s="468"/>
      <c r="K422" s="467">
        <f t="shared" ca="1" si="1192"/>
        <v>0.66697362709999997</v>
      </c>
      <c r="L422" s="468">
        <f t="shared" ca="1" si="1193"/>
        <v>0.87852261179999991</v>
      </c>
      <c r="M422" s="469">
        <f t="shared" si="1194"/>
        <v>242.33666300502347</v>
      </c>
      <c r="N422" s="470">
        <f t="shared" si="1195"/>
        <v>51.266075014298757</v>
      </c>
      <c r="O422" s="470">
        <f t="shared" si="1196"/>
        <v>0</v>
      </c>
      <c r="P422" s="470">
        <f t="shared" si="1197"/>
        <v>212.89823811806963</v>
      </c>
      <c r="Q422" s="469">
        <f t="shared" si="1181"/>
        <v>140</v>
      </c>
      <c r="R422" s="471">
        <f t="shared" si="1198"/>
        <v>0.29322789740798944</v>
      </c>
      <c r="S422" s="471"/>
      <c r="T422" s="471"/>
      <c r="U422" s="471">
        <f t="shared" si="1199"/>
        <v>0</v>
      </c>
      <c r="V422" s="471"/>
      <c r="W422" s="471"/>
      <c r="X422" s="471">
        <f t="shared" si="1200"/>
        <v>0</v>
      </c>
      <c r="Y422" s="471">
        <f t="shared" si="1201"/>
        <v>0.17570452236</v>
      </c>
      <c r="Z422" s="471">
        <f t="shared" ca="1" si="1202"/>
        <v>0</v>
      </c>
      <c r="AA422" s="471">
        <f t="shared" si="1185"/>
        <v>3.8</v>
      </c>
      <c r="AB422" s="471">
        <f t="shared" si="1203"/>
        <v>1.1142660101503599</v>
      </c>
      <c r="AC422" s="471">
        <f t="shared" si="1204"/>
        <v>7.0609524614601307E-2</v>
      </c>
      <c r="AD422" s="471">
        <f t="shared" si="1205"/>
        <v>4.2309796939999998E-2</v>
      </c>
      <c r="AE422" s="471">
        <f t="shared" si="1205"/>
        <v>0</v>
      </c>
      <c r="AF422" s="510">
        <f t="shared" si="1175"/>
        <v>3.8</v>
      </c>
      <c r="AG422" s="471">
        <f t="shared" si="1206"/>
        <v>0.26831619353548497</v>
      </c>
      <c r="AH422" s="471">
        <f t="shared" si="1207"/>
        <v>0.31062599047548495</v>
      </c>
      <c r="AI422" s="471">
        <f t="shared" ca="1" si="1208"/>
        <v>1.5</v>
      </c>
      <c r="AJ422" s="471">
        <f t="shared" si="1209"/>
        <v>0.75</v>
      </c>
      <c r="AK422" s="472">
        <f t="shared" si="1210"/>
        <v>1.6617621602908712E-2</v>
      </c>
      <c r="AL422" s="471">
        <f t="shared" si="1211"/>
        <v>0.62833088108014545</v>
      </c>
      <c r="AM422" s="473" t="e">
        <f t="shared" si="1178"/>
        <v>#N/A</v>
      </c>
      <c r="AN422" s="474" t="e">
        <f t="shared" si="1190"/>
        <v>#N/A</v>
      </c>
      <c r="AO422" s="474">
        <f t="shared" si="1212"/>
        <v>0.32094444444444442</v>
      </c>
      <c r="AP422" s="474" t="e">
        <f t="shared" si="1213"/>
        <v>#N/A</v>
      </c>
      <c r="AQ422" s="475">
        <v>3</v>
      </c>
      <c r="AR422" s="474" t="e">
        <f t="shared" ca="1" si="1214"/>
        <v>#N/A</v>
      </c>
      <c r="AS422" s="474" t="e">
        <f t="shared" ca="1" si="1215"/>
        <v>#N/A</v>
      </c>
      <c r="AT422" s="471" t="e">
        <f t="shared" ca="1" si="1216"/>
        <v>#N/A</v>
      </c>
      <c r="AU422" s="492" t="e">
        <f t="shared" si="1217"/>
        <v>#N/A</v>
      </c>
      <c r="AV422" s="471" t="e">
        <f t="shared" ca="1" si="1218"/>
        <v>#N/A</v>
      </c>
      <c r="AW422" s="471" t="e">
        <f t="shared" ca="1" si="1219"/>
        <v>#N/A</v>
      </c>
      <c r="AX422" s="478">
        <f>IF(OR(C422="",D422=""),"",ROUND(((VLOOKUP(C422,'Base de Diseño (2)'!$A$2:$C$333,2,FALSE)-VLOOKUP(D422,'Base de Diseño (2)'!$A$2:$C$333,2,FALSE))^2+(VLOOKUP(C422,'Base de Diseño (2)'!$A$2:$C$333,3,0)-VLOOKUP(D422,'Base de Diseño (2)'!$A$2:$C$333,3,FALSE))^2)^0.5,2))</f>
        <v>57.77</v>
      </c>
      <c r="AY422" s="493">
        <v>20</v>
      </c>
      <c r="AZ422" s="480">
        <f ca="1">IF(AND(L422="",H422=""),"",IF(BA422=4,VLOOKUP(AY422,'TABLA (2)'!$A$74:$C$89,2),IF(BA422=5,VLOOKUP(AY422,'TABLA (2)'!$A$51:$B$66,2),IF(BA422=6,VLOOKUP(AY422,'TABLA (2)'!$A$9:$B$43,2)))))</f>
        <v>500</v>
      </c>
      <c r="BA422" s="493">
        <v>6</v>
      </c>
      <c r="BB422" s="478">
        <f>IF(OR(C422="",D422=""),"",VLOOKUP(C422,'Base de Diseño (2)'!$A$2:$D$330,4,FALSE))</f>
        <v>986.75160000000005</v>
      </c>
      <c r="BC422" s="478">
        <f>IF(OR(C422="",D422=""),"",VLOOKUP(D422,'Base de Diseño (2)'!$A$2:$D$330,4,FALSE))</f>
        <v>985.79160000000002</v>
      </c>
      <c r="BD422" s="23">
        <f t="shared" ca="1" si="1220"/>
        <v>1.5300000000000227</v>
      </c>
      <c r="BE422" s="23">
        <f t="shared" ca="1" si="1221"/>
        <v>1.3900000000000363</v>
      </c>
      <c r="BF422" s="494">
        <v>2.1000000000000227</v>
      </c>
      <c r="BG422" s="494">
        <v>1.9600000000000364</v>
      </c>
      <c r="BH422" s="495">
        <f t="shared" si="1222"/>
        <v>984.65160000000003</v>
      </c>
      <c r="BI422" s="495">
        <f t="shared" si="1222"/>
        <v>983.83159999999998</v>
      </c>
      <c r="BJ422" s="534">
        <f t="shared" si="1184"/>
        <v>3.999999999996362E-2</v>
      </c>
      <c r="BK422" s="475">
        <f t="shared" si="1223"/>
        <v>1.6617621602908712</v>
      </c>
      <c r="BL422" s="475">
        <f t="shared" si="1224"/>
        <v>1.4194218452484852</v>
      </c>
      <c r="BM422" s="475">
        <f t="shared" ca="1" si="1225"/>
        <v>2.2911440687286415</v>
      </c>
      <c r="BN422" s="475">
        <f t="shared" ca="1" si="1226"/>
        <v>449.86508591460796</v>
      </c>
      <c r="BO422" s="204">
        <f t="shared" ca="1" si="1227"/>
        <v>3.3343329966369641E-3</v>
      </c>
      <c r="BP422" s="496" t="e">
        <f t="shared" ca="1" si="1228"/>
        <v>#N/A</v>
      </c>
      <c r="BQ422" s="497">
        <f t="shared" ca="1" si="1229"/>
        <v>0.20376306276436204</v>
      </c>
      <c r="BR422" s="497" t="e">
        <f t="shared" ca="1" si="1230"/>
        <v>#N/A</v>
      </c>
      <c r="BS422" s="475">
        <f t="shared" ca="1" si="1231"/>
        <v>0.46685053267854998</v>
      </c>
      <c r="BT422" s="475" t="e">
        <f t="shared" ca="1" si="1232"/>
        <v>#N/A</v>
      </c>
      <c r="BU422" s="475">
        <f t="shared" ca="1" si="1233"/>
        <v>1.4825370969634211E-2</v>
      </c>
      <c r="BV422" s="475" t="e">
        <f t="shared" ca="1" si="1234"/>
        <v>#N/A</v>
      </c>
      <c r="BW422" s="475">
        <f t="shared" ca="1" si="1235"/>
        <v>0.48824943972167745</v>
      </c>
      <c r="BX422" s="475" t="e">
        <f t="shared" ca="1" si="1236"/>
        <v>#N/A</v>
      </c>
      <c r="BY422" s="475">
        <f t="shared" ca="1" si="1237"/>
        <v>9.8150899744652853E-3</v>
      </c>
      <c r="BZ422" s="475" t="e">
        <f t="shared" ca="1" si="1238"/>
        <v>#N/A</v>
      </c>
      <c r="CA422" s="471">
        <f t="shared" ca="1" si="1239"/>
        <v>4.9075449872326427E-3</v>
      </c>
      <c r="CB422" s="471" t="e">
        <f t="shared" ca="1" si="1240"/>
        <v>#N/A</v>
      </c>
      <c r="CC422" s="471" t="e">
        <f t="shared" ca="1" si="1191"/>
        <v>#N/A</v>
      </c>
      <c r="CD422" s="471" t="e">
        <f t="shared" ca="1" si="1241"/>
        <v>#N/A</v>
      </c>
      <c r="CE422" s="471">
        <f t="shared" ca="1" si="1242"/>
        <v>6.9658765614177109E-2</v>
      </c>
      <c r="CF422" s="471" t="e">
        <f t="shared" ca="1" si="1243"/>
        <v>#N/A</v>
      </c>
      <c r="CG422" s="471" t="str">
        <f t="shared" ca="1" si="1244"/>
        <v>O.K</v>
      </c>
      <c r="CH422" s="471" t="e">
        <f t="shared" ca="1" si="1245"/>
        <v>#N/A</v>
      </c>
      <c r="CI422" s="471" t="str">
        <f t="shared" ca="1" si="1246"/>
        <v>V.C.H.</v>
      </c>
      <c r="CJ422" s="471" t="e">
        <f t="shared" ca="1" si="1247"/>
        <v>#N/A</v>
      </c>
      <c r="CK422" s="468">
        <f t="shared" si="1248"/>
        <v>3.999999999996362E-2</v>
      </c>
      <c r="CL422" s="482" t="s">
        <v>2507</v>
      </c>
      <c r="CM422" s="482"/>
      <c r="CN422" s="63" t="str">
        <f t="shared" si="1249"/>
        <v xml:space="preserve"> </v>
      </c>
      <c r="CO422" s="527">
        <f t="shared" si="1179"/>
        <v>57.77</v>
      </c>
      <c r="CP422" s="542">
        <f t="shared" si="1180"/>
        <v>1.6617621602908712E-2</v>
      </c>
      <c r="CQ422" s="482" t="s">
        <v>2508</v>
      </c>
      <c r="CR422" s="204">
        <f t="shared" si="1250"/>
        <v>57.77</v>
      </c>
      <c r="CS422" s="486">
        <v>1.2</v>
      </c>
      <c r="CT422" s="486">
        <v>1.2</v>
      </c>
      <c r="CU422" s="23">
        <f t="shared" si="1251"/>
        <v>57.775819336466363</v>
      </c>
      <c r="CV422" s="499" t="s">
        <v>2509</v>
      </c>
      <c r="CW422" s="488" t="str">
        <f t="shared" ca="1" si="1252"/>
        <v>E2</v>
      </c>
      <c r="CX422" s="204">
        <f ca="1">IF(AND(L422="",H422=""),"",IF(AND(BA422&lt;&gt;4,BA422&lt;&gt;5),VLOOKUP(AY422,'TABLA (2)'!$A$9:$D$43,4),IF(BA422=4,VLOOKUP(AY422,'TABLA (2)'!$A$74:$D$89,4),VLOOKUP(AY422,'TABLA (2)'!$A$51:$D$66,4))))</f>
        <v>7.0000000000000007E-2</v>
      </c>
      <c r="CY422" s="482"/>
      <c r="CZ422" s="482"/>
      <c r="DA422" s="482"/>
      <c r="DB422" s="490"/>
    </row>
    <row r="423" spans="1:106" ht="15" hidden="1" customHeight="1">
      <c r="A423" s="465">
        <f t="shared" si="1253"/>
        <v>307</v>
      </c>
      <c r="B423" s="491"/>
      <c r="C423" s="466" t="s">
        <v>2261</v>
      </c>
      <c r="D423" s="466" t="s">
        <v>2237</v>
      </c>
      <c r="E423" s="468">
        <v>0.1949992814</v>
      </c>
      <c r="F423" s="468"/>
      <c r="G423" s="537">
        <f t="shared" si="1176"/>
        <v>3.5744605953999997</v>
      </c>
      <c r="H423" s="537">
        <f t="shared" si="1177"/>
        <v>3.7694598767999996</v>
      </c>
      <c r="I423" s="468">
        <v>0.1949992814</v>
      </c>
      <c r="J423" s="468"/>
      <c r="K423" s="467">
        <f t="shared" ca="1" si="1192"/>
        <v>1.1946657353999999</v>
      </c>
      <c r="L423" s="468">
        <f t="shared" ca="1" si="1193"/>
        <v>1.3896650168</v>
      </c>
      <c r="M423" s="469">
        <f t="shared" si="1194"/>
        <v>242.33666300502347</v>
      </c>
      <c r="N423" s="470">
        <f t="shared" si="1195"/>
        <v>47.255475142853541</v>
      </c>
      <c r="O423" s="470">
        <f t="shared" si="1196"/>
        <v>0</v>
      </c>
      <c r="P423" s="470">
        <f t="shared" si="1197"/>
        <v>913.47832787503876</v>
      </c>
      <c r="Q423" s="469">
        <f t="shared" si="1181"/>
        <v>140</v>
      </c>
      <c r="R423" s="471">
        <f t="shared" si="1198"/>
        <v>1.2581472339945556</v>
      </c>
      <c r="S423" s="471"/>
      <c r="T423" s="471"/>
      <c r="U423" s="471">
        <f t="shared" si="1199"/>
        <v>0</v>
      </c>
      <c r="V423" s="471"/>
      <c r="W423" s="471"/>
      <c r="X423" s="471">
        <f t="shared" si="1200"/>
        <v>0</v>
      </c>
      <c r="Y423" s="471">
        <f t="shared" si="1201"/>
        <v>0.75389197535999997</v>
      </c>
      <c r="Z423" s="471">
        <f t="shared" ca="1" si="1202"/>
        <v>0</v>
      </c>
      <c r="AA423" s="471">
        <f t="shared" si="1185"/>
        <v>3.8</v>
      </c>
      <c r="AB423" s="471">
        <f t="shared" si="1203"/>
        <v>4.7809594891793115</v>
      </c>
      <c r="AC423" s="471">
        <f t="shared" si="1204"/>
        <v>6.5085665995365402E-2</v>
      </c>
      <c r="AD423" s="471">
        <f t="shared" si="1205"/>
        <v>3.8999856280000002E-2</v>
      </c>
      <c r="AE423" s="471">
        <f t="shared" si="1205"/>
        <v>0</v>
      </c>
      <c r="AF423" s="510">
        <f t="shared" si="1175"/>
        <v>3.8</v>
      </c>
      <c r="AG423" s="471">
        <f t="shared" si="1206"/>
        <v>0.2473255307823885</v>
      </c>
      <c r="AH423" s="471">
        <f t="shared" si="1207"/>
        <v>0.28632538706238853</v>
      </c>
      <c r="AI423" s="471">
        <f t="shared" ca="1" si="1208"/>
        <v>5.5348514645393116</v>
      </c>
      <c r="AJ423" s="471">
        <f t="shared" si="1209"/>
        <v>0.75</v>
      </c>
      <c r="AK423" s="472">
        <f t="shared" si="1210"/>
        <v>2.0022246941046363E-2</v>
      </c>
      <c r="AL423" s="471">
        <f t="shared" si="1211"/>
        <v>0.62850111234705242</v>
      </c>
      <c r="AM423" s="473" t="e">
        <f t="shared" si="1178"/>
        <v>#N/A</v>
      </c>
      <c r="AN423" s="474" t="e">
        <f t="shared" si="1190"/>
        <v>#N/A</v>
      </c>
      <c r="AO423" s="474">
        <f t="shared" si="1212"/>
        <v>0.29966666666666664</v>
      </c>
      <c r="AP423" s="474" t="e">
        <f t="shared" si="1213"/>
        <v>#N/A</v>
      </c>
      <c r="AQ423" s="475">
        <v>3</v>
      </c>
      <c r="AR423" s="474" t="e">
        <f t="shared" ca="1" si="1214"/>
        <v>#N/A</v>
      </c>
      <c r="AS423" s="474" t="e">
        <f t="shared" ca="1" si="1215"/>
        <v>#N/A</v>
      </c>
      <c r="AT423" s="471" t="e">
        <f t="shared" ca="1" si="1216"/>
        <v>#N/A</v>
      </c>
      <c r="AU423" s="492" t="e">
        <f t="shared" si="1217"/>
        <v>#N/A</v>
      </c>
      <c r="AV423" s="471" t="e">
        <f t="shared" ca="1" si="1218"/>
        <v>#N/A</v>
      </c>
      <c r="AW423" s="471" t="e">
        <f t="shared" ca="1" si="1219"/>
        <v>#N/A</v>
      </c>
      <c r="AX423" s="478">
        <f>IF(OR(C423="",D423=""),"",ROUND(((VLOOKUP(C423,'Base de Diseño (2)'!$A$2:$C$333,2,FALSE)-VLOOKUP(D423,'Base de Diseño (2)'!$A$2:$C$333,2,FALSE))^2+(VLOOKUP(C423,'Base de Diseño (2)'!$A$2:$C$333,3,0)-VLOOKUP(D423,'Base de Diseño (2)'!$A$2:$C$333,3,FALSE))^2)^0.5,2))</f>
        <v>53.94</v>
      </c>
      <c r="AY423" s="493">
        <v>20</v>
      </c>
      <c r="AZ423" s="480">
        <f ca="1">IF(AND(L423="",H423=""),"",IF(BA423=4,VLOOKUP(AY423,'TABLA (2)'!$A$74:$C$89,2),IF(BA423=5,VLOOKUP(AY423,'TABLA (2)'!$A$51:$B$66,2),IF(BA423=6,VLOOKUP(AY423,'TABLA (2)'!$A$9:$B$43,2)))))</f>
        <v>500</v>
      </c>
      <c r="BA423" s="493">
        <v>6</v>
      </c>
      <c r="BB423" s="478">
        <f>IF(OR(C423="",D423=""),"",VLOOKUP(C423,'Base de Diseño (2)'!$A$2:$D$330,4,FALSE))</f>
        <v>985.79160000000002</v>
      </c>
      <c r="BC423" s="478">
        <f>IF(OR(C423="",D423=""),"",VLOOKUP(D423,'Base de Diseño (2)'!$A$2:$D$330,4,FALSE))</f>
        <v>984.71159999999998</v>
      </c>
      <c r="BD423" s="23">
        <f t="shared" ca="1" si="1220"/>
        <v>1.43</v>
      </c>
      <c r="BE423" s="23">
        <f t="shared" ca="1" si="1221"/>
        <v>2.829999999999977</v>
      </c>
      <c r="BF423" s="494">
        <v>2</v>
      </c>
      <c r="BG423" s="494">
        <v>3.3999999999999773</v>
      </c>
      <c r="BH423" s="495">
        <f t="shared" si="1222"/>
        <v>983.79160000000002</v>
      </c>
      <c r="BI423" s="495">
        <f t="shared" si="1222"/>
        <v>981.3116</v>
      </c>
      <c r="BJ423" s="534">
        <f t="shared" si="1184"/>
        <v>0.89999999999997726</v>
      </c>
      <c r="BK423" s="475">
        <f t="shared" si="1223"/>
        <v>2.0022246941046364</v>
      </c>
      <c r="BL423" s="475">
        <f t="shared" si="1224"/>
        <v>4.5977011494253217</v>
      </c>
      <c r="BM423" s="475">
        <f t="shared" ca="1" si="1225"/>
        <v>4.1235097493761499</v>
      </c>
      <c r="BN423" s="475">
        <f t="shared" ca="1" si="1226"/>
        <v>809.64924597787501</v>
      </c>
      <c r="BO423" s="204">
        <f t="shared" ca="1" si="1227"/>
        <v>6.836110194673806E-3</v>
      </c>
      <c r="BP423" s="496" t="e">
        <f t="shared" ca="1" si="1228"/>
        <v>#N/A</v>
      </c>
      <c r="BQ423" s="497">
        <f t="shared" ca="1" si="1229"/>
        <v>0.25109825492060506</v>
      </c>
      <c r="BR423" s="497" t="e">
        <f t="shared" ca="1" si="1230"/>
        <v>#N/A</v>
      </c>
      <c r="BS423" s="475">
        <f t="shared" ca="1" si="1231"/>
        <v>1.0354061022164527</v>
      </c>
      <c r="BT423" s="475" t="e">
        <f t="shared" ca="1" si="1232"/>
        <v>#N/A</v>
      </c>
      <c r="BU423" s="475">
        <f t="shared" ca="1" si="1233"/>
        <v>6.1132902580580462E-2</v>
      </c>
      <c r="BV423" s="475" t="e">
        <f t="shared" ca="1" si="1234"/>
        <v>#N/A</v>
      </c>
      <c r="BW423" s="475">
        <f t="shared" ca="1" si="1235"/>
        <v>0.99936725577601315</v>
      </c>
      <c r="BX423" s="475" t="e">
        <f t="shared" ca="1" si="1236"/>
        <v>#N/A</v>
      </c>
      <c r="BY423" s="475">
        <f t="shared" ca="1" si="1237"/>
        <v>3.9584625081983155E-2</v>
      </c>
      <c r="BZ423" s="475" t="e">
        <f t="shared" ca="1" si="1238"/>
        <v>#N/A</v>
      </c>
      <c r="CA423" s="471">
        <f t="shared" ca="1" si="1239"/>
        <v>1.9792312540991577E-2</v>
      </c>
      <c r="CB423" s="471" t="e">
        <f t="shared" ca="1" si="1240"/>
        <v>#N/A</v>
      </c>
      <c r="CC423" s="471" t="e">
        <f t="shared" ca="1" si="1191"/>
        <v>#N/A</v>
      </c>
      <c r="CD423" s="471" t="e">
        <f t="shared" ca="1" si="1241"/>
        <v>#N/A</v>
      </c>
      <c r="CE423" s="471">
        <f t="shared" ca="1" si="1242"/>
        <v>0.90999138119502188</v>
      </c>
      <c r="CF423" s="471" t="e">
        <f t="shared" ca="1" si="1243"/>
        <v>#N/A</v>
      </c>
      <c r="CG423" s="471" t="str">
        <f t="shared" ca="1" si="1244"/>
        <v>O.K</v>
      </c>
      <c r="CH423" s="471" t="e">
        <f t="shared" ca="1" si="1245"/>
        <v>#N/A</v>
      </c>
      <c r="CI423" s="471" t="str">
        <f t="shared" ca="1" si="1246"/>
        <v>OK</v>
      </c>
      <c r="CJ423" s="471" t="e">
        <f t="shared" ca="1" si="1247"/>
        <v>#N/A</v>
      </c>
      <c r="CK423" s="468">
        <f t="shared" si="1248"/>
        <v>0.89999999999997726</v>
      </c>
      <c r="CL423" s="482" t="s">
        <v>2507</v>
      </c>
      <c r="CM423" s="482"/>
      <c r="CN423" s="63" t="str">
        <f t="shared" si="1249"/>
        <v xml:space="preserve"> </v>
      </c>
      <c r="CO423" s="527">
        <f t="shared" si="1179"/>
        <v>53.94</v>
      </c>
      <c r="CP423" s="511">
        <f t="shared" si="1180"/>
        <v>2.0022246941046363E-2</v>
      </c>
      <c r="CQ423" s="482" t="s">
        <v>2508</v>
      </c>
      <c r="CR423" s="204">
        <f t="shared" si="1250"/>
        <v>53.94</v>
      </c>
      <c r="CS423" s="486">
        <v>1.2</v>
      </c>
      <c r="CT423" s="486">
        <v>1.2</v>
      </c>
      <c r="CU423" s="23">
        <f t="shared" si="1251"/>
        <v>53.996981397111448</v>
      </c>
      <c r="CV423" s="499" t="s">
        <v>2509</v>
      </c>
      <c r="CW423" s="488" t="str">
        <f t="shared" ca="1" si="1252"/>
        <v>E2</v>
      </c>
      <c r="CX423" s="204">
        <f ca="1">IF(AND(L423="",H423=""),"",IF(AND(BA423&lt;&gt;4,BA423&lt;&gt;5),VLOOKUP(AY423,'TABLA (2)'!$A$9:$D$43,4),IF(BA423=4,VLOOKUP(AY423,'TABLA (2)'!$A$74:$D$89,4),VLOOKUP(AY423,'TABLA (2)'!$A$51:$D$66,4))))</f>
        <v>7.0000000000000007E-2</v>
      </c>
      <c r="CY423" s="482"/>
      <c r="CZ423" s="482"/>
      <c r="DA423" s="482"/>
      <c r="DB423" s="490"/>
    </row>
    <row r="424" spans="1:106" ht="15" hidden="1" customHeight="1">
      <c r="A424" s="465">
        <f t="shared" si="1253"/>
        <v>308</v>
      </c>
      <c r="B424" s="491"/>
      <c r="C424" s="466" t="s">
        <v>2237</v>
      </c>
      <c r="D424" s="466" t="s">
        <v>2238</v>
      </c>
      <c r="E424" s="468">
        <v>0.54670654190000001</v>
      </c>
      <c r="F424" s="468"/>
      <c r="G424" s="537">
        <f t="shared" ref="G424:G455" si="1254">IF(B424=1,0,SUMIF($D$22:$D$583,C424,$H$22:$H$583))</f>
        <v>4.7691420614000002</v>
      </c>
      <c r="H424" s="537">
        <f t="shared" ref="H424:H455" si="1255">+E424+F424+G424</f>
        <v>5.3158486033000001</v>
      </c>
      <c r="I424" s="468">
        <v>0.54670654190000001</v>
      </c>
      <c r="J424" s="468"/>
      <c r="K424" s="467">
        <f t="shared" ca="1" si="1192"/>
        <v>2.3893472014000001</v>
      </c>
      <c r="L424" s="468">
        <f t="shared" ca="1" si="1193"/>
        <v>2.9360537433</v>
      </c>
      <c r="M424" s="469">
        <f t="shared" si="1194"/>
        <v>242.33666300502347</v>
      </c>
      <c r="N424" s="470">
        <f t="shared" si="1195"/>
        <v>132.48703900706204</v>
      </c>
      <c r="O424" s="470">
        <f t="shared" si="1196"/>
        <v>0</v>
      </c>
      <c r="P424" s="470">
        <f t="shared" si="1197"/>
        <v>1288.2250115636368</v>
      </c>
      <c r="Q424" s="469">
        <f t="shared" si="1181"/>
        <v>140</v>
      </c>
      <c r="R424" s="471">
        <f t="shared" si="1198"/>
        <v>1.7742913932415831</v>
      </c>
      <c r="S424" s="471"/>
      <c r="T424" s="471"/>
      <c r="U424" s="471">
        <f t="shared" si="1199"/>
        <v>0</v>
      </c>
      <c r="V424" s="471"/>
      <c r="W424" s="471"/>
      <c r="X424" s="471">
        <f t="shared" si="1200"/>
        <v>0</v>
      </c>
      <c r="Y424" s="471">
        <f t="shared" si="1201"/>
        <v>1.0631697206600002</v>
      </c>
      <c r="Z424" s="471">
        <f t="shared" ca="1" si="1202"/>
        <v>0</v>
      </c>
      <c r="AA424" s="471">
        <f t="shared" si="1185"/>
        <v>3.8</v>
      </c>
      <c r="AB424" s="471">
        <f t="shared" si="1203"/>
        <v>6.7423072943180156</v>
      </c>
      <c r="AC424" s="471">
        <f t="shared" si="1204"/>
        <v>0.18247636159537481</v>
      </c>
      <c r="AD424" s="471">
        <f t="shared" si="1205"/>
        <v>0.10934130838</v>
      </c>
      <c r="AE424" s="471">
        <f t="shared" si="1205"/>
        <v>0</v>
      </c>
      <c r="AF424" s="510">
        <f t="shared" si="1175"/>
        <v>3.8</v>
      </c>
      <c r="AG424" s="471">
        <f t="shared" si="1206"/>
        <v>0.69341017406242422</v>
      </c>
      <c r="AH424" s="471">
        <f t="shared" si="1207"/>
        <v>0.80275148244242422</v>
      </c>
      <c r="AI424" s="471">
        <f t="shared" ca="1" si="1208"/>
        <v>7.8054770149780159</v>
      </c>
      <c r="AJ424" s="471">
        <f t="shared" si="1209"/>
        <v>0.75</v>
      </c>
      <c r="AK424" s="472">
        <f t="shared" si="1210"/>
        <v>7.2855029585798425E-2</v>
      </c>
      <c r="AL424" s="471">
        <f t="shared" si="1211"/>
        <v>0.63114275147929</v>
      </c>
      <c r="AM424" s="473" t="e">
        <f t="shared" ref="AM424:AM455" si="1256">((100/36)*$AM$14*(AP424+$AN$14)^$AO$14)</f>
        <v>#N/A</v>
      </c>
      <c r="AN424" s="474" t="e">
        <f t="shared" si="1190"/>
        <v>#N/A</v>
      </c>
      <c r="AO424" s="474">
        <f t="shared" si="1212"/>
        <v>0.45066666666666672</v>
      </c>
      <c r="AP424" s="474" t="e">
        <f t="shared" si="1213"/>
        <v>#N/A</v>
      </c>
      <c r="AQ424" s="475">
        <v>3</v>
      </c>
      <c r="AR424" s="474" t="e">
        <f t="shared" ca="1" si="1214"/>
        <v>#N/A</v>
      </c>
      <c r="AS424" s="474" t="e">
        <f t="shared" ca="1" si="1215"/>
        <v>#N/A</v>
      </c>
      <c r="AT424" s="471" t="e">
        <f t="shared" ca="1" si="1216"/>
        <v>#N/A</v>
      </c>
      <c r="AU424" s="492" t="e">
        <f t="shared" si="1217"/>
        <v>#N/A</v>
      </c>
      <c r="AV424" s="471" t="e">
        <f t="shared" ca="1" si="1218"/>
        <v>#N/A</v>
      </c>
      <c r="AW424" s="471" t="e">
        <f t="shared" ca="1" si="1219"/>
        <v>#N/A</v>
      </c>
      <c r="AX424" s="478">
        <f>IF(OR(C424="",D424=""),"",ROUND(((VLOOKUP(C424,'Base de Diseño (2)'!$A$2:$C$333,2,FALSE)-VLOOKUP(D424,'Base de Diseño (2)'!$A$2:$C$333,2,FALSE))^2+(VLOOKUP(C424,'Base de Diseño (2)'!$A$2:$C$333,3,0)-VLOOKUP(D424,'Base de Diseño (2)'!$A$2:$C$333,3,FALSE))^2)^0.5,2))</f>
        <v>81.12</v>
      </c>
      <c r="AY424" s="493">
        <v>14</v>
      </c>
      <c r="AZ424" s="480">
        <f ca="1">IF(AND(L424="",H424=""),"",IF(BA424=4,VLOOKUP(AY424,'TABLA (2)'!$A$74:$C$89,2),IF(BA424=5,VLOOKUP(AY424,'TABLA (2)'!$A$51:$B$66,2),IF(BA424=6,VLOOKUP(AY424,'TABLA (2)'!$A$9:$B$43,2)))))</f>
        <v>350</v>
      </c>
      <c r="BA424" s="493">
        <v>6</v>
      </c>
      <c r="BB424" s="478">
        <f>IF(OR(C424="",D424=""),"",VLOOKUP(C424,'Base de Diseño (2)'!$A$2:$D$330,4,FALSE))</f>
        <v>984.71159999999998</v>
      </c>
      <c r="BC424" s="478">
        <f>IF(OR(C424="",D424=""),"",VLOOKUP(D424,'Base de Diseño (2)'!$A$2:$D$330,4,FALSE))</f>
        <v>978.80160000000001</v>
      </c>
      <c r="BD424" s="23">
        <f t="shared" ca="1" si="1220"/>
        <v>3.8899999999999544</v>
      </c>
      <c r="BE424" s="23">
        <f t="shared" ca="1" si="1221"/>
        <v>0.96000000000000463</v>
      </c>
      <c r="BF424" s="494">
        <v>4.2999999999999545</v>
      </c>
      <c r="BG424" s="494">
        <v>1.3700000000000045</v>
      </c>
      <c r="BH424" s="495">
        <f t="shared" si="1222"/>
        <v>980.41160000000002</v>
      </c>
      <c r="BI424" s="495">
        <f t="shared" si="1222"/>
        <v>977.4316</v>
      </c>
      <c r="BJ424" s="534">
        <f t="shared" si="1184"/>
        <v>0.23000000000001819</v>
      </c>
      <c r="BK424" s="475">
        <f t="shared" si="1223"/>
        <v>7.2855029585798423</v>
      </c>
      <c r="BL424" s="475">
        <f t="shared" si="1224"/>
        <v>3.6735700197238881</v>
      </c>
      <c r="BM424" s="475">
        <f t="shared" ca="1" si="1225"/>
        <v>2.9058476703993983</v>
      </c>
      <c r="BN424" s="475">
        <f t="shared" ca="1" si="1226"/>
        <v>279.575309371944</v>
      </c>
      <c r="BO424" s="204">
        <f t="shared" ca="1" si="1227"/>
        <v>2.7919049906491179E-2</v>
      </c>
      <c r="BP424" s="496" t="e">
        <f t="shared" ca="1" si="1228"/>
        <v>#N/A</v>
      </c>
      <c r="BQ424" s="497">
        <f t="shared" ca="1" si="1229"/>
        <v>0.37812969967539073</v>
      </c>
      <c r="BR424" s="497" t="e">
        <f t="shared" ca="1" si="1230"/>
        <v>#N/A</v>
      </c>
      <c r="BS424" s="475">
        <f t="shared" ca="1" si="1231"/>
        <v>1.0987873069105583</v>
      </c>
      <c r="BT424" s="475" t="e">
        <f t="shared" ca="1" si="1232"/>
        <v>#N/A</v>
      </c>
      <c r="BU424" s="475">
        <f t="shared" ca="1" si="1233"/>
        <v>0.1518902310131352</v>
      </c>
      <c r="BV424" s="475" t="e">
        <f t="shared" ca="1" si="1234"/>
        <v>#N/A</v>
      </c>
      <c r="BW424" s="475">
        <f t="shared" ca="1" si="1235"/>
        <v>1.6013577938783892</v>
      </c>
      <c r="BX424" s="475" t="e">
        <f t="shared" ca="1" si="1236"/>
        <v>#N/A</v>
      </c>
      <c r="BY424" s="475">
        <f t="shared" ca="1" si="1237"/>
        <v>9.3955386089679738E-2</v>
      </c>
      <c r="BZ424" s="475" t="e">
        <f t="shared" ca="1" si="1238"/>
        <v>#N/A</v>
      </c>
      <c r="CA424" s="471">
        <f t="shared" ca="1" si="1239"/>
        <v>3.288438513138791E-2</v>
      </c>
      <c r="CB424" s="471" t="e">
        <f t="shared" ca="1" si="1240"/>
        <v>#N/A</v>
      </c>
      <c r="CC424" s="471" t="e">
        <f t="shared" ca="1" si="1191"/>
        <v>#N/A</v>
      </c>
      <c r="CD424" s="471" t="e">
        <f t="shared" ca="1" si="1241"/>
        <v>#N/A</v>
      </c>
      <c r="CE424" s="471">
        <f t="shared" ca="1" si="1242"/>
        <v>1.208030913357206</v>
      </c>
      <c r="CF424" s="471" t="e">
        <f t="shared" ca="1" si="1243"/>
        <v>#N/A</v>
      </c>
      <c r="CG424" s="471" t="str">
        <f t="shared" ca="1" si="1244"/>
        <v>O.K</v>
      </c>
      <c r="CH424" s="471" t="e">
        <f t="shared" ca="1" si="1245"/>
        <v>#N/A</v>
      </c>
      <c r="CI424" s="471" t="str">
        <f t="shared" ca="1" si="1246"/>
        <v>OK</v>
      </c>
      <c r="CJ424" s="471" t="e">
        <f t="shared" ca="1" si="1247"/>
        <v>#N/A</v>
      </c>
      <c r="CK424" s="468">
        <f t="shared" si="1248"/>
        <v>0.23000000000001819</v>
      </c>
      <c r="CL424" s="482" t="s">
        <v>2507</v>
      </c>
      <c r="CM424" s="482"/>
      <c r="CN424" s="63" t="str">
        <f t="shared" si="1249"/>
        <v xml:space="preserve"> </v>
      </c>
      <c r="CO424" s="527">
        <f t="shared" ref="CO424:CO455" si="1257">+CR424</f>
        <v>81.12</v>
      </c>
      <c r="CP424" s="542">
        <f t="shared" ref="CP424:CP455" si="1258">+BK424/100</f>
        <v>7.2855029585798425E-2</v>
      </c>
      <c r="CQ424" s="482" t="s">
        <v>2508</v>
      </c>
      <c r="CR424" s="204">
        <f t="shared" si="1250"/>
        <v>81.12</v>
      </c>
      <c r="CS424" s="486">
        <v>1.2</v>
      </c>
      <c r="CT424" s="486">
        <v>1.2</v>
      </c>
      <c r="CU424" s="23">
        <f t="shared" si="1251"/>
        <v>81.174717738961064</v>
      </c>
      <c r="CV424" s="499" t="s">
        <v>2509</v>
      </c>
      <c r="CW424" s="488" t="str">
        <f t="shared" ca="1" si="1252"/>
        <v>E3</v>
      </c>
      <c r="CX424" s="204">
        <f ca="1">IF(AND(L424="",H424=""),"",IF(AND(BA424&lt;&gt;4,BA424&lt;&gt;5),VLOOKUP(AY424,'TABLA (2)'!$A$9:$D$43,4),IF(BA424=4,VLOOKUP(AY424,'TABLA (2)'!$A$74:$D$89,4),VLOOKUP(AY424,'TABLA (2)'!$A$51:$D$66,4))))</f>
        <v>0.06</v>
      </c>
      <c r="CY424" s="482"/>
      <c r="CZ424" s="482"/>
      <c r="DA424" s="482"/>
      <c r="DB424" s="490"/>
    </row>
    <row r="425" spans="1:106" ht="15" hidden="1" customHeight="1">
      <c r="A425" s="465">
        <f t="shared" si="1253"/>
        <v>309</v>
      </c>
      <c r="B425" s="491"/>
      <c r="C425" s="466" t="s">
        <v>2238</v>
      </c>
      <c r="D425" s="466" t="s">
        <v>2242</v>
      </c>
      <c r="E425" s="468"/>
      <c r="F425" s="468"/>
      <c r="G425" s="537">
        <f t="shared" si="1254"/>
        <v>5.3158486033000001</v>
      </c>
      <c r="H425" s="537">
        <f t="shared" si="1255"/>
        <v>5.3158486033000001</v>
      </c>
      <c r="I425" s="468"/>
      <c r="J425" s="468"/>
      <c r="K425" s="467">
        <f t="shared" ca="1" si="1192"/>
        <v>2.9360537433</v>
      </c>
      <c r="L425" s="468">
        <f t="shared" ca="1" si="1193"/>
        <v>2.9360537433</v>
      </c>
      <c r="M425" s="469">
        <f t="shared" si="1194"/>
        <v>242.33666300502347</v>
      </c>
      <c r="N425" s="470">
        <f t="shared" si="1195"/>
        <v>0</v>
      </c>
      <c r="O425" s="470">
        <f t="shared" si="1196"/>
        <v>0</v>
      </c>
      <c r="P425" s="470">
        <f t="shared" si="1197"/>
        <v>1288.2250115636368</v>
      </c>
      <c r="Q425" s="469">
        <f t="shared" si="1181"/>
        <v>140</v>
      </c>
      <c r="R425" s="471">
        <f t="shared" si="1198"/>
        <v>1.7742913932415831</v>
      </c>
      <c r="S425" s="471"/>
      <c r="T425" s="471"/>
      <c r="U425" s="471">
        <f t="shared" si="1199"/>
        <v>0</v>
      </c>
      <c r="V425" s="471"/>
      <c r="W425" s="471"/>
      <c r="X425" s="471">
        <f t="shared" si="1200"/>
        <v>0</v>
      </c>
      <c r="Y425" s="471">
        <f t="shared" si="1201"/>
        <v>1.0631697206600002</v>
      </c>
      <c r="Z425" s="471">
        <f t="shared" ca="1" si="1202"/>
        <v>0</v>
      </c>
      <c r="AA425" s="471">
        <f t="shared" si="1185"/>
        <v>3.8</v>
      </c>
      <c r="AB425" s="471">
        <f t="shared" si="1203"/>
        <v>6.7423072943180156</v>
      </c>
      <c r="AC425" s="471">
        <f t="shared" si="1204"/>
        <v>0</v>
      </c>
      <c r="AD425" s="471">
        <f t="shared" si="1205"/>
        <v>0</v>
      </c>
      <c r="AE425" s="471">
        <f t="shared" si="1205"/>
        <v>0</v>
      </c>
      <c r="AF425" s="510">
        <f t="shared" si="1175"/>
        <v>3.8</v>
      </c>
      <c r="AG425" s="471">
        <f t="shared" si="1206"/>
        <v>0</v>
      </c>
      <c r="AH425" s="471">
        <f t="shared" si="1207"/>
        <v>0</v>
      </c>
      <c r="AI425" s="471">
        <f t="shared" ca="1" si="1208"/>
        <v>7.8054770149780159</v>
      </c>
      <c r="AJ425" s="471">
        <f t="shared" si="1209"/>
        <v>0.75</v>
      </c>
      <c r="AK425" s="472">
        <f t="shared" si="1210"/>
        <v>0.19665854507483388</v>
      </c>
      <c r="AL425" s="471">
        <f t="shared" si="1211"/>
        <v>0.6373329272537418</v>
      </c>
      <c r="AM425" s="473" t="e">
        <f t="shared" si="1256"/>
        <v>#N/A</v>
      </c>
      <c r="AN425" s="474" t="e">
        <f t="shared" si="1190"/>
        <v>#N/A</v>
      </c>
      <c r="AO425" s="474">
        <f t="shared" si="1212"/>
        <v>0.15961111111111112</v>
      </c>
      <c r="AP425" s="474" t="e">
        <f t="shared" si="1213"/>
        <v>#N/A</v>
      </c>
      <c r="AQ425" s="475">
        <v>3</v>
      </c>
      <c r="AR425" s="474" t="e">
        <f t="shared" ca="1" si="1214"/>
        <v>#N/A</v>
      </c>
      <c r="AS425" s="474" t="e">
        <f t="shared" ca="1" si="1215"/>
        <v>#N/A</v>
      </c>
      <c r="AT425" s="471" t="e">
        <f t="shared" ca="1" si="1216"/>
        <v>#N/A</v>
      </c>
      <c r="AU425" s="492" t="e">
        <f t="shared" si="1217"/>
        <v>#N/A</v>
      </c>
      <c r="AV425" s="471" t="e">
        <f t="shared" ca="1" si="1218"/>
        <v>#N/A</v>
      </c>
      <c r="AW425" s="471" t="e">
        <f t="shared" ca="1" si="1219"/>
        <v>#N/A</v>
      </c>
      <c r="AX425" s="478">
        <f>IF(OR(C425="",D425=""),"",ROUND(((VLOOKUP(C425,'Base de Diseño (2)'!$A$2:$C$333,2,FALSE)-VLOOKUP(D425,'Base de Diseño (2)'!$A$2:$C$333,2,FALSE))^2+(VLOOKUP(C425,'Base de Diseño (2)'!$A$2:$C$333,3,0)-VLOOKUP(D425,'Base de Diseño (2)'!$A$2:$C$333,3,FALSE))^2)^0.5,2))</f>
        <v>28.73</v>
      </c>
      <c r="AY425" s="493">
        <v>8</v>
      </c>
      <c r="AZ425" s="480">
        <f ca="1">IF(AND(L425="",H425=""),"",IF(BA425=4,VLOOKUP(AY425,'TABLA (2)'!$A$74:$C$89,2),IF(BA425=5,VLOOKUP(AY425,'TABLA (2)'!$A$51:$B$66,2),IF(BA425=6,VLOOKUP(AY425,'TABLA (2)'!$A$9:$B$43,2)))))</f>
        <v>200</v>
      </c>
      <c r="BA425" s="493">
        <v>6</v>
      </c>
      <c r="BB425" s="478">
        <f>IF(OR(C425="",D425=""),"",VLOOKUP(C425,'Base de Diseño (2)'!$A$2:$D$330,4,FALSE))</f>
        <v>978.80160000000001</v>
      </c>
      <c r="BC425" s="478">
        <f>IF(OR(C425="",D425=""),"",VLOOKUP(D425,'Base de Diseño (2)'!$A$2:$D$330,4,FALSE))</f>
        <v>973.15160000000003</v>
      </c>
      <c r="BD425" s="23">
        <f t="shared" ca="1" si="1220"/>
        <v>1.3630000000000226</v>
      </c>
      <c r="BE425" s="23">
        <f t="shared" ca="1" si="1221"/>
        <v>2.3029999999999635</v>
      </c>
      <c r="BF425" s="494">
        <v>1.6000000000000227</v>
      </c>
      <c r="BG425" s="494">
        <v>2.5399999999999636</v>
      </c>
      <c r="BH425" s="495">
        <f t="shared" si="1222"/>
        <v>977.20159999999998</v>
      </c>
      <c r="BI425" s="495">
        <f t="shared" si="1222"/>
        <v>970.61160000000007</v>
      </c>
      <c r="BJ425" s="534">
        <f t="shared" si="1184"/>
        <v>-0.87000000000000455</v>
      </c>
      <c r="BK425" s="475">
        <f t="shared" si="1223"/>
        <v>19.665854507483388</v>
      </c>
      <c r="BL425" s="475">
        <f t="shared" si="1224"/>
        <v>22.937695788374235</v>
      </c>
      <c r="BM425" s="475">
        <f t="shared" ca="1" si="1225"/>
        <v>5.0000944899533666</v>
      </c>
      <c r="BN425" s="475">
        <f t="shared" ca="1" si="1226"/>
        <v>157.08260116892305</v>
      </c>
      <c r="BO425" s="204">
        <f t="shared" ca="1" si="1227"/>
        <v>4.9690270958679783E-2</v>
      </c>
      <c r="BP425" s="496" t="e">
        <f t="shared" ca="1" si="1228"/>
        <v>#N/A</v>
      </c>
      <c r="BQ425" s="497">
        <f t="shared" ca="1" si="1229"/>
        <v>0.44718389424449101</v>
      </c>
      <c r="BR425" s="497" t="e">
        <f t="shared" ca="1" si="1230"/>
        <v>#N/A</v>
      </c>
      <c r="BS425" s="475">
        <f t="shared" ca="1" si="1231"/>
        <v>2.2359617256077686</v>
      </c>
      <c r="BT425" s="475" t="e">
        <f t="shared" ca="1" si="1232"/>
        <v>#N/A</v>
      </c>
      <c r="BU425" s="475">
        <f t="shared" ca="1" si="1233"/>
        <v>0.18907447523415544</v>
      </c>
      <c r="BV425" s="475" t="e">
        <f t="shared" ca="1" si="1234"/>
        <v>#N/A</v>
      </c>
      <c r="BW425" s="475">
        <f t="shared" ca="1" si="1235"/>
        <v>1.7993843931353555</v>
      </c>
      <c r="BX425" s="475" t="e">
        <f t="shared" ca="1" si="1236"/>
        <v>#N/A</v>
      </c>
      <c r="BY425" s="475">
        <f t="shared" ca="1" si="1237"/>
        <v>0.11467770349350051</v>
      </c>
      <c r="BZ425" s="475" t="e">
        <f t="shared" ca="1" si="1238"/>
        <v>#N/A</v>
      </c>
      <c r="CA425" s="471">
        <f t="shared" ca="1" si="1239"/>
        <v>2.2935540698700102E-2</v>
      </c>
      <c r="CB425" s="471" t="e">
        <f t="shared" ca="1" si="1240"/>
        <v>#N/A</v>
      </c>
      <c r="CC425" s="471" t="e">
        <f t="shared" ca="1" si="1191"/>
        <v>#N/A</v>
      </c>
      <c r="CD425" s="471" t="e">
        <f t="shared" ca="1" si="1241"/>
        <v>#N/A</v>
      </c>
      <c r="CE425" s="471">
        <f t="shared" ca="1" si="1242"/>
        <v>5.2608845528865924</v>
      </c>
      <c r="CF425" s="471" t="e">
        <f t="shared" ca="1" si="1243"/>
        <v>#N/A</v>
      </c>
      <c r="CG425" s="471" t="str">
        <f t="shared" ca="1" si="1244"/>
        <v>O.K</v>
      </c>
      <c r="CH425" s="471" t="e">
        <f t="shared" ca="1" si="1245"/>
        <v>#N/A</v>
      </c>
      <c r="CI425" s="471" t="str">
        <f t="shared" ca="1" si="1246"/>
        <v>OK</v>
      </c>
      <c r="CJ425" s="471" t="e">
        <f t="shared" ca="1" si="1247"/>
        <v>#N/A</v>
      </c>
      <c r="CK425" s="468">
        <f t="shared" si="1248"/>
        <v>-0.87000000000000455</v>
      </c>
      <c r="CL425" s="482" t="s">
        <v>2507</v>
      </c>
      <c r="CM425" s="482"/>
      <c r="CN425" s="63" t="str">
        <f t="shared" si="1249"/>
        <v xml:space="preserve"> </v>
      </c>
      <c r="CO425" s="527">
        <f t="shared" si="1257"/>
        <v>28.73</v>
      </c>
      <c r="CP425" s="511">
        <f t="shared" si="1258"/>
        <v>0.19665854507483388</v>
      </c>
      <c r="CQ425" s="482" t="s">
        <v>2508</v>
      </c>
      <c r="CR425" s="204">
        <f t="shared" si="1250"/>
        <v>28.73</v>
      </c>
      <c r="CS425" s="486">
        <v>1.2</v>
      </c>
      <c r="CT425" s="486">
        <v>1.2</v>
      </c>
      <c r="CU425" s="23">
        <f t="shared" si="1251"/>
        <v>29.476108969808056</v>
      </c>
      <c r="CV425" s="499" t="s">
        <v>2509</v>
      </c>
      <c r="CW425" s="488" t="str">
        <f t="shared" ca="1" si="1252"/>
        <v>E2</v>
      </c>
      <c r="CX425" s="204">
        <f ca="1">IF(AND(L425="",H425=""),"",IF(AND(BA425&lt;&gt;4,BA425&lt;&gt;5),VLOOKUP(AY425,'TABLA (2)'!$A$9:$D$43,4),IF(BA425=4,VLOOKUP(AY425,'TABLA (2)'!$A$74:$D$89,4),VLOOKUP(AY425,'TABLA (2)'!$A$51:$D$66,4))))</f>
        <v>3.6999999999999998E-2</v>
      </c>
      <c r="CY425" s="482"/>
      <c r="CZ425" s="482"/>
      <c r="DA425" s="482"/>
      <c r="DB425" s="490"/>
    </row>
    <row r="426" spans="1:106" ht="15" hidden="1" customHeight="1">
      <c r="A426" s="465">
        <f t="shared" si="1253"/>
        <v>310</v>
      </c>
      <c r="B426" s="491"/>
      <c r="C426" s="466" t="s">
        <v>2242</v>
      </c>
      <c r="D426" s="466" t="s">
        <v>2254</v>
      </c>
      <c r="E426" s="468"/>
      <c r="F426" s="468"/>
      <c r="G426" s="537">
        <f t="shared" si="1254"/>
        <v>6.2864056813999998</v>
      </c>
      <c r="H426" s="537">
        <f t="shared" si="1255"/>
        <v>6.2864056813999998</v>
      </c>
      <c r="I426" s="468"/>
      <c r="J426" s="468"/>
      <c r="K426" s="467">
        <f t="shared" ca="1" si="1192"/>
        <v>3.9066108214000002</v>
      </c>
      <c r="L426" s="468">
        <f t="shared" ca="1" si="1193"/>
        <v>3.9066108214000002</v>
      </c>
      <c r="M426" s="469">
        <f t="shared" si="1194"/>
        <v>242.33666300502347</v>
      </c>
      <c r="N426" s="470">
        <f t="shared" si="1195"/>
        <v>0</v>
      </c>
      <c r="O426" s="470">
        <f t="shared" si="1196"/>
        <v>0</v>
      </c>
      <c r="P426" s="470">
        <f t="shared" si="1197"/>
        <v>1523.4265751262967</v>
      </c>
      <c r="Q426" s="469">
        <f t="shared" si="1181"/>
        <v>140</v>
      </c>
      <c r="R426" s="471">
        <f t="shared" si="1198"/>
        <v>2.098237991204043</v>
      </c>
      <c r="S426" s="471"/>
      <c r="T426" s="471"/>
      <c r="U426" s="471">
        <f t="shared" si="1199"/>
        <v>0</v>
      </c>
      <c r="V426" s="471"/>
      <c r="W426" s="471"/>
      <c r="X426" s="471">
        <f t="shared" si="1200"/>
        <v>0</v>
      </c>
      <c r="Y426" s="471">
        <f t="shared" si="1201"/>
        <v>1.25728113628</v>
      </c>
      <c r="Z426" s="471">
        <f t="shared" ca="1" si="1202"/>
        <v>0</v>
      </c>
      <c r="AA426" s="471">
        <f t="shared" si="1185"/>
        <v>3.8</v>
      </c>
      <c r="AB426" s="471">
        <f t="shared" si="1203"/>
        <v>7.9733043665753627</v>
      </c>
      <c r="AC426" s="471">
        <f t="shared" si="1204"/>
        <v>0</v>
      </c>
      <c r="AD426" s="471">
        <f t="shared" si="1205"/>
        <v>0</v>
      </c>
      <c r="AE426" s="471">
        <f t="shared" si="1205"/>
        <v>0</v>
      </c>
      <c r="AF426" s="510">
        <f t="shared" si="1175"/>
        <v>3.8</v>
      </c>
      <c r="AG426" s="471">
        <f t="shared" si="1206"/>
        <v>0</v>
      </c>
      <c r="AH426" s="471">
        <f t="shared" si="1207"/>
        <v>0</v>
      </c>
      <c r="AI426" s="471">
        <f t="shared" ca="1" si="1208"/>
        <v>9.2305855028553623</v>
      </c>
      <c r="AJ426" s="471">
        <f t="shared" si="1209"/>
        <v>0.75</v>
      </c>
      <c r="AK426" s="472">
        <f t="shared" si="1210"/>
        <v>6.2267066630306539E-2</v>
      </c>
      <c r="AL426" s="471">
        <f t="shared" si="1211"/>
        <v>0.63061335333151536</v>
      </c>
      <c r="AM426" s="473" t="e">
        <f t="shared" si="1256"/>
        <v>#N/A</v>
      </c>
      <c r="AN426" s="474" t="e">
        <f t="shared" si="1190"/>
        <v>#N/A</v>
      </c>
      <c r="AO426" s="474">
        <f t="shared" si="1212"/>
        <v>0.61116666666666675</v>
      </c>
      <c r="AP426" s="474" t="e">
        <f t="shared" si="1213"/>
        <v>#N/A</v>
      </c>
      <c r="AQ426" s="475">
        <v>3</v>
      </c>
      <c r="AR426" s="474" t="e">
        <f t="shared" ca="1" si="1214"/>
        <v>#N/A</v>
      </c>
      <c r="AS426" s="474" t="e">
        <f t="shared" ca="1" si="1215"/>
        <v>#N/A</v>
      </c>
      <c r="AT426" s="471" t="e">
        <f t="shared" ca="1" si="1216"/>
        <v>#N/A</v>
      </c>
      <c r="AU426" s="492" t="e">
        <f t="shared" si="1217"/>
        <v>#N/A</v>
      </c>
      <c r="AV426" s="471" t="e">
        <f t="shared" ca="1" si="1218"/>
        <v>#N/A</v>
      </c>
      <c r="AW426" s="471" t="e">
        <f t="shared" ca="1" si="1219"/>
        <v>#N/A</v>
      </c>
      <c r="AX426" s="478">
        <f>IF(OR(C426="",D426=""),"",ROUND(((VLOOKUP(C426,'Base de Diseño (2)'!$A$2:$C$333,2,FALSE)-VLOOKUP(D426,'Base de Diseño (2)'!$A$2:$C$333,2,FALSE))^2+(VLOOKUP(C426,'Base de Diseño (2)'!$A$2:$C$333,3,0)-VLOOKUP(D426,'Base de Diseño (2)'!$A$2:$C$333,3,FALSE))^2)^0.5,2))</f>
        <v>110.01</v>
      </c>
      <c r="AY426" s="493">
        <v>20</v>
      </c>
      <c r="AZ426" s="480">
        <f ca="1">IF(AND(L426="",H426=""),"",IF(BA426=4,VLOOKUP(AY426,'TABLA (2)'!$A$74:$C$89,2),IF(BA426=5,VLOOKUP(AY426,'TABLA (2)'!$A$51:$B$66,2),IF(BA426=6,VLOOKUP(AY426,'TABLA (2)'!$A$9:$B$43,2)))))</f>
        <v>500</v>
      </c>
      <c r="BA426" s="493">
        <v>6</v>
      </c>
      <c r="BB426" s="478">
        <f>IF(OR(C426="",D426=""),"",VLOOKUP(C426,'Base de Diseño (2)'!$A$2:$D$330,4,FALSE))</f>
        <v>973.15160000000003</v>
      </c>
      <c r="BC426" s="478">
        <f>IF(OR(C426="",D426=""),"",VLOOKUP(D426,'Base de Diseño (2)'!$A$2:$D$330,4,FALSE))</f>
        <v>966.30160000000001</v>
      </c>
      <c r="BD426" s="23">
        <f t="shared" ca="1" si="1220"/>
        <v>1.099999999999959</v>
      </c>
      <c r="BE426" s="23">
        <f t="shared" ca="1" si="1221"/>
        <v>1.1500000000000272</v>
      </c>
      <c r="BF426" s="494">
        <v>1.6699999999999591</v>
      </c>
      <c r="BG426" s="494">
        <v>1.7200000000000273</v>
      </c>
      <c r="BH426" s="495">
        <f t="shared" si="1222"/>
        <v>971.48160000000007</v>
      </c>
      <c r="BI426" s="495">
        <f t="shared" si="1222"/>
        <v>964.58159999999998</v>
      </c>
      <c r="BJ426" s="534">
        <f t="shared" si="1184"/>
        <v>964.58159999999998</v>
      </c>
      <c r="BK426" s="475">
        <f t="shared" si="1223"/>
        <v>6.2267066630306536</v>
      </c>
      <c r="BL426" s="475">
        <f t="shared" si="1224"/>
        <v>6.2721570766294796</v>
      </c>
      <c r="BM426" s="475">
        <f t="shared" ca="1" si="1225"/>
        <v>4.8162067207382382</v>
      </c>
      <c r="BN426" s="475">
        <f t="shared" ca="1" si="1226"/>
        <v>945.65997825256477</v>
      </c>
      <c r="BO426" s="204">
        <f t="shared" ca="1" si="1227"/>
        <v>9.7609983663600464E-3</v>
      </c>
      <c r="BP426" s="496" t="e">
        <f t="shared" ca="1" si="1228"/>
        <v>#N/A</v>
      </c>
      <c r="BQ426" s="497">
        <f t="shared" ca="1" si="1229"/>
        <v>0.27851548687134769</v>
      </c>
      <c r="BR426" s="497" t="e">
        <f t="shared" ca="1" si="1230"/>
        <v>#N/A</v>
      </c>
      <c r="BS426" s="475">
        <f t="shared" ca="1" si="1231"/>
        <v>1.3413881596994672</v>
      </c>
      <c r="BT426" s="475" t="e">
        <f t="shared" ca="1" si="1232"/>
        <v>#N/A</v>
      </c>
      <c r="BU426" s="475">
        <f t="shared" ca="1" si="1233"/>
        <v>8.4106241806110982E-2</v>
      </c>
      <c r="BV426" s="475" t="e">
        <f t="shared" ca="1" si="1234"/>
        <v>#N/A</v>
      </c>
      <c r="BW426" s="475">
        <f t="shared" ca="1" si="1235"/>
        <v>1.1769523301128106</v>
      </c>
      <c r="BX426" s="475" t="e">
        <f t="shared" ca="1" si="1236"/>
        <v>#N/A</v>
      </c>
      <c r="BY426" s="475">
        <f t="shared" ca="1" si="1237"/>
        <v>5.3849152709882442E-2</v>
      </c>
      <c r="BZ426" s="475" t="e">
        <f t="shared" ca="1" si="1238"/>
        <v>#N/A</v>
      </c>
      <c r="CA426" s="471">
        <f t="shared" ca="1" si="1239"/>
        <v>2.6924576354941221E-2</v>
      </c>
      <c r="CB426" s="471" t="e">
        <f t="shared" ca="1" si="1240"/>
        <v>#N/A</v>
      </c>
      <c r="CC426" s="471" t="e">
        <f t="shared" ca="1" si="1191"/>
        <v>#N/A</v>
      </c>
      <c r="CD426" s="471" t="e">
        <f t="shared" ca="1" si="1241"/>
        <v>#N/A</v>
      </c>
      <c r="CE426" s="471">
        <f t="shared" ca="1" si="1242"/>
        <v>1.6887517211989536</v>
      </c>
      <c r="CF426" s="471" t="e">
        <f t="shared" ca="1" si="1243"/>
        <v>#N/A</v>
      </c>
      <c r="CG426" s="471" t="str">
        <f t="shared" ca="1" si="1244"/>
        <v>O.K</v>
      </c>
      <c r="CH426" s="471" t="e">
        <f t="shared" ca="1" si="1245"/>
        <v>#N/A</v>
      </c>
      <c r="CI426" s="471" t="str">
        <f t="shared" ca="1" si="1246"/>
        <v>OK</v>
      </c>
      <c r="CJ426" s="471" t="e">
        <f t="shared" ca="1" si="1247"/>
        <v>#N/A</v>
      </c>
      <c r="CK426" s="468">
        <f t="shared" si="1248"/>
        <v>964.58159999999998</v>
      </c>
      <c r="CL426" s="482" t="s">
        <v>2507</v>
      </c>
      <c r="CM426" s="482"/>
      <c r="CN426" s="63" t="str">
        <f t="shared" si="1249"/>
        <v xml:space="preserve"> </v>
      </c>
      <c r="CO426" s="527">
        <f t="shared" si="1257"/>
        <v>110.01</v>
      </c>
      <c r="CP426" s="542">
        <f t="shared" si="1258"/>
        <v>6.2267066630306539E-2</v>
      </c>
      <c r="CQ426" s="482" t="s">
        <v>2508</v>
      </c>
      <c r="CR426" s="204">
        <f t="shared" si="1250"/>
        <v>110.01</v>
      </c>
      <c r="CS426" s="486">
        <v>1.2</v>
      </c>
      <c r="CT426" s="486">
        <v>1.2</v>
      </c>
      <c r="CU426" s="23">
        <f t="shared" si="1251"/>
        <v>110.22617701798427</v>
      </c>
      <c r="CV426" s="499" t="s">
        <v>2509</v>
      </c>
      <c r="CW426" s="488" t="str">
        <f t="shared" ca="1" si="1252"/>
        <v>E2</v>
      </c>
      <c r="CX426" s="204">
        <f ca="1">IF(AND(L426="",H426=""),"",IF(AND(BA426&lt;&gt;4,BA426&lt;&gt;5),VLOOKUP(AY426,'TABLA (2)'!$A$9:$D$43,4),IF(BA426=4,VLOOKUP(AY426,'TABLA (2)'!$A$74:$D$89,4),VLOOKUP(AY426,'TABLA (2)'!$A$51:$D$66,4))))</f>
        <v>7.0000000000000007E-2</v>
      </c>
      <c r="CY426" s="482"/>
      <c r="CZ426" s="482"/>
      <c r="DA426" s="482"/>
      <c r="DB426" s="490"/>
    </row>
    <row r="427" spans="1:106" ht="15" hidden="1" customHeight="1">
      <c r="A427" s="465"/>
      <c r="B427" s="491"/>
      <c r="C427" s="466"/>
      <c r="D427" s="466"/>
      <c r="E427" s="468"/>
      <c r="F427" s="468"/>
      <c r="G427" s="537">
        <f t="shared" si="1254"/>
        <v>0</v>
      </c>
      <c r="H427" s="537">
        <f t="shared" si="1255"/>
        <v>0</v>
      </c>
      <c r="I427" s="468"/>
      <c r="J427" s="468"/>
      <c r="K427" s="467"/>
      <c r="L427" s="468"/>
      <c r="M427" s="469"/>
      <c r="N427" s="470"/>
      <c r="O427" s="470"/>
      <c r="P427" s="470"/>
      <c r="Q427" s="469">
        <f t="shared" si="1181"/>
        <v>140</v>
      </c>
      <c r="R427" s="471"/>
      <c r="S427" s="471"/>
      <c r="T427" s="471"/>
      <c r="U427" s="471"/>
      <c r="V427" s="471"/>
      <c r="W427" s="471"/>
      <c r="X427" s="471"/>
      <c r="Y427" s="471"/>
      <c r="Z427" s="471"/>
      <c r="AA427" s="471" t="str">
        <f t="shared" si="1185"/>
        <v/>
      </c>
      <c r="AB427" s="471"/>
      <c r="AC427" s="471"/>
      <c r="AD427" s="471"/>
      <c r="AE427" s="471"/>
      <c r="AF427" s="510" t="str">
        <f t="shared" si="1175"/>
        <v/>
      </c>
      <c r="AG427" s="471"/>
      <c r="AH427" s="471"/>
      <c r="AI427" s="471"/>
      <c r="AJ427" s="471"/>
      <c r="AK427" s="472"/>
      <c r="AL427" s="471"/>
      <c r="AM427" s="473">
        <f t="shared" si="1256"/>
        <v>474.44695720875893</v>
      </c>
      <c r="AN427" s="474" t="e">
        <f t="shared" si="1190"/>
        <v>#N/A</v>
      </c>
      <c r="AO427" s="474"/>
      <c r="AP427" s="474"/>
      <c r="AQ427" s="475">
        <v>3</v>
      </c>
      <c r="AR427" s="474"/>
      <c r="AS427" s="474"/>
      <c r="AT427" s="471"/>
      <c r="AU427" s="492"/>
      <c r="AV427" s="471"/>
      <c r="AW427" s="471"/>
      <c r="AX427" s="478"/>
      <c r="AY427" s="493"/>
      <c r="AZ427" s="480"/>
      <c r="BA427" s="493"/>
      <c r="BB427" s="478" t="str">
        <f>IF(OR(C427="",D427=""),"",VLOOKUP(C427,'Base de Diseño (2)'!$A$2:$D$330,4,FALSE))</f>
        <v/>
      </c>
      <c r="BC427" s="478" t="str">
        <f>IF(OR(C427="",D427=""),"",VLOOKUP(D427,'Base de Diseño (2)'!$A$2:$D$330,4,FALSE))</f>
        <v/>
      </c>
      <c r="BD427" s="23"/>
      <c r="BE427" s="23"/>
      <c r="BF427" s="494"/>
      <c r="BG427" s="494"/>
      <c r="BH427" s="495"/>
      <c r="BI427" s="495"/>
      <c r="BJ427" s="534">
        <f t="shared" si="1184"/>
        <v>0</v>
      </c>
      <c r="BK427" s="475"/>
      <c r="BL427" s="475"/>
      <c r="BM427" s="475"/>
      <c r="BN427" s="475"/>
      <c r="BO427" s="204"/>
      <c r="BP427" s="496"/>
      <c r="BQ427" s="497"/>
      <c r="BR427" s="497"/>
      <c r="BS427" s="475"/>
      <c r="BT427" s="475"/>
      <c r="BU427" s="475"/>
      <c r="BV427" s="475"/>
      <c r="BW427" s="475"/>
      <c r="BX427" s="475"/>
      <c r="BY427" s="475"/>
      <c r="BZ427" s="475"/>
      <c r="CA427" s="471"/>
      <c r="CB427" s="471"/>
      <c r="CC427" s="471" t="e">
        <f t="shared" si="1191"/>
        <v>#DIV/0!</v>
      </c>
      <c r="CD427" s="471"/>
      <c r="CE427" s="471"/>
      <c r="CF427" s="471"/>
      <c r="CG427" s="471"/>
      <c r="CH427" s="471"/>
      <c r="CI427" s="471"/>
      <c r="CJ427" s="471"/>
      <c r="CK427" s="468"/>
      <c r="CL427" s="482" t="s">
        <v>2507</v>
      </c>
      <c r="CM427" s="482"/>
      <c r="CN427" s="63"/>
      <c r="CO427" s="527">
        <f t="shared" si="1257"/>
        <v>0</v>
      </c>
      <c r="CP427" s="511">
        <f t="shared" si="1258"/>
        <v>0</v>
      </c>
      <c r="CQ427" s="482"/>
      <c r="CR427" s="204"/>
      <c r="CS427" s="486"/>
      <c r="CT427" s="486"/>
      <c r="CU427" s="23"/>
      <c r="CV427" s="499"/>
      <c r="CW427" s="488"/>
      <c r="CX427" s="204"/>
      <c r="CY427" s="482"/>
      <c r="CZ427" s="482"/>
      <c r="DA427" s="482"/>
      <c r="DB427" s="490"/>
    </row>
    <row r="428" spans="1:106" ht="15" hidden="1" customHeight="1">
      <c r="A428" s="465">
        <f>+A426+1</f>
        <v>311</v>
      </c>
      <c r="B428" s="491">
        <v>1</v>
      </c>
      <c r="C428" s="466" t="s">
        <v>2262</v>
      </c>
      <c r="D428" s="466" t="s">
        <v>2263</v>
      </c>
      <c r="E428" s="468">
        <v>0.1894424438</v>
      </c>
      <c r="F428" s="468">
        <v>2.3797948600000001</v>
      </c>
      <c r="G428" s="537">
        <f t="shared" si="1254"/>
        <v>0</v>
      </c>
      <c r="H428" s="537">
        <f t="shared" si="1255"/>
        <v>2.5692373038</v>
      </c>
      <c r="I428" s="468">
        <v>0.1894424438</v>
      </c>
      <c r="J428" s="468"/>
      <c r="K428" s="467">
        <f>+IF(B428=1,0,SUMIF($D$22:$D$583,C428,$L$22:$L$580))</f>
        <v>0</v>
      </c>
      <c r="L428" s="468">
        <f>+I428+J428+K428</f>
        <v>0.1894424438</v>
      </c>
      <c r="M428" s="469">
        <f>+$P$12</f>
        <v>242.33666300502347</v>
      </c>
      <c r="N428" s="470">
        <f>M428*E428</f>
        <v>45.908849662008699</v>
      </c>
      <c r="O428" s="470">
        <f>M428*F428</f>
        <v>576.71154500890702</v>
      </c>
      <c r="P428" s="470">
        <f>M428*H428</f>
        <v>622.62039467091574</v>
      </c>
      <c r="Q428" s="469">
        <f t="shared" ref="Q428:Q459" si="1259">+$H$14</f>
        <v>140</v>
      </c>
      <c r="R428" s="471">
        <f>Q428*P428*$P$14/86400</f>
        <v>0.85754429358609929</v>
      </c>
      <c r="S428" s="471"/>
      <c r="T428" s="471"/>
      <c r="U428" s="471">
        <f>IF(C428="","",T428*$P$17)</f>
        <v>0</v>
      </c>
      <c r="V428" s="471"/>
      <c r="W428" s="471"/>
      <c r="X428" s="471">
        <f>IF(C428="","",W428*$P$16)</f>
        <v>0</v>
      </c>
      <c r="Y428" s="471">
        <f>IF(H428=0,0,$H$15*H428)</f>
        <v>0.51384746075999999</v>
      </c>
      <c r="Z428" s="471">
        <f>IF(L428=0,$H$16*H428,0)</f>
        <v>0</v>
      </c>
      <c r="AA428" s="471">
        <f t="shared" si="1185"/>
        <v>3.8</v>
      </c>
      <c r="AB428" s="471">
        <f>R428*AA428</f>
        <v>3.258668315627177</v>
      </c>
      <c r="AC428" s="471">
        <f>Q428*(N428+O428)*$P$14/86400</f>
        <v>0.85754429358609929</v>
      </c>
      <c r="AD428" s="471">
        <f>IF(E428=0,0,$H$15*(E428+F428))</f>
        <v>0.51384746075999999</v>
      </c>
      <c r="AE428" s="471">
        <f>IF(F428=0,0,$H$15*(F428+G428))</f>
        <v>0.47595897200000004</v>
      </c>
      <c r="AF428" s="510">
        <f t="shared" si="1175"/>
        <v>3.8</v>
      </c>
      <c r="AG428" s="471">
        <f>AC428*AF428</f>
        <v>3.258668315627177</v>
      </c>
      <c r="AH428" s="471">
        <f>+AD428+AE428+AG428</f>
        <v>4.248474748387177</v>
      </c>
      <c r="AI428" s="471">
        <f>IF(H428="","",IF(AB428+Y428+Z428+X428+U428&lt;1.5,1.5,AB428+Y428+Z428+X428+U428))</f>
        <v>3.7725157763871771</v>
      </c>
      <c r="AJ428" s="471">
        <f>+$P$17</f>
        <v>0.75</v>
      </c>
      <c r="AK428" s="472">
        <f>+BK428/100</f>
        <v>1.9720329867334331E-2</v>
      </c>
      <c r="AL428" s="471">
        <f>IF(AJ428=0," ",0.14+0.65*AJ428+0.05*AK428)</f>
        <v>0.62848601649336677</v>
      </c>
      <c r="AM428" s="473">
        <f t="shared" si="1256"/>
        <v>336.32613267542746</v>
      </c>
      <c r="AN428" s="474">
        <f t="shared" si="1190"/>
        <v>5</v>
      </c>
      <c r="AO428" s="474">
        <f>((1/60)*$AX428/$AQ428)</f>
        <v>0.15494444444444444</v>
      </c>
      <c r="AP428" s="474">
        <f>IF(B428=1,IF(($AN428+$AO428)&lt;10,10,IF(($AN428+$AO428)&gt;20,20,($AN428+$AO428))),($AN428+$AO428))</f>
        <v>10</v>
      </c>
      <c r="AQ428" s="475">
        <v>3</v>
      </c>
      <c r="AR428" s="474">
        <f>((1/60)*$AX428/$BT428)</f>
        <v>0.45693527106218196</v>
      </c>
      <c r="AS428" s="474">
        <f>AO428/AR428</f>
        <v>0.33909495339299128</v>
      </c>
      <c r="AT428" s="471" t="str">
        <f>IF(AS428&lt;0.9,"Disminuir vel.",IF(AS428&gt;1.1,"Aumentar vel.","Cumple"))</f>
        <v>Disminuir vel.</v>
      </c>
      <c r="AU428" s="492">
        <f>+I428*AL428*AM428</f>
        <v>40.043637409247808</v>
      </c>
      <c r="AV428" s="471">
        <f>+L428*AL428*AM428</f>
        <v>40.043637409247808</v>
      </c>
      <c r="AW428" s="471">
        <f>ROUND(IF(AI428&gt;(AV428*0.05),(AV428+AI428),AV428),2)</f>
        <v>43.82</v>
      </c>
      <c r="AX428" s="478">
        <f>IF(OR(C428="",D428=""),"",ROUND(((VLOOKUP(C428,'Base de Diseño (2)'!$A$2:$C$333,2,FALSE)-VLOOKUP(D428,'Base de Diseño (2)'!$A$2:$C$333,2,FALSE))^2+(VLOOKUP(C428,'Base de Diseño (2)'!$A$2:$C$333,3,0)-VLOOKUP(D428,'Base de Diseño (2)'!$A$2:$C$333,3,FALSE))^2)^0.5,2))</f>
        <v>27.89</v>
      </c>
      <c r="AY428" s="493">
        <v>10</v>
      </c>
      <c r="AZ428" s="480">
        <f>IF(AND(L428="",H428=""),"",IF(BA428=4,VLOOKUP(AY428,'TABLA (2)'!$A$74:$C$89,2),IF(BA428=5,VLOOKUP(AY428,'TABLA (2)'!$A$51:$B$66,2),IF(BA428=6,VLOOKUP(AY428,'TABLA (2)'!$A$9:$B$43,2)))))</f>
        <v>250</v>
      </c>
      <c r="BA428" s="493">
        <v>6</v>
      </c>
      <c r="BB428" s="478">
        <f>IF(OR(C428="",D428=""),"",VLOOKUP(C428,'Base de Diseño (2)'!$A$2:$D$330,4,FALSE))</f>
        <v>985.97160000000008</v>
      </c>
      <c r="BC428" s="478">
        <f>IF(OR(C428="",D428=""),"",VLOOKUP(D428,'Base de Diseño (2)'!$A$2:$D$330,4,FALSE))</f>
        <v>986.52160000000003</v>
      </c>
      <c r="BD428" s="23">
        <f>+BF428-((AZ428/1000)+CX428)</f>
        <v>1.0730000000000137</v>
      </c>
      <c r="BE428" s="23">
        <f>+BG428-((AZ428/1000)+CX428)</f>
        <v>1.8130000000000228</v>
      </c>
      <c r="BF428" s="494">
        <v>1.3600000000000136</v>
      </c>
      <c r="BG428" s="494">
        <v>2.1000000000000227</v>
      </c>
      <c r="BH428" s="495">
        <f>BB428-BF428</f>
        <v>984.61160000000007</v>
      </c>
      <c r="BI428" s="495">
        <f>BC428-BG428</f>
        <v>984.42160000000001</v>
      </c>
      <c r="BJ428" s="534">
        <f t="shared" si="1184"/>
        <v>0</v>
      </c>
      <c r="BK428" s="475">
        <f>ABS((BB428-BC428)/AX428)*100</f>
        <v>1.9720329867334332</v>
      </c>
      <c r="BL428" s="475">
        <f>((BH428-BI428)/AX428)*100</f>
        <v>0.68124775905361978</v>
      </c>
      <c r="BM428" s="475">
        <f>IF(BA428=6,(1/0.013)*((AZ428/4000)^(2/3))*((BL428/100)^(0.5)),(1/0.009)*((AZ428/4000)^(2/3))*((BL428/100)^(0.5)))</f>
        <v>0.9999137395176817</v>
      </c>
      <c r="BN428" s="475">
        <f>1000*BM428*PI()*((AZ428/1000/2)^2)</f>
        <v>49.083150910816357</v>
      </c>
      <c r="BO428" s="204">
        <f>AI428/BN428</f>
        <v>7.6859690268088213E-2</v>
      </c>
      <c r="BP428" s="496">
        <f>IF(L428=0," ",AW428/BN428)</f>
        <v>0.89277072043766192</v>
      </c>
      <c r="BQ428" s="497">
        <f>IF($BO428&gt;0 =AND($BO428&lt;=0.06),10^(0.029806+0.29095*LOG($BO428)),IF($BO428&gt;0.06 =AND($BO428&lt;=0.26),10^(0.013778+0.282597*LOG($BO428)),IF($BO428&gt;0.26 =AND($BO428&lt;=0.91),10^(0.021763+0.28995*LOG($BO428)),1)))</f>
        <v>0.49989613128142357</v>
      </c>
      <c r="BR428" s="497">
        <f>IF($BP428&gt;0 =AND($BP428&lt;=0.06),10^(0.029806+0.29095*LOG($BP428)),IF($BP428&gt;0.06 =AND($BP428&lt;=0.26),10^(0.013778+0.282597*LOG($BP428)),IF($BP428&gt;0.26 =AND($BP428&lt;=2),10^(0.021763+0.28995*LOG($BP428))," ")))</f>
        <v>1.0173726192318062</v>
      </c>
      <c r="BS428" s="475">
        <f>BM428*BQ428</f>
        <v>0.49985301000003018</v>
      </c>
      <c r="BT428" s="475">
        <f>IF(BP428=" "," ",(BM428*BR428))</f>
        <v>1.0172848601789739</v>
      </c>
      <c r="BU428" s="475">
        <f>IF(BO428&lt;=0.11,0.3827+0.0645*LN(BO428),IF(BO428&lt;=0.21,0.60025+0.15471*LN(BO428),IF(BO428&lt;1,0.225+0.6666666667*BO428,0)))</f>
        <v>0.21720759482310026</v>
      </c>
      <c r="BV428" s="475">
        <f>IF(BP428&lt;=0.11,0.3827+0.0645*LN(BP428),IF(BP428&lt;=0.21,0.60025+0.15471*LN(BP428),IF(BP428&lt;1,0.225+0.6666666667*BP428," ")))</f>
        <v>0.82018048032153357</v>
      </c>
      <c r="BW428" s="475">
        <f>2*ACOS(1-2*(BU428))</f>
        <v>1.9393082362583853</v>
      </c>
      <c r="BX428" s="475">
        <f>IF(BP428=" "," ",(2*ACOS(1-2*(BV428))))</f>
        <v>4.5315289117894739</v>
      </c>
      <c r="BY428" s="475">
        <f>(1/4)*(1-(SIN(BW428))/BW428)</f>
        <v>0.12974263036306843</v>
      </c>
      <c r="BZ428" s="475">
        <f>IF(BP428=" "," ",((1/4)*(1-(SIN(BX428))/BX428)))</f>
        <v>0.30426917550116195</v>
      </c>
      <c r="CA428" s="471">
        <f>BY428*AZ428/1000</f>
        <v>3.2435657590767109E-2</v>
      </c>
      <c r="CB428" s="471">
        <f>IF(BP428=" "," ",(BZ428*AZ428/1000))</f>
        <v>7.6067293875290487E-2</v>
      </c>
      <c r="CC428" s="471">
        <f t="shared" si="1191"/>
        <v>0.68565125923723935</v>
      </c>
      <c r="CD428" s="471" t="str">
        <f>IF(CC428="","",IF(CC428&lt;0.7,"F. Subcrítico",IF(AND(CC428&gt;0.7,CC428&lt;1),"F. Subcrítico Inestable",IF(CC428=1,"F. Crítico",IF(AND(CC428&gt;1,CC428&lt;1.5),"F. Supercrítico Inestable",IF(CC428&gt;1.5,"F. Supercrítico",""))))))</f>
        <v>F. Subcrítico</v>
      </c>
      <c r="CE428" s="471">
        <f>1000*BL428*CA428/100</f>
        <v>0.22096719047140623</v>
      </c>
      <c r="CF428" s="471">
        <f>IF(BP428=" "," ",(1000*BL428*CB428/100))</f>
        <v>0.51820673489814784</v>
      </c>
      <c r="CG428" s="471" t="str">
        <f>IF(BS428&lt;0.45,"No cumple",IF(BS428&gt;5,"No cumple","O.K"))</f>
        <v>O.K</v>
      </c>
      <c r="CH428" s="471" t="str">
        <f>IF(BT428&lt;0.75,"No cumple",IF(BT428&gt;10,"No cumple","O.K"))</f>
        <v>O.K</v>
      </c>
      <c r="CI428" s="471" t="str">
        <f>IF(CE428&gt;0.1,"OK","V.C.H.")</f>
        <v>OK</v>
      </c>
      <c r="CJ428" s="471" t="str">
        <f>IF(CF428&gt;0.2,"OK","V.C.H.")</f>
        <v>OK</v>
      </c>
      <c r="CK428" s="468">
        <f>+BJ428</f>
        <v>0</v>
      </c>
      <c r="CL428" s="482" t="s">
        <v>2507</v>
      </c>
      <c r="CM428" s="482"/>
      <c r="CN428" s="63" t="str">
        <f>IF(B428=1,"dato"," ")</f>
        <v>dato</v>
      </c>
      <c r="CO428" s="527">
        <f t="shared" si="1257"/>
        <v>27.89</v>
      </c>
      <c r="CP428" s="542">
        <f t="shared" si="1258"/>
        <v>1.9720329867334331E-2</v>
      </c>
      <c r="CQ428" s="482" t="s">
        <v>2508</v>
      </c>
      <c r="CR428" s="204">
        <f>IF(BA428="","",AX428)</f>
        <v>27.89</v>
      </c>
      <c r="CS428" s="486">
        <v>1.2</v>
      </c>
      <c r="CT428" s="486">
        <v>1.2</v>
      </c>
      <c r="CU428" s="23">
        <f>IF($BA428="","",SQRT((BH428-BI428)^2+$CR428^2))</f>
        <v>27.890647177862334</v>
      </c>
      <c r="CV428" s="499" t="s">
        <v>2509</v>
      </c>
      <c r="CW428" s="488" t="str">
        <f>+IF(BD428&lt;=0.9,"E1",IF(BD428&lt;=2.5,"E2","E3"))</f>
        <v>E2</v>
      </c>
      <c r="CX428" s="204">
        <f>IF(AND(L428="",H428=""),"",IF(AND(BA428&lt;&gt;4,BA428&lt;&gt;5),VLOOKUP(AY428,'TABLA (2)'!$A$9:$D$43,4),IF(BA428=4,VLOOKUP(AY428,'TABLA (2)'!$A$74:$D$89,4),VLOOKUP(AY428,'TABLA (2)'!$A$51:$D$66,4))))</f>
        <v>3.6999999999999998E-2</v>
      </c>
      <c r="CY428" s="482"/>
      <c r="CZ428" s="482"/>
      <c r="DA428" s="482"/>
      <c r="DB428" s="490"/>
    </row>
    <row r="429" spans="1:106" ht="15" hidden="1" customHeight="1">
      <c r="A429" s="465">
        <f>+A428+1</f>
        <v>312</v>
      </c>
      <c r="B429" s="491"/>
      <c r="C429" s="466" t="s">
        <v>2263</v>
      </c>
      <c r="D429" s="466" t="s">
        <v>2261</v>
      </c>
      <c r="E429" s="468">
        <v>0.12670067979999999</v>
      </c>
      <c r="F429" s="468"/>
      <c r="G429" s="537">
        <f t="shared" si="1254"/>
        <v>2.5692373038</v>
      </c>
      <c r="H429" s="537">
        <f t="shared" si="1255"/>
        <v>2.6959379835999999</v>
      </c>
      <c r="I429" s="468">
        <v>0.12670067979999999</v>
      </c>
      <c r="J429" s="468"/>
      <c r="K429" s="467">
        <f ca="1">+IF(B429=1,0,SUMIF($D$22:$D$583,C429,$L$22:$L$580))</f>
        <v>0.1894424438</v>
      </c>
      <c r="L429" s="468">
        <f ca="1">+I429+J429+K429</f>
        <v>0.31614312359999996</v>
      </c>
      <c r="M429" s="469">
        <f>+$P$12</f>
        <v>242.33666300502347</v>
      </c>
      <c r="N429" s="470">
        <f>M429*E429</f>
        <v>30.704219943199984</v>
      </c>
      <c r="O429" s="470">
        <f>M429*F429</f>
        <v>0</v>
      </c>
      <c r="P429" s="470">
        <f>M429*H429</f>
        <v>653.32461461411572</v>
      </c>
      <c r="Q429" s="469">
        <f t="shared" si="1259"/>
        <v>140</v>
      </c>
      <c r="R429" s="471">
        <f>Q429*P429*$P$14/86400</f>
        <v>0.89983367059120101</v>
      </c>
      <c r="S429" s="471"/>
      <c r="T429" s="471"/>
      <c r="U429" s="471">
        <f>IF(C429="","",T429*$P$17)</f>
        <v>0</v>
      </c>
      <c r="V429" s="471"/>
      <c r="W429" s="471"/>
      <c r="X429" s="471">
        <f>IF(C429="","",W429*$P$16)</f>
        <v>0</v>
      </c>
      <c r="Y429" s="471">
        <f>IF(H429=0,0,$H$15*H429)</f>
        <v>0.53918759672000005</v>
      </c>
      <c r="Z429" s="471">
        <f ca="1">IF(L429=0,$H$16*H429,0)</f>
        <v>0</v>
      </c>
      <c r="AA429" s="471">
        <f t="shared" si="1185"/>
        <v>3.8</v>
      </c>
      <c r="AB429" s="471">
        <f>R429*AA429</f>
        <v>3.4193679482465638</v>
      </c>
      <c r="AC429" s="471">
        <f>Q429*(N429+O429)*$P$14/86400</f>
        <v>4.2289377005101825E-2</v>
      </c>
      <c r="AD429" s="471">
        <f>IF(E429=0,0,$H$15*(E429+F429))</f>
        <v>2.5340135959999999E-2</v>
      </c>
      <c r="AE429" s="471">
        <f>IF(F429=0,0,$H$15*(F429+G429))</f>
        <v>0</v>
      </c>
      <c r="AF429" s="510">
        <f t="shared" si="1175"/>
        <v>3.8</v>
      </c>
      <c r="AG429" s="471">
        <f>AC429*AF429</f>
        <v>0.16069963261938694</v>
      </c>
      <c r="AH429" s="471">
        <f>+AD429+AE429+AG429</f>
        <v>0.18603976857938695</v>
      </c>
      <c r="AI429" s="471">
        <f ca="1">IF(H429="","",IF(AB429+Y429+Z429+X429+U429&lt;1.5,1.5,AB429+Y429+Z429+X429+U429))</f>
        <v>3.9585555449665639</v>
      </c>
      <c r="AJ429" s="471">
        <f>+$P$17</f>
        <v>0.75</v>
      </c>
      <c r="AK429" s="472">
        <f>+BK429/100</f>
        <v>2.0391061452514476E-2</v>
      </c>
      <c r="AL429" s="471">
        <f>IF(AJ429=0," ",0.14+0.65*AJ429+0.05*AK429)</f>
        <v>0.62851955307262575</v>
      </c>
      <c r="AM429" s="473">
        <f t="shared" si="1256"/>
        <v>334.36296765896606</v>
      </c>
      <c r="AN429" s="474">
        <f t="shared" si="1190"/>
        <v>10</v>
      </c>
      <c r="AO429" s="474">
        <f>((1/60)*$AX429/$AQ429)</f>
        <v>0.19888888888888887</v>
      </c>
      <c r="AP429" s="474">
        <f>IF(B429=1,IF(($AN429+$AO429)&lt;10,10,IF(($AN429+$AO429)&gt;20,20,($AN429+$AO429))),($AN429+$AO429))</f>
        <v>10.198888888888888</v>
      </c>
      <c r="AQ429" s="475">
        <v>3</v>
      </c>
      <c r="AR429" s="474">
        <f ca="1">((1/60)*$AX429/$BT429)</f>
        <v>0.34279246890364296</v>
      </c>
      <c r="AS429" s="474">
        <f ca="1">AO429/AR429</f>
        <v>0.58020203747473642</v>
      </c>
      <c r="AT429" s="471" t="str">
        <f ca="1">IF(AS429&lt;0.9,"Disminuir vel.",IF(AS429&gt;1.1,"Aumentar vel.","Cumple"))</f>
        <v>Disminuir vel.</v>
      </c>
      <c r="AU429" s="492">
        <f>+I429*AL429*AM429</f>
        <v>26.62661196418636</v>
      </c>
      <c r="AV429" s="471">
        <f ca="1">+L429*AL429*AM429</f>
        <v>66.438635455869175</v>
      </c>
      <c r="AW429" s="471">
        <f ca="1">ROUND(IF(AI429&gt;(AV429*0.05),(AV429+AI429),AV429),2)</f>
        <v>70.400000000000006</v>
      </c>
      <c r="AX429" s="478">
        <f>IF(OR(C429="",D429=""),"",ROUND(((VLOOKUP(C429,'Base de Diseño (2)'!$A$2:$C$333,2,FALSE)-VLOOKUP(D429,'Base de Diseño (2)'!$A$2:$C$333,2,FALSE))^2+(VLOOKUP(C429,'Base de Diseño (2)'!$A$2:$C$333,3,0)-VLOOKUP(D429,'Base de Diseño (2)'!$A$2:$C$333,3,FALSE))^2)^0.5,2))</f>
        <v>35.799999999999997</v>
      </c>
      <c r="AY429" s="493">
        <v>10</v>
      </c>
      <c r="AZ429" s="480">
        <f ca="1">IF(AND(L429="",H429=""),"",IF(BA429=4,VLOOKUP(AY429,'TABLA (2)'!$A$74:$C$89,2),IF(BA429=5,VLOOKUP(AY429,'TABLA (2)'!$A$51:$B$66,2),IF(BA429=6,VLOOKUP(AY429,'TABLA (2)'!$A$9:$B$43,2)))))</f>
        <v>227</v>
      </c>
      <c r="BA429" s="493">
        <v>4</v>
      </c>
      <c r="BB429" s="478">
        <f>IF(OR(C429="",D429=""),"",VLOOKUP(C429,'Base de Diseño (2)'!$A$2:$D$330,4,FALSE))</f>
        <v>986.52160000000003</v>
      </c>
      <c r="BC429" s="478">
        <f>IF(OR(C429="",D429=""),"",VLOOKUP(D429,'Base de Diseño (2)'!$A$2:$D$330,4,FALSE))</f>
        <v>985.79160000000002</v>
      </c>
      <c r="BD429" s="23">
        <f ca="1">+BF429-((AZ429/1000)+CX429)</f>
        <v>1.8615000000000228</v>
      </c>
      <c r="BE429" s="23">
        <f ca="1">+BG429-((AZ429/1000)+CX429)</f>
        <v>1.4815000000000274</v>
      </c>
      <c r="BF429" s="494">
        <v>2.1000000000000227</v>
      </c>
      <c r="BG429" s="494">
        <v>1.7200000000000273</v>
      </c>
      <c r="BH429" s="495">
        <f>BB429-BF429</f>
        <v>984.42160000000001</v>
      </c>
      <c r="BI429" s="495">
        <f>BC429-BG429</f>
        <v>984.07159999999999</v>
      </c>
      <c r="BJ429" s="534">
        <f t="shared" si="1184"/>
        <v>984.07159999999999</v>
      </c>
      <c r="BK429" s="475">
        <f>ABS((BB429-BC429)/AX429)*100</f>
        <v>2.0391061452514476</v>
      </c>
      <c r="BL429" s="475">
        <f>((BH429-BI429)/AX429)*100</f>
        <v>0.97765363128497984</v>
      </c>
      <c r="BM429" s="475">
        <f ca="1">IF(BA429=6,(1/0.013)*((AZ429/4000)^(2/3))*((BL429/100)^(0.5)),(1/0.009)*((AZ429/4000)^(2/3))*((BL429/100)^(0.5)))</f>
        <v>1.6224098585946158</v>
      </c>
      <c r="BN429" s="475">
        <f ca="1">1000*BM429*PI()*((AZ429/1000/2)^2)</f>
        <v>65.660195639706771</v>
      </c>
      <c r="BO429" s="204">
        <f ca="1">AI429/BN429</f>
        <v>6.0288512795303062E-2</v>
      </c>
      <c r="BP429" s="496">
        <f ca="1">IF(L429=0," ",AW429/BN429)</f>
        <v>1.072186875383401</v>
      </c>
      <c r="BQ429" s="497">
        <f ca="1">IF($BO429&gt;0 =AND($BO429&lt;=0.06),10^(0.029806+0.29095*LOG($BO429)),IF($BO429&gt;0.06 =AND($BO429&lt;=0.26),10^(0.013778+0.282597*LOG($BO429)),IF($BO429&gt;0.26 =AND($BO429&lt;=0.91),10^(0.021763+0.28995*LOG($BO429)),1)))</f>
        <v>0.4667409963871299</v>
      </c>
      <c r="BR429" s="497">
        <f ca="1">IF($BP429&gt;0 =AND($BP429&lt;=0.06),10^(0.029806+0.29095*LOG($BP429)),IF($BP429&gt;0.06 =AND($BP429&lt;=0.26),10^(0.013778+0.282597*LOG($BP429)),IF($BP429&gt;0.26 =AND($BP429&lt;=2),10^(0.021763+0.28995*LOG($BP429))," ")))</f>
        <v>1.0728522778652114</v>
      </c>
      <c r="BS429" s="475">
        <f ca="1">BM429*BQ429</f>
        <v>0.75724519394875356</v>
      </c>
      <c r="BT429" s="475">
        <f ca="1">IF(BP429=" "," ",(BM429*BR429))</f>
        <v>1.7406061124242092</v>
      </c>
      <c r="BU429" s="475">
        <f ca="1">IF(BO429&lt;=0.11,0.3827+0.0645*LN(BO429),IF(BO429&lt;=0.21,0.60025+0.15471*LN(BO429),IF(BO429&lt;1,0.225+0.6666666667*BO429,0)))</f>
        <v>0.20154441671741261</v>
      </c>
      <c r="BV429" s="475" t="str">
        <f ca="1">IF(BP429&lt;=0.11,0.3827+0.0645*LN(BP429),IF(BP429&lt;=0.21,0.60025+0.15471*LN(BP429),IF(BP429&lt;1,0.225+0.6666666667*BP429," ")))</f>
        <v xml:space="preserve"> </v>
      </c>
      <c r="BW429" s="475">
        <f ca="1">2*ACOS(1-2*(BU429))</f>
        <v>1.8623013901799073</v>
      </c>
      <c r="BX429" s="475" t="e">
        <f ca="1">IF(BP429=" "," ",(2*ACOS(1-2*(BV429))))</f>
        <v>#VALUE!</v>
      </c>
      <c r="BY429" s="475">
        <f ca="1">(1/4)*(1-(SIN(BW429))/BW429)</f>
        <v>0.1214208641002508</v>
      </c>
      <c r="BZ429" s="475" t="e">
        <f ca="1">IF(BP429=" "," ",((1/4)*(1-(SIN(BX429))/BX429)))</f>
        <v>#VALUE!</v>
      </c>
      <c r="CA429" s="471">
        <f ca="1">BY429*AZ429/1000</f>
        <v>2.756253615075693E-2</v>
      </c>
      <c r="CB429" s="471" t="e">
        <f ca="1">IF(BP429=" "," ",(BZ429*AZ429/1000))</f>
        <v>#VALUE!</v>
      </c>
      <c r="CC429" s="471" t="e">
        <f t="shared" ca="1" si="1191"/>
        <v>#VALUE!</v>
      </c>
      <c r="CD429" s="471" t="e">
        <f ca="1">IF(CC429="","",IF(CC429&lt;0.7,"F. Subcrítico",IF(AND(CC429&gt;0.7,CC429&lt;1),"F. Subcrítico Inestable",IF(CC429=1,"F. Crítico",IF(AND(CC429&gt;1,CC429&lt;1.5),"F. Supercrítico Inestable",IF(CC429&gt;1.5,"F. Supercrítico",""))))))</f>
        <v>#VALUE!</v>
      </c>
      <c r="CE429" s="471">
        <f ca="1">1000*BL429*CA429/100</f>
        <v>0.26946613555211046</v>
      </c>
      <c r="CF429" s="471" t="e">
        <f ca="1">IF(BP429=" "," ",(1000*BL429*CB429/100))</f>
        <v>#VALUE!</v>
      </c>
      <c r="CG429" s="471" t="str">
        <f ca="1">IF(BS429&lt;0.45,"No cumple",IF(BS429&gt;5,"No cumple","O.K"))</f>
        <v>O.K</v>
      </c>
      <c r="CH429" s="471" t="str">
        <f ca="1">IF(BT429&lt;0.75,"No cumple",IF(BT429&gt;10,"No cumple","O.K"))</f>
        <v>O.K</v>
      </c>
      <c r="CI429" s="471" t="str">
        <f ca="1">IF(CE429&gt;0.1,"OK","V.C.H.")</f>
        <v>OK</v>
      </c>
      <c r="CJ429" s="471" t="e">
        <f ca="1">IF(CF429&gt;0.2,"OK","V.C.H.")</f>
        <v>#VALUE!</v>
      </c>
      <c r="CK429" s="468">
        <f>+BJ429</f>
        <v>984.07159999999999</v>
      </c>
      <c r="CL429" s="482" t="s">
        <v>2507</v>
      </c>
      <c r="CM429" s="482"/>
      <c r="CN429" s="63" t="str">
        <f>IF(B429=1,"dato"," ")</f>
        <v xml:space="preserve"> </v>
      </c>
      <c r="CO429" s="527">
        <f t="shared" si="1257"/>
        <v>35.799999999999997</v>
      </c>
      <c r="CP429" s="511">
        <f t="shared" si="1258"/>
        <v>2.0391061452514476E-2</v>
      </c>
      <c r="CQ429" s="482" t="s">
        <v>2508</v>
      </c>
      <c r="CR429" s="204">
        <f>IF(BA429="","",AX429)</f>
        <v>35.799999999999997</v>
      </c>
      <c r="CS429" s="486">
        <v>1.2</v>
      </c>
      <c r="CT429" s="486">
        <v>1.2</v>
      </c>
      <c r="CU429" s="23">
        <f>IF($BA429="","",SQRT((BH429-BI429)^2+$CR429^2))</f>
        <v>35.801710852974608</v>
      </c>
      <c r="CV429" s="499" t="s">
        <v>2509</v>
      </c>
      <c r="CW429" s="488" t="str">
        <f ca="1">+IF(BD429&lt;=0.9,"E1",IF(BD429&lt;=2.5,"E2","E3"))</f>
        <v>E2</v>
      </c>
      <c r="CX429" s="204">
        <f ca="1">IF(AND(L429="",H429=""),"",IF(AND(BA429&lt;&gt;4,BA429&lt;&gt;5),VLOOKUP(AY429,'TABLA (2)'!$A$9:$D$43,4),IF(BA429=4,VLOOKUP(AY429,'TABLA (2)'!$A$74:$D$89,4),VLOOKUP(AY429,'TABLA (2)'!$A$51:$D$66,4))))</f>
        <v>1.15E-2</v>
      </c>
      <c r="CY429" s="482"/>
      <c r="CZ429" s="482"/>
      <c r="DA429" s="482"/>
      <c r="DB429" s="490"/>
    </row>
    <row r="430" spans="1:106" ht="15" hidden="1" customHeight="1">
      <c r="A430" s="465"/>
      <c r="B430" s="491"/>
      <c r="C430" s="466"/>
      <c r="D430" s="466"/>
      <c r="E430" s="468"/>
      <c r="F430" s="468"/>
      <c r="G430" s="537">
        <f t="shared" si="1254"/>
        <v>0</v>
      </c>
      <c r="H430" s="537">
        <f t="shared" si="1255"/>
        <v>0</v>
      </c>
      <c r="I430" s="468"/>
      <c r="J430" s="468"/>
      <c r="K430" s="467"/>
      <c r="L430" s="468"/>
      <c r="M430" s="469"/>
      <c r="N430" s="470"/>
      <c r="O430" s="470"/>
      <c r="P430" s="470"/>
      <c r="Q430" s="469">
        <f t="shared" si="1259"/>
        <v>140</v>
      </c>
      <c r="R430" s="471"/>
      <c r="S430" s="471"/>
      <c r="T430" s="471"/>
      <c r="U430" s="471"/>
      <c r="V430" s="471"/>
      <c r="W430" s="471"/>
      <c r="X430" s="471"/>
      <c r="Y430" s="471"/>
      <c r="Z430" s="471"/>
      <c r="AA430" s="471" t="str">
        <f t="shared" si="1185"/>
        <v/>
      </c>
      <c r="AB430" s="471"/>
      <c r="AC430" s="471"/>
      <c r="AD430" s="471"/>
      <c r="AE430" s="471"/>
      <c r="AF430" s="510" t="str">
        <f t="shared" si="1175"/>
        <v/>
      </c>
      <c r="AG430" s="471"/>
      <c r="AH430" s="471"/>
      <c r="AI430" s="471"/>
      <c r="AJ430" s="471"/>
      <c r="AK430" s="472"/>
      <c r="AL430" s="471"/>
      <c r="AM430" s="473">
        <f t="shared" si="1256"/>
        <v>474.44695720875893</v>
      </c>
      <c r="AN430" s="474">
        <f t="shared" si="1190"/>
        <v>10.198888888888888</v>
      </c>
      <c r="AO430" s="474"/>
      <c r="AP430" s="474"/>
      <c r="AQ430" s="475">
        <v>3</v>
      </c>
      <c r="AR430" s="474"/>
      <c r="AS430" s="474"/>
      <c r="AT430" s="471"/>
      <c r="AU430" s="492"/>
      <c r="AV430" s="471"/>
      <c r="AW430" s="471"/>
      <c r="AX430" s="478"/>
      <c r="AY430" s="493"/>
      <c r="AZ430" s="480"/>
      <c r="BA430" s="493"/>
      <c r="BB430" s="478" t="str">
        <f>IF(OR(C430="",D430=""),"",VLOOKUP(C430,'Base de Diseño (2)'!$A$2:$D$330,4,FALSE))</f>
        <v/>
      </c>
      <c r="BC430" s="478" t="str">
        <f>IF(OR(C430="",D430=""),"",VLOOKUP(D430,'Base de Diseño (2)'!$A$2:$D$330,4,FALSE))</f>
        <v/>
      </c>
      <c r="BD430" s="23"/>
      <c r="BE430" s="23"/>
      <c r="BF430" s="494"/>
      <c r="BG430" s="494"/>
      <c r="BH430" s="495"/>
      <c r="BI430" s="495"/>
      <c r="BJ430" s="534">
        <f t="shared" si="1184"/>
        <v>0</v>
      </c>
      <c r="BK430" s="475"/>
      <c r="BL430" s="475"/>
      <c r="BM430" s="475"/>
      <c r="BN430" s="475"/>
      <c r="BO430" s="204"/>
      <c r="BP430" s="496"/>
      <c r="BQ430" s="497"/>
      <c r="BR430" s="497"/>
      <c r="BS430" s="475"/>
      <c r="BT430" s="475"/>
      <c r="BU430" s="475"/>
      <c r="BV430" s="475"/>
      <c r="BW430" s="475"/>
      <c r="BX430" s="475"/>
      <c r="BY430" s="475"/>
      <c r="BZ430" s="475"/>
      <c r="CA430" s="471"/>
      <c r="CB430" s="471"/>
      <c r="CC430" s="471" t="e">
        <f t="shared" si="1191"/>
        <v>#DIV/0!</v>
      </c>
      <c r="CD430" s="471"/>
      <c r="CE430" s="471"/>
      <c r="CF430" s="471"/>
      <c r="CG430" s="471"/>
      <c r="CH430" s="471"/>
      <c r="CI430" s="471"/>
      <c r="CJ430" s="471"/>
      <c r="CK430" s="468"/>
      <c r="CL430" s="482" t="s">
        <v>2507</v>
      </c>
      <c r="CM430" s="482"/>
      <c r="CN430" s="63"/>
      <c r="CO430" s="527">
        <f t="shared" si="1257"/>
        <v>0</v>
      </c>
      <c r="CP430" s="542">
        <f t="shared" si="1258"/>
        <v>0</v>
      </c>
      <c r="CQ430" s="482"/>
      <c r="CR430" s="204"/>
      <c r="CS430" s="486"/>
      <c r="CT430" s="486"/>
      <c r="CU430" s="23"/>
      <c r="CV430" s="499"/>
      <c r="CW430" s="488"/>
      <c r="CX430" s="204"/>
      <c r="CY430" s="482"/>
      <c r="CZ430" s="482"/>
      <c r="DA430" s="482"/>
      <c r="DB430" s="490"/>
    </row>
    <row r="431" spans="1:106" ht="15" hidden="1" customHeight="1">
      <c r="A431" s="465">
        <f>+A429+1</f>
        <v>313</v>
      </c>
      <c r="B431" s="491">
        <v>1</v>
      </c>
      <c r="C431" s="466" t="s">
        <v>2364</v>
      </c>
      <c r="D431" s="466" t="s">
        <v>2235</v>
      </c>
      <c r="E431" s="468">
        <v>9.3493875099999998E-2</v>
      </c>
      <c r="F431" s="468"/>
      <c r="G431" s="537">
        <f t="shared" si="1254"/>
        <v>0</v>
      </c>
      <c r="H431" s="537">
        <f t="shared" si="1255"/>
        <v>9.3493875099999998E-2</v>
      </c>
      <c r="I431" s="468">
        <v>9.3493875099999998E-2</v>
      </c>
      <c r="J431" s="468"/>
      <c r="K431" s="467">
        <f>+IF(B431=1,0,SUMIF($D$22:$D$583,C431,$L$22:$L$580))</f>
        <v>0</v>
      </c>
      <c r="L431" s="468">
        <f>+I431+J431+K431</f>
        <v>9.3493875099999998E-2</v>
      </c>
      <c r="M431" s="469">
        <f>+$P$12</f>
        <v>242.33666300502347</v>
      </c>
      <c r="N431" s="470">
        <f>M431*E431</f>
        <v>22.656993703142454</v>
      </c>
      <c r="O431" s="470">
        <f>M431*F431</f>
        <v>0</v>
      </c>
      <c r="P431" s="470">
        <f>M431*H431</f>
        <v>22.656993703142454</v>
      </c>
      <c r="Q431" s="469">
        <f t="shared" si="1259"/>
        <v>140</v>
      </c>
      <c r="R431" s="471">
        <f>Q431*P431*$P$14/86400</f>
        <v>3.1205813086504077E-2</v>
      </c>
      <c r="S431" s="471"/>
      <c r="T431" s="471"/>
      <c r="U431" s="471">
        <f>IF(C431="","",T431*$P$17)</f>
        <v>0</v>
      </c>
      <c r="V431" s="471"/>
      <c r="W431" s="471"/>
      <c r="X431" s="471">
        <f>IF(C431="","",W431*$P$16)</f>
        <v>0</v>
      </c>
      <c r="Y431" s="471">
        <f>IF(H431=0,0,$H$15*H431)</f>
        <v>1.8698775019999999E-2</v>
      </c>
      <c r="Z431" s="471">
        <f>IF(L431=0,$H$16*H431,0)</f>
        <v>0</v>
      </c>
      <c r="AA431" s="471">
        <f t="shared" si="1185"/>
        <v>3.8</v>
      </c>
      <c r="AB431" s="471">
        <f>R431*AA431</f>
        <v>0.11858208972871549</v>
      </c>
      <c r="AC431" s="471">
        <f>Q431*(N431+O431)*$P$14/86400</f>
        <v>3.1205813086504077E-2</v>
      </c>
      <c r="AD431" s="471">
        <f t="shared" ref="AD431:AE433" si="1260">IF(E431=0,0,$H$15*(E431+F431))</f>
        <v>1.8698775019999999E-2</v>
      </c>
      <c r="AE431" s="471">
        <f t="shared" si="1260"/>
        <v>0</v>
      </c>
      <c r="AF431" s="510">
        <f t="shared" si="1175"/>
        <v>3.8</v>
      </c>
      <c r="AG431" s="471">
        <f>AC431*AF431</f>
        <v>0.11858208972871549</v>
      </c>
      <c r="AH431" s="471">
        <f>+AD431+AE431+AG431</f>
        <v>0.13728086474871548</v>
      </c>
      <c r="AI431" s="471">
        <f>IF(H431="","",IF(AB431+Y431+Z431+X431+U431&lt;1.5,1.5,AB431+Y431+Z431+X431+U431))</f>
        <v>1.5</v>
      </c>
      <c r="AJ431" s="471">
        <f>+$P$17</f>
        <v>0.75</v>
      </c>
      <c r="AK431" s="472">
        <f>+BK431/100</f>
        <v>2.3664808487690804E-3</v>
      </c>
      <c r="AL431" s="471">
        <f>IF(AJ431=0," ",0.14+0.65*AJ431+0.05*AK431)</f>
        <v>0.62761832404243856</v>
      </c>
      <c r="AM431" s="473">
        <f t="shared" si="1256"/>
        <v>300.19515524739739</v>
      </c>
      <c r="AN431" s="474">
        <f t="shared" si="1190"/>
        <v>13.749300566228008</v>
      </c>
      <c r="AO431" s="474">
        <f>((1/60)*$AX431/$AQ431)</f>
        <v>0.30894444444444441</v>
      </c>
      <c r="AP431" s="474">
        <f>IF(B431=1,IF(($AN431+$AO431)&lt;10,10,IF(($AN431+$AO431)&gt;20,20,($AN431+$AO431))),($AN431+$AO431))</f>
        <v>14.058245010672453</v>
      </c>
      <c r="AQ431" s="475">
        <v>3</v>
      </c>
      <c r="AR431" s="474">
        <f>((1/60)*$AX431/$BT431)</f>
        <v>1.2174622426215005</v>
      </c>
      <c r="AS431" s="474">
        <f>AO431/AR431</f>
        <v>0.25376100681299962</v>
      </c>
      <c r="AT431" s="471" t="str">
        <f>IF(AS431&lt;0.9,"Disminuir vel.",IF(AS431&gt;1.1,"Aumentar vel.","Cumple"))</f>
        <v>Disminuir vel.</v>
      </c>
      <c r="AU431" s="492">
        <f>+I431*AL431*AM431</f>
        <v>17.614992170721855</v>
      </c>
      <c r="AV431" s="471">
        <f>+L431*AL431*AM431</f>
        <v>17.614992170721855</v>
      </c>
      <c r="AW431" s="471">
        <f>ROUND(IF(AI431&gt;(AV431*0.05),(AV431+AI431),AV431),2)</f>
        <v>19.11</v>
      </c>
      <c r="AX431" s="478">
        <f>IF(OR(C431="",D431=""),"",ROUND(((VLOOKUP(C431,'Base de Diseño (2)'!$A$2:$C$333,2,FALSE)-VLOOKUP(D431,'Base de Diseño (2)'!$A$2:$C$333,2,FALSE))^2+(VLOOKUP(C431,'Base de Diseño (2)'!$A$2:$C$333,3,0)-VLOOKUP(D431,'Base de Diseño (2)'!$A$2:$C$333,3,FALSE))^2)^0.5,2))</f>
        <v>55.61</v>
      </c>
      <c r="AY431" s="493">
        <v>8</v>
      </c>
      <c r="AZ431" s="480">
        <f>IF(AND(L431="",H431=""),"",IF(BA431=4,VLOOKUP(AY431,'TABLA (2)'!$A$74:$C$89,2),IF(BA431=5,VLOOKUP(AY431,'TABLA (2)'!$A$51:$B$66,2),IF(BA431=6,VLOOKUP(AY431,'TABLA (2)'!$A$9:$B$43,2)))))</f>
        <v>200</v>
      </c>
      <c r="BA431" s="493">
        <v>6</v>
      </c>
      <c r="BB431" s="478">
        <f>IF(OR(C431="",D431=""),"",VLOOKUP(C431,'Base de Diseño (2)'!$A$2:$D$330,4,FALSE))</f>
        <v>985.98</v>
      </c>
      <c r="BC431" s="478">
        <f>IF(OR(C431="",D431=""),"",VLOOKUP(D431,'Base de Diseño (2)'!$A$2:$D$330,4,FALSE))</f>
        <v>986.11160000000007</v>
      </c>
      <c r="BD431" s="23">
        <f>+BF431-((AZ431/1000)+CX431)</f>
        <v>0.96300000000004549</v>
      </c>
      <c r="BE431" s="23">
        <f>+BG431-((AZ431/1000)+CX431)</f>
        <v>1.4029999999999863</v>
      </c>
      <c r="BF431" s="494">
        <v>1.2000000000000455</v>
      </c>
      <c r="BG431" s="494">
        <v>1.6399999999999864</v>
      </c>
      <c r="BH431" s="495">
        <f t="shared" ref="BH431:BI433" si="1261">BB431-BF431</f>
        <v>984.78</v>
      </c>
      <c r="BI431" s="495">
        <f t="shared" si="1261"/>
        <v>984.47160000000008</v>
      </c>
      <c r="BJ431" s="534">
        <f t="shared" si="1184"/>
        <v>1.999999999998181E-2</v>
      </c>
      <c r="BK431" s="475">
        <f>ABS((BB431-BC431)/AX431)*100</f>
        <v>0.23664808487690805</v>
      </c>
      <c r="BL431" s="475">
        <f>((BH431-BI431)/AX431)*100</f>
        <v>0.55457651501509142</v>
      </c>
      <c r="BM431" s="475">
        <f>IF(BA431=6,(1/0.013)*((AZ431/4000)^(2/3))*((BL431/100)^(0.5)),(1/0.009)*((AZ431/4000)^(2/3))*((BL431/100)^(0.5)))</f>
        <v>0.77747074180033637</v>
      </c>
      <c r="BN431" s="475">
        <f>1000*BM431*PI()*((AZ431/1000/2)^2)</f>
        <v>24.42496370820944</v>
      </c>
      <c r="BO431" s="204">
        <f>AI431/BN431</f>
        <v>6.1412578455370938E-2</v>
      </c>
      <c r="BP431" s="496">
        <f>IF(L431=0," ",AW431/BN431)</f>
        <v>0.78239624952142572</v>
      </c>
      <c r="BQ431" s="497">
        <f>IF($BO431&gt;0 =AND($BO431&lt;=0.06),10^(0.029806+0.29095*LOG($BO431)),IF($BO431&gt;0.06 =AND($BO431&lt;=0.26),10^(0.013778+0.282597*LOG($BO431)),IF($BO431&gt;0.26 =AND($BO431&lt;=0.91),10^(0.021763+0.28995*LOG($BO431)),1)))</f>
        <v>0.46918396083777125</v>
      </c>
      <c r="BR431" s="497">
        <f>IF($BP431&gt;0 =AND($BP431&lt;=0.06),10^(0.029806+0.29095*LOG($BP431)),IF($BP431&gt;0.06 =AND($BP431&lt;=0.26),10^(0.013778+0.282597*LOG($BP431)),IF($BP431&gt;0.26 =AND($BP431&lt;=2),10^(0.021763+0.28995*LOG($BP431))," ")))</f>
        <v>0.97917899608176562</v>
      </c>
      <c r="BS431" s="475">
        <f>BM431*BQ431</f>
        <v>0.36477680207336199</v>
      </c>
      <c r="BT431" s="475">
        <f>IF(BP431=" "," ",(BM431*BR431))</f>
        <v>0.76128302043899898</v>
      </c>
      <c r="BU431" s="475">
        <f>IF(BO431&lt;=0.11,0.3827+0.0645*LN(BO431),IF(BO431&lt;=0.21,0.60025+0.15471*LN(BO431),IF(BO431&lt;1,0.225+0.6666666667*BO431,0)))</f>
        <v>0.20273593104370952</v>
      </c>
      <c r="BV431" s="475">
        <f>IF(BP431&lt;=0.11,0.3827+0.0645*LN(BP431),IF(BP431&lt;=0.21,0.60025+0.15471*LN(BP431),IF(BP431&lt;1,0.225+0.6666666667*BP431," ")))</f>
        <v>0.74659749970703027</v>
      </c>
      <c r="BW431" s="475">
        <f>2*ACOS(1-2*(BU431))</f>
        <v>1.8682352880851876</v>
      </c>
      <c r="BX431" s="475">
        <f>IF(BP431=" "," ",(2*ACOS(1-2*(BV431))))</f>
        <v>4.1731100561434582</v>
      </c>
      <c r="BY431" s="475">
        <f>(1/4)*(1-(SIN(BW431))/BW431)</f>
        <v>0.12205971858860315</v>
      </c>
      <c r="BZ431" s="475">
        <f>IF(BP431=" "," ",((1/4)*(1-(SIN(BX431))/BX431)))</f>
        <v>0.30140525757796949</v>
      </c>
      <c r="CA431" s="471">
        <f>BY431*AZ431/1000</f>
        <v>2.4411943717720628E-2</v>
      </c>
      <c r="CB431" s="471">
        <f>IF(BP431=" "," ",(BZ431*AZ431/1000))</f>
        <v>6.0281051515593896E-2</v>
      </c>
      <c r="CC431" s="471">
        <f t="shared" si="1191"/>
        <v>0.63921309481584287</v>
      </c>
      <c r="CD431" s="471" t="str">
        <f>IF(CC431="","",IF(CC431&lt;0.7,"F. Subcrítico",IF(AND(CC431&gt;0.7,CC431&lt;1),"F. Subcrítico Inestable",IF(CC431=1,"F. Crítico",IF(AND(CC431&gt;1,CC431&lt;1.5),"F. Supercrítico Inestable",IF(CC431&gt;1.5,"F. Supercrítico",""))))))</f>
        <v>F. Subcrítico</v>
      </c>
      <c r="CE431" s="471">
        <f>1000*BL431*CA431/100</f>
        <v>0.13538290671718062</v>
      </c>
      <c r="CF431" s="471">
        <f>IF(BP431=" "," ",(1000*BL431*CB431/100))</f>
        <v>0.33430455470963261</v>
      </c>
      <c r="CG431" s="471" t="str">
        <f>IF(BS431&lt;0.45,"No cumple",IF(BS431&gt;5,"No cumple","O.K"))</f>
        <v>No cumple</v>
      </c>
      <c r="CH431" s="471" t="str">
        <f>IF(BT431&lt;0.75,"No cumple",IF(BT431&gt;10,"No cumple","O.K"))</f>
        <v>O.K</v>
      </c>
      <c r="CI431" s="471" t="str">
        <f>IF(CE431&gt;0.1,"OK","V.C.H.")</f>
        <v>OK</v>
      </c>
      <c r="CJ431" s="471" t="str">
        <f>IF(CF431&gt;0.2,"OK","V.C.H.")</f>
        <v>OK</v>
      </c>
      <c r="CK431" s="468">
        <f>+BJ431</f>
        <v>1.999999999998181E-2</v>
      </c>
      <c r="CL431" s="482" t="s">
        <v>2507</v>
      </c>
      <c r="CM431" s="482"/>
      <c r="CN431" s="63" t="str">
        <f>IF(B431=1,"dato"," ")</f>
        <v>dato</v>
      </c>
      <c r="CO431" s="527">
        <f t="shared" si="1257"/>
        <v>55.61</v>
      </c>
      <c r="CP431" s="511">
        <f t="shared" si="1258"/>
        <v>2.3664808487690804E-3</v>
      </c>
      <c r="CQ431" s="482" t="s">
        <v>2508</v>
      </c>
      <c r="CR431" s="204">
        <f>IF(BA431="","",AX431)</f>
        <v>55.61</v>
      </c>
      <c r="CS431" s="486">
        <v>1.2</v>
      </c>
      <c r="CT431" s="486">
        <v>1.2</v>
      </c>
      <c r="CU431" s="23">
        <f>IF($BA431="","",SQRT((BH431-BI431)^2+$CR431^2))</f>
        <v>55.610855150411055</v>
      </c>
      <c r="CV431" s="499" t="s">
        <v>2509</v>
      </c>
      <c r="CW431" s="488" t="str">
        <f>+IF(BD431&lt;=0.9,"E1",IF(BD431&lt;=2.5,"E2","E3"))</f>
        <v>E2</v>
      </c>
      <c r="CX431" s="204">
        <f>IF(AND(L431="",H431=""),"",IF(AND(BA431&lt;&gt;4,BA431&lt;&gt;5),VLOOKUP(AY431,'TABLA (2)'!$A$9:$D$43,4),IF(BA431=4,VLOOKUP(AY431,'TABLA (2)'!$A$74:$D$89,4),VLOOKUP(AY431,'TABLA (2)'!$A$51:$D$66,4))))</f>
        <v>3.6999999999999998E-2</v>
      </c>
      <c r="CY431" s="482"/>
      <c r="CZ431" s="482"/>
      <c r="DA431" s="482"/>
      <c r="DB431" s="490"/>
    </row>
    <row r="432" spans="1:106" ht="15" hidden="1" customHeight="1">
      <c r="A432" s="465">
        <f>+A431+1</f>
        <v>314</v>
      </c>
      <c r="B432" s="491"/>
      <c r="C432" s="466" t="s">
        <v>2235</v>
      </c>
      <c r="D432" s="466" t="s">
        <v>2236</v>
      </c>
      <c r="E432" s="468">
        <v>0.2989084924</v>
      </c>
      <c r="F432" s="468"/>
      <c r="G432" s="537">
        <f t="shared" si="1254"/>
        <v>9.3493875099999998E-2</v>
      </c>
      <c r="H432" s="537">
        <f t="shared" si="1255"/>
        <v>0.39240236750000002</v>
      </c>
      <c r="I432" s="468">
        <v>0.2989084924</v>
      </c>
      <c r="J432" s="468"/>
      <c r="K432" s="467">
        <f ca="1">+IF(B432=1,0,SUMIF($D$22:$D$583,C432,$L$22:$L$580))</f>
        <v>9.3493875099999998E-2</v>
      </c>
      <c r="L432" s="468">
        <f ca="1">+I432+J432+K432</f>
        <v>0.39240236750000002</v>
      </c>
      <c r="M432" s="469">
        <f>+$P$12</f>
        <v>242.33666300502347</v>
      </c>
      <c r="N432" s="470">
        <f>M432*E432</f>
        <v>72.436486592078424</v>
      </c>
      <c r="O432" s="470">
        <f>M432*F432</f>
        <v>0</v>
      </c>
      <c r="P432" s="470">
        <f>M432*H432</f>
        <v>95.093480295220871</v>
      </c>
      <c r="Q432" s="469">
        <f t="shared" si="1259"/>
        <v>140</v>
      </c>
      <c r="R432" s="471">
        <f>Q432*P432*$P$14/86400</f>
        <v>0.13097365920290838</v>
      </c>
      <c r="S432" s="471"/>
      <c r="T432" s="471"/>
      <c r="U432" s="471">
        <f>IF(C432="","",T432*$P$17)</f>
        <v>0</v>
      </c>
      <c r="V432" s="471"/>
      <c r="W432" s="471"/>
      <c r="X432" s="471">
        <f>IF(C432="","",W432*$P$16)</f>
        <v>0</v>
      </c>
      <c r="Y432" s="471">
        <f>IF(H432=0,0,$H$15*H432)</f>
        <v>7.8480473500000009E-2</v>
      </c>
      <c r="Z432" s="471">
        <f ca="1">IF(L432=0,$H$16*H432,0)</f>
        <v>0</v>
      </c>
      <c r="AA432" s="471">
        <f t="shared" si="1185"/>
        <v>3.8</v>
      </c>
      <c r="AB432" s="471">
        <f>R432*AA432</f>
        <v>0.49769990497105182</v>
      </c>
      <c r="AC432" s="471">
        <f>Q432*(N432+O432)*$P$14/86400</f>
        <v>9.9767846116404296E-2</v>
      </c>
      <c r="AD432" s="471">
        <f t="shared" si="1260"/>
        <v>5.9781698480000006E-2</v>
      </c>
      <c r="AE432" s="471">
        <f t="shared" si="1260"/>
        <v>0</v>
      </c>
      <c r="AF432" s="510">
        <f t="shared" si="1175"/>
        <v>3.8</v>
      </c>
      <c r="AG432" s="471">
        <f>AC432*AF432</f>
        <v>0.37911781524233629</v>
      </c>
      <c r="AH432" s="471">
        <f>+AD432+AE432+AG432</f>
        <v>0.43889951372233627</v>
      </c>
      <c r="AI432" s="471">
        <f ca="1">IF(H432="","",IF(AB432+Y432+Z432+X432+U432&lt;1.5,1.5,AB432+Y432+Z432+X432+U432))</f>
        <v>1.5</v>
      </c>
      <c r="AJ432" s="471">
        <f>+$P$17</f>
        <v>0.75</v>
      </c>
      <c r="AK432" s="472">
        <f>+BK432/100</f>
        <v>8.8757396449713113E-3</v>
      </c>
      <c r="AL432" s="471">
        <f>IF(AJ432=0," ",0.14+0.65*AJ432+0.05*AK432)</f>
        <v>0.62794378698224862</v>
      </c>
      <c r="AM432" s="473">
        <f t="shared" si="1256"/>
        <v>297.96232447684213</v>
      </c>
      <c r="AN432" s="474">
        <f t="shared" si="1190"/>
        <v>14.058245010672453</v>
      </c>
      <c r="AO432" s="474">
        <f>((1/60)*$AX432/$AQ432)</f>
        <v>0.28166666666666668</v>
      </c>
      <c r="AP432" s="474">
        <f>IF(B432=1,IF(($AN432+$AO432)&lt;10,10,IF(($AN432+$AO432)&gt;20,20,($AN432+$AO432))),($AN432+$AO432))</f>
        <v>14.339911677339119</v>
      </c>
      <c r="AQ432" s="475">
        <v>3</v>
      </c>
      <c r="AR432" s="474">
        <f ca="1">((1/60)*$AX432/$BT432)</f>
        <v>0.32229312755241524</v>
      </c>
      <c r="AS432" s="474">
        <f ca="1">AO432/AR432</f>
        <v>0.87394561840558826</v>
      </c>
      <c r="AT432" s="471" t="str">
        <f ca="1">IF(AS432&lt;0.9,"Disminuir vel.",IF(AS432&gt;1.1,"Aumentar vel.","Cumple"))</f>
        <v>Disminuir vel.</v>
      </c>
      <c r="AU432" s="492">
        <f>+I432*AL432*AM432</f>
        <v>55.926852132086715</v>
      </c>
      <c r="AV432" s="471">
        <f ca="1">+L432*AL432*AM432</f>
        <v>73.419891844642848</v>
      </c>
      <c r="AW432" s="471">
        <f ca="1">ROUND(IF(AI432&gt;(AV432*0.05),(AV432+AI432),AV432),2)</f>
        <v>73.42</v>
      </c>
      <c r="AX432" s="478">
        <f>IF(OR(C432="",D432=""),"",ROUND(((VLOOKUP(C432,'Base de Diseño (2)'!$A$2:$C$333,2,FALSE)-VLOOKUP(D432,'Base de Diseño (2)'!$A$2:$C$333,2,FALSE))^2+(VLOOKUP(C432,'Base de Diseño (2)'!$A$2:$C$333,3,0)-VLOOKUP(D432,'Base de Diseño (2)'!$A$2:$C$333,3,FALSE))^2)^0.5,2))</f>
        <v>50.7</v>
      </c>
      <c r="AY432" s="493">
        <v>8</v>
      </c>
      <c r="AZ432" s="480">
        <f ca="1">IF(AND(L432="",H432=""),"",IF(BA432=4,VLOOKUP(AY432,'TABLA (2)'!$A$74:$C$89,2),IF(BA432=5,VLOOKUP(AY432,'TABLA (2)'!$A$51:$B$66,2),IF(BA432=6,VLOOKUP(AY432,'TABLA (2)'!$A$9:$B$43,2)))))</f>
        <v>200</v>
      </c>
      <c r="BA432" s="493">
        <v>6</v>
      </c>
      <c r="BB432" s="478">
        <f>IF(OR(C432="",D432=""),"",VLOOKUP(C432,'Base de Diseño (2)'!$A$2:$D$330,4,FALSE))</f>
        <v>986.11160000000007</v>
      </c>
      <c r="BC432" s="478">
        <f>IF(OR(C432="",D432=""),"",VLOOKUP(D432,'Base de Diseño (2)'!$A$2:$D$330,4,FALSE))</f>
        <v>985.66160000000002</v>
      </c>
      <c r="BD432" s="23">
        <f ca="1">+BF432-((AZ432/1000)+CX432)</f>
        <v>1.4229999999999681</v>
      </c>
      <c r="BE432" s="23">
        <f ca="1">+BG432-((AZ432/1000)+CX432)</f>
        <v>4.0229999999999908</v>
      </c>
      <c r="BF432" s="494">
        <v>1.6599999999999682</v>
      </c>
      <c r="BG432" s="494">
        <v>4.2599999999999909</v>
      </c>
      <c r="BH432" s="495">
        <f t="shared" si="1261"/>
        <v>984.4516000000001</v>
      </c>
      <c r="BI432" s="495">
        <f t="shared" si="1261"/>
        <v>981.40160000000003</v>
      </c>
      <c r="BJ432" s="534">
        <f t="shared" si="1184"/>
        <v>0</v>
      </c>
      <c r="BK432" s="475">
        <f>ABS((BB432-BC432)/AX432)*100</f>
        <v>0.88757396449713111</v>
      </c>
      <c r="BL432" s="475">
        <f>((BH432-BI432)/AX432)*100</f>
        <v>6.0157790927023038</v>
      </c>
      <c r="BM432" s="475">
        <f ca="1">IF(BA432=6,(1/0.013)*((AZ432/4000)^(2/3))*((BL432/100)^(0.5)),(1/0.009)*((AZ432/4000)^(2/3))*((BL432/100)^(0.5)))</f>
        <v>2.5606443153197134</v>
      </c>
      <c r="BN432" s="475">
        <f ca="1">1000*BM432*PI()*((AZ432/1000/2)^2)</f>
        <v>80.445013694648779</v>
      </c>
      <c r="BO432" s="204">
        <f ca="1">AI432/BN432</f>
        <v>1.8646276892855827E-2</v>
      </c>
      <c r="BP432" s="496">
        <f ca="1">IF(L432=0," ",AW432/BN432)</f>
        <v>0.91267309964898313</v>
      </c>
      <c r="BQ432" s="497">
        <f ca="1">IF($BO432&gt;0 =AND($BO432&lt;=0.06),10^(0.029806+0.29095*LOG($BO432)),IF($BO432&gt;0.06 =AND($BO432&lt;=0.26),10^(0.013778+0.282597*LOG($BO432)),IF($BO432&gt;0.26 =AND($BO432&lt;=0.91),10^(0.021763+0.28995*LOG($BO432)),1)))</f>
        <v>0.33622869885619844</v>
      </c>
      <c r="BR432" s="497">
        <f ca="1">IF($BP432&gt;0 =AND($BP432&lt;=0.06),10^(0.029806+0.29095*LOG($BP432)),IF($BP432&gt;0.06 =AND($BP432&lt;=0.26),10^(0.013778+0.282597*LOG($BP432)),IF($BP432&gt;0.26 =AND($BP432&lt;=2),10^(0.021763+0.28995*LOG($BP432))," ")))</f>
        <v>1.0238973212839251</v>
      </c>
      <c r="BS432" s="475">
        <f ca="1">BM432*BQ432</f>
        <v>0.86096210637346837</v>
      </c>
      <c r="BT432" s="475">
        <f ca="1">IF(BP432=" "," ",(BM432*BR432))</f>
        <v>2.621836855216765</v>
      </c>
      <c r="BU432" s="475">
        <f ca="1">IF(BO432&lt;=0.11,0.3827+0.0645*LN(BO432),IF(BO432&lt;=0.21,0.60025+0.15471*LN(BO432),IF(BO432&lt;1,0.225+0.6666666667*BO432,0)))</f>
        <v>0.12585398348160109</v>
      </c>
      <c r="BV432" s="475">
        <f ca="1">IF(BP432&lt;=0.11,0.3827+0.0645*LN(BP432),IF(BP432&lt;=0.21,0.60025+0.15471*LN(BP432),IF(BP432&lt;1,0.225+0.6666666667*BP432," ")))</f>
        <v>0.83344873312974443</v>
      </c>
      <c r="BW432" s="475">
        <f ca="1">2*ACOS(1-2*(BU432))</f>
        <v>1.4506253695047964</v>
      </c>
      <c r="BX432" s="475">
        <f ca="1">IF(BP432=" "," ",(2*ACOS(1-2*(BV432))))</f>
        <v>4.6016673521324183</v>
      </c>
      <c r="BY432" s="475">
        <f ca="1">(1/4)*(1-(SIN(BW432))/BW432)</f>
        <v>7.8903420458891815E-2</v>
      </c>
      <c r="BZ432" s="475">
        <f ca="1">IF(BP432=" "," ",((1/4)*(1-(SIN(BX432))/BX432)))</f>
        <v>0.30399546207852546</v>
      </c>
      <c r="CA432" s="471">
        <f ca="1">BY432*AZ432/1000</f>
        <v>1.5780684091778362E-2</v>
      </c>
      <c r="CB432" s="471">
        <f ca="1">IF(BP432=" "," ",(BZ432*AZ432/1000))</f>
        <v>6.0799092415705087E-2</v>
      </c>
      <c r="CC432" s="471">
        <f t="shared" ca="1" si="1191"/>
        <v>1.9319759026624288</v>
      </c>
      <c r="CD432" s="471" t="str">
        <f ca="1">IF(CC432="","",IF(CC432&lt;0.7,"F. Subcrítico",IF(AND(CC432&gt;0.7,CC432&lt;1),"F. Subcrítico Inestable",IF(CC432=1,"F. Crítico",IF(AND(CC432&gt;1,CC432&lt;1.5),"F. Supercrítico Inestable",IF(CC432&gt;1.5,"F. Supercrítico",""))))))</f>
        <v>F. Supercrítico</v>
      </c>
      <c r="CE432" s="471">
        <f ca="1">1000*BL432*CA432/100</f>
        <v>0.94933109427860107</v>
      </c>
      <c r="CF432" s="471">
        <f ca="1">IF(BP432=" "," ",(1000*BL432*CB432/100))</f>
        <v>3.6575390900967388</v>
      </c>
      <c r="CG432" s="471" t="str">
        <f ca="1">IF(BS432&lt;0.45,"No cumple",IF(BS432&gt;5,"No cumple","O.K"))</f>
        <v>O.K</v>
      </c>
      <c r="CH432" s="471" t="str">
        <f ca="1">IF(BT432&lt;0.75,"No cumple",IF(BT432&gt;10,"No cumple","O.K"))</f>
        <v>O.K</v>
      </c>
      <c r="CI432" s="471" t="str">
        <f ca="1">IF(CE432&gt;0.1,"OK","V.C.H.")</f>
        <v>OK</v>
      </c>
      <c r="CJ432" s="471" t="str">
        <f ca="1">IF(CF432&gt;0.2,"OK","V.C.H.")</f>
        <v>OK</v>
      </c>
      <c r="CK432" s="468">
        <f>+BJ432</f>
        <v>0</v>
      </c>
      <c r="CL432" s="482" t="s">
        <v>2507</v>
      </c>
      <c r="CM432" s="482"/>
      <c r="CN432" s="63" t="str">
        <f>IF(B432=1,"dato"," ")</f>
        <v xml:space="preserve"> </v>
      </c>
      <c r="CO432" s="527">
        <f t="shared" si="1257"/>
        <v>50.7</v>
      </c>
      <c r="CP432" s="542">
        <f t="shared" si="1258"/>
        <v>8.8757396449713113E-3</v>
      </c>
      <c r="CQ432" s="482" t="s">
        <v>2508</v>
      </c>
      <c r="CR432" s="204">
        <f>IF(BA432="","",AX432)</f>
        <v>50.7</v>
      </c>
      <c r="CS432" s="486">
        <v>1.2</v>
      </c>
      <c r="CT432" s="486">
        <v>1.2</v>
      </c>
      <c r="CU432" s="23">
        <f>IF($BA432="","",SQRT((BH432-BI432)^2+$CR432^2))</f>
        <v>50.791657779599994</v>
      </c>
      <c r="CV432" s="499" t="s">
        <v>2509</v>
      </c>
      <c r="CW432" s="488" t="str">
        <f ca="1">+IF(BD432&lt;=0.9,"E1",IF(BD432&lt;=2.5,"E2","E3"))</f>
        <v>E2</v>
      </c>
      <c r="CX432" s="204">
        <f ca="1">IF(AND(L432="",H432=""),"",IF(AND(BA432&lt;&gt;4,BA432&lt;&gt;5),VLOOKUP(AY432,'TABLA (2)'!$A$9:$D$43,4),IF(BA432=4,VLOOKUP(AY432,'TABLA (2)'!$A$74:$D$89,4),VLOOKUP(AY432,'TABLA (2)'!$A$51:$D$66,4))))</f>
        <v>3.6999999999999998E-2</v>
      </c>
      <c r="CY432" s="482"/>
      <c r="CZ432" s="482"/>
      <c r="DA432" s="482"/>
      <c r="DB432" s="490"/>
    </row>
    <row r="433" spans="1:106" ht="15" hidden="1" customHeight="1">
      <c r="A433" s="465">
        <f>+A432+1</f>
        <v>315</v>
      </c>
      <c r="B433" s="491"/>
      <c r="C433" s="466" t="s">
        <v>2236</v>
      </c>
      <c r="D433" s="466" t="s">
        <v>2237</v>
      </c>
      <c r="E433" s="468">
        <v>0.46411076020000003</v>
      </c>
      <c r="F433" s="468"/>
      <c r="G433" s="537">
        <f t="shared" si="1254"/>
        <v>0.53557142440000005</v>
      </c>
      <c r="H433" s="537">
        <f t="shared" si="1255"/>
        <v>0.99968218460000013</v>
      </c>
      <c r="I433" s="468">
        <v>0.46411076020000003</v>
      </c>
      <c r="J433" s="468"/>
      <c r="K433" s="467">
        <f ca="1">+IF(B433=1,0,SUMIF($D$22:$D$583,C433,$L$22:$L$580))</f>
        <v>0.53557142440000005</v>
      </c>
      <c r="L433" s="468">
        <f ca="1">+I433+J433+K433</f>
        <v>0.99968218460000013</v>
      </c>
      <c r="M433" s="469">
        <f>+$P$12</f>
        <v>242.33666300502347</v>
      </c>
      <c r="N433" s="470">
        <f>M433*E433</f>
        <v>112.47105289159266</v>
      </c>
      <c r="O433" s="470">
        <f>M433*F433</f>
        <v>0</v>
      </c>
      <c r="P433" s="470">
        <f>M433*H433</f>
        <v>242.25964468153589</v>
      </c>
      <c r="Q433" s="469">
        <f t="shared" si="1259"/>
        <v>140</v>
      </c>
      <c r="R433" s="471">
        <f>Q433*P433*$P$14/86400</f>
        <v>0.33366779765165244</v>
      </c>
      <c r="S433" s="471"/>
      <c r="T433" s="471"/>
      <c r="U433" s="471">
        <f>IF(C433="","",T433*$P$17)</f>
        <v>0</v>
      </c>
      <c r="V433" s="471"/>
      <c r="W433" s="471"/>
      <c r="X433" s="471">
        <f>IF(C433="","",W433*$P$16)</f>
        <v>0</v>
      </c>
      <c r="Y433" s="471">
        <f>IF(H433=0,0,$H$15*H433)</f>
        <v>0.19993643692000004</v>
      </c>
      <c r="Z433" s="471">
        <f ca="1">IF(L433=0,$H$16*H433,0)</f>
        <v>0</v>
      </c>
      <c r="AA433" s="471">
        <f t="shared" si="1185"/>
        <v>3.8</v>
      </c>
      <c r="AB433" s="471">
        <f>R433*AA433</f>
        <v>1.2679376310762793</v>
      </c>
      <c r="AC433" s="471">
        <f>Q433*(N433+O433)*$P$14/86400</f>
        <v>0.1549080473854112</v>
      </c>
      <c r="AD433" s="471">
        <f t="shared" si="1260"/>
        <v>9.2822152040000008E-2</v>
      </c>
      <c r="AE433" s="471">
        <f t="shared" si="1260"/>
        <v>0</v>
      </c>
      <c r="AF433" s="510">
        <f t="shared" si="1175"/>
        <v>3.8</v>
      </c>
      <c r="AG433" s="471">
        <f>AC433*AF433</f>
        <v>0.5886505800645625</v>
      </c>
      <c r="AH433" s="471">
        <f>+AD433+AE433+AG433</f>
        <v>0.6814727321045625</v>
      </c>
      <c r="AI433" s="471">
        <f ca="1">IF(H433="","",IF(AB433+Y433+Z433+X433+U433&lt;1.5,1.5,AB433+Y433+Z433+X433+U433))</f>
        <v>1.5</v>
      </c>
      <c r="AJ433" s="471">
        <f>+$P$17</f>
        <v>0.75</v>
      </c>
      <c r="AK433" s="472">
        <f>+BK433/100</f>
        <v>9.6820220138610427E-3</v>
      </c>
      <c r="AL433" s="471">
        <f>IF(AJ433=0," ",0.14+0.65*AJ433+0.05*AK433)</f>
        <v>0.62798410110069314</v>
      </c>
      <c r="AM433" s="473">
        <f t="shared" si="1256"/>
        <v>293.73029031928922</v>
      </c>
      <c r="AN433" s="474">
        <f t="shared" si="1190"/>
        <v>14.339911677339119</v>
      </c>
      <c r="AO433" s="474">
        <f>((1/60)*$AX433/$AQ433)</f>
        <v>0.5451111111111111</v>
      </c>
      <c r="AP433" s="474">
        <f>IF(B433=1,IF(($AN433+$AO433)&lt;10,10,IF(($AN433+$AO433)&gt;20,20,($AN433+$AO433))),($AN433+$AO433))</f>
        <v>14.885022788450231</v>
      </c>
      <c r="AQ433" s="475">
        <v>3</v>
      </c>
      <c r="AR433" s="474" t="e">
        <f ca="1">((1/60)*$AX433/$BT433)</f>
        <v>#NUM!</v>
      </c>
      <c r="AS433" s="474" t="e">
        <f ca="1">AO433/AR433</f>
        <v>#NUM!</v>
      </c>
      <c r="AT433" s="471" t="e">
        <f ca="1">IF(AS433&lt;0.9,"Disminuir vel.",IF(AS433&gt;1.1,"Aumentar vel.","Cumple"))</f>
        <v>#NUM!</v>
      </c>
      <c r="AU433" s="492">
        <f>+I433*AL433*AM433</f>
        <v>85.608920481834787</v>
      </c>
      <c r="AV433" s="471">
        <f ca="1">+L433*AL433*AM433</f>
        <v>184.39932875430088</v>
      </c>
      <c r="AW433" s="471">
        <f ca="1">ROUND(IF(AI433&gt;(AV433*0.05),(AV433+AI433),AV433),2)</f>
        <v>184.4</v>
      </c>
      <c r="AX433" s="478">
        <f>IF(OR(C433="",D433=""),"",ROUND(((VLOOKUP(C433,'Base de Diseño (2)'!$A$2:$C$333,2,FALSE)-VLOOKUP(D433,'Base de Diseño (2)'!$A$2:$C$333,2,FALSE))^2+(VLOOKUP(C433,'Base de Diseño (2)'!$A$2:$C$333,3,0)-VLOOKUP(D433,'Base de Diseño (2)'!$A$2:$C$333,3,FALSE))^2)^0.5,2))</f>
        <v>98.12</v>
      </c>
      <c r="AY433" s="493">
        <v>8</v>
      </c>
      <c r="AZ433" s="480">
        <f ca="1">IF(AND(L433="",H433=""),"",IF(BA433=4,VLOOKUP(AY433,'TABLA (2)'!$A$74:$C$89,2),IF(BA433=5,VLOOKUP(AY433,'TABLA (2)'!$A$51:$B$66,2),IF(BA433=6,VLOOKUP(AY433,'TABLA (2)'!$A$9:$B$43,2)))))</f>
        <v>200</v>
      </c>
      <c r="BA433" s="493">
        <v>6</v>
      </c>
      <c r="BB433" s="478">
        <f>IF(OR(C433="",D433=""),"",VLOOKUP(C433,'Base de Diseño (2)'!$A$2:$D$330,4,FALSE))</f>
        <v>985.66160000000002</v>
      </c>
      <c r="BC433" s="478">
        <f>IF(OR(C433="",D433=""),"",VLOOKUP(D433,'Base de Diseño (2)'!$A$2:$D$330,4,FALSE))</f>
        <v>984.71159999999998</v>
      </c>
      <c r="BD433" s="23">
        <f ca="1">+BF433-((AZ433/1000)+CX433)</f>
        <v>4.0229999999999908</v>
      </c>
      <c r="BE433" s="23">
        <f ca="1">+BG433-((AZ433/1000)+CX433)</f>
        <v>1.2230000000000363</v>
      </c>
      <c r="BF433" s="494">
        <v>4.2599999999999909</v>
      </c>
      <c r="BG433" s="494">
        <v>1.4600000000000364</v>
      </c>
      <c r="BH433" s="495">
        <f t="shared" si="1261"/>
        <v>981.40160000000003</v>
      </c>
      <c r="BI433" s="495">
        <f t="shared" si="1261"/>
        <v>983.25159999999994</v>
      </c>
      <c r="BJ433" s="534">
        <f t="shared" si="1184"/>
        <v>983.25159999999994</v>
      </c>
      <c r="BK433" s="475">
        <f>ABS((BB433-BC433)/AX433)*100</f>
        <v>0.96820220138610424</v>
      </c>
      <c r="BL433" s="475">
        <f>((BH433-BI433)/AX433)*100</f>
        <v>-1.8854463921727567</v>
      </c>
      <c r="BM433" s="475" t="e">
        <f ca="1">IF(BA433=6,(1/0.013)*((AZ433/4000)^(2/3))*((BL433/100)^(0.5)),(1/0.009)*((AZ433/4000)^(2/3))*((BL433/100)^(0.5)))</f>
        <v>#NUM!</v>
      </c>
      <c r="BN433" s="475" t="e">
        <f ca="1">1000*BM433*PI()*((AZ433/1000/2)^2)</f>
        <v>#NUM!</v>
      </c>
      <c r="BO433" s="204" t="e">
        <f ca="1">AI433/BN433</f>
        <v>#NUM!</v>
      </c>
      <c r="BP433" s="496" t="e">
        <f ca="1">IF(L433=0," ",AW433/BN433)</f>
        <v>#NUM!</v>
      </c>
      <c r="BQ433" s="497" t="e">
        <f ca="1">IF($BO433&gt;0 =AND($BO433&lt;=0.06),10^(0.029806+0.29095*LOG($BO433)),IF($BO433&gt;0.06 =AND($BO433&lt;=0.26),10^(0.013778+0.282597*LOG($BO433)),IF($BO433&gt;0.26 =AND($BO433&lt;=0.91),10^(0.021763+0.28995*LOG($BO433)),1)))</f>
        <v>#NUM!</v>
      </c>
      <c r="BR433" s="497" t="e">
        <f ca="1">IF($BP433&gt;0 =AND($BP433&lt;=0.06),10^(0.029806+0.29095*LOG($BP433)),IF($BP433&gt;0.06 =AND($BP433&lt;=0.26),10^(0.013778+0.282597*LOG($BP433)),IF($BP433&gt;0.26 =AND($BP433&lt;=2),10^(0.021763+0.28995*LOG($BP433))," ")))</f>
        <v>#NUM!</v>
      </c>
      <c r="BS433" s="475" t="e">
        <f ca="1">BM433*BQ433</f>
        <v>#NUM!</v>
      </c>
      <c r="BT433" s="475" t="e">
        <f ca="1">IF(BP433=" "," ",(BM433*BR433))</f>
        <v>#NUM!</v>
      </c>
      <c r="BU433" s="475" t="e">
        <f ca="1">IF(BO433&lt;=0.11,0.3827+0.0645*LN(BO433),IF(BO433&lt;=0.21,0.60025+0.15471*LN(BO433),IF(BO433&lt;1,0.225+0.6666666667*BO433,0)))</f>
        <v>#NUM!</v>
      </c>
      <c r="BV433" s="475" t="e">
        <f ca="1">IF(BP433&lt;=0.11,0.3827+0.0645*LN(BP433),IF(BP433&lt;=0.21,0.60025+0.15471*LN(BP433),IF(BP433&lt;1,0.225+0.6666666667*BP433," ")))</f>
        <v>#NUM!</v>
      </c>
      <c r="BW433" s="475" t="e">
        <f ca="1">2*ACOS(1-2*(BU433))</f>
        <v>#NUM!</v>
      </c>
      <c r="BX433" s="475" t="e">
        <f ca="1">IF(BP433=" "," ",(2*ACOS(1-2*(BV433))))</f>
        <v>#NUM!</v>
      </c>
      <c r="BY433" s="475" t="e">
        <f ca="1">(1/4)*(1-(SIN(BW433))/BW433)</f>
        <v>#NUM!</v>
      </c>
      <c r="BZ433" s="475" t="e">
        <f ca="1">IF(BP433=" "," ",((1/4)*(1-(SIN(BX433))/BX433)))</f>
        <v>#NUM!</v>
      </c>
      <c r="CA433" s="471" t="e">
        <f ca="1">BY433*AZ433/1000</f>
        <v>#NUM!</v>
      </c>
      <c r="CB433" s="471" t="e">
        <f ca="1">IF(BP433=" "," ",(BZ433*AZ433/1000))</f>
        <v>#NUM!</v>
      </c>
      <c r="CC433" s="471" t="e">
        <f t="shared" ca="1" si="1191"/>
        <v>#NUM!</v>
      </c>
      <c r="CD433" s="471" t="e">
        <f ca="1">IF(CC433="","",IF(CC433&lt;0.7,"F. Subcrítico",IF(AND(CC433&gt;0.7,CC433&lt;1),"F. Subcrítico Inestable",IF(CC433=1,"F. Crítico",IF(AND(CC433&gt;1,CC433&lt;1.5),"F. Supercrítico Inestable",IF(CC433&gt;1.5,"F. Supercrítico",""))))))</f>
        <v>#NUM!</v>
      </c>
      <c r="CE433" s="471" t="e">
        <f ca="1">1000*BL433*CA433/100</f>
        <v>#NUM!</v>
      </c>
      <c r="CF433" s="471" t="e">
        <f ca="1">IF(BP433=" "," ",(1000*BL433*CB433/100))</f>
        <v>#NUM!</v>
      </c>
      <c r="CG433" s="471" t="e">
        <f ca="1">IF(BS433&lt;0.45,"No cumple",IF(BS433&gt;5,"No cumple","O.K"))</f>
        <v>#NUM!</v>
      </c>
      <c r="CH433" s="471" t="e">
        <f ca="1">IF(BT433&lt;0.75,"No cumple",IF(BT433&gt;10,"No cumple","O.K"))</f>
        <v>#NUM!</v>
      </c>
      <c r="CI433" s="471" t="e">
        <f ca="1">IF(CE433&gt;0.1,"OK","V.C.H.")</f>
        <v>#NUM!</v>
      </c>
      <c r="CJ433" s="471" t="e">
        <f ca="1">IF(CF433&gt;0.2,"OK","V.C.H.")</f>
        <v>#NUM!</v>
      </c>
      <c r="CK433" s="468">
        <f>+BJ433</f>
        <v>983.25159999999994</v>
      </c>
      <c r="CL433" s="482" t="s">
        <v>2507</v>
      </c>
      <c r="CM433" s="482"/>
      <c r="CN433" s="63" t="str">
        <f>IF(B433=1,"dato"," ")</f>
        <v xml:space="preserve"> </v>
      </c>
      <c r="CO433" s="527">
        <f t="shared" si="1257"/>
        <v>98.12</v>
      </c>
      <c r="CP433" s="511">
        <f t="shared" si="1258"/>
        <v>9.6820220138610427E-3</v>
      </c>
      <c r="CQ433" s="482" t="s">
        <v>2508</v>
      </c>
      <c r="CR433" s="204">
        <f>IF(BA433="","",AX433)</f>
        <v>98.12</v>
      </c>
      <c r="CS433" s="486">
        <v>1.2</v>
      </c>
      <c r="CT433" s="486">
        <v>1.2</v>
      </c>
      <c r="CU433" s="23">
        <f>IF($BA433="","",SQRT((BH433-BI433)^2+$CR433^2))</f>
        <v>98.137438829429414</v>
      </c>
      <c r="CV433" s="499" t="s">
        <v>2509</v>
      </c>
      <c r="CW433" s="488" t="str">
        <f ca="1">+IF(BD433&lt;=0.9,"E1",IF(BD433&lt;=2.5,"E2","E3"))</f>
        <v>E3</v>
      </c>
      <c r="CX433" s="204">
        <f ca="1">IF(AND(L433="",H433=""),"",IF(AND(BA433&lt;&gt;4,BA433&lt;&gt;5),VLOOKUP(AY433,'TABLA (2)'!$A$9:$D$43,4),IF(BA433=4,VLOOKUP(AY433,'TABLA (2)'!$A$74:$D$89,4),VLOOKUP(AY433,'TABLA (2)'!$A$51:$D$66,4))))</f>
        <v>3.6999999999999998E-2</v>
      </c>
      <c r="CY433" s="482"/>
      <c r="CZ433" s="482"/>
      <c r="DA433" s="482"/>
      <c r="DB433" s="490"/>
    </row>
    <row r="434" spans="1:106" ht="15" hidden="1" customHeight="1">
      <c r="A434" s="465"/>
      <c r="B434" s="491"/>
      <c r="C434" s="466"/>
      <c r="D434" s="466"/>
      <c r="E434" s="468"/>
      <c r="F434" s="468"/>
      <c r="G434" s="537">
        <f t="shared" si="1254"/>
        <v>0</v>
      </c>
      <c r="H434" s="537">
        <f t="shared" si="1255"/>
        <v>0</v>
      </c>
      <c r="I434" s="468"/>
      <c r="J434" s="468"/>
      <c r="K434" s="467"/>
      <c r="L434" s="468"/>
      <c r="M434" s="469"/>
      <c r="N434" s="470"/>
      <c r="O434" s="470"/>
      <c r="P434" s="470"/>
      <c r="Q434" s="469">
        <f t="shared" si="1259"/>
        <v>140</v>
      </c>
      <c r="R434" s="471"/>
      <c r="S434" s="471"/>
      <c r="T434" s="471"/>
      <c r="U434" s="471"/>
      <c r="V434" s="471"/>
      <c r="W434" s="471"/>
      <c r="X434" s="471"/>
      <c r="Y434" s="471"/>
      <c r="Z434" s="471"/>
      <c r="AA434" s="471" t="str">
        <f t="shared" si="1185"/>
        <v/>
      </c>
      <c r="AB434" s="471"/>
      <c r="AC434" s="471"/>
      <c r="AD434" s="471"/>
      <c r="AE434" s="471"/>
      <c r="AF434" s="510" t="str">
        <f t="shared" si="1175"/>
        <v/>
      </c>
      <c r="AG434" s="471"/>
      <c r="AH434" s="471"/>
      <c r="AI434" s="471"/>
      <c r="AJ434" s="471"/>
      <c r="AK434" s="472"/>
      <c r="AL434" s="471"/>
      <c r="AM434" s="473">
        <f t="shared" si="1256"/>
        <v>474.44695720875893</v>
      </c>
      <c r="AN434" s="474">
        <f t="shared" si="1190"/>
        <v>14.885022788450231</v>
      </c>
      <c r="AO434" s="474"/>
      <c r="AP434" s="474"/>
      <c r="AQ434" s="475">
        <v>3</v>
      </c>
      <c r="AR434" s="474"/>
      <c r="AS434" s="474"/>
      <c r="AT434" s="471"/>
      <c r="AU434" s="492"/>
      <c r="AV434" s="471"/>
      <c r="AW434" s="471"/>
      <c r="AX434" s="478"/>
      <c r="AY434" s="493"/>
      <c r="AZ434" s="480"/>
      <c r="BA434" s="493"/>
      <c r="BB434" s="478" t="str">
        <f>IF(OR(C434="",D434=""),"",VLOOKUP(C434,'Base de Diseño (2)'!$A$2:$D$330,4,FALSE))</f>
        <v/>
      </c>
      <c r="BC434" s="478" t="str">
        <f>IF(OR(C434="",D434=""),"",VLOOKUP(D434,'Base de Diseño (2)'!$A$2:$D$330,4,FALSE))</f>
        <v/>
      </c>
      <c r="BD434" s="23"/>
      <c r="BE434" s="23"/>
      <c r="BF434" s="494"/>
      <c r="BG434" s="494"/>
      <c r="BH434" s="495"/>
      <c r="BI434" s="495"/>
      <c r="BJ434" s="534">
        <f t="shared" ref="BJ434:BJ465" si="1262">IF(A434="",0,BI434-BH435)</f>
        <v>0</v>
      </c>
      <c r="BK434" s="475"/>
      <c r="BL434" s="475"/>
      <c r="BM434" s="475"/>
      <c r="BN434" s="475"/>
      <c r="BO434" s="204"/>
      <c r="BP434" s="496"/>
      <c r="BQ434" s="497"/>
      <c r="BR434" s="497"/>
      <c r="BS434" s="475"/>
      <c r="BT434" s="475"/>
      <c r="BU434" s="475"/>
      <c r="BV434" s="475"/>
      <c r="BW434" s="475"/>
      <c r="BX434" s="475"/>
      <c r="BY434" s="475"/>
      <c r="BZ434" s="475"/>
      <c r="CA434" s="471"/>
      <c r="CB434" s="471"/>
      <c r="CC434" s="471" t="e">
        <f t="shared" si="1191"/>
        <v>#DIV/0!</v>
      </c>
      <c r="CD434" s="471"/>
      <c r="CE434" s="471"/>
      <c r="CF434" s="471"/>
      <c r="CG434" s="471"/>
      <c r="CH434" s="471"/>
      <c r="CI434" s="471"/>
      <c r="CJ434" s="471"/>
      <c r="CK434" s="468"/>
      <c r="CL434" s="482" t="s">
        <v>2507</v>
      </c>
      <c r="CM434" s="482"/>
      <c r="CN434" s="63"/>
      <c r="CO434" s="527">
        <f t="shared" si="1257"/>
        <v>0</v>
      </c>
      <c r="CP434" s="542">
        <f t="shared" si="1258"/>
        <v>0</v>
      </c>
      <c r="CQ434" s="482"/>
      <c r="CR434" s="204"/>
      <c r="CS434" s="486"/>
      <c r="CT434" s="486"/>
      <c r="CU434" s="23"/>
      <c r="CV434" s="499"/>
      <c r="CW434" s="488"/>
      <c r="CX434" s="204"/>
      <c r="CY434" s="482"/>
      <c r="CZ434" s="482"/>
      <c r="DA434" s="482"/>
      <c r="DB434" s="490"/>
    </row>
    <row r="435" spans="1:106" ht="15" hidden="1" customHeight="1">
      <c r="A435" s="465">
        <f>+A433+1</f>
        <v>316</v>
      </c>
      <c r="B435" s="491">
        <v>1</v>
      </c>
      <c r="C435" s="466" t="s">
        <v>2206</v>
      </c>
      <c r="D435" s="466" t="s">
        <v>2240</v>
      </c>
      <c r="E435" s="468">
        <v>0.26460254890000001</v>
      </c>
      <c r="F435" s="468"/>
      <c r="G435" s="537">
        <f t="shared" si="1254"/>
        <v>0</v>
      </c>
      <c r="H435" s="537">
        <f t="shared" si="1255"/>
        <v>0.26460254890000001</v>
      </c>
      <c r="I435" s="468">
        <v>0.26460254890000001</v>
      </c>
      <c r="J435" s="468"/>
      <c r="K435" s="467">
        <f>+IF(B435=1,0,SUMIF($D$22:$D$583,C435,$L$22:$L$580))</f>
        <v>0</v>
      </c>
      <c r="L435" s="468">
        <f>+I435+J435+K435</f>
        <v>0.26460254890000001</v>
      </c>
      <c r="M435" s="469">
        <f>+$P$12</f>
        <v>242.33666300502347</v>
      </c>
      <c r="N435" s="470">
        <f>M435*E435</f>
        <v>64.122898723049545</v>
      </c>
      <c r="O435" s="470">
        <f>M435*F435</f>
        <v>0</v>
      </c>
      <c r="P435" s="470">
        <f>M435*H435</f>
        <v>64.122898723049545</v>
      </c>
      <c r="Q435" s="469">
        <f t="shared" si="1259"/>
        <v>140</v>
      </c>
      <c r="R435" s="471">
        <f>Q435*P435*$P$14/86400</f>
        <v>8.8317418380126106E-2</v>
      </c>
      <c r="S435" s="471"/>
      <c r="T435" s="471"/>
      <c r="U435" s="471">
        <f>IF(C435="","",T435*$P$17)</f>
        <v>0</v>
      </c>
      <c r="V435" s="471"/>
      <c r="W435" s="471"/>
      <c r="X435" s="471">
        <f>IF(C435="","",W435*$P$16)</f>
        <v>0</v>
      </c>
      <c r="Y435" s="471">
        <f>IF(H435=0,0,$H$15*H435)</f>
        <v>5.2920509780000007E-2</v>
      </c>
      <c r="Z435" s="471">
        <f>IF(L435=0,$H$16*H435,0)</f>
        <v>0</v>
      </c>
      <c r="AA435" s="471">
        <f t="shared" si="1185"/>
        <v>3.8</v>
      </c>
      <c r="AB435" s="471">
        <f>R435*AA435</f>
        <v>0.33560618984447921</v>
      </c>
      <c r="AC435" s="471">
        <f>Q435*(N435+O435)*$P$14/86400</f>
        <v>8.8317418380126106E-2</v>
      </c>
      <c r="AD435" s="471">
        <f t="shared" ref="AD435:AE437" si="1263">IF(E435=0,0,$H$15*(E435+F435))</f>
        <v>5.2920509780000007E-2</v>
      </c>
      <c r="AE435" s="471">
        <f t="shared" si="1263"/>
        <v>0</v>
      </c>
      <c r="AF435" s="510">
        <f t="shared" si="1175"/>
        <v>3.8</v>
      </c>
      <c r="AG435" s="471">
        <f>AC435*AF435</f>
        <v>0.33560618984447921</v>
      </c>
      <c r="AH435" s="471">
        <f>+AD435+AE435+AG435</f>
        <v>0.38852669962447922</v>
      </c>
      <c r="AI435" s="471">
        <f>IF(H435="","",IF(AB435+Y435+Z435+X435+U435&lt;1.5,1.5,AB435+Y435+Z435+X435+U435))</f>
        <v>1.5</v>
      </c>
      <c r="AJ435" s="471">
        <f>+$P$17</f>
        <v>0.75</v>
      </c>
      <c r="AK435" s="472">
        <f>+BK435/100</f>
        <v>4.5753961189246815E-2</v>
      </c>
      <c r="AL435" s="471">
        <f>IF(AJ435=0," ",0.14+0.65*AJ435+0.05*AK435)</f>
        <v>0.62978769805946244</v>
      </c>
      <c r="AM435" s="473">
        <f t="shared" si="1256"/>
        <v>336.32613267542746</v>
      </c>
      <c r="AN435" s="474">
        <f t="shared" si="1190"/>
        <v>7.2810855369402852</v>
      </c>
      <c r="AO435" s="474">
        <f>((1/60)*$AX435/$AQ435)</f>
        <v>0.62411111111111117</v>
      </c>
      <c r="AP435" s="474">
        <f>IF(B435=1,IF(($AN435+$AO435)&lt;10,10,IF(($AN435+$AO435)&gt;20,20,($AN435+$AO435))),($AN435+$AO435))</f>
        <v>10</v>
      </c>
      <c r="AQ435" s="475">
        <v>3</v>
      </c>
      <c r="AR435" s="474">
        <f>((1/60)*$AX435/$BT435)</f>
        <v>0.97156102278347611</v>
      </c>
      <c r="AS435" s="474">
        <f>AO435/AR435</f>
        <v>0.64237973372281088</v>
      </c>
      <c r="AT435" s="471" t="str">
        <f>IF(AS435&lt;0.9,"Disminuir vel.",IF(AS435&gt;1.1,"Aumentar vel.","Cumple"))</f>
        <v>Disminuir vel.</v>
      </c>
      <c r="AU435" s="492">
        <f>+I435*AL435*AM435</f>
        <v>56.046540405650042</v>
      </c>
      <c r="AV435" s="471">
        <f>+L435*AL435*AM435</f>
        <v>56.046540405650042</v>
      </c>
      <c r="AW435" s="471">
        <f>ROUND(IF(AI435&gt;(AV435*0.05),(AV435+AI435),AV435),2)</f>
        <v>56.05</v>
      </c>
      <c r="AX435" s="478">
        <f>IF(OR(C435="",D435=""),"",ROUND(((VLOOKUP(C435,'Base de Diseño (2)'!$A$2:$C$333,2,FALSE)-VLOOKUP(D435,'Base de Diseño (2)'!$A$2:$C$333,2,FALSE))^2+(VLOOKUP(C435,'Base de Diseño (2)'!$A$2:$C$333,3,0)-VLOOKUP(D435,'Base de Diseño (2)'!$A$2:$C$333,3,FALSE))^2)^0.5,2))</f>
        <v>112.34</v>
      </c>
      <c r="AY435" s="493">
        <v>8</v>
      </c>
      <c r="AZ435" s="480">
        <f>IF(AND(L435="",H435=""),"",IF(BA435=4,VLOOKUP(AY435,'TABLA (2)'!$A$74:$C$89,2),IF(BA435=5,VLOOKUP(AY435,'TABLA (2)'!$A$51:$B$66,2),IF(BA435=6,VLOOKUP(AY435,'TABLA (2)'!$A$9:$B$43,2)))))</f>
        <v>200</v>
      </c>
      <c r="BA435" s="493">
        <v>6</v>
      </c>
      <c r="BB435" s="478">
        <f>IF(OR(C435="",D435=""),"",VLOOKUP(C435,'Base de Diseño (2)'!$A$2:$D$330,4,FALSE))</f>
        <v>984.07159999999999</v>
      </c>
      <c r="BC435" s="478">
        <f>IF(OR(C435="",D435=""),"",VLOOKUP(D435,'Base de Diseño (2)'!$A$2:$D$330,4,FALSE))</f>
        <v>978.9316</v>
      </c>
      <c r="BD435" s="23">
        <f>+BF435-((AZ435/1000)+CX435)</f>
        <v>1.3630000000000226</v>
      </c>
      <c r="BE435" s="23">
        <f>+BG435-((AZ435/1000)+CX435)</f>
        <v>-0.23700000000000002</v>
      </c>
      <c r="BF435" s="494">
        <v>1.6000000000000227</v>
      </c>
      <c r="BG435" s="494">
        <v>0</v>
      </c>
      <c r="BH435" s="495">
        <f t="shared" ref="BH435:BI437" si="1264">BB435-BF435</f>
        <v>982.47159999999997</v>
      </c>
      <c r="BI435" s="495">
        <f t="shared" si="1264"/>
        <v>978.9316</v>
      </c>
      <c r="BJ435" s="534">
        <f t="shared" si="1262"/>
        <v>0</v>
      </c>
      <c r="BK435" s="475">
        <f>ABS((BB435-BC435)/AX435)*100</f>
        <v>4.5753961189246812</v>
      </c>
      <c r="BL435" s="475">
        <f>((BH435-BI435)/AX435)*100</f>
        <v>3.1511482998041336</v>
      </c>
      <c r="BM435" s="475">
        <f>IF(BA435=6,(1/0.013)*((AZ435/4000)^(2/3))*((BL435/100)^(0.5)),(1/0.009)*((AZ435/4000)^(2/3))*((BL435/100)^(0.5)))</f>
        <v>1.8532659156878046</v>
      </c>
      <c r="BN435" s="475">
        <f>1000*BM435*PI()*((AZ435/1000/2)^2)</f>
        <v>58.222065858731689</v>
      </c>
      <c r="BO435" s="204">
        <f>AI435/BN435</f>
        <v>2.5763427969724674E-2</v>
      </c>
      <c r="BP435" s="496">
        <f>IF(L435=0," ",AW435/BN435)</f>
        <v>0.96269342513537859</v>
      </c>
      <c r="BQ435" s="497">
        <f>IF($BO435&gt;0 =AND($BO435&lt;=0.06),10^(0.029806+0.29095*LOG($BO435)),IF($BO435&gt;0.06 =AND($BO435&lt;=0.26),10^(0.013778+0.282597*LOG($BO435)),IF($BO435&gt;0.26 =AND($BO435&lt;=0.91),10^(0.021763+0.28995*LOG($BO435)),1)))</f>
        <v>0.36939202189999715</v>
      </c>
      <c r="BR435" s="497">
        <f>IF($BP435&gt;0 =AND($BP435&lt;=0.06),10^(0.029806+0.29095*LOG($BP435)),IF($BP435&gt;0.06 =AND($BP435&lt;=0.26),10^(0.013778+0.282597*LOG($BP435)),IF($BP435&gt;0.26 =AND($BP435&lt;=2),10^(0.021763+0.28995*LOG($BP435))," ")))</f>
        <v>1.0398611364161474</v>
      </c>
      <c r="BS435" s="475">
        <f>BM435*BQ435</f>
        <v>0.68458164371426777</v>
      </c>
      <c r="BT435" s="475">
        <f>IF(BP435=" "," ",(BM435*BR435))</f>
        <v>1.9271392011684325</v>
      </c>
      <c r="BU435" s="475">
        <f>IF(BO435&lt;=0.11,0.3827+0.0645*LN(BO435),IF(BO435&lt;=0.21,0.60025+0.15471*LN(BO435),IF(BO435&lt;1,0.225+0.6666666667*BO435,0)))</f>
        <v>0.14670744429598248</v>
      </c>
      <c r="BV435" s="475">
        <f>IF(BP435&lt;=0.11,0.3827+0.0645*LN(BP435),IF(BP435&lt;=0.21,0.60025+0.15471*LN(BP435),IF(BP435&lt;1,0.225+0.6666666667*BP435," ")))</f>
        <v>0.86679561678900874</v>
      </c>
      <c r="BW435" s="475">
        <f>2*ACOS(1-2*(BU435))</f>
        <v>1.5722712880026848</v>
      </c>
      <c r="BX435" s="475">
        <f>IF(BP435=" "," ",(2*ACOS(1-2*(BV435))))</f>
        <v>4.7887754391250947</v>
      </c>
      <c r="BY435" s="475">
        <f>(1/4)*(1-(SIN(BW435))/BW435)</f>
        <v>9.0994534487230383E-2</v>
      </c>
      <c r="BZ435" s="475">
        <f>IF(BP435=" "," ",((1/4)*(1-(SIN(BX435))/BX435)))</f>
        <v>0.30205318068476023</v>
      </c>
      <c r="CA435" s="471">
        <f>BY435*AZ435/1000</f>
        <v>1.8198906897446077E-2</v>
      </c>
      <c r="CB435" s="471">
        <f>IF(BP435=" "," ",(BZ435*AZ435/1000))</f>
        <v>6.0410636136952044E-2</v>
      </c>
      <c r="CC435" s="471">
        <f t="shared" si="1191"/>
        <v>1.3336701863977745</v>
      </c>
      <c r="CD435" s="471" t="str">
        <f>IF(CC435="","",IF(CC435&lt;0.7,"F. Subcrítico",IF(AND(CC435&gt;0.7,CC435&lt;1),"F. Subcrítico Inestable",IF(CC435=1,"F. Crítico",IF(AND(CC435&gt;1,CC435&lt;1.5),"F. Supercrítico Inestable",IF(CC435&gt;1.5,"F. Supercrítico",""))))))</f>
        <v>F. Supercrítico Inestable</v>
      </c>
      <c r="CE435" s="471">
        <f>1000*BL435*CA435/100</f>
        <v>0.5734745452818093</v>
      </c>
      <c r="CF435" s="471">
        <f>IF(BP435=" "," ",(1000*BL435*CB435/100))</f>
        <v>1.9036287335304261</v>
      </c>
      <c r="CG435" s="471" t="str">
        <f>IF(BS435&lt;0.45,"No cumple",IF(BS435&gt;5,"No cumple","O.K"))</f>
        <v>O.K</v>
      </c>
      <c r="CH435" s="471" t="str">
        <f>IF(BT435&lt;0.75,"No cumple",IF(BT435&gt;10,"No cumple","O.K"))</f>
        <v>O.K</v>
      </c>
      <c r="CI435" s="471" t="str">
        <f>IF(CE435&gt;0.1,"OK","V.C.H.")</f>
        <v>OK</v>
      </c>
      <c r="CJ435" s="471" t="str">
        <f>IF(CF435&gt;0.2,"OK","V.C.H.")</f>
        <v>OK</v>
      </c>
      <c r="CK435" s="468">
        <f>+BJ435</f>
        <v>0</v>
      </c>
      <c r="CL435" s="482" t="s">
        <v>2507</v>
      </c>
      <c r="CM435" s="482"/>
      <c r="CN435" s="63" t="str">
        <f>IF(B435=1,"dato"," ")</f>
        <v>dato</v>
      </c>
      <c r="CO435" s="527">
        <f t="shared" si="1257"/>
        <v>112.34</v>
      </c>
      <c r="CP435" s="511">
        <f t="shared" si="1258"/>
        <v>4.5753961189246815E-2</v>
      </c>
      <c r="CQ435" s="482" t="s">
        <v>2508</v>
      </c>
      <c r="CR435" s="204">
        <f>IF(BA435="","",AX435)</f>
        <v>112.34</v>
      </c>
      <c r="CS435" s="486">
        <v>1.2</v>
      </c>
      <c r="CT435" s="486">
        <v>1.2</v>
      </c>
      <c r="CU435" s="23">
        <f>IF($BA435="","",SQRT((BH435-BI435)^2+$CR435^2))</f>
        <v>112.39576148592081</v>
      </c>
      <c r="CV435" s="499" t="s">
        <v>2509</v>
      </c>
      <c r="CW435" s="488" t="str">
        <f>+IF(BD435&lt;=0.9,"E1",IF(BD435&lt;=2.5,"E2","E3"))</f>
        <v>E2</v>
      </c>
      <c r="CX435" s="204">
        <f>IF(AND(L435="",H435=""),"",IF(AND(BA435&lt;&gt;4,BA435&lt;&gt;5),VLOOKUP(AY435,'TABLA (2)'!$A$9:$D$43,4),IF(BA435=4,VLOOKUP(AY435,'TABLA (2)'!$A$74:$D$89,4),VLOOKUP(AY435,'TABLA (2)'!$A$51:$D$66,4))))</f>
        <v>3.6999999999999998E-2</v>
      </c>
      <c r="CY435" s="482"/>
      <c r="CZ435" s="482"/>
      <c r="DA435" s="482"/>
      <c r="DB435" s="490"/>
    </row>
    <row r="436" spans="1:106" ht="15" hidden="1" customHeight="1">
      <c r="A436" s="465">
        <f>+A435+1</f>
        <v>317</v>
      </c>
      <c r="B436" s="491"/>
      <c r="C436" s="466" t="s">
        <v>2240</v>
      </c>
      <c r="D436" s="466" t="s">
        <v>2241</v>
      </c>
      <c r="E436" s="468">
        <v>0.38545831699999999</v>
      </c>
      <c r="F436" s="468"/>
      <c r="G436" s="537">
        <f t="shared" si="1254"/>
        <v>0.58509876110000003</v>
      </c>
      <c r="H436" s="537">
        <f t="shared" si="1255"/>
        <v>0.97055707810000003</v>
      </c>
      <c r="I436" s="468">
        <v>0.38545831699999999</v>
      </c>
      <c r="J436" s="468"/>
      <c r="K436" s="467">
        <f ca="1">+IF(B436=1,0,SUMIF($D$22:$D$583,C436,$L$22:$L$580))</f>
        <v>0.58509876110000003</v>
      </c>
      <c r="L436" s="468">
        <f ca="1">+I436+J436+K436</f>
        <v>0.97055707810000003</v>
      </c>
      <c r="M436" s="469">
        <f>+$P$12</f>
        <v>242.33666300502347</v>
      </c>
      <c r="N436" s="470">
        <f>M436*E436</f>
        <v>93.410682269312503</v>
      </c>
      <c r="O436" s="470">
        <f>M436*F436</f>
        <v>0</v>
      </c>
      <c r="P436" s="470">
        <f>M436*H436</f>
        <v>235.20156356265994</v>
      </c>
      <c r="Q436" s="469">
        <f t="shared" si="1259"/>
        <v>140</v>
      </c>
      <c r="R436" s="471">
        <f>Q436*P436*$P$14/86400</f>
        <v>0.32394659796245989</v>
      </c>
      <c r="S436" s="471"/>
      <c r="T436" s="471"/>
      <c r="U436" s="471">
        <f>IF(C436="","",T436*$P$17)</f>
        <v>0</v>
      </c>
      <c r="V436" s="471"/>
      <c r="W436" s="471"/>
      <c r="X436" s="471">
        <f>IF(C436="","",W436*$P$16)</f>
        <v>0</v>
      </c>
      <c r="Y436" s="471">
        <f>IF(H436=0,0,$H$15*H436)</f>
        <v>0.19411141562000001</v>
      </c>
      <c r="Z436" s="471">
        <f ca="1">IF(L436=0,$H$16*H436,0)</f>
        <v>0</v>
      </c>
      <c r="AA436" s="471">
        <f t="shared" si="1185"/>
        <v>3.8</v>
      </c>
      <c r="AB436" s="471">
        <f>R436*AA436</f>
        <v>1.2309970722573476</v>
      </c>
      <c r="AC436" s="471">
        <f>Q436*(N436+O436)*$P$14/86400</f>
        <v>0.12865591655148365</v>
      </c>
      <c r="AD436" s="471">
        <f t="shared" si="1263"/>
        <v>7.709166340000001E-2</v>
      </c>
      <c r="AE436" s="471">
        <f t="shared" si="1263"/>
        <v>0</v>
      </c>
      <c r="AF436" s="510">
        <f t="shared" si="1175"/>
        <v>3.8</v>
      </c>
      <c r="AG436" s="471">
        <f>AC436*AF436</f>
        <v>0.4888924828956378</v>
      </c>
      <c r="AH436" s="471">
        <f>+AD436+AE436+AG436</f>
        <v>0.56598414629563787</v>
      </c>
      <c r="AI436" s="471">
        <f ca="1">IF(H436="","",IF(AB436+Y436+Z436+X436+U436&lt;1.5,1.5,AB436+Y436+Z436+X436+U436))</f>
        <v>1.5</v>
      </c>
      <c r="AJ436" s="471">
        <f>+$P$17</f>
        <v>0.75</v>
      </c>
      <c r="AK436" s="472">
        <f>+BK436/100</f>
        <v>5.866249511145874E-2</v>
      </c>
      <c r="AL436" s="471">
        <f>IF(AJ436=0," ",0.14+0.65*AJ436+0.05*AK436)</f>
        <v>0.630433124755573</v>
      </c>
      <c r="AM436" s="473">
        <f t="shared" si="1256"/>
        <v>333.52847182526085</v>
      </c>
      <c r="AN436" s="474">
        <f t="shared" si="1190"/>
        <v>10</v>
      </c>
      <c r="AO436" s="474">
        <f>((1/60)*$AX436/$AQ436)</f>
        <v>0.28411111111111109</v>
      </c>
      <c r="AP436" s="474">
        <f>IF(B436=1,IF(($AN436+$AO436)&lt;10,10,IF(($AN436+$AO436)&gt;20,20,($AN436+$AO436))),($AN436+$AO436))</f>
        <v>10.284111111111111</v>
      </c>
      <c r="AQ436" s="475">
        <v>3</v>
      </c>
      <c r="AR436" s="474">
        <f ca="1">((1/60)*$AX436/$BT436)</f>
        <v>0.21090914554450532</v>
      </c>
      <c r="AS436" s="474">
        <f ca="1">AO436/AR436</f>
        <v>1.3470781951044364</v>
      </c>
      <c r="AT436" s="471" t="str">
        <f ca="1">IF(AS436&lt;0.9,"Disminuir vel.",IF(AS436&gt;1.1,"Aumentar vel.","Cumple"))</f>
        <v>Aumentar vel.</v>
      </c>
      <c r="AU436" s="492">
        <f>+I436*AL436*AM436</f>
        <v>81.049316847231609</v>
      </c>
      <c r="AV436" s="471">
        <f ca="1">+L436*AL436*AM436</f>
        <v>204.07651014895657</v>
      </c>
      <c r="AW436" s="471">
        <f ca="1">ROUND(IF(AI436&gt;(AV436*0.05),(AV436+AI436),AV436),2)</f>
        <v>204.08</v>
      </c>
      <c r="AX436" s="478">
        <f>IF(OR(C436="",D436=""),"",ROUND(((VLOOKUP(C436,'Base de Diseño (2)'!$A$2:$C$333,2,FALSE)-VLOOKUP(D436,'Base de Diseño (2)'!$A$2:$C$333,2,FALSE))^2+(VLOOKUP(C436,'Base de Diseño (2)'!$A$2:$C$333,3,0)-VLOOKUP(D436,'Base de Diseño (2)'!$A$2:$C$333,3,FALSE))^2)^0.5,2))</f>
        <v>51.14</v>
      </c>
      <c r="AY436" s="493">
        <v>12</v>
      </c>
      <c r="AZ436" s="480">
        <f ca="1">IF(AND(L436="",H436=""),"",IF(BA436=4,VLOOKUP(AY436,'TABLA (2)'!$A$74:$C$89,2),IF(BA436=5,VLOOKUP(AY436,'TABLA (2)'!$A$51:$B$66,2),IF(BA436=6,VLOOKUP(AY436,'TABLA (2)'!$A$9:$B$43,2)))))</f>
        <v>300</v>
      </c>
      <c r="BA436" s="493">
        <v>6</v>
      </c>
      <c r="BB436" s="478">
        <f>IF(OR(C436="",D436=""),"",VLOOKUP(C436,'Base de Diseño (2)'!$A$2:$D$330,4,FALSE))</f>
        <v>978.9316</v>
      </c>
      <c r="BC436" s="478">
        <f>IF(OR(C436="",D436=""),"",VLOOKUP(D436,'Base de Diseño (2)'!$A$2:$D$330,4,FALSE))</f>
        <v>975.9316</v>
      </c>
      <c r="BD436" s="23">
        <f ca="1">+BF436-((AZ436/1000)+CX436)</f>
        <v>-0.34699999999999998</v>
      </c>
      <c r="BE436" s="23">
        <f ca="1">+BG436-((AZ436/1000)+CX436)</f>
        <v>1.7530000000000228</v>
      </c>
      <c r="BF436" s="494">
        <v>0</v>
      </c>
      <c r="BG436" s="494">
        <v>2.1000000000000227</v>
      </c>
      <c r="BH436" s="495">
        <f t="shared" si="1264"/>
        <v>978.9316</v>
      </c>
      <c r="BI436" s="495">
        <f t="shared" si="1264"/>
        <v>973.83159999999998</v>
      </c>
      <c r="BJ436" s="534">
        <f t="shared" si="1262"/>
        <v>-2.1000000000000227</v>
      </c>
      <c r="BK436" s="475">
        <f>ABS((BB436-BC436)/AX436)*100</f>
        <v>5.8662495111458739</v>
      </c>
      <c r="BL436" s="475">
        <f>((BH436-BI436)/AX436)*100</f>
        <v>9.9726241689480304</v>
      </c>
      <c r="BM436" s="475">
        <f ca="1">IF(BA436=6,(1/0.013)*((AZ436/4000)^(2/3))*((BL436/100)^(0.5)),(1/0.009)*((AZ436/4000)^(2/3))*((BL436/100)^(0.5)))</f>
        <v>4.3201837215588146</v>
      </c>
      <c r="BN436" s="475">
        <f ca="1">1000*BM436*PI()*((AZ436/1000/2)^2)</f>
        <v>305.37579244066615</v>
      </c>
      <c r="BO436" s="204">
        <f ca="1">AI436/BN436</f>
        <v>4.9119807042054481E-3</v>
      </c>
      <c r="BP436" s="496">
        <f ca="1">IF(L436=0," ",AW436/BN436)</f>
        <v>0.6682913480761653</v>
      </c>
      <c r="BQ436" s="497">
        <f ca="1">IF($BO436&gt;0 =AND($BO436&lt;=0.06),10^(0.029806+0.29095*LOG($BO436)),IF($BO436&gt;0.06 =AND($BO436&lt;=0.26),10^(0.013778+0.282597*LOG($BO436)),IF($BO436&gt;0.26 =AND($BO436&lt;=0.91),10^(0.021763+0.28995*LOG($BO436)),1)))</f>
        <v>0.2280747055892558</v>
      </c>
      <c r="BR436" s="497">
        <f ca="1">IF($BP436&gt;0 =AND($BP436&lt;=0.06),10^(0.029806+0.29095*LOG($BP436)),IF($BP436&gt;0.06 =AND($BP436&lt;=0.26),10^(0.013778+0.282597*LOG($BP436)),IF($BP436&gt;0.26 =AND($BP436&lt;=2),10^(0.021763+0.28995*LOG($BP436))," ")))</f>
        <v>0.93543118667535397</v>
      </c>
      <c r="BS436" s="475">
        <f ca="1">BM436*BQ436</f>
        <v>0.98532463038602214</v>
      </c>
      <c r="BT436" s="475">
        <f ca="1">IF(BP436=" "," ",(BM436*BR436))</f>
        <v>4.0412345853133091</v>
      </c>
      <c r="BU436" s="475">
        <f ca="1">IF(BO436&lt;=0.11,0.3827+0.0645*LN(BO436),IF(BO436&lt;=0.21,0.60025+0.15471*LN(BO436),IF(BO436&lt;1,0.225+0.6666666667*BO436,0)))</f>
        <v>3.9812967939494293E-2</v>
      </c>
      <c r="BV436" s="475">
        <f ca="1">IF(BP436&lt;=0.11,0.3827+0.0645*LN(BP436),IF(BP436&lt;=0.21,0.60025+0.15471*LN(BP436),IF(BP436&lt;1,0.225+0.6666666667*BP436," ")))</f>
        <v>0.67052756540638658</v>
      </c>
      <c r="BW436" s="475">
        <f ca="1">2*ACOS(1-2*(BU436))</f>
        <v>0.80352065167086906</v>
      </c>
      <c r="BX436" s="475">
        <f ca="1">IF(BP436=" "," ",(2*ACOS(1-2*(BV436))))</f>
        <v>3.837670847999386</v>
      </c>
      <c r="BY436" s="475">
        <f ca="1">(1/4)*(1-(SIN(BW436))/BW436)</f>
        <v>2.6046670309479575E-2</v>
      </c>
      <c r="BZ436" s="475">
        <f ca="1">IF(BP436=" "," ",((1/4)*(1-(SIN(BX436))/BX436)))</f>
        <v>0.29177098582382915</v>
      </c>
      <c r="CA436" s="471">
        <f ca="1">BY436*AZ436/1000</f>
        <v>7.8140010928438725E-3</v>
      </c>
      <c r="CB436" s="471">
        <f ca="1">IF(BP436=" "," ",(BZ436*AZ436/1000))</f>
        <v>8.7531295747148741E-2</v>
      </c>
      <c r="CC436" s="471">
        <f t="shared" ca="1" si="1191"/>
        <v>3.0524808153525549</v>
      </c>
      <c r="CD436" s="471" t="str">
        <f ca="1">IF(CC436="","",IF(CC436&lt;0.7,"F. Subcrítico",IF(AND(CC436&gt;0.7,CC436&lt;1),"F. Subcrítico Inestable",IF(CC436=1,"F. Crítico",IF(AND(CC436&gt;1,CC436&lt;1.5),"F. Supercrítico Inestable",IF(CC436&gt;1.5,"F. Supercrítico",""))))))</f>
        <v>F. Supercrítico</v>
      </c>
      <c r="CE436" s="471">
        <f ca="1">1000*BL436*CA436/100</f>
        <v>0.77926096154681124</v>
      </c>
      <c r="CF436" s="471">
        <f ca="1">IF(BP436=" "," ",(1000*BL436*CB436/100))</f>
        <v>8.7291671550735348</v>
      </c>
      <c r="CG436" s="471" t="str">
        <f ca="1">IF(BS436&lt;0.45,"No cumple",IF(BS436&gt;5,"No cumple","O.K"))</f>
        <v>O.K</v>
      </c>
      <c r="CH436" s="471" t="str">
        <f ca="1">IF(BT436&lt;0.75,"No cumple",IF(BT436&gt;10,"No cumple","O.K"))</f>
        <v>O.K</v>
      </c>
      <c r="CI436" s="471" t="str">
        <f ca="1">IF(CE436&gt;0.1,"OK","V.C.H.")</f>
        <v>OK</v>
      </c>
      <c r="CJ436" s="471" t="str">
        <f ca="1">IF(CF436&gt;0.2,"OK","V.C.H.")</f>
        <v>OK</v>
      </c>
      <c r="CK436" s="468">
        <f>+BJ436</f>
        <v>-2.1000000000000227</v>
      </c>
      <c r="CL436" s="482" t="s">
        <v>2507</v>
      </c>
      <c r="CM436" s="482"/>
      <c r="CN436" s="63" t="str">
        <f>IF(B436=1,"dato"," ")</f>
        <v xml:space="preserve"> </v>
      </c>
      <c r="CO436" s="527">
        <f t="shared" si="1257"/>
        <v>51.14</v>
      </c>
      <c r="CP436" s="542">
        <f t="shared" si="1258"/>
        <v>5.866249511145874E-2</v>
      </c>
      <c r="CQ436" s="482" t="s">
        <v>2508</v>
      </c>
      <c r="CR436" s="204">
        <f>IF(BA436="","",AX436)</f>
        <v>51.14</v>
      </c>
      <c r="CS436" s="486">
        <v>1.2</v>
      </c>
      <c r="CT436" s="486">
        <v>1.2</v>
      </c>
      <c r="CU436" s="23">
        <f>IF($BA436="","",SQRT((BH436-BI436)^2+$CR436^2))</f>
        <v>51.393672762315795</v>
      </c>
      <c r="CV436" s="499" t="s">
        <v>2509</v>
      </c>
      <c r="CW436" s="488" t="str">
        <f ca="1">+IF(BD436&lt;=0.9,"E1",IF(BD436&lt;=2.5,"E2","E3"))</f>
        <v>E1</v>
      </c>
      <c r="CX436" s="204">
        <f ca="1">IF(AND(L436="",H436=""),"",IF(AND(BA436&lt;&gt;4,BA436&lt;&gt;5),VLOOKUP(AY436,'TABLA (2)'!$A$9:$D$43,4),IF(BA436=4,VLOOKUP(AY436,'TABLA (2)'!$A$74:$D$89,4),VLOOKUP(AY436,'TABLA (2)'!$A$51:$D$66,4))))</f>
        <v>4.7E-2</v>
      </c>
      <c r="CY436" s="482"/>
      <c r="CZ436" s="482"/>
      <c r="DA436" s="482"/>
      <c r="DB436" s="490"/>
    </row>
    <row r="437" spans="1:106" ht="15" hidden="1" customHeight="1">
      <c r="A437" s="465">
        <f>+A436+1</f>
        <v>318</v>
      </c>
      <c r="B437" s="491"/>
      <c r="C437" s="466" t="s">
        <v>2241</v>
      </c>
      <c r="D437" s="466" t="s">
        <v>2242</v>
      </c>
      <c r="E437" s="468"/>
      <c r="F437" s="468"/>
      <c r="G437" s="537">
        <f t="shared" si="1254"/>
        <v>0.97055707810000003</v>
      </c>
      <c r="H437" s="537">
        <f t="shared" si="1255"/>
        <v>0.97055707810000003</v>
      </c>
      <c r="I437" s="468"/>
      <c r="J437" s="468"/>
      <c r="K437" s="467">
        <f ca="1">+IF(B437=1,0,SUMIF($D$22:$D$583,C437,$L$22:$L$580))</f>
        <v>0.97055707810000003</v>
      </c>
      <c r="L437" s="468">
        <f ca="1">+I437+J437+K437</f>
        <v>0.97055707810000003</v>
      </c>
      <c r="M437" s="469">
        <f>+$P$12</f>
        <v>242.33666300502347</v>
      </c>
      <c r="N437" s="470">
        <f>M437*E437</f>
        <v>0</v>
      </c>
      <c r="O437" s="470">
        <f>M437*F437</f>
        <v>0</v>
      </c>
      <c r="P437" s="470">
        <f>M437*H437</f>
        <v>235.20156356265994</v>
      </c>
      <c r="Q437" s="469">
        <f t="shared" si="1259"/>
        <v>140</v>
      </c>
      <c r="R437" s="471">
        <f>Q437*P437*$P$14/86400</f>
        <v>0.32394659796245989</v>
      </c>
      <c r="S437" s="471"/>
      <c r="T437" s="471"/>
      <c r="U437" s="471">
        <f>IF(C437="","",T437*$P$17)</f>
        <v>0</v>
      </c>
      <c r="V437" s="471"/>
      <c r="W437" s="471"/>
      <c r="X437" s="471">
        <f>IF(C437="","",W437*$P$16)</f>
        <v>0</v>
      </c>
      <c r="Y437" s="471">
        <f>IF(H437=0,0,$H$15*H437)</f>
        <v>0.19411141562000001</v>
      </c>
      <c r="Z437" s="471">
        <f ca="1">IF(L437=0,$H$16*H437,0)</f>
        <v>0</v>
      </c>
      <c r="AA437" s="471">
        <f t="shared" si="1185"/>
        <v>3.8</v>
      </c>
      <c r="AB437" s="471">
        <f>R437*AA437</f>
        <v>1.2309970722573476</v>
      </c>
      <c r="AC437" s="471">
        <f>Q437*(N437+O437)*$P$14/86400</f>
        <v>0</v>
      </c>
      <c r="AD437" s="471">
        <f t="shared" si="1263"/>
        <v>0</v>
      </c>
      <c r="AE437" s="471">
        <f t="shared" si="1263"/>
        <v>0</v>
      </c>
      <c r="AF437" s="510">
        <f t="shared" si="1175"/>
        <v>3.8</v>
      </c>
      <c r="AG437" s="471">
        <f>AC437*AF437</f>
        <v>0</v>
      </c>
      <c r="AH437" s="471">
        <f>+AD437+AE437+AG437</f>
        <v>0</v>
      </c>
      <c r="AI437" s="471">
        <f ca="1">IF(H437="","",IF(AB437+Y437+Z437+X437+U437&lt;1.5,1.5,AB437+Y437+Z437+X437+U437))</f>
        <v>1.5</v>
      </c>
      <c r="AJ437" s="471">
        <f>+$P$17</f>
        <v>0.75</v>
      </c>
      <c r="AK437" s="472">
        <f>+BK437/100</f>
        <v>5.680425010216536E-2</v>
      </c>
      <c r="AL437" s="471">
        <f>IF(AJ437=0," ",0.14+0.65*AJ437+0.05*AK437)</f>
        <v>0.6303402125051083</v>
      </c>
      <c r="AM437" s="473">
        <f t="shared" si="1256"/>
        <v>330.892609573112</v>
      </c>
      <c r="AN437" s="474">
        <f t="shared" si="1190"/>
        <v>10.284111111111111</v>
      </c>
      <c r="AO437" s="474">
        <f>((1/60)*$AX437/$AQ437)</f>
        <v>0.2718888888888889</v>
      </c>
      <c r="AP437" s="474">
        <f>IF(B437=1,IF(($AN437+$AO437)&lt;10,10,IF(($AN437+$AO437)&gt;20,20,($AN437+$AO437))),($AN437+$AO437))</f>
        <v>10.555999999999999</v>
      </c>
      <c r="AQ437" s="475">
        <v>3</v>
      </c>
      <c r="AR437" s="474">
        <f ca="1">((1/60)*$AX437/$BT437)</f>
        <v>0.2470581380687861</v>
      </c>
      <c r="AS437" s="474">
        <f ca="1">AO437/AR437</f>
        <v>1.1005056988375319</v>
      </c>
      <c r="AT437" s="471" t="str">
        <f ca="1">IF(AS437&lt;0.9,"Disminuir vel.",IF(AS437&gt;1.1,"Aumentar vel.","Cumple"))</f>
        <v>Aumentar vel.</v>
      </c>
      <c r="AU437" s="492">
        <f>+I437*AL437*AM437</f>
        <v>0</v>
      </c>
      <c r="AV437" s="471">
        <f ca="1">+L437*AL437*AM437</f>
        <v>202.43386281857968</v>
      </c>
      <c r="AW437" s="471">
        <f ca="1">ROUND(IF(AI437&gt;(AV437*0.05),(AV437+AI437),AV437),2)</f>
        <v>202.43</v>
      </c>
      <c r="AX437" s="478">
        <f>IF(OR(C437="",D437=""),"",ROUND(((VLOOKUP(C437,'Base de Diseño (2)'!$A$2:$C$333,2,FALSE)-VLOOKUP(D437,'Base de Diseño (2)'!$A$2:$C$333,2,FALSE))^2+(VLOOKUP(C437,'Base de Diseño (2)'!$A$2:$C$333,3,0)-VLOOKUP(D437,'Base de Diseño (2)'!$A$2:$C$333,3,FALSE))^2)^0.5,2))</f>
        <v>48.94</v>
      </c>
      <c r="AY437" s="493">
        <v>12</v>
      </c>
      <c r="AZ437" s="480">
        <f ca="1">IF(AND(L437="",H437=""),"",IF(BA437=4,VLOOKUP(AY437,'TABLA (2)'!$A$74:$C$89,2),IF(BA437=5,VLOOKUP(AY437,'TABLA (2)'!$A$51:$B$66,2),IF(BA437=6,VLOOKUP(AY437,'TABLA (2)'!$A$9:$B$43,2)))))</f>
        <v>300</v>
      </c>
      <c r="BA437" s="493">
        <v>6</v>
      </c>
      <c r="BB437" s="478">
        <f>IF(OR(C437="",D437=""),"",VLOOKUP(C437,'Base de Diseño (2)'!$A$2:$D$330,4,FALSE))</f>
        <v>975.9316</v>
      </c>
      <c r="BC437" s="478">
        <f>IF(OR(C437="",D437=""),"",VLOOKUP(D437,'Base de Diseño (2)'!$A$2:$D$330,4,FALSE))</f>
        <v>973.15160000000003</v>
      </c>
      <c r="BD437" s="23">
        <f ca="1">+BF437-((AZ437/1000)+CX437)</f>
        <v>-0.34699999999999998</v>
      </c>
      <c r="BE437" s="23">
        <f ca="1">+BG437-((AZ437/1000)+CX437)</f>
        <v>-0.34699999999999998</v>
      </c>
      <c r="BF437" s="494">
        <v>0</v>
      </c>
      <c r="BG437" s="494">
        <v>0</v>
      </c>
      <c r="BH437" s="495">
        <f t="shared" si="1264"/>
        <v>975.9316</v>
      </c>
      <c r="BI437" s="495">
        <f t="shared" si="1264"/>
        <v>973.15160000000003</v>
      </c>
      <c r="BJ437" s="534">
        <f t="shared" si="1262"/>
        <v>973.15160000000003</v>
      </c>
      <c r="BK437" s="475">
        <f>ABS((BB437-BC437)/AX437)*100</f>
        <v>5.6804250102165357</v>
      </c>
      <c r="BL437" s="475">
        <f>((BH437-BI437)/AX437)*100</f>
        <v>5.6804250102165357</v>
      </c>
      <c r="BM437" s="475">
        <f ca="1">IF(BA437=6,(1/0.013)*((AZ437/4000)^(2/3))*((BL437/100)^(0.5)),(1/0.009)*((AZ437/4000)^(2/3))*((BL437/100)^(0.5)))</f>
        <v>3.2605277846308582</v>
      </c>
      <c r="BN437" s="475">
        <f ca="1">1000*BM437*PI()*((AZ437/1000/2)^2)</f>
        <v>230.47312803798837</v>
      </c>
      <c r="BO437" s="204">
        <f ca="1">AI437/BN437</f>
        <v>6.5083509421226685E-3</v>
      </c>
      <c r="BP437" s="496">
        <f ca="1">IF(L437=0," ",AW437/BN437)</f>
        <v>0.8783236541425945</v>
      </c>
      <c r="BQ437" s="497">
        <f ca="1">IF($BO437&gt;0 =AND($BO437&lt;=0.06),10^(0.029806+0.29095*LOG($BO437)),IF($BO437&gt;0.06 =AND($BO437&lt;=0.26),10^(0.013778+0.282597*LOG($BO437)),IF($BO437&gt;0.26 =AND($BO437&lt;=0.91),10^(0.021763+0.28995*LOG($BO437)),1)))</f>
        <v>0.24753429456625309</v>
      </c>
      <c r="BR437" s="497">
        <f ca="1">IF($BP437&gt;0 =AND($BP437&lt;=0.06),10^(0.029806+0.29095*LOG($BP437)),IF($BP437&gt;0.06 =AND($BP437&lt;=0.26),10^(0.013778+0.282597*LOG($BP437)),IF($BP437&gt;0.26 =AND($BP437&lt;=2),10^(0.021763+0.28995*LOG($BP437))," ")))</f>
        <v>1.0125713732834754</v>
      </c>
      <c r="BS437" s="475">
        <f ca="1">BM437*BQ437</f>
        <v>0.80709244508226752</v>
      </c>
      <c r="BT437" s="475">
        <f ca="1">IF(BP437=" "," ",(BM437*BR437))</f>
        <v>3.3015170965125957</v>
      </c>
      <c r="BU437" s="475">
        <f ca="1">IF(BO437&lt;=0.11,0.3827+0.0645*LN(BO437),IF(BO437&lt;=0.21,0.60025+0.15471*LN(BO437),IF(BO437&lt;1,0.225+0.6666666667*BO437,0)))</f>
        <v>5.7963838770274612E-2</v>
      </c>
      <c r="BV437" s="475">
        <f ca="1">IF(BP437&lt;=0.11,0.3827+0.0645*LN(BP437),IF(BP437&lt;=0.21,0.60025+0.15471*LN(BP437),IF(BP437&lt;1,0.225+0.6666666667*BP437," ")))</f>
        <v>0.81054910279100711</v>
      </c>
      <c r="BW437" s="475">
        <f ca="1">2*ACOS(1-2*(BU437))</f>
        <v>0.97258206243223722</v>
      </c>
      <c r="BX437" s="475">
        <f ca="1">IF(BP437=" "," ",(2*ACOS(1-2*(BV437))))</f>
        <v>4.4818790067634424</v>
      </c>
      <c r="BY437" s="475">
        <f ca="1">(1/4)*(1-(SIN(BW437))/BW437)</f>
        <v>3.7590519981869103E-2</v>
      </c>
      <c r="BZ437" s="475">
        <f ca="1">IF(BP437=" "," ",((1/4)*(1-(SIN(BX437))/BX437)))</f>
        <v>0.30430479071421895</v>
      </c>
      <c r="CA437" s="471">
        <f ca="1">BY437*AZ437/1000</f>
        <v>1.1277155994560731E-2</v>
      </c>
      <c r="CB437" s="471">
        <f ca="1">IF(BP437=" "," ",(BZ437*AZ437/1000))</f>
        <v>9.1291437214265678E-2</v>
      </c>
      <c r="CC437" s="471">
        <f t="shared" ca="1" si="1191"/>
        <v>2.0631602187595877</v>
      </c>
      <c r="CD437" s="471" t="str">
        <f ca="1">IF(CC437="","",IF(CC437&lt;0.7,"F. Subcrítico",IF(AND(CC437&gt;0.7,CC437&lt;1),"F. Subcrítico Inestable",IF(CC437=1,"F. Crítico",IF(AND(CC437&gt;1,CC437&lt;1.5),"F. Supercrítico Inestable",IF(CC437&gt;1.5,"F. Supercrítico",""))))))</f>
        <v>F. Supercrítico</v>
      </c>
      <c r="CE437" s="471">
        <f ca="1">1000*BL437*CA437/100</f>
        <v>0.64059038955616121</v>
      </c>
      <c r="CF437" s="471">
        <f ca="1">IF(BP437=" "," ",(1000*BL437*CB437/100))</f>
        <v>5.185741631705274</v>
      </c>
      <c r="CG437" s="471" t="str">
        <f ca="1">IF(BS437&lt;0.45,"No cumple",IF(BS437&gt;5,"No cumple","O.K"))</f>
        <v>O.K</v>
      </c>
      <c r="CH437" s="471" t="str">
        <f ca="1">IF(BT437&lt;0.75,"No cumple",IF(BT437&gt;10,"No cumple","O.K"))</f>
        <v>O.K</v>
      </c>
      <c r="CI437" s="471" t="str">
        <f ca="1">IF(CE437&gt;0.1,"OK","V.C.H.")</f>
        <v>OK</v>
      </c>
      <c r="CJ437" s="471" t="str">
        <f ca="1">IF(CF437&gt;0.2,"OK","V.C.H.")</f>
        <v>OK</v>
      </c>
      <c r="CK437" s="468">
        <f>+BJ437</f>
        <v>973.15160000000003</v>
      </c>
      <c r="CL437" s="482" t="s">
        <v>2507</v>
      </c>
      <c r="CM437" s="482"/>
      <c r="CN437" s="63" t="str">
        <f>IF(B437=1,"dato"," ")</f>
        <v xml:space="preserve"> </v>
      </c>
      <c r="CO437" s="527">
        <f t="shared" si="1257"/>
        <v>48.94</v>
      </c>
      <c r="CP437" s="511">
        <f t="shared" si="1258"/>
        <v>5.680425010216536E-2</v>
      </c>
      <c r="CQ437" s="482" t="s">
        <v>2508</v>
      </c>
      <c r="CR437" s="204">
        <f>IF(BA437="","",AX437)</f>
        <v>48.94</v>
      </c>
      <c r="CS437" s="486">
        <v>1.2</v>
      </c>
      <c r="CT437" s="486">
        <v>1.2</v>
      </c>
      <c r="CU437" s="23">
        <f>IF($BA437="","",SQRT((BH437-BI437)^2+$CR437^2))</f>
        <v>49.018894316375601</v>
      </c>
      <c r="CV437" s="499" t="s">
        <v>2509</v>
      </c>
      <c r="CW437" s="488" t="str">
        <f ca="1">+IF(BD437&lt;=0.9,"E1",IF(BD437&lt;=2.5,"E2","E3"))</f>
        <v>E1</v>
      </c>
      <c r="CX437" s="204">
        <f ca="1">IF(AND(L437="",H437=""),"",IF(AND(BA437&lt;&gt;4,BA437&lt;&gt;5),VLOOKUP(AY437,'TABLA (2)'!$A$9:$D$43,4),IF(BA437=4,VLOOKUP(AY437,'TABLA (2)'!$A$74:$D$89,4),VLOOKUP(AY437,'TABLA (2)'!$A$51:$D$66,4))))</f>
        <v>4.7E-2</v>
      </c>
      <c r="CY437" s="482"/>
      <c r="CZ437" s="482"/>
      <c r="DA437" s="482"/>
      <c r="DB437" s="490"/>
    </row>
    <row r="438" spans="1:106" ht="15" hidden="1" customHeight="1">
      <c r="A438" s="465"/>
      <c r="B438" s="491"/>
      <c r="C438" s="466"/>
      <c r="D438" s="466"/>
      <c r="E438" s="468"/>
      <c r="F438" s="468"/>
      <c r="G438" s="537">
        <f t="shared" si="1254"/>
        <v>0</v>
      </c>
      <c r="H438" s="537">
        <f t="shared" si="1255"/>
        <v>0</v>
      </c>
      <c r="I438" s="468"/>
      <c r="J438" s="468"/>
      <c r="K438" s="467"/>
      <c r="L438" s="468"/>
      <c r="M438" s="469"/>
      <c r="N438" s="470"/>
      <c r="O438" s="470"/>
      <c r="P438" s="470"/>
      <c r="Q438" s="469">
        <f t="shared" si="1259"/>
        <v>140</v>
      </c>
      <c r="R438" s="471"/>
      <c r="S438" s="471"/>
      <c r="T438" s="471"/>
      <c r="U438" s="471"/>
      <c r="V438" s="471"/>
      <c r="W438" s="471"/>
      <c r="X438" s="471"/>
      <c r="Y438" s="471"/>
      <c r="Z438" s="471"/>
      <c r="AA438" s="471" t="str">
        <f t="shared" si="1185"/>
        <v/>
      </c>
      <c r="AB438" s="471"/>
      <c r="AC438" s="471"/>
      <c r="AD438" s="471"/>
      <c r="AE438" s="471"/>
      <c r="AF438" s="510" t="str">
        <f t="shared" si="1175"/>
        <v/>
      </c>
      <c r="AG438" s="471"/>
      <c r="AH438" s="471"/>
      <c r="AI438" s="471"/>
      <c r="AJ438" s="471"/>
      <c r="AK438" s="472"/>
      <c r="AL438" s="471"/>
      <c r="AM438" s="473">
        <f t="shared" si="1256"/>
        <v>474.44695720875893</v>
      </c>
      <c r="AN438" s="474">
        <f t="shared" si="1190"/>
        <v>10.555999999999999</v>
      </c>
      <c r="AO438" s="474"/>
      <c r="AP438" s="474"/>
      <c r="AQ438" s="475">
        <v>3</v>
      </c>
      <c r="AR438" s="474"/>
      <c r="AS438" s="474"/>
      <c r="AT438" s="471"/>
      <c r="AU438" s="492"/>
      <c r="AV438" s="471"/>
      <c r="AW438" s="471"/>
      <c r="AX438" s="478"/>
      <c r="AY438" s="493"/>
      <c r="AZ438" s="480"/>
      <c r="BA438" s="493"/>
      <c r="BB438" s="478" t="str">
        <f>IF(OR(C438="",D438=""),"",VLOOKUP(C438,'Base de Diseño (2)'!$A$2:$D$330,4,FALSE))</f>
        <v/>
      </c>
      <c r="BC438" s="478" t="str">
        <f>IF(OR(C438="",D438=""),"",VLOOKUP(D438,'Base de Diseño (2)'!$A$2:$D$330,4,FALSE))</f>
        <v/>
      </c>
      <c r="BD438" s="23"/>
      <c r="BE438" s="23"/>
      <c r="BF438" s="494"/>
      <c r="BG438" s="494"/>
      <c r="BH438" s="495"/>
      <c r="BI438" s="495"/>
      <c r="BJ438" s="534">
        <f t="shared" si="1262"/>
        <v>0</v>
      </c>
      <c r="BK438" s="475"/>
      <c r="BL438" s="475"/>
      <c r="BM438" s="475"/>
      <c r="BN438" s="475"/>
      <c r="BO438" s="204"/>
      <c r="BP438" s="496"/>
      <c r="BQ438" s="497"/>
      <c r="BR438" s="497"/>
      <c r="BS438" s="475"/>
      <c r="BT438" s="475"/>
      <c r="BU438" s="475"/>
      <c r="BV438" s="475"/>
      <c r="BW438" s="475"/>
      <c r="BX438" s="475"/>
      <c r="BY438" s="475"/>
      <c r="BZ438" s="475"/>
      <c r="CA438" s="471"/>
      <c r="CB438" s="471"/>
      <c r="CC438" s="471" t="e">
        <f t="shared" si="1191"/>
        <v>#DIV/0!</v>
      </c>
      <c r="CD438" s="471"/>
      <c r="CE438" s="471"/>
      <c r="CF438" s="471"/>
      <c r="CG438" s="471"/>
      <c r="CH438" s="471"/>
      <c r="CI438" s="471"/>
      <c r="CJ438" s="471"/>
      <c r="CK438" s="468"/>
      <c r="CL438" s="482" t="s">
        <v>2507</v>
      </c>
      <c r="CM438" s="482"/>
      <c r="CN438" s="63"/>
      <c r="CO438" s="527">
        <f t="shared" si="1257"/>
        <v>0</v>
      </c>
      <c r="CP438" s="542">
        <f t="shared" si="1258"/>
        <v>0</v>
      </c>
      <c r="CQ438" s="482"/>
      <c r="CR438" s="204"/>
      <c r="CS438" s="486"/>
      <c r="CT438" s="486"/>
      <c r="CU438" s="23"/>
      <c r="CV438" s="499"/>
      <c r="CW438" s="488"/>
      <c r="CX438" s="204"/>
      <c r="CY438" s="482"/>
      <c r="CZ438" s="482"/>
      <c r="DA438" s="482"/>
      <c r="DB438" s="490"/>
    </row>
    <row r="439" spans="1:106" ht="15" hidden="1" customHeight="1">
      <c r="A439" s="465">
        <f>+A437+1</f>
        <v>319</v>
      </c>
      <c r="B439" s="491">
        <v>1</v>
      </c>
      <c r="C439" s="466" t="s">
        <v>2259</v>
      </c>
      <c r="D439" s="466" t="s">
        <v>2236</v>
      </c>
      <c r="E439" s="468">
        <v>0.14316905690000001</v>
      </c>
      <c r="F439" s="468"/>
      <c r="G439" s="537">
        <f t="shared" si="1254"/>
        <v>0</v>
      </c>
      <c r="H439" s="537">
        <f t="shared" si="1255"/>
        <v>0.14316905690000001</v>
      </c>
      <c r="I439" s="468">
        <v>0.14316905690000001</v>
      </c>
      <c r="J439" s="468"/>
      <c r="K439" s="467">
        <f>+IF(B439=1,0,SUMIF($D$22:$D$583,C439,$L$22:$L$580))</f>
        <v>0</v>
      </c>
      <c r="L439" s="468">
        <f>+I439+J439+K439</f>
        <v>0.14316905690000001</v>
      </c>
      <c r="M439" s="469">
        <f>+$P$12</f>
        <v>242.33666300502347</v>
      </c>
      <c r="N439" s="470">
        <f>M439*E439</f>
        <v>34.695111494722333</v>
      </c>
      <c r="O439" s="470">
        <f>M439*F439</f>
        <v>0</v>
      </c>
      <c r="P439" s="470">
        <f>M439*H439</f>
        <v>34.695111494722333</v>
      </c>
      <c r="Q439" s="469">
        <f t="shared" si="1259"/>
        <v>140</v>
      </c>
      <c r="R439" s="471">
        <f>Q439*P439*$P$14/86400</f>
        <v>4.7786091063332849E-2</v>
      </c>
      <c r="S439" s="471"/>
      <c r="T439" s="471"/>
      <c r="U439" s="471">
        <f>IF(C439="","",T439*$P$17)</f>
        <v>0</v>
      </c>
      <c r="V439" s="471"/>
      <c r="W439" s="471"/>
      <c r="X439" s="471">
        <f>IF(C439="","",W439*$P$16)</f>
        <v>0</v>
      </c>
      <c r="Y439" s="471">
        <f>IF(H439=0,0,$H$15*H439)</f>
        <v>2.8633811380000002E-2</v>
      </c>
      <c r="Z439" s="471">
        <f>IF(L439=0,$H$16*H439,0)</f>
        <v>0</v>
      </c>
      <c r="AA439" s="471">
        <f t="shared" si="1185"/>
        <v>3.8</v>
      </c>
      <c r="AB439" s="471">
        <f>R439*AA439</f>
        <v>0.18158714604066481</v>
      </c>
      <c r="AC439" s="471">
        <f>Q439*(N439+O439)*$P$14/86400</f>
        <v>4.7786091063332849E-2</v>
      </c>
      <c r="AD439" s="471">
        <f>IF(E439=0,0,$H$15*(E439+F439))</f>
        <v>2.8633811380000002E-2</v>
      </c>
      <c r="AE439" s="471">
        <f>IF(F439=0,0,$H$15*(F439+G439))</f>
        <v>0</v>
      </c>
      <c r="AF439" s="510">
        <f t="shared" si="1175"/>
        <v>3.8</v>
      </c>
      <c r="AG439" s="471">
        <f>AC439*AF439</f>
        <v>0.18158714604066481</v>
      </c>
      <c r="AH439" s="471">
        <f>+AD439+AE439+AG439</f>
        <v>0.21022095742066482</v>
      </c>
      <c r="AI439" s="471">
        <f>IF(H439="","",IF(AB439+Y439+Z439+X439+U439&lt;1.5,1.5,AB439+Y439+Z439+X439+U439))</f>
        <v>1.5</v>
      </c>
      <c r="AJ439" s="471">
        <f>+$P$17</f>
        <v>0.75</v>
      </c>
      <c r="AK439" s="472">
        <f>+BK439/100</f>
        <v>3.1515380260425725E-2</v>
      </c>
      <c r="AL439" s="471">
        <f>IF(AJ439=0," ",0.14+0.65*AJ439+0.05*AK439)</f>
        <v>0.62907576901302131</v>
      </c>
      <c r="AM439" s="473">
        <f t="shared" si="1256"/>
        <v>336.32613267542746</v>
      </c>
      <c r="AN439" s="474">
        <f t="shared" si="1190"/>
        <v>5.6623224721595156</v>
      </c>
      <c r="AO439" s="474">
        <f>((1/60)*$AX439/$AQ439)</f>
        <v>0.29438888888888887</v>
      </c>
      <c r="AP439" s="474">
        <f>IF(B439=1,IF(($AN439+$AO439)&lt;10,10,IF(($AN439+$AO439)&gt;20,20,($AN439+$AO439))),($AN439+$AO439))</f>
        <v>10</v>
      </c>
      <c r="AQ439" s="475">
        <v>3</v>
      </c>
      <c r="AR439" s="474">
        <f>((1/60)*$AX439/$BT439)</f>
        <v>0.59709435390958765</v>
      </c>
      <c r="AS439" s="474">
        <f>AO439/AR439</f>
        <v>0.4930357940270616</v>
      </c>
      <c r="AT439" s="471" t="str">
        <f>IF(AS439&lt;0.9,"Disminuir vel.",IF(AS439&gt;1.1,"Aumentar vel.","Cumple"))</f>
        <v>Disminuir vel.</v>
      </c>
      <c r="AU439" s="492">
        <f>+I439*AL439*AM439</f>
        <v>30.290938888400898</v>
      </c>
      <c r="AV439" s="471">
        <f>+L439*AL439*AM439</f>
        <v>30.290938888400898</v>
      </c>
      <c r="AW439" s="471">
        <f>ROUND(IF(AI439&gt;(AV439*0.05),(AV439+AI439),AV439),2)</f>
        <v>30.29</v>
      </c>
      <c r="AX439" s="478">
        <f>IF(OR(C439="",D439=""),"",ROUND(((VLOOKUP(C439,'Base de Diseño (2)'!$A$2:$C$333,2,FALSE)-VLOOKUP(D439,'Base de Diseño (2)'!$A$2:$C$333,2,FALSE))^2+(VLOOKUP(C439,'Base de Diseño (2)'!$A$2:$C$333,3,0)-VLOOKUP(D439,'Base de Diseño (2)'!$A$2:$C$333,3,FALSE))^2)^0.5,2))</f>
        <v>52.99</v>
      </c>
      <c r="AY439" s="493">
        <v>8</v>
      </c>
      <c r="AZ439" s="480">
        <f>IF(AND(L439="",H439=""),"",IF(BA439=4,VLOOKUP(AY439,'TABLA (2)'!$A$74:$C$89,2),IF(BA439=5,VLOOKUP(AY439,'TABLA (2)'!$A$51:$B$66,2),IF(BA439=6,VLOOKUP(AY439,'TABLA (2)'!$A$9:$B$43,2)))))</f>
        <v>200</v>
      </c>
      <c r="BA439" s="493">
        <v>6</v>
      </c>
      <c r="BB439" s="478">
        <f>IF(OR(C439="",D439=""),"",VLOOKUP(C439,'Base de Diseño (2)'!$A$2:$D$330,4,FALSE))</f>
        <v>987.33159999999998</v>
      </c>
      <c r="BC439" s="478">
        <f>IF(OR(C439="",D439=""),"",VLOOKUP(D439,'Base de Diseño (2)'!$A$2:$D$330,4,FALSE))</f>
        <v>985.66160000000002</v>
      </c>
      <c r="BD439" s="23">
        <f>+BF439-((AZ439/1000)+CX439)</f>
        <v>1.1230000000000135</v>
      </c>
      <c r="BE439" s="23">
        <f>+BG439-((AZ439/1000)+CX439)</f>
        <v>0.76300000000000001</v>
      </c>
      <c r="BF439" s="494">
        <v>1.3600000000000136</v>
      </c>
      <c r="BG439" s="494">
        <v>1</v>
      </c>
      <c r="BH439" s="495">
        <f>BB439-BF439</f>
        <v>985.97159999999997</v>
      </c>
      <c r="BI439" s="495">
        <f>BC439-BG439</f>
        <v>984.66160000000002</v>
      </c>
      <c r="BJ439" s="534">
        <f t="shared" si="1262"/>
        <v>984.66160000000002</v>
      </c>
      <c r="BK439" s="475">
        <f>ABS((BB439-BC439)/AX439)*100</f>
        <v>3.1515380260425725</v>
      </c>
      <c r="BL439" s="475">
        <f>((BH439-BI439)/AX439)*100</f>
        <v>2.472164559350718</v>
      </c>
      <c r="BM439" s="475">
        <f>IF(BA439=6,(1/0.013)*((AZ439/4000)^(2/3))*((BL439/100)^(0.5)),(1/0.009)*((AZ439/4000)^(2/3))*((BL439/100)^(0.5)))</f>
        <v>1.6415042266697635</v>
      </c>
      <c r="BN439" s="475">
        <f>1000*BM439*PI()*((AZ439/1000/2)^2)</f>
        <v>51.569376193423238</v>
      </c>
      <c r="BO439" s="204">
        <f>AI439/BN439</f>
        <v>2.9087030146998337E-2</v>
      </c>
      <c r="BP439" s="496">
        <f>IF(L439=0," ",AW439/BN439)</f>
        <v>0.58736409543505308</v>
      </c>
      <c r="BQ439" s="497">
        <f>IF($BO439&gt;0 =AND($BO439&lt;=0.06),10^(0.029806+0.29095*LOG($BO439)),IF($BO439&gt;0.06 =AND($BO439&lt;=0.26),10^(0.013778+0.282597*LOG($BO439)),IF($BO439&gt;0.26 =AND($BO439&lt;=0.91),10^(0.021763+0.28995*LOG($BO439)),1)))</f>
        <v>0.38266552259363462</v>
      </c>
      <c r="BR439" s="497">
        <f>IF($BP439&gt;0 =AND($BP439&lt;=0.06),10^(0.029806+0.29095*LOG($BP439)),IF($BP439&gt;0.06 =AND($BP439&lt;=0.26),10^(0.013778+0.282597*LOG($BP439)),IF($BP439&gt;0.26 =AND($BP439&lt;=2),10^(0.021763+0.28995*LOG($BP439))," ")))</f>
        <v>0.90106827509177689</v>
      </c>
      <c r="BS439" s="475">
        <f>BM439*BQ439</f>
        <v>0.6281470727382451</v>
      </c>
      <c r="BT439" s="475">
        <f>IF(BP439=" "," ",(BM439*BR439))</f>
        <v>1.4791073820811849</v>
      </c>
      <c r="BU439" s="475">
        <f>IF(BO439&lt;=0.11,0.3827+0.0645*LN(BO439),IF(BO439&lt;=0.21,0.60025+0.15471*LN(BO439),IF(BO439&lt;1,0.225+0.6666666667*BO439,0)))</f>
        <v>0.15453364271947298</v>
      </c>
      <c r="BV439" s="475">
        <f>IF(BP439&lt;=0.11,0.3827+0.0645*LN(BP439),IF(BP439&lt;=0.21,0.60025+0.15471*LN(BP439),IF(BP439&lt;1,0.225+0.6666666667*BP439," ")))</f>
        <v>0.61657606364294748</v>
      </c>
      <c r="BW439" s="475">
        <f>2*ACOS(1-2*(BU439))</f>
        <v>1.6160357242962424</v>
      </c>
      <c r="BX439" s="475">
        <f>IF(BP439=" "," ",(2*ACOS(1-2*(BV439))))</f>
        <v>3.6122284355633485</v>
      </c>
      <c r="BY439" s="475">
        <f>(1/4)*(1-(SIN(BW439))/BW439)</f>
        <v>9.5458726878650563E-2</v>
      </c>
      <c r="BZ439" s="475">
        <f>IF(BP439=" "," ",((1/4)*(1-(SIN(BX439))/BX439)))</f>
        <v>0.28138319218614394</v>
      </c>
      <c r="CA439" s="471">
        <f>BY439*AZ439/1000</f>
        <v>1.9091745375730114E-2</v>
      </c>
      <c r="CB439" s="471">
        <f>IF(BP439=" "," ",(BZ439*AZ439/1000))</f>
        <v>5.6276638437228792E-2</v>
      </c>
      <c r="CC439" s="471">
        <f t="shared" si="1191"/>
        <v>1.4606965033640928</v>
      </c>
      <c r="CD439" s="471" t="str">
        <f>IF(CC439="","",IF(CC439&lt;0.7,"F. Subcrítico",IF(AND(CC439&gt;0.7,CC439&lt;1),"F. Subcrítico Inestable",IF(CC439=1,"F. Crítico",IF(AND(CC439&gt;1,CC439&lt;1.5),"F. Supercrítico Inestable",IF(CC439&gt;1.5,"F. Supercrítico",""))))))</f>
        <v>F. Supercrítico Inestable</v>
      </c>
      <c r="CE439" s="471">
        <f>1000*BL439*CA439/100</f>
        <v>0.47197936294027942</v>
      </c>
      <c r="CF439" s="471">
        <f>IF(BP439=" "," ",(1000*BL439*CB439/100))</f>
        <v>1.3912511106391139</v>
      </c>
      <c r="CG439" s="471" t="str">
        <f>IF(BS439&lt;0.45,"No cumple",IF(BS439&gt;5,"No cumple","O.K"))</f>
        <v>O.K</v>
      </c>
      <c r="CH439" s="471" t="str">
        <f>IF(BT439&lt;0.75,"No cumple",IF(BT439&gt;10,"No cumple","O.K"))</f>
        <v>O.K</v>
      </c>
      <c r="CI439" s="471" t="str">
        <f>IF(CE439&gt;0.1,"OK","V.C.H.")</f>
        <v>OK</v>
      </c>
      <c r="CJ439" s="471" t="str">
        <f>IF(CF439&gt;0.2,"OK","V.C.H.")</f>
        <v>OK</v>
      </c>
      <c r="CK439" s="468">
        <f>+BJ439</f>
        <v>984.66160000000002</v>
      </c>
      <c r="CL439" s="482" t="s">
        <v>2507</v>
      </c>
      <c r="CM439" s="482"/>
      <c r="CN439" s="63" t="str">
        <f>IF(B439=1,"dato"," ")</f>
        <v>dato</v>
      </c>
      <c r="CO439" s="527">
        <f t="shared" si="1257"/>
        <v>52.99</v>
      </c>
      <c r="CP439" s="511">
        <f t="shared" si="1258"/>
        <v>3.1515380260425725E-2</v>
      </c>
      <c r="CQ439" s="482" t="s">
        <v>2508</v>
      </c>
      <c r="CR439" s="204">
        <f>IF(BA439="","",AX439)</f>
        <v>52.99</v>
      </c>
      <c r="CS439" s="486">
        <v>1.2</v>
      </c>
      <c r="CT439" s="486">
        <v>1.2</v>
      </c>
      <c r="CU439" s="23">
        <f>IF($BA439="","",SQRT((BH439-BI439)^2+$CR439^2))</f>
        <v>53.006190204541205</v>
      </c>
      <c r="CV439" s="499" t="s">
        <v>2509</v>
      </c>
      <c r="CW439" s="488" t="str">
        <f>+IF(BD439&lt;=0.9,"E1",IF(BD439&lt;=2.5,"E2","E3"))</f>
        <v>E2</v>
      </c>
      <c r="CX439" s="204">
        <f>IF(AND(L439="",H439=""),"",IF(AND(BA439&lt;&gt;4,BA439&lt;&gt;5),VLOOKUP(AY439,'TABLA (2)'!$A$9:$D$43,4),IF(BA439=4,VLOOKUP(AY439,'TABLA (2)'!$A$74:$D$89,4),VLOOKUP(AY439,'TABLA (2)'!$A$51:$D$66,4))))</f>
        <v>3.6999999999999998E-2</v>
      </c>
      <c r="CY439" s="482"/>
      <c r="CZ439" s="482"/>
      <c r="DA439" s="482"/>
      <c r="DB439" s="490"/>
    </row>
    <row r="440" spans="1:106" ht="15" hidden="1" customHeight="1">
      <c r="A440" s="465"/>
      <c r="B440" s="491"/>
      <c r="C440" s="466"/>
      <c r="D440" s="466"/>
      <c r="E440" s="468"/>
      <c r="F440" s="468"/>
      <c r="G440" s="537">
        <f t="shared" si="1254"/>
        <v>0</v>
      </c>
      <c r="H440" s="537">
        <f t="shared" si="1255"/>
        <v>0</v>
      </c>
      <c r="I440" s="468"/>
      <c r="J440" s="468"/>
      <c r="K440" s="467"/>
      <c r="L440" s="468"/>
      <c r="M440" s="469"/>
      <c r="N440" s="470"/>
      <c r="O440" s="470"/>
      <c r="P440" s="470"/>
      <c r="Q440" s="469">
        <f t="shared" si="1259"/>
        <v>140</v>
      </c>
      <c r="R440" s="471"/>
      <c r="S440" s="471"/>
      <c r="T440" s="471"/>
      <c r="U440" s="471"/>
      <c r="V440" s="471"/>
      <c r="W440" s="471"/>
      <c r="X440" s="471"/>
      <c r="Y440" s="471"/>
      <c r="Z440" s="471"/>
      <c r="AA440" s="471" t="str">
        <f t="shared" si="1185"/>
        <v/>
      </c>
      <c r="AB440" s="471"/>
      <c r="AC440" s="471"/>
      <c r="AD440" s="471"/>
      <c r="AE440" s="471"/>
      <c r="AF440" s="510" t="str">
        <f t="shared" si="1175"/>
        <v/>
      </c>
      <c r="AG440" s="471"/>
      <c r="AH440" s="471"/>
      <c r="AI440" s="471"/>
      <c r="AJ440" s="471"/>
      <c r="AK440" s="472"/>
      <c r="AL440" s="471"/>
      <c r="AM440" s="473">
        <f t="shared" si="1256"/>
        <v>474.44695720875893</v>
      </c>
      <c r="AN440" s="474">
        <f t="shared" si="1190"/>
        <v>10</v>
      </c>
      <c r="AO440" s="474"/>
      <c r="AP440" s="474"/>
      <c r="AQ440" s="475">
        <v>3</v>
      </c>
      <c r="AR440" s="474"/>
      <c r="AS440" s="474"/>
      <c r="AT440" s="471"/>
      <c r="AU440" s="492"/>
      <c r="AV440" s="471"/>
      <c r="AW440" s="471"/>
      <c r="AX440" s="478"/>
      <c r="AY440" s="493"/>
      <c r="AZ440" s="480"/>
      <c r="BA440" s="493"/>
      <c r="BB440" s="478" t="str">
        <f>IF(OR(C440="",D440=""),"",VLOOKUP(C440,'Base de Diseño (2)'!$A$2:$D$330,4,FALSE))</f>
        <v/>
      </c>
      <c r="BC440" s="478" t="str">
        <f>IF(OR(C440="",D440=""),"",VLOOKUP(D440,'Base de Diseño (2)'!$A$2:$D$330,4,FALSE))</f>
        <v/>
      </c>
      <c r="BD440" s="23"/>
      <c r="BE440" s="23"/>
      <c r="BF440" s="494"/>
      <c r="BG440" s="494"/>
      <c r="BH440" s="495"/>
      <c r="BI440" s="495"/>
      <c r="BJ440" s="534">
        <f t="shared" si="1262"/>
        <v>0</v>
      </c>
      <c r="BK440" s="475"/>
      <c r="BL440" s="475"/>
      <c r="BM440" s="475"/>
      <c r="BN440" s="475"/>
      <c r="BO440" s="204"/>
      <c r="BP440" s="496"/>
      <c r="BQ440" s="497"/>
      <c r="BR440" s="497"/>
      <c r="BS440" s="475"/>
      <c r="BT440" s="475"/>
      <c r="BU440" s="475"/>
      <c r="BV440" s="475"/>
      <c r="BW440" s="475"/>
      <c r="BX440" s="475"/>
      <c r="BY440" s="475"/>
      <c r="BZ440" s="475"/>
      <c r="CA440" s="471"/>
      <c r="CB440" s="471"/>
      <c r="CC440" s="471" t="e">
        <f t="shared" si="1191"/>
        <v>#DIV/0!</v>
      </c>
      <c r="CD440" s="471"/>
      <c r="CE440" s="471"/>
      <c r="CF440" s="471"/>
      <c r="CG440" s="471"/>
      <c r="CH440" s="471"/>
      <c r="CI440" s="471"/>
      <c r="CJ440" s="471"/>
      <c r="CK440" s="468"/>
      <c r="CL440" s="482" t="s">
        <v>2507</v>
      </c>
      <c r="CM440" s="482"/>
      <c r="CN440" s="63"/>
      <c r="CO440" s="527">
        <f t="shared" si="1257"/>
        <v>0</v>
      </c>
      <c r="CP440" s="542">
        <f t="shared" si="1258"/>
        <v>0</v>
      </c>
      <c r="CQ440" s="482"/>
      <c r="CR440" s="204"/>
      <c r="CS440" s="486"/>
      <c r="CT440" s="486"/>
      <c r="CU440" s="23"/>
      <c r="CV440" s="499"/>
      <c r="CW440" s="488"/>
      <c r="CX440" s="204"/>
      <c r="CY440" s="482"/>
      <c r="CZ440" s="482"/>
      <c r="DA440" s="482"/>
      <c r="DB440" s="490"/>
    </row>
    <row r="441" spans="1:106" ht="15" hidden="1" customHeight="1">
      <c r="A441" s="465">
        <f>+A439+1</f>
        <v>320</v>
      </c>
      <c r="B441" s="491">
        <v>1</v>
      </c>
      <c r="C441" s="466" t="s">
        <v>2236</v>
      </c>
      <c r="D441" s="466" t="s">
        <v>2239</v>
      </c>
      <c r="E441" s="468"/>
      <c r="F441" s="468"/>
      <c r="G441" s="537">
        <f t="shared" si="1254"/>
        <v>0</v>
      </c>
      <c r="H441" s="537">
        <f t="shared" si="1255"/>
        <v>0</v>
      </c>
      <c r="I441" s="468"/>
      <c r="J441" s="468"/>
      <c r="K441" s="467">
        <f>+IF(B441=1,0,SUMIF($D$22:$D$583,C441,$L$22:$L$580))</f>
        <v>0</v>
      </c>
      <c r="L441" s="468">
        <f>+I441+J441+K441</f>
        <v>0</v>
      </c>
      <c r="M441" s="469">
        <f>+$P$12</f>
        <v>242.33666300502347</v>
      </c>
      <c r="N441" s="470">
        <f>M441*E441</f>
        <v>0</v>
      </c>
      <c r="O441" s="470">
        <f>M441*F441</f>
        <v>0</v>
      </c>
      <c r="P441" s="470">
        <f>M441*H441</f>
        <v>0</v>
      </c>
      <c r="Q441" s="469">
        <f t="shared" si="1259"/>
        <v>140</v>
      </c>
      <c r="R441" s="471">
        <f>Q441*P441*$P$14/86400</f>
        <v>0</v>
      </c>
      <c r="S441" s="471"/>
      <c r="T441" s="471"/>
      <c r="U441" s="471">
        <f>IF(C441="","",T441*$P$17)</f>
        <v>0</v>
      </c>
      <c r="V441" s="471"/>
      <c r="W441" s="471"/>
      <c r="X441" s="471">
        <f>IF(C441="","",W441*$P$16)</f>
        <v>0</v>
      </c>
      <c r="Y441" s="471">
        <f>IF(H441=0,0,$H$15*H441)</f>
        <v>0</v>
      </c>
      <c r="Z441" s="471">
        <f>IF(L441=0,$H$16*H441,0)</f>
        <v>0</v>
      </c>
      <c r="AA441" s="471">
        <f t="shared" si="1185"/>
        <v>3.8</v>
      </c>
      <c r="AB441" s="471">
        <f>R441*AA441</f>
        <v>0</v>
      </c>
      <c r="AC441" s="471">
        <f>Q441*(N441+O441)*$P$14/86400</f>
        <v>0</v>
      </c>
      <c r="AD441" s="471">
        <f>IF(E441=0,0,$H$15*(E441+F441))</f>
        <v>0</v>
      </c>
      <c r="AE441" s="471">
        <f>IF(F441=0,0,$H$15*(F441+G441))</f>
        <v>0</v>
      </c>
      <c r="AF441" s="510">
        <f t="shared" si="1175"/>
        <v>3.8</v>
      </c>
      <c r="AG441" s="471">
        <f>AC441*AF441</f>
        <v>0</v>
      </c>
      <c r="AH441" s="471">
        <f>+AD441+AE441+AG441</f>
        <v>0</v>
      </c>
      <c r="AI441" s="471">
        <f>IF(H441="","",IF(AB441+Y441+Z441+X441+U441&lt;1.5,1.5,AB441+Y441+Z441+X441+U441))</f>
        <v>1.5</v>
      </c>
      <c r="AJ441" s="471">
        <f>+$P$17</f>
        <v>0.75</v>
      </c>
      <c r="AK441" s="472">
        <f>+BK441/100</f>
        <v>4.4064452482736979E-2</v>
      </c>
      <c r="AL441" s="471">
        <f>IF(AJ441=0," ",0.14+0.65*AJ441+0.05*AK441)</f>
        <v>0.62970322262413692</v>
      </c>
      <c r="AM441" s="473">
        <f t="shared" si="1256"/>
        <v>336.32613267542746</v>
      </c>
      <c r="AN441" s="474">
        <f t="shared" si="1190"/>
        <v>5</v>
      </c>
      <c r="AO441" s="474">
        <f>((1/60)*$AX441/$AQ441)</f>
        <v>0.16894444444444445</v>
      </c>
      <c r="AP441" s="474">
        <f>IF(B441=1,IF(($AN441+$AO441)&lt;10,10,IF(($AN441+$AO441)&gt;20,20,($AN441+$AO441))),($AN441+$AO441))</f>
        <v>10</v>
      </c>
      <c r="AQ441" s="475">
        <v>3</v>
      </c>
      <c r="AR441" s="474" t="e">
        <f>((1/60)*$AX441/$BT441)</f>
        <v>#VALUE!</v>
      </c>
      <c r="AS441" s="474" t="e">
        <f>AO441/AR441</f>
        <v>#VALUE!</v>
      </c>
      <c r="AT441" s="471" t="e">
        <f>IF(AS441&lt;0.9,"Disminuir vel.",IF(AS441&gt;1.1,"Aumentar vel.","Cumple"))</f>
        <v>#VALUE!</v>
      </c>
      <c r="AU441" s="492">
        <f>+I441*AL441*AM441</f>
        <v>0</v>
      </c>
      <c r="AV441" s="471">
        <f>+L441*AL441*AM441</f>
        <v>0</v>
      </c>
      <c r="AW441" s="471">
        <f>ROUND(IF(AI441&gt;(AV441*0.05),(AV441+AI441),AV441),2)</f>
        <v>1.5</v>
      </c>
      <c r="AX441" s="478">
        <f>IF(OR(C441="",D441=""),"",ROUND(((VLOOKUP(C441,'Base de Diseño (2)'!$A$2:$C$333,2,FALSE)-VLOOKUP(D441,'Base de Diseño (2)'!$A$2:$C$333,2,FALSE))^2+(VLOOKUP(C441,'Base de Diseño (2)'!$A$2:$C$333,3,0)-VLOOKUP(D441,'Base de Diseño (2)'!$A$2:$C$333,3,FALSE))^2)^0.5,2))</f>
        <v>30.41</v>
      </c>
      <c r="AY441" s="493">
        <v>8</v>
      </c>
      <c r="AZ441" s="480">
        <f>IF(AND(L441="",H441=""),"",IF(BA441=4,VLOOKUP(AY441,'TABLA (2)'!$A$74:$C$89,2),IF(BA441=5,VLOOKUP(AY441,'TABLA (2)'!$A$51:$B$66,2),IF(BA441=6,VLOOKUP(AY441,'TABLA (2)'!$A$9:$B$43,2)))))</f>
        <v>200</v>
      </c>
      <c r="BA441" s="493">
        <v>6</v>
      </c>
      <c r="BB441" s="478">
        <f>IF(OR(C441="",D441=""),"",VLOOKUP(C441,'Base de Diseño (2)'!$A$2:$D$330,4,FALSE))</f>
        <v>985.66160000000002</v>
      </c>
      <c r="BC441" s="478">
        <f>IF(OR(C441="",D441=""),"",VLOOKUP(D441,'Base de Diseño (2)'!$A$2:$D$330,4,FALSE))</f>
        <v>984.32159999999999</v>
      </c>
      <c r="BD441" s="23">
        <f>+BF441-((AZ441/1000)+CX441)</f>
        <v>0.76300000000000001</v>
      </c>
      <c r="BE441" s="23">
        <f>+BG441-((AZ441/1000)+CX441)</f>
        <v>1.3630000000000226</v>
      </c>
      <c r="BF441" s="494">
        <v>1</v>
      </c>
      <c r="BG441" s="494">
        <v>1.6000000000000227</v>
      </c>
      <c r="BH441" s="495">
        <f>BB441-BF441</f>
        <v>984.66160000000002</v>
      </c>
      <c r="BI441" s="495">
        <f>BC441-BG441</f>
        <v>982.72159999999997</v>
      </c>
      <c r="BJ441" s="534">
        <f t="shared" si="1262"/>
        <v>4.9999999999954525E-2</v>
      </c>
      <c r="BK441" s="475">
        <f>ABS((BB441-BC441)/AX441)*100</f>
        <v>4.4064452482736982</v>
      </c>
      <c r="BL441" s="475">
        <f>((BH441-BI441)/AX441)*100</f>
        <v>6.3794804340679203</v>
      </c>
      <c r="BM441" s="475">
        <f>IF(BA441=6,(1/0.013)*((AZ441/4000)^(2/3))*((BL441/100)^(0.5)),(1/0.009)*((AZ441/4000)^(2/3))*((BL441/100)^(0.5)))</f>
        <v>2.63691403732778</v>
      </c>
      <c r="BN441" s="475">
        <f>1000*BM441*PI()*((AZ441/1000/2)^2)</f>
        <v>82.841097678167571</v>
      </c>
      <c r="BO441" s="204">
        <f>AI441/BN441</f>
        <v>1.8106954664306903E-2</v>
      </c>
      <c r="BP441" s="496" t="str">
        <f>IF(L441=0," ",AW441/BN441)</f>
        <v xml:space="preserve"> </v>
      </c>
      <c r="BQ441" s="497">
        <f>IF($BO441&gt;0 =AND($BO441&lt;=0.06),10^(0.029806+0.29095*LOG($BO441)),IF($BO441&gt;0.06 =AND($BO441&lt;=0.26),10^(0.013778+0.282597*LOG($BO441)),IF($BO441&gt;0.26 =AND($BO441&lt;=0.91),10^(0.021763+0.28995*LOG($BO441)),1)))</f>
        <v>0.33336969926530613</v>
      </c>
      <c r="BR441" s="497" t="str">
        <f>IF($BP441&gt;0 =AND($BP441&lt;=0.06),10^(0.029806+0.29095*LOG($BP441)),IF($BP441&gt;0.06 =AND($BP441&lt;=0.26),10^(0.013778+0.282597*LOG($BP441)),IF($BP441&gt;0.26 =AND($BP441&lt;=2),10^(0.021763+0.28995*LOG($BP441))," ")))</f>
        <v xml:space="preserve"> </v>
      </c>
      <c r="BS441" s="475">
        <f>BM441*BQ441</f>
        <v>0.87906723961242628</v>
      </c>
      <c r="BT441" s="475" t="str">
        <f>IF(BP441=" "," ",(BM441*BR441))</f>
        <v xml:space="preserve"> </v>
      </c>
      <c r="BU441" s="475">
        <f>IF(BO441&lt;=0.11,0.3827+0.0645*LN(BO441),IF(BO441&lt;=0.21,0.60025+0.15471*LN(BO441),IF(BO441&lt;1,0.225+0.6666666667*BO441,0)))</f>
        <v>0.12396088296011898</v>
      </c>
      <c r="BV441" s="475" t="str">
        <f>IF(BP441&lt;=0.11,0.3827+0.0645*LN(BP441),IF(BP441&lt;=0.21,0.60025+0.15471*LN(BP441),IF(BP441&lt;1,0.225+0.6666666667*BP441," ")))</f>
        <v xml:space="preserve"> </v>
      </c>
      <c r="BW441" s="475">
        <f>2*ACOS(1-2*(BU441))</f>
        <v>1.4391732620116517</v>
      </c>
      <c r="BX441" s="475" t="str">
        <f>IF(BP441=" "," ",(2*ACOS(1-2*(BV441))))</f>
        <v xml:space="preserve"> </v>
      </c>
      <c r="BY441" s="475">
        <f>(1/4)*(1-(SIN(BW441))/BW441)</f>
        <v>7.7791724369075971E-2</v>
      </c>
      <c r="BZ441" s="475" t="str">
        <f>IF(BP441=" "," ",((1/4)*(1-(SIN(BX441))/BX441)))</f>
        <v xml:space="preserve"> </v>
      </c>
      <c r="CA441" s="471">
        <f>BY441*AZ441/1000</f>
        <v>1.5558344873815194E-2</v>
      </c>
      <c r="CB441" s="471" t="str">
        <f>IF(BP441=" "," ",(BZ441*AZ441/1000))</f>
        <v xml:space="preserve"> </v>
      </c>
      <c r="CC441" s="471" t="e">
        <f t="shared" si="1191"/>
        <v>#VALUE!</v>
      </c>
      <c r="CD441" s="471" t="e">
        <f>IF(CC441="","",IF(CC441&lt;0.7,"F. Subcrítico",IF(AND(CC441&gt;0.7,CC441&lt;1),"F. Subcrítico Inestable",IF(CC441=1,"F. Crítico",IF(AND(CC441&gt;1,CC441&lt;1.5),"F. Supercrítico Inestable",IF(CC441&gt;1.5,"F. Supercrítico",""))))))</f>
        <v>#VALUE!</v>
      </c>
      <c r="CE441" s="471">
        <f>1000*BL441*CA441/100</f>
        <v>0.99254156708984953</v>
      </c>
      <c r="CF441" s="471" t="str">
        <f>IF(BP441=" "," ",(1000*BL441*CB441/100))</f>
        <v xml:space="preserve"> </v>
      </c>
      <c r="CG441" s="471" t="str">
        <f>IF(BS441&lt;0.45,"No cumple",IF(BS441&gt;5,"No cumple","O.K"))</f>
        <v>O.K</v>
      </c>
      <c r="CH441" s="471" t="str">
        <f>IF(BT441&lt;0.75,"No cumple",IF(BT441&gt;10,"No cumple","O.K"))</f>
        <v>No cumple</v>
      </c>
      <c r="CI441" s="471" t="str">
        <f>IF(CE441&gt;0.1,"OK","V.C.H.")</f>
        <v>OK</v>
      </c>
      <c r="CJ441" s="471" t="str">
        <f>IF(CF441&gt;0.2,"OK","V.C.H.")</f>
        <v>OK</v>
      </c>
      <c r="CK441" s="468">
        <f>+BJ441</f>
        <v>4.9999999999954525E-2</v>
      </c>
      <c r="CL441" s="482" t="s">
        <v>2507</v>
      </c>
      <c r="CM441" s="482"/>
      <c r="CN441" s="63" t="str">
        <f>IF(B441=1,"dato"," ")</f>
        <v>dato</v>
      </c>
      <c r="CO441" s="527">
        <f t="shared" si="1257"/>
        <v>30.41</v>
      </c>
      <c r="CP441" s="511">
        <f t="shared" si="1258"/>
        <v>4.4064452482736979E-2</v>
      </c>
      <c r="CQ441" s="482" t="s">
        <v>2508</v>
      </c>
      <c r="CR441" s="204">
        <f>IF(BA441="","",AX441)</f>
        <v>30.41</v>
      </c>
      <c r="CS441" s="486">
        <v>1.2</v>
      </c>
      <c r="CT441" s="486">
        <v>1.2</v>
      </c>
      <c r="CU441" s="23">
        <f>IF($BA441="","",SQRT((BH441-BI441)^2+$CR441^2))</f>
        <v>30.471818127574867</v>
      </c>
      <c r="CV441" s="499" t="s">
        <v>2509</v>
      </c>
      <c r="CW441" s="488" t="str">
        <f>+IF(BD441&lt;=0.9,"E1",IF(BD441&lt;=2.5,"E2","E3"))</f>
        <v>E1</v>
      </c>
      <c r="CX441" s="204">
        <f>IF(AND(L441="",H441=""),"",IF(AND(BA441&lt;&gt;4,BA441&lt;&gt;5),VLOOKUP(AY441,'TABLA (2)'!$A$9:$D$43,4),IF(BA441=4,VLOOKUP(AY441,'TABLA (2)'!$A$74:$D$89,4),VLOOKUP(AY441,'TABLA (2)'!$A$51:$D$66,4))))</f>
        <v>3.6999999999999998E-2</v>
      </c>
      <c r="CY441" s="482"/>
      <c r="CZ441" s="482"/>
      <c r="DA441" s="482"/>
      <c r="DB441" s="490"/>
    </row>
    <row r="442" spans="1:106" ht="15" hidden="1" customHeight="1">
      <c r="A442" s="465">
        <f>+A441+1</f>
        <v>321</v>
      </c>
      <c r="B442" s="491"/>
      <c r="C442" s="466" t="s">
        <v>2239</v>
      </c>
      <c r="D442" s="466" t="s">
        <v>2240</v>
      </c>
      <c r="E442" s="468">
        <v>0.32049621219999996</v>
      </c>
      <c r="F442" s="468"/>
      <c r="G442" s="537">
        <f t="shared" si="1254"/>
        <v>0</v>
      </c>
      <c r="H442" s="537">
        <f t="shared" si="1255"/>
        <v>0.32049621219999996</v>
      </c>
      <c r="I442" s="468">
        <v>0.32049621219999996</v>
      </c>
      <c r="J442" s="468"/>
      <c r="K442" s="467">
        <f ca="1">+IF(B442=1,0,SUMIF($D$22:$D$583,C442,$L$22:$L$580))</f>
        <v>0</v>
      </c>
      <c r="L442" s="468">
        <f ca="1">+I442+J442+K442</f>
        <v>0.32049621219999996</v>
      </c>
      <c r="M442" s="469">
        <f>+$P$12</f>
        <v>242.33666300502347</v>
      </c>
      <c r="N442" s="470">
        <f>M442*E442</f>
        <v>77.66798257029788</v>
      </c>
      <c r="O442" s="470">
        <f>M442*F442</f>
        <v>0</v>
      </c>
      <c r="P442" s="470">
        <f>M442*H442</f>
        <v>77.66798257029788</v>
      </c>
      <c r="Q442" s="469">
        <f t="shared" si="1259"/>
        <v>140</v>
      </c>
      <c r="R442" s="471">
        <f>Q442*P442*$P$14/86400</f>
        <v>0.10697326303085009</v>
      </c>
      <c r="S442" s="471"/>
      <c r="T442" s="471"/>
      <c r="U442" s="471">
        <f>IF(C442="","",T442*$P$17)</f>
        <v>0</v>
      </c>
      <c r="V442" s="471"/>
      <c r="W442" s="471"/>
      <c r="X442" s="471">
        <f>IF(C442="","",W442*$P$16)</f>
        <v>0</v>
      </c>
      <c r="Y442" s="471">
        <f>IF(H442=0,0,$H$15*H442)</f>
        <v>6.4099242439999995E-2</v>
      </c>
      <c r="Z442" s="471">
        <f ca="1">IF(L442=0,$H$16*H442,0)</f>
        <v>0</v>
      </c>
      <c r="AA442" s="471">
        <f t="shared" si="1185"/>
        <v>3.8</v>
      </c>
      <c r="AB442" s="471">
        <f>R442*AA442</f>
        <v>0.40649839951723032</v>
      </c>
      <c r="AC442" s="471">
        <f>Q442*(N442+O442)*$P$14/86400</f>
        <v>0.10697326303085009</v>
      </c>
      <c r="AD442" s="471">
        <f>IF(E442=0,0,$H$15*(E442+F442))</f>
        <v>6.4099242439999995E-2</v>
      </c>
      <c r="AE442" s="471">
        <f>IF(F442=0,0,$H$15*(F442+G442))</f>
        <v>0</v>
      </c>
      <c r="AF442" s="510">
        <f t="shared" si="1175"/>
        <v>3.8</v>
      </c>
      <c r="AG442" s="471">
        <f>AC442*AF442</f>
        <v>0.40649839951723032</v>
      </c>
      <c r="AH442" s="471">
        <f>+AD442+AE442+AG442</f>
        <v>0.47059764195723031</v>
      </c>
      <c r="AI442" s="471">
        <f ca="1">IF(H442="","",IF(AB442+Y442+Z442+X442+U442&lt;1.5,1.5,AB442+Y442+Z442+X442+U442))</f>
        <v>1.5</v>
      </c>
      <c r="AJ442" s="471">
        <f>+$P$17</f>
        <v>0.75</v>
      </c>
      <c r="AK442" s="472">
        <f>+BK442/100</f>
        <v>9.4099162011172938E-2</v>
      </c>
      <c r="AL442" s="471">
        <f>IF(AJ442=0," ",0.14+0.65*AJ442+0.05*AK442)</f>
        <v>0.63220495810055866</v>
      </c>
      <c r="AM442" s="473">
        <f t="shared" si="1256"/>
        <v>333.19557304387007</v>
      </c>
      <c r="AN442" s="474">
        <f t="shared" si="1190"/>
        <v>10</v>
      </c>
      <c r="AO442" s="474">
        <f>((1/60)*$AX442/$AQ442)</f>
        <v>0.31822222222222224</v>
      </c>
      <c r="AP442" s="474">
        <f>IF(B442=1,IF(($AN442+$AO442)&lt;10,10,IF(($AN442+$AO442)&gt;20,20,($AN442+$AO442))),($AN442+$AO442))</f>
        <v>10.318222222222222</v>
      </c>
      <c r="AQ442" s="475">
        <v>3</v>
      </c>
      <c r="AR442" s="474">
        <f ca="1">((1/60)*$AX442/$BT442)</f>
        <v>0.3331567400156546</v>
      </c>
      <c r="AS442" s="474">
        <f ca="1">AO442/AR442</f>
        <v>0.95517269801376192</v>
      </c>
      <c r="AT442" s="471" t="str">
        <f ca="1">IF(AS442&lt;0.9,"Disminuir vel.",IF(AS442&gt;1.1,"Aumentar vel.","Cumple"))</f>
        <v>Cumple</v>
      </c>
      <c r="AU442" s="492">
        <f>+I442*AL442*AM442</f>
        <v>67.511851909114796</v>
      </c>
      <c r="AV442" s="471">
        <f ca="1">+L442*AL442*AM442</f>
        <v>67.511851909114796</v>
      </c>
      <c r="AW442" s="471">
        <f ca="1">ROUND(IF(AI442&gt;(AV442*0.05),(AV442+AI442),AV442),2)</f>
        <v>67.510000000000005</v>
      </c>
      <c r="AX442" s="478">
        <f>IF(OR(C442="",D442=""),"",ROUND(((VLOOKUP(C442,'Base de Diseño (2)'!$A$2:$C$333,2,FALSE)-VLOOKUP(D442,'Base de Diseño (2)'!$A$2:$C$333,2,FALSE))^2+(VLOOKUP(C442,'Base de Diseño (2)'!$A$2:$C$333,3,0)-VLOOKUP(D442,'Base de Diseño (2)'!$A$2:$C$333,3,FALSE))^2)^0.5,2))</f>
        <v>57.28</v>
      </c>
      <c r="AY442" s="493">
        <v>8</v>
      </c>
      <c r="AZ442" s="480">
        <f ca="1">IF(AND(L442="",H442=""),"",IF(BA442=4,VLOOKUP(AY442,'TABLA (2)'!$A$74:$C$89,2),IF(BA442=5,VLOOKUP(AY442,'TABLA (2)'!$A$51:$B$66,2),IF(BA442=6,VLOOKUP(AY442,'TABLA (2)'!$A$9:$B$43,2)))))</f>
        <v>200</v>
      </c>
      <c r="BA442" s="493">
        <v>6</v>
      </c>
      <c r="BB442" s="478">
        <f>IF(OR(C442="",D442=""),"",VLOOKUP(C442,'Base de Diseño (2)'!$A$2:$D$330,4,FALSE))</f>
        <v>984.32159999999999</v>
      </c>
      <c r="BC442" s="478">
        <f>IF(OR(C442="",D442=""),"",VLOOKUP(D442,'Base de Diseño (2)'!$A$2:$D$330,4,FALSE))</f>
        <v>978.9316</v>
      </c>
      <c r="BD442" s="23">
        <f ca="1">+BF442-((AZ442/1000)+CX442)</f>
        <v>1.4129999999999772</v>
      </c>
      <c r="BE442" s="23">
        <f ca="1">+BG442-((AZ442/1000)+CX442)</f>
        <v>0.76300000000000001</v>
      </c>
      <c r="BF442" s="494">
        <v>1.6499999999999773</v>
      </c>
      <c r="BG442" s="494">
        <v>1</v>
      </c>
      <c r="BH442" s="495">
        <f>BB442-BF442</f>
        <v>982.67160000000001</v>
      </c>
      <c r="BI442" s="495">
        <f>BC442-BG442</f>
        <v>977.9316</v>
      </c>
      <c r="BJ442" s="534">
        <f t="shared" si="1262"/>
        <v>977.9316</v>
      </c>
      <c r="BK442" s="475">
        <f>ABS((BB442-BC442)/AX442)*100</f>
        <v>9.4099162011172943</v>
      </c>
      <c r="BL442" s="475">
        <f>((BH442-BI442)/AX442)*100</f>
        <v>8.2751396648044846</v>
      </c>
      <c r="BM442" s="475">
        <f ca="1">IF(BA442=6,(1/0.013)*((AZ442/4000)^(2/3))*((BL442/100)^(0.5)),(1/0.009)*((AZ442/4000)^(2/3))*((BL442/100)^(0.5)))</f>
        <v>3.0032465264207064</v>
      </c>
      <c r="BN442" s="475">
        <f ca="1">1000*BM442*PI()*((AZ442/1000/2)^2)</f>
        <v>94.349772243223583</v>
      </c>
      <c r="BO442" s="204">
        <f ca="1">AI442/BN442</f>
        <v>1.5898289570145024E-2</v>
      </c>
      <c r="BP442" s="496">
        <f ca="1">IF(L442=0," ",AW442/BN442)</f>
        <v>0.71552901925366041</v>
      </c>
      <c r="BQ442" s="497">
        <f ca="1">IF($BO442&gt;0 =AND($BO442&lt;=0.06),10^(0.029806+0.29095*LOG($BO442)),IF($BO442&gt;0.06 =AND($BO442&lt;=0.26),10^(0.013778+0.282597*LOG($BO442)),IF($BO442&gt;0.26 =AND($BO442&lt;=0.91),10^(0.021763+0.28995*LOG($BO442)),1)))</f>
        <v>0.32098807608100083</v>
      </c>
      <c r="BR442" s="497">
        <f ca="1">IF($BP442&gt;0 =AND($BP442&lt;=0.06),10^(0.029806+0.29095*LOG($BP442)),IF($BP442&gt;0.06 =AND($BP442&lt;=0.26),10^(0.013778+0.282597*LOG($BP442)),IF($BP442&gt;0.26 =AND($BP442&lt;=2),10^(0.021763+0.28995*LOG($BP442))," ")))</f>
        <v>0.95414015094406301</v>
      </c>
      <c r="BS442" s="475">
        <f ca="1">BM442*BQ442</f>
        <v>0.96400632451273116</v>
      </c>
      <c r="BT442" s="475">
        <f ca="1">IF(BP442=" "," ",(BM442*BR442))</f>
        <v>2.8655180940412857</v>
      </c>
      <c r="BU442" s="475">
        <f ca="1">IF(BO442&lt;=0.11,0.3827+0.0645*LN(BO442),IF(BO442&lt;=0.21,0.60025+0.15471*LN(BO442),IF(BO442&lt;1,0.225+0.6666666667*BO442,0)))</f>
        <v>0.11557042814130647</v>
      </c>
      <c r="BV442" s="475">
        <f ca="1">IF(BP442&lt;=0.11,0.3827+0.0645*LN(BP442),IF(BP442&lt;=0.21,0.60025+0.15471*LN(BP442),IF(BP442&lt;1,0.225+0.6666666667*BP442," ")))</f>
        <v>0.70201934619295792</v>
      </c>
      <c r="BW442" s="475">
        <f ca="1">2*ACOS(1-2*(BU442))</f>
        <v>1.3874826081044063</v>
      </c>
      <c r="BX442" s="475">
        <f ca="1">IF(BP442=" "," ",(2*ACOS(1-2*(BV442))))</f>
        <v>3.9734480146928197</v>
      </c>
      <c r="BY442" s="475">
        <f ca="1">(1/4)*(1-(SIN(BW442))/BW442)</f>
        <v>7.2836511097469719E-2</v>
      </c>
      <c r="BZ442" s="475">
        <f ca="1">IF(BP442=" "," ",((1/4)*(1-(SIN(BX442))/BX442)))</f>
        <v>0.29650760723298408</v>
      </c>
      <c r="CA442" s="471">
        <f ca="1">BY442*AZ442/1000</f>
        <v>1.4567302219493945E-2</v>
      </c>
      <c r="CB442" s="471">
        <f ca="1">IF(BP442=" "," ",(BZ442*AZ442/1000))</f>
        <v>5.9301521446596818E-2</v>
      </c>
      <c r="CC442" s="471">
        <f t="shared" ca="1" si="1191"/>
        <v>2.5492724276810654</v>
      </c>
      <c r="CD442" s="471" t="str">
        <f ca="1">IF(CC442="","",IF(CC442&lt;0.7,"F. Subcrítico",IF(AND(CC442&gt;0.7,CC442&lt;1),"F. Subcrítico Inestable",IF(CC442=1,"F. Crítico",IF(AND(CC442&gt;1,CC442&lt;1.5),"F. Supercrítico Inestable",IF(CC442&gt;1.5,"F. Supercrítico",""))))))</f>
        <v>F. Supercrítico</v>
      </c>
      <c r="CE442" s="471">
        <f ca="1">1000*BL442*CA442/100</f>
        <v>1.2054646040572876</v>
      </c>
      <c r="CF442" s="471">
        <f ca="1">IF(BP442=" "," ",(1000*BL442*CB442/100))</f>
        <v>4.9072837230598711</v>
      </c>
      <c r="CG442" s="471" t="str">
        <f ca="1">IF(BS442&lt;0.45,"No cumple",IF(BS442&gt;5,"No cumple","O.K"))</f>
        <v>O.K</v>
      </c>
      <c r="CH442" s="471" t="str">
        <f ca="1">IF(BT442&lt;0.75,"No cumple",IF(BT442&gt;10,"No cumple","O.K"))</f>
        <v>O.K</v>
      </c>
      <c r="CI442" s="471" t="str">
        <f ca="1">IF(CE442&gt;0.1,"OK","V.C.H.")</f>
        <v>OK</v>
      </c>
      <c r="CJ442" s="471" t="str">
        <f ca="1">IF(CF442&gt;0.2,"OK","V.C.H.")</f>
        <v>OK</v>
      </c>
      <c r="CK442" s="468">
        <f>+BJ442</f>
        <v>977.9316</v>
      </c>
      <c r="CL442" s="482" t="s">
        <v>2507</v>
      </c>
      <c r="CM442" s="482"/>
      <c r="CN442" s="63" t="str">
        <f>IF(B442=1,"dato"," ")</f>
        <v xml:space="preserve"> </v>
      </c>
      <c r="CO442" s="527">
        <f t="shared" si="1257"/>
        <v>57.28</v>
      </c>
      <c r="CP442" s="542">
        <f t="shared" si="1258"/>
        <v>9.4099162011172938E-2</v>
      </c>
      <c r="CQ442" s="482" t="s">
        <v>2508</v>
      </c>
      <c r="CR442" s="204">
        <f>IF(BA442="","",AX442)</f>
        <v>57.28</v>
      </c>
      <c r="CS442" s="486">
        <v>1.2</v>
      </c>
      <c r="CT442" s="486">
        <v>1.2</v>
      </c>
      <c r="CU442" s="23">
        <f>IF($BA442="","",SQRT((BH442-BI442)^2+$CR442^2))</f>
        <v>57.475786206018967</v>
      </c>
      <c r="CV442" s="499" t="s">
        <v>2509</v>
      </c>
      <c r="CW442" s="488" t="str">
        <f ca="1">+IF(BD442&lt;=0.9,"E1",IF(BD442&lt;=2.5,"E2","E3"))</f>
        <v>E2</v>
      </c>
      <c r="CX442" s="204">
        <f ca="1">IF(AND(L442="",H442=""),"",IF(AND(BA442&lt;&gt;4,BA442&lt;&gt;5),VLOOKUP(AY442,'TABLA (2)'!$A$9:$D$43,4),IF(BA442=4,VLOOKUP(AY442,'TABLA (2)'!$A$74:$D$89,4),VLOOKUP(AY442,'TABLA (2)'!$A$51:$D$66,4))))</f>
        <v>3.6999999999999998E-2</v>
      </c>
      <c r="CY442" s="482"/>
      <c r="CZ442" s="482"/>
      <c r="DA442" s="482"/>
      <c r="DB442" s="490"/>
    </row>
    <row r="443" spans="1:106" ht="15" hidden="1" customHeight="1">
      <c r="A443" s="465"/>
      <c r="B443" s="491"/>
      <c r="C443" s="466"/>
      <c r="D443" s="466"/>
      <c r="E443" s="468"/>
      <c r="F443" s="468"/>
      <c r="G443" s="537">
        <f t="shared" si="1254"/>
        <v>0</v>
      </c>
      <c r="H443" s="537">
        <f t="shared" si="1255"/>
        <v>0</v>
      </c>
      <c r="I443" s="468"/>
      <c r="J443" s="468"/>
      <c r="K443" s="467"/>
      <c r="L443" s="468"/>
      <c r="M443" s="469"/>
      <c r="N443" s="470"/>
      <c r="O443" s="470"/>
      <c r="P443" s="470"/>
      <c r="Q443" s="469">
        <f t="shared" si="1259"/>
        <v>140</v>
      </c>
      <c r="R443" s="471"/>
      <c r="S443" s="471"/>
      <c r="T443" s="471"/>
      <c r="U443" s="471"/>
      <c r="V443" s="471"/>
      <c r="W443" s="471"/>
      <c r="X443" s="471"/>
      <c r="Y443" s="471"/>
      <c r="Z443" s="471"/>
      <c r="AA443" s="471" t="str">
        <f t="shared" si="1185"/>
        <v/>
      </c>
      <c r="AB443" s="471"/>
      <c r="AC443" s="471"/>
      <c r="AD443" s="471"/>
      <c r="AE443" s="471"/>
      <c r="AF443" s="510" t="str">
        <f t="shared" si="1175"/>
        <v/>
      </c>
      <c r="AG443" s="471"/>
      <c r="AH443" s="471"/>
      <c r="AI443" s="471"/>
      <c r="AJ443" s="471"/>
      <c r="AK443" s="472"/>
      <c r="AL443" s="471"/>
      <c r="AM443" s="473">
        <f t="shared" si="1256"/>
        <v>474.44695720875893</v>
      </c>
      <c r="AN443" s="474">
        <f t="shared" si="1190"/>
        <v>10.318222222222222</v>
      </c>
      <c r="AO443" s="474"/>
      <c r="AP443" s="474"/>
      <c r="AQ443" s="475">
        <v>3</v>
      </c>
      <c r="AR443" s="474"/>
      <c r="AS443" s="474"/>
      <c r="AT443" s="471"/>
      <c r="AU443" s="492"/>
      <c r="AV443" s="471"/>
      <c r="AW443" s="471"/>
      <c r="AX443" s="478"/>
      <c r="AY443" s="493"/>
      <c r="AZ443" s="480"/>
      <c r="BA443" s="493"/>
      <c r="BB443" s="478" t="str">
        <f>IF(OR(C443="",D443=""),"",VLOOKUP(C443,'Base de Diseño (2)'!$A$2:$D$330,4,FALSE))</f>
        <v/>
      </c>
      <c r="BC443" s="478" t="str">
        <f>IF(OR(C443="",D443=""),"",VLOOKUP(D443,'Base de Diseño (2)'!$A$2:$D$330,4,FALSE))</f>
        <v/>
      </c>
      <c r="BD443" s="23"/>
      <c r="BE443" s="23"/>
      <c r="BF443" s="494"/>
      <c r="BG443" s="494"/>
      <c r="BH443" s="495"/>
      <c r="BI443" s="495"/>
      <c r="BJ443" s="534">
        <f t="shared" si="1262"/>
        <v>0</v>
      </c>
      <c r="BK443" s="475"/>
      <c r="BL443" s="475"/>
      <c r="BM443" s="475"/>
      <c r="BN443" s="475"/>
      <c r="BO443" s="204"/>
      <c r="BP443" s="496"/>
      <c r="BQ443" s="497"/>
      <c r="BR443" s="497"/>
      <c r="BS443" s="475"/>
      <c r="BT443" s="475"/>
      <c r="BU443" s="475"/>
      <c r="BV443" s="475"/>
      <c r="BW443" s="475"/>
      <c r="BX443" s="475"/>
      <c r="BY443" s="475"/>
      <c r="BZ443" s="475"/>
      <c r="CA443" s="471"/>
      <c r="CB443" s="471"/>
      <c r="CC443" s="471" t="e">
        <f t="shared" si="1191"/>
        <v>#DIV/0!</v>
      </c>
      <c r="CD443" s="471"/>
      <c r="CE443" s="471"/>
      <c r="CF443" s="471"/>
      <c r="CG443" s="471"/>
      <c r="CH443" s="471"/>
      <c r="CI443" s="471"/>
      <c r="CJ443" s="471"/>
      <c r="CK443" s="468"/>
      <c r="CL443" s="482" t="s">
        <v>2507</v>
      </c>
      <c r="CM443" s="482"/>
      <c r="CN443" s="63"/>
      <c r="CO443" s="527">
        <f t="shared" si="1257"/>
        <v>0</v>
      </c>
      <c r="CP443" s="511">
        <f t="shared" si="1258"/>
        <v>0</v>
      </c>
      <c r="CQ443" s="482"/>
      <c r="CR443" s="204"/>
      <c r="CS443" s="486"/>
      <c r="CT443" s="486"/>
      <c r="CU443" s="23"/>
      <c r="CV443" s="499"/>
      <c r="CW443" s="488"/>
      <c r="CX443" s="204"/>
      <c r="CY443" s="482"/>
      <c r="CZ443" s="482"/>
      <c r="DA443" s="482"/>
      <c r="DB443" s="490"/>
    </row>
    <row r="444" spans="1:106" ht="15" hidden="1" customHeight="1">
      <c r="A444" s="465">
        <f>+A442+1</f>
        <v>322</v>
      </c>
      <c r="B444" s="491">
        <v>1</v>
      </c>
      <c r="C444" s="466" t="s">
        <v>2318</v>
      </c>
      <c r="D444" s="466" t="s">
        <v>2260</v>
      </c>
      <c r="E444" s="468">
        <v>8.7097324899999995E-2</v>
      </c>
      <c r="F444" s="468"/>
      <c r="G444" s="537">
        <f t="shared" si="1254"/>
        <v>0</v>
      </c>
      <c r="H444" s="537">
        <f t="shared" si="1255"/>
        <v>8.7097324899999995E-2</v>
      </c>
      <c r="I444" s="468">
        <v>8.7097324899999995E-2</v>
      </c>
      <c r="J444" s="468"/>
      <c r="K444" s="467">
        <f>+IF(B444=1,0,SUMIF($D$22:$D$583,C444,$L$22:$L$580))</f>
        <v>0</v>
      </c>
      <c r="L444" s="468">
        <f>+I444+J444+K444</f>
        <v>8.7097324899999995E-2</v>
      </c>
      <c r="M444" s="469">
        <f>+$P$12</f>
        <v>242.33666300502347</v>
      </c>
      <c r="N444" s="470">
        <f>M444*E444</f>
        <v>21.10687507293034</v>
      </c>
      <c r="O444" s="470">
        <f>M444*F444</f>
        <v>0</v>
      </c>
      <c r="P444" s="470">
        <f>M444*H444</f>
        <v>21.10687507293034</v>
      </c>
      <c r="Q444" s="469">
        <f t="shared" si="1259"/>
        <v>140</v>
      </c>
      <c r="R444" s="471">
        <f>Q444*P444*$P$14/86400</f>
        <v>2.9070811732392485E-2</v>
      </c>
      <c r="S444" s="471"/>
      <c r="T444" s="471"/>
      <c r="U444" s="471">
        <f>IF(C444="","",T444*$P$17)</f>
        <v>0</v>
      </c>
      <c r="V444" s="471"/>
      <c r="W444" s="471"/>
      <c r="X444" s="471">
        <f>IF(C444="","",W444*$P$16)</f>
        <v>0</v>
      </c>
      <c r="Y444" s="471">
        <f>IF(H444=0,0,$H$15*H444)</f>
        <v>1.741946498E-2</v>
      </c>
      <c r="Z444" s="471">
        <f>IF(L444=0,$H$16*H444,0)</f>
        <v>0</v>
      </c>
      <c r="AA444" s="471">
        <f t="shared" si="1185"/>
        <v>3.8</v>
      </c>
      <c r="AB444" s="471">
        <f>R444*AA444</f>
        <v>0.11046908458309145</v>
      </c>
      <c r="AC444" s="471">
        <f>Q444*(N444+O444)*$P$14/86400</f>
        <v>2.9070811732392485E-2</v>
      </c>
      <c r="AD444" s="471">
        <f>IF(E444=0,0,$H$15*(E444+F444))</f>
        <v>1.741946498E-2</v>
      </c>
      <c r="AE444" s="471">
        <f>IF(F444=0,0,$H$15*(F444+G444))</f>
        <v>0</v>
      </c>
      <c r="AF444" s="510">
        <f t="shared" si="1175"/>
        <v>3.8</v>
      </c>
      <c r="AG444" s="471">
        <f>AC444*AF444</f>
        <v>0.11046908458309145</v>
      </c>
      <c r="AH444" s="471">
        <f>+AD444+AE444+AG444</f>
        <v>0.12788854956309145</v>
      </c>
      <c r="AI444" s="471">
        <f>IF(H444="","",IF(AB444+Y444+Z444+X444+U444&lt;1.5,1.5,AB444+Y444+Z444+X444+U444))</f>
        <v>1.5</v>
      </c>
      <c r="AJ444" s="471">
        <f>+$P$17</f>
        <v>0.75</v>
      </c>
      <c r="AK444" s="472">
        <f>+BK444/100</f>
        <v>3.0764029749833735E-2</v>
      </c>
      <c r="AL444" s="471">
        <f>IF(AJ444=0," ",0.14+0.65*AJ444+0.05*AK444)</f>
        <v>0.62903820148749179</v>
      </c>
      <c r="AM444" s="473">
        <f t="shared" si="1256"/>
        <v>336.32613267542746</v>
      </c>
      <c r="AN444" s="474">
        <f t="shared" si="1190"/>
        <v>5</v>
      </c>
      <c r="AO444" s="474">
        <f>((1/60)*$AX444/$AQ444)</f>
        <v>0.1643333333333333</v>
      </c>
      <c r="AP444" s="474">
        <f>IF(B444=1,IF(($AN444+$AO444)&lt;10,10,IF(($AN444+$AO444)&gt;20,20,($AN444+$AO444))),($AN444+$AO444))</f>
        <v>10</v>
      </c>
      <c r="AQ444" s="475">
        <v>3</v>
      </c>
      <c r="AR444" s="474">
        <f>((1/60)*$AX444/$BT444)</f>
        <v>0.36613914267526354</v>
      </c>
      <c r="AS444" s="474">
        <f>AO444/AR444</f>
        <v>0.4488275471794721</v>
      </c>
      <c r="AT444" s="471" t="str">
        <f>IF(AS444&lt;0.9,"Disminuir vel.",IF(AS444&gt;1.1,"Aumentar vel.","Cumple"))</f>
        <v>Disminuir vel.</v>
      </c>
      <c r="AU444" s="492">
        <f>+I444*AL444*AM444</f>
        <v>18.426482997284747</v>
      </c>
      <c r="AV444" s="471">
        <f>+L444*AL444*AM444</f>
        <v>18.426482997284747</v>
      </c>
      <c r="AW444" s="471">
        <f>ROUND(IF(AI444&gt;(AV444*0.05),(AV444+AI444),AV444),2)</f>
        <v>19.93</v>
      </c>
      <c r="AX444" s="478">
        <f>IF(OR(C444="",D444=""),"",ROUND(((VLOOKUP(C444,'Base de Diseño (2)'!$A$2:$C$333,2,FALSE)-VLOOKUP(D444,'Base de Diseño (2)'!$A$2:$C$333,2,FALSE))^2+(VLOOKUP(C444,'Base de Diseño (2)'!$A$2:$C$333,3,0)-VLOOKUP(D444,'Base de Diseño (2)'!$A$2:$C$333,3,FALSE))^2)^0.5,2))</f>
        <v>29.58</v>
      </c>
      <c r="AY444" s="493">
        <v>8</v>
      </c>
      <c r="AZ444" s="480">
        <f>IF(AND(L444="",H444=""),"",IF(BA444=4,VLOOKUP(AY444,'TABLA (2)'!$A$74:$C$89,2),IF(BA444=5,VLOOKUP(AY444,'TABLA (2)'!$A$51:$B$66,2),IF(BA444=6,VLOOKUP(AY444,'TABLA (2)'!$A$9:$B$43,2)))))</f>
        <v>200</v>
      </c>
      <c r="BA444" s="493">
        <v>6</v>
      </c>
      <c r="BB444" s="478">
        <f>IF(OR(C444="",D444=""),"",VLOOKUP(C444,'Base de Diseño (2)'!$A$2:$D$330,4,FALSE))</f>
        <v>985.84159999999997</v>
      </c>
      <c r="BC444" s="478">
        <f>IF(OR(C444="",D444=""),"",VLOOKUP(D444,'Base de Diseño (2)'!$A$2:$D$330,4,FALSE))</f>
        <v>986.75160000000005</v>
      </c>
      <c r="BD444" s="23">
        <f>+BF444-((AZ444/1000)+CX444)</f>
        <v>-0.23700000000000002</v>
      </c>
      <c r="BE444" s="23">
        <f>+BG444-((AZ444/1000)+CX444)</f>
        <v>1.4630000000000454</v>
      </c>
      <c r="BF444" s="494">
        <v>0</v>
      </c>
      <c r="BG444" s="494">
        <v>1.7000000000000455</v>
      </c>
      <c r="BH444" s="495">
        <f>BB444-BF444</f>
        <v>985.84159999999997</v>
      </c>
      <c r="BI444" s="495">
        <f>BC444-BG444</f>
        <v>985.05160000000001</v>
      </c>
      <c r="BJ444" s="534">
        <f t="shared" si="1262"/>
        <v>985.05160000000001</v>
      </c>
      <c r="BK444" s="475">
        <f>ABS((BB444-BC444)/AX444)*100</f>
        <v>3.0764029749833735</v>
      </c>
      <c r="BL444" s="475">
        <f>((BH444-BI444)/AX444)*100</f>
        <v>2.6707234617983895</v>
      </c>
      <c r="BM444" s="475">
        <f>IF(BA444=6,(1/0.013)*((AZ444/4000)^(2/3))*((BL444/100)^(0.5)),(1/0.009)*((AZ444/4000)^(2/3))*((BL444/100)^(0.5)))</f>
        <v>1.7061522297820571</v>
      </c>
      <c r="BN444" s="475">
        <f>1000*BM444*PI()*((AZ444/1000/2)^2)</f>
        <v>53.600353109891557</v>
      </c>
      <c r="BO444" s="204">
        <f>AI444/BN444</f>
        <v>2.7984890266015541E-2</v>
      </c>
      <c r="BP444" s="496">
        <f>IF(L444=0," ",AW444/BN444)</f>
        <v>0.37182590866779314</v>
      </c>
      <c r="BQ444" s="497">
        <f>IF($BO444&gt;0 =AND($BO444&lt;=0.06),10^(0.029806+0.29095*LOG($BO444)),IF($BO444&gt;0.06 =AND($BO444&lt;=0.26),10^(0.013778+0.282597*LOG($BO444)),IF($BO444&gt;0.26 =AND($BO444&lt;=0.91),10^(0.021763+0.28995*LOG($BO444)),1)))</f>
        <v>0.37838893128022072</v>
      </c>
      <c r="BR444" s="497">
        <f>IF($BP444&gt;0 =AND($BP444&lt;=0.06),10^(0.029806+0.29095*LOG($BP444)),IF($BP444&gt;0.06 =AND($BP444&lt;=0.26),10^(0.013778+0.282597*LOG($BP444)),IF($BP444&gt;0.26 =AND($BP444&lt;=2),10^(0.021763+0.28995*LOG($BP444))," ")))</f>
        <v>0.78919255740175975</v>
      </c>
      <c r="BS444" s="475">
        <f>BM444*BQ444</f>
        <v>0.64558911882859815</v>
      </c>
      <c r="BT444" s="475">
        <f>IF(BP444=" "," ",(BM444*BR444))</f>
        <v>1.3464826415384163</v>
      </c>
      <c r="BU444" s="475">
        <f>IF(BO444&lt;=0.11,0.3827+0.0645*LN(BO444),IF(BO444&lt;=0.21,0.60025+0.15471*LN(BO444),IF(BO444&lt;1,0.225+0.6666666667*BO444,0)))</f>
        <v>0.15204215966573878</v>
      </c>
      <c r="BV444" s="475">
        <f>IF(BP444&lt;=0.11,0.3827+0.0645*LN(BP444),IF(BP444&lt;=0.21,0.60025+0.15471*LN(BP444),IF(BP444&lt;1,0.225+0.6666666667*BP444," ")))</f>
        <v>0.4728839391242563</v>
      </c>
      <c r="BW444" s="475">
        <f>2*ACOS(1-2*(BU444))</f>
        <v>1.602204221089587</v>
      </c>
      <c r="BX444" s="475">
        <f>IF(BP444=" "," ",(2*ACOS(1-2*(BV444))))</f>
        <v>3.0330751718147937</v>
      </c>
      <c r="BY444" s="475">
        <f>(1/4)*(1-(SIN(BW444))/BW444)</f>
        <v>9.4041914339645982E-2</v>
      </c>
      <c r="BZ444" s="475">
        <f>IF(BP444=" "," ",((1/4)*(1-(SIN(BX444))/BX444)))</f>
        <v>0.24107303507388686</v>
      </c>
      <c r="CA444" s="471">
        <f>BY444*AZ444/1000</f>
        <v>1.8808382867929196E-2</v>
      </c>
      <c r="CB444" s="471">
        <f>IF(BP444=" "," ",(BZ444*AZ444/1000))</f>
        <v>4.8214607014777373E-2</v>
      </c>
      <c r="CC444" s="471">
        <f t="shared" si="1191"/>
        <v>1.5886585030345426</v>
      </c>
      <c r="CD444" s="471" t="str">
        <f>IF(CC444="","",IF(CC444&lt;0.7,"F. Subcrítico",IF(AND(CC444&gt;0.7,CC444&lt;1),"F. Subcrítico Inestable",IF(CC444=1,"F. Crítico",IF(AND(CC444&gt;1,CC444&lt;1.5),"F. Supercrítico Inestable",IF(CC444&gt;1.5,"F. Supercrítico",""))))))</f>
        <v>F. Supercrítico</v>
      </c>
      <c r="CE444" s="471">
        <f>1000*BL444*CA444/100</f>
        <v>0.50231989403865385</v>
      </c>
      <c r="CF444" s="471">
        <f>IF(BP444=" "," ",(1000*BL444*CB444/100))</f>
        <v>1.2876788215575514</v>
      </c>
      <c r="CG444" s="471" t="str">
        <f>IF(BS444&lt;0.45,"No cumple",IF(BS444&gt;5,"No cumple","O.K"))</f>
        <v>O.K</v>
      </c>
      <c r="CH444" s="471" t="str">
        <f>IF(BT444&lt;0.75,"No cumple",IF(BT444&gt;10,"No cumple","O.K"))</f>
        <v>O.K</v>
      </c>
      <c r="CI444" s="471" t="str">
        <f>IF(CE444&gt;0.1,"OK","V.C.H.")</f>
        <v>OK</v>
      </c>
      <c r="CJ444" s="471" t="str">
        <f>IF(CF444&gt;0.2,"OK","V.C.H.")</f>
        <v>OK</v>
      </c>
      <c r="CK444" s="468">
        <f>+BJ444</f>
        <v>985.05160000000001</v>
      </c>
      <c r="CL444" s="482" t="s">
        <v>2507</v>
      </c>
      <c r="CM444" s="482"/>
      <c r="CN444" s="63" t="str">
        <f>IF(B444=1,"dato"," ")</f>
        <v>dato</v>
      </c>
      <c r="CO444" s="527">
        <f t="shared" si="1257"/>
        <v>29.58</v>
      </c>
      <c r="CP444" s="542">
        <f t="shared" si="1258"/>
        <v>3.0764029749833735E-2</v>
      </c>
      <c r="CQ444" s="482" t="s">
        <v>2508</v>
      </c>
      <c r="CR444" s="204">
        <f>IF(BA444="","",AX444)</f>
        <v>29.58</v>
      </c>
      <c r="CS444" s="486">
        <v>1.2</v>
      </c>
      <c r="CT444" s="486">
        <v>1.2</v>
      </c>
      <c r="CU444" s="23">
        <f>IF($BA444="","",SQRT((BH444-BI444)^2+$CR444^2))</f>
        <v>29.590547477192779</v>
      </c>
      <c r="CV444" s="499" t="s">
        <v>2509</v>
      </c>
      <c r="CW444" s="488" t="str">
        <f>+IF(BD444&lt;=0.9,"E1",IF(BD444&lt;=2.5,"E2","E3"))</f>
        <v>E1</v>
      </c>
      <c r="CX444" s="204">
        <f>IF(AND(L444="",H444=""),"",IF(AND(BA444&lt;&gt;4,BA444&lt;&gt;5),VLOOKUP(AY444,'TABLA (2)'!$A$9:$D$43,4),IF(BA444=4,VLOOKUP(AY444,'TABLA (2)'!$A$74:$D$89,4),VLOOKUP(AY444,'TABLA (2)'!$A$51:$D$66,4))))</f>
        <v>3.6999999999999998E-2</v>
      </c>
      <c r="CY444" s="482"/>
      <c r="CZ444" s="482"/>
      <c r="DA444" s="482"/>
      <c r="DB444" s="490"/>
    </row>
    <row r="445" spans="1:106" ht="15" hidden="1" customHeight="1">
      <c r="A445" s="465"/>
      <c r="B445" s="491"/>
      <c r="C445" s="466"/>
      <c r="D445" s="466"/>
      <c r="E445" s="468"/>
      <c r="F445" s="468"/>
      <c r="G445" s="537">
        <f t="shared" si="1254"/>
        <v>0</v>
      </c>
      <c r="H445" s="537">
        <f t="shared" si="1255"/>
        <v>0</v>
      </c>
      <c r="I445" s="468"/>
      <c r="J445" s="468"/>
      <c r="K445" s="467"/>
      <c r="L445" s="468"/>
      <c r="M445" s="469"/>
      <c r="N445" s="470"/>
      <c r="O445" s="470"/>
      <c r="P445" s="470"/>
      <c r="Q445" s="469">
        <f t="shared" si="1259"/>
        <v>140</v>
      </c>
      <c r="R445" s="471"/>
      <c r="S445" s="471"/>
      <c r="T445" s="471"/>
      <c r="U445" s="471"/>
      <c r="V445" s="471"/>
      <c r="W445" s="471"/>
      <c r="X445" s="471"/>
      <c r="Y445" s="471"/>
      <c r="Z445" s="471"/>
      <c r="AA445" s="471" t="str">
        <f t="shared" si="1185"/>
        <v/>
      </c>
      <c r="AB445" s="471"/>
      <c r="AC445" s="471"/>
      <c r="AD445" s="471"/>
      <c r="AE445" s="471"/>
      <c r="AF445" s="510" t="str">
        <f t="shared" si="1175"/>
        <v/>
      </c>
      <c r="AG445" s="471"/>
      <c r="AH445" s="471"/>
      <c r="AI445" s="471"/>
      <c r="AJ445" s="471"/>
      <c r="AK445" s="472"/>
      <c r="AL445" s="471"/>
      <c r="AM445" s="473">
        <f t="shared" si="1256"/>
        <v>474.44695720875893</v>
      </c>
      <c r="AN445" s="474">
        <f t="shared" si="1190"/>
        <v>10</v>
      </c>
      <c r="AO445" s="474"/>
      <c r="AP445" s="474"/>
      <c r="AQ445" s="475">
        <v>3</v>
      </c>
      <c r="AR445" s="474"/>
      <c r="AS445" s="474"/>
      <c r="AT445" s="471"/>
      <c r="AU445" s="492"/>
      <c r="AV445" s="471"/>
      <c r="AW445" s="471"/>
      <c r="AX445" s="478"/>
      <c r="AY445" s="493"/>
      <c r="AZ445" s="480"/>
      <c r="BA445" s="493"/>
      <c r="BB445" s="478" t="str">
        <f>IF(OR(C445="",D445=""),"",VLOOKUP(C445,'Base de Diseño (2)'!$A$2:$D$330,4,FALSE))</f>
        <v/>
      </c>
      <c r="BC445" s="478" t="str">
        <f>IF(OR(C445="",D445=""),"",VLOOKUP(D445,'Base de Diseño (2)'!$A$2:$D$330,4,FALSE))</f>
        <v/>
      </c>
      <c r="BD445" s="23"/>
      <c r="BE445" s="23"/>
      <c r="BF445" s="494"/>
      <c r="BG445" s="494"/>
      <c r="BH445" s="495"/>
      <c r="BI445" s="495"/>
      <c r="BJ445" s="534">
        <f t="shared" si="1262"/>
        <v>0</v>
      </c>
      <c r="BK445" s="475"/>
      <c r="BL445" s="475"/>
      <c r="BM445" s="475"/>
      <c r="BN445" s="475"/>
      <c r="BO445" s="204"/>
      <c r="BP445" s="496"/>
      <c r="BQ445" s="497"/>
      <c r="BR445" s="497"/>
      <c r="BS445" s="475"/>
      <c r="BT445" s="475"/>
      <c r="BU445" s="475"/>
      <c r="BV445" s="475"/>
      <c r="BW445" s="475"/>
      <c r="BX445" s="475"/>
      <c r="BY445" s="475"/>
      <c r="BZ445" s="475"/>
      <c r="CA445" s="471"/>
      <c r="CB445" s="471"/>
      <c r="CC445" s="471" t="e">
        <f t="shared" si="1191"/>
        <v>#DIV/0!</v>
      </c>
      <c r="CD445" s="471"/>
      <c r="CE445" s="471"/>
      <c r="CF445" s="471"/>
      <c r="CG445" s="471"/>
      <c r="CH445" s="471"/>
      <c r="CI445" s="471"/>
      <c r="CJ445" s="471"/>
      <c r="CK445" s="468"/>
      <c r="CL445" s="482" t="s">
        <v>2507</v>
      </c>
      <c r="CM445" s="482"/>
      <c r="CN445" s="63"/>
      <c r="CO445" s="527">
        <f t="shared" si="1257"/>
        <v>0</v>
      </c>
      <c r="CP445" s="511">
        <f t="shared" si="1258"/>
        <v>0</v>
      </c>
      <c r="CQ445" s="482"/>
      <c r="CR445" s="204"/>
      <c r="CS445" s="486"/>
      <c r="CT445" s="486"/>
      <c r="CU445" s="23"/>
      <c r="CV445" s="499"/>
      <c r="CW445" s="488"/>
      <c r="CX445" s="204"/>
      <c r="CY445" s="482"/>
      <c r="CZ445" s="482"/>
      <c r="DA445" s="482"/>
      <c r="DB445" s="490"/>
    </row>
    <row r="446" spans="1:106" ht="15" hidden="1" customHeight="1">
      <c r="A446" s="465">
        <f>+A444+1</f>
        <v>323</v>
      </c>
      <c r="B446" s="491">
        <v>1</v>
      </c>
      <c r="C446" s="466" t="s">
        <v>2270</v>
      </c>
      <c r="D446" s="466" t="s">
        <v>2271</v>
      </c>
      <c r="E446" s="468">
        <v>0.110135788</v>
      </c>
      <c r="F446" s="468"/>
      <c r="G446" s="537">
        <f t="shared" si="1254"/>
        <v>0</v>
      </c>
      <c r="H446" s="537">
        <f t="shared" si="1255"/>
        <v>0.110135788</v>
      </c>
      <c r="I446" s="468">
        <v>0.110135788</v>
      </c>
      <c r="J446" s="468"/>
      <c r="K446" s="467">
        <f>+IF(B446=1,0,SUMIF($D$22:$D$583,C446,$L$22:$L$580))</f>
        <v>0</v>
      </c>
      <c r="L446" s="468">
        <f>+I446+J446+K446</f>
        <v>0.110135788</v>
      </c>
      <c r="M446" s="469">
        <f>+$P$12</f>
        <v>242.33666300502347</v>
      </c>
      <c r="N446" s="470">
        <f>M446*E446</f>
        <v>26.689939341348708</v>
      </c>
      <c r="O446" s="470">
        <f>M446*F446</f>
        <v>0</v>
      </c>
      <c r="P446" s="470">
        <f>M446*H446</f>
        <v>26.689939341348708</v>
      </c>
      <c r="Q446" s="469">
        <f t="shared" si="1259"/>
        <v>140</v>
      </c>
      <c r="R446" s="471">
        <f>Q446*P446*$P$14/86400</f>
        <v>3.6760448861348334E-2</v>
      </c>
      <c r="S446" s="471"/>
      <c r="T446" s="471"/>
      <c r="U446" s="471">
        <f>IF(C446="","",T446*$P$17)</f>
        <v>0</v>
      </c>
      <c r="V446" s="471"/>
      <c r="W446" s="471"/>
      <c r="X446" s="471">
        <f>IF(C446="","",W446*$P$16)</f>
        <v>0</v>
      </c>
      <c r="Y446" s="471">
        <f>IF(H446=0,0,$H$15*H446)</f>
        <v>2.20271576E-2</v>
      </c>
      <c r="Z446" s="471">
        <f>IF(L446=0,$H$16*H446,0)</f>
        <v>0</v>
      </c>
      <c r="AA446" s="471">
        <f t="shared" si="1185"/>
        <v>3.8</v>
      </c>
      <c r="AB446" s="471">
        <f>R446*AA446</f>
        <v>0.13968970567312367</v>
      </c>
      <c r="AC446" s="471">
        <f>Q446*(N446+O446)*$P$14/86400</f>
        <v>3.6760448861348334E-2</v>
      </c>
      <c r="AD446" s="471">
        <f>IF(E446=0,0,$H$15*(E446+F446))</f>
        <v>2.20271576E-2</v>
      </c>
      <c r="AE446" s="471">
        <f>IF(F446=0,0,$H$15*(F446+G446))</f>
        <v>0</v>
      </c>
      <c r="AF446" s="510">
        <f t="shared" si="1175"/>
        <v>3.8</v>
      </c>
      <c r="AG446" s="471">
        <f>AC446*AF446</f>
        <v>0.13968970567312367</v>
      </c>
      <c r="AH446" s="471">
        <f>+AD446+AE446+AG446</f>
        <v>0.16171686327312368</v>
      </c>
      <c r="AI446" s="471">
        <f>IF(H446="","",IF(AB446+Y446+Z446+X446+U446&lt;1.5,1.5,AB446+Y446+Z446+X446+U446))</f>
        <v>1.5</v>
      </c>
      <c r="AJ446" s="471">
        <f>+$P$17</f>
        <v>0.75</v>
      </c>
      <c r="AK446" s="472">
        <f>+BK446/100</f>
        <v>2.0504731861198021E-2</v>
      </c>
      <c r="AL446" s="471">
        <f>IF(AJ446=0," ",0.14+0.65*AJ446+0.05*AK446)</f>
        <v>0.62852523659305992</v>
      </c>
      <c r="AM446" s="473">
        <f t="shared" si="1256"/>
        <v>336.32613267542746</v>
      </c>
      <c r="AN446" s="474">
        <f t="shared" si="1190"/>
        <v>6.3930791425276725</v>
      </c>
      <c r="AO446" s="474">
        <f>((1/60)*$AX446/$AQ446)</f>
        <v>0.28177777777777774</v>
      </c>
      <c r="AP446" s="474">
        <f>IF(B446=1,IF(($AN446+$AO446)&lt;10,10,IF(($AN446+$AO446)&gt;20,20,($AN446+$AO446))),($AN446+$AO446))</f>
        <v>10</v>
      </c>
      <c r="AQ446" s="475">
        <v>3</v>
      </c>
      <c r="AR446" s="474">
        <f>((1/60)*$AX446/$BT446)</f>
        <v>0.57672961743946194</v>
      </c>
      <c r="AS446" s="474">
        <f>AO446/AR446</f>
        <v>0.48857864978185439</v>
      </c>
      <c r="AT446" s="471" t="str">
        <f>IF(AS446&lt;0.9,"Disminuir vel.",IF(AS446&gt;1.1,"Aumentar vel.","Cumple"))</f>
        <v>Disminuir vel.</v>
      </c>
      <c r="AU446" s="492">
        <f>+I446*AL446*AM446</f>
        <v>23.281544984629008</v>
      </c>
      <c r="AV446" s="471">
        <f>+L446*AL446*AM446</f>
        <v>23.281544984629008</v>
      </c>
      <c r="AW446" s="471">
        <f>ROUND(IF(AI446&gt;(AV446*0.05),(AV446+AI446),AV446),2)</f>
        <v>24.78</v>
      </c>
      <c r="AX446" s="478">
        <f>IF(OR(C446="",D446=""),"",ROUND(((VLOOKUP(C446,'Base de Diseño (2)'!$A$2:$C$333,2,FALSE)-VLOOKUP(D446,'Base de Diseño (2)'!$A$2:$C$333,2,FALSE))^2+(VLOOKUP(C446,'Base de Diseño (2)'!$A$2:$C$333,3,0)-VLOOKUP(D446,'Base de Diseño (2)'!$A$2:$C$333,3,FALSE))^2)^0.5,2))</f>
        <v>50.72</v>
      </c>
      <c r="AY446" s="493">
        <v>8</v>
      </c>
      <c r="AZ446" s="480">
        <f>IF(AND(L446="",H446=""),"",IF(BA446=4,VLOOKUP(AY446,'TABLA (2)'!$A$74:$C$89,2),IF(BA446=5,VLOOKUP(AY446,'TABLA (2)'!$A$51:$B$66,2),IF(BA446=6,VLOOKUP(AY446,'TABLA (2)'!$A$9:$B$43,2)))))</f>
        <v>200</v>
      </c>
      <c r="BA446" s="493">
        <v>6</v>
      </c>
      <c r="BB446" s="478">
        <f>IF(OR(C446="",D446=""),"",VLOOKUP(C446,'Base de Diseño (2)'!$A$2:$D$330,4,FALSE))</f>
        <v>983.94159999999999</v>
      </c>
      <c r="BC446" s="478">
        <f>IF(OR(C446="",D446=""),"",VLOOKUP(D446,'Base de Diseño (2)'!$A$2:$D$330,4,FALSE))</f>
        <v>982.90160000000003</v>
      </c>
      <c r="BD446" s="23">
        <f>+BF446-((AZ446/1000)+CX446)</f>
        <v>0.66299999999997727</v>
      </c>
      <c r="BE446" s="23">
        <f>+BG446-((AZ446/1000)+CX446)</f>
        <v>1.0629999999999544</v>
      </c>
      <c r="BF446" s="494">
        <v>0.89999999999997726</v>
      </c>
      <c r="BG446" s="494">
        <v>1.2999999999999545</v>
      </c>
      <c r="BH446" s="495">
        <f>BB446-BF446</f>
        <v>983.04160000000002</v>
      </c>
      <c r="BI446" s="495">
        <f>BC446-BG446</f>
        <v>981.60160000000008</v>
      </c>
      <c r="BJ446" s="534">
        <f t="shared" si="1262"/>
        <v>981.60160000000008</v>
      </c>
      <c r="BK446" s="475">
        <f>ABS((BB446-BC446)/AX446)*100</f>
        <v>2.050473186119802</v>
      </c>
      <c r="BL446" s="475">
        <f>((BH446-BI446)/AX446)*100</f>
        <v>2.8391167192427855</v>
      </c>
      <c r="BM446" s="475">
        <f>IF(BA446=6,(1/0.013)*((AZ446/4000)^(2/3))*((BL446/100)^(0.5)),(1/0.009)*((AZ446/4000)^(2/3))*((BL446/100)^(0.5)))</f>
        <v>1.7591178718278979</v>
      </c>
      <c r="BN446" s="475">
        <f>1000*BM446*PI()*((AZ446/1000/2)^2)</f>
        <v>55.264317829330366</v>
      </c>
      <c r="BO446" s="204">
        <f>AI446/BN446</f>
        <v>2.7142287445442902E-2</v>
      </c>
      <c r="BP446" s="496">
        <f>IF(L446=0," ",AW446/BN446)</f>
        <v>0.44839058859871678</v>
      </c>
      <c r="BQ446" s="497">
        <f>IF($BO446&gt;0 =AND($BO446&lt;=0.06),10^(0.029806+0.29095*LOG($BO446)),IF($BO446&gt;0.06 =AND($BO446&lt;=0.26),10^(0.013778+0.282597*LOG($BO446)),IF($BO446&gt;0.26 =AND($BO446&lt;=0.91),10^(0.021763+0.28995*LOG($BO446)),1)))</f>
        <v>0.37503813757560456</v>
      </c>
      <c r="BR446" s="497">
        <f>IF($BP446&gt;0 =AND($BP446&lt;=0.06),10^(0.029806+0.29095*LOG($BP446)),IF($BP446&gt;0.06 =AND($BP446&lt;=0.26),10^(0.013778+0.282597*LOG($BP446)),IF($BP446&gt;0.26 =AND($BP446&lt;=2),10^(0.021763+0.28995*LOG($BP446))," ")))</f>
        <v>0.83322213526403344</v>
      </c>
      <c r="BS446" s="475">
        <f>BM446*BQ446</f>
        <v>0.65973629042629589</v>
      </c>
      <c r="BT446" s="475">
        <f>IF(BP446=" "," ",(BM446*BR446))</f>
        <v>1.4657359493455633</v>
      </c>
      <c r="BU446" s="475">
        <f>IF(BO446&lt;=0.11,0.3827+0.0645*LN(BO446),IF(BO446&lt;=0.21,0.60025+0.15471*LN(BO446),IF(BO446&lt;1,0.225+0.6666666667*BO446,0)))</f>
        <v>0.15007027875076775</v>
      </c>
      <c r="BV446" s="475">
        <f>IF(BP446&lt;=0.11,0.3827+0.0645*LN(BP446),IF(BP446&lt;=0.21,0.60025+0.15471*LN(BP446),IF(BP446&lt;1,0.225+0.6666666667*BP446," ")))</f>
        <v>0.52392705908075754</v>
      </c>
      <c r="BW446" s="475">
        <f>2*ACOS(1-2*(BU446))</f>
        <v>1.5911912621473776</v>
      </c>
      <c r="BX446" s="475">
        <f>IF(BP446=" "," ",(2*ACOS(1-2*(BV446))))</f>
        <v>3.2373374565162507</v>
      </c>
      <c r="BY446" s="475">
        <f>(1/4)*(1-(SIN(BW446))/BW446)</f>
        <v>9.2917684646270177E-2</v>
      </c>
      <c r="BZ446" s="475">
        <f>IF(BP446=" "," ",((1/4)*(1-(SIN(BX446))/BX446)))</f>
        <v>0.25738250090314529</v>
      </c>
      <c r="CA446" s="471">
        <f>BY446*AZ446/1000</f>
        <v>1.8583536929254033E-2</v>
      </c>
      <c r="CB446" s="471">
        <f>IF(BP446=" "," ",(BZ446*AZ446/1000))</f>
        <v>5.1476500180629062E-2</v>
      </c>
      <c r="CC446" s="471">
        <f t="shared" si="1191"/>
        <v>1.6202753360288229</v>
      </c>
      <c r="CD446" s="471" t="str">
        <f>IF(CC446="","",IF(CC446&lt;0.7,"F. Subcrítico",IF(AND(CC446&gt;0.7,CC446&lt;1),"F. Subcrítico Inestable",IF(CC446=1,"F. Crítico",IF(AND(CC446&gt;1,CC446&lt;1.5),"F. Supercrítico Inestable",IF(CC446&gt;1.5,"F. Supercrítico",""))))))</f>
        <v>F. Supercrítico</v>
      </c>
      <c r="CE446" s="471">
        <f>1000*BL446*CA446/100</f>
        <v>0.52760830398510861</v>
      </c>
      <c r="CF446" s="471">
        <f>IF(BP446=" "," ",(1000*BL446*CB446/100))</f>
        <v>1.4614779231092825</v>
      </c>
      <c r="CG446" s="471" t="str">
        <f>IF(BS446&lt;0.45,"No cumple",IF(BS446&gt;5,"No cumple","O.K"))</f>
        <v>O.K</v>
      </c>
      <c r="CH446" s="471" t="str">
        <f>IF(BT446&lt;0.75,"No cumple",IF(BT446&gt;10,"No cumple","O.K"))</f>
        <v>O.K</v>
      </c>
      <c r="CI446" s="471" t="str">
        <f>IF(CE446&gt;0.1,"OK","V.C.H.")</f>
        <v>OK</v>
      </c>
      <c r="CJ446" s="471" t="str">
        <f>IF(CF446&gt;0.2,"OK","V.C.H.")</f>
        <v>OK</v>
      </c>
      <c r="CK446" s="468">
        <f>+BJ446</f>
        <v>981.60160000000008</v>
      </c>
      <c r="CL446" s="482" t="s">
        <v>2507</v>
      </c>
      <c r="CM446" s="482"/>
      <c r="CN446" s="63" t="str">
        <f>IF(B446=1,"dato"," ")</f>
        <v>dato</v>
      </c>
      <c r="CO446" s="527">
        <f t="shared" si="1257"/>
        <v>50.72</v>
      </c>
      <c r="CP446" s="542">
        <f t="shared" si="1258"/>
        <v>2.0504731861198021E-2</v>
      </c>
      <c r="CQ446" s="482" t="s">
        <v>2508</v>
      </c>
      <c r="CR446" s="204">
        <f>IF(BA446="","",AX446)</f>
        <v>50.72</v>
      </c>
      <c r="CS446" s="486">
        <v>1.2</v>
      </c>
      <c r="CT446" s="486">
        <v>1.2</v>
      </c>
      <c r="CU446" s="23">
        <f>IF($BA446="","",SQRT((BH446-BI446)^2+$CR446^2))</f>
        <v>50.740437522749048</v>
      </c>
      <c r="CV446" s="499" t="s">
        <v>2509</v>
      </c>
      <c r="CW446" s="488" t="str">
        <f>+IF(BD446&lt;=0.9,"E1",IF(BD446&lt;=2.5,"E2","E3"))</f>
        <v>E1</v>
      </c>
      <c r="CX446" s="204">
        <f>IF(AND(L446="",H446=""),"",IF(AND(BA446&lt;&gt;4,BA446&lt;&gt;5),VLOOKUP(AY446,'TABLA (2)'!$A$9:$D$43,4),IF(BA446=4,VLOOKUP(AY446,'TABLA (2)'!$A$74:$D$89,4),VLOOKUP(AY446,'TABLA (2)'!$A$51:$D$66,4))))</f>
        <v>3.6999999999999998E-2</v>
      </c>
      <c r="CY446" s="482"/>
      <c r="CZ446" s="482"/>
      <c r="DA446" s="482"/>
      <c r="DB446" s="490"/>
    </row>
    <row r="447" spans="1:106" ht="15" hidden="1" customHeight="1">
      <c r="A447" s="465"/>
      <c r="B447" s="491"/>
      <c r="C447" s="466"/>
      <c r="D447" s="466"/>
      <c r="E447" s="468"/>
      <c r="F447" s="468"/>
      <c r="G447" s="537">
        <f t="shared" si="1254"/>
        <v>0</v>
      </c>
      <c r="H447" s="537">
        <f t="shared" si="1255"/>
        <v>0</v>
      </c>
      <c r="I447" s="468"/>
      <c r="J447" s="468"/>
      <c r="K447" s="467"/>
      <c r="L447" s="468"/>
      <c r="M447" s="469"/>
      <c r="N447" s="470"/>
      <c r="O447" s="470"/>
      <c r="P447" s="470"/>
      <c r="Q447" s="469">
        <f t="shared" si="1259"/>
        <v>140</v>
      </c>
      <c r="R447" s="471"/>
      <c r="S447" s="471"/>
      <c r="T447" s="471"/>
      <c r="U447" s="471"/>
      <c r="V447" s="471"/>
      <c r="W447" s="471"/>
      <c r="X447" s="471"/>
      <c r="Y447" s="471"/>
      <c r="Z447" s="471"/>
      <c r="AA447" s="471" t="str">
        <f t="shared" si="1185"/>
        <v/>
      </c>
      <c r="AB447" s="471"/>
      <c r="AC447" s="471"/>
      <c r="AD447" s="471"/>
      <c r="AE447" s="471"/>
      <c r="AF447" s="510" t="str">
        <f t="shared" si="1175"/>
        <v/>
      </c>
      <c r="AG447" s="471"/>
      <c r="AH447" s="471"/>
      <c r="AI447" s="471"/>
      <c r="AJ447" s="471"/>
      <c r="AK447" s="472"/>
      <c r="AL447" s="471"/>
      <c r="AM447" s="473">
        <f t="shared" si="1256"/>
        <v>474.44695720875893</v>
      </c>
      <c r="AN447" s="474">
        <f t="shared" si="1190"/>
        <v>10</v>
      </c>
      <c r="AO447" s="474"/>
      <c r="AP447" s="474"/>
      <c r="AQ447" s="475">
        <v>3</v>
      </c>
      <c r="AR447" s="474"/>
      <c r="AS447" s="474"/>
      <c r="AT447" s="471"/>
      <c r="AU447" s="492"/>
      <c r="AV447" s="471"/>
      <c r="AW447" s="471"/>
      <c r="AX447" s="478"/>
      <c r="AY447" s="493"/>
      <c r="AZ447" s="480"/>
      <c r="BA447" s="493"/>
      <c r="BB447" s="478" t="str">
        <f>IF(OR(C447="",D447=""),"",VLOOKUP(C447,'Base de Diseño (2)'!$A$2:$D$330,4,FALSE))</f>
        <v/>
      </c>
      <c r="BC447" s="478" t="str">
        <f>IF(OR(C447="",D447=""),"",VLOOKUP(D447,'Base de Diseño (2)'!$A$2:$D$330,4,FALSE))</f>
        <v/>
      </c>
      <c r="BD447" s="23"/>
      <c r="BE447" s="23"/>
      <c r="BF447" s="494"/>
      <c r="BG447" s="494"/>
      <c r="BH447" s="495"/>
      <c r="BI447" s="495"/>
      <c r="BJ447" s="534">
        <f t="shared" si="1262"/>
        <v>0</v>
      </c>
      <c r="BK447" s="475"/>
      <c r="BL447" s="475"/>
      <c r="BM447" s="475"/>
      <c r="BN447" s="475"/>
      <c r="BO447" s="204"/>
      <c r="BP447" s="496"/>
      <c r="BQ447" s="497"/>
      <c r="BR447" s="497"/>
      <c r="BS447" s="475"/>
      <c r="BT447" s="475"/>
      <c r="BU447" s="475"/>
      <c r="BV447" s="475"/>
      <c r="BW447" s="475"/>
      <c r="BX447" s="475"/>
      <c r="BY447" s="475"/>
      <c r="BZ447" s="475"/>
      <c r="CA447" s="471"/>
      <c r="CB447" s="471"/>
      <c r="CC447" s="471" t="e">
        <f t="shared" si="1191"/>
        <v>#DIV/0!</v>
      </c>
      <c r="CD447" s="471"/>
      <c r="CE447" s="471"/>
      <c r="CF447" s="471"/>
      <c r="CG447" s="471"/>
      <c r="CH447" s="471"/>
      <c r="CI447" s="471"/>
      <c r="CJ447" s="471"/>
      <c r="CK447" s="468"/>
      <c r="CL447" s="482" t="s">
        <v>2507</v>
      </c>
      <c r="CM447" s="482"/>
      <c r="CN447" s="63"/>
      <c r="CO447" s="527">
        <f t="shared" si="1257"/>
        <v>0</v>
      </c>
      <c r="CP447" s="511">
        <f t="shared" si="1258"/>
        <v>0</v>
      </c>
      <c r="CQ447" s="482"/>
      <c r="CR447" s="204"/>
      <c r="CS447" s="486"/>
      <c r="CT447" s="486"/>
      <c r="CU447" s="23"/>
      <c r="CV447" s="499"/>
      <c r="CW447" s="488"/>
      <c r="CX447" s="204"/>
      <c r="CY447" s="482"/>
      <c r="CZ447" s="482"/>
      <c r="DA447" s="482"/>
      <c r="DB447" s="490"/>
    </row>
    <row r="448" spans="1:106" ht="15" hidden="1" customHeight="1">
      <c r="A448" s="465">
        <f>+A446+1</f>
        <v>324</v>
      </c>
      <c r="B448" s="491">
        <v>1</v>
      </c>
      <c r="C448" s="466" t="s">
        <v>2276</v>
      </c>
      <c r="D448" s="466" t="s">
        <v>2277</v>
      </c>
      <c r="E448" s="468">
        <v>0.1884633956</v>
      </c>
      <c r="F448" s="468"/>
      <c r="G448" s="537">
        <f t="shared" si="1254"/>
        <v>0</v>
      </c>
      <c r="H448" s="537">
        <f t="shared" si="1255"/>
        <v>0.1884633956</v>
      </c>
      <c r="I448" s="468">
        <v>0.1884633956</v>
      </c>
      <c r="J448" s="468"/>
      <c r="K448" s="467">
        <f t="shared" ref="K448:K453" si="1265">+IF(B448=1,0,SUMIF($D$22:$D$583,C448,$L$22:$L$580))</f>
        <v>0</v>
      </c>
      <c r="L448" s="468">
        <f t="shared" ref="L448:L453" si="1266">+I448+J448+K448</f>
        <v>0.1884633956</v>
      </c>
      <c r="M448" s="469">
        <f t="shared" ref="M448:M453" si="1267">+$P$12</f>
        <v>242.33666300502347</v>
      </c>
      <c r="N448" s="470">
        <f t="shared" ref="N448:N453" si="1268">M448*E448</f>
        <v>45.67159038829962</v>
      </c>
      <c r="O448" s="470">
        <f t="shared" ref="O448:O453" si="1269">M448*F448</f>
        <v>0</v>
      </c>
      <c r="P448" s="470">
        <f t="shared" ref="P448:P453" si="1270">M448*H448</f>
        <v>45.67159038829962</v>
      </c>
      <c r="Q448" s="469">
        <f t="shared" si="1259"/>
        <v>140</v>
      </c>
      <c r="R448" s="471">
        <f t="shared" ref="R448:R453" si="1271">Q448*P448*$P$14/86400</f>
        <v>6.2904158057958959E-2</v>
      </c>
      <c r="S448" s="471"/>
      <c r="T448" s="471"/>
      <c r="U448" s="471">
        <f t="shared" ref="U448:U453" si="1272">IF(C448="","",T448*$P$17)</f>
        <v>0</v>
      </c>
      <c r="V448" s="471"/>
      <c r="W448" s="471"/>
      <c r="X448" s="471">
        <f t="shared" ref="X448:X453" si="1273">IF(C448="","",W448*$P$16)</f>
        <v>0</v>
      </c>
      <c r="Y448" s="471">
        <f t="shared" ref="Y448:Y453" si="1274">IF(H448=0,0,$H$15*H448)</f>
        <v>3.7692679120000003E-2</v>
      </c>
      <c r="Z448" s="471">
        <f t="shared" ref="Z448:Z453" si="1275">IF(L448=0,$H$16*H448,0)</f>
        <v>0</v>
      </c>
      <c r="AA448" s="471">
        <f t="shared" si="1185"/>
        <v>3.8</v>
      </c>
      <c r="AB448" s="471">
        <f t="shared" ref="AB448:AB453" si="1276">R448*AA448</f>
        <v>0.23903580062024404</v>
      </c>
      <c r="AC448" s="471">
        <f t="shared" ref="AC448:AC453" si="1277">Q448*(N448+O448)*$P$14/86400</f>
        <v>6.2904158057958959E-2</v>
      </c>
      <c r="AD448" s="471">
        <f t="shared" ref="AD448:AE453" si="1278">IF(E448=0,0,$H$15*(E448+F448))</f>
        <v>3.7692679120000003E-2</v>
      </c>
      <c r="AE448" s="471">
        <f t="shared" si="1278"/>
        <v>0</v>
      </c>
      <c r="AF448" s="510">
        <f t="shared" si="1175"/>
        <v>3.8</v>
      </c>
      <c r="AG448" s="471">
        <f t="shared" ref="AG448:AG453" si="1279">AC448*AF448</f>
        <v>0.23903580062024404</v>
      </c>
      <c r="AH448" s="471">
        <f t="shared" ref="AH448:AH453" si="1280">+AD448+AE448+AG448</f>
        <v>0.27672847974024406</v>
      </c>
      <c r="AI448" s="471">
        <f t="shared" ref="AI448:AI453" si="1281">IF(H448="","",IF(AB448+Y448+Z448+X448+U448&lt;1.5,1.5,AB448+Y448+Z448+X448+U448))</f>
        <v>1.5</v>
      </c>
      <c r="AJ448" s="471">
        <f t="shared" ref="AJ448:AJ453" si="1282">+$P$17</f>
        <v>0.75</v>
      </c>
      <c r="AK448" s="472">
        <f t="shared" ref="AK448:AK453" si="1283">+BK448/100</f>
        <v>2.217659137576853E-2</v>
      </c>
      <c r="AL448" s="471">
        <f t="shared" ref="AL448:AL453" si="1284">IF(AJ448=0," ",0.14+0.65*AJ448+0.05*AK448)</f>
        <v>0.6286088295687885</v>
      </c>
      <c r="AM448" s="473">
        <f t="shared" si="1256"/>
        <v>336.32613267542746</v>
      </c>
      <c r="AN448" s="474">
        <f t="shared" ref="AN448:AN479" si="1285">IF(B448=1,IF((0.702*(1.1-$AJ448)*SQRT($CO448))/(($CP448)^(1/3))&lt;5,5,(0.702*(1.1-$AJ448)*SQRT($CO448))/(($CP448)^(1/3))),AP447)</f>
        <v>5</v>
      </c>
      <c r="AO448" s="474">
        <f t="shared" ref="AO448:AO453" si="1286">((1/60)*$AX448/$AQ448)</f>
        <v>0.13527777777777777</v>
      </c>
      <c r="AP448" s="474">
        <f t="shared" ref="AP448:AP453" si="1287">IF(B448=1,IF(($AN448+$AO448)&lt;10,10,IF(($AN448+$AO448)&gt;20,20,($AN448+$AO448))),($AN448+$AO448))</f>
        <v>10</v>
      </c>
      <c r="AQ448" s="475">
        <v>3</v>
      </c>
      <c r="AR448" s="474" t="e">
        <f t="shared" ref="AR448:AR453" si="1288">((1/60)*$AX448/$BT448)</f>
        <v>#VALUE!</v>
      </c>
      <c r="AS448" s="474" t="e">
        <f t="shared" ref="AS448:AS453" si="1289">AO448/AR448</f>
        <v>#VALUE!</v>
      </c>
      <c r="AT448" s="471" t="e">
        <f t="shared" ref="AT448:AT453" si="1290">IF(AS448&lt;0.9,"Disminuir vel.",IF(AS448&gt;1.1,"Aumentar vel.","Cumple"))</f>
        <v>#VALUE!</v>
      </c>
      <c r="AU448" s="492">
        <f t="shared" ref="AU448:AU453" si="1291">+I448*AL448*AM448</f>
        <v>39.844474378291359</v>
      </c>
      <c r="AV448" s="471">
        <f t="shared" ref="AV448:AV453" si="1292">+L448*AL448*AM448</f>
        <v>39.844474378291359</v>
      </c>
      <c r="AW448" s="471">
        <f t="shared" ref="AW448:AW453" si="1293">ROUND(IF(AI448&gt;(AV448*0.05),(AV448+AI448),AV448),2)</f>
        <v>39.840000000000003</v>
      </c>
      <c r="AX448" s="478">
        <f>IF(OR(C448="",D448=""),"",ROUND(((VLOOKUP(C448,'Base de Diseño (2)'!$A$2:$C$333,2,FALSE)-VLOOKUP(D448,'Base de Diseño (2)'!$A$2:$C$333,2,FALSE))^2+(VLOOKUP(C448,'Base de Diseño (2)'!$A$2:$C$333,3,0)-VLOOKUP(D448,'Base de Diseño (2)'!$A$2:$C$333,3,FALSE))^2)^0.5,2))</f>
        <v>24.35</v>
      </c>
      <c r="AY448" s="493">
        <v>8</v>
      </c>
      <c r="AZ448" s="480">
        <f>IF(AND(L448="",H448=""),"",IF(BA448=4,VLOOKUP(AY448,'TABLA (2)'!$A$74:$C$89,2),IF(BA448=5,VLOOKUP(AY448,'TABLA (2)'!$A$51:$B$66,2),IF(BA448=6,VLOOKUP(AY448,'TABLA (2)'!$A$9:$B$43,2)))))</f>
        <v>200</v>
      </c>
      <c r="BA448" s="493">
        <v>6</v>
      </c>
      <c r="BB448" s="478">
        <f>IF(OR(C448="",D448=""),"",VLOOKUP(C448,'Base de Diseño (2)'!$A$2:$D$330,4,FALSE))</f>
        <v>971.74160000000006</v>
      </c>
      <c r="BC448" s="478">
        <f>IF(OR(C448="",D448=""),"",VLOOKUP(D448,'Base de Diseño (2)'!$A$2:$D$330,4,FALSE))</f>
        <v>972.28160000000003</v>
      </c>
      <c r="BD448" s="23">
        <f t="shared" ref="BD448:BD453" si="1294">+BF448-((AZ448/1000)+CX448)</f>
        <v>1.182999999999959</v>
      </c>
      <c r="BE448" s="23">
        <f t="shared" ref="BE448:BE453" si="1295">+BG448-((AZ448/1000)+CX448)</f>
        <v>1.7230000000000363</v>
      </c>
      <c r="BF448" s="494">
        <v>1.4199999999999591</v>
      </c>
      <c r="BG448" s="494">
        <v>1.9600000000000364</v>
      </c>
      <c r="BH448" s="495">
        <f t="shared" ref="BH448:BI453" si="1296">BB448-BF448</f>
        <v>970.3216000000001</v>
      </c>
      <c r="BI448" s="495">
        <f t="shared" si="1296"/>
        <v>970.32159999999999</v>
      </c>
      <c r="BJ448" s="534">
        <f t="shared" si="1262"/>
        <v>1.999999999998181E-2</v>
      </c>
      <c r="BK448" s="475">
        <f t="shared" ref="BK448:BK453" si="1297">ABS((BB448-BC448)/AX448)*100</f>
        <v>2.2176591375768528</v>
      </c>
      <c r="BL448" s="475">
        <f t="shared" ref="BL448:BL453" si="1298">((BH448-BI448)/AX448)*100</f>
        <v>4.6688639721402882E-13</v>
      </c>
      <c r="BM448" s="475">
        <f t="shared" ref="BM448:BM453" si="1299">IF(BA448=6,(1/0.013)*((AZ448/4000)^(2/3))*((BL448/100)^(0.5)),(1/0.009)*((AZ448/4000)^(2/3))*((BL448/100)^(0.5)))</f>
        <v>7.1336028591565114E-7</v>
      </c>
      <c r="BN448" s="475">
        <f t="shared" ref="BN448:BN453" si="1300">1000*BM448*PI()*((AZ448/1000/2)^2)</f>
        <v>2.2410874335953248E-5</v>
      </c>
      <c r="BO448" s="204">
        <f t="shared" ref="BO448:BO453" si="1301">AI448/BN448</f>
        <v>66931.792910622171</v>
      </c>
      <c r="BP448" s="496">
        <f t="shared" ref="BP448:BP453" si="1302">IF(L448=0," ",AW448/BN448)</f>
        <v>1777708.419706125</v>
      </c>
      <c r="BQ448" s="497">
        <f t="shared" ref="BQ448:BQ453" si="1303">IF($BO448&gt;0 =AND($BO448&lt;=0.06),10^(0.029806+0.29095*LOG($BO448)),IF($BO448&gt;0.06 =AND($BO448&lt;=0.26),10^(0.013778+0.282597*LOG($BO448)),IF($BO448&gt;0.26 =AND($BO448&lt;=0.91),10^(0.021763+0.28995*LOG($BO448)),1)))</f>
        <v>1</v>
      </c>
      <c r="BR448" s="497" t="str">
        <f t="shared" ref="BR448:BR453" si="1304">IF($BP448&gt;0 =AND($BP448&lt;=0.06),10^(0.029806+0.29095*LOG($BP448)),IF($BP448&gt;0.06 =AND($BP448&lt;=0.26),10^(0.013778+0.282597*LOG($BP448)),IF($BP448&gt;0.26 =AND($BP448&lt;=2),10^(0.021763+0.28995*LOG($BP448))," ")))</f>
        <v xml:space="preserve"> </v>
      </c>
      <c r="BS448" s="475">
        <f t="shared" ref="BS448:BS453" si="1305">BM448*BQ448</f>
        <v>7.1336028591565114E-7</v>
      </c>
      <c r="BT448" s="475" t="e">
        <f t="shared" ref="BT448:BT453" si="1306">IF(BP448=" "," ",(BM448*BR448))</f>
        <v>#VALUE!</v>
      </c>
      <c r="BU448" s="475">
        <f t="shared" ref="BU448:BU453" si="1307">IF(BO448&lt;=0.11,0.3827+0.0645*LN(BO448),IF(BO448&lt;=0.21,0.60025+0.15471*LN(BO448),IF(BO448&lt;1,0.225+0.6666666667*BO448,0)))</f>
        <v>0</v>
      </c>
      <c r="BV448" s="475" t="str">
        <f t="shared" ref="BV448:BV453" si="1308">IF(BP448&lt;=0.11,0.3827+0.0645*LN(BP448),IF(BP448&lt;=0.21,0.60025+0.15471*LN(BP448),IF(BP448&lt;1,0.225+0.6666666667*BP448," ")))</f>
        <v xml:space="preserve"> </v>
      </c>
      <c r="BW448" s="475">
        <f t="shared" ref="BW448:BW453" si="1309">2*ACOS(1-2*(BU448))</f>
        <v>0</v>
      </c>
      <c r="BX448" s="475" t="e">
        <f t="shared" ref="BX448:BX453" si="1310">IF(BP448=" "," ",(2*ACOS(1-2*(BV448))))</f>
        <v>#VALUE!</v>
      </c>
      <c r="BY448" s="475" t="e">
        <f t="shared" ref="BY448:BY453" si="1311">(1/4)*(1-(SIN(BW448))/BW448)</f>
        <v>#DIV/0!</v>
      </c>
      <c r="BZ448" s="475" t="e">
        <f t="shared" ref="BZ448:BZ453" si="1312">IF(BP448=" "," ",((1/4)*(1-(SIN(BX448))/BX448)))</f>
        <v>#VALUE!</v>
      </c>
      <c r="CA448" s="471" t="e">
        <f t="shared" ref="CA448:CA453" si="1313">BY448*AZ448/1000</f>
        <v>#DIV/0!</v>
      </c>
      <c r="CB448" s="471" t="e">
        <f t="shared" ref="CB448:CB453" si="1314">IF(BP448=" "," ",(BZ448*AZ448/1000))</f>
        <v>#VALUE!</v>
      </c>
      <c r="CC448" s="471" t="e">
        <f t="shared" ref="CC448:CC479" si="1315">+(BT448/SQRT(9.81*(0.125*(BX448-SIN(BX448))*(AZ448/1000)^2)/((AZ448/1000)*SIN(BX448/2))))</f>
        <v>#VALUE!</v>
      </c>
      <c r="CD448" s="471" t="e">
        <f t="shared" ref="CD448:CD453" si="1316">IF(CC448="","",IF(CC448&lt;0.7,"F. Subcrítico",IF(AND(CC448&gt;0.7,CC448&lt;1),"F. Subcrítico Inestable",IF(CC448=1,"F. Crítico",IF(AND(CC448&gt;1,CC448&lt;1.5),"F. Supercrítico Inestable",IF(CC448&gt;1.5,"F. Supercrítico",""))))))</f>
        <v>#VALUE!</v>
      </c>
      <c r="CE448" s="471" t="e">
        <f t="shared" ref="CE448:CE453" si="1317">1000*BL448*CA448/100</f>
        <v>#DIV/0!</v>
      </c>
      <c r="CF448" s="471" t="e">
        <f t="shared" ref="CF448:CF453" si="1318">IF(BP448=" "," ",(1000*BL448*CB448/100))</f>
        <v>#VALUE!</v>
      </c>
      <c r="CG448" s="471" t="str">
        <f t="shared" ref="CG448:CG453" si="1319">IF(BS448&lt;0.45,"No cumple",IF(BS448&gt;5,"No cumple","O.K"))</f>
        <v>No cumple</v>
      </c>
      <c r="CH448" s="471" t="e">
        <f t="shared" ref="CH448:CH453" si="1320">IF(BT448&lt;0.75,"No cumple",IF(BT448&gt;10,"No cumple","O.K"))</f>
        <v>#VALUE!</v>
      </c>
      <c r="CI448" s="471" t="e">
        <f t="shared" ref="CI448:CI453" si="1321">IF(CE448&gt;0.1,"OK","V.C.H.")</f>
        <v>#DIV/0!</v>
      </c>
      <c r="CJ448" s="471" t="e">
        <f t="shared" ref="CJ448:CJ453" si="1322">IF(CF448&gt;0.2,"OK","V.C.H.")</f>
        <v>#VALUE!</v>
      </c>
      <c r="CK448" s="468">
        <f t="shared" ref="CK448:CK453" si="1323">+BJ448</f>
        <v>1.999999999998181E-2</v>
      </c>
      <c r="CL448" s="482" t="s">
        <v>2507</v>
      </c>
      <c r="CM448" s="482"/>
      <c r="CN448" s="63" t="str">
        <f t="shared" ref="CN448:CN453" si="1324">IF(B448=1,"dato"," ")</f>
        <v>dato</v>
      </c>
      <c r="CO448" s="527">
        <f t="shared" si="1257"/>
        <v>24.35</v>
      </c>
      <c r="CP448" s="542">
        <f t="shared" si="1258"/>
        <v>2.217659137576853E-2</v>
      </c>
      <c r="CQ448" s="482" t="s">
        <v>2508</v>
      </c>
      <c r="CR448" s="204">
        <f t="shared" ref="CR448:CR453" si="1325">IF(BA448="","",AX448)</f>
        <v>24.35</v>
      </c>
      <c r="CS448" s="486">
        <v>1.2</v>
      </c>
      <c r="CT448" s="486">
        <v>1.2</v>
      </c>
      <c r="CU448" s="23">
        <f t="shared" ref="CU448:CU453" si="1326">IF($BA448="","",SQRT((BH448-BI448)^2+$CR448^2))</f>
        <v>24.35</v>
      </c>
      <c r="CV448" s="499" t="s">
        <v>2509</v>
      </c>
      <c r="CW448" s="488" t="str">
        <f t="shared" ref="CW448:CW453" si="1327">+IF(BD448&lt;=0.9,"E1",IF(BD448&lt;=2.5,"E2","E3"))</f>
        <v>E2</v>
      </c>
      <c r="CX448" s="204">
        <f>IF(AND(L448="",H448=""),"",IF(AND(BA448&lt;&gt;4,BA448&lt;&gt;5),VLOOKUP(AY448,'TABLA (2)'!$A$9:$D$43,4),IF(BA448=4,VLOOKUP(AY448,'TABLA (2)'!$A$74:$D$89,4),VLOOKUP(AY448,'TABLA (2)'!$A$51:$D$66,4))))</f>
        <v>3.6999999999999998E-2</v>
      </c>
      <c r="CY448" s="482"/>
      <c r="CZ448" s="482"/>
      <c r="DA448" s="482"/>
      <c r="DB448" s="490"/>
    </row>
    <row r="449" spans="1:106" ht="15" hidden="1" customHeight="1">
      <c r="A449" s="465">
        <f>+A448+1</f>
        <v>325</v>
      </c>
      <c r="B449" s="491"/>
      <c r="C449" s="466" t="s">
        <v>2277</v>
      </c>
      <c r="D449" s="466" t="s">
        <v>2278</v>
      </c>
      <c r="E449" s="468">
        <v>4.6298304300000002E-2</v>
      </c>
      <c r="F449" s="468"/>
      <c r="G449" s="537">
        <f t="shared" si="1254"/>
        <v>0.26442872029999998</v>
      </c>
      <c r="H449" s="537">
        <f t="shared" si="1255"/>
        <v>0.31072702459999996</v>
      </c>
      <c r="I449" s="468">
        <v>4.6298304300000002E-2</v>
      </c>
      <c r="J449" s="468"/>
      <c r="K449" s="467">
        <f t="shared" ca="1" si="1265"/>
        <v>0.26442872029999998</v>
      </c>
      <c r="L449" s="468">
        <f t="shared" ca="1" si="1266"/>
        <v>0.31072702459999996</v>
      </c>
      <c r="M449" s="469">
        <f t="shared" si="1267"/>
        <v>242.33666300502347</v>
      </c>
      <c r="N449" s="470">
        <f t="shared" si="1268"/>
        <v>11.219776566853129</v>
      </c>
      <c r="O449" s="470">
        <f t="shared" si="1269"/>
        <v>0</v>
      </c>
      <c r="P449" s="470">
        <f t="shared" si="1270"/>
        <v>75.30055024704383</v>
      </c>
      <c r="Q449" s="469">
        <f t="shared" si="1259"/>
        <v>140</v>
      </c>
      <c r="R449" s="471">
        <f t="shared" si="1271"/>
        <v>0.10371256341896085</v>
      </c>
      <c r="S449" s="471"/>
      <c r="T449" s="471"/>
      <c r="U449" s="471">
        <f t="shared" si="1272"/>
        <v>0</v>
      </c>
      <c r="V449" s="471"/>
      <c r="W449" s="471"/>
      <c r="X449" s="471">
        <f t="shared" si="1273"/>
        <v>0</v>
      </c>
      <c r="Y449" s="471">
        <f t="shared" si="1274"/>
        <v>6.2145404919999994E-2</v>
      </c>
      <c r="Z449" s="471">
        <f t="shared" ca="1" si="1275"/>
        <v>0</v>
      </c>
      <c r="AA449" s="471">
        <f t="shared" si="1185"/>
        <v>3.8</v>
      </c>
      <c r="AB449" s="471">
        <f t="shared" si="1276"/>
        <v>0.3941077409920512</v>
      </c>
      <c r="AC449" s="471">
        <f t="shared" si="1277"/>
        <v>1.5453164484438918E-2</v>
      </c>
      <c r="AD449" s="471">
        <f t="shared" si="1278"/>
        <v>9.2596608600000012E-3</v>
      </c>
      <c r="AE449" s="471">
        <f t="shared" si="1278"/>
        <v>0</v>
      </c>
      <c r="AF449" s="510">
        <f t="shared" si="1175"/>
        <v>3.8</v>
      </c>
      <c r="AG449" s="471">
        <f t="shared" si="1279"/>
        <v>5.8722025040867883E-2</v>
      </c>
      <c r="AH449" s="471">
        <f t="shared" si="1280"/>
        <v>6.798168590086788E-2</v>
      </c>
      <c r="AI449" s="471">
        <f t="shared" ca="1" si="1281"/>
        <v>1.5</v>
      </c>
      <c r="AJ449" s="471">
        <f t="shared" si="1282"/>
        <v>0.75</v>
      </c>
      <c r="AK449" s="472">
        <f t="shared" si="1283"/>
        <v>9.1451292246528121E-3</v>
      </c>
      <c r="AL449" s="471">
        <f t="shared" si="1284"/>
        <v>0.62795725646123268</v>
      </c>
      <c r="AM449" s="473">
        <f t="shared" si="1256"/>
        <v>334.94468374100171</v>
      </c>
      <c r="AN449" s="474">
        <f t="shared" si="1285"/>
        <v>10</v>
      </c>
      <c r="AO449" s="474">
        <f t="shared" si="1286"/>
        <v>0.13972222222222222</v>
      </c>
      <c r="AP449" s="474">
        <f t="shared" si="1287"/>
        <v>10.139722222222222</v>
      </c>
      <c r="AQ449" s="475">
        <v>3</v>
      </c>
      <c r="AR449" s="474">
        <f t="shared" ca="1" si="1288"/>
        <v>0.25432353656181705</v>
      </c>
      <c r="AS449" s="474">
        <f t="shared" ca="1" si="1289"/>
        <v>0.54938769769844209</v>
      </c>
      <c r="AT449" s="471" t="str">
        <f t="shared" ca="1" si="1290"/>
        <v>Disminuir vel.</v>
      </c>
      <c r="AU449" s="492">
        <f t="shared" si="1291"/>
        <v>9.7379660799582446</v>
      </c>
      <c r="AV449" s="471">
        <f t="shared" ca="1" si="1292"/>
        <v>65.355508618080222</v>
      </c>
      <c r="AW449" s="471">
        <f t="shared" ca="1" si="1293"/>
        <v>65.36</v>
      </c>
      <c r="AX449" s="478">
        <f>IF(OR(C449="",D449=""),"",ROUND(((VLOOKUP(C449,'Base de Diseño (2)'!$A$2:$C$333,2,FALSE)-VLOOKUP(D449,'Base de Diseño (2)'!$A$2:$C$333,2,FALSE))^2+(VLOOKUP(C449,'Base de Diseño (2)'!$A$2:$C$333,3,0)-VLOOKUP(D449,'Base de Diseño (2)'!$A$2:$C$333,3,FALSE))^2)^0.5,2))</f>
        <v>25.15</v>
      </c>
      <c r="AY449" s="493">
        <v>8</v>
      </c>
      <c r="AZ449" s="480">
        <f ca="1">IF(AND(L449="",H449=""),"",IF(BA449=4,VLOOKUP(AY449,'TABLA (2)'!$A$74:$C$89,2),IF(BA449=5,VLOOKUP(AY449,'TABLA (2)'!$A$51:$B$66,2),IF(BA449=6,VLOOKUP(AY449,'TABLA (2)'!$A$9:$B$43,2)))))</f>
        <v>200</v>
      </c>
      <c r="BA449" s="493">
        <v>6</v>
      </c>
      <c r="BB449" s="478">
        <f>IF(OR(C449="",D449=""),"",VLOOKUP(C449,'Base de Diseño (2)'!$A$2:$D$330,4,FALSE))</f>
        <v>972.28160000000003</v>
      </c>
      <c r="BC449" s="478">
        <f>IF(OR(C449="",D449=""),"",VLOOKUP(D449,'Base de Diseño (2)'!$A$2:$D$330,4,FALSE))</f>
        <v>972.05160000000001</v>
      </c>
      <c r="BD449" s="23">
        <f t="shared" ca="1" si="1294"/>
        <v>1.7430000000000181</v>
      </c>
      <c r="BE449" s="23">
        <f t="shared" ca="1" si="1295"/>
        <v>1.9630000000000454</v>
      </c>
      <c r="BF449" s="494">
        <v>1.9800000000000182</v>
      </c>
      <c r="BG449" s="494">
        <v>2.2000000000000455</v>
      </c>
      <c r="BH449" s="495">
        <f t="shared" si="1296"/>
        <v>970.30160000000001</v>
      </c>
      <c r="BI449" s="495">
        <f t="shared" si="1296"/>
        <v>969.85159999999996</v>
      </c>
      <c r="BJ449" s="534">
        <f t="shared" si="1262"/>
        <v>1.999999999998181E-2</v>
      </c>
      <c r="BK449" s="475">
        <f t="shared" si="1297"/>
        <v>0.91451292246528126</v>
      </c>
      <c r="BL449" s="475">
        <f t="shared" si="1298"/>
        <v>1.7892644135190676</v>
      </c>
      <c r="BM449" s="475">
        <f t="shared" ca="1" si="1299"/>
        <v>1.3964988404862559</v>
      </c>
      <c r="BN449" s="475">
        <f t="shared" ca="1" si="1300"/>
        <v>43.872304980182868</v>
      </c>
      <c r="BO449" s="204">
        <f t="shared" ca="1" si="1301"/>
        <v>3.4190134315430894E-2</v>
      </c>
      <c r="BP449" s="496">
        <f t="shared" ca="1" si="1302"/>
        <v>1.4897781192377089</v>
      </c>
      <c r="BQ449" s="497">
        <f t="shared" ca="1" si="1303"/>
        <v>0.40109240631245219</v>
      </c>
      <c r="BR449" s="497">
        <f t="shared" ca="1" si="1304"/>
        <v>1.1802108568321057</v>
      </c>
      <c r="BS449" s="475">
        <f t="shared" ca="1" si="1305"/>
        <v>0.56012508034318176</v>
      </c>
      <c r="BT449" s="475">
        <f t="shared" ca="1" si="1306"/>
        <v>1.6481630930953262</v>
      </c>
      <c r="BU449" s="475">
        <f t="shared" ca="1" si="1307"/>
        <v>0.16495972952893745</v>
      </c>
      <c r="BV449" s="475" t="str">
        <f t="shared" ca="1" si="1308"/>
        <v xml:space="preserve"> </v>
      </c>
      <c r="BW449" s="475">
        <f t="shared" ca="1" si="1309"/>
        <v>1.6729580821673249</v>
      </c>
      <c r="BX449" s="475" t="e">
        <f t="shared" ca="1" si="1310"/>
        <v>#VALUE!</v>
      </c>
      <c r="BY449" s="475">
        <f t="shared" ca="1" si="1311"/>
        <v>0.10134325305186725</v>
      </c>
      <c r="BZ449" s="475" t="e">
        <f t="shared" ca="1" si="1312"/>
        <v>#VALUE!</v>
      </c>
      <c r="CA449" s="471">
        <f t="shared" ca="1" si="1313"/>
        <v>2.0268650610373452E-2</v>
      </c>
      <c r="CB449" s="471" t="e">
        <f t="shared" ca="1" si="1314"/>
        <v>#VALUE!</v>
      </c>
      <c r="CC449" s="471" t="e">
        <f t="shared" ca="1" si="1315"/>
        <v>#VALUE!</v>
      </c>
      <c r="CD449" s="471" t="e">
        <f t="shared" ca="1" si="1316"/>
        <v>#VALUE!</v>
      </c>
      <c r="CE449" s="471">
        <f t="shared" ca="1" si="1317"/>
        <v>0.3626597524719275</v>
      </c>
      <c r="CF449" s="471" t="e">
        <f t="shared" ca="1" si="1318"/>
        <v>#VALUE!</v>
      </c>
      <c r="CG449" s="471" t="str">
        <f t="shared" ca="1" si="1319"/>
        <v>O.K</v>
      </c>
      <c r="CH449" s="471" t="str">
        <f t="shared" ca="1" si="1320"/>
        <v>O.K</v>
      </c>
      <c r="CI449" s="471" t="str">
        <f t="shared" ca="1" si="1321"/>
        <v>OK</v>
      </c>
      <c r="CJ449" s="471" t="e">
        <f t="shared" ca="1" si="1322"/>
        <v>#VALUE!</v>
      </c>
      <c r="CK449" s="468">
        <f t="shared" si="1323"/>
        <v>1.999999999998181E-2</v>
      </c>
      <c r="CL449" s="482" t="s">
        <v>2507</v>
      </c>
      <c r="CM449" s="482"/>
      <c r="CN449" s="63" t="str">
        <f t="shared" si="1324"/>
        <v xml:space="preserve"> </v>
      </c>
      <c r="CO449" s="527">
        <f t="shared" si="1257"/>
        <v>25.15</v>
      </c>
      <c r="CP449" s="511">
        <f t="shared" si="1258"/>
        <v>9.1451292246528121E-3</v>
      </c>
      <c r="CQ449" s="482" t="s">
        <v>2508</v>
      </c>
      <c r="CR449" s="204">
        <f t="shared" si="1325"/>
        <v>25.15</v>
      </c>
      <c r="CS449" s="486">
        <v>1.2</v>
      </c>
      <c r="CT449" s="486">
        <v>1.2</v>
      </c>
      <c r="CU449" s="23">
        <f t="shared" si="1326"/>
        <v>25.154025522766727</v>
      </c>
      <c r="CV449" s="499" t="s">
        <v>2509</v>
      </c>
      <c r="CW449" s="488" t="str">
        <f t="shared" ca="1" si="1327"/>
        <v>E2</v>
      </c>
      <c r="CX449" s="204">
        <f ca="1">IF(AND(L449="",H449=""),"",IF(AND(BA449&lt;&gt;4,BA449&lt;&gt;5),VLOOKUP(AY449,'TABLA (2)'!$A$9:$D$43,4),IF(BA449=4,VLOOKUP(AY449,'TABLA (2)'!$A$74:$D$89,4),VLOOKUP(AY449,'TABLA (2)'!$A$51:$D$66,4))))</f>
        <v>3.6999999999999998E-2</v>
      </c>
      <c r="CY449" s="482"/>
      <c r="CZ449" s="482"/>
      <c r="DA449" s="482"/>
      <c r="DB449" s="490"/>
    </row>
    <row r="450" spans="1:106" ht="15" hidden="1" customHeight="1">
      <c r="A450" s="465">
        <f>+A449+1</f>
        <v>326</v>
      </c>
      <c r="B450" s="491"/>
      <c r="C450" s="466" t="s">
        <v>2278</v>
      </c>
      <c r="D450" s="466" t="s">
        <v>2279</v>
      </c>
      <c r="E450" s="468">
        <v>0.11009184990000001</v>
      </c>
      <c r="F450" s="468"/>
      <c r="G450" s="537">
        <f t="shared" si="1254"/>
        <v>2.9379230392999998</v>
      </c>
      <c r="H450" s="537">
        <f t="shared" si="1255"/>
        <v>3.0480148891999996</v>
      </c>
      <c r="I450" s="468">
        <v>0.11009184990000001</v>
      </c>
      <c r="J450" s="468"/>
      <c r="K450" s="467">
        <f t="shared" ca="1" si="1265"/>
        <v>0.39535181929999996</v>
      </c>
      <c r="L450" s="468">
        <f t="shared" ca="1" si="1266"/>
        <v>0.50544366919999995</v>
      </c>
      <c r="M450" s="469">
        <f t="shared" si="1267"/>
        <v>242.33666300502347</v>
      </c>
      <c r="N450" s="470">
        <f t="shared" si="1268"/>
        <v>26.679291528815931</v>
      </c>
      <c r="O450" s="470">
        <f t="shared" si="1269"/>
        <v>0</v>
      </c>
      <c r="P450" s="470">
        <f t="shared" si="1270"/>
        <v>738.6457570383543</v>
      </c>
      <c r="Q450" s="469">
        <f t="shared" si="1259"/>
        <v>140</v>
      </c>
      <c r="R450" s="471">
        <f t="shared" si="1271"/>
        <v>1.0173477440690297</v>
      </c>
      <c r="S450" s="471"/>
      <c r="T450" s="471"/>
      <c r="U450" s="471">
        <f t="shared" si="1272"/>
        <v>0</v>
      </c>
      <c r="V450" s="471"/>
      <c r="W450" s="471"/>
      <c r="X450" s="471">
        <f t="shared" si="1273"/>
        <v>0</v>
      </c>
      <c r="Y450" s="471">
        <f t="shared" si="1274"/>
        <v>0.60960297783999995</v>
      </c>
      <c r="Z450" s="471">
        <f t="shared" ca="1" si="1275"/>
        <v>0</v>
      </c>
      <c r="AA450" s="471">
        <f t="shared" si="1185"/>
        <v>3.8</v>
      </c>
      <c r="AB450" s="471">
        <f t="shared" si="1276"/>
        <v>3.8659214274623128</v>
      </c>
      <c r="AC450" s="471">
        <f t="shared" si="1277"/>
        <v>3.6745783471401568E-2</v>
      </c>
      <c r="AD450" s="471">
        <f t="shared" si="1278"/>
        <v>2.2018369980000004E-2</v>
      </c>
      <c r="AE450" s="471">
        <f t="shared" si="1278"/>
        <v>0</v>
      </c>
      <c r="AF450" s="510">
        <f t="shared" si="1175"/>
        <v>3.8</v>
      </c>
      <c r="AG450" s="471">
        <f t="shared" si="1279"/>
        <v>0.13963397719132595</v>
      </c>
      <c r="AH450" s="471">
        <f t="shared" si="1280"/>
        <v>0.16165234717132596</v>
      </c>
      <c r="AI450" s="471">
        <f t="shared" ca="1" si="1281"/>
        <v>4.4755244053023127</v>
      </c>
      <c r="AJ450" s="471">
        <f t="shared" si="1282"/>
        <v>0.75</v>
      </c>
      <c r="AK450" s="472">
        <f t="shared" si="1283"/>
        <v>7.0703271906731688E-2</v>
      </c>
      <c r="AL450" s="471">
        <f t="shared" si="1284"/>
        <v>0.63103516359533662</v>
      </c>
      <c r="AM450" s="473">
        <f t="shared" si="1256"/>
        <v>333.49591291265591</v>
      </c>
      <c r="AN450" s="474">
        <f t="shared" si="1285"/>
        <v>10.139722222222222</v>
      </c>
      <c r="AO450" s="474">
        <f t="shared" si="1286"/>
        <v>0.14772222222222223</v>
      </c>
      <c r="AP450" s="474">
        <f t="shared" si="1287"/>
        <v>10.287444444444445</v>
      </c>
      <c r="AQ450" s="475">
        <v>3</v>
      </c>
      <c r="AR450" s="474">
        <f t="shared" ca="1" si="1288"/>
        <v>0.20254140549720712</v>
      </c>
      <c r="AS450" s="474">
        <f t="shared" ca="1" si="1289"/>
        <v>0.72934332542813918</v>
      </c>
      <c r="AT450" s="471" t="str">
        <f t="shared" ca="1" si="1290"/>
        <v>Disminuir vel.</v>
      </c>
      <c r="AU450" s="492">
        <f t="shared" si="1291"/>
        <v>23.168570871374193</v>
      </c>
      <c r="AV450" s="471">
        <f t="shared" ca="1" si="1292"/>
        <v>106.36943136103676</v>
      </c>
      <c r="AW450" s="471">
        <f t="shared" ca="1" si="1293"/>
        <v>106.37</v>
      </c>
      <c r="AX450" s="478">
        <f>IF(OR(C450="",D450=""),"",ROUND(((VLOOKUP(C450,'Base de Diseño (2)'!$A$2:$C$333,2,FALSE)-VLOOKUP(D450,'Base de Diseño (2)'!$A$2:$C$333,2,FALSE))^2+(VLOOKUP(C450,'Base de Diseño (2)'!$A$2:$C$333,3,0)-VLOOKUP(D450,'Base de Diseño (2)'!$A$2:$C$333,3,FALSE))^2)^0.5,2))</f>
        <v>26.59</v>
      </c>
      <c r="AY450" s="493">
        <v>8</v>
      </c>
      <c r="AZ450" s="480">
        <f ca="1">IF(AND(L450="",H450=""),"",IF(BA450=4,VLOOKUP(AY450,'TABLA (2)'!$A$74:$C$89,2),IF(BA450=5,VLOOKUP(AY450,'TABLA (2)'!$A$51:$B$66,2),IF(BA450=6,VLOOKUP(AY450,'TABLA (2)'!$A$9:$B$43,2)))))</f>
        <v>200</v>
      </c>
      <c r="BA450" s="493">
        <v>6</v>
      </c>
      <c r="BB450" s="478">
        <f>IF(OR(C450="",D450=""),"",VLOOKUP(C450,'Base de Diseño (2)'!$A$2:$D$330,4,FALSE))</f>
        <v>972.05160000000001</v>
      </c>
      <c r="BC450" s="478">
        <f>IF(OR(C450="",D450=""),"",VLOOKUP(D450,'Base de Diseño (2)'!$A$2:$D$330,4,FALSE))</f>
        <v>970.17160000000001</v>
      </c>
      <c r="BD450" s="23">
        <f t="shared" ca="1" si="1294"/>
        <v>1.9830000000000272</v>
      </c>
      <c r="BE450" s="23">
        <f t="shared" ca="1" si="1295"/>
        <v>0.81299999999995454</v>
      </c>
      <c r="BF450" s="494">
        <v>2.2200000000000273</v>
      </c>
      <c r="BG450" s="494">
        <v>1.0499999999999545</v>
      </c>
      <c r="BH450" s="495">
        <f t="shared" si="1296"/>
        <v>969.83159999999998</v>
      </c>
      <c r="BI450" s="495">
        <f t="shared" si="1296"/>
        <v>969.12160000000006</v>
      </c>
      <c r="BJ450" s="534">
        <f t="shared" si="1262"/>
        <v>0.65000000000009095</v>
      </c>
      <c r="BK450" s="475">
        <f t="shared" si="1297"/>
        <v>7.0703271906731686</v>
      </c>
      <c r="BL450" s="475">
        <f t="shared" si="1298"/>
        <v>2.6701767581794758</v>
      </c>
      <c r="BM450" s="475">
        <f t="shared" ca="1" si="1299"/>
        <v>1.7059775940791826</v>
      </c>
      <c r="BN450" s="475">
        <f t="shared" ca="1" si="1300"/>
        <v>53.594866767479509</v>
      </c>
      <c r="BO450" s="204">
        <f t="shared" ca="1" si="1301"/>
        <v>8.3506587015493572E-2</v>
      </c>
      <c r="BP450" s="496">
        <f t="shared" ca="1" si="1302"/>
        <v>1.9847049991090486</v>
      </c>
      <c r="BQ450" s="497">
        <f t="shared" ca="1" si="1303"/>
        <v>0.51175195953787356</v>
      </c>
      <c r="BR450" s="497">
        <f t="shared" ca="1" si="1304"/>
        <v>1.2825666549656105</v>
      </c>
      <c r="BS450" s="475">
        <f t="shared" ca="1" si="1305"/>
        <v>0.87303737669772874</v>
      </c>
      <c r="BT450" s="475">
        <f t="shared" ca="1" si="1306"/>
        <v>2.1880299762844175</v>
      </c>
      <c r="BU450" s="475">
        <f t="shared" ca="1" si="1307"/>
        <v>0.22255748023337776</v>
      </c>
      <c r="BV450" s="475" t="str">
        <f t="shared" ca="1" si="1308"/>
        <v xml:space="preserve"> </v>
      </c>
      <c r="BW450" s="475">
        <f t="shared" ca="1" si="1309"/>
        <v>1.9651431055678756</v>
      </c>
      <c r="BX450" s="475" t="e">
        <f t="shared" ca="1" si="1310"/>
        <v>#VALUE!</v>
      </c>
      <c r="BY450" s="475">
        <f t="shared" ca="1" si="1311"/>
        <v>0.13254701022965276</v>
      </c>
      <c r="BZ450" s="475" t="e">
        <f t="shared" ca="1" si="1312"/>
        <v>#VALUE!</v>
      </c>
      <c r="CA450" s="471">
        <f t="shared" ca="1" si="1313"/>
        <v>2.6509402045930552E-2</v>
      </c>
      <c r="CB450" s="471" t="e">
        <f t="shared" ca="1" si="1314"/>
        <v>#VALUE!</v>
      </c>
      <c r="CC450" s="471" t="e">
        <f t="shared" ca="1" si="1315"/>
        <v>#VALUE!</v>
      </c>
      <c r="CD450" s="471" t="e">
        <f t="shared" ca="1" si="1316"/>
        <v>#VALUE!</v>
      </c>
      <c r="CE450" s="471">
        <f t="shared" ca="1" si="1317"/>
        <v>0.70784789216279209</v>
      </c>
      <c r="CF450" s="471" t="e">
        <f t="shared" ca="1" si="1318"/>
        <v>#VALUE!</v>
      </c>
      <c r="CG450" s="471" t="str">
        <f t="shared" ca="1" si="1319"/>
        <v>O.K</v>
      </c>
      <c r="CH450" s="471" t="str">
        <f t="shared" ca="1" si="1320"/>
        <v>O.K</v>
      </c>
      <c r="CI450" s="471" t="str">
        <f t="shared" ca="1" si="1321"/>
        <v>OK</v>
      </c>
      <c r="CJ450" s="471" t="e">
        <f t="shared" ca="1" si="1322"/>
        <v>#VALUE!</v>
      </c>
      <c r="CK450" s="468">
        <f t="shared" si="1323"/>
        <v>0.65000000000009095</v>
      </c>
      <c r="CL450" s="482" t="s">
        <v>2507</v>
      </c>
      <c r="CM450" s="482"/>
      <c r="CN450" s="63" t="str">
        <f t="shared" si="1324"/>
        <v xml:space="preserve"> </v>
      </c>
      <c r="CO450" s="527">
        <f t="shared" si="1257"/>
        <v>26.59</v>
      </c>
      <c r="CP450" s="542">
        <f t="shared" si="1258"/>
        <v>7.0703271906731688E-2</v>
      </c>
      <c r="CQ450" s="482" t="s">
        <v>2508</v>
      </c>
      <c r="CR450" s="204">
        <f t="shared" si="1325"/>
        <v>26.59</v>
      </c>
      <c r="CS450" s="486">
        <v>1.2</v>
      </c>
      <c r="CT450" s="486">
        <v>1.2</v>
      </c>
      <c r="CU450" s="23">
        <f t="shared" si="1326"/>
        <v>26.599477438476114</v>
      </c>
      <c r="CV450" s="499" t="s">
        <v>2509</v>
      </c>
      <c r="CW450" s="488" t="str">
        <f t="shared" ca="1" si="1327"/>
        <v>E2</v>
      </c>
      <c r="CX450" s="204">
        <f ca="1">IF(AND(L450="",H450=""),"",IF(AND(BA450&lt;&gt;4,BA450&lt;&gt;5),VLOOKUP(AY450,'TABLA (2)'!$A$9:$D$43,4),IF(BA450=4,VLOOKUP(AY450,'TABLA (2)'!$A$74:$D$89,4),VLOOKUP(AY450,'TABLA (2)'!$A$51:$D$66,4))))</f>
        <v>3.6999999999999998E-2</v>
      </c>
      <c r="CY450" s="482"/>
      <c r="CZ450" s="482"/>
      <c r="DA450" s="482"/>
      <c r="DB450" s="490"/>
    </row>
    <row r="451" spans="1:106" ht="15" hidden="1" customHeight="1">
      <c r="A451" s="465">
        <f>+A450+1</f>
        <v>327</v>
      </c>
      <c r="B451" s="491"/>
      <c r="C451" s="466" t="s">
        <v>2279</v>
      </c>
      <c r="D451" s="466" t="s">
        <v>2280</v>
      </c>
      <c r="E451" s="468"/>
      <c r="F451" s="468"/>
      <c r="G451" s="537">
        <f t="shared" si="1254"/>
        <v>3.0480148891999996</v>
      </c>
      <c r="H451" s="537">
        <f t="shared" si="1255"/>
        <v>3.0480148891999996</v>
      </c>
      <c r="I451" s="468"/>
      <c r="J451" s="468"/>
      <c r="K451" s="467">
        <f t="shared" ca="1" si="1265"/>
        <v>0.50544366919999995</v>
      </c>
      <c r="L451" s="468">
        <f t="shared" ca="1" si="1266"/>
        <v>0.50544366919999995</v>
      </c>
      <c r="M451" s="469">
        <f t="shared" si="1267"/>
        <v>242.33666300502347</v>
      </c>
      <c r="N451" s="470">
        <f t="shared" si="1268"/>
        <v>0</v>
      </c>
      <c r="O451" s="470">
        <f t="shared" si="1269"/>
        <v>0</v>
      </c>
      <c r="P451" s="470">
        <f t="shared" si="1270"/>
        <v>738.6457570383543</v>
      </c>
      <c r="Q451" s="469">
        <f t="shared" si="1259"/>
        <v>140</v>
      </c>
      <c r="R451" s="471">
        <f t="shared" si="1271"/>
        <v>1.0173477440690297</v>
      </c>
      <c r="S451" s="471"/>
      <c r="T451" s="471"/>
      <c r="U451" s="471">
        <f t="shared" si="1272"/>
        <v>0</v>
      </c>
      <c r="V451" s="471"/>
      <c r="W451" s="471"/>
      <c r="X451" s="471">
        <f t="shared" si="1273"/>
        <v>0</v>
      </c>
      <c r="Y451" s="471">
        <f t="shared" si="1274"/>
        <v>0.60960297783999995</v>
      </c>
      <c r="Z451" s="471">
        <f t="shared" ca="1" si="1275"/>
        <v>0</v>
      </c>
      <c r="AA451" s="471">
        <f t="shared" si="1185"/>
        <v>3.8</v>
      </c>
      <c r="AB451" s="471">
        <f t="shared" si="1276"/>
        <v>3.8659214274623128</v>
      </c>
      <c r="AC451" s="471">
        <f t="shared" si="1277"/>
        <v>0</v>
      </c>
      <c r="AD451" s="471">
        <f t="shared" si="1278"/>
        <v>0</v>
      </c>
      <c r="AE451" s="471">
        <f t="shared" si="1278"/>
        <v>0</v>
      </c>
      <c r="AF451" s="510">
        <f t="shared" si="1175"/>
        <v>3.8</v>
      </c>
      <c r="AG451" s="471">
        <f t="shared" si="1279"/>
        <v>0</v>
      </c>
      <c r="AH451" s="471">
        <f t="shared" si="1280"/>
        <v>0</v>
      </c>
      <c r="AI451" s="471">
        <f t="shared" ca="1" si="1281"/>
        <v>4.4755244053023127</v>
      </c>
      <c r="AJ451" s="471">
        <f t="shared" si="1282"/>
        <v>0.75</v>
      </c>
      <c r="AK451" s="472">
        <f t="shared" si="1283"/>
        <v>0.14144736842103617</v>
      </c>
      <c r="AL451" s="471">
        <f t="shared" si="1284"/>
        <v>0.63457236842105191</v>
      </c>
      <c r="AM451" s="473">
        <f t="shared" si="1256"/>
        <v>333.33104129320009</v>
      </c>
      <c r="AN451" s="474">
        <f t="shared" si="1285"/>
        <v>10.287444444444445</v>
      </c>
      <c r="AO451" s="474">
        <f t="shared" si="1286"/>
        <v>1.6888888888888887E-2</v>
      </c>
      <c r="AP451" s="474">
        <f t="shared" si="1287"/>
        <v>10.304333333333334</v>
      </c>
      <c r="AQ451" s="475">
        <v>3</v>
      </c>
      <c r="AR451" s="474">
        <f t="shared" ca="1" si="1288"/>
        <v>1.1170821165046956E-2</v>
      </c>
      <c r="AS451" s="474">
        <f t="shared" ca="1" si="1289"/>
        <v>1.5118753258474438</v>
      </c>
      <c r="AT451" s="471" t="str">
        <f t="shared" ca="1" si="1290"/>
        <v>Aumentar vel.</v>
      </c>
      <c r="AU451" s="492">
        <f t="shared" si="1291"/>
        <v>0</v>
      </c>
      <c r="AV451" s="471">
        <f t="shared" ca="1" si="1292"/>
        <v>106.91279360559413</v>
      </c>
      <c r="AW451" s="471">
        <f t="shared" ca="1" si="1293"/>
        <v>106.91</v>
      </c>
      <c r="AX451" s="478">
        <f>IF(OR(C451="",D451=""),"",ROUND(((VLOOKUP(C451,'Base de Diseño (2)'!$A$2:$C$333,2,FALSE)-VLOOKUP(D451,'Base de Diseño (2)'!$A$2:$C$333,2,FALSE))^2+(VLOOKUP(C451,'Base de Diseño (2)'!$A$2:$C$333,3,0)-VLOOKUP(D451,'Base de Diseño (2)'!$A$2:$C$333,3,FALSE))^2)^0.5,2))</f>
        <v>3.04</v>
      </c>
      <c r="AY451" s="493">
        <v>8</v>
      </c>
      <c r="AZ451" s="480">
        <f ca="1">IF(AND(L451="",H451=""),"",IF(BA451=4,VLOOKUP(AY451,'TABLA (2)'!$A$74:$C$89,2),IF(BA451=5,VLOOKUP(AY451,'TABLA (2)'!$A$51:$B$66,2),IF(BA451=6,VLOOKUP(AY451,'TABLA (2)'!$A$9:$B$43,2)))))</f>
        <v>200</v>
      </c>
      <c r="BA451" s="493">
        <v>6</v>
      </c>
      <c r="BB451" s="478">
        <f>IF(OR(C451="",D451=""),"",VLOOKUP(C451,'Base de Diseño (2)'!$A$2:$D$330,4,FALSE))</f>
        <v>970.17160000000001</v>
      </c>
      <c r="BC451" s="478">
        <f>IF(OR(C451="",D451=""),"",VLOOKUP(D451,'Base de Diseño (2)'!$A$2:$D$330,4,FALSE))</f>
        <v>969.74160000000006</v>
      </c>
      <c r="BD451" s="23">
        <f t="shared" ca="1" si="1294"/>
        <v>1.4630000000000454</v>
      </c>
      <c r="BE451" s="23">
        <f t="shared" ca="1" si="1295"/>
        <v>1.6629999999999772</v>
      </c>
      <c r="BF451" s="494">
        <v>1.7000000000000455</v>
      </c>
      <c r="BG451" s="494">
        <v>1.8999999999999773</v>
      </c>
      <c r="BH451" s="495">
        <f t="shared" si="1296"/>
        <v>968.47159999999997</v>
      </c>
      <c r="BI451" s="495">
        <f t="shared" si="1296"/>
        <v>967.84160000000008</v>
      </c>
      <c r="BJ451" s="534">
        <f t="shared" si="1262"/>
        <v>0.42000000000007276</v>
      </c>
      <c r="BK451" s="475">
        <f t="shared" si="1297"/>
        <v>14.144736842103617</v>
      </c>
      <c r="BL451" s="475">
        <f t="shared" si="1298"/>
        <v>20.723684210522425</v>
      </c>
      <c r="BM451" s="475">
        <f t="shared" ca="1" si="1299"/>
        <v>4.7526605877714987</v>
      </c>
      <c r="BN451" s="475">
        <f t="shared" ca="1" si="1300"/>
        <v>149.30923587548691</v>
      </c>
      <c r="BO451" s="204">
        <f t="shared" ca="1" si="1301"/>
        <v>2.9974866451225938E-2</v>
      </c>
      <c r="BP451" s="496">
        <f t="shared" ca="1" si="1302"/>
        <v>0.71603072223311892</v>
      </c>
      <c r="BQ451" s="497">
        <f t="shared" ca="1" si="1303"/>
        <v>0.38602774855962568</v>
      </c>
      <c r="BR451" s="497">
        <f t="shared" ca="1" si="1304"/>
        <v>0.95433408167467437</v>
      </c>
      <c r="BS451" s="475">
        <f t="shared" ca="1" si="1305"/>
        <v>1.8346588663654988</v>
      </c>
      <c r="BT451" s="475">
        <f t="shared" ca="1" si="1306"/>
        <v>4.5356259775423311</v>
      </c>
      <c r="BU451" s="475">
        <f t="shared" ca="1" si="1307"/>
        <v>0.15647295584459908</v>
      </c>
      <c r="BV451" s="475">
        <f t="shared" ca="1" si="1308"/>
        <v>0.70235381484594694</v>
      </c>
      <c r="BW451" s="475">
        <f t="shared" ca="1" si="1309"/>
        <v>1.6267388610195614</v>
      </c>
      <c r="BX451" s="475">
        <f t="shared" ca="1" si="1310"/>
        <v>3.9749108217196283</v>
      </c>
      <c r="BY451" s="475">
        <f t="shared" ca="1" si="1311"/>
        <v>9.6558711971878902E-2</v>
      </c>
      <c r="BZ451" s="475">
        <f t="shared" ca="1" si="1312"/>
        <v>0.29655240639601294</v>
      </c>
      <c r="CA451" s="471">
        <f t="shared" ca="1" si="1313"/>
        <v>1.9311742394375782E-2</v>
      </c>
      <c r="CB451" s="471">
        <f t="shared" ca="1" si="1314"/>
        <v>5.9310481279202583E-2</v>
      </c>
      <c r="CC451" s="471">
        <f t="shared" ca="1" si="1315"/>
        <v>4.0333635918950579</v>
      </c>
      <c r="CD451" s="471" t="str">
        <f t="shared" ca="1" si="1316"/>
        <v>F. Supercrítico</v>
      </c>
      <c r="CE451" s="471">
        <f t="shared" ca="1" si="1317"/>
        <v>4.0021045093600192</v>
      </c>
      <c r="CF451" s="471">
        <f t="shared" ca="1" si="1318"/>
        <v>12.291316844042965</v>
      </c>
      <c r="CG451" s="471" t="str">
        <f t="shared" ca="1" si="1319"/>
        <v>O.K</v>
      </c>
      <c r="CH451" s="471" t="str">
        <f t="shared" ca="1" si="1320"/>
        <v>O.K</v>
      </c>
      <c r="CI451" s="471" t="str">
        <f t="shared" ca="1" si="1321"/>
        <v>OK</v>
      </c>
      <c r="CJ451" s="471" t="str">
        <f t="shared" ca="1" si="1322"/>
        <v>OK</v>
      </c>
      <c r="CK451" s="468">
        <f t="shared" si="1323"/>
        <v>0.42000000000007276</v>
      </c>
      <c r="CL451" s="482" t="s">
        <v>2507</v>
      </c>
      <c r="CM451" s="482"/>
      <c r="CN451" s="63" t="str">
        <f t="shared" si="1324"/>
        <v xml:space="preserve"> </v>
      </c>
      <c r="CO451" s="527">
        <f t="shared" si="1257"/>
        <v>3.04</v>
      </c>
      <c r="CP451" s="511">
        <f t="shared" si="1258"/>
        <v>0.14144736842103617</v>
      </c>
      <c r="CQ451" s="482" t="s">
        <v>2508</v>
      </c>
      <c r="CR451" s="204">
        <f t="shared" si="1325"/>
        <v>3.04</v>
      </c>
      <c r="CS451" s="486">
        <v>1.2</v>
      </c>
      <c r="CT451" s="486">
        <v>1.2</v>
      </c>
      <c r="CU451" s="23">
        <f t="shared" si="1326"/>
        <v>3.1045933711196145</v>
      </c>
      <c r="CV451" s="499" t="s">
        <v>2509</v>
      </c>
      <c r="CW451" s="488" t="str">
        <f t="shared" ca="1" si="1327"/>
        <v>E2</v>
      </c>
      <c r="CX451" s="204">
        <f ca="1">IF(AND(L451="",H451=""),"",IF(AND(BA451&lt;&gt;4,BA451&lt;&gt;5),VLOOKUP(AY451,'TABLA (2)'!$A$9:$D$43,4),IF(BA451=4,VLOOKUP(AY451,'TABLA (2)'!$A$74:$D$89,4),VLOOKUP(AY451,'TABLA (2)'!$A$51:$D$66,4))))</f>
        <v>3.6999999999999998E-2</v>
      </c>
      <c r="CY451" s="482"/>
      <c r="CZ451" s="482"/>
      <c r="DA451" s="482"/>
      <c r="DB451" s="490"/>
    </row>
    <row r="452" spans="1:106" ht="15" hidden="1" customHeight="1">
      <c r="A452" s="465">
        <f>+A451+1</f>
        <v>328</v>
      </c>
      <c r="B452" s="491"/>
      <c r="C452" s="466" t="s">
        <v>2280</v>
      </c>
      <c r="D452" s="466" t="s">
        <v>2281</v>
      </c>
      <c r="E452" s="468">
        <v>0.14972014859999999</v>
      </c>
      <c r="F452" s="468">
        <v>1.7053195400000001</v>
      </c>
      <c r="G452" s="537">
        <f t="shared" si="1254"/>
        <v>3.0480148891999996</v>
      </c>
      <c r="H452" s="537">
        <f t="shared" si="1255"/>
        <v>4.9030545777999999</v>
      </c>
      <c r="I452" s="468">
        <v>0.14972014859999999</v>
      </c>
      <c r="J452" s="468"/>
      <c r="K452" s="467">
        <f t="shared" ca="1" si="1265"/>
        <v>0.50544366919999995</v>
      </c>
      <c r="L452" s="468">
        <f t="shared" ca="1" si="1266"/>
        <v>0.65516381779999988</v>
      </c>
      <c r="M452" s="469">
        <f t="shared" si="1267"/>
        <v>242.33666300502347</v>
      </c>
      <c r="N452" s="470">
        <f t="shared" si="1268"/>
        <v>36.282681196340235</v>
      </c>
      <c r="O452" s="470">
        <f t="shared" si="1269"/>
        <v>413.26144668086164</v>
      </c>
      <c r="P452" s="470">
        <f t="shared" si="1270"/>
        <v>1188.1898849155561</v>
      </c>
      <c r="Q452" s="469">
        <f t="shared" si="1259"/>
        <v>140</v>
      </c>
      <c r="R452" s="471">
        <f t="shared" si="1271"/>
        <v>1.6365115313073053</v>
      </c>
      <c r="S452" s="471"/>
      <c r="T452" s="471"/>
      <c r="U452" s="471">
        <f t="shared" si="1272"/>
        <v>0</v>
      </c>
      <c r="V452" s="471"/>
      <c r="W452" s="471"/>
      <c r="X452" s="471">
        <f t="shared" si="1273"/>
        <v>0</v>
      </c>
      <c r="Y452" s="471">
        <f t="shared" si="1274"/>
        <v>0.98061091556000002</v>
      </c>
      <c r="Z452" s="471">
        <f t="shared" ca="1" si="1275"/>
        <v>0</v>
      </c>
      <c r="AA452" s="471">
        <f t="shared" si="1185"/>
        <v>3.8</v>
      </c>
      <c r="AB452" s="471">
        <f t="shared" si="1276"/>
        <v>6.2187438189677602</v>
      </c>
      <c r="AC452" s="471">
        <f t="shared" si="1277"/>
        <v>0.6191637872382757</v>
      </c>
      <c r="AD452" s="471">
        <f t="shared" si="1278"/>
        <v>0.37100793772000001</v>
      </c>
      <c r="AE452" s="471">
        <f t="shared" si="1278"/>
        <v>0.95066688584000003</v>
      </c>
      <c r="AF452" s="510">
        <f t="shared" si="1175"/>
        <v>3.8</v>
      </c>
      <c r="AG452" s="471">
        <f t="shared" si="1279"/>
        <v>2.3528223915054474</v>
      </c>
      <c r="AH452" s="471">
        <f t="shared" si="1280"/>
        <v>3.6744972150654474</v>
      </c>
      <c r="AI452" s="471">
        <f t="shared" ca="1" si="1281"/>
        <v>7.19935473452776</v>
      </c>
      <c r="AJ452" s="471">
        <f t="shared" si="1282"/>
        <v>0.75</v>
      </c>
      <c r="AK452" s="472">
        <f t="shared" si="1283"/>
        <v>2.8000000000000712E-2</v>
      </c>
      <c r="AL452" s="471">
        <f t="shared" si="1284"/>
        <v>0.62890000000000013</v>
      </c>
      <c r="AM452" s="473">
        <f t="shared" si="1256"/>
        <v>328.91560370936782</v>
      </c>
      <c r="AN452" s="474">
        <f t="shared" si="1285"/>
        <v>10.304333333333334</v>
      </c>
      <c r="AO452" s="474">
        <f t="shared" si="1286"/>
        <v>0.45833333333333331</v>
      </c>
      <c r="AP452" s="474">
        <f t="shared" si="1287"/>
        <v>10.762666666666668</v>
      </c>
      <c r="AQ452" s="475">
        <v>3</v>
      </c>
      <c r="AR452" s="474" t="e">
        <f t="shared" ca="1" si="1288"/>
        <v>#VALUE!</v>
      </c>
      <c r="AS452" s="474" t="e">
        <f t="shared" ca="1" si="1289"/>
        <v>#VALUE!</v>
      </c>
      <c r="AT452" s="471" t="e">
        <f t="shared" ca="1" si="1290"/>
        <v>#VALUE!</v>
      </c>
      <c r="AU452" s="492">
        <f t="shared" si="1291"/>
        <v>30.970364808091269</v>
      </c>
      <c r="AV452" s="471">
        <f t="shared" ca="1" si="1292"/>
        <v>135.52392671301314</v>
      </c>
      <c r="AW452" s="471">
        <f t="shared" ca="1" si="1293"/>
        <v>142.72</v>
      </c>
      <c r="AX452" s="478">
        <f>IF(OR(C452="",D452=""),"",ROUND(((VLOOKUP(C452,'Base de Diseño (2)'!$A$2:$C$333,2,FALSE)-VLOOKUP(D452,'Base de Diseño (2)'!$A$2:$C$333,2,FALSE))^2+(VLOOKUP(C452,'Base de Diseño (2)'!$A$2:$C$333,3,0)-VLOOKUP(D452,'Base de Diseño (2)'!$A$2:$C$333,3,FALSE))^2)^0.5,2))</f>
        <v>82.5</v>
      </c>
      <c r="AY452" s="493">
        <v>8</v>
      </c>
      <c r="AZ452" s="480">
        <f ca="1">IF(AND(L452="",H452=""),"",IF(BA452=4,VLOOKUP(AY452,'TABLA (2)'!$A$74:$C$89,2),IF(BA452=5,VLOOKUP(AY452,'TABLA (2)'!$A$51:$B$66,2),IF(BA452=6,VLOOKUP(AY452,'TABLA (2)'!$A$9:$B$43,2)))))</f>
        <v>200</v>
      </c>
      <c r="BA452" s="493">
        <v>6</v>
      </c>
      <c r="BB452" s="478">
        <f>IF(OR(C452="",D452=""),"",VLOOKUP(C452,'Base de Diseño (2)'!$A$2:$D$330,4,FALSE))</f>
        <v>969.74160000000006</v>
      </c>
      <c r="BC452" s="478">
        <f>IF(OR(C452="",D452=""),"",VLOOKUP(D452,'Base de Diseño (2)'!$A$2:$D$330,4,FALSE))</f>
        <v>967.4316</v>
      </c>
      <c r="BD452" s="23">
        <f t="shared" ca="1" si="1294"/>
        <v>2.0830000000000499</v>
      </c>
      <c r="BE452" s="23">
        <f t="shared" ca="1" si="1295"/>
        <v>2.0629999999999544</v>
      </c>
      <c r="BF452" s="494">
        <v>2.32000000000005</v>
      </c>
      <c r="BG452" s="494">
        <v>2.2999999999999545</v>
      </c>
      <c r="BH452" s="495">
        <f t="shared" si="1296"/>
        <v>967.42160000000001</v>
      </c>
      <c r="BI452" s="495">
        <f t="shared" si="1296"/>
        <v>965.13160000000005</v>
      </c>
      <c r="BJ452" s="534">
        <f t="shared" si="1262"/>
        <v>0</v>
      </c>
      <c r="BK452" s="475">
        <f t="shared" si="1297"/>
        <v>2.8000000000000713</v>
      </c>
      <c r="BL452" s="475">
        <f t="shared" si="1298"/>
        <v>2.7757575757575319</v>
      </c>
      <c r="BM452" s="475">
        <f t="shared" ca="1" si="1299"/>
        <v>1.7393784462259478</v>
      </c>
      <c r="BN452" s="475">
        <f t="shared" ca="1" si="1300"/>
        <v>54.644185484758673</v>
      </c>
      <c r="BO452" s="204">
        <f t="shared" ca="1" si="1301"/>
        <v>0.13174969432998138</v>
      </c>
      <c r="BP452" s="496">
        <f t="shared" ca="1" si="1302"/>
        <v>2.6118057892876338</v>
      </c>
      <c r="BQ452" s="497">
        <f t="shared" ca="1" si="1303"/>
        <v>0.58213254829837813</v>
      </c>
      <c r="BR452" s="497" t="str">
        <f t="shared" ca="1" si="1304"/>
        <v xml:space="preserve"> </v>
      </c>
      <c r="BS452" s="475">
        <f t="shared" ca="1" si="1305"/>
        <v>1.0125488073567845</v>
      </c>
      <c r="BT452" s="475" t="e">
        <f t="shared" ca="1" si="1306"/>
        <v>#VALUE!</v>
      </c>
      <c r="BU452" s="475">
        <f t="shared" ca="1" si="1307"/>
        <v>0.28667581810526854</v>
      </c>
      <c r="BV452" s="475" t="str">
        <f t="shared" ca="1" si="1308"/>
        <v xml:space="preserve"> </v>
      </c>
      <c r="BW452" s="475">
        <f t="shared" ca="1" si="1309"/>
        <v>2.2600253072806225</v>
      </c>
      <c r="BX452" s="475" t="e">
        <f t="shared" ca="1" si="1310"/>
        <v>#VALUE!</v>
      </c>
      <c r="BY452" s="475">
        <f t="shared" ca="1" si="1311"/>
        <v>0.16463186653157341</v>
      </c>
      <c r="BZ452" s="475" t="e">
        <f t="shared" ca="1" si="1312"/>
        <v>#VALUE!</v>
      </c>
      <c r="CA452" s="471">
        <f t="shared" ca="1" si="1313"/>
        <v>3.2926373306314677E-2</v>
      </c>
      <c r="CB452" s="471" t="e">
        <f t="shared" ca="1" si="1314"/>
        <v>#VALUE!</v>
      </c>
      <c r="CC452" s="471" t="e">
        <f t="shared" ca="1" si="1315"/>
        <v>#VALUE!</v>
      </c>
      <c r="CD452" s="471" t="e">
        <f t="shared" ca="1" si="1316"/>
        <v>#VALUE!</v>
      </c>
      <c r="CE452" s="471">
        <f t="shared" ca="1" si="1317"/>
        <v>0.91395630147223539</v>
      </c>
      <c r="CF452" s="471" t="e">
        <f t="shared" ca="1" si="1318"/>
        <v>#VALUE!</v>
      </c>
      <c r="CG452" s="471" t="str">
        <f t="shared" ca="1" si="1319"/>
        <v>O.K</v>
      </c>
      <c r="CH452" s="471" t="e">
        <f t="shared" ca="1" si="1320"/>
        <v>#VALUE!</v>
      </c>
      <c r="CI452" s="471" t="str">
        <f t="shared" ca="1" si="1321"/>
        <v>OK</v>
      </c>
      <c r="CJ452" s="471" t="e">
        <f t="shared" ca="1" si="1322"/>
        <v>#VALUE!</v>
      </c>
      <c r="CK452" s="468">
        <f t="shared" si="1323"/>
        <v>0</v>
      </c>
      <c r="CL452" s="482" t="s">
        <v>2507</v>
      </c>
      <c r="CM452" s="482"/>
      <c r="CN452" s="63" t="str">
        <f t="shared" si="1324"/>
        <v xml:space="preserve"> </v>
      </c>
      <c r="CO452" s="527">
        <f t="shared" si="1257"/>
        <v>82.5</v>
      </c>
      <c r="CP452" s="542">
        <f t="shared" si="1258"/>
        <v>2.8000000000000712E-2</v>
      </c>
      <c r="CQ452" s="482" t="s">
        <v>2508</v>
      </c>
      <c r="CR452" s="204">
        <f t="shared" si="1325"/>
        <v>82.5</v>
      </c>
      <c r="CS452" s="486">
        <v>1.2</v>
      </c>
      <c r="CT452" s="486">
        <v>1.2</v>
      </c>
      <c r="CU452" s="23">
        <f t="shared" si="1326"/>
        <v>82.531776304645234</v>
      </c>
      <c r="CV452" s="499" t="s">
        <v>2509</v>
      </c>
      <c r="CW452" s="488" t="str">
        <f t="shared" ca="1" si="1327"/>
        <v>E2</v>
      </c>
      <c r="CX452" s="204">
        <f ca="1">IF(AND(L452="",H452=""),"",IF(AND(BA452&lt;&gt;4,BA452&lt;&gt;5),VLOOKUP(AY452,'TABLA (2)'!$A$9:$D$43,4),IF(BA452=4,VLOOKUP(AY452,'TABLA (2)'!$A$74:$D$89,4),VLOOKUP(AY452,'TABLA (2)'!$A$51:$D$66,4))))</f>
        <v>3.6999999999999998E-2</v>
      </c>
      <c r="CY452" s="482"/>
      <c r="CZ452" s="482"/>
      <c r="DA452" s="482"/>
      <c r="DB452" s="490"/>
    </row>
    <row r="453" spans="1:106" ht="15" hidden="1" customHeight="1">
      <c r="A453" s="465">
        <f>+A452+1</f>
        <v>329</v>
      </c>
      <c r="B453" s="491"/>
      <c r="C453" s="466" t="s">
        <v>2281</v>
      </c>
      <c r="D453" s="466" t="s">
        <v>2253</v>
      </c>
      <c r="E453" s="468">
        <v>6.0298882000000005E-2</v>
      </c>
      <c r="F453" s="468"/>
      <c r="G453" s="537">
        <f t="shared" si="1254"/>
        <v>4.9030545777999999</v>
      </c>
      <c r="H453" s="537">
        <f t="shared" si="1255"/>
        <v>4.9633534597999995</v>
      </c>
      <c r="I453" s="468">
        <v>6.0298882000000005E-2</v>
      </c>
      <c r="J453" s="468"/>
      <c r="K453" s="467">
        <f t="shared" ca="1" si="1265"/>
        <v>0.65516381779999988</v>
      </c>
      <c r="L453" s="468">
        <f t="shared" ca="1" si="1266"/>
        <v>0.71546269979999988</v>
      </c>
      <c r="M453" s="469">
        <f t="shared" si="1267"/>
        <v>242.33666300502347</v>
      </c>
      <c r="N453" s="470">
        <f t="shared" si="1268"/>
        <v>14.612629846813677</v>
      </c>
      <c r="O453" s="470">
        <f t="shared" si="1269"/>
        <v>0</v>
      </c>
      <c r="P453" s="470">
        <f t="shared" si="1270"/>
        <v>1202.8025147623698</v>
      </c>
      <c r="Q453" s="469">
        <f t="shared" si="1259"/>
        <v>140</v>
      </c>
      <c r="R453" s="471">
        <f t="shared" si="1271"/>
        <v>1.656637722878727</v>
      </c>
      <c r="S453" s="471"/>
      <c r="T453" s="471"/>
      <c r="U453" s="471">
        <f t="shared" si="1272"/>
        <v>0</v>
      </c>
      <c r="V453" s="471"/>
      <c r="W453" s="471"/>
      <c r="X453" s="471">
        <f t="shared" si="1273"/>
        <v>0</v>
      </c>
      <c r="Y453" s="471">
        <f t="shared" si="1274"/>
        <v>0.99267069195999991</v>
      </c>
      <c r="Z453" s="471">
        <f t="shared" ca="1" si="1275"/>
        <v>0</v>
      </c>
      <c r="AA453" s="471">
        <f t="shared" si="1185"/>
        <v>3.8</v>
      </c>
      <c r="AB453" s="471">
        <f t="shared" si="1276"/>
        <v>6.2952233469391627</v>
      </c>
      <c r="AC453" s="471">
        <f t="shared" si="1277"/>
        <v>2.0126191571421613E-2</v>
      </c>
      <c r="AD453" s="471">
        <f t="shared" si="1278"/>
        <v>1.2059776400000001E-2</v>
      </c>
      <c r="AE453" s="471">
        <f t="shared" si="1278"/>
        <v>0</v>
      </c>
      <c r="AF453" s="510">
        <f t="shared" si="1175"/>
        <v>3.8</v>
      </c>
      <c r="AG453" s="471">
        <f t="shared" si="1279"/>
        <v>7.6479527971402131E-2</v>
      </c>
      <c r="AH453" s="471">
        <f t="shared" si="1280"/>
        <v>8.8539304371402131E-2</v>
      </c>
      <c r="AI453" s="471">
        <f t="shared" ca="1" si="1281"/>
        <v>7.2878940388991627</v>
      </c>
      <c r="AJ453" s="471">
        <f t="shared" si="1282"/>
        <v>0.75</v>
      </c>
      <c r="AK453" s="472">
        <f t="shared" si="1283"/>
        <v>2.369439071566775E-2</v>
      </c>
      <c r="AL453" s="471">
        <f t="shared" si="1284"/>
        <v>0.62868471953578342</v>
      </c>
      <c r="AM453" s="473">
        <f t="shared" si="1256"/>
        <v>327.82631614524331</v>
      </c>
      <c r="AN453" s="474">
        <f t="shared" si="1285"/>
        <v>10.762666666666668</v>
      </c>
      <c r="AO453" s="474">
        <f t="shared" si="1286"/>
        <v>0.11488888888888889</v>
      </c>
      <c r="AP453" s="474">
        <f t="shared" si="1287"/>
        <v>10.877555555555556</v>
      </c>
      <c r="AQ453" s="475">
        <v>3</v>
      </c>
      <c r="AR453" s="474">
        <f t="shared" ca="1" si="1288"/>
        <v>0.21088200327531387</v>
      </c>
      <c r="AS453" s="474">
        <f t="shared" ca="1" si="1289"/>
        <v>0.54480177115397277</v>
      </c>
      <c r="AT453" s="471" t="str">
        <f t="shared" ca="1" si="1290"/>
        <v>Disminuir vel.</v>
      </c>
      <c r="AU453" s="492">
        <f t="shared" si="1291"/>
        <v>12.427563136895643</v>
      </c>
      <c r="AV453" s="471">
        <f t="shared" ca="1" si="1292"/>
        <v>147.45643001902278</v>
      </c>
      <c r="AW453" s="471">
        <f t="shared" ca="1" si="1293"/>
        <v>147.46</v>
      </c>
      <c r="AX453" s="478">
        <f>IF(OR(C453="",D453=""),"",ROUND(((VLOOKUP(C453,'Base de Diseño (2)'!$A$2:$C$333,2,FALSE)-VLOOKUP(D453,'Base de Diseño (2)'!$A$2:$C$333,2,FALSE))^2+(VLOOKUP(C453,'Base de Diseño (2)'!$A$2:$C$333,3,0)-VLOOKUP(D453,'Base de Diseño (2)'!$A$2:$C$333,3,FALSE))^2)^0.5,2))</f>
        <v>20.68</v>
      </c>
      <c r="AY453" s="493">
        <v>12</v>
      </c>
      <c r="AZ453" s="480">
        <f ca="1">IF(AND(L453="",H453=""),"",IF(BA453=4,VLOOKUP(AY453,'TABLA (2)'!$A$74:$C$89,2),IF(BA453=5,VLOOKUP(AY453,'TABLA (2)'!$A$51:$B$66,2),IF(BA453=6,VLOOKUP(AY453,'TABLA (2)'!$A$9:$B$43,2)))))</f>
        <v>300</v>
      </c>
      <c r="BA453" s="493">
        <v>6</v>
      </c>
      <c r="BB453" s="478">
        <f>IF(OR(C453="",D453=""),"",VLOOKUP(C453,'Base de Diseño (2)'!$A$2:$D$330,4,FALSE))</f>
        <v>967.4316</v>
      </c>
      <c r="BC453" s="478">
        <f>IF(OR(C453="",D453=""),"",VLOOKUP(D453,'Base de Diseño (2)'!$A$2:$D$330,4,FALSE))</f>
        <v>966.94159999999999</v>
      </c>
      <c r="BD453" s="23">
        <f t="shared" ca="1" si="1294"/>
        <v>1.9529999999999546</v>
      </c>
      <c r="BE453" s="23">
        <f t="shared" ca="1" si="1295"/>
        <v>1.6729999999999818</v>
      </c>
      <c r="BF453" s="494">
        <v>2.2999999999999545</v>
      </c>
      <c r="BG453" s="494">
        <v>2.0199999999999818</v>
      </c>
      <c r="BH453" s="495">
        <f t="shared" si="1296"/>
        <v>965.13160000000005</v>
      </c>
      <c r="BI453" s="495">
        <f t="shared" si="1296"/>
        <v>964.92160000000001</v>
      </c>
      <c r="BJ453" s="534">
        <f t="shared" si="1262"/>
        <v>964.92160000000001</v>
      </c>
      <c r="BK453" s="475">
        <f t="shared" si="1297"/>
        <v>2.369439071566775</v>
      </c>
      <c r="BL453" s="475">
        <f t="shared" si="1298"/>
        <v>1.0154738878144893</v>
      </c>
      <c r="BM453" s="475">
        <f t="shared" ca="1" si="1299"/>
        <v>1.3785796715003091</v>
      </c>
      <c r="BN453" s="475">
        <f t="shared" ca="1" si="1300"/>
        <v>97.44605478840603</v>
      </c>
      <c r="BO453" s="204">
        <f t="shared" ca="1" si="1301"/>
        <v>7.478901074778313E-2</v>
      </c>
      <c r="BP453" s="496">
        <f t="shared" ca="1" si="1302"/>
        <v>1.5132475123820461</v>
      </c>
      <c r="BQ453" s="497">
        <f t="shared" ca="1" si="1303"/>
        <v>0.49605283678802153</v>
      </c>
      <c r="BR453" s="497">
        <f t="shared" ca="1" si="1304"/>
        <v>1.1855718949367606</v>
      </c>
      <c r="BS453" s="475">
        <f t="shared" ca="1" si="1305"/>
        <v>0.68384835678602718</v>
      </c>
      <c r="BT453" s="475">
        <f t="shared" ca="1" si="1306"/>
        <v>1.6344053134619185</v>
      </c>
      <c r="BU453" s="475">
        <f t="shared" ca="1" si="1307"/>
        <v>0.21544606136442593</v>
      </c>
      <c r="BV453" s="475" t="str">
        <f t="shared" ca="1" si="1308"/>
        <v xml:space="preserve"> </v>
      </c>
      <c r="BW453" s="475">
        <f t="shared" ca="1" si="1309"/>
        <v>1.9307516799202737</v>
      </c>
      <c r="BX453" s="475" t="e">
        <f t="shared" ca="1" si="1310"/>
        <v>#VALUE!</v>
      </c>
      <c r="BY453" s="475">
        <f t="shared" ca="1" si="1311"/>
        <v>0.12881500241303429</v>
      </c>
      <c r="BZ453" s="475" t="e">
        <f t="shared" ca="1" si="1312"/>
        <v>#VALUE!</v>
      </c>
      <c r="CA453" s="471">
        <f t="shared" ca="1" si="1313"/>
        <v>3.8644500723910284E-2</v>
      </c>
      <c r="CB453" s="471" t="e">
        <f t="shared" ca="1" si="1314"/>
        <v>#VALUE!</v>
      </c>
      <c r="CC453" s="471" t="e">
        <f t="shared" ca="1" si="1315"/>
        <v>#VALUE!</v>
      </c>
      <c r="CD453" s="471" t="e">
        <f t="shared" ca="1" si="1316"/>
        <v>#VALUE!</v>
      </c>
      <c r="CE453" s="471">
        <f t="shared" ca="1" si="1317"/>
        <v>0.39242481392759027</v>
      </c>
      <c r="CF453" s="471" t="e">
        <f t="shared" ca="1" si="1318"/>
        <v>#VALUE!</v>
      </c>
      <c r="CG453" s="471" t="str">
        <f t="shared" ca="1" si="1319"/>
        <v>O.K</v>
      </c>
      <c r="CH453" s="471" t="str">
        <f t="shared" ca="1" si="1320"/>
        <v>O.K</v>
      </c>
      <c r="CI453" s="471" t="str">
        <f t="shared" ca="1" si="1321"/>
        <v>OK</v>
      </c>
      <c r="CJ453" s="471" t="e">
        <f t="shared" ca="1" si="1322"/>
        <v>#VALUE!</v>
      </c>
      <c r="CK453" s="468">
        <f t="shared" si="1323"/>
        <v>964.92160000000001</v>
      </c>
      <c r="CL453" s="482" t="s">
        <v>2507</v>
      </c>
      <c r="CM453" s="482"/>
      <c r="CN453" s="63" t="str">
        <f t="shared" si="1324"/>
        <v xml:space="preserve"> </v>
      </c>
      <c r="CO453" s="527">
        <f t="shared" si="1257"/>
        <v>20.68</v>
      </c>
      <c r="CP453" s="511">
        <f t="shared" si="1258"/>
        <v>2.369439071566775E-2</v>
      </c>
      <c r="CQ453" s="482" t="s">
        <v>2508</v>
      </c>
      <c r="CR453" s="204">
        <f t="shared" si="1325"/>
        <v>20.68</v>
      </c>
      <c r="CS453" s="486">
        <v>1.2</v>
      </c>
      <c r="CT453" s="486">
        <v>1.2</v>
      </c>
      <c r="CU453" s="23">
        <f t="shared" si="1326"/>
        <v>20.681066220096099</v>
      </c>
      <c r="CV453" s="499" t="s">
        <v>2509</v>
      </c>
      <c r="CW453" s="488" t="str">
        <f t="shared" ca="1" si="1327"/>
        <v>E2</v>
      </c>
      <c r="CX453" s="204">
        <f ca="1">IF(AND(L453="",H453=""),"",IF(AND(BA453&lt;&gt;4,BA453&lt;&gt;5),VLOOKUP(AY453,'TABLA (2)'!$A$9:$D$43,4),IF(BA453=4,VLOOKUP(AY453,'TABLA (2)'!$A$74:$D$89,4),VLOOKUP(AY453,'TABLA (2)'!$A$51:$D$66,4))))</f>
        <v>4.7E-2</v>
      </c>
      <c r="CY453" s="482"/>
      <c r="CZ453" s="482"/>
      <c r="DA453" s="482"/>
      <c r="DB453" s="490"/>
    </row>
    <row r="454" spans="1:106" ht="15" hidden="1" customHeight="1">
      <c r="A454" s="465"/>
      <c r="B454" s="491"/>
      <c r="C454" s="466"/>
      <c r="D454" s="466"/>
      <c r="E454" s="468"/>
      <c r="F454" s="468"/>
      <c r="G454" s="537">
        <f t="shared" si="1254"/>
        <v>0</v>
      </c>
      <c r="H454" s="537">
        <f t="shared" si="1255"/>
        <v>0</v>
      </c>
      <c r="I454" s="468"/>
      <c r="J454" s="468"/>
      <c r="K454" s="467"/>
      <c r="L454" s="468"/>
      <c r="M454" s="469"/>
      <c r="N454" s="470"/>
      <c r="O454" s="470"/>
      <c r="P454" s="470"/>
      <c r="Q454" s="469">
        <f t="shared" si="1259"/>
        <v>140</v>
      </c>
      <c r="R454" s="471"/>
      <c r="S454" s="471"/>
      <c r="T454" s="471"/>
      <c r="U454" s="471"/>
      <c r="V454" s="471"/>
      <c r="W454" s="471"/>
      <c r="X454" s="471"/>
      <c r="Y454" s="471"/>
      <c r="Z454" s="471"/>
      <c r="AA454" s="471" t="str">
        <f t="shared" si="1185"/>
        <v/>
      </c>
      <c r="AB454" s="471"/>
      <c r="AC454" s="471"/>
      <c r="AD454" s="471"/>
      <c r="AE454" s="471"/>
      <c r="AF454" s="510" t="str">
        <f t="shared" si="1175"/>
        <v/>
      </c>
      <c r="AG454" s="471"/>
      <c r="AH454" s="471"/>
      <c r="AI454" s="471"/>
      <c r="AJ454" s="471"/>
      <c r="AK454" s="472"/>
      <c r="AL454" s="471"/>
      <c r="AM454" s="473">
        <f t="shared" si="1256"/>
        <v>474.44695720875893</v>
      </c>
      <c r="AN454" s="474">
        <f t="shared" si="1285"/>
        <v>10.877555555555556</v>
      </c>
      <c r="AO454" s="474"/>
      <c r="AP454" s="474"/>
      <c r="AQ454" s="475">
        <v>3</v>
      </c>
      <c r="AR454" s="474"/>
      <c r="AS454" s="474"/>
      <c r="AT454" s="471"/>
      <c r="AU454" s="492"/>
      <c r="AV454" s="471"/>
      <c r="AW454" s="471"/>
      <c r="AX454" s="478"/>
      <c r="AY454" s="493"/>
      <c r="AZ454" s="480"/>
      <c r="BA454" s="493"/>
      <c r="BB454" s="478" t="str">
        <f>IF(OR(C454="",D454=""),"",VLOOKUP(C454,'Base de Diseño (2)'!$A$2:$D$330,4,FALSE))</f>
        <v/>
      </c>
      <c r="BC454" s="478" t="str">
        <f>IF(OR(C454="",D454=""),"",VLOOKUP(D454,'Base de Diseño (2)'!$A$2:$D$330,4,FALSE))</f>
        <v/>
      </c>
      <c r="BD454" s="23"/>
      <c r="BE454" s="23"/>
      <c r="BF454" s="494"/>
      <c r="BG454" s="494"/>
      <c r="BH454" s="495"/>
      <c r="BI454" s="495"/>
      <c r="BJ454" s="534">
        <f t="shared" si="1262"/>
        <v>0</v>
      </c>
      <c r="BK454" s="475"/>
      <c r="BL454" s="475"/>
      <c r="BM454" s="475"/>
      <c r="BN454" s="475"/>
      <c r="BO454" s="204"/>
      <c r="BP454" s="496"/>
      <c r="BQ454" s="497"/>
      <c r="BR454" s="497"/>
      <c r="BS454" s="475"/>
      <c r="BT454" s="475"/>
      <c r="BU454" s="475"/>
      <c r="BV454" s="475"/>
      <c r="BW454" s="475"/>
      <c r="BX454" s="475"/>
      <c r="BY454" s="475"/>
      <c r="BZ454" s="475"/>
      <c r="CA454" s="471"/>
      <c r="CB454" s="471"/>
      <c r="CC454" s="471" t="e">
        <f t="shared" si="1315"/>
        <v>#DIV/0!</v>
      </c>
      <c r="CD454" s="471"/>
      <c r="CE454" s="471"/>
      <c r="CF454" s="471"/>
      <c r="CG454" s="471"/>
      <c r="CH454" s="471"/>
      <c r="CI454" s="471"/>
      <c r="CJ454" s="471"/>
      <c r="CK454" s="468"/>
      <c r="CL454" s="482" t="s">
        <v>2507</v>
      </c>
      <c r="CM454" s="482"/>
      <c r="CN454" s="63"/>
      <c r="CO454" s="527">
        <f t="shared" si="1257"/>
        <v>0</v>
      </c>
      <c r="CP454" s="542">
        <f t="shared" si="1258"/>
        <v>0</v>
      </c>
      <c r="CQ454" s="482"/>
      <c r="CR454" s="204"/>
      <c r="CS454" s="486"/>
      <c r="CT454" s="486"/>
      <c r="CU454" s="23"/>
      <c r="CV454" s="499"/>
      <c r="CW454" s="488"/>
      <c r="CX454" s="204"/>
      <c r="CY454" s="482"/>
      <c r="CZ454" s="482"/>
      <c r="DA454" s="482"/>
      <c r="DB454" s="490"/>
    </row>
    <row r="455" spans="1:106" ht="15" hidden="1" customHeight="1">
      <c r="A455" s="465">
        <f>+A453+1</f>
        <v>330</v>
      </c>
      <c r="B455" s="491">
        <v>1</v>
      </c>
      <c r="C455" s="466" t="s">
        <v>2314</v>
      </c>
      <c r="D455" s="466" t="s">
        <v>2278</v>
      </c>
      <c r="E455" s="468">
        <v>8.4624794699999992E-2</v>
      </c>
      <c r="F455" s="468">
        <v>2.5425712200000001</v>
      </c>
      <c r="G455" s="537">
        <f t="shared" si="1254"/>
        <v>0</v>
      </c>
      <c r="H455" s="537">
        <f t="shared" si="1255"/>
        <v>2.6271960147</v>
      </c>
      <c r="I455" s="468">
        <v>8.4624794699999992E-2</v>
      </c>
      <c r="J455" s="468"/>
      <c r="K455" s="467">
        <f>+IF(B455=1,0,SUMIF($D$22:$D$583,C455,$L$22:$L$580))</f>
        <v>0</v>
      </c>
      <c r="L455" s="468">
        <f>+I455+J455+K455</f>
        <v>8.4624794699999992E-2</v>
      </c>
      <c r="M455" s="469">
        <f>+$P$12</f>
        <v>242.33666300502347</v>
      </c>
      <c r="N455" s="470">
        <f>M455*E455</f>
        <v>20.507690355083195</v>
      </c>
      <c r="O455" s="470">
        <f>M455*F455</f>
        <v>616.15822490741141</v>
      </c>
      <c r="P455" s="470">
        <f>M455*H455</f>
        <v>636.66591526249454</v>
      </c>
      <c r="Q455" s="469">
        <f t="shared" si="1259"/>
        <v>140</v>
      </c>
      <c r="R455" s="471">
        <f>Q455*P455*$P$14/86400</f>
        <v>0.87688939717866732</v>
      </c>
      <c r="S455" s="471"/>
      <c r="T455" s="471"/>
      <c r="U455" s="471">
        <f>IF(C455="","",T455*$P$17)</f>
        <v>0</v>
      </c>
      <c r="V455" s="471"/>
      <c r="W455" s="471"/>
      <c r="X455" s="471">
        <f>IF(C455="","",W455*$P$16)</f>
        <v>0</v>
      </c>
      <c r="Y455" s="471">
        <f>IF(H455=0,0,$H$15*H455)</f>
        <v>0.52543920294000002</v>
      </c>
      <c r="Z455" s="471">
        <f>IF(L455=0,$H$16*H455,0)</f>
        <v>0</v>
      </c>
      <c r="AA455" s="471">
        <f t="shared" si="1185"/>
        <v>3.8</v>
      </c>
      <c r="AB455" s="471">
        <f>R455*AA455</f>
        <v>3.3321797092789356</v>
      </c>
      <c r="AC455" s="471">
        <f>Q455*(N455+O455)*$P$14/86400</f>
        <v>0.87688939717866743</v>
      </c>
      <c r="AD455" s="471">
        <f>IF(E455=0,0,$H$15*(E455+F455))</f>
        <v>0.52543920294000002</v>
      </c>
      <c r="AE455" s="471">
        <f>IF(F455=0,0,$H$15*(F455+G455))</f>
        <v>0.508514244</v>
      </c>
      <c r="AF455" s="510">
        <f t="shared" ref="AF455:AF502" si="1328">IF(N455="","",IF(1+((14/(4+(((N455+O455)+O455)/1000)^1/2)))&lt;1.4,1.4,IF(1+((14/(4+((N455+O455)/1000)^1/2)))&gt;=3.8,3.8,(1+((14/(4+((N455+O455)/1000)^1/2)))))))</f>
        <v>3.8</v>
      </c>
      <c r="AG455" s="471">
        <f>AC455*AF455</f>
        <v>3.332179709278936</v>
      </c>
      <c r="AH455" s="471">
        <f>+AD455+AE455+AG455</f>
        <v>4.3661331562189361</v>
      </c>
      <c r="AI455" s="471">
        <f>IF(H455="","",IF(AB455+Y455+Z455+X455+U455&lt;1.5,1.5,AB455+Y455+Z455+X455+U455))</f>
        <v>3.8576189122189355</v>
      </c>
      <c r="AJ455" s="471">
        <f>+$P$17</f>
        <v>0.75</v>
      </c>
      <c r="AK455" s="472">
        <f>+BK455/100</f>
        <v>1.1386279533152183E-3</v>
      </c>
      <c r="AL455" s="471">
        <f>IF(AJ455=0," ",0.14+0.65*AJ455+0.05*AK455)</f>
        <v>0.62755693139766577</v>
      </c>
      <c r="AM455" s="473">
        <f t="shared" si="1256"/>
        <v>299.53433705823028</v>
      </c>
      <c r="AN455" s="474">
        <f t="shared" si="1285"/>
        <v>13.946020016252513</v>
      </c>
      <c r="AO455" s="474">
        <f>((1/60)*$AX455/$AQ455)</f>
        <v>0.19516666666666668</v>
      </c>
      <c r="AP455" s="474">
        <f>IF(B455=1,IF(($AN455+$AO455)&lt;10,10,IF(($AN455+$AO455)&gt;20,20,($AN455+$AO455))),($AN455+$AO455))</f>
        <v>14.14118668291918</v>
      </c>
      <c r="AQ455" s="475">
        <v>3</v>
      </c>
      <c r="AR455" s="474">
        <f>((1/60)*$AX455/$BT455)</f>
        <v>0.48126045922379423</v>
      </c>
      <c r="AS455" s="474">
        <f>AO455/AR455</f>
        <v>0.40553231192407374</v>
      </c>
      <c r="AT455" s="471" t="str">
        <f>IF(AS455&lt;0.9,"Disminuir vel.",IF(AS455&gt;1.1,"Aumentar vel.","Cumple"))</f>
        <v>Disminuir vel.</v>
      </c>
      <c r="AU455" s="492">
        <f>+I455*AL455*AM455</f>
        <v>15.907333040295981</v>
      </c>
      <c r="AV455" s="471">
        <f>+L455*AL455*AM455</f>
        <v>15.907333040295981</v>
      </c>
      <c r="AW455" s="471">
        <f>ROUND(IF(AI455&gt;(AV455*0.05),(AV455+AI455),AV455),2)</f>
        <v>19.760000000000002</v>
      </c>
      <c r="AX455" s="478">
        <f>IF(OR(C455="",D455=""),"",ROUND(((VLOOKUP(C455,'Base de Diseño (2)'!$A$2:$C$333,2,FALSE)-VLOOKUP(D455,'Base de Diseño (2)'!$A$2:$C$333,2,FALSE))^2+(VLOOKUP(C455,'Base de Diseño (2)'!$A$2:$C$333,3,0)-VLOOKUP(D455,'Base de Diseño (2)'!$A$2:$C$333,3,FALSE))^2)^0.5,2))</f>
        <v>35.130000000000003</v>
      </c>
      <c r="AY455" s="493">
        <v>8</v>
      </c>
      <c r="AZ455" s="480">
        <f>IF(AND(L455="",H455=""),"",IF(BA455=4,VLOOKUP(AY455,'TABLA (2)'!$A$74:$C$89,2),IF(BA455=5,VLOOKUP(AY455,'TABLA (2)'!$A$51:$B$66,2),IF(BA455=6,VLOOKUP(AY455,'TABLA (2)'!$A$9:$B$43,2)))))</f>
        <v>200</v>
      </c>
      <c r="BA455" s="493">
        <v>6</v>
      </c>
      <c r="BB455" s="478">
        <f>IF(OR(C455="",D455=""),"",VLOOKUP(C455,'Base de Diseño (2)'!$A$2:$D$330,4,FALSE))</f>
        <v>972.09159999999997</v>
      </c>
      <c r="BC455" s="478">
        <f>IF(OR(C455="",D455=""),"",VLOOKUP(D455,'Base de Diseño (2)'!$A$2:$D$330,4,FALSE))</f>
        <v>972.05160000000001</v>
      </c>
      <c r="BD455" s="23">
        <f>+BF455-((AZ455/1000)+CX455)</f>
        <v>1.2829999999999817</v>
      </c>
      <c r="BE455" s="23">
        <f>+BG455-((AZ455/1000)+CX455)</f>
        <v>1.9530000000000545</v>
      </c>
      <c r="BF455" s="494">
        <v>1.5199999999999818</v>
      </c>
      <c r="BG455" s="494">
        <v>2.1900000000000546</v>
      </c>
      <c r="BH455" s="495">
        <f>BB455-BF455</f>
        <v>970.57159999999999</v>
      </c>
      <c r="BI455" s="495">
        <f>BC455-BG455</f>
        <v>969.86159999999995</v>
      </c>
      <c r="BJ455" s="534">
        <f t="shared" si="1262"/>
        <v>969.86159999999995</v>
      </c>
      <c r="BK455" s="475">
        <f>ABS((BB455-BC455)/AX455)*100</f>
        <v>0.11386279533152184</v>
      </c>
      <c r="BL455" s="475">
        <f>((BH455-BI455)/AX455)*100</f>
        <v>2.0210646171364539</v>
      </c>
      <c r="BM455" s="475">
        <f>IF(BA455=6,(1/0.013)*((AZ455/4000)^(2/3))*((BL455/100)^(0.5)),(1/0.009)*((AZ455/4000)^(2/3))*((BL455/100)^(0.5)))</f>
        <v>1.48420338148414</v>
      </c>
      <c r="BN455" s="475">
        <f>1000*BM455*PI()*((AZ455/1000/2)^2)</f>
        <v>46.627624397037046</v>
      </c>
      <c r="BO455" s="204">
        <f>AI455/BN455</f>
        <v>8.2732478055735303E-2</v>
      </c>
      <c r="BP455" s="496">
        <f>IF(L455=0," ",AW455/BN455)</f>
        <v>0.42378311688672804</v>
      </c>
      <c r="BQ455" s="497">
        <f>IF($BO455&gt;0 =AND($BO455&lt;=0.06),10^(0.029806+0.29095*LOG($BO455)),IF($BO455&gt;0.06 =AND($BO455&lt;=0.26),10^(0.013778+0.282597*LOG($BO455)),IF($BO455&gt;0.26 =AND($BO455&lt;=0.91),10^(0.021763+0.28995*LOG($BO455)),1)))</f>
        <v>0.51040684948736359</v>
      </c>
      <c r="BR455" s="497">
        <f>IF($BP455&gt;0 =AND($BP455&lt;=0.06),10^(0.029806+0.29095*LOG($BP455)),IF($BP455&gt;0.06 =AND($BP455&lt;=0.26),10^(0.013778+0.282597*LOG($BP455)),IF($BP455&gt;0.26 =AND($BP455&lt;=2),10^(0.021763+0.28995*LOG($BP455))," ")))</f>
        <v>0.81969691684415658</v>
      </c>
      <c r="BS455" s="475">
        <f>BM455*BQ455</f>
        <v>0.75754757194181155</v>
      </c>
      <c r="BT455" s="475">
        <f>IF(BP455=" "," ",(BM455*BR455))</f>
        <v>1.2165969357722211</v>
      </c>
      <c r="BU455" s="475">
        <f>IF(BO455&lt;=0.11,0.3827+0.0645*LN(BO455),IF(BO455&lt;=0.21,0.60025+0.15471*LN(BO455),IF(BO455&lt;1,0.225+0.6666666667*BO455,0)))</f>
        <v>0.22195677439109215</v>
      </c>
      <c r="BV455" s="475">
        <f>IF(BP455&lt;=0.11,0.3827+0.0645*LN(BP455),IF(BP455&lt;=0.21,0.60025+0.15471*LN(BP455),IF(BP455&lt;1,0.225+0.6666666667*BP455," ")))</f>
        <v>0.50752207793861148</v>
      </c>
      <c r="BW455" s="475">
        <f>2*ACOS(1-2*(BU455))</f>
        <v>1.9622534500578237</v>
      </c>
      <c r="BX455" s="475">
        <f>IF(BP455=" "," ",(2*ACOS(1-2*(BV455))))</f>
        <v>3.1716821004241944</v>
      </c>
      <c r="BY455" s="475">
        <f>(1/4)*(1-(SIN(BW455))/BW455)</f>
        <v>0.13223309063935379</v>
      </c>
      <c r="BZ455" s="475">
        <f>IF(BP455=" "," ",((1/4)*(1-(SIN(BX455))/BX455)))</f>
        <v>0.2523713683871962</v>
      </c>
      <c r="CA455" s="471">
        <f>BY455*AZ455/1000</f>
        <v>2.6446618127870757E-2</v>
      </c>
      <c r="CB455" s="471">
        <f>IF(BP455=" "," ",(BZ455*AZ455/1000))</f>
        <v>5.0474273677439244E-2</v>
      </c>
      <c r="CC455" s="471">
        <f t="shared" si="1315"/>
        <v>1.3728490003833593</v>
      </c>
      <c r="CD455" s="471" t="str">
        <f>IF(CC455="","",IF(CC455&lt;0.7,"F. Subcrítico",IF(AND(CC455&gt;0.7,CC455&lt;1),"F. Subcrítico Inestable",IF(CC455=1,"F. Crítico",IF(AND(CC455&gt;1,CC455&lt;1.5),"F. Supercrítico Inestable",IF(CC455&gt;1.5,"F. Supercrítico",""))))))</f>
        <v>F. Supercrítico Inestable</v>
      </c>
      <c r="CE455" s="471">
        <f>1000*BL455*CA455/100</f>
        <v>0.53450324141159111</v>
      </c>
      <c r="CF455" s="471">
        <f>IF(BP455=" "," ",(1000*BL455*CB455/100))</f>
        <v>1.0201176860513435</v>
      </c>
      <c r="CG455" s="471" t="str">
        <f>IF(BS455&lt;0.45,"No cumple",IF(BS455&gt;5,"No cumple","O.K"))</f>
        <v>O.K</v>
      </c>
      <c r="CH455" s="471" t="str">
        <f>IF(BT455&lt;0.75,"No cumple",IF(BT455&gt;10,"No cumple","O.K"))</f>
        <v>O.K</v>
      </c>
      <c r="CI455" s="471" t="str">
        <f>IF(CE455&gt;0.1,"OK","V.C.H.")</f>
        <v>OK</v>
      </c>
      <c r="CJ455" s="471" t="str">
        <f>IF(CF455&gt;0.2,"OK","V.C.H.")</f>
        <v>OK</v>
      </c>
      <c r="CK455" s="468">
        <f>+BJ455</f>
        <v>969.86159999999995</v>
      </c>
      <c r="CL455" s="482" t="s">
        <v>2507</v>
      </c>
      <c r="CM455" s="482"/>
      <c r="CN455" s="63" t="str">
        <f>IF(B455=1,"dato"," ")</f>
        <v>dato</v>
      </c>
      <c r="CO455" s="527">
        <f t="shared" si="1257"/>
        <v>35.130000000000003</v>
      </c>
      <c r="CP455" s="511">
        <f t="shared" si="1258"/>
        <v>1.1386279533152183E-3</v>
      </c>
      <c r="CQ455" s="482" t="s">
        <v>2508</v>
      </c>
      <c r="CR455" s="204">
        <f>IF(BA455="","",AX455)</f>
        <v>35.130000000000003</v>
      </c>
      <c r="CS455" s="486">
        <v>1.2</v>
      </c>
      <c r="CT455" s="486">
        <v>1.2</v>
      </c>
      <c r="CU455" s="23">
        <f>IF($BA455="","",SQRT((BH455-BI455)^2+$CR455^2))</f>
        <v>35.137174046869511</v>
      </c>
      <c r="CV455" s="499" t="s">
        <v>2509</v>
      </c>
      <c r="CW455" s="488" t="str">
        <f>+IF(BD455&lt;=0.9,"E1",IF(BD455&lt;=2.5,"E2","E3"))</f>
        <v>E2</v>
      </c>
      <c r="CX455" s="204">
        <f>IF(AND(L455="",H455=""),"",IF(AND(BA455&lt;&gt;4,BA455&lt;&gt;5),VLOOKUP(AY455,'TABLA (2)'!$A$9:$D$43,4),IF(BA455=4,VLOOKUP(AY455,'TABLA (2)'!$A$74:$D$89,4),VLOOKUP(AY455,'TABLA (2)'!$A$51:$D$66,4))))</f>
        <v>3.6999999999999998E-2</v>
      </c>
      <c r="CY455" s="482"/>
      <c r="CZ455" s="482"/>
      <c r="DA455" s="482"/>
      <c r="DB455" s="490"/>
    </row>
    <row r="456" spans="1:106" ht="15" hidden="1" customHeight="1">
      <c r="A456" s="465"/>
      <c r="B456" s="491"/>
      <c r="C456" s="466"/>
      <c r="D456" s="466"/>
      <c r="E456" s="468"/>
      <c r="F456" s="468"/>
      <c r="G456" s="537">
        <f t="shared" ref="G456:G487" si="1329">IF(B456=1,0,SUMIF($D$22:$D$583,C456,$H$22:$H$583))</f>
        <v>0</v>
      </c>
      <c r="H456" s="537">
        <f t="shared" ref="H456:H487" si="1330">+E456+F456+G456</f>
        <v>0</v>
      </c>
      <c r="I456" s="468"/>
      <c r="J456" s="468"/>
      <c r="K456" s="467"/>
      <c r="L456" s="468"/>
      <c r="M456" s="469"/>
      <c r="N456" s="470"/>
      <c r="O456" s="470"/>
      <c r="P456" s="470"/>
      <c r="Q456" s="469">
        <f t="shared" si="1259"/>
        <v>140</v>
      </c>
      <c r="R456" s="471"/>
      <c r="S456" s="471"/>
      <c r="T456" s="471"/>
      <c r="U456" s="471"/>
      <c r="V456" s="471"/>
      <c r="W456" s="471"/>
      <c r="X456" s="471"/>
      <c r="Y456" s="471"/>
      <c r="Z456" s="471"/>
      <c r="AA456" s="471" t="str">
        <f t="shared" si="1185"/>
        <v/>
      </c>
      <c r="AB456" s="471"/>
      <c r="AC456" s="471"/>
      <c r="AD456" s="471"/>
      <c r="AE456" s="471"/>
      <c r="AF456" s="510" t="str">
        <f t="shared" si="1328"/>
        <v/>
      </c>
      <c r="AG456" s="471"/>
      <c r="AH456" s="471"/>
      <c r="AI456" s="471"/>
      <c r="AJ456" s="471"/>
      <c r="AK456" s="472"/>
      <c r="AL456" s="471"/>
      <c r="AM456" s="473">
        <f t="shared" ref="AM456:AM487" si="1331">((100/36)*$AM$14*(AP456+$AN$14)^$AO$14)</f>
        <v>474.44695720875893</v>
      </c>
      <c r="AN456" s="474">
        <f t="shared" si="1285"/>
        <v>14.14118668291918</v>
      </c>
      <c r="AO456" s="474"/>
      <c r="AP456" s="474"/>
      <c r="AQ456" s="475">
        <v>3</v>
      </c>
      <c r="AR456" s="474"/>
      <c r="AS456" s="474"/>
      <c r="AT456" s="471"/>
      <c r="AU456" s="492"/>
      <c r="AV456" s="471"/>
      <c r="AW456" s="471"/>
      <c r="AX456" s="478"/>
      <c r="AY456" s="493"/>
      <c r="AZ456" s="480"/>
      <c r="BA456" s="493"/>
      <c r="BB456" s="478" t="str">
        <f>IF(OR(C456="",D456=""),"",VLOOKUP(C456,'Base de Diseño (2)'!$A$2:$D$330,4,FALSE))</f>
        <v/>
      </c>
      <c r="BC456" s="478" t="str">
        <f>IF(OR(C456="",D456=""),"",VLOOKUP(D456,'Base de Diseño (2)'!$A$2:$D$330,4,FALSE))</f>
        <v/>
      </c>
      <c r="BD456" s="23"/>
      <c r="BE456" s="23"/>
      <c r="BF456" s="494"/>
      <c r="BG456" s="494"/>
      <c r="BH456" s="495"/>
      <c r="BI456" s="495"/>
      <c r="BJ456" s="534">
        <f t="shared" si="1262"/>
        <v>0</v>
      </c>
      <c r="BK456" s="475"/>
      <c r="BL456" s="475"/>
      <c r="BM456" s="475"/>
      <c r="BN456" s="475"/>
      <c r="BO456" s="204"/>
      <c r="BP456" s="496"/>
      <c r="BQ456" s="497"/>
      <c r="BR456" s="497"/>
      <c r="BS456" s="475"/>
      <c r="BT456" s="475"/>
      <c r="BU456" s="475"/>
      <c r="BV456" s="475"/>
      <c r="BW456" s="475"/>
      <c r="BX456" s="475"/>
      <c r="BY456" s="475"/>
      <c r="BZ456" s="475"/>
      <c r="CA456" s="471"/>
      <c r="CB456" s="471"/>
      <c r="CC456" s="471" t="e">
        <f t="shared" si="1315"/>
        <v>#DIV/0!</v>
      </c>
      <c r="CD456" s="471"/>
      <c r="CE456" s="471"/>
      <c r="CF456" s="471"/>
      <c r="CG456" s="471"/>
      <c r="CH456" s="471"/>
      <c r="CI456" s="471"/>
      <c r="CJ456" s="471"/>
      <c r="CK456" s="468"/>
      <c r="CL456" s="482" t="s">
        <v>2507</v>
      </c>
      <c r="CM456" s="482"/>
      <c r="CN456" s="63"/>
      <c r="CO456" s="527">
        <f t="shared" ref="CO456:CO487" si="1332">+CR456</f>
        <v>0</v>
      </c>
      <c r="CP456" s="542">
        <f t="shared" ref="CP456:CP487" si="1333">+BK456/100</f>
        <v>0</v>
      </c>
      <c r="CQ456" s="482"/>
      <c r="CR456" s="204"/>
      <c r="CS456" s="486"/>
      <c r="CT456" s="486"/>
      <c r="CU456" s="23"/>
      <c r="CV456" s="499"/>
      <c r="CW456" s="488"/>
      <c r="CX456" s="204"/>
      <c r="CY456" s="482"/>
      <c r="CZ456" s="482"/>
      <c r="DA456" s="482"/>
      <c r="DB456" s="490"/>
    </row>
    <row r="457" spans="1:106" ht="15" hidden="1" customHeight="1">
      <c r="A457" s="465">
        <f>+A455+1</f>
        <v>331</v>
      </c>
      <c r="B457" s="491">
        <v>1</v>
      </c>
      <c r="C457" s="466" t="s">
        <v>2313</v>
      </c>
      <c r="D457" s="466" t="s">
        <v>2277</v>
      </c>
      <c r="E457" s="468">
        <v>7.5965324700000003E-2</v>
      </c>
      <c r="F457" s="468"/>
      <c r="G457" s="537">
        <f t="shared" si="1329"/>
        <v>0</v>
      </c>
      <c r="H457" s="537">
        <f t="shared" si="1330"/>
        <v>7.5965324700000003E-2</v>
      </c>
      <c r="I457" s="468">
        <v>7.5965324700000003E-2</v>
      </c>
      <c r="J457" s="468"/>
      <c r="K457" s="467">
        <f>+IF(B457=1,0,SUMIF($D$22:$D$583,C457,$L$22:$L$580))</f>
        <v>0</v>
      </c>
      <c r="L457" s="468">
        <f>+I457+J457+K457</f>
        <v>7.5965324700000003E-2</v>
      </c>
      <c r="M457" s="469">
        <f>+$P$12</f>
        <v>242.33666300502347</v>
      </c>
      <c r="N457" s="470">
        <f>M457*E457</f>
        <v>18.409183291891086</v>
      </c>
      <c r="O457" s="470">
        <f>M457*F457</f>
        <v>0</v>
      </c>
      <c r="P457" s="470">
        <f>M457*H457</f>
        <v>18.409183291891086</v>
      </c>
      <c r="Q457" s="469">
        <f t="shared" si="1259"/>
        <v>140</v>
      </c>
      <c r="R457" s="471">
        <f>Q457*P457*$P$14/86400</f>
        <v>2.5355240876562955E-2</v>
      </c>
      <c r="S457" s="471"/>
      <c r="T457" s="471"/>
      <c r="U457" s="471">
        <f>IF(C457="","",T457*$P$17)</f>
        <v>0</v>
      </c>
      <c r="V457" s="471"/>
      <c r="W457" s="471"/>
      <c r="X457" s="471">
        <f>IF(C457="","",W457*$P$16)</f>
        <v>0</v>
      </c>
      <c r="Y457" s="471">
        <f>IF(H457=0,0,$H$15*H457)</f>
        <v>1.5193064940000001E-2</v>
      </c>
      <c r="Z457" s="471">
        <f>IF(L457=0,$H$16*H457,0)</f>
        <v>0</v>
      </c>
      <c r="AA457" s="471">
        <f t="shared" si="1185"/>
        <v>3.8</v>
      </c>
      <c r="AB457" s="471">
        <f>R457*AA457</f>
        <v>9.6349915330939229E-2</v>
      </c>
      <c r="AC457" s="471">
        <f>Q457*(N457+O457)*$P$14/86400</f>
        <v>2.5355240876562955E-2</v>
      </c>
      <c r="AD457" s="471">
        <f>IF(E457=0,0,$H$15*(E457+F457))</f>
        <v>1.5193064940000001E-2</v>
      </c>
      <c r="AE457" s="471">
        <f>IF(F457=0,0,$H$15*(F457+G457))</f>
        <v>0</v>
      </c>
      <c r="AF457" s="510">
        <f t="shared" si="1328"/>
        <v>3.8</v>
      </c>
      <c r="AG457" s="471">
        <f>AC457*AF457</f>
        <v>9.6349915330939229E-2</v>
      </c>
      <c r="AH457" s="471">
        <f>+AD457+AE457+AG457</f>
        <v>0.11154298027093923</v>
      </c>
      <c r="AI457" s="471">
        <f>IF(H457="","",IF(AB457+Y457+Z457+X457+U457&lt;1.5,1.5,AB457+Y457+Z457+X457+U457))</f>
        <v>1.5</v>
      </c>
      <c r="AJ457" s="471">
        <f>+$P$17</f>
        <v>0.75</v>
      </c>
      <c r="AK457" s="472">
        <f>+BK457/100</f>
        <v>9.2693565976011208E-2</v>
      </c>
      <c r="AL457" s="471">
        <f>IF(AJ457=0," ",0.14+0.65*AJ457+0.05*AK457)</f>
        <v>0.63213467829880066</v>
      </c>
      <c r="AM457" s="473">
        <f t="shared" si="1331"/>
        <v>336.32613267542746</v>
      </c>
      <c r="AN457" s="474">
        <f t="shared" si="1285"/>
        <v>5</v>
      </c>
      <c r="AO457" s="474">
        <f>((1/60)*$AX457/$AQ457)</f>
        <v>5.0944444444444438E-2</v>
      </c>
      <c r="AP457" s="474">
        <f>IF(B457=1,IF(($AN457+$AO457)&lt;10,10,IF(($AN457+$AO457)&gt;20,20,($AN457+$AO457))),($AN457+$AO457))</f>
        <v>10</v>
      </c>
      <c r="AQ457" s="475">
        <v>3</v>
      </c>
      <c r="AR457" s="474" t="e">
        <f>((1/60)*$AX457/$BT457)</f>
        <v>#NUM!</v>
      </c>
      <c r="AS457" s="474" t="e">
        <f>AO457/AR457</f>
        <v>#NUM!</v>
      </c>
      <c r="AT457" s="471" t="e">
        <f>IF(AS457&lt;0.9,"Disminuir vel.",IF(AS457&gt;1.1,"Aumentar vel.","Cumple"))</f>
        <v>#NUM!</v>
      </c>
      <c r="AU457" s="492">
        <f>+I457*AL457*AM457</f>
        <v>16.150487200770737</v>
      </c>
      <c r="AV457" s="471">
        <f>+L457*AL457*AM457</f>
        <v>16.150487200770737</v>
      </c>
      <c r="AW457" s="471">
        <f>ROUND(IF(AI457&gt;(AV457*0.05),(AV457+AI457),AV457),2)</f>
        <v>17.649999999999999</v>
      </c>
      <c r="AX457" s="478">
        <f>IF(OR(C457="",D457=""),"",ROUND(((VLOOKUP(C457,'Base de Diseño (2)'!$A$2:$C$333,2,FALSE)-VLOOKUP(D457,'Base de Diseño (2)'!$A$2:$C$333,2,FALSE))^2+(VLOOKUP(C457,'Base de Diseño (2)'!$A$2:$C$333,3,0)-VLOOKUP(D457,'Base de Diseño (2)'!$A$2:$C$333,3,FALSE))^2)^0.5,2))</f>
        <v>9.17</v>
      </c>
      <c r="AY457" s="493">
        <v>8</v>
      </c>
      <c r="AZ457" s="480">
        <f>IF(AND(L457="",H457=""),"",IF(BA457=4,VLOOKUP(AY457,'TABLA (2)'!$A$74:$C$89,2),IF(BA457=5,VLOOKUP(AY457,'TABLA (2)'!$A$51:$B$66,2),IF(BA457=6,VLOOKUP(AY457,'TABLA (2)'!$A$9:$B$43,2)))))</f>
        <v>200</v>
      </c>
      <c r="BA457" s="493">
        <v>6</v>
      </c>
      <c r="BB457" s="478">
        <f>IF(OR(C457="",D457=""),"",VLOOKUP(C457,'Base de Diseño (2)'!$A$2:$D$330,4,FALSE))</f>
        <v>971.4316</v>
      </c>
      <c r="BC457" s="478">
        <f>IF(OR(C457="",D457=""),"",VLOOKUP(D457,'Base de Diseño (2)'!$A$2:$D$330,4,FALSE))</f>
        <v>972.28160000000003</v>
      </c>
      <c r="BD457" s="23">
        <f>+BF457-((AZ457/1000)+CX457)</f>
        <v>1.3929999999999954</v>
      </c>
      <c r="BE457" s="23">
        <f>+BG457-((AZ457/1000)+CX457)</f>
        <v>1.7230000000000363</v>
      </c>
      <c r="BF457" s="494">
        <v>1.6299999999999955</v>
      </c>
      <c r="BG457" s="494">
        <v>1.9600000000000364</v>
      </c>
      <c r="BH457" s="495">
        <f>BB457-BF457</f>
        <v>969.80160000000001</v>
      </c>
      <c r="BI457" s="495">
        <f>BC457-BG457</f>
        <v>970.32159999999999</v>
      </c>
      <c r="BJ457" s="534">
        <f t="shared" si="1262"/>
        <v>970.32159999999999</v>
      </c>
      <c r="BK457" s="475">
        <f>ABS((BB457-BC457)/AX457)*100</f>
        <v>9.2693565976011207</v>
      </c>
      <c r="BL457" s="475">
        <f>((BH457-BI457)/AX457)*100</f>
        <v>-5.6706652126497472</v>
      </c>
      <c r="BM457" s="475" t="e">
        <f>IF(BA457=6,(1/0.013)*((AZ457/4000)^(2/3))*((BL457/100)^(0.5)),(1/0.009)*((AZ457/4000)^(2/3))*((BL457/100)^(0.5)))</f>
        <v>#NUM!</v>
      </c>
      <c r="BN457" s="475" t="e">
        <f>1000*BM457*PI()*((AZ457/1000/2)^2)</f>
        <v>#NUM!</v>
      </c>
      <c r="BO457" s="204" t="e">
        <f>AI457/BN457</f>
        <v>#NUM!</v>
      </c>
      <c r="BP457" s="496" t="e">
        <f>IF(L457=0," ",AW457/BN457)</f>
        <v>#NUM!</v>
      </c>
      <c r="BQ457" s="497" t="e">
        <f>IF($BO457&gt;0 =AND($BO457&lt;=0.06),10^(0.029806+0.29095*LOG($BO457)),IF($BO457&gt;0.06 =AND($BO457&lt;=0.26),10^(0.013778+0.282597*LOG($BO457)),IF($BO457&gt;0.26 =AND($BO457&lt;=0.91),10^(0.021763+0.28995*LOG($BO457)),1)))</f>
        <v>#NUM!</v>
      </c>
      <c r="BR457" s="497" t="e">
        <f>IF($BP457&gt;0 =AND($BP457&lt;=0.06),10^(0.029806+0.29095*LOG($BP457)),IF($BP457&gt;0.06 =AND($BP457&lt;=0.26),10^(0.013778+0.282597*LOG($BP457)),IF($BP457&gt;0.26 =AND($BP457&lt;=2),10^(0.021763+0.28995*LOG($BP457))," ")))</f>
        <v>#NUM!</v>
      </c>
      <c r="BS457" s="475" t="e">
        <f>BM457*BQ457</f>
        <v>#NUM!</v>
      </c>
      <c r="BT457" s="475" t="e">
        <f>IF(BP457=" "," ",(BM457*BR457))</f>
        <v>#NUM!</v>
      </c>
      <c r="BU457" s="475" t="e">
        <f>IF(BO457&lt;=0.11,0.3827+0.0645*LN(BO457),IF(BO457&lt;=0.21,0.60025+0.15471*LN(BO457),IF(BO457&lt;1,0.225+0.6666666667*BO457,0)))</f>
        <v>#NUM!</v>
      </c>
      <c r="BV457" s="475" t="e">
        <f>IF(BP457&lt;=0.11,0.3827+0.0645*LN(BP457),IF(BP457&lt;=0.21,0.60025+0.15471*LN(BP457),IF(BP457&lt;1,0.225+0.6666666667*BP457," ")))</f>
        <v>#NUM!</v>
      </c>
      <c r="BW457" s="475" t="e">
        <f>2*ACOS(1-2*(BU457))</f>
        <v>#NUM!</v>
      </c>
      <c r="BX457" s="475" t="e">
        <f>IF(BP457=" "," ",(2*ACOS(1-2*(BV457))))</f>
        <v>#NUM!</v>
      </c>
      <c r="BY457" s="475" t="e">
        <f>(1/4)*(1-(SIN(BW457))/BW457)</f>
        <v>#NUM!</v>
      </c>
      <c r="BZ457" s="475" t="e">
        <f>IF(BP457=" "," ",((1/4)*(1-(SIN(BX457))/BX457)))</f>
        <v>#NUM!</v>
      </c>
      <c r="CA457" s="471" t="e">
        <f>BY457*AZ457/1000</f>
        <v>#NUM!</v>
      </c>
      <c r="CB457" s="471" t="e">
        <f>IF(BP457=" "," ",(BZ457*AZ457/1000))</f>
        <v>#NUM!</v>
      </c>
      <c r="CC457" s="471" t="e">
        <f t="shared" si="1315"/>
        <v>#NUM!</v>
      </c>
      <c r="CD457" s="471" t="e">
        <f>IF(CC457="","",IF(CC457&lt;0.7,"F. Subcrítico",IF(AND(CC457&gt;0.7,CC457&lt;1),"F. Subcrítico Inestable",IF(CC457=1,"F. Crítico",IF(AND(CC457&gt;1,CC457&lt;1.5),"F. Supercrítico Inestable",IF(CC457&gt;1.5,"F. Supercrítico",""))))))</f>
        <v>#NUM!</v>
      </c>
      <c r="CE457" s="471" t="e">
        <f>1000*BL457*CA457/100</f>
        <v>#NUM!</v>
      </c>
      <c r="CF457" s="471" t="e">
        <f>IF(BP457=" "," ",(1000*BL457*CB457/100))</f>
        <v>#NUM!</v>
      </c>
      <c r="CG457" s="471" t="e">
        <f>IF(BS457&lt;0.45,"No cumple",IF(BS457&gt;5,"No cumple","O.K"))</f>
        <v>#NUM!</v>
      </c>
      <c r="CH457" s="471" t="e">
        <f>IF(BT457&lt;0.75,"No cumple",IF(BT457&gt;10,"No cumple","O.K"))</f>
        <v>#NUM!</v>
      </c>
      <c r="CI457" s="471" t="e">
        <f>IF(CE457&gt;0.1,"OK","V.C.H.")</f>
        <v>#NUM!</v>
      </c>
      <c r="CJ457" s="471" t="e">
        <f>IF(CF457&gt;0.2,"OK","V.C.H.")</f>
        <v>#NUM!</v>
      </c>
      <c r="CK457" s="468">
        <f>+BJ457</f>
        <v>970.32159999999999</v>
      </c>
      <c r="CL457" s="482" t="s">
        <v>2507</v>
      </c>
      <c r="CM457" s="482"/>
      <c r="CN457" s="63" t="str">
        <f>IF(B457=1,"dato"," ")</f>
        <v>dato</v>
      </c>
      <c r="CO457" s="527">
        <f t="shared" si="1332"/>
        <v>9.17</v>
      </c>
      <c r="CP457" s="511">
        <f t="shared" si="1333"/>
        <v>9.2693565976011208E-2</v>
      </c>
      <c r="CQ457" s="482" t="s">
        <v>2508</v>
      </c>
      <c r="CR457" s="204">
        <f>IF(BA457="","",AX457)</f>
        <v>9.17</v>
      </c>
      <c r="CS457" s="486">
        <v>1.2</v>
      </c>
      <c r="CT457" s="486">
        <v>1.2</v>
      </c>
      <c r="CU457" s="23">
        <f>IF($BA457="","",SQRT((BH457-BI457)^2+$CR457^2))</f>
        <v>9.1847318959237985</v>
      </c>
      <c r="CV457" s="499" t="s">
        <v>2509</v>
      </c>
      <c r="CW457" s="488" t="str">
        <f>+IF(BD457&lt;=0.9,"E1",IF(BD457&lt;=2.5,"E2","E3"))</f>
        <v>E2</v>
      </c>
      <c r="CX457" s="204">
        <f>IF(AND(L457="",H457=""),"",IF(AND(BA457&lt;&gt;4,BA457&lt;&gt;5),VLOOKUP(AY457,'TABLA (2)'!$A$9:$D$43,4),IF(BA457=4,VLOOKUP(AY457,'TABLA (2)'!$A$74:$D$89,4),VLOOKUP(AY457,'TABLA (2)'!$A$51:$D$66,4))))</f>
        <v>3.6999999999999998E-2</v>
      </c>
      <c r="CY457" s="482"/>
      <c r="CZ457" s="482"/>
      <c r="DA457" s="482"/>
      <c r="DB457" s="490"/>
    </row>
    <row r="458" spans="1:106" ht="15" hidden="1" customHeight="1">
      <c r="A458" s="465"/>
      <c r="B458" s="491"/>
      <c r="C458" s="466"/>
      <c r="D458" s="466"/>
      <c r="E458" s="468"/>
      <c r="F458" s="468"/>
      <c r="G458" s="537">
        <f t="shared" si="1329"/>
        <v>0</v>
      </c>
      <c r="H458" s="537">
        <f t="shared" si="1330"/>
        <v>0</v>
      </c>
      <c r="I458" s="468"/>
      <c r="J458" s="468"/>
      <c r="K458" s="467"/>
      <c r="L458" s="468"/>
      <c r="M458" s="469"/>
      <c r="N458" s="470"/>
      <c r="O458" s="470"/>
      <c r="P458" s="470"/>
      <c r="Q458" s="469">
        <f t="shared" si="1259"/>
        <v>140</v>
      </c>
      <c r="R458" s="471"/>
      <c r="S458" s="471"/>
      <c r="T458" s="471"/>
      <c r="U458" s="471"/>
      <c r="V458" s="471"/>
      <c r="W458" s="471"/>
      <c r="X458" s="471"/>
      <c r="Y458" s="471"/>
      <c r="Z458" s="471"/>
      <c r="AA458" s="471" t="str">
        <f t="shared" si="1185"/>
        <v/>
      </c>
      <c r="AB458" s="471"/>
      <c r="AC458" s="471"/>
      <c r="AD458" s="471"/>
      <c r="AE458" s="471"/>
      <c r="AF458" s="510" t="str">
        <f t="shared" si="1328"/>
        <v/>
      </c>
      <c r="AG458" s="471"/>
      <c r="AH458" s="471"/>
      <c r="AI458" s="471"/>
      <c r="AJ458" s="471"/>
      <c r="AK458" s="472"/>
      <c r="AL458" s="471"/>
      <c r="AM458" s="473">
        <f t="shared" si="1331"/>
        <v>474.44695720875893</v>
      </c>
      <c r="AN458" s="474">
        <f t="shared" si="1285"/>
        <v>10</v>
      </c>
      <c r="AO458" s="474"/>
      <c r="AP458" s="474"/>
      <c r="AQ458" s="475">
        <v>3</v>
      </c>
      <c r="AR458" s="474"/>
      <c r="AS458" s="474"/>
      <c r="AT458" s="471"/>
      <c r="AU458" s="492"/>
      <c r="AV458" s="471"/>
      <c r="AW458" s="471"/>
      <c r="AX458" s="478"/>
      <c r="AY458" s="493"/>
      <c r="AZ458" s="480"/>
      <c r="BA458" s="493"/>
      <c r="BB458" s="478" t="str">
        <f>IF(OR(C458="",D458=""),"",VLOOKUP(C458,'Base de Diseño (2)'!$A$2:$D$330,4,FALSE))</f>
        <v/>
      </c>
      <c r="BC458" s="478" t="str">
        <f>IF(OR(C458="",D458=""),"",VLOOKUP(D458,'Base de Diseño (2)'!$A$2:$D$330,4,FALSE))</f>
        <v/>
      </c>
      <c r="BD458" s="23"/>
      <c r="BE458" s="23"/>
      <c r="BF458" s="494"/>
      <c r="BG458" s="494"/>
      <c r="BH458" s="495"/>
      <c r="BI458" s="495"/>
      <c r="BJ458" s="534">
        <f t="shared" si="1262"/>
        <v>0</v>
      </c>
      <c r="BK458" s="475"/>
      <c r="BL458" s="475"/>
      <c r="BM458" s="475"/>
      <c r="BN458" s="475"/>
      <c r="BO458" s="204"/>
      <c r="BP458" s="496"/>
      <c r="BQ458" s="497"/>
      <c r="BR458" s="497"/>
      <c r="BS458" s="475"/>
      <c r="BT458" s="475"/>
      <c r="BU458" s="475"/>
      <c r="BV458" s="475"/>
      <c r="BW458" s="475"/>
      <c r="BX458" s="475"/>
      <c r="BY458" s="475"/>
      <c r="BZ458" s="475"/>
      <c r="CA458" s="471"/>
      <c r="CB458" s="471"/>
      <c r="CC458" s="471" t="e">
        <f t="shared" si="1315"/>
        <v>#DIV/0!</v>
      </c>
      <c r="CD458" s="471"/>
      <c r="CE458" s="471"/>
      <c r="CF458" s="471"/>
      <c r="CG458" s="471"/>
      <c r="CH458" s="471"/>
      <c r="CI458" s="471"/>
      <c r="CJ458" s="471"/>
      <c r="CK458" s="468"/>
      <c r="CL458" s="482" t="s">
        <v>2507</v>
      </c>
      <c r="CM458" s="482"/>
      <c r="CN458" s="63"/>
      <c r="CO458" s="527">
        <f t="shared" si="1332"/>
        <v>0</v>
      </c>
      <c r="CP458" s="542">
        <f t="shared" si="1333"/>
        <v>0</v>
      </c>
      <c r="CQ458" s="482"/>
      <c r="CR458" s="204"/>
      <c r="CS458" s="486"/>
      <c r="CT458" s="486"/>
      <c r="CU458" s="23"/>
      <c r="CV458" s="499"/>
      <c r="CW458" s="488"/>
      <c r="CX458" s="204"/>
      <c r="CY458" s="482"/>
      <c r="CZ458" s="482"/>
      <c r="DA458" s="482"/>
      <c r="DB458" s="490"/>
    </row>
    <row r="459" spans="1:106" ht="15" hidden="1" customHeight="1">
      <c r="A459" s="465">
        <f>+A457+1</f>
        <v>332</v>
      </c>
      <c r="B459" s="491">
        <v>1</v>
      </c>
      <c r="C459" s="466" t="s">
        <v>2296</v>
      </c>
      <c r="D459" s="466" t="s">
        <v>2297</v>
      </c>
      <c r="E459" s="468">
        <v>0.1967342856</v>
      </c>
      <c r="F459" s="468"/>
      <c r="G459" s="537">
        <f t="shared" si="1329"/>
        <v>0</v>
      </c>
      <c r="H459" s="537">
        <f t="shared" si="1330"/>
        <v>0.1967342856</v>
      </c>
      <c r="I459" s="468">
        <v>0.1967342856</v>
      </c>
      <c r="J459" s="468"/>
      <c r="K459" s="467">
        <f>+IF(B459=1,0,SUMIF($D$22:$D$583,C459,$L$22:$L$580))</f>
        <v>0</v>
      </c>
      <c r="L459" s="468">
        <f>+I459+J459+K459</f>
        <v>0.1967342856</v>
      </c>
      <c r="M459" s="469">
        <f>+$P$12</f>
        <v>242.33666300502347</v>
      </c>
      <c r="N459" s="470">
        <f>M459*E459</f>
        <v>47.67593027098124</v>
      </c>
      <c r="O459" s="470">
        <f>M459*F459</f>
        <v>0</v>
      </c>
      <c r="P459" s="470">
        <f>M459*H459</f>
        <v>47.67593027098124</v>
      </c>
      <c r="Q459" s="469">
        <f t="shared" si="1259"/>
        <v>140</v>
      </c>
      <c r="R459" s="471">
        <f>Q459*P459*$P$14/86400</f>
        <v>6.5664765072300554E-2</v>
      </c>
      <c r="S459" s="471"/>
      <c r="T459" s="471"/>
      <c r="U459" s="471">
        <f>IF(C459="","",T459*$P$17)</f>
        <v>0</v>
      </c>
      <c r="V459" s="471"/>
      <c r="W459" s="471"/>
      <c r="X459" s="471">
        <f>IF(C459="","",W459*$P$16)</f>
        <v>0</v>
      </c>
      <c r="Y459" s="471">
        <f>IF(H459=0,0,$H$15*H459)</f>
        <v>3.9346857120000002E-2</v>
      </c>
      <c r="Z459" s="471">
        <f>IF(L459=0,$H$16*H459,0)</f>
        <v>0</v>
      </c>
      <c r="AA459" s="471">
        <f t="shared" si="1185"/>
        <v>3.8</v>
      </c>
      <c r="AB459" s="471">
        <f>R459*AA459</f>
        <v>0.24952610727474209</v>
      </c>
      <c r="AC459" s="471">
        <f>Q459*(N459+O459)*$P$14/86400</f>
        <v>6.5664765072300554E-2</v>
      </c>
      <c r="AD459" s="471">
        <f t="shared" ref="AD459:AE463" si="1334">IF(E459=0,0,$H$15*(E459+F459))</f>
        <v>3.9346857120000002E-2</v>
      </c>
      <c r="AE459" s="471">
        <f t="shared" si="1334"/>
        <v>0</v>
      </c>
      <c r="AF459" s="510">
        <f t="shared" si="1328"/>
        <v>3.8</v>
      </c>
      <c r="AG459" s="471">
        <f>AC459*AF459</f>
        <v>0.24952610727474209</v>
      </c>
      <c r="AH459" s="471">
        <f>+AD459+AE459+AG459</f>
        <v>0.28887296439474208</v>
      </c>
      <c r="AI459" s="471">
        <f>IF(H459="","",IF(AB459+Y459+Z459+X459+U459&lt;1.5,1.5,AB459+Y459+Z459+X459+U459))</f>
        <v>1.5</v>
      </c>
      <c r="AJ459" s="471">
        <f>+$P$17</f>
        <v>0.75</v>
      </c>
      <c r="AK459" s="472">
        <f>+BK459/100</f>
        <v>6.0949464012251431E-2</v>
      </c>
      <c r="AL459" s="471">
        <f>IF(AJ459=0," ",0.14+0.65*AJ459+0.05*AK459)</f>
        <v>0.63054747320061266</v>
      </c>
      <c r="AM459" s="473">
        <f t="shared" si="1331"/>
        <v>336.32613267542746</v>
      </c>
      <c r="AN459" s="474">
        <f t="shared" si="1285"/>
        <v>5</v>
      </c>
      <c r="AO459" s="474">
        <f>((1/60)*$AX459/$AQ459)</f>
        <v>0.18138888888888891</v>
      </c>
      <c r="AP459" s="474">
        <f>IF(B459=1,IF(($AN459+$AO459)&lt;10,10,IF(($AN459+$AO459)&gt;20,20,($AN459+$AO459))),($AN459+$AO459))</f>
        <v>10</v>
      </c>
      <c r="AQ459" s="475">
        <v>3</v>
      </c>
      <c r="AR459" s="474">
        <f>((1/60)*$AX459/$BT459)</f>
        <v>0.24335545671546699</v>
      </c>
      <c r="AS459" s="474">
        <f>AO459/AR459</f>
        <v>0.74536602275974495</v>
      </c>
      <c r="AT459" s="471" t="str">
        <f>IF(AS459&lt;0.9,"Disminuir vel.",IF(AS459&gt;1.1,"Aumentar vel.","Cumple"))</f>
        <v>Disminuir vel.</v>
      </c>
      <c r="AU459" s="492">
        <f>+I459*AL459*AM459</f>
        <v>41.721359901878749</v>
      </c>
      <c r="AV459" s="471">
        <f>+L459*AL459*AM459</f>
        <v>41.721359901878749</v>
      </c>
      <c r="AW459" s="471">
        <f>ROUND(IF(AI459&gt;(AV459*0.05),(AV459+AI459),AV459),2)</f>
        <v>41.72</v>
      </c>
      <c r="AX459" s="478">
        <f>IF(OR(C459="",D459=""),"",ROUND(((VLOOKUP(C459,'Base de Diseño (2)'!$A$2:$C$333,2,FALSE)-VLOOKUP(D459,'Base de Diseño (2)'!$A$2:$C$333,2,FALSE))^2+(VLOOKUP(C459,'Base de Diseño (2)'!$A$2:$C$333,3,0)-VLOOKUP(D459,'Base de Diseño (2)'!$A$2:$C$333,3,FALSE))^2)^0.5,2))</f>
        <v>32.65</v>
      </c>
      <c r="AY459" s="493">
        <v>20</v>
      </c>
      <c r="AZ459" s="480">
        <f>IF(AND(L459="",H459=""),"",IF(BA459=4,VLOOKUP(AY459,'TABLA (2)'!$A$74:$C$89,2),IF(BA459=5,VLOOKUP(AY459,'TABLA (2)'!$A$51:$B$66,2),IF(BA459=6,VLOOKUP(AY459,'TABLA (2)'!$A$9:$B$43,2)))))</f>
        <v>500</v>
      </c>
      <c r="BA459" s="493">
        <v>6</v>
      </c>
      <c r="BB459" s="478">
        <f>IF(OR(C459="",D459=""),"",VLOOKUP(C459,'Base de Diseño (2)'!$A$2:$D$330,4,FALSE))</f>
        <v>982.4316</v>
      </c>
      <c r="BC459" s="478">
        <f>IF(OR(C459="",D459=""),"",VLOOKUP(D459,'Base de Diseño (2)'!$A$2:$D$330,4,FALSE))</f>
        <v>980.44159999999999</v>
      </c>
      <c r="BD459" s="23">
        <f>+BF459-((AZ459/1000)+CX459)</f>
        <v>0.46999999999996356</v>
      </c>
      <c r="BE459" s="23">
        <f>+BG459-((AZ459/1000)+CX459)</f>
        <v>0.98999999999994537</v>
      </c>
      <c r="BF459" s="494">
        <v>1.0399999999999636</v>
      </c>
      <c r="BG459" s="494">
        <v>1.5599999999999454</v>
      </c>
      <c r="BH459" s="495">
        <f t="shared" ref="BH459:BI463" si="1335">BB459-BF459</f>
        <v>981.39160000000004</v>
      </c>
      <c r="BI459" s="495">
        <f t="shared" si="1335"/>
        <v>978.88160000000005</v>
      </c>
      <c r="BJ459" s="534">
        <f t="shared" si="1262"/>
        <v>0</v>
      </c>
      <c r="BK459" s="475">
        <f>ABS((BB459-BC459)/AX459)*100</f>
        <v>6.0949464012251431</v>
      </c>
      <c r="BL459" s="475">
        <f>((BH459-BI459)/AX459)*100</f>
        <v>7.6875957120979814</v>
      </c>
      <c r="BM459" s="475">
        <f>IF(BA459=6,(1/0.013)*((AZ459/4000)^(2/3))*((BL459/100)^(0.5)),(1/0.009)*((AZ459/4000)^(2/3))*((BL459/100)^(0.5)))</f>
        <v>5.3320218974752223</v>
      </c>
      <c r="BN459" s="475">
        <f>1000*BM459*PI()*((AZ459/1000/2)^2)</f>
        <v>1046.9400513680043</v>
      </c>
      <c r="BO459" s="204">
        <f>AI459/BN459</f>
        <v>1.4327467919867964E-3</v>
      </c>
      <c r="BP459" s="496">
        <f>IF(L459=0," ",AW459/BN459)</f>
        <v>3.9849464107792762E-2</v>
      </c>
      <c r="BQ459" s="497">
        <f>IF($BO459&gt;0 =AND($BO459&lt;=0.06),10^(0.029806+0.29095*LOG($BO459)),IF($BO459&gt;0.06 =AND($BO459&lt;=0.26),10^(0.013778+0.282597*LOG($BO459)),IF($BO459&gt;0.26 =AND($BO459&lt;=0.91),10^(0.021763+0.28995*LOG($BO459)),1)))</f>
        <v>0.15936520287557954</v>
      </c>
      <c r="BR459" s="497">
        <f>IF($BP459&gt;0 =AND($BP459&lt;=0.06),10^(0.029806+0.29095*LOG($BP459)),IF($BP459&gt;0.06 =AND($BP459&lt;=0.26),10^(0.013778+0.282597*LOG($BP459)),IF($BP459&gt;0.26 =AND($BP459&lt;=2),10^(0.021763+0.28995*LOG($BP459))," ")))</f>
        <v>0.41937150883383556</v>
      </c>
      <c r="BS459" s="475">
        <f>BM459*BQ459</f>
        <v>0.84973875142817135</v>
      </c>
      <c r="BT459" s="475">
        <f>IF(BP459=" "," ",(BM459*BR459))</f>
        <v>2.2360980682792349</v>
      </c>
      <c r="BU459" s="475">
        <f>IF(BO459&lt;=0.11,0.3827+0.0645*LN(BO459),IF(BO459&lt;=0.21,0.60025+0.15471*LN(BO459),IF(BO459&lt;1,0.225+0.6666666667*BO459,0)))</f>
        <v>-3.965643891187276E-2</v>
      </c>
      <c r="BV459" s="475">
        <f>IF(BP459&lt;=0.11,0.3827+0.0645*LN(BP459),IF(BP459&lt;=0.21,0.60025+0.15471*LN(BP459),IF(BP459&lt;1,0.225+0.6666666667*BP459," ")))</f>
        <v>0.17483931225870153</v>
      </c>
      <c r="BW459" s="475" t="e">
        <f>2*ACOS(1-2*(BU459))</f>
        <v>#NUM!</v>
      </c>
      <c r="BX459" s="475">
        <f>IF(BP459=" "," ",(2*ACOS(1-2*(BV459))))</f>
        <v>1.7255778289129029</v>
      </c>
      <c r="BY459" s="475" t="e">
        <f>(1/4)*(1-(SIN(BW459))/BW459)</f>
        <v>#NUM!</v>
      </c>
      <c r="BZ459" s="475">
        <f>IF(BP459=" "," ",((1/4)*(1-(SIN(BX459))/BX459)))</f>
        <v>0.10685298826297249</v>
      </c>
      <c r="CA459" s="471" t="e">
        <f>BY459*AZ459/1000</f>
        <v>#NUM!</v>
      </c>
      <c r="CB459" s="471">
        <f>IF(BP459=" "," ",(BZ459*AZ459/1000))</f>
        <v>5.3426494131486243E-2</v>
      </c>
      <c r="CC459" s="471">
        <f t="shared" si="1315"/>
        <v>2.898245223250798</v>
      </c>
      <c r="CD459" s="471" t="str">
        <f>IF(CC459="","",IF(CC459&lt;0.7,"F. Subcrítico",IF(AND(CC459&gt;0.7,CC459&lt;1),"F. Subcrítico Inestable",IF(CC459=1,"F. Crítico",IF(AND(CC459&gt;1,CC459&lt;1.5),"F. Supercrítico Inestable",IF(CC459&gt;1.5,"F. Supercrítico",""))))))</f>
        <v>F. Supercrítico</v>
      </c>
      <c r="CE459" s="471" t="e">
        <f>1000*BL459*CA459/100</f>
        <v>#NUM!</v>
      </c>
      <c r="CF459" s="471">
        <f>IF(BP459=" "," ",(1000*BL459*CB459/100))</f>
        <v>4.107212871976416</v>
      </c>
      <c r="CG459" s="471" t="str">
        <f>IF(BS459&lt;0.45,"No cumple",IF(BS459&gt;5,"No cumple","O.K"))</f>
        <v>O.K</v>
      </c>
      <c r="CH459" s="471" t="str">
        <f>IF(BT459&lt;0.75,"No cumple",IF(BT459&gt;10,"No cumple","O.K"))</f>
        <v>O.K</v>
      </c>
      <c r="CI459" s="471" t="e">
        <f>IF(CE459&gt;0.1,"OK","V.C.H.")</f>
        <v>#NUM!</v>
      </c>
      <c r="CJ459" s="471" t="str">
        <f>IF(CF459&gt;0.2,"OK","V.C.H.")</f>
        <v>OK</v>
      </c>
      <c r="CK459" s="468">
        <f>+BJ459</f>
        <v>0</v>
      </c>
      <c r="CL459" s="482" t="s">
        <v>2507</v>
      </c>
      <c r="CM459" s="482"/>
      <c r="CN459" s="63" t="str">
        <f>IF(B459=1,"dato"," ")</f>
        <v>dato</v>
      </c>
      <c r="CO459" s="527">
        <f t="shared" si="1332"/>
        <v>32.65</v>
      </c>
      <c r="CP459" s="511">
        <f t="shared" si="1333"/>
        <v>6.0949464012251431E-2</v>
      </c>
      <c r="CQ459" s="482" t="s">
        <v>2508</v>
      </c>
      <c r="CR459" s="204">
        <f>IF(BA459="","",AX459)</f>
        <v>32.65</v>
      </c>
      <c r="CS459" s="486">
        <v>1.2</v>
      </c>
      <c r="CT459" s="486">
        <v>1.2</v>
      </c>
      <c r="CU459" s="23">
        <f>IF($BA459="","",SQRT((BH459-BI459)^2+$CR459^2))</f>
        <v>32.746337199754109</v>
      </c>
      <c r="CV459" s="499" t="s">
        <v>2509</v>
      </c>
      <c r="CW459" s="488" t="str">
        <f>+IF(BD459&lt;=0.9,"E1",IF(BD459&lt;=2.5,"E2","E3"))</f>
        <v>E1</v>
      </c>
      <c r="CX459" s="204">
        <f>IF(AND(L459="",H459=""),"",IF(AND(BA459&lt;&gt;4,BA459&lt;&gt;5),VLOOKUP(AY459,'TABLA (2)'!$A$9:$D$43,4),IF(BA459=4,VLOOKUP(AY459,'TABLA (2)'!$A$74:$D$89,4),VLOOKUP(AY459,'TABLA (2)'!$A$51:$D$66,4))))</f>
        <v>7.0000000000000007E-2</v>
      </c>
      <c r="CY459" s="482"/>
      <c r="CZ459" s="482"/>
      <c r="DA459" s="482"/>
      <c r="DB459" s="490"/>
    </row>
    <row r="460" spans="1:106" ht="15" hidden="1" customHeight="1">
      <c r="A460" s="465">
        <f>+A459+1</f>
        <v>333</v>
      </c>
      <c r="B460" s="491"/>
      <c r="C460" s="466" t="s">
        <v>2297</v>
      </c>
      <c r="D460" s="466" t="s">
        <v>2298</v>
      </c>
      <c r="E460" s="468">
        <v>0.21746840480000001</v>
      </c>
      <c r="F460" s="468"/>
      <c r="G460" s="537">
        <f t="shared" si="1329"/>
        <v>0.1967342856</v>
      </c>
      <c r="H460" s="537">
        <f t="shared" si="1330"/>
        <v>0.41420269040000002</v>
      </c>
      <c r="I460" s="468">
        <v>0.21746840480000001</v>
      </c>
      <c r="J460" s="468"/>
      <c r="K460" s="467">
        <f ca="1">+IF(B460=1,0,SUMIF($D$22:$D$583,C460,$L$22:$L$580))</f>
        <v>0.1967342856</v>
      </c>
      <c r="L460" s="468">
        <f ca="1">+I460+J460+K460</f>
        <v>0.41420269040000002</v>
      </c>
      <c r="M460" s="469">
        <f>+$P$12</f>
        <v>242.33666300502347</v>
      </c>
      <c r="N460" s="470">
        <f>M460*E460</f>
        <v>52.700567528257629</v>
      </c>
      <c r="O460" s="470">
        <f>M460*F460</f>
        <v>0</v>
      </c>
      <c r="P460" s="470">
        <f>M460*H460</f>
        <v>100.37649779923888</v>
      </c>
      <c r="Q460" s="469">
        <f t="shared" ref="Q460:Q491" si="1336">+$H$14</f>
        <v>140</v>
      </c>
      <c r="R460" s="471">
        <f>Q460*P460*$P$14/86400</f>
        <v>0.13825003747811834</v>
      </c>
      <c r="S460" s="471"/>
      <c r="T460" s="471"/>
      <c r="U460" s="471">
        <f>IF(C460="","",T460*$P$17)</f>
        <v>0</v>
      </c>
      <c r="V460" s="471"/>
      <c r="W460" s="471"/>
      <c r="X460" s="471">
        <f>IF(C460="","",W460*$P$16)</f>
        <v>0</v>
      </c>
      <c r="Y460" s="471">
        <f>IF(H460=0,0,$H$15*H460)</f>
        <v>8.2840538080000012E-2</v>
      </c>
      <c r="Z460" s="471">
        <f ca="1">IF(L460=0,$H$16*H460,0)</f>
        <v>0</v>
      </c>
      <c r="AA460" s="471">
        <f t="shared" si="1185"/>
        <v>3.8</v>
      </c>
      <c r="AB460" s="471">
        <f>R460*AA460</f>
        <v>0.52535014241684963</v>
      </c>
      <c r="AC460" s="471">
        <f>Q460*(N460+O460)*$P$14/86400</f>
        <v>7.2585272405817802E-2</v>
      </c>
      <c r="AD460" s="471">
        <f t="shared" si="1334"/>
        <v>4.3493680960000003E-2</v>
      </c>
      <c r="AE460" s="471">
        <f t="shared" si="1334"/>
        <v>0</v>
      </c>
      <c r="AF460" s="510">
        <f t="shared" si="1328"/>
        <v>3.8</v>
      </c>
      <c r="AG460" s="471">
        <f>AC460*AF460</f>
        <v>0.27582403514210763</v>
      </c>
      <c r="AH460" s="471">
        <f>+AD460+AE460+AG460</f>
        <v>0.31931771610210763</v>
      </c>
      <c r="AI460" s="471">
        <f ca="1">IF(H460="","",IF(AB460+Y460+Z460+X460+U460&lt;1.5,1.5,AB460+Y460+Z460+X460+U460))</f>
        <v>1.5</v>
      </c>
      <c r="AJ460" s="471">
        <f>+$P$17</f>
        <v>0.75</v>
      </c>
      <c r="AK460" s="472">
        <f>+BK460/100</f>
        <v>0.10681244743481765</v>
      </c>
      <c r="AL460" s="471">
        <f>IF(AJ460=0," ",0.14+0.65*AJ460+0.05*AK460)</f>
        <v>0.63284062237174099</v>
      </c>
      <c r="AM460" s="473">
        <f t="shared" si="1331"/>
        <v>333.72286663851588</v>
      </c>
      <c r="AN460" s="474">
        <f t="shared" si="1285"/>
        <v>10</v>
      </c>
      <c r="AO460" s="474">
        <f>((1/60)*$AX460/$AQ460)</f>
        <v>0.26422222222222225</v>
      </c>
      <c r="AP460" s="474">
        <f>IF(B460=1,IF(($AN460+$AO460)&lt;10,10,IF(($AN460+$AO460)&gt;20,20,($AN460+$AO460))),($AN460+$AO460))</f>
        <v>10.264222222222223</v>
      </c>
      <c r="AQ460" s="475">
        <v>3</v>
      </c>
      <c r="AR460" s="474">
        <f ca="1">((1/60)*$AX460/$BT460)</f>
        <v>0.25922746198285745</v>
      </c>
      <c r="AS460" s="474">
        <f ca="1">AO460/AR460</f>
        <v>1.0192678669194974</v>
      </c>
      <c r="AT460" s="471" t="str">
        <f ca="1">IF(AS460&lt;0.9,"Disminuir vel.",IF(AS460&gt;1.1,"Aumentar vel.","Cumple"))</f>
        <v>Cumple</v>
      </c>
      <c r="AU460" s="492">
        <f>+I460*AL460*AM460</f>
        <v>45.927888893256949</v>
      </c>
      <c r="AV460" s="471">
        <f ca="1">+L460*AL460*AM460</f>
        <v>87.476868934016778</v>
      </c>
      <c r="AW460" s="471">
        <f ca="1">ROUND(IF(AI460&gt;(AV460*0.05),(AV460+AI460),AV460),2)</f>
        <v>87.48</v>
      </c>
      <c r="AX460" s="478">
        <f>IF(OR(C460="",D460=""),"",ROUND(((VLOOKUP(C460,'Base de Diseño (2)'!$A$2:$C$333,2,FALSE)-VLOOKUP(D460,'Base de Diseño (2)'!$A$2:$C$333,2,FALSE))^2+(VLOOKUP(C460,'Base de Diseño (2)'!$A$2:$C$333,3,0)-VLOOKUP(D460,'Base de Diseño (2)'!$A$2:$C$333,3,FALSE))^2)^0.5,2))</f>
        <v>47.56</v>
      </c>
      <c r="AY460" s="493">
        <v>20</v>
      </c>
      <c r="AZ460" s="480">
        <f ca="1">IF(AND(L460="",H460=""),"",IF(BA460=4,VLOOKUP(AY460,'TABLA (2)'!$A$74:$C$89,2),IF(BA460=5,VLOOKUP(AY460,'TABLA (2)'!$A$51:$B$66,2),IF(BA460=6,VLOOKUP(AY460,'TABLA (2)'!$A$9:$B$43,2)))))</f>
        <v>500</v>
      </c>
      <c r="BA460" s="493">
        <v>6</v>
      </c>
      <c r="BB460" s="478">
        <f>IF(OR(C460="",D460=""),"",VLOOKUP(C460,'Base de Diseño (2)'!$A$2:$D$330,4,FALSE))</f>
        <v>980.44159999999999</v>
      </c>
      <c r="BC460" s="478">
        <f>IF(OR(C460="",D460=""),"",VLOOKUP(D460,'Base de Diseño (2)'!$A$2:$D$330,4,FALSE))</f>
        <v>975.36160000000007</v>
      </c>
      <c r="BD460" s="23">
        <f ca="1">+BF460-((AZ460/1000)+CX460)</f>
        <v>0.98999999999994537</v>
      </c>
      <c r="BE460" s="23">
        <f ca="1">+BG460-((AZ460/1000)+CX460)</f>
        <v>0.92999999999999994</v>
      </c>
      <c r="BF460" s="494">
        <v>1.5599999999999454</v>
      </c>
      <c r="BG460" s="494">
        <v>1.5</v>
      </c>
      <c r="BH460" s="495">
        <f t="shared" si="1335"/>
        <v>978.88160000000005</v>
      </c>
      <c r="BI460" s="495">
        <f t="shared" si="1335"/>
        <v>973.86160000000007</v>
      </c>
      <c r="BJ460" s="534">
        <f t="shared" si="1262"/>
        <v>1.1399999999999864</v>
      </c>
      <c r="BK460" s="475">
        <f>ABS((BB460-BC460)/AX460)*100</f>
        <v>10.681244743481765</v>
      </c>
      <c r="BL460" s="475">
        <f>((BH460-BI460)/AX460)*100</f>
        <v>10.555088309503747</v>
      </c>
      <c r="BM460" s="475">
        <f ca="1">IF(BA460=6,(1/0.013)*((AZ460/4000)^(2/3))*((BL460/100)^(0.5)),(1/0.009)*((AZ460/4000)^(2/3))*((BL460/100)^(0.5)))</f>
        <v>6.2478068073533537</v>
      </c>
      <c r="BN460" s="475">
        <f ca="1">1000*BM460*PI()*((AZ460/1000/2)^2)</f>
        <v>1226.7539979393498</v>
      </c>
      <c r="BO460" s="204">
        <f ca="1">AI460/BN460</f>
        <v>1.2227390353075167E-3</v>
      </c>
      <c r="BP460" s="496">
        <f ca="1">IF(L460=0," ",AW460/BN460)</f>
        <v>7.1310140539134384E-2</v>
      </c>
      <c r="BQ460" s="497">
        <f ca="1">IF($BO460&gt;0 =AND($BO460&lt;=0.06),10^(0.029806+0.29095*LOG($BO460)),IF($BO460&gt;0.06 =AND($BO460&lt;=0.26),10^(0.013778+0.282597*LOG($BO460)),IF($BO460&gt;0.26 =AND($BO460&lt;=0.91),10^(0.021763+0.28995*LOG($BO460)),1)))</f>
        <v>0.15218286729479891</v>
      </c>
      <c r="BR460" s="497">
        <f ca="1">IF($BP460&gt;0 =AND($BP460&lt;=0.06),10^(0.029806+0.29095*LOG($BP460)),IF($BP460&gt;0.06 =AND($BP460&lt;=0.26),10^(0.013778+0.282597*LOG($BP460)),IF($BP460&gt;0.26 =AND($BP460&lt;=2),10^(0.021763+0.28995*LOG($BP460))," ")))</f>
        <v>0.48942031900852184</v>
      </c>
      <c r="BS460" s="475">
        <f ca="1">BM460*BQ460</f>
        <v>0.95080915424699664</v>
      </c>
      <c r="BT460" s="475">
        <f ca="1">IF(BP460=" "," ",(BM460*BR460))</f>
        <v>3.0578036007584926</v>
      </c>
      <c r="BU460" s="475">
        <f ca="1">IF(BO460&lt;=0.11,0.3827+0.0645*LN(BO460),IF(BO460&lt;=0.21,0.60025+0.15471*LN(BO460),IF(BO460&lt;1,0.225+0.6666666667*BO460,0)))</f>
        <v>-4.9879687765701453E-2</v>
      </c>
      <c r="BV460" s="475">
        <f ca="1">IF(BP460&lt;=0.11,0.3827+0.0645*LN(BP460),IF(BP460&lt;=0.21,0.60025+0.15471*LN(BP460),IF(BP460&lt;1,0.225+0.6666666667*BP460," ")))</f>
        <v>0.21237377039097455</v>
      </c>
      <c r="BW460" s="475" t="e">
        <f ca="1">2*ACOS(1-2*(BU460))</f>
        <v>#NUM!</v>
      </c>
      <c r="BX460" s="475">
        <f ca="1">IF(BP460=" "," ",(2*ACOS(1-2*(BV460))))</f>
        <v>1.9157671465877568</v>
      </c>
      <c r="BY460" s="475" t="e">
        <f ca="1">(1/4)*(1-(SIN(BW460))/BW460)</f>
        <v>#NUM!</v>
      </c>
      <c r="BZ460" s="475">
        <f ca="1">IF(BP460=" "," ",((1/4)*(1-(SIN(BX460))/BX460)))</f>
        <v>0.12719210519253948</v>
      </c>
      <c r="CA460" s="471" t="e">
        <f ca="1">BY460*AZ460/1000</f>
        <v>#NUM!</v>
      </c>
      <c r="CB460" s="471">
        <f ca="1">IF(BP460=" "," ",(BZ460*AZ460/1000))</f>
        <v>6.3596052596269742E-2</v>
      </c>
      <c r="CC460" s="471">
        <f t="shared" ca="1" si="1315"/>
        <v>3.577452706447362</v>
      </c>
      <c r="CD460" s="471" t="str">
        <f ca="1">IF(CC460="","",IF(CC460&lt;0.7,"F. Subcrítico",IF(AND(CC460&gt;0.7,CC460&lt;1),"F. Subcrítico Inestable",IF(CC460=1,"F. Crítico",IF(AND(CC460&gt;1,CC460&lt;1.5),"F. Supercrítico Inestable",IF(CC460&gt;1.5,"F. Supercrítico",""))))))</f>
        <v>F. Supercrítico</v>
      </c>
      <c r="CE460" s="471" t="e">
        <f ca="1">1000*BL460*CA460/100</f>
        <v>#NUM!</v>
      </c>
      <c r="CF460" s="471">
        <f ca="1">IF(BP460=" "," ",(1000*BL460*CB460/100))</f>
        <v>6.7126195128947215</v>
      </c>
      <c r="CG460" s="471" t="str">
        <f ca="1">IF(BS460&lt;0.45,"No cumple",IF(BS460&gt;5,"No cumple","O.K"))</f>
        <v>O.K</v>
      </c>
      <c r="CH460" s="471" t="str">
        <f ca="1">IF(BT460&lt;0.75,"No cumple",IF(BT460&gt;10,"No cumple","O.K"))</f>
        <v>O.K</v>
      </c>
      <c r="CI460" s="471" t="e">
        <f ca="1">IF(CE460&gt;0.1,"OK","V.C.H.")</f>
        <v>#NUM!</v>
      </c>
      <c r="CJ460" s="471" t="str">
        <f ca="1">IF(CF460&gt;0.2,"OK","V.C.H.")</f>
        <v>OK</v>
      </c>
      <c r="CK460" s="468">
        <f>+BJ460</f>
        <v>1.1399999999999864</v>
      </c>
      <c r="CL460" s="482" t="s">
        <v>2507</v>
      </c>
      <c r="CM460" s="482"/>
      <c r="CN460" s="63" t="str">
        <f>IF(B460=1,"dato"," ")</f>
        <v xml:space="preserve"> </v>
      </c>
      <c r="CO460" s="527">
        <f t="shared" si="1332"/>
        <v>47.56</v>
      </c>
      <c r="CP460" s="542">
        <f t="shared" si="1333"/>
        <v>0.10681244743481765</v>
      </c>
      <c r="CQ460" s="482" t="s">
        <v>2508</v>
      </c>
      <c r="CR460" s="204">
        <f>IF(BA460="","",AX460)</f>
        <v>47.56</v>
      </c>
      <c r="CS460" s="486">
        <v>1.2</v>
      </c>
      <c r="CT460" s="486">
        <v>1.2</v>
      </c>
      <c r="CU460" s="23">
        <f>IF($BA460="","",SQRT((BH460-BI460)^2+$CR460^2))</f>
        <v>47.824198895538231</v>
      </c>
      <c r="CV460" s="499" t="s">
        <v>2509</v>
      </c>
      <c r="CW460" s="488" t="str">
        <f ca="1">+IF(BD460&lt;=0.9,"E1",IF(BD460&lt;=2.5,"E2","E3"))</f>
        <v>E2</v>
      </c>
      <c r="CX460" s="204">
        <f ca="1">IF(AND(L460="",H460=""),"",IF(AND(BA460&lt;&gt;4,BA460&lt;&gt;5),VLOOKUP(AY460,'TABLA (2)'!$A$9:$D$43,4),IF(BA460=4,VLOOKUP(AY460,'TABLA (2)'!$A$74:$D$89,4),VLOOKUP(AY460,'TABLA (2)'!$A$51:$D$66,4))))</f>
        <v>7.0000000000000007E-2</v>
      </c>
      <c r="CY460" s="482"/>
      <c r="CZ460" s="482"/>
      <c r="DA460" s="482"/>
      <c r="DB460" s="490"/>
    </row>
    <row r="461" spans="1:106" ht="15" hidden="1" customHeight="1">
      <c r="A461" s="465">
        <f>+A460+1</f>
        <v>334</v>
      </c>
      <c r="B461" s="491"/>
      <c r="C461" s="466" t="s">
        <v>2298</v>
      </c>
      <c r="D461" s="466" t="s">
        <v>2299</v>
      </c>
      <c r="E461" s="468">
        <v>7.8192505400000001E-2</v>
      </c>
      <c r="F461" s="468"/>
      <c r="G461" s="537">
        <f t="shared" si="1329"/>
        <v>0.41420269040000002</v>
      </c>
      <c r="H461" s="537">
        <f t="shared" si="1330"/>
        <v>0.49239519580000002</v>
      </c>
      <c r="I461" s="468">
        <v>7.8192505400000001E-2</v>
      </c>
      <c r="J461" s="468"/>
      <c r="K461" s="467">
        <f ca="1">+IF(B461=1,0,SUMIF($D$22:$D$583,C461,$L$22:$L$580))</f>
        <v>0.41420269040000002</v>
      </c>
      <c r="L461" s="468">
        <f ca="1">+I461+J461+K461</f>
        <v>0.49239519580000002</v>
      </c>
      <c r="M461" s="469">
        <f>+$P$12</f>
        <v>242.33666300502347</v>
      </c>
      <c r="N461" s="470">
        <f>M461*E461</f>
        <v>18.94891083063828</v>
      </c>
      <c r="O461" s="470">
        <f>M461*F461</f>
        <v>0</v>
      </c>
      <c r="P461" s="470">
        <f>M461*H461</f>
        <v>119.32540862987715</v>
      </c>
      <c r="Q461" s="469">
        <f t="shared" si="1336"/>
        <v>140</v>
      </c>
      <c r="R461" s="471">
        <f>Q461*P461*$P$14/86400</f>
        <v>0.16434865308976135</v>
      </c>
      <c r="S461" s="471"/>
      <c r="T461" s="471"/>
      <c r="U461" s="471">
        <f>IF(C461="","",T461*$P$17)</f>
        <v>0</v>
      </c>
      <c r="V461" s="471"/>
      <c r="W461" s="471"/>
      <c r="X461" s="471">
        <f>IF(C461="","",W461*$P$16)</f>
        <v>0</v>
      </c>
      <c r="Y461" s="471">
        <f>IF(H461=0,0,$H$15*H461)</f>
        <v>9.8479039160000004E-2</v>
      </c>
      <c r="Z461" s="471">
        <f ca="1">IF(L461=0,$H$16*H461,0)</f>
        <v>0</v>
      </c>
      <c r="AA461" s="471">
        <f t="shared" si="1185"/>
        <v>3.8</v>
      </c>
      <c r="AB461" s="471">
        <f>R461*AA461</f>
        <v>0.62452488174109311</v>
      </c>
      <c r="AC461" s="471">
        <f>Q461*(N461+O461)*$P$14/86400</f>
        <v>2.6098615611642999E-2</v>
      </c>
      <c r="AD461" s="471">
        <f t="shared" si="1334"/>
        <v>1.5638501080000002E-2</v>
      </c>
      <c r="AE461" s="471">
        <f t="shared" si="1334"/>
        <v>0</v>
      </c>
      <c r="AF461" s="510">
        <f t="shared" si="1328"/>
        <v>3.8</v>
      </c>
      <c r="AG461" s="471">
        <f>AC461*AF461</f>
        <v>9.9174739324243394E-2</v>
      </c>
      <c r="AH461" s="471">
        <f>+AD461+AE461+AG461</f>
        <v>0.1148132404042434</v>
      </c>
      <c r="AI461" s="471">
        <f ca="1">IF(H461="","",IF(AB461+Y461+Z461+X461+U461&lt;1.5,1.5,AB461+Y461+Z461+X461+U461))</f>
        <v>1.5</v>
      </c>
      <c r="AJ461" s="471">
        <f>+$P$17</f>
        <v>0.75</v>
      </c>
      <c r="AK461" s="472">
        <f>+BK461/100</f>
        <v>0.13028764805414564</v>
      </c>
      <c r="AL461" s="471">
        <f>IF(AJ461=0," ",0.14+0.65*AJ461+0.05*AK461)</f>
        <v>0.63401438240270735</v>
      </c>
      <c r="AM461" s="473">
        <f t="shared" si="1331"/>
        <v>331.80690129334005</v>
      </c>
      <c r="AN461" s="474">
        <f t="shared" si="1285"/>
        <v>10.264222222222223</v>
      </c>
      <c r="AO461" s="474">
        <f>((1/60)*$AX461/$AQ461)</f>
        <v>0.19699999999999998</v>
      </c>
      <c r="AP461" s="474">
        <f>IF(B461=1,IF(($AN461+$AO461)&lt;10,10,IF(($AN461+$AO461)&gt;20,20,($AN461+$AO461))),($AN461+$AO461))</f>
        <v>10.461222222222222</v>
      </c>
      <c r="AQ461" s="475">
        <v>3</v>
      </c>
      <c r="AR461" s="474">
        <f ca="1">((1/60)*$AX461/$BT461)</f>
        <v>0.18952793205849472</v>
      </c>
      <c r="AS461" s="474">
        <f ca="1">AO461/AR461</f>
        <v>1.0394246265463347</v>
      </c>
      <c r="AT461" s="471" t="str">
        <f ca="1">IF(AS461&lt;0.9,"Disminuir vel.",IF(AS461&gt;1.1,"Aumentar vel.","Cumple"))</f>
        <v>Cumple</v>
      </c>
      <c r="AU461" s="492">
        <f>+I461*AL461*AM461</f>
        <v>16.449384540748305</v>
      </c>
      <c r="AV461" s="471">
        <f ca="1">+L461*AL461*AM461</f>
        <v>103.58534849723914</v>
      </c>
      <c r="AW461" s="471">
        <f ca="1">ROUND(IF(AI461&gt;(AV461*0.05),(AV461+AI461),AV461),2)</f>
        <v>103.59</v>
      </c>
      <c r="AX461" s="478">
        <f>IF(OR(C461="",D461=""),"",ROUND(((VLOOKUP(C461,'Base de Diseño (2)'!$A$2:$C$333,2,FALSE)-VLOOKUP(D461,'Base de Diseño (2)'!$A$2:$C$333,2,FALSE))^2+(VLOOKUP(C461,'Base de Diseño (2)'!$A$2:$C$333,3,0)-VLOOKUP(D461,'Base de Diseño (2)'!$A$2:$C$333,3,FALSE))^2)^0.5,2))</f>
        <v>35.46</v>
      </c>
      <c r="AY461" s="493">
        <v>20</v>
      </c>
      <c r="AZ461" s="480">
        <f ca="1">IF(AND(L461="",H461=""),"",IF(BA461=4,VLOOKUP(AY461,'TABLA (2)'!$A$74:$C$89,2),IF(BA461=5,VLOOKUP(AY461,'TABLA (2)'!$A$51:$B$66,2),IF(BA461=6,VLOOKUP(AY461,'TABLA (2)'!$A$9:$B$43,2)))))</f>
        <v>500</v>
      </c>
      <c r="BA461" s="493">
        <v>6</v>
      </c>
      <c r="BB461" s="478">
        <f>IF(OR(C461="",D461=""),"",VLOOKUP(C461,'Base de Diseño (2)'!$A$2:$D$330,4,FALSE))</f>
        <v>975.36160000000007</v>
      </c>
      <c r="BC461" s="478">
        <f>IF(OR(C461="",D461=""),"",VLOOKUP(D461,'Base de Diseño (2)'!$A$2:$D$330,4,FALSE))</f>
        <v>970.74160000000006</v>
      </c>
      <c r="BD461" s="23">
        <f ca="1">+BF461-((AZ461/1000)+CX461)</f>
        <v>2.0699999999999861</v>
      </c>
      <c r="BE461" s="23">
        <f ca="1">+BG461-((AZ461/1000)+CX461)</f>
        <v>0.91000000000001813</v>
      </c>
      <c r="BF461" s="494">
        <v>2.6399999999999864</v>
      </c>
      <c r="BG461" s="494">
        <v>1.4800000000000182</v>
      </c>
      <c r="BH461" s="495">
        <f t="shared" si="1335"/>
        <v>972.72160000000008</v>
      </c>
      <c r="BI461" s="495">
        <f t="shared" si="1335"/>
        <v>969.26160000000004</v>
      </c>
      <c r="BJ461" s="534">
        <f t="shared" si="1262"/>
        <v>0.12000000000000455</v>
      </c>
      <c r="BK461" s="475">
        <f>ABS((BB461-BC461)/AX461)*100</f>
        <v>13.028764805414564</v>
      </c>
      <c r="BL461" s="475">
        <f>((BH461-BI461)/AX461)*100</f>
        <v>9.7574732092499623</v>
      </c>
      <c r="BM461" s="475">
        <f ca="1">IF(BA461=6,(1/0.013)*((AZ461/4000)^(2/3))*((BL461/100)^(0.5)),(1/0.009)*((AZ461/4000)^(2/3))*((BL461/100)^(0.5)))</f>
        <v>6.0071066176542312</v>
      </c>
      <c r="BN461" s="475">
        <f ca="1">1000*BM461*PI()*((AZ461/1000/2)^2)</f>
        <v>1179.4926262095726</v>
      </c>
      <c r="BO461" s="204">
        <f ca="1">AI461/BN461</f>
        <v>1.2717332577316847E-3</v>
      </c>
      <c r="BP461" s="496">
        <f ca="1">IF(L461=0," ",AW461/BN461)</f>
        <v>8.7825898778950154E-2</v>
      </c>
      <c r="BQ461" s="497">
        <f ca="1">IF($BO461&gt;0 =AND($BO461&lt;=0.06),10^(0.029806+0.29095*LOG($BO461)),IF($BO461&gt;0.06 =AND($BO461&lt;=0.26),10^(0.013778+0.282597*LOG($BO461)),IF($BO461&gt;0.26 =AND($BO461&lt;=0.91),10^(0.021763+0.28995*LOG($BO461)),1)))</f>
        <v>0.15393239432156341</v>
      </c>
      <c r="BR461" s="497">
        <f ca="1">IF($BP461&gt;0 =AND($BP461&lt;=0.06),10^(0.029806+0.29095*LOG($BP461)),IF($BP461&gt;0.06 =AND($BP461&lt;=0.26),10^(0.013778+0.282597*LOG($BP461)),IF($BP461&gt;0.26 =AND($BP461&lt;=2),10^(0.021763+0.28995*LOG($BP461))," ")))</f>
        <v>0.51909747539268536</v>
      </c>
      <c r="BS461" s="475">
        <f ca="1">BM461*BQ461</f>
        <v>0.92468830460042417</v>
      </c>
      <c r="BT461" s="475">
        <f ca="1">IF(BP461=" "," ",(BM461*BR461))</f>
        <v>3.1182738796390046</v>
      </c>
      <c r="BU461" s="475">
        <f ca="1">IF(BO461&lt;=0.11,0.3827+0.0645*LN(BO461),IF(BO461&lt;=0.21,0.60025+0.15471*LN(BO461),IF(BO461&lt;1,0.225+0.6666666667*BO461,0)))</f>
        <v>-4.7345657771697969E-2</v>
      </c>
      <c r="BV461" s="475">
        <f ca="1">IF(BP461&lt;=0.11,0.3827+0.0645*LN(BP461),IF(BP461&lt;=0.21,0.60025+0.15471*LN(BP461),IF(BP461&lt;1,0.225+0.6666666667*BP461," ")))</f>
        <v>0.22581027435984111</v>
      </c>
      <c r="BW461" s="475" t="e">
        <f ca="1">2*ACOS(1-2*(BU461))</f>
        <v>#NUM!</v>
      </c>
      <c r="BX461" s="475">
        <f ca="1">IF(BP461=" "," ",(2*ACOS(1-2*(BV461))))</f>
        <v>1.9807424924705508</v>
      </c>
      <c r="BY461" s="475" t="e">
        <f ca="1">(1/4)*(1-(SIN(BW461))/BW461)</f>
        <v>#NUM!</v>
      </c>
      <c r="BZ461" s="475">
        <f ca="1">IF(BP461=" "," ",((1/4)*(1-(SIN(BX461))/BX461)))</f>
        <v>0.13424261560528031</v>
      </c>
      <c r="CA461" s="471" t="e">
        <f ca="1">BY461*AZ461/1000</f>
        <v>#NUM!</v>
      </c>
      <c r="CB461" s="471">
        <f ca="1">IF(BP461=" "," ",(BZ461*AZ461/1000))</f>
        <v>6.7121307802640154E-2</v>
      </c>
      <c r="CC461" s="471">
        <f t="shared" ca="1" si="1315"/>
        <v>3.5311267766230983</v>
      </c>
      <c r="CD461" s="471" t="str">
        <f ca="1">IF(CC461="","",IF(CC461&lt;0.7,"F. Subcrítico",IF(AND(CC461&gt;0.7,CC461&lt;1),"F. Subcrítico Inestable",IF(CC461=1,"F. Crítico",IF(AND(CC461&gt;1,CC461&lt;1.5),"F. Supercrítico Inestable",IF(CC461&gt;1.5,"F. Supercrítico",""))))))</f>
        <v>F. Supercrítico</v>
      </c>
      <c r="CE461" s="471" t="e">
        <f ca="1">1000*BL461*CA461/100</f>
        <v>#NUM!</v>
      </c>
      <c r="CF461" s="471">
        <f ca="1">IF(BP461=" "," ",(1000*BL461*CB461/100))</f>
        <v>6.5493436265408169</v>
      </c>
      <c r="CG461" s="471" t="str">
        <f ca="1">IF(BS461&lt;0.45,"No cumple",IF(BS461&gt;5,"No cumple","O.K"))</f>
        <v>O.K</v>
      </c>
      <c r="CH461" s="471" t="str">
        <f ca="1">IF(BT461&lt;0.75,"No cumple",IF(BT461&gt;10,"No cumple","O.K"))</f>
        <v>O.K</v>
      </c>
      <c r="CI461" s="471" t="e">
        <f ca="1">IF(CE461&gt;0.1,"OK","V.C.H.")</f>
        <v>#NUM!</v>
      </c>
      <c r="CJ461" s="471" t="str">
        <f ca="1">IF(CF461&gt;0.2,"OK","V.C.H.")</f>
        <v>OK</v>
      </c>
      <c r="CK461" s="468">
        <f>+BJ461</f>
        <v>0.12000000000000455</v>
      </c>
      <c r="CL461" s="482" t="s">
        <v>2507</v>
      </c>
      <c r="CM461" s="482"/>
      <c r="CN461" s="63" t="str">
        <f>IF(B461=1,"dato"," ")</f>
        <v xml:space="preserve"> </v>
      </c>
      <c r="CO461" s="527">
        <f t="shared" si="1332"/>
        <v>35.46</v>
      </c>
      <c r="CP461" s="511">
        <f t="shared" si="1333"/>
        <v>0.13028764805414564</v>
      </c>
      <c r="CQ461" s="482" t="s">
        <v>2508</v>
      </c>
      <c r="CR461" s="204">
        <f>IF(BA461="","",AX461)</f>
        <v>35.46</v>
      </c>
      <c r="CS461" s="486">
        <v>1.2</v>
      </c>
      <c r="CT461" s="486">
        <v>1.2</v>
      </c>
      <c r="CU461" s="23">
        <f>IF($BA461="","",SQRT((BH461-BI461)^2+$CR461^2))</f>
        <v>35.628404398737821</v>
      </c>
      <c r="CV461" s="499" t="s">
        <v>2509</v>
      </c>
      <c r="CW461" s="488" t="str">
        <f ca="1">+IF(BD461&lt;=0.9,"E1",IF(BD461&lt;=2.5,"E2","E3"))</f>
        <v>E2</v>
      </c>
      <c r="CX461" s="204">
        <f ca="1">IF(AND(L461="",H461=""),"",IF(AND(BA461&lt;&gt;4,BA461&lt;&gt;5),VLOOKUP(AY461,'TABLA (2)'!$A$9:$D$43,4),IF(BA461=4,VLOOKUP(AY461,'TABLA (2)'!$A$74:$D$89,4),VLOOKUP(AY461,'TABLA (2)'!$A$51:$D$66,4))))</f>
        <v>7.0000000000000007E-2</v>
      </c>
      <c r="CY461" s="482"/>
      <c r="CZ461" s="482"/>
      <c r="DA461" s="482"/>
      <c r="DB461" s="490"/>
    </row>
    <row r="462" spans="1:106" ht="15" hidden="1" customHeight="1">
      <c r="A462" s="465">
        <f>+A461+1</f>
        <v>335</v>
      </c>
      <c r="B462" s="491"/>
      <c r="C462" s="466" t="s">
        <v>2299</v>
      </c>
      <c r="D462" s="466" t="s">
        <v>2300</v>
      </c>
      <c r="E462" s="468">
        <v>8.243455320000001E-2</v>
      </c>
      <c r="F462" s="468"/>
      <c r="G462" s="537">
        <f t="shared" si="1329"/>
        <v>0.49239519580000002</v>
      </c>
      <c r="H462" s="537">
        <f t="shared" si="1330"/>
        <v>0.57482974900000006</v>
      </c>
      <c r="I462" s="468">
        <v>8.243455320000001E-2</v>
      </c>
      <c r="J462" s="468"/>
      <c r="K462" s="467">
        <f ca="1">+IF(B462=1,0,SUMIF($D$22:$D$583,C462,$L$22:$L$580))</f>
        <v>0.49239519580000002</v>
      </c>
      <c r="L462" s="468">
        <f ca="1">+I462+J462+K462</f>
        <v>0.57482974900000006</v>
      </c>
      <c r="M462" s="469">
        <f>+$P$12</f>
        <v>242.33666300502347</v>
      </c>
      <c r="N462" s="470">
        <f>M462*E462</f>
        <v>19.976914538798081</v>
      </c>
      <c r="O462" s="470">
        <f>M462*F462</f>
        <v>0</v>
      </c>
      <c r="P462" s="470">
        <f>M462*H462</f>
        <v>139.30232316867523</v>
      </c>
      <c r="Q462" s="469">
        <f t="shared" si="1336"/>
        <v>140</v>
      </c>
      <c r="R462" s="471">
        <f>Q462*P462*$P$14/86400</f>
        <v>0.1918631534383374</v>
      </c>
      <c r="S462" s="471"/>
      <c r="T462" s="471"/>
      <c r="U462" s="471">
        <f>IF(C462="","",T462*$P$17)</f>
        <v>0</v>
      </c>
      <c r="V462" s="471"/>
      <c r="W462" s="471"/>
      <c r="X462" s="471">
        <f>IF(C462="","",W462*$P$16)</f>
        <v>0</v>
      </c>
      <c r="Y462" s="471">
        <f>IF(H462=0,0,$H$15*H462)</f>
        <v>0.11496594980000002</v>
      </c>
      <c r="Z462" s="471">
        <f ca="1">IF(L462=0,$H$16*H462,0)</f>
        <v>0</v>
      </c>
      <c r="AA462" s="471">
        <f t="shared" si="1185"/>
        <v>3.8</v>
      </c>
      <c r="AB462" s="471">
        <f>R462*AA462</f>
        <v>0.72907998306568211</v>
      </c>
      <c r="AC462" s="471">
        <f>Q462*(N462+O462)*$P$14/86400</f>
        <v>2.7514500348576058E-2</v>
      </c>
      <c r="AD462" s="471">
        <f t="shared" si="1334"/>
        <v>1.6486910640000001E-2</v>
      </c>
      <c r="AE462" s="471">
        <f t="shared" si="1334"/>
        <v>0</v>
      </c>
      <c r="AF462" s="510">
        <f t="shared" si="1328"/>
        <v>3.8</v>
      </c>
      <c r="AG462" s="471">
        <f>AC462*AF462</f>
        <v>0.10455510132458902</v>
      </c>
      <c r="AH462" s="471">
        <f>+AD462+AE462+AG462</f>
        <v>0.12104201196458902</v>
      </c>
      <c r="AI462" s="471">
        <f ca="1">IF(H462="","",IF(AB462+Y462+Z462+X462+U462&lt;1.5,1.5,AB462+Y462+Z462+X462+U462))</f>
        <v>1.5</v>
      </c>
      <c r="AJ462" s="471">
        <f>+$P$17</f>
        <v>0.75</v>
      </c>
      <c r="AK462" s="472">
        <f>+BK462/100</f>
        <v>9.083969465648839E-2</v>
      </c>
      <c r="AL462" s="471">
        <f>IF(AJ462=0," ",0.14+0.65*AJ462+0.05*AK462)</f>
        <v>0.63204198473282447</v>
      </c>
      <c r="AM462" s="473">
        <f t="shared" si="1331"/>
        <v>330.40475510555507</v>
      </c>
      <c r="AN462" s="474">
        <f t="shared" si="1285"/>
        <v>10.461222222222222</v>
      </c>
      <c r="AO462" s="474">
        <f>((1/60)*$AX462/$AQ462)</f>
        <v>0.14555555555555555</v>
      </c>
      <c r="AP462" s="474">
        <f>IF(B462=1,IF(($AN462+$AO462)&lt;10,10,IF(($AN462+$AO462)&gt;20,20,($AN462+$AO462))),($AN462+$AO462))</f>
        <v>10.606777777777777</v>
      </c>
      <c r="AQ462" s="475">
        <v>3</v>
      </c>
      <c r="AR462" s="474">
        <f ca="1">((1/60)*$AX462/$BT462)</f>
        <v>0.13781267128112545</v>
      </c>
      <c r="AS462" s="474">
        <f ca="1">AO462/AR462</f>
        <v>1.0561841244527892</v>
      </c>
      <c r="AT462" s="471" t="str">
        <f ca="1">IF(AS462&lt;0.9,"Disminuir vel.",IF(AS462&gt;1.1,"Aumentar vel.","Cumple"))</f>
        <v>Cumple</v>
      </c>
      <c r="AU462" s="492">
        <f>+I462*AL462*AM462</f>
        <v>17.214781133404824</v>
      </c>
      <c r="AV462" s="471">
        <f ca="1">+L462*AL462*AM462</f>
        <v>120.04151091832483</v>
      </c>
      <c r="AW462" s="471">
        <f ca="1">ROUND(IF(AI462&gt;(AV462*0.05),(AV462+AI462),AV462),2)</f>
        <v>120.04</v>
      </c>
      <c r="AX462" s="478">
        <f>IF(OR(C462="",D462=""),"",ROUND(((VLOOKUP(C462,'Base de Diseño (2)'!$A$2:$C$333,2,FALSE)-VLOOKUP(D462,'Base de Diseño (2)'!$A$2:$C$333,2,FALSE))^2+(VLOOKUP(C462,'Base de Diseño (2)'!$A$2:$C$333,3,0)-VLOOKUP(D462,'Base de Diseño (2)'!$A$2:$C$333,3,FALSE))^2)^0.5,2))</f>
        <v>26.2</v>
      </c>
      <c r="AY462" s="493">
        <v>20</v>
      </c>
      <c r="AZ462" s="480">
        <f ca="1">IF(AND(L462="",H462=""),"",IF(BA462=4,VLOOKUP(AY462,'TABLA (2)'!$A$74:$C$89,2),IF(BA462=5,VLOOKUP(AY462,'TABLA (2)'!$A$51:$B$66,2),IF(BA462=6,VLOOKUP(AY462,'TABLA (2)'!$A$9:$B$43,2)))))</f>
        <v>500</v>
      </c>
      <c r="BA462" s="493">
        <v>6</v>
      </c>
      <c r="BB462" s="478">
        <f>IF(OR(C462="",D462=""),"",VLOOKUP(C462,'Base de Diseño (2)'!$A$2:$D$330,4,FALSE))</f>
        <v>970.74160000000006</v>
      </c>
      <c r="BC462" s="478">
        <f>IF(OR(C462="",D462=""),"",VLOOKUP(D462,'Base de Diseño (2)'!$A$2:$D$330,4,FALSE))</f>
        <v>968.36160000000007</v>
      </c>
      <c r="BD462" s="23">
        <f ca="1">+BF462-((AZ462/1000)+CX462)</f>
        <v>1.0300000000000227</v>
      </c>
      <c r="BE462" s="23">
        <f ca="1">+BG462-((AZ462/1000)+CX462)</f>
        <v>1.0300000000000227</v>
      </c>
      <c r="BF462" s="494">
        <v>1.6000000000000227</v>
      </c>
      <c r="BG462" s="494">
        <v>1.6000000000000227</v>
      </c>
      <c r="BH462" s="495">
        <f t="shared" si="1335"/>
        <v>969.14160000000004</v>
      </c>
      <c r="BI462" s="495">
        <f t="shared" si="1335"/>
        <v>966.76160000000004</v>
      </c>
      <c r="BJ462" s="534">
        <f t="shared" si="1262"/>
        <v>4.9999999999954525E-2</v>
      </c>
      <c r="BK462" s="475">
        <f>ABS((BB462-BC462)/AX462)*100</f>
        <v>9.0839694656488383</v>
      </c>
      <c r="BL462" s="475">
        <f>((BH462-BI462)/AX462)*100</f>
        <v>9.0839694656488383</v>
      </c>
      <c r="BM462" s="475">
        <f ca="1">IF(BA462=6,(1/0.013)*((AZ462/4000)^(2/3))*((BL462/100)^(0.5)),(1/0.009)*((AZ462/4000)^(2/3))*((BL462/100)^(0.5)))</f>
        <v>5.7960815757990085</v>
      </c>
      <c r="BN462" s="475">
        <f ca="1">1000*BM462*PI()*((AZ462/1000/2)^2)</f>
        <v>1138.0579561335824</v>
      </c>
      <c r="BO462" s="204">
        <f ca="1">AI462/BN462</f>
        <v>1.3180348082588633E-3</v>
      </c>
      <c r="BP462" s="496">
        <f ca="1">IF(L462=0," ",AW462/BN462)</f>
        <v>0.10547793225559597</v>
      </c>
      <c r="BQ462" s="497">
        <f ca="1">IF($BO462&gt;0 =AND($BO462&lt;=0.06),10^(0.029806+0.29095*LOG($BO462)),IF($BO462&gt;0.06 =AND($BO462&lt;=0.26),10^(0.013778+0.282597*LOG($BO462)),IF($BO462&gt;0.26 =AND($BO462&lt;=0.91),10^(0.021763+0.28995*LOG($BO462)),1)))</f>
        <v>0.15554237489090636</v>
      </c>
      <c r="BR462" s="497">
        <f ca="1">IF($BP462&gt;0 =AND($BP462&lt;=0.06),10^(0.029806+0.29095*LOG($BP462)),IF($BP462&gt;0.06 =AND($BP462&lt;=0.26),10^(0.013778+0.282597*LOG($BP462)),IF($BP462&gt;0.26 =AND($BP462&lt;=2),10^(0.021763+0.28995*LOG($BP462))," ")))</f>
        <v>0.54667145931630068</v>
      </c>
      <c r="BS462" s="475">
        <f ca="1">BM462*BQ462</f>
        <v>0.90153629336120467</v>
      </c>
      <c r="BT462" s="475">
        <f ca="1">IF(BP462=" "," ",(BM462*BR462))</f>
        <v>3.1685523733583678</v>
      </c>
      <c r="BU462" s="475">
        <f ca="1">IF(BO462&lt;=0.11,0.3827+0.0645*LN(BO462),IF(BO462&lt;=0.21,0.60025+0.15471*LN(BO462),IF(BO462&lt;1,0.225+0.6666666667*BO462,0)))</f>
        <v>-4.5039066450589138E-2</v>
      </c>
      <c r="BV462" s="475">
        <f ca="1">IF(BP462&lt;=0.11,0.3827+0.0645*LN(BP462),IF(BP462&lt;=0.21,0.60025+0.15471*LN(BP462),IF(BP462&lt;1,0.225+0.6666666667*BP462," ")))</f>
        <v>0.23762314790333902</v>
      </c>
      <c r="BW462" s="475" t="e">
        <f ca="1">2*ACOS(1-2*(BU462))</f>
        <v>#NUM!</v>
      </c>
      <c r="BX462" s="475">
        <f ca="1">IF(BP462=" "," ",(2*ACOS(1-2*(BV462))))</f>
        <v>2.0367411447904935</v>
      </c>
      <c r="BY462" s="475" t="e">
        <f ca="1">(1/4)*(1-(SIN(BW462))/BW462)</f>
        <v>#NUM!</v>
      </c>
      <c r="BZ462" s="475">
        <f ca="1">IF(BP462=" "," ",((1/4)*(1-(SIN(BX462))/BX462)))</f>
        <v>0.14033983392125451</v>
      </c>
      <c r="CA462" s="471" t="e">
        <f ca="1">BY462*AZ462/1000</f>
        <v>#NUM!</v>
      </c>
      <c r="CB462" s="471">
        <f ca="1">IF(BP462=" "," ",(BZ462*AZ462/1000))</f>
        <v>7.0169916960627257E-2</v>
      </c>
      <c r="CC462" s="471">
        <f t="shared" ca="1" si="1315"/>
        <v>3.4916249960801626</v>
      </c>
      <c r="CD462" s="471" t="str">
        <f ca="1">IF(CC462="","",IF(CC462&lt;0.7,"F. Subcrítico",IF(AND(CC462&gt;0.7,CC462&lt;1),"F. Subcrítico Inestable",IF(CC462=1,"F. Crítico",IF(AND(CC462&gt;1,CC462&lt;1.5),"F. Supercrítico Inestable",IF(CC462&gt;1.5,"F. Supercrítico",""))))))</f>
        <v>F. Supercrítico</v>
      </c>
      <c r="CE462" s="471" t="e">
        <f ca="1">1000*BL462*CA462/100</f>
        <v>#NUM!</v>
      </c>
      <c r="CF462" s="471">
        <f ca="1">IF(BP462=" "," ",(1000*BL462*CB462/100))</f>
        <v>6.3742138307745257</v>
      </c>
      <c r="CG462" s="471" t="str">
        <f ca="1">IF(BS462&lt;0.45,"No cumple",IF(BS462&gt;5,"No cumple","O.K"))</f>
        <v>O.K</v>
      </c>
      <c r="CH462" s="471" t="str">
        <f ca="1">IF(BT462&lt;0.75,"No cumple",IF(BT462&gt;10,"No cumple","O.K"))</f>
        <v>O.K</v>
      </c>
      <c r="CI462" s="471" t="e">
        <f ca="1">IF(CE462&gt;0.1,"OK","V.C.H.")</f>
        <v>#NUM!</v>
      </c>
      <c r="CJ462" s="471" t="str">
        <f ca="1">IF(CF462&gt;0.2,"OK","V.C.H.")</f>
        <v>OK</v>
      </c>
      <c r="CK462" s="468">
        <f>+BJ462</f>
        <v>4.9999999999954525E-2</v>
      </c>
      <c r="CL462" s="482" t="s">
        <v>2507</v>
      </c>
      <c r="CM462" s="482"/>
      <c r="CN462" s="63" t="str">
        <f>IF(B462=1,"dato"," ")</f>
        <v xml:space="preserve"> </v>
      </c>
      <c r="CO462" s="527">
        <f t="shared" si="1332"/>
        <v>26.2</v>
      </c>
      <c r="CP462" s="542">
        <f t="shared" si="1333"/>
        <v>9.083969465648839E-2</v>
      </c>
      <c r="CQ462" s="482" t="s">
        <v>2508</v>
      </c>
      <c r="CR462" s="204">
        <f>IF(BA462="","",AX462)</f>
        <v>26.2</v>
      </c>
      <c r="CS462" s="486">
        <v>1.2</v>
      </c>
      <c r="CT462" s="486">
        <v>1.2</v>
      </c>
      <c r="CU462" s="23">
        <f>IF($BA462="","",SQRT((BH462-BI462)^2+$CR462^2))</f>
        <v>26.307877147348851</v>
      </c>
      <c r="CV462" s="499" t="s">
        <v>2509</v>
      </c>
      <c r="CW462" s="488" t="str">
        <f ca="1">+IF(BD462&lt;=0.9,"E1",IF(BD462&lt;=2.5,"E2","E3"))</f>
        <v>E2</v>
      </c>
      <c r="CX462" s="204">
        <f ca="1">IF(AND(L462="",H462=""),"",IF(AND(BA462&lt;&gt;4,BA462&lt;&gt;5),VLOOKUP(AY462,'TABLA (2)'!$A$9:$D$43,4),IF(BA462=4,VLOOKUP(AY462,'TABLA (2)'!$A$74:$D$89,4),VLOOKUP(AY462,'TABLA (2)'!$A$51:$D$66,4))))</f>
        <v>7.0000000000000007E-2</v>
      </c>
      <c r="CY462" s="482"/>
      <c r="CZ462" s="482"/>
      <c r="DA462" s="482"/>
      <c r="DB462" s="490"/>
    </row>
    <row r="463" spans="1:106" ht="15" hidden="1" customHeight="1">
      <c r="A463" s="465">
        <f>+A462+1</f>
        <v>336</v>
      </c>
      <c r="B463" s="491"/>
      <c r="C463" s="466" t="s">
        <v>2300</v>
      </c>
      <c r="D463" s="466" t="s">
        <v>2301</v>
      </c>
      <c r="E463" s="468"/>
      <c r="F463" s="468"/>
      <c r="G463" s="537">
        <f t="shared" si="1329"/>
        <v>1.2084795262000001</v>
      </c>
      <c r="H463" s="537">
        <f t="shared" si="1330"/>
        <v>1.2084795262000001</v>
      </c>
      <c r="I463" s="468"/>
      <c r="J463" s="468"/>
      <c r="K463" s="467">
        <f ca="1">+IF(B463=1,0,SUMIF($D$22:$D$583,C463,$L$22:$L$580))</f>
        <v>1.2084795262000001</v>
      </c>
      <c r="L463" s="468">
        <f ca="1">+I463+J463+K463</f>
        <v>1.2084795262000001</v>
      </c>
      <c r="M463" s="469">
        <f>+$P$12</f>
        <v>242.33666300502347</v>
      </c>
      <c r="N463" s="470">
        <f>M463*E463</f>
        <v>0</v>
      </c>
      <c r="O463" s="470">
        <f>M463*F463</f>
        <v>0</v>
      </c>
      <c r="P463" s="470">
        <f>M463*H463</f>
        <v>292.85889568919987</v>
      </c>
      <c r="Q463" s="469">
        <f t="shared" si="1336"/>
        <v>140</v>
      </c>
      <c r="R463" s="471">
        <f>Q463*P463*$P$14/86400</f>
        <v>0.40335889568304151</v>
      </c>
      <c r="S463" s="471"/>
      <c r="T463" s="471"/>
      <c r="U463" s="471">
        <f>IF(C463="","",T463*$P$17)</f>
        <v>0</v>
      </c>
      <c r="V463" s="471"/>
      <c r="W463" s="471"/>
      <c r="X463" s="471">
        <f>IF(C463="","",W463*$P$16)</f>
        <v>0</v>
      </c>
      <c r="Y463" s="471">
        <f>IF(H463=0,0,$H$15*H463)</f>
        <v>0.24169590524000004</v>
      </c>
      <c r="Z463" s="471">
        <f ca="1">IF(L463=0,$H$16*H463,0)</f>
        <v>0</v>
      </c>
      <c r="AA463" s="471">
        <f t="shared" si="1185"/>
        <v>3.8</v>
      </c>
      <c r="AB463" s="471">
        <f>R463*AA463</f>
        <v>1.5327638035955578</v>
      </c>
      <c r="AC463" s="471">
        <f>Q463*(N463+O463)*$P$14/86400</f>
        <v>0</v>
      </c>
      <c r="AD463" s="471">
        <f t="shared" si="1334"/>
        <v>0</v>
      </c>
      <c r="AE463" s="471">
        <f t="shared" si="1334"/>
        <v>0</v>
      </c>
      <c r="AF463" s="510">
        <f t="shared" si="1328"/>
        <v>3.8</v>
      </c>
      <c r="AG463" s="471">
        <f>AC463*AF463</f>
        <v>0</v>
      </c>
      <c r="AH463" s="471">
        <f>+AD463+AE463+AG463</f>
        <v>0</v>
      </c>
      <c r="AI463" s="471">
        <f ca="1">IF(H463="","",IF(AB463+Y463+Z463+X463+U463&lt;1.5,1.5,AB463+Y463+Z463+X463+U463))</f>
        <v>1.7744597088355578</v>
      </c>
      <c r="AJ463" s="471">
        <f>+$P$17</f>
        <v>0.75</v>
      </c>
      <c r="AK463" s="472">
        <f>+BK463/100</f>
        <v>2.9783761729906901E-2</v>
      </c>
      <c r="AL463" s="471">
        <f>IF(AJ463=0," ",0.14+0.65*AJ463+0.05*AK463)</f>
        <v>0.6289891880864954</v>
      </c>
      <c r="AM463" s="473">
        <f t="shared" si="1331"/>
        <v>329.10329219173127</v>
      </c>
      <c r="AN463" s="474">
        <f t="shared" si="1285"/>
        <v>10.606777777777777</v>
      </c>
      <c r="AO463" s="474">
        <f>((1/60)*$AX463/$AQ463)</f>
        <v>0.13616666666666669</v>
      </c>
      <c r="AP463" s="474">
        <f>IF(B463=1,IF(($AN463+$AO463)&lt;10,10,IF(($AN463+$AO463)&gt;20,20,($AN463+$AO463))),($AN463+$AO463))</f>
        <v>10.742944444444444</v>
      </c>
      <c r="AQ463" s="475">
        <v>3</v>
      </c>
      <c r="AR463" s="474">
        <f ca="1">((1/60)*$AX463/$BT463)</f>
        <v>0.14236726123132262</v>
      </c>
      <c r="AS463" s="474">
        <f ca="1">AO463/AR463</f>
        <v>0.95644648558223633</v>
      </c>
      <c r="AT463" s="471" t="str">
        <f ca="1">IF(AS463&lt;0.9,"Disminuir vel.",IF(AS463&gt;1.1,"Aumentar vel.","Cumple"))</f>
        <v>Cumple</v>
      </c>
      <c r="AU463" s="492">
        <f>+I463*AL463*AM463</f>
        <v>0</v>
      </c>
      <c r="AV463" s="471">
        <f ca="1">+L463*AL463*AM463</f>
        <v>250.15817744342385</v>
      </c>
      <c r="AW463" s="471">
        <f ca="1">ROUND(IF(AI463&gt;(AV463*0.05),(AV463+AI463),AV463),2)</f>
        <v>250.16</v>
      </c>
      <c r="AX463" s="478">
        <f>IF(OR(C463="",D463=""),"",ROUND(((VLOOKUP(C463,'Base de Diseño (2)'!$A$2:$C$333,2,FALSE)-VLOOKUP(D463,'Base de Diseño (2)'!$A$2:$C$333,2,FALSE))^2+(VLOOKUP(C463,'Base de Diseño (2)'!$A$2:$C$333,3,0)-VLOOKUP(D463,'Base de Diseño (2)'!$A$2:$C$333,3,FALSE))^2)^0.5,2))</f>
        <v>24.51</v>
      </c>
      <c r="AY463" s="493">
        <v>16</v>
      </c>
      <c r="AZ463" s="480">
        <f ca="1">IF(AND(L463="",H463=""),"",IF(BA463=4,VLOOKUP(AY463,'TABLA (2)'!$A$74:$C$89,2),IF(BA463=5,VLOOKUP(AY463,'TABLA (2)'!$A$51:$B$66,2),IF(BA463=6,VLOOKUP(AY463,'TABLA (2)'!$A$9:$B$43,2)))))</f>
        <v>400</v>
      </c>
      <c r="BA463" s="493">
        <v>6</v>
      </c>
      <c r="BB463" s="478">
        <f>IF(OR(C463="",D463=""),"",VLOOKUP(C463,'Base de Diseño (2)'!$A$2:$D$330,4,FALSE))</f>
        <v>968.36160000000007</v>
      </c>
      <c r="BC463" s="478">
        <f>IF(OR(C463="",D463=""),"",VLOOKUP(D463,'Base de Diseño (2)'!$A$2:$D$330,4,FALSE))</f>
        <v>967.63160000000005</v>
      </c>
      <c r="BD463" s="23">
        <f ca="1">+BF463-((AZ463/1000)+CX463)</f>
        <v>1.1879999999999773</v>
      </c>
      <c r="BE463" s="23">
        <f ca="1">+BG463-((AZ463/1000)+CX463)</f>
        <v>1.3179999999999727</v>
      </c>
      <c r="BF463" s="494">
        <v>1.6499999999999773</v>
      </c>
      <c r="BG463" s="494">
        <v>1.7799999999999727</v>
      </c>
      <c r="BH463" s="495">
        <f t="shared" si="1335"/>
        <v>966.71160000000009</v>
      </c>
      <c r="BI463" s="495">
        <f t="shared" si="1335"/>
        <v>965.85160000000008</v>
      </c>
      <c r="BJ463" s="534">
        <f t="shared" si="1262"/>
        <v>965.85160000000008</v>
      </c>
      <c r="BK463" s="475">
        <f>ABS((BB463-BC463)/AX463)*100</f>
        <v>2.9783761729906901</v>
      </c>
      <c r="BL463" s="475">
        <f>((BH463-BI463)/AX463)*100</f>
        <v>3.5087719298246167</v>
      </c>
      <c r="BM463" s="475">
        <f ca="1">IF(BA463=6,(1/0.013)*((AZ463/4000)^(2/3))*((BL463/100)^(0.5)),(1/0.009)*((AZ463/4000)^(2/3))*((BL463/100)^(0.5)))</f>
        <v>3.10432763486659</v>
      </c>
      <c r="BN463" s="475">
        <f ca="1">1000*BM463*PI()*((AZ463/1000/2)^2)</f>
        <v>390.10131568130635</v>
      </c>
      <c r="BO463" s="204">
        <f ca="1">AI463/BN463</f>
        <v>4.5487150068604341E-3</v>
      </c>
      <c r="BP463" s="496">
        <f ca="1">IF(L463=0," ",AW463/BN463)</f>
        <v>0.64126930605988641</v>
      </c>
      <c r="BQ463" s="497">
        <f ca="1">IF($BO463&gt;0 =AND($BO463&lt;=0.06),10^(0.029806+0.29095*LOG($BO463)),IF($BO463&gt;0.06 =AND($BO463&lt;=0.26),10^(0.013778+0.282597*LOG($BO463)),IF($BO463&gt;0.26 =AND($BO463&lt;=0.91),10^(0.021763+0.28995*LOG($BO463)),1)))</f>
        <v>0.2230327941714054</v>
      </c>
      <c r="BR463" s="497">
        <f ca="1">IF($BP463&gt;0 =AND($BP463&lt;=0.06),10^(0.029806+0.29095*LOG($BP463)),IF($BP463&gt;0.06 =AND($BP463&lt;=0.26),10^(0.013778+0.282597*LOG($BP463)),IF($BP463&gt;0.26 =AND($BP463&lt;=2),10^(0.021763+0.28995*LOG($BP463))," ")))</f>
        <v>0.92430303571034633</v>
      </c>
      <c r="BS463" s="475">
        <f ca="1">BM463*BQ463</f>
        <v>0.69236686642780587</v>
      </c>
      <c r="BT463" s="475">
        <f ca="1">IF(BP463=" "," ",(BM463*BR463))</f>
        <v>2.8693394567467085</v>
      </c>
      <c r="BU463" s="475">
        <f ca="1">IF(BO463&lt;=0.11,0.3827+0.0645*LN(BO463),IF(BO463&lt;=0.21,0.60025+0.15471*LN(BO463),IF(BO463&lt;1,0.225+0.6666666667*BO463,0)))</f>
        <v>3.4857272622235924E-2</v>
      </c>
      <c r="BV463" s="475">
        <f ca="1">IF(BP463&lt;=0.11,0.3827+0.0645*LN(BP463),IF(BP463&lt;=0.21,0.60025+0.15471*LN(BP463),IF(BP463&lt;1,0.225+0.6666666667*BP463," ")))</f>
        <v>0.6525128707279666</v>
      </c>
      <c r="BW463" s="475">
        <f ca="1">2*ACOS(1-2*(BU463))</f>
        <v>0.75121219169200559</v>
      </c>
      <c r="BX463" s="475">
        <f ca="1">IF(BP463=" "," ",(2*ACOS(1-2*(BV463))))</f>
        <v>3.7615235710612032</v>
      </c>
      <c r="BY463" s="475">
        <f ca="1">(1/4)*(1-(SIN(BW463))/BW463)</f>
        <v>2.28587163122633E-2</v>
      </c>
      <c r="BZ463" s="475">
        <f ca="1">IF(BP463=" "," ",((1/4)*(1-(SIN(BX463))/BX463)))</f>
        <v>0.28861327221493577</v>
      </c>
      <c r="CA463" s="471">
        <f ca="1">BY463*AZ463/1000</f>
        <v>9.1434865249053199E-3</v>
      </c>
      <c r="CB463" s="471">
        <f ca="1">IF(BP463=" "," ",(BZ463*AZ463/1000))</f>
        <v>0.11544530888597432</v>
      </c>
      <c r="CC463" s="471">
        <f t="shared" ca="1" si="1315"/>
        <v>1.9186216242723302</v>
      </c>
      <c r="CD463" s="471" t="str">
        <f ca="1">IF(CC463="","",IF(CC463&lt;0.7,"F. Subcrítico",IF(AND(CC463&gt;0.7,CC463&lt;1),"F. Subcrítico Inestable",IF(CC463=1,"F. Crítico",IF(AND(CC463&gt;1,CC463&lt;1.5),"F. Supercrítico Inestable",IF(CC463&gt;1.5,"F. Supercrítico",""))))))</f>
        <v>F. Supercrítico</v>
      </c>
      <c r="CE463" s="471">
        <f ca="1">1000*BL463*CA463/100</f>
        <v>0.32082408859317418</v>
      </c>
      <c r="CF463" s="471">
        <f ca="1">IF(BP463=" "," ",(1000*BL463*CB463/100))</f>
        <v>4.0507125924903908</v>
      </c>
      <c r="CG463" s="471" t="str">
        <f ca="1">IF(BS463&lt;0.45,"No cumple",IF(BS463&gt;5,"No cumple","O.K"))</f>
        <v>O.K</v>
      </c>
      <c r="CH463" s="471" t="str">
        <f ca="1">IF(BT463&lt;0.75,"No cumple",IF(BT463&gt;10,"No cumple","O.K"))</f>
        <v>O.K</v>
      </c>
      <c r="CI463" s="471" t="str">
        <f ca="1">IF(CE463&gt;0.1,"OK","V.C.H.")</f>
        <v>OK</v>
      </c>
      <c r="CJ463" s="471" t="str">
        <f ca="1">IF(CF463&gt;0.2,"OK","V.C.H.")</f>
        <v>OK</v>
      </c>
      <c r="CK463" s="468">
        <f>+BJ463</f>
        <v>965.85160000000008</v>
      </c>
      <c r="CL463" s="482" t="s">
        <v>2507</v>
      </c>
      <c r="CM463" s="482"/>
      <c r="CN463" s="63" t="str">
        <f>IF(B463=1,"dato"," ")</f>
        <v xml:space="preserve"> </v>
      </c>
      <c r="CO463" s="527">
        <f t="shared" si="1332"/>
        <v>24.51</v>
      </c>
      <c r="CP463" s="511">
        <f t="shared" si="1333"/>
        <v>2.9783761729906901E-2</v>
      </c>
      <c r="CQ463" s="482" t="s">
        <v>2508</v>
      </c>
      <c r="CR463" s="204">
        <f>IF(BA463="","",AX463)</f>
        <v>24.51</v>
      </c>
      <c r="CS463" s="486">
        <v>1.2</v>
      </c>
      <c r="CT463" s="486">
        <v>1.2</v>
      </c>
      <c r="CU463" s="23">
        <f>IF($BA463="","",SQRT((BH463-BI463)^2+$CR463^2))</f>
        <v>24.525083078350622</v>
      </c>
      <c r="CV463" s="499" t="s">
        <v>2509</v>
      </c>
      <c r="CW463" s="488" t="str">
        <f ca="1">+IF(BD463&lt;=0.9,"E1",IF(BD463&lt;=2.5,"E2","E3"))</f>
        <v>E2</v>
      </c>
      <c r="CX463" s="204">
        <f ca="1">IF(AND(L463="",H463=""),"",IF(AND(BA463&lt;&gt;4,BA463&lt;&gt;5),VLOOKUP(AY463,'TABLA (2)'!$A$9:$D$43,4),IF(BA463=4,VLOOKUP(AY463,'TABLA (2)'!$A$74:$D$89,4),VLOOKUP(AY463,'TABLA (2)'!$A$51:$D$66,4))))</f>
        <v>6.2E-2</v>
      </c>
      <c r="CY463" s="482"/>
      <c r="CZ463" s="482"/>
      <c r="DA463" s="482"/>
      <c r="DB463" s="490"/>
    </row>
    <row r="464" spans="1:106" ht="15" hidden="1" customHeight="1">
      <c r="A464" s="465"/>
      <c r="B464" s="491"/>
      <c r="C464" s="466"/>
      <c r="D464" s="466"/>
      <c r="E464" s="468"/>
      <c r="F464" s="468"/>
      <c r="G464" s="537">
        <f t="shared" si="1329"/>
        <v>0</v>
      </c>
      <c r="H464" s="537">
        <f t="shared" si="1330"/>
        <v>0</v>
      </c>
      <c r="I464" s="468"/>
      <c r="J464" s="468"/>
      <c r="K464" s="467"/>
      <c r="L464" s="468"/>
      <c r="M464" s="469"/>
      <c r="N464" s="470"/>
      <c r="O464" s="470"/>
      <c r="P464" s="470"/>
      <c r="Q464" s="469">
        <f t="shared" si="1336"/>
        <v>140</v>
      </c>
      <c r="R464" s="471"/>
      <c r="S464" s="471"/>
      <c r="T464" s="471"/>
      <c r="U464" s="471"/>
      <c r="V464" s="471"/>
      <c r="W464" s="471"/>
      <c r="X464" s="471"/>
      <c r="Y464" s="471"/>
      <c r="Z464" s="471"/>
      <c r="AA464" s="471" t="str">
        <f t="shared" si="1185"/>
        <v/>
      </c>
      <c r="AB464" s="471"/>
      <c r="AC464" s="471"/>
      <c r="AD464" s="471"/>
      <c r="AE464" s="471"/>
      <c r="AF464" s="510" t="str">
        <f t="shared" si="1328"/>
        <v/>
      </c>
      <c r="AG464" s="471"/>
      <c r="AH464" s="471"/>
      <c r="AI464" s="471"/>
      <c r="AJ464" s="471"/>
      <c r="AK464" s="472"/>
      <c r="AL464" s="471"/>
      <c r="AM464" s="473">
        <f t="shared" si="1331"/>
        <v>474.44695720875893</v>
      </c>
      <c r="AN464" s="474">
        <f t="shared" si="1285"/>
        <v>10.742944444444444</v>
      </c>
      <c r="AO464" s="474"/>
      <c r="AP464" s="474"/>
      <c r="AQ464" s="475">
        <v>3</v>
      </c>
      <c r="AR464" s="474"/>
      <c r="AS464" s="474"/>
      <c r="AT464" s="471"/>
      <c r="AU464" s="492"/>
      <c r="AV464" s="471"/>
      <c r="AW464" s="471"/>
      <c r="AX464" s="478"/>
      <c r="AY464" s="493"/>
      <c r="AZ464" s="480"/>
      <c r="BA464" s="493"/>
      <c r="BB464" s="478" t="str">
        <f>IF(OR(C464="",D464=""),"",VLOOKUP(C464,'Base de Diseño (2)'!$A$2:$D$330,4,FALSE))</f>
        <v/>
      </c>
      <c r="BC464" s="478" t="str">
        <f>IF(OR(C464="",D464=""),"",VLOOKUP(D464,'Base de Diseño (2)'!$A$2:$D$330,4,FALSE))</f>
        <v/>
      </c>
      <c r="BD464" s="23"/>
      <c r="BE464" s="23"/>
      <c r="BF464" s="494"/>
      <c r="BG464" s="494"/>
      <c r="BH464" s="495"/>
      <c r="BI464" s="495"/>
      <c r="BJ464" s="534">
        <f t="shared" si="1262"/>
        <v>0</v>
      </c>
      <c r="BK464" s="475"/>
      <c r="BL464" s="475"/>
      <c r="BM464" s="475"/>
      <c r="BN464" s="475"/>
      <c r="BO464" s="204"/>
      <c r="BP464" s="496"/>
      <c r="BQ464" s="497"/>
      <c r="BR464" s="497"/>
      <c r="BS464" s="475"/>
      <c r="BT464" s="475"/>
      <c r="BU464" s="475"/>
      <c r="BV464" s="475"/>
      <c r="BW464" s="475"/>
      <c r="BX464" s="475"/>
      <c r="BY464" s="475"/>
      <c r="BZ464" s="475"/>
      <c r="CA464" s="471"/>
      <c r="CB464" s="471"/>
      <c r="CC464" s="471" t="e">
        <f t="shared" si="1315"/>
        <v>#DIV/0!</v>
      </c>
      <c r="CD464" s="471"/>
      <c r="CE464" s="471"/>
      <c r="CF464" s="471"/>
      <c r="CG464" s="471"/>
      <c r="CH464" s="471"/>
      <c r="CI464" s="471"/>
      <c r="CJ464" s="471"/>
      <c r="CK464" s="468"/>
      <c r="CL464" s="482" t="s">
        <v>2507</v>
      </c>
      <c r="CM464" s="482"/>
      <c r="CN464" s="63"/>
      <c r="CO464" s="527">
        <f t="shared" si="1332"/>
        <v>0</v>
      </c>
      <c r="CP464" s="542">
        <f t="shared" si="1333"/>
        <v>0</v>
      </c>
      <c r="CQ464" s="482"/>
      <c r="CR464" s="204"/>
      <c r="CS464" s="486"/>
      <c r="CT464" s="486"/>
      <c r="CU464" s="23"/>
      <c r="CV464" s="499"/>
      <c r="CW464" s="488"/>
      <c r="CX464" s="204"/>
      <c r="CY464" s="482"/>
      <c r="CZ464" s="482"/>
      <c r="DA464" s="482"/>
      <c r="DB464" s="490"/>
    </row>
    <row r="465" spans="1:106" ht="15" hidden="1" customHeight="1">
      <c r="A465" s="465">
        <f>+A463+1</f>
        <v>337</v>
      </c>
      <c r="B465" s="491">
        <v>1</v>
      </c>
      <c r="C465" s="466" t="s">
        <v>2304</v>
      </c>
      <c r="D465" s="466" t="s">
        <v>2305</v>
      </c>
      <c r="E465" s="468">
        <v>9.44093456E-2</v>
      </c>
      <c r="F465" s="468"/>
      <c r="G465" s="537">
        <f t="shared" si="1329"/>
        <v>0</v>
      </c>
      <c r="H465" s="537">
        <f t="shared" si="1330"/>
        <v>9.44093456E-2</v>
      </c>
      <c r="I465" s="468">
        <v>9.44093456E-2</v>
      </c>
      <c r="J465" s="468"/>
      <c r="K465" s="467">
        <f t="shared" ref="K465:K470" si="1337">+IF(B465=1,0,SUMIF($D$22:$D$583,C465,$L$22:$L$580))</f>
        <v>0</v>
      </c>
      <c r="L465" s="468">
        <f t="shared" ref="L465:L470" si="1338">+I465+J465+K465</f>
        <v>9.44093456E-2</v>
      </c>
      <c r="M465" s="469">
        <f t="shared" ref="M465:M470" si="1339">+$P$12</f>
        <v>242.33666300502347</v>
      </c>
      <c r="N465" s="470">
        <f t="shared" ref="N465:N470" si="1340">M465*E465</f>
        <v>22.878845769191994</v>
      </c>
      <c r="O465" s="470">
        <f t="shared" ref="O465:O470" si="1341">M465*F465</f>
        <v>0</v>
      </c>
      <c r="P465" s="470">
        <f t="shared" ref="P465:P470" si="1342">M465*H465</f>
        <v>22.878845769191994</v>
      </c>
      <c r="Q465" s="469">
        <f t="shared" si="1336"/>
        <v>140</v>
      </c>
      <c r="R465" s="471">
        <f t="shared" ref="R465:R470" si="1343">Q465*P465*$P$14/86400</f>
        <v>3.1511373223771379E-2</v>
      </c>
      <c r="S465" s="471"/>
      <c r="T465" s="471"/>
      <c r="U465" s="471">
        <f t="shared" ref="U465:U470" si="1344">IF(C465="","",T465*$P$17)</f>
        <v>0</v>
      </c>
      <c r="V465" s="471"/>
      <c r="W465" s="471"/>
      <c r="X465" s="471">
        <f t="shared" ref="X465:X470" si="1345">IF(C465="","",W465*$P$16)</f>
        <v>0</v>
      </c>
      <c r="Y465" s="471">
        <f t="shared" ref="Y465:Y470" si="1346">IF(H465=0,0,$H$15*H465)</f>
        <v>1.8881869120000002E-2</v>
      </c>
      <c r="Z465" s="471">
        <f t="shared" ref="Z465:Z470" si="1347">IF(L465=0,$H$16*H465,0)</f>
        <v>0</v>
      </c>
      <c r="AA465" s="471">
        <f t="shared" si="1185"/>
        <v>3.8</v>
      </c>
      <c r="AB465" s="471">
        <f t="shared" ref="AB465:AB470" si="1348">R465*AA465</f>
        <v>0.11974321825033123</v>
      </c>
      <c r="AC465" s="471">
        <f t="shared" ref="AC465:AC470" si="1349">Q465*(N465+O465)*$P$14/86400</f>
        <v>3.1511373223771379E-2</v>
      </c>
      <c r="AD465" s="471">
        <f t="shared" ref="AD465:AE470" si="1350">IF(E465=0,0,$H$15*(E465+F465))</f>
        <v>1.8881869120000002E-2</v>
      </c>
      <c r="AE465" s="471">
        <f t="shared" si="1350"/>
        <v>0</v>
      </c>
      <c r="AF465" s="510">
        <f t="shared" si="1328"/>
        <v>3.8</v>
      </c>
      <c r="AG465" s="471">
        <f t="shared" ref="AG465:AG470" si="1351">AC465*AF465</f>
        <v>0.11974321825033123</v>
      </c>
      <c r="AH465" s="471">
        <f t="shared" ref="AH465:AH470" si="1352">+AD465+AE465+AG465</f>
        <v>0.13862508737033122</v>
      </c>
      <c r="AI465" s="471">
        <f t="shared" ref="AI465:AI470" si="1353">IF(H465="","",IF(AB465+Y465+Z465+X465+U465&lt;1.5,1.5,AB465+Y465+Z465+X465+U465))</f>
        <v>1.5</v>
      </c>
      <c r="AJ465" s="471">
        <f t="shared" ref="AJ465:AJ470" si="1354">+$P$17</f>
        <v>0.75</v>
      </c>
      <c r="AK465" s="472">
        <f t="shared" ref="AK465:AK470" si="1355">+BK465/100</f>
        <v>0.10898379970544717</v>
      </c>
      <c r="AL465" s="471">
        <f t="shared" ref="AL465:AL470" si="1356">IF(AJ465=0," ",0.14+0.65*AJ465+0.05*AK465)</f>
        <v>0.63294918998527239</v>
      </c>
      <c r="AM465" s="473">
        <f t="shared" si="1331"/>
        <v>336.32613267542746</v>
      </c>
      <c r="AN465" s="474">
        <f t="shared" si="1285"/>
        <v>5</v>
      </c>
      <c r="AO465" s="474">
        <f t="shared" ref="AO465:AO470" si="1357">((1/60)*$AX465/$AQ465)</f>
        <v>0.18861111111111115</v>
      </c>
      <c r="AP465" s="474">
        <f t="shared" ref="AP465:AP470" si="1358">IF(B465=1,IF(($AN465+$AO465)&lt;10,10,IF(($AN465+$AO465)&gt;20,20,($AN465+$AO465))),($AN465+$AO465))</f>
        <v>10</v>
      </c>
      <c r="AQ465" s="475">
        <v>3</v>
      </c>
      <c r="AR465" s="474">
        <f t="shared" ref="AR465:AR470" si="1359">((1/60)*$AX465/$BT465)</f>
        <v>0.2631755542919883</v>
      </c>
      <c r="AS465" s="474">
        <f t="shared" ref="AS465:AS470" si="1360">AO465/AR465</f>
        <v>0.71667412886628024</v>
      </c>
      <c r="AT465" s="471" t="str">
        <f t="shared" ref="AT465:AT470" si="1361">IF(AS465&lt;0.9,"Disminuir vel.",IF(AS465&gt;1.1,"Aumentar vel.","Cumple"))</f>
        <v>Disminuir vel.</v>
      </c>
      <c r="AU465" s="492">
        <f t="shared" ref="AU465:AU470" si="1362">+I465*AL465*AM465</f>
        <v>20.097611613183989</v>
      </c>
      <c r="AV465" s="471">
        <f t="shared" ref="AV465:AV470" si="1363">+L465*AL465*AM465</f>
        <v>20.097611613183989</v>
      </c>
      <c r="AW465" s="471">
        <f t="shared" ref="AW465:AW470" si="1364">ROUND(IF(AI465&gt;(AV465*0.05),(AV465+AI465),AV465),2)</f>
        <v>21.6</v>
      </c>
      <c r="AX465" s="478">
        <f>IF(OR(C465="",D465=""),"",ROUND(((VLOOKUP(C465,'Base de Diseño (2)'!$A$2:$C$333,2,FALSE)-VLOOKUP(D465,'Base de Diseño (2)'!$A$2:$C$333,2,FALSE))^2+(VLOOKUP(C465,'Base de Diseño (2)'!$A$2:$C$333,3,0)-VLOOKUP(D465,'Base de Diseño (2)'!$A$2:$C$333,3,FALSE))^2)^0.5,2))</f>
        <v>33.950000000000003</v>
      </c>
      <c r="AY465" s="493">
        <v>12</v>
      </c>
      <c r="AZ465" s="480">
        <f>IF(AND(L465="",H465=""),"",IF(BA465=4,VLOOKUP(AY465,'TABLA (2)'!$A$74:$C$89,2),IF(BA465=5,VLOOKUP(AY465,'TABLA (2)'!$A$51:$B$66,2),IF(BA465=6,VLOOKUP(AY465,'TABLA (2)'!$A$9:$B$43,2)))))</f>
        <v>300</v>
      </c>
      <c r="BA465" s="493">
        <v>6</v>
      </c>
      <c r="BB465" s="478">
        <f>IF(OR(C465="",D465=""),"",VLOOKUP(C465,'Base de Diseño (2)'!$A$2:$D$330,4,FALSE))</f>
        <v>978.5616</v>
      </c>
      <c r="BC465" s="478">
        <f>IF(OR(C465="",D465=""),"",VLOOKUP(D465,'Base de Diseño (2)'!$A$2:$D$330,4,FALSE))</f>
        <v>974.86160000000007</v>
      </c>
      <c r="BD465" s="23">
        <f t="shared" ref="BD465:BD470" si="1365">+BF465-((AZ465/1000)+CX465)</f>
        <v>0.75300000000002276</v>
      </c>
      <c r="BE465" s="23">
        <f t="shared" ref="BE465:BE470" si="1366">+BG465-((AZ465/1000)+CX465)</f>
        <v>0.62300000000002731</v>
      </c>
      <c r="BF465" s="494">
        <v>1.1000000000000227</v>
      </c>
      <c r="BG465" s="494">
        <v>0.97000000000002728</v>
      </c>
      <c r="BH465" s="495">
        <f t="shared" ref="BH465:BI470" si="1367">BB465-BF465</f>
        <v>977.46159999999998</v>
      </c>
      <c r="BI465" s="495">
        <f t="shared" si="1367"/>
        <v>973.89160000000004</v>
      </c>
      <c r="BJ465" s="534">
        <f t="shared" si="1262"/>
        <v>2.9999999999972715E-2</v>
      </c>
      <c r="BK465" s="475">
        <f t="shared" ref="BK465:BK470" si="1368">ABS((BB465-BC465)/AX465)*100</f>
        <v>10.898379970544717</v>
      </c>
      <c r="BL465" s="475">
        <f t="shared" ref="BL465:BL470" si="1369">((BH465-BI465)/AX465)*100</f>
        <v>10.515463917525585</v>
      </c>
      <c r="BM465" s="475">
        <f t="shared" ref="BM465:BM470" si="1370">IF(BA465=6,(1/0.013)*((AZ465/4000)^(2/3))*((BL465/100)^(0.5)),(1/0.009)*((AZ465/4000)^(2/3))*((BL465/100)^(0.5)))</f>
        <v>4.4362060390722702</v>
      </c>
      <c r="BN465" s="475">
        <f t="shared" ref="BN465:BN470" si="1371">1000*BM465*PI()*((AZ465/1000/2)^2)</f>
        <v>313.57692679860264</v>
      </c>
      <c r="BO465" s="204">
        <f t="shared" ref="BO465:BO470" si="1372">AI465/BN465</f>
        <v>4.7835152136795683E-3</v>
      </c>
      <c r="BP465" s="496">
        <f t="shared" ref="BP465:BP470" si="1373">IF(L465=0," ",AW465/BN465)</f>
        <v>6.8882619076985785E-2</v>
      </c>
      <c r="BQ465" s="497">
        <f t="shared" ref="BQ465:BQ470" si="1374">IF($BO465&gt;0 =AND($BO465&lt;=0.06),10^(0.029806+0.29095*LOG($BO465)),IF($BO465&gt;0.06 =AND($BO465&lt;=0.26),10^(0.013778+0.282597*LOG($BO465)),IF($BO465&gt;0.26 =AND($BO465&lt;=0.91),10^(0.021763+0.28995*LOG($BO465)),1)))</f>
        <v>0.22632286702901563</v>
      </c>
      <c r="BR465" s="497">
        <f t="shared" ref="BR465:BR470" si="1375">IF($BP465&gt;0 =AND($BP465&lt;=0.06),10^(0.029806+0.29095*LOG($BP465)),IF($BP465&gt;0.06 =AND($BP465&lt;=0.26),10^(0.013778+0.282597*LOG($BP465)),IF($BP465&gt;0.26 =AND($BP465&lt;=2),10^(0.021763+0.28995*LOG($BP465))," ")))</f>
        <v>0.48465341051843208</v>
      </c>
      <c r="BS465" s="475">
        <f t="shared" ref="BS465:BS470" si="1376">BM465*BQ465</f>
        <v>1.0040148694942694</v>
      </c>
      <c r="BT465" s="475">
        <f t="shared" ref="BT465:BT470" si="1377">IF(BP465=" "," ",(BM465*BR465))</f>
        <v>2.1500223865988404</v>
      </c>
      <c r="BU465" s="475">
        <f t="shared" ref="BU465:BU470" si="1378">IF(BO465&lt;=0.11,0.3827+0.0645*LN(BO465),IF(BO465&lt;=0.21,0.60025+0.15471*LN(BO465),IF(BO465&lt;1,0.225+0.6666666667*BO465,0)))</f>
        <v>3.8103615645087852E-2</v>
      </c>
      <c r="BV465" s="475">
        <f t="shared" ref="BV465:BV470" si="1379">IF(BP465&lt;=0.11,0.3827+0.0645*LN(BP465),IF(BP465&lt;=0.21,0.60025+0.15471*LN(BP465),IF(BP465&lt;1,0.225+0.6666666667*BP465," ")))</f>
        <v>0.21013983496962396</v>
      </c>
      <c r="BW465" s="475">
        <f t="shared" ref="BW465:BW470" si="1380">2*ACOS(1-2*(BU465))</f>
        <v>0.78585148884744749</v>
      </c>
      <c r="BX465" s="475">
        <f t="shared" ref="BX465:BX470" si="1381">IF(BP465=" "," ",(2*ACOS(1-2*(BV465))))</f>
        <v>1.9048218180765604</v>
      </c>
      <c r="BY465" s="475">
        <f t="shared" ref="BY465:BY470" si="1382">(1/4)*(1-(SIN(BW465))/BW465)</f>
        <v>2.4948807739659934E-2</v>
      </c>
      <c r="BZ465" s="475">
        <f t="shared" ref="BZ465:BZ470" si="1383">IF(BP465=" "," ",((1/4)*(1-(SIN(BX465))/BX465)))</f>
        <v>0.12600805484781152</v>
      </c>
      <c r="CA465" s="471">
        <f t="shared" ref="CA465:CA470" si="1384">BY465*AZ465/1000</f>
        <v>7.4846423218979802E-3</v>
      </c>
      <c r="CB465" s="471">
        <f t="shared" ref="CB465:CB470" si="1385">IF(BP465=" "," ",(BZ465*AZ465/1000))</f>
        <v>3.7802416454343457E-2</v>
      </c>
      <c r="CC465" s="471">
        <f t="shared" si="1315"/>
        <v>3.2656238858150388</v>
      </c>
      <c r="CD465" s="471" t="str">
        <f t="shared" ref="CD465:CD470" si="1386">IF(CC465="","",IF(CC465&lt;0.7,"F. Subcrítico",IF(AND(CC465&gt;0.7,CC465&lt;1),"F. Subcrítico Inestable",IF(CC465=1,"F. Crítico",IF(AND(CC465&gt;1,CC465&lt;1.5),"F. Supercrítico Inestable",IF(CC465&gt;1.5,"F. Supercrítico",""))))))</f>
        <v>F. Supercrítico</v>
      </c>
      <c r="CE465" s="471">
        <f t="shared" ref="CE465:CE470" si="1387">1000*BL465*CA465/100</f>
        <v>0.78704486271503127</v>
      </c>
      <c r="CF465" s="471">
        <f t="shared" ref="CF465:CF470" si="1388">IF(BP465=" "," ",(1000*BL465*CB465/100))</f>
        <v>3.9750994622092408</v>
      </c>
      <c r="CG465" s="471" t="str">
        <f t="shared" ref="CG465:CG470" si="1389">IF(BS465&lt;0.45,"No cumple",IF(BS465&gt;5,"No cumple","O.K"))</f>
        <v>O.K</v>
      </c>
      <c r="CH465" s="471" t="str">
        <f t="shared" ref="CH465:CH470" si="1390">IF(BT465&lt;0.75,"No cumple",IF(BT465&gt;10,"No cumple","O.K"))</f>
        <v>O.K</v>
      </c>
      <c r="CI465" s="471" t="str">
        <f t="shared" ref="CI465:CI470" si="1391">IF(CE465&gt;0.1,"OK","V.C.H.")</f>
        <v>OK</v>
      </c>
      <c r="CJ465" s="471" t="str">
        <f t="shared" ref="CJ465:CJ470" si="1392">IF(CF465&gt;0.2,"OK","V.C.H.")</f>
        <v>OK</v>
      </c>
      <c r="CK465" s="468">
        <f t="shared" ref="CK465:CK470" si="1393">+BJ465</f>
        <v>2.9999999999972715E-2</v>
      </c>
      <c r="CL465" s="482" t="s">
        <v>2507</v>
      </c>
      <c r="CM465" s="482"/>
      <c r="CN465" s="63" t="str">
        <f t="shared" ref="CN465:CN470" si="1394">IF(B465=1,"dato"," ")</f>
        <v>dato</v>
      </c>
      <c r="CO465" s="527">
        <f t="shared" si="1332"/>
        <v>33.950000000000003</v>
      </c>
      <c r="CP465" s="511">
        <f t="shared" si="1333"/>
        <v>0.10898379970544717</v>
      </c>
      <c r="CQ465" s="482" t="s">
        <v>2508</v>
      </c>
      <c r="CR465" s="204">
        <f t="shared" ref="CR465:CR470" si="1395">IF(BA465="","",AX465)</f>
        <v>33.950000000000003</v>
      </c>
      <c r="CS465" s="486">
        <v>1.2</v>
      </c>
      <c r="CT465" s="486">
        <v>1.2</v>
      </c>
      <c r="CU465" s="23">
        <f t="shared" ref="CU465:CU470" si="1396">IF($BA465="","",SQRT((BH465-BI465)^2+$CR465^2))</f>
        <v>34.13718500403921</v>
      </c>
      <c r="CV465" s="499" t="s">
        <v>2509</v>
      </c>
      <c r="CW465" s="488" t="str">
        <f t="shared" ref="CW465:CW470" si="1397">+IF(BD465&lt;=0.9,"E1",IF(BD465&lt;=2.5,"E2","E3"))</f>
        <v>E1</v>
      </c>
      <c r="CX465" s="204">
        <f>IF(AND(L465="",H465=""),"",IF(AND(BA465&lt;&gt;4,BA465&lt;&gt;5),VLOOKUP(AY465,'TABLA (2)'!$A$9:$D$43,4),IF(BA465=4,VLOOKUP(AY465,'TABLA (2)'!$A$74:$D$89,4),VLOOKUP(AY465,'TABLA (2)'!$A$51:$D$66,4))))</f>
        <v>4.7E-2</v>
      </c>
      <c r="CY465" s="482"/>
      <c r="CZ465" s="482"/>
      <c r="DA465" s="482"/>
      <c r="DB465" s="490"/>
    </row>
    <row r="466" spans="1:106" ht="15" hidden="1" customHeight="1">
      <c r="A466" s="465">
        <f>+A465+1</f>
        <v>338</v>
      </c>
      <c r="B466" s="491"/>
      <c r="C466" s="466" t="s">
        <v>2305</v>
      </c>
      <c r="D466" s="466" t="s">
        <v>2306</v>
      </c>
      <c r="E466" s="468">
        <v>4.3886218999999997E-2</v>
      </c>
      <c r="F466" s="468"/>
      <c r="G466" s="537">
        <f t="shared" si="1329"/>
        <v>9.44093456E-2</v>
      </c>
      <c r="H466" s="537">
        <f t="shared" si="1330"/>
        <v>0.1382955646</v>
      </c>
      <c r="I466" s="468">
        <v>4.3886218999999997E-2</v>
      </c>
      <c r="J466" s="468"/>
      <c r="K466" s="467">
        <f t="shared" ca="1" si="1337"/>
        <v>9.44093456E-2</v>
      </c>
      <c r="L466" s="468">
        <f t="shared" ca="1" si="1338"/>
        <v>0.1382955646</v>
      </c>
      <c r="M466" s="469">
        <f t="shared" si="1339"/>
        <v>242.33666300502347</v>
      </c>
      <c r="N466" s="470">
        <f t="shared" si="1340"/>
        <v>10.635239864367657</v>
      </c>
      <c r="O466" s="470">
        <f t="shared" si="1341"/>
        <v>0</v>
      </c>
      <c r="P466" s="470">
        <f t="shared" si="1342"/>
        <v>33.514085633559652</v>
      </c>
      <c r="Q466" s="469">
        <f t="shared" si="1336"/>
        <v>140</v>
      </c>
      <c r="R466" s="471">
        <f t="shared" si="1343"/>
        <v>4.615944664807406E-2</v>
      </c>
      <c r="S466" s="471"/>
      <c r="T466" s="471"/>
      <c r="U466" s="471">
        <f t="shared" si="1344"/>
        <v>0</v>
      </c>
      <c r="V466" s="471"/>
      <c r="W466" s="471"/>
      <c r="X466" s="471">
        <f t="shared" si="1345"/>
        <v>0</v>
      </c>
      <c r="Y466" s="471">
        <f t="shared" si="1346"/>
        <v>2.7659112920000003E-2</v>
      </c>
      <c r="Z466" s="471">
        <f t="shared" ca="1" si="1347"/>
        <v>0</v>
      </c>
      <c r="AA466" s="471">
        <f t="shared" si="1185"/>
        <v>3.8</v>
      </c>
      <c r="AB466" s="471">
        <f t="shared" si="1348"/>
        <v>0.17540589726268141</v>
      </c>
      <c r="AC466" s="471">
        <f t="shared" si="1349"/>
        <v>1.4648073424302676E-2</v>
      </c>
      <c r="AD466" s="471">
        <f t="shared" si="1350"/>
        <v>8.7772437999999991E-3</v>
      </c>
      <c r="AE466" s="471">
        <f t="shared" si="1350"/>
        <v>0</v>
      </c>
      <c r="AF466" s="510">
        <f t="shared" si="1328"/>
        <v>3.8</v>
      </c>
      <c r="AG466" s="471">
        <f t="shared" si="1351"/>
        <v>5.5662679012350162E-2</v>
      </c>
      <c r="AH466" s="471">
        <f t="shared" si="1352"/>
        <v>6.4439922812350156E-2</v>
      </c>
      <c r="AI466" s="471">
        <f t="shared" ca="1" si="1353"/>
        <v>1.5</v>
      </c>
      <c r="AJ466" s="471">
        <f t="shared" si="1354"/>
        <v>0.75</v>
      </c>
      <c r="AK466" s="472">
        <f t="shared" si="1355"/>
        <v>2.9236599891720484E-2</v>
      </c>
      <c r="AL466" s="471">
        <f t="shared" si="1356"/>
        <v>0.62896182999458605</v>
      </c>
      <c r="AM466" s="473">
        <f t="shared" si="1331"/>
        <v>335.31054395667525</v>
      </c>
      <c r="AN466" s="474">
        <f t="shared" si="1285"/>
        <v>10</v>
      </c>
      <c r="AO466" s="474">
        <f t="shared" si="1357"/>
        <v>0.1026111111111111</v>
      </c>
      <c r="AP466" s="474">
        <f t="shared" si="1358"/>
        <v>10.102611111111111</v>
      </c>
      <c r="AQ466" s="475">
        <v>3</v>
      </c>
      <c r="AR466" s="474">
        <f t="shared" ca="1" si="1359"/>
        <v>0.17515298333029555</v>
      </c>
      <c r="AS466" s="474">
        <f t="shared" ca="1" si="1360"/>
        <v>0.58583707316941169</v>
      </c>
      <c r="AT466" s="471" t="str">
        <f t="shared" ca="1" si="1361"/>
        <v>Disminuir vel.</v>
      </c>
      <c r="AU466" s="492">
        <f t="shared" si="1362"/>
        <v>9.25549533487135</v>
      </c>
      <c r="AV466" s="471">
        <f t="shared" ca="1" si="1363"/>
        <v>29.166193446482588</v>
      </c>
      <c r="AW466" s="471">
        <f t="shared" ca="1" si="1364"/>
        <v>30.67</v>
      </c>
      <c r="AX466" s="478">
        <f>IF(OR(C466="",D466=""),"",ROUND(((VLOOKUP(C466,'Base de Diseño (2)'!$A$2:$C$333,2,FALSE)-VLOOKUP(D466,'Base de Diseño (2)'!$A$2:$C$333,2,FALSE))^2+(VLOOKUP(C466,'Base de Diseño (2)'!$A$2:$C$333,3,0)-VLOOKUP(D466,'Base de Diseño (2)'!$A$2:$C$333,3,FALSE))^2)^0.5,2))</f>
        <v>18.47</v>
      </c>
      <c r="AY466" s="493">
        <v>12</v>
      </c>
      <c r="AZ466" s="480">
        <f ca="1">IF(AND(L466="",H466=""),"",IF(BA466=4,VLOOKUP(AY466,'TABLA (2)'!$A$74:$C$89,2),IF(BA466=5,VLOOKUP(AY466,'TABLA (2)'!$A$51:$B$66,2),IF(BA466=6,VLOOKUP(AY466,'TABLA (2)'!$A$9:$B$43,2)))))</f>
        <v>300</v>
      </c>
      <c r="BA466" s="493">
        <v>6</v>
      </c>
      <c r="BB466" s="478">
        <f>IF(OR(C466="",D466=""),"",VLOOKUP(C466,'Base de Diseño (2)'!$A$2:$D$330,4,FALSE))</f>
        <v>974.86160000000007</v>
      </c>
      <c r="BC466" s="478">
        <f>IF(OR(C466="",D466=""),"",VLOOKUP(D466,'Base de Diseño (2)'!$A$2:$D$330,4,FALSE))</f>
        <v>974.32159999999999</v>
      </c>
      <c r="BD466" s="23">
        <f t="shared" ca="1" si="1365"/>
        <v>0.65300000000000002</v>
      </c>
      <c r="BE466" s="23">
        <f t="shared" ca="1" si="1366"/>
        <v>0.95299999999995455</v>
      </c>
      <c r="BF466" s="494">
        <v>1</v>
      </c>
      <c r="BG466" s="494">
        <v>1.2999999999999545</v>
      </c>
      <c r="BH466" s="495">
        <f t="shared" si="1367"/>
        <v>973.86160000000007</v>
      </c>
      <c r="BI466" s="495">
        <f t="shared" si="1367"/>
        <v>973.02160000000003</v>
      </c>
      <c r="BJ466" s="534">
        <f t="shared" ref="BJ466:BJ497" si="1398">IF(A466="",0,BI466-BH467)</f>
        <v>0</v>
      </c>
      <c r="BK466" s="475">
        <f t="shared" si="1368"/>
        <v>2.9236599891720485</v>
      </c>
      <c r="BL466" s="475">
        <f t="shared" si="1369"/>
        <v>4.5479155387115968</v>
      </c>
      <c r="BM466" s="475">
        <f t="shared" ca="1" si="1370"/>
        <v>2.9174517703314775</v>
      </c>
      <c r="BN466" s="475">
        <f t="shared" ca="1" si="1371"/>
        <v>206.22251359970784</v>
      </c>
      <c r="BO466" s="204">
        <f t="shared" ca="1" si="1372"/>
        <v>7.2736966193303401E-3</v>
      </c>
      <c r="BP466" s="496">
        <f t="shared" ca="1" si="1373"/>
        <v>0.14872285020990769</v>
      </c>
      <c r="BQ466" s="497">
        <f t="shared" ca="1" si="1374"/>
        <v>0.25567229538757186</v>
      </c>
      <c r="BR466" s="497">
        <f t="shared" ca="1" si="1375"/>
        <v>0.60241311866092939</v>
      </c>
      <c r="BS466" s="475">
        <f t="shared" ca="1" si="1376"/>
        <v>0.74591159080318392</v>
      </c>
      <c r="BT466" s="475">
        <f t="shared" ca="1" si="1377"/>
        <v>1.757511219508235</v>
      </c>
      <c r="BU466" s="475">
        <f t="shared" ca="1" si="1378"/>
        <v>6.513485366644034E-2</v>
      </c>
      <c r="BV466" s="475">
        <f t="shared" ca="1" si="1379"/>
        <v>0.30542367504761575</v>
      </c>
      <c r="BW466" s="475">
        <f t="shared" ca="1" si="1380"/>
        <v>1.0322815176819895</v>
      </c>
      <c r="BX466" s="475">
        <f t="shared" ca="1" si="1381"/>
        <v>2.3421695452599396</v>
      </c>
      <c r="BY466" s="475">
        <f t="shared" ca="1" si="1382"/>
        <v>4.209369960990339E-2</v>
      </c>
      <c r="BZ466" s="475">
        <f t="shared" ca="1" si="1383"/>
        <v>0.17347329757722502</v>
      </c>
      <c r="CA466" s="471">
        <f t="shared" ca="1" si="1384"/>
        <v>1.2628109882971018E-2</v>
      </c>
      <c r="CB466" s="471">
        <f t="shared" ca="1" si="1385"/>
        <v>5.2041989273167499E-2</v>
      </c>
      <c r="CC466" s="471">
        <f t="shared" ca="1" si="1315"/>
        <v>2.1815398846158947</v>
      </c>
      <c r="CD466" s="471" t="str">
        <f t="shared" ca="1" si="1386"/>
        <v>F. Supercrítico</v>
      </c>
      <c r="CE466" s="471">
        <f t="shared" ca="1" si="1387"/>
        <v>0.57431577161321379</v>
      </c>
      <c r="CF466" s="471">
        <f t="shared" ca="1" si="1388"/>
        <v>2.3668257168090072</v>
      </c>
      <c r="CG466" s="471" t="str">
        <f t="shared" ca="1" si="1389"/>
        <v>O.K</v>
      </c>
      <c r="CH466" s="471" t="str">
        <f t="shared" ca="1" si="1390"/>
        <v>O.K</v>
      </c>
      <c r="CI466" s="471" t="str">
        <f t="shared" ca="1" si="1391"/>
        <v>OK</v>
      </c>
      <c r="CJ466" s="471" t="str">
        <f t="shared" ca="1" si="1392"/>
        <v>OK</v>
      </c>
      <c r="CK466" s="468">
        <f t="shared" si="1393"/>
        <v>0</v>
      </c>
      <c r="CL466" s="482" t="s">
        <v>2507</v>
      </c>
      <c r="CM466" s="482"/>
      <c r="CN466" s="63" t="str">
        <f t="shared" si="1394"/>
        <v xml:space="preserve"> </v>
      </c>
      <c r="CO466" s="527">
        <f t="shared" si="1332"/>
        <v>18.47</v>
      </c>
      <c r="CP466" s="542">
        <f t="shared" si="1333"/>
        <v>2.9236599891720484E-2</v>
      </c>
      <c r="CQ466" s="482" t="s">
        <v>2508</v>
      </c>
      <c r="CR466" s="204">
        <f t="shared" si="1395"/>
        <v>18.47</v>
      </c>
      <c r="CS466" s="486">
        <v>1.2</v>
      </c>
      <c r="CT466" s="486">
        <v>1.2</v>
      </c>
      <c r="CU466" s="23">
        <f t="shared" si="1396"/>
        <v>18.48909137843177</v>
      </c>
      <c r="CV466" s="499" t="s">
        <v>2509</v>
      </c>
      <c r="CW466" s="488" t="str">
        <f t="shared" ca="1" si="1397"/>
        <v>E1</v>
      </c>
      <c r="CX466" s="204">
        <f ca="1">IF(AND(L466="",H466=""),"",IF(AND(BA466&lt;&gt;4,BA466&lt;&gt;5),VLOOKUP(AY466,'TABLA (2)'!$A$9:$D$43,4),IF(BA466=4,VLOOKUP(AY466,'TABLA (2)'!$A$74:$D$89,4),VLOOKUP(AY466,'TABLA (2)'!$A$51:$D$66,4))))</f>
        <v>4.7E-2</v>
      </c>
      <c r="CY466" s="482"/>
      <c r="CZ466" s="482"/>
      <c r="DA466" s="482"/>
      <c r="DB466" s="490"/>
    </row>
    <row r="467" spans="1:106" ht="15" hidden="1" customHeight="1">
      <c r="A467" s="465">
        <f>+A466+1</f>
        <v>339</v>
      </c>
      <c r="B467" s="491"/>
      <c r="C467" s="466" t="s">
        <v>2306</v>
      </c>
      <c r="D467" s="466" t="s">
        <v>2307</v>
      </c>
      <c r="E467" s="468">
        <v>4.0250130100000003E-2</v>
      </c>
      <c r="F467" s="468"/>
      <c r="G467" s="537">
        <f t="shared" si="1329"/>
        <v>0.1382955646</v>
      </c>
      <c r="H467" s="537">
        <f t="shared" si="1330"/>
        <v>0.17854569470000001</v>
      </c>
      <c r="I467" s="468">
        <v>4.0250130100000003E-2</v>
      </c>
      <c r="J467" s="468"/>
      <c r="K467" s="467">
        <f t="shared" ca="1" si="1337"/>
        <v>0.1382955646</v>
      </c>
      <c r="L467" s="468">
        <f t="shared" ca="1" si="1338"/>
        <v>0.17854569470000001</v>
      </c>
      <c r="M467" s="469">
        <f t="shared" si="1339"/>
        <v>242.33666300502347</v>
      </c>
      <c r="N467" s="470">
        <f t="shared" si="1340"/>
        <v>9.7540822139520529</v>
      </c>
      <c r="O467" s="470">
        <f t="shared" si="1341"/>
        <v>0</v>
      </c>
      <c r="P467" s="470">
        <f t="shared" si="1342"/>
        <v>43.268167847511705</v>
      </c>
      <c r="Q467" s="469">
        <f t="shared" si="1336"/>
        <v>140</v>
      </c>
      <c r="R467" s="471">
        <f t="shared" si="1343"/>
        <v>5.9593888586271911E-2</v>
      </c>
      <c r="S467" s="471"/>
      <c r="T467" s="471"/>
      <c r="U467" s="471">
        <f t="shared" si="1344"/>
        <v>0</v>
      </c>
      <c r="V467" s="471"/>
      <c r="W467" s="471"/>
      <c r="X467" s="471">
        <f t="shared" si="1345"/>
        <v>0</v>
      </c>
      <c r="Y467" s="471">
        <f t="shared" si="1346"/>
        <v>3.5709138940000003E-2</v>
      </c>
      <c r="Z467" s="471">
        <f t="shared" ca="1" si="1347"/>
        <v>0</v>
      </c>
      <c r="AA467" s="471">
        <f t="shared" si="1185"/>
        <v>3.8</v>
      </c>
      <c r="AB467" s="471">
        <f t="shared" si="1348"/>
        <v>0.22645677662783326</v>
      </c>
      <c r="AC467" s="471">
        <f t="shared" si="1349"/>
        <v>1.3434441938197849E-2</v>
      </c>
      <c r="AD467" s="471">
        <f t="shared" si="1350"/>
        <v>8.0500260200000017E-3</v>
      </c>
      <c r="AE467" s="471">
        <f t="shared" si="1350"/>
        <v>0</v>
      </c>
      <c r="AF467" s="510">
        <f t="shared" si="1328"/>
        <v>3.8</v>
      </c>
      <c r="AG467" s="471">
        <f t="shared" si="1351"/>
        <v>5.1050879365151826E-2</v>
      </c>
      <c r="AH467" s="471">
        <f t="shared" si="1352"/>
        <v>5.9100905385151829E-2</v>
      </c>
      <c r="AI467" s="471">
        <f t="shared" ca="1" si="1353"/>
        <v>1.5</v>
      </c>
      <c r="AJ467" s="471">
        <f t="shared" si="1354"/>
        <v>0.75</v>
      </c>
      <c r="AK467" s="472">
        <f t="shared" si="1355"/>
        <v>0.11467200801201621</v>
      </c>
      <c r="AL467" s="471">
        <f t="shared" si="1356"/>
        <v>0.63323360040060084</v>
      </c>
      <c r="AM467" s="473">
        <f t="shared" si="1331"/>
        <v>334.21906686497675</v>
      </c>
      <c r="AN467" s="474">
        <f t="shared" si="1285"/>
        <v>10.102611111111111</v>
      </c>
      <c r="AO467" s="474">
        <f t="shared" si="1357"/>
        <v>0.11094444444444444</v>
      </c>
      <c r="AP467" s="474">
        <f t="shared" si="1358"/>
        <v>10.213555555555555</v>
      </c>
      <c r="AQ467" s="475">
        <v>3</v>
      </c>
      <c r="AR467" s="474">
        <f t="shared" ca="1" si="1359"/>
        <v>0.12420271411039685</v>
      </c>
      <c r="AS467" s="474">
        <f t="shared" ca="1" si="1360"/>
        <v>0.89325297952693794</v>
      </c>
      <c r="AT467" s="471" t="str">
        <f t="shared" ca="1" si="1361"/>
        <v>Disminuir vel.</v>
      </c>
      <c r="AU467" s="492">
        <f t="shared" si="1362"/>
        <v>8.5184869412963646</v>
      </c>
      <c r="AV467" s="471">
        <f t="shared" ca="1" si="1363"/>
        <v>37.787186400340047</v>
      </c>
      <c r="AW467" s="471">
        <f t="shared" ca="1" si="1364"/>
        <v>37.79</v>
      </c>
      <c r="AX467" s="478">
        <f>IF(OR(C467="",D467=""),"",ROUND(((VLOOKUP(C467,'Base de Diseño (2)'!$A$2:$C$333,2,FALSE)-VLOOKUP(D467,'Base de Diseño (2)'!$A$2:$C$333,2,FALSE))^2+(VLOOKUP(C467,'Base de Diseño (2)'!$A$2:$C$333,3,0)-VLOOKUP(D467,'Base de Diseño (2)'!$A$2:$C$333,3,FALSE))^2)^0.5,2))</f>
        <v>19.97</v>
      </c>
      <c r="AY467" s="493">
        <v>16</v>
      </c>
      <c r="AZ467" s="480">
        <f ca="1">IF(AND(L467="",H467=""),"",IF(BA467=4,VLOOKUP(AY467,'TABLA (2)'!$A$74:$C$89,2),IF(BA467=5,VLOOKUP(AY467,'TABLA (2)'!$A$51:$B$66,2),IF(BA467=6,VLOOKUP(AY467,'TABLA (2)'!$A$9:$B$43,2)))))</f>
        <v>400</v>
      </c>
      <c r="BA467" s="493">
        <v>6</v>
      </c>
      <c r="BB467" s="478">
        <f>IF(OR(C467="",D467=""),"",VLOOKUP(C467,'Base de Diseño (2)'!$A$2:$D$330,4,FALSE))</f>
        <v>974.32159999999999</v>
      </c>
      <c r="BC467" s="478">
        <f>IF(OR(C467="",D467=""),"",VLOOKUP(D467,'Base de Diseño (2)'!$A$2:$D$330,4,FALSE))</f>
        <v>972.03160000000003</v>
      </c>
      <c r="BD467" s="23">
        <f t="shared" ca="1" si="1365"/>
        <v>0.83799999999995456</v>
      </c>
      <c r="BE467" s="23">
        <f t="shared" ca="1" si="1366"/>
        <v>1.1380000000000228</v>
      </c>
      <c r="BF467" s="494">
        <v>1.2999999999999545</v>
      </c>
      <c r="BG467" s="494">
        <v>1.6000000000000227</v>
      </c>
      <c r="BH467" s="495">
        <f t="shared" si="1367"/>
        <v>973.02160000000003</v>
      </c>
      <c r="BI467" s="495">
        <f t="shared" si="1367"/>
        <v>970.4316</v>
      </c>
      <c r="BJ467" s="534">
        <f t="shared" si="1398"/>
        <v>0.60000000000002274</v>
      </c>
      <c r="BK467" s="475">
        <f t="shared" si="1368"/>
        <v>11.467200801201621</v>
      </c>
      <c r="BL467" s="475">
        <f t="shared" si="1369"/>
        <v>12.96945418127207</v>
      </c>
      <c r="BM467" s="475">
        <f t="shared" ca="1" si="1370"/>
        <v>5.9683025500474081</v>
      </c>
      <c r="BN467" s="475">
        <f t="shared" ca="1" si="1371"/>
        <v>749.99901782520669</v>
      </c>
      <c r="BO467" s="204">
        <f t="shared" ca="1" si="1372"/>
        <v>2.0000026191362122E-3</v>
      </c>
      <c r="BP467" s="496">
        <f t="shared" ca="1" si="1373"/>
        <v>5.0386732651438303E-2</v>
      </c>
      <c r="BQ467" s="497">
        <f t="shared" ca="1" si="1374"/>
        <v>0.17560660335943462</v>
      </c>
      <c r="BR467" s="497">
        <f t="shared" ca="1" si="1375"/>
        <v>0.44899850771799887</v>
      </c>
      <c r="BS467" s="475">
        <f t="shared" ca="1" si="1376"/>
        <v>1.0480733386352774</v>
      </c>
      <c r="BT467" s="475">
        <f t="shared" ca="1" si="1377"/>
        <v>2.6797589385808136</v>
      </c>
      <c r="BU467" s="475">
        <f t="shared" ca="1" si="1378"/>
        <v>-1.8142137881143827E-2</v>
      </c>
      <c r="BV467" s="475">
        <f t="shared" ca="1" si="1379"/>
        <v>0.18997223401568969</v>
      </c>
      <c r="BW467" s="475" t="e">
        <f t="shared" ca="1" si="1380"/>
        <v>#NUM!</v>
      </c>
      <c r="BX467" s="475">
        <f t="shared" ca="1" si="1381"/>
        <v>1.8039656887002793</v>
      </c>
      <c r="BY467" s="475" t="e">
        <f t="shared" ca="1" si="1382"/>
        <v>#NUM!</v>
      </c>
      <c r="BZ467" s="475">
        <f t="shared" ca="1" si="1383"/>
        <v>0.11516664800414084</v>
      </c>
      <c r="CA467" s="471" t="e">
        <f t="shared" ca="1" si="1384"/>
        <v>#NUM!</v>
      </c>
      <c r="CB467" s="471">
        <f t="shared" ca="1" si="1385"/>
        <v>4.6066659201656333E-2</v>
      </c>
      <c r="CC467" s="471">
        <f t="shared" ca="1" si="1315"/>
        <v>3.7177589999950604</v>
      </c>
      <c r="CD467" s="471" t="str">
        <f t="shared" ca="1" si="1386"/>
        <v>F. Supercrítico</v>
      </c>
      <c r="CE467" s="471" t="e">
        <f t="shared" ca="1" si="1387"/>
        <v>#NUM!</v>
      </c>
      <c r="CF467" s="471">
        <f t="shared" ca="1" si="1388"/>
        <v>5.9745942580015727</v>
      </c>
      <c r="CG467" s="471" t="str">
        <f t="shared" ca="1" si="1389"/>
        <v>O.K</v>
      </c>
      <c r="CH467" s="471" t="str">
        <f t="shared" ca="1" si="1390"/>
        <v>O.K</v>
      </c>
      <c r="CI467" s="471" t="e">
        <f t="shared" ca="1" si="1391"/>
        <v>#NUM!</v>
      </c>
      <c r="CJ467" s="471" t="str">
        <f t="shared" ca="1" si="1392"/>
        <v>OK</v>
      </c>
      <c r="CK467" s="468">
        <f t="shared" si="1393"/>
        <v>0.60000000000002274</v>
      </c>
      <c r="CL467" s="482" t="s">
        <v>2507</v>
      </c>
      <c r="CM467" s="482"/>
      <c r="CN467" s="63" t="str">
        <f t="shared" si="1394"/>
        <v xml:space="preserve"> </v>
      </c>
      <c r="CO467" s="527">
        <f t="shared" si="1332"/>
        <v>19.97</v>
      </c>
      <c r="CP467" s="511">
        <f t="shared" si="1333"/>
        <v>0.11467200801201621</v>
      </c>
      <c r="CQ467" s="482" t="s">
        <v>2508</v>
      </c>
      <c r="CR467" s="204">
        <f t="shared" si="1395"/>
        <v>19.97</v>
      </c>
      <c r="CS467" s="486">
        <v>1.2</v>
      </c>
      <c r="CT467" s="486">
        <v>1.2</v>
      </c>
      <c r="CU467" s="23">
        <f t="shared" si="1396"/>
        <v>20.137254033258859</v>
      </c>
      <c r="CV467" s="499" t="s">
        <v>2509</v>
      </c>
      <c r="CW467" s="488" t="str">
        <f t="shared" ca="1" si="1397"/>
        <v>E1</v>
      </c>
      <c r="CX467" s="204">
        <f ca="1">IF(AND(L467="",H467=""),"",IF(AND(BA467&lt;&gt;4,BA467&lt;&gt;5),VLOOKUP(AY467,'TABLA (2)'!$A$9:$D$43,4),IF(BA467=4,VLOOKUP(AY467,'TABLA (2)'!$A$74:$D$89,4),VLOOKUP(AY467,'TABLA (2)'!$A$51:$D$66,4))))</f>
        <v>6.2E-2</v>
      </c>
      <c r="CY467" s="482"/>
      <c r="CZ467" s="482"/>
      <c r="DA467" s="482"/>
      <c r="DB467" s="490"/>
    </row>
    <row r="468" spans="1:106" ht="15" hidden="1" customHeight="1">
      <c r="A468" s="465">
        <f>+A467+1</f>
        <v>340</v>
      </c>
      <c r="B468" s="491"/>
      <c r="C468" s="466" t="s">
        <v>2307</v>
      </c>
      <c r="D468" s="466" t="s">
        <v>2308</v>
      </c>
      <c r="E468" s="468">
        <v>3.6460405600000002E-2</v>
      </c>
      <c r="F468" s="468"/>
      <c r="G468" s="537">
        <f t="shared" si="1329"/>
        <v>0.17854569470000001</v>
      </c>
      <c r="H468" s="537">
        <f t="shared" si="1330"/>
        <v>0.2150061003</v>
      </c>
      <c r="I468" s="468">
        <v>3.6460405600000002E-2</v>
      </c>
      <c r="J468" s="468"/>
      <c r="K468" s="467">
        <f t="shared" ca="1" si="1337"/>
        <v>0.17854569470000001</v>
      </c>
      <c r="L468" s="468">
        <f t="shared" ca="1" si="1338"/>
        <v>0.2150061003</v>
      </c>
      <c r="M468" s="469">
        <f t="shared" si="1339"/>
        <v>242.33666300502347</v>
      </c>
      <c r="N468" s="470">
        <f t="shared" si="1340"/>
        <v>8.8356930249136703</v>
      </c>
      <c r="O468" s="470">
        <f t="shared" si="1341"/>
        <v>0</v>
      </c>
      <c r="P468" s="470">
        <f t="shared" si="1342"/>
        <v>52.103860872425379</v>
      </c>
      <c r="Q468" s="469">
        <f t="shared" si="1336"/>
        <v>140</v>
      </c>
      <c r="R468" s="471">
        <f t="shared" si="1343"/>
        <v>7.1763419488641442E-2</v>
      </c>
      <c r="S468" s="471"/>
      <c r="T468" s="471"/>
      <c r="U468" s="471">
        <f t="shared" si="1344"/>
        <v>0</v>
      </c>
      <c r="V468" s="471"/>
      <c r="W468" s="471"/>
      <c r="X468" s="471">
        <f t="shared" si="1345"/>
        <v>0</v>
      </c>
      <c r="Y468" s="471">
        <f t="shared" si="1346"/>
        <v>4.3001220060000005E-2</v>
      </c>
      <c r="Z468" s="471">
        <f t="shared" ca="1" si="1347"/>
        <v>0</v>
      </c>
      <c r="AA468" s="471">
        <f t="shared" si="1185"/>
        <v>3.8</v>
      </c>
      <c r="AB468" s="471">
        <f t="shared" si="1348"/>
        <v>0.27270099405683745</v>
      </c>
      <c r="AC468" s="471">
        <f t="shared" si="1349"/>
        <v>1.2169530902369522E-2</v>
      </c>
      <c r="AD468" s="471">
        <f t="shared" si="1350"/>
        <v>7.292081120000001E-3</v>
      </c>
      <c r="AE468" s="471">
        <f t="shared" si="1350"/>
        <v>0</v>
      </c>
      <c r="AF468" s="510">
        <f t="shared" si="1328"/>
        <v>3.8</v>
      </c>
      <c r="AG468" s="471">
        <f t="shared" si="1351"/>
        <v>4.6244217429004184E-2</v>
      </c>
      <c r="AH468" s="471">
        <f t="shared" si="1352"/>
        <v>5.3536298549004185E-2</v>
      </c>
      <c r="AI468" s="471">
        <f t="shared" ca="1" si="1353"/>
        <v>1.5</v>
      </c>
      <c r="AJ468" s="471">
        <f t="shared" si="1354"/>
        <v>0.75</v>
      </c>
      <c r="AK468" s="472">
        <f t="shared" si="1355"/>
        <v>2.1374045801524636E-2</v>
      </c>
      <c r="AL468" s="471">
        <f t="shared" si="1356"/>
        <v>0.62856870229007633</v>
      </c>
      <c r="AM468" s="473">
        <f t="shared" si="1331"/>
        <v>333.15170395107162</v>
      </c>
      <c r="AN468" s="474">
        <f t="shared" si="1285"/>
        <v>10.213555555555555</v>
      </c>
      <c r="AO468" s="474">
        <f t="shared" si="1357"/>
        <v>0.10916666666666665</v>
      </c>
      <c r="AP468" s="474">
        <f t="shared" si="1358"/>
        <v>10.322722222222222</v>
      </c>
      <c r="AQ468" s="475">
        <v>3</v>
      </c>
      <c r="AR468" s="474">
        <f t="shared" ca="1" si="1359"/>
        <v>0.11769620815190221</v>
      </c>
      <c r="AS468" s="474">
        <f t="shared" ca="1" si="1360"/>
        <v>0.92752917346133124</v>
      </c>
      <c r="AT468" s="471" t="str">
        <f t="shared" ca="1" si="1361"/>
        <v>Cumple</v>
      </c>
      <c r="AU468" s="492">
        <f t="shared" si="1362"/>
        <v>7.6351273857800956</v>
      </c>
      <c r="AV468" s="471">
        <f t="shared" ca="1" si="1363"/>
        <v>45.024155313025695</v>
      </c>
      <c r="AW468" s="471">
        <f t="shared" ca="1" si="1364"/>
        <v>45.02</v>
      </c>
      <c r="AX468" s="478">
        <f>IF(OR(C468="",D468=""),"",ROUND(((VLOOKUP(C468,'Base de Diseño (2)'!$A$2:$C$333,2,FALSE)-VLOOKUP(D468,'Base de Diseño (2)'!$A$2:$C$333,2,FALSE))^2+(VLOOKUP(C468,'Base de Diseño (2)'!$A$2:$C$333,3,0)-VLOOKUP(D468,'Base de Diseño (2)'!$A$2:$C$333,3,FALSE))^2)^0.5,2))</f>
        <v>19.649999999999999</v>
      </c>
      <c r="AY468" s="493">
        <v>16</v>
      </c>
      <c r="AZ468" s="480">
        <f ca="1">IF(AND(L468="",H468=""),"",IF(BA468=4,VLOOKUP(AY468,'TABLA (2)'!$A$74:$C$89,2),IF(BA468=5,VLOOKUP(AY468,'TABLA (2)'!$A$51:$B$66,2),IF(BA468=6,VLOOKUP(AY468,'TABLA (2)'!$A$9:$B$43,2)))))</f>
        <v>400</v>
      </c>
      <c r="BA468" s="493">
        <v>6</v>
      </c>
      <c r="BB468" s="478">
        <f>IF(OR(C468="",D468=""),"",VLOOKUP(C468,'Base de Diseño (2)'!$A$2:$D$330,4,FALSE))</f>
        <v>972.03160000000003</v>
      </c>
      <c r="BC468" s="478">
        <f>IF(OR(C468="",D468=""),"",VLOOKUP(D468,'Base de Diseño (2)'!$A$2:$D$330,4,FALSE))</f>
        <v>971.61160000000007</v>
      </c>
      <c r="BD468" s="23">
        <f t="shared" ca="1" si="1365"/>
        <v>1.7380000000000455</v>
      </c>
      <c r="BE468" s="23">
        <f t="shared" ca="1" si="1366"/>
        <v>3.8674156415398673</v>
      </c>
      <c r="BF468" s="494">
        <v>2.2000000000000455</v>
      </c>
      <c r="BG468" s="494">
        <v>4.3294156415398675</v>
      </c>
      <c r="BH468" s="495">
        <f t="shared" si="1367"/>
        <v>969.83159999999998</v>
      </c>
      <c r="BI468" s="495">
        <f t="shared" si="1367"/>
        <v>967.2821843584602</v>
      </c>
      <c r="BJ468" s="534">
        <f t="shared" si="1398"/>
        <v>-3.129415641539822</v>
      </c>
      <c r="BK468" s="475">
        <f t="shared" si="1368"/>
        <v>2.1374045801524635</v>
      </c>
      <c r="BL468" s="475">
        <f t="shared" si="1369"/>
        <v>12.974125402238073</v>
      </c>
      <c r="BM468" s="475">
        <f t="shared" ca="1" si="1370"/>
        <v>5.9693772579626563</v>
      </c>
      <c r="BN468" s="475">
        <f t="shared" ca="1" si="1371"/>
        <v>750.13406960485884</v>
      </c>
      <c r="BO468" s="204">
        <f t="shared" ca="1" si="1372"/>
        <v>1.9996425449521856E-3</v>
      </c>
      <c r="BP468" s="496">
        <f t="shared" ca="1" si="1373"/>
        <v>6.0015938249164943E-2</v>
      </c>
      <c r="BQ468" s="497">
        <f t="shared" ca="1" si="1374"/>
        <v>0.17559740419574066</v>
      </c>
      <c r="BR468" s="497">
        <f t="shared" ca="1" si="1375"/>
        <v>0.46614368637402698</v>
      </c>
      <c r="BS468" s="475">
        <f t="shared" ca="1" si="1376"/>
        <v>1.0482071511633306</v>
      </c>
      <c r="BT468" s="475">
        <f t="shared" ca="1" si="1377"/>
        <v>2.7825875203839936</v>
      </c>
      <c r="BU468" s="475">
        <f t="shared" ca="1" si="1378"/>
        <v>-1.8153751303824961E-2</v>
      </c>
      <c r="BV468" s="475">
        <f t="shared" ca="1" si="1379"/>
        <v>0.20125214011156728</v>
      </c>
      <c r="BW468" s="475" t="e">
        <f t="shared" ca="1" si="1380"/>
        <v>#NUM!</v>
      </c>
      <c r="BX468" s="475">
        <f t="shared" ca="1" si="1381"/>
        <v>1.860843814616546</v>
      </c>
      <c r="BY468" s="475" t="e">
        <f t="shared" ca="1" si="1382"/>
        <v>#NUM!</v>
      </c>
      <c r="BZ468" s="475">
        <f t="shared" ca="1" si="1383"/>
        <v>0.12126400834163653</v>
      </c>
      <c r="CA468" s="471" t="e">
        <f t="shared" ca="1" si="1384"/>
        <v>#NUM!</v>
      </c>
      <c r="CB468" s="471">
        <f t="shared" ca="1" si="1385"/>
        <v>4.8505603336654615E-2</v>
      </c>
      <c r="CC468" s="471">
        <f t="shared" ca="1" si="1315"/>
        <v>3.7448201215312906</v>
      </c>
      <c r="CD468" s="471" t="str">
        <f t="shared" ca="1" si="1386"/>
        <v>F. Supercrítico</v>
      </c>
      <c r="CE468" s="471" t="e">
        <f t="shared" ca="1" si="1387"/>
        <v>#NUM!</v>
      </c>
      <c r="CF468" s="471">
        <f t="shared" ca="1" si="1388"/>
        <v>6.293177804009745</v>
      </c>
      <c r="CG468" s="471" t="str">
        <f t="shared" ca="1" si="1389"/>
        <v>O.K</v>
      </c>
      <c r="CH468" s="471" t="str">
        <f t="shared" ca="1" si="1390"/>
        <v>O.K</v>
      </c>
      <c r="CI468" s="471" t="e">
        <f t="shared" ca="1" si="1391"/>
        <v>#NUM!</v>
      </c>
      <c r="CJ468" s="471" t="str">
        <f t="shared" ca="1" si="1392"/>
        <v>OK</v>
      </c>
      <c r="CK468" s="468">
        <f t="shared" si="1393"/>
        <v>-3.129415641539822</v>
      </c>
      <c r="CL468" s="482" t="s">
        <v>2507</v>
      </c>
      <c r="CM468" s="482"/>
      <c r="CN468" s="63" t="str">
        <f t="shared" si="1394"/>
        <v xml:space="preserve"> </v>
      </c>
      <c r="CO468" s="527">
        <f t="shared" si="1332"/>
        <v>19.649999999999999</v>
      </c>
      <c r="CP468" s="542">
        <f t="shared" si="1333"/>
        <v>2.1374045801524636E-2</v>
      </c>
      <c r="CQ468" s="482" t="s">
        <v>2508</v>
      </c>
      <c r="CR468" s="204">
        <f t="shared" si="1395"/>
        <v>19.649999999999999</v>
      </c>
      <c r="CS468" s="486">
        <v>1.2</v>
      </c>
      <c r="CT468" s="486">
        <v>1.2</v>
      </c>
      <c r="CU468" s="23">
        <f t="shared" si="1396"/>
        <v>19.814692026709061</v>
      </c>
      <c r="CV468" s="499" t="s">
        <v>2509</v>
      </c>
      <c r="CW468" s="488" t="str">
        <f t="shared" ca="1" si="1397"/>
        <v>E2</v>
      </c>
      <c r="CX468" s="204">
        <f ca="1">IF(AND(L468="",H468=""),"",IF(AND(BA468&lt;&gt;4,BA468&lt;&gt;5),VLOOKUP(AY468,'TABLA (2)'!$A$9:$D$43,4),IF(BA468=4,VLOOKUP(AY468,'TABLA (2)'!$A$74:$D$89,4),VLOOKUP(AY468,'TABLA (2)'!$A$51:$D$66,4))))</f>
        <v>6.2E-2</v>
      </c>
      <c r="CY468" s="482"/>
      <c r="CZ468" s="482"/>
      <c r="DA468" s="482"/>
      <c r="DB468" s="490"/>
    </row>
    <row r="469" spans="1:106" ht="15" hidden="1" customHeight="1">
      <c r="A469" s="465">
        <f>+A468+1</f>
        <v>341</v>
      </c>
      <c r="B469" s="491"/>
      <c r="C469" s="466" t="s">
        <v>2308</v>
      </c>
      <c r="D469" s="466" t="s">
        <v>2309</v>
      </c>
      <c r="E469" s="468"/>
      <c r="F469" s="468"/>
      <c r="G469" s="537">
        <f t="shared" si="1329"/>
        <v>0.2150061003</v>
      </c>
      <c r="H469" s="537">
        <f t="shared" si="1330"/>
        <v>0.2150061003</v>
      </c>
      <c r="I469" s="468"/>
      <c r="J469" s="468"/>
      <c r="K469" s="467">
        <f t="shared" ca="1" si="1337"/>
        <v>0.2150061003</v>
      </c>
      <c r="L469" s="468">
        <f t="shared" ca="1" si="1338"/>
        <v>0.2150061003</v>
      </c>
      <c r="M469" s="469">
        <f t="shared" si="1339"/>
        <v>242.33666300502347</v>
      </c>
      <c r="N469" s="470">
        <f t="shared" si="1340"/>
        <v>0</v>
      </c>
      <c r="O469" s="470">
        <f t="shared" si="1341"/>
        <v>0</v>
      </c>
      <c r="P469" s="470">
        <f t="shared" si="1342"/>
        <v>52.103860872425379</v>
      </c>
      <c r="Q469" s="469">
        <f t="shared" si="1336"/>
        <v>140</v>
      </c>
      <c r="R469" s="471">
        <f t="shared" si="1343"/>
        <v>7.1763419488641442E-2</v>
      </c>
      <c r="S469" s="471"/>
      <c r="T469" s="471"/>
      <c r="U469" s="471">
        <f t="shared" si="1344"/>
        <v>0</v>
      </c>
      <c r="V469" s="471"/>
      <c r="W469" s="471"/>
      <c r="X469" s="471">
        <f t="shared" si="1345"/>
        <v>0</v>
      </c>
      <c r="Y469" s="471">
        <f t="shared" si="1346"/>
        <v>4.3001220060000005E-2</v>
      </c>
      <c r="Z469" s="471">
        <f t="shared" ca="1" si="1347"/>
        <v>0</v>
      </c>
      <c r="AA469" s="471">
        <f t="shared" si="1185"/>
        <v>3.8</v>
      </c>
      <c r="AB469" s="471">
        <f t="shared" si="1348"/>
        <v>0.27270099405683745</v>
      </c>
      <c r="AC469" s="471">
        <f t="shared" si="1349"/>
        <v>0</v>
      </c>
      <c r="AD469" s="471">
        <f t="shared" si="1350"/>
        <v>0</v>
      </c>
      <c r="AE469" s="471">
        <f t="shared" si="1350"/>
        <v>0</v>
      </c>
      <c r="AF469" s="510">
        <f t="shared" si="1328"/>
        <v>3.8</v>
      </c>
      <c r="AG469" s="471">
        <f t="shared" si="1351"/>
        <v>0</v>
      </c>
      <c r="AH469" s="471">
        <f t="shared" si="1352"/>
        <v>0</v>
      </c>
      <c r="AI469" s="471">
        <f t="shared" ca="1" si="1353"/>
        <v>1.5</v>
      </c>
      <c r="AJ469" s="471">
        <f t="shared" si="1354"/>
        <v>0.75</v>
      </c>
      <c r="AK469" s="472">
        <f t="shared" si="1355"/>
        <v>9.4851794071765291E-2</v>
      </c>
      <c r="AL469" s="471">
        <f t="shared" si="1356"/>
        <v>0.63224258970358838</v>
      </c>
      <c r="AM469" s="473">
        <f t="shared" si="1331"/>
        <v>331.42473340998527</v>
      </c>
      <c r="AN469" s="474">
        <f t="shared" si="1285"/>
        <v>10.322722222222222</v>
      </c>
      <c r="AO469" s="474">
        <f t="shared" si="1357"/>
        <v>0.17805555555555552</v>
      </c>
      <c r="AP469" s="474">
        <f t="shared" si="1358"/>
        <v>10.500777777777778</v>
      </c>
      <c r="AQ469" s="475">
        <v>3</v>
      </c>
      <c r="AR469" s="474">
        <f t="shared" ca="1" si="1359"/>
        <v>0.21475400434543881</v>
      </c>
      <c r="AS469" s="474">
        <f t="shared" ca="1" si="1360"/>
        <v>0.82911401861055567</v>
      </c>
      <c r="AT469" s="471" t="str">
        <f t="shared" ca="1" si="1361"/>
        <v>Disminuir vel.</v>
      </c>
      <c r="AU469" s="492">
        <f t="shared" si="1362"/>
        <v>0</v>
      </c>
      <c r="AV469" s="471">
        <f t="shared" ca="1" si="1363"/>
        <v>45.052557086670241</v>
      </c>
      <c r="AW469" s="471">
        <f t="shared" ca="1" si="1364"/>
        <v>45.05</v>
      </c>
      <c r="AX469" s="478">
        <f>IF(OR(C469="",D469=""),"",ROUND(((VLOOKUP(C469,'Base de Diseño (2)'!$A$2:$C$333,2,FALSE)-VLOOKUP(D469,'Base de Diseño (2)'!$A$2:$C$333,2,FALSE))^2+(VLOOKUP(C469,'Base de Diseño (2)'!$A$2:$C$333,3,0)-VLOOKUP(D469,'Base de Diseño (2)'!$A$2:$C$333,3,FALSE))^2)^0.5,2))</f>
        <v>32.049999999999997</v>
      </c>
      <c r="AY469" s="493">
        <v>16</v>
      </c>
      <c r="AZ469" s="480">
        <f ca="1">IF(AND(L469="",H469=""),"",IF(BA469=4,VLOOKUP(AY469,'TABLA (2)'!$A$74:$C$89,2),IF(BA469=5,VLOOKUP(AY469,'TABLA (2)'!$A$51:$B$66,2),IF(BA469=6,VLOOKUP(AY469,'TABLA (2)'!$A$9:$B$43,2)))))</f>
        <v>400</v>
      </c>
      <c r="BA469" s="493">
        <v>6</v>
      </c>
      <c r="BB469" s="478">
        <f>IF(OR(C469="",D469=""),"",VLOOKUP(C469,'Base de Diseño (2)'!$A$2:$D$330,4,FALSE))</f>
        <v>971.61160000000007</v>
      </c>
      <c r="BC469" s="478">
        <f>IF(OR(C469="",D469=""),"",VLOOKUP(D469,'Base de Diseño (2)'!$A$2:$D$330,4,FALSE))</f>
        <v>968.57159999999999</v>
      </c>
      <c r="BD469" s="23">
        <f t="shared" ca="1" si="1365"/>
        <v>0.73800000000004551</v>
      </c>
      <c r="BE469" s="23">
        <f t="shared" ca="1" si="1366"/>
        <v>0.73800000000004551</v>
      </c>
      <c r="BF469" s="494">
        <v>1.2000000000000455</v>
      </c>
      <c r="BG469" s="494">
        <v>1.2000000000000455</v>
      </c>
      <c r="BH469" s="495">
        <f t="shared" si="1367"/>
        <v>970.41160000000002</v>
      </c>
      <c r="BI469" s="495">
        <f t="shared" si="1367"/>
        <v>967.37159999999994</v>
      </c>
      <c r="BJ469" s="534">
        <f t="shared" si="1398"/>
        <v>0.13999999999998636</v>
      </c>
      <c r="BK469" s="475">
        <f t="shared" si="1368"/>
        <v>9.4851794071765294</v>
      </c>
      <c r="BL469" s="475">
        <f t="shared" si="1369"/>
        <v>9.4851794071765294</v>
      </c>
      <c r="BM469" s="475">
        <f t="shared" ca="1" si="1370"/>
        <v>5.1040245648003593</v>
      </c>
      <c r="BN469" s="475">
        <f t="shared" ca="1" si="1371"/>
        <v>641.39064306074613</v>
      </c>
      <c r="BO469" s="204">
        <f t="shared" ca="1" si="1372"/>
        <v>2.3386683548140487E-3</v>
      </c>
      <c r="BP469" s="496">
        <f t="shared" ca="1" si="1373"/>
        <v>7.0238006256248597E-2</v>
      </c>
      <c r="BQ469" s="497">
        <f t="shared" ca="1" si="1374"/>
        <v>0.18378388404126253</v>
      </c>
      <c r="BR469" s="497">
        <f t="shared" ca="1" si="1375"/>
        <v>0.48732956204511491</v>
      </c>
      <c r="BS469" s="475">
        <f t="shared" ca="1" si="1376"/>
        <v>0.93803745876102462</v>
      </c>
      <c r="BT469" s="475">
        <f t="shared" ca="1" si="1377"/>
        <v>2.4873420558316672</v>
      </c>
      <c r="BU469" s="475">
        <f t="shared" ca="1" si="1378"/>
        <v>-8.0521966026535496E-3</v>
      </c>
      <c r="BV469" s="475">
        <f t="shared" ca="1" si="1379"/>
        <v>0.21139666139587523</v>
      </c>
      <c r="BW469" s="475" t="e">
        <f t="shared" ca="1" si="1380"/>
        <v>#NUM!</v>
      </c>
      <c r="BX469" s="475">
        <f t="shared" ca="1" si="1381"/>
        <v>1.9109849414696887</v>
      </c>
      <c r="BY469" s="475" t="e">
        <f t="shared" ca="1" si="1382"/>
        <v>#NUM!</v>
      </c>
      <c r="BZ469" s="475">
        <f t="shared" ca="1" si="1383"/>
        <v>0.12667462367929416</v>
      </c>
      <c r="CA469" s="471" t="e">
        <f t="shared" ca="1" si="1384"/>
        <v>#NUM!</v>
      </c>
      <c r="CB469" s="471">
        <f t="shared" ca="1" si="1385"/>
        <v>5.0669849471717668E-2</v>
      </c>
      <c r="CC469" s="471">
        <f t="shared" ca="1" si="1315"/>
        <v>3.2614952423503039</v>
      </c>
      <c r="CD469" s="471" t="str">
        <f t="shared" ca="1" si="1386"/>
        <v>F. Supercrítico</v>
      </c>
      <c r="CE469" s="471" t="e">
        <f t="shared" ca="1" si="1387"/>
        <v>#NUM!</v>
      </c>
      <c r="CF469" s="471">
        <f t="shared" ca="1" si="1388"/>
        <v>4.8061261277387093</v>
      </c>
      <c r="CG469" s="471" t="str">
        <f t="shared" ca="1" si="1389"/>
        <v>O.K</v>
      </c>
      <c r="CH469" s="471" t="str">
        <f t="shared" ca="1" si="1390"/>
        <v>O.K</v>
      </c>
      <c r="CI469" s="471" t="e">
        <f t="shared" ca="1" si="1391"/>
        <v>#NUM!</v>
      </c>
      <c r="CJ469" s="471" t="str">
        <f t="shared" ca="1" si="1392"/>
        <v>OK</v>
      </c>
      <c r="CK469" s="468">
        <f t="shared" si="1393"/>
        <v>0.13999999999998636</v>
      </c>
      <c r="CL469" s="482" t="s">
        <v>2507</v>
      </c>
      <c r="CM469" s="482"/>
      <c r="CN469" s="63" t="str">
        <f t="shared" si="1394"/>
        <v xml:space="preserve"> </v>
      </c>
      <c r="CO469" s="527">
        <f t="shared" si="1332"/>
        <v>32.049999999999997</v>
      </c>
      <c r="CP469" s="511">
        <f t="shared" si="1333"/>
        <v>9.4851794071765291E-2</v>
      </c>
      <c r="CQ469" s="482" t="s">
        <v>2508</v>
      </c>
      <c r="CR469" s="204">
        <f t="shared" si="1395"/>
        <v>32.049999999999997</v>
      </c>
      <c r="CS469" s="486">
        <v>1.2</v>
      </c>
      <c r="CT469" s="486">
        <v>1.2</v>
      </c>
      <c r="CU469" s="23">
        <f t="shared" si="1396"/>
        <v>32.193851897528518</v>
      </c>
      <c r="CV469" s="499" t="s">
        <v>2509</v>
      </c>
      <c r="CW469" s="488" t="str">
        <f t="shared" ca="1" si="1397"/>
        <v>E1</v>
      </c>
      <c r="CX469" s="204">
        <f ca="1">IF(AND(L469="",H469=""),"",IF(AND(BA469&lt;&gt;4,BA469&lt;&gt;5),VLOOKUP(AY469,'TABLA (2)'!$A$9:$D$43,4),IF(BA469=4,VLOOKUP(AY469,'TABLA (2)'!$A$74:$D$89,4),VLOOKUP(AY469,'TABLA (2)'!$A$51:$D$66,4))))</f>
        <v>6.2E-2</v>
      </c>
      <c r="CY469" s="482"/>
      <c r="CZ469" s="482"/>
      <c r="DA469" s="482"/>
      <c r="DB469" s="490"/>
    </row>
    <row r="470" spans="1:106" ht="15" hidden="1" customHeight="1">
      <c r="A470" s="465">
        <f>+A469+1</f>
        <v>342</v>
      </c>
      <c r="B470" s="491"/>
      <c r="C470" s="466" t="s">
        <v>2309</v>
      </c>
      <c r="D470" s="466" t="s">
        <v>2300</v>
      </c>
      <c r="E470" s="468"/>
      <c r="F470" s="468"/>
      <c r="G470" s="537">
        <f t="shared" si="1329"/>
        <v>0.63364977720000004</v>
      </c>
      <c r="H470" s="537">
        <f t="shared" si="1330"/>
        <v>0.63364977720000004</v>
      </c>
      <c r="I470" s="468"/>
      <c r="J470" s="468"/>
      <c r="K470" s="467">
        <f t="shared" ca="1" si="1337"/>
        <v>0.63364977720000004</v>
      </c>
      <c r="L470" s="468">
        <f t="shared" ca="1" si="1338"/>
        <v>0.63364977720000004</v>
      </c>
      <c r="M470" s="469">
        <f t="shared" si="1339"/>
        <v>242.33666300502347</v>
      </c>
      <c r="N470" s="470">
        <f t="shared" si="1340"/>
        <v>0</v>
      </c>
      <c r="O470" s="470">
        <f t="shared" si="1341"/>
        <v>0</v>
      </c>
      <c r="P470" s="470">
        <f t="shared" si="1342"/>
        <v>153.55657252052461</v>
      </c>
      <c r="Q470" s="469">
        <f t="shared" si="1336"/>
        <v>140</v>
      </c>
      <c r="R470" s="471">
        <f t="shared" si="1343"/>
        <v>0.21149574224470405</v>
      </c>
      <c r="S470" s="471"/>
      <c r="T470" s="471"/>
      <c r="U470" s="471">
        <f t="shared" si="1344"/>
        <v>0</v>
      </c>
      <c r="V470" s="471"/>
      <c r="W470" s="471"/>
      <c r="X470" s="471">
        <f t="shared" si="1345"/>
        <v>0</v>
      </c>
      <c r="Y470" s="471">
        <f t="shared" si="1346"/>
        <v>0.12672995544000001</v>
      </c>
      <c r="Z470" s="471">
        <f t="shared" ca="1" si="1347"/>
        <v>0</v>
      </c>
      <c r="AA470" s="471">
        <f t="shared" ref="AA470:AA506" si="1399">IF(P470="","",IF(1+((14/(4+(P470/1000)^1/2)))&lt;1.4,1.4,IF(1+((14/(4+(P470/1000)^1/2)))&gt;=3.8,3.8,(1+((14/(4+(P470/1000)^1/2)))))))</f>
        <v>3.8</v>
      </c>
      <c r="AB470" s="471">
        <f t="shared" si="1348"/>
        <v>0.8036838205298753</v>
      </c>
      <c r="AC470" s="471">
        <f t="shared" si="1349"/>
        <v>0</v>
      </c>
      <c r="AD470" s="471">
        <f t="shared" si="1350"/>
        <v>0</v>
      </c>
      <c r="AE470" s="471">
        <f t="shared" si="1350"/>
        <v>0</v>
      </c>
      <c r="AF470" s="510">
        <f t="shared" si="1328"/>
        <v>3.8</v>
      </c>
      <c r="AG470" s="471">
        <f t="shared" si="1351"/>
        <v>0</v>
      </c>
      <c r="AH470" s="471">
        <f t="shared" si="1352"/>
        <v>0</v>
      </c>
      <c r="AI470" s="471">
        <f t="shared" ca="1" si="1353"/>
        <v>1.5</v>
      </c>
      <c r="AJ470" s="471">
        <f t="shared" si="1354"/>
        <v>0.75</v>
      </c>
      <c r="AK470" s="472">
        <f t="shared" si="1355"/>
        <v>8.3069620253133965E-3</v>
      </c>
      <c r="AL470" s="471">
        <f t="shared" si="1356"/>
        <v>0.6279153481012657</v>
      </c>
      <c r="AM470" s="473">
        <f t="shared" si="1331"/>
        <v>330.07460905316901</v>
      </c>
      <c r="AN470" s="474">
        <f t="shared" si="1285"/>
        <v>10.500777777777778</v>
      </c>
      <c r="AO470" s="474">
        <f t="shared" si="1357"/>
        <v>0.14044444444444446</v>
      </c>
      <c r="AP470" s="474">
        <f t="shared" si="1358"/>
        <v>10.641222222222222</v>
      </c>
      <c r="AQ470" s="475">
        <v>3</v>
      </c>
      <c r="AR470" s="474">
        <f t="shared" ca="1" si="1359"/>
        <v>0.23152758560968389</v>
      </c>
      <c r="AS470" s="474">
        <f t="shared" ca="1" si="1360"/>
        <v>0.60659918374137023</v>
      </c>
      <c r="AT470" s="471" t="str">
        <f t="shared" ca="1" si="1361"/>
        <v>Disminuir vel.</v>
      </c>
      <c r="AU470" s="492">
        <f t="shared" si="1362"/>
        <v>0</v>
      </c>
      <c r="AV470" s="471">
        <f t="shared" ca="1" si="1363"/>
        <v>131.32956407241736</v>
      </c>
      <c r="AW470" s="471">
        <f t="shared" ca="1" si="1364"/>
        <v>131.33000000000001</v>
      </c>
      <c r="AX470" s="478">
        <f>IF(OR(C470="",D470=""),"",ROUND(((VLOOKUP(C470,'Base de Diseño (2)'!$A$2:$C$333,2,FALSE)-VLOOKUP(D470,'Base de Diseño (2)'!$A$2:$C$333,2,FALSE))^2+(VLOOKUP(C470,'Base de Diseño (2)'!$A$2:$C$333,3,0)-VLOOKUP(D470,'Base de Diseño (2)'!$A$2:$C$333,3,FALSE))^2)^0.5,2))</f>
        <v>25.28</v>
      </c>
      <c r="AY470" s="493">
        <v>14</v>
      </c>
      <c r="AZ470" s="480">
        <f ca="1">IF(AND(L470="",H470=""),"",IF(BA470=4,VLOOKUP(AY470,'TABLA (2)'!$A$74:$C$89,2),IF(BA470=5,VLOOKUP(AY470,'TABLA (2)'!$A$51:$B$66,2),IF(BA470=6,VLOOKUP(AY470,'TABLA (2)'!$A$9:$B$43,2)))))</f>
        <v>350</v>
      </c>
      <c r="BA470" s="493">
        <v>6</v>
      </c>
      <c r="BB470" s="478">
        <f>IF(OR(C470="",D470=""),"",VLOOKUP(C470,'Base de Diseño (2)'!$A$2:$D$330,4,FALSE))</f>
        <v>968.57159999999999</v>
      </c>
      <c r="BC470" s="478">
        <f>IF(OR(C470="",D470=""),"",VLOOKUP(D470,'Base de Diseño (2)'!$A$2:$D$330,4,FALSE))</f>
        <v>968.36160000000007</v>
      </c>
      <c r="BD470" s="23">
        <f t="shared" ca="1" si="1365"/>
        <v>0.93000000000003191</v>
      </c>
      <c r="BE470" s="23">
        <f t="shared" ca="1" si="1366"/>
        <v>1.1199999999999728</v>
      </c>
      <c r="BF470" s="494">
        <v>1.3400000000000318</v>
      </c>
      <c r="BG470" s="494">
        <v>1.5299999999999727</v>
      </c>
      <c r="BH470" s="495">
        <f t="shared" si="1367"/>
        <v>967.23159999999996</v>
      </c>
      <c r="BI470" s="495">
        <f t="shared" si="1367"/>
        <v>966.83160000000009</v>
      </c>
      <c r="BJ470" s="534">
        <f t="shared" si="1398"/>
        <v>966.83160000000009</v>
      </c>
      <c r="BK470" s="475">
        <f t="shared" si="1368"/>
        <v>0.83069620253133969</v>
      </c>
      <c r="BL470" s="475">
        <f t="shared" si="1369"/>
        <v>1.5822784810121184</v>
      </c>
      <c r="BM470" s="475">
        <f t="shared" ca="1" si="1370"/>
        <v>1.9070854111921021</v>
      </c>
      <c r="BN470" s="475">
        <f t="shared" ca="1" si="1371"/>
        <v>183.48311897556218</v>
      </c>
      <c r="BO470" s="204">
        <f t="shared" ca="1" si="1372"/>
        <v>8.1751389903056016E-3</v>
      </c>
      <c r="BP470" s="496">
        <f t="shared" ca="1" si="1373"/>
        <v>0.71576066906455649</v>
      </c>
      <c r="BQ470" s="497">
        <f t="shared" ca="1" si="1374"/>
        <v>0.26451265973490407</v>
      </c>
      <c r="BR470" s="497">
        <f t="shared" ca="1" si="1375"/>
        <v>0.95422970599233481</v>
      </c>
      <c r="BS470" s="475">
        <f t="shared" ca="1" si="1376"/>
        <v>0.50444823445605613</v>
      </c>
      <c r="BT470" s="475">
        <f t="shared" ca="1" si="1377"/>
        <v>1.8197975512241105</v>
      </c>
      <c r="BU470" s="475">
        <f t="shared" ca="1" si="1378"/>
        <v>7.267058734961368E-2</v>
      </c>
      <c r="BV470" s="475">
        <f t="shared" ca="1" si="1379"/>
        <v>0.70217377940022963</v>
      </c>
      <c r="BW470" s="475">
        <f t="shared" ca="1" si="1380"/>
        <v>1.0918059436369454</v>
      </c>
      <c r="BX470" s="475">
        <f t="shared" ca="1" si="1381"/>
        <v>3.9741233734092489</v>
      </c>
      <c r="BY470" s="475">
        <f t="shared" ca="1" si="1382"/>
        <v>4.6790653174995867E-2</v>
      </c>
      <c r="BZ470" s="475">
        <f t="shared" ca="1" si="1383"/>
        <v>0.29652830688663284</v>
      </c>
      <c r="CA470" s="471">
        <f t="shared" ca="1" si="1384"/>
        <v>1.6376728611248552E-2</v>
      </c>
      <c r="CB470" s="471">
        <f t="shared" ca="1" si="1385"/>
        <v>0.10378490741032149</v>
      </c>
      <c r="CC470" s="471">
        <f t="shared" ca="1" si="1315"/>
        <v>1.2235808719269596</v>
      </c>
      <c r="CD470" s="471" t="str">
        <f t="shared" ca="1" si="1386"/>
        <v>F. Supercrítico Inestable</v>
      </c>
      <c r="CE470" s="471">
        <f t="shared" ca="1" si="1387"/>
        <v>0.25912545270954057</v>
      </c>
      <c r="CF470" s="471">
        <f t="shared" ca="1" si="1388"/>
        <v>1.6421662564918684</v>
      </c>
      <c r="CG470" s="471" t="str">
        <f t="shared" ca="1" si="1389"/>
        <v>O.K</v>
      </c>
      <c r="CH470" s="471" t="str">
        <f t="shared" ca="1" si="1390"/>
        <v>O.K</v>
      </c>
      <c r="CI470" s="471" t="str">
        <f t="shared" ca="1" si="1391"/>
        <v>OK</v>
      </c>
      <c r="CJ470" s="471" t="str">
        <f t="shared" ca="1" si="1392"/>
        <v>OK</v>
      </c>
      <c r="CK470" s="468">
        <f t="shared" si="1393"/>
        <v>966.83160000000009</v>
      </c>
      <c r="CL470" s="482" t="s">
        <v>2507</v>
      </c>
      <c r="CM470" s="482"/>
      <c r="CN470" s="63" t="str">
        <f t="shared" si="1394"/>
        <v xml:space="preserve"> </v>
      </c>
      <c r="CO470" s="527">
        <f t="shared" si="1332"/>
        <v>25.28</v>
      </c>
      <c r="CP470" s="542">
        <f t="shared" si="1333"/>
        <v>8.3069620253133965E-3</v>
      </c>
      <c r="CQ470" s="482" t="s">
        <v>2508</v>
      </c>
      <c r="CR470" s="204">
        <f t="shared" si="1395"/>
        <v>25.28</v>
      </c>
      <c r="CS470" s="486">
        <v>1.2</v>
      </c>
      <c r="CT470" s="486">
        <v>1.2</v>
      </c>
      <c r="CU470" s="23">
        <f t="shared" si="1396"/>
        <v>25.283164358916785</v>
      </c>
      <c r="CV470" s="499" t="s">
        <v>2509</v>
      </c>
      <c r="CW470" s="488" t="str">
        <f t="shared" ca="1" si="1397"/>
        <v>E2</v>
      </c>
      <c r="CX470" s="204">
        <f ca="1">IF(AND(L470="",H470=""),"",IF(AND(BA470&lt;&gt;4,BA470&lt;&gt;5),VLOOKUP(AY470,'TABLA (2)'!$A$9:$D$43,4),IF(BA470=4,VLOOKUP(AY470,'TABLA (2)'!$A$74:$D$89,4),VLOOKUP(AY470,'TABLA (2)'!$A$51:$D$66,4))))</f>
        <v>0.06</v>
      </c>
      <c r="CY470" s="482"/>
      <c r="CZ470" s="482"/>
      <c r="DA470" s="482"/>
      <c r="DB470" s="490"/>
    </row>
    <row r="471" spans="1:106" ht="15" hidden="1" customHeight="1">
      <c r="A471" s="465"/>
      <c r="B471" s="491"/>
      <c r="C471" s="466"/>
      <c r="D471" s="466"/>
      <c r="E471" s="468"/>
      <c r="F471" s="468"/>
      <c r="G471" s="537">
        <f t="shared" si="1329"/>
        <v>0</v>
      </c>
      <c r="H471" s="537">
        <f t="shared" si="1330"/>
        <v>0</v>
      </c>
      <c r="I471" s="468"/>
      <c r="J471" s="468"/>
      <c r="K471" s="467"/>
      <c r="L471" s="468"/>
      <c r="M471" s="469"/>
      <c r="N471" s="470"/>
      <c r="O471" s="470"/>
      <c r="P471" s="470"/>
      <c r="Q471" s="469">
        <f t="shared" si="1336"/>
        <v>140</v>
      </c>
      <c r="R471" s="471"/>
      <c r="S471" s="471"/>
      <c r="T471" s="471"/>
      <c r="U471" s="471"/>
      <c r="V471" s="471"/>
      <c r="W471" s="471"/>
      <c r="X471" s="471"/>
      <c r="Y471" s="471"/>
      <c r="Z471" s="471"/>
      <c r="AA471" s="471" t="str">
        <f t="shared" si="1399"/>
        <v/>
      </c>
      <c r="AB471" s="471"/>
      <c r="AC471" s="471"/>
      <c r="AD471" s="471"/>
      <c r="AE471" s="471"/>
      <c r="AF471" s="510" t="str">
        <f t="shared" si="1328"/>
        <v/>
      </c>
      <c r="AG471" s="471"/>
      <c r="AH471" s="471"/>
      <c r="AI471" s="471"/>
      <c r="AJ471" s="471"/>
      <c r="AK471" s="472"/>
      <c r="AL471" s="471"/>
      <c r="AM471" s="473">
        <f t="shared" si="1331"/>
        <v>474.44695720875893</v>
      </c>
      <c r="AN471" s="474">
        <f t="shared" si="1285"/>
        <v>10.641222222222222</v>
      </c>
      <c r="AO471" s="474"/>
      <c r="AP471" s="474"/>
      <c r="AQ471" s="475">
        <v>3</v>
      </c>
      <c r="AR471" s="474"/>
      <c r="AS471" s="474"/>
      <c r="AT471" s="471"/>
      <c r="AU471" s="492"/>
      <c r="AV471" s="471"/>
      <c r="AW471" s="471"/>
      <c r="AX471" s="478"/>
      <c r="AY471" s="493"/>
      <c r="AZ471" s="480"/>
      <c r="BA471" s="493"/>
      <c r="BB471" s="478" t="str">
        <f>IF(OR(C471="",D471=""),"",VLOOKUP(C471,'Base de Diseño (2)'!$A$2:$D$330,4,FALSE))</f>
        <v/>
      </c>
      <c r="BC471" s="478" t="str">
        <f>IF(OR(C471="",D471=""),"",VLOOKUP(D471,'Base de Diseño (2)'!$A$2:$D$330,4,FALSE))</f>
        <v/>
      </c>
      <c r="BD471" s="23"/>
      <c r="BE471" s="23"/>
      <c r="BF471" s="494"/>
      <c r="BG471" s="494"/>
      <c r="BH471" s="495"/>
      <c r="BI471" s="495"/>
      <c r="BJ471" s="534">
        <f t="shared" si="1398"/>
        <v>0</v>
      </c>
      <c r="BK471" s="475"/>
      <c r="BL471" s="475"/>
      <c r="BM471" s="475"/>
      <c r="BN471" s="475"/>
      <c r="BO471" s="204"/>
      <c r="BP471" s="496"/>
      <c r="BQ471" s="497"/>
      <c r="BR471" s="497"/>
      <c r="BS471" s="475"/>
      <c r="BT471" s="475"/>
      <c r="BU471" s="475"/>
      <c r="BV471" s="475"/>
      <c r="BW471" s="475"/>
      <c r="BX471" s="475"/>
      <c r="BY471" s="475"/>
      <c r="BZ471" s="475"/>
      <c r="CA471" s="471"/>
      <c r="CB471" s="471"/>
      <c r="CC471" s="471" t="e">
        <f t="shared" si="1315"/>
        <v>#DIV/0!</v>
      </c>
      <c r="CD471" s="471"/>
      <c r="CE471" s="471"/>
      <c r="CF471" s="471"/>
      <c r="CG471" s="471"/>
      <c r="CH471" s="471"/>
      <c r="CI471" s="471"/>
      <c r="CJ471" s="471"/>
      <c r="CK471" s="468"/>
      <c r="CL471" s="482" t="s">
        <v>2507</v>
      </c>
      <c r="CM471" s="482"/>
      <c r="CN471" s="63"/>
      <c r="CO471" s="527">
        <f t="shared" si="1332"/>
        <v>0</v>
      </c>
      <c r="CP471" s="511">
        <f t="shared" si="1333"/>
        <v>0</v>
      </c>
      <c r="CQ471" s="482"/>
      <c r="CR471" s="204"/>
      <c r="CS471" s="486"/>
      <c r="CT471" s="486"/>
      <c r="CU471" s="23"/>
      <c r="CV471" s="499"/>
      <c r="CW471" s="488"/>
      <c r="CX471" s="204"/>
      <c r="CY471" s="482"/>
      <c r="CZ471" s="482"/>
      <c r="DA471" s="482"/>
      <c r="DB471" s="490"/>
    </row>
    <row r="472" spans="1:106" ht="15" hidden="1" customHeight="1">
      <c r="A472" s="465">
        <f>+A470+1</f>
        <v>343</v>
      </c>
      <c r="B472" s="491">
        <v>1</v>
      </c>
      <c r="C472" s="466" t="s">
        <v>2310</v>
      </c>
      <c r="D472" s="466" t="s">
        <v>2311</v>
      </c>
      <c r="E472" s="468">
        <v>5.0184876900000001E-2</v>
      </c>
      <c r="F472" s="468"/>
      <c r="G472" s="537">
        <f t="shared" si="1329"/>
        <v>0</v>
      </c>
      <c r="H472" s="537">
        <f t="shared" si="1330"/>
        <v>5.0184876900000001E-2</v>
      </c>
      <c r="I472" s="468">
        <v>5.0184876900000001E-2</v>
      </c>
      <c r="J472" s="468"/>
      <c r="K472" s="467">
        <f>+IF(B472=1,0,SUMIF($D$22:$D$583,C472,$L$22:$L$580))</f>
        <v>0</v>
      </c>
      <c r="L472" s="468">
        <f>+I472+J472+K472</f>
        <v>5.0184876900000001E-2</v>
      </c>
      <c r="M472" s="469">
        <f>+$P$12</f>
        <v>242.33666300502347</v>
      </c>
      <c r="N472" s="470">
        <f>M472*E472</f>
        <v>12.161635601263887</v>
      </c>
      <c r="O472" s="470">
        <f>M472*F472</f>
        <v>0</v>
      </c>
      <c r="P472" s="470">
        <f>M472*H472</f>
        <v>12.161635601263887</v>
      </c>
      <c r="Q472" s="469">
        <f t="shared" si="1336"/>
        <v>140</v>
      </c>
      <c r="R472" s="471">
        <f>Q472*P472*$P$14/86400</f>
        <v>1.6750400886000029E-2</v>
      </c>
      <c r="S472" s="471"/>
      <c r="T472" s="471"/>
      <c r="U472" s="471">
        <f>IF(C472="","",T472*$P$17)</f>
        <v>0</v>
      </c>
      <c r="V472" s="471"/>
      <c r="W472" s="471"/>
      <c r="X472" s="471">
        <f>IF(C472="","",W472*$P$16)</f>
        <v>0</v>
      </c>
      <c r="Y472" s="471">
        <f>IF(H472=0,0,$H$15*H472)</f>
        <v>1.003697538E-2</v>
      </c>
      <c r="Z472" s="471">
        <f>IF(L472=0,$H$16*H472,0)</f>
        <v>0</v>
      </c>
      <c r="AA472" s="471">
        <f t="shared" si="1399"/>
        <v>3.8</v>
      </c>
      <c r="AB472" s="471">
        <f>R472*AA472</f>
        <v>6.3651523366800106E-2</v>
      </c>
      <c r="AC472" s="471">
        <f>Q472*(N472+O472)*$P$14/86400</f>
        <v>1.6750400886000029E-2</v>
      </c>
      <c r="AD472" s="471">
        <f t="shared" ref="AD472:AE474" si="1400">IF(E472=0,0,$H$15*(E472+F472))</f>
        <v>1.003697538E-2</v>
      </c>
      <c r="AE472" s="471">
        <f t="shared" si="1400"/>
        <v>0</v>
      </c>
      <c r="AF472" s="510">
        <f t="shared" si="1328"/>
        <v>3.8</v>
      </c>
      <c r="AG472" s="471">
        <f>AC472*AF472</f>
        <v>6.3651523366800106E-2</v>
      </c>
      <c r="AH472" s="471">
        <f>+AD472+AE472+AG472</f>
        <v>7.3688498746800113E-2</v>
      </c>
      <c r="AI472" s="471">
        <f>IF(H472="","",IF(AB472+Y472+Z472+X472+U472&lt;1.5,1.5,AB472+Y472+Z472+X472+U472))</f>
        <v>1.5</v>
      </c>
      <c r="AJ472" s="471">
        <f>+$P$17</f>
        <v>0.75</v>
      </c>
      <c r="AK472" s="472">
        <f>+BK472/100</f>
        <v>0.10272025984571551</v>
      </c>
      <c r="AL472" s="471">
        <f>IF(AJ472=0," ",0.14+0.65*AJ472+0.05*AK472)</f>
        <v>0.63263601299228578</v>
      </c>
      <c r="AM472" s="473">
        <f t="shared" si="1331"/>
        <v>336.32613267542746</v>
      </c>
      <c r="AN472" s="474">
        <f t="shared" si="1285"/>
        <v>5</v>
      </c>
      <c r="AO472" s="474">
        <f>((1/60)*$AX472/$AQ472)</f>
        <v>0.27366666666666667</v>
      </c>
      <c r="AP472" s="474">
        <f>IF(B472=1,IF(($AN472+$AO472)&lt;10,10,IF(($AN472+$AO472)&gt;20,20,($AN472+$AO472))),($AN472+$AO472))</f>
        <v>10</v>
      </c>
      <c r="AQ472" s="475">
        <v>3</v>
      </c>
      <c r="AR472" s="474">
        <f>((1/60)*$AX472/$BT472)</f>
        <v>0.44021384695210009</v>
      </c>
      <c r="AS472" s="474">
        <f>AO472/AR472</f>
        <v>0.62166755671464491</v>
      </c>
      <c r="AT472" s="471" t="str">
        <f>IF(AS472&lt;0.9,"Disminuir vel.",IF(AS472&gt;1.1,"Aumentar vel.","Cumple"))</f>
        <v>Disminuir vel.</v>
      </c>
      <c r="AU472" s="492">
        <f>+I472*AL472*AM472</f>
        <v>10.677937814182302</v>
      </c>
      <c r="AV472" s="471">
        <f>+L472*AL472*AM472</f>
        <v>10.677937814182302</v>
      </c>
      <c r="AW472" s="471">
        <f>ROUND(IF(AI472&gt;(AV472*0.05),(AV472+AI472),AV472),2)</f>
        <v>12.18</v>
      </c>
      <c r="AX472" s="478">
        <f>IF(OR(C472="",D472=""),"",ROUND(((VLOOKUP(C472,'Base de Diseño (2)'!$A$2:$C$333,2,FALSE)-VLOOKUP(D472,'Base de Diseño (2)'!$A$2:$C$333,2,FALSE))^2+(VLOOKUP(C472,'Base de Diseño (2)'!$A$2:$C$333,3,0)-VLOOKUP(D472,'Base de Diseño (2)'!$A$2:$C$333,3,FALSE))^2)^0.5,2))</f>
        <v>49.26</v>
      </c>
      <c r="AY472" s="493">
        <v>8</v>
      </c>
      <c r="AZ472" s="480">
        <f>IF(AND(L472="",H472=""),"",IF(BA472=4,VLOOKUP(AY472,'TABLA (2)'!$A$74:$C$89,2),IF(BA472=5,VLOOKUP(AY472,'TABLA (2)'!$A$51:$B$66,2),IF(BA472=6,VLOOKUP(AY472,'TABLA (2)'!$A$9:$B$43,2)))))</f>
        <v>200</v>
      </c>
      <c r="BA472" s="493">
        <v>6</v>
      </c>
      <c r="BB472" s="478">
        <f>IF(OR(C472="",D472=""),"",VLOOKUP(C472,'Base de Diseño (2)'!$A$2:$D$330,4,FALSE))</f>
        <v>979.54160000000002</v>
      </c>
      <c r="BC472" s="478">
        <f>IF(OR(C472="",D472=""),"",VLOOKUP(D472,'Base de Diseño (2)'!$A$2:$D$330,4,FALSE))</f>
        <v>974.48160000000007</v>
      </c>
      <c r="BD472" s="23">
        <f>+BF472-((AZ472/1000)+CX472)</f>
        <v>0.76300000000000001</v>
      </c>
      <c r="BE472" s="23">
        <f>+BG472-((AZ472/1000)+CX472)</f>
        <v>0.66299999999997727</v>
      </c>
      <c r="BF472" s="494">
        <v>1</v>
      </c>
      <c r="BG472" s="494">
        <v>0.89999999999997726</v>
      </c>
      <c r="BH472" s="495">
        <f t="shared" ref="BH472:BI474" si="1401">BB472-BF472</f>
        <v>978.54160000000002</v>
      </c>
      <c r="BI472" s="495">
        <f t="shared" si="1401"/>
        <v>973.58160000000009</v>
      </c>
      <c r="BJ472" s="534">
        <f t="shared" si="1398"/>
        <v>0</v>
      </c>
      <c r="BK472" s="475">
        <f>ABS((BB472-BC472)/AX472)*100</f>
        <v>10.272025984571551</v>
      </c>
      <c r="BL472" s="475">
        <f>((BH472-BI472)/AX472)*100</f>
        <v>10.069021518473249</v>
      </c>
      <c r="BM472" s="475">
        <f>IF(BA472=6,(1/0.013)*((AZ472/4000)^(2/3))*((BL472/100)^(0.5)),(1/0.009)*((AZ472/4000)^(2/3))*((BL472/100)^(0.5)))</f>
        <v>3.3128132288901915</v>
      </c>
      <c r="BN472" s="475">
        <f>1000*BM472*PI()*((AZ472/1000/2)^2)</f>
        <v>104.07509702596509</v>
      </c>
      <c r="BO472" s="204">
        <f>AI472/BN472</f>
        <v>1.4412669724687105E-2</v>
      </c>
      <c r="BP472" s="496">
        <f>IF(L472=0," ",AW472/BN472)</f>
        <v>0.11703087816445928</v>
      </c>
      <c r="BQ472" s="497">
        <f>IF($BO472&gt;0 =AND($BO472&lt;=0.06),10^(0.029806+0.29095*LOG($BO472)),IF($BO472&gt;0.06 =AND($BO472&lt;=0.26),10^(0.013778+0.282597*LOG($BO472)),IF($BO472&gt;0.26 =AND($BO472&lt;=0.91),10^(0.021763+0.28995*LOG($BO472)),1)))</f>
        <v>0.31195553325300551</v>
      </c>
      <c r="BR472" s="497">
        <f>IF($BP472&gt;0 =AND($BP472&lt;=0.06),10^(0.029806+0.29095*LOG($BP472)),IF($BP472&gt;0.06 =AND($BP472&lt;=0.26),10^(0.013778+0.282597*LOG($BP472)),IF($BP472&gt;0.26 =AND($BP472&lt;=2),10^(0.021763+0.28995*LOG($BP472))," ")))</f>
        <v>0.56296644008775565</v>
      </c>
      <c r="BS472" s="475">
        <f>BM472*BQ472</f>
        <v>1.0334504173860506</v>
      </c>
      <c r="BT472" s="475">
        <f>IF(BP472=" "," ",(BM472*BR472))</f>
        <v>1.8650026701439344</v>
      </c>
      <c r="BU472" s="475">
        <f>IF(BO472&lt;=0.11,0.3827+0.0645*LN(BO472),IF(BO472&lt;=0.21,0.60025+0.15471*LN(BO472),IF(BO472&lt;1,0.225+0.6666666667*BO472,0)))</f>
        <v>0.10924272868788437</v>
      </c>
      <c r="BV472" s="475">
        <f>IF(BP472&lt;=0.11,0.3827+0.0645*LN(BP472),IF(BP472&lt;=0.21,0.60025+0.15471*LN(BP472),IF(BP472&lt;1,0.225+0.6666666667*BP472," ")))</f>
        <v>0.2683479352886699</v>
      </c>
      <c r="BW472" s="475">
        <f>2*ACOS(1-2*(BU472))</f>
        <v>1.3474131918462839</v>
      </c>
      <c r="BX472" s="475">
        <f>IF(BP472=" "," ",(2*ACOS(1-2*(BV472))))</f>
        <v>2.1781526390787853</v>
      </c>
      <c r="BY472" s="475">
        <f>(1/4)*(1-(SIN(BW472))/BW472)</f>
        <v>6.9069315278762033E-2</v>
      </c>
      <c r="BZ472" s="475">
        <f>IF(BP472=" "," ",((1/4)*(1-(SIN(BX472))/BX472)))</f>
        <v>0.15575044882956368</v>
      </c>
      <c r="CA472" s="471">
        <f>BY472*AZ472/1000</f>
        <v>1.3813863055752407E-2</v>
      </c>
      <c r="CB472" s="471">
        <f>IF(BP472=" "," ",(BZ472*AZ472/1000))</f>
        <v>3.1150089765912735E-2</v>
      </c>
      <c r="CC472" s="471">
        <f t="shared" si="1315"/>
        <v>3.0433497005063059</v>
      </c>
      <c r="CD472" s="471" t="str">
        <f>IF(CC472="","",IF(CC472&lt;0.7,"F. Subcrítico",IF(AND(CC472&gt;0.7,CC472&lt;1),"F. Subcrítico Inestable",IF(CC472=1,"F. Crítico",IF(AND(CC472&gt;1,CC472&lt;1.5),"F. Supercrítico Inestable",IF(CC472&gt;1.5,"F. Supercrítico",""))))))</f>
        <v>F. Supercrítico</v>
      </c>
      <c r="CE472" s="471">
        <f>1000*BL472*CA472/100</f>
        <v>1.3909208436161362</v>
      </c>
      <c r="CF472" s="471">
        <f>IF(BP472=" "," ",(1000*BL472*CB472/100))</f>
        <v>3.1365092415534868</v>
      </c>
      <c r="CG472" s="471" t="str">
        <f>IF(BS472&lt;0.45,"No cumple",IF(BS472&gt;5,"No cumple","O.K"))</f>
        <v>O.K</v>
      </c>
      <c r="CH472" s="471" t="str">
        <f>IF(BT472&lt;0.75,"No cumple",IF(BT472&gt;10,"No cumple","O.K"))</f>
        <v>O.K</v>
      </c>
      <c r="CI472" s="471" t="str">
        <f>IF(CE472&gt;0.1,"OK","V.C.H.")</f>
        <v>OK</v>
      </c>
      <c r="CJ472" s="471" t="str">
        <f>IF(CF472&gt;0.2,"OK","V.C.H.")</f>
        <v>OK</v>
      </c>
      <c r="CK472" s="468">
        <f>+BJ472</f>
        <v>0</v>
      </c>
      <c r="CL472" s="482" t="s">
        <v>2507</v>
      </c>
      <c r="CM472" s="482"/>
      <c r="CN472" s="63" t="str">
        <f>IF(B472=1,"dato"," ")</f>
        <v>dato</v>
      </c>
      <c r="CO472" s="527">
        <f t="shared" si="1332"/>
        <v>49.26</v>
      </c>
      <c r="CP472" s="542">
        <f t="shared" si="1333"/>
        <v>0.10272025984571551</v>
      </c>
      <c r="CQ472" s="482" t="s">
        <v>2508</v>
      </c>
      <c r="CR472" s="204">
        <f>IF(BA472="","",AX472)</f>
        <v>49.26</v>
      </c>
      <c r="CS472" s="486">
        <v>1.2</v>
      </c>
      <c r="CT472" s="486">
        <v>1.2</v>
      </c>
      <c r="CU472" s="23">
        <f>IF($BA472="","",SQRT((BH472-BI472)^2+$CR472^2))</f>
        <v>49.50908199512488</v>
      </c>
      <c r="CV472" s="499" t="s">
        <v>2509</v>
      </c>
      <c r="CW472" s="488" t="str">
        <f>+IF(BD472&lt;=0.9,"E1",IF(BD472&lt;=2.5,"E2","E3"))</f>
        <v>E1</v>
      </c>
      <c r="CX472" s="204">
        <f>IF(AND(L472="",H472=""),"",IF(AND(BA472&lt;&gt;4,BA472&lt;&gt;5),VLOOKUP(AY472,'TABLA (2)'!$A$9:$D$43,4),IF(BA472=4,VLOOKUP(AY472,'TABLA (2)'!$A$74:$D$89,4),VLOOKUP(AY472,'TABLA (2)'!$A$51:$D$66,4))))</f>
        <v>3.6999999999999998E-2</v>
      </c>
      <c r="CY472" s="482"/>
      <c r="CZ472" s="482"/>
      <c r="DA472" s="482"/>
      <c r="DB472" s="490"/>
    </row>
    <row r="473" spans="1:106" ht="15" hidden="1" customHeight="1">
      <c r="A473" s="465">
        <f>+A472+1</f>
        <v>344</v>
      </c>
      <c r="B473" s="491"/>
      <c r="C473" s="466" t="s">
        <v>2311</v>
      </c>
      <c r="D473" s="466" t="s">
        <v>2312</v>
      </c>
      <c r="E473" s="468">
        <v>2.95742734E-2</v>
      </c>
      <c r="F473" s="468"/>
      <c r="G473" s="537">
        <f t="shared" si="1329"/>
        <v>5.0184876900000001E-2</v>
      </c>
      <c r="H473" s="537">
        <f t="shared" si="1330"/>
        <v>7.9759150299999998E-2</v>
      </c>
      <c r="I473" s="468">
        <v>2.95742734E-2</v>
      </c>
      <c r="J473" s="468"/>
      <c r="K473" s="467">
        <f ca="1">+IF(B473=1,0,SUMIF($D$22:$D$583,C473,$L$22:$L$580))</f>
        <v>5.0184876900000001E-2</v>
      </c>
      <c r="L473" s="468">
        <f ca="1">+I473+J473+K473</f>
        <v>7.9759150299999998E-2</v>
      </c>
      <c r="M473" s="469">
        <f>+$P$12</f>
        <v>242.33666300502347</v>
      </c>
      <c r="N473" s="470">
        <f>M473*E473</f>
        <v>7.1669307265542299</v>
      </c>
      <c r="O473" s="470">
        <f>M473*F473</f>
        <v>0</v>
      </c>
      <c r="P473" s="470">
        <f>M473*H473</f>
        <v>19.328566327818116</v>
      </c>
      <c r="Q473" s="469">
        <f t="shared" si="1336"/>
        <v>140</v>
      </c>
      <c r="R473" s="471">
        <f>Q473*P473*$P$14/86400</f>
        <v>2.6621520752434669E-2</v>
      </c>
      <c r="S473" s="471"/>
      <c r="T473" s="471"/>
      <c r="U473" s="471">
        <f>IF(C473="","",T473*$P$17)</f>
        <v>0</v>
      </c>
      <c r="V473" s="471"/>
      <c r="W473" s="471"/>
      <c r="X473" s="471">
        <f>IF(C473="","",W473*$P$16)</f>
        <v>0</v>
      </c>
      <c r="Y473" s="471">
        <f>IF(H473=0,0,$H$15*H473)</f>
        <v>1.5951830060000002E-2</v>
      </c>
      <c r="Z473" s="471">
        <f ca="1">IF(L473=0,$H$16*H473,0)</f>
        <v>0</v>
      </c>
      <c r="AA473" s="471">
        <f t="shared" si="1399"/>
        <v>3.8</v>
      </c>
      <c r="AB473" s="471">
        <f>R473*AA473</f>
        <v>0.10116177885925173</v>
      </c>
      <c r="AC473" s="471">
        <f>Q473*(N473+O473)*$P$14/86400</f>
        <v>9.8711198664346456E-3</v>
      </c>
      <c r="AD473" s="471">
        <f t="shared" si="1400"/>
        <v>5.9148546800000005E-3</v>
      </c>
      <c r="AE473" s="471">
        <f t="shared" si="1400"/>
        <v>0</v>
      </c>
      <c r="AF473" s="510">
        <f t="shared" si="1328"/>
        <v>3.8</v>
      </c>
      <c r="AG473" s="471">
        <f>AC473*AF473</f>
        <v>3.7510255492451648E-2</v>
      </c>
      <c r="AH473" s="471">
        <f>+AD473+AE473+AG473</f>
        <v>4.3425110172451646E-2</v>
      </c>
      <c r="AI473" s="471">
        <f ca="1">IF(H473="","",IF(AB473+Y473+Z473+X473+U473&lt;1.5,1.5,AB473+Y473+Z473+X473+U473))</f>
        <v>1.5</v>
      </c>
      <c r="AJ473" s="471">
        <f>+$P$17</f>
        <v>0.75</v>
      </c>
      <c r="AK473" s="472">
        <f>+BK473/100</f>
        <v>3.1847133757965003E-2</v>
      </c>
      <c r="AL473" s="471">
        <f>IF(AJ473=0," ",0.14+0.65*AJ473+0.05*AK473)</f>
        <v>0.62909235668789831</v>
      </c>
      <c r="AM473" s="473">
        <f t="shared" si="1331"/>
        <v>334.77461140457154</v>
      </c>
      <c r="AN473" s="474">
        <f t="shared" si="1285"/>
        <v>10</v>
      </c>
      <c r="AO473" s="474">
        <f>((1/60)*$AX473/$AQ473)</f>
        <v>0.157</v>
      </c>
      <c r="AP473" s="474">
        <f>IF(B473=1,IF(($AN473+$AO473)&lt;10,10,IF(($AN473+$AO473)&gt;20,20,($AN473+$AO473))),($AN473+$AO473))</f>
        <v>10.157</v>
      </c>
      <c r="AQ473" s="475">
        <v>3</v>
      </c>
      <c r="AR473" s="474">
        <f ca="1">((1/60)*$AX473/$BT473)</f>
        <v>0.30413724119814628</v>
      </c>
      <c r="AS473" s="474">
        <f ca="1">AO473/AR473</f>
        <v>0.51621432278894797</v>
      </c>
      <c r="AT473" s="471" t="str">
        <f ca="1">IF(AS473&lt;0.9,"Disminuir vel.",IF(AS473&gt;1.1,"Aumentar vel.","Cumple"))</f>
        <v>Disminuir vel.</v>
      </c>
      <c r="AU473" s="492">
        <f>+I473*AL473*AM473</f>
        <v>6.2284646890281694</v>
      </c>
      <c r="AV473" s="471">
        <f ca="1">+L473*AL473*AM473</f>
        <v>16.797607993657099</v>
      </c>
      <c r="AW473" s="471">
        <f ca="1">ROUND(IF(AI473&gt;(AV473*0.05),(AV473+AI473),AV473),2)</f>
        <v>18.3</v>
      </c>
      <c r="AX473" s="478">
        <f>IF(OR(C473="",D473=""),"",ROUND(((VLOOKUP(C473,'Base de Diseño (2)'!$A$2:$C$333,2,FALSE)-VLOOKUP(D473,'Base de Diseño (2)'!$A$2:$C$333,2,FALSE))^2+(VLOOKUP(C473,'Base de Diseño (2)'!$A$2:$C$333,3,0)-VLOOKUP(D473,'Base de Diseño (2)'!$A$2:$C$333,3,FALSE))^2)^0.5,2))</f>
        <v>28.26</v>
      </c>
      <c r="AY473" s="493">
        <v>8</v>
      </c>
      <c r="AZ473" s="480">
        <f ca="1">IF(AND(L473="",H473=""),"",IF(BA473=4,VLOOKUP(AY473,'TABLA (2)'!$A$74:$C$89,2),IF(BA473=5,VLOOKUP(AY473,'TABLA (2)'!$A$51:$B$66,2),IF(BA473=6,VLOOKUP(AY473,'TABLA (2)'!$A$9:$B$43,2)))))</f>
        <v>200</v>
      </c>
      <c r="BA473" s="493">
        <v>6</v>
      </c>
      <c r="BB473" s="478">
        <f>IF(OR(C473="",D473=""),"",VLOOKUP(C473,'Base de Diseño (2)'!$A$2:$D$330,4,FALSE))</f>
        <v>974.48160000000007</v>
      </c>
      <c r="BC473" s="478">
        <f>IF(OR(C473="",D473=""),"",VLOOKUP(D473,'Base de Diseño (2)'!$A$2:$D$330,4,FALSE))</f>
        <v>973.58159999999998</v>
      </c>
      <c r="BD473" s="23">
        <f ca="1">+BF473-((AZ473/1000)+CX473)</f>
        <v>0.66299999999997727</v>
      </c>
      <c r="BE473" s="23">
        <f ca="1">+BG473-((AZ473/1000)+CX473)</f>
        <v>0.96300000000004549</v>
      </c>
      <c r="BF473" s="494">
        <v>0.89999999999997726</v>
      </c>
      <c r="BG473" s="494">
        <v>1.2000000000000455</v>
      </c>
      <c r="BH473" s="495">
        <f t="shared" si="1401"/>
        <v>973.58160000000009</v>
      </c>
      <c r="BI473" s="495">
        <f t="shared" si="1401"/>
        <v>972.38159999999993</v>
      </c>
      <c r="BJ473" s="534">
        <f t="shared" si="1398"/>
        <v>7.999999999992724E-2</v>
      </c>
      <c r="BK473" s="475">
        <f>ABS((BB473-BC473)/AX473)*100</f>
        <v>3.1847133757965005</v>
      </c>
      <c r="BL473" s="475">
        <f>((BH473-BI473)/AX473)*100</f>
        <v>4.2462845010621342</v>
      </c>
      <c r="BM473" s="475">
        <f ca="1">IF(BA473=6,(1/0.013)*((AZ473/4000)^(2/3))*((BL473/100)^(0.5)),(1/0.009)*((AZ473/4000)^(2/3))*((BL473/100)^(0.5)))</f>
        <v>2.1513341019872274</v>
      </c>
      <c r="BN473" s="475">
        <f ca="1">1000*BM473*PI()*((AZ473/1000/2)^2)</f>
        <v>67.586154102202698</v>
      </c>
      <c r="BO473" s="204">
        <f ca="1">AI473/BN473</f>
        <v>2.2193894887578957E-2</v>
      </c>
      <c r="BP473" s="496">
        <f ca="1">IF(L473=0," ",AW473/BN473)</f>
        <v>0.27076551762846329</v>
      </c>
      <c r="BQ473" s="497">
        <f ca="1">IF($BO473&gt;0 =AND($BO473&lt;=0.06),10^(0.029806+0.29095*LOG($BO473)),IF($BO473&gt;0.06 =AND($BO473&lt;=0.26),10^(0.013778+0.282597*LOG($BO473)),IF($BO473&gt;0.26 =AND($BO473&lt;=0.91),10^(0.021763+0.28995*LOG($BO473)),1)))</f>
        <v>0.35370617684238831</v>
      </c>
      <c r="BR473" s="497">
        <f ca="1">IF($BP473&gt;0 =AND($BP473&lt;=0.06),10^(0.029806+0.29095*LOG($BP473)),IF($BP473&gt;0.06 =AND($BP473&lt;=0.26),10^(0.013778+0.282597*LOG($BP473)),IF($BP473&gt;0.26 =AND($BP473&lt;=2),10^(0.021763+0.28995*LOG($BP473))," ")))</f>
        <v>0.71985237761830367</v>
      </c>
      <c r="BS473" s="475">
        <f ca="1">BM473*BQ473</f>
        <v>0.76094016032455492</v>
      </c>
      <c r="BT473" s="475">
        <f ca="1">IF(BP473=" "," ",(BM473*BR473))</f>
        <v>1.5486429683668439</v>
      </c>
      <c r="BU473" s="475">
        <f ca="1">IF(BO473&lt;=0.11,0.3827+0.0645*LN(BO473),IF(BO473&lt;=0.21,0.60025+0.15471*LN(BO473),IF(BO473&lt;1,0.225+0.6666666667*BO473,0)))</f>
        <v>0.13708799687222617</v>
      </c>
      <c r="BV473" s="475">
        <f ca="1">IF(BP473&lt;=0.11,0.3827+0.0645*LN(BP473),IF(BP473&lt;=0.21,0.60025+0.15471*LN(BP473),IF(BP473&lt;1,0.225+0.6666666667*BP473," ")))</f>
        <v>0.40551034509466771</v>
      </c>
      <c r="BW473" s="475">
        <f ca="1">2*ACOS(1-2*(BU473))</f>
        <v>1.5171295933006221</v>
      </c>
      <c r="BX473" s="475">
        <f ca="1">IF(BP473=" "," ",(2*ACOS(1-2*(BV473))))</f>
        <v>2.76134740769362</v>
      </c>
      <c r="BY473" s="475">
        <f ca="1">(1/4)*(1-(SIN(BW473))/BW473)</f>
        <v>8.5452374855994023E-2</v>
      </c>
      <c r="BZ473" s="475">
        <f ca="1">IF(BP473=" "," ",((1/4)*(1-(SIN(BX473))/BX473)))</f>
        <v>0.21639790701336589</v>
      </c>
      <c r="CA473" s="471">
        <f ca="1">BY473*AZ473/1000</f>
        <v>1.7090474971198807E-2</v>
      </c>
      <c r="CB473" s="471">
        <f ca="1">IF(BP473=" "," ",(BZ473*AZ473/1000))</f>
        <v>4.3279581402673177E-2</v>
      </c>
      <c r="CC473" s="471">
        <f t="shared" ca="1" si="1315"/>
        <v>2.0043857499178102</v>
      </c>
      <c r="CD473" s="471" t="str">
        <f ca="1">IF(CC473="","",IF(CC473&lt;0.7,"F. Subcrítico",IF(AND(CC473&gt;0.7,CC473&lt;1),"F. Subcrítico Inestable",IF(CC473=1,"F. Crítico",IF(AND(CC473&gt;1,CC473&lt;1.5),"F. Supercrítico Inestable",IF(CC473&gt;1.5,"F. Supercrítico",""))))))</f>
        <v>F. Supercrítico</v>
      </c>
      <c r="CE473" s="471">
        <f ca="1">1000*BL473*CA473/100</f>
        <v>0.72571018985991809</v>
      </c>
      <c r="CF473" s="471">
        <f ca="1">IF(BP473=" "," ",(1000*BL473*CB473/100))</f>
        <v>1.8377741572262809</v>
      </c>
      <c r="CG473" s="471" t="str">
        <f ca="1">IF(BS473&lt;0.45,"No cumple",IF(BS473&gt;5,"No cumple","O.K"))</f>
        <v>O.K</v>
      </c>
      <c r="CH473" s="471" t="str">
        <f ca="1">IF(BT473&lt;0.75,"No cumple",IF(BT473&gt;10,"No cumple","O.K"))</f>
        <v>O.K</v>
      </c>
      <c r="CI473" s="471" t="str">
        <f ca="1">IF(CE473&gt;0.1,"OK","V.C.H.")</f>
        <v>OK</v>
      </c>
      <c r="CJ473" s="471" t="str">
        <f ca="1">IF(CF473&gt;0.2,"OK","V.C.H.")</f>
        <v>OK</v>
      </c>
      <c r="CK473" s="468">
        <f>+BJ473</f>
        <v>7.999999999992724E-2</v>
      </c>
      <c r="CL473" s="482" t="s">
        <v>2507</v>
      </c>
      <c r="CM473" s="482"/>
      <c r="CN473" s="63" t="str">
        <f>IF(B473=1,"dato"," ")</f>
        <v xml:space="preserve"> </v>
      </c>
      <c r="CO473" s="527">
        <f t="shared" si="1332"/>
        <v>28.26</v>
      </c>
      <c r="CP473" s="511">
        <f t="shared" si="1333"/>
        <v>3.1847133757965003E-2</v>
      </c>
      <c r="CQ473" s="482" t="s">
        <v>2508</v>
      </c>
      <c r="CR473" s="204">
        <f>IF(BA473="","",AX473)</f>
        <v>28.26</v>
      </c>
      <c r="CS473" s="486">
        <v>1.2</v>
      </c>
      <c r="CT473" s="486">
        <v>1.2</v>
      </c>
      <c r="CU473" s="23">
        <f>IF($BA473="","",SQRT((BH473-BI473)^2+$CR473^2))</f>
        <v>28.285466232678587</v>
      </c>
      <c r="CV473" s="499" t="s">
        <v>2509</v>
      </c>
      <c r="CW473" s="488" t="str">
        <f ca="1">+IF(BD473&lt;=0.9,"E1",IF(BD473&lt;=2.5,"E2","E3"))</f>
        <v>E1</v>
      </c>
      <c r="CX473" s="204">
        <f ca="1">IF(AND(L473="",H473=""),"",IF(AND(BA473&lt;&gt;4,BA473&lt;&gt;5),VLOOKUP(AY473,'TABLA (2)'!$A$9:$D$43,4),IF(BA473=4,VLOOKUP(AY473,'TABLA (2)'!$A$74:$D$89,4),VLOOKUP(AY473,'TABLA (2)'!$A$51:$D$66,4))))</f>
        <v>3.6999999999999998E-2</v>
      </c>
      <c r="CY473" s="482"/>
      <c r="CZ473" s="482"/>
      <c r="DA473" s="482"/>
      <c r="DB473" s="490"/>
    </row>
    <row r="474" spans="1:106" ht="15" hidden="1" customHeight="1">
      <c r="A474" s="465">
        <f>+A473+1</f>
        <v>345</v>
      </c>
      <c r="B474" s="491"/>
      <c r="C474" s="466" t="s">
        <v>2312</v>
      </c>
      <c r="D474" s="466" t="s">
        <v>2309</v>
      </c>
      <c r="E474" s="468">
        <v>0.18756033450000001</v>
      </c>
      <c r="F474" s="468"/>
      <c r="G474" s="537">
        <f t="shared" si="1329"/>
        <v>0.2310833424</v>
      </c>
      <c r="H474" s="537">
        <f t="shared" si="1330"/>
        <v>0.41864367690000004</v>
      </c>
      <c r="I474" s="468">
        <v>0.18756033450000001</v>
      </c>
      <c r="J474" s="468"/>
      <c r="K474" s="467">
        <f ca="1">+IF(B474=1,0,SUMIF($D$22:$D$583,C474,$L$22:$L$580))</f>
        <v>0.2310833424</v>
      </c>
      <c r="L474" s="468">
        <f ca="1">+I474+J474+K474</f>
        <v>0.41864367690000004</v>
      </c>
      <c r="M474" s="469">
        <f>+$P$12</f>
        <v>242.33666300502347</v>
      </c>
      <c r="N474" s="470">
        <f>M474*E474</f>
        <v>45.45274557483598</v>
      </c>
      <c r="O474" s="470">
        <f>M474*F474</f>
        <v>0</v>
      </c>
      <c r="P474" s="470">
        <f>M474*H474</f>
        <v>101.45271164809924</v>
      </c>
      <c r="Q474" s="469">
        <f t="shared" si="1336"/>
        <v>140</v>
      </c>
      <c r="R474" s="471">
        <f>Q474*P474*$P$14/86400</f>
        <v>0.13973232275606259</v>
      </c>
      <c r="S474" s="471"/>
      <c r="T474" s="471"/>
      <c r="U474" s="471">
        <f>IF(C474="","",T474*$P$17)</f>
        <v>0</v>
      </c>
      <c r="V474" s="471"/>
      <c r="W474" s="471"/>
      <c r="X474" s="471">
        <f>IF(C474="","",W474*$P$16)</f>
        <v>0</v>
      </c>
      <c r="Y474" s="471">
        <f>IF(H474=0,0,$H$15*H474)</f>
        <v>8.3728735380000016E-2</v>
      </c>
      <c r="Z474" s="471">
        <f ca="1">IF(L474=0,$H$16*H474,0)</f>
        <v>0</v>
      </c>
      <c r="AA474" s="471">
        <f t="shared" si="1399"/>
        <v>3.8</v>
      </c>
      <c r="AB474" s="471">
        <f>R474*AA474</f>
        <v>0.53098282647303785</v>
      </c>
      <c r="AC474" s="471">
        <f>Q474*(N474+O474)*$P$14/86400</f>
        <v>6.2602739854230108E-2</v>
      </c>
      <c r="AD474" s="471">
        <f t="shared" si="1400"/>
        <v>3.7512066900000002E-2</v>
      </c>
      <c r="AE474" s="471">
        <f t="shared" si="1400"/>
        <v>0</v>
      </c>
      <c r="AF474" s="510">
        <f t="shared" si="1328"/>
        <v>3.8</v>
      </c>
      <c r="AG474" s="471">
        <f>AC474*AF474</f>
        <v>0.2378904114460744</v>
      </c>
      <c r="AH474" s="471">
        <f>+AD474+AE474+AG474</f>
        <v>0.2754024783460744</v>
      </c>
      <c r="AI474" s="471">
        <f ca="1">IF(H474="","",IF(AB474+Y474+Z474+X474+U474&lt;1.5,1.5,AB474+Y474+Z474+X474+U474))</f>
        <v>1.5</v>
      </c>
      <c r="AJ474" s="471">
        <f>+$P$17</f>
        <v>0.75</v>
      </c>
      <c r="AK474" s="472">
        <f>+BK474/100</f>
        <v>9.0254008286795015E-2</v>
      </c>
      <c r="AL474" s="471">
        <f>IF(AJ474=0," ",0.14+0.65*AJ474+0.05*AK474)</f>
        <v>0.63201270041433977</v>
      </c>
      <c r="AM474" s="473">
        <f t="shared" si="1331"/>
        <v>331.76660507002811</v>
      </c>
      <c r="AN474" s="474">
        <f t="shared" si="1285"/>
        <v>10.157</v>
      </c>
      <c r="AO474" s="474">
        <f>((1/60)*$AX474/$AQ474)</f>
        <v>0.30838888888888888</v>
      </c>
      <c r="AP474" s="474">
        <f>IF(B474=1,IF(($AN474+$AO474)&lt;10,10,IF(($AN474+$AO474)&gt;20,20,($AN474+$AO474))),($AN474+$AO474))</f>
        <v>10.465388888888889</v>
      </c>
      <c r="AQ474" s="475">
        <v>3</v>
      </c>
      <c r="AR474" s="474">
        <f ca="1">((1/60)*$AX474/$BT474)</f>
        <v>0.30465951822731319</v>
      </c>
      <c r="AS474" s="474">
        <f ca="1">AO474/AR474</f>
        <v>1.0122411099553867</v>
      </c>
      <c r="AT474" s="471" t="str">
        <f ca="1">IF(AS474&lt;0.9,"Disminuir vel.",IF(AS474&gt;1.1,"Aumentar vel.","Cumple"))</f>
        <v>Cumple</v>
      </c>
      <c r="AU474" s="492">
        <f>+I474*AL474*AM474</f>
        <v>39.327783726476653</v>
      </c>
      <c r="AV474" s="471">
        <f ca="1">+L474*AL474*AM474</f>
        <v>87.781502562740258</v>
      </c>
      <c r="AW474" s="471">
        <f ca="1">ROUND(IF(AI474&gt;(AV474*0.05),(AV474+AI474),AV474),2)</f>
        <v>87.78</v>
      </c>
      <c r="AX474" s="478">
        <f>IF(OR(C474="",D474=""),"",ROUND(((VLOOKUP(C474,'Base de Diseño (2)'!$A$2:$C$333,2,FALSE)-VLOOKUP(D474,'Base de Diseño (2)'!$A$2:$C$333,2,FALSE))^2+(VLOOKUP(C474,'Base de Diseño (2)'!$A$2:$C$333,3,0)-VLOOKUP(D474,'Base de Diseño (2)'!$A$2:$C$333,3,FALSE))^2)^0.5,2))</f>
        <v>55.51</v>
      </c>
      <c r="AY474" s="493">
        <v>12</v>
      </c>
      <c r="AZ474" s="480">
        <f ca="1">IF(AND(L474="",H474=""),"",IF(BA474=4,VLOOKUP(AY474,'TABLA (2)'!$A$74:$C$89,2),IF(BA474=5,VLOOKUP(AY474,'TABLA (2)'!$A$51:$B$66,2),IF(BA474=6,VLOOKUP(AY474,'TABLA (2)'!$A$9:$B$43,2)))))</f>
        <v>300</v>
      </c>
      <c r="BA474" s="493">
        <v>6</v>
      </c>
      <c r="BB474" s="478">
        <f>IF(OR(C474="",D474=""),"",VLOOKUP(C474,'Base de Diseño (2)'!$A$2:$D$330,4,FALSE))</f>
        <v>973.58159999999998</v>
      </c>
      <c r="BC474" s="478">
        <f>IF(OR(C474="",D474=""),"",VLOOKUP(D474,'Base de Diseño (2)'!$A$2:$D$330,4,FALSE))</f>
        <v>968.57159999999999</v>
      </c>
      <c r="BD474" s="23">
        <f ca="1">+BF474-((AZ474/1000)+CX474)</f>
        <v>0.93299999999997274</v>
      </c>
      <c r="BE474" s="23">
        <f ca="1">+BG474-((AZ474/1000)+CX474)</f>
        <v>0.8530000000000455</v>
      </c>
      <c r="BF474" s="494">
        <v>1.2799999999999727</v>
      </c>
      <c r="BG474" s="494">
        <v>1.2000000000000455</v>
      </c>
      <c r="BH474" s="495">
        <f t="shared" si="1401"/>
        <v>972.30160000000001</v>
      </c>
      <c r="BI474" s="495">
        <f t="shared" si="1401"/>
        <v>967.37159999999994</v>
      </c>
      <c r="BJ474" s="534">
        <f t="shared" si="1398"/>
        <v>967.37159999999994</v>
      </c>
      <c r="BK474" s="475">
        <f>ABS((BB474-BC474)/AX474)*100</f>
        <v>9.0254008286795013</v>
      </c>
      <c r="BL474" s="475">
        <f>((BH474-BI474)/AX474)*100</f>
        <v>8.8812826517745709</v>
      </c>
      <c r="BM474" s="475">
        <f ca="1">IF(BA474=6,(1/0.013)*((AZ474/4000)^(2/3))*((BL474/100)^(0.5)),(1/0.009)*((AZ474/4000)^(2/3))*((BL474/100)^(0.5)))</f>
        <v>4.0769495368202708</v>
      </c>
      <c r="BN474" s="475">
        <f ca="1">1000*BM474*PI()*((AZ474/1000/2)^2)</f>
        <v>288.18258106344462</v>
      </c>
      <c r="BO474" s="204">
        <f ca="1">AI474/BN474</f>
        <v>5.2050335397258746E-3</v>
      </c>
      <c r="BP474" s="496">
        <f ca="1">IF(L474=0," ",AW474/BN474)</f>
        <v>0.30459856274475822</v>
      </c>
      <c r="BQ474" s="497">
        <f ca="1">IF($BO474&gt;0 =AND($BO474&lt;=0.06),10^(0.029806+0.29095*LOG($BO474)),IF($BO474&gt;0.06 =AND($BO474&lt;=0.26),10^(0.013778+0.282597*LOG($BO474)),IF($BO474&gt;0.26 =AND($BO474&lt;=0.91),10^(0.021763+0.28995*LOG($BO474)),1)))</f>
        <v>0.23195269707602889</v>
      </c>
      <c r="BR474" s="497">
        <f ca="1">IF($BP474&gt;0 =AND($BP474&lt;=0.06),10^(0.029806+0.29095*LOG($BP474)),IF($BP474&gt;0.06 =AND($BP474&lt;=0.26),10^(0.013778+0.282597*LOG($BP474)),IF($BP474&gt;0.26 =AND($BP474&lt;=2),10^(0.021763+0.28995*LOG($BP474))," ")))</f>
        <v>0.74485183160608537</v>
      </c>
      <c r="BS474" s="475">
        <f ca="1">BM474*BQ474</f>
        <v>0.94565944090832854</v>
      </c>
      <c r="BT474" s="475">
        <f ca="1">IF(BP474=" "," ",(BM474*BR474))</f>
        <v>3.03672332986616</v>
      </c>
      <c r="BU474" s="475">
        <f ca="1">IF(BO474&lt;=0.11,0.3827+0.0645*LN(BO474),IF(BO474&lt;=0.21,0.60025+0.15471*LN(BO474),IF(BO474&lt;1,0.225+0.6666666667*BO474,0)))</f>
        <v>4.355067090959347E-2</v>
      </c>
      <c r="BV474" s="475">
        <f ca="1">IF(BP474&lt;=0.11,0.3827+0.0645*LN(BP474),IF(BP474&lt;=0.21,0.60025+0.15471*LN(BP474),IF(BP474&lt;1,0.225+0.6666666667*BP474," ")))</f>
        <v>0.42806570850665876</v>
      </c>
      <c r="BW474" s="475">
        <f ca="1">2*ACOS(1-2*(BU474))</f>
        <v>0.84093281642113604</v>
      </c>
      <c r="BX474" s="475">
        <f ca="1">IF(BP474=" "," ",(2*ACOS(1-2*(BV474))))</f>
        <v>2.8528535213570945</v>
      </c>
      <c r="BY474" s="475">
        <f ca="1">(1/4)*(1-(SIN(BW474))/BW474)</f>
        <v>2.8440857094132299E-2</v>
      </c>
      <c r="BZ474" s="475">
        <f ca="1">IF(BP474=" "," ",((1/4)*(1-(SIN(BX474))/BX474)))</f>
        <v>0.22504745887092892</v>
      </c>
      <c r="CA474" s="471">
        <f ca="1">BY474*AZ474/1000</f>
        <v>8.5322571282396911E-3</v>
      </c>
      <c r="CB474" s="471">
        <f ca="1">IF(BP474=" "," ",(BZ474*AZ474/1000))</f>
        <v>6.7514237661278675E-2</v>
      </c>
      <c r="CC474" s="471">
        <f t="shared" ca="1" si="1315"/>
        <v>3.1079744568457062</v>
      </c>
      <c r="CD474" s="471" t="str">
        <f ca="1">IF(CC474="","",IF(CC474&lt;0.7,"F. Subcrítico",IF(AND(CC474&gt;0.7,CC474&lt;1),"F. Subcrítico Inestable",IF(CC474=1,"F. Crítico",IF(AND(CC474&gt;1,CC474&lt;1.5),"F. Supercrítico Inestable",IF(CC474&gt;1.5,"F. Supercrítico",""))))))</f>
        <v>F. Supercrítico</v>
      </c>
      <c r="CE474" s="471">
        <f ca="1">1000*BL474*CA474/100</f>
        <v>0.75777387213515079</v>
      </c>
      <c r="CF474" s="471">
        <f ca="1">IF(BP474=" "," ",(1000*BL474*CB474/100))</f>
        <v>5.996130276888997</v>
      </c>
      <c r="CG474" s="471" t="str">
        <f ca="1">IF(BS474&lt;0.45,"No cumple",IF(BS474&gt;5,"No cumple","O.K"))</f>
        <v>O.K</v>
      </c>
      <c r="CH474" s="471" t="str">
        <f ca="1">IF(BT474&lt;0.75,"No cumple",IF(BT474&gt;10,"No cumple","O.K"))</f>
        <v>O.K</v>
      </c>
      <c r="CI474" s="471" t="str">
        <f ca="1">IF(CE474&gt;0.1,"OK","V.C.H.")</f>
        <v>OK</v>
      </c>
      <c r="CJ474" s="471" t="str">
        <f ca="1">IF(CF474&gt;0.2,"OK","V.C.H.")</f>
        <v>OK</v>
      </c>
      <c r="CK474" s="468">
        <f>+BJ474</f>
        <v>967.37159999999994</v>
      </c>
      <c r="CL474" s="482" t="s">
        <v>2507</v>
      </c>
      <c r="CM474" s="482"/>
      <c r="CN474" s="63" t="str">
        <f>IF(B474=1,"dato"," ")</f>
        <v xml:space="preserve"> </v>
      </c>
      <c r="CO474" s="527">
        <f t="shared" si="1332"/>
        <v>55.51</v>
      </c>
      <c r="CP474" s="542">
        <f t="shared" si="1333"/>
        <v>9.0254008286795015E-2</v>
      </c>
      <c r="CQ474" s="482" t="s">
        <v>2508</v>
      </c>
      <c r="CR474" s="204">
        <f>IF(BA474="","",AX474)</f>
        <v>55.51</v>
      </c>
      <c r="CS474" s="486">
        <v>1.2</v>
      </c>
      <c r="CT474" s="486">
        <v>1.2</v>
      </c>
      <c r="CU474" s="23">
        <f>IF($BA474="","",SQRT((BH474-BI474)^2+$CR474^2))</f>
        <v>55.728493609642818</v>
      </c>
      <c r="CV474" s="499" t="s">
        <v>2509</v>
      </c>
      <c r="CW474" s="488" t="str">
        <f ca="1">+IF(BD474&lt;=0.9,"E1",IF(BD474&lt;=2.5,"E2","E3"))</f>
        <v>E2</v>
      </c>
      <c r="CX474" s="204">
        <f ca="1">IF(AND(L474="",H474=""),"",IF(AND(BA474&lt;&gt;4,BA474&lt;&gt;5),VLOOKUP(AY474,'TABLA (2)'!$A$9:$D$43,4),IF(BA474=4,VLOOKUP(AY474,'TABLA (2)'!$A$74:$D$89,4),VLOOKUP(AY474,'TABLA (2)'!$A$51:$D$66,4))))</f>
        <v>4.7E-2</v>
      </c>
      <c r="CY474" s="482"/>
      <c r="CZ474" s="482"/>
      <c r="DA474" s="482"/>
      <c r="DB474" s="490"/>
    </row>
    <row r="475" spans="1:106" ht="15" hidden="1" customHeight="1">
      <c r="A475" s="465"/>
      <c r="B475" s="491"/>
      <c r="C475" s="466"/>
      <c r="D475" s="466"/>
      <c r="E475" s="468"/>
      <c r="F475" s="468"/>
      <c r="G475" s="537">
        <f t="shared" si="1329"/>
        <v>0</v>
      </c>
      <c r="H475" s="537">
        <f t="shared" si="1330"/>
        <v>0</v>
      </c>
      <c r="I475" s="468"/>
      <c r="J475" s="468"/>
      <c r="K475" s="467"/>
      <c r="L475" s="468"/>
      <c r="M475" s="469"/>
      <c r="N475" s="470"/>
      <c r="O475" s="470"/>
      <c r="P475" s="470"/>
      <c r="Q475" s="469">
        <f t="shared" si="1336"/>
        <v>140</v>
      </c>
      <c r="R475" s="471"/>
      <c r="S475" s="471"/>
      <c r="T475" s="471"/>
      <c r="U475" s="471"/>
      <c r="V475" s="471"/>
      <c r="W475" s="471"/>
      <c r="X475" s="471"/>
      <c r="Y475" s="471"/>
      <c r="Z475" s="471"/>
      <c r="AA475" s="471" t="str">
        <f t="shared" si="1399"/>
        <v/>
      </c>
      <c r="AB475" s="471"/>
      <c r="AC475" s="471"/>
      <c r="AD475" s="471"/>
      <c r="AE475" s="471"/>
      <c r="AF475" s="510" t="str">
        <f t="shared" si="1328"/>
        <v/>
      </c>
      <c r="AG475" s="471"/>
      <c r="AH475" s="471"/>
      <c r="AI475" s="471"/>
      <c r="AJ475" s="471"/>
      <c r="AK475" s="472"/>
      <c r="AL475" s="471"/>
      <c r="AM475" s="473">
        <f t="shared" si="1331"/>
        <v>474.44695720875893</v>
      </c>
      <c r="AN475" s="474">
        <f t="shared" si="1285"/>
        <v>10.465388888888889</v>
      </c>
      <c r="AO475" s="474"/>
      <c r="AP475" s="474"/>
      <c r="AQ475" s="475">
        <v>3</v>
      </c>
      <c r="AR475" s="474"/>
      <c r="AS475" s="474"/>
      <c r="AT475" s="471"/>
      <c r="AU475" s="492"/>
      <c r="AV475" s="471"/>
      <c r="AW475" s="471"/>
      <c r="AX475" s="478"/>
      <c r="AY475" s="493"/>
      <c r="AZ475" s="480"/>
      <c r="BA475" s="493"/>
      <c r="BB475" s="478" t="str">
        <f>IF(OR(C475="",D475=""),"",VLOOKUP(C475,'Base de Diseño (2)'!$A$2:$D$330,4,FALSE))</f>
        <v/>
      </c>
      <c r="BC475" s="478" t="str">
        <f>IF(OR(C475="",D475=""),"",VLOOKUP(D475,'Base de Diseño (2)'!$A$2:$D$330,4,FALSE))</f>
        <v/>
      </c>
      <c r="BD475" s="23"/>
      <c r="BE475" s="23"/>
      <c r="BF475" s="494"/>
      <c r="BG475" s="494"/>
      <c r="BH475" s="495"/>
      <c r="BI475" s="495"/>
      <c r="BJ475" s="534">
        <f t="shared" si="1398"/>
        <v>0</v>
      </c>
      <c r="BK475" s="475"/>
      <c r="BL475" s="475"/>
      <c r="BM475" s="475"/>
      <c r="BN475" s="475"/>
      <c r="BO475" s="204"/>
      <c r="BP475" s="496"/>
      <c r="BQ475" s="497"/>
      <c r="BR475" s="497"/>
      <c r="BS475" s="475"/>
      <c r="BT475" s="475"/>
      <c r="BU475" s="475"/>
      <c r="BV475" s="475"/>
      <c r="BW475" s="475"/>
      <c r="BX475" s="475"/>
      <c r="BY475" s="475"/>
      <c r="BZ475" s="475"/>
      <c r="CA475" s="471"/>
      <c r="CB475" s="471"/>
      <c r="CC475" s="471" t="e">
        <f t="shared" si="1315"/>
        <v>#DIV/0!</v>
      </c>
      <c r="CD475" s="471"/>
      <c r="CE475" s="471"/>
      <c r="CF475" s="471"/>
      <c r="CG475" s="471"/>
      <c r="CH475" s="471"/>
      <c r="CI475" s="471"/>
      <c r="CJ475" s="471"/>
      <c r="CK475" s="468"/>
      <c r="CL475" s="482" t="s">
        <v>2507</v>
      </c>
      <c r="CM475" s="482"/>
      <c r="CN475" s="63"/>
      <c r="CO475" s="527">
        <f t="shared" si="1332"/>
        <v>0</v>
      </c>
      <c r="CP475" s="511">
        <f t="shared" si="1333"/>
        <v>0</v>
      </c>
      <c r="CQ475" s="482"/>
      <c r="CR475" s="204"/>
      <c r="CS475" s="486"/>
      <c r="CT475" s="486"/>
      <c r="CU475" s="23"/>
      <c r="CV475" s="499"/>
      <c r="CW475" s="488"/>
      <c r="CX475" s="204"/>
      <c r="CY475" s="482"/>
      <c r="CZ475" s="482"/>
      <c r="DA475" s="482"/>
      <c r="DB475" s="490"/>
    </row>
    <row r="476" spans="1:106" ht="15" hidden="1" customHeight="1">
      <c r="A476" s="465">
        <f>+A474+1</f>
        <v>346</v>
      </c>
      <c r="B476" s="491">
        <v>1</v>
      </c>
      <c r="C476" s="466" t="s">
        <v>2315</v>
      </c>
      <c r="D476" s="466" t="s">
        <v>2312</v>
      </c>
      <c r="E476" s="468">
        <v>0.12893931289999999</v>
      </c>
      <c r="F476" s="468"/>
      <c r="G476" s="537">
        <f t="shared" si="1329"/>
        <v>0</v>
      </c>
      <c r="H476" s="537">
        <f t="shared" si="1330"/>
        <v>0.12893931289999999</v>
      </c>
      <c r="I476" s="468">
        <v>0.12893931289999999</v>
      </c>
      <c r="J476" s="468"/>
      <c r="K476" s="467">
        <f>+IF(B476=1,0,SUMIF($D$22:$D$583,C476,$L$22:$L$580))</f>
        <v>0</v>
      </c>
      <c r="L476" s="468">
        <f>+I476+J476+K476</f>
        <v>0.12893931289999999</v>
      </c>
      <c r="M476" s="469">
        <f>+$P$12</f>
        <v>242.33666300502347</v>
      </c>
      <c r="N476" s="470">
        <f>M476*E476</f>
        <v>31.246722818346573</v>
      </c>
      <c r="O476" s="470">
        <f>M476*F476</f>
        <v>0</v>
      </c>
      <c r="P476" s="470">
        <f>M476*H476</f>
        <v>31.246722818346573</v>
      </c>
      <c r="Q476" s="469">
        <f t="shared" si="1336"/>
        <v>140</v>
      </c>
      <c r="R476" s="471">
        <f>Q476*P476*$P$14/86400</f>
        <v>4.3036574252120853E-2</v>
      </c>
      <c r="S476" s="471"/>
      <c r="T476" s="471"/>
      <c r="U476" s="471">
        <f>IF(C476="","",T476*$P$17)</f>
        <v>0</v>
      </c>
      <c r="V476" s="471"/>
      <c r="W476" s="471"/>
      <c r="X476" s="471">
        <f>IF(C476="","",W476*$P$16)</f>
        <v>0</v>
      </c>
      <c r="Y476" s="471">
        <f>IF(H476=0,0,$H$15*H476)</f>
        <v>2.5787862580000001E-2</v>
      </c>
      <c r="Z476" s="471">
        <f>IF(L476=0,$H$16*H476,0)</f>
        <v>0</v>
      </c>
      <c r="AA476" s="471">
        <f t="shared" si="1399"/>
        <v>3.8</v>
      </c>
      <c r="AB476" s="471">
        <f>R476*AA476</f>
        <v>0.16353898215805923</v>
      </c>
      <c r="AC476" s="471">
        <f>Q476*(N476+O476)*$P$14/86400</f>
        <v>4.3036574252120853E-2</v>
      </c>
      <c r="AD476" s="471">
        <f>IF(E476=0,0,$H$15*(E476+F476))</f>
        <v>2.5787862580000001E-2</v>
      </c>
      <c r="AE476" s="471">
        <f>IF(F476=0,0,$H$15*(F476+G476))</f>
        <v>0</v>
      </c>
      <c r="AF476" s="510">
        <f t="shared" si="1328"/>
        <v>3.8</v>
      </c>
      <c r="AG476" s="471">
        <f>AC476*AF476</f>
        <v>0.16353898215805923</v>
      </c>
      <c r="AH476" s="471">
        <f>+AD476+AE476+AG476</f>
        <v>0.18932684473805922</v>
      </c>
      <c r="AI476" s="471">
        <f>IF(H476="","",IF(AB476+Y476+Z476+X476+U476&lt;1.5,1.5,AB476+Y476+Z476+X476+U476))</f>
        <v>1.5</v>
      </c>
      <c r="AJ476" s="471">
        <f>+$P$17</f>
        <v>0.75</v>
      </c>
      <c r="AK476" s="472">
        <f>+BK476/100</f>
        <v>0.10920730559216847</v>
      </c>
      <c r="AL476" s="471">
        <f>IF(AJ476=0," ",0.14+0.65*AJ476+0.05*AK476)</f>
        <v>0.63296036527960853</v>
      </c>
      <c r="AM476" s="473">
        <f t="shared" si="1331"/>
        <v>336.32613267542746</v>
      </c>
      <c r="AN476" s="474">
        <f t="shared" si="1285"/>
        <v>5</v>
      </c>
      <c r="AO476" s="474">
        <f>((1/60)*$AX476/$AQ476)</f>
        <v>0.29505555555555557</v>
      </c>
      <c r="AP476" s="474">
        <f>IF(B476=1,IF(($AN476+$AO476)&lt;10,10,IF(($AN476+$AO476)&gt;20,20,($AN476+$AO476))),($AN476+$AO476))</f>
        <v>10</v>
      </c>
      <c r="AQ476" s="475">
        <v>3</v>
      </c>
      <c r="AR476" s="474">
        <f>((1/60)*$AX476/$BT476)</f>
        <v>0.35782448665170247</v>
      </c>
      <c r="AS476" s="474">
        <f>AO476/AR476</f>
        <v>0.8245817895709171</v>
      </c>
      <c r="AT476" s="471" t="str">
        <f>IF(AS476&lt;0.9,"Disminuir vel.",IF(AS476&gt;1.1,"Aumentar vel.","Cumple"))</f>
        <v>Disminuir vel.</v>
      </c>
      <c r="AU476" s="492">
        <f>+I476*AL476*AM476</f>
        <v>27.448744283760455</v>
      </c>
      <c r="AV476" s="471">
        <f>+L476*AL476*AM476</f>
        <v>27.448744283760455</v>
      </c>
      <c r="AW476" s="471">
        <f>ROUND(IF(AI476&gt;(AV476*0.05),(AV476+AI476),AV476),2)</f>
        <v>28.95</v>
      </c>
      <c r="AX476" s="478">
        <f>IF(OR(C476="",D476=""),"",ROUND(((VLOOKUP(C476,'Base de Diseño (2)'!$A$2:$C$333,2,FALSE)-VLOOKUP(D476,'Base de Diseño (2)'!$A$2:$C$333,2,FALSE))^2+(VLOOKUP(C476,'Base de Diseño (2)'!$A$2:$C$333,3,0)-VLOOKUP(D476,'Base de Diseño (2)'!$A$2:$C$333,3,FALSE))^2)^0.5,2))</f>
        <v>53.11</v>
      </c>
      <c r="AY476" s="493">
        <v>8</v>
      </c>
      <c r="AZ476" s="480">
        <f>IF(AND(L476="",H476=""),"",IF(BA476=4,VLOOKUP(AY476,'TABLA (2)'!$A$74:$C$89,2),IF(BA476=5,VLOOKUP(AY476,'TABLA (2)'!$A$51:$B$66,2),IF(BA476=6,VLOOKUP(AY476,'TABLA (2)'!$A$9:$B$43,2)))))</f>
        <v>200</v>
      </c>
      <c r="BA476" s="493">
        <v>6</v>
      </c>
      <c r="BB476" s="478">
        <f>IF(OR(C476="",D476=""),"",VLOOKUP(C476,'Base de Diseño (2)'!$A$2:$D$330,4,FALSE))</f>
        <v>979.38160000000005</v>
      </c>
      <c r="BC476" s="478">
        <f>IF(OR(C476="",D476=""),"",VLOOKUP(D476,'Base de Diseño (2)'!$A$2:$D$330,4,FALSE))</f>
        <v>973.58159999999998</v>
      </c>
      <c r="BD476" s="23">
        <f>+BF476-((AZ476/1000)+CX476)</f>
        <v>0.96300000000004549</v>
      </c>
      <c r="BE476" s="23">
        <f>+BG476-((AZ476/1000)+CX476)</f>
        <v>0.96300000000004549</v>
      </c>
      <c r="BF476" s="494">
        <v>1.2000000000000455</v>
      </c>
      <c r="BG476" s="494">
        <v>1.2000000000000455</v>
      </c>
      <c r="BH476" s="495">
        <f>BB476-BF476</f>
        <v>978.1816</v>
      </c>
      <c r="BI476" s="495">
        <f>BC476-BG476</f>
        <v>972.38159999999993</v>
      </c>
      <c r="BJ476" s="534">
        <f t="shared" si="1398"/>
        <v>972.38159999999993</v>
      </c>
      <c r="BK476" s="475">
        <f>ABS((BB476-BC476)/AX476)*100</f>
        <v>10.920730559216848</v>
      </c>
      <c r="BL476" s="475">
        <f>((BH476-BI476)/AX476)*100</f>
        <v>10.920730559216848</v>
      </c>
      <c r="BM476" s="475">
        <f>IF(BA476=6,(1/0.013)*((AZ476/4000)^(2/3))*((BL476/100)^(0.5)),(1/0.009)*((AZ476/4000)^(2/3))*((BL476/100)^(0.5)))</f>
        <v>3.4500799822784107</v>
      </c>
      <c r="BN476" s="475">
        <f>1000*BM476*PI()*((AZ476/1000/2)^2)</f>
        <v>108.38745926623061</v>
      </c>
      <c r="BO476" s="204">
        <f>AI476/BN476</f>
        <v>1.3839239430048552E-2</v>
      </c>
      <c r="BP476" s="496">
        <f>IF(L476=0," ",AW476/BN476)</f>
        <v>0.26709732099993705</v>
      </c>
      <c r="BQ476" s="497">
        <f>IF($BO476&gt;0 =AND($BO476&lt;=0.06),10^(0.029806+0.29095*LOG($BO476)),IF($BO476&gt;0.06 =AND($BO476&lt;=0.26),10^(0.013778+0.282597*LOG($BO476)),IF($BO476&gt;0.26 =AND($BO476&lt;=0.91),10^(0.021763+0.28995*LOG($BO476)),1)))</f>
        <v>0.30829224569441699</v>
      </c>
      <c r="BR476" s="497">
        <f>IF($BP476&gt;0 =AND($BP476&lt;=0.06),10^(0.029806+0.29095*LOG($BP476)),IF($BP476&gt;0.06 =AND($BP476&lt;=0.26),10^(0.013778+0.282597*LOG($BP476)),IF($BP476&gt;0.26 =AND($BP476&lt;=2),10^(0.021763+0.28995*LOG($BP476))," ")))</f>
        <v>0.7170110204457073</v>
      </c>
      <c r="BS476" s="475">
        <f>BM476*BQ476</f>
        <v>1.0636329055619655</v>
      </c>
      <c r="BT476" s="475">
        <f>IF(BP476=" "," ",(BM476*BR476))</f>
        <v>2.4737453687127511</v>
      </c>
      <c r="BU476" s="475">
        <f>IF(BO476&lt;=0.11,0.3827+0.0645*LN(BO476),IF(BO476&lt;=0.21,0.60025+0.15471*LN(BO476),IF(BO476&lt;1,0.225+0.6666666667*BO476,0)))</f>
        <v>0.10662405013175918</v>
      </c>
      <c r="BV476" s="475">
        <f>IF(BP476&lt;=0.11,0.3827+0.0645*LN(BP476),IF(BP476&lt;=0.21,0.60025+0.15471*LN(BP476),IF(BP476&lt;1,0.225+0.6666666667*BP476," ")))</f>
        <v>0.40306488067552793</v>
      </c>
      <c r="BW476" s="475">
        <f>2*ACOS(1-2*(BU476))</f>
        <v>1.3305343322900192</v>
      </c>
      <c r="BX476" s="475">
        <f>IF(BP476=" "," ",(2*ACOS(1-2*(BV476))))</f>
        <v>2.751381237218236</v>
      </c>
      <c r="BY476" s="475">
        <f>(1/4)*(1-(SIN(BW476))/BW476)</f>
        <v>6.7502705273626673E-2</v>
      </c>
      <c r="BZ476" s="475">
        <f>IF(BP476=" "," ",((1/4)*(1-(SIN(BX476))/BX476)))</f>
        <v>0.21543700102360894</v>
      </c>
      <c r="CA476" s="471">
        <f>BY476*AZ476/1000</f>
        <v>1.3500541054725335E-2</v>
      </c>
      <c r="CB476" s="471">
        <f>IF(BP476=" "," ",(BZ476*AZ476/1000))</f>
        <v>4.3087400204721786E-2</v>
      </c>
      <c r="CC476" s="471">
        <f t="shared" si="1315"/>
        <v>3.2131091407623074</v>
      </c>
      <c r="CD476" s="471" t="str">
        <f>IF(CC476="","",IF(CC476&lt;0.7,"F. Subcrítico",IF(AND(CC476&gt;0.7,CC476&lt;1),"F. Subcrítico Inestable",IF(CC476=1,"F. Crítico",IF(AND(CC476&gt;1,CC476&lt;1.5),"F. Supercrítico Inestable",IF(CC476&gt;1.5,"F. Supercrítico",""))))))</f>
        <v>F. Supercrítico</v>
      </c>
      <c r="CE476" s="471">
        <f>1000*BL476*CA476/100</f>
        <v>1.4743577126230063</v>
      </c>
      <c r="CF476" s="471">
        <f>IF(BP476=" "," ",(1000*BL476*CB476/100))</f>
        <v>4.7054588813291147</v>
      </c>
      <c r="CG476" s="471" t="str">
        <f>IF(BS476&lt;0.45,"No cumple",IF(BS476&gt;5,"No cumple","O.K"))</f>
        <v>O.K</v>
      </c>
      <c r="CH476" s="471" t="str">
        <f>IF(BT476&lt;0.75,"No cumple",IF(BT476&gt;10,"No cumple","O.K"))</f>
        <v>O.K</v>
      </c>
      <c r="CI476" s="471" t="str">
        <f>IF(CE476&gt;0.1,"OK","V.C.H.")</f>
        <v>OK</v>
      </c>
      <c r="CJ476" s="471" t="str">
        <f>IF(CF476&gt;0.2,"OK","V.C.H.")</f>
        <v>OK</v>
      </c>
      <c r="CK476" s="468">
        <f>+BJ476</f>
        <v>972.38159999999993</v>
      </c>
      <c r="CL476" s="482" t="s">
        <v>2507</v>
      </c>
      <c r="CM476" s="482"/>
      <c r="CN476" s="63" t="str">
        <f>IF(B476=1,"dato"," ")</f>
        <v>dato</v>
      </c>
      <c r="CO476" s="527">
        <f t="shared" si="1332"/>
        <v>53.11</v>
      </c>
      <c r="CP476" s="542">
        <f t="shared" si="1333"/>
        <v>0.10920730559216847</v>
      </c>
      <c r="CQ476" s="482" t="s">
        <v>2508</v>
      </c>
      <c r="CR476" s="204">
        <f>IF(BA476="","",AX476)</f>
        <v>53.11</v>
      </c>
      <c r="CS476" s="486">
        <v>1.2</v>
      </c>
      <c r="CT476" s="486">
        <v>1.2</v>
      </c>
      <c r="CU476" s="23">
        <f>IF($BA476="","",SQRT((BH476-BI476)^2+$CR476^2))</f>
        <v>53.425762512106466</v>
      </c>
      <c r="CV476" s="499" t="s">
        <v>2509</v>
      </c>
      <c r="CW476" s="488" t="str">
        <f>+IF(BD476&lt;=0.9,"E1",IF(BD476&lt;=2.5,"E2","E3"))</f>
        <v>E2</v>
      </c>
      <c r="CX476" s="204">
        <f>IF(AND(L476="",H476=""),"",IF(AND(BA476&lt;&gt;4,BA476&lt;&gt;5),VLOOKUP(AY476,'TABLA (2)'!$A$9:$D$43,4),IF(BA476=4,VLOOKUP(AY476,'TABLA (2)'!$A$74:$D$89,4),VLOOKUP(AY476,'TABLA (2)'!$A$51:$D$66,4))))</f>
        <v>3.6999999999999998E-2</v>
      </c>
      <c r="CY476" s="482"/>
      <c r="CZ476" s="482"/>
      <c r="DA476" s="482"/>
      <c r="DB476" s="490"/>
    </row>
    <row r="477" spans="1:106" ht="15" hidden="1" customHeight="1">
      <c r="A477" s="465"/>
      <c r="B477" s="491"/>
      <c r="C477" s="466"/>
      <c r="D477" s="466"/>
      <c r="E477" s="468"/>
      <c r="F477" s="468"/>
      <c r="G477" s="537">
        <f t="shared" si="1329"/>
        <v>0</v>
      </c>
      <c r="H477" s="537">
        <f t="shared" si="1330"/>
        <v>0</v>
      </c>
      <c r="I477" s="468"/>
      <c r="J477" s="468"/>
      <c r="K477" s="467"/>
      <c r="L477" s="468"/>
      <c r="M477" s="469"/>
      <c r="N477" s="470"/>
      <c r="O477" s="470"/>
      <c r="P477" s="470"/>
      <c r="Q477" s="469">
        <f t="shared" si="1336"/>
        <v>140</v>
      </c>
      <c r="R477" s="471"/>
      <c r="S477" s="471"/>
      <c r="T477" s="471"/>
      <c r="U477" s="471"/>
      <c r="V477" s="471"/>
      <c r="W477" s="471"/>
      <c r="X477" s="471"/>
      <c r="Y477" s="471"/>
      <c r="Z477" s="471"/>
      <c r="AA477" s="471" t="str">
        <f t="shared" si="1399"/>
        <v/>
      </c>
      <c r="AB477" s="471"/>
      <c r="AC477" s="471"/>
      <c r="AD477" s="471"/>
      <c r="AE477" s="471"/>
      <c r="AF477" s="510" t="str">
        <f t="shared" si="1328"/>
        <v/>
      </c>
      <c r="AG477" s="471"/>
      <c r="AH477" s="471"/>
      <c r="AI477" s="471"/>
      <c r="AJ477" s="471"/>
      <c r="AK477" s="472"/>
      <c r="AL477" s="471"/>
      <c r="AM477" s="473">
        <f t="shared" si="1331"/>
        <v>474.44695720875893</v>
      </c>
      <c r="AN477" s="474">
        <f t="shared" si="1285"/>
        <v>10</v>
      </c>
      <c r="AO477" s="474"/>
      <c r="AP477" s="474"/>
      <c r="AQ477" s="475">
        <v>3</v>
      </c>
      <c r="AR477" s="474"/>
      <c r="AS477" s="474"/>
      <c r="AT477" s="471"/>
      <c r="AU477" s="492"/>
      <c r="AV477" s="471"/>
      <c r="AW477" s="471"/>
      <c r="AX477" s="478"/>
      <c r="AY477" s="493"/>
      <c r="AZ477" s="480"/>
      <c r="BA477" s="493"/>
      <c r="BB477" s="478" t="str">
        <f>IF(OR(C477="",D477=""),"",VLOOKUP(C477,'Base de Diseño (2)'!$A$2:$D$330,4,FALSE))</f>
        <v/>
      </c>
      <c r="BC477" s="478" t="str">
        <f>IF(OR(C477="",D477=""),"",VLOOKUP(D477,'Base de Diseño (2)'!$A$2:$D$330,4,FALSE))</f>
        <v/>
      </c>
      <c r="BD477" s="23"/>
      <c r="BE477" s="23"/>
      <c r="BF477" s="494"/>
      <c r="BG477" s="494"/>
      <c r="BH477" s="495"/>
      <c r="BI477" s="495"/>
      <c r="BJ477" s="534">
        <f t="shared" si="1398"/>
        <v>0</v>
      </c>
      <c r="BK477" s="475"/>
      <c r="BL477" s="475"/>
      <c r="BM477" s="475"/>
      <c r="BN477" s="475"/>
      <c r="BO477" s="204"/>
      <c r="BP477" s="496"/>
      <c r="BQ477" s="497"/>
      <c r="BR477" s="497"/>
      <c r="BS477" s="475"/>
      <c r="BT477" s="475"/>
      <c r="BU477" s="475"/>
      <c r="BV477" s="475"/>
      <c r="BW477" s="475"/>
      <c r="BX477" s="475"/>
      <c r="BY477" s="475"/>
      <c r="BZ477" s="475"/>
      <c r="CA477" s="471"/>
      <c r="CB477" s="471"/>
      <c r="CC477" s="471" t="e">
        <f t="shared" si="1315"/>
        <v>#DIV/0!</v>
      </c>
      <c r="CD477" s="471"/>
      <c r="CE477" s="471"/>
      <c r="CF477" s="471"/>
      <c r="CG477" s="471"/>
      <c r="CH477" s="471"/>
      <c r="CI477" s="471"/>
      <c r="CJ477" s="471"/>
      <c r="CK477" s="468"/>
      <c r="CL477" s="482" t="s">
        <v>2507</v>
      </c>
      <c r="CM477" s="482"/>
      <c r="CN477" s="63"/>
      <c r="CO477" s="527">
        <f t="shared" si="1332"/>
        <v>0</v>
      </c>
      <c r="CP477" s="511">
        <f t="shared" si="1333"/>
        <v>0</v>
      </c>
      <c r="CQ477" s="482"/>
      <c r="CR477" s="204"/>
      <c r="CS477" s="486"/>
      <c r="CT477" s="486"/>
      <c r="CU477" s="23"/>
      <c r="CV477" s="499"/>
      <c r="CW477" s="488"/>
      <c r="CX477" s="204"/>
      <c r="CY477" s="482"/>
      <c r="CZ477" s="482"/>
      <c r="DA477" s="482"/>
      <c r="DB477" s="490"/>
    </row>
    <row r="478" spans="1:106" ht="15" hidden="1" customHeight="1">
      <c r="A478" s="465">
        <f>+A476+1</f>
        <v>347</v>
      </c>
      <c r="B478" s="491">
        <v>1</v>
      </c>
      <c r="C478" s="466" t="s">
        <v>2316</v>
      </c>
      <c r="D478" s="466" t="s">
        <v>2312</v>
      </c>
      <c r="E478" s="468">
        <v>2.2384879199999999E-2</v>
      </c>
      <c r="F478" s="468"/>
      <c r="G478" s="537">
        <f t="shared" si="1329"/>
        <v>0</v>
      </c>
      <c r="H478" s="537">
        <f t="shared" si="1330"/>
        <v>2.2384879199999999E-2</v>
      </c>
      <c r="I478" s="468">
        <v>2.2384879199999999E-2</v>
      </c>
      <c r="J478" s="468"/>
      <c r="K478" s="467">
        <f>+IF(B478=1,0,SUMIF($D$22:$D$583,C478,$L$22:$L$580))</f>
        <v>0</v>
      </c>
      <c r="L478" s="468">
        <f>+I478+J478+K478</f>
        <v>2.2384879199999999E-2</v>
      </c>
      <c r="M478" s="469">
        <f>+$P$12</f>
        <v>242.33666300502347</v>
      </c>
      <c r="N478" s="470">
        <f>M478*E478</f>
        <v>5.4246769270985595</v>
      </c>
      <c r="O478" s="470">
        <f>M478*F478</f>
        <v>0</v>
      </c>
      <c r="P478" s="470">
        <f>M478*H478</f>
        <v>5.4246769270985595</v>
      </c>
      <c r="Q478" s="469">
        <f t="shared" si="1336"/>
        <v>140</v>
      </c>
      <c r="R478" s="471">
        <f>Q478*P478*$P$14/86400</f>
        <v>7.4714878972769504E-3</v>
      </c>
      <c r="S478" s="471"/>
      <c r="T478" s="471"/>
      <c r="U478" s="471">
        <f>IF(C478="","",T478*$P$17)</f>
        <v>0</v>
      </c>
      <c r="V478" s="471"/>
      <c r="W478" s="471"/>
      <c r="X478" s="471">
        <f>IF(C478="","",W478*$P$16)</f>
        <v>0</v>
      </c>
      <c r="Y478" s="471">
        <f>IF(H478=0,0,$H$15*H478)</f>
        <v>4.4769758400000003E-3</v>
      </c>
      <c r="Z478" s="471">
        <f>IF(L478=0,$H$16*H478,0)</f>
        <v>0</v>
      </c>
      <c r="AA478" s="471">
        <f t="shared" si="1399"/>
        <v>3.8</v>
      </c>
      <c r="AB478" s="471">
        <f>R478*AA478</f>
        <v>2.839165400965241E-2</v>
      </c>
      <c r="AC478" s="471">
        <f>Q478*(N478+O478)*$P$14/86400</f>
        <v>7.4714878972769504E-3</v>
      </c>
      <c r="AD478" s="471">
        <f>IF(E478=0,0,$H$15*(E478+F478))</f>
        <v>4.4769758400000003E-3</v>
      </c>
      <c r="AE478" s="471">
        <f>IF(F478=0,0,$H$15*(F478+G478))</f>
        <v>0</v>
      </c>
      <c r="AF478" s="510">
        <f t="shared" si="1328"/>
        <v>3.8</v>
      </c>
      <c r="AG478" s="471">
        <f>AC478*AF478</f>
        <v>2.839165400965241E-2</v>
      </c>
      <c r="AH478" s="471">
        <f>+AD478+AE478+AG478</f>
        <v>3.2868629849652407E-2</v>
      </c>
      <c r="AI478" s="471">
        <f>IF(H478="","",IF(AB478+Y478+Z478+X478+U478&lt;1.5,1.5,AB478+Y478+Z478+X478+U478))</f>
        <v>1.5</v>
      </c>
      <c r="AJ478" s="471">
        <f>+$P$17</f>
        <v>0.75</v>
      </c>
      <c r="AK478" s="472">
        <f>+BK478/100</f>
        <v>2.6162790697677064E-2</v>
      </c>
      <c r="AL478" s="471">
        <f>IF(AJ478=0," ",0.14+0.65*AJ478+0.05*AK478)</f>
        <v>0.6288081395348839</v>
      </c>
      <c r="AM478" s="473">
        <f t="shared" si="1331"/>
        <v>336.32613267542746</v>
      </c>
      <c r="AN478" s="474">
        <f t="shared" si="1285"/>
        <v>5</v>
      </c>
      <c r="AO478" s="474">
        <f>((1/60)*$AX478/$AQ478)</f>
        <v>9.5555555555555546E-2</v>
      </c>
      <c r="AP478" s="474">
        <f>IF(B478=1,IF(($AN478+$AO478)&lt;10,10,IF(($AN478+$AO478)&gt;20,20,($AN478+$AO478))),($AN478+$AO478))</f>
        <v>10</v>
      </c>
      <c r="AQ478" s="475">
        <v>3</v>
      </c>
      <c r="AR478" s="474">
        <f>((1/60)*$AX478/$BT478)</f>
        <v>0.27010767337762204</v>
      </c>
      <c r="AS478" s="474">
        <f>AO478/AR478</f>
        <v>0.35376838562436841</v>
      </c>
      <c r="AT478" s="471" t="str">
        <f>IF(AS478&lt;0.9,"Disminuir vel.",IF(AS478&gt;1.1,"Aumentar vel.","Cumple"))</f>
        <v>Disminuir vel.</v>
      </c>
      <c r="AU478" s="492">
        <f>+I478*AL478*AM478</f>
        <v>4.734057442239668</v>
      </c>
      <c r="AV478" s="471">
        <f>+L478*AL478*AM478</f>
        <v>4.734057442239668</v>
      </c>
      <c r="AW478" s="471">
        <f>ROUND(IF(AI478&gt;(AV478*0.05),(AV478+AI478),AV478),2)</f>
        <v>6.23</v>
      </c>
      <c r="AX478" s="478">
        <f>IF(OR(C478="",D478=""),"",ROUND(((VLOOKUP(C478,'Base de Diseño (2)'!$A$2:$C$333,2,FALSE)-VLOOKUP(D478,'Base de Diseño (2)'!$A$2:$C$333,2,FALSE))^2+(VLOOKUP(C478,'Base de Diseño (2)'!$A$2:$C$333,3,0)-VLOOKUP(D478,'Base de Diseño (2)'!$A$2:$C$333,3,FALSE))^2)^0.5,2))</f>
        <v>17.2</v>
      </c>
      <c r="AY478" s="493">
        <v>8</v>
      </c>
      <c r="AZ478" s="480">
        <f>IF(AND(L478="",H478=""),"",IF(BA478=4,VLOOKUP(AY478,'TABLA (2)'!$A$74:$C$89,2),IF(BA478=5,VLOOKUP(AY478,'TABLA (2)'!$A$51:$B$66,2),IF(BA478=6,VLOOKUP(AY478,'TABLA (2)'!$A$9:$B$43,2)))))</f>
        <v>200</v>
      </c>
      <c r="BA478" s="493">
        <v>6</v>
      </c>
      <c r="BB478" s="478">
        <f>IF(OR(C478="",D478=""),"",VLOOKUP(C478,'Base de Diseño (2)'!$A$2:$D$330,4,FALSE))</f>
        <v>974.03160000000003</v>
      </c>
      <c r="BC478" s="478">
        <f>IF(OR(C478="",D478=""),"",VLOOKUP(D478,'Base de Diseño (2)'!$A$2:$D$330,4,FALSE))</f>
        <v>973.58159999999998</v>
      </c>
      <c r="BD478" s="23">
        <f>+BF478-((AZ478/1000)+CX478)</f>
        <v>0.70300000000005458</v>
      </c>
      <c r="BE478" s="23">
        <f>+BG478-((AZ478/1000)+CX478)</f>
        <v>0.86300000000002275</v>
      </c>
      <c r="BF478" s="494">
        <v>0.94000000000005457</v>
      </c>
      <c r="BG478" s="494">
        <v>1.1000000000000227</v>
      </c>
      <c r="BH478" s="495">
        <f>BB478-BF478</f>
        <v>973.09159999999997</v>
      </c>
      <c r="BI478" s="495">
        <f>BC478-BG478</f>
        <v>972.48159999999996</v>
      </c>
      <c r="BJ478" s="534">
        <f t="shared" si="1398"/>
        <v>972.48159999999996</v>
      </c>
      <c r="BK478" s="475">
        <f>ABS((BB478-BC478)/AX478)*100</f>
        <v>2.6162790697677063</v>
      </c>
      <c r="BL478" s="475">
        <f>((BH478-BI478)/AX478)*100</f>
        <v>3.5465116279070563</v>
      </c>
      <c r="BM478" s="475">
        <f>IF(BA478=6,(1/0.013)*((AZ478/4000)^(2/3))*((BL478/100)^(0.5)),(1/0.009)*((AZ478/4000)^(2/3))*((BL478/100)^(0.5)))</f>
        <v>1.9660927933448618</v>
      </c>
      <c r="BN478" s="475">
        <f>1000*BM478*PI()*((AZ478/1000/2)^2)</f>
        <v>61.766626758480548</v>
      </c>
      <c r="BO478" s="204">
        <f>AI478/BN478</f>
        <v>2.4284959025936286E-2</v>
      </c>
      <c r="BP478" s="496">
        <f>IF(L478=0," ",AW478/BN478)</f>
        <v>0.10086352982105538</v>
      </c>
      <c r="BQ478" s="497">
        <f>IF($BO478&gt;0 =AND($BO478&lt;=0.06),10^(0.029806+0.29095*LOG($BO478)),IF($BO478&gt;0.06 =AND($BO478&lt;=0.26),10^(0.013778+0.282597*LOG($BO478)),IF($BO478&gt;0.26 =AND($BO478&lt;=0.91),10^(0.021763+0.28995*LOG($BO478)),1)))</f>
        <v>0.36309469966498814</v>
      </c>
      <c r="BR478" s="497">
        <f>IF($BP478&gt;0 =AND($BP478&lt;=0.06),10^(0.029806+0.29095*LOG($BP478)),IF($BP478&gt;0.06 =AND($BP478&lt;=0.26),10^(0.013778+0.282597*LOG($BP478)),IF($BP478&gt;0.26 =AND($BP478&lt;=2),10^(0.021763+0.28995*LOG($BP478))," ")))</f>
        <v>0.53980420479927338</v>
      </c>
      <c r="BS478" s="475">
        <f>BM478*BQ478</f>
        <v>0.71387787231305022</v>
      </c>
      <c r="BT478" s="475">
        <f>IF(BP478=" "," ",(BM478*BR478))</f>
        <v>1.0613051568731053</v>
      </c>
      <c r="BU478" s="475">
        <f>IF(BO478&lt;=0.11,0.3827+0.0645*LN(BO478),IF(BO478&lt;=0.21,0.60025+0.15471*LN(BO478),IF(BO478&lt;1,0.225+0.6666666667*BO478,0)))</f>
        <v>0.14289557316901902</v>
      </c>
      <c r="BV478" s="475">
        <f>IF(BP478&lt;=0.11,0.3827+0.0645*LN(BP478),IF(BP478&lt;=0.21,0.60025+0.15471*LN(BP478),IF(BP478&lt;1,0.225+0.6666666667*BP478," ")))</f>
        <v>0.23473784716160126</v>
      </c>
      <c r="BW478" s="475">
        <f>2*ACOS(1-2*(BU478))</f>
        <v>1.5506063818403286</v>
      </c>
      <c r="BX478" s="475">
        <f>IF(BP478=" "," ",(2*ACOS(1-2*(BV478))))</f>
        <v>2.0231547103766032</v>
      </c>
      <c r="BY478" s="475">
        <f>(1/4)*(1-(SIN(BW478))/BW478)</f>
        <v>8.8805611518535971E-2</v>
      </c>
      <c r="BZ478" s="475">
        <f>IF(BP478=" "," ",((1/4)*(1-(SIN(BX478))/BX478)))</f>
        <v>0.13885936663837797</v>
      </c>
      <c r="CA478" s="471">
        <f>BY478*AZ478/1000</f>
        <v>1.7761122303707192E-2</v>
      </c>
      <c r="CB478" s="471">
        <f>IF(BP478=" "," ",(BZ478*AZ478/1000))</f>
        <v>2.7771873327675597E-2</v>
      </c>
      <c r="CC478" s="471">
        <f t="shared" si="1315"/>
        <v>1.8613025376892054</v>
      </c>
      <c r="CD478" s="471" t="str">
        <f>IF(CC478="","",IF(CC478&lt;0.7,"F. Subcrítico",IF(AND(CC478&gt;0.7,CC478&lt;1),"F. Subcrítico Inestable",IF(CC478=1,"F. Crítico",IF(AND(CC478&gt;1,CC478&lt;1.5),"F. Supercrítico Inestable",IF(CC478&gt;1.5,"F. Supercrítico",""))))))</f>
        <v>F. Supercrítico</v>
      </c>
      <c r="CE478" s="471">
        <f>1000*BL478*CA478/100</f>
        <v>0.62990026774776919</v>
      </c>
      <c r="CF478" s="471">
        <f>IF(BP478=" "," ",(1000*BL478*CB478/100))</f>
        <v>0.98493271685363337</v>
      </c>
      <c r="CG478" s="471" t="str">
        <f>IF(BS478&lt;0.45,"No cumple",IF(BS478&gt;5,"No cumple","O.K"))</f>
        <v>O.K</v>
      </c>
      <c r="CH478" s="471" t="str">
        <f>IF(BT478&lt;0.75,"No cumple",IF(BT478&gt;10,"No cumple","O.K"))</f>
        <v>O.K</v>
      </c>
      <c r="CI478" s="471" t="str">
        <f>IF(CE478&gt;0.1,"OK","V.C.H.")</f>
        <v>OK</v>
      </c>
      <c r="CJ478" s="471" t="str">
        <f>IF(CF478&gt;0.2,"OK","V.C.H.")</f>
        <v>OK</v>
      </c>
      <c r="CK478" s="468">
        <f>+BJ478</f>
        <v>972.48159999999996</v>
      </c>
      <c r="CL478" s="482" t="s">
        <v>2507</v>
      </c>
      <c r="CM478" s="482"/>
      <c r="CN478" s="63" t="str">
        <f>IF(B478=1,"dato"," ")</f>
        <v>dato</v>
      </c>
      <c r="CO478" s="527">
        <f t="shared" si="1332"/>
        <v>17.2</v>
      </c>
      <c r="CP478" s="542">
        <f t="shared" si="1333"/>
        <v>2.6162790697677064E-2</v>
      </c>
      <c r="CQ478" s="482" t="s">
        <v>2508</v>
      </c>
      <c r="CR478" s="204">
        <f>IF(BA478="","",AX478)</f>
        <v>17.2</v>
      </c>
      <c r="CS478" s="486">
        <v>1.2</v>
      </c>
      <c r="CT478" s="486">
        <v>1.2</v>
      </c>
      <c r="CU478" s="23">
        <f>IF($BA478="","",SQRT((BH478-BI478)^2+$CR478^2))</f>
        <v>17.210813461309723</v>
      </c>
      <c r="CV478" s="499" t="s">
        <v>2509</v>
      </c>
      <c r="CW478" s="488" t="str">
        <f>+IF(BD478&lt;=0.9,"E1",IF(BD478&lt;=2.5,"E2","E3"))</f>
        <v>E1</v>
      </c>
      <c r="CX478" s="204">
        <f>IF(AND(L478="",H478=""),"",IF(AND(BA478&lt;&gt;4,BA478&lt;&gt;5),VLOOKUP(AY478,'TABLA (2)'!$A$9:$D$43,4),IF(BA478=4,VLOOKUP(AY478,'TABLA (2)'!$A$74:$D$89,4),VLOOKUP(AY478,'TABLA (2)'!$A$51:$D$66,4))))</f>
        <v>3.6999999999999998E-2</v>
      </c>
      <c r="CY478" s="482"/>
      <c r="CZ478" s="482"/>
      <c r="DA478" s="482"/>
      <c r="DB478" s="490"/>
    </row>
    <row r="479" spans="1:106" ht="15" hidden="1" customHeight="1">
      <c r="A479" s="465"/>
      <c r="B479" s="491"/>
      <c r="C479" s="466"/>
      <c r="D479" s="466"/>
      <c r="E479" s="468"/>
      <c r="F479" s="468"/>
      <c r="G479" s="537">
        <f t="shared" si="1329"/>
        <v>0</v>
      </c>
      <c r="H479" s="537">
        <f t="shared" si="1330"/>
        <v>0</v>
      </c>
      <c r="I479" s="468"/>
      <c r="J479" s="468"/>
      <c r="K479" s="467"/>
      <c r="L479" s="468"/>
      <c r="M479" s="469"/>
      <c r="N479" s="470"/>
      <c r="O479" s="470"/>
      <c r="P479" s="470"/>
      <c r="Q479" s="469">
        <f t="shared" si="1336"/>
        <v>140</v>
      </c>
      <c r="R479" s="471"/>
      <c r="S479" s="471"/>
      <c r="T479" s="471"/>
      <c r="U479" s="471"/>
      <c r="V479" s="471"/>
      <c r="W479" s="471"/>
      <c r="X479" s="471"/>
      <c r="Y479" s="471"/>
      <c r="Z479" s="471"/>
      <c r="AA479" s="471" t="str">
        <f t="shared" si="1399"/>
        <v/>
      </c>
      <c r="AB479" s="471"/>
      <c r="AC479" s="471"/>
      <c r="AD479" s="471"/>
      <c r="AE479" s="471"/>
      <c r="AF479" s="510" t="str">
        <f t="shared" si="1328"/>
        <v/>
      </c>
      <c r="AG479" s="471"/>
      <c r="AH479" s="471"/>
      <c r="AI479" s="471"/>
      <c r="AJ479" s="471"/>
      <c r="AK479" s="472"/>
      <c r="AL479" s="471"/>
      <c r="AM479" s="473">
        <f t="shared" si="1331"/>
        <v>474.44695720875893</v>
      </c>
      <c r="AN479" s="474">
        <f t="shared" si="1285"/>
        <v>10</v>
      </c>
      <c r="AO479" s="474"/>
      <c r="AP479" s="474"/>
      <c r="AQ479" s="475">
        <v>3</v>
      </c>
      <c r="AR479" s="474"/>
      <c r="AS479" s="474"/>
      <c r="AT479" s="471"/>
      <c r="AU479" s="492"/>
      <c r="AV479" s="471"/>
      <c r="AW479" s="471"/>
      <c r="AX479" s="478"/>
      <c r="AY479" s="493"/>
      <c r="AZ479" s="480"/>
      <c r="BA479" s="493"/>
      <c r="BB479" s="478" t="str">
        <f>IF(OR(C479="",D479=""),"",VLOOKUP(C479,'Base de Diseño (2)'!$A$2:$D$330,4,FALSE))</f>
        <v/>
      </c>
      <c r="BC479" s="478" t="str">
        <f>IF(OR(C479="",D479=""),"",VLOOKUP(D479,'Base de Diseño (2)'!$A$2:$D$330,4,FALSE))</f>
        <v/>
      </c>
      <c r="BD479" s="23"/>
      <c r="BE479" s="23"/>
      <c r="BF479" s="494"/>
      <c r="BG479" s="494"/>
      <c r="BH479" s="495"/>
      <c r="BI479" s="495"/>
      <c r="BJ479" s="534">
        <f t="shared" si="1398"/>
        <v>0</v>
      </c>
      <c r="BK479" s="475"/>
      <c r="BL479" s="475"/>
      <c r="BM479" s="475"/>
      <c r="BN479" s="475"/>
      <c r="BO479" s="204"/>
      <c r="BP479" s="496"/>
      <c r="BQ479" s="497"/>
      <c r="BR479" s="497"/>
      <c r="BS479" s="475"/>
      <c r="BT479" s="475"/>
      <c r="BU479" s="475"/>
      <c r="BV479" s="475"/>
      <c r="BW479" s="475"/>
      <c r="BX479" s="475"/>
      <c r="BY479" s="475"/>
      <c r="BZ479" s="475"/>
      <c r="CA479" s="471"/>
      <c r="CB479" s="471"/>
      <c r="CC479" s="471" t="e">
        <f t="shared" si="1315"/>
        <v>#DIV/0!</v>
      </c>
      <c r="CD479" s="471"/>
      <c r="CE479" s="471"/>
      <c r="CF479" s="471"/>
      <c r="CG479" s="471"/>
      <c r="CH479" s="471"/>
      <c r="CI479" s="471"/>
      <c r="CJ479" s="471"/>
      <c r="CK479" s="468"/>
      <c r="CL479" s="482" t="s">
        <v>2507</v>
      </c>
      <c r="CM479" s="482"/>
      <c r="CN479" s="63"/>
      <c r="CO479" s="527">
        <f t="shared" si="1332"/>
        <v>0</v>
      </c>
      <c r="CP479" s="511">
        <f t="shared" si="1333"/>
        <v>0</v>
      </c>
      <c r="CQ479" s="482"/>
      <c r="CR479" s="204"/>
      <c r="CS479" s="486"/>
      <c r="CT479" s="486"/>
      <c r="CU479" s="23"/>
      <c r="CV479" s="499"/>
      <c r="CW479" s="488"/>
      <c r="CX479" s="204"/>
      <c r="CY479" s="482"/>
      <c r="CZ479" s="482"/>
      <c r="DA479" s="482"/>
      <c r="DB479" s="490"/>
    </row>
    <row r="480" spans="1:106" ht="15" hidden="1" customHeight="1">
      <c r="A480" s="465">
        <f>+A478+1</f>
        <v>348</v>
      </c>
      <c r="B480" s="491">
        <v>1</v>
      </c>
      <c r="C480" s="466" t="s">
        <v>2282</v>
      </c>
      <c r="D480" s="466" t="s">
        <v>2283</v>
      </c>
      <c r="E480" s="468">
        <v>5.5567860199999992E-2</v>
      </c>
      <c r="F480" s="468"/>
      <c r="G480" s="537">
        <f t="shared" si="1329"/>
        <v>0</v>
      </c>
      <c r="H480" s="537">
        <f t="shared" si="1330"/>
        <v>5.5567860199999992E-2</v>
      </c>
      <c r="I480" s="468">
        <v>5.5567860199999992E-2</v>
      </c>
      <c r="J480" s="468"/>
      <c r="K480" s="467">
        <f t="shared" ref="K480:K506" si="1402">+IF(B480=1,0,SUMIF($D$22:$D$583,C480,$L$22:$L$580))</f>
        <v>0</v>
      </c>
      <c r="L480" s="468">
        <f t="shared" ref="L480:L506" si="1403">+I480+J480+K480</f>
        <v>5.5567860199999992E-2</v>
      </c>
      <c r="M480" s="469">
        <f t="shared" ref="M480:M506" si="1404">+$P$12</f>
        <v>242.33666300502347</v>
      </c>
      <c r="N480" s="470">
        <f t="shared" ref="N480:N506" si="1405">M480*E480</f>
        <v>13.466129811197654</v>
      </c>
      <c r="O480" s="470">
        <f t="shared" ref="O480:O506" si="1406">M480*F480</f>
        <v>0</v>
      </c>
      <c r="P480" s="470">
        <f t="shared" ref="P480:P506" si="1407">M480*H480</f>
        <v>13.466129811197654</v>
      </c>
      <c r="Q480" s="469">
        <f t="shared" si="1336"/>
        <v>140</v>
      </c>
      <c r="R480" s="471">
        <f t="shared" ref="R480:R506" si="1408">Q480*P480*$P$14/86400</f>
        <v>1.8547100087181953E-2</v>
      </c>
      <c r="S480" s="471"/>
      <c r="T480" s="471"/>
      <c r="U480" s="471">
        <f t="shared" ref="U480:U506" si="1409">IF(C480="","",T480*$P$17)</f>
        <v>0</v>
      </c>
      <c r="V480" s="471"/>
      <c r="W480" s="471"/>
      <c r="X480" s="471">
        <f t="shared" ref="X480:X506" si="1410">IF(C480="","",W480*$P$16)</f>
        <v>0</v>
      </c>
      <c r="Y480" s="471">
        <f t="shared" ref="Y480:Y506" si="1411">IF(H480=0,0,$H$15*H480)</f>
        <v>1.1113572039999998E-2</v>
      </c>
      <c r="Z480" s="471">
        <f t="shared" ref="Z480:Z506" si="1412">IF(L480=0,$H$16*H480,0)</f>
        <v>0</v>
      </c>
      <c r="AA480" s="471">
        <f t="shared" si="1399"/>
        <v>3.8</v>
      </c>
      <c r="AB480" s="471">
        <f t="shared" ref="AB480:AB506" si="1413">R480*AA480</f>
        <v>7.0478980331291421E-2</v>
      </c>
      <c r="AC480" s="471">
        <f t="shared" ref="AC480:AC506" si="1414">Q480*(N480+O480)*$P$14/86400</f>
        <v>1.8547100087181953E-2</v>
      </c>
      <c r="AD480" s="471">
        <f t="shared" ref="AD480:AD506" si="1415">IF(E480=0,0,$H$15*(E480+F480))</f>
        <v>1.1113572039999998E-2</v>
      </c>
      <c r="AE480" s="471">
        <f t="shared" ref="AE480:AE506" si="1416">IF(F480=0,0,$H$15*(F480+G480))</f>
        <v>0</v>
      </c>
      <c r="AF480" s="510">
        <f t="shared" si="1328"/>
        <v>3.8</v>
      </c>
      <c r="AG480" s="471">
        <f t="shared" ref="AG480:AG506" si="1417">AC480*AF480</f>
        <v>7.0478980331291421E-2</v>
      </c>
      <c r="AH480" s="471">
        <f t="shared" ref="AH480:AH506" si="1418">+AD480+AE480+AG480</f>
        <v>8.1592552371291427E-2</v>
      </c>
      <c r="AI480" s="471">
        <f t="shared" ref="AI480:AI506" si="1419">IF(H480="","",IF(AB480+Y480+Z480+X480+U480&lt;1.5,1.5,AB480+Y480+Z480+X480+U480))</f>
        <v>1.5</v>
      </c>
      <c r="AJ480" s="471">
        <f t="shared" ref="AJ480:AJ506" si="1420">+$P$17</f>
        <v>0.75</v>
      </c>
      <c r="AK480" s="472">
        <f t="shared" ref="AK480:AK506" si="1421">+BK480/100</f>
        <v>1.9889142484512998E-2</v>
      </c>
      <c r="AL480" s="471">
        <f t="shared" ref="AL480:AL506" si="1422">IF(AJ480=0," ",0.14+0.65*AJ480+0.05*AK480)</f>
        <v>0.62849445712422569</v>
      </c>
      <c r="AM480" s="473">
        <f t="shared" si="1331"/>
        <v>336.32613267542746</v>
      </c>
      <c r="AN480" s="474">
        <f t="shared" ref="AN480:AN506" si="1423">IF(B480=1,IF((0.702*(1.1-$AJ480)*SQRT($CO480))/(($CP480)^(1/3))&lt;5,5,(0.702*(1.1-$AJ480)*SQRT($CO480))/(($CP480)^(1/3))),AP479)</f>
        <v>5.0221539878605022</v>
      </c>
      <c r="AO480" s="474">
        <f t="shared" ref="AO480:AO506" si="1424">((1/60)*$AX480/$AQ480)</f>
        <v>0.1703888888888889</v>
      </c>
      <c r="AP480" s="474">
        <f t="shared" ref="AP480:AP506" si="1425">IF(B480=1,IF(($AN480+$AO480)&lt;10,10,IF(($AN480+$AO480)&gt;20,20,($AN480+$AO480))),($AN480+$AO480))</f>
        <v>10</v>
      </c>
      <c r="AQ480" s="475">
        <v>3</v>
      </c>
      <c r="AR480" s="474">
        <f t="shared" ref="AR480:AR506" si="1426">((1/60)*$AX480/$BT480)</f>
        <v>0.456525907499096</v>
      </c>
      <c r="AS480" s="474">
        <f t="shared" ref="AS480:AS506" si="1427">AO480/AR480</f>
        <v>0.37322939638256192</v>
      </c>
      <c r="AT480" s="471" t="str">
        <f t="shared" ref="AT480:AT506" si="1428">IF(AS480&lt;0.9,"Disminuir vel.",IF(AS480&gt;1.1,"Aumentar vel.","Cumple"))</f>
        <v>Disminuir vel.</v>
      </c>
      <c r="AU480" s="492">
        <f t="shared" ref="AU480:AU506" si="1429">+I480*AL480*AM480</f>
        <v>11.745884843267715</v>
      </c>
      <c r="AV480" s="471">
        <f t="shared" ref="AV480:AV506" si="1430">+L480*AL480*AM480</f>
        <v>11.745884843267715</v>
      </c>
      <c r="AW480" s="471">
        <f t="shared" ref="AW480:AW506" si="1431">ROUND(IF(AI480&gt;(AV480*0.05),(AV480+AI480),AV480),2)</f>
        <v>13.25</v>
      </c>
      <c r="AX480" s="478">
        <f>IF(OR(C480="",D480=""),"",ROUND(((VLOOKUP(C480,'Base de Diseño (2)'!$A$2:$C$333,2,FALSE)-VLOOKUP(D480,'Base de Diseño (2)'!$A$2:$C$333,2,FALSE))^2+(VLOOKUP(C480,'Base de Diseño (2)'!$A$2:$C$333,3,0)-VLOOKUP(D480,'Base de Diseño (2)'!$A$2:$C$333,3,FALSE))^2)^0.5,2))</f>
        <v>30.67</v>
      </c>
      <c r="AY480" s="493">
        <v>8</v>
      </c>
      <c r="AZ480" s="480">
        <f>IF(AND(L480="",H480=""),"",IF(BA480=4,VLOOKUP(AY480,'TABLA (2)'!$A$74:$C$89,2),IF(BA480=5,VLOOKUP(AY480,'TABLA (2)'!$A$51:$B$66,2),IF(BA480=6,VLOOKUP(AY480,'TABLA (2)'!$A$9:$B$43,2)))))</f>
        <v>200</v>
      </c>
      <c r="BA480" s="493">
        <v>6</v>
      </c>
      <c r="BB480" s="478">
        <f>IF(OR(C480="",D480=""),"",VLOOKUP(C480,'Base de Diseño (2)'!$A$2:$D$330,4,FALSE))</f>
        <v>986.77160000000003</v>
      </c>
      <c r="BC480" s="478">
        <f>IF(OR(C480="",D480=""),"",VLOOKUP(D480,'Base de Diseño (2)'!$A$2:$D$330,4,FALSE))</f>
        <v>986.16160000000002</v>
      </c>
      <c r="BD480" s="23">
        <f t="shared" ref="BD480:BD506" si="1432">+BF480-((AZ480/1000)+CX480)</f>
        <v>0.76300000000000001</v>
      </c>
      <c r="BE480" s="23">
        <f t="shared" ref="BE480:BE506" si="1433">+BG480-((AZ480/1000)+CX480)</f>
        <v>0.83300000000005003</v>
      </c>
      <c r="BF480" s="494">
        <v>1</v>
      </c>
      <c r="BG480" s="494">
        <v>1.07000000000005</v>
      </c>
      <c r="BH480" s="495">
        <f t="shared" ref="BH480:BH506" si="1434">BB480-BF480</f>
        <v>985.77160000000003</v>
      </c>
      <c r="BI480" s="495">
        <f t="shared" ref="BI480:BI506" si="1435">BC480-BG480</f>
        <v>985.09159999999997</v>
      </c>
      <c r="BJ480" s="534">
        <f t="shared" si="1398"/>
        <v>1</v>
      </c>
      <c r="BK480" s="475">
        <f t="shared" ref="BK480:BK506" si="1436">ABS((BB480-BC480)/AX480)*100</f>
        <v>1.9889142484512998</v>
      </c>
      <c r="BL480" s="475">
        <f t="shared" ref="BL480:BL506" si="1437">((BH480-BI480)/AX480)*100</f>
        <v>2.2171503097491478</v>
      </c>
      <c r="BM480" s="475">
        <f t="shared" ref="BM480:BM506" si="1438">IF(BA480=6,(1/0.013)*((AZ480/4000)^(2/3))*((BL480/100)^(0.5)),(1/0.009)*((AZ480/4000)^(2/3))*((BL480/100)^(0.5)))</f>
        <v>1.5545363640648759</v>
      </c>
      <c r="BN480" s="475">
        <f t="shared" ref="BN480:BN506" si="1439">1000*BM480*PI()*((AZ480/1000/2)^2)</f>
        <v>48.837200210844031</v>
      </c>
      <c r="BO480" s="204">
        <f t="shared" ref="BO480:BO506" si="1440">AI480/BN480</f>
        <v>3.0714291432024664E-2</v>
      </c>
      <c r="BP480" s="496">
        <f t="shared" ref="BP480:BP506" si="1441">IF(L480=0," ",AW480/BN480)</f>
        <v>0.27130957431621788</v>
      </c>
      <c r="BQ480" s="497">
        <f t="shared" ref="BQ480:BQ506" si="1442">IF($BO480&gt;0 =AND($BO480&lt;=0.06),10^(0.029806+0.29095*LOG($BO480)),IF($BO480&gt;0.06 =AND($BO480&lt;=0.26),10^(0.013778+0.282597*LOG($BO480)),IF($BO480&gt;0.26 =AND($BO480&lt;=0.91),10^(0.021763+0.28995*LOG($BO480)),1)))</f>
        <v>0.38877445272792249</v>
      </c>
      <c r="BR480" s="497">
        <f t="shared" ref="BR480:BR506" si="1443">IF($BP480&gt;0 =AND($BP480&lt;=0.06),10^(0.029806+0.29095*LOG($BP480)),IF($BP480&gt;0.06 =AND($BP480&lt;=0.26),10^(0.013778+0.282597*LOG($BP480)),IF($BP480&gt;0.26 =AND($BP480&lt;=2),10^(0.021763+0.28995*LOG($BP480))," ")))</f>
        <v>0.72027146809217868</v>
      </c>
      <c r="BS480" s="475">
        <f t="shared" ref="BS480:BS506" si="1444">BM480*BQ480</f>
        <v>0.60436402418497659</v>
      </c>
      <c r="BT480" s="475">
        <f t="shared" ref="BT480:BT506" si="1445">IF(BP480=" "," ",(BM480*BR480))</f>
        <v>1.1196881891476858</v>
      </c>
      <c r="BU480" s="475">
        <f t="shared" ref="BU480:BU506" si="1446">IF(BO480&lt;=0.11,0.3827+0.0645*LN(BO480),IF(BO480&lt;=0.21,0.60025+0.15471*LN(BO480),IF(BO480&lt;1,0.225+0.6666666667*BO480,0)))</f>
        <v>0.15804474471306937</v>
      </c>
      <c r="BV480" s="475">
        <f t="shared" ref="BV480:BV506" si="1447">IF(BP480&lt;=0.11,0.3827+0.0645*LN(BP480),IF(BP480&lt;=0.21,0.60025+0.15471*LN(BP480),IF(BP480&lt;1,0.225+0.6666666667*BP480," ")))</f>
        <v>0.40587304955318892</v>
      </c>
      <c r="BW480" s="475">
        <f t="shared" ref="BW480:BW506" si="1448">2*ACOS(1-2*(BU480))</f>
        <v>1.6353740290025749</v>
      </c>
      <c r="BX480" s="475">
        <f t="shared" ref="BX480:BX506" si="1449">IF(BP480=" "," ",(2*ACOS(1-2*(BV480))))</f>
        <v>2.7628247425411758</v>
      </c>
      <c r="BY480" s="475">
        <f t="shared" ref="BY480:BY506" si="1450">(1/4)*(1-(SIN(BW480))/BW480)</f>
        <v>9.7448417452952352E-2</v>
      </c>
      <c r="BZ480" s="475">
        <f t="shared" ref="BZ480:BZ506" si="1451">IF(BP480=" "," ",((1/4)*(1-(SIN(BX480))/BX480)))</f>
        <v>0.21654004278346667</v>
      </c>
      <c r="CA480" s="471">
        <f t="shared" ref="CA480:CA506" si="1452">BY480*AZ480/1000</f>
        <v>1.9489683490590468E-2</v>
      </c>
      <c r="CB480" s="471">
        <f t="shared" ref="CB480:CB506" si="1453">IF(BP480=" "," ",(BZ480*AZ480/1000))</f>
        <v>4.3308008556693332E-2</v>
      </c>
      <c r="CC480" s="471">
        <f t="shared" ref="CC480:CC506" si="1454">+(BT480/SQRT(9.81*(0.125*(BX480-SIN(BX480))*(AZ480/1000)^2)/((AZ480/1000)*SIN(BX480/2))))</f>
        <v>1.4484355675259168</v>
      </c>
      <c r="CD480" s="471" t="str">
        <f t="shared" ref="CD480:CD506" si="1455">IF(CC480="","",IF(CC480&lt;0.7,"F. Subcrítico",IF(AND(CC480&gt;0.7,CC480&lt;1),"F. Subcrítico Inestable",IF(CC480=1,"F. Crítico",IF(AND(CC480&gt;1,CC480&lt;1.5),"F. Supercrítico Inestable",IF(CC480&gt;1.5,"F. Supercrítico",""))))))</f>
        <v>F. Supercrítico Inestable</v>
      </c>
      <c r="CE480" s="471">
        <f t="shared" ref="CE480:CE506" si="1456">1000*BL480*CA480/100</f>
        <v>0.43211557788075511</v>
      </c>
      <c r="CF480" s="471">
        <f t="shared" ref="CF480:CF506" si="1457">IF(BP480=" "," ",(1000*BL480*CB480/100))</f>
        <v>0.96020364586091356</v>
      </c>
      <c r="CG480" s="471" t="str">
        <f t="shared" ref="CG480:CG506" si="1458">IF(BS480&lt;0.45,"No cumple",IF(BS480&gt;5,"No cumple","O.K"))</f>
        <v>O.K</v>
      </c>
      <c r="CH480" s="471" t="str">
        <f t="shared" ref="CH480:CH506" si="1459">IF(BT480&lt;0.75,"No cumple",IF(BT480&gt;10,"No cumple","O.K"))</f>
        <v>O.K</v>
      </c>
      <c r="CI480" s="471" t="str">
        <f t="shared" ref="CI480:CI506" si="1460">IF(CE480&gt;0.1,"OK","V.C.H.")</f>
        <v>OK</v>
      </c>
      <c r="CJ480" s="471" t="str">
        <f t="shared" ref="CJ480:CJ506" si="1461">IF(CF480&gt;0.2,"OK","V.C.H.")</f>
        <v>OK</v>
      </c>
      <c r="CK480" s="468">
        <f t="shared" ref="CK480:CK506" si="1462">+BJ480</f>
        <v>1</v>
      </c>
      <c r="CL480" s="482" t="s">
        <v>2507</v>
      </c>
      <c r="CM480" s="482"/>
      <c r="CN480" s="63" t="str">
        <f t="shared" ref="CN480:CN506" si="1463">IF(B480=1,"dato"," ")</f>
        <v>dato</v>
      </c>
      <c r="CO480" s="527">
        <f t="shared" si="1332"/>
        <v>30.67</v>
      </c>
      <c r="CP480" s="542">
        <f t="shared" si="1333"/>
        <v>1.9889142484512998E-2</v>
      </c>
      <c r="CQ480" s="482" t="s">
        <v>2508</v>
      </c>
      <c r="CR480" s="204">
        <f t="shared" ref="CR480:CR506" si="1464">IF(BA480="","",AX480)</f>
        <v>30.67</v>
      </c>
      <c r="CS480" s="486">
        <v>1.2</v>
      </c>
      <c r="CT480" s="486">
        <v>1.2</v>
      </c>
      <c r="CU480" s="23">
        <f t="shared" ref="CU480:CU506" si="1465">IF($BA480="","",SQRT((BH480-BI480)^2+$CR480^2))</f>
        <v>30.677537384868433</v>
      </c>
      <c r="CV480" s="499" t="s">
        <v>2509</v>
      </c>
      <c r="CW480" s="488" t="str">
        <f t="shared" ref="CW480:CW506" si="1466">+IF(BD480&lt;=0.9,"E1",IF(BD480&lt;=2.5,"E2","E3"))</f>
        <v>E1</v>
      </c>
      <c r="CX480" s="204">
        <f>IF(AND(L480="",H480=""),"",IF(AND(BA480&lt;&gt;4,BA480&lt;&gt;5),VLOOKUP(AY480,'TABLA (2)'!$A$9:$D$43,4),IF(BA480=4,VLOOKUP(AY480,'TABLA (2)'!$A$74:$D$89,4),VLOOKUP(AY480,'TABLA (2)'!$A$51:$D$66,4))))</f>
        <v>3.6999999999999998E-2</v>
      </c>
      <c r="CY480" s="482"/>
      <c r="CZ480" s="482"/>
      <c r="DA480" s="482"/>
      <c r="DB480" s="490"/>
    </row>
    <row r="481" spans="1:106" ht="15" hidden="1" customHeight="1">
      <c r="A481" s="465">
        <f t="shared" ref="A481:A506" si="1467">+A480+1</f>
        <v>349</v>
      </c>
      <c r="B481" s="491"/>
      <c r="C481" s="466" t="s">
        <v>2283</v>
      </c>
      <c r="D481" s="466" t="s">
        <v>2284</v>
      </c>
      <c r="E481" s="468">
        <v>4.1850298099999995E-2</v>
      </c>
      <c r="F481" s="468"/>
      <c r="G481" s="537">
        <f t="shared" si="1329"/>
        <v>5.5567860199999992E-2</v>
      </c>
      <c r="H481" s="537">
        <f t="shared" si="1330"/>
        <v>9.7418158299999988E-2</v>
      </c>
      <c r="I481" s="468">
        <v>4.1850298099999995E-2</v>
      </c>
      <c r="J481" s="468"/>
      <c r="K481" s="467">
        <f t="shared" ca="1" si="1402"/>
        <v>5.5567860199999992E-2</v>
      </c>
      <c r="L481" s="468">
        <f t="shared" ca="1" si="1403"/>
        <v>9.7418158299999988E-2</v>
      </c>
      <c r="M481" s="469">
        <f t="shared" si="1404"/>
        <v>242.33666300502347</v>
      </c>
      <c r="N481" s="470">
        <f t="shared" si="1405"/>
        <v>10.141861587319474</v>
      </c>
      <c r="O481" s="470">
        <f t="shared" si="1406"/>
        <v>0</v>
      </c>
      <c r="P481" s="470">
        <f t="shared" si="1407"/>
        <v>23.607991398517125</v>
      </c>
      <c r="Q481" s="469">
        <f t="shared" si="1336"/>
        <v>140</v>
      </c>
      <c r="R481" s="471">
        <f t="shared" si="1408"/>
        <v>3.2515636301198352E-2</v>
      </c>
      <c r="S481" s="471"/>
      <c r="T481" s="471"/>
      <c r="U481" s="471">
        <f t="shared" si="1409"/>
        <v>0</v>
      </c>
      <c r="V481" s="471"/>
      <c r="W481" s="471"/>
      <c r="X481" s="471">
        <f t="shared" si="1410"/>
        <v>0</v>
      </c>
      <c r="Y481" s="471">
        <f t="shared" si="1411"/>
        <v>1.948363166E-2</v>
      </c>
      <c r="Z481" s="471">
        <f t="shared" ca="1" si="1412"/>
        <v>0</v>
      </c>
      <c r="AA481" s="471">
        <f t="shared" si="1399"/>
        <v>3.8</v>
      </c>
      <c r="AB481" s="471">
        <f t="shared" si="1413"/>
        <v>0.12355941794455373</v>
      </c>
      <c r="AC481" s="471">
        <f t="shared" si="1414"/>
        <v>1.3968536214016404E-2</v>
      </c>
      <c r="AD481" s="471">
        <f t="shared" si="1415"/>
        <v>8.3700596200000001E-3</v>
      </c>
      <c r="AE481" s="471">
        <f t="shared" si="1416"/>
        <v>0</v>
      </c>
      <c r="AF481" s="510">
        <f t="shared" si="1328"/>
        <v>3.8</v>
      </c>
      <c r="AG481" s="471">
        <f t="shared" si="1417"/>
        <v>5.3080437613262331E-2</v>
      </c>
      <c r="AH481" s="471">
        <f t="shared" si="1418"/>
        <v>6.1450497233262333E-2</v>
      </c>
      <c r="AI481" s="471">
        <f t="shared" ca="1" si="1419"/>
        <v>1.5</v>
      </c>
      <c r="AJ481" s="471">
        <f t="shared" si="1420"/>
        <v>0.75</v>
      </c>
      <c r="AK481" s="472">
        <f t="shared" si="1421"/>
        <v>0.10498029380150305</v>
      </c>
      <c r="AL481" s="471">
        <f t="shared" si="1422"/>
        <v>0.63274901469007516</v>
      </c>
      <c r="AM481" s="473">
        <f t="shared" si="1331"/>
        <v>334.79374311604687</v>
      </c>
      <c r="AN481" s="474">
        <f t="shared" si="1423"/>
        <v>10</v>
      </c>
      <c r="AO481" s="474">
        <f t="shared" si="1424"/>
        <v>0.15505555555555556</v>
      </c>
      <c r="AP481" s="474">
        <f t="shared" si="1425"/>
        <v>10.155055555555556</v>
      </c>
      <c r="AQ481" s="475">
        <v>3</v>
      </c>
      <c r="AR481" s="474">
        <f t="shared" ca="1" si="1426"/>
        <v>0.23151750505972138</v>
      </c>
      <c r="AS481" s="474">
        <f t="shared" ca="1" si="1427"/>
        <v>0.66973577447440968</v>
      </c>
      <c r="AT481" s="471" t="str">
        <f t="shared" ca="1" si="1428"/>
        <v>Disminuir vel.</v>
      </c>
      <c r="AU481" s="492">
        <f t="shared" si="1429"/>
        <v>8.8655843533697745</v>
      </c>
      <c r="AV481" s="471">
        <f t="shared" ca="1" si="1430"/>
        <v>20.6371027010338</v>
      </c>
      <c r="AW481" s="471">
        <f t="shared" ca="1" si="1431"/>
        <v>22.14</v>
      </c>
      <c r="AX481" s="478">
        <f>IF(OR(C481="",D481=""),"",ROUND(((VLOOKUP(C481,'Base de Diseño (2)'!$A$2:$C$333,2,FALSE)-VLOOKUP(D481,'Base de Diseño (2)'!$A$2:$C$333,2,FALSE))^2+(VLOOKUP(C481,'Base de Diseño (2)'!$A$2:$C$333,3,0)-VLOOKUP(D481,'Base de Diseño (2)'!$A$2:$C$333,3,FALSE))^2)^0.5,2))</f>
        <v>27.91</v>
      </c>
      <c r="AY481" s="493">
        <v>8</v>
      </c>
      <c r="AZ481" s="480">
        <f ca="1">IF(AND(L481="",H481=""),"",IF(BA481=4,VLOOKUP(AY481,'TABLA (2)'!$A$74:$C$89,2),IF(BA481=5,VLOOKUP(AY481,'TABLA (2)'!$A$51:$B$66,2),IF(BA481=6,VLOOKUP(AY481,'TABLA (2)'!$A$9:$B$43,2)))))</f>
        <v>200</v>
      </c>
      <c r="BA481" s="493">
        <v>6</v>
      </c>
      <c r="BB481" s="478">
        <f>IF(OR(C481="",D481=""),"",VLOOKUP(C481,'Base de Diseño (2)'!$A$2:$D$330,4,FALSE))</f>
        <v>986.16160000000002</v>
      </c>
      <c r="BC481" s="478">
        <f>IF(OR(C481="",D481=""),"",VLOOKUP(D481,'Base de Diseño (2)'!$A$2:$D$330,4,FALSE))</f>
        <v>983.23160000000007</v>
      </c>
      <c r="BD481" s="23">
        <f t="shared" ca="1" si="1432"/>
        <v>1.8330000000000499</v>
      </c>
      <c r="BE481" s="23">
        <f t="shared" ca="1" si="1433"/>
        <v>1.0629999999999544</v>
      </c>
      <c r="BF481" s="494">
        <v>2.07000000000005</v>
      </c>
      <c r="BG481" s="494">
        <v>1.2999999999999545</v>
      </c>
      <c r="BH481" s="495">
        <f t="shared" si="1434"/>
        <v>984.09159999999997</v>
      </c>
      <c r="BI481" s="495">
        <f t="shared" si="1435"/>
        <v>981.93160000000012</v>
      </c>
      <c r="BJ481" s="534">
        <f t="shared" si="1398"/>
        <v>0.19000000000005457</v>
      </c>
      <c r="BK481" s="475">
        <f t="shared" si="1436"/>
        <v>10.498029380150305</v>
      </c>
      <c r="BL481" s="475">
        <f t="shared" si="1437"/>
        <v>7.7391615908271385</v>
      </c>
      <c r="BM481" s="475">
        <f t="shared" ca="1" si="1438"/>
        <v>2.904358847948258</v>
      </c>
      <c r="BN481" s="475">
        <f t="shared" ca="1" si="1439"/>
        <v>91.243124201027641</v>
      </c>
      <c r="BO481" s="204">
        <f t="shared" ca="1" si="1440"/>
        <v>1.643959490794273E-2</v>
      </c>
      <c r="BP481" s="496">
        <f t="shared" ca="1" si="1441"/>
        <v>0.2426484208412347</v>
      </c>
      <c r="BQ481" s="497">
        <f t="shared" ca="1" si="1442"/>
        <v>0.32413021625564631</v>
      </c>
      <c r="BR481" s="497">
        <f t="shared" ca="1" si="1443"/>
        <v>0.69179031538840463</v>
      </c>
      <c r="BS481" s="475">
        <f t="shared" ca="1" si="1444"/>
        <v>0.9413904614694687</v>
      </c>
      <c r="BT481" s="475">
        <f t="shared" ca="1" si="1445"/>
        <v>2.0092073234232291</v>
      </c>
      <c r="BU481" s="475">
        <f t="shared" ca="1" si="1446"/>
        <v>0.11772996679605147</v>
      </c>
      <c r="BV481" s="475">
        <f t="shared" ca="1" si="1447"/>
        <v>0.38676561390224473</v>
      </c>
      <c r="BW481" s="475">
        <f t="shared" ca="1" si="1448"/>
        <v>1.4009376856062612</v>
      </c>
      <c r="BX481" s="475">
        <f t="shared" ca="1" si="1449"/>
        <v>2.6846912063355206</v>
      </c>
      <c r="BY481" s="475">
        <f t="shared" ca="1" si="1450"/>
        <v>7.411625395536578E-2</v>
      </c>
      <c r="BZ481" s="475">
        <f t="shared" ca="1" si="1451"/>
        <v>0.20891803932021424</v>
      </c>
      <c r="CA481" s="471">
        <f t="shared" ca="1" si="1452"/>
        <v>1.4823250791073155E-2</v>
      </c>
      <c r="CB481" s="471">
        <f t="shared" ca="1" si="1453"/>
        <v>4.1783607864042852E-2</v>
      </c>
      <c r="CC481" s="471">
        <f t="shared" ca="1" si="1454"/>
        <v>2.6732445767289743</v>
      </c>
      <c r="CD481" s="471" t="str">
        <f t="shared" ca="1" si="1455"/>
        <v>F. Supercrítico</v>
      </c>
      <c r="CE481" s="471">
        <f t="shared" ca="1" si="1456"/>
        <v>1.1471953317347137</v>
      </c>
      <c r="CF481" s="471">
        <f t="shared" ca="1" si="1457"/>
        <v>3.2337009310758322</v>
      </c>
      <c r="CG481" s="471" t="str">
        <f t="shared" ca="1" si="1458"/>
        <v>O.K</v>
      </c>
      <c r="CH481" s="471" t="str">
        <f t="shared" ca="1" si="1459"/>
        <v>O.K</v>
      </c>
      <c r="CI481" s="471" t="str">
        <f t="shared" ca="1" si="1460"/>
        <v>OK</v>
      </c>
      <c r="CJ481" s="471" t="str">
        <f t="shared" ca="1" si="1461"/>
        <v>OK</v>
      </c>
      <c r="CK481" s="468">
        <f t="shared" si="1462"/>
        <v>0.19000000000005457</v>
      </c>
      <c r="CL481" s="482" t="s">
        <v>2507</v>
      </c>
      <c r="CM481" s="482"/>
      <c r="CN481" s="63" t="str">
        <f t="shared" si="1463"/>
        <v xml:space="preserve"> </v>
      </c>
      <c r="CO481" s="527">
        <f t="shared" si="1332"/>
        <v>27.91</v>
      </c>
      <c r="CP481" s="511">
        <f t="shared" si="1333"/>
        <v>0.10498029380150305</v>
      </c>
      <c r="CQ481" s="482" t="s">
        <v>2508</v>
      </c>
      <c r="CR481" s="204">
        <f t="shared" si="1464"/>
        <v>27.91</v>
      </c>
      <c r="CS481" s="486">
        <v>1.2</v>
      </c>
      <c r="CT481" s="486">
        <v>1.2</v>
      </c>
      <c r="CU481" s="23">
        <f t="shared" si="1465"/>
        <v>27.993458164364036</v>
      </c>
      <c r="CV481" s="499" t="s">
        <v>2509</v>
      </c>
      <c r="CW481" s="488" t="str">
        <f t="shared" ca="1" si="1466"/>
        <v>E2</v>
      </c>
      <c r="CX481" s="204">
        <f ca="1">IF(AND(L481="",H481=""),"",IF(AND(BA481&lt;&gt;4,BA481&lt;&gt;5),VLOOKUP(AY481,'TABLA (2)'!$A$9:$D$43,4),IF(BA481=4,VLOOKUP(AY481,'TABLA (2)'!$A$74:$D$89,4),VLOOKUP(AY481,'TABLA (2)'!$A$51:$D$66,4))))</f>
        <v>3.6999999999999998E-2</v>
      </c>
      <c r="CY481" s="482"/>
      <c r="CZ481" s="482"/>
      <c r="DA481" s="482"/>
      <c r="DB481" s="490"/>
    </row>
    <row r="482" spans="1:106" ht="15" hidden="1" customHeight="1">
      <c r="A482" s="465">
        <f t="shared" si="1467"/>
        <v>350</v>
      </c>
      <c r="B482" s="491"/>
      <c r="C482" s="466" t="s">
        <v>2284</v>
      </c>
      <c r="D482" s="466" t="s">
        <v>2285</v>
      </c>
      <c r="E482" s="468">
        <v>3.36780177E-2</v>
      </c>
      <c r="F482" s="468"/>
      <c r="G482" s="537">
        <f t="shared" si="1329"/>
        <v>9.7418158299999988E-2</v>
      </c>
      <c r="H482" s="537">
        <f t="shared" si="1330"/>
        <v>0.13109617599999998</v>
      </c>
      <c r="I482" s="468">
        <v>3.36780177E-2</v>
      </c>
      <c r="J482" s="468"/>
      <c r="K482" s="467">
        <f t="shared" ca="1" si="1402"/>
        <v>9.7418158299999988E-2</v>
      </c>
      <c r="L482" s="468">
        <f t="shared" ca="1" si="1403"/>
        <v>0.13109617599999998</v>
      </c>
      <c r="M482" s="469">
        <f t="shared" si="1404"/>
        <v>242.33666300502347</v>
      </c>
      <c r="N482" s="470">
        <f t="shared" si="1405"/>
        <v>8.1614184260421148</v>
      </c>
      <c r="O482" s="470">
        <f t="shared" si="1406"/>
        <v>0</v>
      </c>
      <c r="P482" s="470">
        <f t="shared" si="1407"/>
        <v>31.76940982455924</v>
      </c>
      <c r="Q482" s="469">
        <f t="shared" si="1336"/>
        <v>140</v>
      </c>
      <c r="R482" s="471">
        <f t="shared" si="1408"/>
        <v>4.3756478809288769E-2</v>
      </c>
      <c r="S482" s="471"/>
      <c r="T482" s="471"/>
      <c r="U482" s="471">
        <f t="shared" si="1409"/>
        <v>0</v>
      </c>
      <c r="V482" s="471"/>
      <c r="W482" s="471"/>
      <c r="X482" s="471">
        <f t="shared" si="1410"/>
        <v>0</v>
      </c>
      <c r="Y482" s="471">
        <f t="shared" si="1411"/>
        <v>2.6219235199999996E-2</v>
      </c>
      <c r="Z482" s="471">
        <f t="shared" ca="1" si="1412"/>
        <v>0</v>
      </c>
      <c r="AA482" s="471">
        <f t="shared" si="1399"/>
        <v>3.8</v>
      </c>
      <c r="AB482" s="471">
        <f t="shared" si="1413"/>
        <v>0.16627461947529731</v>
      </c>
      <c r="AC482" s="471">
        <f t="shared" si="1414"/>
        <v>1.1240842508090413E-2</v>
      </c>
      <c r="AD482" s="471">
        <f t="shared" si="1415"/>
        <v>6.7356035400000002E-3</v>
      </c>
      <c r="AE482" s="471">
        <f t="shared" si="1416"/>
        <v>0</v>
      </c>
      <c r="AF482" s="510">
        <f t="shared" si="1328"/>
        <v>3.8</v>
      </c>
      <c r="AG482" s="471">
        <f t="shared" si="1417"/>
        <v>4.2715201530743568E-2</v>
      </c>
      <c r="AH482" s="471">
        <f t="shared" si="1418"/>
        <v>4.9450805070743571E-2</v>
      </c>
      <c r="AI482" s="471">
        <f t="shared" ca="1" si="1419"/>
        <v>1.5</v>
      </c>
      <c r="AJ482" s="471">
        <f t="shared" si="1420"/>
        <v>0.75</v>
      </c>
      <c r="AK482" s="472">
        <f t="shared" si="1421"/>
        <v>7.7582846003898989E-2</v>
      </c>
      <c r="AL482" s="471">
        <f t="shared" si="1422"/>
        <v>0.63137914230019498</v>
      </c>
      <c r="AM482" s="473">
        <f t="shared" si="1331"/>
        <v>333.39718811521067</v>
      </c>
      <c r="AN482" s="474">
        <f t="shared" si="1423"/>
        <v>10.155055555555556</v>
      </c>
      <c r="AO482" s="474">
        <f t="shared" si="1424"/>
        <v>0.14249999999999999</v>
      </c>
      <c r="AP482" s="474">
        <f t="shared" si="1425"/>
        <v>10.297555555555556</v>
      </c>
      <c r="AQ482" s="475">
        <v>3</v>
      </c>
      <c r="AR482" s="474">
        <f t="shared" ca="1" si="1426"/>
        <v>0.22786870591508682</v>
      </c>
      <c r="AS482" s="474">
        <f t="shared" ca="1" si="1427"/>
        <v>0.62536011440334116</v>
      </c>
      <c r="AT482" s="471" t="str">
        <f t="shared" ca="1" si="1428"/>
        <v>Disminuir vel.</v>
      </c>
      <c r="AU482" s="492">
        <f t="shared" si="1429"/>
        <v>7.0892237590066634</v>
      </c>
      <c r="AV482" s="471">
        <f t="shared" ca="1" si="1430"/>
        <v>27.595749069700112</v>
      </c>
      <c r="AW482" s="471">
        <f t="shared" ca="1" si="1431"/>
        <v>29.1</v>
      </c>
      <c r="AX482" s="478">
        <f>IF(OR(C482="",D482=""),"",ROUND(((VLOOKUP(C482,'Base de Diseño (2)'!$A$2:$C$333,2,FALSE)-VLOOKUP(D482,'Base de Diseño (2)'!$A$2:$C$333,2,FALSE))^2+(VLOOKUP(C482,'Base de Diseño (2)'!$A$2:$C$333,3,0)-VLOOKUP(D482,'Base de Diseño (2)'!$A$2:$C$333,3,FALSE))^2)^0.5,2))</f>
        <v>25.65</v>
      </c>
      <c r="AY482" s="493">
        <v>8</v>
      </c>
      <c r="AZ482" s="480">
        <f ca="1">IF(AND(L482="",H482=""),"",IF(BA482=4,VLOOKUP(AY482,'TABLA (2)'!$A$74:$C$89,2),IF(BA482=5,VLOOKUP(AY482,'TABLA (2)'!$A$51:$B$66,2),IF(BA482=6,VLOOKUP(AY482,'TABLA (2)'!$A$9:$B$43,2)))))</f>
        <v>200</v>
      </c>
      <c r="BA482" s="493">
        <v>6</v>
      </c>
      <c r="BB482" s="478">
        <f>IF(OR(C482="",D482=""),"",VLOOKUP(C482,'Base de Diseño (2)'!$A$2:$D$330,4,FALSE))</f>
        <v>983.23160000000007</v>
      </c>
      <c r="BC482" s="478">
        <f>IF(OR(C482="",D482=""),"",VLOOKUP(D482,'Base de Diseño (2)'!$A$2:$D$330,4,FALSE))</f>
        <v>981.24160000000006</v>
      </c>
      <c r="BD482" s="23">
        <f t="shared" ca="1" si="1432"/>
        <v>1.253000000000009</v>
      </c>
      <c r="BE482" s="23">
        <f t="shared" ca="1" si="1433"/>
        <v>0.54299999999997273</v>
      </c>
      <c r="BF482" s="494">
        <v>1.4900000000000091</v>
      </c>
      <c r="BG482" s="494">
        <v>0.77999999999997272</v>
      </c>
      <c r="BH482" s="495">
        <f t="shared" si="1434"/>
        <v>981.74160000000006</v>
      </c>
      <c r="BI482" s="495">
        <f t="shared" si="1435"/>
        <v>980.46160000000009</v>
      </c>
      <c r="BJ482" s="534">
        <f t="shared" si="1398"/>
        <v>0</v>
      </c>
      <c r="BK482" s="475">
        <f t="shared" si="1436"/>
        <v>7.7582846003898993</v>
      </c>
      <c r="BL482" s="475">
        <f t="shared" si="1437"/>
        <v>4.9902534113059369</v>
      </c>
      <c r="BM482" s="475">
        <f t="shared" ca="1" si="1438"/>
        <v>2.3321936973263457</v>
      </c>
      <c r="BN482" s="475">
        <f t="shared" ca="1" si="1439"/>
        <v>73.268025862688674</v>
      </c>
      <c r="BO482" s="204">
        <f t="shared" ca="1" si="1440"/>
        <v>2.0472777618045071E-2</v>
      </c>
      <c r="BP482" s="496">
        <f t="shared" ca="1" si="1441"/>
        <v>0.3971718857900744</v>
      </c>
      <c r="BQ482" s="497">
        <f t="shared" ca="1" si="1442"/>
        <v>0.34549588645665336</v>
      </c>
      <c r="BR482" s="497">
        <f t="shared" ca="1" si="1443"/>
        <v>0.80442732752463231</v>
      </c>
      <c r="BS482" s="475">
        <f t="shared" ca="1" si="1444"/>
        <v>0.80576332884638568</v>
      </c>
      <c r="BT482" s="475">
        <f t="shared" ca="1" si="1445"/>
        <v>1.8760803432100235</v>
      </c>
      <c r="BU482" s="475">
        <f t="shared" ca="1" si="1446"/>
        <v>0.13188148183366727</v>
      </c>
      <c r="BV482" s="475">
        <f t="shared" ca="1" si="1447"/>
        <v>0.48978125720662202</v>
      </c>
      <c r="BW482" s="475">
        <f t="shared" ca="1" si="1448"/>
        <v>1.4866069611093751</v>
      </c>
      <c r="BX482" s="475">
        <f t="shared" ca="1" si="1449"/>
        <v>3.1007148363646175</v>
      </c>
      <c r="BY482" s="475">
        <f t="shared" ca="1" si="1450"/>
        <v>8.2427434728898658E-2</v>
      </c>
      <c r="BZ482" s="475">
        <f t="shared" ca="1" si="1451"/>
        <v>0.24670507964384633</v>
      </c>
      <c r="CA482" s="471">
        <f t="shared" ca="1" si="1452"/>
        <v>1.6485486945779729E-2</v>
      </c>
      <c r="CB482" s="471">
        <f t="shared" ca="1" si="1453"/>
        <v>4.9341015928769265E-2</v>
      </c>
      <c r="CC482" s="471">
        <f t="shared" ca="1" si="1454"/>
        <v>2.1654672017117313</v>
      </c>
      <c r="CD482" s="471" t="str">
        <f t="shared" ca="1" si="1455"/>
        <v>F. Supercrítico</v>
      </c>
      <c r="CE482" s="471">
        <f t="shared" ca="1" si="1456"/>
        <v>0.822667574682168</v>
      </c>
      <c r="CF482" s="471">
        <f t="shared" ca="1" si="1457"/>
        <v>2.4622417305584143</v>
      </c>
      <c r="CG482" s="471" t="str">
        <f t="shared" ca="1" si="1458"/>
        <v>O.K</v>
      </c>
      <c r="CH482" s="471" t="str">
        <f t="shared" ca="1" si="1459"/>
        <v>O.K</v>
      </c>
      <c r="CI482" s="471" t="str">
        <f t="shared" ca="1" si="1460"/>
        <v>OK</v>
      </c>
      <c r="CJ482" s="471" t="str">
        <f t="shared" ca="1" si="1461"/>
        <v>OK</v>
      </c>
      <c r="CK482" s="468">
        <f t="shared" si="1462"/>
        <v>0</v>
      </c>
      <c r="CL482" s="482" t="s">
        <v>2507</v>
      </c>
      <c r="CM482" s="482"/>
      <c r="CN482" s="63" t="str">
        <f t="shared" si="1463"/>
        <v xml:space="preserve"> </v>
      </c>
      <c r="CO482" s="527">
        <f t="shared" si="1332"/>
        <v>25.65</v>
      </c>
      <c r="CP482" s="542">
        <f t="shared" si="1333"/>
        <v>7.7582846003898989E-2</v>
      </c>
      <c r="CQ482" s="482" t="s">
        <v>2508</v>
      </c>
      <c r="CR482" s="204">
        <f t="shared" si="1464"/>
        <v>25.65</v>
      </c>
      <c r="CS482" s="486">
        <v>1.2</v>
      </c>
      <c r="CT482" s="486">
        <v>1.2</v>
      </c>
      <c r="CU482" s="23">
        <f t="shared" si="1465"/>
        <v>25.681917763282396</v>
      </c>
      <c r="CV482" s="499" t="s">
        <v>2509</v>
      </c>
      <c r="CW482" s="488" t="str">
        <f t="shared" ca="1" si="1466"/>
        <v>E2</v>
      </c>
      <c r="CX482" s="204">
        <f ca="1">IF(AND(L482="",H482=""),"",IF(AND(BA482&lt;&gt;4,BA482&lt;&gt;5),VLOOKUP(AY482,'TABLA (2)'!$A$9:$D$43,4),IF(BA482=4,VLOOKUP(AY482,'TABLA (2)'!$A$74:$D$89,4),VLOOKUP(AY482,'TABLA (2)'!$A$51:$D$66,4))))</f>
        <v>3.6999999999999998E-2</v>
      </c>
      <c r="CY482" s="482"/>
      <c r="CZ482" s="482"/>
      <c r="DA482" s="482"/>
      <c r="DB482" s="490"/>
    </row>
    <row r="483" spans="1:106" ht="15" hidden="1" customHeight="1">
      <c r="A483" s="465">
        <f t="shared" si="1467"/>
        <v>351</v>
      </c>
      <c r="B483" s="491"/>
      <c r="C483" s="466" t="s">
        <v>2285</v>
      </c>
      <c r="D483" s="466" t="s">
        <v>2286</v>
      </c>
      <c r="E483" s="468"/>
      <c r="F483" s="468"/>
      <c r="G483" s="537">
        <f t="shared" si="1329"/>
        <v>0.13109617599999998</v>
      </c>
      <c r="H483" s="537">
        <f t="shared" si="1330"/>
        <v>0.13109617599999998</v>
      </c>
      <c r="I483" s="468"/>
      <c r="J483" s="468"/>
      <c r="K483" s="467">
        <f t="shared" ca="1" si="1402"/>
        <v>0.13109617599999998</v>
      </c>
      <c r="L483" s="468">
        <f t="shared" ca="1" si="1403"/>
        <v>0.13109617599999998</v>
      </c>
      <c r="M483" s="469">
        <f t="shared" si="1404"/>
        <v>242.33666300502347</v>
      </c>
      <c r="N483" s="470">
        <f t="shared" si="1405"/>
        <v>0</v>
      </c>
      <c r="O483" s="470">
        <f t="shared" si="1406"/>
        <v>0</v>
      </c>
      <c r="P483" s="470">
        <f t="shared" si="1407"/>
        <v>31.76940982455924</v>
      </c>
      <c r="Q483" s="469">
        <f t="shared" si="1336"/>
        <v>140</v>
      </c>
      <c r="R483" s="471">
        <f t="shared" si="1408"/>
        <v>4.3756478809288769E-2</v>
      </c>
      <c r="S483" s="471"/>
      <c r="T483" s="471"/>
      <c r="U483" s="471">
        <f t="shared" si="1409"/>
        <v>0</v>
      </c>
      <c r="V483" s="471"/>
      <c r="W483" s="471"/>
      <c r="X483" s="471">
        <f t="shared" si="1410"/>
        <v>0</v>
      </c>
      <c r="Y483" s="471">
        <f t="shared" si="1411"/>
        <v>2.6219235199999996E-2</v>
      </c>
      <c r="Z483" s="471">
        <f t="shared" ca="1" si="1412"/>
        <v>0</v>
      </c>
      <c r="AA483" s="471">
        <f t="shared" si="1399"/>
        <v>3.8</v>
      </c>
      <c r="AB483" s="471">
        <f t="shared" si="1413"/>
        <v>0.16627461947529731</v>
      </c>
      <c r="AC483" s="471">
        <f t="shared" si="1414"/>
        <v>0</v>
      </c>
      <c r="AD483" s="471">
        <f t="shared" si="1415"/>
        <v>0</v>
      </c>
      <c r="AE483" s="471">
        <f t="shared" si="1416"/>
        <v>0</v>
      </c>
      <c r="AF483" s="510">
        <f t="shared" si="1328"/>
        <v>3.8</v>
      </c>
      <c r="AG483" s="471">
        <f t="shared" si="1417"/>
        <v>0</v>
      </c>
      <c r="AH483" s="471">
        <f t="shared" si="1418"/>
        <v>0</v>
      </c>
      <c r="AI483" s="471">
        <f t="shared" ca="1" si="1419"/>
        <v>1.5</v>
      </c>
      <c r="AJ483" s="471">
        <f t="shared" si="1420"/>
        <v>0.75</v>
      </c>
      <c r="AK483" s="472">
        <f t="shared" si="1421"/>
        <v>6.0261131570120523E-3</v>
      </c>
      <c r="AL483" s="471">
        <f t="shared" si="1422"/>
        <v>0.62780130565785064</v>
      </c>
      <c r="AM483" s="473">
        <f t="shared" si="1331"/>
        <v>331.78487152950231</v>
      </c>
      <c r="AN483" s="474">
        <f t="shared" si="1423"/>
        <v>10.297555555555556</v>
      </c>
      <c r="AO483" s="474">
        <f t="shared" si="1424"/>
        <v>0.16594444444444445</v>
      </c>
      <c r="AP483" s="474">
        <f t="shared" si="1425"/>
        <v>10.4635</v>
      </c>
      <c r="AQ483" s="475">
        <v>3</v>
      </c>
      <c r="AR483" s="474">
        <f t="shared" ca="1" si="1426"/>
        <v>0.37673819290555721</v>
      </c>
      <c r="AS483" s="474">
        <f t="shared" ca="1" si="1427"/>
        <v>0.44047682865550164</v>
      </c>
      <c r="AT483" s="471" t="str">
        <f t="shared" ca="1" si="1428"/>
        <v>Disminuir vel.</v>
      </c>
      <c r="AU483" s="492">
        <f t="shared" si="1429"/>
        <v>0</v>
      </c>
      <c r="AV483" s="471">
        <f t="shared" ca="1" si="1430"/>
        <v>27.306674773798324</v>
      </c>
      <c r="AW483" s="471">
        <f t="shared" ca="1" si="1431"/>
        <v>28.81</v>
      </c>
      <c r="AX483" s="478">
        <f>IF(OR(C483="",D483=""),"",ROUND(((VLOOKUP(C483,'Base de Diseño (2)'!$A$2:$C$333,2,FALSE)-VLOOKUP(D483,'Base de Diseño (2)'!$A$2:$C$333,2,FALSE))^2+(VLOOKUP(C483,'Base de Diseño (2)'!$A$2:$C$333,3,0)-VLOOKUP(D483,'Base de Diseño (2)'!$A$2:$C$333,3,FALSE))^2)^0.5,2))</f>
        <v>29.87</v>
      </c>
      <c r="AY483" s="493">
        <v>8</v>
      </c>
      <c r="AZ483" s="480">
        <f ca="1">IF(AND(L483="",H483=""),"",IF(BA483=4,VLOOKUP(AY483,'TABLA (2)'!$A$74:$C$89,2),IF(BA483=5,VLOOKUP(AY483,'TABLA (2)'!$A$51:$B$66,2),IF(BA483=6,VLOOKUP(AY483,'TABLA (2)'!$A$9:$B$43,2)))))</f>
        <v>200</v>
      </c>
      <c r="BA483" s="493">
        <v>6</v>
      </c>
      <c r="BB483" s="478">
        <f>IF(OR(C483="",D483=""),"",VLOOKUP(C483,'Base de Diseño (2)'!$A$2:$D$330,4,FALSE))</f>
        <v>981.24160000000006</v>
      </c>
      <c r="BC483" s="478">
        <f>IF(OR(C483="",D483=""),"",VLOOKUP(D483,'Base de Diseño (2)'!$A$2:$D$330,4,FALSE))</f>
        <v>981.42160000000001</v>
      </c>
      <c r="BD483" s="23">
        <f t="shared" ca="1" si="1432"/>
        <v>0.54299999999997273</v>
      </c>
      <c r="BE483" s="23">
        <f t="shared" ca="1" si="1433"/>
        <v>1.2829999999999817</v>
      </c>
      <c r="BF483" s="494">
        <v>0.77999999999997272</v>
      </c>
      <c r="BG483" s="494">
        <v>1.5199999999999818</v>
      </c>
      <c r="BH483" s="495">
        <f t="shared" si="1434"/>
        <v>980.46160000000009</v>
      </c>
      <c r="BI483" s="495">
        <f t="shared" si="1435"/>
        <v>979.90160000000003</v>
      </c>
      <c r="BJ483" s="534">
        <f t="shared" si="1398"/>
        <v>3.999999999996362E-2</v>
      </c>
      <c r="BK483" s="475">
        <f t="shared" si="1436"/>
        <v>0.60261131570120519</v>
      </c>
      <c r="BL483" s="475">
        <f t="shared" si="1437"/>
        <v>1.8747907599600238</v>
      </c>
      <c r="BM483" s="475">
        <f t="shared" ca="1" si="1438"/>
        <v>1.4294853848151789</v>
      </c>
      <c r="BN483" s="475">
        <f t="shared" ca="1" si="1439"/>
        <v>44.908607833493463</v>
      </c>
      <c r="BO483" s="204">
        <f t="shared" ca="1" si="1440"/>
        <v>3.3401169004425899E-2</v>
      </c>
      <c r="BP483" s="496">
        <f t="shared" ca="1" si="1441"/>
        <v>0.64152511934500678</v>
      </c>
      <c r="BQ483" s="497">
        <f t="shared" ca="1" si="1442"/>
        <v>0.39837718362559188</v>
      </c>
      <c r="BR483" s="497">
        <f t="shared" ca="1" si="1443"/>
        <v>0.92440993101678715</v>
      </c>
      <c r="BS483" s="475">
        <f t="shared" ca="1" si="1444"/>
        <v>0.56947436163661647</v>
      </c>
      <c r="BT483" s="475">
        <f t="shared" ca="1" si="1445"/>
        <v>1.3214304859665049</v>
      </c>
      <c r="BU483" s="475">
        <f t="shared" ca="1" si="1446"/>
        <v>0.16345389752357478</v>
      </c>
      <c r="BV483" s="475">
        <f t="shared" ca="1" si="1447"/>
        <v>0.65268341291805532</v>
      </c>
      <c r="BW483" s="475">
        <f t="shared" ca="1" si="1448"/>
        <v>1.664828606133224</v>
      </c>
      <c r="BX483" s="475">
        <f t="shared" ca="1" si="1449"/>
        <v>3.7622399170767338</v>
      </c>
      <c r="BY483" s="475">
        <f t="shared" ca="1" si="1450"/>
        <v>0.10049779025526417</v>
      </c>
      <c r="BZ483" s="475">
        <f t="shared" ca="1" si="1451"/>
        <v>0.28864465354510532</v>
      </c>
      <c r="CA483" s="471">
        <f t="shared" ca="1" si="1452"/>
        <v>2.0099558051052836E-2</v>
      </c>
      <c r="CB483" s="471">
        <f t="shared" ca="1" si="1453"/>
        <v>5.7728930709021062E-2</v>
      </c>
      <c r="CC483" s="471">
        <f t="shared" ca="1" si="1454"/>
        <v>1.2493290512253525</v>
      </c>
      <c r="CD483" s="471" t="str">
        <f t="shared" ca="1" si="1455"/>
        <v>F. Supercrítico Inestable</v>
      </c>
      <c r="CE483" s="471">
        <f t="shared" ca="1" si="1456"/>
        <v>0.37682465713393959</v>
      </c>
      <c r="CF483" s="471">
        <f t="shared" ca="1" si="1457"/>
        <v>1.0822966587564515</v>
      </c>
      <c r="CG483" s="471" t="str">
        <f t="shared" ca="1" si="1458"/>
        <v>O.K</v>
      </c>
      <c r="CH483" s="471" t="str">
        <f t="shared" ca="1" si="1459"/>
        <v>O.K</v>
      </c>
      <c r="CI483" s="471" t="str">
        <f t="shared" ca="1" si="1460"/>
        <v>OK</v>
      </c>
      <c r="CJ483" s="471" t="str">
        <f t="shared" ca="1" si="1461"/>
        <v>OK</v>
      </c>
      <c r="CK483" s="468">
        <f t="shared" si="1462"/>
        <v>3.999999999996362E-2</v>
      </c>
      <c r="CL483" s="482" t="s">
        <v>2507</v>
      </c>
      <c r="CM483" s="482"/>
      <c r="CN483" s="63" t="str">
        <f t="shared" si="1463"/>
        <v xml:space="preserve"> </v>
      </c>
      <c r="CO483" s="527">
        <f t="shared" si="1332"/>
        <v>29.87</v>
      </c>
      <c r="CP483" s="511">
        <f t="shared" si="1333"/>
        <v>6.0261131570120523E-3</v>
      </c>
      <c r="CQ483" s="482" t="s">
        <v>2508</v>
      </c>
      <c r="CR483" s="204">
        <f t="shared" si="1464"/>
        <v>29.87</v>
      </c>
      <c r="CS483" s="486">
        <v>1.2</v>
      </c>
      <c r="CT483" s="486">
        <v>1.2</v>
      </c>
      <c r="CU483" s="23">
        <f t="shared" si="1465"/>
        <v>29.875248952937614</v>
      </c>
      <c r="CV483" s="499" t="s">
        <v>2509</v>
      </c>
      <c r="CW483" s="488" t="str">
        <f t="shared" ca="1" si="1466"/>
        <v>E1</v>
      </c>
      <c r="CX483" s="204">
        <f ca="1">IF(AND(L483="",H483=""),"",IF(AND(BA483&lt;&gt;4,BA483&lt;&gt;5),VLOOKUP(AY483,'TABLA (2)'!$A$9:$D$43,4),IF(BA483=4,VLOOKUP(AY483,'TABLA (2)'!$A$74:$D$89,4),VLOOKUP(AY483,'TABLA (2)'!$A$51:$D$66,4))))</f>
        <v>3.6999999999999998E-2</v>
      </c>
      <c r="CY483" s="482"/>
      <c r="CZ483" s="482"/>
      <c r="DA483" s="482"/>
      <c r="DB483" s="490"/>
    </row>
    <row r="484" spans="1:106" ht="15" hidden="1" customHeight="1">
      <c r="A484" s="465">
        <f t="shared" si="1467"/>
        <v>352</v>
      </c>
      <c r="B484" s="491"/>
      <c r="C484" s="466" t="s">
        <v>2286</v>
      </c>
      <c r="D484" s="466" t="s">
        <v>2287</v>
      </c>
      <c r="E484" s="468"/>
      <c r="F484" s="468"/>
      <c r="G484" s="537">
        <f t="shared" si="1329"/>
        <v>0.39324731619999997</v>
      </c>
      <c r="H484" s="537">
        <f t="shared" si="1330"/>
        <v>0.39324731619999997</v>
      </c>
      <c r="I484" s="468"/>
      <c r="J484" s="468"/>
      <c r="K484" s="467">
        <f t="shared" ca="1" si="1402"/>
        <v>0.39324731619999997</v>
      </c>
      <c r="L484" s="468">
        <f t="shared" ca="1" si="1403"/>
        <v>0.39324731619999997</v>
      </c>
      <c r="M484" s="469">
        <f t="shared" si="1404"/>
        <v>242.33666300502347</v>
      </c>
      <c r="N484" s="470">
        <f t="shared" si="1405"/>
        <v>0</v>
      </c>
      <c r="O484" s="470">
        <f t="shared" si="1406"/>
        <v>0</v>
      </c>
      <c r="P484" s="470">
        <f t="shared" si="1407"/>
        <v>95.298242343589294</v>
      </c>
      <c r="Q484" s="469">
        <f t="shared" si="1336"/>
        <v>140</v>
      </c>
      <c r="R484" s="471">
        <f t="shared" si="1408"/>
        <v>0.13125568100563803</v>
      </c>
      <c r="S484" s="471"/>
      <c r="T484" s="471"/>
      <c r="U484" s="471">
        <f t="shared" si="1409"/>
        <v>0</v>
      </c>
      <c r="V484" s="471"/>
      <c r="W484" s="471"/>
      <c r="X484" s="471">
        <f t="shared" si="1410"/>
        <v>0</v>
      </c>
      <c r="Y484" s="471">
        <f t="shared" si="1411"/>
        <v>7.8649463239999995E-2</v>
      </c>
      <c r="Z484" s="471">
        <f t="shared" ca="1" si="1412"/>
        <v>0</v>
      </c>
      <c r="AA484" s="471">
        <f t="shared" si="1399"/>
        <v>3.8</v>
      </c>
      <c r="AB484" s="471">
        <f t="shared" si="1413"/>
        <v>0.4987715878214245</v>
      </c>
      <c r="AC484" s="471">
        <f t="shared" si="1414"/>
        <v>0</v>
      </c>
      <c r="AD484" s="471">
        <f t="shared" si="1415"/>
        <v>0</v>
      </c>
      <c r="AE484" s="471">
        <f t="shared" si="1416"/>
        <v>0</v>
      </c>
      <c r="AF484" s="510">
        <f t="shared" si="1328"/>
        <v>3.8</v>
      </c>
      <c r="AG484" s="471">
        <f t="shared" si="1417"/>
        <v>0</v>
      </c>
      <c r="AH484" s="471">
        <f t="shared" si="1418"/>
        <v>0</v>
      </c>
      <c r="AI484" s="471">
        <f t="shared" ca="1" si="1419"/>
        <v>1.5</v>
      </c>
      <c r="AJ484" s="471">
        <f t="shared" si="1420"/>
        <v>0.75</v>
      </c>
      <c r="AK484" s="472">
        <f t="shared" si="1421"/>
        <v>8.3500334001335996E-3</v>
      </c>
      <c r="AL484" s="471">
        <f t="shared" si="1422"/>
        <v>0.62791750167000671</v>
      </c>
      <c r="AM484" s="473">
        <f t="shared" si="1331"/>
        <v>330.18370028929593</v>
      </c>
      <c r="AN484" s="474">
        <f t="shared" si="1423"/>
        <v>10.4635</v>
      </c>
      <c r="AO484" s="474">
        <f t="shared" si="1424"/>
        <v>0.16633333333333333</v>
      </c>
      <c r="AP484" s="474">
        <f t="shared" si="1425"/>
        <v>10.629833333333334</v>
      </c>
      <c r="AQ484" s="475">
        <v>3</v>
      </c>
      <c r="AR484" s="474">
        <f t="shared" ca="1" si="1426"/>
        <v>0.27439672702021933</v>
      </c>
      <c r="AS484" s="474">
        <f t="shared" ca="1" si="1427"/>
        <v>0.6061782701988162</v>
      </c>
      <c r="AT484" s="471" t="str">
        <f t="shared" ca="1" si="1428"/>
        <v>Disminuir vel.</v>
      </c>
      <c r="AU484" s="492">
        <f t="shared" si="1429"/>
        <v>0</v>
      </c>
      <c r="AV484" s="471">
        <f t="shared" ca="1" si="1430"/>
        <v>81.531228405705278</v>
      </c>
      <c r="AW484" s="471">
        <f t="shared" ca="1" si="1431"/>
        <v>81.53</v>
      </c>
      <c r="AX484" s="478">
        <f>IF(OR(C484="",D484=""),"",ROUND(((VLOOKUP(C484,'Base de Diseño (2)'!$A$2:$C$333,2,FALSE)-VLOOKUP(D484,'Base de Diseño (2)'!$A$2:$C$333,2,FALSE))^2+(VLOOKUP(C484,'Base de Diseño (2)'!$A$2:$C$333,3,0)-VLOOKUP(D484,'Base de Diseño (2)'!$A$2:$C$333,3,FALSE))^2)^0.5,2))</f>
        <v>29.94</v>
      </c>
      <c r="AY484" s="493">
        <v>8</v>
      </c>
      <c r="AZ484" s="480">
        <f ca="1">IF(AND(L484="",H484=""),"",IF(BA484=4,VLOOKUP(AY484,'TABLA (2)'!$A$74:$C$89,2),IF(BA484=5,VLOOKUP(AY484,'TABLA (2)'!$A$51:$B$66,2),IF(BA484=6,VLOOKUP(AY484,'TABLA (2)'!$A$9:$B$43,2)))))</f>
        <v>200</v>
      </c>
      <c r="BA484" s="493">
        <v>6</v>
      </c>
      <c r="BB484" s="478">
        <f>IF(OR(C484="",D484=""),"",VLOOKUP(C484,'Base de Diseño (2)'!$A$2:$D$330,4,FALSE))</f>
        <v>981.42160000000001</v>
      </c>
      <c r="BC484" s="478">
        <f>IF(OR(C484="",D484=""),"",VLOOKUP(D484,'Base de Diseño (2)'!$A$2:$D$330,4,FALSE))</f>
        <v>981.17160000000001</v>
      </c>
      <c r="BD484" s="23">
        <f t="shared" ca="1" si="1432"/>
        <v>1.3229999999999453</v>
      </c>
      <c r="BE484" s="23">
        <f t="shared" ca="1" si="1433"/>
        <v>1.6629999999999772</v>
      </c>
      <c r="BF484" s="494">
        <v>1.5599999999999454</v>
      </c>
      <c r="BG484" s="494">
        <v>1.8999999999999773</v>
      </c>
      <c r="BH484" s="495">
        <f t="shared" si="1434"/>
        <v>979.86160000000007</v>
      </c>
      <c r="BI484" s="495">
        <f t="shared" si="1435"/>
        <v>979.27160000000003</v>
      </c>
      <c r="BJ484" s="534">
        <f t="shared" si="1398"/>
        <v>5.0000000000068212E-2</v>
      </c>
      <c r="BK484" s="475">
        <f t="shared" si="1436"/>
        <v>0.83500334001335996</v>
      </c>
      <c r="BL484" s="475">
        <f t="shared" si="1437"/>
        <v>1.970607882431636</v>
      </c>
      <c r="BM484" s="475">
        <f t="shared" ca="1" si="1438"/>
        <v>1.4655593990602092</v>
      </c>
      <c r="BN484" s="475">
        <f t="shared" ca="1" si="1439"/>
        <v>46.041906414870262</v>
      </c>
      <c r="BO484" s="204">
        <f t="shared" ca="1" si="1440"/>
        <v>3.2579015874884397E-2</v>
      </c>
      <c r="BP484" s="496">
        <f t="shared" ca="1" si="1441"/>
        <v>1.7707781095195498</v>
      </c>
      <c r="BQ484" s="497">
        <f t="shared" ca="1" si="1442"/>
        <v>0.39549891812688903</v>
      </c>
      <c r="BR484" s="497">
        <f t="shared" ca="1" si="1443"/>
        <v>1.2408468819227561</v>
      </c>
      <c r="BS484" s="475">
        <f t="shared" ca="1" si="1444"/>
        <v>0.57962715677900634</v>
      </c>
      <c r="BT484" s="475">
        <f t="shared" ca="1" si="1445"/>
        <v>1.8185348105964487</v>
      </c>
      <c r="BU484" s="475">
        <f t="shared" ca="1" si="1446"/>
        <v>0.16184639606694726</v>
      </c>
      <c r="BV484" s="475" t="str">
        <f t="shared" ca="1" si="1447"/>
        <v xml:space="preserve"> </v>
      </c>
      <c r="BW484" s="475">
        <f t="shared" ca="1" si="1448"/>
        <v>1.6561169270088676</v>
      </c>
      <c r="BX484" s="475" t="e">
        <f t="shared" ca="1" si="1449"/>
        <v>#VALUE!</v>
      </c>
      <c r="BY484" s="475">
        <f t="shared" ca="1" si="1450"/>
        <v>9.959359015786387E-2</v>
      </c>
      <c r="BZ484" s="475" t="e">
        <f t="shared" ca="1" si="1451"/>
        <v>#VALUE!</v>
      </c>
      <c r="CA484" s="471">
        <f t="shared" ca="1" si="1452"/>
        <v>1.9918718031572774E-2</v>
      </c>
      <c r="CB484" s="471" t="e">
        <f t="shared" ca="1" si="1453"/>
        <v>#VALUE!</v>
      </c>
      <c r="CC484" s="471" t="e">
        <f t="shared" ca="1" si="1454"/>
        <v>#VALUE!</v>
      </c>
      <c r="CD484" s="471" t="e">
        <f t="shared" ca="1" si="1455"/>
        <v>#VALUE!</v>
      </c>
      <c r="CE484" s="471">
        <f t="shared" ca="1" si="1456"/>
        <v>0.39251982760950471</v>
      </c>
      <c r="CF484" s="471" t="e">
        <f t="shared" ca="1" si="1457"/>
        <v>#VALUE!</v>
      </c>
      <c r="CG484" s="471" t="str">
        <f t="shared" ca="1" si="1458"/>
        <v>O.K</v>
      </c>
      <c r="CH484" s="471" t="str">
        <f t="shared" ca="1" si="1459"/>
        <v>O.K</v>
      </c>
      <c r="CI484" s="471" t="str">
        <f t="shared" ca="1" si="1460"/>
        <v>OK</v>
      </c>
      <c r="CJ484" s="471" t="e">
        <f t="shared" ca="1" si="1461"/>
        <v>#VALUE!</v>
      </c>
      <c r="CK484" s="468">
        <f t="shared" si="1462"/>
        <v>5.0000000000068212E-2</v>
      </c>
      <c r="CL484" s="482" t="s">
        <v>2507</v>
      </c>
      <c r="CM484" s="482"/>
      <c r="CN484" s="63" t="str">
        <f t="shared" si="1463"/>
        <v xml:space="preserve"> </v>
      </c>
      <c r="CO484" s="527">
        <f t="shared" si="1332"/>
        <v>29.94</v>
      </c>
      <c r="CP484" s="542">
        <f t="shared" si="1333"/>
        <v>8.3500334001335996E-3</v>
      </c>
      <c r="CQ484" s="482" t="s">
        <v>2508</v>
      </c>
      <c r="CR484" s="204">
        <f t="shared" si="1464"/>
        <v>29.94</v>
      </c>
      <c r="CS484" s="486">
        <v>1.2</v>
      </c>
      <c r="CT484" s="486">
        <v>1.2</v>
      </c>
      <c r="CU484" s="23">
        <f t="shared" si="1465"/>
        <v>29.945812728994351</v>
      </c>
      <c r="CV484" s="499" t="s">
        <v>2509</v>
      </c>
      <c r="CW484" s="488" t="str">
        <f t="shared" ca="1" si="1466"/>
        <v>E2</v>
      </c>
      <c r="CX484" s="204">
        <f ca="1">IF(AND(L484="",H484=""),"",IF(AND(BA484&lt;&gt;4,BA484&lt;&gt;5),VLOOKUP(AY484,'TABLA (2)'!$A$9:$D$43,4),IF(BA484=4,VLOOKUP(AY484,'TABLA (2)'!$A$74:$D$89,4),VLOOKUP(AY484,'TABLA (2)'!$A$51:$D$66,4))))</f>
        <v>3.6999999999999998E-2</v>
      </c>
      <c r="CY484" s="482"/>
      <c r="CZ484" s="482"/>
      <c r="DA484" s="482"/>
      <c r="DB484" s="490"/>
    </row>
    <row r="485" spans="1:106" ht="15" hidden="1" customHeight="1">
      <c r="A485" s="465">
        <f t="shared" si="1467"/>
        <v>353</v>
      </c>
      <c r="B485" s="491"/>
      <c r="C485" s="466" t="s">
        <v>2287</v>
      </c>
      <c r="D485" s="466" t="s">
        <v>2317</v>
      </c>
      <c r="E485" s="468"/>
      <c r="F485" s="468"/>
      <c r="G485" s="537">
        <f t="shared" si="1329"/>
        <v>0.6406505871</v>
      </c>
      <c r="H485" s="537">
        <f t="shared" si="1330"/>
        <v>0.6406505871</v>
      </c>
      <c r="I485" s="468"/>
      <c r="J485" s="468"/>
      <c r="K485" s="467">
        <f t="shared" ca="1" si="1402"/>
        <v>0.6406505871</v>
      </c>
      <c r="L485" s="468">
        <f t="shared" ca="1" si="1403"/>
        <v>0.6406505871</v>
      </c>
      <c r="M485" s="469">
        <f t="shared" si="1404"/>
        <v>242.33666300502347</v>
      </c>
      <c r="N485" s="470">
        <f t="shared" si="1405"/>
        <v>0</v>
      </c>
      <c r="O485" s="470">
        <f t="shared" si="1406"/>
        <v>0</v>
      </c>
      <c r="P485" s="470">
        <f t="shared" si="1407"/>
        <v>155.25312543002315</v>
      </c>
      <c r="Q485" s="469">
        <f t="shared" si="1336"/>
        <v>140</v>
      </c>
      <c r="R485" s="471">
        <f t="shared" si="1408"/>
        <v>0.21383242970107358</v>
      </c>
      <c r="S485" s="471"/>
      <c r="T485" s="471"/>
      <c r="U485" s="471">
        <f t="shared" si="1409"/>
        <v>0</v>
      </c>
      <c r="V485" s="471"/>
      <c r="W485" s="471"/>
      <c r="X485" s="471">
        <f t="shared" si="1410"/>
        <v>0</v>
      </c>
      <c r="Y485" s="471">
        <f t="shared" si="1411"/>
        <v>0.12813011741999999</v>
      </c>
      <c r="Z485" s="471">
        <f t="shared" ca="1" si="1412"/>
        <v>0</v>
      </c>
      <c r="AA485" s="471">
        <f t="shared" si="1399"/>
        <v>3.8</v>
      </c>
      <c r="AB485" s="471">
        <f t="shared" si="1413"/>
        <v>0.81256323286407961</v>
      </c>
      <c r="AC485" s="471">
        <f t="shared" si="1414"/>
        <v>0</v>
      </c>
      <c r="AD485" s="471">
        <f t="shared" si="1415"/>
        <v>0</v>
      </c>
      <c r="AE485" s="471">
        <f t="shared" si="1416"/>
        <v>0</v>
      </c>
      <c r="AF485" s="510">
        <f t="shared" si="1328"/>
        <v>3.8</v>
      </c>
      <c r="AG485" s="471">
        <f t="shared" si="1417"/>
        <v>0</v>
      </c>
      <c r="AH485" s="471">
        <f t="shared" si="1418"/>
        <v>0</v>
      </c>
      <c r="AI485" s="471">
        <f t="shared" ca="1" si="1419"/>
        <v>1.5</v>
      </c>
      <c r="AJ485" s="471">
        <f t="shared" si="1420"/>
        <v>0.75</v>
      </c>
      <c r="AK485" s="472">
        <f t="shared" si="1421"/>
        <v>0.2545533391153515</v>
      </c>
      <c r="AL485" s="471">
        <f t="shared" si="1422"/>
        <v>0.6402276669557676</v>
      </c>
      <c r="AM485" s="473">
        <f t="shared" si="1331"/>
        <v>327.74600025022949</v>
      </c>
      <c r="AN485" s="474">
        <f t="shared" si="1423"/>
        <v>10.629833333333334</v>
      </c>
      <c r="AO485" s="474">
        <f t="shared" si="1424"/>
        <v>0.25622222222222218</v>
      </c>
      <c r="AP485" s="474">
        <f t="shared" si="1425"/>
        <v>10.886055555555556</v>
      </c>
      <c r="AQ485" s="475">
        <v>3</v>
      </c>
      <c r="AR485" s="474">
        <f t="shared" ca="1" si="1426"/>
        <v>0.15808728999711241</v>
      </c>
      <c r="AS485" s="474">
        <f t="shared" ca="1" si="1427"/>
        <v>1.6207642134095808</v>
      </c>
      <c r="AT485" s="471" t="str">
        <f t="shared" ca="1" si="1428"/>
        <v>Aumentar vel.</v>
      </c>
      <c r="AU485" s="492">
        <f t="shared" si="1429"/>
        <v>0</v>
      </c>
      <c r="AV485" s="471">
        <f t="shared" ca="1" si="1430"/>
        <v>134.42903056985688</v>
      </c>
      <c r="AW485" s="471">
        <f t="shared" ca="1" si="1431"/>
        <v>134.43</v>
      </c>
      <c r="AX485" s="478">
        <f>IF(OR(C485="",D485=""),"",ROUND(((VLOOKUP(C485,'Base de Diseño (2)'!$A$2:$C$333,2,FALSE)-VLOOKUP(D485,'Base de Diseño (2)'!$A$2:$C$333,2,FALSE))^2+(VLOOKUP(C485,'Base de Diseño (2)'!$A$2:$C$333,3,0)-VLOOKUP(D485,'Base de Diseño (2)'!$A$2:$C$333,3,FALSE))^2)^0.5,2))</f>
        <v>46.12</v>
      </c>
      <c r="AY485" s="493">
        <v>12</v>
      </c>
      <c r="AZ485" s="480">
        <f ca="1">IF(AND(L485="",H485=""),"",IF(BA485=4,VLOOKUP(AY485,'TABLA (2)'!$A$74:$C$89,2),IF(BA485=5,VLOOKUP(AY485,'TABLA (2)'!$A$51:$B$66,2),IF(BA485=6,VLOOKUP(AY485,'TABLA (2)'!$A$9:$B$43,2)))))</f>
        <v>300</v>
      </c>
      <c r="BA485" s="493">
        <v>6</v>
      </c>
      <c r="BB485" s="478">
        <f>IF(OR(C485="",D485=""),"",VLOOKUP(C485,'Base de Diseño (2)'!$A$2:$D$330,4,FALSE))</f>
        <v>981.17160000000001</v>
      </c>
      <c r="BC485" s="478">
        <f>IF(OR(C485="",D485=""),"",VLOOKUP(D485,'Base de Diseño (2)'!$A$2:$D$330,4,FALSE))</f>
        <v>969.4316</v>
      </c>
      <c r="BD485" s="23">
        <f t="shared" ca="1" si="1432"/>
        <v>1.6030000000000455</v>
      </c>
      <c r="BE485" s="23">
        <f t="shared" ca="1" si="1433"/>
        <v>0.75300000000002276</v>
      </c>
      <c r="BF485" s="494">
        <v>1.9500000000000455</v>
      </c>
      <c r="BG485" s="494">
        <v>1.1000000000000227</v>
      </c>
      <c r="BH485" s="495">
        <f t="shared" si="1434"/>
        <v>979.22159999999997</v>
      </c>
      <c r="BI485" s="495">
        <f t="shared" si="1435"/>
        <v>968.33159999999998</v>
      </c>
      <c r="BJ485" s="534">
        <f t="shared" si="1398"/>
        <v>0</v>
      </c>
      <c r="BK485" s="475">
        <f t="shared" si="1436"/>
        <v>25.455333911535149</v>
      </c>
      <c r="BL485" s="475">
        <f t="shared" si="1437"/>
        <v>23.612315698178634</v>
      </c>
      <c r="BM485" s="475">
        <f t="shared" ca="1" si="1438"/>
        <v>6.6476291036386765</v>
      </c>
      <c r="BN485" s="475">
        <f t="shared" ca="1" si="1439"/>
        <v>469.8932120050718</v>
      </c>
      <c r="BO485" s="204">
        <f t="shared" ca="1" si="1440"/>
        <v>3.1922146600062182E-3</v>
      </c>
      <c r="BP485" s="496">
        <f t="shared" ca="1" si="1441"/>
        <v>0.28608627782975726</v>
      </c>
      <c r="BQ485" s="497">
        <f t="shared" ca="1" si="1442"/>
        <v>0.20119704269205907</v>
      </c>
      <c r="BR485" s="497">
        <f t="shared" ca="1" si="1443"/>
        <v>0.73143260016827594</v>
      </c>
      <c r="BS485" s="475">
        <f t="shared" ca="1" si="1444"/>
        <v>1.3374833165657651</v>
      </c>
      <c r="BT485" s="475">
        <f t="shared" ca="1" si="1445"/>
        <v>4.862292640228743</v>
      </c>
      <c r="BU485" s="475">
        <f t="shared" ca="1" si="1446"/>
        <v>1.201589727791863E-2</v>
      </c>
      <c r="BV485" s="475">
        <f t="shared" ca="1" si="1447"/>
        <v>0.41572418522937438</v>
      </c>
      <c r="BW485" s="475">
        <f t="shared" ca="1" si="1448"/>
        <v>0.43935107357770509</v>
      </c>
      <c r="BX485" s="475">
        <f t="shared" ca="1" si="1449"/>
        <v>2.8028724723354363</v>
      </c>
      <c r="BY485" s="475">
        <f t="shared" ca="1" si="1450"/>
        <v>7.9656203517986801E-3</v>
      </c>
      <c r="BZ485" s="475">
        <f t="shared" ca="1" si="1451"/>
        <v>0.22036252384463495</v>
      </c>
      <c r="CA485" s="471">
        <f t="shared" ca="1" si="1452"/>
        <v>2.3896861055396038E-3</v>
      </c>
      <c r="CB485" s="471">
        <f t="shared" ca="1" si="1453"/>
        <v>6.6108757153390485E-2</v>
      </c>
      <c r="CC485" s="471">
        <f t="shared" ca="1" si="1454"/>
        <v>5.0636213263883141</v>
      </c>
      <c r="CD485" s="471" t="str">
        <f t="shared" ca="1" si="1455"/>
        <v>F. Supercrítico</v>
      </c>
      <c r="CE485" s="471">
        <f t="shared" ca="1" si="1456"/>
        <v>0.56426022743552151</v>
      </c>
      <c r="CF485" s="471">
        <f t="shared" ca="1" si="1457"/>
        <v>15.609808443200812</v>
      </c>
      <c r="CG485" s="471" t="str">
        <f t="shared" ca="1" si="1458"/>
        <v>O.K</v>
      </c>
      <c r="CH485" s="471" t="str">
        <f t="shared" ca="1" si="1459"/>
        <v>O.K</v>
      </c>
      <c r="CI485" s="471" t="str">
        <f t="shared" ca="1" si="1460"/>
        <v>OK</v>
      </c>
      <c r="CJ485" s="471" t="str">
        <f t="shared" ca="1" si="1461"/>
        <v>OK</v>
      </c>
      <c r="CK485" s="468">
        <f t="shared" si="1462"/>
        <v>0</v>
      </c>
      <c r="CL485" s="482" t="s">
        <v>2507</v>
      </c>
      <c r="CM485" s="482"/>
      <c r="CN485" s="63" t="str">
        <f t="shared" si="1463"/>
        <v xml:space="preserve"> </v>
      </c>
      <c r="CO485" s="527">
        <f t="shared" si="1332"/>
        <v>46.12</v>
      </c>
      <c r="CP485" s="511">
        <f t="shared" si="1333"/>
        <v>0.2545533391153515</v>
      </c>
      <c r="CQ485" s="482" t="s">
        <v>2508</v>
      </c>
      <c r="CR485" s="204">
        <f t="shared" si="1464"/>
        <v>46.12</v>
      </c>
      <c r="CS485" s="486">
        <v>1.2</v>
      </c>
      <c r="CT485" s="486">
        <v>1.2</v>
      </c>
      <c r="CU485" s="23">
        <f t="shared" si="1465"/>
        <v>47.388252763738819</v>
      </c>
      <c r="CV485" s="499" t="s">
        <v>2509</v>
      </c>
      <c r="CW485" s="488" t="str">
        <f t="shared" ca="1" si="1466"/>
        <v>E2</v>
      </c>
      <c r="CX485" s="204">
        <f ca="1">IF(AND(L485="",H485=""),"",IF(AND(BA485&lt;&gt;4,BA485&lt;&gt;5),VLOOKUP(AY485,'TABLA (2)'!$A$9:$D$43,4),IF(BA485=4,VLOOKUP(AY485,'TABLA (2)'!$A$74:$D$89,4),VLOOKUP(AY485,'TABLA (2)'!$A$51:$D$66,4))))</f>
        <v>4.7E-2</v>
      </c>
      <c r="CY485" s="482"/>
      <c r="CZ485" s="482"/>
      <c r="DA485" s="482"/>
      <c r="DB485" s="490"/>
    </row>
    <row r="486" spans="1:106" ht="15" hidden="1" customHeight="1">
      <c r="A486" s="465">
        <f t="shared" si="1467"/>
        <v>354</v>
      </c>
      <c r="B486" s="491"/>
      <c r="C486" s="466" t="s">
        <v>2317</v>
      </c>
      <c r="D486" s="466" t="s">
        <v>2288</v>
      </c>
      <c r="E486" s="468"/>
      <c r="F486" s="468"/>
      <c r="G486" s="537">
        <f t="shared" si="1329"/>
        <v>0.6406505871</v>
      </c>
      <c r="H486" s="537">
        <f t="shared" si="1330"/>
        <v>0.6406505871</v>
      </c>
      <c r="I486" s="468"/>
      <c r="J486" s="468"/>
      <c r="K486" s="467">
        <f t="shared" ca="1" si="1402"/>
        <v>0.6406505871</v>
      </c>
      <c r="L486" s="468">
        <f t="shared" ca="1" si="1403"/>
        <v>0.6406505871</v>
      </c>
      <c r="M486" s="469">
        <f t="shared" si="1404"/>
        <v>242.33666300502347</v>
      </c>
      <c r="N486" s="470">
        <f t="shared" si="1405"/>
        <v>0</v>
      </c>
      <c r="O486" s="470">
        <f t="shared" si="1406"/>
        <v>0</v>
      </c>
      <c r="P486" s="470">
        <f t="shared" si="1407"/>
        <v>155.25312543002315</v>
      </c>
      <c r="Q486" s="469">
        <f t="shared" si="1336"/>
        <v>140</v>
      </c>
      <c r="R486" s="471">
        <f t="shared" si="1408"/>
        <v>0.21383242970107358</v>
      </c>
      <c r="S486" s="471"/>
      <c r="T486" s="471"/>
      <c r="U486" s="471">
        <f t="shared" si="1409"/>
        <v>0</v>
      </c>
      <c r="V486" s="471"/>
      <c r="W486" s="471"/>
      <c r="X486" s="471">
        <f t="shared" si="1410"/>
        <v>0</v>
      </c>
      <c r="Y486" s="471">
        <f t="shared" si="1411"/>
        <v>0.12813011741999999</v>
      </c>
      <c r="Z486" s="471">
        <f t="shared" ca="1" si="1412"/>
        <v>0</v>
      </c>
      <c r="AA486" s="471">
        <f t="shared" si="1399"/>
        <v>3.8</v>
      </c>
      <c r="AB486" s="471">
        <f t="shared" si="1413"/>
        <v>0.81256323286407961</v>
      </c>
      <c r="AC486" s="471">
        <f t="shared" si="1414"/>
        <v>0</v>
      </c>
      <c r="AD486" s="471">
        <f t="shared" si="1415"/>
        <v>0</v>
      </c>
      <c r="AE486" s="471">
        <f t="shared" si="1416"/>
        <v>0</v>
      </c>
      <c r="AF486" s="510">
        <f t="shared" si="1328"/>
        <v>3.8</v>
      </c>
      <c r="AG486" s="471">
        <f t="shared" si="1417"/>
        <v>0</v>
      </c>
      <c r="AH486" s="471">
        <f t="shared" si="1418"/>
        <v>0</v>
      </c>
      <c r="AI486" s="471">
        <f t="shared" ca="1" si="1419"/>
        <v>1.5</v>
      </c>
      <c r="AJ486" s="471">
        <f t="shared" si="1420"/>
        <v>0.75</v>
      </c>
      <c r="AK486" s="472">
        <f t="shared" si="1421"/>
        <v>5.3906723198060946E-2</v>
      </c>
      <c r="AL486" s="471">
        <f t="shared" si="1422"/>
        <v>0.63019533615990309</v>
      </c>
      <c r="AM486" s="473">
        <f t="shared" si="1331"/>
        <v>326.88171565750713</v>
      </c>
      <c r="AN486" s="474">
        <f t="shared" si="1423"/>
        <v>10.886055555555556</v>
      </c>
      <c r="AO486" s="474">
        <f t="shared" si="1424"/>
        <v>9.1722222222222219E-2</v>
      </c>
      <c r="AP486" s="474">
        <f t="shared" si="1425"/>
        <v>10.977777777777778</v>
      </c>
      <c r="AQ486" s="475">
        <v>3</v>
      </c>
      <c r="AR486" s="474">
        <f t="shared" ca="1" si="1426"/>
        <v>9.612301962469573E-2</v>
      </c>
      <c r="AS486" s="474">
        <f t="shared" ca="1" si="1427"/>
        <v>0.95421702918139639</v>
      </c>
      <c r="AT486" s="471" t="str">
        <f t="shared" ca="1" si="1428"/>
        <v>Cumple</v>
      </c>
      <c r="AU486" s="492">
        <f t="shared" si="1429"/>
        <v>0</v>
      </c>
      <c r="AV486" s="471">
        <f t="shared" ca="1" si="1430"/>
        <v>131.97359342576985</v>
      </c>
      <c r="AW486" s="471">
        <f t="shared" ca="1" si="1431"/>
        <v>131.97</v>
      </c>
      <c r="AX486" s="478">
        <f>IF(OR(C486="",D486=""),"",ROUND(((VLOOKUP(C486,'Base de Diseño (2)'!$A$2:$C$333,2,FALSE)-VLOOKUP(D486,'Base de Diseño (2)'!$A$2:$C$333,2,FALSE))^2+(VLOOKUP(C486,'Base de Diseño (2)'!$A$2:$C$333,3,0)-VLOOKUP(D486,'Base de Diseño (2)'!$A$2:$C$333,3,FALSE))^2)^0.5,2))</f>
        <v>16.510000000000002</v>
      </c>
      <c r="AY486" s="493">
        <v>12</v>
      </c>
      <c r="AZ486" s="480">
        <f ca="1">IF(AND(L486="",H486=""),"",IF(BA486=4,VLOOKUP(AY486,'TABLA (2)'!$A$74:$C$89,2),IF(BA486=5,VLOOKUP(AY486,'TABLA (2)'!$A$51:$B$66,2),IF(BA486=6,VLOOKUP(AY486,'TABLA (2)'!$A$9:$B$43,2)))))</f>
        <v>300</v>
      </c>
      <c r="BA486" s="493">
        <v>6</v>
      </c>
      <c r="BB486" s="478">
        <f>IF(OR(C486="",D486=""),"",VLOOKUP(C486,'Base de Diseño (2)'!$A$2:$D$330,4,FALSE))</f>
        <v>969.4316</v>
      </c>
      <c r="BC486" s="478">
        <f>IF(OR(C486="",D486=""),"",VLOOKUP(D486,'Base de Diseño (2)'!$A$2:$D$330,4,FALSE))</f>
        <v>968.54160000000002</v>
      </c>
      <c r="BD486" s="23">
        <f t="shared" ca="1" si="1432"/>
        <v>0.75300000000002276</v>
      </c>
      <c r="BE486" s="23">
        <f t="shared" ca="1" si="1433"/>
        <v>0.75300000000002276</v>
      </c>
      <c r="BF486" s="494">
        <v>1.1000000000000227</v>
      </c>
      <c r="BG486" s="494">
        <v>1.1000000000000227</v>
      </c>
      <c r="BH486" s="495">
        <f t="shared" si="1434"/>
        <v>968.33159999999998</v>
      </c>
      <c r="BI486" s="495">
        <f t="shared" si="1435"/>
        <v>967.44159999999999</v>
      </c>
      <c r="BJ486" s="534">
        <f t="shared" si="1398"/>
        <v>0.29999999999995453</v>
      </c>
      <c r="BK486" s="475">
        <f t="shared" si="1436"/>
        <v>5.3906723198060948</v>
      </c>
      <c r="BL486" s="475">
        <f t="shared" si="1437"/>
        <v>5.3906723198060948</v>
      </c>
      <c r="BM486" s="475">
        <f t="shared" ca="1" si="1438"/>
        <v>3.1762812919671695</v>
      </c>
      <c r="BN486" s="475">
        <f t="shared" ca="1" si="1439"/>
        <v>224.51809438302203</v>
      </c>
      <c r="BO486" s="204">
        <f t="shared" ca="1" si="1440"/>
        <v>6.6809759993822103E-3</v>
      </c>
      <c r="BP486" s="496">
        <f t="shared" ca="1" si="1441"/>
        <v>0.5877922684256468</v>
      </c>
      <c r="BQ486" s="497">
        <f t="shared" ca="1" si="1442"/>
        <v>0.24942683289375073</v>
      </c>
      <c r="BR486" s="497">
        <f t="shared" ca="1" si="1443"/>
        <v>0.9012586809562011</v>
      </c>
      <c r="BS486" s="475">
        <f t="shared" ca="1" si="1444"/>
        <v>0.79224978303504179</v>
      </c>
      <c r="BT486" s="475">
        <f t="shared" ca="1" si="1445"/>
        <v>2.8626510875441893</v>
      </c>
      <c r="BU486" s="475">
        <f t="shared" ca="1" si="1446"/>
        <v>5.9652317960276091E-2</v>
      </c>
      <c r="BV486" s="475">
        <f t="shared" ca="1" si="1447"/>
        <v>0.61686151230335762</v>
      </c>
      <c r="BW486" s="475">
        <f t="shared" ca="1" si="1448"/>
        <v>0.98693625885744662</v>
      </c>
      <c r="BX486" s="475">
        <f t="shared" ca="1" si="1449"/>
        <v>3.6134026722828092</v>
      </c>
      <c r="BY486" s="475">
        <f t="shared" ca="1" si="1450"/>
        <v>3.8653774151544557E-2</v>
      </c>
      <c r="BZ486" s="475">
        <f t="shared" ca="1" si="1451"/>
        <v>0.28144538120442936</v>
      </c>
      <c r="CA486" s="471">
        <f t="shared" ca="1" si="1452"/>
        <v>1.1596132245463367E-2</v>
      </c>
      <c r="CB486" s="471">
        <f t="shared" ca="1" si="1453"/>
        <v>8.4433614361328804E-2</v>
      </c>
      <c r="CC486" s="471">
        <f t="shared" ca="1" si="1454"/>
        <v>2.3074585177347045</v>
      </c>
      <c r="CD486" s="471" t="str">
        <f t="shared" ca="1" si="1455"/>
        <v>F. Supercrítico</v>
      </c>
      <c r="CE486" s="471">
        <f t="shared" ca="1" si="1456"/>
        <v>0.62510949112430259</v>
      </c>
      <c r="CF486" s="471">
        <f t="shared" ca="1" si="1457"/>
        <v>4.5515394779879754</v>
      </c>
      <c r="CG486" s="471" t="str">
        <f t="shared" ca="1" si="1458"/>
        <v>O.K</v>
      </c>
      <c r="CH486" s="471" t="str">
        <f t="shared" ca="1" si="1459"/>
        <v>O.K</v>
      </c>
      <c r="CI486" s="471" t="str">
        <f t="shared" ca="1" si="1460"/>
        <v>OK</v>
      </c>
      <c r="CJ486" s="471" t="str">
        <f t="shared" ca="1" si="1461"/>
        <v>OK</v>
      </c>
      <c r="CK486" s="468">
        <f t="shared" si="1462"/>
        <v>0.29999999999995453</v>
      </c>
      <c r="CL486" s="482" t="s">
        <v>2507</v>
      </c>
      <c r="CM486" s="482"/>
      <c r="CN486" s="63" t="str">
        <f t="shared" si="1463"/>
        <v xml:space="preserve"> </v>
      </c>
      <c r="CO486" s="527">
        <f t="shared" si="1332"/>
        <v>16.510000000000002</v>
      </c>
      <c r="CP486" s="542">
        <f t="shared" si="1333"/>
        <v>5.3906723198060946E-2</v>
      </c>
      <c r="CQ486" s="482" t="s">
        <v>2508</v>
      </c>
      <c r="CR486" s="204">
        <f t="shared" si="1464"/>
        <v>16.510000000000002</v>
      </c>
      <c r="CS486" s="486">
        <v>1.2</v>
      </c>
      <c r="CT486" s="486">
        <v>1.2</v>
      </c>
      <c r="CU486" s="23">
        <f t="shared" si="1465"/>
        <v>16.533971089850134</v>
      </c>
      <c r="CV486" s="499" t="s">
        <v>2509</v>
      </c>
      <c r="CW486" s="488" t="str">
        <f t="shared" ca="1" si="1466"/>
        <v>E1</v>
      </c>
      <c r="CX486" s="204">
        <f ca="1">IF(AND(L486="",H486=""),"",IF(AND(BA486&lt;&gt;4,BA486&lt;&gt;5),VLOOKUP(AY486,'TABLA (2)'!$A$9:$D$43,4),IF(BA486=4,VLOOKUP(AY486,'TABLA (2)'!$A$74:$D$89,4),VLOOKUP(AY486,'TABLA (2)'!$A$51:$D$66,4))))</f>
        <v>4.7E-2</v>
      </c>
      <c r="CY486" s="482"/>
      <c r="CZ486" s="482"/>
      <c r="DA486" s="482"/>
      <c r="DB486" s="490"/>
    </row>
    <row r="487" spans="1:106" ht="15" hidden="1" customHeight="1">
      <c r="A487" s="465">
        <f t="shared" si="1467"/>
        <v>355</v>
      </c>
      <c r="B487" s="491"/>
      <c r="C487" s="466" t="s">
        <v>2288</v>
      </c>
      <c r="D487" s="466" t="s">
        <v>2289</v>
      </c>
      <c r="E487" s="468"/>
      <c r="F487" s="468"/>
      <c r="G487" s="537">
        <f t="shared" si="1329"/>
        <v>0.6406505871</v>
      </c>
      <c r="H487" s="537">
        <f t="shared" si="1330"/>
        <v>0.6406505871</v>
      </c>
      <c r="I487" s="468"/>
      <c r="J487" s="468"/>
      <c r="K487" s="467">
        <f t="shared" ca="1" si="1402"/>
        <v>0.6406505871</v>
      </c>
      <c r="L487" s="468">
        <f t="shared" ca="1" si="1403"/>
        <v>0.6406505871</v>
      </c>
      <c r="M487" s="469">
        <f t="shared" si="1404"/>
        <v>242.33666300502347</v>
      </c>
      <c r="N487" s="470">
        <f t="shared" si="1405"/>
        <v>0</v>
      </c>
      <c r="O487" s="470">
        <f t="shared" si="1406"/>
        <v>0</v>
      </c>
      <c r="P487" s="470">
        <f t="shared" si="1407"/>
        <v>155.25312543002315</v>
      </c>
      <c r="Q487" s="469">
        <f t="shared" si="1336"/>
        <v>140</v>
      </c>
      <c r="R487" s="471">
        <f t="shared" si="1408"/>
        <v>0.21383242970107358</v>
      </c>
      <c r="S487" s="471"/>
      <c r="T487" s="471"/>
      <c r="U487" s="471">
        <f t="shared" si="1409"/>
        <v>0</v>
      </c>
      <c r="V487" s="471"/>
      <c r="W487" s="471"/>
      <c r="X487" s="471">
        <f t="shared" si="1410"/>
        <v>0</v>
      </c>
      <c r="Y487" s="471">
        <f t="shared" si="1411"/>
        <v>0.12813011741999999</v>
      </c>
      <c r="Z487" s="471">
        <f t="shared" ca="1" si="1412"/>
        <v>0</v>
      </c>
      <c r="AA487" s="471">
        <f t="shared" si="1399"/>
        <v>3.8</v>
      </c>
      <c r="AB487" s="471">
        <f t="shared" si="1413"/>
        <v>0.81256323286407961</v>
      </c>
      <c r="AC487" s="471">
        <f t="shared" si="1414"/>
        <v>0</v>
      </c>
      <c r="AD487" s="471">
        <f t="shared" si="1415"/>
        <v>0</v>
      </c>
      <c r="AE487" s="471">
        <f t="shared" si="1416"/>
        <v>0</v>
      </c>
      <c r="AF487" s="510">
        <f t="shared" si="1328"/>
        <v>3.8</v>
      </c>
      <c r="AG487" s="471">
        <f t="shared" si="1417"/>
        <v>0</v>
      </c>
      <c r="AH487" s="471">
        <f t="shared" si="1418"/>
        <v>0</v>
      </c>
      <c r="AI487" s="471">
        <f t="shared" ca="1" si="1419"/>
        <v>1.5</v>
      </c>
      <c r="AJ487" s="471">
        <f t="shared" si="1420"/>
        <v>0.75</v>
      </c>
      <c r="AK487" s="472">
        <f t="shared" si="1421"/>
        <v>9.2268533248495224E-3</v>
      </c>
      <c r="AL487" s="471">
        <f t="shared" si="1422"/>
        <v>0.62796134266624248</v>
      </c>
      <c r="AM487" s="473">
        <f t="shared" si="1331"/>
        <v>323.63063502435477</v>
      </c>
      <c r="AN487" s="474">
        <f t="shared" si="1423"/>
        <v>10.977777777777778</v>
      </c>
      <c r="AO487" s="474">
        <f t="shared" si="1424"/>
        <v>0.34922222222222227</v>
      </c>
      <c r="AP487" s="474">
        <f t="shared" si="1425"/>
        <v>11.327</v>
      </c>
      <c r="AQ487" s="475">
        <v>3</v>
      </c>
      <c r="AR487" s="474">
        <f t="shared" ca="1" si="1426"/>
        <v>0.58332791081619384</v>
      </c>
      <c r="AS487" s="474">
        <f t="shared" ca="1" si="1427"/>
        <v>0.59867223177027429</v>
      </c>
      <c r="AT487" s="471" t="str">
        <f t="shared" ca="1" si="1428"/>
        <v>Disminuir vel.</v>
      </c>
      <c r="AU487" s="492">
        <f t="shared" si="1429"/>
        <v>0</v>
      </c>
      <c r="AV487" s="471">
        <f t="shared" ca="1" si="1430"/>
        <v>130.19783519075173</v>
      </c>
      <c r="AW487" s="471">
        <f t="shared" ca="1" si="1431"/>
        <v>130.19999999999999</v>
      </c>
      <c r="AX487" s="478">
        <f>IF(OR(C487="",D487=""),"",ROUND(((VLOOKUP(C487,'Base de Diseño (2)'!$A$2:$C$333,2,FALSE)-VLOOKUP(D487,'Base de Diseño (2)'!$A$2:$C$333,2,FALSE))^2+(VLOOKUP(C487,'Base de Diseño (2)'!$A$2:$C$333,3,0)-VLOOKUP(D487,'Base de Diseño (2)'!$A$2:$C$333,3,FALSE))^2)^0.5,2))</f>
        <v>62.86</v>
      </c>
      <c r="AY487" s="493">
        <v>24</v>
      </c>
      <c r="AZ487" s="480">
        <f ca="1">IF(AND(L487="",H487=""),"",IF(BA487=4,VLOOKUP(AY487,'TABLA (2)'!$A$74:$C$89,2),IF(BA487=5,VLOOKUP(AY487,'TABLA (2)'!$A$51:$B$66,2),IF(BA487=6,VLOOKUP(AY487,'TABLA (2)'!$A$9:$B$43,2)))))</f>
        <v>600</v>
      </c>
      <c r="BA487" s="493">
        <v>6</v>
      </c>
      <c r="BB487" s="478">
        <f>IF(OR(C487="",D487=""),"",VLOOKUP(C487,'Base de Diseño (2)'!$A$2:$D$330,4,FALSE))</f>
        <v>968.54160000000002</v>
      </c>
      <c r="BC487" s="478">
        <f>IF(OR(C487="",D487=""),"",VLOOKUP(D487,'Base de Diseño (2)'!$A$2:$D$330,4,FALSE))</f>
        <v>967.96159999999998</v>
      </c>
      <c r="BD487" s="23">
        <f t="shared" ca="1" si="1432"/>
        <v>0.72799999999997733</v>
      </c>
      <c r="BE487" s="23">
        <f t="shared" ca="1" si="1433"/>
        <v>1.2980000000000274</v>
      </c>
      <c r="BF487" s="494">
        <v>1.3999999999999773</v>
      </c>
      <c r="BG487" s="494">
        <v>1.9700000000000273</v>
      </c>
      <c r="BH487" s="495">
        <f t="shared" si="1434"/>
        <v>967.14160000000004</v>
      </c>
      <c r="BI487" s="495">
        <f t="shared" si="1435"/>
        <v>965.99159999999995</v>
      </c>
      <c r="BJ487" s="534">
        <f t="shared" si="1398"/>
        <v>0</v>
      </c>
      <c r="BK487" s="475">
        <f t="shared" si="1436"/>
        <v>0.92268533248495221</v>
      </c>
      <c r="BL487" s="475">
        <f t="shared" si="1437"/>
        <v>1.8294622971684553</v>
      </c>
      <c r="BM487" s="475">
        <f t="shared" ca="1" si="1438"/>
        <v>2.9372836345464988</v>
      </c>
      <c r="BN487" s="475">
        <f t="shared" ca="1" si="1439"/>
        <v>830.49738190207268</v>
      </c>
      <c r="BO487" s="204">
        <f t="shared" ca="1" si="1440"/>
        <v>1.8061465727496671E-3</v>
      </c>
      <c r="BP487" s="496">
        <f t="shared" ca="1" si="1441"/>
        <v>0.15677352251467108</v>
      </c>
      <c r="BQ487" s="497">
        <f t="shared" ca="1" si="1442"/>
        <v>0.17047405153187647</v>
      </c>
      <c r="BR487" s="497">
        <f t="shared" ca="1" si="1443"/>
        <v>0.61145497635543067</v>
      </c>
      <c r="BS487" s="475">
        <f t="shared" ca="1" si="1444"/>
        <v>0.50073064167941728</v>
      </c>
      <c r="BT487" s="475">
        <f t="shared" ca="1" si="1445"/>
        <v>1.7960166953108228</v>
      </c>
      <c r="BU487" s="475">
        <f t="shared" ca="1" si="1446"/>
        <v>-2.4718098618535189E-2</v>
      </c>
      <c r="BV487" s="475">
        <f t="shared" ca="1" si="1447"/>
        <v>0.31357963412367484</v>
      </c>
      <c r="BW487" s="475" t="e">
        <f t="shared" ca="1" si="1448"/>
        <v>#NUM!</v>
      </c>
      <c r="BX487" s="475">
        <f t="shared" ca="1" si="1449"/>
        <v>2.3774554069287581</v>
      </c>
      <c r="BY487" s="475" t="e">
        <f t="shared" ca="1" si="1450"/>
        <v>#NUM!</v>
      </c>
      <c r="BZ487" s="475">
        <f t="shared" ca="1" si="1451"/>
        <v>0.17724212998444197</v>
      </c>
      <c r="CA487" s="471" t="e">
        <f t="shared" ca="1" si="1452"/>
        <v>#NUM!</v>
      </c>
      <c r="CB487" s="471">
        <f t="shared" ca="1" si="1453"/>
        <v>0.10634527799066518</v>
      </c>
      <c r="CC487" s="471">
        <f t="shared" ca="1" si="1454"/>
        <v>1.5535494031888681</v>
      </c>
      <c r="CD487" s="471" t="str">
        <f t="shared" ca="1" si="1455"/>
        <v>F. Supercrítico</v>
      </c>
      <c r="CE487" s="471" t="e">
        <f t="shared" ca="1" si="1456"/>
        <v>#NUM!</v>
      </c>
      <c r="CF487" s="471">
        <f t="shared" ca="1" si="1457"/>
        <v>1.9455467656582028</v>
      </c>
      <c r="CG487" s="471" t="str">
        <f t="shared" ca="1" si="1458"/>
        <v>O.K</v>
      </c>
      <c r="CH487" s="471" t="str">
        <f t="shared" ca="1" si="1459"/>
        <v>O.K</v>
      </c>
      <c r="CI487" s="471" t="e">
        <f t="shared" ca="1" si="1460"/>
        <v>#NUM!</v>
      </c>
      <c r="CJ487" s="471" t="str">
        <f t="shared" ca="1" si="1461"/>
        <v>OK</v>
      </c>
      <c r="CK487" s="468">
        <f t="shared" si="1462"/>
        <v>0</v>
      </c>
      <c r="CL487" s="482" t="s">
        <v>2507</v>
      </c>
      <c r="CM487" s="482"/>
      <c r="CN487" s="63" t="str">
        <f t="shared" si="1463"/>
        <v xml:space="preserve"> </v>
      </c>
      <c r="CO487" s="527">
        <f t="shared" si="1332"/>
        <v>62.86</v>
      </c>
      <c r="CP487" s="511">
        <f t="shared" si="1333"/>
        <v>9.2268533248495224E-3</v>
      </c>
      <c r="CQ487" s="482" t="s">
        <v>2508</v>
      </c>
      <c r="CR487" s="204">
        <f t="shared" si="1464"/>
        <v>62.86</v>
      </c>
      <c r="CS487" s="486">
        <v>1.2</v>
      </c>
      <c r="CT487" s="486">
        <v>1.2</v>
      </c>
      <c r="CU487" s="23">
        <f t="shared" si="1465"/>
        <v>62.870518528162307</v>
      </c>
      <c r="CV487" s="499" t="s">
        <v>2509</v>
      </c>
      <c r="CW487" s="488" t="str">
        <f t="shared" ca="1" si="1466"/>
        <v>E1</v>
      </c>
      <c r="CX487" s="204">
        <f ca="1">IF(AND(L487="",H487=""),"",IF(AND(BA487&lt;&gt;4,BA487&lt;&gt;5),VLOOKUP(AY487,'TABLA (2)'!$A$9:$D$43,4),IF(BA487=4,VLOOKUP(AY487,'TABLA (2)'!$A$74:$D$89,4),VLOOKUP(AY487,'TABLA (2)'!$A$51:$D$66,4))))</f>
        <v>7.1999999999999995E-2</v>
      </c>
      <c r="CY487" s="482"/>
      <c r="CZ487" s="482"/>
      <c r="DA487" s="482"/>
      <c r="DB487" s="490"/>
    </row>
    <row r="488" spans="1:106" ht="15" hidden="1" customHeight="1">
      <c r="A488" s="465">
        <f t="shared" si="1467"/>
        <v>356</v>
      </c>
      <c r="B488" s="491"/>
      <c r="C488" s="466" t="s">
        <v>2289</v>
      </c>
      <c r="D488" s="466" t="s">
        <v>2290</v>
      </c>
      <c r="E488" s="468"/>
      <c r="F488" s="468"/>
      <c r="G488" s="537">
        <f t="shared" ref="G488:G506" si="1468">IF(B488=1,0,SUMIF($D$22:$D$583,C488,$H$22:$H$583))</f>
        <v>0.6406505871</v>
      </c>
      <c r="H488" s="537">
        <f t="shared" ref="H488:H506" si="1469">+E488+F488+G488</f>
        <v>0.6406505871</v>
      </c>
      <c r="I488" s="468"/>
      <c r="J488" s="468"/>
      <c r="K488" s="467">
        <f t="shared" ca="1" si="1402"/>
        <v>0.6406505871</v>
      </c>
      <c r="L488" s="468">
        <f t="shared" ca="1" si="1403"/>
        <v>0.6406505871</v>
      </c>
      <c r="M488" s="469">
        <f t="shared" si="1404"/>
        <v>242.33666300502347</v>
      </c>
      <c r="N488" s="470">
        <f t="shared" si="1405"/>
        <v>0</v>
      </c>
      <c r="O488" s="470">
        <f t="shared" si="1406"/>
        <v>0</v>
      </c>
      <c r="P488" s="470">
        <f t="shared" si="1407"/>
        <v>155.25312543002315</v>
      </c>
      <c r="Q488" s="469">
        <f t="shared" si="1336"/>
        <v>140</v>
      </c>
      <c r="R488" s="471">
        <f t="shared" si="1408"/>
        <v>0.21383242970107358</v>
      </c>
      <c r="S488" s="471"/>
      <c r="T488" s="471"/>
      <c r="U488" s="471">
        <f t="shared" si="1409"/>
        <v>0</v>
      </c>
      <c r="V488" s="471"/>
      <c r="W488" s="471"/>
      <c r="X488" s="471">
        <f t="shared" si="1410"/>
        <v>0</v>
      </c>
      <c r="Y488" s="471">
        <f t="shared" si="1411"/>
        <v>0.12813011741999999</v>
      </c>
      <c r="Z488" s="471">
        <f t="shared" ca="1" si="1412"/>
        <v>0</v>
      </c>
      <c r="AA488" s="471">
        <f t="shared" si="1399"/>
        <v>3.8</v>
      </c>
      <c r="AB488" s="471">
        <f t="shared" si="1413"/>
        <v>0.81256323286407961</v>
      </c>
      <c r="AC488" s="471">
        <f t="shared" si="1414"/>
        <v>0</v>
      </c>
      <c r="AD488" s="471">
        <f t="shared" si="1415"/>
        <v>0</v>
      </c>
      <c r="AE488" s="471">
        <f t="shared" si="1416"/>
        <v>0</v>
      </c>
      <c r="AF488" s="510">
        <f t="shared" si="1328"/>
        <v>3.8</v>
      </c>
      <c r="AG488" s="471">
        <f t="shared" si="1417"/>
        <v>0</v>
      </c>
      <c r="AH488" s="471">
        <f t="shared" si="1418"/>
        <v>0</v>
      </c>
      <c r="AI488" s="471">
        <f t="shared" ca="1" si="1419"/>
        <v>1.5</v>
      </c>
      <c r="AJ488" s="471">
        <f t="shared" si="1420"/>
        <v>0.75</v>
      </c>
      <c r="AK488" s="472">
        <f t="shared" si="1421"/>
        <v>6.6149635036488056E-3</v>
      </c>
      <c r="AL488" s="471">
        <f t="shared" si="1422"/>
        <v>0.62783074817518247</v>
      </c>
      <c r="AM488" s="473">
        <f t="shared" ref="AM488:AM506" si="1470">((100/36)*$AM$14*(AP488+$AN$14)^$AO$14)</f>
        <v>319.19803128074108</v>
      </c>
      <c r="AN488" s="474">
        <f t="shared" si="1423"/>
        <v>11.327</v>
      </c>
      <c r="AO488" s="474">
        <f t="shared" si="1424"/>
        <v>0.48711111111111111</v>
      </c>
      <c r="AP488" s="474">
        <f t="shared" si="1425"/>
        <v>11.814111111111112</v>
      </c>
      <c r="AQ488" s="475">
        <v>3</v>
      </c>
      <c r="AR488" s="474">
        <f t="shared" ca="1" si="1426"/>
        <v>3.3392858228783151</v>
      </c>
      <c r="AS488" s="474">
        <f t="shared" ca="1" si="1427"/>
        <v>0.14587284136439782</v>
      </c>
      <c r="AT488" s="471" t="str">
        <f t="shared" ca="1" si="1428"/>
        <v>Disminuir vel.</v>
      </c>
      <c r="AU488" s="492">
        <f t="shared" si="1429"/>
        <v>0</v>
      </c>
      <c r="AV488" s="471">
        <f t="shared" ca="1" si="1430"/>
        <v>128.38787600525097</v>
      </c>
      <c r="AW488" s="471">
        <f t="shared" ca="1" si="1431"/>
        <v>128.38999999999999</v>
      </c>
      <c r="AX488" s="478">
        <f>IF(OR(C488="",D488=""),"",ROUND(((VLOOKUP(C488,'Base de Diseño (2)'!$A$2:$C$333,2,FALSE)-VLOOKUP(D488,'Base de Diseño (2)'!$A$2:$C$333,2,FALSE))^2+(VLOOKUP(C488,'Base de Diseño (2)'!$A$2:$C$333,3,0)-VLOOKUP(D488,'Base de Diseño (2)'!$A$2:$C$333,3,FALSE))^2)^0.5,2))</f>
        <v>87.68</v>
      </c>
      <c r="AY488" s="493">
        <v>24</v>
      </c>
      <c r="AZ488" s="480">
        <f ca="1">IF(AND(L488="",H488=""),"",IF(BA488=4,VLOOKUP(AY488,'TABLA (2)'!$A$74:$C$89,2),IF(BA488=5,VLOOKUP(AY488,'TABLA (2)'!$A$51:$B$66,2),IF(BA488=6,VLOOKUP(AY488,'TABLA (2)'!$A$9:$B$43,2)))))</f>
        <v>600</v>
      </c>
      <c r="BA488" s="493">
        <v>6</v>
      </c>
      <c r="BB488" s="478">
        <f>IF(OR(C488="",D488=""),"",VLOOKUP(C488,'Base de Diseño (2)'!$A$2:$D$330,4,FALSE))</f>
        <v>967.96159999999998</v>
      </c>
      <c r="BC488" s="478">
        <f>IF(OR(C488="",D488=""),"",VLOOKUP(D488,'Base de Diseño (2)'!$A$2:$D$330,4,FALSE))</f>
        <v>967.38160000000005</v>
      </c>
      <c r="BD488" s="23">
        <f t="shared" ca="1" si="1432"/>
        <v>1.2980000000000274</v>
      </c>
      <c r="BE488" s="23">
        <f t="shared" ca="1" si="1433"/>
        <v>0.74799999999995914</v>
      </c>
      <c r="BF488" s="494">
        <v>1.9700000000000273</v>
      </c>
      <c r="BG488" s="494">
        <v>1.4199999999999591</v>
      </c>
      <c r="BH488" s="495">
        <f t="shared" si="1434"/>
        <v>965.99159999999995</v>
      </c>
      <c r="BI488" s="495">
        <f t="shared" si="1435"/>
        <v>965.96160000000009</v>
      </c>
      <c r="BJ488" s="534">
        <f t="shared" si="1398"/>
        <v>3.0000000000086402E-2</v>
      </c>
      <c r="BK488" s="475">
        <f t="shared" si="1436"/>
        <v>0.66149635036488053</v>
      </c>
      <c r="BL488" s="475">
        <f t="shared" si="1437"/>
        <v>3.4215328466992503E-2</v>
      </c>
      <c r="BM488" s="475">
        <f t="shared" ca="1" si="1438"/>
        <v>0.40169322831284993</v>
      </c>
      <c r="BN488" s="475">
        <f t="shared" ca="1" si="1439"/>
        <v>113.57608455579752</v>
      </c>
      <c r="BO488" s="204">
        <f t="shared" ca="1" si="1440"/>
        <v>1.320700573423168E-2</v>
      </c>
      <c r="BP488" s="496">
        <f t="shared" ca="1" si="1441"/>
        <v>1.1304316441453368</v>
      </c>
      <c r="BQ488" s="497">
        <f t="shared" ca="1" si="1442"/>
        <v>0.30412633645157766</v>
      </c>
      <c r="BR488" s="497">
        <f t="shared" ca="1" si="1443"/>
        <v>1.0894346562207016</v>
      </c>
      <c r="BS488" s="475">
        <f t="shared" ca="1" si="1444"/>
        <v>0.12216548990419419</v>
      </c>
      <c r="BT488" s="475">
        <f t="shared" ca="1" si="1445"/>
        <v>0.43761852409319346</v>
      </c>
      <c r="BU488" s="475">
        <f t="shared" ca="1" si="1446"/>
        <v>0.10360799349831379</v>
      </c>
      <c r="BV488" s="475" t="str">
        <f t="shared" ca="1" si="1447"/>
        <v xml:space="preserve"> </v>
      </c>
      <c r="BW488" s="475">
        <f t="shared" ca="1" si="1448"/>
        <v>1.310866245479787</v>
      </c>
      <c r="BX488" s="475" t="e">
        <f t="shared" ca="1" si="1449"/>
        <v>#VALUE!</v>
      </c>
      <c r="BY488" s="475">
        <f t="shared" ca="1" si="1450"/>
        <v>6.569287602017565E-2</v>
      </c>
      <c r="BZ488" s="475" t="e">
        <f t="shared" ca="1" si="1451"/>
        <v>#VALUE!</v>
      </c>
      <c r="CA488" s="471">
        <f t="shared" ca="1" si="1452"/>
        <v>3.9415725612105393E-2</v>
      </c>
      <c r="CB488" s="471" t="e">
        <f t="shared" ca="1" si="1453"/>
        <v>#VALUE!</v>
      </c>
      <c r="CC488" s="471" t="e">
        <f t="shared" ca="1" si="1454"/>
        <v>#VALUE!</v>
      </c>
      <c r="CD488" s="471" t="e">
        <f t="shared" ca="1" si="1455"/>
        <v>#VALUE!</v>
      </c>
      <c r="CE488" s="471">
        <f t="shared" ca="1" si="1456"/>
        <v>1.3486219985830352E-2</v>
      </c>
      <c r="CF488" s="471" t="e">
        <f t="shared" ca="1" si="1457"/>
        <v>#VALUE!</v>
      </c>
      <c r="CG488" s="471" t="str">
        <f t="shared" ca="1" si="1458"/>
        <v>No cumple</v>
      </c>
      <c r="CH488" s="471" t="str">
        <f t="shared" ca="1" si="1459"/>
        <v>No cumple</v>
      </c>
      <c r="CI488" s="471" t="str">
        <f t="shared" ca="1" si="1460"/>
        <v>V.C.H.</v>
      </c>
      <c r="CJ488" s="471" t="e">
        <f t="shared" ca="1" si="1461"/>
        <v>#VALUE!</v>
      </c>
      <c r="CK488" s="468">
        <f t="shared" si="1462"/>
        <v>3.0000000000086402E-2</v>
      </c>
      <c r="CL488" s="482" t="s">
        <v>2507</v>
      </c>
      <c r="CM488" s="482"/>
      <c r="CN488" s="63" t="str">
        <f t="shared" si="1463"/>
        <v xml:space="preserve"> </v>
      </c>
      <c r="CO488" s="527">
        <f t="shared" ref="CO488:CO506" si="1471">+CR488</f>
        <v>87.68</v>
      </c>
      <c r="CP488" s="542">
        <f t="shared" ref="CP488:CP506" si="1472">+BK488/100</f>
        <v>6.6149635036488056E-3</v>
      </c>
      <c r="CQ488" s="482" t="s">
        <v>2508</v>
      </c>
      <c r="CR488" s="204">
        <f t="shared" si="1464"/>
        <v>87.68</v>
      </c>
      <c r="CS488" s="486">
        <v>1.2</v>
      </c>
      <c r="CT488" s="486">
        <v>1.2</v>
      </c>
      <c r="CU488" s="23">
        <f t="shared" si="1465"/>
        <v>87.680005132299129</v>
      </c>
      <c r="CV488" s="499" t="s">
        <v>2509</v>
      </c>
      <c r="CW488" s="488" t="str">
        <f t="shared" ca="1" si="1466"/>
        <v>E2</v>
      </c>
      <c r="CX488" s="204">
        <f ca="1">IF(AND(L488="",H488=""),"",IF(AND(BA488&lt;&gt;4,BA488&lt;&gt;5),VLOOKUP(AY488,'TABLA (2)'!$A$9:$D$43,4),IF(BA488=4,VLOOKUP(AY488,'TABLA (2)'!$A$74:$D$89,4),VLOOKUP(AY488,'TABLA (2)'!$A$51:$D$66,4))))</f>
        <v>7.1999999999999995E-2</v>
      </c>
      <c r="CY488" s="482"/>
      <c r="CZ488" s="482"/>
      <c r="DA488" s="482"/>
      <c r="DB488" s="490"/>
    </row>
    <row r="489" spans="1:106" ht="15" hidden="1" customHeight="1">
      <c r="A489" s="465">
        <f t="shared" si="1467"/>
        <v>357</v>
      </c>
      <c r="B489" s="491"/>
      <c r="C489" s="466" t="s">
        <v>2290</v>
      </c>
      <c r="D489" s="466" t="s">
        <v>2301</v>
      </c>
      <c r="E489" s="468"/>
      <c r="F489" s="468"/>
      <c r="G489" s="537">
        <f t="shared" si="1468"/>
        <v>0.6406505871</v>
      </c>
      <c r="H489" s="537">
        <f t="shared" si="1469"/>
        <v>0.6406505871</v>
      </c>
      <c r="I489" s="468"/>
      <c r="J489" s="468"/>
      <c r="K489" s="467">
        <f t="shared" ca="1" si="1402"/>
        <v>0.6406505871</v>
      </c>
      <c r="L489" s="468">
        <f t="shared" ca="1" si="1403"/>
        <v>0.6406505871</v>
      </c>
      <c r="M489" s="469">
        <f t="shared" si="1404"/>
        <v>242.33666300502347</v>
      </c>
      <c r="N489" s="470">
        <f t="shared" si="1405"/>
        <v>0</v>
      </c>
      <c r="O489" s="470">
        <f t="shared" si="1406"/>
        <v>0</v>
      </c>
      <c r="P489" s="470">
        <f t="shared" si="1407"/>
        <v>155.25312543002315</v>
      </c>
      <c r="Q489" s="469">
        <f t="shared" si="1336"/>
        <v>140</v>
      </c>
      <c r="R489" s="471">
        <f t="shared" si="1408"/>
        <v>0.21383242970107358</v>
      </c>
      <c r="S489" s="471"/>
      <c r="T489" s="471"/>
      <c r="U489" s="471">
        <f t="shared" si="1409"/>
        <v>0</v>
      </c>
      <c r="V489" s="471"/>
      <c r="W489" s="471"/>
      <c r="X489" s="471">
        <f t="shared" si="1410"/>
        <v>0</v>
      </c>
      <c r="Y489" s="471">
        <f t="shared" si="1411"/>
        <v>0.12813011741999999</v>
      </c>
      <c r="Z489" s="471">
        <f t="shared" ca="1" si="1412"/>
        <v>0</v>
      </c>
      <c r="AA489" s="471">
        <f t="shared" si="1399"/>
        <v>3.8</v>
      </c>
      <c r="AB489" s="471">
        <f t="shared" si="1413"/>
        <v>0.81256323286407961</v>
      </c>
      <c r="AC489" s="471">
        <f t="shared" si="1414"/>
        <v>0</v>
      </c>
      <c r="AD489" s="471">
        <f t="shared" si="1415"/>
        <v>0</v>
      </c>
      <c r="AE489" s="471">
        <f t="shared" si="1416"/>
        <v>0</v>
      </c>
      <c r="AF489" s="510">
        <f t="shared" si="1328"/>
        <v>3.8</v>
      </c>
      <c r="AG489" s="471">
        <f t="shared" si="1417"/>
        <v>0</v>
      </c>
      <c r="AH489" s="471">
        <f t="shared" si="1418"/>
        <v>0</v>
      </c>
      <c r="AI489" s="471">
        <f t="shared" ca="1" si="1419"/>
        <v>1.5</v>
      </c>
      <c r="AJ489" s="471">
        <f t="shared" si="1420"/>
        <v>0.75</v>
      </c>
      <c r="AK489" s="472">
        <f t="shared" si="1421"/>
        <v>6.1881188118811884E-3</v>
      </c>
      <c r="AL489" s="471">
        <f t="shared" si="1422"/>
        <v>0.62780940594059409</v>
      </c>
      <c r="AM489" s="473">
        <f t="shared" si="1470"/>
        <v>317.19456106863635</v>
      </c>
      <c r="AN489" s="474">
        <f t="shared" si="1423"/>
        <v>11.814111111111112</v>
      </c>
      <c r="AO489" s="474">
        <f t="shared" si="1424"/>
        <v>0.22444444444444445</v>
      </c>
      <c r="AP489" s="474">
        <f t="shared" si="1425"/>
        <v>12.038555555555556</v>
      </c>
      <c r="AQ489" s="475">
        <v>3</v>
      </c>
      <c r="AR489" s="474">
        <f t="shared" ca="1" si="1426"/>
        <v>0.63375367183776932</v>
      </c>
      <c r="AS489" s="474">
        <f t="shared" ca="1" si="1427"/>
        <v>0.35415091764848755</v>
      </c>
      <c r="AT489" s="471" t="str">
        <f t="shared" ca="1" si="1428"/>
        <v>Disminuir vel.</v>
      </c>
      <c r="AU489" s="492">
        <f t="shared" si="1429"/>
        <v>0</v>
      </c>
      <c r="AV489" s="471">
        <f t="shared" ca="1" si="1430"/>
        <v>127.57770296691589</v>
      </c>
      <c r="AW489" s="471">
        <f t="shared" ca="1" si="1431"/>
        <v>127.58</v>
      </c>
      <c r="AX489" s="478">
        <f>IF(OR(C489="",D489=""),"",ROUND(((VLOOKUP(C489,'Base de Diseño (2)'!$A$2:$C$333,2,FALSE)-VLOOKUP(D489,'Base de Diseño (2)'!$A$2:$C$333,2,FALSE))^2+(VLOOKUP(C489,'Base de Diseño (2)'!$A$2:$C$333,3,0)-VLOOKUP(D489,'Base de Diseño (2)'!$A$2:$C$333,3,FALSE))^2)^0.5,2))</f>
        <v>40.4</v>
      </c>
      <c r="AY489" s="493">
        <v>20</v>
      </c>
      <c r="AZ489" s="480">
        <f ca="1">IF(AND(L489="",H489=""),"",IF(BA489=4,VLOOKUP(AY489,'TABLA (2)'!$A$74:$C$89,2),IF(BA489=5,VLOOKUP(AY489,'TABLA (2)'!$A$51:$B$66,2),IF(BA489=6,VLOOKUP(AY489,'TABLA (2)'!$A$9:$B$43,2)))))</f>
        <v>500</v>
      </c>
      <c r="BA489" s="493">
        <v>6</v>
      </c>
      <c r="BB489" s="478">
        <f>IF(OR(C489="",D489=""),"",VLOOKUP(C489,'Base de Diseño (2)'!$A$2:$D$330,4,FALSE))</f>
        <v>967.38160000000005</v>
      </c>
      <c r="BC489" s="478">
        <f>IF(OR(C489="",D489=""),"",VLOOKUP(D489,'Base de Diseño (2)'!$A$2:$D$330,4,FALSE))</f>
        <v>967.63160000000005</v>
      </c>
      <c r="BD489" s="23">
        <f t="shared" ca="1" si="1432"/>
        <v>0.88000000000004541</v>
      </c>
      <c r="BE489" s="23">
        <f t="shared" ca="1" si="1433"/>
        <v>1.2900000000000136</v>
      </c>
      <c r="BF489" s="494">
        <v>1.4500000000000455</v>
      </c>
      <c r="BG489" s="494">
        <v>1.8600000000000136</v>
      </c>
      <c r="BH489" s="495">
        <f t="shared" si="1434"/>
        <v>965.9316</v>
      </c>
      <c r="BI489" s="495">
        <f t="shared" si="1435"/>
        <v>965.77160000000003</v>
      </c>
      <c r="BJ489" s="534">
        <f t="shared" si="1398"/>
        <v>3.999999999996362E-2</v>
      </c>
      <c r="BK489" s="475">
        <f t="shared" si="1436"/>
        <v>0.61881188118811881</v>
      </c>
      <c r="BL489" s="475">
        <f t="shared" si="1437"/>
        <v>0.39603960396031729</v>
      </c>
      <c r="BM489" s="475">
        <f t="shared" ca="1" si="1438"/>
        <v>1.2102245683220965</v>
      </c>
      <c r="BN489" s="475">
        <f t="shared" ca="1" si="1439"/>
        <v>237.62703831466106</v>
      </c>
      <c r="BO489" s="204">
        <f t="shared" ca="1" si="1440"/>
        <v>6.3124129755542779E-3</v>
      </c>
      <c r="BP489" s="496">
        <f t="shared" ca="1" si="1441"/>
        <v>0.53689176494747648</v>
      </c>
      <c r="BQ489" s="497">
        <f t="shared" ca="1" si="1442"/>
        <v>0.24534253751558321</v>
      </c>
      <c r="BR489" s="497">
        <f t="shared" ca="1" si="1443"/>
        <v>0.87789719425254231</v>
      </c>
      <c r="BS489" s="475">
        <f t="shared" ca="1" si="1444"/>
        <v>0.29691956655584445</v>
      </c>
      <c r="BT489" s="475">
        <f t="shared" ca="1" si="1445"/>
        <v>1.0624527529454626</v>
      </c>
      <c r="BU489" s="475">
        <f t="shared" ca="1" si="1446"/>
        <v>5.5992196051041054E-2</v>
      </c>
      <c r="BV489" s="475">
        <f t="shared" ca="1" si="1447"/>
        <v>0.58292784331621406</v>
      </c>
      <c r="BW489" s="475">
        <f t="shared" ca="1" si="1448"/>
        <v>0.95556990875152215</v>
      </c>
      <c r="BX489" s="475">
        <f t="shared" ca="1" si="1449"/>
        <v>3.4748439584303656</v>
      </c>
      <c r="BY489" s="475">
        <f t="shared" ca="1" si="1450"/>
        <v>3.6346664784269372E-2</v>
      </c>
      <c r="BZ489" s="475">
        <f t="shared" ca="1" si="1451"/>
        <v>0.27353466703934953</v>
      </c>
      <c r="CA489" s="471">
        <f t="shared" ca="1" si="1452"/>
        <v>1.8173332392134686E-2</v>
      </c>
      <c r="CB489" s="471">
        <f t="shared" ca="1" si="1453"/>
        <v>0.13676733351967477</v>
      </c>
      <c r="CC489" s="471">
        <f t="shared" ca="1" si="1454"/>
        <v>0.6910393435642237</v>
      </c>
      <c r="CD489" s="471" t="str">
        <f t="shared" ca="1" si="1455"/>
        <v>F. Subcrítico</v>
      </c>
      <c r="CE489" s="471">
        <f t="shared" ca="1" si="1456"/>
        <v>7.1973593632202265E-2</v>
      </c>
      <c r="CF489" s="471">
        <f t="shared" ca="1" si="1457"/>
        <v>0.54165280601840626</v>
      </c>
      <c r="CG489" s="471" t="str">
        <f t="shared" ca="1" si="1458"/>
        <v>No cumple</v>
      </c>
      <c r="CH489" s="471" t="str">
        <f t="shared" ca="1" si="1459"/>
        <v>O.K</v>
      </c>
      <c r="CI489" s="471" t="str">
        <f t="shared" ca="1" si="1460"/>
        <v>V.C.H.</v>
      </c>
      <c r="CJ489" s="471" t="str">
        <f t="shared" ca="1" si="1461"/>
        <v>OK</v>
      </c>
      <c r="CK489" s="468">
        <f t="shared" si="1462"/>
        <v>3.999999999996362E-2</v>
      </c>
      <c r="CL489" s="482" t="s">
        <v>2507</v>
      </c>
      <c r="CM489" s="482"/>
      <c r="CN489" s="63" t="str">
        <f t="shared" si="1463"/>
        <v xml:space="preserve"> </v>
      </c>
      <c r="CO489" s="527">
        <f t="shared" si="1471"/>
        <v>40.4</v>
      </c>
      <c r="CP489" s="511">
        <f t="shared" si="1472"/>
        <v>6.1881188118811884E-3</v>
      </c>
      <c r="CQ489" s="482" t="s">
        <v>2508</v>
      </c>
      <c r="CR489" s="204">
        <f t="shared" si="1464"/>
        <v>40.4</v>
      </c>
      <c r="CS489" s="486">
        <v>1.2</v>
      </c>
      <c r="CT489" s="486">
        <v>1.2</v>
      </c>
      <c r="CU489" s="23">
        <f t="shared" si="1465"/>
        <v>40.400316830440822</v>
      </c>
      <c r="CV489" s="499" t="s">
        <v>2509</v>
      </c>
      <c r="CW489" s="488" t="str">
        <f t="shared" ca="1" si="1466"/>
        <v>E1</v>
      </c>
      <c r="CX489" s="204">
        <f ca="1">IF(AND(L489="",H489=""),"",IF(AND(BA489&lt;&gt;4,BA489&lt;&gt;5),VLOOKUP(AY489,'TABLA (2)'!$A$9:$D$43,4),IF(BA489=4,VLOOKUP(AY489,'TABLA (2)'!$A$74:$D$89,4),VLOOKUP(AY489,'TABLA (2)'!$A$51:$D$66,4))))</f>
        <v>7.0000000000000007E-2</v>
      </c>
      <c r="CY489" s="482"/>
      <c r="CZ489" s="482"/>
      <c r="DA489" s="482"/>
      <c r="DB489" s="490"/>
    </row>
    <row r="490" spans="1:106" ht="15" hidden="1" customHeight="1">
      <c r="A490" s="465">
        <f t="shared" si="1467"/>
        <v>358</v>
      </c>
      <c r="B490" s="491"/>
      <c r="C490" s="466" t="s">
        <v>2301</v>
      </c>
      <c r="D490" s="466" t="s">
        <v>2302</v>
      </c>
      <c r="E490" s="468">
        <v>3.3013000000000001E-2</v>
      </c>
      <c r="F490" s="468"/>
      <c r="G490" s="537">
        <f t="shared" si="1468"/>
        <v>1.8491301133000002</v>
      </c>
      <c r="H490" s="537">
        <f t="shared" si="1469"/>
        <v>1.8821431133000002</v>
      </c>
      <c r="I490" s="468">
        <v>3.3013000000000001E-2</v>
      </c>
      <c r="J490" s="468"/>
      <c r="K490" s="467">
        <f t="shared" ca="1" si="1402"/>
        <v>1.8491301133000002</v>
      </c>
      <c r="L490" s="468">
        <f t="shared" ca="1" si="1403"/>
        <v>1.8821431133000002</v>
      </c>
      <c r="M490" s="469">
        <f t="shared" si="1404"/>
        <v>242.33666300502347</v>
      </c>
      <c r="N490" s="470">
        <f t="shared" si="1405"/>
        <v>8.0002602557848395</v>
      </c>
      <c r="O490" s="470">
        <f t="shared" si="1406"/>
        <v>0</v>
      </c>
      <c r="P490" s="470">
        <f t="shared" si="1407"/>
        <v>456.11228137500785</v>
      </c>
      <c r="Q490" s="469">
        <f t="shared" si="1336"/>
        <v>140</v>
      </c>
      <c r="R490" s="471">
        <f t="shared" si="1408"/>
        <v>0.62821020235678171</v>
      </c>
      <c r="S490" s="471"/>
      <c r="T490" s="471"/>
      <c r="U490" s="471">
        <f t="shared" si="1409"/>
        <v>0</v>
      </c>
      <c r="V490" s="471"/>
      <c r="W490" s="471"/>
      <c r="X490" s="471">
        <f t="shared" si="1410"/>
        <v>0</v>
      </c>
      <c r="Y490" s="471">
        <f t="shared" si="1411"/>
        <v>0.37642862266000005</v>
      </c>
      <c r="Z490" s="471">
        <f t="shared" ca="1" si="1412"/>
        <v>0</v>
      </c>
      <c r="AA490" s="471">
        <f t="shared" si="1399"/>
        <v>3.8</v>
      </c>
      <c r="AB490" s="471">
        <f t="shared" si="1413"/>
        <v>2.3871987689557703</v>
      </c>
      <c r="AC490" s="471">
        <f t="shared" si="1414"/>
        <v>1.1018876972666618E-2</v>
      </c>
      <c r="AD490" s="471">
        <f t="shared" si="1415"/>
        <v>6.6026000000000001E-3</v>
      </c>
      <c r="AE490" s="471">
        <f t="shared" si="1416"/>
        <v>0</v>
      </c>
      <c r="AF490" s="510">
        <f t="shared" si="1328"/>
        <v>3.8</v>
      </c>
      <c r="AG490" s="471">
        <f t="shared" si="1417"/>
        <v>4.1871732496133143E-2</v>
      </c>
      <c r="AH490" s="471">
        <f t="shared" si="1418"/>
        <v>4.8474332496133143E-2</v>
      </c>
      <c r="AI490" s="471">
        <f t="shared" ca="1" si="1419"/>
        <v>2.7636273916157705</v>
      </c>
      <c r="AJ490" s="471">
        <f t="shared" si="1420"/>
        <v>0.75</v>
      </c>
      <c r="AK490" s="472">
        <f t="shared" si="1421"/>
        <v>6.2536873156345679E-2</v>
      </c>
      <c r="AL490" s="471">
        <f t="shared" si="1422"/>
        <v>0.63062684365781729</v>
      </c>
      <c r="AM490" s="473">
        <f t="shared" si="1470"/>
        <v>316.36115358286162</v>
      </c>
      <c r="AN490" s="474">
        <f t="shared" si="1423"/>
        <v>12.038555555555556</v>
      </c>
      <c r="AO490" s="474">
        <f t="shared" si="1424"/>
        <v>9.4166666666666662E-2</v>
      </c>
      <c r="AP490" s="474">
        <f t="shared" si="1425"/>
        <v>12.132722222222222</v>
      </c>
      <c r="AQ490" s="475">
        <v>3</v>
      </c>
      <c r="AR490" s="474">
        <f t="shared" ca="1" si="1426"/>
        <v>7.3389971695669437E-2</v>
      </c>
      <c r="AS490" s="474">
        <f t="shared" ca="1" si="1427"/>
        <v>1.2830999180263098</v>
      </c>
      <c r="AT490" s="471" t="str">
        <f t="shared" ca="1" si="1428"/>
        <v>Aumentar vel.</v>
      </c>
      <c r="AU490" s="492">
        <f t="shared" si="1429"/>
        <v>6.5862861552815168</v>
      </c>
      <c r="AV490" s="471">
        <f t="shared" ca="1" si="1430"/>
        <v>375.49853480102507</v>
      </c>
      <c r="AW490" s="471">
        <f t="shared" ca="1" si="1431"/>
        <v>375.5</v>
      </c>
      <c r="AX490" s="478">
        <f>IF(OR(C490="",D490=""),"",ROUND(((VLOOKUP(C490,'Base de Diseño (2)'!$A$2:$C$333,2,FALSE)-VLOOKUP(D490,'Base de Diseño (2)'!$A$2:$C$333,2,FALSE))^2+(VLOOKUP(C490,'Base de Diseño (2)'!$A$2:$C$333,3,0)-VLOOKUP(D490,'Base de Diseño (2)'!$A$2:$C$333,3,FALSE))^2)^0.5,2))</f>
        <v>16.95</v>
      </c>
      <c r="AY490" s="493">
        <v>30</v>
      </c>
      <c r="AZ490" s="480">
        <f ca="1">IF(AND(L490="",H490=""),"",IF(BA490=4,VLOOKUP(AY490,'TABLA (2)'!$A$74:$C$89,2),IF(BA490=5,VLOOKUP(AY490,'TABLA (2)'!$A$51:$B$66,2),IF(BA490=6,VLOOKUP(AY490,'TABLA (2)'!$A$9:$B$43,2)))))</f>
        <v>750</v>
      </c>
      <c r="BA490" s="493">
        <v>6</v>
      </c>
      <c r="BB490" s="478">
        <f>IF(OR(C490="",D490=""),"",VLOOKUP(C490,'Base de Diseño (2)'!$A$2:$D$330,4,FALSE))</f>
        <v>967.63160000000005</v>
      </c>
      <c r="BC490" s="478">
        <f>IF(OR(C490="",D490=""),"",VLOOKUP(D490,'Base de Diseño (2)'!$A$2:$D$330,4,FALSE))</f>
        <v>966.57159999999999</v>
      </c>
      <c r="BD490" s="23">
        <f t="shared" ca="1" si="1432"/>
        <v>1.0649999999999773</v>
      </c>
      <c r="BE490" s="23">
        <f t="shared" ca="1" si="1433"/>
        <v>1.1949999999999728</v>
      </c>
      <c r="BF490" s="494">
        <v>1.8999999999999773</v>
      </c>
      <c r="BG490" s="494">
        <v>2.0299999999999727</v>
      </c>
      <c r="BH490" s="495">
        <f t="shared" si="1434"/>
        <v>965.73160000000007</v>
      </c>
      <c r="BI490" s="495">
        <f t="shared" si="1435"/>
        <v>964.54160000000002</v>
      </c>
      <c r="BJ490" s="534">
        <f t="shared" si="1398"/>
        <v>0</v>
      </c>
      <c r="BK490" s="475">
        <f t="shared" si="1436"/>
        <v>6.2536873156345676</v>
      </c>
      <c r="BL490" s="475">
        <f t="shared" si="1437"/>
        <v>7.0206489675519439</v>
      </c>
      <c r="BM490" s="475">
        <f t="shared" ca="1" si="1438"/>
        <v>6.6769705160729673</v>
      </c>
      <c r="BN490" s="475">
        <f t="shared" ca="1" si="1439"/>
        <v>2949.7952139652243</v>
      </c>
      <c r="BO490" s="204">
        <f t="shared" ca="1" si="1440"/>
        <v>9.368878824305908E-4</v>
      </c>
      <c r="BP490" s="496">
        <f t="shared" ca="1" si="1441"/>
        <v>0.12729697242109189</v>
      </c>
      <c r="BQ490" s="497">
        <f t="shared" ca="1" si="1442"/>
        <v>0.14083756688893356</v>
      </c>
      <c r="BR490" s="497">
        <f t="shared" ca="1" si="1443"/>
        <v>0.57650393165774816</v>
      </c>
      <c r="BS490" s="475">
        <f t="shared" ca="1" si="1444"/>
        <v>0.94036828167286379</v>
      </c>
      <c r="BT490" s="475">
        <f t="shared" ca="1" si="1445"/>
        <v>3.8492997540789293</v>
      </c>
      <c r="BU490" s="475">
        <f t="shared" ca="1" si="1446"/>
        <v>-6.7055077551032682E-2</v>
      </c>
      <c r="BV490" s="475">
        <f t="shared" ca="1" si="1447"/>
        <v>0.28135671114904015</v>
      </c>
      <c r="BW490" s="475" t="e">
        <f t="shared" ca="1" si="1448"/>
        <v>#NUM!</v>
      </c>
      <c r="BX490" s="475">
        <f t="shared" ca="1" si="1449"/>
        <v>2.2364341207051224</v>
      </c>
      <c r="BY490" s="475" t="e">
        <f t="shared" ca="1" si="1450"/>
        <v>#NUM!</v>
      </c>
      <c r="BZ490" s="475">
        <f t="shared" ca="1" si="1451"/>
        <v>0.16207844428940699</v>
      </c>
      <c r="CA490" s="471" t="e">
        <f t="shared" ca="1" si="1452"/>
        <v>#NUM!</v>
      </c>
      <c r="CB490" s="471">
        <f t="shared" ca="1" si="1453"/>
        <v>0.12155883321705524</v>
      </c>
      <c r="CC490" s="471">
        <f t="shared" ca="1" si="1454"/>
        <v>3.1611752349597793</v>
      </c>
      <c r="CD490" s="471" t="str">
        <f t="shared" ca="1" si="1455"/>
        <v>F. Supercrítico</v>
      </c>
      <c r="CE490" s="471" t="e">
        <f t="shared" ca="1" si="1456"/>
        <v>#NUM!</v>
      </c>
      <c r="CF490" s="471">
        <f t="shared" ca="1" si="1457"/>
        <v>8.5342189692213779</v>
      </c>
      <c r="CG490" s="471" t="str">
        <f t="shared" ca="1" si="1458"/>
        <v>O.K</v>
      </c>
      <c r="CH490" s="471" t="str">
        <f t="shared" ca="1" si="1459"/>
        <v>O.K</v>
      </c>
      <c r="CI490" s="471" t="e">
        <f t="shared" ca="1" si="1460"/>
        <v>#NUM!</v>
      </c>
      <c r="CJ490" s="471" t="str">
        <f t="shared" ca="1" si="1461"/>
        <v>OK</v>
      </c>
      <c r="CK490" s="468">
        <f t="shared" si="1462"/>
        <v>0</v>
      </c>
      <c r="CL490" s="482" t="s">
        <v>2507</v>
      </c>
      <c r="CM490" s="482"/>
      <c r="CN490" s="63" t="str">
        <f t="shared" si="1463"/>
        <v xml:space="preserve"> </v>
      </c>
      <c r="CO490" s="527">
        <f t="shared" si="1471"/>
        <v>16.95</v>
      </c>
      <c r="CP490" s="542">
        <f t="shared" si="1472"/>
        <v>6.2536873156345679E-2</v>
      </c>
      <c r="CQ490" s="482" t="s">
        <v>2508</v>
      </c>
      <c r="CR490" s="204">
        <f t="shared" si="1464"/>
        <v>16.95</v>
      </c>
      <c r="CS490" s="486">
        <v>1.2</v>
      </c>
      <c r="CT490" s="486">
        <v>1.2</v>
      </c>
      <c r="CU490" s="23">
        <f t="shared" si="1465"/>
        <v>16.991721513725444</v>
      </c>
      <c r="CV490" s="499" t="s">
        <v>2509</v>
      </c>
      <c r="CW490" s="488" t="str">
        <f t="shared" ca="1" si="1466"/>
        <v>E2</v>
      </c>
      <c r="CX490" s="204">
        <f ca="1">IF(AND(L490="",H490=""),"",IF(AND(BA490&lt;&gt;4,BA490&lt;&gt;5),VLOOKUP(AY490,'TABLA (2)'!$A$9:$D$43,4),IF(BA490=4,VLOOKUP(AY490,'TABLA (2)'!$A$74:$D$89,4),VLOOKUP(AY490,'TABLA (2)'!$A$51:$D$66,4))))</f>
        <v>8.5000000000000006E-2</v>
      </c>
      <c r="CY490" s="482"/>
      <c r="CZ490" s="482"/>
      <c r="DA490" s="482"/>
      <c r="DB490" s="490"/>
    </row>
    <row r="491" spans="1:106" ht="15" hidden="1" customHeight="1">
      <c r="A491" s="465">
        <f t="shared" si="1467"/>
        <v>359</v>
      </c>
      <c r="B491" s="491"/>
      <c r="C491" s="466" t="s">
        <v>2302</v>
      </c>
      <c r="D491" s="466" t="s">
        <v>2303</v>
      </c>
      <c r="E491" s="468"/>
      <c r="F491" s="468"/>
      <c r="G491" s="537">
        <f t="shared" si="1468"/>
        <v>1.8821431133000002</v>
      </c>
      <c r="H491" s="537">
        <f t="shared" si="1469"/>
        <v>1.8821431133000002</v>
      </c>
      <c r="I491" s="468"/>
      <c r="J491" s="468"/>
      <c r="K491" s="467">
        <f t="shared" ca="1" si="1402"/>
        <v>1.8821431133000002</v>
      </c>
      <c r="L491" s="468">
        <f t="shared" ca="1" si="1403"/>
        <v>1.8821431133000002</v>
      </c>
      <c r="M491" s="469">
        <f t="shared" si="1404"/>
        <v>242.33666300502347</v>
      </c>
      <c r="N491" s="470">
        <f t="shared" si="1405"/>
        <v>0</v>
      </c>
      <c r="O491" s="470">
        <f t="shared" si="1406"/>
        <v>0</v>
      </c>
      <c r="P491" s="470">
        <f t="shared" si="1407"/>
        <v>456.11228137500785</v>
      </c>
      <c r="Q491" s="469">
        <f t="shared" si="1336"/>
        <v>140</v>
      </c>
      <c r="R491" s="471">
        <f t="shared" si="1408"/>
        <v>0.62821020235678171</v>
      </c>
      <c r="S491" s="471"/>
      <c r="T491" s="471"/>
      <c r="U491" s="471">
        <f t="shared" si="1409"/>
        <v>0</v>
      </c>
      <c r="V491" s="471"/>
      <c r="W491" s="471"/>
      <c r="X491" s="471">
        <f t="shared" si="1410"/>
        <v>0</v>
      </c>
      <c r="Y491" s="471">
        <f t="shared" si="1411"/>
        <v>0.37642862266000005</v>
      </c>
      <c r="Z491" s="471">
        <f t="shared" ca="1" si="1412"/>
        <v>0</v>
      </c>
      <c r="AA491" s="471">
        <f t="shared" si="1399"/>
        <v>3.8</v>
      </c>
      <c r="AB491" s="471">
        <f t="shared" si="1413"/>
        <v>2.3871987689557703</v>
      </c>
      <c r="AC491" s="471">
        <f t="shared" si="1414"/>
        <v>0</v>
      </c>
      <c r="AD491" s="471">
        <f t="shared" si="1415"/>
        <v>0</v>
      </c>
      <c r="AE491" s="471">
        <f t="shared" si="1416"/>
        <v>0</v>
      </c>
      <c r="AF491" s="510">
        <f t="shared" si="1328"/>
        <v>3.8</v>
      </c>
      <c r="AG491" s="471">
        <f t="shared" si="1417"/>
        <v>0</v>
      </c>
      <c r="AH491" s="471">
        <f t="shared" si="1418"/>
        <v>0</v>
      </c>
      <c r="AI491" s="471">
        <f t="shared" ca="1" si="1419"/>
        <v>2.7636273916157705</v>
      </c>
      <c r="AJ491" s="471">
        <f t="shared" si="1420"/>
        <v>0.75</v>
      </c>
      <c r="AK491" s="472">
        <f t="shared" si="1421"/>
        <v>4.3307086614178598E-2</v>
      </c>
      <c r="AL491" s="471">
        <f t="shared" si="1422"/>
        <v>0.62966535433070903</v>
      </c>
      <c r="AM491" s="473">
        <f t="shared" si="1470"/>
        <v>316.11219366143166</v>
      </c>
      <c r="AN491" s="474">
        <f t="shared" si="1423"/>
        <v>12.132722222222222</v>
      </c>
      <c r="AO491" s="474">
        <f t="shared" si="1424"/>
        <v>2.8222222222222221E-2</v>
      </c>
      <c r="AP491" s="474">
        <f t="shared" si="1425"/>
        <v>12.160944444444445</v>
      </c>
      <c r="AQ491" s="475">
        <v>3</v>
      </c>
      <c r="AR491" s="474" t="e">
        <f t="shared" ca="1" si="1426"/>
        <v>#NUM!</v>
      </c>
      <c r="AS491" s="474" t="e">
        <f t="shared" ca="1" si="1427"/>
        <v>#NUM!</v>
      </c>
      <c r="AT491" s="471" t="e">
        <f t="shared" ca="1" si="1428"/>
        <v>#NUM!</v>
      </c>
      <c r="AU491" s="492">
        <f t="shared" si="1429"/>
        <v>0</v>
      </c>
      <c r="AV491" s="471">
        <f t="shared" ca="1" si="1430"/>
        <v>374.63098105339265</v>
      </c>
      <c r="AW491" s="471">
        <f t="shared" ca="1" si="1431"/>
        <v>374.63</v>
      </c>
      <c r="AX491" s="478">
        <f>IF(OR(C491="",D491=""),"",ROUND(((VLOOKUP(C491,'Base de Diseño (2)'!$A$2:$C$333,2,FALSE)-VLOOKUP(D491,'Base de Diseño (2)'!$A$2:$C$333,2,FALSE))^2+(VLOOKUP(C491,'Base de Diseño (2)'!$A$2:$C$333,3,0)-VLOOKUP(D491,'Base de Diseño (2)'!$A$2:$C$333,3,FALSE))^2)^0.5,2))</f>
        <v>5.08</v>
      </c>
      <c r="AY491" s="493">
        <v>30</v>
      </c>
      <c r="AZ491" s="480">
        <f ca="1">IF(AND(L491="",H491=""),"",IF(BA491=4,VLOOKUP(AY491,'TABLA (2)'!$A$74:$C$89,2),IF(BA491=5,VLOOKUP(AY491,'TABLA (2)'!$A$51:$B$66,2),IF(BA491=6,VLOOKUP(AY491,'TABLA (2)'!$A$9:$B$43,2)))))</f>
        <v>750</v>
      </c>
      <c r="BA491" s="493">
        <v>6</v>
      </c>
      <c r="BB491" s="478">
        <f>IF(OR(C491="",D491=""),"",VLOOKUP(C491,'Base de Diseño (2)'!$A$2:$D$330,4,FALSE))</f>
        <v>966.57159999999999</v>
      </c>
      <c r="BC491" s="478">
        <f>IF(OR(C491="",D491=""),"",VLOOKUP(D491,'Base de Diseño (2)'!$A$2:$D$330,4,FALSE))</f>
        <v>966.79160000000002</v>
      </c>
      <c r="BD491" s="23">
        <f t="shared" ca="1" si="1432"/>
        <v>1.1949999999999728</v>
      </c>
      <c r="BE491" s="23">
        <f t="shared" ca="1" si="1433"/>
        <v>0.86500000000004551</v>
      </c>
      <c r="BF491" s="494">
        <v>2.0299999999999727</v>
      </c>
      <c r="BG491" s="494">
        <v>1.7000000000000455</v>
      </c>
      <c r="BH491" s="495">
        <f t="shared" si="1434"/>
        <v>964.54160000000002</v>
      </c>
      <c r="BI491" s="495">
        <f t="shared" si="1435"/>
        <v>965.09159999999997</v>
      </c>
      <c r="BJ491" s="534">
        <f t="shared" si="1398"/>
        <v>-0.80000000000006821</v>
      </c>
      <c r="BK491" s="475">
        <f t="shared" si="1436"/>
        <v>4.3307086614178596</v>
      </c>
      <c r="BL491" s="475">
        <f t="shared" si="1437"/>
        <v>-10.826771653542412</v>
      </c>
      <c r="BM491" s="475" t="e">
        <f t="shared" ca="1" si="1438"/>
        <v>#NUM!</v>
      </c>
      <c r="BN491" s="475" t="e">
        <f t="shared" ca="1" si="1439"/>
        <v>#NUM!</v>
      </c>
      <c r="BO491" s="204" t="e">
        <f t="shared" ca="1" si="1440"/>
        <v>#NUM!</v>
      </c>
      <c r="BP491" s="496" t="e">
        <f t="shared" ca="1" si="1441"/>
        <v>#NUM!</v>
      </c>
      <c r="BQ491" s="497" t="e">
        <f t="shared" ca="1" si="1442"/>
        <v>#NUM!</v>
      </c>
      <c r="BR491" s="497" t="e">
        <f t="shared" ca="1" si="1443"/>
        <v>#NUM!</v>
      </c>
      <c r="BS491" s="475" t="e">
        <f t="shared" ca="1" si="1444"/>
        <v>#NUM!</v>
      </c>
      <c r="BT491" s="475" t="e">
        <f t="shared" ca="1" si="1445"/>
        <v>#NUM!</v>
      </c>
      <c r="BU491" s="475" t="e">
        <f t="shared" ca="1" si="1446"/>
        <v>#NUM!</v>
      </c>
      <c r="BV491" s="475" t="e">
        <f t="shared" ca="1" si="1447"/>
        <v>#NUM!</v>
      </c>
      <c r="BW491" s="475" t="e">
        <f t="shared" ca="1" si="1448"/>
        <v>#NUM!</v>
      </c>
      <c r="BX491" s="475" t="e">
        <f t="shared" ca="1" si="1449"/>
        <v>#NUM!</v>
      </c>
      <c r="BY491" s="475" t="e">
        <f t="shared" ca="1" si="1450"/>
        <v>#NUM!</v>
      </c>
      <c r="BZ491" s="475" t="e">
        <f t="shared" ca="1" si="1451"/>
        <v>#NUM!</v>
      </c>
      <c r="CA491" s="471" t="e">
        <f t="shared" ca="1" si="1452"/>
        <v>#NUM!</v>
      </c>
      <c r="CB491" s="471" t="e">
        <f t="shared" ca="1" si="1453"/>
        <v>#NUM!</v>
      </c>
      <c r="CC491" s="471" t="e">
        <f t="shared" ca="1" si="1454"/>
        <v>#NUM!</v>
      </c>
      <c r="CD491" s="471" t="e">
        <f t="shared" ca="1" si="1455"/>
        <v>#NUM!</v>
      </c>
      <c r="CE491" s="471" t="e">
        <f t="shared" ca="1" si="1456"/>
        <v>#NUM!</v>
      </c>
      <c r="CF491" s="471" t="e">
        <f t="shared" ca="1" si="1457"/>
        <v>#NUM!</v>
      </c>
      <c r="CG491" s="471" t="e">
        <f t="shared" ca="1" si="1458"/>
        <v>#NUM!</v>
      </c>
      <c r="CH491" s="471" t="e">
        <f t="shared" ca="1" si="1459"/>
        <v>#NUM!</v>
      </c>
      <c r="CI491" s="471" t="e">
        <f t="shared" ca="1" si="1460"/>
        <v>#NUM!</v>
      </c>
      <c r="CJ491" s="471" t="e">
        <f t="shared" ca="1" si="1461"/>
        <v>#NUM!</v>
      </c>
      <c r="CK491" s="468">
        <f t="shared" si="1462"/>
        <v>-0.80000000000006821</v>
      </c>
      <c r="CL491" s="482" t="s">
        <v>2507</v>
      </c>
      <c r="CM491" s="482"/>
      <c r="CN491" s="63" t="str">
        <f t="shared" si="1463"/>
        <v xml:space="preserve"> </v>
      </c>
      <c r="CO491" s="527">
        <f t="shared" si="1471"/>
        <v>5.08</v>
      </c>
      <c r="CP491" s="511">
        <f t="shared" si="1472"/>
        <v>4.3307086614178598E-2</v>
      </c>
      <c r="CQ491" s="482" t="s">
        <v>2508</v>
      </c>
      <c r="CR491" s="204">
        <f t="shared" si="1464"/>
        <v>5.08</v>
      </c>
      <c r="CS491" s="486">
        <v>1.2</v>
      </c>
      <c r="CT491" s="486">
        <v>1.2</v>
      </c>
      <c r="CU491" s="23">
        <f t="shared" si="1465"/>
        <v>5.1096868788605772</v>
      </c>
      <c r="CV491" s="499" t="s">
        <v>2509</v>
      </c>
      <c r="CW491" s="488" t="str">
        <f t="shared" ca="1" si="1466"/>
        <v>E2</v>
      </c>
      <c r="CX491" s="204">
        <f ca="1">IF(AND(L491="",H491=""),"",IF(AND(BA491&lt;&gt;4,BA491&lt;&gt;5),VLOOKUP(AY491,'TABLA (2)'!$A$9:$D$43,4),IF(BA491=4,VLOOKUP(AY491,'TABLA (2)'!$A$74:$D$89,4),VLOOKUP(AY491,'TABLA (2)'!$A$51:$D$66,4))))</f>
        <v>8.5000000000000006E-2</v>
      </c>
      <c r="CY491" s="482"/>
      <c r="CZ491" s="482"/>
      <c r="DA491" s="482"/>
      <c r="DB491" s="490"/>
    </row>
    <row r="492" spans="1:106" ht="15" hidden="1" customHeight="1">
      <c r="A492" s="465">
        <f t="shared" si="1467"/>
        <v>360</v>
      </c>
      <c r="B492" s="491"/>
      <c r="C492" s="466" t="s">
        <v>2303</v>
      </c>
      <c r="D492" s="466" t="s">
        <v>2268</v>
      </c>
      <c r="E492" s="468">
        <v>0.10333805829999999</v>
      </c>
      <c r="F492" s="468"/>
      <c r="G492" s="537">
        <f t="shared" si="1468"/>
        <v>1.8821431133000002</v>
      </c>
      <c r="H492" s="537">
        <f t="shared" si="1469"/>
        <v>1.9854811716000003</v>
      </c>
      <c r="I492" s="468">
        <v>0.10333805829999999</v>
      </c>
      <c r="J492" s="468"/>
      <c r="K492" s="467">
        <f t="shared" ca="1" si="1402"/>
        <v>1.8821431133000002</v>
      </c>
      <c r="L492" s="468">
        <f t="shared" ca="1" si="1403"/>
        <v>1.9854811716000003</v>
      </c>
      <c r="M492" s="469">
        <f t="shared" si="1404"/>
        <v>242.33666300502347</v>
      </c>
      <c r="N492" s="470">
        <f t="shared" si="1405"/>
        <v>25.042600209840568</v>
      </c>
      <c r="O492" s="470">
        <f t="shared" si="1406"/>
        <v>0</v>
      </c>
      <c r="P492" s="470">
        <f t="shared" si="1407"/>
        <v>481.15488158484845</v>
      </c>
      <c r="Q492" s="469">
        <f t="shared" ref="Q492:Q506" si="1473">+$H$14</f>
        <v>140</v>
      </c>
      <c r="R492" s="471">
        <f t="shared" si="1408"/>
        <v>0.66270174662727965</v>
      </c>
      <c r="S492" s="471"/>
      <c r="T492" s="471"/>
      <c r="U492" s="471">
        <f t="shared" si="1409"/>
        <v>0</v>
      </c>
      <c r="V492" s="471"/>
      <c r="W492" s="471"/>
      <c r="X492" s="471">
        <f t="shared" si="1410"/>
        <v>0</v>
      </c>
      <c r="Y492" s="471">
        <f t="shared" si="1411"/>
        <v>0.39709623432000007</v>
      </c>
      <c r="Z492" s="471">
        <f t="shared" ca="1" si="1412"/>
        <v>0</v>
      </c>
      <c r="AA492" s="471">
        <f t="shared" si="1399"/>
        <v>3.8</v>
      </c>
      <c r="AB492" s="471">
        <f t="shared" si="1413"/>
        <v>2.5182666371836624</v>
      </c>
      <c r="AC492" s="471">
        <f t="shared" si="1414"/>
        <v>3.4491544270498005E-2</v>
      </c>
      <c r="AD492" s="471">
        <f t="shared" si="1415"/>
        <v>2.0667611660000001E-2</v>
      </c>
      <c r="AE492" s="471">
        <f t="shared" si="1416"/>
        <v>0</v>
      </c>
      <c r="AF492" s="510">
        <f t="shared" si="1328"/>
        <v>3.8</v>
      </c>
      <c r="AG492" s="471">
        <f t="shared" si="1417"/>
        <v>0.1310678682278924</v>
      </c>
      <c r="AH492" s="471">
        <f t="shared" si="1418"/>
        <v>0.1517354798878924</v>
      </c>
      <c r="AI492" s="471">
        <f t="shared" ca="1" si="1419"/>
        <v>2.9153628715036626</v>
      </c>
      <c r="AJ492" s="471">
        <f t="shared" si="1420"/>
        <v>0.75</v>
      </c>
      <c r="AK492" s="472">
        <f t="shared" si="1421"/>
        <v>3.7443166622087819E-3</v>
      </c>
      <c r="AL492" s="471">
        <f t="shared" si="1422"/>
        <v>0.62768721583311049</v>
      </c>
      <c r="AM492" s="473">
        <f t="shared" si="1470"/>
        <v>314.29127498301756</v>
      </c>
      <c r="AN492" s="474">
        <f t="shared" si="1423"/>
        <v>12.160944444444445</v>
      </c>
      <c r="AO492" s="474">
        <f t="shared" si="1424"/>
        <v>0.20772222222222222</v>
      </c>
      <c r="AP492" s="474">
        <f t="shared" si="1425"/>
        <v>12.368666666666666</v>
      </c>
      <c r="AQ492" s="475">
        <v>3</v>
      </c>
      <c r="AR492" s="474" t="e">
        <f t="shared" ca="1" si="1426"/>
        <v>#VALUE!</v>
      </c>
      <c r="AS492" s="474" t="e">
        <f t="shared" ca="1" si="1427"/>
        <v>#VALUE!</v>
      </c>
      <c r="AT492" s="471" t="e">
        <f t="shared" ca="1" si="1428"/>
        <v>#VALUE!</v>
      </c>
      <c r="AU492" s="492">
        <f t="shared" si="1429"/>
        <v>20.386182378753642</v>
      </c>
      <c r="AV492" s="471">
        <f t="shared" ca="1" si="1430"/>
        <v>391.68900538378961</v>
      </c>
      <c r="AW492" s="471">
        <f t="shared" ca="1" si="1431"/>
        <v>391.69</v>
      </c>
      <c r="AX492" s="478">
        <f>IF(OR(C492="",D492=""),"",ROUND(((VLOOKUP(C492,'Base de Diseño (2)'!$A$2:$C$333,2,FALSE)-VLOOKUP(D492,'Base de Diseño (2)'!$A$2:$C$333,2,FALSE))^2+(VLOOKUP(C492,'Base de Diseño (2)'!$A$2:$C$333,3,0)-VLOOKUP(D492,'Base de Diseño (2)'!$A$2:$C$333,3,FALSE))^2)^0.5,2))</f>
        <v>37.39</v>
      </c>
      <c r="AY492" s="493">
        <v>13.08</v>
      </c>
      <c r="AZ492" s="480">
        <f ca="1">IF(AND(L492="",H492=""),"",IF(BA492=4,VLOOKUP(AY492,'TABLA (2)'!$A$74:$C$89,2),IF(BA492=5,VLOOKUP(AY492,'TABLA (2)'!$A$51:$B$66,2),IF(BA492=6,VLOOKUP(AY492,'TABLA (2)'!$A$9:$B$43,2)))))</f>
        <v>300</v>
      </c>
      <c r="BA492" s="493">
        <v>6</v>
      </c>
      <c r="BB492" s="478">
        <f>IF(OR(C492="",D492=""),"",VLOOKUP(C492,'Base de Diseño (2)'!$A$2:$D$330,4,FALSE))</f>
        <v>966.79160000000002</v>
      </c>
      <c r="BC492" s="478">
        <f>IF(OR(C492="",D492=""),"",VLOOKUP(D492,'Base de Diseño (2)'!$A$2:$D$330,4,FALSE))</f>
        <v>966.9316</v>
      </c>
      <c r="BD492" s="23">
        <f t="shared" ca="1" si="1432"/>
        <v>0.55299999999997729</v>
      </c>
      <c r="BE492" s="23">
        <f t="shared" ca="1" si="1433"/>
        <v>0.95299999999995455</v>
      </c>
      <c r="BF492" s="494">
        <v>0.89999999999997726</v>
      </c>
      <c r="BG492" s="494">
        <v>1.2999999999999545</v>
      </c>
      <c r="BH492" s="495">
        <f t="shared" si="1434"/>
        <v>965.89160000000004</v>
      </c>
      <c r="BI492" s="495">
        <f t="shared" si="1435"/>
        <v>965.63160000000005</v>
      </c>
      <c r="BJ492" s="534">
        <f t="shared" si="1398"/>
        <v>0</v>
      </c>
      <c r="BK492" s="475">
        <f t="shared" si="1436"/>
        <v>0.3744316662208782</v>
      </c>
      <c r="BL492" s="475">
        <f t="shared" si="1437"/>
        <v>0.69537309441024575</v>
      </c>
      <c r="BM492" s="475">
        <f t="shared" ca="1" si="1438"/>
        <v>1.1407919065101573</v>
      </c>
      <c r="BN492" s="475">
        <f t="shared" ca="1" si="1439"/>
        <v>80.637828137257586</v>
      </c>
      <c r="BO492" s="204">
        <f t="shared" ca="1" si="1440"/>
        <v>3.6153787110204422E-2</v>
      </c>
      <c r="BP492" s="496">
        <f t="shared" ca="1" si="1441"/>
        <v>4.8573976885052677</v>
      </c>
      <c r="BQ492" s="497">
        <f t="shared" ca="1" si="1442"/>
        <v>0.40766257845845749</v>
      </c>
      <c r="BR492" s="497" t="str">
        <f t="shared" ca="1" si="1443"/>
        <v xml:space="preserve"> </v>
      </c>
      <c r="BS492" s="475">
        <f t="shared" ca="1" si="1444"/>
        <v>0.4650581700924703</v>
      </c>
      <c r="BT492" s="475" t="e">
        <f t="shared" ca="1" si="1445"/>
        <v>#VALUE!</v>
      </c>
      <c r="BU492" s="475">
        <f t="shared" ca="1" si="1446"/>
        <v>0.16856170442134238</v>
      </c>
      <c r="BV492" s="475" t="str">
        <f t="shared" ca="1" si="1447"/>
        <v xml:space="preserve"> </v>
      </c>
      <c r="BW492" s="475">
        <f t="shared" ca="1" si="1448"/>
        <v>1.6922842022040008</v>
      </c>
      <c r="BX492" s="475" t="e">
        <f t="shared" ca="1" si="1449"/>
        <v>#VALUE!</v>
      </c>
      <c r="BY492" s="475">
        <f t="shared" ca="1" si="1450"/>
        <v>0.10335952748790392</v>
      </c>
      <c r="BZ492" s="475" t="e">
        <f t="shared" ca="1" si="1451"/>
        <v>#VALUE!</v>
      </c>
      <c r="CA492" s="471">
        <f t="shared" ca="1" si="1452"/>
        <v>3.1007858246371176E-2</v>
      </c>
      <c r="CB492" s="471" t="e">
        <f t="shared" ca="1" si="1453"/>
        <v>#VALUE!</v>
      </c>
      <c r="CC492" s="471" t="e">
        <f t="shared" ca="1" si="1454"/>
        <v>#VALUE!</v>
      </c>
      <c r="CD492" s="471" t="e">
        <f t="shared" ca="1" si="1455"/>
        <v>#VALUE!</v>
      </c>
      <c r="CE492" s="471">
        <f t="shared" ca="1" si="1456"/>
        <v>0.21562030339813379</v>
      </c>
      <c r="CF492" s="471" t="e">
        <f t="shared" ca="1" si="1457"/>
        <v>#VALUE!</v>
      </c>
      <c r="CG492" s="471" t="str">
        <f t="shared" ca="1" si="1458"/>
        <v>O.K</v>
      </c>
      <c r="CH492" s="471" t="e">
        <f t="shared" ca="1" si="1459"/>
        <v>#VALUE!</v>
      </c>
      <c r="CI492" s="471" t="str">
        <f t="shared" ca="1" si="1460"/>
        <v>OK</v>
      </c>
      <c r="CJ492" s="471" t="e">
        <f t="shared" ca="1" si="1461"/>
        <v>#VALUE!</v>
      </c>
      <c r="CK492" s="468">
        <f t="shared" si="1462"/>
        <v>0</v>
      </c>
      <c r="CL492" s="482" t="s">
        <v>2507</v>
      </c>
      <c r="CM492" s="482"/>
      <c r="CN492" s="63" t="str">
        <f t="shared" si="1463"/>
        <v xml:space="preserve"> </v>
      </c>
      <c r="CO492" s="527">
        <f t="shared" si="1471"/>
        <v>37.39</v>
      </c>
      <c r="CP492" s="542">
        <f t="shared" si="1472"/>
        <v>3.7443166622087819E-3</v>
      </c>
      <c r="CQ492" s="482" t="s">
        <v>2508</v>
      </c>
      <c r="CR492" s="204">
        <f t="shared" si="1464"/>
        <v>37.39</v>
      </c>
      <c r="CS492" s="486">
        <v>1.2</v>
      </c>
      <c r="CT492" s="486">
        <v>1.2</v>
      </c>
      <c r="CU492" s="23">
        <f t="shared" si="1465"/>
        <v>37.390903974095096</v>
      </c>
      <c r="CV492" s="499" t="s">
        <v>2509</v>
      </c>
      <c r="CW492" s="488" t="str">
        <f t="shared" ca="1" si="1466"/>
        <v>E1</v>
      </c>
      <c r="CX492" s="204">
        <f ca="1">IF(AND(L492="",H492=""),"",IF(AND(BA492&lt;&gt;4,BA492&lt;&gt;5),VLOOKUP(AY492,'TABLA (2)'!$A$9:$D$43,4),IF(BA492=4,VLOOKUP(AY492,'TABLA (2)'!$A$74:$D$89,4),VLOOKUP(AY492,'TABLA (2)'!$A$51:$D$66,4))))</f>
        <v>4.7E-2</v>
      </c>
      <c r="CY492" s="482"/>
      <c r="CZ492" s="482"/>
      <c r="DA492" s="482"/>
      <c r="DB492" s="490"/>
    </row>
    <row r="493" spans="1:106" ht="15" hidden="1" customHeight="1">
      <c r="A493" s="465">
        <f t="shared" si="1467"/>
        <v>361</v>
      </c>
      <c r="B493" s="491"/>
      <c r="C493" s="466" t="s">
        <v>2268</v>
      </c>
      <c r="D493" s="466" t="s">
        <v>2269</v>
      </c>
      <c r="E493" s="468">
        <v>0.1454585474</v>
      </c>
      <c r="F493" s="468"/>
      <c r="G493" s="537">
        <f t="shared" si="1468"/>
        <v>2.3397966044</v>
      </c>
      <c r="H493" s="537">
        <f t="shared" si="1469"/>
        <v>2.4852551518000001</v>
      </c>
      <c r="I493" s="468">
        <v>0.1454585474</v>
      </c>
      <c r="J493" s="468"/>
      <c r="K493" s="467">
        <f t="shared" ca="1" si="1402"/>
        <v>2.3397966044</v>
      </c>
      <c r="L493" s="468">
        <f t="shared" ca="1" si="1403"/>
        <v>2.4852551518000001</v>
      </c>
      <c r="M493" s="469">
        <f t="shared" si="1404"/>
        <v>242.33666300502347</v>
      </c>
      <c r="N493" s="470">
        <f t="shared" si="1405"/>
        <v>35.249938982474035</v>
      </c>
      <c r="O493" s="470">
        <f t="shared" si="1406"/>
        <v>0</v>
      </c>
      <c r="P493" s="470">
        <f t="shared" si="1407"/>
        <v>602.26844020325507</v>
      </c>
      <c r="Q493" s="469">
        <f t="shared" si="1473"/>
        <v>140</v>
      </c>
      <c r="R493" s="471">
        <f t="shared" si="1408"/>
        <v>0.82951324518735348</v>
      </c>
      <c r="S493" s="471"/>
      <c r="T493" s="471"/>
      <c r="U493" s="471">
        <f t="shared" si="1409"/>
        <v>0</v>
      </c>
      <c r="V493" s="471"/>
      <c r="W493" s="471"/>
      <c r="X493" s="471">
        <f t="shared" si="1410"/>
        <v>0</v>
      </c>
      <c r="Y493" s="471">
        <f t="shared" si="1411"/>
        <v>0.49705103036000003</v>
      </c>
      <c r="Z493" s="471">
        <f t="shared" ca="1" si="1412"/>
        <v>0</v>
      </c>
      <c r="AA493" s="471">
        <f t="shared" si="1399"/>
        <v>3.8</v>
      </c>
      <c r="AB493" s="471">
        <f t="shared" si="1413"/>
        <v>3.152150331711943</v>
      </c>
      <c r="AC493" s="471">
        <f t="shared" si="1414"/>
        <v>4.8550263181879737E-2</v>
      </c>
      <c r="AD493" s="471">
        <f t="shared" si="1415"/>
        <v>2.9091709480000002E-2</v>
      </c>
      <c r="AE493" s="471">
        <f t="shared" si="1416"/>
        <v>0</v>
      </c>
      <c r="AF493" s="510">
        <f t="shared" si="1328"/>
        <v>3.8</v>
      </c>
      <c r="AG493" s="471">
        <f t="shared" si="1417"/>
        <v>0.184491000091143</v>
      </c>
      <c r="AH493" s="471">
        <f t="shared" si="1418"/>
        <v>0.213582709571143</v>
      </c>
      <c r="AI493" s="471">
        <f t="shared" ca="1" si="1419"/>
        <v>3.6492013620719432</v>
      </c>
      <c r="AJ493" s="471">
        <f t="shared" si="1420"/>
        <v>0.75</v>
      </c>
      <c r="AK493" s="472">
        <f t="shared" si="1421"/>
        <v>3.0685920577618736E-2</v>
      </c>
      <c r="AL493" s="471">
        <f t="shared" si="1422"/>
        <v>0.62903429602888095</v>
      </c>
      <c r="AM493" s="473">
        <f t="shared" si="1470"/>
        <v>312.42377571293014</v>
      </c>
      <c r="AN493" s="474">
        <f t="shared" si="1423"/>
        <v>12.368666666666666</v>
      </c>
      <c r="AO493" s="474">
        <f t="shared" si="1424"/>
        <v>0.21544444444444444</v>
      </c>
      <c r="AP493" s="474">
        <f t="shared" si="1425"/>
        <v>12.58411111111111</v>
      </c>
      <c r="AQ493" s="475">
        <v>3</v>
      </c>
      <c r="AR493" s="474">
        <f t="shared" ca="1" si="1426"/>
        <v>0.39725364817432091</v>
      </c>
      <c r="AS493" s="474">
        <f t="shared" ca="1" si="1427"/>
        <v>0.54233471595433691</v>
      </c>
      <c r="AT493" s="471" t="str">
        <f t="shared" ca="1" si="1428"/>
        <v>Disminuir vel.</v>
      </c>
      <c r="AU493" s="492">
        <f t="shared" si="1429"/>
        <v>28.586280275158323</v>
      </c>
      <c r="AV493" s="471">
        <f t="shared" ca="1" si="1430"/>
        <v>488.4154392747356</v>
      </c>
      <c r="AW493" s="471">
        <f t="shared" ca="1" si="1431"/>
        <v>488.42</v>
      </c>
      <c r="AX493" s="478">
        <f>IF(OR(C493="",D493=""),"",ROUND(((VLOOKUP(C493,'Base de Diseño (2)'!$A$2:$C$333,2,FALSE)-VLOOKUP(D493,'Base de Diseño (2)'!$A$2:$C$333,2,FALSE))^2+(VLOOKUP(C493,'Base de Diseño (2)'!$A$2:$C$333,3,0)-VLOOKUP(D493,'Base de Diseño (2)'!$A$2:$C$333,3,FALSE))^2)^0.5,2))</f>
        <v>38.78</v>
      </c>
      <c r="AY493" s="493">
        <v>24</v>
      </c>
      <c r="AZ493" s="480">
        <f ca="1">IF(AND(L493="",H493=""),"",IF(BA493=4,VLOOKUP(AY493,'TABLA (2)'!$A$74:$C$89,2),IF(BA493=5,VLOOKUP(AY493,'TABLA (2)'!$A$51:$B$66,2),IF(BA493=6,VLOOKUP(AY493,'TABLA (2)'!$A$9:$B$43,2)))))</f>
        <v>600</v>
      </c>
      <c r="BA493" s="493">
        <v>6</v>
      </c>
      <c r="BB493" s="478">
        <f>IF(OR(C493="",D493=""),"",VLOOKUP(C493,'Base de Diseño (2)'!$A$2:$D$330,4,FALSE))</f>
        <v>966.9316</v>
      </c>
      <c r="BC493" s="478">
        <f>IF(OR(C493="",D493=""),"",VLOOKUP(D493,'Base de Diseño (2)'!$A$2:$D$330,4,FALSE))</f>
        <v>968.12160000000006</v>
      </c>
      <c r="BD493" s="23">
        <f t="shared" ca="1" si="1432"/>
        <v>0.62799999999995459</v>
      </c>
      <c r="BE493" s="23">
        <f t="shared" ca="1" si="1433"/>
        <v>1.9979999999999591</v>
      </c>
      <c r="BF493" s="494">
        <v>1.2999999999999545</v>
      </c>
      <c r="BG493" s="494">
        <v>2.6699999999999591</v>
      </c>
      <c r="BH493" s="495">
        <f t="shared" si="1434"/>
        <v>965.63160000000005</v>
      </c>
      <c r="BI493" s="495">
        <f t="shared" si="1435"/>
        <v>965.4516000000001</v>
      </c>
      <c r="BJ493" s="534">
        <f t="shared" si="1398"/>
        <v>0</v>
      </c>
      <c r="BK493" s="475">
        <f t="shared" si="1436"/>
        <v>3.0685920577618737</v>
      </c>
      <c r="BL493" s="475">
        <f t="shared" si="1437"/>
        <v>0.46415678184618359</v>
      </c>
      <c r="BM493" s="475">
        <f t="shared" ca="1" si="1438"/>
        <v>1.4795052272581002</v>
      </c>
      <c r="BN493" s="475">
        <f t="shared" ca="1" si="1439"/>
        <v>418.32024776115696</v>
      </c>
      <c r="BO493" s="204">
        <f t="shared" ca="1" si="1440"/>
        <v>8.7234633790795654E-3</v>
      </c>
      <c r="BP493" s="496">
        <f t="shared" ca="1" si="1441"/>
        <v>1.1675743706263699</v>
      </c>
      <c r="BQ493" s="497">
        <f t="shared" ca="1" si="1442"/>
        <v>0.26955627594631343</v>
      </c>
      <c r="BR493" s="497">
        <f t="shared" ca="1" si="1443"/>
        <v>1.099694761388754</v>
      </c>
      <c r="BS493" s="475">
        <f t="shared" ca="1" si="1444"/>
        <v>0.39880991930279763</v>
      </c>
      <c r="BT493" s="475">
        <f t="shared" ca="1" si="1445"/>
        <v>1.6270041478630108</v>
      </c>
      <c r="BU493" s="475">
        <f t="shared" ca="1" si="1446"/>
        <v>7.6857838149732072E-2</v>
      </c>
      <c r="BV493" s="475" t="str">
        <f t="shared" ca="1" si="1447"/>
        <v xml:space="preserve"> </v>
      </c>
      <c r="BW493" s="475">
        <f t="shared" ca="1" si="1448"/>
        <v>1.1236498576981724</v>
      </c>
      <c r="BX493" s="475" t="e">
        <f t="shared" ca="1" si="1449"/>
        <v>#VALUE!</v>
      </c>
      <c r="BY493" s="475">
        <f t="shared" ca="1" si="1450"/>
        <v>4.9384875973810943E-2</v>
      </c>
      <c r="BZ493" s="475" t="e">
        <f t="shared" ca="1" si="1451"/>
        <v>#VALUE!</v>
      </c>
      <c r="CA493" s="471">
        <f t="shared" ca="1" si="1452"/>
        <v>2.9630925584286566E-2</v>
      </c>
      <c r="CB493" s="471" t="e">
        <f t="shared" ca="1" si="1453"/>
        <v>#VALUE!</v>
      </c>
      <c r="CC493" s="471" t="e">
        <f t="shared" ca="1" si="1454"/>
        <v>#VALUE!</v>
      </c>
      <c r="CD493" s="471" t="e">
        <f t="shared" ca="1" si="1455"/>
        <v>#VALUE!</v>
      </c>
      <c r="CE493" s="471">
        <f t="shared" ca="1" si="1456"/>
        <v>0.13753395062326201</v>
      </c>
      <c r="CF493" s="471" t="e">
        <f t="shared" ca="1" si="1457"/>
        <v>#VALUE!</v>
      </c>
      <c r="CG493" s="471" t="str">
        <f t="shared" ca="1" si="1458"/>
        <v>No cumple</v>
      </c>
      <c r="CH493" s="471" t="str">
        <f t="shared" ca="1" si="1459"/>
        <v>O.K</v>
      </c>
      <c r="CI493" s="471" t="str">
        <f t="shared" ca="1" si="1460"/>
        <v>OK</v>
      </c>
      <c r="CJ493" s="471" t="e">
        <f t="shared" ca="1" si="1461"/>
        <v>#VALUE!</v>
      </c>
      <c r="CK493" s="468">
        <f t="shared" si="1462"/>
        <v>0</v>
      </c>
      <c r="CL493" s="482" t="s">
        <v>2507</v>
      </c>
      <c r="CM493" s="482"/>
      <c r="CN493" s="63" t="str">
        <f t="shared" si="1463"/>
        <v xml:space="preserve"> </v>
      </c>
      <c r="CO493" s="527">
        <f t="shared" si="1471"/>
        <v>38.78</v>
      </c>
      <c r="CP493" s="511">
        <f t="shared" si="1472"/>
        <v>3.0685920577618736E-2</v>
      </c>
      <c r="CQ493" s="482" t="s">
        <v>2508</v>
      </c>
      <c r="CR493" s="204">
        <f t="shared" si="1464"/>
        <v>38.78</v>
      </c>
      <c r="CS493" s="486">
        <v>1.2</v>
      </c>
      <c r="CT493" s="486">
        <v>1.2</v>
      </c>
      <c r="CU493" s="23">
        <f t="shared" si="1465"/>
        <v>38.780417738853721</v>
      </c>
      <c r="CV493" s="499" t="s">
        <v>2509</v>
      </c>
      <c r="CW493" s="488" t="str">
        <f t="shared" ca="1" si="1466"/>
        <v>E1</v>
      </c>
      <c r="CX493" s="204">
        <f ca="1">IF(AND(L493="",H493=""),"",IF(AND(BA493&lt;&gt;4,BA493&lt;&gt;5),VLOOKUP(AY493,'TABLA (2)'!$A$9:$D$43,4),IF(BA493=4,VLOOKUP(AY493,'TABLA (2)'!$A$74:$D$89,4),VLOOKUP(AY493,'TABLA (2)'!$A$51:$D$66,4))))</f>
        <v>7.1999999999999995E-2</v>
      </c>
      <c r="CY493" s="482"/>
      <c r="CZ493" s="482"/>
      <c r="DA493" s="482"/>
      <c r="DB493" s="490"/>
    </row>
    <row r="494" spans="1:106" ht="15" hidden="1" customHeight="1">
      <c r="A494" s="465">
        <f t="shared" si="1467"/>
        <v>362</v>
      </c>
      <c r="B494" s="491"/>
      <c r="C494" s="466" t="s">
        <v>2269</v>
      </c>
      <c r="D494" s="466" t="s">
        <v>2275</v>
      </c>
      <c r="E494" s="468">
        <v>1.2636833300000001E-2</v>
      </c>
      <c r="F494" s="468"/>
      <c r="G494" s="537">
        <f t="shared" si="1468"/>
        <v>2.4852551518000001</v>
      </c>
      <c r="H494" s="537">
        <f t="shared" si="1469"/>
        <v>2.4978919851000003</v>
      </c>
      <c r="I494" s="468">
        <v>1.2636833300000001E-2</v>
      </c>
      <c r="J494" s="468"/>
      <c r="K494" s="467">
        <f t="shared" ca="1" si="1402"/>
        <v>2.4852551518000001</v>
      </c>
      <c r="L494" s="468">
        <f t="shared" ca="1" si="1403"/>
        <v>2.4978919851000003</v>
      </c>
      <c r="M494" s="469">
        <f t="shared" si="1404"/>
        <v>242.33666300502347</v>
      </c>
      <c r="N494" s="470">
        <f t="shared" si="1405"/>
        <v>3.0623680128727586</v>
      </c>
      <c r="O494" s="470">
        <f t="shared" si="1406"/>
        <v>0</v>
      </c>
      <c r="P494" s="470">
        <f t="shared" si="1407"/>
        <v>605.33080821612793</v>
      </c>
      <c r="Q494" s="469">
        <f t="shared" si="1473"/>
        <v>140</v>
      </c>
      <c r="R494" s="471">
        <f t="shared" si="1408"/>
        <v>0.83373109001989831</v>
      </c>
      <c r="S494" s="471"/>
      <c r="T494" s="471"/>
      <c r="U494" s="471">
        <f t="shared" si="1409"/>
        <v>0</v>
      </c>
      <c r="V494" s="471"/>
      <c r="W494" s="471"/>
      <c r="X494" s="471">
        <f t="shared" si="1410"/>
        <v>0</v>
      </c>
      <c r="Y494" s="471">
        <f t="shared" si="1411"/>
        <v>0.49957839702000006</v>
      </c>
      <c r="Z494" s="471">
        <f t="shared" ca="1" si="1412"/>
        <v>0</v>
      </c>
      <c r="AA494" s="471">
        <f t="shared" si="1399"/>
        <v>3.8</v>
      </c>
      <c r="AB494" s="471">
        <f t="shared" si="1413"/>
        <v>3.1681781420756137</v>
      </c>
      <c r="AC494" s="471">
        <f t="shared" si="1414"/>
        <v>4.2178448325446557E-3</v>
      </c>
      <c r="AD494" s="471">
        <f t="shared" si="1415"/>
        <v>2.5273666600000005E-3</v>
      </c>
      <c r="AE494" s="471">
        <f t="shared" si="1416"/>
        <v>0</v>
      </c>
      <c r="AF494" s="510">
        <f t="shared" si="1328"/>
        <v>3.8</v>
      </c>
      <c r="AG494" s="471">
        <f t="shared" si="1417"/>
        <v>1.6027810363669692E-2</v>
      </c>
      <c r="AH494" s="471">
        <f t="shared" si="1418"/>
        <v>1.855517702366969E-2</v>
      </c>
      <c r="AI494" s="471">
        <f t="shared" ca="1" si="1419"/>
        <v>3.6677565390956137</v>
      </c>
      <c r="AJ494" s="471">
        <f t="shared" si="1420"/>
        <v>0.75</v>
      </c>
      <c r="AK494" s="472">
        <f t="shared" si="1421"/>
        <v>8.0327868852460516E-2</v>
      </c>
      <c r="AL494" s="471">
        <f t="shared" si="1422"/>
        <v>0.63151639344262311</v>
      </c>
      <c r="AM494" s="473">
        <f t="shared" si="1470"/>
        <v>312.131956149183</v>
      </c>
      <c r="AN494" s="474">
        <f t="shared" si="1423"/>
        <v>12.58411111111111</v>
      </c>
      <c r="AO494" s="474">
        <f t="shared" si="1424"/>
        <v>3.3888888888888885E-2</v>
      </c>
      <c r="AP494" s="474">
        <f t="shared" si="1425"/>
        <v>12.617999999999999</v>
      </c>
      <c r="AQ494" s="475">
        <v>3</v>
      </c>
      <c r="AR494" s="474" t="e">
        <f t="shared" ca="1" si="1426"/>
        <v>#NUM!</v>
      </c>
      <c r="AS494" s="474" t="e">
        <f t="shared" ca="1" si="1427"/>
        <v>#NUM!</v>
      </c>
      <c r="AT494" s="471" t="e">
        <f t="shared" ca="1" si="1428"/>
        <v>#NUM!</v>
      </c>
      <c r="AU494" s="492">
        <f t="shared" si="1429"/>
        <v>2.4909276842771821</v>
      </c>
      <c r="AV494" s="471">
        <f t="shared" ca="1" si="1430"/>
        <v>492.37559365602118</v>
      </c>
      <c r="AW494" s="471">
        <f t="shared" ca="1" si="1431"/>
        <v>492.38</v>
      </c>
      <c r="AX494" s="478">
        <f>IF(OR(C494="",D494=""),"",ROUND(((VLOOKUP(C494,'Base de Diseño (2)'!$A$2:$C$333,2,FALSE)-VLOOKUP(D494,'Base de Diseño (2)'!$A$2:$C$333,2,FALSE))^2+(VLOOKUP(C494,'Base de Diseño (2)'!$A$2:$C$333,3,0)-VLOOKUP(D494,'Base de Diseño (2)'!$A$2:$C$333,3,FALSE))^2)^0.5,2))</f>
        <v>6.1</v>
      </c>
      <c r="AY494" s="493">
        <v>12</v>
      </c>
      <c r="AZ494" s="480">
        <f ca="1">IF(AND(L494="",H494=""),"",IF(BA494=4,VLOOKUP(AY494,'TABLA (2)'!$A$74:$C$89,2),IF(BA494=5,VLOOKUP(AY494,'TABLA (2)'!$A$51:$B$66,2),IF(BA494=6,VLOOKUP(AY494,'TABLA (2)'!$A$9:$B$43,2)))))</f>
        <v>300</v>
      </c>
      <c r="BA494" s="493">
        <v>6</v>
      </c>
      <c r="BB494" s="478">
        <f>IF(OR(C494="",D494=""),"",VLOOKUP(C494,'Base de Diseño (2)'!$A$2:$D$330,4,FALSE))</f>
        <v>968.12160000000006</v>
      </c>
      <c r="BC494" s="478">
        <f>IF(OR(C494="",D494=""),"",VLOOKUP(D494,'Base de Diseño (2)'!$A$2:$D$330,4,FALSE))</f>
        <v>968.61160000000007</v>
      </c>
      <c r="BD494" s="23">
        <f t="shared" ca="1" si="1432"/>
        <v>2.3229999999999591</v>
      </c>
      <c r="BE494" s="23">
        <f t="shared" ca="1" si="1433"/>
        <v>2.6330000000000182</v>
      </c>
      <c r="BF494" s="494">
        <v>2.6699999999999591</v>
      </c>
      <c r="BG494" s="494">
        <v>2.9800000000000182</v>
      </c>
      <c r="BH494" s="495">
        <f t="shared" si="1434"/>
        <v>965.4516000000001</v>
      </c>
      <c r="BI494" s="495">
        <f t="shared" si="1435"/>
        <v>965.63160000000005</v>
      </c>
      <c r="BJ494" s="534">
        <f t="shared" si="1398"/>
        <v>0.12000000000000455</v>
      </c>
      <c r="BK494" s="475">
        <f t="shared" si="1436"/>
        <v>8.0327868852460522</v>
      </c>
      <c r="BL494" s="475">
        <f t="shared" si="1437"/>
        <v>-2.9508196721303279</v>
      </c>
      <c r="BM494" s="475" t="e">
        <f t="shared" ca="1" si="1438"/>
        <v>#NUM!</v>
      </c>
      <c r="BN494" s="475" t="e">
        <f t="shared" ca="1" si="1439"/>
        <v>#NUM!</v>
      </c>
      <c r="BO494" s="204" t="e">
        <f t="shared" ca="1" si="1440"/>
        <v>#NUM!</v>
      </c>
      <c r="BP494" s="496" t="e">
        <f t="shared" ca="1" si="1441"/>
        <v>#NUM!</v>
      </c>
      <c r="BQ494" s="497" t="e">
        <f t="shared" ca="1" si="1442"/>
        <v>#NUM!</v>
      </c>
      <c r="BR494" s="497" t="e">
        <f t="shared" ca="1" si="1443"/>
        <v>#NUM!</v>
      </c>
      <c r="BS494" s="475" t="e">
        <f t="shared" ca="1" si="1444"/>
        <v>#NUM!</v>
      </c>
      <c r="BT494" s="475" t="e">
        <f t="shared" ca="1" si="1445"/>
        <v>#NUM!</v>
      </c>
      <c r="BU494" s="475" t="e">
        <f t="shared" ca="1" si="1446"/>
        <v>#NUM!</v>
      </c>
      <c r="BV494" s="475" t="e">
        <f t="shared" ca="1" si="1447"/>
        <v>#NUM!</v>
      </c>
      <c r="BW494" s="475" t="e">
        <f t="shared" ca="1" si="1448"/>
        <v>#NUM!</v>
      </c>
      <c r="BX494" s="475" t="e">
        <f t="shared" ca="1" si="1449"/>
        <v>#NUM!</v>
      </c>
      <c r="BY494" s="475" t="e">
        <f t="shared" ca="1" si="1450"/>
        <v>#NUM!</v>
      </c>
      <c r="BZ494" s="475" t="e">
        <f t="shared" ca="1" si="1451"/>
        <v>#NUM!</v>
      </c>
      <c r="CA494" s="471" t="e">
        <f t="shared" ca="1" si="1452"/>
        <v>#NUM!</v>
      </c>
      <c r="CB494" s="471" t="e">
        <f t="shared" ca="1" si="1453"/>
        <v>#NUM!</v>
      </c>
      <c r="CC494" s="471" t="e">
        <f t="shared" ca="1" si="1454"/>
        <v>#NUM!</v>
      </c>
      <c r="CD494" s="471" t="e">
        <f t="shared" ca="1" si="1455"/>
        <v>#NUM!</v>
      </c>
      <c r="CE494" s="471" t="e">
        <f t="shared" ca="1" si="1456"/>
        <v>#NUM!</v>
      </c>
      <c r="CF494" s="471" t="e">
        <f t="shared" ca="1" si="1457"/>
        <v>#NUM!</v>
      </c>
      <c r="CG494" s="471" t="e">
        <f t="shared" ca="1" si="1458"/>
        <v>#NUM!</v>
      </c>
      <c r="CH494" s="471" t="e">
        <f t="shared" ca="1" si="1459"/>
        <v>#NUM!</v>
      </c>
      <c r="CI494" s="471" t="e">
        <f t="shared" ca="1" si="1460"/>
        <v>#NUM!</v>
      </c>
      <c r="CJ494" s="471" t="e">
        <f t="shared" ca="1" si="1461"/>
        <v>#NUM!</v>
      </c>
      <c r="CK494" s="468">
        <f t="shared" si="1462"/>
        <v>0.12000000000000455</v>
      </c>
      <c r="CL494" s="482" t="s">
        <v>2507</v>
      </c>
      <c r="CM494" s="482"/>
      <c r="CN494" s="63" t="str">
        <f t="shared" si="1463"/>
        <v xml:space="preserve"> </v>
      </c>
      <c r="CO494" s="527">
        <f t="shared" si="1471"/>
        <v>6.1</v>
      </c>
      <c r="CP494" s="542">
        <f t="shared" si="1472"/>
        <v>8.0327868852460516E-2</v>
      </c>
      <c r="CQ494" s="482" t="s">
        <v>2508</v>
      </c>
      <c r="CR494" s="204">
        <f t="shared" si="1464"/>
        <v>6.1</v>
      </c>
      <c r="CS494" s="486">
        <v>1.2</v>
      </c>
      <c r="CT494" s="486">
        <v>1.2</v>
      </c>
      <c r="CU494" s="23">
        <f t="shared" si="1465"/>
        <v>6.1026551598464067</v>
      </c>
      <c r="CV494" s="499" t="s">
        <v>2509</v>
      </c>
      <c r="CW494" s="488" t="str">
        <f t="shared" ca="1" si="1466"/>
        <v>E2</v>
      </c>
      <c r="CX494" s="204">
        <f ca="1">IF(AND(L494="",H494=""),"",IF(AND(BA494&lt;&gt;4,BA494&lt;&gt;5),VLOOKUP(AY494,'TABLA (2)'!$A$9:$D$43,4),IF(BA494=4,VLOOKUP(AY494,'TABLA (2)'!$A$74:$D$89,4),VLOOKUP(AY494,'TABLA (2)'!$A$51:$D$66,4))))</f>
        <v>4.7E-2</v>
      </c>
      <c r="CY494" s="482"/>
      <c r="CZ494" s="482"/>
      <c r="DA494" s="482"/>
      <c r="DB494" s="490"/>
    </row>
    <row r="495" spans="1:106" ht="15" hidden="1" customHeight="1">
      <c r="A495" s="465">
        <f t="shared" si="1467"/>
        <v>363</v>
      </c>
      <c r="B495" s="491"/>
      <c r="C495" s="466" t="s">
        <v>2275</v>
      </c>
      <c r="D495" s="466" t="s">
        <v>2248</v>
      </c>
      <c r="E495" s="468">
        <v>3.7633402599999997E-2</v>
      </c>
      <c r="F495" s="468"/>
      <c r="G495" s="537">
        <f t="shared" si="1468"/>
        <v>3.1922903735000006</v>
      </c>
      <c r="H495" s="537">
        <f t="shared" si="1469"/>
        <v>3.2299237761000006</v>
      </c>
      <c r="I495" s="468">
        <v>3.7633402599999997E-2</v>
      </c>
      <c r="J495" s="468"/>
      <c r="K495" s="467">
        <f t="shared" ca="1" si="1402"/>
        <v>3.1922903735000006</v>
      </c>
      <c r="L495" s="468">
        <f t="shared" ca="1" si="1403"/>
        <v>3.2299237761000006</v>
      </c>
      <c r="M495" s="469">
        <f t="shared" si="1404"/>
        <v>242.33666300502347</v>
      </c>
      <c r="N495" s="470">
        <f t="shared" si="1405"/>
        <v>9.1199532036085742</v>
      </c>
      <c r="O495" s="470">
        <f t="shared" si="1406"/>
        <v>0</v>
      </c>
      <c r="P495" s="470">
        <f t="shared" si="1407"/>
        <v>782.72894966065871</v>
      </c>
      <c r="Q495" s="469">
        <f t="shared" si="1473"/>
        <v>140</v>
      </c>
      <c r="R495" s="471">
        <f t="shared" si="1408"/>
        <v>1.0780641783520646</v>
      </c>
      <c r="S495" s="471"/>
      <c r="T495" s="471"/>
      <c r="U495" s="471">
        <f t="shared" si="1409"/>
        <v>0</v>
      </c>
      <c r="V495" s="471"/>
      <c r="W495" s="471"/>
      <c r="X495" s="471">
        <f t="shared" si="1410"/>
        <v>0</v>
      </c>
      <c r="Y495" s="471">
        <f t="shared" si="1411"/>
        <v>0.64598475522000021</v>
      </c>
      <c r="Z495" s="471">
        <f t="shared" ca="1" si="1412"/>
        <v>0</v>
      </c>
      <c r="AA495" s="471">
        <f t="shared" si="1399"/>
        <v>3.8</v>
      </c>
      <c r="AB495" s="471">
        <f t="shared" si="1413"/>
        <v>4.0966438777378453</v>
      </c>
      <c r="AC495" s="471">
        <f t="shared" si="1414"/>
        <v>1.256104665774792E-2</v>
      </c>
      <c r="AD495" s="471">
        <f t="shared" si="1415"/>
        <v>7.5266805199999997E-3</v>
      </c>
      <c r="AE495" s="471">
        <f t="shared" si="1416"/>
        <v>0</v>
      </c>
      <c r="AF495" s="510">
        <f t="shared" si="1328"/>
        <v>3.8</v>
      </c>
      <c r="AG495" s="471">
        <f t="shared" si="1417"/>
        <v>4.7731977299442091E-2</v>
      </c>
      <c r="AH495" s="471">
        <f t="shared" si="1418"/>
        <v>5.5258657819442093E-2</v>
      </c>
      <c r="AI495" s="471">
        <f t="shared" ca="1" si="1419"/>
        <v>4.742628632957846</v>
      </c>
      <c r="AJ495" s="471">
        <f t="shared" si="1420"/>
        <v>0.75</v>
      </c>
      <c r="AK495" s="472">
        <f t="shared" si="1421"/>
        <v>4.3293115684883865E-2</v>
      </c>
      <c r="AL495" s="471">
        <f t="shared" si="1422"/>
        <v>0.62966465578424424</v>
      </c>
      <c r="AM495" s="473">
        <f t="shared" si="1470"/>
        <v>311.45989288780873</v>
      </c>
      <c r="AN495" s="474">
        <f t="shared" si="1423"/>
        <v>12.617999999999999</v>
      </c>
      <c r="AO495" s="474">
        <f t="shared" si="1424"/>
        <v>7.8277777777777779E-2</v>
      </c>
      <c r="AP495" s="474">
        <f t="shared" si="1425"/>
        <v>12.696277777777777</v>
      </c>
      <c r="AQ495" s="475">
        <v>3</v>
      </c>
      <c r="AR495" s="474" t="e">
        <f t="shared" ca="1" si="1426"/>
        <v>#VALUE!</v>
      </c>
      <c r="AS495" s="474" t="e">
        <f t="shared" ca="1" si="1427"/>
        <v>#VALUE!</v>
      </c>
      <c r="AT495" s="471" t="e">
        <f t="shared" ca="1" si="1428"/>
        <v>#VALUE!</v>
      </c>
      <c r="AU495" s="492">
        <f t="shared" si="1429"/>
        <v>7.3804855233024211</v>
      </c>
      <c r="AV495" s="471">
        <f t="shared" ca="1" si="1430"/>
        <v>633.43742590196575</v>
      </c>
      <c r="AW495" s="471">
        <f t="shared" ca="1" si="1431"/>
        <v>633.44000000000005</v>
      </c>
      <c r="AX495" s="478">
        <f>IF(OR(C495="",D495=""),"",ROUND(((VLOOKUP(C495,'Base de Diseño (2)'!$A$2:$C$333,2,FALSE)-VLOOKUP(D495,'Base de Diseño (2)'!$A$2:$C$333,2,FALSE))^2+(VLOOKUP(C495,'Base de Diseño (2)'!$A$2:$C$333,3,0)-VLOOKUP(D495,'Base de Diseño (2)'!$A$2:$C$333,3,FALSE))^2)^0.5,2))</f>
        <v>14.09</v>
      </c>
      <c r="AY495" s="493">
        <v>12</v>
      </c>
      <c r="AZ495" s="480">
        <f ca="1">IF(AND(L495="",H495=""),"",IF(BA495=4,VLOOKUP(AY495,'TABLA (2)'!$A$74:$C$89,2),IF(BA495=5,VLOOKUP(AY495,'TABLA (2)'!$A$51:$B$66,2),IF(BA495=6,VLOOKUP(AY495,'TABLA (2)'!$A$9:$B$43,2)))))</f>
        <v>300</v>
      </c>
      <c r="BA495" s="493">
        <v>6</v>
      </c>
      <c r="BB495" s="478">
        <f>IF(OR(C495="",D495=""),"",VLOOKUP(C495,'Base de Diseño (2)'!$A$2:$D$330,4,FALSE))</f>
        <v>968.61160000000007</v>
      </c>
      <c r="BC495" s="478">
        <f>IF(OR(C495="",D495=""),"",VLOOKUP(D495,'Base de Diseño (2)'!$A$2:$D$330,4,FALSE))</f>
        <v>969.22160000000008</v>
      </c>
      <c r="BD495" s="23">
        <f t="shared" ca="1" si="1432"/>
        <v>2.7530000000000228</v>
      </c>
      <c r="BE495" s="23">
        <f t="shared" ca="1" si="1433"/>
        <v>3.483000000000041</v>
      </c>
      <c r="BF495" s="494">
        <v>3.1000000000000227</v>
      </c>
      <c r="BG495" s="494">
        <v>3.8300000000000409</v>
      </c>
      <c r="BH495" s="495">
        <f t="shared" si="1434"/>
        <v>965.51160000000004</v>
      </c>
      <c r="BI495" s="495">
        <f t="shared" si="1435"/>
        <v>965.39160000000004</v>
      </c>
      <c r="BJ495" s="534">
        <f t="shared" si="1398"/>
        <v>0</v>
      </c>
      <c r="BK495" s="475">
        <f t="shared" si="1436"/>
        <v>4.3293115684883867</v>
      </c>
      <c r="BL495" s="475">
        <f t="shared" si="1437"/>
        <v>0.85166784953871222</v>
      </c>
      <c r="BM495" s="475">
        <f t="shared" ca="1" si="1438"/>
        <v>1.262503574564257</v>
      </c>
      <c r="BN495" s="475">
        <f t="shared" ca="1" si="1439"/>
        <v>89.241118987093259</v>
      </c>
      <c r="BO495" s="204">
        <f t="shared" ca="1" si="1440"/>
        <v>5.3143984373882194E-2</v>
      </c>
      <c r="BP495" s="496">
        <f t="shared" ca="1" si="1441"/>
        <v>7.0980732558005357</v>
      </c>
      <c r="BQ495" s="497">
        <f t="shared" ca="1" si="1442"/>
        <v>0.45601263262246139</v>
      </c>
      <c r="BR495" s="497" t="str">
        <f t="shared" ca="1" si="1443"/>
        <v xml:space="preserve"> </v>
      </c>
      <c r="BS495" s="475">
        <f t="shared" ca="1" si="1444"/>
        <v>0.57571757873231477</v>
      </c>
      <c r="BT495" s="475" t="e">
        <f t="shared" ca="1" si="1445"/>
        <v>#VALUE!</v>
      </c>
      <c r="BU495" s="475">
        <f t="shared" ca="1" si="1446"/>
        <v>0.19340860160889645</v>
      </c>
      <c r="BV495" s="475" t="str">
        <f t="shared" ca="1" si="1447"/>
        <v xml:space="preserve"> </v>
      </c>
      <c r="BW495" s="475">
        <f t="shared" ca="1" si="1448"/>
        <v>1.8214256976565706</v>
      </c>
      <c r="BX495" s="475" t="e">
        <f t="shared" ca="1" si="1449"/>
        <v>#VALUE!</v>
      </c>
      <c r="BY495" s="475">
        <f t="shared" ca="1" si="1450"/>
        <v>0.11703320889956151</v>
      </c>
      <c r="BZ495" s="475" t="e">
        <f t="shared" ca="1" si="1451"/>
        <v>#VALUE!</v>
      </c>
      <c r="CA495" s="471">
        <f t="shared" ca="1" si="1452"/>
        <v>3.5109962669868454E-2</v>
      </c>
      <c r="CB495" s="471" t="e">
        <f t="shared" ca="1" si="1453"/>
        <v>#VALUE!</v>
      </c>
      <c r="CC495" s="471" t="e">
        <f t="shared" ca="1" si="1454"/>
        <v>#VALUE!</v>
      </c>
      <c r="CD495" s="471" t="e">
        <f t="shared" ca="1" si="1455"/>
        <v>#VALUE!</v>
      </c>
      <c r="CE495" s="471">
        <f t="shared" ca="1" si="1456"/>
        <v>0.29902026404431331</v>
      </c>
      <c r="CF495" s="471" t="e">
        <f t="shared" ca="1" si="1457"/>
        <v>#VALUE!</v>
      </c>
      <c r="CG495" s="471" t="str">
        <f t="shared" ca="1" si="1458"/>
        <v>O.K</v>
      </c>
      <c r="CH495" s="471" t="e">
        <f t="shared" ca="1" si="1459"/>
        <v>#VALUE!</v>
      </c>
      <c r="CI495" s="471" t="str">
        <f t="shared" ca="1" si="1460"/>
        <v>OK</v>
      </c>
      <c r="CJ495" s="471" t="e">
        <f t="shared" ca="1" si="1461"/>
        <v>#VALUE!</v>
      </c>
      <c r="CK495" s="468">
        <f t="shared" si="1462"/>
        <v>0</v>
      </c>
      <c r="CL495" s="482" t="s">
        <v>2507</v>
      </c>
      <c r="CM495" s="482"/>
      <c r="CN495" s="63" t="str">
        <f t="shared" si="1463"/>
        <v xml:space="preserve"> </v>
      </c>
      <c r="CO495" s="527">
        <f t="shared" si="1471"/>
        <v>14.09</v>
      </c>
      <c r="CP495" s="511">
        <f t="shared" si="1472"/>
        <v>4.3293115684883865E-2</v>
      </c>
      <c r="CQ495" s="482" t="s">
        <v>2508</v>
      </c>
      <c r="CR495" s="204">
        <f t="shared" si="1464"/>
        <v>14.09</v>
      </c>
      <c r="CS495" s="486">
        <v>1.2</v>
      </c>
      <c r="CT495" s="486">
        <v>1.2</v>
      </c>
      <c r="CU495" s="23">
        <f t="shared" si="1465"/>
        <v>14.090510991443852</v>
      </c>
      <c r="CV495" s="499" t="s">
        <v>2509</v>
      </c>
      <c r="CW495" s="488" t="str">
        <f t="shared" ca="1" si="1466"/>
        <v>E3</v>
      </c>
      <c r="CX495" s="204">
        <f ca="1">IF(AND(L495="",H495=""),"",IF(AND(BA495&lt;&gt;4,BA495&lt;&gt;5),VLOOKUP(AY495,'TABLA (2)'!$A$9:$D$43,4),IF(BA495=4,VLOOKUP(AY495,'TABLA (2)'!$A$74:$D$89,4),VLOOKUP(AY495,'TABLA (2)'!$A$51:$D$66,4))))</f>
        <v>4.7E-2</v>
      </c>
      <c r="CY495" s="482"/>
      <c r="CZ495" s="482"/>
      <c r="DA495" s="482"/>
      <c r="DB495" s="490"/>
    </row>
    <row r="496" spans="1:106" ht="15" hidden="1" customHeight="1">
      <c r="A496" s="465">
        <f t="shared" si="1467"/>
        <v>364</v>
      </c>
      <c r="B496" s="491"/>
      <c r="C496" s="466" t="s">
        <v>2248</v>
      </c>
      <c r="D496" s="466" t="s">
        <v>2249</v>
      </c>
      <c r="E496" s="468"/>
      <c r="F496" s="468"/>
      <c r="G496" s="537">
        <f t="shared" si="1468"/>
        <v>3.2299237761000006</v>
      </c>
      <c r="H496" s="537">
        <f t="shared" si="1469"/>
        <v>3.2299237761000006</v>
      </c>
      <c r="I496" s="468"/>
      <c r="J496" s="468"/>
      <c r="K496" s="467">
        <f t="shared" ca="1" si="1402"/>
        <v>3.2299237761000006</v>
      </c>
      <c r="L496" s="468">
        <f t="shared" ca="1" si="1403"/>
        <v>3.2299237761000006</v>
      </c>
      <c r="M496" s="469">
        <f t="shared" si="1404"/>
        <v>242.33666300502347</v>
      </c>
      <c r="N496" s="470">
        <f t="shared" si="1405"/>
        <v>0</v>
      </c>
      <c r="O496" s="470">
        <f t="shared" si="1406"/>
        <v>0</v>
      </c>
      <c r="P496" s="470">
        <f t="shared" si="1407"/>
        <v>782.72894966065871</v>
      </c>
      <c r="Q496" s="469">
        <f t="shared" si="1473"/>
        <v>140</v>
      </c>
      <c r="R496" s="471">
        <f t="shared" si="1408"/>
        <v>1.0780641783520646</v>
      </c>
      <c r="S496" s="471"/>
      <c r="T496" s="471"/>
      <c r="U496" s="471">
        <f t="shared" si="1409"/>
        <v>0</v>
      </c>
      <c r="V496" s="471"/>
      <c r="W496" s="471"/>
      <c r="X496" s="471">
        <f t="shared" si="1410"/>
        <v>0</v>
      </c>
      <c r="Y496" s="471">
        <f t="shared" si="1411"/>
        <v>0.64598475522000021</v>
      </c>
      <c r="Z496" s="471">
        <f t="shared" ca="1" si="1412"/>
        <v>0</v>
      </c>
      <c r="AA496" s="471">
        <f t="shared" si="1399"/>
        <v>3.8</v>
      </c>
      <c r="AB496" s="471">
        <f t="shared" si="1413"/>
        <v>4.0966438777378453</v>
      </c>
      <c r="AC496" s="471">
        <f t="shared" si="1414"/>
        <v>0</v>
      </c>
      <c r="AD496" s="471">
        <f t="shared" si="1415"/>
        <v>0</v>
      </c>
      <c r="AE496" s="471">
        <f t="shared" si="1416"/>
        <v>0</v>
      </c>
      <c r="AF496" s="510">
        <f t="shared" si="1328"/>
        <v>3.8</v>
      </c>
      <c r="AG496" s="471">
        <f t="shared" si="1417"/>
        <v>0</v>
      </c>
      <c r="AH496" s="471">
        <f t="shared" si="1418"/>
        <v>0</v>
      </c>
      <c r="AI496" s="471">
        <f t="shared" ca="1" si="1419"/>
        <v>4.742628632957846</v>
      </c>
      <c r="AJ496" s="471">
        <f t="shared" si="1420"/>
        <v>0.75</v>
      </c>
      <c r="AK496" s="472">
        <f t="shared" si="1421"/>
        <v>7.1019473081322754E-2</v>
      </c>
      <c r="AL496" s="471">
        <f t="shared" si="1422"/>
        <v>0.63105097365406615</v>
      </c>
      <c r="AM496" s="473">
        <f t="shared" si="1470"/>
        <v>310.63092434007388</v>
      </c>
      <c r="AN496" s="474">
        <f t="shared" si="1423"/>
        <v>12.696277777777777</v>
      </c>
      <c r="AO496" s="474">
        <f t="shared" si="1424"/>
        <v>9.7000000000000017E-2</v>
      </c>
      <c r="AP496" s="474">
        <f t="shared" si="1425"/>
        <v>12.793277777777776</v>
      </c>
      <c r="AQ496" s="475">
        <v>3</v>
      </c>
      <c r="AR496" s="474" t="e">
        <f t="shared" ca="1" si="1426"/>
        <v>#VALUE!</v>
      </c>
      <c r="AS496" s="474" t="e">
        <f t="shared" ca="1" si="1427"/>
        <v>#VALUE!</v>
      </c>
      <c r="AT496" s="471" t="e">
        <f t="shared" ca="1" si="1428"/>
        <v>#VALUE!</v>
      </c>
      <c r="AU496" s="492">
        <f t="shared" si="1429"/>
        <v>0</v>
      </c>
      <c r="AV496" s="471">
        <f t="shared" ca="1" si="1430"/>
        <v>633.14240791377495</v>
      </c>
      <c r="AW496" s="471">
        <f t="shared" ca="1" si="1431"/>
        <v>633.14</v>
      </c>
      <c r="AX496" s="478">
        <f>IF(OR(C496="",D496=""),"",ROUND(((VLOOKUP(C496,'Base de Diseño (2)'!$A$2:$C$333,2,FALSE)-VLOOKUP(D496,'Base de Diseño (2)'!$A$2:$C$333,2,FALSE))^2+(VLOOKUP(C496,'Base de Diseño (2)'!$A$2:$C$333,3,0)-VLOOKUP(D496,'Base de Diseño (2)'!$A$2:$C$333,3,FALSE))^2)^0.5,2))</f>
        <v>17.46</v>
      </c>
      <c r="AY496" s="493">
        <v>12</v>
      </c>
      <c r="AZ496" s="480">
        <f ca="1">IF(AND(L496="",H496=""),"",IF(BA496=4,VLOOKUP(AY496,'TABLA (2)'!$A$74:$C$89,2),IF(BA496=5,VLOOKUP(AY496,'TABLA (2)'!$A$51:$B$66,2),IF(BA496=6,VLOOKUP(AY496,'TABLA (2)'!$A$9:$B$43,2)))))</f>
        <v>300</v>
      </c>
      <c r="BA496" s="493">
        <v>6</v>
      </c>
      <c r="BB496" s="478">
        <f>IF(OR(C496="",D496=""),"",VLOOKUP(C496,'Base de Diseño (2)'!$A$2:$D$330,4,FALSE))</f>
        <v>969.22160000000008</v>
      </c>
      <c r="BC496" s="478">
        <f>IF(OR(C496="",D496=""),"",VLOOKUP(D496,'Base de Diseño (2)'!$A$2:$D$330,4,FALSE))</f>
        <v>970.46159999999998</v>
      </c>
      <c r="BD496" s="23">
        <f t="shared" ca="1" si="1432"/>
        <v>3.483000000000041</v>
      </c>
      <c r="BE496" s="23">
        <f t="shared" ca="1" si="1433"/>
        <v>4.773000000000005</v>
      </c>
      <c r="BF496" s="494">
        <v>3.8300000000000409</v>
      </c>
      <c r="BG496" s="494">
        <v>5.1200000000000045</v>
      </c>
      <c r="BH496" s="495">
        <f t="shared" si="1434"/>
        <v>965.39160000000004</v>
      </c>
      <c r="BI496" s="495">
        <f t="shared" si="1435"/>
        <v>965.34159999999997</v>
      </c>
      <c r="BJ496" s="534">
        <f t="shared" si="1398"/>
        <v>5.999999999994543E-2</v>
      </c>
      <c r="BK496" s="475">
        <f t="shared" si="1436"/>
        <v>7.1019473081322753</v>
      </c>
      <c r="BL496" s="475">
        <f t="shared" si="1437"/>
        <v>0.28636884307026467</v>
      </c>
      <c r="BM496" s="475">
        <f t="shared" ca="1" si="1438"/>
        <v>0.73208308495478813</v>
      </c>
      <c r="BN496" s="475">
        <f t="shared" ca="1" si="1439"/>
        <v>51.747903934004576</v>
      </c>
      <c r="BO496" s="204">
        <f t="shared" ca="1" si="1440"/>
        <v>9.1648709849315668E-2</v>
      </c>
      <c r="BP496" s="496">
        <f t="shared" ca="1" si="1441"/>
        <v>12.235084938077097</v>
      </c>
      <c r="BQ496" s="497">
        <f t="shared" ca="1" si="1442"/>
        <v>0.52538542636445429</v>
      </c>
      <c r="BR496" s="497" t="str">
        <f t="shared" ca="1" si="1443"/>
        <v xml:space="preserve"> </v>
      </c>
      <c r="BS496" s="475">
        <f t="shared" ca="1" si="1444"/>
        <v>0.38462578372317635</v>
      </c>
      <c r="BT496" s="475" t="e">
        <f t="shared" ca="1" si="1445"/>
        <v>#VALUE!</v>
      </c>
      <c r="BU496" s="475">
        <f t="shared" ca="1" si="1446"/>
        <v>0.2285583913786699</v>
      </c>
      <c r="BV496" s="475" t="str">
        <f t="shared" ca="1" si="1447"/>
        <v xml:space="preserve"> </v>
      </c>
      <c r="BW496" s="475">
        <f t="shared" ca="1" si="1448"/>
        <v>1.9938596531239692</v>
      </c>
      <c r="BX496" s="475" t="e">
        <f t="shared" ca="1" si="1449"/>
        <v>#VALUE!</v>
      </c>
      <c r="BY496" s="475">
        <f t="shared" ca="1" si="1450"/>
        <v>0.13566954132027445</v>
      </c>
      <c r="BZ496" s="475" t="e">
        <f t="shared" ca="1" si="1451"/>
        <v>#VALUE!</v>
      </c>
      <c r="CA496" s="471">
        <f t="shared" ca="1" si="1452"/>
        <v>4.0700862396082338E-2</v>
      </c>
      <c r="CB496" s="471" t="e">
        <f t="shared" ca="1" si="1453"/>
        <v>#VALUE!</v>
      </c>
      <c r="CC496" s="471" t="e">
        <f t="shared" ca="1" si="1454"/>
        <v>#VALUE!</v>
      </c>
      <c r="CD496" s="471" t="e">
        <f t="shared" ca="1" si="1455"/>
        <v>#VALUE!</v>
      </c>
      <c r="CE496" s="471">
        <f t="shared" ca="1" si="1456"/>
        <v>0.1165545887632814</v>
      </c>
      <c r="CF496" s="471" t="e">
        <f t="shared" ca="1" si="1457"/>
        <v>#VALUE!</v>
      </c>
      <c r="CG496" s="471" t="str">
        <f t="shared" ca="1" si="1458"/>
        <v>No cumple</v>
      </c>
      <c r="CH496" s="471" t="e">
        <f t="shared" ca="1" si="1459"/>
        <v>#VALUE!</v>
      </c>
      <c r="CI496" s="471" t="str">
        <f t="shared" ca="1" si="1460"/>
        <v>OK</v>
      </c>
      <c r="CJ496" s="471" t="e">
        <f t="shared" ca="1" si="1461"/>
        <v>#VALUE!</v>
      </c>
      <c r="CK496" s="468">
        <f t="shared" si="1462"/>
        <v>5.999999999994543E-2</v>
      </c>
      <c r="CL496" s="482" t="s">
        <v>2507</v>
      </c>
      <c r="CM496" s="482"/>
      <c r="CN496" s="63" t="str">
        <f t="shared" si="1463"/>
        <v xml:space="preserve"> </v>
      </c>
      <c r="CO496" s="527">
        <f t="shared" si="1471"/>
        <v>17.46</v>
      </c>
      <c r="CP496" s="542">
        <f t="shared" si="1472"/>
        <v>7.1019473081322754E-2</v>
      </c>
      <c r="CQ496" s="482" t="s">
        <v>2508</v>
      </c>
      <c r="CR496" s="204">
        <f t="shared" si="1464"/>
        <v>17.46</v>
      </c>
      <c r="CS496" s="486">
        <v>1.2</v>
      </c>
      <c r="CT496" s="486">
        <v>1.2</v>
      </c>
      <c r="CU496" s="23">
        <f t="shared" si="1465"/>
        <v>17.460071592063994</v>
      </c>
      <c r="CV496" s="499" t="s">
        <v>2509</v>
      </c>
      <c r="CW496" s="488" t="str">
        <f t="shared" ca="1" si="1466"/>
        <v>E3</v>
      </c>
      <c r="CX496" s="204">
        <f ca="1">IF(AND(L496="",H496=""),"",IF(AND(BA496&lt;&gt;4,BA496&lt;&gt;5),VLOOKUP(AY496,'TABLA (2)'!$A$9:$D$43,4),IF(BA496=4,VLOOKUP(AY496,'TABLA (2)'!$A$74:$D$89,4),VLOOKUP(AY496,'TABLA (2)'!$A$51:$D$66,4))))</f>
        <v>4.7E-2</v>
      </c>
      <c r="CY496" s="482"/>
      <c r="CZ496" s="482"/>
      <c r="DA496" s="482"/>
      <c r="DB496" s="490"/>
    </row>
    <row r="497" spans="1:106" ht="15" hidden="1" customHeight="1">
      <c r="A497" s="465">
        <f t="shared" si="1467"/>
        <v>365</v>
      </c>
      <c r="B497" s="491"/>
      <c r="C497" s="466" t="s">
        <v>2249</v>
      </c>
      <c r="D497" s="466" t="s">
        <v>2250</v>
      </c>
      <c r="E497" s="468">
        <v>3.5087452200000001E-2</v>
      </c>
      <c r="F497" s="468"/>
      <c r="G497" s="537">
        <f t="shared" si="1468"/>
        <v>3.2299237761000006</v>
      </c>
      <c r="H497" s="537">
        <f t="shared" si="1469"/>
        <v>3.2650112283000006</v>
      </c>
      <c r="I497" s="468">
        <v>3.5087452200000001E-2</v>
      </c>
      <c r="J497" s="468"/>
      <c r="K497" s="467">
        <f t="shared" ca="1" si="1402"/>
        <v>3.2299237761000006</v>
      </c>
      <c r="L497" s="468">
        <f t="shared" ca="1" si="1403"/>
        <v>3.2650112283000006</v>
      </c>
      <c r="M497" s="469">
        <f t="shared" si="1404"/>
        <v>242.33666300502347</v>
      </c>
      <c r="N497" s="470">
        <f t="shared" si="1405"/>
        <v>8.5029760794962694</v>
      </c>
      <c r="O497" s="470">
        <f t="shared" si="1406"/>
        <v>0</v>
      </c>
      <c r="P497" s="470">
        <f t="shared" si="1407"/>
        <v>791.23192574015502</v>
      </c>
      <c r="Q497" s="469">
        <f t="shared" si="1473"/>
        <v>140</v>
      </c>
      <c r="R497" s="471">
        <f t="shared" si="1408"/>
        <v>1.0897754532763708</v>
      </c>
      <c r="S497" s="471"/>
      <c r="T497" s="471"/>
      <c r="U497" s="471">
        <f t="shared" si="1409"/>
        <v>0</v>
      </c>
      <c r="V497" s="471"/>
      <c r="W497" s="471"/>
      <c r="X497" s="471">
        <f t="shared" si="1410"/>
        <v>0</v>
      </c>
      <c r="Y497" s="471">
        <f t="shared" si="1411"/>
        <v>0.6530022456600002</v>
      </c>
      <c r="Z497" s="471">
        <f t="shared" ca="1" si="1412"/>
        <v>0</v>
      </c>
      <c r="AA497" s="471">
        <f t="shared" si="1399"/>
        <v>3.8</v>
      </c>
      <c r="AB497" s="471">
        <f t="shared" si="1413"/>
        <v>4.141146722450209</v>
      </c>
      <c r="AC497" s="471">
        <f t="shared" si="1414"/>
        <v>1.1711274924306205E-2</v>
      </c>
      <c r="AD497" s="471">
        <f t="shared" si="1415"/>
        <v>7.0174904400000003E-3</v>
      </c>
      <c r="AE497" s="471">
        <f t="shared" si="1416"/>
        <v>0</v>
      </c>
      <c r="AF497" s="510">
        <f t="shared" si="1328"/>
        <v>3.8</v>
      </c>
      <c r="AG497" s="471">
        <f t="shared" si="1417"/>
        <v>4.4502844712363578E-2</v>
      </c>
      <c r="AH497" s="471">
        <f t="shared" si="1418"/>
        <v>5.1520335152363581E-2</v>
      </c>
      <c r="AI497" s="471">
        <f t="shared" ca="1" si="1419"/>
        <v>4.7941489681102087</v>
      </c>
      <c r="AJ497" s="471">
        <f t="shared" si="1420"/>
        <v>0.75</v>
      </c>
      <c r="AK497" s="472">
        <f t="shared" si="1421"/>
        <v>3.7090909090909147E-2</v>
      </c>
      <c r="AL497" s="471">
        <f t="shared" si="1422"/>
        <v>0.6293545454545455</v>
      </c>
      <c r="AM497" s="473">
        <f t="shared" si="1470"/>
        <v>309.43720028245502</v>
      </c>
      <c r="AN497" s="474">
        <f t="shared" si="1423"/>
        <v>12.793277777777776</v>
      </c>
      <c r="AO497" s="474">
        <f t="shared" si="1424"/>
        <v>0.14055555555555557</v>
      </c>
      <c r="AP497" s="474">
        <f t="shared" si="1425"/>
        <v>12.933833333333332</v>
      </c>
      <c r="AQ497" s="475">
        <v>3</v>
      </c>
      <c r="AR497" s="474" t="e">
        <f t="shared" ca="1" si="1426"/>
        <v>#NUM!</v>
      </c>
      <c r="AS497" s="474" t="e">
        <f t="shared" ca="1" si="1427"/>
        <v>#NUM!</v>
      </c>
      <c r="AT497" s="471" t="e">
        <f t="shared" ca="1" si="1428"/>
        <v>#NUM!</v>
      </c>
      <c r="AU497" s="492">
        <f t="shared" si="1429"/>
        <v>6.833130739218757</v>
      </c>
      <c r="AV497" s="471">
        <f t="shared" ca="1" si="1430"/>
        <v>635.84692501529446</v>
      </c>
      <c r="AW497" s="471">
        <f t="shared" ca="1" si="1431"/>
        <v>635.85</v>
      </c>
      <c r="AX497" s="478">
        <f>IF(OR(C497="",D497=""),"",ROUND(((VLOOKUP(C497,'Base de Diseño (2)'!$A$2:$C$333,2,FALSE)-VLOOKUP(D497,'Base de Diseño (2)'!$A$2:$C$333,2,FALSE))^2+(VLOOKUP(C497,'Base de Diseño (2)'!$A$2:$C$333,3,0)-VLOOKUP(D497,'Base de Diseño (2)'!$A$2:$C$333,3,FALSE))^2)^0.5,2))</f>
        <v>25.3</v>
      </c>
      <c r="AY497" s="493">
        <v>30</v>
      </c>
      <c r="AZ497" s="480">
        <f ca="1">IF(AND(L497="",H497=""),"",IF(BA497=4,VLOOKUP(AY497,'TABLA (2)'!$A$74:$C$89,2),IF(BA497=5,VLOOKUP(AY497,'TABLA (2)'!$A$51:$B$66,2),IF(BA497=6,VLOOKUP(AY497,'TABLA (2)'!$A$9:$B$43,2)))))</f>
        <v>750</v>
      </c>
      <c r="BA497" s="493">
        <v>6</v>
      </c>
      <c r="BB497" s="478">
        <f>IF(OR(C497="",D497=""),"",VLOOKUP(C497,'Base de Diseño (2)'!$A$2:$D$330,4,FALSE))</f>
        <v>970.46159999999998</v>
      </c>
      <c r="BC497" s="478">
        <f>IF(OR(C497="",D497=""),"",VLOOKUP(D497,'Base de Diseño (2)'!$A$2:$D$330,4,FALSE))</f>
        <v>971.4</v>
      </c>
      <c r="BD497" s="23">
        <f t="shared" ca="1" si="1432"/>
        <v>4.34499999999995</v>
      </c>
      <c r="BE497" s="23">
        <f t="shared" ca="1" si="1433"/>
        <v>5.2650000000000228</v>
      </c>
      <c r="BF497" s="494">
        <v>5.17999999999995</v>
      </c>
      <c r="BG497" s="494">
        <v>6.1000000000000227</v>
      </c>
      <c r="BH497" s="495">
        <f t="shared" si="1434"/>
        <v>965.28160000000003</v>
      </c>
      <c r="BI497" s="495">
        <f t="shared" si="1435"/>
        <v>965.3</v>
      </c>
      <c r="BJ497" s="534">
        <f t="shared" si="1398"/>
        <v>0</v>
      </c>
      <c r="BK497" s="475">
        <f t="shared" si="1436"/>
        <v>3.7090909090909148</v>
      </c>
      <c r="BL497" s="475">
        <f t="shared" si="1437"/>
        <v>-7.272727272699088E-2</v>
      </c>
      <c r="BM497" s="475" t="e">
        <f t="shared" ca="1" si="1438"/>
        <v>#NUM!</v>
      </c>
      <c r="BN497" s="475" t="e">
        <f t="shared" ca="1" si="1439"/>
        <v>#NUM!</v>
      </c>
      <c r="BO497" s="204" t="e">
        <f t="shared" ca="1" si="1440"/>
        <v>#NUM!</v>
      </c>
      <c r="BP497" s="496" t="e">
        <f t="shared" ca="1" si="1441"/>
        <v>#NUM!</v>
      </c>
      <c r="BQ497" s="497" t="e">
        <f t="shared" ca="1" si="1442"/>
        <v>#NUM!</v>
      </c>
      <c r="BR497" s="497" t="e">
        <f t="shared" ca="1" si="1443"/>
        <v>#NUM!</v>
      </c>
      <c r="BS497" s="475" t="e">
        <f t="shared" ca="1" si="1444"/>
        <v>#NUM!</v>
      </c>
      <c r="BT497" s="475" t="e">
        <f t="shared" ca="1" si="1445"/>
        <v>#NUM!</v>
      </c>
      <c r="BU497" s="475" t="e">
        <f t="shared" ca="1" si="1446"/>
        <v>#NUM!</v>
      </c>
      <c r="BV497" s="475" t="e">
        <f t="shared" ca="1" si="1447"/>
        <v>#NUM!</v>
      </c>
      <c r="BW497" s="475" t="e">
        <f t="shared" ca="1" si="1448"/>
        <v>#NUM!</v>
      </c>
      <c r="BX497" s="475" t="e">
        <f t="shared" ca="1" si="1449"/>
        <v>#NUM!</v>
      </c>
      <c r="BY497" s="475" t="e">
        <f t="shared" ca="1" si="1450"/>
        <v>#NUM!</v>
      </c>
      <c r="BZ497" s="475" t="e">
        <f t="shared" ca="1" si="1451"/>
        <v>#NUM!</v>
      </c>
      <c r="CA497" s="471" t="e">
        <f t="shared" ca="1" si="1452"/>
        <v>#NUM!</v>
      </c>
      <c r="CB497" s="471" t="e">
        <f t="shared" ca="1" si="1453"/>
        <v>#NUM!</v>
      </c>
      <c r="CC497" s="471" t="e">
        <f t="shared" ca="1" si="1454"/>
        <v>#NUM!</v>
      </c>
      <c r="CD497" s="471" t="e">
        <f t="shared" ca="1" si="1455"/>
        <v>#NUM!</v>
      </c>
      <c r="CE497" s="471" t="e">
        <f t="shared" ca="1" si="1456"/>
        <v>#NUM!</v>
      </c>
      <c r="CF497" s="471" t="e">
        <f t="shared" ca="1" si="1457"/>
        <v>#NUM!</v>
      </c>
      <c r="CG497" s="471" t="e">
        <f t="shared" ca="1" si="1458"/>
        <v>#NUM!</v>
      </c>
      <c r="CH497" s="471" t="e">
        <f t="shared" ca="1" si="1459"/>
        <v>#NUM!</v>
      </c>
      <c r="CI497" s="471" t="e">
        <f t="shared" ca="1" si="1460"/>
        <v>#NUM!</v>
      </c>
      <c r="CJ497" s="471" t="e">
        <f t="shared" ca="1" si="1461"/>
        <v>#NUM!</v>
      </c>
      <c r="CK497" s="468">
        <f t="shared" si="1462"/>
        <v>0</v>
      </c>
      <c r="CL497" s="482" t="s">
        <v>2507</v>
      </c>
      <c r="CM497" s="482"/>
      <c r="CN497" s="63" t="str">
        <f t="shared" si="1463"/>
        <v xml:space="preserve"> </v>
      </c>
      <c r="CO497" s="527">
        <f t="shared" si="1471"/>
        <v>25.3</v>
      </c>
      <c r="CP497" s="511">
        <f t="shared" si="1472"/>
        <v>3.7090909090909147E-2</v>
      </c>
      <c r="CQ497" s="482" t="s">
        <v>2508</v>
      </c>
      <c r="CR497" s="204">
        <f t="shared" si="1464"/>
        <v>25.3</v>
      </c>
      <c r="CS497" s="486">
        <v>1.2</v>
      </c>
      <c r="CT497" s="486">
        <v>1.2</v>
      </c>
      <c r="CU497" s="23">
        <f t="shared" si="1465"/>
        <v>25.300006690908209</v>
      </c>
      <c r="CV497" s="499" t="s">
        <v>2509</v>
      </c>
      <c r="CW497" s="488" t="str">
        <f t="shared" ca="1" si="1466"/>
        <v>E3</v>
      </c>
      <c r="CX497" s="204">
        <f ca="1">IF(AND(L497="",H497=""),"",IF(AND(BA497&lt;&gt;4,BA497&lt;&gt;5),VLOOKUP(AY497,'TABLA (2)'!$A$9:$D$43,4),IF(BA497=4,VLOOKUP(AY497,'TABLA (2)'!$A$74:$D$89,4),VLOOKUP(AY497,'TABLA (2)'!$A$51:$D$66,4))))</f>
        <v>8.5000000000000006E-2</v>
      </c>
      <c r="CY497" s="482"/>
      <c r="CZ497" s="482"/>
      <c r="DA497" s="482"/>
      <c r="DB497" s="490"/>
    </row>
    <row r="498" spans="1:106" ht="15" hidden="1" customHeight="1">
      <c r="A498" s="465">
        <f t="shared" si="1467"/>
        <v>366</v>
      </c>
      <c r="B498" s="491"/>
      <c r="C498" s="466" t="s">
        <v>2250</v>
      </c>
      <c r="D498" s="466" t="s">
        <v>2251</v>
      </c>
      <c r="E498" s="468">
        <v>0.11707348150000001</v>
      </c>
      <c r="F498" s="468"/>
      <c r="G498" s="537">
        <f t="shared" si="1468"/>
        <v>3.2650112283000006</v>
      </c>
      <c r="H498" s="537">
        <f t="shared" si="1469"/>
        <v>3.3820847098000004</v>
      </c>
      <c r="I498" s="468">
        <v>0.11707348150000001</v>
      </c>
      <c r="J498" s="468"/>
      <c r="K498" s="467">
        <f t="shared" ca="1" si="1402"/>
        <v>3.2650112283000006</v>
      </c>
      <c r="L498" s="468">
        <f t="shared" ca="1" si="1403"/>
        <v>3.3820847098000004</v>
      </c>
      <c r="M498" s="469">
        <f t="shared" si="1404"/>
        <v>242.33666300502347</v>
      </c>
      <c r="N498" s="470">
        <f t="shared" si="1405"/>
        <v>28.371196833090352</v>
      </c>
      <c r="O498" s="470">
        <f t="shared" si="1406"/>
        <v>0</v>
      </c>
      <c r="P498" s="470">
        <f t="shared" si="1407"/>
        <v>819.60312257324529</v>
      </c>
      <c r="Q498" s="469">
        <f t="shared" si="1473"/>
        <v>140</v>
      </c>
      <c r="R498" s="471">
        <f t="shared" si="1408"/>
        <v>1.1288515229886134</v>
      </c>
      <c r="S498" s="471"/>
      <c r="T498" s="471"/>
      <c r="U498" s="471">
        <f t="shared" si="1409"/>
        <v>0</v>
      </c>
      <c r="V498" s="471"/>
      <c r="W498" s="471"/>
      <c r="X498" s="471">
        <f t="shared" si="1410"/>
        <v>0</v>
      </c>
      <c r="Y498" s="471">
        <f t="shared" si="1411"/>
        <v>0.67641694196000013</v>
      </c>
      <c r="Z498" s="471">
        <f t="shared" ca="1" si="1412"/>
        <v>0</v>
      </c>
      <c r="AA498" s="471">
        <f t="shared" si="1399"/>
        <v>3.8</v>
      </c>
      <c r="AB498" s="471">
        <f t="shared" si="1413"/>
        <v>4.2896357873567306</v>
      </c>
      <c r="AC498" s="471">
        <f t="shared" si="1414"/>
        <v>3.9076069712242492E-2</v>
      </c>
      <c r="AD498" s="471">
        <f t="shared" si="1415"/>
        <v>2.3414696300000003E-2</v>
      </c>
      <c r="AE498" s="471">
        <f t="shared" si="1416"/>
        <v>0</v>
      </c>
      <c r="AF498" s="510">
        <f t="shared" si="1328"/>
        <v>3.8</v>
      </c>
      <c r="AG498" s="471">
        <f t="shared" si="1417"/>
        <v>0.14848906490652147</v>
      </c>
      <c r="AH498" s="471">
        <f t="shared" si="1418"/>
        <v>0.17190376120652148</v>
      </c>
      <c r="AI498" s="471">
        <f t="shared" ca="1" si="1419"/>
        <v>4.9660527293167309</v>
      </c>
      <c r="AJ498" s="471">
        <f t="shared" si="1420"/>
        <v>0.75</v>
      </c>
      <c r="AK498" s="472">
        <f t="shared" si="1421"/>
        <v>3.846785225718144E-2</v>
      </c>
      <c r="AL498" s="471">
        <f t="shared" si="1422"/>
        <v>0.62942339261285918</v>
      </c>
      <c r="AM498" s="473">
        <f t="shared" si="1470"/>
        <v>307.04952717399374</v>
      </c>
      <c r="AN498" s="474">
        <f t="shared" si="1423"/>
        <v>12.933833333333332</v>
      </c>
      <c r="AO498" s="474">
        <f t="shared" si="1424"/>
        <v>0.2842777777777778</v>
      </c>
      <c r="AP498" s="474">
        <f t="shared" si="1425"/>
        <v>13.21811111111111</v>
      </c>
      <c r="AQ498" s="475">
        <v>3</v>
      </c>
      <c r="AR498" s="474">
        <f t="shared" ca="1" si="1426"/>
        <v>0.58293534771236777</v>
      </c>
      <c r="AS498" s="474">
        <f t="shared" ca="1" si="1427"/>
        <v>0.48766604889097626</v>
      </c>
      <c r="AT498" s="471" t="str">
        <f t="shared" ca="1" si="1428"/>
        <v>Disminuir vel.</v>
      </c>
      <c r="AU498" s="492">
        <f t="shared" si="1429"/>
        <v>22.626107486013986</v>
      </c>
      <c r="AV498" s="471">
        <f t="shared" ca="1" si="1430"/>
        <v>653.63574389593271</v>
      </c>
      <c r="AW498" s="471">
        <f t="shared" ca="1" si="1431"/>
        <v>653.64</v>
      </c>
      <c r="AX498" s="478">
        <f>IF(OR(C498="",D498=""),"",ROUND(((VLOOKUP(C498,'Base de Diseño (2)'!$A$2:$C$333,2,FALSE)-VLOOKUP(D498,'Base de Diseño (2)'!$A$2:$C$333,2,FALSE))^2+(VLOOKUP(C498,'Base de Diseño (2)'!$A$2:$C$333,3,0)-VLOOKUP(D498,'Base de Diseño (2)'!$A$2:$C$333,3,FALSE))^2)^0.5,2))</f>
        <v>51.17</v>
      </c>
      <c r="AY498" s="493">
        <v>30</v>
      </c>
      <c r="AZ498" s="480">
        <f ca="1">IF(AND(L498="",H498=""),"",IF(BA498=4,VLOOKUP(AY498,'TABLA (2)'!$A$74:$C$89,2),IF(BA498=5,VLOOKUP(AY498,'TABLA (2)'!$A$51:$B$66,2),IF(BA498=6,VLOOKUP(AY498,'TABLA (2)'!$A$9:$B$43,2)))))</f>
        <v>750</v>
      </c>
      <c r="BA498" s="493">
        <v>6</v>
      </c>
      <c r="BB498" s="478">
        <f>IF(OR(C498="",D498=""),"",VLOOKUP(C498,'Base de Diseño (2)'!$A$2:$D$330,4,FALSE))</f>
        <v>971.4</v>
      </c>
      <c r="BC498" s="478">
        <f>IF(OR(C498="",D498=""),"",VLOOKUP(D498,'Base de Diseño (2)'!$A$2:$D$330,4,FALSE))</f>
        <v>969.4316</v>
      </c>
      <c r="BD498" s="23">
        <f t="shared" ca="1" si="1432"/>
        <v>5.2650000000000228</v>
      </c>
      <c r="BE498" s="23">
        <f t="shared" ca="1" si="1433"/>
        <v>3.4449999999999728</v>
      </c>
      <c r="BF498" s="494">
        <v>6.1000000000000227</v>
      </c>
      <c r="BG498" s="494">
        <v>4.2799999999999727</v>
      </c>
      <c r="BH498" s="495">
        <f t="shared" si="1434"/>
        <v>965.3</v>
      </c>
      <c r="BI498" s="495">
        <f t="shared" si="1435"/>
        <v>965.15160000000003</v>
      </c>
      <c r="BJ498" s="534">
        <f t="shared" ref="BJ498:BJ506" si="1474">IF(A498="",0,BI498-BH499)</f>
        <v>0</v>
      </c>
      <c r="BK498" s="475">
        <f t="shared" si="1436"/>
        <v>3.8467852257181439</v>
      </c>
      <c r="BL498" s="475">
        <f t="shared" si="1437"/>
        <v>0.2900136798904126</v>
      </c>
      <c r="BM498" s="475">
        <f t="shared" ca="1" si="1438"/>
        <v>1.3570631916512097</v>
      </c>
      <c r="BN498" s="475">
        <f t="shared" ca="1" si="1439"/>
        <v>599.53215281464088</v>
      </c>
      <c r="BO498" s="204">
        <f t="shared" ca="1" si="1440"/>
        <v>8.28321334561034E-3</v>
      </c>
      <c r="BP498" s="496">
        <f t="shared" ca="1" si="1441"/>
        <v>1.0902501174146164</v>
      </c>
      <c r="BQ498" s="497">
        <f t="shared" ca="1" si="1442"/>
        <v>0.2655253283966475</v>
      </c>
      <c r="BR498" s="497">
        <f t="shared" ca="1" si="1443"/>
        <v>1.0780619175830879</v>
      </c>
      <c r="BS498" s="475">
        <f t="shared" ca="1" si="1444"/>
        <v>0.36033464961819006</v>
      </c>
      <c r="BT498" s="475">
        <f t="shared" ca="1" si="1445"/>
        <v>1.4629981466729287</v>
      </c>
      <c r="BU498" s="475">
        <f t="shared" ca="1" si="1446"/>
        <v>7.3517682607951162E-2</v>
      </c>
      <c r="BV498" s="475" t="str">
        <f t="shared" ca="1" si="1447"/>
        <v xml:space="preserve"> </v>
      </c>
      <c r="BW498" s="475">
        <f t="shared" ca="1" si="1448"/>
        <v>1.0983148032452612</v>
      </c>
      <c r="BX498" s="475" t="e">
        <f t="shared" ca="1" si="1449"/>
        <v>#VALUE!</v>
      </c>
      <c r="BY498" s="475">
        <f t="shared" ca="1" si="1450"/>
        <v>4.7316376503322877E-2</v>
      </c>
      <c r="BZ498" s="475" t="e">
        <f t="shared" ca="1" si="1451"/>
        <v>#VALUE!</v>
      </c>
      <c r="CA498" s="471">
        <f t="shared" ca="1" si="1452"/>
        <v>3.5487282377492158E-2</v>
      </c>
      <c r="CB498" s="471" t="e">
        <f t="shared" ca="1" si="1453"/>
        <v>#VALUE!</v>
      </c>
      <c r="CC498" s="471" t="e">
        <f t="shared" ca="1" si="1454"/>
        <v>#VALUE!</v>
      </c>
      <c r="CD498" s="471" t="e">
        <f t="shared" ca="1" si="1455"/>
        <v>#VALUE!</v>
      </c>
      <c r="CE498" s="471">
        <f t="shared" ca="1" si="1456"/>
        <v>0.10291797351606691</v>
      </c>
      <c r="CF498" s="471" t="e">
        <f t="shared" ca="1" si="1457"/>
        <v>#VALUE!</v>
      </c>
      <c r="CG498" s="471" t="str">
        <f t="shared" ca="1" si="1458"/>
        <v>No cumple</v>
      </c>
      <c r="CH498" s="471" t="str">
        <f t="shared" ca="1" si="1459"/>
        <v>O.K</v>
      </c>
      <c r="CI498" s="471" t="str">
        <f t="shared" ca="1" si="1460"/>
        <v>OK</v>
      </c>
      <c r="CJ498" s="471" t="e">
        <f t="shared" ca="1" si="1461"/>
        <v>#VALUE!</v>
      </c>
      <c r="CK498" s="468">
        <f t="shared" si="1462"/>
        <v>0</v>
      </c>
      <c r="CL498" s="482" t="s">
        <v>2507</v>
      </c>
      <c r="CM498" s="482"/>
      <c r="CN498" s="63" t="str">
        <f t="shared" si="1463"/>
        <v xml:space="preserve"> </v>
      </c>
      <c r="CO498" s="527">
        <f t="shared" si="1471"/>
        <v>51.17</v>
      </c>
      <c r="CP498" s="542">
        <f t="shared" si="1472"/>
        <v>3.846785225718144E-2</v>
      </c>
      <c r="CQ498" s="482" t="s">
        <v>2508</v>
      </c>
      <c r="CR498" s="204">
        <f t="shared" si="1464"/>
        <v>51.17</v>
      </c>
      <c r="CS498" s="486">
        <v>1.2</v>
      </c>
      <c r="CT498" s="486">
        <v>1.2</v>
      </c>
      <c r="CU498" s="23">
        <f t="shared" si="1465"/>
        <v>51.170215189698006</v>
      </c>
      <c r="CV498" s="499" t="s">
        <v>2509</v>
      </c>
      <c r="CW498" s="488" t="str">
        <f t="shared" ca="1" si="1466"/>
        <v>E3</v>
      </c>
      <c r="CX498" s="204">
        <f ca="1">IF(AND(L498="",H498=""),"",IF(AND(BA498&lt;&gt;4,BA498&lt;&gt;5),VLOOKUP(AY498,'TABLA (2)'!$A$9:$D$43,4),IF(BA498=4,VLOOKUP(AY498,'TABLA (2)'!$A$74:$D$89,4),VLOOKUP(AY498,'TABLA (2)'!$A$51:$D$66,4))))</f>
        <v>8.5000000000000006E-2</v>
      </c>
      <c r="CY498" s="482"/>
      <c r="CZ498" s="482"/>
      <c r="DA498" s="482"/>
      <c r="DB498" s="490"/>
    </row>
    <row r="499" spans="1:106" ht="15" hidden="1" customHeight="1">
      <c r="A499" s="465">
        <f t="shared" si="1467"/>
        <v>367</v>
      </c>
      <c r="B499" s="491"/>
      <c r="C499" s="466" t="s">
        <v>2251</v>
      </c>
      <c r="D499" s="466" t="s">
        <v>2252</v>
      </c>
      <c r="E499" s="468">
        <v>9.03379723E-2</v>
      </c>
      <c r="F499" s="468"/>
      <c r="G499" s="537">
        <f t="shared" si="1468"/>
        <v>3.3820847098000004</v>
      </c>
      <c r="H499" s="537">
        <f t="shared" si="1469"/>
        <v>3.4724226821000004</v>
      </c>
      <c r="I499" s="468">
        <v>9.03379723E-2</v>
      </c>
      <c r="J499" s="468"/>
      <c r="K499" s="467">
        <f t="shared" ca="1" si="1402"/>
        <v>3.3820847098000004</v>
      </c>
      <c r="L499" s="468">
        <f t="shared" ca="1" si="1403"/>
        <v>3.4724226821000004</v>
      </c>
      <c r="M499" s="469">
        <f t="shared" si="1404"/>
        <v>242.33666300502347</v>
      </c>
      <c r="N499" s="470">
        <f t="shared" si="1405"/>
        <v>21.892202749822246</v>
      </c>
      <c r="O499" s="470">
        <f t="shared" si="1406"/>
        <v>0</v>
      </c>
      <c r="P499" s="470">
        <f t="shared" si="1407"/>
        <v>841.4953253230675</v>
      </c>
      <c r="Q499" s="469">
        <f t="shared" si="1473"/>
        <v>140</v>
      </c>
      <c r="R499" s="471">
        <f t="shared" si="1408"/>
        <v>1.1590039781648731</v>
      </c>
      <c r="S499" s="471"/>
      <c r="T499" s="471"/>
      <c r="U499" s="471">
        <f t="shared" si="1409"/>
        <v>0</v>
      </c>
      <c r="V499" s="471"/>
      <c r="W499" s="471"/>
      <c r="X499" s="471">
        <f t="shared" si="1410"/>
        <v>0</v>
      </c>
      <c r="Y499" s="471">
        <f t="shared" si="1411"/>
        <v>0.69448453642000008</v>
      </c>
      <c r="Z499" s="471">
        <f t="shared" ca="1" si="1412"/>
        <v>0</v>
      </c>
      <c r="AA499" s="471">
        <f t="shared" si="1399"/>
        <v>3.8</v>
      </c>
      <c r="AB499" s="471">
        <f t="shared" si="1413"/>
        <v>4.404215117026518</v>
      </c>
      <c r="AC499" s="471">
        <f t="shared" si="1414"/>
        <v>3.0152455176259807E-2</v>
      </c>
      <c r="AD499" s="471">
        <f t="shared" si="1415"/>
        <v>1.8067594459999999E-2</v>
      </c>
      <c r="AE499" s="471">
        <f t="shared" si="1416"/>
        <v>0</v>
      </c>
      <c r="AF499" s="510">
        <f t="shared" si="1328"/>
        <v>3.8</v>
      </c>
      <c r="AG499" s="471">
        <f t="shared" si="1417"/>
        <v>0.11457932966978726</v>
      </c>
      <c r="AH499" s="471">
        <f t="shared" si="1418"/>
        <v>0.13264692412978726</v>
      </c>
      <c r="AI499" s="471">
        <f t="shared" ca="1" si="1419"/>
        <v>5.0986996534465181</v>
      </c>
      <c r="AJ499" s="471">
        <f t="shared" si="1420"/>
        <v>0.75</v>
      </c>
      <c r="AK499" s="472">
        <f t="shared" si="1421"/>
        <v>4.9562682215742553E-2</v>
      </c>
      <c r="AL499" s="471">
        <f t="shared" si="1422"/>
        <v>0.62997813411078718</v>
      </c>
      <c r="AM499" s="473">
        <f t="shared" si="1470"/>
        <v>305.62608254174376</v>
      </c>
      <c r="AN499" s="474">
        <f t="shared" si="1423"/>
        <v>13.21811111111111</v>
      </c>
      <c r="AO499" s="474">
        <f t="shared" si="1424"/>
        <v>0.17149999999999999</v>
      </c>
      <c r="AP499" s="474">
        <f t="shared" si="1425"/>
        <v>13.38961111111111</v>
      </c>
      <c r="AQ499" s="475">
        <v>3</v>
      </c>
      <c r="AR499" s="474">
        <f t="shared" ca="1" si="1426"/>
        <v>0.26264394136218183</v>
      </c>
      <c r="AS499" s="474">
        <f t="shared" ca="1" si="1427"/>
        <v>0.65297527561659685</v>
      </c>
      <c r="AT499" s="471" t="str">
        <f t="shared" ca="1" si="1428"/>
        <v>Disminuir vel.</v>
      </c>
      <c r="AU499" s="492">
        <f t="shared" si="1429"/>
        <v>17.393469855310439</v>
      </c>
      <c r="AV499" s="471">
        <f t="shared" ca="1" si="1430"/>
        <v>668.57244753547104</v>
      </c>
      <c r="AW499" s="471">
        <f t="shared" ca="1" si="1431"/>
        <v>668.57</v>
      </c>
      <c r="AX499" s="478">
        <f>IF(OR(C499="",D499=""),"",ROUND(((VLOOKUP(C499,'Base de Diseño (2)'!$A$2:$C$333,2,FALSE)-VLOOKUP(D499,'Base de Diseño (2)'!$A$2:$C$333,2,FALSE))^2+(VLOOKUP(C499,'Base de Diseño (2)'!$A$2:$C$333,3,0)-VLOOKUP(D499,'Base de Diseño (2)'!$A$2:$C$333,3,FALSE))^2)^0.5,2))</f>
        <v>30.87</v>
      </c>
      <c r="AY499" s="493">
        <v>30</v>
      </c>
      <c r="AZ499" s="480">
        <f ca="1">IF(AND(L499="",H499=""),"",IF(BA499=4,VLOOKUP(AY499,'TABLA (2)'!$A$74:$C$89,2),IF(BA499=5,VLOOKUP(AY499,'TABLA (2)'!$A$51:$B$66,2),IF(BA499=6,VLOOKUP(AY499,'TABLA (2)'!$A$9:$B$43,2)))))</f>
        <v>750</v>
      </c>
      <c r="BA499" s="493">
        <v>6</v>
      </c>
      <c r="BB499" s="478">
        <f>IF(OR(C499="",D499=""),"",VLOOKUP(C499,'Base de Diseño (2)'!$A$2:$D$330,4,FALSE))</f>
        <v>969.4316</v>
      </c>
      <c r="BC499" s="478">
        <f>IF(OR(C499="",D499=""),"",VLOOKUP(D499,'Base de Diseño (2)'!$A$2:$D$330,4,FALSE))</f>
        <v>967.90160000000003</v>
      </c>
      <c r="BD499" s="23">
        <f t="shared" ca="1" si="1432"/>
        <v>3.4449999999999728</v>
      </c>
      <c r="BE499" s="23">
        <f t="shared" ca="1" si="1433"/>
        <v>2.1150000000000455</v>
      </c>
      <c r="BF499" s="494">
        <v>4.2799999999999727</v>
      </c>
      <c r="BG499" s="494">
        <v>2.9500000000000455</v>
      </c>
      <c r="BH499" s="495">
        <f t="shared" si="1434"/>
        <v>965.15160000000003</v>
      </c>
      <c r="BI499" s="495">
        <f t="shared" si="1435"/>
        <v>964.95159999999998</v>
      </c>
      <c r="BJ499" s="534">
        <f t="shared" si="1474"/>
        <v>0</v>
      </c>
      <c r="BK499" s="475">
        <f t="shared" si="1436"/>
        <v>4.9562682215742555</v>
      </c>
      <c r="BL499" s="475">
        <f t="shared" si="1437"/>
        <v>0.64787819889875431</v>
      </c>
      <c r="BM499" s="475">
        <f t="shared" ca="1" si="1438"/>
        <v>2.0283248533507741</v>
      </c>
      <c r="BN499" s="475">
        <f t="shared" ca="1" si="1439"/>
        <v>896.08647070974177</v>
      </c>
      <c r="BO499" s="204">
        <f t="shared" ca="1" si="1440"/>
        <v>5.6899638819545096E-3</v>
      </c>
      <c r="BP499" s="496">
        <f t="shared" ca="1" si="1441"/>
        <v>0.7460998707752633</v>
      </c>
      <c r="BQ499" s="497">
        <f t="shared" ca="1" si="1442"/>
        <v>0.23804283386232317</v>
      </c>
      <c r="BR499" s="497">
        <f t="shared" ca="1" si="1443"/>
        <v>0.96578505342162668</v>
      </c>
      <c r="BS499" s="475">
        <f t="shared" ca="1" si="1444"/>
        <v>0.48282819608499933</v>
      </c>
      <c r="BT499" s="475">
        <f t="shared" ca="1" si="1445"/>
        <v>1.9589258268497904</v>
      </c>
      <c r="BU499" s="475">
        <f t="shared" ca="1" si="1446"/>
        <v>4.9296186086785099E-2</v>
      </c>
      <c r="BV499" s="475">
        <f t="shared" ca="1" si="1447"/>
        <v>0.72239991387504554</v>
      </c>
      <c r="BW499" s="475">
        <f t="shared" ca="1" si="1448"/>
        <v>0.89557329583185963</v>
      </c>
      <c r="BX499" s="475">
        <f t="shared" ca="1" si="1449"/>
        <v>4.0634941528057658</v>
      </c>
      <c r="BY499" s="475">
        <f t="shared" ca="1" si="1450"/>
        <v>3.2103942832245047E-2</v>
      </c>
      <c r="BZ499" s="475">
        <f t="shared" ca="1" si="1451"/>
        <v>0.29901890574994694</v>
      </c>
      <c r="CA499" s="471">
        <f t="shared" ca="1" si="1452"/>
        <v>2.4077957124183785E-2</v>
      </c>
      <c r="CB499" s="471">
        <f t="shared" ca="1" si="1453"/>
        <v>0.2242641793124602</v>
      </c>
      <c r="CC499" s="471">
        <f t="shared" ca="1" si="1454"/>
        <v>0.87686559316121748</v>
      </c>
      <c r="CD499" s="471" t="str">
        <f t="shared" ca="1" si="1455"/>
        <v>F. Subcrítico Inestable</v>
      </c>
      <c r="CE499" s="471">
        <f t="shared" ca="1" si="1456"/>
        <v>0.15599583494777622</v>
      </c>
      <c r="CF499" s="471">
        <f t="shared" ca="1" si="1457"/>
        <v>1.4529587257046401</v>
      </c>
      <c r="CG499" s="471" t="str">
        <f t="shared" ca="1" si="1458"/>
        <v>O.K</v>
      </c>
      <c r="CH499" s="471" t="str">
        <f t="shared" ca="1" si="1459"/>
        <v>O.K</v>
      </c>
      <c r="CI499" s="471" t="str">
        <f t="shared" ca="1" si="1460"/>
        <v>OK</v>
      </c>
      <c r="CJ499" s="471" t="str">
        <f t="shared" ca="1" si="1461"/>
        <v>OK</v>
      </c>
      <c r="CK499" s="468">
        <f t="shared" si="1462"/>
        <v>0</v>
      </c>
      <c r="CL499" s="482" t="s">
        <v>2507</v>
      </c>
      <c r="CM499" s="482"/>
      <c r="CN499" s="63" t="str">
        <f t="shared" si="1463"/>
        <v xml:space="preserve"> </v>
      </c>
      <c r="CO499" s="527">
        <f t="shared" si="1471"/>
        <v>30.87</v>
      </c>
      <c r="CP499" s="511">
        <f t="shared" si="1472"/>
        <v>4.9562682215742553E-2</v>
      </c>
      <c r="CQ499" s="482" t="s">
        <v>2508</v>
      </c>
      <c r="CR499" s="204">
        <f t="shared" si="1464"/>
        <v>30.87</v>
      </c>
      <c r="CS499" s="486">
        <v>1.2</v>
      </c>
      <c r="CT499" s="486">
        <v>1.2</v>
      </c>
      <c r="CU499" s="23">
        <f t="shared" si="1465"/>
        <v>30.870647871400433</v>
      </c>
      <c r="CV499" s="499" t="s">
        <v>2509</v>
      </c>
      <c r="CW499" s="488" t="str">
        <f t="shared" ca="1" si="1466"/>
        <v>E3</v>
      </c>
      <c r="CX499" s="204">
        <f ca="1">IF(AND(L499="",H499=""),"",IF(AND(BA499&lt;&gt;4,BA499&lt;&gt;5),VLOOKUP(AY499,'TABLA (2)'!$A$9:$D$43,4),IF(BA499=4,VLOOKUP(AY499,'TABLA (2)'!$A$74:$D$89,4),VLOOKUP(AY499,'TABLA (2)'!$A$51:$D$66,4))))</f>
        <v>8.5000000000000006E-2</v>
      </c>
      <c r="CY499" s="482"/>
      <c r="CZ499" s="482"/>
      <c r="DA499" s="482"/>
      <c r="DB499" s="490"/>
    </row>
    <row r="500" spans="1:106" ht="15" hidden="1" customHeight="1">
      <c r="A500" s="465">
        <f t="shared" si="1467"/>
        <v>368</v>
      </c>
      <c r="B500" s="491"/>
      <c r="C500" s="466" t="s">
        <v>2252</v>
      </c>
      <c r="D500" s="466" t="s">
        <v>2253</v>
      </c>
      <c r="E500" s="468"/>
      <c r="F500" s="468"/>
      <c r="G500" s="537">
        <f t="shared" si="1468"/>
        <v>3.4724226821000004</v>
      </c>
      <c r="H500" s="537">
        <f t="shared" si="1469"/>
        <v>3.4724226821000004</v>
      </c>
      <c r="I500" s="468"/>
      <c r="J500" s="468"/>
      <c r="K500" s="467">
        <f t="shared" ca="1" si="1402"/>
        <v>3.4724226821000004</v>
      </c>
      <c r="L500" s="468">
        <f t="shared" ca="1" si="1403"/>
        <v>3.4724226821000004</v>
      </c>
      <c r="M500" s="469">
        <f t="shared" si="1404"/>
        <v>242.33666300502347</v>
      </c>
      <c r="N500" s="470">
        <f t="shared" si="1405"/>
        <v>0</v>
      </c>
      <c r="O500" s="470">
        <f t="shared" si="1406"/>
        <v>0</v>
      </c>
      <c r="P500" s="470">
        <f t="shared" si="1407"/>
        <v>841.4953253230675</v>
      </c>
      <c r="Q500" s="469">
        <f t="shared" si="1473"/>
        <v>140</v>
      </c>
      <c r="R500" s="471">
        <f t="shared" si="1408"/>
        <v>1.1590039781648731</v>
      </c>
      <c r="S500" s="471"/>
      <c r="T500" s="471"/>
      <c r="U500" s="471">
        <f t="shared" si="1409"/>
        <v>0</v>
      </c>
      <c r="V500" s="471"/>
      <c r="W500" s="471"/>
      <c r="X500" s="471">
        <f t="shared" si="1410"/>
        <v>0</v>
      </c>
      <c r="Y500" s="471">
        <f t="shared" si="1411"/>
        <v>0.69448453642000008</v>
      </c>
      <c r="Z500" s="471">
        <f t="shared" ca="1" si="1412"/>
        <v>0</v>
      </c>
      <c r="AA500" s="471">
        <f t="shared" si="1399"/>
        <v>3.8</v>
      </c>
      <c r="AB500" s="471">
        <f t="shared" si="1413"/>
        <v>4.404215117026518</v>
      </c>
      <c r="AC500" s="471">
        <f t="shared" si="1414"/>
        <v>0</v>
      </c>
      <c r="AD500" s="471">
        <f t="shared" si="1415"/>
        <v>0</v>
      </c>
      <c r="AE500" s="471">
        <f t="shared" si="1416"/>
        <v>0</v>
      </c>
      <c r="AF500" s="510">
        <f t="shared" si="1328"/>
        <v>3.8</v>
      </c>
      <c r="AG500" s="471">
        <f t="shared" si="1417"/>
        <v>0</v>
      </c>
      <c r="AH500" s="471">
        <f t="shared" si="1418"/>
        <v>0</v>
      </c>
      <c r="AI500" s="471">
        <f t="shared" ca="1" si="1419"/>
        <v>5.0986996534465181</v>
      </c>
      <c r="AJ500" s="471">
        <f t="shared" si="1420"/>
        <v>0.75</v>
      </c>
      <c r="AK500" s="472">
        <f t="shared" si="1421"/>
        <v>6.2827225130892436E-2</v>
      </c>
      <c r="AL500" s="471">
        <f t="shared" si="1422"/>
        <v>0.63064136125654469</v>
      </c>
      <c r="AM500" s="473">
        <f t="shared" si="1470"/>
        <v>304.92617530905414</v>
      </c>
      <c r="AN500" s="474">
        <f t="shared" si="1423"/>
        <v>13.38961111111111</v>
      </c>
      <c r="AO500" s="474">
        <f t="shared" si="1424"/>
        <v>8.4888888888888889E-2</v>
      </c>
      <c r="AP500" s="474">
        <f t="shared" si="1425"/>
        <v>13.474499999999999</v>
      </c>
      <c r="AQ500" s="475">
        <v>3</v>
      </c>
      <c r="AR500" s="474">
        <f t="shared" ca="1" si="1426"/>
        <v>0.19869612167829637</v>
      </c>
      <c r="AS500" s="474">
        <f t="shared" ca="1" si="1427"/>
        <v>0.42722972231098827</v>
      </c>
      <c r="AT500" s="471" t="str">
        <f t="shared" ca="1" si="1428"/>
        <v>Disminuir vel.</v>
      </c>
      <c r="AU500" s="492">
        <f t="shared" si="1429"/>
        <v>0</v>
      </c>
      <c r="AV500" s="471">
        <f t="shared" ca="1" si="1430"/>
        <v>667.74361171673945</v>
      </c>
      <c r="AW500" s="471">
        <f t="shared" ca="1" si="1431"/>
        <v>667.74</v>
      </c>
      <c r="AX500" s="478">
        <f>IF(OR(C500="",D500=""),"",ROUND(((VLOOKUP(C500,'Base de Diseño (2)'!$A$2:$C$333,2,FALSE)-VLOOKUP(D500,'Base de Diseño (2)'!$A$2:$C$333,2,FALSE))^2+(VLOOKUP(C500,'Base de Diseño (2)'!$A$2:$C$333,3,0)-VLOOKUP(D500,'Base de Diseño (2)'!$A$2:$C$333,3,FALSE))^2)^0.5,2))</f>
        <v>15.28</v>
      </c>
      <c r="AY500" s="493">
        <v>30</v>
      </c>
      <c r="AZ500" s="480">
        <f ca="1">IF(AND(L500="",H500=""),"",IF(BA500=4,VLOOKUP(AY500,'TABLA (2)'!$A$74:$C$89,2),IF(BA500=5,VLOOKUP(AY500,'TABLA (2)'!$A$51:$B$66,2),IF(BA500=6,VLOOKUP(AY500,'TABLA (2)'!$A$9:$B$43,2)))))</f>
        <v>750</v>
      </c>
      <c r="BA500" s="493">
        <v>6</v>
      </c>
      <c r="BB500" s="478">
        <f>IF(OR(C500="",D500=""),"",VLOOKUP(C500,'Base de Diseño (2)'!$A$2:$D$330,4,FALSE))</f>
        <v>967.90160000000003</v>
      </c>
      <c r="BC500" s="478">
        <f>IF(OR(C500="",D500=""),"",VLOOKUP(D500,'Base de Diseño (2)'!$A$2:$D$330,4,FALSE))</f>
        <v>966.94159999999999</v>
      </c>
      <c r="BD500" s="23">
        <f t="shared" ca="1" si="1432"/>
        <v>2.1150000000000455</v>
      </c>
      <c r="BE500" s="23">
        <f t="shared" ca="1" si="1433"/>
        <v>1.1849999999999818</v>
      </c>
      <c r="BF500" s="494">
        <v>2.9500000000000455</v>
      </c>
      <c r="BG500" s="494">
        <v>2.0199999999999818</v>
      </c>
      <c r="BH500" s="495">
        <f t="shared" si="1434"/>
        <v>964.95159999999998</v>
      </c>
      <c r="BI500" s="495">
        <f t="shared" si="1435"/>
        <v>964.92160000000001</v>
      </c>
      <c r="BJ500" s="534">
        <f t="shared" si="1474"/>
        <v>9.9999999999909051E-3</v>
      </c>
      <c r="BK500" s="475">
        <f t="shared" si="1436"/>
        <v>6.2827225130892437</v>
      </c>
      <c r="BL500" s="475">
        <f t="shared" si="1437"/>
        <v>0.19633507853385285</v>
      </c>
      <c r="BM500" s="475">
        <f t="shared" ca="1" si="1438"/>
        <v>1.1165798322077196</v>
      </c>
      <c r="BN500" s="475">
        <f t="shared" ca="1" si="1439"/>
        <v>493.28985909519781</v>
      </c>
      <c r="BO500" s="204">
        <f t="shared" ca="1" si="1440"/>
        <v>1.0336112854212442E-2</v>
      </c>
      <c r="BP500" s="496">
        <f t="shared" ca="1" si="1441"/>
        <v>1.3536463150180751</v>
      </c>
      <c r="BQ500" s="497">
        <f t="shared" ca="1" si="1442"/>
        <v>0.28319347308067028</v>
      </c>
      <c r="BR500" s="497">
        <f t="shared" ca="1" si="1443"/>
        <v>1.1478706044679208</v>
      </c>
      <c r="BS500" s="475">
        <f t="shared" ca="1" si="1444"/>
        <v>0.31620812065473619</v>
      </c>
      <c r="BT500" s="475">
        <f t="shared" ca="1" si="1445"/>
        <v>1.2816891669329646</v>
      </c>
      <c r="BU500" s="475">
        <f t="shared" ca="1" si="1446"/>
        <v>8.7798813832875355E-2</v>
      </c>
      <c r="BV500" s="475" t="str">
        <f t="shared" ca="1" si="1447"/>
        <v xml:space="preserve"> </v>
      </c>
      <c r="BW500" s="475">
        <f t="shared" ca="1" si="1448"/>
        <v>1.2033016234137737</v>
      </c>
      <c r="BX500" s="475" t="e">
        <f t="shared" ca="1" si="1449"/>
        <v>#VALUE!</v>
      </c>
      <c r="BY500" s="475">
        <f t="shared" ca="1" si="1450"/>
        <v>5.6110464213904587E-2</v>
      </c>
      <c r="BZ500" s="475" t="e">
        <f t="shared" ca="1" si="1451"/>
        <v>#VALUE!</v>
      </c>
      <c r="CA500" s="471">
        <f t="shared" ca="1" si="1452"/>
        <v>4.208284816042844E-2</v>
      </c>
      <c r="CB500" s="471" t="e">
        <f t="shared" ca="1" si="1453"/>
        <v>#VALUE!</v>
      </c>
      <c r="CC500" s="471" t="e">
        <f t="shared" ca="1" si="1454"/>
        <v>#VALUE!</v>
      </c>
      <c r="CD500" s="471" t="e">
        <f t="shared" ca="1" si="1455"/>
        <v>#VALUE!</v>
      </c>
      <c r="CE500" s="471">
        <f t="shared" ca="1" si="1456"/>
        <v>8.2623392985059232E-2</v>
      </c>
      <c r="CF500" s="471" t="e">
        <f t="shared" ca="1" si="1457"/>
        <v>#VALUE!</v>
      </c>
      <c r="CG500" s="471" t="str">
        <f t="shared" ca="1" si="1458"/>
        <v>No cumple</v>
      </c>
      <c r="CH500" s="471" t="str">
        <f t="shared" ca="1" si="1459"/>
        <v>O.K</v>
      </c>
      <c r="CI500" s="471" t="str">
        <f t="shared" ca="1" si="1460"/>
        <v>V.C.H.</v>
      </c>
      <c r="CJ500" s="471" t="e">
        <f t="shared" ca="1" si="1461"/>
        <v>#VALUE!</v>
      </c>
      <c r="CK500" s="468">
        <f t="shared" si="1462"/>
        <v>9.9999999999909051E-3</v>
      </c>
      <c r="CL500" s="482" t="s">
        <v>2507</v>
      </c>
      <c r="CM500" s="482"/>
      <c r="CN500" s="63" t="str">
        <f t="shared" si="1463"/>
        <v xml:space="preserve"> </v>
      </c>
      <c r="CO500" s="527">
        <f t="shared" si="1471"/>
        <v>15.28</v>
      </c>
      <c r="CP500" s="542">
        <f t="shared" si="1472"/>
        <v>6.2827225130892436E-2</v>
      </c>
      <c r="CQ500" s="482" t="s">
        <v>2508</v>
      </c>
      <c r="CR500" s="204">
        <f t="shared" si="1464"/>
        <v>15.28</v>
      </c>
      <c r="CS500" s="486">
        <v>1.2</v>
      </c>
      <c r="CT500" s="486">
        <v>1.2</v>
      </c>
      <c r="CU500" s="23">
        <f t="shared" si="1465"/>
        <v>15.2800294502334</v>
      </c>
      <c r="CV500" s="499" t="s">
        <v>2509</v>
      </c>
      <c r="CW500" s="488" t="str">
        <f t="shared" ca="1" si="1466"/>
        <v>E2</v>
      </c>
      <c r="CX500" s="204">
        <f ca="1">IF(AND(L500="",H500=""),"",IF(AND(BA500&lt;&gt;4,BA500&lt;&gt;5),VLOOKUP(AY500,'TABLA (2)'!$A$9:$D$43,4),IF(BA500=4,VLOOKUP(AY500,'TABLA (2)'!$A$74:$D$89,4),VLOOKUP(AY500,'TABLA (2)'!$A$51:$D$66,4))))</f>
        <v>8.5000000000000006E-2</v>
      </c>
      <c r="CY500" s="482"/>
      <c r="CZ500" s="482"/>
      <c r="DA500" s="482"/>
      <c r="DB500" s="490"/>
    </row>
    <row r="501" spans="1:106" ht="15" hidden="1" customHeight="1">
      <c r="A501" s="465">
        <f t="shared" si="1467"/>
        <v>369</v>
      </c>
      <c r="B501" s="491"/>
      <c r="C501" s="466" t="s">
        <v>2253</v>
      </c>
      <c r="D501" s="466" t="s">
        <v>2254</v>
      </c>
      <c r="E501" s="468">
        <v>0.14405054179999999</v>
      </c>
      <c r="F501" s="468"/>
      <c r="G501" s="537">
        <f t="shared" si="1468"/>
        <v>8.4357761418999999</v>
      </c>
      <c r="H501" s="537">
        <f t="shared" si="1469"/>
        <v>8.5798266837000003</v>
      </c>
      <c r="I501" s="468">
        <v>0.14405054179999999</v>
      </c>
      <c r="J501" s="468"/>
      <c r="K501" s="467">
        <f t="shared" ca="1" si="1402"/>
        <v>4.1878853819000001</v>
      </c>
      <c r="L501" s="468">
        <f t="shared" ca="1" si="1403"/>
        <v>4.3319359236999997</v>
      </c>
      <c r="M501" s="469">
        <f t="shared" si="1404"/>
        <v>242.33666300502347</v>
      </c>
      <c r="N501" s="470">
        <f t="shared" si="1405"/>
        <v>34.908727603877644</v>
      </c>
      <c r="O501" s="470">
        <f t="shared" si="1406"/>
        <v>0</v>
      </c>
      <c r="P501" s="470">
        <f t="shared" si="1407"/>
        <v>2079.2065676893149</v>
      </c>
      <c r="Q501" s="469">
        <f t="shared" si="1473"/>
        <v>140</v>
      </c>
      <c r="R501" s="471">
        <f t="shared" si="1408"/>
        <v>2.8637220087387556</v>
      </c>
      <c r="S501" s="471"/>
      <c r="T501" s="471"/>
      <c r="U501" s="471">
        <f t="shared" si="1409"/>
        <v>0</v>
      </c>
      <c r="V501" s="471"/>
      <c r="W501" s="471"/>
      <c r="X501" s="471">
        <f t="shared" si="1410"/>
        <v>0</v>
      </c>
      <c r="Y501" s="471">
        <f t="shared" si="1411"/>
        <v>1.7159653367400001</v>
      </c>
      <c r="Z501" s="471">
        <f t="shared" ca="1" si="1412"/>
        <v>0</v>
      </c>
      <c r="AA501" s="471">
        <f t="shared" si="1399"/>
        <v>3.7779964436644216</v>
      </c>
      <c r="AB501" s="471">
        <f t="shared" si="1413"/>
        <v>10.819131564658552</v>
      </c>
      <c r="AC501" s="471">
        <f t="shared" si="1414"/>
        <v>4.8080307695155554E-2</v>
      </c>
      <c r="AD501" s="471">
        <f t="shared" si="1415"/>
        <v>2.8810108359999999E-2</v>
      </c>
      <c r="AE501" s="471">
        <f t="shared" si="1416"/>
        <v>0</v>
      </c>
      <c r="AF501" s="510">
        <f t="shared" si="1328"/>
        <v>3.8</v>
      </c>
      <c r="AG501" s="471">
        <f t="shared" si="1417"/>
        <v>0.18270516924159111</v>
      </c>
      <c r="AH501" s="471">
        <f t="shared" si="1418"/>
        <v>0.21151527760159111</v>
      </c>
      <c r="AI501" s="471">
        <f t="shared" ca="1" si="1419"/>
        <v>12.535096901398552</v>
      </c>
      <c r="AJ501" s="471">
        <f t="shared" si="1420"/>
        <v>0.75</v>
      </c>
      <c r="AK501" s="472">
        <f t="shared" si="1421"/>
        <v>1.0004689698295863E-2</v>
      </c>
      <c r="AL501" s="471">
        <f t="shared" si="1422"/>
        <v>0.62800023448491482</v>
      </c>
      <c r="AM501" s="473">
        <f t="shared" si="1470"/>
        <v>302.02904112796705</v>
      </c>
      <c r="AN501" s="474">
        <f t="shared" si="1423"/>
        <v>13.474499999999999</v>
      </c>
      <c r="AO501" s="474">
        <f t="shared" si="1424"/>
        <v>0.35538888888888892</v>
      </c>
      <c r="AP501" s="474">
        <f t="shared" si="1425"/>
        <v>13.829888888888888</v>
      </c>
      <c r="AQ501" s="475">
        <v>3</v>
      </c>
      <c r="AR501" s="474" t="e">
        <f t="shared" ca="1" si="1426"/>
        <v>#VALUE!</v>
      </c>
      <c r="AS501" s="474" t="e">
        <f t="shared" ca="1" si="1427"/>
        <v>#VALUE!</v>
      </c>
      <c r="AT501" s="471" t="e">
        <f t="shared" ca="1" si="1428"/>
        <v>#VALUE!</v>
      </c>
      <c r="AU501" s="492">
        <f t="shared" si="1429"/>
        <v>27.322686926517797</v>
      </c>
      <c r="AV501" s="471">
        <f t="shared" ca="1" si="1430"/>
        <v>821.65695144223878</v>
      </c>
      <c r="AW501" s="471">
        <f t="shared" ca="1" si="1431"/>
        <v>821.66</v>
      </c>
      <c r="AX501" s="478">
        <f>IF(OR(C501="",D501=""),"",ROUND(((VLOOKUP(C501,'Base de Diseño (2)'!$A$2:$C$333,2,FALSE)-VLOOKUP(D501,'Base de Diseño (2)'!$A$2:$C$333,2,FALSE))^2+(VLOOKUP(C501,'Base de Diseño (2)'!$A$2:$C$333,3,0)-VLOOKUP(D501,'Base de Diseño (2)'!$A$2:$C$333,3,FALSE))^2)^0.5,2))</f>
        <v>63.97</v>
      </c>
      <c r="AY501" s="493">
        <v>14</v>
      </c>
      <c r="AZ501" s="480">
        <f ca="1">IF(AND(L501="",H501=""),"",IF(BA501=4,VLOOKUP(AY501,'TABLA (2)'!$A$74:$C$89,2),IF(BA501=5,VLOOKUP(AY501,'TABLA (2)'!$A$51:$B$66,2),IF(BA501=6,VLOOKUP(AY501,'TABLA (2)'!$A$9:$B$43,2)))))</f>
        <v>350</v>
      </c>
      <c r="BA501" s="493">
        <v>6</v>
      </c>
      <c r="BB501" s="478">
        <f>IF(OR(C501="",D501=""),"",VLOOKUP(C501,'Base de Diseño (2)'!$A$2:$D$330,4,FALSE))</f>
        <v>966.94159999999999</v>
      </c>
      <c r="BC501" s="478">
        <f>IF(OR(C501="",D501=""),"",VLOOKUP(D501,'Base de Diseño (2)'!$A$2:$D$330,4,FALSE))</f>
        <v>966.30160000000001</v>
      </c>
      <c r="BD501" s="23">
        <f t="shared" ca="1" si="1432"/>
        <v>1.6199999999999728</v>
      </c>
      <c r="BE501" s="23">
        <f t="shared" ca="1" si="1433"/>
        <v>1.3100000000000274</v>
      </c>
      <c r="BF501" s="494">
        <v>2.0299999999999727</v>
      </c>
      <c r="BG501" s="494">
        <v>1.7200000000000273</v>
      </c>
      <c r="BH501" s="495">
        <f t="shared" si="1434"/>
        <v>964.91160000000002</v>
      </c>
      <c r="BI501" s="495">
        <f t="shared" si="1435"/>
        <v>964.58159999999998</v>
      </c>
      <c r="BJ501" s="534">
        <f t="shared" si="1474"/>
        <v>5.999999999994543E-2</v>
      </c>
      <c r="BK501" s="475">
        <f t="shared" si="1436"/>
        <v>1.0004689698295863</v>
      </c>
      <c r="BL501" s="475">
        <f t="shared" si="1437"/>
        <v>0.51586681256845535</v>
      </c>
      <c r="BM501" s="475">
        <f t="shared" ca="1" si="1438"/>
        <v>1.0889237688556275</v>
      </c>
      <c r="BN501" s="475">
        <f t="shared" ca="1" si="1439"/>
        <v>104.76674419703205</v>
      </c>
      <c r="BO501" s="204">
        <f t="shared" ca="1" si="1440"/>
        <v>0.11964767061792171</v>
      </c>
      <c r="BP501" s="496">
        <f t="shared" ca="1" si="1441"/>
        <v>7.8427558887839988</v>
      </c>
      <c r="BQ501" s="497">
        <f t="shared" ca="1" si="1442"/>
        <v>0.56649555528010398</v>
      </c>
      <c r="BR501" s="497" t="str">
        <f t="shared" ca="1" si="1443"/>
        <v xml:space="preserve"> </v>
      </c>
      <c r="BS501" s="475">
        <f t="shared" ca="1" si="1444"/>
        <v>0.61687047509557225</v>
      </c>
      <c r="BT501" s="475" t="e">
        <f t="shared" ca="1" si="1445"/>
        <v>#VALUE!</v>
      </c>
      <c r="BU501" s="475">
        <f t="shared" ca="1" si="1446"/>
        <v>0.27176911950744959</v>
      </c>
      <c r="BV501" s="475" t="str">
        <f t="shared" ca="1" si="1447"/>
        <v xml:space="preserve"> </v>
      </c>
      <c r="BW501" s="475">
        <f t="shared" ca="1" si="1448"/>
        <v>2.1935638025601794</v>
      </c>
      <c r="BX501" s="475" t="e">
        <f t="shared" ca="1" si="1449"/>
        <v>#VALUE!</v>
      </c>
      <c r="BY501" s="475">
        <f t="shared" ca="1" si="1450"/>
        <v>0.15742606388657659</v>
      </c>
      <c r="BZ501" s="475" t="e">
        <f t="shared" ca="1" si="1451"/>
        <v>#VALUE!</v>
      </c>
      <c r="CA501" s="471">
        <f t="shared" ca="1" si="1452"/>
        <v>5.5099122360301803E-2</v>
      </c>
      <c r="CB501" s="471" t="e">
        <f t="shared" ca="1" si="1453"/>
        <v>#VALUE!</v>
      </c>
      <c r="CC501" s="471" t="e">
        <f t="shared" ca="1" si="1454"/>
        <v>#VALUE!</v>
      </c>
      <c r="CD501" s="471" t="e">
        <f t="shared" ca="1" si="1455"/>
        <v>#VALUE!</v>
      </c>
      <c r="CE501" s="471">
        <f t="shared" ca="1" si="1456"/>
        <v>0.28423808627328195</v>
      </c>
      <c r="CF501" s="471" t="e">
        <f t="shared" ca="1" si="1457"/>
        <v>#VALUE!</v>
      </c>
      <c r="CG501" s="471" t="str">
        <f t="shared" ca="1" si="1458"/>
        <v>O.K</v>
      </c>
      <c r="CH501" s="471" t="e">
        <f t="shared" ca="1" si="1459"/>
        <v>#VALUE!</v>
      </c>
      <c r="CI501" s="471" t="str">
        <f t="shared" ca="1" si="1460"/>
        <v>OK</v>
      </c>
      <c r="CJ501" s="471" t="e">
        <f t="shared" ca="1" si="1461"/>
        <v>#VALUE!</v>
      </c>
      <c r="CK501" s="468">
        <f t="shared" si="1462"/>
        <v>5.999999999994543E-2</v>
      </c>
      <c r="CL501" s="482" t="s">
        <v>2507</v>
      </c>
      <c r="CM501" s="482"/>
      <c r="CN501" s="63" t="str">
        <f t="shared" si="1463"/>
        <v xml:space="preserve"> </v>
      </c>
      <c r="CO501" s="527">
        <f t="shared" si="1471"/>
        <v>63.97</v>
      </c>
      <c r="CP501" s="511">
        <f t="shared" si="1472"/>
        <v>1.0004689698295863E-2</v>
      </c>
      <c r="CQ501" s="482" t="s">
        <v>2508</v>
      </c>
      <c r="CR501" s="204">
        <f t="shared" si="1464"/>
        <v>63.97</v>
      </c>
      <c r="CS501" s="486">
        <v>1.2</v>
      </c>
      <c r="CT501" s="486">
        <v>1.2</v>
      </c>
      <c r="CU501" s="23">
        <f t="shared" si="1465"/>
        <v>63.970851174577945</v>
      </c>
      <c r="CV501" s="499" t="s">
        <v>2509</v>
      </c>
      <c r="CW501" s="488" t="str">
        <f t="shared" ca="1" si="1466"/>
        <v>E2</v>
      </c>
      <c r="CX501" s="204">
        <f ca="1">IF(AND(L501="",H501=""),"",IF(AND(BA501&lt;&gt;4,BA501&lt;&gt;5),VLOOKUP(AY501,'TABLA (2)'!$A$9:$D$43,4),IF(BA501=4,VLOOKUP(AY501,'TABLA (2)'!$A$74:$D$89,4),VLOOKUP(AY501,'TABLA (2)'!$A$51:$D$66,4))))</f>
        <v>0.06</v>
      </c>
      <c r="CY501" s="482"/>
      <c r="CZ501" s="482"/>
      <c r="DA501" s="482"/>
      <c r="DB501" s="490"/>
    </row>
    <row r="502" spans="1:106" ht="15" hidden="1" customHeight="1">
      <c r="A502" s="465">
        <f t="shared" si="1467"/>
        <v>370</v>
      </c>
      <c r="B502" s="491"/>
      <c r="C502" s="466" t="s">
        <v>2254</v>
      </c>
      <c r="D502" s="466" t="s">
        <v>2255</v>
      </c>
      <c r="E502" s="468">
        <v>6.00052222E-2</v>
      </c>
      <c r="F502" s="468"/>
      <c r="G502" s="537">
        <f t="shared" si="1468"/>
        <v>14.8662323651</v>
      </c>
      <c r="H502" s="537">
        <f t="shared" si="1469"/>
        <v>14.926237587299999</v>
      </c>
      <c r="I502" s="468">
        <v>6.00052222E-2</v>
      </c>
      <c r="J502" s="468"/>
      <c r="K502" s="467">
        <f t="shared" ca="1" si="1402"/>
        <v>8.238546745099999</v>
      </c>
      <c r="L502" s="468">
        <f t="shared" ca="1" si="1403"/>
        <v>8.2985519672999981</v>
      </c>
      <c r="M502" s="469">
        <f t="shared" si="1404"/>
        <v>242.33666300502347</v>
      </c>
      <c r="N502" s="470">
        <f t="shared" si="1405"/>
        <v>14.541465310822954</v>
      </c>
      <c r="O502" s="470">
        <f t="shared" si="1406"/>
        <v>0</v>
      </c>
      <c r="P502" s="470">
        <f t="shared" si="1407"/>
        <v>3617.1746081264346</v>
      </c>
      <c r="Q502" s="469">
        <f t="shared" si="1473"/>
        <v>140</v>
      </c>
      <c r="R502" s="471">
        <f t="shared" si="1408"/>
        <v>4.9819881755445099</v>
      </c>
      <c r="S502" s="471"/>
      <c r="T502" s="471"/>
      <c r="U502" s="471">
        <f t="shared" si="1409"/>
        <v>0</v>
      </c>
      <c r="V502" s="471"/>
      <c r="W502" s="471"/>
      <c r="X502" s="471">
        <f t="shared" si="1410"/>
        <v>0</v>
      </c>
      <c r="Y502" s="471">
        <f t="shared" si="1411"/>
        <v>2.9852475174599999</v>
      </c>
      <c r="Z502" s="471">
        <f t="shared" ca="1" si="1412"/>
        <v>0</v>
      </c>
      <c r="AA502" s="471">
        <f t="shared" si="1399"/>
        <v>3.4102245980200268</v>
      </c>
      <c r="AB502" s="471">
        <f t="shared" si="1413"/>
        <v>16.989698623286802</v>
      </c>
      <c r="AC502" s="471">
        <f t="shared" si="1414"/>
        <v>2.0028175601712168E-2</v>
      </c>
      <c r="AD502" s="471">
        <f t="shared" si="1415"/>
        <v>1.2001044440000001E-2</v>
      </c>
      <c r="AE502" s="471">
        <f t="shared" si="1416"/>
        <v>0</v>
      </c>
      <c r="AF502" s="510">
        <f t="shared" si="1328"/>
        <v>3.8</v>
      </c>
      <c r="AG502" s="471">
        <f t="shared" si="1417"/>
        <v>7.6107067286506236E-2</v>
      </c>
      <c r="AH502" s="471">
        <f t="shared" si="1418"/>
        <v>8.8108111726506233E-2</v>
      </c>
      <c r="AI502" s="471">
        <f t="shared" ca="1" si="1419"/>
        <v>19.974946140746802</v>
      </c>
      <c r="AJ502" s="471">
        <f t="shared" si="1420"/>
        <v>0.75</v>
      </c>
      <c r="AK502" s="472">
        <f t="shared" si="1421"/>
        <v>7.4613284804368712E-2</v>
      </c>
      <c r="AL502" s="471">
        <f t="shared" si="1422"/>
        <v>0.63123066424021845</v>
      </c>
      <c r="AM502" s="473">
        <f t="shared" si="1470"/>
        <v>300.55636818726765</v>
      </c>
      <c r="AN502" s="474">
        <f t="shared" si="1423"/>
        <v>13.829888888888888</v>
      </c>
      <c r="AO502" s="474">
        <f t="shared" si="1424"/>
        <v>0.18316666666666667</v>
      </c>
      <c r="AP502" s="474">
        <f t="shared" si="1425"/>
        <v>14.013055555555555</v>
      </c>
      <c r="AQ502" s="475">
        <v>3</v>
      </c>
      <c r="AR502" s="474" t="e">
        <f t="shared" ca="1" si="1426"/>
        <v>#VALUE!</v>
      </c>
      <c r="AS502" s="474" t="e">
        <f t="shared" ca="1" si="1427"/>
        <v>#VALUE!</v>
      </c>
      <c r="AT502" s="471" t="e">
        <f t="shared" ca="1" si="1428"/>
        <v>#VALUE!</v>
      </c>
      <c r="AU502" s="492">
        <f t="shared" si="1429"/>
        <v>11.384214513800236</v>
      </c>
      <c r="AV502" s="471">
        <f t="shared" ca="1" si="1430"/>
        <v>1574.4045649023883</v>
      </c>
      <c r="AW502" s="471">
        <f t="shared" ca="1" si="1431"/>
        <v>1574.4</v>
      </c>
      <c r="AX502" s="478">
        <f>IF(OR(C502="",D502=""),"",ROUND(((VLOOKUP(C502,'Base de Diseño (2)'!$A$2:$C$333,2,FALSE)-VLOOKUP(D502,'Base de Diseño (2)'!$A$2:$C$333,2,FALSE))^2+(VLOOKUP(C502,'Base de Diseño (2)'!$A$2:$C$333,3,0)-VLOOKUP(D502,'Base de Diseño (2)'!$A$2:$C$333,3,FALSE))^2)^0.5,2))</f>
        <v>32.97</v>
      </c>
      <c r="AY502" s="493">
        <v>12</v>
      </c>
      <c r="AZ502" s="480">
        <f ca="1">IF(AND(L502="",H502=""),"",IF(BA502=4,VLOOKUP(AY502,'TABLA (2)'!$A$74:$C$89,2),IF(BA502=5,VLOOKUP(AY502,'TABLA (2)'!$A$51:$B$66,2),IF(BA502=6,VLOOKUP(AY502,'TABLA (2)'!$A$9:$B$43,2)))))</f>
        <v>300</v>
      </c>
      <c r="BA502" s="493">
        <v>6</v>
      </c>
      <c r="BB502" s="478">
        <f>IF(OR(C502="",D502=""),"",VLOOKUP(C502,'Base de Diseño (2)'!$A$2:$D$330,4,FALSE))</f>
        <v>966.30160000000001</v>
      </c>
      <c r="BC502" s="478">
        <f>IF(OR(C502="",D502=""),"",VLOOKUP(D502,'Base de Diseño (2)'!$A$2:$D$330,4,FALSE))</f>
        <v>968.76160000000004</v>
      </c>
      <c r="BD502" s="23">
        <f t="shared" ca="1" si="1432"/>
        <v>1.4329999999999727</v>
      </c>
      <c r="BE502" s="23">
        <f t="shared" ca="1" si="1433"/>
        <v>3.9229999999999818</v>
      </c>
      <c r="BF502" s="494">
        <v>1.7799999999999727</v>
      </c>
      <c r="BG502" s="494">
        <v>4.2699999999999818</v>
      </c>
      <c r="BH502" s="495">
        <f t="shared" si="1434"/>
        <v>964.52160000000003</v>
      </c>
      <c r="BI502" s="495">
        <f t="shared" si="1435"/>
        <v>964.49160000000006</v>
      </c>
      <c r="BJ502" s="534">
        <f t="shared" si="1474"/>
        <v>2.9999999999972715E-2</v>
      </c>
      <c r="BK502" s="475">
        <f t="shared" si="1436"/>
        <v>7.4613284804368716</v>
      </c>
      <c r="BL502" s="475">
        <f t="shared" si="1437"/>
        <v>9.0991810736950909E-2</v>
      </c>
      <c r="BM502" s="475">
        <f t="shared" ca="1" si="1438"/>
        <v>0.41266595760696684</v>
      </c>
      <c r="BN502" s="475">
        <f t="shared" ca="1" si="1439"/>
        <v>29.169637668104489</v>
      </c>
      <c r="BO502" s="204">
        <f t="shared" ca="1" si="1440"/>
        <v>0.68478554200857922</v>
      </c>
      <c r="BP502" s="496">
        <f t="shared" ca="1" si="1441"/>
        <v>53.973930629982632</v>
      </c>
      <c r="BQ502" s="497">
        <f t="shared" ca="1" si="1442"/>
        <v>0.94206756436260164</v>
      </c>
      <c r="BR502" s="497" t="str">
        <f t="shared" ca="1" si="1443"/>
        <v xml:space="preserve"> </v>
      </c>
      <c r="BS502" s="475">
        <f t="shared" ca="1" si="1444"/>
        <v>0.38875921357815585</v>
      </c>
      <c r="BT502" s="475" t="e">
        <f t="shared" ca="1" si="1445"/>
        <v>#VALUE!</v>
      </c>
      <c r="BU502" s="475">
        <f t="shared" ca="1" si="1446"/>
        <v>0.68152369469521235</v>
      </c>
      <c r="BV502" s="475" t="str">
        <f t="shared" ca="1" si="1447"/>
        <v xml:space="preserve"> </v>
      </c>
      <c r="BW502" s="475">
        <f t="shared" ca="1" si="1448"/>
        <v>3.8846653614131696</v>
      </c>
      <c r="BX502" s="475" t="e">
        <f t="shared" ca="1" si="1449"/>
        <v>#VALUE!</v>
      </c>
      <c r="BY502" s="475">
        <f t="shared" ca="1" si="1450"/>
        <v>0.29354003241451171</v>
      </c>
      <c r="BZ502" s="475" t="e">
        <f t="shared" ca="1" si="1451"/>
        <v>#VALUE!</v>
      </c>
      <c r="CA502" s="471">
        <f t="shared" ca="1" si="1452"/>
        <v>8.8062009724353518E-2</v>
      </c>
      <c r="CB502" s="471" t="e">
        <f t="shared" ca="1" si="1453"/>
        <v>#VALUE!</v>
      </c>
      <c r="CC502" s="471" t="e">
        <f t="shared" ca="1" si="1454"/>
        <v>#VALUE!</v>
      </c>
      <c r="CD502" s="471" t="e">
        <f t="shared" ca="1" si="1455"/>
        <v>#VALUE!</v>
      </c>
      <c r="CE502" s="471">
        <f t="shared" ca="1" si="1456"/>
        <v>8.0129217219539056E-2</v>
      </c>
      <c r="CF502" s="471" t="e">
        <f t="shared" ca="1" si="1457"/>
        <v>#VALUE!</v>
      </c>
      <c r="CG502" s="471" t="str">
        <f t="shared" ca="1" si="1458"/>
        <v>No cumple</v>
      </c>
      <c r="CH502" s="471" t="e">
        <f t="shared" ca="1" si="1459"/>
        <v>#VALUE!</v>
      </c>
      <c r="CI502" s="471" t="str">
        <f t="shared" ca="1" si="1460"/>
        <v>V.C.H.</v>
      </c>
      <c r="CJ502" s="471" t="e">
        <f t="shared" ca="1" si="1461"/>
        <v>#VALUE!</v>
      </c>
      <c r="CK502" s="468">
        <f t="shared" si="1462"/>
        <v>2.9999999999972715E-2</v>
      </c>
      <c r="CL502" s="482" t="s">
        <v>2507</v>
      </c>
      <c r="CM502" s="482"/>
      <c r="CN502" s="63" t="str">
        <f t="shared" si="1463"/>
        <v xml:space="preserve"> </v>
      </c>
      <c r="CO502" s="527">
        <f t="shared" si="1471"/>
        <v>32.97</v>
      </c>
      <c r="CP502" s="542">
        <f t="shared" si="1472"/>
        <v>7.4613284804368712E-2</v>
      </c>
      <c r="CQ502" s="482" t="s">
        <v>2508</v>
      </c>
      <c r="CR502" s="204">
        <f t="shared" si="1464"/>
        <v>32.97</v>
      </c>
      <c r="CS502" s="486">
        <v>1.2</v>
      </c>
      <c r="CT502" s="486">
        <v>1.2</v>
      </c>
      <c r="CU502" s="23">
        <f t="shared" si="1465"/>
        <v>32.970013648768784</v>
      </c>
      <c r="CV502" s="499" t="s">
        <v>2509</v>
      </c>
      <c r="CW502" s="488" t="str">
        <f t="shared" ca="1" si="1466"/>
        <v>E2</v>
      </c>
      <c r="CX502" s="204">
        <f ca="1">IF(AND(L502="",H502=""),"",IF(AND(BA502&lt;&gt;4,BA502&lt;&gt;5),VLOOKUP(AY502,'TABLA (2)'!$A$9:$D$43,4),IF(BA502=4,VLOOKUP(AY502,'TABLA (2)'!$A$74:$D$89,4),VLOOKUP(AY502,'TABLA (2)'!$A$51:$D$66,4))))</f>
        <v>4.7E-2</v>
      </c>
      <c r="CY502" s="482"/>
      <c r="CZ502" s="482"/>
      <c r="DA502" s="482"/>
      <c r="DB502" s="490"/>
    </row>
    <row r="503" spans="1:106" ht="15" hidden="1" customHeight="1">
      <c r="A503" s="465">
        <f t="shared" si="1467"/>
        <v>371</v>
      </c>
      <c r="B503" s="491"/>
      <c r="C503" s="466" t="s">
        <v>2255</v>
      </c>
      <c r="D503" s="466" t="s">
        <v>2256</v>
      </c>
      <c r="E503" s="468">
        <v>9.2863609299999997E-2</v>
      </c>
      <c r="F503" s="468"/>
      <c r="G503" s="537">
        <f t="shared" si="1468"/>
        <v>14.926237587299999</v>
      </c>
      <c r="H503" s="537">
        <f t="shared" si="1469"/>
        <v>15.019101196599999</v>
      </c>
      <c r="I503" s="468">
        <v>9.2863609299999997E-2</v>
      </c>
      <c r="J503" s="468"/>
      <c r="K503" s="467">
        <f t="shared" ca="1" si="1402"/>
        <v>8.2985519672999981</v>
      </c>
      <c r="L503" s="468">
        <f t="shared" ca="1" si="1403"/>
        <v>8.3914155765999983</v>
      </c>
      <c r="M503" s="469">
        <f t="shared" si="1404"/>
        <v>242.33666300502347</v>
      </c>
      <c r="N503" s="470">
        <f t="shared" si="1405"/>
        <v>22.504257192364264</v>
      </c>
      <c r="O503" s="470">
        <f t="shared" si="1406"/>
        <v>0</v>
      </c>
      <c r="P503" s="470">
        <f t="shared" si="1407"/>
        <v>3639.6788653187987</v>
      </c>
      <c r="Q503" s="469">
        <f t="shared" si="1473"/>
        <v>140</v>
      </c>
      <c r="R503" s="471">
        <f t="shared" si="1408"/>
        <v>5.0129836223719559</v>
      </c>
      <c r="S503" s="471"/>
      <c r="T503" s="471"/>
      <c r="U503" s="471">
        <f t="shared" si="1409"/>
        <v>0</v>
      </c>
      <c r="V503" s="471"/>
      <c r="W503" s="471"/>
      <c r="X503" s="471">
        <f t="shared" si="1410"/>
        <v>0</v>
      </c>
      <c r="Y503" s="471">
        <f t="shared" si="1411"/>
        <v>3.00382023932</v>
      </c>
      <c r="Z503" s="471">
        <f t="shared" ca="1" si="1412"/>
        <v>0</v>
      </c>
      <c r="AA503" s="471">
        <f t="shared" si="1399"/>
        <v>3.4055646486457518</v>
      </c>
      <c r="AB503" s="471">
        <f t="shared" si="1413"/>
        <v>17.072039808590059</v>
      </c>
      <c r="AC503" s="471">
        <f t="shared" si="1414"/>
        <v>3.0995446827446146E-2</v>
      </c>
      <c r="AD503" s="471">
        <f t="shared" si="1415"/>
        <v>1.8572721859999999E-2</v>
      </c>
      <c r="AE503" s="471">
        <f t="shared" si="1416"/>
        <v>0</v>
      </c>
      <c r="AF503" s="471">
        <f>IF(N503="","",IF(1+((14/(4+(((N503+O503)+O503)/1000)^1/2)))&lt;1.4,1.4,IF(1+((14/(4+((N503+O503)/1000)^1/2)))&gt;=4,4,(1+((14/(4+((N503+O503)/1000)^1/2)))))))</f>
        <v>4</v>
      </c>
      <c r="AG503" s="471">
        <f t="shared" si="1417"/>
        <v>0.12398178730978458</v>
      </c>
      <c r="AH503" s="471">
        <f t="shared" si="1418"/>
        <v>0.14255450916978457</v>
      </c>
      <c r="AI503" s="471">
        <f t="shared" ca="1" si="1419"/>
        <v>20.075860047910059</v>
      </c>
      <c r="AJ503" s="471">
        <f t="shared" si="1420"/>
        <v>0.75</v>
      </c>
      <c r="AK503" s="472">
        <f t="shared" si="1421"/>
        <v>9.454855195911531E-2</v>
      </c>
      <c r="AL503" s="471">
        <f t="shared" si="1422"/>
        <v>0.6322274275979558</v>
      </c>
      <c r="AM503" s="473">
        <f t="shared" si="1470"/>
        <v>298.99831863224188</v>
      </c>
      <c r="AN503" s="474">
        <f t="shared" si="1423"/>
        <v>14.013055555555555</v>
      </c>
      <c r="AO503" s="474">
        <f t="shared" si="1424"/>
        <v>0.19566666666666666</v>
      </c>
      <c r="AP503" s="474">
        <f t="shared" si="1425"/>
        <v>14.208722222222221</v>
      </c>
      <c r="AQ503" s="475">
        <v>3</v>
      </c>
      <c r="AR503" s="474" t="e">
        <f t="shared" ca="1" si="1426"/>
        <v>#VALUE!</v>
      </c>
      <c r="AS503" s="474" t="e">
        <f t="shared" ca="1" si="1427"/>
        <v>#VALUE!</v>
      </c>
      <c r="AT503" s="471" t="e">
        <f t="shared" ca="1" si="1428"/>
        <v>#VALUE!</v>
      </c>
      <c r="AU503" s="492">
        <f t="shared" si="1429"/>
        <v>17.554466612085655</v>
      </c>
      <c r="AV503" s="471">
        <f t="shared" ca="1" si="1430"/>
        <v>1586.2707219539459</v>
      </c>
      <c r="AW503" s="471">
        <f t="shared" ca="1" si="1431"/>
        <v>1586.27</v>
      </c>
      <c r="AX503" s="478">
        <f>IF(OR(C503="",D503=""),"",ROUND(((VLOOKUP(C503,'Base de Diseño (2)'!$A$2:$C$333,2,FALSE)-VLOOKUP(D503,'Base de Diseño (2)'!$A$2:$C$333,2,FALSE))^2+(VLOOKUP(C503,'Base de Diseño (2)'!$A$2:$C$333,3,0)-VLOOKUP(D503,'Base de Diseño (2)'!$A$2:$C$333,3,FALSE))^2)^0.5,2))</f>
        <v>35.22</v>
      </c>
      <c r="AY503" s="493">
        <v>12</v>
      </c>
      <c r="AZ503" s="480">
        <f ca="1">IF(AND(L503="",H503=""),"",IF(BA503=4,VLOOKUP(AY503,'TABLA (2)'!$A$74:$C$89,2),IF(BA503=5,VLOOKUP(AY503,'TABLA (2)'!$A$51:$B$66,2),IF(BA503=6,VLOOKUP(AY503,'TABLA (2)'!$A$9:$B$43,2)))))</f>
        <v>300</v>
      </c>
      <c r="BA503" s="493">
        <v>6</v>
      </c>
      <c r="BB503" s="478">
        <f>IF(OR(C503="",D503=""),"",VLOOKUP(C503,'Base de Diseño (2)'!$A$2:$D$330,4,FALSE))</f>
        <v>968.76160000000004</v>
      </c>
      <c r="BC503" s="478">
        <f>IF(OR(C503="",D503=""),"",VLOOKUP(D503,'Base de Diseño (2)'!$A$2:$D$330,4,FALSE))</f>
        <v>965.4316</v>
      </c>
      <c r="BD503" s="23">
        <f t="shared" ca="1" si="1432"/>
        <v>3.9529999999999546</v>
      </c>
      <c r="BE503" s="23">
        <f t="shared" ca="1" si="1433"/>
        <v>0.65300000000000002</v>
      </c>
      <c r="BF503" s="494">
        <v>4.2999999999999545</v>
      </c>
      <c r="BG503" s="494">
        <v>1</v>
      </c>
      <c r="BH503" s="495">
        <f t="shared" si="1434"/>
        <v>964.46160000000009</v>
      </c>
      <c r="BI503" s="495">
        <f t="shared" si="1435"/>
        <v>964.4316</v>
      </c>
      <c r="BJ503" s="534">
        <f t="shared" si="1474"/>
        <v>2.9999999999972715E-2</v>
      </c>
      <c r="BK503" s="475">
        <f t="shared" si="1436"/>
        <v>9.4548551959115308</v>
      </c>
      <c r="BL503" s="475">
        <f t="shared" si="1437"/>
        <v>8.5178875639086896E-2</v>
      </c>
      <c r="BM503" s="475">
        <f t="shared" ca="1" si="1438"/>
        <v>0.39926702288616522</v>
      </c>
      <c r="BN503" s="475">
        <f t="shared" ca="1" si="1439"/>
        <v>28.222522783196499</v>
      </c>
      <c r="BO503" s="204">
        <f t="shared" ca="1" si="1440"/>
        <v>0.71134179612968873</v>
      </c>
      <c r="BP503" s="496">
        <f t="shared" ca="1" si="1441"/>
        <v>56.205818742201686</v>
      </c>
      <c r="BQ503" s="497">
        <f t="shared" ca="1" si="1442"/>
        <v>0.95251782356470194</v>
      </c>
      <c r="BR503" s="497" t="str">
        <f t="shared" ca="1" si="1443"/>
        <v xml:space="preserve"> </v>
      </c>
      <c r="BS503" s="475">
        <f t="shared" ca="1" si="1444"/>
        <v>0.38030895566068812</v>
      </c>
      <c r="BT503" s="475" t="e">
        <f t="shared" ca="1" si="1445"/>
        <v>#VALUE!</v>
      </c>
      <c r="BU503" s="475">
        <f t="shared" ca="1" si="1446"/>
        <v>0.69922786411017057</v>
      </c>
      <c r="BV503" s="475" t="str">
        <f t="shared" ca="1" si="1447"/>
        <v xml:space="preserve"> </v>
      </c>
      <c r="BW503" s="475">
        <f t="shared" ca="1" si="1448"/>
        <v>3.961257704974622</v>
      </c>
      <c r="BX503" s="475" t="e">
        <f t="shared" ca="1" si="1449"/>
        <v>#VALUE!</v>
      </c>
      <c r="BY503" s="475">
        <f t="shared" ca="1" si="1450"/>
        <v>0.29612911694376842</v>
      </c>
      <c r="BZ503" s="475" t="e">
        <f t="shared" ca="1" si="1451"/>
        <v>#VALUE!</v>
      </c>
      <c r="CA503" s="471">
        <f t="shared" ca="1" si="1452"/>
        <v>8.8838735083130532E-2</v>
      </c>
      <c r="CB503" s="471" t="e">
        <f t="shared" ca="1" si="1453"/>
        <v>#VALUE!</v>
      </c>
      <c r="CC503" s="471" t="e">
        <f t="shared" ca="1" si="1454"/>
        <v>#VALUE!</v>
      </c>
      <c r="CD503" s="471" t="e">
        <f t="shared" ca="1" si="1455"/>
        <v>#VALUE!</v>
      </c>
      <c r="CE503" s="471">
        <f t="shared" ca="1" si="1456"/>
        <v>7.5671835675797619E-2</v>
      </c>
      <c r="CF503" s="471" t="e">
        <f t="shared" ca="1" si="1457"/>
        <v>#VALUE!</v>
      </c>
      <c r="CG503" s="471" t="str">
        <f t="shared" ca="1" si="1458"/>
        <v>No cumple</v>
      </c>
      <c r="CH503" s="471" t="e">
        <f t="shared" ca="1" si="1459"/>
        <v>#VALUE!</v>
      </c>
      <c r="CI503" s="471" t="str">
        <f t="shared" ca="1" si="1460"/>
        <v>V.C.H.</v>
      </c>
      <c r="CJ503" s="471" t="e">
        <f t="shared" ca="1" si="1461"/>
        <v>#VALUE!</v>
      </c>
      <c r="CK503" s="468">
        <f t="shared" si="1462"/>
        <v>2.9999999999972715E-2</v>
      </c>
      <c r="CL503" s="482" t="s">
        <v>2507</v>
      </c>
      <c r="CM503" s="482"/>
      <c r="CN503" s="63" t="str">
        <f t="shared" si="1463"/>
        <v xml:space="preserve"> </v>
      </c>
      <c r="CO503" s="527">
        <f t="shared" si="1471"/>
        <v>35.22</v>
      </c>
      <c r="CP503" s="511">
        <f t="shared" si="1472"/>
        <v>9.454855195911531E-2</v>
      </c>
      <c r="CQ503" s="482" t="s">
        <v>2508</v>
      </c>
      <c r="CR503" s="204">
        <f t="shared" si="1464"/>
        <v>35.22</v>
      </c>
      <c r="CS503" s="486">
        <v>1.2</v>
      </c>
      <c r="CT503" s="486">
        <v>1.2</v>
      </c>
      <c r="CU503" s="23">
        <f t="shared" si="1465"/>
        <v>35.22001277682903</v>
      </c>
      <c r="CV503" s="499" t="s">
        <v>2509</v>
      </c>
      <c r="CW503" s="488" t="str">
        <f t="shared" ca="1" si="1466"/>
        <v>E3</v>
      </c>
      <c r="CX503" s="204">
        <f ca="1">IF(AND(L503="",H503=""),"",IF(AND(BA503&lt;&gt;4,BA503&lt;&gt;5),VLOOKUP(AY503,'TABLA (2)'!$A$9:$D$43,4),IF(BA503=4,VLOOKUP(AY503,'TABLA (2)'!$A$74:$D$89,4),VLOOKUP(AY503,'TABLA (2)'!$A$51:$D$66,4))))</f>
        <v>4.7E-2</v>
      </c>
      <c r="CY503" s="482"/>
      <c r="CZ503" s="482"/>
      <c r="DA503" s="482"/>
      <c r="DB503" s="490"/>
    </row>
    <row r="504" spans="1:106" ht="15" hidden="1" customHeight="1">
      <c r="A504" s="465">
        <f t="shared" si="1467"/>
        <v>372</v>
      </c>
      <c r="B504" s="491"/>
      <c r="C504" s="466" t="s">
        <v>2256</v>
      </c>
      <c r="D504" s="466" t="s">
        <v>2257</v>
      </c>
      <c r="E504" s="468"/>
      <c r="F504" s="468"/>
      <c r="G504" s="537">
        <f t="shared" si="1468"/>
        <v>15.019101196599999</v>
      </c>
      <c r="H504" s="537">
        <f t="shared" si="1469"/>
        <v>15.019101196599999</v>
      </c>
      <c r="I504" s="468"/>
      <c r="J504" s="468"/>
      <c r="K504" s="467">
        <f t="shared" ca="1" si="1402"/>
        <v>8.3914155765999983</v>
      </c>
      <c r="L504" s="468">
        <f t="shared" ca="1" si="1403"/>
        <v>8.3914155765999983</v>
      </c>
      <c r="M504" s="469">
        <f t="shared" si="1404"/>
        <v>242.33666300502347</v>
      </c>
      <c r="N504" s="470">
        <f t="shared" si="1405"/>
        <v>0</v>
      </c>
      <c r="O504" s="470">
        <f t="shared" si="1406"/>
        <v>0</v>
      </c>
      <c r="P504" s="470">
        <f t="shared" si="1407"/>
        <v>3639.6788653187987</v>
      </c>
      <c r="Q504" s="469">
        <f t="shared" si="1473"/>
        <v>140</v>
      </c>
      <c r="R504" s="471">
        <f t="shared" si="1408"/>
        <v>5.0129836223719559</v>
      </c>
      <c r="S504" s="471"/>
      <c r="T504" s="471"/>
      <c r="U504" s="471">
        <f t="shared" si="1409"/>
        <v>0</v>
      </c>
      <c r="V504" s="471"/>
      <c r="W504" s="471"/>
      <c r="X504" s="471">
        <f t="shared" si="1410"/>
        <v>0</v>
      </c>
      <c r="Y504" s="471">
        <f t="shared" si="1411"/>
        <v>3.00382023932</v>
      </c>
      <c r="Z504" s="471">
        <f t="shared" ca="1" si="1412"/>
        <v>0</v>
      </c>
      <c r="AA504" s="471">
        <f t="shared" si="1399"/>
        <v>3.4055646486457518</v>
      </c>
      <c r="AB504" s="471">
        <f t="shared" si="1413"/>
        <v>17.072039808590059</v>
      </c>
      <c r="AC504" s="471">
        <f t="shared" si="1414"/>
        <v>0</v>
      </c>
      <c r="AD504" s="471">
        <f t="shared" si="1415"/>
        <v>0</v>
      </c>
      <c r="AE504" s="471">
        <f t="shared" si="1416"/>
        <v>0</v>
      </c>
      <c r="AF504" s="471">
        <f>IF(N504="","",IF(1+((14/(4+(((N504+O504)+O504)/1000)^1/2)))&lt;1.4,1.4,IF(1+((14/(4+((N504+O504)/1000)^1/2)))&gt;=4,4,(1+((14/(4+((N504+O504)/1000)^1/2)))))))</f>
        <v>4</v>
      </c>
      <c r="AG504" s="471">
        <f t="shared" si="1417"/>
        <v>0</v>
      </c>
      <c r="AH504" s="471">
        <f t="shared" si="1418"/>
        <v>0</v>
      </c>
      <c r="AI504" s="471">
        <f t="shared" ca="1" si="1419"/>
        <v>20.075860047910059</v>
      </c>
      <c r="AJ504" s="471">
        <f t="shared" si="1420"/>
        <v>0.75</v>
      </c>
      <c r="AK504" s="472">
        <f t="shared" si="1421"/>
        <v>2.7013989387361423E-2</v>
      </c>
      <c r="AL504" s="471">
        <f t="shared" si="1422"/>
        <v>0.62885069946936811</v>
      </c>
      <c r="AM504" s="473">
        <f t="shared" si="1470"/>
        <v>297.18394350186668</v>
      </c>
      <c r="AN504" s="474">
        <f t="shared" si="1423"/>
        <v>14.208722222222221</v>
      </c>
      <c r="AO504" s="474">
        <f t="shared" si="1424"/>
        <v>0.23033333333333336</v>
      </c>
      <c r="AP504" s="474">
        <f t="shared" si="1425"/>
        <v>14.439055555555555</v>
      </c>
      <c r="AQ504" s="475">
        <v>3</v>
      </c>
      <c r="AR504" s="474" t="e">
        <f t="shared" ca="1" si="1426"/>
        <v>#VALUE!</v>
      </c>
      <c r="AS504" s="474" t="e">
        <f t="shared" ca="1" si="1427"/>
        <v>#VALUE!</v>
      </c>
      <c r="AT504" s="471" t="e">
        <f t="shared" ca="1" si="1428"/>
        <v>#VALUE!</v>
      </c>
      <c r="AU504" s="492">
        <f t="shared" si="1429"/>
        <v>0</v>
      </c>
      <c r="AV504" s="471">
        <f t="shared" ca="1" si="1430"/>
        <v>1568.2240840126808</v>
      </c>
      <c r="AW504" s="471">
        <f t="shared" ca="1" si="1431"/>
        <v>1568.22</v>
      </c>
      <c r="AX504" s="478">
        <f>IF(OR(C504="",D504=""),"",ROUND(((VLOOKUP(C504,'Base de Diseño (2)'!$A$2:$C$333,2,FALSE)-VLOOKUP(D504,'Base de Diseño (2)'!$A$2:$C$333,2,FALSE))^2+(VLOOKUP(C504,'Base de Diseño (2)'!$A$2:$C$333,3,0)-VLOOKUP(D504,'Base de Diseño (2)'!$A$2:$C$333,3,FALSE))^2)^0.5,2))</f>
        <v>41.46</v>
      </c>
      <c r="AY504" s="493">
        <v>12</v>
      </c>
      <c r="AZ504" s="480">
        <f ca="1">IF(AND(L504="",H504=""),"",IF(BA504=4,VLOOKUP(AY504,'TABLA (2)'!$A$74:$C$89,2),IF(BA504=5,VLOOKUP(AY504,'TABLA (2)'!$A$51:$B$66,2),IF(BA504=6,VLOOKUP(AY504,'TABLA (2)'!$A$9:$B$43,2)))))</f>
        <v>300</v>
      </c>
      <c r="BA504" s="493">
        <v>6</v>
      </c>
      <c r="BB504" s="478">
        <f>IF(OR(C504="",D504=""),"",VLOOKUP(C504,'Base de Diseño (2)'!$A$2:$D$330,4,FALSE))</f>
        <v>965.4316</v>
      </c>
      <c r="BC504" s="478">
        <f>IF(OR(C504="",D504=""),"",VLOOKUP(D504,'Base de Diseño (2)'!$A$2:$D$330,4,FALSE))</f>
        <v>964.3116</v>
      </c>
      <c r="BD504" s="23">
        <f t="shared" ca="1" si="1432"/>
        <v>0.68299999999997274</v>
      </c>
      <c r="BE504" s="23">
        <f t="shared" ca="1" si="1433"/>
        <v>0.3530000000000455</v>
      </c>
      <c r="BF504" s="494">
        <v>1.0299999999999727</v>
      </c>
      <c r="BG504" s="494">
        <v>0.70000000000004547</v>
      </c>
      <c r="BH504" s="495">
        <f t="shared" si="1434"/>
        <v>964.40160000000003</v>
      </c>
      <c r="BI504" s="495">
        <f t="shared" si="1435"/>
        <v>963.61159999999995</v>
      </c>
      <c r="BJ504" s="534">
        <f t="shared" si="1474"/>
        <v>0.52999999999997272</v>
      </c>
      <c r="BK504" s="475">
        <f t="shared" si="1436"/>
        <v>2.7013989387361423</v>
      </c>
      <c r="BL504" s="475">
        <f t="shared" si="1437"/>
        <v>1.905451037144422</v>
      </c>
      <c r="BM504" s="475">
        <f t="shared" ca="1" si="1438"/>
        <v>1.8884104138039211</v>
      </c>
      <c r="BN504" s="475">
        <f t="shared" ca="1" si="1439"/>
        <v>133.48386636679936</v>
      </c>
      <c r="BO504" s="204">
        <f t="shared" ca="1" si="1440"/>
        <v>0.15039915005715931</v>
      </c>
      <c r="BP504" s="496">
        <f t="shared" ca="1" si="1441"/>
        <v>11.748386098516951</v>
      </c>
      <c r="BQ504" s="497">
        <f t="shared" ca="1" si="1442"/>
        <v>0.60432423813081027</v>
      </c>
      <c r="BR504" s="497" t="str">
        <f t="shared" ca="1" si="1443"/>
        <v xml:space="preserve"> </v>
      </c>
      <c r="BS504" s="475">
        <f t="shared" ca="1" si="1444"/>
        <v>1.1412121846003427</v>
      </c>
      <c r="BT504" s="475" t="e">
        <f t="shared" ca="1" si="1445"/>
        <v>#VALUE!</v>
      </c>
      <c r="BU504" s="475">
        <f t="shared" ca="1" si="1446"/>
        <v>0.30715770373222284</v>
      </c>
      <c r="BV504" s="475" t="str">
        <f t="shared" ca="1" si="1447"/>
        <v xml:space="preserve"> </v>
      </c>
      <c r="BW504" s="475">
        <f t="shared" ca="1" si="1448"/>
        <v>2.3496932372085255</v>
      </c>
      <c r="BX504" s="475" t="e">
        <f t="shared" ca="1" si="1449"/>
        <v>#VALUE!</v>
      </c>
      <c r="BY504" s="475">
        <f t="shared" ca="1" si="1450"/>
        <v>0.17427853195190235</v>
      </c>
      <c r="BZ504" s="475" t="e">
        <f t="shared" ca="1" si="1451"/>
        <v>#VALUE!</v>
      </c>
      <c r="CA504" s="471">
        <f t="shared" ca="1" si="1452"/>
        <v>5.228355958557071E-2</v>
      </c>
      <c r="CB504" s="471" t="e">
        <f t="shared" ca="1" si="1453"/>
        <v>#VALUE!</v>
      </c>
      <c r="CC504" s="471" t="e">
        <f t="shared" ca="1" si="1454"/>
        <v>#VALUE!</v>
      </c>
      <c r="CD504" s="471" t="e">
        <f t="shared" ca="1" si="1455"/>
        <v>#VALUE!</v>
      </c>
      <c r="CE504" s="471">
        <f t="shared" ca="1" si="1456"/>
        <v>0.99623762837927887</v>
      </c>
      <c r="CF504" s="471" t="e">
        <f t="shared" ca="1" si="1457"/>
        <v>#VALUE!</v>
      </c>
      <c r="CG504" s="471" t="str">
        <f t="shared" ca="1" si="1458"/>
        <v>O.K</v>
      </c>
      <c r="CH504" s="471" t="e">
        <f t="shared" ca="1" si="1459"/>
        <v>#VALUE!</v>
      </c>
      <c r="CI504" s="471" t="str">
        <f t="shared" ca="1" si="1460"/>
        <v>OK</v>
      </c>
      <c r="CJ504" s="471" t="e">
        <f t="shared" ca="1" si="1461"/>
        <v>#VALUE!</v>
      </c>
      <c r="CK504" s="468">
        <f t="shared" si="1462"/>
        <v>0.52999999999997272</v>
      </c>
      <c r="CL504" s="482" t="s">
        <v>2507</v>
      </c>
      <c r="CM504" s="482"/>
      <c r="CN504" s="63" t="str">
        <f t="shared" si="1463"/>
        <v xml:space="preserve"> </v>
      </c>
      <c r="CO504" s="527">
        <f t="shared" si="1471"/>
        <v>41.46</v>
      </c>
      <c r="CP504" s="542">
        <f t="shared" si="1472"/>
        <v>2.7013989387361423E-2</v>
      </c>
      <c r="CQ504" s="482" t="s">
        <v>2508</v>
      </c>
      <c r="CR504" s="204">
        <f t="shared" si="1464"/>
        <v>41.46</v>
      </c>
      <c r="CS504" s="486">
        <v>1.2</v>
      </c>
      <c r="CT504" s="486">
        <v>1.2</v>
      </c>
      <c r="CU504" s="23">
        <f t="shared" si="1465"/>
        <v>41.467525848548043</v>
      </c>
      <c r="CV504" s="499" t="s">
        <v>2509</v>
      </c>
      <c r="CW504" s="488" t="str">
        <f t="shared" ca="1" si="1466"/>
        <v>E1</v>
      </c>
      <c r="CX504" s="204">
        <f ca="1">IF(AND(L504="",H504=""),"",IF(AND(BA504&lt;&gt;4,BA504&lt;&gt;5),VLOOKUP(AY504,'TABLA (2)'!$A$9:$D$43,4),IF(BA504=4,VLOOKUP(AY504,'TABLA (2)'!$A$74:$D$89,4),VLOOKUP(AY504,'TABLA (2)'!$A$51:$D$66,4))))</f>
        <v>4.7E-2</v>
      </c>
      <c r="CY504" s="482"/>
      <c r="CZ504" s="482"/>
      <c r="DA504" s="482"/>
      <c r="DB504" s="490"/>
    </row>
    <row r="505" spans="1:106" ht="15" hidden="1" customHeight="1">
      <c r="A505" s="465">
        <f t="shared" si="1467"/>
        <v>373</v>
      </c>
      <c r="B505" s="491"/>
      <c r="C505" s="466" t="s">
        <v>2257</v>
      </c>
      <c r="D505" s="466" t="s">
        <v>2258</v>
      </c>
      <c r="E505" s="468"/>
      <c r="F505" s="468"/>
      <c r="G505" s="537">
        <f t="shared" si="1468"/>
        <v>15.019101196599999</v>
      </c>
      <c r="H505" s="537">
        <f t="shared" si="1469"/>
        <v>15.019101196599999</v>
      </c>
      <c r="I505" s="468"/>
      <c r="J505" s="468"/>
      <c r="K505" s="467">
        <f t="shared" ca="1" si="1402"/>
        <v>8.3914155765999983</v>
      </c>
      <c r="L505" s="468">
        <f t="shared" ca="1" si="1403"/>
        <v>8.3914155765999983</v>
      </c>
      <c r="M505" s="469">
        <f t="shared" si="1404"/>
        <v>242.33666300502347</v>
      </c>
      <c r="N505" s="470">
        <f t="shared" si="1405"/>
        <v>0</v>
      </c>
      <c r="O505" s="470">
        <f t="shared" si="1406"/>
        <v>0</v>
      </c>
      <c r="P505" s="470">
        <f t="shared" si="1407"/>
        <v>3639.6788653187987</v>
      </c>
      <c r="Q505" s="469">
        <f t="shared" si="1473"/>
        <v>140</v>
      </c>
      <c r="R505" s="471">
        <f t="shared" si="1408"/>
        <v>5.0129836223719559</v>
      </c>
      <c r="S505" s="471"/>
      <c r="T505" s="471"/>
      <c r="U505" s="471">
        <f t="shared" si="1409"/>
        <v>0</v>
      </c>
      <c r="V505" s="471"/>
      <c r="W505" s="471"/>
      <c r="X505" s="471">
        <f t="shared" si="1410"/>
        <v>0</v>
      </c>
      <c r="Y505" s="471">
        <f t="shared" si="1411"/>
        <v>3.00382023932</v>
      </c>
      <c r="Z505" s="471">
        <f t="shared" ca="1" si="1412"/>
        <v>0</v>
      </c>
      <c r="AA505" s="471">
        <f t="shared" si="1399"/>
        <v>3.4055646486457518</v>
      </c>
      <c r="AB505" s="471">
        <f t="shared" si="1413"/>
        <v>17.072039808590059</v>
      </c>
      <c r="AC505" s="471">
        <f t="shared" si="1414"/>
        <v>0</v>
      </c>
      <c r="AD505" s="471">
        <f t="shared" si="1415"/>
        <v>0</v>
      </c>
      <c r="AE505" s="471">
        <f t="shared" si="1416"/>
        <v>0</v>
      </c>
      <c r="AF505" s="471">
        <f>IF(N505="","",IF(1+((14/(4+(((N505+O505)+O505)/1000)^1/2)))&lt;1.4,1.4,IF(1+((14/(4+((N505+O505)/1000)^1/2)))&gt;=4,4,(1+((14/(4+((N505+O505)/1000)^1/2)))))))</f>
        <v>4</v>
      </c>
      <c r="AG505" s="471">
        <f t="shared" si="1417"/>
        <v>0</v>
      </c>
      <c r="AH505" s="471">
        <f t="shared" si="1418"/>
        <v>0</v>
      </c>
      <c r="AI505" s="471">
        <f t="shared" ca="1" si="1419"/>
        <v>20.075860047910059</v>
      </c>
      <c r="AJ505" s="471">
        <f t="shared" si="1420"/>
        <v>0.75</v>
      </c>
      <c r="AK505" s="472">
        <f t="shared" si="1421"/>
        <v>1.0586011342153978E-2</v>
      </c>
      <c r="AL505" s="471">
        <f t="shared" si="1422"/>
        <v>0.62802930056710771</v>
      </c>
      <c r="AM505" s="473">
        <f t="shared" si="1470"/>
        <v>296.0374190283876</v>
      </c>
      <c r="AN505" s="474">
        <f t="shared" si="1423"/>
        <v>14.439055555555555</v>
      </c>
      <c r="AO505" s="474">
        <f t="shared" si="1424"/>
        <v>0.14694444444444443</v>
      </c>
      <c r="AP505" s="474">
        <f t="shared" si="1425"/>
        <v>14.586</v>
      </c>
      <c r="AQ505" s="475">
        <v>3</v>
      </c>
      <c r="AR505" s="474" t="e">
        <f t="shared" ca="1" si="1426"/>
        <v>#VALUE!</v>
      </c>
      <c r="AS505" s="474" t="e">
        <f t="shared" ca="1" si="1427"/>
        <v>#VALUE!</v>
      </c>
      <c r="AT505" s="471" t="e">
        <f t="shared" ca="1" si="1428"/>
        <v>#VALUE!</v>
      </c>
      <c r="AU505" s="492">
        <f t="shared" si="1429"/>
        <v>0</v>
      </c>
      <c r="AV505" s="471">
        <f t="shared" ca="1" si="1430"/>
        <v>1560.1334375128852</v>
      </c>
      <c r="AW505" s="471">
        <f t="shared" ca="1" si="1431"/>
        <v>1560.13</v>
      </c>
      <c r="AX505" s="478">
        <f>IF(OR(C505="",D505=""),"",ROUND(((VLOOKUP(C505,'Base de Diseño (2)'!$A$2:$C$333,2,FALSE)-VLOOKUP(D505,'Base de Diseño (2)'!$A$2:$C$333,2,FALSE))^2+(VLOOKUP(C505,'Base de Diseño (2)'!$A$2:$C$333,3,0)-VLOOKUP(D505,'Base de Diseño (2)'!$A$2:$C$333,3,FALSE))^2)^0.5,2))</f>
        <v>26.45</v>
      </c>
      <c r="AY505" s="493">
        <v>12</v>
      </c>
      <c r="AZ505" s="480">
        <f ca="1">IF(AND(L505="",H505=""),"",IF(BA505=4,VLOOKUP(AY505,'TABLA (2)'!$A$74:$C$89,2),IF(BA505=5,VLOOKUP(AY505,'TABLA (2)'!$A$51:$B$66,2),IF(BA505=6,VLOOKUP(AY505,'TABLA (2)'!$A$9:$B$43,2)))))</f>
        <v>300</v>
      </c>
      <c r="BA505" s="493">
        <v>6</v>
      </c>
      <c r="BB505" s="478">
        <f>IF(OR(C505="",D505=""),"",VLOOKUP(C505,'Base de Diseño (2)'!$A$2:$D$330,4,FALSE))</f>
        <v>964.3116</v>
      </c>
      <c r="BC505" s="478">
        <f>IF(OR(C505="",D505=""),"",VLOOKUP(D505,'Base de Diseño (2)'!$A$2:$D$330,4,FALSE))</f>
        <v>964.03160000000003</v>
      </c>
      <c r="BD505" s="23">
        <f t="shared" ca="1" si="1432"/>
        <v>0.88300000000001821</v>
      </c>
      <c r="BE505" s="23">
        <f t="shared" ca="1" si="1433"/>
        <v>0.87300000000002731</v>
      </c>
      <c r="BF505" s="494">
        <v>1.2300000000000182</v>
      </c>
      <c r="BG505" s="494">
        <v>1.2200000000000273</v>
      </c>
      <c r="BH505" s="495">
        <f t="shared" si="1434"/>
        <v>963.08159999999998</v>
      </c>
      <c r="BI505" s="495">
        <f t="shared" si="1435"/>
        <v>962.8116</v>
      </c>
      <c r="BJ505" s="534">
        <f t="shared" si="1474"/>
        <v>9.9999999999909051E-3</v>
      </c>
      <c r="BK505" s="475">
        <f t="shared" si="1436"/>
        <v>1.0586011342153978</v>
      </c>
      <c r="BL505" s="475">
        <f t="shared" si="1437"/>
        <v>1.020793950850593</v>
      </c>
      <c r="BM505" s="475">
        <f t="shared" ca="1" si="1438"/>
        <v>1.3821861403872457</v>
      </c>
      <c r="BN505" s="475">
        <f t="shared" ca="1" si="1439"/>
        <v>97.700981052019543</v>
      </c>
      <c r="BO505" s="204">
        <f t="shared" ca="1" si="1440"/>
        <v>0.20548268637365005</v>
      </c>
      <c r="BP505" s="496">
        <f t="shared" ca="1" si="1441"/>
        <v>15.96841693093471</v>
      </c>
      <c r="BQ505" s="497">
        <f t="shared" ca="1" si="1442"/>
        <v>0.66004013285329621</v>
      </c>
      <c r="BR505" s="497" t="str">
        <f t="shared" ca="1" si="1443"/>
        <v xml:space="preserve"> </v>
      </c>
      <c r="BS505" s="475">
        <f t="shared" ca="1" si="1444"/>
        <v>0.9122983237291824</v>
      </c>
      <c r="BT505" s="475" t="e">
        <f t="shared" ca="1" si="1445"/>
        <v>#VALUE!</v>
      </c>
      <c r="BU505" s="475">
        <f t="shared" ca="1" si="1446"/>
        <v>0.35543790164311145</v>
      </c>
      <c r="BV505" s="475" t="str">
        <f t="shared" ca="1" si="1447"/>
        <v xml:space="preserve"> </v>
      </c>
      <c r="BW505" s="475">
        <f t="shared" ca="1" si="1448"/>
        <v>2.5549689835870359</v>
      </c>
      <c r="BX505" s="475" t="e">
        <f t="shared" ca="1" si="1449"/>
        <v>#VALUE!</v>
      </c>
      <c r="BY505" s="475">
        <f t="shared" ca="1" si="1450"/>
        <v>0.19583570967851416</v>
      </c>
      <c r="BZ505" s="475" t="e">
        <f t="shared" ca="1" si="1451"/>
        <v>#VALUE!</v>
      </c>
      <c r="CA505" s="471">
        <f t="shared" ca="1" si="1452"/>
        <v>5.8750712903554242E-2</v>
      </c>
      <c r="CB505" s="471" t="e">
        <f t="shared" ca="1" si="1453"/>
        <v>#VALUE!</v>
      </c>
      <c r="CC505" s="471" t="e">
        <f t="shared" ca="1" si="1454"/>
        <v>#VALUE!</v>
      </c>
      <c r="CD505" s="471" t="e">
        <f t="shared" ca="1" si="1455"/>
        <v>#VALUE!</v>
      </c>
      <c r="CE505" s="471">
        <f t="shared" ca="1" si="1456"/>
        <v>0.59972372340108049</v>
      </c>
      <c r="CF505" s="471" t="e">
        <f t="shared" ca="1" si="1457"/>
        <v>#VALUE!</v>
      </c>
      <c r="CG505" s="471" t="str">
        <f t="shared" ca="1" si="1458"/>
        <v>O.K</v>
      </c>
      <c r="CH505" s="471" t="e">
        <f t="shared" ca="1" si="1459"/>
        <v>#VALUE!</v>
      </c>
      <c r="CI505" s="471" t="str">
        <f t="shared" ca="1" si="1460"/>
        <v>OK</v>
      </c>
      <c r="CJ505" s="471" t="e">
        <f t="shared" ca="1" si="1461"/>
        <v>#VALUE!</v>
      </c>
      <c r="CK505" s="468">
        <f t="shared" si="1462"/>
        <v>9.9999999999909051E-3</v>
      </c>
      <c r="CL505" s="482" t="s">
        <v>2507</v>
      </c>
      <c r="CM505" s="482"/>
      <c r="CN505" s="63" t="str">
        <f t="shared" si="1463"/>
        <v xml:space="preserve"> </v>
      </c>
      <c r="CO505" s="527">
        <f t="shared" si="1471"/>
        <v>26.45</v>
      </c>
      <c r="CP505" s="511">
        <f t="shared" si="1472"/>
        <v>1.0586011342153978E-2</v>
      </c>
      <c r="CQ505" s="482" t="s">
        <v>2508</v>
      </c>
      <c r="CR505" s="204">
        <f t="shared" si="1464"/>
        <v>26.45</v>
      </c>
      <c r="CS505" s="486">
        <v>1.2</v>
      </c>
      <c r="CT505" s="486">
        <v>1.2</v>
      </c>
      <c r="CU505" s="23">
        <f t="shared" si="1465"/>
        <v>26.451378035936049</v>
      </c>
      <c r="CV505" s="499" t="s">
        <v>2509</v>
      </c>
      <c r="CW505" s="488" t="str">
        <f t="shared" ca="1" si="1466"/>
        <v>E1</v>
      </c>
      <c r="CX505" s="204">
        <f ca="1">IF(AND(L505="",H505=""),"",IF(AND(BA505&lt;&gt;4,BA505&lt;&gt;5),VLOOKUP(AY505,'TABLA (2)'!$A$9:$D$43,4),IF(BA505=4,VLOOKUP(AY505,'TABLA (2)'!$A$74:$D$89,4),VLOOKUP(AY505,'TABLA (2)'!$A$51:$D$66,4))))</f>
        <v>4.7E-2</v>
      </c>
      <c r="CY505" s="482"/>
      <c r="CZ505" s="482"/>
      <c r="DA505" s="482"/>
      <c r="DB505" s="490"/>
    </row>
    <row r="506" spans="1:106" ht="15.75" hidden="1" customHeight="1">
      <c r="A506" s="465">
        <f t="shared" si="1467"/>
        <v>374</v>
      </c>
      <c r="B506" s="491"/>
      <c r="C506" s="466" t="s">
        <v>2258</v>
      </c>
      <c r="D506" s="466" t="s">
        <v>2533</v>
      </c>
      <c r="E506" s="468"/>
      <c r="F506" s="468"/>
      <c r="G506" s="537">
        <f t="shared" si="1468"/>
        <v>15.019101196599999</v>
      </c>
      <c r="H506" s="537">
        <f t="shared" si="1469"/>
        <v>15.019101196599999</v>
      </c>
      <c r="I506" s="468"/>
      <c r="J506" s="468"/>
      <c r="K506" s="467">
        <f t="shared" ca="1" si="1402"/>
        <v>8.3914155765999983</v>
      </c>
      <c r="L506" s="468">
        <f t="shared" ca="1" si="1403"/>
        <v>8.3914155765999983</v>
      </c>
      <c r="M506" s="469">
        <f t="shared" si="1404"/>
        <v>242.33666300502347</v>
      </c>
      <c r="N506" s="470">
        <f t="shared" si="1405"/>
        <v>0</v>
      </c>
      <c r="O506" s="470">
        <f t="shared" si="1406"/>
        <v>0</v>
      </c>
      <c r="P506" s="470">
        <f t="shared" si="1407"/>
        <v>3639.6788653187987</v>
      </c>
      <c r="Q506" s="469">
        <f t="shared" si="1473"/>
        <v>140</v>
      </c>
      <c r="R506" s="471">
        <f t="shared" si="1408"/>
        <v>5.0129836223719559</v>
      </c>
      <c r="S506" s="471"/>
      <c r="T506" s="471"/>
      <c r="U506" s="471">
        <f t="shared" si="1409"/>
        <v>0</v>
      </c>
      <c r="V506" s="471"/>
      <c r="W506" s="471"/>
      <c r="X506" s="471">
        <f t="shared" si="1410"/>
        <v>0</v>
      </c>
      <c r="Y506" s="471">
        <f t="shared" si="1411"/>
        <v>3.00382023932</v>
      </c>
      <c r="Z506" s="471">
        <f t="shared" ca="1" si="1412"/>
        <v>0</v>
      </c>
      <c r="AA506" s="471">
        <f t="shared" si="1399"/>
        <v>3.4055646486457518</v>
      </c>
      <c r="AB506" s="471">
        <f t="shared" si="1413"/>
        <v>17.072039808590059</v>
      </c>
      <c r="AC506" s="471">
        <f t="shared" si="1414"/>
        <v>0</v>
      </c>
      <c r="AD506" s="471">
        <f t="shared" si="1415"/>
        <v>0</v>
      </c>
      <c r="AE506" s="471">
        <f t="shared" si="1416"/>
        <v>0</v>
      </c>
      <c r="AF506" s="471">
        <f>IF(N506="","",IF(1+((14/(4+(((N506+O506)+O506)/1000)^1/2)))&lt;1.4,1.4,IF(1+((14/(4+((N506+O506)/1000)^1/2)))&gt;=4,4,(1+((14/(4+((N506+O506)/1000)^1/2)))))))</f>
        <v>4</v>
      </c>
      <c r="AG506" s="471">
        <f t="shared" si="1417"/>
        <v>0</v>
      </c>
      <c r="AH506" s="471">
        <f t="shared" si="1418"/>
        <v>0</v>
      </c>
      <c r="AI506" s="471">
        <f t="shared" ca="1" si="1419"/>
        <v>20.075860047910059</v>
      </c>
      <c r="AJ506" s="471">
        <f t="shared" si="1420"/>
        <v>0.75</v>
      </c>
      <c r="AK506" s="472" t="e">
        <f t="shared" si="1421"/>
        <v>#N/A</v>
      </c>
      <c r="AL506" s="471" t="e">
        <f t="shared" si="1422"/>
        <v>#N/A</v>
      </c>
      <c r="AM506" s="473" t="e">
        <f t="shared" si="1470"/>
        <v>#N/A</v>
      </c>
      <c r="AN506" s="474">
        <f t="shared" si="1423"/>
        <v>14.586</v>
      </c>
      <c r="AO506" s="474" t="e">
        <f t="shared" si="1424"/>
        <v>#N/A</v>
      </c>
      <c r="AP506" s="474" t="e">
        <f t="shared" si="1425"/>
        <v>#N/A</v>
      </c>
      <c r="AQ506" s="475">
        <v>3</v>
      </c>
      <c r="AR506" s="474" t="e">
        <f t="shared" ca="1" si="1426"/>
        <v>#N/A</v>
      </c>
      <c r="AS506" s="474" t="e">
        <f t="shared" ca="1" si="1427"/>
        <v>#N/A</v>
      </c>
      <c r="AT506" s="471" t="e">
        <f t="shared" ca="1" si="1428"/>
        <v>#N/A</v>
      </c>
      <c r="AU506" s="492" t="e">
        <f t="shared" si="1429"/>
        <v>#N/A</v>
      </c>
      <c r="AV506" s="471" t="e">
        <f t="shared" ca="1" si="1430"/>
        <v>#N/A</v>
      </c>
      <c r="AW506" s="471" t="e">
        <f t="shared" ca="1" si="1431"/>
        <v>#N/A</v>
      </c>
      <c r="AX506" s="478" t="e">
        <f>IF(OR(C506="",D506=""),"",ROUND(((VLOOKUP(C506,'Base de Diseño (2)'!$A$2:$C$333,2,FALSE)-VLOOKUP(D506,'Base de Diseño (2)'!$A$2:$C$333,2,FALSE))^2+(VLOOKUP(C506,'Base de Diseño (2)'!$A$2:$C$333,3,0)-VLOOKUP(D506,'Base de Diseño (2)'!$A$2:$C$333,3,FALSE))^2)^0.5,2))</f>
        <v>#N/A</v>
      </c>
      <c r="AY506" s="493">
        <v>12.36</v>
      </c>
      <c r="AZ506" s="480" t="b">
        <f ca="1">IF(AND(L506="",H506=""),"",IF(BA506=4,VLOOKUP(AY506,'TABLA (2)'!$A$74:$C$89,2),IF(BA506=5,VLOOKUP(AY506,'TABLA (2)'!$A$51:$B$66,2),IF(BA506=6,VLOOKUP(AY506,'TABLA (2)'!$A$9:$B$43,2)))))</f>
        <v>0</v>
      </c>
      <c r="BA506" s="493">
        <v>7</v>
      </c>
      <c r="BB506" s="478">
        <f>IF(OR(C506="",D506=""),"",VLOOKUP(C506,'Base de Diseño (2)'!$A$2:$D$330,4,FALSE))</f>
        <v>964.03160000000003</v>
      </c>
      <c r="BC506" s="478" t="e">
        <f>IF(OR(C506="",D506=""),"",VLOOKUP(D506,'Base de Diseño (2)'!$A$2:$D$330,4,FALSE))</f>
        <v>#N/A</v>
      </c>
      <c r="BD506" s="23">
        <f t="shared" ca="1" si="1432"/>
        <v>1.1830000000000183</v>
      </c>
      <c r="BE506" s="23">
        <f t="shared" ca="1" si="1433"/>
        <v>1.1730000000000274</v>
      </c>
      <c r="BF506" s="494">
        <v>1.2300000000000182</v>
      </c>
      <c r="BG506" s="494">
        <v>1.2200000000000273</v>
      </c>
      <c r="BH506" s="495">
        <f t="shared" si="1434"/>
        <v>962.80160000000001</v>
      </c>
      <c r="BI506" s="495" t="e">
        <f t="shared" si="1435"/>
        <v>#N/A</v>
      </c>
      <c r="BJ506" s="534" t="e">
        <f t="shared" si="1474"/>
        <v>#N/A</v>
      </c>
      <c r="BK506" s="475" t="e">
        <f t="shared" si="1436"/>
        <v>#N/A</v>
      </c>
      <c r="BL506" s="475" t="e">
        <f t="shared" si="1437"/>
        <v>#N/A</v>
      </c>
      <c r="BM506" s="475" t="e">
        <f t="shared" ca="1" si="1438"/>
        <v>#N/A</v>
      </c>
      <c r="BN506" s="475" t="e">
        <f t="shared" ca="1" si="1439"/>
        <v>#N/A</v>
      </c>
      <c r="BO506" s="204" t="e">
        <f t="shared" ca="1" si="1440"/>
        <v>#N/A</v>
      </c>
      <c r="BP506" s="496" t="e">
        <f t="shared" ca="1" si="1441"/>
        <v>#N/A</v>
      </c>
      <c r="BQ506" s="497" t="e">
        <f t="shared" ca="1" si="1442"/>
        <v>#N/A</v>
      </c>
      <c r="BR506" s="497" t="e">
        <f t="shared" ca="1" si="1443"/>
        <v>#N/A</v>
      </c>
      <c r="BS506" s="475" t="e">
        <f t="shared" ca="1" si="1444"/>
        <v>#N/A</v>
      </c>
      <c r="BT506" s="475" t="e">
        <f t="shared" ca="1" si="1445"/>
        <v>#N/A</v>
      </c>
      <c r="BU506" s="475" t="e">
        <f t="shared" ca="1" si="1446"/>
        <v>#N/A</v>
      </c>
      <c r="BV506" s="475" t="e">
        <f t="shared" ca="1" si="1447"/>
        <v>#N/A</v>
      </c>
      <c r="BW506" s="475" t="e">
        <f t="shared" ca="1" si="1448"/>
        <v>#N/A</v>
      </c>
      <c r="BX506" s="475" t="e">
        <f t="shared" ca="1" si="1449"/>
        <v>#N/A</v>
      </c>
      <c r="BY506" s="475" t="e">
        <f t="shared" ca="1" si="1450"/>
        <v>#N/A</v>
      </c>
      <c r="BZ506" s="475" t="e">
        <f t="shared" ca="1" si="1451"/>
        <v>#N/A</v>
      </c>
      <c r="CA506" s="471" t="e">
        <f t="shared" ca="1" si="1452"/>
        <v>#N/A</v>
      </c>
      <c r="CB506" s="471" t="e">
        <f t="shared" ca="1" si="1453"/>
        <v>#N/A</v>
      </c>
      <c r="CC506" s="471" t="e">
        <f t="shared" ca="1" si="1454"/>
        <v>#N/A</v>
      </c>
      <c r="CD506" s="471" t="e">
        <f t="shared" ca="1" si="1455"/>
        <v>#N/A</v>
      </c>
      <c r="CE506" s="471" t="e">
        <f t="shared" ca="1" si="1456"/>
        <v>#N/A</v>
      </c>
      <c r="CF506" s="471" t="e">
        <f t="shared" ca="1" si="1457"/>
        <v>#N/A</v>
      </c>
      <c r="CG506" s="471" t="e">
        <f t="shared" ca="1" si="1458"/>
        <v>#N/A</v>
      </c>
      <c r="CH506" s="471" t="e">
        <f t="shared" ca="1" si="1459"/>
        <v>#N/A</v>
      </c>
      <c r="CI506" s="471" t="e">
        <f t="shared" ca="1" si="1460"/>
        <v>#N/A</v>
      </c>
      <c r="CJ506" s="471" t="e">
        <f t="shared" ca="1" si="1461"/>
        <v>#N/A</v>
      </c>
      <c r="CK506" s="468" t="e">
        <f t="shared" si="1462"/>
        <v>#N/A</v>
      </c>
      <c r="CL506" s="482" t="s">
        <v>2507</v>
      </c>
      <c r="CM506" s="482"/>
      <c r="CN506" s="63" t="str">
        <f t="shared" si="1463"/>
        <v xml:space="preserve"> </v>
      </c>
      <c r="CO506" s="527" t="e">
        <f t="shared" si="1471"/>
        <v>#N/A</v>
      </c>
      <c r="CP506" s="542" t="e">
        <f t="shared" si="1472"/>
        <v>#N/A</v>
      </c>
      <c r="CQ506" s="482" t="s">
        <v>2508</v>
      </c>
      <c r="CR506" s="204" t="e">
        <f t="shared" si="1464"/>
        <v>#N/A</v>
      </c>
      <c r="CS506" s="486">
        <v>1.2</v>
      </c>
      <c r="CT506" s="486">
        <v>1.2</v>
      </c>
      <c r="CU506" s="23" t="e">
        <f t="shared" si="1465"/>
        <v>#N/A</v>
      </c>
      <c r="CV506" s="499" t="s">
        <v>2509</v>
      </c>
      <c r="CW506" s="488" t="str">
        <f t="shared" ca="1" si="1466"/>
        <v>E2</v>
      </c>
      <c r="CX506" s="204">
        <f ca="1">IF(AND(L506="",H506=""),"",IF(AND(BA506&lt;&gt;4,BA506&lt;&gt;5),VLOOKUP(AY506,'TABLA (2)'!$A$9:$D$43,4),IF(BA506=4,VLOOKUP(AY506,'TABLA (2)'!$A$74:$D$89,4),VLOOKUP(AY506,'TABLA (2)'!$A$51:$D$66,4))))</f>
        <v>4.7E-2</v>
      </c>
      <c r="CY506" s="482"/>
      <c r="CZ506" s="482"/>
      <c r="DA506" s="482"/>
      <c r="DB506" s="490"/>
    </row>
    <row r="507" spans="1:106" ht="15.75" customHeight="1">
      <c r="A507" s="402"/>
      <c r="B507" s="500"/>
      <c r="C507" s="627"/>
      <c r="D507" s="627"/>
      <c r="E507" s="628"/>
      <c r="F507" s="1374"/>
      <c r="G507" s="629"/>
      <c r="H507" s="629"/>
      <c r="I507" s="630"/>
      <c r="J507" s="631"/>
      <c r="K507" s="628"/>
      <c r="L507" s="629"/>
      <c r="M507" s="632"/>
      <c r="N507" s="633"/>
      <c r="O507" s="633"/>
      <c r="P507" s="633"/>
      <c r="Q507" s="632"/>
      <c r="R507" s="634"/>
      <c r="S507" s="634"/>
      <c r="T507" s="634"/>
      <c r="U507" s="634"/>
      <c r="V507" s="634"/>
      <c r="W507" s="634"/>
      <c r="X507" s="634"/>
      <c r="Y507" s="634"/>
      <c r="Z507" s="634"/>
      <c r="AA507" s="634"/>
      <c r="AB507" s="634"/>
      <c r="AC507" s="634"/>
      <c r="AD507" s="634"/>
      <c r="AE507" s="634"/>
      <c r="AF507" s="634"/>
      <c r="AG507" s="634"/>
      <c r="AH507" s="634"/>
      <c r="AI507" s="634"/>
      <c r="AJ507" s="634"/>
      <c r="AK507" s="635"/>
      <c r="AL507" s="634"/>
      <c r="AM507" s="636"/>
      <c r="AN507" s="637"/>
      <c r="AO507" s="637"/>
      <c r="AP507" s="637"/>
      <c r="AQ507" s="638"/>
      <c r="AR507" s="637"/>
      <c r="AS507" s="637"/>
      <c r="AT507" s="634"/>
      <c r="AU507" s="639"/>
      <c r="AV507" s="634"/>
      <c r="AW507" s="634"/>
      <c r="AX507" s="490"/>
      <c r="AY507" s="640"/>
      <c r="AZ507" s="28"/>
      <c r="BA507" s="640"/>
      <c r="BB507" s="490"/>
      <c r="BC507" s="490"/>
      <c r="BD507" s="402"/>
      <c r="BE507" s="402"/>
      <c r="BF507" s="402"/>
      <c r="BG507" s="641"/>
      <c r="BH507" s="642"/>
      <c r="BI507" s="642"/>
      <c r="BJ507" s="629"/>
      <c r="BK507" s="638"/>
      <c r="BL507" s="638"/>
      <c r="BM507" s="638"/>
      <c r="BN507" s="638"/>
      <c r="BO507" s="643"/>
      <c r="BP507" s="644"/>
      <c r="BQ507" s="645"/>
      <c r="BR507" s="645"/>
      <c r="BS507" s="638"/>
      <c r="BT507" s="638"/>
      <c r="BU507" s="638"/>
      <c r="BV507" s="638"/>
      <c r="BW507" s="638"/>
      <c r="BX507" s="638"/>
      <c r="BY507" s="638"/>
      <c r="BZ507" s="638"/>
      <c r="CA507" s="634"/>
      <c r="CB507" s="634"/>
      <c r="CC507" s="634"/>
      <c r="CD507" s="634"/>
      <c r="CE507" s="634"/>
      <c r="CF507" s="634"/>
      <c r="CG507" s="634"/>
      <c r="CH507" s="634"/>
      <c r="CI507" s="634"/>
      <c r="CJ507" s="634"/>
      <c r="CK507" s="629"/>
      <c r="CM507" s="400"/>
      <c r="CN507" s="403"/>
      <c r="CO507" s="646"/>
      <c r="CP507" s="635"/>
      <c r="CR507" s="643"/>
      <c r="CS507" s="647"/>
      <c r="CT507" s="647"/>
      <c r="CU507" s="404"/>
      <c r="CV507" s="648"/>
      <c r="CW507" s="406"/>
      <c r="CX507" s="643"/>
      <c r="DA507" s="400"/>
      <c r="DB507" s="490"/>
    </row>
    <row r="508" spans="1:106" ht="15.75" customHeight="1">
      <c r="A508" s="402"/>
      <c r="B508" s="500"/>
      <c r="C508" s="627"/>
      <c r="D508" s="627"/>
      <c r="E508" s="628"/>
      <c r="F508" s="1374"/>
      <c r="G508" s="629"/>
      <c r="H508" s="629"/>
      <c r="I508" s="630"/>
      <c r="J508" s="631"/>
      <c r="K508" s="628"/>
      <c r="L508" s="629"/>
      <c r="M508" s="632"/>
      <c r="N508" s="633"/>
      <c r="O508" s="633"/>
      <c r="P508" s="633"/>
      <c r="Q508" s="632"/>
      <c r="R508" s="634"/>
      <c r="S508" s="634"/>
      <c r="T508" s="634"/>
      <c r="U508" s="634"/>
      <c r="V508" s="634"/>
      <c r="W508" s="634"/>
      <c r="X508" s="634"/>
      <c r="Y508" s="634"/>
      <c r="Z508" s="634"/>
      <c r="AA508" s="634"/>
      <c r="AB508" s="634"/>
      <c r="AC508" s="634"/>
      <c r="AD508" s="634"/>
      <c r="AE508" s="634"/>
      <c r="AF508" s="634"/>
      <c r="AG508" s="634"/>
      <c r="AH508" s="634"/>
      <c r="AI508" s="634"/>
      <c r="AJ508" s="634"/>
      <c r="AK508" s="635"/>
      <c r="AL508" s="634"/>
      <c r="AM508" s="636"/>
      <c r="AN508" s="637"/>
      <c r="AO508" s="637"/>
      <c r="AP508" s="637"/>
      <c r="AQ508" s="638"/>
      <c r="AR508" s="637"/>
      <c r="AS508" s="637"/>
      <c r="AT508" s="634"/>
      <c r="AU508" s="639"/>
      <c r="AV508" s="634"/>
      <c r="AW508" s="634"/>
      <c r="AX508" s="490"/>
      <c r="AY508" s="640"/>
      <c r="AZ508" s="28"/>
      <c r="BA508" s="640"/>
      <c r="BB508" s="490"/>
      <c r="BC508" s="490"/>
      <c r="BD508" s="402"/>
      <c r="BE508" s="402"/>
      <c r="BF508" s="402"/>
      <c r="BG508" s="641"/>
      <c r="BH508" s="642"/>
      <c r="BI508" s="642"/>
      <c r="BJ508" s="629"/>
      <c r="BK508" s="638"/>
      <c r="BL508" s="638"/>
      <c r="BM508" s="638"/>
      <c r="BN508" s="638"/>
      <c r="BO508" s="643"/>
      <c r="BP508" s="644"/>
      <c r="BQ508" s="645"/>
      <c r="BR508" s="645"/>
      <c r="BS508" s="638"/>
      <c r="BT508" s="638"/>
      <c r="BU508" s="638"/>
      <c r="BV508" s="638"/>
      <c r="BW508" s="638"/>
      <c r="BX508" s="638"/>
      <c r="BY508" s="638"/>
      <c r="BZ508" s="638"/>
      <c r="CA508" s="634"/>
      <c r="CB508" s="634"/>
      <c r="CC508" s="634"/>
      <c r="CD508" s="634"/>
      <c r="CE508" s="634"/>
      <c r="CF508" s="634"/>
      <c r="CG508" s="634"/>
      <c r="CH508" s="634"/>
      <c r="CI508" s="634"/>
      <c r="CJ508" s="634"/>
      <c r="CK508" s="629"/>
      <c r="CM508" s="400"/>
      <c r="CN508" s="403"/>
      <c r="CO508" s="646"/>
      <c r="CP508" s="635"/>
      <c r="CR508" s="643"/>
      <c r="CS508" s="647"/>
      <c r="CT508" s="647"/>
      <c r="CU508" s="404"/>
      <c r="CV508" s="648"/>
      <c r="CW508" s="406"/>
      <c r="CX508" s="643"/>
      <c r="DA508" s="400"/>
      <c r="DB508" s="400"/>
    </row>
    <row r="509" spans="1:106" ht="15.75" customHeight="1">
      <c r="A509" s="402"/>
      <c r="B509" s="500"/>
      <c r="C509" s="627"/>
      <c r="D509" s="627"/>
      <c r="E509" s="628"/>
      <c r="F509" s="1374"/>
      <c r="G509" s="629"/>
      <c r="H509" s="629"/>
      <c r="I509" s="630"/>
      <c r="J509" s="631"/>
      <c r="K509" s="628"/>
      <c r="L509" s="629"/>
      <c r="M509" s="632"/>
      <c r="N509" s="633"/>
      <c r="O509" s="633"/>
      <c r="P509" s="633"/>
      <c r="Q509" s="632"/>
      <c r="R509" s="634"/>
      <c r="S509" s="634"/>
      <c r="T509" s="634"/>
      <c r="U509" s="634"/>
      <c r="V509" s="634"/>
      <c r="W509" s="634"/>
      <c r="X509" s="634"/>
      <c r="Y509" s="634"/>
      <c r="Z509" s="634"/>
      <c r="AA509" s="634"/>
      <c r="AB509" s="634"/>
      <c r="AC509" s="634"/>
      <c r="AD509" s="634"/>
      <c r="AE509" s="634"/>
      <c r="AF509" s="634"/>
      <c r="AG509" s="634"/>
      <c r="AH509" s="634"/>
      <c r="AI509" s="634"/>
      <c r="AJ509" s="634"/>
      <c r="AK509" s="635"/>
      <c r="AL509" s="634"/>
      <c r="AM509" s="636"/>
      <c r="AN509" s="637"/>
      <c r="AO509" s="637"/>
      <c r="AP509" s="637"/>
      <c r="AQ509" s="638"/>
      <c r="AR509" s="637"/>
      <c r="AS509" s="637"/>
      <c r="AT509" s="634"/>
      <c r="AU509" s="639"/>
      <c r="AV509" s="634"/>
      <c r="AW509" s="634"/>
      <c r="AX509" s="490"/>
      <c r="AY509" s="640"/>
      <c r="AZ509" s="28"/>
      <c r="BA509" s="640"/>
      <c r="BB509" s="490"/>
      <c r="BC509" s="490"/>
      <c r="BD509" s="402"/>
      <c r="BE509" s="402"/>
      <c r="BF509" s="402"/>
      <c r="BG509" s="641"/>
      <c r="BH509" s="642"/>
      <c r="BI509" s="642"/>
      <c r="BJ509" s="629"/>
      <c r="BK509" s="638"/>
      <c r="BL509" s="638"/>
      <c r="BM509" s="638"/>
      <c r="BN509" s="638"/>
      <c r="BO509" s="643"/>
      <c r="BP509" s="644"/>
      <c r="BQ509" s="645"/>
      <c r="BR509" s="645"/>
      <c r="BS509" s="638"/>
      <c r="BT509" s="638"/>
      <c r="BU509" s="638"/>
      <c r="BV509" s="638"/>
      <c r="BW509" s="638"/>
      <c r="BX509" s="638"/>
      <c r="BY509" s="638"/>
      <c r="BZ509" s="638"/>
      <c r="CA509" s="634"/>
      <c r="CB509" s="634"/>
      <c r="CC509" s="634"/>
      <c r="CD509" s="634"/>
      <c r="CE509" s="634"/>
      <c r="CF509" s="634"/>
      <c r="CG509" s="634"/>
      <c r="CH509" s="634"/>
      <c r="CI509" s="634"/>
      <c r="CJ509" s="634"/>
      <c r="CK509" s="629"/>
      <c r="CM509" s="400"/>
      <c r="CN509" s="403"/>
      <c r="CO509" s="646"/>
      <c r="CP509" s="635"/>
      <c r="CR509" s="643"/>
      <c r="CS509" s="647"/>
      <c r="CT509" s="647"/>
      <c r="CU509" s="404"/>
      <c r="CV509" s="648"/>
      <c r="CW509" s="406"/>
      <c r="CX509" s="643"/>
      <c r="DA509" s="400"/>
      <c r="DB509" s="400"/>
    </row>
    <row r="510" spans="1:106" ht="15.75" customHeight="1">
      <c r="A510" s="402"/>
      <c r="B510" s="500"/>
      <c r="C510" s="627"/>
      <c r="D510" s="627"/>
      <c r="E510" s="628"/>
      <c r="F510" s="1374"/>
      <c r="G510" s="629"/>
      <c r="H510" s="629"/>
      <c r="I510" s="630"/>
      <c r="J510" s="631"/>
      <c r="K510" s="628"/>
      <c r="L510" s="629"/>
      <c r="M510" s="632"/>
      <c r="N510" s="633"/>
      <c r="O510" s="633"/>
      <c r="P510" s="633"/>
      <c r="Q510" s="632"/>
      <c r="R510" s="634"/>
      <c r="S510" s="634"/>
      <c r="T510" s="634"/>
      <c r="U510" s="634"/>
      <c r="V510" s="634"/>
      <c r="W510" s="634"/>
      <c r="X510" s="634"/>
      <c r="Y510" s="634"/>
      <c r="Z510" s="634"/>
      <c r="AA510" s="634"/>
      <c r="AB510" s="634"/>
      <c r="AC510" s="634"/>
      <c r="AD510" s="634"/>
      <c r="AE510" s="634"/>
      <c r="AF510" s="634"/>
      <c r="AG510" s="634"/>
      <c r="AH510" s="634"/>
      <c r="AI510" s="634"/>
      <c r="AJ510" s="634"/>
      <c r="AK510" s="635"/>
      <c r="AL510" s="634"/>
      <c r="AM510" s="636"/>
      <c r="AN510" s="637"/>
      <c r="AO510" s="637"/>
      <c r="AP510" s="637"/>
      <c r="AQ510" s="638"/>
      <c r="AR510" s="637"/>
      <c r="AS510" s="637"/>
      <c r="AT510" s="634"/>
      <c r="AU510" s="639"/>
      <c r="AV510" s="634"/>
      <c r="AW510" s="634"/>
      <c r="AX510" s="490"/>
      <c r="AY510" s="640"/>
      <c r="AZ510" s="28"/>
      <c r="BA510" s="640"/>
      <c r="BB510" s="490"/>
      <c r="BC510" s="490"/>
      <c r="BD510" s="402"/>
      <c r="BE510" s="402"/>
      <c r="BF510" s="402"/>
      <c r="BG510" s="641"/>
      <c r="BH510" s="642"/>
      <c r="BI510" s="642"/>
      <c r="BJ510" s="629"/>
      <c r="BK510" s="638"/>
      <c r="BL510" s="638"/>
      <c r="BM510" s="638"/>
      <c r="BN510" s="638"/>
      <c r="BO510" s="643"/>
      <c r="BP510" s="644"/>
      <c r="BQ510" s="645"/>
      <c r="BR510" s="645"/>
      <c r="BS510" s="638"/>
      <c r="BT510" s="638"/>
      <c r="BU510" s="638"/>
      <c r="BV510" s="638"/>
      <c r="BW510" s="638"/>
      <c r="BX510" s="638"/>
      <c r="BY510" s="638"/>
      <c r="BZ510" s="638"/>
      <c r="CA510" s="634"/>
      <c r="CB510" s="634"/>
      <c r="CC510" s="634"/>
      <c r="CD510" s="634"/>
      <c r="CE510" s="634"/>
      <c r="CF510" s="634"/>
      <c r="CG510" s="634"/>
      <c r="CH510" s="634"/>
      <c r="CI510" s="634"/>
      <c r="CJ510" s="634"/>
      <c r="CK510" s="629"/>
      <c r="CM510" s="400"/>
      <c r="CN510" s="403"/>
      <c r="CO510" s="646"/>
      <c r="CP510" s="635"/>
      <c r="CR510" s="643"/>
      <c r="CS510" s="647"/>
      <c r="CT510" s="647"/>
      <c r="CU510" s="404"/>
      <c r="CV510" s="648"/>
      <c r="CW510" s="406"/>
      <c r="CX510" s="643"/>
      <c r="DA510" s="400"/>
      <c r="DB510" s="400"/>
    </row>
    <row r="511" spans="1:106" ht="15.75" customHeight="1">
      <c r="A511" s="402"/>
      <c r="B511" s="500"/>
      <c r="C511" s="627"/>
      <c r="D511" s="627"/>
      <c r="E511" s="628"/>
      <c r="F511" s="1374"/>
      <c r="G511" s="629"/>
      <c r="H511" s="629"/>
      <c r="I511" s="630"/>
      <c r="J511" s="631"/>
      <c r="K511" s="628"/>
      <c r="L511" s="629"/>
      <c r="M511" s="632"/>
      <c r="N511" s="633"/>
      <c r="O511" s="633"/>
      <c r="P511" s="633"/>
      <c r="Q511" s="632"/>
      <c r="R511" s="634"/>
      <c r="S511" s="634"/>
      <c r="T511" s="634"/>
      <c r="U511" s="634"/>
      <c r="V511" s="634"/>
      <c r="W511" s="634"/>
      <c r="X511" s="634"/>
      <c r="Y511" s="634"/>
      <c r="Z511" s="634"/>
      <c r="AA511" s="634"/>
      <c r="AB511" s="634"/>
      <c r="AC511" s="634"/>
      <c r="AD511" s="634"/>
      <c r="AE511" s="634"/>
      <c r="AF511" s="634"/>
      <c r="AG511" s="634"/>
      <c r="AH511" s="634"/>
      <c r="AI511" s="634"/>
      <c r="AJ511" s="634"/>
      <c r="AK511" s="635"/>
      <c r="AL511" s="634"/>
      <c r="AM511" s="636"/>
      <c r="AN511" s="637"/>
      <c r="AO511" s="637"/>
      <c r="AP511" s="637"/>
      <c r="AQ511" s="638"/>
      <c r="AR511" s="637"/>
      <c r="AS511" s="637"/>
      <c r="AT511" s="634"/>
      <c r="AU511" s="639"/>
      <c r="AV511" s="634"/>
      <c r="AW511" s="634"/>
      <c r="AX511" s="490"/>
      <c r="AY511" s="640"/>
      <c r="AZ511" s="28"/>
      <c r="BA511" s="640"/>
      <c r="BB511" s="490"/>
      <c r="BC511" s="490"/>
      <c r="BD511" s="402"/>
      <c r="BE511" s="402"/>
      <c r="BF511" s="402"/>
      <c r="BG511" s="641"/>
      <c r="BH511" s="642"/>
      <c r="BI511" s="642"/>
      <c r="BJ511" s="629"/>
      <c r="BK511" s="638"/>
      <c r="BL511" s="638"/>
      <c r="BM511" s="638"/>
      <c r="BN511" s="638"/>
      <c r="BO511" s="643"/>
      <c r="BP511" s="644"/>
      <c r="BQ511" s="645"/>
      <c r="BR511" s="645"/>
      <c r="BS511" s="638"/>
      <c r="BT511" s="638"/>
      <c r="BU511" s="638"/>
      <c r="BV511" s="638"/>
      <c r="BW511" s="638"/>
      <c r="BX511" s="638"/>
      <c r="BY511" s="638"/>
      <c r="BZ511" s="638"/>
      <c r="CA511" s="634"/>
      <c r="CB511" s="634"/>
      <c r="CC511" s="634"/>
      <c r="CD511" s="634"/>
      <c r="CE511" s="634"/>
      <c r="CF511" s="634"/>
      <c r="CG511" s="634"/>
      <c r="CH511" s="634"/>
      <c r="CI511" s="634"/>
      <c r="CJ511" s="634"/>
      <c r="CK511" s="629"/>
      <c r="CM511" s="400"/>
      <c r="CN511" s="403"/>
      <c r="CO511" s="646"/>
      <c r="CP511" s="635"/>
      <c r="CR511" s="643"/>
      <c r="CS511" s="647"/>
      <c r="CT511" s="647"/>
      <c r="CU511" s="404"/>
      <c r="CV511" s="648"/>
      <c r="CW511" s="406"/>
      <c r="CX511" s="643"/>
      <c r="DA511" s="400"/>
      <c r="DB511" s="400"/>
    </row>
    <row r="512" spans="1:106" ht="15.75" customHeight="1">
      <c r="A512" s="402"/>
      <c r="B512" s="500"/>
      <c r="C512" s="627"/>
      <c r="D512" s="627"/>
      <c r="E512" s="628"/>
      <c r="F512" s="1374"/>
      <c r="G512" s="629"/>
      <c r="H512" s="629"/>
      <c r="I512" s="630"/>
      <c r="J512" s="631"/>
      <c r="K512" s="628"/>
      <c r="L512" s="629"/>
      <c r="M512" s="632"/>
      <c r="N512" s="633"/>
      <c r="O512" s="633"/>
      <c r="P512" s="633"/>
      <c r="Q512" s="632"/>
      <c r="R512" s="634"/>
      <c r="S512" s="634"/>
      <c r="T512" s="634"/>
      <c r="U512" s="634"/>
      <c r="V512" s="634"/>
      <c r="W512" s="634"/>
      <c r="X512" s="634"/>
      <c r="Y512" s="634"/>
      <c r="Z512" s="634"/>
      <c r="AA512" s="634"/>
      <c r="AB512" s="634"/>
      <c r="AC512" s="634"/>
      <c r="AD512" s="634"/>
      <c r="AE512" s="634"/>
      <c r="AF512" s="634"/>
      <c r="AG512" s="634"/>
      <c r="AH512" s="634"/>
      <c r="AI512" s="634"/>
      <c r="AJ512" s="634"/>
      <c r="AK512" s="635"/>
      <c r="AL512" s="634"/>
      <c r="AM512" s="636"/>
      <c r="AN512" s="637"/>
      <c r="AO512" s="637"/>
      <c r="AP512" s="637"/>
      <c r="AQ512" s="638"/>
      <c r="AR512" s="637"/>
      <c r="AS512" s="637"/>
      <c r="AT512" s="634"/>
      <c r="AU512" s="639"/>
      <c r="AV512" s="634"/>
      <c r="AW512" s="634"/>
      <c r="AX512" s="490"/>
      <c r="AY512" s="640"/>
      <c r="AZ512" s="28"/>
      <c r="BA512" s="640"/>
      <c r="BB512" s="490"/>
      <c r="BC512" s="490"/>
      <c r="BD512" s="402"/>
      <c r="BE512" s="402"/>
      <c r="BF512" s="402"/>
      <c r="BG512" s="641"/>
      <c r="BH512" s="642"/>
      <c r="BI512" s="642"/>
      <c r="BJ512" s="629"/>
      <c r="BK512" s="638"/>
      <c r="BL512" s="638"/>
      <c r="BM512" s="638"/>
      <c r="BN512" s="638"/>
      <c r="BO512" s="643"/>
      <c r="BP512" s="644"/>
      <c r="BQ512" s="645"/>
      <c r="BR512" s="645"/>
      <c r="BS512" s="638"/>
      <c r="BT512" s="638"/>
      <c r="BU512" s="638"/>
      <c r="BV512" s="638"/>
      <c r="BW512" s="638"/>
      <c r="BX512" s="638"/>
      <c r="BY512" s="638"/>
      <c r="BZ512" s="638"/>
      <c r="CA512" s="634"/>
      <c r="CB512" s="634"/>
      <c r="CC512" s="634"/>
      <c r="CD512" s="634"/>
      <c r="CE512" s="634"/>
      <c r="CF512" s="634"/>
      <c r="CG512" s="634"/>
      <c r="CH512" s="634"/>
      <c r="CI512" s="634"/>
      <c r="CJ512" s="634"/>
      <c r="CK512" s="629"/>
      <c r="CM512" s="400"/>
      <c r="CN512" s="403"/>
      <c r="CO512" s="646"/>
      <c r="CP512" s="635"/>
      <c r="CR512" s="643"/>
      <c r="CS512" s="647"/>
      <c r="CT512" s="647"/>
      <c r="CU512" s="404"/>
      <c r="CV512" s="648"/>
      <c r="CW512" s="406"/>
      <c r="CX512" s="643"/>
      <c r="DA512" s="400"/>
      <c r="DB512" s="400"/>
    </row>
    <row r="513" spans="1:106" ht="15.75" customHeight="1">
      <c r="A513" s="402"/>
      <c r="B513" s="500"/>
      <c r="C513" s="627"/>
      <c r="D513" s="627"/>
      <c r="E513" s="1374"/>
      <c r="F513" s="1374"/>
      <c r="G513" s="629"/>
      <c r="H513" s="629"/>
      <c r="I513" s="630"/>
      <c r="J513" s="631"/>
      <c r="K513" s="628"/>
      <c r="L513" s="629"/>
      <c r="M513" s="632"/>
      <c r="N513" s="633"/>
      <c r="O513" s="633"/>
      <c r="P513" s="633"/>
      <c r="Q513" s="632"/>
      <c r="R513" s="634"/>
      <c r="S513" s="634"/>
      <c r="T513" s="634"/>
      <c r="U513" s="634"/>
      <c r="V513" s="634"/>
      <c r="W513" s="634"/>
      <c r="X513" s="634"/>
      <c r="Y513" s="634"/>
      <c r="Z513" s="634"/>
      <c r="AA513" s="634"/>
      <c r="AB513" s="634"/>
      <c r="AC513" s="634"/>
      <c r="AD513" s="634"/>
      <c r="AE513" s="634"/>
      <c r="AF513" s="634"/>
      <c r="AG513" s="634"/>
      <c r="AH513" s="634"/>
      <c r="AI513" s="634"/>
      <c r="AJ513" s="634"/>
      <c r="AK513" s="635"/>
      <c r="AL513" s="634"/>
      <c r="AM513" s="636"/>
      <c r="AN513" s="637"/>
      <c r="AO513" s="637"/>
      <c r="AP513" s="637"/>
      <c r="AQ513" s="638"/>
      <c r="AR513" s="637"/>
      <c r="AS513" s="637"/>
      <c r="AT513" s="634"/>
      <c r="AU513" s="639"/>
      <c r="AV513" s="634"/>
      <c r="AW513" s="634"/>
      <c r="AX513" s="490"/>
      <c r="AY513" s="640"/>
      <c r="AZ513" s="28"/>
      <c r="BA513" s="640"/>
      <c r="BB513" s="490"/>
      <c r="BC513" s="490"/>
      <c r="BD513" s="402"/>
      <c r="BE513" s="402"/>
      <c r="BF513" s="402"/>
      <c r="BG513" s="641"/>
      <c r="BH513" s="642"/>
      <c r="BI513" s="642"/>
      <c r="BJ513" s="629"/>
      <c r="BK513" s="638"/>
      <c r="BL513" s="638"/>
      <c r="BM513" s="638"/>
      <c r="BN513" s="638"/>
      <c r="BO513" s="643"/>
      <c r="BP513" s="644"/>
      <c r="BQ513" s="645"/>
      <c r="BR513" s="645"/>
      <c r="BS513" s="638"/>
      <c r="BT513" s="638"/>
      <c r="BU513" s="638"/>
      <c r="BV513" s="638"/>
      <c r="BW513" s="638"/>
      <c r="BX513" s="638"/>
      <c r="BY513" s="638"/>
      <c r="BZ513" s="638"/>
      <c r="CA513" s="634"/>
      <c r="CB513" s="634"/>
      <c r="CC513" s="634"/>
      <c r="CD513" s="634"/>
      <c r="CE513" s="634"/>
      <c r="CF513" s="634"/>
      <c r="CG513" s="634"/>
      <c r="CH513" s="634"/>
      <c r="CI513" s="634"/>
      <c r="CJ513" s="634"/>
      <c r="CK513" s="629"/>
      <c r="CM513" s="400"/>
      <c r="CN513" s="403"/>
      <c r="CO513" s="646"/>
      <c r="CP513" s="635"/>
      <c r="CR513" s="643"/>
      <c r="CS513" s="647"/>
      <c r="CT513" s="647"/>
      <c r="CU513" s="404"/>
      <c r="CV513" s="648"/>
      <c r="CW513" s="406"/>
      <c r="CX513" s="643"/>
      <c r="DA513" s="400"/>
      <c r="DB513" s="400"/>
    </row>
    <row r="514" spans="1:106" ht="15.75" customHeight="1">
      <c r="A514" s="402"/>
      <c r="B514" s="500"/>
      <c r="C514" s="627"/>
      <c r="D514" s="627"/>
      <c r="E514" s="1374"/>
      <c r="F514" s="1374"/>
      <c r="G514" s="629"/>
      <c r="H514" s="629"/>
      <c r="I514" s="630"/>
      <c r="J514" s="631"/>
      <c r="K514" s="628"/>
      <c r="L514" s="629"/>
      <c r="M514" s="632"/>
      <c r="N514" s="633"/>
      <c r="O514" s="633"/>
      <c r="P514" s="633"/>
      <c r="Q514" s="632"/>
      <c r="R514" s="634"/>
      <c r="S514" s="634"/>
      <c r="T514" s="634"/>
      <c r="U514" s="634"/>
      <c r="V514" s="634"/>
      <c r="W514" s="634"/>
      <c r="X514" s="634"/>
      <c r="Y514" s="634"/>
      <c r="Z514" s="634"/>
      <c r="AA514" s="634"/>
      <c r="AB514" s="634"/>
      <c r="AC514" s="634"/>
      <c r="AD514" s="634"/>
      <c r="AE514" s="634"/>
      <c r="AF514" s="634"/>
      <c r="AG514" s="634"/>
      <c r="AH514" s="634"/>
      <c r="AI514" s="634"/>
      <c r="AJ514" s="634"/>
      <c r="AK514" s="635"/>
      <c r="AL514" s="634"/>
      <c r="AM514" s="636"/>
      <c r="AN514" s="637"/>
      <c r="AO514" s="637"/>
      <c r="AP514" s="637"/>
      <c r="AQ514" s="638"/>
      <c r="AR514" s="637"/>
      <c r="AS514" s="637"/>
      <c r="AT514" s="634"/>
      <c r="AU514" s="639"/>
      <c r="AV514" s="634"/>
      <c r="AW514" s="634"/>
      <c r="AX514" s="490"/>
      <c r="AY514" s="640"/>
      <c r="AZ514" s="28"/>
      <c r="BA514" s="640"/>
      <c r="BB514" s="490"/>
      <c r="BC514" s="490"/>
      <c r="BD514" s="402"/>
      <c r="BE514" s="402"/>
      <c r="BF514" s="402"/>
      <c r="BG514" s="641"/>
      <c r="BH514" s="642"/>
      <c r="BI514" s="642"/>
      <c r="BJ514" s="629"/>
      <c r="BK514" s="638"/>
      <c r="BL514" s="638"/>
      <c r="BM514" s="638"/>
      <c r="BN514" s="638"/>
      <c r="BO514" s="643"/>
      <c r="BP514" s="644"/>
      <c r="BQ514" s="645"/>
      <c r="BR514" s="645"/>
      <c r="BS514" s="638"/>
      <c r="BT514" s="638"/>
      <c r="BU514" s="638"/>
      <c r="BV514" s="638"/>
      <c r="BW514" s="638"/>
      <c r="BX514" s="638"/>
      <c r="BY514" s="638"/>
      <c r="BZ514" s="638"/>
      <c r="CA514" s="634"/>
      <c r="CB514" s="634"/>
      <c r="CC514" s="634"/>
      <c r="CD514" s="634"/>
      <c r="CE514" s="634"/>
      <c r="CF514" s="634"/>
      <c r="CG514" s="634"/>
      <c r="CH514" s="634"/>
      <c r="CI514" s="634"/>
      <c r="CJ514" s="634"/>
      <c r="CK514" s="629"/>
      <c r="CM514" s="400"/>
      <c r="CN514" s="403"/>
      <c r="CO514" s="646"/>
      <c r="CP514" s="635"/>
      <c r="CR514" s="643"/>
      <c r="CS514" s="647"/>
      <c r="CT514" s="647"/>
      <c r="CU514" s="404"/>
      <c r="CV514" s="648"/>
      <c r="CW514" s="406"/>
      <c r="CX514" s="643"/>
      <c r="DA514" s="400"/>
      <c r="DB514" s="400"/>
    </row>
    <row r="515" spans="1:106" ht="15.75" customHeight="1">
      <c r="A515" s="402"/>
      <c r="B515" s="500"/>
      <c r="C515" s="627"/>
      <c r="D515" s="627"/>
      <c r="E515" s="1374"/>
      <c r="F515" s="1374"/>
      <c r="G515" s="629"/>
      <c r="H515" s="629"/>
      <c r="I515" s="630"/>
      <c r="J515" s="631"/>
      <c r="K515" s="628"/>
      <c r="L515" s="629"/>
      <c r="M515" s="632"/>
      <c r="N515" s="633"/>
      <c r="O515" s="633"/>
      <c r="P515" s="633"/>
      <c r="Q515" s="632"/>
      <c r="R515" s="634"/>
      <c r="S515" s="634"/>
      <c r="T515" s="634"/>
      <c r="U515" s="634"/>
      <c r="V515" s="634"/>
      <c r="W515" s="634"/>
      <c r="X515" s="634"/>
      <c r="Y515" s="634"/>
      <c r="Z515" s="634"/>
      <c r="AA515" s="634"/>
      <c r="AB515" s="634"/>
      <c r="AC515" s="634"/>
      <c r="AD515" s="634"/>
      <c r="AE515" s="634"/>
      <c r="AF515" s="634"/>
      <c r="AG515" s="634"/>
      <c r="AH515" s="634"/>
      <c r="AI515" s="634"/>
      <c r="AJ515" s="634"/>
      <c r="AK515" s="635"/>
      <c r="AL515" s="634"/>
      <c r="AM515" s="636"/>
      <c r="AN515" s="637"/>
      <c r="AO515" s="637"/>
      <c r="AP515" s="637"/>
      <c r="AQ515" s="638"/>
      <c r="AR515" s="637"/>
      <c r="AS515" s="637"/>
      <c r="AT515" s="634"/>
      <c r="AU515" s="639"/>
      <c r="AV515" s="634"/>
      <c r="AW515" s="634"/>
      <c r="AX515" s="490"/>
      <c r="AY515" s="640"/>
      <c r="AZ515" s="28"/>
      <c r="BA515" s="640"/>
      <c r="BB515" s="490"/>
      <c r="BC515" s="490"/>
      <c r="BD515" s="402"/>
      <c r="BE515" s="402"/>
      <c r="BF515" s="402"/>
      <c r="BG515" s="641"/>
      <c r="BH515" s="642"/>
      <c r="BI515" s="642"/>
      <c r="BJ515" s="629"/>
      <c r="BK515" s="638"/>
      <c r="BL515" s="638"/>
      <c r="BM515" s="638"/>
      <c r="BN515" s="638"/>
      <c r="BO515" s="643"/>
      <c r="BP515" s="644"/>
      <c r="BQ515" s="645"/>
      <c r="BR515" s="645"/>
      <c r="BS515" s="638"/>
      <c r="BT515" s="638"/>
      <c r="BU515" s="638"/>
      <c r="BV515" s="638"/>
      <c r="BW515" s="638"/>
      <c r="BX515" s="638"/>
      <c r="BY515" s="638"/>
      <c r="BZ515" s="638"/>
      <c r="CA515" s="634"/>
      <c r="CB515" s="634"/>
      <c r="CC515" s="634"/>
      <c r="CD515" s="634"/>
      <c r="CE515" s="634"/>
      <c r="CF515" s="634"/>
      <c r="CG515" s="634"/>
      <c r="CH515" s="634"/>
      <c r="CI515" s="634"/>
      <c r="CJ515" s="634"/>
      <c r="CK515" s="629"/>
      <c r="CM515" s="400"/>
      <c r="CN515" s="403"/>
      <c r="CO515" s="646"/>
      <c r="CP515" s="635"/>
      <c r="CR515" s="643"/>
      <c r="CS515" s="647"/>
      <c r="CT515" s="647"/>
      <c r="CU515" s="404"/>
      <c r="CV515" s="648"/>
      <c r="CW515" s="406"/>
      <c r="CX515" s="643"/>
      <c r="DA515" s="400"/>
      <c r="DB515" s="400"/>
    </row>
    <row r="516" spans="1:106" ht="15.75" customHeight="1">
      <c r="A516" s="402"/>
      <c r="C516" s="627"/>
      <c r="D516" s="627"/>
      <c r="E516" s="628"/>
      <c r="F516" s="1374"/>
      <c r="G516" s="629"/>
      <c r="H516" s="629"/>
      <c r="I516" s="630"/>
      <c r="J516" s="631"/>
      <c r="K516" s="628"/>
      <c r="L516" s="629"/>
      <c r="M516" s="632"/>
      <c r="N516" s="633"/>
      <c r="O516" s="633"/>
      <c r="P516" s="633"/>
      <c r="Q516" s="632"/>
      <c r="R516" s="634"/>
      <c r="S516" s="634"/>
      <c r="T516" s="634"/>
      <c r="U516" s="634"/>
      <c r="V516" s="634"/>
      <c r="W516" s="634"/>
      <c r="X516" s="634"/>
      <c r="Y516" s="634"/>
      <c r="Z516" s="634"/>
      <c r="AA516" s="634"/>
      <c r="AB516" s="634"/>
      <c r="AC516" s="634"/>
      <c r="AD516" s="634"/>
      <c r="AE516" s="634"/>
      <c r="AF516" s="634"/>
      <c r="AG516" s="634"/>
      <c r="AH516" s="634"/>
      <c r="AI516" s="634"/>
      <c r="AJ516" s="634"/>
      <c r="AK516" s="635"/>
      <c r="AL516" s="634"/>
      <c r="AM516" s="636"/>
      <c r="AN516" s="637"/>
      <c r="AO516" s="637"/>
      <c r="AP516" s="637"/>
      <c r="AQ516" s="638"/>
      <c r="AR516" s="637"/>
      <c r="AS516" s="637"/>
      <c r="AT516" s="634"/>
      <c r="AU516" s="639"/>
      <c r="AV516" s="634"/>
      <c r="AW516" s="634"/>
      <c r="AX516" s="490"/>
      <c r="AY516" s="640"/>
      <c r="AZ516" s="28"/>
      <c r="BA516" s="640"/>
      <c r="BB516" s="490"/>
      <c r="BC516" s="490"/>
      <c r="BD516" s="402"/>
      <c r="BE516" s="402"/>
      <c r="BF516" s="402"/>
      <c r="BG516" s="641"/>
      <c r="BH516" s="642"/>
      <c r="BI516" s="642"/>
      <c r="BJ516" s="629"/>
      <c r="BK516" s="638"/>
      <c r="BL516" s="638"/>
      <c r="BM516" s="638"/>
      <c r="BN516" s="638"/>
      <c r="BO516" s="643"/>
      <c r="BP516" s="644"/>
      <c r="BQ516" s="645"/>
      <c r="BR516" s="645"/>
      <c r="BS516" s="638"/>
      <c r="BT516" s="638"/>
      <c r="BU516" s="638"/>
      <c r="BV516" s="638"/>
      <c r="BW516" s="638"/>
      <c r="BX516" s="638"/>
      <c r="BY516" s="638"/>
      <c r="BZ516" s="638"/>
      <c r="CA516" s="634"/>
      <c r="CB516" s="634"/>
      <c r="CC516" s="634"/>
      <c r="CD516" s="634"/>
      <c r="CE516" s="634"/>
      <c r="CF516" s="634"/>
      <c r="CG516" s="634"/>
      <c r="CH516" s="634"/>
      <c r="CI516" s="634"/>
      <c r="CJ516" s="634"/>
      <c r="CK516" s="629"/>
      <c r="CM516" s="400"/>
      <c r="CN516" s="403"/>
      <c r="CO516" s="646"/>
      <c r="CP516" s="635"/>
      <c r="CR516" s="643"/>
      <c r="CS516" s="647"/>
      <c r="CT516" s="647"/>
      <c r="CU516" s="404"/>
      <c r="CV516" s="648"/>
      <c r="CW516" s="406"/>
      <c r="CX516" s="643"/>
      <c r="DA516" s="400"/>
      <c r="DB516" s="400"/>
    </row>
    <row r="517" spans="1:106" ht="15.75" customHeight="1">
      <c r="A517" s="402"/>
      <c r="B517" s="500"/>
      <c r="C517" s="627"/>
      <c r="D517" s="627"/>
      <c r="E517" s="628"/>
      <c r="F517" s="1374"/>
      <c r="G517" s="629"/>
      <c r="H517" s="629"/>
      <c r="I517" s="630"/>
      <c r="J517" s="631"/>
      <c r="K517" s="628"/>
      <c r="L517" s="629"/>
      <c r="M517" s="632"/>
      <c r="N517" s="633"/>
      <c r="O517" s="633"/>
      <c r="P517" s="633"/>
      <c r="Q517" s="632"/>
      <c r="R517" s="634"/>
      <c r="S517" s="634"/>
      <c r="T517" s="634"/>
      <c r="U517" s="634"/>
      <c r="V517" s="634"/>
      <c r="W517" s="634"/>
      <c r="X517" s="634"/>
      <c r="Y517" s="634"/>
      <c r="Z517" s="634"/>
      <c r="AA517" s="634"/>
      <c r="AB517" s="634"/>
      <c r="AC517" s="634"/>
      <c r="AD517" s="634"/>
      <c r="AE517" s="634"/>
      <c r="AF517" s="634"/>
      <c r="AG517" s="634"/>
      <c r="AH517" s="634"/>
      <c r="AI517" s="634"/>
      <c r="AJ517" s="634"/>
      <c r="AK517" s="635"/>
      <c r="AL517" s="634"/>
      <c r="AM517" s="636"/>
      <c r="AN517" s="637"/>
      <c r="AO517" s="637"/>
      <c r="AP517" s="637"/>
      <c r="AQ517" s="638"/>
      <c r="AR517" s="637"/>
      <c r="AS517" s="637"/>
      <c r="AT517" s="634"/>
      <c r="AU517" s="639"/>
      <c r="AV517" s="634"/>
      <c r="AW517" s="634"/>
      <c r="AX517" s="490"/>
      <c r="AY517" s="640"/>
      <c r="AZ517" s="28"/>
      <c r="BA517" s="640"/>
      <c r="BB517" s="490"/>
      <c r="BC517" s="490"/>
      <c r="BD517" s="402"/>
      <c r="BE517" s="402"/>
      <c r="BF517" s="402"/>
      <c r="BG517" s="641"/>
      <c r="BH517" s="642"/>
      <c r="BI517" s="642"/>
      <c r="BJ517" s="629"/>
      <c r="BK517" s="638"/>
      <c r="BL517" s="638"/>
      <c r="BM517" s="638"/>
      <c r="BN517" s="638"/>
      <c r="BO517" s="643"/>
      <c r="BP517" s="644"/>
      <c r="BQ517" s="645"/>
      <c r="BR517" s="645"/>
      <c r="BS517" s="638"/>
      <c r="BT517" s="638"/>
      <c r="BU517" s="638"/>
      <c r="BV517" s="638"/>
      <c r="BW517" s="638"/>
      <c r="BX517" s="638"/>
      <c r="BY517" s="638"/>
      <c r="BZ517" s="638"/>
      <c r="CA517" s="634"/>
      <c r="CB517" s="634"/>
      <c r="CC517" s="634"/>
      <c r="CD517" s="634"/>
      <c r="CE517" s="634"/>
      <c r="CF517" s="634"/>
      <c r="CG517" s="634"/>
      <c r="CH517" s="634"/>
      <c r="CI517" s="634"/>
      <c r="CJ517" s="634"/>
      <c r="CK517" s="629"/>
      <c r="CM517" s="400"/>
      <c r="CN517" s="403"/>
      <c r="CO517" s="646"/>
      <c r="CP517" s="635"/>
      <c r="CR517" s="643"/>
      <c r="CS517" s="647"/>
      <c r="CT517" s="647"/>
      <c r="CU517" s="404"/>
      <c r="CV517" s="648"/>
      <c r="CW517" s="406"/>
      <c r="CX517" s="643"/>
      <c r="DA517" s="400"/>
      <c r="DB517" s="400"/>
    </row>
    <row r="518" spans="1:106" ht="15.75" customHeight="1">
      <c r="A518" s="402"/>
      <c r="C518" s="627"/>
      <c r="D518" s="627"/>
      <c r="E518" s="628"/>
      <c r="F518" s="1374"/>
      <c r="G518" s="629"/>
      <c r="H518" s="629"/>
      <c r="I518" s="630"/>
      <c r="J518" s="631"/>
      <c r="K518" s="628"/>
      <c r="L518" s="629"/>
      <c r="M518" s="632"/>
      <c r="N518" s="633"/>
      <c r="O518" s="633"/>
      <c r="P518" s="633"/>
      <c r="Q518" s="632"/>
      <c r="R518" s="634"/>
      <c r="S518" s="634"/>
      <c r="T518" s="634"/>
      <c r="U518" s="634"/>
      <c r="V518" s="634"/>
      <c r="W518" s="634"/>
      <c r="X518" s="634"/>
      <c r="Y518" s="634"/>
      <c r="Z518" s="634"/>
      <c r="AA518" s="634"/>
      <c r="AB518" s="634"/>
      <c r="AC518" s="634"/>
      <c r="AD518" s="634"/>
      <c r="AE518" s="634"/>
      <c r="AF518" s="634"/>
      <c r="AG518" s="634"/>
      <c r="AH518" s="634"/>
      <c r="AI518" s="634"/>
      <c r="AJ518" s="634"/>
      <c r="AK518" s="635"/>
      <c r="AL518" s="634"/>
      <c r="AM518" s="636"/>
      <c r="AN518" s="637"/>
      <c r="AO518" s="637"/>
      <c r="AP518" s="637"/>
      <c r="AQ518" s="638"/>
      <c r="AR518" s="637"/>
      <c r="AS518" s="637"/>
      <c r="AT518" s="634"/>
      <c r="AU518" s="639"/>
      <c r="AV518" s="634"/>
      <c r="AW518" s="634"/>
      <c r="AX518" s="490"/>
      <c r="AY518" s="640"/>
      <c r="AZ518" s="28"/>
      <c r="BA518" s="640"/>
      <c r="BB518" s="490"/>
      <c r="BC518" s="490"/>
      <c r="BD518" s="402"/>
      <c r="BE518" s="402"/>
      <c r="BF518" s="402"/>
      <c r="BG518" s="641"/>
      <c r="BH518" s="642"/>
      <c r="BI518" s="642"/>
      <c r="BJ518" s="629"/>
      <c r="BK518" s="638"/>
      <c r="BL518" s="638"/>
      <c r="BM518" s="638"/>
      <c r="BN518" s="638"/>
      <c r="BO518" s="643"/>
      <c r="BP518" s="644"/>
      <c r="BQ518" s="645"/>
      <c r="BR518" s="645"/>
      <c r="BS518" s="638"/>
      <c r="BT518" s="638"/>
      <c r="BU518" s="638"/>
      <c r="BV518" s="638"/>
      <c r="BW518" s="638"/>
      <c r="BX518" s="638"/>
      <c r="BY518" s="638"/>
      <c r="BZ518" s="638"/>
      <c r="CA518" s="634"/>
      <c r="CB518" s="634"/>
      <c r="CC518" s="634"/>
      <c r="CD518" s="634"/>
      <c r="CE518" s="634"/>
      <c r="CF518" s="634"/>
      <c r="CG518" s="634"/>
      <c r="CH518" s="634"/>
      <c r="CI518" s="634"/>
      <c r="CJ518" s="634"/>
      <c r="CK518" s="629"/>
      <c r="CM518" s="400"/>
      <c r="CN518" s="403"/>
      <c r="CO518" s="646"/>
      <c r="CP518" s="635"/>
      <c r="CR518" s="643"/>
      <c r="CS518" s="647"/>
      <c r="CT518" s="647"/>
      <c r="CU518" s="404"/>
      <c r="CV518" s="648"/>
      <c r="CW518" s="406"/>
      <c r="CX518" s="643"/>
      <c r="DA518" s="400"/>
      <c r="DB518" s="400"/>
    </row>
    <row r="519" spans="1:106" ht="15.75" customHeight="1">
      <c r="A519" s="402"/>
      <c r="C519" s="627"/>
      <c r="D519" s="627"/>
      <c r="E519" s="628"/>
      <c r="F519" s="1374"/>
      <c r="G519" s="629"/>
      <c r="H519" s="629"/>
      <c r="I519" s="630"/>
      <c r="J519" s="631"/>
      <c r="K519" s="628"/>
      <c r="L519" s="629"/>
      <c r="M519" s="632"/>
      <c r="N519" s="633"/>
      <c r="O519" s="633"/>
      <c r="P519" s="633"/>
      <c r="Q519" s="632"/>
      <c r="R519" s="634"/>
      <c r="S519" s="634"/>
      <c r="T519" s="634"/>
      <c r="U519" s="634"/>
      <c r="V519" s="634"/>
      <c r="W519" s="634"/>
      <c r="X519" s="634"/>
      <c r="Y519" s="634"/>
      <c r="Z519" s="634"/>
      <c r="AA519" s="634"/>
      <c r="AB519" s="634"/>
      <c r="AC519" s="634"/>
      <c r="AD519" s="634"/>
      <c r="AE519" s="634"/>
      <c r="AF519" s="634"/>
      <c r="AG519" s="634"/>
      <c r="AH519" s="634"/>
      <c r="AI519" s="634"/>
      <c r="AJ519" s="634"/>
      <c r="AK519" s="635"/>
      <c r="AL519" s="634"/>
      <c r="AM519" s="636"/>
      <c r="AN519" s="637"/>
      <c r="AO519" s="637"/>
      <c r="AP519" s="637"/>
      <c r="AQ519" s="638"/>
      <c r="AR519" s="637"/>
      <c r="AS519" s="637"/>
      <c r="AT519" s="634"/>
      <c r="AU519" s="639"/>
      <c r="AV519" s="634"/>
      <c r="AW519" s="634"/>
      <c r="AX519" s="490"/>
      <c r="AY519" s="640"/>
      <c r="AZ519" s="28"/>
      <c r="BA519" s="640"/>
      <c r="BB519" s="490"/>
      <c r="BC519" s="490"/>
      <c r="BD519" s="402"/>
      <c r="BE519" s="402"/>
      <c r="BF519" s="402"/>
      <c r="BG519" s="641"/>
      <c r="BH519" s="642"/>
      <c r="BI519" s="642"/>
      <c r="BJ519" s="629"/>
      <c r="BK519" s="638"/>
      <c r="BL519" s="638"/>
      <c r="BM519" s="638"/>
      <c r="BN519" s="638"/>
      <c r="BO519" s="643"/>
      <c r="BP519" s="644"/>
      <c r="BQ519" s="645"/>
      <c r="BR519" s="645"/>
      <c r="BS519" s="638"/>
      <c r="BT519" s="638"/>
      <c r="BU519" s="638"/>
      <c r="BV519" s="638"/>
      <c r="BW519" s="638"/>
      <c r="BX519" s="638"/>
      <c r="BY519" s="638"/>
      <c r="BZ519" s="638"/>
      <c r="CA519" s="634"/>
      <c r="CB519" s="634"/>
      <c r="CC519" s="634"/>
      <c r="CD519" s="634"/>
      <c r="CE519" s="634"/>
      <c r="CF519" s="634"/>
      <c r="CG519" s="634"/>
      <c r="CH519" s="634"/>
      <c r="CI519" s="634"/>
      <c r="CJ519" s="634"/>
      <c r="CK519" s="629"/>
      <c r="CM519" s="400"/>
      <c r="CN519" s="403"/>
      <c r="CO519" s="646"/>
      <c r="CP519" s="635"/>
      <c r="CR519" s="643"/>
      <c r="CS519" s="647"/>
      <c r="CT519" s="647"/>
      <c r="CU519" s="404"/>
      <c r="CV519" s="648"/>
      <c r="CW519" s="406"/>
      <c r="CX519" s="643"/>
      <c r="DA519" s="400"/>
      <c r="DB519" s="400"/>
    </row>
    <row r="520" spans="1:106" ht="15.75" customHeight="1">
      <c r="A520" s="402"/>
      <c r="C520" s="627"/>
      <c r="D520" s="627"/>
      <c r="E520" s="628"/>
      <c r="F520" s="1374"/>
      <c r="G520" s="629"/>
      <c r="H520" s="629"/>
      <c r="I520" s="630"/>
      <c r="J520" s="631"/>
      <c r="K520" s="628"/>
      <c r="L520" s="629"/>
      <c r="M520" s="632"/>
      <c r="N520" s="633"/>
      <c r="O520" s="633"/>
      <c r="P520" s="633"/>
      <c r="Q520" s="632"/>
      <c r="R520" s="634"/>
      <c r="S520" s="634"/>
      <c r="T520" s="634"/>
      <c r="U520" s="634"/>
      <c r="V520" s="634"/>
      <c r="W520" s="634"/>
      <c r="X520" s="634"/>
      <c r="Y520" s="634"/>
      <c r="Z520" s="634"/>
      <c r="AA520" s="634"/>
      <c r="AB520" s="634"/>
      <c r="AC520" s="634"/>
      <c r="AD520" s="634"/>
      <c r="AE520" s="634"/>
      <c r="AF520" s="634"/>
      <c r="AG520" s="634"/>
      <c r="AH520" s="634"/>
      <c r="AI520" s="634"/>
      <c r="AJ520" s="634"/>
      <c r="AK520" s="635"/>
      <c r="AL520" s="634"/>
      <c r="AM520" s="636"/>
      <c r="AN520" s="637"/>
      <c r="AO520" s="637"/>
      <c r="AP520" s="637"/>
      <c r="AQ520" s="638"/>
      <c r="AR520" s="637"/>
      <c r="AS520" s="637"/>
      <c r="AT520" s="634"/>
      <c r="AU520" s="639"/>
      <c r="AV520" s="634"/>
      <c r="AW520" s="634"/>
      <c r="AX520" s="490"/>
      <c r="AY520" s="640"/>
      <c r="AZ520" s="28"/>
      <c r="BA520" s="640"/>
      <c r="BB520" s="490"/>
      <c r="BC520" s="490"/>
      <c r="BD520" s="402"/>
      <c r="BE520" s="402"/>
      <c r="BF520" s="402"/>
      <c r="BG520" s="641"/>
      <c r="BH520" s="642"/>
      <c r="BI520" s="642"/>
      <c r="BJ520" s="629"/>
      <c r="BK520" s="638"/>
      <c r="BL520" s="638"/>
      <c r="BM520" s="638"/>
      <c r="BN520" s="638"/>
      <c r="BO520" s="643"/>
      <c r="BP520" s="644"/>
      <c r="BQ520" s="645"/>
      <c r="BR520" s="645"/>
      <c r="BS520" s="638"/>
      <c r="BT520" s="638"/>
      <c r="BU520" s="638"/>
      <c r="BV520" s="638"/>
      <c r="BW520" s="638"/>
      <c r="BX520" s="638"/>
      <c r="BY520" s="638"/>
      <c r="BZ520" s="638"/>
      <c r="CA520" s="634"/>
      <c r="CB520" s="634"/>
      <c r="CC520" s="634"/>
      <c r="CD520" s="634"/>
      <c r="CE520" s="634"/>
      <c r="CF520" s="634"/>
      <c r="CG520" s="634"/>
      <c r="CH520" s="634"/>
      <c r="CI520" s="634"/>
      <c r="CJ520" s="634"/>
      <c r="CK520" s="629"/>
      <c r="CM520" s="400"/>
      <c r="CN520" s="403"/>
      <c r="CO520" s="646"/>
      <c r="CP520" s="635"/>
      <c r="CR520" s="643"/>
      <c r="CS520" s="647"/>
      <c r="CT520" s="647"/>
      <c r="CU520" s="404"/>
      <c r="CV520" s="648"/>
      <c r="CW520" s="406"/>
      <c r="CX520" s="643"/>
      <c r="DA520" s="400"/>
      <c r="DB520" s="400"/>
    </row>
    <row r="521" spans="1:106" ht="15.75" customHeight="1">
      <c r="A521" s="402"/>
      <c r="C521" s="627"/>
      <c r="D521" s="627"/>
      <c r="E521" s="628"/>
      <c r="F521" s="1374"/>
      <c r="G521" s="629"/>
      <c r="H521" s="629"/>
      <c r="I521" s="630"/>
      <c r="J521" s="631"/>
      <c r="K521" s="628"/>
      <c r="L521" s="629"/>
      <c r="M521" s="632"/>
      <c r="N521" s="633"/>
      <c r="O521" s="633"/>
      <c r="P521" s="633"/>
      <c r="Q521" s="632"/>
      <c r="R521" s="634"/>
      <c r="S521" s="634"/>
      <c r="T521" s="634"/>
      <c r="U521" s="634"/>
      <c r="V521" s="634"/>
      <c r="W521" s="634"/>
      <c r="X521" s="634"/>
      <c r="Y521" s="634"/>
      <c r="Z521" s="634"/>
      <c r="AA521" s="634"/>
      <c r="AB521" s="634"/>
      <c r="AC521" s="634"/>
      <c r="AD521" s="634"/>
      <c r="AE521" s="634"/>
      <c r="AF521" s="634"/>
      <c r="AG521" s="634"/>
      <c r="AH521" s="634"/>
      <c r="AI521" s="634"/>
      <c r="AJ521" s="634"/>
      <c r="AK521" s="635"/>
      <c r="AL521" s="634"/>
      <c r="AM521" s="636"/>
      <c r="AN521" s="637"/>
      <c r="AO521" s="637"/>
      <c r="AP521" s="637"/>
      <c r="AQ521" s="638"/>
      <c r="AR521" s="637"/>
      <c r="AS521" s="637"/>
      <c r="AT521" s="634"/>
      <c r="AU521" s="639"/>
      <c r="AV521" s="634"/>
      <c r="AW521" s="634"/>
      <c r="AX521" s="490"/>
      <c r="AY521" s="640"/>
      <c r="AZ521" s="28"/>
      <c r="BA521" s="640"/>
      <c r="BB521" s="490"/>
      <c r="BC521" s="490"/>
      <c r="BD521" s="402"/>
      <c r="BE521" s="402"/>
      <c r="BF521" s="402"/>
      <c r="BG521" s="641"/>
      <c r="BH521" s="642"/>
      <c r="BI521" s="642"/>
      <c r="BJ521" s="629"/>
      <c r="BK521" s="638"/>
      <c r="BL521" s="638"/>
      <c r="BM521" s="638"/>
      <c r="BN521" s="638"/>
      <c r="BO521" s="643"/>
      <c r="BP521" s="644"/>
      <c r="BQ521" s="645"/>
      <c r="BR521" s="645"/>
      <c r="BS521" s="638"/>
      <c r="BT521" s="638"/>
      <c r="BU521" s="638"/>
      <c r="BV521" s="638"/>
      <c r="BW521" s="638"/>
      <c r="BX521" s="638"/>
      <c r="BY521" s="638"/>
      <c r="BZ521" s="638"/>
      <c r="CA521" s="634"/>
      <c r="CB521" s="634"/>
      <c r="CC521" s="634"/>
      <c r="CD521" s="634"/>
      <c r="CE521" s="634"/>
      <c r="CF521" s="634"/>
      <c r="CG521" s="634"/>
      <c r="CH521" s="634"/>
      <c r="CI521" s="634"/>
      <c r="CJ521" s="634"/>
      <c r="CK521" s="629"/>
      <c r="CM521" s="400"/>
      <c r="CN521" s="403"/>
      <c r="CO521" s="646"/>
      <c r="CP521" s="635"/>
      <c r="CR521" s="643"/>
      <c r="CS521" s="647"/>
      <c r="CT521" s="647"/>
      <c r="CU521" s="404"/>
      <c r="CV521" s="648"/>
      <c r="CW521" s="406"/>
      <c r="CX521" s="643"/>
      <c r="DA521" s="400"/>
      <c r="DB521" s="400"/>
    </row>
    <row r="522" spans="1:106" ht="15.75" customHeight="1">
      <c r="A522" s="402"/>
      <c r="C522" s="627"/>
      <c r="D522" s="627"/>
      <c r="E522" s="628"/>
      <c r="F522" s="1374"/>
      <c r="G522" s="629"/>
      <c r="H522" s="629"/>
      <c r="I522" s="630"/>
      <c r="J522" s="631"/>
      <c r="K522" s="628"/>
      <c r="L522" s="629"/>
      <c r="M522" s="632"/>
      <c r="N522" s="633"/>
      <c r="O522" s="633"/>
      <c r="P522" s="633"/>
      <c r="Q522" s="632"/>
      <c r="R522" s="634"/>
      <c r="S522" s="634"/>
      <c r="T522" s="634"/>
      <c r="U522" s="634"/>
      <c r="V522" s="634"/>
      <c r="W522" s="634"/>
      <c r="X522" s="634"/>
      <c r="Y522" s="634"/>
      <c r="Z522" s="634"/>
      <c r="AA522" s="634"/>
      <c r="AB522" s="634"/>
      <c r="AC522" s="634"/>
      <c r="AD522" s="634"/>
      <c r="AE522" s="634"/>
      <c r="AF522" s="634"/>
      <c r="AG522" s="634"/>
      <c r="AH522" s="634"/>
      <c r="AI522" s="634"/>
      <c r="AJ522" s="634"/>
      <c r="AK522" s="635"/>
      <c r="AL522" s="634"/>
      <c r="AM522" s="636"/>
      <c r="AN522" s="637"/>
      <c r="AO522" s="637"/>
      <c r="AP522" s="637"/>
      <c r="AQ522" s="638"/>
      <c r="AR522" s="637"/>
      <c r="AS522" s="637"/>
      <c r="AT522" s="634"/>
      <c r="AU522" s="639"/>
      <c r="AV522" s="634"/>
      <c r="AW522" s="634"/>
      <c r="AX522" s="490"/>
      <c r="AY522" s="640"/>
      <c r="AZ522" s="28"/>
      <c r="BA522" s="640"/>
      <c r="BB522" s="490"/>
      <c r="BC522" s="490"/>
      <c r="BD522" s="402"/>
      <c r="BE522" s="402"/>
      <c r="BF522" s="402"/>
      <c r="BG522" s="641"/>
      <c r="BH522" s="642"/>
      <c r="BI522" s="642"/>
      <c r="BJ522" s="629"/>
      <c r="BK522" s="638"/>
      <c r="BL522" s="638"/>
      <c r="BM522" s="638"/>
      <c r="BN522" s="638"/>
      <c r="BO522" s="643"/>
      <c r="BP522" s="644"/>
      <c r="BQ522" s="645"/>
      <c r="BR522" s="645"/>
      <c r="BS522" s="638"/>
      <c r="BT522" s="638"/>
      <c r="BU522" s="638"/>
      <c r="BV522" s="638"/>
      <c r="BW522" s="638"/>
      <c r="BX522" s="638"/>
      <c r="BY522" s="638"/>
      <c r="BZ522" s="638"/>
      <c r="CA522" s="634"/>
      <c r="CB522" s="634"/>
      <c r="CC522" s="634"/>
      <c r="CD522" s="634"/>
      <c r="CE522" s="634"/>
      <c r="CF522" s="634"/>
      <c r="CG522" s="634"/>
      <c r="CH522" s="634"/>
      <c r="CI522" s="634"/>
      <c r="CJ522" s="634"/>
      <c r="CK522" s="629"/>
      <c r="CM522" s="400"/>
      <c r="CN522" s="403"/>
      <c r="CO522" s="646"/>
      <c r="CP522" s="635"/>
      <c r="CR522" s="643"/>
      <c r="CS522" s="647"/>
      <c r="CT522" s="647"/>
      <c r="CU522" s="404"/>
      <c r="CV522" s="648"/>
      <c r="CW522" s="406"/>
      <c r="CX522" s="643"/>
      <c r="DA522" s="400"/>
      <c r="DB522" s="400"/>
    </row>
    <row r="523" spans="1:106" ht="15.75" customHeight="1">
      <c r="A523" s="402"/>
      <c r="C523" s="627"/>
      <c r="D523" s="627"/>
      <c r="E523" s="628"/>
      <c r="F523" s="1374"/>
      <c r="G523" s="629"/>
      <c r="H523" s="629"/>
      <c r="I523" s="630"/>
      <c r="J523" s="631"/>
      <c r="K523" s="628"/>
      <c r="L523" s="629"/>
      <c r="M523" s="632"/>
      <c r="N523" s="633"/>
      <c r="O523" s="633"/>
      <c r="P523" s="633"/>
      <c r="Q523" s="632"/>
      <c r="R523" s="634"/>
      <c r="S523" s="634"/>
      <c r="T523" s="634"/>
      <c r="U523" s="634"/>
      <c r="V523" s="634"/>
      <c r="W523" s="634"/>
      <c r="X523" s="634"/>
      <c r="Y523" s="634"/>
      <c r="Z523" s="634"/>
      <c r="AA523" s="634"/>
      <c r="AB523" s="634"/>
      <c r="AC523" s="634"/>
      <c r="AD523" s="634"/>
      <c r="AE523" s="634"/>
      <c r="AF523" s="634"/>
      <c r="AG523" s="634"/>
      <c r="AH523" s="634"/>
      <c r="AI523" s="634"/>
      <c r="AJ523" s="634"/>
      <c r="AK523" s="635"/>
      <c r="AL523" s="634"/>
      <c r="AM523" s="636"/>
      <c r="AN523" s="637"/>
      <c r="AO523" s="637"/>
      <c r="AP523" s="637"/>
      <c r="AQ523" s="638"/>
      <c r="AR523" s="637"/>
      <c r="AS523" s="637"/>
      <c r="AT523" s="634"/>
      <c r="AU523" s="639"/>
      <c r="AV523" s="634"/>
      <c r="AW523" s="634"/>
      <c r="AX523" s="490"/>
      <c r="AY523" s="640"/>
      <c r="AZ523" s="28"/>
      <c r="BA523" s="640"/>
      <c r="BB523" s="490"/>
      <c r="BC523" s="490"/>
      <c r="BD523" s="402"/>
      <c r="BE523" s="402"/>
      <c r="BF523" s="402"/>
      <c r="BG523" s="641"/>
      <c r="BH523" s="642"/>
      <c r="BI523" s="642"/>
      <c r="BJ523" s="629"/>
      <c r="BK523" s="638"/>
      <c r="BL523" s="638"/>
      <c r="BM523" s="638"/>
      <c r="BN523" s="638"/>
      <c r="BO523" s="643"/>
      <c r="BP523" s="644"/>
      <c r="BQ523" s="645"/>
      <c r="BR523" s="645"/>
      <c r="BS523" s="638"/>
      <c r="BT523" s="638"/>
      <c r="BU523" s="638"/>
      <c r="BV523" s="638"/>
      <c r="BW523" s="638"/>
      <c r="BX523" s="638"/>
      <c r="BY523" s="638"/>
      <c r="BZ523" s="638"/>
      <c r="CA523" s="634"/>
      <c r="CB523" s="634"/>
      <c r="CC523" s="634"/>
      <c r="CD523" s="634"/>
      <c r="CE523" s="634"/>
      <c r="CF523" s="634"/>
      <c r="CG523" s="634"/>
      <c r="CH523" s="634"/>
      <c r="CI523" s="634"/>
      <c r="CJ523" s="634"/>
      <c r="CK523" s="629"/>
      <c r="CM523" s="400"/>
      <c r="CN523" s="403"/>
      <c r="CO523" s="646"/>
      <c r="CP523" s="635"/>
      <c r="CR523" s="643"/>
      <c r="CS523" s="647"/>
      <c r="CT523" s="647"/>
      <c r="CU523" s="404"/>
      <c r="CV523" s="648"/>
      <c r="CW523" s="406"/>
      <c r="CX523" s="643"/>
      <c r="DA523" s="400"/>
      <c r="DB523" s="400"/>
    </row>
    <row r="524" spans="1:106" ht="15.75" customHeight="1">
      <c r="A524" s="402"/>
      <c r="C524" s="627"/>
      <c r="D524" s="627"/>
      <c r="E524" s="628"/>
      <c r="F524" s="1374"/>
      <c r="G524" s="629"/>
      <c r="H524" s="629"/>
      <c r="I524" s="630"/>
      <c r="J524" s="631"/>
      <c r="K524" s="628"/>
      <c r="L524" s="629"/>
      <c r="M524" s="632"/>
      <c r="N524" s="633"/>
      <c r="O524" s="633"/>
      <c r="P524" s="633"/>
      <c r="Q524" s="632"/>
      <c r="R524" s="634"/>
      <c r="S524" s="634"/>
      <c r="T524" s="634"/>
      <c r="U524" s="634"/>
      <c r="V524" s="634"/>
      <c r="W524" s="634"/>
      <c r="X524" s="634"/>
      <c r="Y524" s="634"/>
      <c r="Z524" s="634"/>
      <c r="AA524" s="634"/>
      <c r="AB524" s="634"/>
      <c r="AC524" s="634"/>
      <c r="AD524" s="634"/>
      <c r="AE524" s="634"/>
      <c r="AF524" s="634"/>
      <c r="AG524" s="634"/>
      <c r="AH524" s="634"/>
      <c r="AI524" s="634"/>
      <c r="AJ524" s="634"/>
      <c r="AK524" s="635"/>
      <c r="AL524" s="634"/>
      <c r="AM524" s="636"/>
      <c r="AN524" s="637"/>
      <c r="AO524" s="637"/>
      <c r="AP524" s="637"/>
      <c r="AQ524" s="638"/>
      <c r="AR524" s="637"/>
      <c r="AS524" s="637"/>
      <c r="AT524" s="634"/>
      <c r="AU524" s="639"/>
      <c r="AV524" s="634"/>
      <c r="AW524" s="634"/>
      <c r="AX524" s="490"/>
      <c r="AY524" s="640"/>
      <c r="AZ524" s="28"/>
      <c r="BA524" s="640"/>
      <c r="BB524" s="490"/>
      <c r="BC524" s="490"/>
      <c r="BD524" s="402"/>
      <c r="BE524" s="402"/>
      <c r="BF524" s="402"/>
      <c r="BG524" s="641"/>
      <c r="BH524" s="642"/>
      <c r="BI524" s="642"/>
      <c r="BJ524" s="629"/>
      <c r="BK524" s="638"/>
      <c r="BL524" s="638"/>
      <c r="BM524" s="638"/>
      <c r="BN524" s="638"/>
      <c r="BO524" s="643"/>
      <c r="BP524" s="644"/>
      <c r="BQ524" s="645"/>
      <c r="BR524" s="645"/>
      <c r="BS524" s="638"/>
      <c r="BT524" s="638"/>
      <c r="BU524" s="638"/>
      <c r="BV524" s="638"/>
      <c r="BW524" s="638"/>
      <c r="BX524" s="638"/>
      <c r="BY524" s="638"/>
      <c r="BZ524" s="638"/>
      <c r="CA524" s="634"/>
      <c r="CB524" s="634"/>
      <c r="CC524" s="634"/>
      <c r="CD524" s="634"/>
      <c r="CE524" s="634"/>
      <c r="CF524" s="634"/>
      <c r="CG524" s="634"/>
      <c r="CH524" s="634"/>
      <c r="CI524" s="634"/>
      <c r="CJ524" s="634"/>
      <c r="CK524" s="629"/>
      <c r="CM524" s="400"/>
      <c r="CN524" s="403"/>
      <c r="CO524" s="646"/>
      <c r="CP524" s="635"/>
      <c r="CR524" s="643"/>
      <c r="CS524" s="647"/>
      <c r="CT524" s="647"/>
      <c r="CU524" s="404"/>
      <c r="CV524" s="648"/>
      <c r="CW524" s="406"/>
      <c r="CX524" s="643"/>
      <c r="DA524" s="400"/>
      <c r="DB524" s="400"/>
    </row>
    <row r="525" spans="1:106" ht="15.75" customHeight="1">
      <c r="A525" s="402"/>
      <c r="C525" s="627"/>
      <c r="D525" s="627"/>
      <c r="E525" s="628"/>
      <c r="F525" s="1374"/>
      <c r="G525" s="629"/>
      <c r="H525" s="629"/>
      <c r="I525" s="630"/>
      <c r="J525" s="631"/>
      <c r="K525" s="628"/>
      <c r="L525" s="629"/>
      <c r="M525" s="632"/>
      <c r="N525" s="633"/>
      <c r="O525" s="633"/>
      <c r="P525" s="633"/>
      <c r="Q525" s="632"/>
      <c r="R525" s="634"/>
      <c r="S525" s="634"/>
      <c r="T525" s="634"/>
      <c r="U525" s="634"/>
      <c r="V525" s="634"/>
      <c r="W525" s="634"/>
      <c r="X525" s="634"/>
      <c r="Y525" s="634"/>
      <c r="Z525" s="634"/>
      <c r="AA525" s="634"/>
      <c r="AB525" s="634"/>
      <c r="AC525" s="634"/>
      <c r="AD525" s="634"/>
      <c r="AE525" s="634"/>
      <c r="AF525" s="634"/>
      <c r="AG525" s="634"/>
      <c r="AH525" s="634"/>
      <c r="AI525" s="634"/>
      <c r="AJ525" s="634"/>
      <c r="AK525" s="635"/>
      <c r="AL525" s="634"/>
      <c r="AM525" s="636"/>
      <c r="AN525" s="637"/>
      <c r="AO525" s="637"/>
      <c r="AP525" s="637"/>
      <c r="AQ525" s="638"/>
      <c r="AR525" s="637"/>
      <c r="AS525" s="637"/>
      <c r="AT525" s="634"/>
      <c r="AU525" s="639"/>
      <c r="AV525" s="634"/>
      <c r="AW525" s="634"/>
      <c r="AX525" s="490"/>
      <c r="AY525" s="640"/>
      <c r="AZ525" s="28"/>
      <c r="BA525" s="640"/>
      <c r="BB525" s="490"/>
      <c r="BC525" s="490"/>
      <c r="BD525" s="402"/>
      <c r="BE525" s="402"/>
      <c r="BF525" s="402"/>
      <c r="BG525" s="641"/>
      <c r="BH525" s="642"/>
      <c r="BI525" s="642"/>
      <c r="BJ525" s="629"/>
      <c r="BK525" s="638"/>
      <c r="BL525" s="638"/>
      <c r="BM525" s="638"/>
      <c r="BN525" s="638"/>
      <c r="BO525" s="643"/>
      <c r="BP525" s="644"/>
      <c r="BQ525" s="645"/>
      <c r="BR525" s="645"/>
      <c r="BS525" s="638"/>
      <c r="BT525" s="638"/>
      <c r="BU525" s="638"/>
      <c r="BV525" s="638"/>
      <c r="BW525" s="638"/>
      <c r="BX525" s="638"/>
      <c r="BY525" s="638"/>
      <c r="BZ525" s="638"/>
      <c r="CA525" s="634"/>
      <c r="CB525" s="634"/>
      <c r="CC525" s="634"/>
      <c r="CD525" s="634"/>
      <c r="CE525" s="634"/>
      <c r="CF525" s="634"/>
      <c r="CG525" s="634"/>
      <c r="CH525" s="634"/>
      <c r="CI525" s="634"/>
      <c r="CJ525" s="634"/>
      <c r="CK525" s="629"/>
      <c r="CM525" s="400"/>
      <c r="CN525" s="403"/>
      <c r="CO525" s="646"/>
      <c r="CP525" s="635"/>
      <c r="CR525" s="643"/>
      <c r="CS525" s="647"/>
      <c r="CT525" s="647"/>
      <c r="CU525" s="404"/>
      <c r="CV525" s="648"/>
      <c r="CW525" s="406"/>
      <c r="CX525" s="643"/>
      <c r="DA525" s="400"/>
      <c r="DB525" s="400"/>
    </row>
    <row r="526" spans="1:106" ht="15.75" customHeight="1">
      <c r="A526" s="402"/>
      <c r="C526" s="627"/>
      <c r="D526" s="627"/>
      <c r="E526" s="628"/>
      <c r="F526" s="1374"/>
      <c r="G526" s="629"/>
      <c r="H526" s="629"/>
      <c r="I526" s="630"/>
      <c r="J526" s="631"/>
      <c r="K526" s="628"/>
      <c r="L526" s="629"/>
      <c r="M526" s="632"/>
      <c r="N526" s="633"/>
      <c r="O526" s="633"/>
      <c r="P526" s="633"/>
      <c r="Q526" s="632"/>
      <c r="R526" s="634"/>
      <c r="S526" s="634"/>
      <c r="T526" s="634"/>
      <c r="U526" s="634"/>
      <c r="V526" s="634"/>
      <c r="W526" s="634"/>
      <c r="X526" s="634"/>
      <c r="Y526" s="634"/>
      <c r="Z526" s="634"/>
      <c r="AA526" s="634"/>
      <c r="AB526" s="634"/>
      <c r="AC526" s="634"/>
      <c r="AD526" s="634"/>
      <c r="AE526" s="634"/>
      <c r="AF526" s="634"/>
      <c r="AG526" s="634"/>
      <c r="AH526" s="634"/>
      <c r="AI526" s="634"/>
      <c r="AJ526" s="634"/>
      <c r="AK526" s="635"/>
      <c r="AL526" s="634"/>
      <c r="AM526" s="636"/>
      <c r="AN526" s="637"/>
      <c r="AO526" s="637"/>
      <c r="AP526" s="637"/>
      <c r="AQ526" s="638"/>
      <c r="AR526" s="637"/>
      <c r="AS526" s="637"/>
      <c r="AT526" s="634"/>
      <c r="AU526" s="639"/>
      <c r="AV526" s="634"/>
      <c r="AW526" s="634"/>
      <c r="AX526" s="490"/>
      <c r="AY526" s="640"/>
      <c r="AZ526" s="28"/>
      <c r="BA526" s="640"/>
      <c r="BB526" s="490"/>
      <c r="BC526" s="490"/>
      <c r="BD526" s="402"/>
      <c r="BE526" s="402"/>
      <c r="BF526" s="402"/>
      <c r="BG526" s="641"/>
      <c r="BH526" s="642"/>
      <c r="BI526" s="642"/>
      <c r="BJ526" s="629"/>
      <c r="BK526" s="638"/>
      <c r="BL526" s="638"/>
      <c r="BM526" s="638"/>
      <c r="BN526" s="638"/>
      <c r="BO526" s="643"/>
      <c r="BP526" s="644"/>
      <c r="BQ526" s="645"/>
      <c r="BR526" s="645"/>
      <c r="BS526" s="638"/>
      <c r="BT526" s="638"/>
      <c r="BU526" s="638"/>
      <c r="BV526" s="638"/>
      <c r="BW526" s="638"/>
      <c r="BX526" s="638"/>
      <c r="BY526" s="638"/>
      <c r="BZ526" s="638"/>
      <c r="CA526" s="634"/>
      <c r="CB526" s="634"/>
      <c r="CC526" s="634"/>
      <c r="CD526" s="634"/>
      <c r="CE526" s="634"/>
      <c r="CF526" s="634"/>
      <c r="CG526" s="634"/>
      <c r="CH526" s="634"/>
      <c r="CI526" s="634"/>
      <c r="CJ526" s="634"/>
      <c r="CK526" s="629"/>
      <c r="CM526" s="400"/>
      <c r="CN526" s="403"/>
      <c r="CO526" s="646"/>
      <c r="CP526" s="635"/>
      <c r="CR526" s="643"/>
      <c r="CS526" s="647"/>
      <c r="CT526" s="647"/>
      <c r="CU526" s="404"/>
      <c r="CV526" s="648"/>
      <c r="CW526" s="406"/>
      <c r="CX526" s="643"/>
      <c r="DA526" s="400"/>
      <c r="DB526" s="400"/>
    </row>
    <row r="527" spans="1:106" ht="15.75" customHeight="1">
      <c r="A527" s="402"/>
      <c r="C527" s="627"/>
      <c r="D527" s="627"/>
      <c r="E527" s="628"/>
      <c r="F527" s="1374"/>
      <c r="G527" s="629"/>
      <c r="H527" s="629"/>
      <c r="I527" s="630"/>
      <c r="J527" s="631"/>
      <c r="K527" s="628"/>
      <c r="L527" s="629"/>
      <c r="M527" s="632"/>
      <c r="N527" s="633"/>
      <c r="O527" s="633"/>
      <c r="P527" s="633"/>
      <c r="Q527" s="632"/>
      <c r="R527" s="634"/>
      <c r="S527" s="634"/>
      <c r="T527" s="634"/>
      <c r="U527" s="634"/>
      <c r="V527" s="634"/>
      <c r="W527" s="634"/>
      <c r="X527" s="634"/>
      <c r="Y527" s="634"/>
      <c r="Z527" s="634"/>
      <c r="AA527" s="634"/>
      <c r="AB527" s="634"/>
      <c r="AC527" s="634"/>
      <c r="AD527" s="634"/>
      <c r="AE527" s="634"/>
      <c r="AF527" s="634"/>
      <c r="AG527" s="634"/>
      <c r="AH527" s="634"/>
      <c r="AI527" s="634"/>
      <c r="AJ527" s="634"/>
      <c r="AK527" s="635"/>
      <c r="AL527" s="634"/>
      <c r="AM527" s="636"/>
      <c r="AN527" s="637"/>
      <c r="AO527" s="637"/>
      <c r="AP527" s="637"/>
      <c r="AQ527" s="638"/>
      <c r="AR527" s="637"/>
      <c r="AS527" s="637"/>
      <c r="AT527" s="634"/>
      <c r="AU527" s="639"/>
      <c r="AV527" s="634"/>
      <c r="AW527" s="634"/>
      <c r="AX527" s="490"/>
      <c r="AY527" s="640"/>
      <c r="AZ527" s="28"/>
      <c r="BA527" s="640"/>
      <c r="BB527" s="490"/>
      <c r="BC527" s="490"/>
      <c r="BD527" s="402"/>
      <c r="BE527" s="402"/>
      <c r="BF527" s="402"/>
      <c r="BG527" s="641"/>
      <c r="BH527" s="642"/>
      <c r="BI527" s="642"/>
      <c r="BJ527" s="629"/>
      <c r="BK527" s="638"/>
      <c r="BL527" s="638"/>
      <c r="BM527" s="638"/>
      <c r="BN527" s="638"/>
      <c r="BO527" s="643"/>
      <c r="BP527" s="644"/>
      <c r="BQ527" s="645"/>
      <c r="BR527" s="645"/>
      <c r="BS527" s="638"/>
      <c r="BT527" s="638"/>
      <c r="BU527" s="638"/>
      <c r="BV527" s="638"/>
      <c r="BW527" s="638"/>
      <c r="BX527" s="638"/>
      <c r="BY527" s="638"/>
      <c r="BZ527" s="638"/>
      <c r="CA527" s="634"/>
      <c r="CB527" s="634"/>
      <c r="CC527" s="634"/>
      <c r="CD527" s="634"/>
      <c r="CE527" s="634"/>
      <c r="CF527" s="634"/>
      <c r="CG527" s="634"/>
      <c r="CH527" s="634"/>
      <c r="CI527" s="634"/>
      <c r="CJ527" s="634"/>
      <c r="CK527" s="629"/>
      <c r="CM527" s="400"/>
      <c r="CN527" s="403"/>
      <c r="CO527" s="646"/>
      <c r="CP527" s="635"/>
      <c r="CR527" s="643"/>
      <c r="CS527" s="647"/>
      <c r="CT527" s="647"/>
      <c r="CU527" s="404"/>
      <c r="CV527" s="648"/>
      <c r="CW527" s="406"/>
      <c r="CX527" s="643"/>
      <c r="DA527" s="400"/>
      <c r="DB527" s="400"/>
    </row>
    <row r="528" spans="1:106" ht="15.75" customHeight="1">
      <c r="A528" s="402"/>
      <c r="C528" s="627"/>
      <c r="D528" s="627"/>
      <c r="E528" s="628"/>
      <c r="F528" s="1374"/>
      <c r="G528" s="629"/>
      <c r="H528" s="629"/>
      <c r="I528" s="630"/>
      <c r="J528" s="631"/>
      <c r="K528" s="628"/>
      <c r="L528" s="629"/>
      <c r="M528" s="632"/>
      <c r="N528" s="633"/>
      <c r="O528" s="633"/>
      <c r="P528" s="633"/>
      <c r="Q528" s="632"/>
      <c r="R528" s="634"/>
      <c r="S528" s="634"/>
      <c r="T528" s="634"/>
      <c r="U528" s="634"/>
      <c r="V528" s="634"/>
      <c r="W528" s="634"/>
      <c r="X528" s="634"/>
      <c r="Y528" s="634"/>
      <c r="Z528" s="634"/>
      <c r="AA528" s="634"/>
      <c r="AB528" s="634"/>
      <c r="AC528" s="634"/>
      <c r="AD528" s="634"/>
      <c r="AE528" s="634"/>
      <c r="AF528" s="634"/>
      <c r="AG528" s="634"/>
      <c r="AH528" s="634"/>
      <c r="AI528" s="634"/>
      <c r="AJ528" s="634"/>
      <c r="AK528" s="635"/>
      <c r="AL528" s="634"/>
      <c r="AM528" s="636"/>
      <c r="AN528" s="637"/>
      <c r="AO528" s="637"/>
      <c r="AP528" s="637"/>
      <c r="AQ528" s="638"/>
      <c r="AR528" s="637"/>
      <c r="AS528" s="637"/>
      <c r="AT528" s="634"/>
      <c r="AU528" s="639"/>
      <c r="AV528" s="634"/>
      <c r="AW528" s="634"/>
      <c r="AX528" s="490"/>
      <c r="AY528" s="640"/>
      <c r="AZ528" s="28"/>
      <c r="BA528" s="640"/>
      <c r="BB528" s="490"/>
      <c r="BC528" s="490"/>
      <c r="BD528" s="402"/>
      <c r="BE528" s="402"/>
      <c r="BF528" s="402"/>
      <c r="BG528" s="641"/>
      <c r="BH528" s="642"/>
      <c r="BI528" s="642"/>
      <c r="BJ528" s="629"/>
      <c r="BK528" s="638"/>
      <c r="BL528" s="638"/>
      <c r="BM528" s="638"/>
      <c r="BN528" s="638"/>
      <c r="BO528" s="643"/>
      <c r="BP528" s="644"/>
      <c r="BQ528" s="645"/>
      <c r="BR528" s="645"/>
      <c r="BS528" s="638"/>
      <c r="BT528" s="638"/>
      <c r="BU528" s="638"/>
      <c r="BV528" s="638"/>
      <c r="BW528" s="638"/>
      <c r="BX528" s="638"/>
      <c r="BY528" s="638"/>
      <c r="BZ528" s="638"/>
      <c r="CA528" s="634"/>
      <c r="CB528" s="634"/>
      <c r="CC528" s="634"/>
      <c r="CD528" s="634"/>
      <c r="CE528" s="634"/>
      <c r="CF528" s="634"/>
      <c r="CG528" s="634"/>
      <c r="CH528" s="634"/>
      <c r="CI528" s="634"/>
      <c r="CJ528" s="634"/>
      <c r="CK528" s="629"/>
      <c r="CM528" s="400"/>
      <c r="CN528" s="403"/>
      <c r="CO528" s="646"/>
      <c r="CP528" s="635"/>
      <c r="CR528" s="643"/>
      <c r="CS528" s="647"/>
      <c r="CT528" s="647"/>
      <c r="CU528" s="404"/>
      <c r="CV528" s="648"/>
      <c r="CW528" s="406"/>
      <c r="CX528" s="643"/>
      <c r="DA528" s="400"/>
      <c r="DB528" s="400"/>
    </row>
    <row r="529" spans="1:106" ht="15.75" customHeight="1">
      <c r="A529" s="402"/>
      <c r="C529" s="627"/>
      <c r="D529" s="627"/>
      <c r="E529" s="628"/>
      <c r="F529" s="1374"/>
      <c r="G529" s="629"/>
      <c r="H529" s="629"/>
      <c r="I529" s="630"/>
      <c r="J529" s="631"/>
      <c r="K529" s="628"/>
      <c r="L529" s="629"/>
      <c r="M529" s="632"/>
      <c r="N529" s="633"/>
      <c r="O529" s="633"/>
      <c r="P529" s="633"/>
      <c r="Q529" s="632"/>
      <c r="R529" s="634"/>
      <c r="S529" s="634"/>
      <c r="T529" s="634"/>
      <c r="U529" s="634"/>
      <c r="V529" s="634"/>
      <c r="W529" s="634"/>
      <c r="X529" s="634"/>
      <c r="Y529" s="634"/>
      <c r="Z529" s="634"/>
      <c r="AA529" s="634"/>
      <c r="AB529" s="634"/>
      <c r="AC529" s="634"/>
      <c r="AD529" s="634"/>
      <c r="AE529" s="634"/>
      <c r="AF529" s="634"/>
      <c r="AG529" s="634"/>
      <c r="AH529" s="634"/>
      <c r="AI529" s="634"/>
      <c r="AJ529" s="634"/>
      <c r="AK529" s="635"/>
      <c r="AL529" s="634"/>
      <c r="AM529" s="636"/>
      <c r="AN529" s="637"/>
      <c r="AO529" s="637"/>
      <c r="AP529" s="637"/>
      <c r="AQ529" s="638"/>
      <c r="AR529" s="637"/>
      <c r="AS529" s="637"/>
      <c r="AT529" s="634"/>
      <c r="AU529" s="639"/>
      <c r="AV529" s="634"/>
      <c r="AW529" s="634"/>
      <c r="AX529" s="490"/>
      <c r="AY529" s="640"/>
      <c r="AZ529" s="28"/>
      <c r="BA529" s="640"/>
      <c r="BB529" s="490"/>
      <c r="BC529" s="490"/>
      <c r="BD529" s="402"/>
      <c r="BE529" s="402"/>
      <c r="BF529" s="402"/>
      <c r="BG529" s="641"/>
      <c r="BH529" s="642"/>
      <c r="BI529" s="642"/>
      <c r="BJ529" s="629"/>
      <c r="BK529" s="638"/>
      <c r="BL529" s="638"/>
      <c r="BM529" s="638"/>
      <c r="BN529" s="638"/>
      <c r="BO529" s="643"/>
      <c r="BP529" s="644"/>
      <c r="BQ529" s="645"/>
      <c r="BR529" s="645"/>
      <c r="BS529" s="638"/>
      <c r="BT529" s="638"/>
      <c r="BU529" s="638"/>
      <c r="BV529" s="638"/>
      <c r="BW529" s="638"/>
      <c r="BX529" s="638"/>
      <c r="BY529" s="638"/>
      <c r="BZ529" s="638"/>
      <c r="CA529" s="634"/>
      <c r="CB529" s="634"/>
      <c r="CC529" s="634"/>
      <c r="CD529" s="634"/>
      <c r="CE529" s="634"/>
      <c r="CF529" s="634"/>
      <c r="CG529" s="634"/>
      <c r="CH529" s="634"/>
      <c r="CI529" s="634"/>
      <c r="CJ529" s="634"/>
      <c r="CK529" s="629"/>
      <c r="CM529" s="400"/>
      <c r="CN529" s="403"/>
      <c r="CO529" s="646"/>
      <c r="CP529" s="635"/>
      <c r="CR529" s="643"/>
      <c r="CS529" s="647"/>
      <c r="CT529" s="647"/>
      <c r="CU529" s="404"/>
      <c r="CV529" s="648"/>
      <c r="CW529" s="406"/>
      <c r="CX529" s="643"/>
      <c r="DA529" s="400"/>
      <c r="DB529" s="400"/>
    </row>
    <row r="530" spans="1:106" ht="15.75" customHeight="1">
      <c r="A530" s="402"/>
      <c r="C530" s="627"/>
      <c r="D530" s="627"/>
      <c r="E530" s="628"/>
      <c r="F530" s="1374"/>
      <c r="G530" s="629"/>
      <c r="H530" s="629"/>
      <c r="I530" s="630"/>
      <c r="J530" s="631"/>
      <c r="K530" s="628"/>
      <c r="L530" s="629"/>
      <c r="M530" s="632"/>
      <c r="N530" s="633"/>
      <c r="O530" s="633"/>
      <c r="P530" s="633"/>
      <c r="Q530" s="632"/>
      <c r="R530" s="634"/>
      <c r="S530" s="634"/>
      <c r="T530" s="634"/>
      <c r="U530" s="634"/>
      <c r="V530" s="634"/>
      <c r="W530" s="634"/>
      <c r="X530" s="634"/>
      <c r="Y530" s="634"/>
      <c r="Z530" s="634"/>
      <c r="AA530" s="634"/>
      <c r="AB530" s="634"/>
      <c r="AC530" s="634"/>
      <c r="AD530" s="634"/>
      <c r="AE530" s="634"/>
      <c r="AF530" s="634"/>
      <c r="AG530" s="634"/>
      <c r="AH530" s="634"/>
      <c r="AI530" s="634"/>
      <c r="AJ530" s="634"/>
      <c r="AK530" s="635"/>
      <c r="AL530" s="634"/>
      <c r="AM530" s="636"/>
      <c r="AN530" s="637"/>
      <c r="AO530" s="637"/>
      <c r="AP530" s="637"/>
      <c r="AQ530" s="638"/>
      <c r="AR530" s="637"/>
      <c r="AS530" s="637"/>
      <c r="AT530" s="634"/>
      <c r="AU530" s="639"/>
      <c r="AV530" s="634"/>
      <c r="AW530" s="634"/>
      <c r="AX530" s="490"/>
      <c r="AY530" s="640"/>
      <c r="AZ530" s="28"/>
      <c r="BA530" s="640"/>
      <c r="BB530" s="490"/>
      <c r="BC530" s="490"/>
      <c r="BD530" s="402"/>
      <c r="BE530" s="402"/>
      <c r="BF530" s="402"/>
      <c r="BG530" s="641"/>
      <c r="BH530" s="642"/>
      <c r="BI530" s="642"/>
      <c r="BJ530" s="629"/>
      <c r="BK530" s="638"/>
      <c r="BL530" s="638"/>
      <c r="BM530" s="638"/>
      <c r="BN530" s="638"/>
      <c r="BO530" s="643"/>
      <c r="BP530" s="644"/>
      <c r="BQ530" s="645"/>
      <c r="BR530" s="645"/>
      <c r="BS530" s="638"/>
      <c r="BT530" s="638"/>
      <c r="BU530" s="638"/>
      <c r="BV530" s="638"/>
      <c r="BW530" s="638"/>
      <c r="BX530" s="638"/>
      <c r="BY530" s="638"/>
      <c r="BZ530" s="638"/>
      <c r="CA530" s="634"/>
      <c r="CB530" s="634"/>
      <c r="CC530" s="634"/>
      <c r="CD530" s="634"/>
      <c r="CE530" s="634"/>
      <c r="CF530" s="634"/>
      <c r="CG530" s="634"/>
      <c r="CH530" s="634"/>
      <c r="CI530" s="634"/>
      <c r="CJ530" s="634"/>
      <c r="CK530" s="629"/>
      <c r="CM530" s="400"/>
      <c r="CN530" s="403"/>
      <c r="CO530" s="646"/>
      <c r="CP530" s="635"/>
      <c r="CR530" s="643"/>
      <c r="CS530" s="647"/>
      <c r="CT530" s="647"/>
      <c r="CU530" s="404"/>
      <c r="CV530" s="648"/>
      <c r="CW530" s="406"/>
      <c r="CX530" s="643"/>
      <c r="DA530" s="400"/>
      <c r="DB530" s="400"/>
    </row>
    <row r="531" spans="1:106" ht="15.75" customHeight="1">
      <c r="A531" s="402"/>
      <c r="C531" s="627"/>
      <c r="D531" s="627"/>
      <c r="E531" s="628"/>
      <c r="F531" s="1374"/>
      <c r="G531" s="629"/>
      <c r="H531" s="629"/>
      <c r="I531" s="630"/>
      <c r="J531" s="631"/>
      <c r="K531" s="628"/>
      <c r="L531" s="629"/>
      <c r="M531" s="632"/>
      <c r="N531" s="633"/>
      <c r="O531" s="633"/>
      <c r="P531" s="633"/>
      <c r="Q531" s="632"/>
      <c r="R531" s="634"/>
      <c r="S531" s="634"/>
      <c r="T531" s="634"/>
      <c r="U531" s="634"/>
      <c r="V531" s="634"/>
      <c r="W531" s="634"/>
      <c r="X531" s="634"/>
      <c r="Y531" s="634"/>
      <c r="Z531" s="634"/>
      <c r="AA531" s="634"/>
      <c r="AB531" s="634"/>
      <c r="AC531" s="634"/>
      <c r="AD531" s="634"/>
      <c r="AE531" s="634"/>
      <c r="AF531" s="634"/>
      <c r="AG531" s="634"/>
      <c r="AH531" s="634"/>
      <c r="AI531" s="634"/>
      <c r="AJ531" s="634"/>
      <c r="AK531" s="635"/>
      <c r="AL531" s="634"/>
      <c r="AM531" s="636"/>
      <c r="AN531" s="637"/>
      <c r="AO531" s="637"/>
      <c r="AP531" s="637"/>
      <c r="AQ531" s="638"/>
      <c r="AR531" s="637"/>
      <c r="AS531" s="637"/>
      <c r="AT531" s="634"/>
      <c r="AU531" s="639"/>
      <c r="AV531" s="634"/>
      <c r="AW531" s="634"/>
      <c r="AX531" s="490"/>
      <c r="AY531" s="640"/>
      <c r="AZ531" s="28"/>
      <c r="BA531" s="640"/>
      <c r="BB531" s="490"/>
      <c r="BC531" s="490"/>
      <c r="BD531" s="402"/>
      <c r="BE531" s="402"/>
      <c r="BF531" s="402"/>
      <c r="BG531" s="641"/>
      <c r="BH531" s="642"/>
      <c r="BI531" s="642"/>
      <c r="BJ531" s="629"/>
      <c r="BK531" s="638"/>
      <c r="BL531" s="638"/>
      <c r="BM531" s="638"/>
      <c r="BN531" s="638"/>
      <c r="BO531" s="643"/>
      <c r="BP531" s="644"/>
      <c r="BQ531" s="645"/>
      <c r="BR531" s="645"/>
      <c r="BS531" s="638"/>
      <c r="BT531" s="638"/>
      <c r="BU531" s="638"/>
      <c r="BV531" s="638"/>
      <c r="BW531" s="638"/>
      <c r="BX531" s="638"/>
      <c r="BY531" s="638"/>
      <c r="BZ531" s="638"/>
      <c r="CA531" s="634"/>
      <c r="CB531" s="634"/>
      <c r="CC531" s="634"/>
      <c r="CD531" s="634"/>
      <c r="CE531" s="634"/>
      <c r="CF531" s="634"/>
      <c r="CG531" s="634"/>
      <c r="CH531" s="634"/>
      <c r="CI531" s="634"/>
      <c r="CJ531" s="634"/>
      <c r="CK531" s="629"/>
      <c r="CM531" s="400"/>
      <c r="CN531" s="403"/>
      <c r="CO531" s="646"/>
      <c r="CP531" s="635"/>
      <c r="CR531" s="643"/>
      <c r="CS531" s="647"/>
      <c r="CT531" s="647"/>
      <c r="CU531" s="404"/>
      <c r="CV531" s="648"/>
      <c r="CW531" s="406"/>
      <c r="CX531" s="643"/>
      <c r="DA531" s="400"/>
      <c r="DB531" s="400"/>
    </row>
    <row r="532" spans="1:106" ht="15.75" customHeight="1">
      <c r="A532" s="402"/>
      <c r="C532" s="627"/>
      <c r="D532" s="627"/>
      <c r="E532" s="628"/>
      <c r="F532" s="1374"/>
      <c r="G532" s="629"/>
      <c r="H532" s="629"/>
      <c r="I532" s="630"/>
      <c r="J532" s="631"/>
      <c r="K532" s="628"/>
      <c r="L532" s="629"/>
      <c r="M532" s="632"/>
      <c r="N532" s="633"/>
      <c r="O532" s="633"/>
      <c r="P532" s="633"/>
      <c r="Q532" s="632"/>
      <c r="R532" s="634"/>
      <c r="S532" s="634"/>
      <c r="T532" s="634"/>
      <c r="U532" s="634"/>
      <c r="V532" s="634"/>
      <c r="W532" s="634"/>
      <c r="X532" s="634"/>
      <c r="Y532" s="634"/>
      <c r="Z532" s="634"/>
      <c r="AA532" s="634"/>
      <c r="AB532" s="634"/>
      <c r="AC532" s="634"/>
      <c r="AD532" s="634"/>
      <c r="AE532" s="634"/>
      <c r="AF532" s="634"/>
      <c r="AG532" s="634"/>
      <c r="AH532" s="634"/>
      <c r="AI532" s="634"/>
      <c r="AJ532" s="634"/>
      <c r="AK532" s="635"/>
      <c r="AL532" s="634"/>
      <c r="AM532" s="636"/>
      <c r="AN532" s="637"/>
      <c r="AO532" s="637"/>
      <c r="AP532" s="637"/>
      <c r="AQ532" s="638"/>
      <c r="AR532" s="637"/>
      <c r="AS532" s="637"/>
      <c r="AT532" s="634"/>
      <c r="AU532" s="639"/>
      <c r="AV532" s="634"/>
      <c r="AW532" s="634"/>
      <c r="AX532" s="490"/>
      <c r="AY532" s="640"/>
      <c r="AZ532" s="28"/>
      <c r="BA532" s="640"/>
      <c r="BB532" s="490"/>
      <c r="BC532" s="490"/>
      <c r="BD532" s="402"/>
      <c r="BE532" s="402"/>
      <c r="BF532" s="402"/>
      <c r="BG532" s="641"/>
      <c r="BH532" s="642"/>
      <c r="BI532" s="642"/>
      <c r="BJ532" s="629"/>
      <c r="BK532" s="638"/>
      <c r="BL532" s="638"/>
      <c r="BM532" s="638"/>
      <c r="BN532" s="638"/>
      <c r="BO532" s="643"/>
      <c r="BP532" s="644"/>
      <c r="BQ532" s="645"/>
      <c r="BR532" s="645"/>
      <c r="BS532" s="638"/>
      <c r="BT532" s="638"/>
      <c r="BU532" s="638"/>
      <c r="BV532" s="638"/>
      <c r="BW532" s="638"/>
      <c r="BX532" s="638"/>
      <c r="BY532" s="638"/>
      <c r="BZ532" s="638"/>
      <c r="CA532" s="634"/>
      <c r="CB532" s="634"/>
      <c r="CC532" s="634"/>
      <c r="CD532" s="634"/>
      <c r="CE532" s="634"/>
      <c r="CF532" s="634"/>
      <c r="CG532" s="634"/>
      <c r="CH532" s="634"/>
      <c r="CI532" s="634"/>
      <c r="CJ532" s="634"/>
      <c r="CK532" s="629"/>
      <c r="CM532" s="400"/>
      <c r="CN532" s="403"/>
      <c r="CO532" s="646"/>
      <c r="CP532" s="635"/>
      <c r="CR532" s="643"/>
      <c r="CS532" s="647"/>
      <c r="CT532" s="647"/>
      <c r="CU532" s="404"/>
      <c r="CV532" s="648"/>
      <c r="CW532" s="406"/>
      <c r="CX532" s="643"/>
      <c r="DA532" s="400"/>
      <c r="DB532" s="400"/>
    </row>
    <row r="533" spans="1:106" ht="15.75" customHeight="1">
      <c r="A533" s="402"/>
      <c r="C533" s="627"/>
      <c r="D533" s="627"/>
      <c r="E533" s="628"/>
      <c r="F533" s="1374"/>
      <c r="G533" s="629"/>
      <c r="H533" s="629"/>
      <c r="I533" s="630"/>
      <c r="J533" s="631"/>
      <c r="K533" s="628"/>
      <c r="L533" s="629"/>
      <c r="M533" s="632"/>
      <c r="N533" s="633"/>
      <c r="O533" s="633"/>
      <c r="P533" s="633"/>
      <c r="Q533" s="632"/>
      <c r="R533" s="634"/>
      <c r="S533" s="634"/>
      <c r="T533" s="634"/>
      <c r="U533" s="634"/>
      <c r="V533" s="634"/>
      <c r="W533" s="634"/>
      <c r="X533" s="634"/>
      <c r="Y533" s="634"/>
      <c r="Z533" s="634"/>
      <c r="AA533" s="634"/>
      <c r="AB533" s="634"/>
      <c r="AC533" s="634"/>
      <c r="AD533" s="634"/>
      <c r="AE533" s="634"/>
      <c r="AF533" s="634"/>
      <c r="AG533" s="634"/>
      <c r="AH533" s="634"/>
      <c r="AI533" s="634"/>
      <c r="AJ533" s="634"/>
      <c r="AK533" s="635"/>
      <c r="AL533" s="634"/>
      <c r="AM533" s="636"/>
      <c r="AN533" s="637"/>
      <c r="AO533" s="637"/>
      <c r="AP533" s="637"/>
      <c r="AQ533" s="638"/>
      <c r="AR533" s="637"/>
      <c r="AS533" s="637"/>
      <c r="AT533" s="634"/>
      <c r="AU533" s="639"/>
      <c r="AV533" s="634"/>
      <c r="AW533" s="634"/>
      <c r="AX533" s="490"/>
      <c r="AY533" s="640"/>
      <c r="AZ533" s="28"/>
      <c r="BA533" s="640"/>
      <c r="BB533" s="490"/>
      <c r="BC533" s="490"/>
      <c r="BD533" s="402"/>
      <c r="BE533" s="402"/>
      <c r="BF533" s="402"/>
      <c r="BG533" s="641"/>
      <c r="BH533" s="642"/>
      <c r="BI533" s="642"/>
      <c r="BJ533" s="629"/>
      <c r="BK533" s="638"/>
      <c r="BL533" s="638"/>
      <c r="BM533" s="638"/>
      <c r="BN533" s="638"/>
      <c r="BO533" s="643"/>
      <c r="BP533" s="644"/>
      <c r="BQ533" s="645"/>
      <c r="BR533" s="645"/>
      <c r="BS533" s="638"/>
      <c r="BT533" s="638"/>
      <c r="BU533" s="638"/>
      <c r="BV533" s="638"/>
      <c r="BW533" s="638"/>
      <c r="BX533" s="638"/>
      <c r="BY533" s="638"/>
      <c r="BZ533" s="638"/>
      <c r="CA533" s="634"/>
      <c r="CB533" s="634"/>
      <c r="CC533" s="634"/>
      <c r="CD533" s="634"/>
      <c r="CE533" s="634"/>
      <c r="CF533" s="634"/>
      <c r="CG533" s="634"/>
      <c r="CH533" s="634"/>
      <c r="CI533" s="634"/>
      <c r="CJ533" s="634"/>
      <c r="CK533" s="629"/>
      <c r="CM533" s="400"/>
      <c r="CN533" s="403"/>
      <c r="CO533" s="646"/>
      <c r="CP533" s="635"/>
      <c r="CR533" s="643"/>
      <c r="CS533" s="647"/>
      <c r="CT533" s="647"/>
      <c r="CU533" s="404"/>
      <c r="CV533" s="648"/>
      <c r="CW533" s="406"/>
      <c r="CX533" s="643"/>
      <c r="DA533" s="400"/>
      <c r="DB533" s="400"/>
    </row>
    <row r="534" spans="1:106" ht="15.75" customHeight="1">
      <c r="A534" s="402"/>
      <c r="C534" s="627"/>
      <c r="D534" s="627"/>
      <c r="E534" s="628"/>
      <c r="F534" s="1374"/>
      <c r="G534" s="629"/>
      <c r="H534" s="629"/>
      <c r="I534" s="630"/>
      <c r="J534" s="631"/>
      <c r="K534" s="628"/>
      <c r="L534" s="629"/>
      <c r="M534" s="632"/>
      <c r="N534" s="633"/>
      <c r="O534" s="633"/>
      <c r="P534" s="633"/>
      <c r="Q534" s="632"/>
      <c r="R534" s="634"/>
      <c r="S534" s="634"/>
      <c r="T534" s="634"/>
      <c r="U534" s="634"/>
      <c r="V534" s="634"/>
      <c r="W534" s="634"/>
      <c r="X534" s="634"/>
      <c r="Y534" s="634"/>
      <c r="Z534" s="634"/>
      <c r="AA534" s="634"/>
      <c r="AB534" s="634"/>
      <c r="AC534" s="634"/>
      <c r="AD534" s="634"/>
      <c r="AE534" s="634"/>
      <c r="AF534" s="634"/>
      <c r="AG534" s="634"/>
      <c r="AH534" s="634"/>
      <c r="AI534" s="634"/>
      <c r="AJ534" s="634"/>
      <c r="AK534" s="635"/>
      <c r="AL534" s="634"/>
      <c r="AM534" s="636"/>
      <c r="AN534" s="637"/>
      <c r="AO534" s="637"/>
      <c r="AP534" s="637"/>
      <c r="AQ534" s="638"/>
      <c r="AR534" s="637"/>
      <c r="AS534" s="637"/>
      <c r="AT534" s="634"/>
      <c r="AU534" s="639"/>
      <c r="AV534" s="634"/>
      <c r="AW534" s="634"/>
      <c r="AX534" s="490"/>
      <c r="AY534" s="640"/>
      <c r="AZ534" s="28"/>
      <c r="BA534" s="640"/>
      <c r="BB534" s="490"/>
      <c r="BC534" s="490"/>
      <c r="BD534" s="402"/>
      <c r="BE534" s="402"/>
      <c r="BF534" s="402"/>
      <c r="BG534" s="641"/>
      <c r="BH534" s="642"/>
      <c r="BI534" s="642"/>
      <c r="BJ534" s="629"/>
      <c r="BK534" s="638"/>
      <c r="BL534" s="638"/>
      <c r="BM534" s="638"/>
      <c r="BN534" s="638"/>
      <c r="BO534" s="643"/>
      <c r="BP534" s="644"/>
      <c r="BQ534" s="645"/>
      <c r="BR534" s="645"/>
      <c r="BS534" s="638"/>
      <c r="BT534" s="638"/>
      <c r="BU534" s="638"/>
      <c r="BV534" s="638"/>
      <c r="BW534" s="638"/>
      <c r="BX534" s="638"/>
      <c r="BY534" s="638"/>
      <c r="BZ534" s="638"/>
      <c r="CA534" s="634"/>
      <c r="CB534" s="634"/>
      <c r="CC534" s="634"/>
      <c r="CD534" s="634"/>
      <c r="CE534" s="634"/>
      <c r="CF534" s="634"/>
      <c r="CG534" s="634"/>
      <c r="CH534" s="634"/>
      <c r="CI534" s="634"/>
      <c r="CJ534" s="634"/>
      <c r="CK534" s="629"/>
      <c r="CM534" s="400"/>
      <c r="CN534" s="403"/>
      <c r="CO534" s="646"/>
      <c r="CP534" s="635"/>
      <c r="CR534" s="643"/>
      <c r="CS534" s="647"/>
      <c r="CT534" s="647"/>
      <c r="CU534" s="404"/>
      <c r="CV534" s="648"/>
      <c r="CW534" s="406"/>
      <c r="CX534" s="643"/>
      <c r="DA534" s="400"/>
      <c r="DB534" s="400"/>
    </row>
    <row r="535" spans="1:106" ht="15.75" customHeight="1">
      <c r="A535" s="402"/>
      <c r="C535" s="627"/>
      <c r="D535" s="627"/>
      <c r="E535" s="628"/>
      <c r="F535" s="1374"/>
      <c r="G535" s="629"/>
      <c r="H535" s="629"/>
      <c r="I535" s="630"/>
      <c r="J535" s="631"/>
      <c r="K535" s="628"/>
      <c r="L535" s="629"/>
      <c r="M535" s="632"/>
      <c r="N535" s="633"/>
      <c r="O535" s="633"/>
      <c r="P535" s="633"/>
      <c r="Q535" s="632"/>
      <c r="R535" s="634"/>
      <c r="S535" s="634"/>
      <c r="T535" s="634"/>
      <c r="U535" s="634"/>
      <c r="V535" s="634"/>
      <c r="W535" s="634"/>
      <c r="X535" s="634"/>
      <c r="Y535" s="634"/>
      <c r="Z535" s="634"/>
      <c r="AA535" s="634"/>
      <c r="AB535" s="634"/>
      <c r="AC535" s="634"/>
      <c r="AD535" s="634"/>
      <c r="AE535" s="634"/>
      <c r="AF535" s="634"/>
      <c r="AG535" s="634"/>
      <c r="AH535" s="634"/>
      <c r="AI535" s="634"/>
      <c r="AJ535" s="634"/>
      <c r="AK535" s="635"/>
      <c r="AL535" s="634"/>
      <c r="AM535" s="636"/>
      <c r="AN535" s="637"/>
      <c r="AO535" s="637"/>
      <c r="AP535" s="637"/>
      <c r="AQ535" s="638"/>
      <c r="AR535" s="637"/>
      <c r="AS535" s="637"/>
      <c r="AT535" s="634"/>
      <c r="AU535" s="639"/>
      <c r="AV535" s="634"/>
      <c r="AW535" s="634"/>
      <c r="AX535" s="490"/>
      <c r="AY535" s="640"/>
      <c r="AZ535" s="28"/>
      <c r="BA535" s="640"/>
      <c r="BB535" s="490"/>
      <c r="BC535" s="490"/>
      <c r="BD535" s="402"/>
      <c r="BE535" s="402"/>
      <c r="BF535" s="402"/>
      <c r="BG535" s="641"/>
      <c r="BH535" s="642"/>
      <c r="BI535" s="642"/>
      <c r="BJ535" s="629"/>
      <c r="BK535" s="638"/>
      <c r="BL535" s="638"/>
      <c r="BM535" s="638"/>
      <c r="BN535" s="638"/>
      <c r="BO535" s="643"/>
      <c r="BP535" s="644"/>
      <c r="BQ535" s="645"/>
      <c r="BR535" s="645"/>
      <c r="BS535" s="638"/>
      <c r="BT535" s="638"/>
      <c r="BU535" s="638"/>
      <c r="BV535" s="638"/>
      <c r="BW535" s="638"/>
      <c r="BX535" s="638"/>
      <c r="BY535" s="638"/>
      <c r="BZ535" s="638"/>
      <c r="CA535" s="634"/>
      <c r="CB535" s="634"/>
      <c r="CC535" s="634"/>
      <c r="CD535" s="634"/>
      <c r="CE535" s="634"/>
      <c r="CF535" s="634"/>
      <c r="CG535" s="634"/>
      <c r="CH535" s="634"/>
      <c r="CI535" s="634"/>
      <c r="CJ535" s="634"/>
      <c r="CK535" s="629"/>
      <c r="CM535" s="400"/>
      <c r="CN535" s="403"/>
      <c r="CO535" s="646"/>
      <c r="CP535" s="635"/>
      <c r="CR535" s="643"/>
      <c r="CS535" s="647"/>
      <c r="CT535" s="647"/>
      <c r="CU535" s="404"/>
      <c r="CV535" s="648"/>
      <c r="CW535" s="406"/>
      <c r="CX535" s="643"/>
      <c r="DA535" s="400"/>
      <c r="DB535" s="400"/>
    </row>
    <row r="536" spans="1:106" ht="15.75" customHeight="1">
      <c r="A536" s="402"/>
      <c r="C536" s="627"/>
      <c r="D536" s="627"/>
      <c r="E536" s="628"/>
      <c r="F536" s="1374"/>
      <c r="G536" s="629"/>
      <c r="H536" s="629"/>
      <c r="I536" s="630"/>
      <c r="J536" s="631"/>
      <c r="K536" s="628"/>
      <c r="L536" s="629"/>
      <c r="M536" s="632"/>
      <c r="N536" s="633"/>
      <c r="O536" s="633"/>
      <c r="P536" s="633"/>
      <c r="Q536" s="632"/>
      <c r="R536" s="634"/>
      <c r="S536" s="634"/>
      <c r="T536" s="634"/>
      <c r="U536" s="634"/>
      <c r="V536" s="634"/>
      <c r="W536" s="634"/>
      <c r="X536" s="634"/>
      <c r="Y536" s="634"/>
      <c r="Z536" s="634"/>
      <c r="AA536" s="634"/>
      <c r="AB536" s="634"/>
      <c r="AC536" s="634"/>
      <c r="AD536" s="634"/>
      <c r="AE536" s="634"/>
      <c r="AF536" s="634"/>
      <c r="AG536" s="634"/>
      <c r="AH536" s="634"/>
      <c r="AI536" s="634"/>
      <c r="AJ536" s="634"/>
      <c r="AK536" s="635"/>
      <c r="AL536" s="634"/>
      <c r="AM536" s="636"/>
      <c r="AN536" s="637"/>
      <c r="AO536" s="637"/>
      <c r="AP536" s="637"/>
      <c r="AQ536" s="638"/>
      <c r="AR536" s="637"/>
      <c r="AS536" s="637"/>
      <c r="AT536" s="634"/>
      <c r="AU536" s="639"/>
      <c r="AV536" s="634"/>
      <c r="AW536" s="634"/>
      <c r="AX536" s="490"/>
      <c r="AY536" s="640"/>
      <c r="AZ536" s="28"/>
      <c r="BA536" s="640"/>
      <c r="BB536" s="490"/>
      <c r="BC536" s="490"/>
      <c r="BD536" s="402"/>
      <c r="BE536" s="402"/>
      <c r="BF536" s="402"/>
      <c r="BG536" s="641"/>
      <c r="BH536" s="642"/>
      <c r="BI536" s="642"/>
      <c r="BJ536" s="629"/>
      <c r="BK536" s="638"/>
      <c r="BL536" s="638"/>
      <c r="BM536" s="638"/>
      <c r="BN536" s="638"/>
      <c r="BO536" s="643"/>
      <c r="BP536" s="644"/>
      <c r="BQ536" s="645"/>
      <c r="BR536" s="645"/>
      <c r="BS536" s="638"/>
      <c r="BT536" s="638"/>
      <c r="BU536" s="638"/>
      <c r="BV536" s="638"/>
      <c r="BW536" s="638"/>
      <c r="BX536" s="638"/>
      <c r="BY536" s="638"/>
      <c r="BZ536" s="638"/>
      <c r="CA536" s="634"/>
      <c r="CB536" s="634"/>
      <c r="CC536" s="634"/>
      <c r="CD536" s="634"/>
      <c r="CE536" s="634"/>
      <c r="CF536" s="634"/>
      <c r="CG536" s="634"/>
      <c r="CH536" s="634"/>
      <c r="CI536" s="634"/>
      <c r="CJ536" s="634"/>
      <c r="CK536" s="629"/>
      <c r="CM536" s="400"/>
      <c r="CN536" s="403"/>
      <c r="CO536" s="646"/>
      <c r="CP536" s="635"/>
      <c r="CR536" s="643"/>
      <c r="CS536" s="647"/>
      <c r="CT536" s="647"/>
      <c r="CU536" s="404"/>
      <c r="CV536" s="648"/>
      <c r="CW536" s="406"/>
      <c r="CX536" s="643"/>
      <c r="DA536" s="400"/>
      <c r="DB536" s="400"/>
    </row>
    <row r="537" spans="1:106" ht="15.75" customHeight="1">
      <c r="A537" s="402"/>
      <c r="C537" s="627"/>
      <c r="D537" s="627"/>
      <c r="E537" s="628"/>
      <c r="F537" s="1374"/>
      <c r="G537" s="629"/>
      <c r="H537" s="629"/>
      <c r="I537" s="630"/>
      <c r="J537" s="631"/>
      <c r="K537" s="628"/>
      <c r="L537" s="629"/>
      <c r="M537" s="632"/>
      <c r="N537" s="633"/>
      <c r="O537" s="633"/>
      <c r="P537" s="633"/>
      <c r="Q537" s="632"/>
      <c r="R537" s="634"/>
      <c r="S537" s="634"/>
      <c r="T537" s="634"/>
      <c r="U537" s="634"/>
      <c r="V537" s="634"/>
      <c r="W537" s="634"/>
      <c r="X537" s="634"/>
      <c r="Y537" s="634"/>
      <c r="Z537" s="634"/>
      <c r="AA537" s="634"/>
      <c r="AB537" s="634"/>
      <c r="AC537" s="634"/>
      <c r="AD537" s="634"/>
      <c r="AE537" s="634"/>
      <c r="AF537" s="634"/>
      <c r="AG537" s="634"/>
      <c r="AH537" s="634"/>
      <c r="AI537" s="634"/>
      <c r="AJ537" s="634"/>
      <c r="AK537" s="635"/>
      <c r="AL537" s="634"/>
      <c r="AM537" s="636"/>
      <c r="AN537" s="637"/>
      <c r="AO537" s="637"/>
      <c r="AP537" s="637"/>
      <c r="AQ537" s="638"/>
      <c r="AR537" s="637"/>
      <c r="AS537" s="637"/>
      <c r="AT537" s="634"/>
      <c r="AU537" s="639"/>
      <c r="AV537" s="634"/>
      <c r="AW537" s="634"/>
      <c r="AX537" s="490"/>
      <c r="AY537" s="640"/>
      <c r="AZ537" s="28"/>
      <c r="BA537" s="640"/>
      <c r="BB537" s="490"/>
      <c r="BC537" s="490"/>
      <c r="BD537" s="402"/>
      <c r="BE537" s="402"/>
      <c r="BF537" s="402"/>
      <c r="BG537" s="641"/>
      <c r="BH537" s="642"/>
      <c r="BI537" s="642"/>
      <c r="BJ537" s="629"/>
      <c r="BK537" s="638"/>
      <c r="BL537" s="638"/>
      <c r="BM537" s="638"/>
      <c r="BN537" s="638"/>
      <c r="BO537" s="643"/>
      <c r="BP537" s="644"/>
      <c r="BQ537" s="645"/>
      <c r="BR537" s="645"/>
      <c r="BS537" s="638"/>
      <c r="BT537" s="638"/>
      <c r="BU537" s="638"/>
      <c r="BV537" s="638"/>
      <c r="BW537" s="638"/>
      <c r="BX537" s="638"/>
      <c r="BY537" s="638"/>
      <c r="BZ537" s="638"/>
      <c r="CA537" s="634"/>
      <c r="CB537" s="634"/>
      <c r="CC537" s="634"/>
      <c r="CD537" s="634"/>
      <c r="CE537" s="634"/>
      <c r="CF537" s="634"/>
      <c r="CG537" s="634"/>
      <c r="CH537" s="634"/>
      <c r="CI537" s="634"/>
      <c r="CJ537" s="634"/>
      <c r="CK537" s="629"/>
      <c r="CM537" s="400"/>
      <c r="CN537" s="403"/>
      <c r="CO537" s="646"/>
      <c r="CP537" s="635"/>
      <c r="CR537" s="643"/>
      <c r="CS537" s="647"/>
      <c r="CT537" s="647"/>
      <c r="CU537" s="404"/>
      <c r="CV537" s="648"/>
      <c r="CW537" s="406"/>
      <c r="CX537" s="643"/>
      <c r="DA537" s="400"/>
      <c r="DB537" s="400"/>
    </row>
    <row r="538" spans="1:106" ht="15.75" customHeight="1">
      <c r="A538" s="402"/>
      <c r="C538" s="627"/>
      <c r="D538" s="627"/>
      <c r="E538" s="628"/>
      <c r="F538" s="1374"/>
      <c r="G538" s="629"/>
      <c r="H538" s="629"/>
      <c r="I538" s="630"/>
      <c r="J538" s="631"/>
      <c r="K538" s="628"/>
      <c r="L538" s="629"/>
      <c r="M538" s="632"/>
      <c r="N538" s="633"/>
      <c r="O538" s="633"/>
      <c r="P538" s="633"/>
      <c r="Q538" s="632"/>
      <c r="R538" s="634"/>
      <c r="S538" s="634"/>
      <c r="T538" s="634"/>
      <c r="U538" s="634"/>
      <c r="V538" s="634"/>
      <c r="W538" s="634"/>
      <c r="X538" s="634"/>
      <c r="Y538" s="634"/>
      <c r="Z538" s="634"/>
      <c r="AA538" s="634"/>
      <c r="AB538" s="634"/>
      <c r="AC538" s="634"/>
      <c r="AD538" s="634"/>
      <c r="AE538" s="634"/>
      <c r="AF538" s="634"/>
      <c r="AG538" s="634"/>
      <c r="AH538" s="634"/>
      <c r="AI538" s="634"/>
      <c r="AJ538" s="634"/>
      <c r="AK538" s="635"/>
      <c r="AL538" s="634"/>
      <c r="AM538" s="636"/>
      <c r="AN538" s="637"/>
      <c r="AO538" s="637"/>
      <c r="AP538" s="637"/>
      <c r="AQ538" s="638"/>
      <c r="AR538" s="637"/>
      <c r="AS538" s="637"/>
      <c r="AT538" s="634"/>
      <c r="AU538" s="639"/>
      <c r="AV538" s="634"/>
      <c r="AW538" s="634"/>
      <c r="AX538" s="490"/>
      <c r="AY538" s="640"/>
      <c r="AZ538" s="28"/>
      <c r="BA538" s="640"/>
      <c r="BB538" s="490"/>
      <c r="BC538" s="490"/>
      <c r="BD538" s="402"/>
      <c r="BE538" s="402"/>
      <c r="BF538" s="402"/>
      <c r="BG538" s="641"/>
      <c r="BH538" s="642"/>
      <c r="BI538" s="642"/>
      <c r="BJ538" s="629"/>
      <c r="BK538" s="638"/>
      <c r="BL538" s="638"/>
      <c r="BM538" s="638"/>
      <c r="BN538" s="638"/>
      <c r="BO538" s="643"/>
      <c r="BP538" s="644"/>
      <c r="BQ538" s="645"/>
      <c r="BR538" s="645"/>
      <c r="BS538" s="638"/>
      <c r="BT538" s="638"/>
      <c r="BU538" s="638"/>
      <c r="BV538" s="638"/>
      <c r="BW538" s="638"/>
      <c r="BX538" s="638"/>
      <c r="BY538" s="638"/>
      <c r="BZ538" s="638"/>
      <c r="CA538" s="634"/>
      <c r="CB538" s="634"/>
      <c r="CC538" s="634"/>
      <c r="CD538" s="634"/>
      <c r="CE538" s="634"/>
      <c r="CF538" s="634"/>
      <c r="CG538" s="634"/>
      <c r="CH538" s="634"/>
      <c r="CI538" s="634"/>
      <c r="CJ538" s="634"/>
      <c r="CK538" s="629"/>
      <c r="CM538" s="400"/>
      <c r="CN538" s="403"/>
      <c r="CO538" s="646"/>
      <c r="CP538" s="635"/>
      <c r="CR538" s="643"/>
      <c r="CS538" s="647"/>
      <c r="CT538" s="647"/>
      <c r="CU538" s="404"/>
      <c r="CV538" s="648"/>
      <c r="CW538" s="406"/>
      <c r="CX538" s="643"/>
      <c r="DA538" s="400"/>
      <c r="DB538" s="400"/>
    </row>
    <row r="539" spans="1:106" ht="15.75" customHeight="1">
      <c r="A539" s="402"/>
      <c r="C539" s="627"/>
      <c r="D539" s="627"/>
      <c r="E539" s="628"/>
      <c r="F539" s="1374"/>
      <c r="G539" s="629"/>
      <c r="H539" s="629"/>
      <c r="I539" s="630"/>
      <c r="J539" s="631"/>
      <c r="K539" s="628"/>
      <c r="L539" s="629"/>
      <c r="M539" s="632"/>
      <c r="N539" s="633"/>
      <c r="O539" s="633"/>
      <c r="P539" s="633"/>
      <c r="Q539" s="632"/>
      <c r="R539" s="634"/>
      <c r="S539" s="634"/>
      <c r="T539" s="634"/>
      <c r="U539" s="634"/>
      <c r="V539" s="634"/>
      <c r="W539" s="634"/>
      <c r="X539" s="634"/>
      <c r="Y539" s="634"/>
      <c r="Z539" s="634"/>
      <c r="AA539" s="634"/>
      <c r="AB539" s="634"/>
      <c r="AC539" s="634"/>
      <c r="AD539" s="634"/>
      <c r="AE539" s="634"/>
      <c r="AF539" s="634"/>
      <c r="AG539" s="634"/>
      <c r="AH539" s="634"/>
      <c r="AI539" s="634"/>
      <c r="AJ539" s="634"/>
      <c r="AK539" s="635"/>
      <c r="AL539" s="634"/>
      <c r="AM539" s="636"/>
      <c r="AN539" s="637"/>
      <c r="AO539" s="637"/>
      <c r="AP539" s="637"/>
      <c r="AQ539" s="638"/>
      <c r="AR539" s="637"/>
      <c r="AS539" s="637"/>
      <c r="AT539" s="634"/>
      <c r="AU539" s="639"/>
      <c r="AV539" s="634"/>
      <c r="AW539" s="634"/>
      <c r="AX539" s="490"/>
      <c r="AY539" s="640"/>
      <c r="AZ539" s="28"/>
      <c r="BA539" s="640"/>
      <c r="BB539" s="490"/>
      <c r="BC539" s="490"/>
      <c r="BD539" s="402"/>
      <c r="BE539" s="402"/>
      <c r="BF539" s="402"/>
      <c r="BG539" s="641"/>
      <c r="BH539" s="642"/>
      <c r="BI539" s="642"/>
      <c r="BJ539" s="629"/>
      <c r="BK539" s="638"/>
      <c r="BL539" s="638"/>
      <c r="BM539" s="638"/>
      <c r="BN539" s="638"/>
      <c r="BO539" s="643"/>
      <c r="BP539" s="644"/>
      <c r="BQ539" s="645"/>
      <c r="BR539" s="645"/>
      <c r="BS539" s="638"/>
      <c r="BT539" s="638"/>
      <c r="BU539" s="638"/>
      <c r="BV539" s="638"/>
      <c r="BW539" s="638"/>
      <c r="BX539" s="638"/>
      <c r="BY539" s="638"/>
      <c r="BZ539" s="638"/>
      <c r="CA539" s="634"/>
      <c r="CB539" s="634"/>
      <c r="CC539" s="634"/>
      <c r="CD539" s="634"/>
      <c r="CE539" s="634"/>
      <c r="CF539" s="634"/>
      <c r="CG539" s="634"/>
      <c r="CH539" s="634"/>
      <c r="CI539" s="634"/>
      <c r="CJ539" s="634"/>
      <c r="CK539" s="629"/>
      <c r="CM539" s="400"/>
      <c r="CN539" s="403"/>
      <c r="CO539" s="646"/>
      <c r="CP539" s="635"/>
      <c r="CR539" s="643"/>
      <c r="CS539" s="647"/>
      <c r="CT539" s="647"/>
      <c r="CU539" s="404"/>
      <c r="CV539" s="648"/>
      <c r="CW539" s="406"/>
      <c r="CX539" s="643"/>
      <c r="DA539" s="400"/>
      <c r="DB539" s="400"/>
    </row>
    <row r="540" spans="1:106" ht="15.75" customHeight="1">
      <c r="A540" s="402"/>
      <c r="C540" s="627"/>
      <c r="D540" s="627"/>
      <c r="E540" s="628"/>
      <c r="F540" s="1374"/>
      <c r="G540" s="629"/>
      <c r="H540" s="629"/>
      <c r="I540" s="630"/>
      <c r="J540" s="631"/>
      <c r="K540" s="628"/>
      <c r="L540" s="629"/>
      <c r="M540" s="632"/>
      <c r="N540" s="633"/>
      <c r="O540" s="633"/>
      <c r="P540" s="633"/>
      <c r="Q540" s="632"/>
      <c r="R540" s="634"/>
      <c r="S540" s="634"/>
      <c r="T540" s="634"/>
      <c r="U540" s="634"/>
      <c r="V540" s="634"/>
      <c r="W540" s="634"/>
      <c r="X540" s="634"/>
      <c r="Y540" s="634"/>
      <c r="Z540" s="634"/>
      <c r="AA540" s="634"/>
      <c r="AB540" s="634"/>
      <c r="AC540" s="634"/>
      <c r="AD540" s="634"/>
      <c r="AE540" s="634"/>
      <c r="AF540" s="634"/>
      <c r="AG540" s="634"/>
      <c r="AH540" s="634"/>
      <c r="AI540" s="634"/>
      <c r="AJ540" s="634"/>
      <c r="AK540" s="635"/>
      <c r="AL540" s="634"/>
      <c r="AM540" s="636"/>
      <c r="AN540" s="637"/>
      <c r="AO540" s="637"/>
      <c r="AP540" s="637"/>
      <c r="AQ540" s="638"/>
      <c r="AR540" s="637"/>
      <c r="AS540" s="637"/>
      <c r="AT540" s="634"/>
      <c r="AU540" s="639"/>
      <c r="AV540" s="634"/>
      <c r="AW540" s="634"/>
      <c r="AX540" s="490"/>
      <c r="AY540" s="640"/>
      <c r="AZ540" s="28"/>
      <c r="BA540" s="640"/>
      <c r="BB540" s="490"/>
      <c r="BC540" s="490"/>
      <c r="BD540" s="402"/>
      <c r="BE540" s="402"/>
      <c r="BF540" s="402"/>
      <c r="BG540" s="641"/>
      <c r="BH540" s="642"/>
      <c r="BI540" s="642"/>
      <c r="BJ540" s="629"/>
      <c r="BK540" s="638"/>
      <c r="BL540" s="638"/>
      <c r="BM540" s="638"/>
      <c r="BN540" s="638"/>
      <c r="BO540" s="643"/>
      <c r="BP540" s="644"/>
      <c r="BQ540" s="645"/>
      <c r="BR540" s="645"/>
      <c r="BS540" s="638"/>
      <c r="BT540" s="638"/>
      <c r="BU540" s="638"/>
      <c r="BV540" s="638"/>
      <c r="BW540" s="638"/>
      <c r="BX540" s="638"/>
      <c r="BY540" s="638"/>
      <c r="BZ540" s="638"/>
      <c r="CA540" s="634"/>
      <c r="CB540" s="634"/>
      <c r="CC540" s="634"/>
      <c r="CD540" s="634"/>
      <c r="CE540" s="634"/>
      <c r="CF540" s="634"/>
      <c r="CG540" s="634"/>
      <c r="CH540" s="634"/>
      <c r="CI540" s="634"/>
      <c r="CJ540" s="634"/>
      <c r="CK540" s="629"/>
      <c r="CM540" s="400"/>
      <c r="CN540" s="403"/>
      <c r="CO540" s="646"/>
      <c r="CP540" s="635"/>
      <c r="CR540" s="643"/>
      <c r="CS540" s="647"/>
      <c r="CT540" s="647"/>
      <c r="CU540" s="404"/>
      <c r="CV540" s="648"/>
      <c r="CW540" s="406"/>
      <c r="CX540" s="643"/>
      <c r="DA540" s="400"/>
      <c r="DB540" s="400"/>
    </row>
    <row r="541" spans="1:106" ht="15.75" customHeight="1">
      <c r="A541" s="402"/>
      <c r="C541" s="627"/>
      <c r="D541" s="627"/>
      <c r="E541" s="628"/>
      <c r="F541" s="1374"/>
      <c r="G541" s="629"/>
      <c r="H541" s="629"/>
      <c r="I541" s="630"/>
      <c r="J541" s="631"/>
      <c r="K541" s="628"/>
      <c r="L541" s="629"/>
      <c r="M541" s="632"/>
      <c r="N541" s="633"/>
      <c r="O541" s="633"/>
      <c r="P541" s="633"/>
      <c r="Q541" s="632"/>
      <c r="R541" s="634"/>
      <c r="S541" s="634"/>
      <c r="T541" s="634"/>
      <c r="U541" s="634"/>
      <c r="V541" s="634"/>
      <c r="W541" s="634"/>
      <c r="X541" s="634"/>
      <c r="Y541" s="634"/>
      <c r="Z541" s="634"/>
      <c r="AA541" s="634"/>
      <c r="AB541" s="634"/>
      <c r="AC541" s="634"/>
      <c r="AD541" s="634"/>
      <c r="AE541" s="634"/>
      <c r="AF541" s="634"/>
      <c r="AG541" s="634"/>
      <c r="AH541" s="634"/>
      <c r="AI541" s="634"/>
      <c r="AJ541" s="634"/>
      <c r="AK541" s="635"/>
      <c r="AL541" s="634"/>
      <c r="AM541" s="636"/>
      <c r="AN541" s="637"/>
      <c r="AO541" s="637"/>
      <c r="AP541" s="637"/>
      <c r="AQ541" s="638"/>
      <c r="AR541" s="637"/>
      <c r="AS541" s="637"/>
      <c r="AT541" s="634"/>
      <c r="AU541" s="639"/>
      <c r="AV541" s="634"/>
      <c r="AW541" s="634"/>
      <c r="AX541" s="490"/>
      <c r="AY541" s="640"/>
      <c r="AZ541" s="28"/>
      <c r="BA541" s="640"/>
      <c r="BB541" s="490"/>
      <c r="BC541" s="490"/>
      <c r="BD541" s="402"/>
      <c r="BE541" s="402"/>
      <c r="BF541" s="402"/>
      <c r="BG541" s="641"/>
      <c r="BH541" s="642"/>
      <c r="BI541" s="642"/>
      <c r="BJ541" s="629"/>
      <c r="BK541" s="638"/>
      <c r="BL541" s="638"/>
      <c r="BM541" s="638"/>
      <c r="BN541" s="638"/>
      <c r="BO541" s="643"/>
      <c r="BP541" s="644"/>
      <c r="BQ541" s="645"/>
      <c r="BR541" s="645"/>
      <c r="BS541" s="638"/>
      <c r="BT541" s="638"/>
      <c r="BU541" s="638"/>
      <c r="BV541" s="638"/>
      <c r="BW541" s="638"/>
      <c r="BX541" s="638"/>
      <c r="BY541" s="638"/>
      <c r="BZ541" s="638"/>
      <c r="CA541" s="634"/>
      <c r="CB541" s="634"/>
      <c r="CC541" s="634"/>
      <c r="CD541" s="634"/>
      <c r="CE541" s="634"/>
      <c r="CF541" s="634"/>
      <c r="CG541" s="634"/>
      <c r="CH541" s="634"/>
      <c r="CI541" s="634"/>
      <c r="CJ541" s="634"/>
      <c r="CK541" s="629"/>
      <c r="CM541" s="400"/>
      <c r="CN541" s="403"/>
      <c r="CO541" s="646"/>
      <c r="CP541" s="635"/>
      <c r="CR541" s="643"/>
      <c r="CS541" s="647"/>
      <c r="CT541" s="647"/>
      <c r="CU541" s="404"/>
      <c r="CV541" s="648"/>
      <c r="CW541" s="406"/>
      <c r="CX541" s="643"/>
      <c r="DA541" s="400"/>
      <c r="DB541" s="400"/>
    </row>
    <row r="542" spans="1:106" ht="15.75" customHeight="1">
      <c r="A542" s="402"/>
      <c r="C542" s="627"/>
      <c r="D542" s="627"/>
      <c r="E542" s="628"/>
      <c r="F542" s="1374"/>
      <c r="G542" s="629"/>
      <c r="H542" s="629"/>
      <c r="I542" s="630"/>
      <c r="J542" s="631"/>
      <c r="K542" s="628"/>
      <c r="L542" s="629"/>
      <c r="M542" s="632"/>
      <c r="N542" s="633"/>
      <c r="O542" s="633"/>
      <c r="P542" s="633"/>
      <c r="Q542" s="632"/>
      <c r="R542" s="634"/>
      <c r="S542" s="634"/>
      <c r="T542" s="634"/>
      <c r="U542" s="634"/>
      <c r="V542" s="634"/>
      <c r="W542" s="634"/>
      <c r="X542" s="634"/>
      <c r="Y542" s="634"/>
      <c r="Z542" s="634"/>
      <c r="AA542" s="634"/>
      <c r="AB542" s="634"/>
      <c r="AC542" s="634"/>
      <c r="AD542" s="634"/>
      <c r="AE542" s="634"/>
      <c r="AF542" s="634"/>
      <c r="AG542" s="634"/>
      <c r="AH542" s="634"/>
      <c r="AI542" s="634"/>
      <c r="AJ542" s="634"/>
      <c r="AK542" s="635"/>
      <c r="AL542" s="634"/>
      <c r="AM542" s="636"/>
      <c r="AN542" s="637"/>
      <c r="AO542" s="637"/>
      <c r="AP542" s="637"/>
      <c r="AQ542" s="638"/>
      <c r="AR542" s="637"/>
      <c r="AS542" s="637"/>
      <c r="AT542" s="634"/>
      <c r="AU542" s="639"/>
      <c r="AV542" s="634"/>
      <c r="AW542" s="634"/>
      <c r="AX542" s="490"/>
      <c r="AY542" s="640"/>
      <c r="AZ542" s="28"/>
      <c r="BA542" s="640"/>
      <c r="BB542" s="490"/>
      <c r="BC542" s="490"/>
      <c r="BD542" s="402"/>
      <c r="BE542" s="402"/>
      <c r="BF542" s="402"/>
      <c r="BG542" s="641"/>
      <c r="BH542" s="642"/>
      <c r="BI542" s="642"/>
      <c r="BJ542" s="629"/>
      <c r="BK542" s="638"/>
      <c r="BL542" s="638"/>
      <c r="BM542" s="638"/>
      <c r="BN542" s="638"/>
      <c r="BO542" s="643"/>
      <c r="BP542" s="644"/>
      <c r="BQ542" s="645"/>
      <c r="BR542" s="645"/>
      <c r="BS542" s="638"/>
      <c r="BT542" s="638"/>
      <c r="BU542" s="638"/>
      <c r="BV542" s="638"/>
      <c r="BW542" s="638"/>
      <c r="BX542" s="638"/>
      <c r="BY542" s="638"/>
      <c r="BZ542" s="638"/>
      <c r="CA542" s="634"/>
      <c r="CB542" s="634"/>
      <c r="CC542" s="634"/>
      <c r="CD542" s="634"/>
      <c r="CE542" s="634"/>
      <c r="CF542" s="634"/>
      <c r="CG542" s="634"/>
      <c r="CH542" s="634"/>
      <c r="CI542" s="634"/>
      <c r="CJ542" s="634"/>
      <c r="CK542" s="629"/>
      <c r="CM542" s="400"/>
      <c r="CN542" s="403"/>
      <c r="CO542" s="646"/>
      <c r="CP542" s="635"/>
      <c r="CR542" s="643"/>
      <c r="CS542" s="647"/>
      <c r="CT542" s="647"/>
      <c r="CU542" s="404"/>
      <c r="CV542" s="648"/>
      <c r="CW542" s="406"/>
      <c r="CX542" s="643"/>
      <c r="DA542" s="400"/>
      <c r="DB542" s="400"/>
    </row>
    <row r="543" spans="1:106" ht="15.75" customHeight="1">
      <c r="A543" s="402"/>
      <c r="C543" s="627"/>
      <c r="D543" s="627"/>
      <c r="E543" s="628"/>
      <c r="F543" s="1374"/>
      <c r="G543" s="629"/>
      <c r="H543" s="629"/>
      <c r="I543" s="630"/>
      <c r="J543" s="631"/>
      <c r="K543" s="628"/>
      <c r="L543" s="629"/>
      <c r="M543" s="632"/>
      <c r="N543" s="633"/>
      <c r="O543" s="633"/>
      <c r="P543" s="633"/>
      <c r="Q543" s="632"/>
      <c r="R543" s="634"/>
      <c r="S543" s="634"/>
      <c r="T543" s="634"/>
      <c r="U543" s="634"/>
      <c r="V543" s="634"/>
      <c r="W543" s="634"/>
      <c r="X543" s="634"/>
      <c r="Y543" s="634"/>
      <c r="Z543" s="634"/>
      <c r="AA543" s="634"/>
      <c r="AB543" s="634"/>
      <c r="AC543" s="634"/>
      <c r="AD543" s="634"/>
      <c r="AE543" s="634"/>
      <c r="AF543" s="634"/>
      <c r="AG543" s="634"/>
      <c r="AH543" s="634"/>
      <c r="AI543" s="634"/>
      <c r="AJ543" s="634"/>
      <c r="AK543" s="635"/>
      <c r="AL543" s="634"/>
      <c r="AM543" s="636"/>
      <c r="AN543" s="637"/>
      <c r="AO543" s="637"/>
      <c r="AP543" s="637"/>
      <c r="AQ543" s="638"/>
      <c r="AR543" s="637"/>
      <c r="AS543" s="637"/>
      <c r="AT543" s="634"/>
      <c r="AU543" s="639"/>
      <c r="AV543" s="634"/>
      <c r="AW543" s="634"/>
      <c r="AX543" s="490"/>
      <c r="AY543" s="640"/>
      <c r="AZ543" s="28"/>
      <c r="BA543" s="640"/>
      <c r="BB543" s="490"/>
      <c r="BC543" s="490"/>
      <c r="BD543" s="402"/>
      <c r="BE543" s="402"/>
      <c r="BF543" s="402"/>
      <c r="BG543" s="641"/>
      <c r="BH543" s="642"/>
      <c r="BI543" s="642"/>
      <c r="BJ543" s="629"/>
      <c r="BK543" s="638"/>
      <c r="BL543" s="638"/>
      <c r="BM543" s="638"/>
      <c r="BN543" s="638"/>
      <c r="BO543" s="643"/>
      <c r="BP543" s="644"/>
      <c r="BQ543" s="645"/>
      <c r="BR543" s="645"/>
      <c r="BS543" s="638"/>
      <c r="BT543" s="638"/>
      <c r="BU543" s="638"/>
      <c r="BV543" s="638"/>
      <c r="BW543" s="638"/>
      <c r="BX543" s="638"/>
      <c r="BY543" s="638"/>
      <c r="BZ543" s="638"/>
      <c r="CA543" s="634"/>
      <c r="CB543" s="634"/>
      <c r="CC543" s="634"/>
      <c r="CD543" s="634"/>
      <c r="CE543" s="634"/>
      <c r="CF543" s="634"/>
      <c r="CG543" s="634"/>
      <c r="CH543" s="634"/>
      <c r="CI543" s="634"/>
      <c r="CJ543" s="634"/>
      <c r="CK543" s="629"/>
      <c r="CM543" s="400"/>
      <c r="CN543" s="403"/>
      <c r="CO543" s="646"/>
      <c r="CP543" s="635"/>
      <c r="CR543" s="643"/>
      <c r="CS543" s="647"/>
      <c r="CT543" s="647"/>
      <c r="CU543" s="404"/>
      <c r="CV543" s="648"/>
      <c r="CW543" s="406"/>
      <c r="CX543" s="643"/>
      <c r="DA543" s="400"/>
      <c r="DB543" s="400"/>
    </row>
    <row r="544" spans="1:106" ht="15.75" customHeight="1">
      <c r="A544" s="402"/>
      <c r="C544" s="627"/>
      <c r="D544" s="627"/>
      <c r="E544" s="628"/>
      <c r="F544" s="1374"/>
      <c r="G544" s="629"/>
      <c r="H544" s="629"/>
      <c r="I544" s="630"/>
      <c r="J544" s="631"/>
      <c r="K544" s="628"/>
      <c r="L544" s="629"/>
      <c r="M544" s="632"/>
      <c r="N544" s="633"/>
      <c r="O544" s="633"/>
      <c r="P544" s="633"/>
      <c r="Q544" s="632"/>
      <c r="R544" s="634"/>
      <c r="S544" s="634"/>
      <c r="T544" s="634"/>
      <c r="U544" s="634"/>
      <c r="V544" s="634"/>
      <c r="W544" s="634"/>
      <c r="X544" s="634"/>
      <c r="Y544" s="634"/>
      <c r="Z544" s="634"/>
      <c r="AA544" s="634"/>
      <c r="AB544" s="634"/>
      <c r="AC544" s="634"/>
      <c r="AD544" s="634"/>
      <c r="AE544" s="634"/>
      <c r="AF544" s="634"/>
      <c r="AG544" s="634"/>
      <c r="AH544" s="634"/>
      <c r="AI544" s="634"/>
      <c r="AJ544" s="634"/>
      <c r="AK544" s="635"/>
      <c r="AL544" s="634"/>
      <c r="AM544" s="636"/>
      <c r="AN544" s="637"/>
      <c r="AO544" s="637"/>
      <c r="AP544" s="637"/>
      <c r="AQ544" s="638"/>
      <c r="AR544" s="637"/>
      <c r="AS544" s="637"/>
      <c r="AT544" s="634"/>
      <c r="AU544" s="639"/>
      <c r="AV544" s="634"/>
      <c r="AW544" s="634"/>
      <c r="AX544" s="490"/>
      <c r="AY544" s="640"/>
      <c r="AZ544" s="28"/>
      <c r="BA544" s="640"/>
      <c r="BB544" s="490"/>
      <c r="BC544" s="490"/>
      <c r="BD544" s="402"/>
      <c r="BE544" s="402"/>
      <c r="BF544" s="402"/>
      <c r="BG544" s="641"/>
      <c r="BH544" s="642"/>
      <c r="BI544" s="642"/>
      <c r="BJ544" s="629"/>
      <c r="BK544" s="638"/>
      <c r="BL544" s="638"/>
      <c r="BM544" s="638"/>
      <c r="BN544" s="638"/>
      <c r="BO544" s="643"/>
      <c r="BP544" s="644"/>
      <c r="BQ544" s="645"/>
      <c r="BR544" s="645"/>
      <c r="BS544" s="638"/>
      <c r="BT544" s="638"/>
      <c r="BU544" s="638"/>
      <c r="BV544" s="638"/>
      <c r="BW544" s="638"/>
      <c r="BX544" s="638"/>
      <c r="BY544" s="638"/>
      <c r="BZ544" s="638"/>
      <c r="CA544" s="634"/>
      <c r="CB544" s="634"/>
      <c r="CC544" s="634"/>
      <c r="CD544" s="634"/>
      <c r="CE544" s="634"/>
      <c r="CF544" s="634"/>
      <c r="CG544" s="634"/>
      <c r="CH544" s="634"/>
      <c r="CI544" s="634"/>
      <c r="CJ544" s="634"/>
      <c r="CK544" s="629"/>
      <c r="CM544" s="400"/>
      <c r="CN544" s="403"/>
      <c r="CO544" s="646"/>
      <c r="CP544" s="635"/>
      <c r="CR544" s="643"/>
      <c r="CS544" s="647"/>
      <c r="CT544" s="647"/>
      <c r="CU544" s="404"/>
      <c r="CV544" s="648"/>
      <c r="CW544" s="406"/>
      <c r="CX544" s="643"/>
      <c r="DA544" s="400"/>
      <c r="DB544" s="400"/>
    </row>
    <row r="545" spans="1:106" ht="15.75" customHeight="1">
      <c r="A545" s="402"/>
      <c r="C545" s="627"/>
      <c r="D545" s="627"/>
      <c r="E545" s="628"/>
      <c r="F545" s="1374"/>
      <c r="G545" s="629"/>
      <c r="H545" s="629"/>
      <c r="I545" s="630"/>
      <c r="J545" s="631"/>
      <c r="K545" s="628"/>
      <c r="L545" s="629"/>
      <c r="M545" s="632"/>
      <c r="N545" s="633"/>
      <c r="O545" s="633"/>
      <c r="P545" s="633"/>
      <c r="Q545" s="632"/>
      <c r="R545" s="634"/>
      <c r="S545" s="634"/>
      <c r="T545" s="634"/>
      <c r="U545" s="634"/>
      <c r="V545" s="634"/>
      <c r="W545" s="634"/>
      <c r="X545" s="634"/>
      <c r="Y545" s="634"/>
      <c r="Z545" s="634"/>
      <c r="AA545" s="634"/>
      <c r="AB545" s="634"/>
      <c r="AC545" s="634"/>
      <c r="AD545" s="634"/>
      <c r="AE545" s="634"/>
      <c r="AF545" s="634"/>
      <c r="AG545" s="634"/>
      <c r="AH545" s="634"/>
      <c r="AI545" s="634"/>
      <c r="AJ545" s="634"/>
      <c r="AK545" s="635"/>
      <c r="AL545" s="634"/>
      <c r="AM545" s="636"/>
      <c r="AN545" s="637"/>
      <c r="AO545" s="637"/>
      <c r="AP545" s="637"/>
      <c r="AQ545" s="638"/>
      <c r="AR545" s="637"/>
      <c r="AS545" s="637"/>
      <c r="AT545" s="634"/>
      <c r="AU545" s="639"/>
      <c r="AV545" s="634"/>
      <c r="AW545" s="634"/>
      <c r="AX545" s="490"/>
      <c r="AY545" s="640"/>
      <c r="AZ545" s="28"/>
      <c r="BA545" s="640"/>
      <c r="BB545" s="490"/>
      <c r="BC545" s="490"/>
      <c r="BD545" s="402"/>
      <c r="BE545" s="402"/>
      <c r="BF545" s="402"/>
      <c r="BG545" s="641"/>
      <c r="BH545" s="642"/>
      <c r="BI545" s="642"/>
      <c r="BJ545" s="629"/>
      <c r="BK545" s="638"/>
      <c r="BL545" s="638"/>
      <c r="BM545" s="638"/>
      <c r="BN545" s="638"/>
      <c r="BO545" s="643"/>
      <c r="BP545" s="644"/>
      <c r="BQ545" s="645"/>
      <c r="BR545" s="645"/>
      <c r="BS545" s="638"/>
      <c r="BT545" s="638"/>
      <c r="BU545" s="638"/>
      <c r="BV545" s="638"/>
      <c r="BW545" s="638"/>
      <c r="BX545" s="638"/>
      <c r="BY545" s="638"/>
      <c r="BZ545" s="638"/>
      <c r="CA545" s="634"/>
      <c r="CB545" s="634"/>
      <c r="CC545" s="634"/>
      <c r="CD545" s="634"/>
      <c r="CE545" s="634"/>
      <c r="CF545" s="634"/>
      <c r="CG545" s="634"/>
      <c r="CH545" s="634"/>
      <c r="CI545" s="634"/>
      <c r="CJ545" s="634"/>
      <c r="CK545" s="629"/>
      <c r="CM545" s="400"/>
      <c r="CN545" s="403"/>
      <c r="CO545" s="646"/>
      <c r="CP545" s="635"/>
      <c r="CR545" s="643"/>
      <c r="CS545" s="647"/>
      <c r="CT545" s="647"/>
      <c r="CU545" s="404"/>
      <c r="CV545" s="648"/>
      <c r="CW545" s="406"/>
      <c r="CX545" s="643"/>
      <c r="DA545" s="400"/>
      <c r="DB545" s="400"/>
    </row>
    <row r="546" spans="1:106" ht="15">
      <c r="A546" s="402"/>
      <c r="C546" s="627"/>
      <c r="D546" s="627"/>
      <c r="E546" s="628"/>
      <c r="F546" s="1374"/>
      <c r="G546" s="629"/>
      <c r="H546" s="629"/>
      <c r="I546" s="630"/>
      <c r="J546" s="631"/>
      <c r="K546" s="628"/>
      <c r="L546" s="629"/>
      <c r="M546" s="632"/>
      <c r="N546" s="633"/>
      <c r="O546" s="633"/>
      <c r="P546" s="633"/>
      <c r="Q546" s="632"/>
      <c r="R546" s="634"/>
      <c r="S546" s="634"/>
      <c r="T546" s="634"/>
      <c r="U546" s="634"/>
      <c r="V546" s="634"/>
      <c r="W546" s="634"/>
      <c r="X546" s="634"/>
      <c r="Y546" s="634"/>
      <c r="Z546" s="634"/>
      <c r="AA546" s="634"/>
      <c r="AB546" s="634"/>
      <c r="AC546" s="634"/>
      <c r="AD546" s="634"/>
      <c r="AE546" s="634"/>
      <c r="AF546" s="634"/>
      <c r="AG546" s="634"/>
      <c r="AH546" s="634"/>
      <c r="AI546" s="634"/>
      <c r="AJ546" s="634"/>
      <c r="AK546" s="635"/>
      <c r="AL546" s="634"/>
      <c r="AM546" s="636"/>
      <c r="AN546" s="637"/>
      <c r="AO546" s="637"/>
      <c r="AP546" s="637"/>
      <c r="AQ546" s="638"/>
      <c r="AR546" s="637"/>
      <c r="AS546" s="637"/>
      <c r="AT546" s="634"/>
      <c r="AU546" s="639"/>
      <c r="AV546" s="634"/>
      <c r="AW546" s="634"/>
      <c r="AX546" s="490"/>
      <c r="AY546" s="640"/>
      <c r="AZ546" s="28"/>
      <c r="BA546" s="640"/>
      <c r="BB546" s="490"/>
      <c r="BC546" s="490"/>
      <c r="BD546" s="402"/>
      <c r="BE546" s="402"/>
      <c r="BF546" s="402"/>
      <c r="BG546" s="641"/>
      <c r="BH546" s="642"/>
      <c r="BI546" s="642"/>
      <c r="BJ546" s="629"/>
      <c r="BK546" s="638"/>
      <c r="BL546" s="638"/>
      <c r="BM546" s="638"/>
      <c r="BN546" s="638"/>
      <c r="BO546" s="643"/>
      <c r="BP546" s="644"/>
      <c r="BQ546" s="645"/>
      <c r="BR546" s="645"/>
      <c r="BS546" s="638"/>
      <c r="BT546" s="638"/>
      <c r="BU546" s="638"/>
      <c r="BV546" s="638"/>
      <c r="BW546" s="638"/>
      <c r="BX546" s="638"/>
      <c r="BY546" s="638"/>
      <c r="BZ546" s="638"/>
      <c r="CA546" s="634"/>
      <c r="CB546" s="634"/>
      <c r="CC546" s="634"/>
      <c r="CD546" s="634"/>
      <c r="CE546" s="634"/>
      <c r="CF546" s="634"/>
      <c r="CG546" s="634"/>
      <c r="CH546" s="634"/>
      <c r="CI546" s="634"/>
      <c r="CJ546" s="634"/>
      <c r="CK546" s="629"/>
      <c r="CM546" s="400"/>
      <c r="CN546" s="403"/>
      <c r="CO546" s="646"/>
      <c r="CP546" s="635"/>
      <c r="CR546" s="643"/>
      <c r="CS546" s="647"/>
      <c r="CT546" s="647"/>
      <c r="CU546" s="404"/>
      <c r="CV546" s="648"/>
      <c r="CW546" s="406"/>
      <c r="CX546" s="643"/>
      <c r="DA546" s="400"/>
      <c r="DB546" s="400"/>
    </row>
    <row r="547" spans="1:106" ht="15">
      <c r="A547" s="402"/>
      <c r="C547" s="627"/>
      <c r="D547" s="627"/>
      <c r="E547" s="628"/>
      <c r="F547" s="1374"/>
      <c r="G547" s="629"/>
      <c r="H547" s="629"/>
      <c r="I547" s="630"/>
      <c r="J547" s="631"/>
      <c r="K547" s="628"/>
      <c r="L547" s="629"/>
      <c r="M547" s="632"/>
      <c r="N547" s="633"/>
      <c r="O547" s="633"/>
      <c r="P547" s="633"/>
      <c r="Q547" s="632"/>
      <c r="R547" s="634"/>
      <c r="S547" s="634"/>
      <c r="T547" s="634"/>
      <c r="U547" s="634"/>
      <c r="V547" s="634"/>
      <c r="W547" s="634"/>
      <c r="X547" s="634"/>
      <c r="Y547" s="634"/>
      <c r="Z547" s="634"/>
      <c r="AA547" s="634"/>
      <c r="AB547" s="634"/>
      <c r="AC547" s="634"/>
      <c r="AD547" s="634"/>
      <c r="AE547" s="634"/>
      <c r="AF547" s="634"/>
      <c r="AG547" s="634"/>
      <c r="AH547" s="634"/>
      <c r="AI547" s="634"/>
      <c r="AJ547" s="634"/>
      <c r="AK547" s="635"/>
      <c r="AL547" s="634"/>
      <c r="AM547" s="636"/>
      <c r="AN547" s="637"/>
      <c r="AO547" s="637"/>
      <c r="AP547" s="637"/>
      <c r="AQ547" s="638"/>
      <c r="AR547" s="637"/>
      <c r="AS547" s="637"/>
      <c r="AT547" s="634"/>
      <c r="AU547" s="639"/>
      <c r="AV547" s="634"/>
      <c r="AW547" s="634"/>
      <c r="AX547" s="490"/>
      <c r="AY547" s="640"/>
      <c r="AZ547" s="28"/>
      <c r="BA547" s="640"/>
      <c r="BB547" s="490"/>
      <c r="BC547" s="490"/>
      <c r="BD547" s="402"/>
      <c r="BE547" s="402"/>
      <c r="BF547" s="402"/>
      <c r="BG547" s="641"/>
      <c r="BH547" s="642"/>
      <c r="BI547" s="642"/>
      <c r="BJ547" s="629"/>
      <c r="BK547" s="638"/>
      <c r="BL547" s="638"/>
      <c r="BM547" s="638"/>
      <c r="BN547" s="638"/>
      <c r="BO547" s="643"/>
      <c r="BP547" s="644"/>
      <c r="BQ547" s="645"/>
      <c r="BR547" s="645"/>
      <c r="BS547" s="638"/>
      <c r="BT547" s="638"/>
      <c r="BU547" s="638"/>
      <c r="BV547" s="638"/>
      <c r="BW547" s="638"/>
      <c r="BX547" s="638"/>
      <c r="BY547" s="638"/>
      <c r="BZ547" s="638"/>
      <c r="CA547" s="634"/>
      <c r="CB547" s="634"/>
      <c r="CC547" s="634"/>
      <c r="CD547" s="634"/>
      <c r="CE547" s="634"/>
      <c r="CF547" s="634"/>
      <c r="CG547" s="634"/>
      <c r="CH547" s="634"/>
      <c r="CI547" s="634"/>
      <c r="CJ547" s="634"/>
      <c r="CK547" s="629"/>
      <c r="CM547" s="400"/>
      <c r="CN547" s="403"/>
      <c r="CO547" s="646"/>
      <c r="CP547" s="635"/>
      <c r="CR547" s="643"/>
      <c r="CS547" s="647"/>
      <c r="CT547" s="647"/>
      <c r="CU547" s="404"/>
      <c r="CV547" s="648"/>
      <c r="CW547" s="406"/>
      <c r="CX547" s="643"/>
      <c r="DA547" s="400"/>
      <c r="DB547" s="400"/>
    </row>
    <row r="548" spans="1:106" ht="15">
      <c r="A548" s="402"/>
      <c r="C548" s="627"/>
      <c r="D548" s="627"/>
      <c r="E548" s="628"/>
      <c r="F548" s="1374"/>
      <c r="G548" s="629"/>
      <c r="H548" s="629"/>
      <c r="I548" s="630"/>
      <c r="J548" s="631"/>
      <c r="K548" s="628"/>
      <c r="L548" s="629"/>
      <c r="M548" s="632"/>
      <c r="N548" s="633"/>
      <c r="O548" s="633"/>
      <c r="P548" s="633"/>
      <c r="Q548" s="632"/>
      <c r="R548" s="634"/>
      <c r="S548" s="634"/>
      <c r="T548" s="634"/>
      <c r="U548" s="634"/>
      <c r="V548" s="634"/>
      <c r="W548" s="634"/>
      <c r="X548" s="634"/>
      <c r="Y548" s="634"/>
      <c r="Z548" s="634"/>
      <c r="AA548" s="634"/>
      <c r="AB548" s="634"/>
      <c r="AC548" s="634"/>
      <c r="AD548" s="634"/>
      <c r="AE548" s="634"/>
      <c r="AF548" s="634"/>
      <c r="AG548" s="634"/>
      <c r="AH548" s="634"/>
      <c r="AI548" s="634"/>
      <c r="AJ548" s="634"/>
      <c r="AK548" s="635"/>
      <c r="AL548" s="634"/>
      <c r="AM548" s="636"/>
      <c r="AN548" s="637"/>
      <c r="AO548" s="637"/>
      <c r="AP548" s="637"/>
      <c r="AQ548" s="638"/>
      <c r="AR548" s="637"/>
      <c r="AS548" s="637"/>
      <c r="AT548" s="634"/>
      <c r="AU548" s="639"/>
      <c r="AV548" s="634"/>
      <c r="AW548" s="634"/>
      <c r="AX548" s="490"/>
      <c r="AY548" s="640"/>
      <c r="AZ548" s="28"/>
      <c r="BA548" s="640"/>
      <c r="BB548" s="490"/>
      <c r="BC548" s="490"/>
      <c r="BD548" s="402"/>
      <c r="BE548" s="402"/>
      <c r="BF548" s="402"/>
      <c r="BG548" s="641"/>
      <c r="BH548" s="642"/>
      <c r="BI548" s="642"/>
      <c r="BJ548" s="629"/>
      <c r="BK548" s="638"/>
      <c r="BL548" s="638"/>
      <c r="BM548" s="638"/>
      <c r="BN548" s="638"/>
      <c r="BO548" s="643"/>
      <c r="BP548" s="644"/>
      <c r="BQ548" s="645"/>
      <c r="BR548" s="645"/>
      <c r="BS548" s="638"/>
      <c r="BT548" s="638"/>
      <c r="BU548" s="638"/>
      <c r="BV548" s="638"/>
      <c r="BW548" s="638"/>
      <c r="BX548" s="638"/>
      <c r="BY548" s="638"/>
      <c r="BZ548" s="638"/>
      <c r="CA548" s="634"/>
      <c r="CB548" s="634"/>
      <c r="CC548" s="634"/>
      <c r="CD548" s="634"/>
      <c r="CE548" s="634"/>
      <c r="CF548" s="634"/>
      <c r="CG548" s="634"/>
      <c r="CH548" s="634"/>
      <c r="CI548" s="634"/>
      <c r="CJ548" s="634"/>
      <c r="CK548" s="629"/>
      <c r="CM548" s="400"/>
      <c r="CN548" s="403"/>
      <c r="CO548" s="646"/>
      <c r="CP548" s="635"/>
      <c r="CR548" s="643"/>
      <c r="CS548" s="647"/>
      <c r="CT548" s="647"/>
      <c r="CU548" s="404"/>
      <c r="CV548" s="648"/>
      <c r="CW548" s="406"/>
      <c r="CX548" s="643"/>
      <c r="DA548" s="400"/>
      <c r="DB548" s="400"/>
    </row>
    <row r="549" spans="1:106" ht="15">
      <c r="A549" s="402"/>
      <c r="C549" s="627"/>
      <c r="D549" s="627"/>
      <c r="E549" s="628"/>
      <c r="F549" s="1374"/>
      <c r="G549" s="629"/>
      <c r="H549" s="629"/>
      <c r="I549" s="630"/>
      <c r="J549" s="631"/>
      <c r="K549" s="628"/>
      <c r="L549" s="629"/>
      <c r="M549" s="632"/>
      <c r="N549" s="633"/>
      <c r="O549" s="633"/>
      <c r="P549" s="633"/>
      <c r="Q549" s="632"/>
      <c r="R549" s="634"/>
      <c r="S549" s="634"/>
      <c r="T549" s="634"/>
      <c r="U549" s="634"/>
      <c r="V549" s="634"/>
      <c r="W549" s="634"/>
      <c r="X549" s="634"/>
      <c r="Y549" s="634"/>
      <c r="Z549" s="634"/>
      <c r="AA549" s="634"/>
      <c r="AB549" s="634"/>
      <c r="AC549" s="634"/>
      <c r="AD549" s="634"/>
      <c r="AE549" s="634"/>
      <c r="AF549" s="634"/>
      <c r="AG549" s="634"/>
      <c r="AH549" s="634"/>
      <c r="AI549" s="634"/>
      <c r="AJ549" s="634"/>
      <c r="AK549" s="635"/>
      <c r="AL549" s="634"/>
      <c r="AM549" s="636"/>
      <c r="AN549" s="637"/>
      <c r="AO549" s="637"/>
      <c r="AP549" s="637"/>
      <c r="AQ549" s="638"/>
      <c r="AR549" s="637"/>
      <c r="AS549" s="637"/>
      <c r="AT549" s="634"/>
      <c r="AU549" s="639"/>
      <c r="AV549" s="634"/>
      <c r="AW549" s="634"/>
      <c r="AX549" s="490"/>
      <c r="AY549" s="640"/>
      <c r="AZ549" s="28"/>
      <c r="BA549" s="640"/>
      <c r="BB549" s="490"/>
      <c r="BC549" s="490"/>
      <c r="BD549" s="402"/>
      <c r="BE549" s="402"/>
      <c r="BF549" s="402"/>
      <c r="BG549" s="641"/>
      <c r="BH549" s="642"/>
      <c r="BI549" s="642"/>
      <c r="BJ549" s="629"/>
      <c r="BK549" s="638"/>
      <c r="BL549" s="638"/>
      <c r="BM549" s="638"/>
      <c r="BN549" s="638"/>
      <c r="BO549" s="643"/>
      <c r="BP549" s="644"/>
      <c r="BQ549" s="645"/>
      <c r="BR549" s="645"/>
      <c r="BS549" s="638"/>
      <c r="BT549" s="638"/>
      <c r="BU549" s="638"/>
      <c r="BV549" s="638"/>
      <c r="BW549" s="638"/>
      <c r="BX549" s="638"/>
      <c r="BY549" s="638"/>
      <c r="BZ549" s="638"/>
      <c r="CA549" s="634"/>
      <c r="CB549" s="634"/>
      <c r="CC549" s="634"/>
      <c r="CD549" s="634"/>
      <c r="CE549" s="634"/>
      <c r="CF549" s="634"/>
      <c r="CG549" s="634"/>
      <c r="CH549" s="634"/>
      <c r="CI549" s="634"/>
      <c r="CJ549" s="634"/>
      <c r="CK549" s="629"/>
      <c r="CM549" s="400"/>
      <c r="CN549" s="403"/>
      <c r="CO549" s="646"/>
      <c r="CP549" s="635"/>
      <c r="CR549" s="643"/>
      <c r="CS549" s="647"/>
      <c r="CT549" s="647"/>
      <c r="CU549" s="404"/>
      <c r="CV549" s="648"/>
      <c r="CW549" s="406"/>
      <c r="CX549" s="643"/>
      <c r="DA549" s="400"/>
      <c r="DB549" s="400"/>
    </row>
    <row r="550" spans="1:106" ht="15">
      <c r="A550" s="402"/>
      <c r="C550" s="627"/>
      <c r="D550" s="627"/>
      <c r="E550" s="628"/>
      <c r="F550" s="1374"/>
      <c r="G550" s="629"/>
      <c r="H550" s="629"/>
      <c r="I550" s="630"/>
      <c r="J550" s="631"/>
      <c r="K550" s="628"/>
      <c r="L550" s="629"/>
      <c r="M550" s="632"/>
      <c r="N550" s="633"/>
      <c r="O550" s="633"/>
      <c r="P550" s="633"/>
      <c r="Q550" s="632"/>
      <c r="R550" s="634"/>
      <c r="S550" s="634"/>
      <c r="T550" s="634"/>
      <c r="U550" s="634"/>
      <c r="V550" s="634"/>
      <c r="W550" s="634"/>
      <c r="X550" s="634"/>
      <c r="Y550" s="634"/>
      <c r="Z550" s="634"/>
      <c r="AA550" s="634"/>
      <c r="AB550" s="634"/>
      <c r="AC550" s="634"/>
      <c r="AD550" s="634"/>
      <c r="AE550" s="634"/>
      <c r="AF550" s="634"/>
      <c r="AG550" s="634"/>
      <c r="AH550" s="634"/>
      <c r="AI550" s="634"/>
      <c r="AJ550" s="634"/>
      <c r="AK550" s="635"/>
      <c r="AL550" s="634"/>
      <c r="AM550" s="636"/>
      <c r="AN550" s="637"/>
      <c r="AO550" s="637"/>
      <c r="AP550" s="637"/>
      <c r="AQ550" s="638"/>
      <c r="AR550" s="637"/>
      <c r="AS550" s="637"/>
      <c r="AT550" s="634"/>
      <c r="AU550" s="639"/>
      <c r="AV550" s="634"/>
      <c r="AW550" s="634"/>
      <c r="AX550" s="490"/>
      <c r="AY550" s="640"/>
      <c r="AZ550" s="28"/>
      <c r="BA550" s="640"/>
      <c r="BB550" s="490"/>
      <c r="BC550" s="490"/>
      <c r="BD550" s="402"/>
      <c r="BE550" s="402"/>
      <c r="BF550" s="402"/>
      <c r="BG550" s="641"/>
      <c r="BH550" s="642"/>
      <c r="BI550" s="642"/>
      <c r="BJ550" s="629"/>
      <c r="BK550" s="638"/>
      <c r="BL550" s="638"/>
      <c r="BM550" s="638"/>
      <c r="BN550" s="638"/>
      <c r="BO550" s="643"/>
      <c r="BP550" s="644"/>
      <c r="BQ550" s="645"/>
      <c r="BR550" s="645"/>
      <c r="BS550" s="638"/>
      <c r="BT550" s="638"/>
      <c r="BU550" s="638"/>
      <c r="BV550" s="638"/>
      <c r="BW550" s="638"/>
      <c r="BX550" s="638"/>
      <c r="BY550" s="638"/>
      <c r="BZ550" s="638"/>
      <c r="CA550" s="634"/>
      <c r="CB550" s="634"/>
      <c r="CC550" s="634"/>
      <c r="CD550" s="634"/>
      <c r="CE550" s="634"/>
      <c r="CF550" s="634"/>
      <c r="CG550" s="634"/>
      <c r="CH550" s="634"/>
      <c r="CI550" s="634"/>
      <c r="CJ550" s="634"/>
      <c r="CK550" s="629"/>
      <c r="CM550" s="400"/>
      <c r="CN550" s="403"/>
      <c r="CO550" s="646"/>
      <c r="CP550" s="635"/>
      <c r="CR550" s="643"/>
      <c r="CS550" s="647"/>
      <c r="CT550" s="647"/>
      <c r="CU550" s="404"/>
      <c r="CV550" s="648"/>
      <c r="CW550" s="406"/>
      <c r="CX550" s="643"/>
      <c r="DA550" s="400"/>
      <c r="DB550" s="400"/>
    </row>
    <row r="551" spans="1:106" ht="15">
      <c r="A551" s="402"/>
      <c r="C551" s="627"/>
      <c r="D551" s="627"/>
      <c r="E551" s="628"/>
      <c r="F551" s="1374"/>
      <c r="G551" s="629"/>
      <c r="H551" s="629"/>
      <c r="I551" s="630"/>
      <c r="J551" s="631"/>
      <c r="K551" s="628"/>
      <c r="L551" s="629"/>
      <c r="M551" s="632"/>
      <c r="N551" s="633"/>
      <c r="O551" s="633"/>
      <c r="P551" s="633"/>
      <c r="Q551" s="632"/>
      <c r="R551" s="634"/>
      <c r="S551" s="634"/>
      <c r="T551" s="634"/>
      <c r="U551" s="634"/>
      <c r="V551" s="634"/>
      <c r="W551" s="634"/>
      <c r="X551" s="634"/>
      <c r="Y551" s="634"/>
      <c r="Z551" s="634"/>
      <c r="AA551" s="634"/>
      <c r="AB551" s="634"/>
      <c r="AC551" s="634"/>
      <c r="AD551" s="634"/>
      <c r="AE551" s="634"/>
      <c r="AF551" s="634"/>
      <c r="AG551" s="634"/>
      <c r="AH551" s="634"/>
      <c r="AI551" s="634"/>
      <c r="AJ551" s="634"/>
      <c r="AK551" s="635"/>
      <c r="AL551" s="634"/>
      <c r="AM551" s="636"/>
      <c r="AN551" s="637"/>
      <c r="AO551" s="637"/>
      <c r="AP551" s="637"/>
      <c r="AQ551" s="638"/>
      <c r="AR551" s="637"/>
      <c r="AS551" s="637"/>
      <c r="AT551" s="634"/>
      <c r="AU551" s="639"/>
      <c r="AV551" s="634"/>
      <c r="AW551" s="634"/>
      <c r="AX551" s="490"/>
      <c r="AY551" s="640"/>
      <c r="AZ551" s="28"/>
      <c r="BA551" s="640"/>
      <c r="BB551" s="490"/>
      <c r="BC551" s="490"/>
      <c r="BD551" s="402"/>
      <c r="BE551" s="402"/>
      <c r="BF551" s="402"/>
      <c r="BG551" s="641"/>
      <c r="BH551" s="642"/>
      <c r="BI551" s="642"/>
      <c r="BJ551" s="629"/>
      <c r="BK551" s="638"/>
      <c r="BL551" s="638"/>
      <c r="BM551" s="638"/>
      <c r="BN551" s="638"/>
      <c r="BO551" s="643"/>
      <c r="BP551" s="644"/>
      <c r="BQ551" s="645"/>
      <c r="BR551" s="645"/>
      <c r="BS551" s="638"/>
      <c r="BT551" s="638"/>
      <c r="BU551" s="638"/>
      <c r="BV551" s="638"/>
      <c r="BW551" s="638"/>
      <c r="BX551" s="638"/>
      <c r="BY551" s="638"/>
      <c r="BZ551" s="638"/>
      <c r="CA551" s="634"/>
      <c r="CB551" s="634"/>
      <c r="CC551" s="634"/>
      <c r="CD551" s="634"/>
      <c r="CE551" s="634"/>
      <c r="CF551" s="634"/>
      <c r="CG551" s="634"/>
      <c r="CH551" s="634"/>
      <c r="CI551" s="634"/>
      <c r="CJ551" s="634"/>
      <c r="CK551" s="629"/>
      <c r="CM551" s="400"/>
      <c r="CN551" s="403"/>
      <c r="CO551" s="646"/>
      <c r="CP551" s="635"/>
      <c r="CR551" s="643"/>
      <c r="CS551" s="647"/>
      <c r="CT551" s="647"/>
      <c r="CU551" s="404"/>
      <c r="CV551" s="648"/>
      <c r="CW551" s="406"/>
      <c r="CX551" s="643"/>
      <c r="DA551" s="400"/>
      <c r="DB551" s="400"/>
    </row>
    <row r="552" spans="1:106" ht="15">
      <c r="A552" s="402"/>
      <c r="C552" s="627"/>
      <c r="D552" s="627"/>
      <c r="E552" s="628"/>
      <c r="F552" s="1374"/>
      <c r="G552" s="629"/>
      <c r="H552" s="629"/>
      <c r="I552" s="630"/>
      <c r="J552" s="631"/>
      <c r="K552" s="628"/>
      <c r="L552" s="629"/>
      <c r="M552" s="632"/>
      <c r="N552" s="633"/>
      <c r="O552" s="633"/>
      <c r="P552" s="633"/>
      <c r="Q552" s="632"/>
      <c r="R552" s="634"/>
      <c r="S552" s="634"/>
      <c r="T552" s="634"/>
      <c r="U552" s="634"/>
      <c r="V552" s="634"/>
      <c r="W552" s="634"/>
      <c r="X552" s="634"/>
      <c r="Y552" s="634"/>
      <c r="Z552" s="634"/>
      <c r="AA552" s="634"/>
      <c r="AB552" s="634"/>
      <c r="AC552" s="634"/>
      <c r="AD552" s="634"/>
      <c r="AE552" s="634"/>
      <c r="AF552" s="634"/>
      <c r="AG552" s="634"/>
      <c r="AH552" s="634"/>
      <c r="AI552" s="634"/>
      <c r="AJ552" s="634"/>
      <c r="AK552" s="635"/>
      <c r="AL552" s="634"/>
      <c r="AM552" s="636"/>
      <c r="AN552" s="637"/>
      <c r="AO552" s="637"/>
      <c r="AP552" s="637"/>
      <c r="AQ552" s="638"/>
      <c r="AR552" s="637"/>
      <c r="AS552" s="637"/>
      <c r="AT552" s="634"/>
      <c r="AU552" s="639"/>
      <c r="AV552" s="634"/>
      <c r="AW552" s="634"/>
      <c r="AX552" s="490"/>
      <c r="AY552" s="640"/>
      <c r="AZ552" s="28"/>
      <c r="BA552" s="640"/>
      <c r="BB552" s="490"/>
      <c r="BC552" s="490"/>
      <c r="BD552" s="402"/>
      <c r="BE552" s="402"/>
      <c r="BF552" s="402"/>
      <c r="BG552" s="641"/>
      <c r="BH552" s="642"/>
      <c r="BI552" s="642"/>
      <c r="BJ552" s="629"/>
      <c r="BK552" s="638"/>
      <c r="BL552" s="638"/>
      <c r="BM552" s="638"/>
      <c r="BN552" s="638"/>
      <c r="BO552" s="643"/>
      <c r="BP552" s="644"/>
      <c r="BQ552" s="645"/>
      <c r="BR552" s="645"/>
      <c r="BS552" s="638"/>
      <c r="BT552" s="638"/>
      <c r="BU552" s="638"/>
      <c r="BV552" s="638"/>
      <c r="BW552" s="638"/>
      <c r="BX552" s="638"/>
      <c r="BY552" s="638"/>
      <c r="BZ552" s="638"/>
      <c r="CA552" s="634"/>
      <c r="CB552" s="634"/>
      <c r="CC552" s="634"/>
      <c r="CD552" s="634"/>
      <c r="CE552" s="634"/>
      <c r="CF552" s="634"/>
      <c r="CG552" s="634"/>
      <c r="CH552" s="634"/>
      <c r="CI552" s="634"/>
      <c r="CJ552" s="634"/>
      <c r="CK552" s="629"/>
      <c r="CM552" s="400"/>
      <c r="CN552" s="403"/>
      <c r="CO552" s="646"/>
      <c r="CP552" s="635"/>
      <c r="CR552" s="643"/>
      <c r="CS552" s="647"/>
      <c r="CT552" s="647"/>
      <c r="CU552" s="404"/>
      <c r="CV552" s="648"/>
      <c r="CW552" s="406"/>
      <c r="CX552" s="643"/>
      <c r="DA552" s="400"/>
      <c r="DB552" s="400"/>
    </row>
    <row r="553" spans="1:106" ht="15">
      <c r="A553" s="402"/>
      <c r="C553" s="627"/>
      <c r="D553" s="627"/>
      <c r="E553" s="628"/>
      <c r="F553" s="1374"/>
      <c r="G553" s="629"/>
      <c r="H553" s="629"/>
      <c r="I553" s="630"/>
      <c r="J553" s="631"/>
      <c r="K553" s="628"/>
      <c r="L553" s="629"/>
      <c r="M553" s="632"/>
      <c r="N553" s="633"/>
      <c r="O553" s="633"/>
      <c r="P553" s="633"/>
      <c r="Q553" s="632"/>
      <c r="R553" s="634"/>
      <c r="S553" s="634"/>
      <c r="T553" s="634"/>
      <c r="U553" s="634"/>
      <c r="V553" s="634"/>
      <c r="W553" s="634"/>
      <c r="X553" s="634"/>
      <c r="Y553" s="634"/>
      <c r="Z553" s="634"/>
      <c r="AA553" s="634"/>
      <c r="AB553" s="634"/>
      <c r="AC553" s="634"/>
      <c r="AD553" s="634"/>
      <c r="AE553" s="634"/>
      <c r="AF553" s="634"/>
      <c r="AG553" s="634"/>
      <c r="AH553" s="634"/>
      <c r="AI553" s="634"/>
      <c r="AJ553" s="634"/>
      <c r="AK553" s="635"/>
      <c r="AL553" s="634"/>
      <c r="AM553" s="636"/>
      <c r="AN553" s="637"/>
      <c r="AO553" s="637"/>
      <c r="AP553" s="637"/>
      <c r="AQ553" s="638"/>
      <c r="AR553" s="637"/>
      <c r="AS553" s="637"/>
      <c r="AT553" s="634"/>
      <c r="AU553" s="639"/>
      <c r="AV553" s="634"/>
      <c r="AW553" s="634"/>
      <c r="AX553" s="490"/>
      <c r="AY553" s="640"/>
      <c r="AZ553" s="28"/>
      <c r="BA553" s="640"/>
      <c r="BB553" s="490"/>
      <c r="BC553" s="490"/>
      <c r="BD553" s="402"/>
      <c r="BE553" s="402"/>
      <c r="BF553" s="402"/>
      <c r="BG553" s="641"/>
      <c r="BH553" s="642"/>
      <c r="BI553" s="642"/>
      <c r="BJ553" s="629"/>
      <c r="BK553" s="638"/>
      <c r="BL553" s="638"/>
      <c r="BM553" s="638"/>
      <c r="BN553" s="638"/>
      <c r="BO553" s="643"/>
      <c r="BP553" s="644"/>
      <c r="BQ553" s="645"/>
      <c r="BR553" s="645"/>
      <c r="BS553" s="638"/>
      <c r="BT553" s="638"/>
      <c r="BU553" s="638"/>
      <c r="BV553" s="638"/>
      <c r="BW553" s="638"/>
      <c r="BX553" s="638"/>
      <c r="BY553" s="638"/>
      <c r="BZ553" s="638"/>
      <c r="CA553" s="634"/>
      <c r="CB553" s="634"/>
      <c r="CC553" s="634"/>
      <c r="CD553" s="634"/>
      <c r="CE553" s="634"/>
      <c r="CF553" s="634"/>
      <c r="CG553" s="634"/>
      <c r="CH553" s="634"/>
      <c r="CI553" s="634"/>
      <c r="CJ553" s="634"/>
      <c r="CK553" s="629"/>
      <c r="CM553" s="400"/>
      <c r="CN553" s="403"/>
      <c r="CO553" s="646"/>
      <c r="CP553" s="635"/>
      <c r="CR553" s="643"/>
      <c r="CS553" s="647"/>
      <c r="CT553" s="647"/>
      <c r="CU553" s="404"/>
      <c r="CV553" s="648"/>
      <c r="CW553" s="406"/>
      <c r="CX553" s="643"/>
      <c r="DA553" s="400"/>
      <c r="DB553" s="400"/>
    </row>
    <row r="554" spans="1:106" ht="15">
      <c r="A554" s="402"/>
      <c r="C554" s="627"/>
      <c r="D554" s="627"/>
      <c r="E554" s="628"/>
      <c r="F554" s="628"/>
      <c r="G554" s="629"/>
      <c r="H554" s="629"/>
      <c r="I554" s="630"/>
      <c r="J554" s="631"/>
      <c r="K554" s="628"/>
      <c r="L554" s="629"/>
      <c r="M554" s="632"/>
      <c r="N554" s="633"/>
      <c r="O554" s="633"/>
      <c r="P554" s="633"/>
      <c r="Q554" s="632"/>
      <c r="R554" s="634"/>
      <c r="S554" s="634"/>
      <c r="T554" s="634"/>
      <c r="U554" s="634"/>
      <c r="V554" s="634"/>
      <c r="W554" s="634"/>
      <c r="X554" s="634"/>
      <c r="Y554" s="634"/>
      <c r="Z554" s="634"/>
      <c r="AA554" s="634"/>
      <c r="AB554" s="634"/>
      <c r="AC554" s="634"/>
      <c r="AD554" s="634"/>
      <c r="AE554" s="634"/>
      <c r="AF554" s="634"/>
      <c r="AG554" s="634"/>
      <c r="AH554" s="634"/>
      <c r="AI554" s="634"/>
      <c r="AJ554" s="634"/>
      <c r="AK554" s="635"/>
      <c r="AL554" s="634"/>
      <c r="AM554" s="636"/>
      <c r="AN554" s="637"/>
      <c r="AO554" s="637"/>
      <c r="AP554" s="637"/>
      <c r="AQ554" s="638"/>
      <c r="AR554" s="637"/>
      <c r="AS554" s="637"/>
      <c r="AT554" s="634"/>
      <c r="AU554" s="639"/>
      <c r="AV554" s="634"/>
      <c r="AW554" s="634"/>
      <c r="AX554" s="490"/>
      <c r="AY554" s="640"/>
      <c r="AZ554" s="28"/>
      <c r="BA554" s="640"/>
      <c r="BB554" s="490"/>
      <c r="BC554" s="490"/>
      <c r="BD554" s="402"/>
      <c r="BE554" s="402"/>
      <c r="BF554" s="402"/>
      <c r="BG554" s="641"/>
      <c r="BH554" s="642"/>
      <c r="BI554" s="642"/>
      <c r="BJ554" s="629"/>
      <c r="BK554" s="638"/>
      <c r="BL554" s="638"/>
      <c r="BM554" s="638"/>
      <c r="BN554" s="638"/>
      <c r="BO554" s="643"/>
      <c r="BP554" s="644"/>
      <c r="BQ554" s="645"/>
      <c r="BR554" s="645"/>
      <c r="BS554" s="638"/>
      <c r="BT554" s="638"/>
      <c r="BU554" s="638"/>
      <c r="BV554" s="638"/>
      <c r="BW554" s="638"/>
      <c r="BX554" s="638"/>
      <c r="BY554" s="638"/>
      <c r="BZ554" s="638"/>
      <c r="CA554" s="634"/>
      <c r="CB554" s="634"/>
      <c r="CC554" s="634"/>
      <c r="CD554" s="634"/>
      <c r="CE554" s="634"/>
      <c r="CF554" s="634"/>
      <c r="CG554" s="634"/>
      <c r="CH554" s="634"/>
      <c r="CI554" s="634"/>
      <c r="CJ554" s="634"/>
      <c r="CK554" s="629"/>
      <c r="CM554" s="400"/>
      <c r="CN554" s="403"/>
      <c r="CO554" s="646"/>
      <c r="CP554" s="635"/>
      <c r="CR554" s="643"/>
      <c r="CS554" s="647"/>
      <c r="CT554" s="647"/>
      <c r="CU554" s="404"/>
      <c r="CV554" s="648"/>
      <c r="CW554" s="406"/>
      <c r="CX554" s="643"/>
      <c r="DA554" s="400"/>
      <c r="DB554" s="400"/>
    </row>
    <row r="555" spans="1:106" ht="15">
      <c r="A555" s="402"/>
      <c r="C555" s="627"/>
      <c r="D555" s="627"/>
      <c r="E555" s="628"/>
      <c r="F555" s="628"/>
      <c r="G555" s="629"/>
      <c r="H555" s="629"/>
      <c r="I555" s="630"/>
      <c r="J555" s="631"/>
      <c r="K555" s="628"/>
      <c r="L555" s="629"/>
      <c r="M555" s="632"/>
      <c r="N555" s="633"/>
      <c r="O555" s="633"/>
      <c r="P555" s="633"/>
      <c r="Q555" s="632"/>
      <c r="R555" s="634"/>
      <c r="S555" s="634"/>
      <c r="T555" s="634"/>
      <c r="U555" s="634"/>
      <c r="V555" s="634"/>
      <c r="W555" s="634"/>
      <c r="X555" s="634"/>
      <c r="Y555" s="634"/>
      <c r="Z555" s="634"/>
      <c r="AA555" s="634"/>
      <c r="AB555" s="634"/>
      <c r="AC555" s="634"/>
      <c r="AD555" s="634"/>
      <c r="AE555" s="634"/>
      <c r="AF555" s="634"/>
      <c r="AG555" s="634"/>
      <c r="AH555" s="634"/>
      <c r="AI555" s="634"/>
      <c r="AJ555" s="634"/>
      <c r="AK555" s="635"/>
      <c r="AL555" s="634"/>
      <c r="AM555" s="636"/>
      <c r="AN555" s="637"/>
      <c r="AO555" s="637"/>
      <c r="AP555" s="637"/>
      <c r="AQ555" s="638"/>
      <c r="AR555" s="637"/>
      <c r="AS555" s="637"/>
      <c r="AT555" s="634"/>
      <c r="AU555" s="639"/>
      <c r="AV555" s="634"/>
      <c r="AW555" s="634"/>
      <c r="AX555" s="490"/>
      <c r="AY555" s="640"/>
      <c r="AZ555" s="28"/>
      <c r="BA555" s="640"/>
      <c r="BB555" s="490"/>
      <c r="BC555" s="490"/>
      <c r="BD555" s="402"/>
      <c r="BE555" s="402"/>
      <c r="BF555" s="402"/>
      <c r="BG555" s="641"/>
      <c r="BH555" s="642"/>
      <c r="BI555" s="642"/>
      <c r="BJ555" s="629"/>
      <c r="BK555" s="638"/>
      <c r="BL555" s="638"/>
      <c r="BM555" s="638"/>
      <c r="BN555" s="638"/>
      <c r="BO555" s="643"/>
      <c r="BP555" s="644"/>
      <c r="BQ555" s="645"/>
      <c r="BR555" s="645"/>
      <c r="BS555" s="638"/>
      <c r="BT555" s="638"/>
      <c r="BU555" s="638"/>
      <c r="BV555" s="638"/>
      <c r="BW555" s="638"/>
      <c r="BX555" s="638"/>
      <c r="BY555" s="638"/>
      <c r="BZ555" s="638"/>
      <c r="CA555" s="634"/>
      <c r="CB555" s="634"/>
      <c r="CC555" s="634"/>
      <c r="CD555" s="634"/>
      <c r="CE555" s="634"/>
      <c r="CF555" s="634"/>
      <c r="CG555" s="634"/>
      <c r="CH555" s="634"/>
      <c r="CI555" s="634"/>
      <c r="CJ555" s="634"/>
      <c r="CK555" s="629"/>
      <c r="CM555" s="400"/>
      <c r="CN555" s="403"/>
      <c r="CO555" s="646"/>
      <c r="CP555" s="635"/>
      <c r="CR555" s="643"/>
      <c r="CS555" s="647"/>
      <c r="CT555" s="647"/>
      <c r="CU555" s="404"/>
      <c r="CV555" s="648"/>
      <c r="CW555" s="406"/>
      <c r="CX555" s="643"/>
      <c r="DA555" s="400"/>
      <c r="DB555" s="400"/>
    </row>
    <row r="556" spans="1:106" ht="15">
      <c r="A556" s="402"/>
      <c r="C556" s="627"/>
      <c r="D556" s="627"/>
      <c r="E556" s="628"/>
      <c r="F556" s="628"/>
      <c r="G556" s="629"/>
      <c r="H556" s="629"/>
      <c r="I556" s="630"/>
      <c r="J556" s="631"/>
      <c r="K556" s="628"/>
      <c r="L556" s="629"/>
      <c r="M556" s="632"/>
      <c r="N556" s="633"/>
      <c r="O556" s="633"/>
      <c r="P556" s="633"/>
      <c r="Q556" s="632"/>
      <c r="R556" s="634"/>
      <c r="S556" s="634"/>
      <c r="T556" s="634"/>
      <c r="U556" s="634"/>
      <c r="V556" s="634"/>
      <c r="W556" s="634"/>
      <c r="X556" s="634"/>
      <c r="Y556" s="634"/>
      <c r="Z556" s="634"/>
      <c r="AA556" s="634"/>
      <c r="AB556" s="634"/>
      <c r="AC556" s="634"/>
      <c r="AD556" s="634"/>
      <c r="AE556" s="634"/>
      <c r="AF556" s="634"/>
      <c r="AG556" s="634"/>
      <c r="AH556" s="634"/>
      <c r="AI556" s="634"/>
      <c r="AJ556" s="634"/>
      <c r="AK556" s="635"/>
      <c r="AL556" s="634"/>
      <c r="AM556" s="636"/>
      <c r="AN556" s="637"/>
      <c r="AO556" s="637"/>
      <c r="AP556" s="637"/>
      <c r="AQ556" s="638"/>
      <c r="AR556" s="637"/>
      <c r="AS556" s="637"/>
      <c r="AT556" s="634"/>
      <c r="AU556" s="639"/>
      <c r="AV556" s="634"/>
      <c r="AW556" s="634"/>
      <c r="AX556" s="490"/>
      <c r="AY556" s="640"/>
      <c r="AZ556" s="28"/>
      <c r="BA556" s="640"/>
      <c r="BB556" s="490"/>
      <c r="BC556" s="490"/>
      <c r="BD556" s="402"/>
      <c r="BE556" s="402"/>
      <c r="BF556" s="402"/>
      <c r="BG556" s="641"/>
      <c r="BH556" s="642"/>
      <c r="BI556" s="642"/>
      <c r="BJ556" s="629"/>
      <c r="BK556" s="638"/>
      <c r="BL556" s="638"/>
      <c r="BM556" s="638"/>
      <c r="BN556" s="638"/>
      <c r="BO556" s="643"/>
      <c r="BP556" s="644"/>
      <c r="BQ556" s="645"/>
      <c r="BR556" s="645"/>
      <c r="BS556" s="638"/>
      <c r="BT556" s="638"/>
      <c r="BU556" s="638"/>
      <c r="BV556" s="638"/>
      <c r="BW556" s="638"/>
      <c r="BX556" s="638"/>
      <c r="BY556" s="638"/>
      <c r="BZ556" s="638"/>
      <c r="CA556" s="634"/>
      <c r="CB556" s="634"/>
      <c r="CC556" s="634"/>
      <c r="CD556" s="634"/>
      <c r="CE556" s="634"/>
      <c r="CF556" s="634"/>
      <c r="CG556" s="634"/>
      <c r="CH556" s="634"/>
      <c r="CI556" s="634"/>
      <c r="CJ556" s="634"/>
      <c r="CK556" s="629"/>
      <c r="CM556" s="400"/>
      <c r="CN556" s="403"/>
      <c r="CO556" s="646"/>
      <c r="CP556" s="635"/>
      <c r="CR556" s="643"/>
      <c r="CS556" s="647"/>
      <c r="CT556" s="647"/>
      <c r="CU556" s="404"/>
      <c r="CV556" s="648"/>
      <c r="CW556" s="406"/>
      <c r="CX556" s="643"/>
      <c r="DA556" s="400"/>
      <c r="DB556" s="400"/>
    </row>
    <row r="557" spans="1:106" ht="15">
      <c r="A557" s="402"/>
      <c r="C557" s="627"/>
      <c r="D557" s="627"/>
      <c r="E557" s="628"/>
      <c r="F557" s="628"/>
      <c r="G557" s="629"/>
      <c r="H557" s="629"/>
      <c r="I557" s="630"/>
      <c r="J557" s="631"/>
      <c r="K557" s="628"/>
      <c r="L557" s="629"/>
      <c r="M557" s="632"/>
      <c r="N557" s="633"/>
      <c r="O557" s="633"/>
      <c r="P557" s="633"/>
      <c r="Q557" s="632"/>
      <c r="R557" s="634"/>
      <c r="S557" s="634"/>
      <c r="T557" s="634"/>
      <c r="U557" s="634"/>
      <c r="V557" s="634"/>
      <c r="W557" s="634"/>
      <c r="X557" s="634"/>
      <c r="Y557" s="634"/>
      <c r="Z557" s="634"/>
      <c r="AA557" s="634"/>
      <c r="AB557" s="634"/>
      <c r="AC557" s="634"/>
      <c r="AD557" s="634"/>
      <c r="AE557" s="634"/>
      <c r="AF557" s="634"/>
      <c r="AG557" s="634"/>
      <c r="AH557" s="634"/>
      <c r="AI557" s="634"/>
      <c r="AJ557" s="634"/>
      <c r="AK557" s="635"/>
      <c r="AL557" s="634"/>
      <c r="AM557" s="636"/>
      <c r="AN557" s="637"/>
      <c r="AO557" s="637"/>
      <c r="AP557" s="637"/>
      <c r="AQ557" s="638"/>
      <c r="AR557" s="637"/>
      <c r="AS557" s="637"/>
      <c r="AT557" s="634"/>
      <c r="AU557" s="639"/>
      <c r="AV557" s="634"/>
      <c r="AW557" s="634"/>
      <c r="AX557" s="490"/>
      <c r="AY557" s="640"/>
      <c r="AZ557" s="28"/>
      <c r="BA557" s="640"/>
      <c r="BB557" s="490"/>
      <c r="BC557" s="490"/>
      <c r="BD557" s="402"/>
      <c r="BE557" s="402"/>
      <c r="BF557" s="402"/>
      <c r="BG557" s="641"/>
      <c r="BH557" s="642"/>
      <c r="BI557" s="642"/>
      <c r="BJ557" s="629"/>
      <c r="BK557" s="638"/>
      <c r="BL557" s="638"/>
      <c r="BM557" s="638"/>
      <c r="BN557" s="638"/>
      <c r="BO557" s="643"/>
      <c r="BP557" s="644"/>
      <c r="BQ557" s="645"/>
      <c r="BR557" s="645"/>
      <c r="BS557" s="638"/>
      <c r="BT557" s="638"/>
      <c r="BU557" s="638"/>
      <c r="BV557" s="638"/>
      <c r="BW557" s="638"/>
      <c r="BX557" s="638"/>
      <c r="BY557" s="638"/>
      <c r="BZ557" s="638"/>
      <c r="CA557" s="634"/>
      <c r="CB557" s="634"/>
      <c r="CC557" s="634"/>
      <c r="CD557" s="634"/>
      <c r="CE557" s="634"/>
      <c r="CF557" s="634"/>
      <c r="CG557" s="634"/>
      <c r="CH557" s="634"/>
      <c r="CI557" s="634"/>
      <c r="CJ557" s="634"/>
      <c r="CK557" s="629"/>
      <c r="CM557" s="400"/>
      <c r="CN557" s="403"/>
      <c r="CO557" s="646"/>
      <c r="CP557" s="635"/>
      <c r="CR557" s="643"/>
      <c r="CS557" s="647"/>
      <c r="CT557" s="647"/>
      <c r="CU557" s="404"/>
      <c r="CV557" s="648"/>
      <c r="CW557" s="406"/>
      <c r="CX557" s="643"/>
      <c r="DA557" s="400"/>
      <c r="DB557" s="400"/>
    </row>
    <row r="558" spans="1:106" ht="15">
      <c r="A558" s="402"/>
      <c r="C558" s="627"/>
      <c r="D558" s="627"/>
      <c r="E558" s="628"/>
      <c r="F558" s="628"/>
      <c r="G558" s="629"/>
      <c r="H558" s="629"/>
      <c r="I558" s="630"/>
      <c r="J558" s="631"/>
      <c r="K558" s="628"/>
      <c r="L558" s="629"/>
      <c r="M558" s="632"/>
      <c r="N558" s="633"/>
      <c r="O558" s="633"/>
      <c r="P558" s="633"/>
      <c r="Q558" s="632"/>
      <c r="R558" s="634"/>
      <c r="S558" s="634"/>
      <c r="T558" s="634"/>
      <c r="U558" s="634"/>
      <c r="V558" s="634"/>
      <c r="W558" s="634"/>
      <c r="X558" s="634"/>
      <c r="Y558" s="634"/>
      <c r="Z558" s="634"/>
      <c r="AA558" s="634"/>
      <c r="AB558" s="634"/>
      <c r="AC558" s="634"/>
      <c r="AD558" s="634"/>
      <c r="AE558" s="634"/>
      <c r="AF558" s="634"/>
      <c r="AG558" s="634"/>
      <c r="AH558" s="634"/>
      <c r="AI558" s="634"/>
      <c r="AJ558" s="634"/>
      <c r="AK558" s="635"/>
      <c r="AL558" s="634"/>
      <c r="AM558" s="636"/>
      <c r="AN558" s="637"/>
      <c r="AO558" s="637"/>
      <c r="AP558" s="637"/>
      <c r="AQ558" s="638"/>
      <c r="AR558" s="637"/>
      <c r="AS558" s="637"/>
      <c r="AT558" s="634"/>
      <c r="AU558" s="639"/>
      <c r="AV558" s="634"/>
      <c r="AW558" s="634"/>
      <c r="AX558" s="490"/>
      <c r="AY558" s="640"/>
      <c r="AZ558" s="28"/>
      <c r="BA558" s="640"/>
      <c r="BB558" s="490"/>
      <c r="BC558" s="490"/>
      <c r="BD558" s="402"/>
      <c r="BE558" s="402"/>
      <c r="BF558" s="402"/>
      <c r="BG558" s="641"/>
      <c r="BH558" s="642"/>
      <c r="BI558" s="642"/>
      <c r="BJ558" s="629"/>
      <c r="BK558" s="638"/>
      <c r="BL558" s="638"/>
      <c r="BM558" s="638"/>
      <c r="BN558" s="638"/>
      <c r="BO558" s="643"/>
      <c r="BP558" s="644"/>
      <c r="BQ558" s="645"/>
      <c r="BR558" s="645"/>
      <c r="BS558" s="638"/>
      <c r="BT558" s="638"/>
      <c r="BU558" s="638"/>
      <c r="BV558" s="638"/>
      <c r="BW558" s="638"/>
      <c r="BX558" s="638"/>
      <c r="BY558" s="638"/>
      <c r="BZ558" s="638"/>
      <c r="CA558" s="634"/>
      <c r="CB558" s="634"/>
      <c r="CC558" s="634"/>
      <c r="CD558" s="634"/>
      <c r="CE558" s="634"/>
      <c r="CF558" s="634"/>
      <c r="CG558" s="634"/>
      <c r="CH558" s="634"/>
      <c r="CI558" s="634"/>
      <c r="CJ558" s="634"/>
      <c r="CK558" s="629"/>
      <c r="CM558" s="400"/>
      <c r="CN558" s="403"/>
      <c r="CO558" s="646"/>
      <c r="CP558" s="635"/>
      <c r="CR558" s="643"/>
      <c r="CS558" s="647"/>
      <c r="CT558" s="647"/>
      <c r="CU558" s="404"/>
      <c r="CV558" s="648"/>
      <c r="CW558" s="406"/>
      <c r="CX558" s="643"/>
      <c r="DA558" s="400"/>
      <c r="DB558" s="400"/>
    </row>
    <row r="559" spans="1:106" ht="15">
      <c r="A559" s="402"/>
      <c r="C559" s="627"/>
      <c r="D559" s="627"/>
      <c r="E559" s="628"/>
      <c r="F559" s="628"/>
      <c r="G559" s="629"/>
      <c r="H559" s="629"/>
      <c r="I559" s="630"/>
      <c r="J559" s="631"/>
      <c r="K559" s="628"/>
      <c r="L559" s="629"/>
      <c r="M559" s="632"/>
      <c r="N559" s="633"/>
      <c r="O559" s="633"/>
      <c r="P559" s="633"/>
      <c r="Q559" s="632"/>
      <c r="R559" s="634"/>
      <c r="S559" s="634"/>
      <c r="T559" s="634"/>
      <c r="U559" s="634"/>
      <c r="V559" s="634"/>
      <c r="W559" s="634"/>
      <c r="X559" s="634"/>
      <c r="Y559" s="634"/>
      <c r="Z559" s="634"/>
      <c r="AA559" s="634"/>
      <c r="AB559" s="634"/>
      <c r="AC559" s="634"/>
      <c r="AD559" s="634"/>
      <c r="AE559" s="634"/>
      <c r="AF559" s="634"/>
      <c r="AG559" s="634"/>
      <c r="AH559" s="634"/>
      <c r="AI559" s="634"/>
      <c r="AJ559" s="634"/>
      <c r="AK559" s="635"/>
      <c r="AL559" s="634"/>
      <c r="AM559" s="636"/>
      <c r="AN559" s="637"/>
      <c r="AO559" s="637"/>
      <c r="AP559" s="637"/>
      <c r="AQ559" s="638"/>
      <c r="AR559" s="637"/>
      <c r="AS559" s="637"/>
      <c r="AT559" s="634"/>
      <c r="AU559" s="639"/>
      <c r="AV559" s="634"/>
      <c r="AW559" s="634"/>
      <c r="AX559" s="490"/>
      <c r="AY559" s="640"/>
      <c r="AZ559" s="28"/>
      <c r="BA559" s="640"/>
      <c r="BB559" s="490"/>
      <c r="BC559" s="490"/>
      <c r="BD559" s="402"/>
      <c r="BE559" s="402"/>
      <c r="BF559" s="402"/>
      <c r="BG559" s="641"/>
      <c r="BH559" s="642"/>
      <c r="BI559" s="642"/>
      <c r="BJ559" s="629"/>
      <c r="BK559" s="638"/>
      <c r="BL559" s="638"/>
      <c r="BM559" s="638"/>
      <c r="BN559" s="638"/>
      <c r="BO559" s="643"/>
      <c r="BP559" s="644"/>
      <c r="BQ559" s="645"/>
      <c r="BR559" s="645"/>
      <c r="BS559" s="638"/>
      <c r="BT559" s="638"/>
      <c r="BU559" s="638"/>
      <c r="BV559" s="638"/>
      <c r="BW559" s="638"/>
      <c r="BX559" s="638"/>
      <c r="BY559" s="638"/>
      <c r="BZ559" s="638"/>
      <c r="CA559" s="634"/>
      <c r="CB559" s="634"/>
      <c r="CC559" s="634"/>
      <c r="CD559" s="634"/>
      <c r="CE559" s="634"/>
      <c r="CF559" s="634"/>
      <c r="CG559" s="634"/>
      <c r="CH559" s="634"/>
      <c r="CI559" s="634"/>
      <c r="CJ559" s="634"/>
      <c r="CK559" s="629"/>
      <c r="CM559" s="400"/>
      <c r="CN559" s="403"/>
      <c r="CO559" s="646"/>
      <c r="CP559" s="635"/>
      <c r="CR559" s="643"/>
      <c r="CS559" s="647"/>
      <c r="CT559" s="647"/>
      <c r="CU559" s="404"/>
      <c r="CV559" s="648"/>
      <c r="CW559" s="406"/>
      <c r="CX559" s="643"/>
      <c r="DA559" s="400"/>
      <c r="DB559" s="400"/>
    </row>
    <row r="560" spans="1:106" ht="15">
      <c r="A560" s="402"/>
      <c r="C560" s="627"/>
      <c r="D560" s="627"/>
      <c r="E560" s="628"/>
      <c r="F560" s="1374"/>
      <c r="G560" s="1374"/>
      <c r="H560" s="629"/>
      <c r="I560" s="630"/>
      <c r="J560" s="631"/>
      <c r="K560" s="628"/>
      <c r="L560" s="629"/>
      <c r="M560" s="632"/>
      <c r="N560" s="633"/>
      <c r="O560" s="633"/>
      <c r="P560" s="633"/>
      <c r="Q560" s="632"/>
      <c r="R560" s="634"/>
      <c r="S560" s="634"/>
      <c r="T560" s="634"/>
      <c r="U560" s="634"/>
      <c r="V560" s="634"/>
      <c r="W560" s="634"/>
      <c r="X560" s="634"/>
      <c r="Y560" s="634"/>
      <c r="Z560" s="634"/>
      <c r="AA560" s="634"/>
      <c r="AB560" s="634"/>
      <c r="AC560" s="634"/>
      <c r="AD560" s="634"/>
      <c r="AE560" s="634"/>
      <c r="AF560" s="634"/>
      <c r="AG560" s="634"/>
      <c r="AH560" s="634"/>
      <c r="AI560" s="634"/>
      <c r="AJ560" s="634"/>
      <c r="AK560" s="635"/>
      <c r="AL560" s="634"/>
      <c r="AM560" s="636"/>
      <c r="AN560" s="637"/>
      <c r="AO560" s="637"/>
      <c r="AP560" s="637"/>
      <c r="AQ560" s="638"/>
      <c r="AR560" s="637"/>
      <c r="AS560" s="637"/>
      <c r="AT560" s="634"/>
      <c r="AU560" s="639"/>
      <c r="AV560" s="634"/>
      <c r="AW560" s="634"/>
      <c r="AX560" s="490"/>
      <c r="AY560" s="640"/>
      <c r="AZ560" s="28"/>
      <c r="BA560" s="640"/>
      <c r="BB560" s="490"/>
      <c r="BC560" s="490"/>
      <c r="BD560" s="402"/>
      <c r="BE560" s="402"/>
      <c r="BF560" s="402"/>
      <c r="BG560" s="641"/>
      <c r="BH560" s="642"/>
      <c r="BI560" s="642"/>
      <c r="BJ560" s="629"/>
      <c r="BK560" s="638"/>
      <c r="BL560" s="638"/>
      <c r="BM560" s="638"/>
      <c r="BN560" s="638"/>
      <c r="BO560" s="643"/>
      <c r="BP560" s="644"/>
      <c r="BQ560" s="645"/>
      <c r="BR560" s="645"/>
      <c r="BS560" s="638"/>
      <c r="BT560" s="638"/>
      <c r="BU560" s="638"/>
      <c r="BV560" s="638"/>
      <c r="BW560" s="638"/>
      <c r="BX560" s="638"/>
      <c r="BY560" s="638"/>
      <c r="BZ560" s="638"/>
      <c r="CA560" s="634"/>
      <c r="CB560" s="634"/>
      <c r="CC560" s="634"/>
      <c r="CD560" s="634"/>
      <c r="CE560" s="634"/>
      <c r="CF560" s="634"/>
      <c r="CG560" s="634"/>
      <c r="CH560" s="634"/>
      <c r="CI560" s="634"/>
      <c r="CJ560" s="634"/>
      <c r="CK560" s="629"/>
      <c r="CM560" s="400"/>
      <c r="CN560" s="403"/>
      <c r="CO560" s="646"/>
      <c r="CP560" s="635"/>
      <c r="CR560" s="643"/>
      <c r="CS560" s="647"/>
      <c r="CT560" s="647"/>
      <c r="CU560" s="404"/>
      <c r="CV560" s="648"/>
      <c r="CW560" s="406"/>
      <c r="CX560" s="643"/>
      <c r="DA560" s="400"/>
      <c r="DB560" s="400"/>
    </row>
    <row r="561" spans="1:106" ht="15">
      <c r="A561" s="402"/>
      <c r="C561" s="627"/>
      <c r="D561" s="627"/>
      <c r="E561" s="628"/>
      <c r="F561" s="1374"/>
      <c r="G561" s="629"/>
      <c r="H561" s="629"/>
      <c r="I561" s="630"/>
      <c r="J561" s="631"/>
      <c r="K561" s="628"/>
      <c r="L561" s="629"/>
      <c r="M561" s="632"/>
      <c r="N561" s="633"/>
      <c r="O561" s="633"/>
      <c r="P561" s="633"/>
      <c r="Q561" s="632"/>
      <c r="R561" s="634"/>
      <c r="S561" s="634"/>
      <c r="T561" s="634"/>
      <c r="U561" s="634"/>
      <c r="V561" s="634"/>
      <c r="W561" s="634"/>
      <c r="X561" s="634"/>
      <c r="Y561" s="634"/>
      <c r="Z561" s="634"/>
      <c r="AA561" s="634"/>
      <c r="AB561" s="634"/>
      <c r="AC561" s="634"/>
      <c r="AD561" s="634"/>
      <c r="AE561" s="634"/>
      <c r="AF561" s="634"/>
      <c r="AG561" s="634"/>
      <c r="AH561" s="634"/>
      <c r="AI561" s="634"/>
      <c r="AJ561" s="634"/>
      <c r="AK561" s="635"/>
      <c r="AL561" s="634"/>
      <c r="AM561" s="636"/>
      <c r="AN561" s="637"/>
      <c r="AO561" s="637"/>
      <c r="AP561" s="637"/>
      <c r="AQ561" s="638"/>
      <c r="AR561" s="637"/>
      <c r="AS561" s="637"/>
      <c r="AT561" s="634"/>
      <c r="AU561" s="639"/>
      <c r="AV561" s="634"/>
      <c r="AW561" s="634"/>
      <c r="AX561" s="490"/>
      <c r="AY561" s="640"/>
      <c r="AZ561" s="28"/>
      <c r="BA561" s="640"/>
      <c r="BB561" s="490"/>
      <c r="BC561" s="490"/>
      <c r="BD561" s="402"/>
      <c r="BE561" s="402"/>
      <c r="BF561" s="402"/>
      <c r="BG561" s="641"/>
      <c r="BH561" s="642"/>
      <c r="BI561" s="642"/>
      <c r="BJ561" s="629"/>
      <c r="BK561" s="638"/>
      <c r="BL561" s="638"/>
      <c r="BM561" s="638"/>
      <c r="BN561" s="638"/>
      <c r="BO561" s="643"/>
      <c r="BP561" s="644"/>
      <c r="BQ561" s="645"/>
      <c r="BR561" s="645"/>
      <c r="BS561" s="638"/>
      <c r="BT561" s="638"/>
      <c r="BU561" s="638"/>
      <c r="BV561" s="638"/>
      <c r="BW561" s="638"/>
      <c r="BX561" s="638"/>
      <c r="BY561" s="638"/>
      <c r="BZ561" s="638"/>
      <c r="CA561" s="634"/>
      <c r="CB561" s="634"/>
      <c r="CC561" s="634"/>
      <c r="CD561" s="634"/>
      <c r="CE561" s="634"/>
      <c r="CF561" s="634"/>
      <c r="CG561" s="634"/>
      <c r="CH561" s="634"/>
      <c r="CI561" s="634"/>
      <c r="CJ561" s="634"/>
      <c r="CK561" s="629"/>
      <c r="CM561" s="400"/>
      <c r="CN561" s="403"/>
      <c r="CO561" s="646"/>
      <c r="CP561" s="635"/>
      <c r="CR561" s="643"/>
      <c r="CS561" s="647"/>
      <c r="CT561" s="647"/>
      <c r="CU561" s="404"/>
      <c r="CV561" s="648"/>
      <c r="CW561" s="406"/>
      <c r="CX561" s="643"/>
      <c r="DA561" s="400"/>
      <c r="DB561" s="400"/>
    </row>
    <row r="562" spans="1:106" ht="15">
      <c r="A562" s="402"/>
      <c r="C562" s="627"/>
      <c r="D562" s="627"/>
      <c r="E562" s="628"/>
      <c r="F562" s="1374"/>
      <c r="G562" s="629"/>
      <c r="H562" s="629"/>
      <c r="I562" s="630"/>
      <c r="J562" s="631"/>
      <c r="K562" s="628"/>
      <c r="L562" s="629"/>
      <c r="M562" s="632"/>
      <c r="N562" s="633"/>
      <c r="O562" s="633"/>
      <c r="P562" s="633"/>
      <c r="Q562" s="632"/>
      <c r="R562" s="634"/>
      <c r="S562" s="634"/>
      <c r="T562" s="634"/>
      <c r="U562" s="634"/>
      <c r="V562" s="634"/>
      <c r="W562" s="634"/>
      <c r="X562" s="634"/>
      <c r="Y562" s="634"/>
      <c r="Z562" s="634"/>
      <c r="AA562" s="634"/>
      <c r="AB562" s="634"/>
      <c r="AC562" s="634"/>
      <c r="AD562" s="634"/>
      <c r="AE562" s="634"/>
      <c r="AF562" s="634"/>
      <c r="AG562" s="634"/>
      <c r="AH562" s="634"/>
      <c r="AI562" s="634"/>
      <c r="AJ562" s="634"/>
      <c r="AK562" s="635"/>
      <c r="AL562" s="634"/>
      <c r="AM562" s="636"/>
      <c r="AN562" s="637"/>
      <c r="AO562" s="637"/>
      <c r="AP562" s="637"/>
      <c r="AQ562" s="638"/>
      <c r="AR562" s="637"/>
      <c r="AS562" s="637"/>
      <c r="AT562" s="634"/>
      <c r="AU562" s="639"/>
      <c r="AV562" s="634"/>
      <c r="AW562" s="634"/>
      <c r="AX562" s="490"/>
      <c r="AY562" s="640"/>
      <c r="AZ562" s="28"/>
      <c r="BA562" s="640"/>
      <c r="BB562" s="490"/>
      <c r="BC562" s="490"/>
      <c r="BD562" s="402"/>
      <c r="BE562" s="402"/>
      <c r="BF562" s="402"/>
      <c r="BG562" s="641"/>
      <c r="BH562" s="642"/>
      <c r="BI562" s="642"/>
      <c r="BJ562" s="629"/>
      <c r="BK562" s="638"/>
      <c r="BL562" s="638"/>
      <c r="BM562" s="638"/>
      <c r="BN562" s="638"/>
      <c r="BO562" s="643"/>
      <c r="BP562" s="644"/>
      <c r="BQ562" s="645"/>
      <c r="BR562" s="645"/>
      <c r="BS562" s="638"/>
      <c r="BT562" s="638"/>
      <c r="BU562" s="638"/>
      <c r="BV562" s="638"/>
      <c r="BW562" s="638"/>
      <c r="BX562" s="638"/>
      <c r="BY562" s="638"/>
      <c r="BZ562" s="638"/>
      <c r="CA562" s="634"/>
      <c r="CB562" s="634"/>
      <c r="CC562" s="634"/>
      <c r="CD562" s="634"/>
      <c r="CE562" s="634"/>
      <c r="CF562" s="634"/>
      <c r="CG562" s="634"/>
      <c r="CH562" s="634"/>
      <c r="CI562" s="634"/>
      <c r="CJ562" s="634"/>
      <c r="CK562" s="629"/>
      <c r="CM562" s="400"/>
      <c r="CN562" s="403"/>
      <c r="CO562" s="646"/>
      <c r="CP562" s="635"/>
      <c r="CR562" s="643"/>
      <c r="CS562" s="647"/>
      <c r="CT562" s="647"/>
      <c r="CU562" s="404"/>
      <c r="CV562" s="648"/>
      <c r="CW562" s="406"/>
      <c r="CX562" s="643"/>
      <c r="DA562" s="400"/>
      <c r="DB562" s="400"/>
    </row>
    <row r="563" spans="1:106" ht="15">
      <c r="A563" s="402"/>
      <c r="C563" s="627"/>
      <c r="D563" s="627"/>
      <c r="E563" s="628"/>
      <c r="F563" s="1374"/>
      <c r="G563" s="629"/>
      <c r="H563" s="629"/>
      <c r="I563" s="630"/>
      <c r="J563" s="631"/>
      <c r="K563" s="628"/>
      <c r="L563" s="629"/>
      <c r="M563" s="632"/>
      <c r="N563" s="633"/>
      <c r="O563" s="633"/>
      <c r="P563" s="633"/>
      <c r="Q563" s="632"/>
      <c r="R563" s="634"/>
      <c r="S563" s="634"/>
      <c r="T563" s="634"/>
      <c r="U563" s="634"/>
      <c r="V563" s="634"/>
      <c r="W563" s="634"/>
      <c r="X563" s="634"/>
      <c r="Y563" s="634"/>
      <c r="Z563" s="634"/>
      <c r="AA563" s="634"/>
      <c r="AB563" s="634"/>
      <c r="AC563" s="634"/>
      <c r="AD563" s="634"/>
      <c r="AE563" s="634"/>
      <c r="AF563" s="634"/>
      <c r="AG563" s="634"/>
      <c r="AH563" s="634"/>
      <c r="AI563" s="634"/>
      <c r="AJ563" s="634"/>
      <c r="AK563" s="635"/>
      <c r="AL563" s="634"/>
      <c r="AM563" s="636"/>
      <c r="AN563" s="637"/>
      <c r="AO563" s="637"/>
      <c r="AP563" s="637"/>
      <c r="AQ563" s="638"/>
      <c r="AR563" s="637"/>
      <c r="AS563" s="637"/>
      <c r="AT563" s="634"/>
      <c r="AU563" s="639"/>
      <c r="AV563" s="634"/>
      <c r="AW563" s="634"/>
      <c r="AX563" s="490"/>
      <c r="AY563" s="640"/>
      <c r="AZ563" s="28"/>
      <c r="BA563" s="640"/>
      <c r="BB563" s="490"/>
      <c r="BC563" s="490"/>
      <c r="BD563" s="402"/>
      <c r="BE563" s="402"/>
      <c r="BF563" s="402"/>
      <c r="BG563" s="641"/>
      <c r="BH563" s="642"/>
      <c r="BI563" s="642"/>
      <c r="BJ563" s="629"/>
      <c r="BK563" s="638"/>
      <c r="BL563" s="638"/>
      <c r="BM563" s="638"/>
      <c r="BN563" s="638"/>
      <c r="BO563" s="643"/>
      <c r="BP563" s="644"/>
      <c r="BQ563" s="645"/>
      <c r="BR563" s="645"/>
      <c r="BS563" s="638"/>
      <c r="BT563" s="638"/>
      <c r="BU563" s="638"/>
      <c r="BV563" s="638"/>
      <c r="BW563" s="638"/>
      <c r="BX563" s="638"/>
      <c r="BY563" s="638"/>
      <c r="BZ563" s="638"/>
      <c r="CA563" s="634"/>
      <c r="CB563" s="634"/>
      <c r="CC563" s="634"/>
      <c r="CD563" s="634"/>
      <c r="CE563" s="634"/>
      <c r="CF563" s="634"/>
      <c r="CG563" s="634"/>
      <c r="CH563" s="634"/>
      <c r="CI563" s="634"/>
      <c r="CJ563" s="634"/>
      <c r="CK563" s="629"/>
      <c r="CM563" s="400"/>
      <c r="CN563" s="403"/>
      <c r="CO563" s="646"/>
      <c r="CP563" s="635"/>
      <c r="CR563" s="643"/>
      <c r="CS563" s="647"/>
      <c r="CT563" s="647"/>
      <c r="CU563" s="404"/>
      <c r="CV563" s="648"/>
      <c r="CW563" s="406"/>
      <c r="CX563" s="643"/>
      <c r="DA563" s="400"/>
      <c r="DB563" s="400"/>
    </row>
    <row r="564" spans="1:106" ht="15">
      <c r="A564" s="402"/>
      <c r="C564" s="627"/>
      <c r="D564" s="627"/>
      <c r="E564" s="1374"/>
      <c r="F564" s="1374"/>
      <c r="G564" s="629"/>
      <c r="H564" s="629"/>
      <c r="I564" s="630"/>
      <c r="J564" s="631"/>
      <c r="K564" s="628"/>
      <c r="L564" s="629"/>
      <c r="M564" s="632"/>
      <c r="N564" s="633"/>
      <c r="O564" s="633"/>
      <c r="P564" s="633"/>
      <c r="Q564" s="632"/>
      <c r="R564" s="634"/>
      <c r="S564" s="634"/>
      <c r="T564" s="634"/>
      <c r="U564" s="634"/>
      <c r="V564" s="634"/>
      <c r="W564" s="634"/>
      <c r="X564" s="634"/>
      <c r="Y564" s="634"/>
      <c r="Z564" s="634"/>
      <c r="AA564" s="634"/>
      <c r="AB564" s="634"/>
      <c r="AC564" s="634"/>
      <c r="AD564" s="634"/>
      <c r="AE564" s="634"/>
      <c r="AF564" s="634"/>
      <c r="AG564" s="634"/>
      <c r="AH564" s="634"/>
      <c r="AI564" s="634"/>
      <c r="AJ564" s="634"/>
      <c r="AK564" s="635"/>
      <c r="AL564" s="634"/>
      <c r="AM564" s="636"/>
      <c r="AN564" s="637"/>
      <c r="AO564" s="637"/>
      <c r="AP564" s="637"/>
      <c r="AQ564" s="638"/>
      <c r="AR564" s="637"/>
      <c r="AS564" s="637"/>
      <c r="AT564" s="634"/>
      <c r="AU564" s="639"/>
      <c r="AV564" s="634"/>
      <c r="AW564" s="634"/>
      <c r="AX564" s="490"/>
      <c r="AY564" s="640"/>
      <c r="AZ564" s="28"/>
      <c r="BA564" s="640"/>
      <c r="BB564" s="490"/>
      <c r="BC564" s="490"/>
      <c r="BD564" s="402"/>
      <c r="BE564" s="402"/>
      <c r="BF564" s="402"/>
      <c r="BG564" s="641"/>
      <c r="BH564" s="642"/>
      <c r="BI564" s="642"/>
      <c r="BJ564" s="629"/>
      <c r="BK564" s="638"/>
      <c r="BL564" s="638"/>
      <c r="BM564" s="638"/>
      <c r="BN564" s="638"/>
      <c r="BO564" s="643"/>
      <c r="BP564" s="644"/>
      <c r="BQ564" s="645"/>
      <c r="BR564" s="645"/>
      <c r="BS564" s="638"/>
      <c r="BT564" s="638"/>
      <c r="BU564" s="638"/>
      <c r="BV564" s="638"/>
      <c r="BW564" s="638"/>
      <c r="BX564" s="638"/>
      <c r="BY564" s="638"/>
      <c r="BZ564" s="638"/>
      <c r="CA564" s="634"/>
      <c r="CB564" s="634"/>
      <c r="CC564" s="634"/>
      <c r="CD564" s="634"/>
      <c r="CE564" s="634"/>
      <c r="CF564" s="634"/>
      <c r="CG564" s="634"/>
      <c r="CH564" s="634"/>
      <c r="CI564" s="634"/>
      <c r="CJ564" s="634"/>
      <c r="CK564" s="629"/>
      <c r="CM564" s="400"/>
      <c r="CN564" s="403"/>
      <c r="CO564" s="646"/>
      <c r="CP564" s="635"/>
      <c r="CR564" s="643"/>
      <c r="CS564" s="647"/>
      <c r="CT564" s="647"/>
      <c r="CU564" s="404"/>
      <c r="CV564" s="648"/>
      <c r="CW564" s="406"/>
      <c r="CX564" s="643"/>
      <c r="DA564" s="400"/>
      <c r="DB564" s="400"/>
    </row>
    <row r="565" spans="1:106" ht="15">
      <c r="A565" s="402"/>
      <c r="C565" s="627"/>
      <c r="D565" s="627"/>
      <c r="E565" s="1374"/>
      <c r="F565" s="1374"/>
      <c r="G565" s="629"/>
      <c r="H565" s="629"/>
      <c r="I565" s="630"/>
      <c r="J565" s="631"/>
      <c r="K565" s="628"/>
      <c r="L565" s="629"/>
      <c r="M565" s="632"/>
      <c r="N565" s="633"/>
      <c r="O565" s="633"/>
      <c r="P565" s="633"/>
      <c r="Q565" s="632"/>
      <c r="R565" s="634"/>
      <c r="S565" s="634"/>
      <c r="T565" s="634"/>
      <c r="U565" s="634"/>
      <c r="V565" s="634"/>
      <c r="W565" s="634"/>
      <c r="X565" s="634"/>
      <c r="Y565" s="634"/>
      <c r="Z565" s="634"/>
      <c r="AA565" s="634"/>
      <c r="AB565" s="634"/>
      <c r="AC565" s="634"/>
      <c r="AD565" s="634"/>
      <c r="AE565" s="634"/>
      <c r="AF565" s="634"/>
      <c r="AG565" s="634"/>
      <c r="AH565" s="634"/>
      <c r="AI565" s="634"/>
      <c r="AJ565" s="634"/>
      <c r="AK565" s="635"/>
      <c r="AL565" s="634"/>
      <c r="AM565" s="636"/>
      <c r="AN565" s="637"/>
      <c r="AO565" s="637"/>
      <c r="AP565" s="637"/>
      <c r="AQ565" s="638"/>
      <c r="AR565" s="637"/>
      <c r="AS565" s="637"/>
      <c r="AT565" s="634"/>
      <c r="AU565" s="639"/>
      <c r="AV565" s="634"/>
      <c r="AW565" s="634"/>
      <c r="AX565" s="490"/>
      <c r="AY565" s="640"/>
      <c r="AZ565" s="28"/>
      <c r="BA565" s="640"/>
      <c r="BB565" s="490"/>
      <c r="BC565" s="490"/>
      <c r="BD565" s="402"/>
      <c r="BE565" s="402"/>
      <c r="BF565" s="402"/>
      <c r="BG565" s="641"/>
      <c r="BH565" s="642"/>
      <c r="BI565" s="642"/>
      <c r="BJ565" s="629"/>
      <c r="BK565" s="638"/>
      <c r="BL565" s="638"/>
      <c r="BM565" s="638"/>
      <c r="BN565" s="638"/>
      <c r="BO565" s="643"/>
      <c r="BP565" s="644"/>
      <c r="BQ565" s="645"/>
      <c r="BR565" s="645"/>
      <c r="BS565" s="638"/>
      <c r="BT565" s="638"/>
      <c r="BU565" s="638"/>
      <c r="BV565" s="638"/>
      <c r="BW565" s="638"/>
      <c r="BX565" s="638"/>
      <c r="BY565" s="638"/>
      <c r="BZ565" s="638"/>
      <c r="CA565" s="634"/>
      <c r="CB565" s="634"/>
      <c r="CC565" s="634"/>
      <c r="CD565" s="634"/>
      <c r="CE565" s="634"/>
      <c r="CF565" s="634"/>
      <c r="CG565" s="634"/>
      <c r="CH565" s="634"/>
      <c r="CI565" s="634"/>
      <c r="CJ565" s="634"/>
      <c r="CK565" s="629"/>
      <c r="CM565" s="400"/>
      <c r="CN565" s="403"/>
      <c r="CO565" s="646"/>
      <c r="CP565" s="635"/>
      <c r="CR565" s="643"/>
      <c r="CS565" s="647"/>
      <c r="CT565" s="647"/>
      <c r="CU565" s="404"/>
      <c r="CV565" s="648"/>
      <c r="CW565" s="406"/>
      <c r="CX565" s="643"/>
      <c r="DA565" s="400"/>
      <c r="DB565" s="400"/>
    </row>
    <row r="566" spans="1:106" ht="15">
      <c r="A566" s="402"/>
      <c r="C566" s="627"/>
      <c r="D566" s="627"/>
      <c r="E566" s="1374"/>
      <c r="F566" s="1374"/>
      <c r="G566" s="629"/>
      <c r="H566" s="629"/>
      <c r="I566" s="630"/>
      <c r="J566" s="631"/>
      <c r="K566" s="628"/>
      <c r="L566" s="629"/>
      <c r="M566" s="632"/>
      <c r="N566" s="633"/>
      <c r="O566" s="633"/>
      <c r="P566" s="633"/>
      <c r="Q566" s="632"/>
      <c r="R566" s="634"/>
      <c r="S566" s="634"/>
      <c r="T566" s="634"/>
      <c r="U566" s="634"/>
      <c r="V566" s="634"/>
      <c r="W566" s="634"/>
      <c r="X566" s="634"/>
      <c r="Y566" s="634"/>
      <c r="Z566" s="634"/>
      <c r="AA566" s="634"/>
      <c r="AB566" s="634"/>
      <c r="AC566" s="634"/>
      <c r="AD566" s="634"/>
      <c r="AE566" s="634"/>
      <c r="AF566" s="634"/>
      <c r="AG566" s="634"/>
      <c r="AH566" s="634"/>
      <c r="AI566" s="634"/>
      <c r="AJ566" s="634"/>
      <c r="AK566" s="635"/>
      <c r="AL566" s="634"/>
      <c r="AM566" s="636"/>
      <c r="AN566" s="637"/>
      <c r="AO566" s="637"/>
      <c r="AP566" s="637"/>
      <c r="AQ566" s="638"/>
      <c r="AR566" s="637"/>
      <c r="AS566" s="637"/>
      <c r="AT566" s="634"/>
      <c r="AU566" s="639"/>
      <c r="AV566" s="634"/>
      <c r="AW566" s="634"/>
      <c r="AX566" s="490"/>
      <c r="AY566" s="640"/>
      <c r="AZ566" s="28"/>
      <c r="BA566" s="640"/>
      <c r="BB566" s="490"/>
      <c r="BC566" s="490"/>
      <c r="BD566" s="402"/>
      <c r="BE566" s="402"/>
      <c r="BF566" s="402"/>
      <c r="BG566" s="641"/>
      <c r="BH566" s="642"/>
      <c r="BI566" s="642"/>
      <c r="BJ566" s="629"/>
      <c r="BK566" s="638"/>
      <c r="BL566" s="638"/>
      <c r="BM566" s="638"/>
      <c r="BN566" s="638"/>
      <c r="BO566" s="643"/>
      <c r="BP566" s="644"/>
      <c r="BQ566" s="645"/>
      <c r="BR566" s="645"/>
      <c r="BS566" s="638"/>
      <c r="BT566" s="638"/>
      <c r="BU566" s="638"/>
      <c r="BV566" s="638"/>
      <c r="BW566" s="638"/>
      <c r="BX566" s="638"/>
      <c r="BY566" s="638"/>
      <c r="BZ566" s="638"/>
      <c r="CA566" s="634"/>
      <c r="CB566" s="634"/>
      <c r="CC566" s="634"/>
      <c r="CD566" s="634"/>
      <c r="CE566" s="634"/>
      <c r="CF566" s="634"/>
      <c r="CG566" s="634"/>
      <c r="CH566" s="634"/>
      <c r="CI566" s="634"/>
      <c r="CJ566" s="634"/>
      <c r="CK566" s="629"/>
      <c r="CM566" s="400"/>
      <c r="CN566" s="403"/>
      <c r="CO566" s="646"/>
      <c r="CP566" s="635"/>
      <c r="CR566" s="643"/>
      <c r="CS566" s="647"/>
      <c r="CT566" s="647"/>
      <c r="CU566" s="404"/>
      <c r="CV566" s="648"/>
      <c r="CW566" s="406"/>
      <c r="CX566" s="643"/>
      <c r="DA566" s="400"/>
      <c r="DB566" s="400"/>
    </row>
    <row r="567" spans="1:106" ht="15">
      <c r="A567" s="402"/>
      <c r="C567" s="627"/>
      <c r="D567" s="627"/>
      <c r="E567" s="1374"/>
      <c r="F567" s="1374"/>
      <c r="G567" s="629"/>
      <c r="H567" s="629"/>
      <c r="I567" s="630"/>
      <c r="J567" s="631"/>
      <c r="K567" s="628"/>
      <c r="L567" s="629"/>
      <c r="M567" s="632"/>
      <c r="N567" s="633"/>
      <c r="O567" s="633"/>
      <c r="P567" s="633"/>
      <c r="Q567" s="632"/>
      <c r="R567" s="634"/>
      <c r="S567" s="634"/>
      <c r="T567" s="634"/>
      <c r="U567" s="634"/>
      <c r="V567" s="634"/>
      <c r="W567" s="634"/>
      <c r="X567" s="634"/>
      <c r="Y567" s="634"/>
      <c r="Z567" s="634"/>
      <c r="AA567" s="634"/>
      <c r="AB567" s="634"/>
      <c r="AC567" s="634"/>
      <c r="AD567" s="634"/>
      <c r="AE567" s="634"/>
      <c r="AF567" s="634"/>
      <c r="AG567" s="634"/>
      <c r="AH567" s="634"/>
      <c r="AI567" s="634"/>
      <c r="AJ567" s="634"/>
      <c r="AK567" s="635"/>
      <c r="AL567" s="634"/>
      <c r="AM567" s="636"/>
      <c r="AN567" s="637"/>
      <c r="AO567" s="637"/>
      <c r="AP567" s="637"/>
      <c r="AQ567" s="638"/>
      <c r="AR567" s="637"/>
      <c r="AS567" s="637"/>
      <c r="AT567" s="634"/>
      <c r="AU567" s="639"/>
      <c r="AV567" s="634"/>
      <c r="AW567" s="634"/>
      <c r="AX567" s="490"/>
      <c r="AY567" s="640"/>
      <c r="AZ567" s="28"/>
      <c r="BA567" s="640"/>
      <c r="BB567" s="490"/>
      <c r="BC567" s="490"/>
      <c r="BD567" s="402"/>
      <c r="BE567" s="402"/>
      <c r="BF567" s="402"/>
      <c r="BG567" s="641"/>
      <c r="BH567" s="642"/>
      <c r="BI567" s="642"/>
      <c r="BJ567" s="629"/>
      <c r="BK567" s="638"/>
      <c r="BL567" s="638"/>
      <c r="BM567" s="638"/>
      <c r="BN567" s="638"/>
      <c r="BO567" s="643"/>
      <c r="BP567" s="644"/>
      <c r="BQ567" s="645"/>
      <c r="BR567" s="645"/>
      <c r="BS567" s="638"/>
      <c r="BT567" s="638"/>
      <c r="BU567" s="638"/>
      <c r="BV567" s="638"/>
      <c r="BW567" s="638"/>
      <c r="BX567" s="638"/>
      <c r="BY567" s="638"/>
      <c r="BZ567" s="638"/>
      <c r="CA567" s="634"/>
      <c r="CB567" s="634"/>
      <c r="CC567" s="634"/>
      <c r="CD567" s="634"/>
      <c r="CE567" s="634"/>
      <c r="CF567" s="634"/>
      <c r="CG567" s="634"/>
      <c r="CH567" s="634"/>
      <c r="CI567" s="634"/>
      <c r="CJ567" s="634"/>
      <c r="CK567" s="629"/>
      <c r="CM567" s="400"/>
      <c r="CN567" s="403"/>
      <c r="CO567" s="646"/>
      <c r="CP567" s="635"/>
      <c r="CR567" s="643"/>
      <c r="CS567" s="647"/>
      <c r="CT567" s="647"/>
      <c r="CU567" s="404"/>
      <c r="CV567" s="648"/>
      <c r="CW567" s="406"/>
      <c r="CX567" s="643"/>
      <c r="DA567" s="400"/>
      <c r="DB567" s="400"/>
    </row>
    <row r="568" spans="1:106" ht="15" customHeight="1">
      <c r="A568" s="402"/>
      <c r="B568" s="391"/>
      <c r="C568" s="400"/>
      <c r="G568" s="629"/>
      <c r="H568" s="629"/>
      <c r="I568" s="630"/>
      <c r="J568" s="631"/>
      <c r="K568" s="628"/>
      <c r="L568" s="629"/>
      <c r="M568" s="632"/>
      <c r="N568" s="633"/>
      <c r="O568" s="633"/>
      <c r="P568" s="633"/>
      <c r="Q568" s="632"/>
      <c r="R568" s="634"/>
      <c r="S568" s="634"/>
      <c r="T568" s="634"/>
      <c r="U568" s="634"/>
      <c r="V568" s="634"/>
      <c r="W568" s="634"/>
      <c r="X568" s="634"/>
      <c r="Y568" s="634"/>
      <c r="Z568" s="634"/>
      <c r="AA568" s="634"/>
      <c r="AB568" s="634"/>
      <c r="AC568" s="634"/>
      <c r="AD568" s="634"/>
      <c r="AE568" s="634"/>
      <c r="AF568" s="634"/>
      <c r="AG568" s="634"/>
      <c r="AH568" s="634"/>
      <c r="AI568" s="634"/>
      <c r="AJ568" s="634"/>
      <c r="AK568" s="635"/>
      <c r="AL568" s="634"/>
      <c r="AM568" s="636"/>
      <c r="AN568" s="637"/>
      <c r="AO568" s="637"/>
      <c r="AP568" s="637"/>
      <c r="AQ568" s="638"/>
      <c r="AR568" s="637"/>
      <c r="AS568" s="637"/>
      <c r="AT568" s="634"/>
      <c r="AU568" s="639"/>
      <c r="AV568" s="634"/>
      <c r="AW568" s="634"/>
      <c r="AX568" s="490"/>
      <c r="AY568" s="640"/>
      <c r="AZ568" s="28"/>
      <c r="BA568" s="640"/>
      <c r="BB568" s="490"/>
      <c r="BC568" s="490"/>
      <c r="BD568" s="402"/>
      <c r="BE568" s="402"/>
      <c r="BF568" s="402"/>
      <c r="BG568" s="641"/>
      <c r="BH568" s="642"/>
      <c r="BI568" s="642"/>
      <c r="BJ568" s="629"/>
      <c r="BK568" s="638"/>
      <c r="BL568" s="638"/>
      <c r="BM568" s="638"/>
      <c r="BN568" s="638"/>
      <c r="BO568" s="643"/>
      <c r="BP568" s="644"/>
      <c r="BQ568" s="645"/>
      <c r="BR568" s="645"/>
      <c r="BS568" s="638"/>
      <c r="BT568" s="638"/>
      <c r="BU568" s="638"/>
      <c r="BV568" s="638"/>
      <c r="BW568" s="638"/>
      <c r="BX568" s="638"/>
      <c r="BY568" s="638"/>
      <c r="BZ568" s="638"/>
      <c r="CA568" s="634"/>
      <c r="CB568" s="634"/>
      <c r="CC568" s="634"/>
      <c r="CD568" s="634"/>
      <c r="CE568" s="634"/>
      <c r="CF568" s="634"/>
      <c r="CG568" s="634"/>
      <c r="CH568" s="634"/>
      <c r="CI568" s="634"/>
      <c r="CJ568" s="634"/>
      <c r="CK568" s="629"/>
      <c r="CM568" s="400"/>
      <c r="CN568" s="403"/>
      <c r="CO568" s="646"/>
      <c r="CP568" s="635"/>
      <c r="CR568" s="643"/>
      <c r="CS568" s="647"/>
      <c r="CT568" s="647"/>
      <c r="CU568" s="404"/>
      <c r="CV568" s="648"/>
      <c r="CW568" s="406"/>
      <c r="CX568" s="643"/>
      <c r="DA568" s="400"/>
    </row>
    <row r="569" spans="1:106" ht="15" customHeight="1">
      <c r="A569" s="402"/>
      <c r="C569" s="627"/>
      <c r="D569" s="627"/>
      <c r="E569" s="628"/>
      <c r="F569" s="628"/>
      <c r="G569" s="629"/>
      <c r="H569" s="629"/>
      <c r="I569" s="630"/>
      <c r="J569" s="631"/>
      <c r="K569" s="628"/>
      <c r="L569" s="629"/>
      <c r="M569" s="632"/>
      <c r="N569" s="633"/>
      <c r="O569" s="633"/>
      <c r="P569" s="633"/>
      <c r="Q569" s="632"/>
      <c r="R569" s="634"/>
      <c r="S569" s="634"/>
      <c r="T569" s="634"/>
      <c r="U569" s="634"/>
      <c r="V569" s="634"/>
      <c r="W569" s="634"/>
      <c r="X569" s="634"/>
      <c r="Y569" s="634"/>
      <c r="Z569" s="634"/>
      <c r="AA569" s="634"/>
      <c r="AB569" s="634"/>
      <c r="AC569" s="634"/>
      <c r="AD569" s="634"/>
      <c r="AE569" s="634"/>
      <c r="AF569" s="634"/>
      <c r="AG569" s="634"/>
      <c r="AH569" s="634"/>
      <c r="AI569" s="634"/>
      <c r="AJ569" s="634"/>
      <c r="AK569" s="635"/>
      <c r="AL569" s="634"/>
      <c r="AM569" s="636"/>
      <c r="AN569" s="637"/>
      <c r="AO569" s="637"/>
      <c r="AP569" s="637"/>
      <c r="AQ569" s="638"/>
      <c r="AR569" s="637"/>
      <c r="AS569" s="637"/>
      <c r="AT569" s="634"/>
      <c r="AU569" s="639"/>
      <c r="AV569" s="634"/>
      <c r="AW569" s="634"/>
      <c r="AX569" s="490"/>
      <c r="AY569" s="640"/>
      <c r="AZ569" s="28"/>
      <c r="BA569" s="640"/>
      <c r="BB569" s="490"/>
      <c r="BC569" s="490"/>
      <c r="BD569" s="402"/>
      <c r="BE569" s="402"/>
      <c r="BF569" s="402"/>
      <c r="BG569" s="641"/>
      <c r="BH569" s="642"/>
      <c r="BI569" s="642"/>
      <c r="BJ569" s="629"/>
      <c r="BK569" s="638"/>
      <c r="BL569" s="638"/>
      <c r="BM569" s="638"/>
      <c r="BN569" s="638"/>
      <c r="BO569" s="643"/>
      <c r="BP569" s="644"/>
      <c r="BQ569" s="645"/>
      <c r="BR569" s="645"/>
      <c r="BS569" s="638"/>
      <c r="BT569" s="638"/>
      <c r="BU569" s="638"/>
      <c r="BV569" s="638"/>
      <c r="BW569" s="638"/>
      <c r="BX569" s="638"/>
      <c r="BY569" s="638"/>
      <c r="BZ569" s="638"/>
      <c r="CA569" s="634"/>
      <c r="CB569" s="634"/>
      <c r="CC569" s="634"/>
      <c r="CD569" s="634"/>
      <c r="CE569" s="634"/>
      <c r="CF569" s="634"/>
      <c r="CG569" s="634"/>
      <c r="CH569" s="634"/>
      <c r="CI569" s="634"/>
      <c r="CJ569" s="634"/>
      <c r="CK569" s="629"/>
      <c r="CM569" s="400"/>
      <c r="CN569" s="403"/>
      <c r="CO569" s="646"/>
      <c r="CP569" s="635"/>
      <c r="CR569" s="643"/>
      <c r="CS569" s="647"/>
      <c r="CT569" s="647"/>
      <c r="CU569" s="404"/>
      <c r="CV569" s="648"/>
      <c r="CW569" s="406"/>
      <c r="CX569" s="643"/>
      <c r="DA569" s="400"/>
    </row>
    <row r="570" spans="1:106" ht="15" customHeight="1">
      <c r="A570" s="402"/>
      <c r="C570" s="627"/>
      <c r="D570" s="627"/>
      <c r="E570" s="628"/>
      <c r="F570" s="628"/>
      <c r="G570" s="629"/>
      <c r="H570" s="629"/>
      <c r="I570" s="630"/>
      <c r="J570" s="631"/>
      <c r="K570" s="628"/>
      <c r="L570" s="629"/>
      <c r="M570" s="632"/>
      <c r="N570" s="633"/>
      <c r="O570" s="633"/>
      <c r="P570" s="633"/>
      <c r="Q570" s="632"/>
      <c r="R570" s="634"/>
      <c r="S570" s="634"/>
      <c r="T570" s="634"/>
      <c r="U570" s="634"/>
      <c r="V570" s="634"/>
      <c r="W570" s="634"/>
      <c r="X570" s="634"/>
      <c r="Y570" s="634"/>
      <c r="Z570" s="634"/>
      <c r="AA570" s="634"/>
      <c r="AB570" s="634"/>
      <c r="AC570" s="634"/>
      <c r="AD570" s="634"/>
      <c r="AE570" s="634"/>
      <c r="AF570" s="634"/>
      <c r="AG570" s="634"/>
      <c r="AH570" s="634"/>
      <c r="AI570" s="634"/>
      <c r="AJ570" s="634"/>
      <c r="AK570" s="635"/>
      <c r="AL570" s="634"/>
      <c r="AM570" s="636"/>
      <c r="AN570" s="637"/>
      <c r="AO570" s="637"/>
      <c r="AP570" s="637"/>
      <c r="AQ570" s="638"/>
      <c r="AR570" s="637"/>
      <c r="AS570" s="637"/>
      <c r="AT570" s="634"/>
      <c r="AU570" s="639"/>
      <c r="AV570" s="634"/>
      <c r="AW570" s="634"/>
      <c r="AX570" s="490"/>
      <c r="AY570" s="640"/>
      <c r="AZ570" s="28"/>
      <c r="BA570" s="640"/>
      <c r="BB570" s="490"/>
      <c r="BC570" s="490"/>
      <c r="BD570" s="402"/>
      <c r="BE570" s="402"/>
      <c r="BF570" s="402"/>
      <c r="BG570" s="641"/>
      <c r="BH570" s="642"/>
      <c r="BI570" s="642"/>
      <c r="BJ570" s="629"/>
      <c r="BK570" s="638"/>
      <c r="BL570" s="638"/>
      <c r="BM570" s="638"/>
      <c r="BN570" s="638"/>
      <c r="BO570" s="643"/>
      <c r="BP570" s="644"/>
      <c r="BQ570" s="645"/>
      <c r="BR570" s="645"/>
      <c r="BS570" s="638"/>
      <c r="BT570" s="638"/>
      <c r="BU570" s="638"/>
      <c r="BV570" s="638"/>
      <c r="BW570" s="638"/>
      <c r="BX570" s="638"/>
      <c r="BY570" s="638"/>
      <c r="BZ570" s="638"/>
      <c r="CA570" s="634"/>
      <c r="CB570" s="634"/>
      <c r="CC570" s="634"/>
      <c r="CD570" s="634"/>
      <c r="CE570" s="634"/>
      <c r="CF570" s="634"/>
      <c r="CG570" s="634"/>
      <c r="CH570" s="634"/>
      <c r="CI570" s="634"/>
      <c r="CJ570" s="634"/>
      <c r="CK570" s="629"/>
      <c r="CM570" s="400"/>
      <c r="CN570" s="403"/>
      <c r="CO570" s="646"/>
      <c r="CP570" s="635"/>
      <c r="CR570" s="643"/>
      <c r="CS570" s="647"/>
      <c r="CT570" s="647"/>
      <c r="CU570" s="404"/>
      <c r="CV570" s="648"/>
      <c r="CW570" s="406"/>
      <c r="CX570" s="643"/>
      <c r="DA570" s="400"/>
    </row>
    <row r="571" spans="1:106" ht="15" customHeight="1">
      <c r="A571" s="402"/>
      <c r="C571" s="627"/>
      <c r="D571" s="627"/>
      <c r="E571" s="628"/>
      <c r="F571" s="628"/>
      <c r="G571" s="629"/>
      <c r="H571" s="629"/>
      <c r="I571" s="630"/>
      <c r="J571" s="631"/>
      <c r="K571" s="628"/>
      <c r="L571" s="629"/>
      <c r="M571" s="632"/>
      <c r="N571" s="633"/>
      <c r="O571" s="633"/>
      <c r="P571" s="633"/>
      <c r="Q571" s="632"/>
      <c r="R571" s="634"/>
      <c r="S571" s="634"/>
      <c r="T571" s="634"/>
      <c r="U571" s="634"/>
      <c r="V571" s="634"/>
      <c r="W571" s="634"/>
      <c r="X571" s="634"/>
      <c r="Y571" s="634"/>
      <c r="Z571" s="634"/>
      <c r="AA571" s="634"/>
      <c r="AB571" s="634"/>
      <c r="AC571" s="634"/>
      <c r="AD571" s="634"/>
      <c r="AE571" s="634"/>
      <c r="AF571" s="634"/>
      <c r="AG571" s="634"/>
      <c r="AH571" s="634"/>
      <c r="AI571" s="634"/>
      <c r="AJ571" s="634"/>
      <c r="AK571" s="635"/>
      <c r="AL571" s="634"/>
      <c r="AM571" s="636"/>
      <c r="AN571" s="637"/>
      <c r="AO571" s="637"/>
      <c r="AP571" s="637"/>
      <c r="AQ571" s="638"/>
      <c r="AR571" s="637"/>
      <c r="AS571" s="637"/>
      <c r="AT571" s="634"/>
      <c r="AU571" s="639"/>
      <c r="AV571" s="634"/>
      <c r="AW571" s="634"/>
      <c r="AX571" s="490"/>
      <c r="AY571" s="640"/>
      <c r="AZ571" s="28"/>
      <c r="BA571" s="640"/>
      <c r="BB571" s="490"/>
      <c r="BC571" s="490"/>
      <c r="BD571" s="402"/>
      <c r="BE571" s="402"/>
      <c r="BF571" s="402"/>
      <c r="BG571" s="641"/>
      <c r="BH571" s="642"/>
      <c r="BI571" s="642"/>
      <c r="BJ571" s="629"/>
      <c r="BK571" s="638"/>
      <c r="BL571" s="638"/>
      <c r="BM571" s="638"/>
      <c r="BN571" s="638"/>
      <c r="BO571" s="643"/>
      <c r="BP571" s="644"/>
      <c r="BQ571" s="645"/>
      <c r="BR571" s="645"/>
      <c r="BS571" s="638"/>
      <c r="BT571" s="638"/>
      <c r="BU571" s="638"/>
      <c r="BV571" s="638"/>
      <c r="BW571" s="638"/>
      <c r="BX571" s="638"/>
      <c r="BY571" s="638"/>
      <c r="BZ571" s="638"/>
      <c r="CA571" s="634"/>
      <c r="CB571" s="634"/>
      <c r="CC571" s="634"/>
      <c r="CD571" s="634"/>
      <c r="CE571" s="634"/>
      <c r="CF571" s="634"/>
      <c r="CG571" s="634"/>
      <c r="CH571" s="634"/>
      <c r="CI571" s="634"/>
      <c r="CJ571" s="634"/>
      <c r="CK571" s="629"/>
      <c r="CM571" s="400"/>
      <c r="CN571" s="403"/>
      <c r="CO571" s="646"/>
      <c r="CP571" s="635"/>
      <c r="CR571" s="643"/>
      <c r="CS571" s="647"/>
      <c r="CT571" s="647"/>
      <c r="CU571" s="404"/>
      <c r="CV571" s="648"/>
      <c r="CW571" s="406"/>
      <c r="CX571" s="643"/>
      <c r="DA571" s="400"/>
    </row>
    <row r="572" spans="1:106" ht="15" customHeight="1">
      <c r="A572" s="402"/>
      <c r="B572" s="391"/>
      <c r="C572" s="627"/>
      <c r="D572" s="627"/>
      <c r="G572" s="629"/>
      <c r="H572" s="629"/>
      <c r="I572" s="630"/>
      <c r="J572" s="631"/>
      <c r="K572" s="628"/>
      <c r="L572" s="629"/>
      <c r="M572" s="632"/>
      <c r="N572" s="633"/>
      <c r="O572" s="633"/>
      <c r="P572" s="633"/>
      <c r="Q572" s="632"/>
      <c r="R572" s="634"/>
      <c r="S572" s="634"/>
      <c r="T572" s="634"/>
      <c r="U572" s="634"/>
      <c r="V572" s="634"/>
      <c r="W572" s="634"/>
      <c r="X572" s="634"/>
      <c r="Y572" s="634"/>
      <c r="Z572" s="634"/>
      <c r="AA572" s="634"/>
      <c r="AB572" s="634"/>
      <c r="AC572" s="634"/>
      <c r="AD572" s="634"/>
      <c r="AE572" s="634"/>
      <c r="AF572" s="634"/>
      <c r="AG572" s="634"/>
      <c r="AH572" s="634"/>
      <c r="AI572" s="634"/>
      <c r="AJ572" s="634"/>
      <c r="AK572" s="635"/>
      <c r="AL572" s="634"/>
      <c r="AM572" s="636"/>
      <c r="AN572" s="637"/>
      <c r="AO572" s="637"/>
      <c r="AP572" s="637"/>
      <c r="AQ572" s="638"/>
      <c r="AR572" s="637"/>
      <c r="AS572" s="637"/>
      <c r="AT572" s="634"/>
      <c r="AU572" s="639"/>
      <c r="AV572" s="634"/>
      <c r="AW572" s="634"/>
      <c r="AX572" s="490"/>
      <c r="AY572" s="640"/>
      <c r="AZ572" s="28"/>
      <c r="BA572" s="640"/>
      <c r="BB572" s="490"/>
      <c r="BC572" s="490"/>
      <c r="BD572" s="402"/>
      <c r="BE572" s="402"/>
      <c r="BF572" s="402"/>
      <c r="BG572" s="641"/>
      <c r="BH572" s="642"/>
      <c r="BI572" s="642"/>
      <c r="BJ572" s="629"/>
      <c r="BK572" s="638"/>
      <c r="BL572" s="638"/>
      <c r="BM572" s="638"/>
      <c r="BN572" s="638"/>
      <c r="BO572" s="643"/>
      <c r="BP572" s="644"/>
      <c r="BQ572" s="645"/>
      <c r="BR572" s="645"/>
      <c r="BS572" s="638"/>
      <c r="BT572" s="638"/>
      <c r="BU572" s="638"/>
      <c r="BV572" s="638"/>
      <c r="BW572" s="638"/>
      <c r="BX572" s="638"/>
      <c r="BY572" s="638"/>
      <c r="BZ572" s="638"/>
      <c r="CA572" s="634"/>
      <c r="CB572" s="634"/>
      <c r="CC572" s="634"/>
      <c r="CD572" s="634"/>
      <c r="CE572" s="634"/>
      <c r="CF572" s="634"/>
      <c r="CG572" s="634"/>
      <c r="CH572" s="634"/>
      <c r="CI572" s="634"/>
      <c r="CJ572" s="634"/>
      <c r="CK572" s="629"/>
      <c r="CM572" s="400"/>
      <c r="CN572" s="403"/>
      <c r="CO572" s="646"/>
      <c r="CP572" s="635"/>
      <c r="CR572" s="643"/>
      <c r="CS572" s="647"/>
      <c r="CT572" s="647"/>
      <c r="CU572" s="404"/>
      <c r="CV572" s="648"/>
      <c r="CW572" s="406"/>
      <c r="CX572" s="643"/>
      <c r="DA572" s="400"/>
    </row>
    <row r="573" spans="1:106" ht="15" customHeight="1">
      <c r="A573" s="402"/>
      <c r="C573" s="627"/>
      <c r="D573" s="627"/>
      <c r="E573" s="628"/>
      <c r="F573" s="628"/>
      <c r="G573" s="629"/>
      <c r="H573" s="629"/>
      <c r="I573" s="630"/>
      <c r="J573" s="631"/>
      <c r="K573" s="628"/>
      <c r="L573" s="629"/>
      <c r="M573" s="632"/>
      <c r="N573" s="633"/>
      <c r="O573" s="633"/>
      <c r="P573" s="633"/>
      <c r="Q573" s="632"/>
      <c r="R573" s="634"/>
      <c r="S573" s="634"/>
      <c r="T573" s="634"/>
      <c r="U573" s="634"/>
      <c r="V573" s="634"/>
      <c r="W573" s="634"/>
      <c r="X573" s="634"/>
      <c r="Y573" s="634"/>
      <c r="Z573" s="634"/>
      <c r="AA573" s="634"/>
      <c r="AB573" s="634"/>
      <c r="AC573" s="634"/>
      <c r="AD573" s="634"/>
      <c r="AE573" s="634"/>
      <c r="AF573" s="634"/>
      <c r="AG573" s="634"/>
      <c r="AH573" s="634"/>
      <c r="AI573" s="634"/>
      <c r="AJ573" s="634"/>
      <c r="AK573" s="635"/>
      <c r="AL573" s="634"/>
      <c r="AM573" s="636"/>
      <c r="AN573" s="637"/>
      <c r="AO573" s="637"/>
      <c r="AP573" s="637"/>
      <c r="AQ573" s="638"/>
      <c r="AR573" s="637"/>
      <c r="AS573" s="637"/>
      <c r="AT573" s="634"/>
      <c r="AU573" s="639"/>
      <c r="AV573" s="634"/>
      <c r="AW573" s="634"/>
      <c r="AX573" s="490"/>
      <c r="AY573" s="640"/>
      <c r="AZ573" s="28"/>
      <c r="BA573" s="640"/>
      <c r="BB573" s="490"/>
      <c r="BC573" s="490"/>
      <c r="BD573" s="402"/>
      <c r="BE573" s="402"/>
      <c r="BF573" s="402"/>
      <c r="BG573" s="641"/>
      <c r="BH573" s="642"/>
      <c r="BI573" s="642"/>
      <c r="BJ573" s="629"/>
      <c r="BK573" s="638"/>
      <c r="BL573" s="638"/>
      <c r="BM573" s="638"/>
      <c r="BN573" s="638"/>
      <c r="BO573" s="643"/>
      <c r="BP573" s="644"/>
      <c r="BQ573" s="645"/>
      <c r="BR573" s="645"/>
      <c r="BS573" s="638"/>
      <c r="BT573" s="638"/>
      <c r="BU573" s="638"/>
      <c r="BV573" s="638"/>
      <c r="BW573" s="638"/>
      <c r="BX573" s="638"/>
      <c r="BY573" s="638"/>
      <c r="BZ573" s="638"/>
      <c r="CA573" s="634"/>
      <c r="CB573" s="634"/>
      <c r="CC573" s="634"/>
      <c r="CD573" s="634"/>
      <c r="CE573" s="634"/>
      <c r="CF573" s="634"/>
      <c r="CG573" s="634"/>
      <c r="CH573" s="634"/>
      <c r="CI573" s="634"/>
      <c r="CJ573" s="634"/>
      <c r="CK573" s="629"/>
      <c r="CM573" s="400"/>
      <c r="CN573" s="403"/>
      <c r="CO573" s="646"/>
      <c r="CP573" s="635"/>
      <c r="CR573" s="643"/>
      <c r="CS573" s="647"/>
      <c r="CT573" s="647"/>
      <c r="CU573" s="404"/>
      <c r="CV573" s="648"/>
      <c r="CW573" s="406"/>
      <c r="CX573" s="643"/>
      <c r="DA573" s="400"/>
    </row>
    <row r="574" spans="1:106" ht="15" customHeight="1">
      <c r="A574" s="402"/>
      <c r="C574" s="627"/>
      <c r="D574" s="627"/>
      <c r="E574" s="628"/>
      <c r="F574" s="628"/>
      <c r="G574" s="629"/>
      <c r="H574" s="629"/>
      <c r="I574" s="630"/>
      <c r="J574" s="631"/>
      <c r="K574" s="628"/>
      <c r="L574" s="629"/>
      <c r="M574" s="632"/>
      <c r="N574" s="633"/>
      <c r="O574" s="633"/>
      <c r="P574" s="633"/>
      <c r="Q574" s="632"/>
      <c r="R574" s="634"/>
      <c r="S574" s="634"/>
      <c r="T574" s="634"/>
      <c r="U574" s="634"/>
      <c r="V574" s="634"/>
      <c r="W574" s="634"/>
      <c r="X574" s="634"/>
      <c r="Y574" s="634"/>
      <c r="Z574" s="634"/>
      <c r="AA574" s="634"/>
      <c r="AB574" s="634"/>
      <c r="AC574" s="634"/>
      <c r="AD574" s="634"/>
      <c r="AE574" s="634"/>
      <c r="AF574" s="634"/>
      <c r="AG574" s="634"/>
      <c r="AH574" s="634"/>
      <c r="AI574" s="634"/>
      <c r="AJ574" s="634"/>
      <c r="AK574" s="635"/>
      <c r="AL574" s="634"/>
      <c r="AM574" s="636"/>
      <c r="AN574" s="637"/>
      <c r="AO574" s="637"/>
      <c r="AP574" s="637"/>
      <c r="AQ574" s="638"/>
      <c r="AR574" s="637"/>
      <c r="AS574" s="637"/>
      <c r="AT574" s="634"/>
      <c r="AU574" s="639"/>
      <c r="AV574" s="634"/>
      <c r="AW574" s="634"/>
      <c r="AX574" s="490"/>
      <c r="AY574" s="640"/>
      <c r="AZ574" s="28"/>
      <c r="BA574" s="640"/>
      <c r="BB574" s="490"/>
      <c r="BC574" s="490"/>
      <c r="BD574" s="402"/>
      <c r="BE574" s="402"/>
      <c r="BF574" s="402"/>
      <c r="BG574" s="641"/>
      <c r="BH574" s="642"/>
      <c r="BI574" s="642"/>
      <c r="BJ574" s="629"/>
      <c r="BK574" s="638"/>
      <c r="BL574" s="638"/>
      <c r="BM574" s="638"/>
      <c r="BN574" s="638"/>
      <c r="BO574" s="643"/>
      <c r="BP574" s="644"/>
      <c r="BQ574" s="645"/>
      <c r="BR574" s="645"/>
      <c r="BS574" s="638"/>
      <c r="BT574" s="638"/>
      <c r="BU574" s="638"/>
      <c r="BV574" s="638"/>
      <c r="BW574" s="638"/>
      <c r="BX574" s="638"/>
      <c r="BY574" s="638"/>
      <c r="BZ574" s="638"/>
      <c r="CA574" s="634"/>
      <c r="CB574" s="634"/>
      <c r="CC574" s="634"/>
      <c r="CD574" s="634"/>
      <c r="CE574" s="634"/>
      <c r="CF574" s="634"/>
      <c r="CG574" s="634"/>
      <c r="CH574" s="634"/>
      <c r="CI574" s="634"/>
      <c r="CJ574" s="634"/>
      <c r="CK574" s="629"/>
      <c r="CM574" s="400"/>
      <c r="CN574" s="403"/>
      <c r="CO574" s="646"/>
      <c r="CP574" s="635"/>
      <c r="CR574" s="643"/>
      <c r="CS574" s="647"/>
      <c r="CT574" s="647"/>
      <c r="CU574" s="404"/>
      <c r="CV574" s="648"/>
      <c r="CW574" s="406"/>
      <c r="CX574" s="643"/>
      <c r="DA574" s="400"/>
    </row>
    <row r="575" spans="1:106" ht="15" customHeight="1">
      <c r="A575" s="402"/>
      <c r="C575" s="627"/>
      <c r="D575" s="627"/>
      <c r="E575" s="628"/>
      <c r="F575" s="628"/>
      <c r="G575" s="629"/>
      <c r="H575" s="629"/>
      <c r="I575" s="630"/>
      <c r="J575" s="631"/>
      <c r="K575" s="628"/>
      <c r="L575" s="629"/>
      <c r="M575" s="632"/>
      <c r="N575" s="633"/>
      <c r="O575" s="633"/>
      <c r="P575" s="633"/>
      <c r="Q575" s="632"/>
      <c r="R575" s="634"/>
      <c r="S575" s="634"/>
      <c r="T575" s="634"/>
      <c r="U575" s="634"/>
      <c r="V575" s="634"/>
      <c r="W575" s="634"/>
      <c r="X575" s="634"/>
      <c r="Y575" s="634"/>
      <c r="Z575" s="634"/>
      <c r="AA575" s="634"/>
      <c r="AB575" s="634"/>
      <c r="AC575" s="634"/>
      <c r="AD575" s="634"/>
      <c r="AE575" s="634"/>
      <c r="AF575" s="634"/>
      <c r="AG575" s="634"/>
      <c r="AH575" s="634"/>
      <c r="AI575" s="634"/>
      <c r="AJ575" s="634"/>
      <c r="AK575" s="635"/>
      <c r="AL575" s="634"/>
      <c r="AM575" s="636"/>
      <c r="AN575" s="637"/>
      <c r="AO575" s="637"/>
      <c r="AP575" s="637"/>
      <c r="AQ575" s="638"/>
      <c r="AR575" s="637"/>
      <c r="AS575" s="637"/>
      <c r="AT575" s="634"/>
      <c r="AU575" s="639"/>
      <c r="AV575" s="634"/>
      <c r="AW575" s="634"/>
      <c r="AX575" s="490"/>
      <c r="AY575" s="640"/>
      <c r="AZ575" s="28"/>
      <c r="BA575" s="640"/>
      <c r="BB575" s="490"/>
      <c r="BC575" s="490"/>
      <c r="BD575" s="402"/>
      <c r="BE575" s="402"/>
      <c r="BF575" s="402"/>
      <c r="BG575" s="641"/>
      <c r="BH575" s="642"/>
      <c r="BI575" s="642"/>
      <c r="BJ575" s="629"/>
      <c r="BK575" s="638"/>
      <c r="BL575" s="638"/>
      <c r="BM575" s="638"/>
      <c r="BN575" s="638"/>
      <c r="BO575" s="643"/>
      <c r="BP575" s="644"/>
      <c r="BQ575" s="645"/>
      <c r="BR575" s="645"/>
      <c r="BS575" s="638"/>
      <c r="BT575" s="638"/>
      <c r="BU575" s="638"/>
      <c r="BV575" s="638"/>
      <c r="BW575" s="638"/>
      <c r="BX575" s="638"/>
      <c r="BY575" s="638"/>
      <c r="BZ575" s="638"/>
      <c r="CA575" s="634"/>
      <c r="CB575" s="634"/>
      <c r="CC575" s="634"/>
      <c r="CD575" s="634"/>
      <c r="CE575" s="634"/>
      <c r="CF575" s="634"/>
      <c r="CG575" s="634"/>
      <c r="CH575" s="634"/>
      <c r="CI575" s="634"/>
      <c r="CJ575" s="634"/>
      <c r="CK575" s="629"/>
      <c r="CM575" s="400"/>
      <c r="CN575" s="403"/>
      <c r="CO575" s="646"/>
      <c r="CP575" s="635"/>
      <c r="CR575" s="643"/>
      <c r="CS575" s="647"/>
      <c r="CT575" s="647"/>
      <c r="CU575" s="404"/>
      <c r="CV575" s="648"/>
      <c r="CW575" s="406"/>
      <c r="CX575" s="643"/>
      <c r="DA575" s="400"/>
    </row>
    <row r="576" spans="1:106" ht="15" customHeight="1">
      <c r="A576" s="402"/>
      <c r="B576" s="391"/>
      <c r="C576" s="627"/>
      <c r="D576" s="627"/>
      <c r="G576" s="629"/>
      <c r="H576" s="629"/>
      <c r="I576" s="630"/>
      <c r="J576" s="631"/>
      <c r="K576" s="628"/>
      <c r="L576" s="629"/>
      <c r="M576" s="632"/>
      <c r="N576" s="633"/>
      <c r="O576" s="633"/>
      <c r="P576" s="633"/>
      <c r="Q576" s="632"/>
      <c r="R576" s="634"/>
      <c r="S576" s="634"/>
      <c r="T576" s="634"/>
      <c r="U576" s="634"/>
      <c r="V576" s="634"/>
      <c r="W576" s="634"/>
      <c r="X576" s="634"/>
      <c r="Y576" s="634"/>
      <c r="Z576" s="634"/>
      <c r="AA576" s="634"/>
      <c r="AB576" s="634"/>
      <c r="AC576" s="634"/>
      <c r="AD576" s="634"/>
      <c r="AE576" s="634"/>
      <c r="AF576" s="634"/>
      <c r="AG576" s="634"/>
      <c r="AH576" s="634"/>
      <c r="AI576" s="634"/>
      <c r="AJ576" s="634"/>
      <c r="AK576" s="635"/>
      <c r="AL576" s="634"/>
      <c r="AM576" s="636"/>
      <c r="AN576" s="637"/>
      <c r="AO576" s="637"/>
      <c r="AP576" s="637"/>
      <c r="AQ576" s="638"/>
      <c r="AR576" s="637"/>
      <c r="AS576" s="637"/>
      <c r="AT576" s="634"/>
      <c r="AU576" s="639"/>
      <c r="AV576" s="634"/>
      <c r="AW576" s="634"/>
      <c r="AX576" s="490"/>
      <c r="AY576" s="640"/>
      <c r="AZ576" s="28"/>
      <c r="BA576" s="640"/>
      <c r="BB576" s="490"/>
      <c r="BC576" s="490"/>
      <c r="BD576" s="402"/>
      <c r="BE576" s="402"/>
      <c r="BF576" s="402"/>
      <c r="BG576" s="641"/>
      <c r="BH576" s="642"/>
      <c r="BI576" s="642"/>
      <c r="BJ576" s="629"/>
      <c r="BK576" s="638"/>
      <c r="BL576" s="638"/>
      <c r="BM576" s="638"/>
      <c r="BN576" s="638"/>
      <c r="BO576" s="643"/>
      <c r="BP576" s="644"/>
      <c r="BQ576" s="645"/>
      <c r="BR576" s="645"/>
      <c r="BS576" s="638"/>
      <c r="BT576" s="638"/>
      <c r="BU576" s="638"/>
      <c r="BV576" s="638"/>
      <c r="BW576" s="638"/>
      <c r="BX576" s="638"/>
      <c r="BY576" s="638"/>
      <c r="BZ576" s="638"/>
      <c r="CA576" s="634"/>
      <c r="CB576" s="634"/>
      <c r="CC576" s="634"/>
      <c r="CD576" s="634"/>
      <c r="CE576" s="634"/>
      <c r="CF576" s="634"/>
      <c r="CG576" s="634"/>
      <c r="CH576" s="634"/>
      <c r="CI576" s="634"/>
      <c r="CJ576" s="634"/>
      <c r="CK576" s="629"/>
      <c r="CM576" s="400"/>
      <c r="CN576" s="403"/>
      <c r="CO576" s="646"/>
      <c r="CP576" s="635"/>
      <c r="CR576" s="643"/>
      <c r="CS576" s="647"/>
      <c r="CT576" s="647"/>
      <c r="CU576" s="404"/>
      <c r="CV576" s="648"/>
      <c r="CW576" s="406"/>
      <c r="CX576" s="643"/>
      <c r="DA576" s="400"/>
    </row>
    <row r="577" spans="1:105" ht="15" customHeight="1">
      <c r="A577" s="402"/>
      <c r="C577" s="627"/>
      <c r="D577" s="627"/>
      <c r="E577" s="628"/>
      <c r="F577" s="628"/>
      <c r="G577" s="629"/>
      <c r="H577" s="629"/>
      <c r="I577" s="630"/>
      <c r="J577" s="631"/>
      <c r="K577" s="628"/>
      <c r="L577" s="629"/>
      <c r="M577" s="632"/>
      <c r="N577" s="633"/>
      <c r="O577" s="633"/>
      <c r="P577" s="633"/>
      <c r="Q577" s="632"/>
      <c r="R577" s="634"/>
      <c r="S577" s="634"/>
      <c r="T577" s="634"/>
      <c r="U577" s="634"/>
      <c r="V577" s="634"/>
      <c r="W577" s="634"/>
      <c r="X577" s="634"/>
      <c r="Y577" s="634"/>
      <c r="Z577" s="634"/>
      <c r="AA577" s="634"/>
      <c r="AB577" s="634"/>
      <c r="AC577" s="634"/>
      <c r="AD577" s="634"/>
      <c r="AE577" s="634"/>
      <c r="AF577" s="634"/>
      <c r="AG577" s="634"/>
      <c r="AH577" s="634"/>
      <c r="AI577" s="634"/>
      <c r="AJ577" s="634"/>
      <c r="AK577" s="635"/>
      <c r="AL577" s="634"/>
      <c r="AM577" s="636"/>
      <c r="AN577" s="637"/>
      <c r="AO577" s="637"/>
      <c r="AP577" s="637"/>
      <c r="AQ577" s="638"/>
      <c r="AR577" s="637"/>
      <c r="AS577" s="637"/>
      <c r="AT577" s="634"/>
      <c r="AU577" s="639"/>
      <c r="AV577" s="634"/>
      <c r="AW577" s="634"/>
      <c r="AX577" s="490"/>
      <c r="AY577" s="640"/>
      <c r="AZ577" s="28"/>
      <c r="BA577" s="640"/>
      <c r="BB577" s="490"/>
      <c r="BC577" s="490"/>
      <c r="BD577" s="402"/>
      <c r="BE577" s="402"/>
      <c r="BF577" s="402"/>
      <c r="BG577" s="641"/>
      <c r="BH577" s="642"/>
      <c r="BI577" s="642"/>
      <c r="BJ577" s="629"/>
      <c r="BK577" s="638"/>
      <c r="BL577" s="638"/>
      <c r="BM577" s="638"/>
      <c r="BN577" s="638"/>
      <c r="BO577" s="643"/>
      <c r="BP577" s="644"/>
      <c r="BQ577" s="645"/>
      <c r="BR577" s="645"/>
      <c r="BS577" s="638"/>
      <c r="BT577" s="638"/>
      <c r="BU577" s="638"/>
      <c r="BV577" s="638"/>
      <c r="BW577" s="638"/>
      <c r="BX577" s="638"/>
      <c r="BY577" s="638"/>
      <c r="BZ577" s="638"/>
      <c r="CA577" s="634"/>
      <c r="CB577" s="634"/>
      <c r="CC577" s="634"/>
      <c r="CD577" s="634"/>
      <c r="CE577" s="634"/>
      <c r="CF577" s="634"/>
      <c r="CG577" s="634"/>
      <c r="CH577" s="634"/>
      <c r="CI577" s="634"/>
      <c r="CJ577" s="634"/>
      <c r="CK577" s="629"/>
      <c r="CM577" s="400"/>
      <c r="CN577" s="403"/>
      <c r="CO577" s="646"/>
      <c r="CP577" s="635"/>
      <c r="CR577" s="643"/>
      <c r="CS577" s="647"/>
      <c r="CT577" s="647"/>
      <c r="CU577" s="404"/>
      <c r="CV577" s="648"/>
      <c r="CW577" s="406"/>
      <c r="CX577" s="643"/>
      <c r="DA577" s="400"/>
    </row>
    <row r="578" spans="1:105" ht="15" customHeight="1">
      <c r="A578" s="402"/>
      <c r="C578" s="627"/>
      <c r="D578" s="627"/>
      <c r="E578" s="628"/>
      <c r="F578" s="628"/>
      <c r="G578" s="629"/>
      <c r="H578" s="629"/>
      <c r="I578" s="630"/>
      <c r="J578" s="631"/>
      <c r="K578" s="628"/>
      <c r="L578" s="629"/>
      <c r="M578" s="632"/>
      <c r="N578" s="633"/>
      <c r="O578" s="633"/>
      <c r="P578" s="633"/>
      <c r="Q578" s="632"/>
      <c r="R578" s="634"/>
      <c r="S578" s="634"/>
      <c r="T578" s="634"/>
      <c r="U578" s="634"/>
      <c r="V578" s="634"/>
      <c r="W578" s="634"/>
      <c r="X578" s="634"/>
      <c r="Y578" s="634"/>
      <c r="Z578" s="634"/>
      <c r="AA578" s="634"/>
      <c r="AB578" s="634"/>
      <c r="AC578" s="634"/>
      <c r="AD578" s="634"/>
      <c r="AE578" s="634"/>
      <c r="AF578" s="634"/>
      <c r="AG578" s="634"/>
      <c r="AH578" s="634"/>
      <c r="AI578" s="634"/>
      <c r="AJ578" s="634"/>
      <c r="AK578" s="635"/>
      <c r="AL578" s="634"/>
      <c r="AM578" s="636"/>
      <c r="AN578" s="637"/>
      <c r="AO578" s="637"/>
      <c r="AP578" s="637"/>
      <c r="AQ578" s="638"/>
      <c r="AR578" s="637"/>
      <c r="AS578" s="637"/>
      <c r="AT578" s="634"/>
      <c r="AU578" s="639"/>
      <c r="AV578" s="634"/>
      <c r="AW578" s="634"/>
      <c r="AX578" s="490"/>
      <c r="AY578" s="640"/>
      <c r="AZ578" s="28"/>
      <c r="BA578" s="640"/>
      <c r="BB578" s="490"/>
      <c r="BC578" s="490"/>
      <c r="BD578" s="402"/>
      <c r="BE578" s="402"/>
      <c r="BF578" s="402"/>
      <c r="BG578" s="641"/>
      <c r="BH578" s="642"/>
      <c r="BI578" s="642"/>
      <c r="BJ578" s="629"/>
      <c r="BK578" s="638"/>
      <c r="BL578" s="638"/>
      <c r="BM578" s="638"/>
      <c r="BN578" s="638"/>
      <c r="BO578" s="643"/>
      <c r="BP578" s="644"/>
      <c r="BQ578" s="645"/>
      <c r="BR578" s="645"/>
      <c r="BS578" s="638"/>
      <c r="BT578" s="638"/>
      <c r="BU578" s="638"/>
      <c r="BV578" s="638"/>
      <c r="BW578" s="638"/>
      <c r="BX578" s="638"/>
      <c r="BY578" s="638"/>
      <c r="BZ578" s="638"/>
      <c r="CA578" s="634"/>
      <c r="CB578" s="634"/>
      <c r="CC578" s="634"/>
      <c r="CD578" s="634"/>
      <c r="CE578" s="634"/>
      <c r="CF578" s="634"/>
      <c r="CG578" s="634"/>
      <c r="CH578" s="634"/>
      <c r="CI578" s="634"/>
      <c r="CJ578" s="634"/>
      <c r="CK578" s="629"/>
      <c r="CM578" s="400"/>
      <c r="CN578" s="403"/>
      <c r="CO578" s="646"/>
      <c r="CP578" s="635"/>
      <c r="CR578" s="643"/>
      <c r="CS578" s="647"/>
      <c r="CT578" s="647"/>
      <c r="CU578" s="404"/>
      <c r="CV578" s="648"/>
      <c r="CW578" s="406"/>
      <c r="CX578" s="643"/>
      <c r="DA578" s="400"/>
    </row>
    <row r="579" spans="1:105" ht="15" customHeight="1">
      <c r="A579" s="402"/>
      <c r="B579" s="391"/>
      <c r="C579" s="627"/>
      <c r="D579" s="627"/>
      <c r="G579" s="629"/>
      <c r="H579" s="629"/>
      <c r="I579" s="630"/>
      <c r="J579" s="631"/>
      <c r="K579" s="628"/>
      <c r="L579" s="629"/>
      <c r="M579" s="632"/>
      <c r="N579" s="633"/>
      <c r="O579" s="633"/>
      <c r="P579" s="633"/>
      <c r="Q579" s="632"/>
      <c r="R579" s="634"/>
      <c r="S579" s="634"/>
      <c r="T579" s="634"/>
      <c r="U579" s="634"/>
      <c r="V579" s="634"/>
      <c r="W579" s="634"/>
      <c r="X579" s="634"/>
      <c r="Y579" s="634"/>
      <c r="Z579" s="634"/>
      <c r="AA579" s="634"/>
      <c r="AB579" s="634"/>
      <c r="AC579" s="634"/>
      <c r="AD579" s="634"/>
      <c r="AE579" s="634"/>
      <c r="AF579" s="634"/>
      <c r="AG579" s="634"/>
      <c r="AH579" s="634"/>
      <c r="AI579" s="634"/>
      <c r="AJ579" s="634"/>
      <c r="AK579" s="635"/>
      <c r="AL579" s="634"/>
      <c r="AM579" s="636"/>
      <c r="AN579" s="637"/>
      <c r="AO579" s="637"/>
      <c r="AP579" s="637"/>
      <c r="AQ579" s="638"/>
      <c r="AR579" s="637"/>
      <c r="AS579" s="637"/>
      <c r="AT579" s="634"/>
      <c r="AU579" s="639"/>
      <c r="AV579" s="634"/>
      <c r="AW579" s="634"/>
      <c r="AX579" s="490"/>
      <c r="AY579" s="640"/>
      <c r="AZ579" s="28"/>
      <c r="BA579" s="640"/>
      <c r="BB579" s="490"/>
      <c r="BC579" s="490"/>
      <c r="BD579" s="402"/>
      <c r="BE579" s="402"/>
      <c r="BF579" s="402"/>
      <c r="BG579" s="641"/>
      <c r="BH579" s="642"/>
      <c r="BI579" s="642"/>
      <c r="BJ579" s="629"/>
      <c r="BK579" s="638"/>
      <c r="BL579" s="638"/>
      <c r="BM579" s="638"/>
      <c r="BN579" s="638"/>
      <c r="BO579" s="643"/>
      <c r="BP579" s="644"/>
      <c r="BQ579" s="645"/>
      <c r="BR579" s="645"/>
      <c r="BS579" s="638"/>
      <c r="BT579" s="638"/>
      <c r="BU579" s="638"/>
      <c r="BV579" s="638"/>
      <c r="BW579" s="638"/>
      <c r="BX579" s="638"/>
      <c r="BY579" s="638"/>
      <c r="BZ579" s="638"/>
      <c r="CA579" s="634"/>
      <c r="CB579" s="634"/>
      <c r="CC579" s="634"/>
      <c r="CD579" s="634"/>
      <c r="CE579" s="634"/>
      <c r="CF579" s="634"/>
      <c r="CG579" s="634"/>
      <c r="CH579" s="634"/>
      <c r="CI579" s="634"/>
      <c r="CJ579" s="634"/>
      <c r="CK579" s="629"/>
      <c r="CM579" s="400"/>
      <c r="CN579" s="403"/>
      <c r="CO579" s="646"/>
      <c r="CP579" s="635"/>
      <c r="CR579" s="643"/>
      <c r="CS579" s="647"/>
      <c r="CT579" s="647"/>
      <c r="CU579" s="404"/>
      <c r="CV579" s="648"/>
      <c r="CW579" s="406"/>
      <c r="CX579" s="643"/>
      <c r="DA579" s="400"/>
    </row>
    <row r="580" spans="1:105" ht="15" customHeight="1">
      <c r="A580" s="402"/>
      <c r="C580" s="627"/>
      <c r="D580" s="627"/>
      <c r="E580" s="628"/>
      <c r="F580" s="628"/>
      <c r="G580" s="629"/>
      <c r="H580" s="629"/>
      <c r="I580" s="630"/>
      <c r="J580" s="631"/>
      <c r="K580" s="628"/>
      <c r="L580" s="629"/>
      <c r="M580" s="632"/>
      <c r="N580" s="633"/>
      <c r="O580" s="633"/>
      <c r="P580" s="633"/>
      <c r="Q580" s="632"/>
      <c r="R580" s="634"/>
      <c r="S580" s="634"/>
      <c r="T580" s="634"/>
      <c r="U580" s="634"/>
      <c r="V580" s="634"/>
      <c r="W580" s="634"/>
      <c r="X580" s="634"/>
      <c r="Y580" s="634"/>
      <c r="Z580" s="634"/>
      <c r="AA580" s="634"/>
      <c r="AB580" s="634"/>
      <c r="AC580" s="634"/>
      <c r="AD580" s="634"/>
      <c r="AE580" s="634"/>
      <c r="AF580" s="634"/>
      <c r="AG580" s="634"/>
      <c r="AH580" s="634"/>
      <c r="AI580" s="634"/>
      <c r="AJ580" s="634"/>
      <c r="AK580" s="635"/>
      <c r="AL580" s="634"/>
      <c r="AM580" s="636"/>
      <c r="AN580" s="637"/>
      <c r="AO580" s="637"/>
      <c r="AP580" s="637"/>
      <c r="AQ580" s="638"/>
      <c r="AR580" s="637"/>
      <c r="AS580" s="637"/>
      <c r="AT580" s="634"/>
      <c r="AU580" s="639"/>
      <c r="AV580" s="634"/>
      <c r="AW580" s="634"/>
      <c r="AX580" s="490"/>
      <c r="AY580" s="640"/>
      <c r="AZ580" s="28"/>
      <c r="BA580" s="640"/>
      <c r="BB580" s="490"/>
      <c r="BC580" s="490"/>
      <c r="BD580" s="402"/>
      <c r="BE580" s="402"/>
      <c r="BF580" s="402"/>
      <c r="BG580" s="641"/>
      <c r="BH580" s="642"/>
      <c r="BI580" s="642"/>
      <c r="BJ580" s="629"/>
      <c r="BK580" s="638"/>
      <c r="BL580" s="638"/>
      <c r="BM580" s="638"/>
      <c r="BN580" s="638"/>
      <c r="BO580" s="643"/>
      <c r="BP580" s="644"/>
      <c r="BQ580" s="645"/>
      <c r="BR580" s="645"/>
      <c r="BS580" s="638"/>
      <c r="BT580" s="638"/>
      <c r="BU580" s="638"/>
      <c r="BV580" s="638"/>
      <c r="BW580" s="638"/>
      <c r="BX580" s="638"/>
      <c r="BY580" s="638"/>
      <c r="BZ580" s="638"/>
      <c r="CA580" s="634"/>
      <c r="CB580" s="634"/>
      <c r="CC580" s="634"/>
      <c r="CD580" s="634"/>
      <c r="CE580" s="634"/>
      <c r="CF580" s="634"/>
      <c r="CG580" s="634"/>
      <c r="CH580" s="634"/>
      <c r="CI580" s="634"/>
      <c r="CJ580" s="634"/>
      <c r="CK580" s="629"/>
      <c r="CM580" s="400"/>
      <c r="CN580" s="403"/>
      <c r="CO580" s="646"/>
      <c r="CP580" s="635"/>
      <c r="CR580" s="643"/>
      <c r="CS580" s="647"/>
      <c r="CT580" s="647"/>
      <c r="CU580" s="404"/>
      <c r="CV580" s="648"/>
      <c r="CW580" s="406"/>
      <c r="CX580" s="643"/>
      <c r="DA580" s="400"/>
    </row>
    <row r="581" spans="1:105" ht="15" customHeight="1">
      <c r="A581" s="402"/>
      <c r="C581" s="627"/>
      <c r="D581" s="627"/>
      <c r="E581" s="628"/>
      <c r="F581" s="628"/>
      <c r="G581" s="629"/>
      <c r="H581" s="629"/>
      <c r="I581" s="630"/>
      <c r="J581" s="631"/>
      <c r="K581" s="628"/>
      <c r="L581" s="629"/>
      <c r="M581" s="632"/>
      <c r="N581" s="633"/>
      <c r="O581" s="633"/>
      <c r="P581" s="633"/>
      <c r="Q581" s="632"/>
      <c r="R581" s="634"/>
      <c r="S581" s="634"/>
      <c r="T581" s="634"/>
      <c r="U581" s="634"/>
      <c r="V581" s="634"/>
      <c r="W581" s="634"/>
      <c r="X581" s="634"/>
      <c r="Y581" s="634"/>
      <c r="Z581" s="634"/>
      <c r="AA581" s="634"/>
      <c r="AB581" s="634"/>
      <c r="AC581" s="634"/>
      <c r="AD581" s="634"/>
      <c r="AE581" s="634"/>
      <c r="AF581" s="634"/>
      <c r="AG581" s="634"/>
      <c r="AH581" s="634"/>
      <c r="AI581" s="634"/>
      <c r="AJ581" s="634"/>
      <c r="AK581" s="635"/>
      <c r="AL581" s="634"/>
      <c r="AM581" s="636"/>
      <c r="AN581" s="637"/>
      <c r="AO581" s="637"/>
      <c r="AP581" s="637"/>
      <c r="AQ581" s="638"/>
      <c r="AR581" s="637"/>
      <c r="AS581" s="637"/>
      <c r="AT581" s="634"/>
      <c r="AU581" s="639"/>
      <c r="AV581" s="634"/>
      <c r="AW581" s="634"/>
      <c r="AX581" s="490"/>
      <c r="AY581" s="640"/>
      <c r="AZ581" s="28"/>
      <c r="BA581" s="640"/>
      <c r="BB581" s="490"/>
      <c r="BC581" s="490"/>
      <c r="BD581" s="402"/>
      <c r="BE581" s="402"/>
      <c r="BF581" s="402"/>
      <c r="BG581" s="641"/>
      <c r="BH581" s="642"/>
      <c r="BI581" s="642"/>
      <c r="BJ581" s="629"/>
      <c r="BK581" s="638"/>
      <c r="BL581" s="638"/>
      <c r="BM581" s="638"/>
      <c r="BN581" s="638"/>
      <c r="BO581" s="643"/>
      <c r="BP581" s="644"/>
      <c r="BQ581" s="645"/>
      <c r="BR581" s="645"/>
      <c r="BS581" s="638"/>
      <c r="BT581" s="638"/>
      <c r="BU581" s="638"/>
      <c r="BV581" s="638"/>
      <c r="BW581" s="638"/>
      <c r="BX581" s="638"/>
      <c r="BY581" s="638"/>
      <c r="BZ581" s="638"/>
      <c r="CA581" s="634"/>
      <c r="CB581" s="634"/>
      <c r="CC581" s="634"/>
      <c r="CD581" s="634"/>
      <c r="CE581" s="634"/>
      <c r="CF581" s="634"/>
      <c r="CG581" s="634"/>
      <c r="CH581" s="634"/>
      <c r="CI581" s="634"/>
      <c r="CJ581" s="634"/>
      <c r="CK581" s="629"/>
      <c r="CM581" s="400"/>
      <c r="CN581" s="403"/>
      <c r="CO581" s="646"/>
      <c r="CP581" s="635"/>
      <c r="CR581" s="643"/>
      <c r="CS581" s="647"/>
      <c r="CT581" s="647"/>
      <c r="CU581" s="404"/>
      <c r="CV581" s="648"/>
      <c r="CW581" s="406"/>
      <c r="CX581" s="643"/>
      <c r="DA581" s="400"/>
    </row>
    <row r="582" spans="1:105" ht="15" customHeight="1">
      <c r="A582" s="402"/>
      <c r="C582" s="627"/>
      <c r="D582" s="627"/>
      <c r="E582" s="628"/>
      <c r="F582" s="628"/>
      <c r="G582" s="629"/>
      <c r="H582" s="629"/>
      <c r="I582" s="630"/>
      <c r="J582" s="631"/>
      <c r="K582" s="628"/>
      <c r="L582" s="629"/>
      <c r="M582" s="632"/>
      <c r="N582" s="633"/>
      <c r="O582" s="633"/>
      <c r="P582" s="633"/>
      <c r="Q582" s="632"/>
      <c r="R582" s="634"/>
      <c r="S582" s="634"/>
      <c r="T582" s="634"/>
      <c r="U582" s="634"/>
      <c r="V582" s="634"/>
      <c r="W582" s="634"/>
      <c r="X582" s="634"/>
      <c r="Y582" s="634"/>
      <c r="Z582" s="634"/>
      <c r="AA582" s="634"/>
      <c r="AB582" s="634"/>
      <c r="AC582" s="634"/>
      <c r="AD582" s="634"/>
      <c r="AE582" s="634"/>
      <c r="AF582" s="634"/>
      <c r="AG582" s="634"/>
      <c r="AH582" s="634"/>
      <c r="AI582" s="634"/>
      <c r="AJ582" s="634"/>
      <c r="AK582" s="635"/>
      <c r="AL582" s="634"/>
      <c r="AM582" s="636"/>
      <c r="AN582" s="637"/>
      <c r="AO582" s="637"/>
      <c r="AP582" s="637"/>
      <c r="AQ582" s="638"/>
      <c r="AR582" s="637"/>
      <c r="AS582" s="637"/>
      <c r="AT582" s="634"/>
      <c r="AU582" s="639"/>
      <c r="AV582" s="634"/>
      <c r="AW582" s="634"/>
      <c r="AX582" s="490"/>
      <c r="AY582" s="640"/>
      <c r="AZ582" s="28"/>
      <c r="BA582" s="640"/>
      <c r="BB582" s="490"/>
      <c r="BC582" s="490"/>
      <c r="BD582" s="402"/>
      <c r="BE582" s="402"/>
      <c r="BF582" s="402"/>
      <c r="BG582" s="641"/>
      <c r="BH582" s="642"/>
      <c r="BI582" s="642"/>
      <c r="BJ582" s="629"/>
      <c r="BK582" s="638"/>
      <c r="BL582" s="638"/>
      <c r="BM582" s="638"/>
      <c r="BN582" s="638"/>
      <c r="BO582" s="643"/>
      <c r="BP582" s="644"/>
      <c r="BQ582" s="645"/>
      <c r="BR582" s="645"/>
      <c r="BS582" s="638"/>
      <c r="BT582" s="638"/>
      <c r="BU582" s="638"/>
      <c r="BV582" s="638"/>
      <c r="BW582" s="638"/>
      <c r="BX582" s="638"/>
      <c r="BY582" s="638"/>
      <c r="BZ582" s="638"/>
      <c r="CA582" s="634"/>
      <c r="CB582" s="634"/>
      <c r="CC582" s="634"/>
      <c r="CD582" s="634"/>
      <c r="CE582" s="634"/>
      <c r="CF582" s="634"/>
      <c r="CG582" s="634"/>
      <c r="CH582" s="634"/>
      <c r="CI582" s="634"/>
      <c r="CJ582" s="634"/>
      <c r="CK582" s="629"/>
      <c r="CM582" s="400"/>
      <c r="CN582" s="403"/>
      <c r="CO582" s="646"/>
      <c r="CP582" s="635"/>
      <c r="CR582" s="643"/>
      <c r="CS582" s="647"/>
      <c r="CT582" s="647"/>
      <c r="CU582" s="404"/>
      <c r="CV582" s="648"/>
      <c r="CW582" s="406"/>
      <c r="CX582" s="643"/>
      <c r="DA582" s="400"/>
    </row>
    <row r="583" spans="1:105" ht="15" customHeight="1">
      <c r="A583" s="402"/>
      <c r="B583" s="391"/>
      <c r="C583" s="627"/>
      <c r="D583" s="627"/>
      <c r="G583" s="629"/>
      <c r="H583" s="629"/>
      <c r="I583" s="630"/>
      <c r="J583" s="631"/>
      <c r="K583" s="628"/>
      <c r="L583" s="629"/>
      <c r="M583" s="632"/>
      <c r="N583" s="633"/>
      <c r="O583" s="633"/>
      <c r="P583" s="633"/>
      <c r="Q583" s="632"/>
      <c r="R583" s="634"/>
      <c r="S583" s="634"/>
      <c r="T583" s="634"/>
      <c r="U583" s="634"/>
      <c r="V583" s="634"/>
      <c r="W583" s="634"/>
      <c r="X583" s="634"/>
      <c r="Y583" s="634"/>
      <c r="Z583" s="634"/>
      <c r="AA583" s="634"/>
      <c r="AB583" s="634"/>
      <c r="AC583" s="634"/>
      <c r="AD583" s="634"/>
      <c r="AE583" s="634"/>
      <c r="AF583" s="634"/>
      <c r="AG583" s="634"/>
      <c r="AH583" s="634"/>
      <c r="AI583" s="634"/>
      <c r="AJ583" s="634"/>
      <c r="AK583" s="635"/>
      <c r="AL583" s="634"/>
      <c r="AM583" s="636"/>
      <c r="AN583" s="637"/>
      <c r="AO583" s="637"/>
      <c r="AP583" s="637"/>
      <c r="AQ583" s="638"/>
      <c r="AR583" s="637"/>
      <c r="AS583" s="637"/>
      <c r="AT583" s="634"/>
      <c r="AU583" s="639"/>
      <c r="AV583" s="634"/>
      <c r="AW583" s="634"/>
      <c r="AX583" s="490"/>
      <c r="AY583" s="640"/>
      <c r="AZ583" s="28"/>
      <c r="BA583" s="640"/>
      <c r="BB583" s="490"/>
      <c r="BC583" s="490"/>
      <c r="BD583" s="402"/>
      <c r="BE583" s="402"/>
      <c r="BF583" s="402"/>
      <c r="BG583" s="641"/>
      <c r="BH583" s="642"/>
      <c r="BI583" s="642"/>
      <c r="BJ583" s="629"/>
      <c r="BK583" s="638"/>
      <c r="BL583" s="638"/>
      <c r="BM583" s="638"/>
      <c r="BN583" s="638"/>
      <c r="BO583" s="643"/>
      <c r="BP583" s="644"/>
      <c r="BQ583" s="645"/>
      <c r="BR583" s="645"/>
      <c r="BS583" s="638"/>
      <c r="BT583" s="638"/>
      <c r="BU583" s="638"/>
      <c r="BV583" s="638"/>
      <c r="BW583" s="638"/>
      <c r="BX583" s="638"/>
      <c r="BY583" s="638"/>
      <c r="BZ583" s="638"/>
      <c r="CA583" s="634"/>
      <c r="CB583" s="634"/>
      <c r="CC583" s="634"/>
      <c r="CD583" s="634"/>
      <c r="CE583" s="634"/>
      <c r="CF583" s="634"/>
      <c r="CG583" s="634"/>
      <c r="CH583" s="634"/>
      <c r="CI583" s="634"/>
      <c r="CJ583" s="634"/>
      <c r="CK583" s="629"/>
      <c r="CM583" s="400"/>
      <c r="CN583" s="403"/>
      <c r="CO583" s="646"/>
      <c r="CP583" s="635"/>
      <c r="CR583" s="643"/>
      <c r="CS583" s="647"/>
      <c r="CT583" s="647"/>
      <c r="CU583" s="404"/>
      <c r="CV583" s="648"/>
      <c r="CW583" s="406"/>
      <c r="CX583" s="643"/>
      <c r="DA583" s="400"/>
    </row>
    <row r="584" spans="1:105" ht="15" customHeight="1">
      <c r="A584" s="402"/>
      <c r="C584" s="627"/>
      <c r="D584" s="627"/>
      <c r="E584" s="628"/>
      <c r="F584" s="628"/>
      <c r="G584" s="629"/>
      <c r="H584" s="629"/>
      <c r="I584" s="630"/>
      <c r="J584" s="631"/>
      <c r="K584" s="628"/>
      <c r="L584" s="629"/>
      <c r="M584" s="632"/>
      <c r="N584" s="633"/>
      <c r="O584" s="633"/>
      <c r="P584" s="633"/>
      <c r="Q584" s="632"/>
      <c r="R584" s="634"/>
      <c r="S584" s="634"/>
      <c r="T584" s="634"/>
      <c r="U584" s="634"/>
      <c r="V584" s="634"/>
      <c r="W584" s="634"/>
      <c r="X584" s="634"/>
      <c r="Y584" s="634"/>
      <c r="Z584" s="634"/>
      <c r="AA584" s="634"/>
      <c r="AB584" s="634"/>
      <c r="AC584" s="634"/>
      <c r="AD584" s="634"/>
      <c r="AE584" s="634"/>
      <c r="AF584" s="634"/>
      <c r="AG584" s="634"/>
      <c r="AH584" s="634"/>
      <c r="AI584" s="634"/>
      <c r="AJ584" s="634"/>
      <c r="AK584" s="635"/>
      <c r="AL584" s="634"/>
      <c r="AM584" s="636"/>
      <c r="AN584" s="637"/>
      <c r="AO584" s="637"/>
      <c r="AP584" s="637"/>
      <c r="AQ584" s="638"/>
      <c r="AR584" s="637"/>
      <c r="AS584" s="637"/>
      <c r="AT584" s="634"/>
      <c r="AU584" s="639"/>
      <c r="AV584" s="634"/>
      <c r="AW584" s="634"/>
      <c r="AX584" s="490"/>
      <c r="AY584" s="640"/>
      <c r="AZ584" s="28"/>
      <c r="BA584" s="640"/>
      <c r="BB584" s="490"/>
      <c r="BC584" s="490"/>
      <c r="BD584" s="402"/>
      <c r="BE584" s="402"/>
      <c r="BF584" s="402"/>
      <c r="BG584" s="641"/>
      <c r="BH584" s="642"/>
      <c r="BI584" s="642"/>
      <c r="BJ584" s="629"/>
      <c r="BK584" s="638"/>
      <c r="BL584" s="638"/>
      <c r="BM584" s="638"/>
      <c r="BN584" s="638"/>
      <c r="BO584" s="643"/>
      <c r="BP584" s="644"/>
      <c r="BQ584" s="645"/>
      <c r="BR584" s="645"/>
      <c r="BS584" s="638"/>
      <c r="BT584" s="638"/>
      <c r="BU584" s="638"/>
      <c r="BV584" s="638"/>
      <c r="BW584" s="638"/>
      <c r="BX584" s="638"/>
      <c r="BY584" s="638"/>
      <c r="BZ584" s="638"/>
      <c r="CA584" s="634"/>
      <c r="CB584" s="634"/>
      <c r="CC584" s="634"/>
      <c r="CD584" s="634"/>
      <c r="CE584" s="634"/>
      <c r="CF584" s="634"/>
      <c r="CG584" s="634"/>
      <c r="CH584" s="634"/>
      <c r="CI584" s="634"/>
      <c r="CJ584" s="634"/>
      <c r="CK584" s="629"/>
      <c r="CM584" s="400"/>
      <c r="CN584" s="403"/>
      <c r="CO584" s="646"/>
      <c r="CP584" s="635"/>
      <c r="CR584" s="643"/>
      <c r="CS584" s="647"/>
      <c r="CT584" s="647"/>
      <c r="CU584" s="404"/>
      <c r="CV584" s="648"/>
      <c r="CW584" s="406"/>
      <c r="CX584" s="643"/>
      <c r="DA584" s="400"/>
    </row>
    <row r="585" spans="1:105" ht="15" customHeight="1">
      <c r="A585" s="402"/>
      <c r="C585" s="627"/>
      <c r="D585" s="627"/>
      <c r="E585" s="628"/>
      <c r="F585" s="628"/>
      <c r="G585" s="629"/>
      <c r="H585" s="629"/>
      <c r="I585" s="630"/>
      <c r="J585" s="631"/>
      <c r="K585" s="628"/>
      <c r="L585" s="629"/>
      <c r="M585" s="632"/>
      <c r="N585" s="633"/>
      <c r="O585" s="633"/>
      <c r="P585" s="633"/>
      <c r="Q585" s="632"/>
      <c r="R585" s="634"/>
      <c r="S585" s="634"/>
      <c r="T585" s="634"/>
      <c r="U585" s="634"/>
      <c r="V585" s="634"/>
      <c r="W585" s="634"/>
      <c r="X585" s="634"/>
      <c r="Y585" s="634"/>
      <c r="Z585" s="634"/>
      <c r="AA585" s="634"/>
      <c r="AB585" s="634"/>
      <c r="AC585" s="634"/>
      <c r="AD585" s="634"/>
      <c r="AE585" s="634"/>
      <c r="AF585" s="634"/>
      <c r="AG585" s="634"/>
      <c r="AH585" s="634"/>
      <c r="AI585" s="634"/>
      <c r="AJ585" s="634"/>
      <c r="AK585" s="635"/>
      <c r="AL585" s="634"/>
      <c r="AM585" s="636"/>
      <c r="AN585" s="637"/>
      <c r="AO585" s="637"/>
      <c r="AP585" s="637"/>
      <c r="AQ585" s="638"/>
      <c r="AR585" s="637"/>
      <c r="AS585" s="637"/>
      <c r="AT585" s="634"/>
      <c r="AU585" s="639"/>
      <c r="AV585" s="634"/>
      <c r="AW585" s="634"/>
      <c r="AX585" s="490"/>
      <c r="AY585" s="640"/>
      <c r="AZ585" s="28"/>
      <c r="BA585" s="640"/>
      <c r="BB585" s="490"/>
      <c r="BC585" s="490"/>
      <c r="BD585" s="402"/>
      <c r="BE585" s="402"/>
      <c r="BF585" s="402"/>
      <c r="BG585" s="641"/>
      <c r="BH585" s="642"/>
      <c r="BI585" s="642"/>
      <c r="BJ585" s="629"/>
      <c r="BK585" s="638"/>
      <c r="BL585" s="638"/>
      <c r="BM585" s="638"/>
      <c r="BN585" s="638"/>
      <c r="BO585" s="643"/>
      <c r="BP585" s="644"/>
      <c r="BQ585" s="645"/>
      <c r="BR585" s="645"/>
      <c r="BS585" s="638"/>
      <c r="BT585" s="638"/>
      <c r="BU585" s="638"/>
      <c r="BV585" s="638"/>
      <c r="BW585" s="638"/>
      <c r="BX585" s="638"/>
      <c r="BY585" s="638"/>
      <c r="BZ585" s="638"/>
      <c r="CA585" s="634"/>
      <c r="CB585" s="634"/>
      <c r="CC585" s="634"/>
      <c r="CD585" s="634"/>
      <c r="CE585" s="634"/>
      <c r="CF585" s="634"/>
      <c r="CG585" s="634"/>
      <c r="CH585" s="634"/>
      <c r="CI585" s="634"/>
      <c r="CJ585" s="634"/>
      <c r="CK585" s="629"/>
      <c r="CM585" s="400"/>
      <c r="CN585" s="403"/>
      <c r="CO585" s="646"/>
      <c r="CP585" s="635"/>
      <c r="CR585" s="643"/>
      <c r="CS585" s="647"/>
      <c r="CT585" s="647"/>
      <c r="CU585" s="404"/>
      <c r="CV585" s="648"/>
      <c r="CW585" s="406"/>
      <c r="CX585" s="643"/>
      <c r="DA585" s="400"/>
    </row>
    <row r="586" spans="1:105" ht="15" customHeight="1">
      <c r="A586" s="402"/>
      <c r="C586" s="627"/>
      <c r="D586" s="627"/>
      <c r="E586" s="628"/>
      <c r="F586" s="628"/>
      <c r="G586" s="629"/>
      <c r="H586" s="629"/>
      <c r="I586" s="630"/>
      <c r="J586" s="631"/>
      <c r="K586" s="628"/>
      <c r="L586" s="629"/>
      <c r="M586" s="632"/>
      <c r="N586" s="633"/>
      <c r="O586" s="633"/>
      <c r="P586" s="633"/>
      <c r="Q586" s="632"/>
      <c r="R586" s="634"/>
      <c r="S586" s="634"/>
      <c r="T586" s="634"/>
      <c r="U586" s="634"/>
      <c r="V586" s="634"/>
      <c r="W586" s="634"/>
      <c r="X586" s="634"/>
      <c r="Y586" s="634"/>
      <c r="Z586" s="634"/>
      <c r="AA586" s="634"/>
      <c r="AB586" s="634"/>
      <c r="AC586" s="634"/>
      <c r="AD586" s="634"/>
      <c r="AE586" s="634"/>
      <c r="AF586" s="634"/>
      <c r="AG586" s="634"/>
      <c r="AH586" s="634"/>
      <c r="AI586" s="634"/>
      <c r="AJ586" s="634"/>
      <c r="AK586" s="635"/>
      <c r="AL586" s="634"/>
      <c r="AM586" s="636"/>
      <c r="AN586" s="637"/>
      <c r="AO586" s="637"/>
      <c r="AP586" s="637"/>
      <c r="AQ586" s="638"/>
      <c r="AR586" s="637"/>
      <c r="AS586" s="637"/>
      <c r="AT586" s="634"/>
      <c r="AU586" s="639"/>
      <c r="AV586" s="634"/>
      <c r="AW586" s="634"/>
      <c r="AX586" s="490"/>
      <c r="AY586" s="640"/>
      <c r="AZ586" s="28"/>
      <c r="BA586" s="640"/>
      <c r="BB586" s="490"/>
      <c r="BC586" s="490"/>
      <c r="BD586" s="402"/>
      <c r="BE586" s="402"/>
      <c r="BF586" s="402"/>
      <c r="BG586" s="641"/>
      <c r="BH586" s="642"/>
      <c r="BI586" s="642"/>
      <c r="BJ586" s="629"/>
      <c r="BK586" s="638"/>
      <c r="BL586" s="638"/>
      <c r="BM586" s="638"/>
      <c r="BN586" s="638"/>
      <c r="BO586" s="643"/>
      <c r="BP586" s="644"/>
      <c r="BQ586" s="645"/>
      <c r="BR586" s="645"/>
      <c r="BS586" s="638"/>
      <c r="BT586" s="638"/>
      <c r="BU586" s="638"/>
      <c r="BV586" s="638"/>
      <c r="BW586" s="638"/>
      <c r="BX586" s="638"/>
      <c r="BY586" s="638"/>
      <c r="BZ586" s="638"/>
      <c r="CA586" s="634"/>
      <c r="CB586" s="634"/>
      <c r="CC586" s="634"/>
      <c r="CD586" s="634"/>
      <c r="CE586" s="634"/>
      <c r="CF586" s="634"/>
      <c r="CG586" s="634"/>
      <c r="CH586" s="634"/>
      <c r="CI586" s="634"/>
      <c r="CJ586" s="634"/>
      <c r="CK586" s="629"/>
      <c r="CM586" s="400"/>
      <c r="CN586" s="403"/>
      <c r="CO586" s="646"/>
      <c r="CP586" s="635"/>
      <c r="CR586" s="643"/>
      <c r="CS586" s="647"/>
      <c r="CT586" s="647"/>
      <c r="CU586" s="404"/>
      <c r="CV586" s="648"/>
      <c r="CW586" s="406"/>
      <c r="CX586" s="643"/>
      <c r="DA586" s="400"/>
    </row>
    <row r="587" spans="1:105" ht="15" customHeight="1">
      <c r="B587" s="391"/>
      <c r="C587" s="400"/>
      <c r="BA587" s="650"/>
      <c r="BB587" s="391"/>
      <c r="BC587" s="391"/>
      <c r="BD587" s="402"/>
      <c r="BE587" s="402"/>
      <c r="BF587" s="402"/>
      <c r="BG587" s="391"/>
      <c r="BH587" s="391">
        <v>984.93</v>
      </c>
      <c r="BI587" s="391"/>
      <c r="BJ587" s="391"/>
      <c r="BS587" s="638"/>
      <c r="CL587" s="391"/>
      <c r="CQ587" s="391"/>
      <c r="CT587" s="391"/>
      <c r="CU587" s="391"/>
      <c r="CV587" s="391"/>
      <c r="CW587" s="391"/>
      <c r="CY587" s="391"/>
      <c r="CZ587" s="391"/>
    </row>
    <row r="588" spans="1:105" ht="15" customHeight="1">
      <c r="B588" s="391"/>
      <c r="C588" s="400"/>
      <c r="BA588" s="650"/>
      <c r="BB588" s="391"/>
      <c r="BC588" s="391"/>
      <c r="BD588" s="402"/>
      <c r="BE588" s="402"/>
      <c r="BF588" s="402"/>
      <c r="BG588" s="391"/>
      <c r="BH588" s="391"/>
      <c r="BI588" s="391"/>
      <c r="BJ588" s="391"/>
      <c r="BS588" s="638"/>
      <c r="CL588" s="391"/>
      <c r="CQ588" s="391"/>
      <c r="CT588" s="391"/>
      <c r="CU588" s="391"/>
      <c r="CV588" s="391"/>
      <c r="CW588" s="391"/>
      <c r="CY588" s="391"/>
      <c r="CZ588" s="391"/>
    </row>
    <row r="589" spans="1:105" ht="15" customHeight="1">
      <c r="B589" s="391"/>
      <c r="C589" s="400"/>
      <c r="BA589" s="650"/>
      <c r="BB589" s="391"/>
      <c r="BC589" s="391"/>
      <c r="BD589" s="402"/>
      <c r="BE589" s="402"/>
      <c r="BF589" s="402"/>
      <c r="BG589" s="391"/>
      <c r="BH589" s="391"/>
      <c r="BI589" s="391"/>
      <c r="BJ589" s="391"/>
      <c r="BS589" s="638"/>
      <c r="CL589" s="391"/>
      <c r="CQ589" s="391"/>
      <c r="CT589" s="391"/>
      <c r="CU589" s="391"/>
      <c r="CV589" s="391"/>
      <c r="CW589" s="391"/>
      <c r="CY589" s="391"/>
      <c r="CZ589" s="391"/>
    </row>
    <row r="590" spans="1:105" ht="15" customHeight="1">
      <c r="B590" s="391"/>
      <c r="C590" s="400"/>
      <c r="BA590" s="650"/>
      <c r="BB590" s="391"/>
      <c r="BC590" s="391"/>
      <c r="BD590" s="402"/>
      <c r="BE590" s="402"/>
      <c r="BF590" s="402"/>
      <c r="BG590" s="391"/>
      <c r="BH590" s="391"/>
      <c r="BI590" s="391"/>
      <c r="BJ590" s="391"/>
      <c r="BS590" s="638"/>
      <c r="CL590" s="391"/>
      <c r="CQ590" s="391"/>
      <c r="CT590" s="391"/>
      <c r="CU590" s="391"/>
      <c r="CV590" s="391"/>
      <c r="CW590" s="391"/>
      <c r="CY590" s="391"/>
      <c r="CZ590" s="391"/>
    </row>
    <row r="591" spans="1:105" ht="15" customHeight="1">
      <c r="C591" s="400"/>
      <c r="BD591" s="402"/>
      <c r="BE591" s="402"/>
      <c r="BF591" s="402"/>
      <c r="BS591" s="638"/>
    </row>
    <row r="592" spans="1:105" ht="15" customHeight="1">
      <c r="C592" s="400"/>
      <c r="BD592" s="402"/>
      <c r="BE592" s="402"/>
      <c r="BF592" s="402"/>
      <c r="BS592" s="638"/>
    </row>
    <row r="593" spans="3:71" ht="15" customHeight="1">
      <c r="C593" s="400"/>
      <c r="BD593" s="402"/>
      <c r="BE593" s="402"/>
      <c r="BF593" s="402"/>
      <c r="BS593" s="638"/>
    </row>
    <row r="594" spans="3:71" ht="15" customHeight="1">
      <c r="C594" s="400"/>
      <c r="BD594" s="402"/>
      <c r="BE594" s="402"/>
      <c r="BF594" s="402"/>
      <c r="BS594" s="638"/>
    </row>
    <row r="595" spans="3:71" ht="15" customHeight="1">
      <c r="C595" s="400"/>
      <c r="BD595" s="402"/>
      <c r="BE595" s="402"/>
      <c r="BF595" s="402"/>
      <c r="BS595" s="638"/>
    </row>
    <row r="596" spans="3:71" ht="15" customHeight="1">
      <c r="C596" s="400"/>
      <c r="BD596" s="402"/>
      <c r="BE596" s="402"/>
      <c r="BF596" s="402"/>
      <c r="BS596" s="638"/>
    </row>
    <row r="597" spans="3:71" ht="15" customHeight="1">
      <c r="C597" s="400"/>
      <c r="BD597" s="402"/>
      <c r="BE597" s="402"/>
      <c r="BF597" s="402"/>
      <c r="BS597" s="638"/>
    </row>
    <row r="598" spans="3:71" ht="15" customHeight="1">
      <c r="C598" s="400"/>
      <c r="BD598" s="402"/>
      <c r="BE598" s="402"/>
      <c r="BF598" s="402"/>
      <c r="BS598" s="638"/>
    </row>
    <row r="599" spans="3:71" ht="15" customHeight="1">
      <c r="C599" s="400"/>
      <c r="BD599" s="402"/>
      <c r="BE599" s="402"/>
      <c r="BF599" s="402"/>
      <c r="BS599" s="638"/>
    </row>
    <row r="600" spans="3:71" ht="15" customHeight="1">
      <c r="C600" s="400"/>
      <c r="BD600" s="402"/>
      <c r="BE600" s="402"/>
      <c r="BF600" s="402"/>
      <c r="BS600" s="638"/>
    </row>
    <row r="601" spans="3:71" ht="15" customHeight="1">
      <c r="C601" s="400"/>
      <c r="BD601" s="402"/>
      <c r="BE601" s="402"/>
      <c r="BF601" s="402"/>
      <c r="BS601" s="638"/>
    </row>
    <row r="602" spans="3:71" ht="15" customHeight="1">
      <c r="C602" s="400"/>
      <c r="BD602" s="402"/>
      <c r="BE602" s="402"/>
      <c r="BF602" s="402"/>
      <c r="BS602" s="638"/>
    </row>
    <row r="603" spans="3:71" ht="15" customHeight="1">
      <c r="C603" s="400"/>
      <c r="BD603" s="402"/>
      <c r="BE603" s="402"/>
      <c r="BF603" s="402"/>
      <c r="BS603" s="638"/>
    </row>
    <row r="604" spans="3:71" ht="15" customHeight="1">
      <c r="C604" s="400"/>
      <c r="BD604" s="402"/>
      <c r="BE604" s="402"/>
      <c r="BF604" s="402"/>
      <c r="BS604" s="638"/>
    </row>
    <row r="605" spans="3:71" ht="15" customHeight="1">
      <c r="C605" s="400"/>
      <c r="BD605" s="402"/>
      <c r="BE605" s="402"/>
      <c r="BF605" s="402"/>
      <c r="BS605" s="638"/>
    </row>
    <row r="606" spans="3:71" ht="15" customHeight="1">
      <c r="C606" s="400"/>
      <c r="BD606" s="402"/>
      <c r="BE606" s="402"/>
      <c r="BF606" s="402"/>
      <c r="BS606" s="638"/>
    </row>
    <row r="607" spans="3:71" ht="15" customHeight="1">
      <c r="C607" s="400"/>
      <c r="BD607" s="402"/>
      <c r="BE607" s="402"/>
      <c r="BF607" s="402"/>
      <c r="BS607" s="638"/>
    </row>
    <row r="608" spans="3:71" ht="15" customHeight="1">
      <c r="C608" s="400"/>
      <c r="BD608" s="402"/>
      <c r="BE608" s="402"/>
      <c r="BF608" s="402"/>
      <c r="BS608" s="638"/>
    </row>
    <row r="609" spans="3:71" ht="15" customHeight="1">
      <c r="C609" s="400"/>
      <c r="BD609" s="402"/>
      <c r="BE609" s="402"/>
      <c r="BF609" s="402"/>
      <c r="BS609" s="638"/>
    </row>
    <row r="610" spans="3:71" ht="15" customHeight="1">
      <c r="C610" s="400"/>
      <c r="BD610" s="402"/>
      <c r="BE610" s="402"/>
      <c r="BF610" s="402"/>
      <c r="BS610" s="638"/>
    </row>
    <row r="611" spans="3:71" ht="15" customHeight="1">
      <c r="C611" s="400"/>
      <c r="BD611" s="402"/>
      <c r="BE611" s="402"/>
      <c r="BF611" s="402"/>
      <c r="BS611" s="638"/>
    </row>
    <row r="612" spans="3:71" ht="15" customHeight="1">
      <c r="C612" s="400"/>
      <c r="BD612" s="402"/>
      <c r="BE612" s="402"/>
      <c r="BF612" s="402"/>
      <c r="BS612" s="638"/>
    </row>
    <row r="613" spans="3:71" ht="15" customHeight="1">
      <c r="C613" s="400"/>
      <c r="BD613" s="402"/>
      <c r="BE613" s="402"/>
      <c r="BF613" s="402"/>
      <c r="BS613" s="638"/>
    </row>
    <row r="614" spans="3:71" ht="15" customHeight="1">
      <c r="C614" s="400"/>
      <c r="BD614" s="402"/>
      <c r="BE614" s="402"/>
      <c r="BF614" s="402"/>
      <c r="BS614" s="638"/>
    </row>
    <row r="615" spans="3:71" ht="15" customHeight="1">
      <c r="C615" s="400"/>
      <c r="BD615" s="402"/>
      <c r="BE615" s="402"/>
      <c r="BF615" s="402"/>
      <c r="BS615" s="638"/>
    </row>
    <row r="616" spans="3:71" ht="15" customHeight="1">
      <c r="C616" s="400"/>
      <c r="BD616" s="402"/>
      <c r="BE616" s="402"/>
      <c r="BF616" s="402"/>
      <c r="BS616" s="638"/>
    </row>
    <row r="617" spans="3:71" ht="15" customHeight="1">
      <c r="C617" s="400"/>
      <c r="BD617" s="402"/>
      <c r="BE617" s="402"/>
      <c r="BF617" s="402"/>
      <c r="BS617" s="638"/>
    </row>
    <row r="618" spans="3:71" ht="15" customHeight="1">
      <c r="C618" s="400"/>
      <c r="BD618" s="402"/>
      <c r="BE618" s="402"/>
      <c r="BF618" s="402"/>
      <c r="BS618" s="638"/>
    </row>
    <row r="619" spans="3:71" ht="15" customHeight="1">
      <c r="C619" s="400"/>
      <c r="BD619" s="402"/>
      <c r="BE619" s="402"/>
      <c r="BF619" s="402"/>
      <c r="BS619" s="638"/>
    </row>
    <row r="620" spans="3:71" ht="15" customHeight="1">
      <c r="C620" s="400"/>
      <c r="BD620" s="402"/>
      <c r="BE620" s="402"/>
      <c r="BF620" s="402"/>
      <c r="BS620" s="638"/>
    </row>
    <row r="621" spans="3:71" ht="15" customHeight="1">
      <c r="C621" s="400"/>
      <c r="BD621" s="402"/>
      <c r="BE621" s="402"/>
      <c r="BF621" s="402"/>
      <c r="BS621" s="638"/>
    </row>
    <row r="622" spans="3:71" ht="15" customHeight="1">
      <c r="C622" s="400"/>
      <c r="BD622" s="402"/>
      <c r="BE622" s="402"/>
      <c r="BF622" s="402"/>
      <c r="BS622" s="638"/>
    </row>
    <row r="623" spans="3:71" ht="15" customHeight="1">
      <c r="C623" s="400"/>
      <c r="BD623" s="402"/>
      <c r="BE623" s="402"/>
      <c r="BF623" s="402"/>
      <c r="BS623" s="638"/>
    </row>
    <row r="624" spans="3:71" ht="15" customHeight="1">
      <c r="C624" s="400"/>
      <c r="BD624" s="402"/>
      <c r="BE624" s="402"/>
      <c r="BF624" s="402"/>
      <c r="BS624" s="638"/>
    </row>
    <row r="625" spans="1:153" ht="15" customHeight="1">
      <c r="C625" s="400"/>
      <c r="BD625" s="402"/>
      <c r="BE625" s="402"/>
      <c r="BF625" s="402"/>
      <c r="BS625" s="638"/>
    </row>
    <row r="626" spans="1:153" ht="15" customHeight="1">
      <c r="C626" s="400"/>
      <c r="BD626" s="402"/>
      <c r="BE626" s="402"/>
      <c r="BF626" s="402"/>
      <c r="BS626" s="638"/>
    </row>
    <row r="627" spans="1:153" ht="15" customHeight="1">
      <c r="C627" s="400"/>
      <c r="BD627" s="402"/>
      <c r="BE627" s="402"/>
      <c r="BF627" s="402"/>
      <c r="BS627" s="638"/>
    </row>
    <row r="628" spans="1:153" ht="15" customHeight="1">
      <c r="C628" s="400"/>
      <c r="BD628" s="402"/>
      <c r="BE628" s="402"/>
      <c r="BF628" s="402"/>
    </row>
    <row r="629" spans="1:153" ht="15" customHeight="1">
      <c r="C629" s="400"/>
      <c r="BD629" s="402"/>
      <c r="BE629" s="402"/>
      <c r="BF629" s="402"/>
    </row>
    <row r="630" spans="1:153" ht="15" customHeight="1">
      <c r="C630" s="400"/>
      <c r="BD630" s="402"/>
      <c r="BE630" s="402"/>
      <c r="BF630" s="402"/>
    </row>
    <row r="631" spans="1:153" ht="15" customHeight="1">
      <c r="C631" s="400"/>
      <c r="BD631" s="402"/>
      <c r="BE631" s="402"/>
      <c r="BF631" s="402"/>
    </row>
    <row r="632" spans="1:153" ht="15" customHeight="1">
      <c r="C632" s="400"/>
      <c r="BD632" s="402"/>
      <c r="BE632" s="402"/>
      <c r="BF632" s="402"/>
    </row>
    <row r="633" spans="1:153" ht="15" customHeight="1">
      <c r="C633" s="400"/>
      <c r="BD633" s="402"/>
      <c r="BE633" s="402"/>
      <c r="BF633" s="402"/>
    </row>
    <row r="634" spans="1:153" ht="15" customHeight="1">
      <c r="C634" s="400"/>
      <c r="BD634" s="402"/>
      <c r="BE634" s="402"/>
      <c r="BF634" s="402"/>
    </row>
    <row r="635" spans="1:153" ht="15" customHeight="1">
      <c r="C635" s="400"/>
      <c r="BD635" s="402"/>
      <c r="BE635" s="402"/>
      <c r="BF635" s="402"/>
    </row>
    <row r="636" spans="1:153" ht="15" customHeight="1">
      <c r="C636" s="400"/>
      <c r="BD636" s="402"/>
      <c r="BE636" s="402"/>
      <c r="BF636" s="402"/>
    </row>
    <row r="637" spans="1:153" ht="15" customHeight="1">
      <c r="C637" s="400"/>
      <c r="BD637" s="402"/>
      <c r="BE637" s="402"/>
      <c r="BF637" s="402"/>
    </row>
    <row r="638" spans="1:153" s="400" customFormat="1" ht="15" customHeight="1">
      <c r="A638" s="391"/>
      <c r="E638" s="454"/>
      <c r="F638" s="454"/>
      <c r="G638" s="454"/>
      <c r="H638" s="454"/>
      <c r="I638" s="454"/>
      <c r="J638" s="404"/>
      <c r="K638" s="454"/>
      <c r="L638" s="454"/>
      <c r="M638" s="391"/>
      <c r="N638" s="391"/>
      <c r="O638" s="391"/>
      <c r="P638" s="391"/>
      <c r="Q638" s="391"/>
      <c r="R638" s="391"/>
      <c r="S638" s="391"/>
      <c r="T638" s="391"/>
      <c r="U638" s="391"/>
      <c r="V638" s="391"/>
      <c r="W638" s="391"/>
      <c r="X638" s="391"/>
      <c r="Y638" s="391"/>
      <c r="Z638" s="391"/>
      <c r="AA638" s="391"/>
      <c r="AB638" s="391"/>
      <c r="AC638" s="391"/>
      <c r="AD638" s="391"/>
      <c r="AE638" s="391"/>
      <c r="AF638" s="391"/>
      <c r="AG638" s="391"/>
      <c r="AH638" s="391"/>
      <c r="AI638" s="391"/>
      <c r="AJ638" s="391"/>
      <c r="AK638" s="391"/>
      <c r="AL638" s="391"/>
      <c r="AM638" s="391"/>
      <c r="AN638" s="391"/>
      <c r="AO638" s="391"/>
      <c r="AP638" s="391"/>
      <c r="AQ638" s="391"/>
      <c r="AR638" s="391"/>
      <c r="AS638" s="454"/>
      <c r="AT638" s="391"/>
      <c r="AU638" s="391"/>
      <c r="AV638" s="391"/>
      <c r="AW638" s="391"/>
      <c r="AX638" s="649"/>
      <c r="AY638" s="593"/>
      <c r="AZ638" s="391"/>
      <c r="BA638" s="391"/>
      <c r="BB638" s="651"/>
      <c r="BC638" s="651"/>
      <c r="BD638" s="402"/>
      <c r="BE638" s="402"/>
      <c r="BF638" s="402"/>
      <c r="BH638" s="594"/>
      <c r="BI638" s="594"/>
      <c r="BJ638" s="595"/>
      <c r="BK638" s="391"/>
      <c r="BL638" s="391"/>
      <c r="BM638" s="391"/>
      <c r="BN638" s="391"/>
      <c r="BO638" s="391"/>
      <c r="BP638" s="391"/>
      <c r="BQ638" s="391"/>
      <c r="BR638" s="391"/>
      <c r="BS638" s="391"/>
      <c r="BT638" s="391"/>
      <c r="BU638" s="391"/>
      <c r="BV638" s="391"/>
      <c r="BW638" s="391"/>
      <c r="BX638" s="391"/>
      <c r="BY638" s="391"/>
      <c r="BZ638" s="391"/>
      <c r="CA638" s="391"/>
      <c r="CB638" s="391"/>
      <c r="CC638" s="391"/>
      <c r="CD638" s="391"/>
      <c r="CE638" s="391"/>
      <c r="CF638" s="391"/>
      <c r="CG638" s="391"/>
      <c r="CH638" s="391"/>
      <c r="CI638" s="391"/>
      <c r="CJ638" s="391"/>
      <c r="CK638" s="391"/>
      <c r="CM638" s="391"/>
      <c r="CN638" s="391"/>
      <c r="CO638" s="391"/>
      <c r="CP638" s="391"/>
      <c r="CR638" s="391"/>
      <c r="CS638" s="391"/>
      <c r="CX638" s="391"/>
      <c r="DA638" s="391"/>
      <c r="DB638" s="391"/>
      <c r="DC638" s="391"/>
      <c r="DD638" s="391"/>
      <c r="DE638" s="391"/>
      <c r="DF638" s="391"/>
      <c r="DG638" s="391"/>
      <c r="DH638" s="391"/>
      <c r="DI638" s="391"/>
      <c r="DJ638" s="391"/>
      <c r="DK638" s="391"/>
      <c r="DL638" s="391"/>
      <c r="DM638" s="391"/>
      <c r="DN638" s="391"/>
      <c r="DO638" s="391"/>
      <c r="DP638" s="391"/>
      <c r="DQ638" s="391"/>
      <c r="DR638" s="391"/>
      <c r="DS638" s="391"/>
      <c r="DT638" s="391"/>
      <c r="DU638" s="391"/>
      <c r="DV638" s="391"/>
      <c r="DW638" s="391"/>
      <c r="DX638" s="391"/>
      <c r="DY638" s="391"/>
      <c r="DZ638" s="391"/>
      <c r="EA638" s="391"/>
      <c r="EB638" s="391"/>
      <c r="EC638" s="391"/>
      <c r="ED638" s="391"/>
      <c r="EE638" s="391"/>
      <c r="EF638" s="391"/>
      <c r="EG638" s="391"/>
      <c r="EH638" s="391"/>
      <c r="EI638" s="391"/>
      <c r="EJ638" s="391"/>
      <c r="EK638" s="391"/>
      <c r="EL638" s="391"/>
      <c r="EM638" s="391"/>
      <c r="EN638" s="391"/>
      <c r="EO638" s="391"/>
      <c r="EP638" s="391"/>
      <c r="EQ638" s="391"/>
      <c r="ER638" s="391"/>
      <c r="ES638" s="391"/>
      <c r="ET638" s="391"/>
      <c r="EU638" s="391"/>
      <c r="EV638" s="391"/>
      <c r="EW638" s="391"/>
    </row>
    <row r="639" spans="1:153" s="400" customFormat="1" ht="15" customHeight="1">
      <c r="A639" s="391"/>
      <c r="E639" s="454"/>
      <c r="F639" s="454"/>
      <c r="G639" s="454"/>
      <c r="H639" s="454"/>
      <c r="I639" s="454"/>
      <c r="J639" s="404"/>
      <c r="K639" s="454"/>
      <c r="L639" s="454"/>
      <c r="M639" s="391"/>
      <c r="N639" s="391"/>
      <c r="O639" s="391"/>
      <c r="P639" s="391"/>
      <c r="Q639" s="391"/>
      <c r="R639" s="391"/>
      <c r="S639" s="391"/>
      <c r="T639" s="391"/>
      <c r="U639" s="391"/>
      <c r="V639" s="391"/>
      <c r="W639" s="391"/>
      <c r="X639" s="391"/>
      <c r="Y639" s="391"/>
      <c r="Z639" s="391"/>
      <c r="AA639" s="391"/>
      <c r="AB639" s="391"/>
      <c r="AC639" s="391"/>
      <c r="AD639" s="391"/>
      <c r="AE639" s="391"/>
      <c r="AF639" s="391"/>
      <c r="AG639" s="391"/>
      <c r="AH639" s="391"/>
      <c r="AI639" s="391"/>
      <c r="AJ639" s="391"/>
      <c r="AK639" s="391"/>
      <c r="AL639" s="391"/>
      <c r="AM639" s="391"/>
      <c r="AN639" s="391"/>
      <c r="AO639" s="391"/>
      <c r="AP639" s="391"/>
      <c r="AQ639" s="391"/>
      <c r="AR639" s="391"/>
      <c r="AS639" s="454"/>
      <c r="AT639" s="391"/>
      <c r="AU639" s="391"/>
      <c r="AV639" s="391"/>
      <c r="AW639" s="391"/>
      <c r="AX639" s="649"/>
      <c r="AY639" s="593"/>
      <c r="AZ639" s="391"/>
      <c r="BA639" s="391"/>
      <c r="BB639" s="651"/>
      <c r="BC639" s="651"/>
      <c r="BD639" s="402"/>
      <c r="BE639" s="402"/>
      <c r="BF639" s="402"/>
      <c r="BH639" s="594"/>
      <c r="BI639" s="594"/>
      <c r="BJ639" s="595"/>
      <c r="BK639" s="391"/>
      <c r="BL639" s="391"/>
      <c r="BM639" s="391"/>
      <c r="BN639" s="391"/>
      <c r="BO639" s="391"/>
      <c r="BP639" s="391"/>
      <c r="BQ639" s="391"/>
      <c r="BR639" s="391"/>
      <c r="BS639" s="391"/>
      <c r="BT639" s="391"/>
      <c r="BU639" s="391"/>
      <c r="BV639" s="391"/>
      <c r="BW639" s="391"/>
      <c r="BX639" s="391"/>
      <c r="BY639" s="391"/>
      <c r="BZ639" s="391"/>
      <c r="CA639" s="391"/>
      <c r="CB639" s="391"/>
      <c r="CC639" s="391"/>
      <c r="CD639" s="391"/>
      <c r="CE639" s="391"/>
      <c r="CF639" s="391"/>
      <c r="CG639" s="391"/>
      <c r="CH639" s="391"/>
      <c r="CI639" s="391"/>
      <c r="CJ639" s="391"/>
      <c r="CK639" s="391"/>
      <c r="CM639" s="391"/>
      <c r="CN639" s="391"/>
      <c r="CO639" s="391"/>
      <c r="CP639" s="391"/>
      <c r="CR639" s="391"/>
      <c r="CS639" s="391"/>
      <c r="CX639" s="391"/>
      <c r="DA639" s="391"/>
      <c r="DB639" s="391"/>
      <c r="DC639" s="391"/>
      <c r="DD639" s="391"/>
      <c r="DE639" s="391"/>
      <c r="DF639" s="391"/>
      <c r="DG639" s="391"/>
      <c r="DH639" s="391"/>
      <c r="DI639" s="391"/>
      <c r="DJ639" s="391"/>
      <c r="DK639" s="391"/>
      <c r="DL639" s="391"/>
      <c r="DM639" s="391"/>
      <c r="DN639" s="391"/>
      <c r="DO639" s="391"/>
      <c r="DP639" s="391"/>
      <c r="DQ639" s="391"/>
      <c r="DR639" s="391"/>
      <c r="DS639" s="391"/>
      <c r="DT639" s="391"/>
      <c r="DU639" s="391"/>
      <c r="DV639" s="391"/>
      <c r="DW639" s="391"/>
      <c r="DX639" s="391"/>
      <c r="DY639" s="391"/>
      <c r="DZ639" s="391"/>
      <c r="EA639" s="391"/>
      <c r="EB639" s="391"/>
      <c r="EC639" s="391"/>
      <c r="ED639" s="391"/>
      <c r="EE639" s="391"/>
      <c r="EF639" s="391"/>
      <c r="EG639" s="391"/>
      <c r="EH639" s="391"/>
      <c r="EI639" s="391"/>
      <c r="EJ639" s="391"/>
      <c r="EK639" s="391"/>
      <c r="EL639" s="391"/>
      <c r="EM639" s="391"/>
      <c r="EN639" s="391"/>
      <c r="EO639" s="391"/>
      <c r="EP639" s="391"/>
      <c r="EQ639" s="391"/>
      <c r="ER639" s="391"/>
      <c r="ES639" s="391"/>
      <c r="ET639" s="391"/>
      <c r="EU639" s="391"/>
      <c r="EV639" s="391"/>
      <c r="EW639" s="391"/>
    </row>
    <row r="640" spans="1:153" s="400" customFormat="1" ht="15" customHeight="1">
      <c r="A640" s="391"/>
      <c r="E640" s="454"/>
      <c r="F640" s="454"/>
      <c r="G640" s="454"/>
      <c r="H640" s="454"/>
      <c r="I640" s="454"/>
      <c r="J640" s="404"/>
      <c r="K640" s="454"/>
      <c r="L640" s="454"/>
      <c r="M640" s="391"/>
      <c r="N640" s="391"/>
      <c r="O640" s="391"/>
      <c r="P640" s="391"/>
      <c r="Q640" s="391"/>
      <c r="R640" s="391"/>
      <c r="S640" s="391"/>
      <c r="T640" s="391"/>
      <c r="U640" s="391"/>
      <c r="V640" s="391"/>
      <c r="W640" s="391"/>
      <c r="X640" s="391"/>
      <c r="Y640" s="391"/>
      <c r="Z640" s="391"/>
      <c r="AA640" s="391"/>
      <c r="AB640" s="391"/>
      <c r="AC640" s="391"/>
      <c r="AD640" s="391"/>
      <c r="AE640" s="391"/>
      <c r="AF640" s="391"/>
      <c r="AG640" s="391"/>
      <c r="AH640" s="391"/>
      <c r="AI640" s="391"/>
      <c r="AJ640" s="391"/>
      <c r="AK640" s="391"/>
      <c r="AL640" s="391"/>
      <c r="AM640" s="391"/>
      <c r="AN640" s="391"/>
      <c r="AO640" s="391"/>
      <c r="AP640" s="391"/>
      <c r="AQ640" s="391"/>
      <c r="AR640" s="391"/>
      <c r="AS640" s="454"/>
      <c r="AT640" s="391"/>
      <c r="AU640" s="391"/>
      <c r="AV640" s="391"/>
      <c r="AW640" s="391"/>
      <c r="AX640" s="649"/>
      <c r="AY640" s="593"/>
      <c r="AZ640" s="391"/>
      <c r="BA640" s="391"/>
      <c r="BB640" s="651"/>
      <c r="BC640" s="651"/>
      <c r="BD640" s="402"/>
      <c r="BE640" s="402"/>
      <c r="BF640" s="402"/>
      <c r="BH640" s="594"/>
      <c r="BI640" s="594"/>
      <c r="BJ640" s="595"/>
      <c r="BK640" s="391"/>
      <c r="BL640" s="391"/>
      <c r="BM640" s="391"/>
      <c r="BN640" s="391"/>
      <c r="BO640" s="391"/>
      <c r="BP640" s="391"/>
      <c r="BQ640" s="391"/>
      <c r="BR640" s="391"/>
      <c r="BS640" s="391"/>
      <c r="BT640" s="391"/>
      <c r="BU640" s="391"/>
      <c r="BV640" s="391"/>
      <c r="BW640" s="391"/>
      <c r="BX640" s="391"/>
      <c r="BY640" s="391"/>
      <c r="BZ640" s="391"/>
      <c r="CA640" s="391"/>
      <c r="CB640" s="391"/>
      <c r="CC640" s="391"/>
      <c r="CD640" s="391"/>
      <c r="CE640" s="391"/>
      <c r="CF640" s="391"/>
      <c r="CG640" s="391"/>
      <c r="CH640" s="391"/>
      <c r="CI640" s="391"/>
      <c r="CJ640" s="391"/>
      <c r="CK640" s="391"/>
      <c r="CM640" s="391"/>
      <c r="CN640" s="391"/>
      <c r="CO640" s="391"/>
      <c r="CP640" s="391"/>
      <c r="CR640" s="391"/>
      <c r="CS640" s="391"/>
      <c r="CX640" s="391"/>
      <c r="DA640" s="391"/>
      <c r="DB640" s="391"/>
      <c r="DC640" s="391"/>
      <c r="DD640" s="391"/>
      <c r="DE640" s="391"/>
      <c r="DF640" s="391"/>
      <c r="DG640" s="391"/>
      <c r="DH640" s="391"/>
      <c r="DI640" s="391"/>
      <c r="DJ640" s="391"/>
      <c r="DK640" s="391"/>
      <c r="DL640" s="391"/>
      <c r="DM640" s="391"/>
      <c r="DN640" s="391"/>
      <c r="DO640" s="391"/>
      <c r="DP640" s="391"/>
      <c r="DQ640" s="391"/>
      <c r="DR640" s="391"/>
      <c r="DS640" s="391"/>
      <c r="DT640" s="391"/>
      <c r="DU640" s="391"/>
      <c r="DV640" s="391"/>
      <c r="DW640" s="391"/>
      <c r="DX640" s="391"/>
      <c r="DY640" s="391"/>
      <c r="DZ640" s="391"/>
      <c r="EA640" s="391"/>
      <c r="EB640" s="391"/>
      <c r="EC640" s="391"/>
      <c r="ED640" s="391"/>
      <c r="EE640" s="391"/>
      <c r="EF640" s="391"/>
      <c r="EG640" s="391"/>
      <c r="EH640" s="391"/>
      <c r="EI640" s="391"/>
      <c r="EJ640" s="391"/>
      <c r="EK640" s="391"/>
      <c r="EL640" s="391"/>
      <c r="EM640" s="391"/>
      <c r="EN640" s="391"/>
      <c r="EO640" s="391"/>
      <c r="EP640" s="391"/>
      <c r="EQ640" s="391"/>
      <c r="ER640" s="391"/>
      <c r="ES640" s="391"/>
      <c r="ET640" s="391"/>
      <c r="EU640" s="391"/>
      <c r="EV640" s="391"/>
      <c r="EW640" s="391"/>
    </row>
    <row r="641" spans="1:153" s="400" customFormat="1" ht="15" customHeight="1">
      <c r="A641" s="391"/>
      <c r="E641" s="454"/>
      <c r="F641" s="454"/>
      <c r="G641" s="454"/>
      <c r="H641" s="454"/>
      <c r="I641" s="454"/>
      <c r="J641" s="404"/>
      <c r="K641" s="454"/>
      <c r="L641" s="454"/>
      <c r="M641" s="391"/>
      <c r="N641" s="391"/>
      <c r="O641" s="391"/>
      <c r="P641" s="391"/>
      <c r="Q641" s="391"/>
      <c r="R641" s="391"/>
      <c r="S641" s="391"/>
      <c r="T641" s="391"/>
      <c r="U641" s="391"/>
      <c r="V641" s="391"/>
      <c r="W641" s="391"/>
      <c r="X641" s="391"/>
      <c r="Y641" s="391"/>
      <c r="Z641" s="391"/>
      <c r="AA641" s="391"/>
      <c r="AB641" s="391"/>
      <c r="AC641" s="391"/>
      <c r="AD641" s="391"/>
      <c r="AE641" s="391"/>
      <c r="AF641" s="391"/>
      <c r="AG641" s="391"/>
      <c r="AH641" s="391"/>
      <c r="AI641" s="391"/>
      <c r="AJ641" s="391"/>
      <c r="AK641" s="391"/>
      <c r="AL641" s="391"/>
      <c r="AM641" s="391"/>
      <c r="AN641" s="391"/>
      <c r="AO641" s="391"/>
      <c r="AP641" s="391"/>
      <c r="AQ641" s="391"/>
      <c r="AR641" s="391"/>
      <c r="AS641" s="454"/>
      <c r="AT641" s="391"/>
      <c r="AU641" s="391"/>
      <c r="AV641" s="391"/>
      <c r="AW641" s="391"/>
      <c r="AX641" s="649"/>
      <c r="AY641" s="593"/>
      <c r="AZ641" s="391"/>
      <c r="BA641" s="391"/>
      <c r="BB641" s="651"/>
      <c r="BC641" s="651"/>
      <c r="BD641" s="402"/>
      <c r="BE641" s="402"/>
      <c r="BF641" s="402"/>
      <c r="BH641" s="594"/>
      <c r="BI641" s="594"/>
      <c r="BJ641" s="595"/>
      <c r="BK641" s="391"/>
      <c r="BL641" s="391"/>
      <c r="BM641" s="391"/>
      <c r="BN641" s="391"/>
      <c r="BO641" s="391"/>
      <c r="BP641" s="391"/>
      <c r="BQ641" s="391"/>
      <c r="BR641" s="391"/>
      <c r="BS641" s="391"/>
      <c r="BT641" s="391"/>
      <c r="BU641" s="391"/>
      <c r="BV641" s="391"/>
      <c r="BW641" s="391"/>
      <c r="BX641" s="391"/>
      <c r="BY641" s="391"/>
      <c r="BZ641" s="391"/>
      <c r="CA641" s="391"/>
      <c r="CB641" s="391"/>
      <c r="CC641" s="391"/>
      <c r="CD641" s="391"/>
      <c r="CE641" s="391"/>
      <c r="CF641" s="391"/>
      <c r="CG641" s="391"/>
      <c r="CH641" s="391"/>
      <c r="CI641" s="391"/>
      <c r="CJ641" s="391"/>
      <c r="CK641" s="391"/>
      <c r="CM641" s="391"/>
      <c r="CN641" s="391"/>
      <c r="CO641" s="391"/>
      <c r="CP641" s="391"/>
      <c r="CR641" s="391"/>
      <c r="CS641" s="391"/>
      <c r="CX641" s="391"/>
      <c r="DA641" s="391"/>
      <c r="DB641" s="391"/>
      <c r="DC641" s="391"/>
      <c r="DD641" s="391"/>
      <c r="DE641" s="391"/>
      <c r="DF641" s="391"/>
      <c r="DG641" s="391"/>
      <c r="DH641" s="391"/>
      <c r="DI641" s="391"/>
      <c r="DJ641" s="391"/>
      <c r="DK641" s="391"/>
      <c r="DL641" s="391"/>
      <c r="DM641" s="391"/>
      <c r="DN641" s="391"/>
      <c r="DO641" s="391"/>
      <c r="DP641" s="391"/>
      <c r="DQ641" s="391"/>
      <c r="DR641" s="391"/>
      <c r="DS641" s="391"/>
      <c r="DT641" s="391"/>
      <c r="DU641" s="391"/>
      <c r="DV641" s="391"/>
      <c r="DW641" s="391"/>
      <c r="DX641" s="391"/>
      <c r="DY641" s="391"/>
      <c r="DZ641" s="391"/>
      <c r="EA641" s="391"/>
      <c r="EB641" s="391"/>
      <c r="EC641" s="391"/>
      <c r="ED641" s="391"/>
      <c r="EE641" s="391"/>
      <c r="EF641" s="391"/>
      <c r="EG641" s="391"/>
      <c r="EH641" s="391"/>
      <c r="EI641" s="391"/>
      <c r="EJ641" s="391"/>
      <c r="EK641" s="391"/>
      <c r="EL641" s="391"/>
      <c r="EM641" s="391"/>
      <c r="EN641" s="391"/>
      <c r="EO641" s="391"/>
      <c r="EP641" s="391"/>
      <c r="EQ641" s="391"/>
      <c r="ER641" s="391"/>
      <c r="ES641" s="391"/>
      <c r="ET641" s="391"/>
      <c r="EU641" s="391"/>
      <c r="EV641" s="391"/>
      <c r="EW641" s="391"/>
    </row>
    <row r="642" spans="1:153" s="400" customFormat="1" ht="15" customHeight="1">
      <c r="A642" s="391"/>
      <c r="E642" s="454"/>
      <c r="F642" s="454"/>
      <c r="G642" s="454"/>
      <c r="H642" s="454"/>
      <c r="I642" s="454"/>
      <c r="J642" s="404"/>
      <c r="K642" s="454"/>
      <c r="L642" s="454"/>
      <c r="M642" s="391"/>
      <c r="N642" s="391"/>
      <c r="O642" s="391"/>
      <c r="P642" s="391"/>
      <c r="Q642" s="391"/>
      <c r="R642" s="391"/>
      <c r="S642" s="391"/>
      <c r="T642" s="391"/>
      <c r="U642" s="391"/>
      <c r="V642" s="391"/>
      <c r="W642" s="391"/>
      <c r="X642" s="391"/>
      <c r="Y642" s="391"/>
      <c r="Z642" s="391"/>
      <c r="AA642" s="391"/>
      <c r="AB642" s="391"/>
      <c r="AC642" s="391"/>
      <c r="AD642" s="391"/>
      <c r="AE642" s="391"/>
      <c r="AF642" s="391"/>
      <c r="AG642" s="391"/>
      <c r="AH642" s="391"/>
      <c r="AI642" s="391"/>
      <c r="AJ642" s="391"/>
      <c r="AK642" s="391"/>
      <c r="AL642" s="391"/>
      <c r="AM642" s="391"/>
      <c r="AN642" s="391"/>
      <c r="AO642" s="391"/>
      <c r="AP642" s="391"/>
      <c r="AQ642" s="391"/>
      <c r="AR642" s="391"/>
      <c r="AS642" s="454"/>
      <c r="AT642" s="391"/>
      <c r="AU642" s="391"/>
      <c r="AV642" s="391"/>
      <c r="AW642" s="391"/>
      <c r="AX642" s="649"/>
      <c r="AY642" s="593"/>
      <c r="AZ642" s="391"/>
      <c r="BA642" s="391"/>
      <c r="BB642" s="651"/>
      <c r="BC642" s="651"/>
      <c r="BD642" s="402"/>
      <c r="BE642" s="402"/>
      <c r="BF642" s="402"/>
      <c r="BH642" s="594"/>
      <c r="BI642" s="594"/>
      <c r="BJ642" s="595"/>
      <c r="BK642" s="391"/>
      <c r="BL642" s="391"/>
      <c r="BM642" s="391"/>
      <c r="BN642" s="391"/>
      <c r="BO642" s="391"/>
      <c r="BP642" s="391"/>
      <c r="BQ642" s="391"/>
      <c r="BR642" s="391"/>
      <c r="BS642" s="391"/>
      <c r="BT642" s="391"/>
      <c r="BU642" s="391"/>
      <c r="BV642" s="391"/>
      <c r="BW642" s="391"/>
      <c r="BX642" s="391"/>
      <c r="BY642" s="391"/>
      <c r="BZ642" s="391"/>
      <c r="CA642" s="391"/>
      <c r="CB642" s="391"/>
      <c r="CC642" s="391"/>
      <c r="CD642" s="391"/>
      <c r="CE642" s="391"/>
      <c r="CF642" s="391"/>
      <c r="CG642" s="391"/>
      <c r="CH642" s="391"/>
      <c r="CI642" s="391"/>
      <c r="CJ642" s="391"/>
      <c r="CK642" s="391"/>
      <c r="CM642" s="391"/>
      <c r="CN642" s="391"/>
      <c r="CO642" s="391"/>
      <c r="CP642" s="391"/>
      <c r="CR642" s="391"/>
      <c r="CS642" s="391"/>
      <c r="CX642" s="391"/>
      <c r="DA642" s="391"/>
      <c r="DB642" s="391"/>
      <c r="DC642" s="391"/>
      <c r="DD642" s="391"/>
      <c r="DE642" s="391"/>
      <c r="DF642" s="391"/>
      <c r="DG642" s="391"/>
      <c r="DH642" s="391"/>
      <c r="DI642" s="391"/>
      <c r="DJ642" s="391"/>
      <c r="DK642" s="391"/>
      <c r="DL642" s="391"/>
      <c r="DM642" s="391"/>
      <c r="DN642" s="391"/>
      <c r="DO642" s="391"/>
      <c r="DP642" s="391"/>
      <c r="DQ642" s="391"/>
      <c r="DR642" s="391"/>
      <c r="DS642" s="391"/>
      <c r="DT642" s="391"/>
      <c r="DU642" s="391"/>
      <c r="DV642" s="391"/>
      <c r="DW642" s="391"/>
      <c r="DX642" s="391"/>
      <c r="DY642" s="391"/>
      <c r="DZ642" s="391"/>
      <c r="EA642" s="391"/>
      <c r="EB642" s="391"/>
      <c r="EC642" s="391"/>
      <c r="ED642" s="391"/>
      <c r="EE642" s="391"/>
      <c r="EF642" s="391"/>
      <c r="EG642" s="391"/>
      <c r="EH642" s="391"/>
      <c r="EI642" s="391"/>
      <c r="EJ642" s="391"/>
      <c r="EK642" s="391"/>
      <c r="EL642" s="391"/>
      <c r="EM642" s="391"/>
      <c r="EN642" s="391"/>
      <c r="EO642" s="391"/>
      <c r="EP642" s="391"/>
      <c r="EQ642" s="391"/>
      <c r="ER642" s="391"/>
      <c r="ES642" s="391"/>
      <c r="ET642" s="391"/>
      <c r="EU642" s="391"/>
      <c r="EV642" s="391"/>
      <c r="EW642" s="391"/>
    </row>
    <row r="643" spans="1:153" s="400" customFormat="1" ht="15" customHeight="1">
      <c r="A643" s="391"/>
      <c r="E643" s="454"/>
      <c r="F643" s="454"/>
      <c r="G643" s="454"/>
      <c r="H643" s="454"/>
      <c r="I643" s="454"/>
      <c r="J643" s="404"/>
      <c r="K643" s="454"/>
      <c r="L643" s="454"/>
      <c r="M643" s="391"/>
      <c r="N643" s="391"/>
      <c r="O643" s="391"/>
      <c r="P643" s="391"/>
      <c r="Q643" s="391"/>
      <c r="R643" s="391"/>
      <c r="S643" s="391"/>
      <c r="T643" s="391"/>
      <c r="U643" s="391"/>
      <c r="V643" s="391"/>
      <c r="W643" s="391"/>
      <c r="X643" s="391"/>
      <c r="Y643" s="391"/>
      <c r="Z643" s="391"/>
      <c r="AA643" s="391"/>
      <c r="AB643" s="391"/>
      <c r="AC643" s="391"/>
      <c r="AD643" s="391"/>
      <c r="AE643" s="391"/>
      <c r="AF643" s="391"/>
      <c r="AG643" s="391"/>
      <c r="AH643" s="391"/>
      <c r="AI643" s="391"/>
      <c r="AJ643" s="391"/>
      <c r="AK643" s="391"/>
      <c r="AL643" s="391"/>
      <c r="AM643" s="391"/>
      <c r="AN643" s="391"/>
      <c r="AO643" s="391"/>
      <c r="AP643" s="391"/>
      <c r="AQ643" s="391"/>
      <c r="AR643" s="391"/>
      <c r="AS643" s="454"/>
      <c r="AT643" s="391"/>
      <c r="AU643" s="391"/>
      <c r="AV643" s="391"/>
      <c r="AW643" s="391"/>
      <c r="AX643" s="649"/>
      <c r="AY643" s="593"/>
      <c r="AZ643" s="391"/>
      <c r="BA643" s="391"/>
      <c r="BB643" s="651"/>
      <c r="BC643" s="651"/>
      <c r="BD643" s="402"/>
      <c r="BE643" s="402"/>
      <c r="BF643" s="402"/>
      <c r="BH643" s="594"/>
      <c r="BI643" s="594"/>
      <c r="BJ643" s="595"/>
      <c r="BK643" s="391"/>
      <c r="BL643" s="391"/>
      <c r="BM643" s="391"/>
      <c r="BN643" s="391"/>
      <c r="BO643" s="391"/>
      <c r="BP643" s="391"/>
      <c r="BQ643" s="391"/>
      <c r="BR643" s="391"/>
      <c r="BS643" s="391"/>
      <c r="BT643" s="391"/>
      <c r="BU643" s="391"/>
      <c r="BV643" s="391"/>
      <c r="BW643" s="391"/>
      <c r="BX643" s="391"/>
      <c r="BY643" s="391"/>
      <c r="BZ643" s="391"/>
      <c r="CA643" s="391"/>
      <c r="CB643" s="391"/>
      <c r="CC643" s="391"/>
      <c r="CD643" s="391"/>
      <c r="CE643" s="391"/>
      <c r="CF643" s="391"/>
      <c r="CG643" s="391"/>
      <c r="CH643" s="391"/>
      <c r="CI643" s="391"/>
      <c r="CJ643" s="391"/>
      <c r="CK643" s="391"/>
      <c r="CM643" s="391"/>
      <c r="CN643" s="391"/>
      <c r="CO643" s="391"/>
      <c r="CP643" s="391"/>
      <c r="CR643" s="391"/>
      <c r="CS643" s="391"/>
      <c r="CX643" s="391"/>
      <c r="DA643" s="391"/>
      <c r="DB643" s="391"/>
      <c r="DC643" s="391"/>
      <c r="DD643" s="391"/>
      <c r="DE643" s="391"/>
      <c r="DF643" s="391"/>
      <c r="DG643" s="391"/>
      <c r="DH643" s="391"/>
      <c r="DI643" s="391"/>
      <c r="DJ643" s="391"/>
      <c r="DK643" s="391"/>
      <c r="DL643" s="391"/>
      <c r="DM643" s="391"/>
      <c r="DN643" s="391"/>
      <c r="DO643" s="391"/>
      <c r="DP643" s="391"/>
      <c r="DQ643" s="391"/>
      <c r="DR643" s="391"/>
      <c r="DS643" s="391"/>
      <c r="DT643" s="391"/>
      <c r="DU643" s="391"/>
      <c r="DV643" s="391"/>
      <c r="DW643" s="391"/>
      <c r="DX643" s="391"/>
      <c r="DY643" s="391"/>
      <c r="DZ643" s="391"/>
      <c r="EA643" s="391"/>
      <c r="EB643" s="391"/>
      <c r="EC643" s="391"/>
      <c r="ED643" s="391"/>
      <c r="EE643" s="391"/>
      <c r="EF643" s="391"/>
      <c r="EG643" s="391"/>
      <c r="EH643" s="391"/>
      <c r="EI643" s="391"/>
      <c r="EJ643" s="391"/>
      <c r="EK643" s="391"/>
      <c r="EL643" s="391"/>
      <c r="EM643" s="391"/>
      <c r="EN643" s="391"/>
      <c r="EO643" s="391"/>
      <c r="EP643" s="391"/>
      <c r="EQ643" s="391"/>
      <c r="ER643" s="391"/>
      <c r="ES643" s="391"/>
      <c r="ET643" s="391"/>
      <c r="EU643" s="391"/>
      <c r="EV643" s="391"/>
      <c r="EW643" s="391"/>
    </row>
    <row r="644" spans="1:153" s="400" customFormat="1" ht="15" customHeight="1">
      <c r="A644" s="391"/>
      <c r="E644" s="454"/>
      <c r="F644" s="454"/>
      <c r="G644" s="454"/>
      <c r="H644" s="454"/>
      <c r="I644" s="454"/>
      <c r="J644" s="404"/>
      <c r="K644" s="454"/>
      <c r="L644" s="454"/>
      <c r="M644" s="391"/>
      <c r="N644" s="391"/>
      <c r="O644" s="391"/>
      <c r="P644" s="391"/>
      <c r="Q644" s="391"/>
      <c r="R644" s="391"/>
      <c r="S644" s="391"/>
      <c r="T644" s="391"/>
      <c r="U644" s="391"/>
      <c r="V644" s="391"/>
      <c r="W644" s="391"/>
      <c r="X644" s="391"/>
      <c r="Y644" s="391"/>
      <c r="Z644" s="391"/>
      <c r="AA644" s="391"/>
      <c r="AB644" s="391"/>
      <c r="AC644" s="391"/>
      <c r="AD644" s="391"/>
      <c r="AE644" s="391"/>
      <c r="AF644" s="391"/>
      <c r="AG644" s="391"/>
      <c r="AH644" s="391"/>
      <c r="AI644" s="391"/>
      <c r="AJ644" s="391"/>
      <c r="AK644" s="391"/>
      <c r="AL644" s="391"/>
      <c r="AM644" s="391"/>
      <c r="AN644" s="391"/>
      <c r="AO644" s="391"/>
      <c r="AP644" s="391"/>
      <c r="AQ644" s="391"/>
      <c r="AR644" s="391"/>
      <c r="AS644" s="454"/>
      <c r="AT644" s="391"/>
      <c r="AU644" s="391"/>
      <c r="AV644" s="391"/>
      <c r="AW644" s="391"/>
      <c r="AX644" s="649"/>
      <c r="AY644" s="593"/>
      <c r="AZ644" s="391"/>
      <c r="BA644" s="391"/>
      <c r="BB644" s="651"/>
      <c r="BC644" s="651"/>
      <c r="BD644" s="402"/>
      <c r="BE644" s="402"/>
      <c r="BF644" s="402"/>
      <c r="BH644" s="594"/>
      <c r="BI644" s="594"/>
      <c r="BJ644" s="595"/>
      <c r="BK644" s="391"/>
      <c r="BL644" s="391"/>
      <c r="BM644" s="391"/>
      <c r="BN644" s="391"/>
      <c r="BO644" s="391"/>
      <c r="BP644" s="391"/>
      <c r="BQ644" s="391"/>
      <c r="BR644" s="391"/>
      <c r="BS644" s="391"/>
      <c r="BT644" s="391"/>
      <c r="BU644" s="391"/>
      <c r="BV644" s="391"/>
      <c r="BW644" s="391"/>
      <c r="BX644" s="391"/>
      <c r="BY644" s="391"/>
      <c r="BZ644" s="391"/>
      <c r="CA644" s="391"/>
      <c r="CB644" s="391"/>
      <c r="CC644" s="391"/>
      <c r="CD644" s="391"/>
      <c r="CE644" s="391"/>
      <c r="CF644" s="391"/>
      <c r="CG644" s="391"/>
      <c r="CH644" s="391"/>
      <c r="CI644" s="391"/>
      <c r="CJ644" s="391"/>
      <c r="CK644" s="391"/>
      <c r="CM644" s="391"/>
      <c r="CN644" s="391"/>
      <c r="CO644" s="391"/>
      <c r="CP644" s="391"/>
      <c r="CR644" s="391"/>
      <c r="CS644" s="391"/>
      <c r="CX644" s="391"/>
      <c r="DA644" s="391"/>
      <c r="DB644" s="391"/>
      <c r="DC644" s="391"/>
      <c r="DD644" s="391"/>
      <c r="DE644" s="391"/>
      <c r="DF644" s="391"/>
      <c r="DG644" s="391"/>
      <c r="DH644" s="391"/>
      <c r="DI644" s="391"/>
      <c r="DJ644" s="391"/>
      <c r="DK644" s="391"/>
      <c r="DL644" s="391"/>
      <c r="DM644" s="391"/>
      <c r="DN644" s="391"/>
      <c r="DO644" s="391"/>
      <c r="DP644" s="391"/>
      <c r="DQ644" s="391"/>
      <c r="DR644" s="391"/>
      <c r="DS644" s="391"/>
      <c r="DT644" s="391"/>
      <c r="DU644" s="391"/>
      <c r="DV644" s="391"/>
      <c r="DW644" s="391"/>
      <c r="DX644" s="391"/>
      <c r="DY644" s="391"/>
      <c r="DZ644" s="391"/>
      <c r="EA644" s="391"/>
      <c r="EB644" s="391"/>
      <c r="EC644" s="391"/>
      <c r="ED644" s="391"/>
      <c r="EE644" s="391"/>
      <c r="EF644" s="391"/>
      <c r="EG644" s="391"/>
      <c r="EH644" s="391"/>
      <c r="EI644" s="391"/>
      <c r="EJ644" s="391"/>
      <c r="EK644" s="391"/>
      <c r="EL644" s="391"/>
      <c r="EM644" s="391"/>
      <c r="EN644" s="391"/>
      <c r="EO644" s="391"/>
      <c r="EP644" s="391"/>
      <c r="EQ644" s="391"/>
      <c r="ER644" s="391"/>
      <c r="ES644" s="391"/>
      <c r="ET644" s="391"/>
      <c r="EU644" s="391"/>
      <c r="EV644" s="391"/>
      <c r="EW644" s="391"/>
    </row>
    <row r="645" spans="1:153" s="400" customFormat="1">
      <c r="A645" s="391"/>
      <c r="E645" s="454"/>
      <c r="F645" s="454"/>
      <c r="G645" s="454"/>
      <c r="H645" s="454"/>
      <c r="I645" s="454"/>
      <c r="J645" s="404"/>
      <c r="K645" s="454"/>
      <c r="L645" s="454"/>
      <c r="M645" s="391"/>
      <c r="N645" s="391"/>
      <c r="O645" s="391"/>
      <c r="P645" s="391"/>
      <c r="Q645" s="391"/>
      <c r="R645" s="391"/>
      <c r="S645" s="391"/>
      <c r="T645" s="391"/>
      <c r="U645" s="391"/>
      <c r="V645" s="391"/>
      <c r="W645" s="391"/>
      <c r="X645" s="391"/>
      <c r="Y645" s="391"/>
      <c r="Z645" s="391"/>
      <c r="AA645" s="391"/>
      <c r="AB645" s="391"/>
      <c r="AC645" s="391"/>
      <c r="AD645" s="391"/>
      <c r="AE645" s="391"/>
      <c r="AF645" s="391"/>
      <c r="AG645" s="391"/>
      <c r="AH645" s="391"/>
      <c r="AI645" s="391"/>
      <c r="AJ645" s="391"/>
      <c r="AK645" s="391"/>
      <c r="AL645" s="391"/>
      <c r="AM645" s="391"/>
      <c r="AN645" s="391"/>
      <c r="AO645" s="391"/>
      <c r="AP645" s="391"/>
      <c r="AQ645" s="391"/>
      <c r="AR645" s="391"/>
      <c r="AS645" s="454"/>
      <c r="AT645" s="391"/>
      <c r="AU645" s="391"/>
      <c r="AV645" s="391"/>
      <c r="AW645" s="391"/>
      <c r="AX645" s="649"/>
      <c r="AY645" s="593"/>
      <c r="AZ645" s="391"/>
      <c r="BA645" s="391"/>
      <c r="BB645" s="651"/>
      <c r="BC645" s="651"/>
      <c r="BD645" s="402"/>
      <c r="BE645" s="402"/>
      <c r="BF645" s="402"/>
      <c r="BH645" s="594"/>
      <c r="BI645" s="594"/>
      <c r="BJ645" s="595"/>
      <c r="BK645" s="391"/>
      <c r="BL645" s="391"/>
      <c r="BM645" s="391"/>
      <c r="BN645" s="391"/>
      <c r="BO645" s="391"/>
      <c r="BP645" s="391"/>
      <c r="BQ645" s="391"/>
      <c r="BR645" s="391"/>
      <c r="BS645" s="391"/>
      <c r="BT645" s="391"/>
      <c r="BU645" s="391"/>
      <c r="BV645" s="391"/>
      <c r="BW645" s="391"/>
      <c r="BX645" s="391"/>
      <c r="BY645" s="391"/>
      <c r="BZ645" s="391"/>
      <c r="CA645" s="391"/>
      <c r="CB645" s="391"/>
      <c r="CC645" s="391"/>
      <c r="CD645" s="391"/>
      <c r="CE645" s="391"/>
      <c r="CF645" s="391"/>
      <c r="CG645" s="391"/>
      <c r="CH645" s="391"/>
      <c r="CI645" s="391"/>
      <c r="CJ645" s="391"/>
      <c r="CK645" s="391"/>
      <c r="CM645" s="391"/>
      <c r="CN645" s="391"/>
      <c r="CO645" s="391"/>
      <c r="CP645" s="391"/>
      <c r="CR645" s="391"/>
      <c r="CS645" s="391"/>
      <c r="CX645" s="391"/>
      <c r="DA645" s="391"/>
      <c r="DB645" s="391"/>
      <c r="DC645" s="391"/>
      <c r="DD645" s="391"/>
      <c r="DE645" s="391"/>
      <c r="DF645" s="391"/>
      <c r="DG645" s="391"/>
      <c r="DH645" s="391"/>
      <c r="DI645" s="391"/>
      <c r="DJ645" s="391"/>
      <c r="DK645" s="391"/>
      <c r="DL645" s="391"/>
      <c r="DM645" s="391"/>
      <c r="DN645" s="391"/>
      <c r="DO645" s="391"/>
      <c r="DP645" s="391"/>
      <c r="DQ645" s="391"/>
      <c r="DR645" s="391"/>
      <c r="DS645" s="391"/>
      <c r="DT645" s="391"/>
      <c r="DU645" s="391"/>
      <c r="DV645" s="391"/>
      <c r="DW645" s="391"/>
      <c r="DX645" s="391"/>
      <c r="DY645" s="391"/>
      <c r="DZ645" s="391"/>
      <c r="EA645" s="391"/>
      <c r="EB645" s="391"/>
      <c r="EC645" s="391"/>
      <c r="ED645" s="391"/>
      <c r="EE645" s="391"/>
      <c r="EF645" s="391"/>
      <c r="EG645" s="391"/>
      <c r="EH645" s="391"/>
      <c r="EI645" s="391"/>
      <c r="EJ645" s="391"/>
      <c r="EK645" s="391"/>
      <c r="EL645" s="391"/>
      <c r="EM645" s="391"/>
      <c r="EN645" s="391"/>
      <c r="EO645" s="391"/>
      <c r="EP645" s="391"/>
      <c r="EQ645" s="391"/>
      <c r="ER645" s="391"/>
      <c r="ES645" s="391"/>
      <c r="ET645" s="391"/>
      <c r="EU645" s="391"/>
      <c r="EV645" s="391"/>
      <c r="EW645" s="391"/>
    </row>
    <row r="646" spans="1:153" s="400" customFormat="1">
      <c r="A646" s="391"/>
      <c r="E646" s="454"/>
      <c r="F646" s="454"/>
      <c r="G646" s="454"/>
      <c r="H646" s="454"/>
      <c r="I646" s="454"/>
      <c r="J646" s="404"/>
      <c r="K646" s="454"/>
      <c r="L646" s="454"/>
      <c r="M646" s="391"/>
      <c r="N646" s="391"/>
      <c r="O646" s="391"/>
      <c r="P646" s="391"/>
      <c r="Q646" s="391"/>
      <c r="R646" s="391"/>
      <c r="S646" s="391"/>
      <c r="T646" s="391"/>
      <c r="U646" s="391"/>
      <c r="V646" s="391"/>
      <c r="W646" s="391"/>
      <c r="X646" s="391"/>
      <c r="Y646" s="391"/>
      <c r="Z646" s="391"/>
      <c r="AA646" s="391"/>
      <c r="AB646" s="391"/>
      <c r="AC646" s="391"/>
      <c r="AD646" s="391"/>
      <c r="AE646" s="391"/>
      <c r="AF646" s="391"/>
      <c r="AG646" s="391"/>
      <c r="AH646" s="391"/>
      <c r="AI646" s="391"/>
      <c r="AJ646" s="391"/>
      <c r="AK646" s="391"/>
      <c r="AL646" s="391"/>
      <c r="AM646" s="391"/>
      <c r="AN646" s="391"/>
      <c r="AO646" s="391"/>
      <c r="AP646" s="391"/>
      <c r="AQ646" s="391"/>
      <c r="AR646" s="391"/>
      <c r="AS646" s="454"/>
      <c r="AT646" s="391"/>
      <c r="AU646" s="391"/>
      <c r="AV646" s="391"/>
      <c r="AW646" s="391"/>
      <c r="AX646" s="649"/>
      <c r="AY646" s="593"/>
      <c r="AZ646" s="391"/>
      <c r="BA646" s="391"/>
      <c r="BB646" s="651"/>
      <c r="BC646" s="651"/>
      <c r="BD646" s="402"/>
      <c r="BE646" s="402"/>
      <c r="BF646" s="402"/>
      <c r="BH646" s="594"/>
      <c r="BI646" s="594"/>
      <c r="BJ646" s="595"/>
      <c r="BK646" s="391"/>
      <c r="BL646" s="391"/>
      <c r="BM646" s="391"/>
      <c r="BN646" s="391"/>
      <c r="BO646" s="391"/>
      <c r="BP646" s="391"/>
      <c r="BQ646" s="391"/>
      <c r="BR646" s="391"/>
      <c r="BS646" s="391"/>
      <c r="BT646" s="391"/>
      <c r="BU646" s="391"/>
      <c r="BV646" s="391"/>
      <c r="BW646" s="391"/>
      <c r="BX646" s="391"/>
      <c r="BY646" s="391"/>
      <c r="BZ646" s="391"/>
      <c r="CA646" s="391"/>
      <c r="CB646" s="391"/>
      <c r="CC646" s="391"/>
      <c r="CD646" s="391"/>
      <c r="CE646" s="391"/>
      <c r="CF646" s="391"/>
      <c r="CG646" s="391"/>
      <c r="CH646" s="391"/>
      <c r="CI646" s="391"/>
      <c r="CJ646" s="391"/>
      <c r="CK646" s="391"/>
      <c r="CM646" s="391"/>
      <c r="CN646" s="391"/>
      <c r="CO646" s="391"/>
      <c r="CP646" s="391"/>
      <c r="CR646" s="391"/>
      <c r="CS646" s="391"/>
      <c r="CX646" s="391"/>
      <c r="DA646" s="391"/>
      <c r="DB646" s="391"/>
      <c r="DC646" s="391"/>
      <c r="DD646" s="391"/>
      <c r="DE646" s="391"/>
      <c r="DF646" s="391"/>
      <c r="DG646" s="391"/>
      <c r="DH646" s="391"/>
      <c r="DI646" s="391"/>
      <c r="DJ646" s="391"/>
      <c r="DK646" s="391"/>
      <c r="DL646" s="391"/>
      <c r="DM646" s="391"/>
      <c r="DN646" s="391"/>
      <c r="DO646" s="391"/>
      <c r="DP646" s="391"/>
      <c r="DQ646" s="391"/>
      <c r="DR646" s="391"/>
      <c r="DS646" s="391"/>
      <c r="DT646" s="391"/>
      <c r="DU646" s="391"/>
      <c r="DV646" s="391"/>
      <c r="DW646" s="391"/>
      <c r="DX646" s="391"/>
      <c r="DY646" s="391"/>
      <c r="DZ646" s="391"/>
      <c r="EA646" s="391"/>
      <c r="EB646" s="391"/>
      <c r="EC646" s="391"/>
      <c r="ED646" s="391"/>
      <c r="EE646" s="391"/>
      <c r="EF646" s="391"/>
      <c r="EG646" s="391"/>
      <c r="EH646" s="391"/>
      <c r="EI646" s="391"/>
      <c r="EJ646" s="391"/>
      <c r="EK646" s="391"/>
      <c r="EL646" s="391"/>
      <c r="EM646" s="391"/>
      <c r="EN646" s="391"/>
      <c r="EO646" s="391"/>
      <c r="EP646" s="391"/>
      <c r="EQ646" s="391"/>
      <c r="ER646" s="391"/>
      <c r="ES646" s="391"/>
      <c r="ET646" s="391"/>
      <c r="EU646" s="391"/>
      <c r="EV646" s="391"/>
      <c r="EW646" s="391"/>
    </row>
    <row r="647" spans="1:153" s="400" customFormat="1">
      <c r="A647" s="391"/>
      <c r="E647" s="454"/>
      <c r="F647" s="454"/>
      <c r="G647" s="454"/>
      <c r="H647" s="454"/>
      <c r="I647" s="454"/>
      <c r="J647" s="404"/>
      <c r="K647" s="454"/>
      <c r="L647" s="454"/>
      <c r="M647" s="391"/>
      <c r="N647" s="391"/>
      <c r="O647" s="391"/>
      <c r="P647" s="391"/>
      <c r="Q647" s="391"/>
      <c r="R647" s="391"/>
      <c r="S647" s="391"/>
      <c r="T647" s="391"/>
      <c r="U647" s="391"/>
      <c r="V647" s="391"/>
      <c r="W647" s="391"/>
      <c r="X647" s="391"/>
      <c r="Y647" s="391"/>
      <c r="Z647" s="391"/>
      <c r="AA647" s="391"/>
      <c r="AB647" s="391"/>
      <c r="AC647" s="391"/>
      <c r="AD647" s="391"/>
      <c r="AE647" s="391"/>
      <c r="AF647" s="391"/>
      <c r="AG647" s="391"/>
      <c r="AH647" s="391"/>
      <c r="AI647" s="391"/>
      <c r="AJ647" s="391"/>
      <c r="AK647" s="391"/>
      <c r="AL647" s="391"/>
      <c r="AM647" s="391"/>
      <c r="AN647" s="391"/>
      <c r="AO647" s="391"/>
      <c r="AP647" s="391"/>
      <c r="AQ647" s="391"/>
      <c r="AR647" s="391"/>
      <c r="AS647" s="454"/>
      <c r="AT647" s="391"/>
      <c r="AU647" s="391"/>
      <c r="AV647" s="391"/>
      <c r="AW647" s="391"/>
      <c r="AX647" s="649"/>
      <c r="AY647" s="593"/>
      <c r="AZ647" s="391"/>
      <c r="BA647" s="391"/>
      <c r="BB647" s="651"/>
      <c r="BC647" s="651"/>
      <c r="BD647" s="402"/>
      <c r="BE647" s="402"/>
      <c r="BF647" s="402"/>
      <c r="BH647" s="594"/>
      <c r="BI647" s="594"/>
      <c r="BJ647" s="595"/>
      <c r="BK647" s="391"/>
      <c r="BL647" s="391"/>
      <c r="BM647" s="391"/>
      <c r="BN647" s="391"/>
      <c r="BO647" s="391"/>
      <c r="BP647" s="391"/>
      <c r="BQ647" s="391"/>
      <c r="BR647" s="391"/>
      <c r="BS647" s="391"/>
      <c r="BT647" s="391"/>
      <c r="BU647" s="391"/>
      <c r="BV647" s="391"/>
      <c r="BW647" s="391"/>
      <c r="BX647" s="391"/>
      <c r="BY647" s="391"/>
      <c r="BZ647" s="391"/>
      <c r="CA647" s="391"/>
      <c r="CB647" s="391"/>
      <c r="CC647" s="391"/>
      <c r="CD647" s="391"/>
      <c r="CE647" s="391"/>
      <c r="CF647" s="391"/>
      <c r="CG647" s="391"/>
      <c r="CH647" s="391"/>
      <c r="CI647" s="391"/>
      <c r="CJ647" s="391"/>
      <c r="CK647" s="391"/>
      <c r="CM647" s="391"/>
      <c r="CN647" s="391"/>
      <c r="CO647" s="391"/>
      <c r="CP647" s="391"/>
      <c r="CR647" s="391"/>
      <c r="CS647" s="391"/>
      <c r="CX647" s="391"/>
      <c r="DA647" s="391"/>
      <c r="DB647" s="391"/>
      <c r="DC647" s="391"/>
      <c r="DD647" s="391"/>
      <c r="DE647" s="391"/>
      <c r="DF647" s="391"/>
      <c r="DG647" s="391"/>
      <c r="DH647" s="391"/>
      <c r="DI647" s="391"/>
      <c r="DJ647" s="391"/>
      <c r="DK647" s="391"/>
      <c r="DL647" s="391"/>
      <c r="DM647" s="391"/>
      <c r="DN647" s="391"/>
      <c r="DO647" s="391"/>
      <c r="DP647" s="391"/>
      <c r="DQ647" s="391"/>
      <c r="DR647" s="391"/>
      <c r="DS647" s="391"/>
      <c r="DT647" s="391"/>
      <c r="DU647" s="391"/>
      <c r="DV647" s="391"/>
      <c r="DW647" s="391"/>
      <c r="DX647" s="391"/>
      <c r="DY647" s="391"/>
      <c r="DZ647" s="391"/>
      <c r="EA647" s="391"/>
      <c r="EB647" s="391"/>
      <c r="EC647" s="391"/>
      <c r="ED647" s="391"/>
      <c r="EE647" s="391"/>
      <c r="EF647" s="391"/>
      <c r="EG647" s="391"/>
      <c r="EH647" s="391"/>
      <c r="EI647" s="391"/>
      <c r="EJ647" s="391"/>
      <c r="EK647" s="391"/>
      <c r="EL647" s="391"/>
      <c r="EM647" s="391"/>
      <c r="EN647" s="391"/>
      <c r="EO647" s="391"/>
      <c r="EP647" s="391"/>
      <c r="EQ647" s="391"/>
      <c r="ER647" s="391"/>
      <c r="ES647" s="391"/>
      <c r="ET647" s="391"/>
      <c r="EU647" s="391"/>
      <c r="EV647" s="391"/>
      <c r="EW647" s="391"/>
    </row>
    <row r="648" spans="1:153" s="400" customFormat="1">
      <c r="A648" s="391"/>
      <c r="E648" s="454"/>
      <c r="F648" s="454"/>
      <c r="G648" s="454"/>
      <c r="H648" s="454"/>
      <c r="I648" s="454"/>
      <c r="J648" s="404"/>
      <c r="K648" s="454"/>
      <c r="L648" s="454"/>
      <c r="M648" s="391"/>
      <c r="N648" s="391"/>
      <c r="O648" s="391"/>
      <c r="P648" s="391"/>
      <c r="Q648" s="391"/>
      <c r="R648" s="391"/>
      <c r="S648" s="391"/>
      <c r="T648" s="391"/>
      <c r="U648" s="391"/>
      <c r="V648" s="391"/>
      <c r="W648" s="391"/>
      <c r="X648" s="391"/>
      <c r="Y648" s="391"/>
      <c r="Z648" s="391"/>
      <c r="AA648" s="391"/>
      <c r="AB648" s="391"/>
      <c r="AC648" s="391"/>
      <c r="AD648" s="391"/>
      <c r="AE648" s="391"/>
      <c r="AF648" s="391"/>
      <c r="AG648" s="391"/>
      <c r="AH648" s="391"/>
      <c r="AI648" s="391"/>
      <c r="AJ648" s="391"/>
      <c r="AK648" s="391"/>
      <c r="AL648" s="391"/>
      <c r="AM648" s="391"/>
      <c r="AN648" s="391"/>
      <c r="AO648" s="391"/>
      <c r="AP648" s="391"/>
      <c r="AQ648" s="391"/>
      <c r="AR648" s="391"/>
      <c r="AS648" s="454"/>
      <c r="AT648" s="391"/>
      <c r="AU648" s="391"/>
      <c r="AV648" s="391"/>
      <c r="AW648" s="391"/>
      <c r="AX648" s="649"/>
      <c r="AY648" s="593"/>
      <c r="AZ648" s="391"/>
      <c r="BA648" s="391"/>
      <c r="BB648" s="651"/>
      <c r="BC648" s="651"/>
      <c r="BD648" s="402"/>
      <c r="BE648" s="402"/>
      <c r="BF648" s="402"/>
      <c r="BH648" s="594"/>
      <c r="BI648" s="594"/>
      <c r="BJ648" s="595"/>
      <c r="BK648" s="391"/>
      <c r="BL648" s="391"/>
      <c r="BM648" s="391"/>
      <c r="BN648" s="391"/>
      <c r="BO648" s="391"/>
      <c r="BP648" s="391"/>
      <c r="BQ648" s="391"/>
      <c r="BR648" s="391"/>
      <c r="BS648" s="391"/>
      <c r="BT648" s="391"/>
      <c r="BU648" s="391"/>
      <c r="BV648" s="391"/>
      <c r="BW648" s="391"/>
      <c r="BX648" s="391"/>
      <c r="BY648" s="391"/>
      <c r="BZ648" s="391"/>
      <c r="CA648" s="391"/>
      <c r="CB648" s="391"/>
      <c r="CC648" s="391"/>
      <c r="CD648" s="391"/>
      <c r="CE648" s="391"/>
      <c r="CF648" s="391"/>
      <c r="CG648" s="391"/>
      <c r="CH648" s="391"/>
      <c r="CI648" s="391"/>
      <c r="CJ648" s="391"/>
      <c r="CK648" s="391"/>
      <c r="CM648" s="391"/>
      <c r="CN648" s="391"/>
      <c r="CO648" s="391"/>
      <c r="CP648" s="391"/>
      <c r="CR648" s="391"/>
      <c r="CS648" s="391"/>
      <c r="CX648" s="391"/>
      <c r="DA648" s="391"/>
      <c r="DB648" s="391"/>
      <c r="DC648" s="391"/>
      <c r="DD648" s="391"/>
      <c r="DE648" s="391"/>
      <c r="DF648" s="391"/>
      <c r="DG648" s="391"/>
      <c r="DH648" s="391"/>
      <c r="DI648" s="391"/>
      <c r="DJ648" s="391"/>
      <c r="DK648" s="391"/>
      <c r="DL648" s="391"/>
      <c r="DM648" s="391"/>
      <c r="DN648" s="391"/>
      <c r="DO648" s="391"/>
      <c r="DP648" s="391"/>
      <c r="DQ648" s="391"/>
      <c r="DR648" s="391"/>
      <c r="DS648" s="391"/>
      <c r="DT648" s="391"/>
      <c r="DU648" s="391"/>
      <c r="DV648" s="391"/>
      <c r="DW648" s="391"/>
      <c r="DX648" s="391"/>
      <c r="DY648" s="391"/>
      <c r="DZ648" s="391"/>
      <c r="EA648" s="391"/>
      <c r="EB648" s="391"/>
      <c r="EC648" s="391"/>
      <c r="ED648" s="391"/>
      <c r="EE648" s="391"/>
      <c r="EF648" s="391"/>
      <c r="EG648" s="391"/>
      <c r="EH648" s="391"/>
      <c r="EI648" s="391"/>
      <c r="EJ648" s="391"/>
      <c r="EK648" s="391"/>
      <c r="EL648" s="391"/>
      <c r="EM648" s="391"/>
      <c r="EN648" s="391"/>
      <c r="EO648" s="391"/>
      <c r="EP648" s="391"/>
      <c r="EQ648" s="391"/>
      <c r="ER648" s="391"/>
      <c r="ES648" s="391"/>
      <c r="ET648" s="391"/>
      <c r="EU648" s="391"/>
      <c r="EV648" s="391"/>
      <c r="EW648" s="391"/>
    </row>
    <row r="649" spans="1:153" s="400" customFormat="1">
      <c r="A649" s="391"/>
      <c r="E649" s="454"/>
      <c r="F649" s="454"/>
      <c r="G649" s="454"/>
      <c r="H649" s="454"/>
      <c r="I649" s="454"/>
      <c r="J649" s="404"/>
      <c r="K649" s="454"/>
      <c r="L649" s="454"/>
      <c r="M649" s="391"/>
      <c r="N649" s="391"/>
      <c r="O649" s="391"/>
      <c r="P649" s="391"/>
      <c r="Q649" s="391"/>
      <c r="R649" s="391"/>
      <c r="S649" s="391"/>
      <c r="T649" s="391"/>
      <c r="U649" s="391"/>
      <c r="V649" s="391"/>
      <c r="W649" s="391"/>
      <c r="X649" s="391"/>
      <c r="Y649" s="391"/>
      <c r="Z649" s="391"/>
      <c r="AA649" s="391"/>
      <c r="AB649" s="391"/>
      <c r="AC649" s="391"/>
      <c r="AD649" s="391"/>
      <c r="AE649" s="391"/>
      <c r="AF649" s="391"/>
      <c r="AG649" s="391"/>
      <c r="AH649" s="391"/>
      <c r="AI649" s="391"/>
      <c r="AJ649" s="391"/>
      <c r="AK649" s="391"/>
      <c r="AL649" s="391"/>
      <c r="AM649" s="391"/>
      <c r="AN649" s="391"/>
      <c r="AO649" s="391"/>
      <c r="AP649" s="391"/>
      <c r="AQ649" s="391"/>
      <c r="AR649" s="391"/>
      <c r="AS649" s="454"/>
      <c r="AT649" s="391"/>
      <c r="AU649" s="391"/>
      <c r="AV649" s="391"/>
      <c r="AW649" s="391"/>
      <c r="AX649" s="649"/>
      <c r="AY649" s="593"/>
      <c r="AZ649" s="391"/>
      <c r="BA649" s="391"/>
      <c r="BB649" s="651"/>
      <c r="BC649" s="651"/>
      <c r="BD649" s="402"/>
      <c r="BE649" s="402"/>
      <c r="BF649" s="402"/>
      <c r="BH649" s="594"/>
      <c r="BI649" s="594"/>
      <c r="BJ649" s="595"/>
      <c r="BK649" s="391"/>
      <c r="BL649" s="391"/>
      <c r="BM649" s="391"/>
      <c r="BN649" s="391"/>
      <c r="BO649" s="391"/>
      <c r="BP649" s="391"/>
      <c r="BQ649" s="391"/>
      <c r="BR649" s="391"/>
      <c r="BS649" s="391"/>
      <c r="BT649" s="391"/>
      <c r="BU649" s="391"/>
      <c r="BV649" s="391"/>
      <c r="BW649" s="391"/>
      <c r="BX649" s="391"/>
      <c r="BY649" s="391"/>
      <c r="BZ649" s="391"/>
      <c r="CA649" s="391"/>
      <c r="CB649" s="391"/>
      <c r="CC649" s="391"/>
      <c r="CD649" s="391"/>
      <c r="CE649" s="391"/>
      <c r="CF649" s="391"/>
      <c r="CG649" s="391"/>
      <c r="CH649" s="391"/>
      <c r="CI649" s="391"/>
      <c r="CJ649" s="391"/>
      <c r="CK649" s="391"/>
      <c r="CM649" s="391"/>
      <c r="CN649" s="391"/>
      <c r="CO649" s="391"/>
      <c r="CP649" s="391"/>
      <c r="CR649" s="391"/>
      <c r="CS649" s="391"/>
      <c r="CX649" s="391"/>
      <c r="DA649" s="391"/>
      <c r="DB649" s="391"/>
      <c r="DC649" s="391"/>
      <c r="DD649" s="391"/>
      <c r="DE649" s="391"/>
      <c r="DF649" s="391"/>
      <c r="DG649" s="391"/>
      <c r="DH649" s="391"/>
      <c r="DI649" s="391"/>
      <c r="DJ649" s="391"/>
      <c r="DK649" s="391"/>
      <c r="DL649" s="391"/>
      <c r="DM649" s="391"/>
      <c r="DN649" s="391"/>
      <c r="DO649" s="391"/>
      <c r="DP649" s="391"/>
      <c r="DQ649" s="391"/>
      <c r="DR649" s="391"/>
      <c r="DS649" s="391"/>
      <c r="DT649" s="391"/>
      <c r="DU649" s="391"/>
      <c r="DV649" s="391"/>
      <c r="DW649" s="391"/>
      <c r="DX649" s="391"/>
      <c r="DY649" s="391"/>
      <c r="DZ649" s="391"/>
      <c r="EA649" s="391"/>
      <c r="EB649" s="391"/>
      <c r="EC649" s="391"/>
      <c r="ED649" s="391"/>
      <c r="EE649" s="391"/>
      <c r="EF649" s="391"/>
      <c r="EG649" s="391"/>
      <c r="EH649" s="391"/>
      <c r="EI649" s="391"/>
      <c r="EJ649" s="391"/>
      <c r="EK649" s="391"/>
      <c r="EL649" s="391"/>
      <c r="EM649" s="391"/>
      <c r="EN649" s="391"/>
      <c r="EO649" s="391"/>
      <c r="EP649" s="391"/>
      <c r="EQ649" s="391"/>
      <c r="ER649" s="391"/>
      <c r="ES649" s="391"/>
      <c r="ET649" s="391"/>
      <c r="EU649" s="391"/>
      <c r="EV649" s="391"/>
      <c r="EW649" s="391"/>
    </row>
    <row r="650" spans="1:153" s="400" customFormat="1">
      <c r="A650" s="391"/>
      <c r="E650" s="454"/>
      <c r="F650" s="454"/>
      <c r="G650" s="454"/>
      <c r="H650" s="454"/>
      <c r="I650" s="454"/>
      <c r="J650" s="404"/>
      <c r="K650" s="454"/>
      <c r="L650" s="454"/>
      <c r="M650" s="391"/>
      <c r="N650" s="391"/>
      <c r="O650" s="391"/>
      <c r="P650" s="391"/>
      <c r="Q650" s="391"/>
      <c r="R650" s="391"/>
      <c r="S650" s="391"/>
      <c r="T650" s="391"/>
      <c r="U650" s="391"/>
      <c r="V650" s="391"/>
      <c r="W650" s="391"/>
      <c r="X650" s="391"/>
      <c r="Y650" s="391"/>
      <c r="Z650" s="391"/>
      <c r="AA650" s="391"/>
      <c r="AB650" s="391"/>
      <c r="AC650" s="391"/>
      <c r="AD650" s="391"/>
      <c r="AE650" s="391"/>
      <c r="AF650" s="391"/>
      <c r="AG650" s="391"/>
      <c r="AH650" s="391"/>
      <c r="AI650" s="391"/>
      <c r="AJ650" s="391"/>
      <c r="AK650" s="391"/>
      <c r="AL650" s="391"/>
      <c r="AM650" s="391"/>
      <c r="AN650" s="391"/>
      <c r="AO650" s="391"/>
      <c r="AP650" s="391"/>
      <c r="AQ650" s="391"/>
      <c r="AR650" s="391"/>
      <c r="AS650" s="454"/>
      <c r="AT650" s="391"/>
      <c r="AU650" s="391"/>
      <c r="AV650" s="391"/>
      <c r="AW650" s="391"/>
      <c r="AX650" s="649"/>
      <c r="AY650" s="593"/>
      <c r="AZ650" s="391"/>
      <c r="BA650" s="391"/>
      <c r="BB650" s="651"/>
      <c r="BC650" s="651"/>
      <c r="BD650" s="402"/>
      <c r="BE650" s="402"/>
      <c r="BF650" s="402"/>
      <c r="BH650" s="594"/>
      <c r="BI650" s="594"/>
      <c r="BJ650" s="595"/>
      <c r="BK650" s="391"/>
      <c r="BL650" s="391"/>
      <c r="BM650" s="391"/>
      <c r="BN650" s="391"/>
      <c r="BO650" s="391"/>
      <c r="BP650" s="391"/>
      <c r="BQ650" s="391"/>
      <c r="BR650" s="391"/>
      <c r="BS650" s="391"/>
      <c r="BT650" s="391"/>
      <c r="BU650" s="391"/>
      <c r="BV650" s="391"/>
      <c r="BW650" s="391"/>
      <c r="BX650" s="391"/>
      <c r="BY650" s="391"/>
      <c r="BZ650" s="391"/>
      <c r="CA650" s="391"/>
      <c r="CB650" s="391"/>
      <c r="CC650" s="391"/>
      <c r="CD650" s="391"/>
      <c r="CE650" s="391"/>
      <c r="CF650" s="391"/>
      <c r="CG650" s="391"/>
      <c r="CH650" s="391"/>
      <c r="CI650" s="391"/>
      <c r="CJ650" s="391"/>
      <c r="CK650" s="391"/>
      <c r="CM650" s="391"/>
      <c r="CN650" s="391"/>
      <c r="CO650" s="391"/>
      <c r="CP650" s="391"/>
      <c r="CR650" s="391"/>
      <c r="CS650" s="391"/>
      <c r="CX650" s="391"/>
      <c r="DA650" s="391"/>
      <c r="DB650" s="391"/>
      <c r="DC650" s="391"/>
      <c r="DD650" s="391"/>
      <c r="DE650" s="391"/>
      <c r="DF650" s="391"/>
      <c r="DG650" s="391"/>
      <c r="DH650" s="391"/>
      <c r="DI650" s="391"/>
      <c r="DJ650" s="391"/>
      <c r="DK650" s="391"/>
      <c r="DL650" s="391"/>
      <c r="DM650" s="391"/>
      <c r="DN650" s="391"/>
      <c r="DO650" s="391"/>
      <c r="DP650" s="391"/>
      <c r="DQ650" s="391"/>
      <c r="DR650" s="391"/>
      <c r="DS650" s="391"/>
      <c r="DT650" s="391"/>
      <c r="DU650" s="391"/>
      <c r="DV650" s="391"/>
      <c r="DW650" s="391"/>
      <c r="DX650" s="391"/>
      <c r="DY650" s="391"/>
      <c r="DZ650" s="391"/>
      <c r="EA650" s="391"/>
      <c r="EB650" s="391"/>
      <c r="EC650" s="391"/>
      <c r="ED650" s="391"/>
      <c r="EE650" s="391"/>
      <c r="EF650" s="391"/>
      <c r="EG650" s="391"/>
      <c r="EH650" s="391"/>
      <c r="EI650" s="391"/>
      <c r="EJ650" s="391"/>
      <c r="EK650" s="391"/>
      <c r="EL650" s="391"/>
      <c r="EM650" s="391"/>
      <c r="EN650" s="391"/>
      <c r="EO650" s="391"/>
      <c r="EP650" s="391"/>
      <c r="EQ650" s="391"/>
      <c r="ER650" s="391"/>
      <c r="ES650" s="391"/>
      <c r="ET650" s="391"/>
      <c r="EU650" s="391"/>
      <c r="EV650" s="391"/>
      <c r="EW650" s="391"/>
    </row>
    <row r="651" spans="1:153" s="400" customFormat="1">
      <c r="A651" s="391"/>
      <c r="E651" s="454"/>
      <c r="F651" s="454"/>
      <c r="G651" s="454"/>
      <c r="H651" s="454"/>
      <c r="I651" s="454"/>
      <c r="J651" s="404"/>
      <c r="K651" s="454"/>
      <c r="L651" s="454"/>
      <c r="M651" s="391"/>
      <c r="N651" s="391"/>
      <c r="O651" s="391"/>
      <c r="P651" s="391"/>
      <c r="Q651" s="391"/>
      <c r="R651" s="391"/>
      <c r="S651" s="391"/>
      <c r="T651" s="391"/>
      <c r="U651" s="391"/>
      <c r="V651" s="391"/>
      <c r="W651" s="391"/>
      <c r="X651" s="391"/>
      <c r="Y651" s="391"/>
      <c r="Z651" s="391"/>
      <c r="AA651" s="391"/>
      <c r="AB651" s="391"/>
      <c r="AC651" s="391"/>
      <c r="AD651" s="391"/>
      <c r="AE651" s="391"/>
      <c r="AF651" s="391"/>
      <c r="AG651" s="391"/>
      <c r="AH651" s="391"/>
      <c r="AI651" s="391"/>
      <c r="AJ651" s="391"/>
      <c r="AK651" s="391"/>
      <c r="AL651" s="391"/>
      <c r="AM651" s="391"/>
      <c r="AN651" s="391"/>
      <c r="AO651" s="391"/>
      <c r="AP651" s="391"/>
      <c r="AQ651" s="391"/>
      <c r="AR651" s="391"/>
      <c r="AS651" s="454"/>
      <c r="AT651" s="391"/>
      <c r="AU651" s="391"/>
      <c r="AV651" s="391"/>
      <c r="AW651" s="391"/>
      <c r="AX651" s="649"/>
      <c r="AY651" s="593"/>
      <c r="AZ651" s="391"/>
      <c r="BA651" s="391"/>
      <c r="BB651" s="651"/>
      <c r="BC651" s="651"/>
      <c r="BD651" s="402"/>
      <c r="BE651" s="402"/>
      <c r="BF651" s="402"/>
      <c r="BH651" s="594"/>
      <c r="BI651" s="594"/>
      <c r="BJ651" s="595"/>
      <c r="BK651" s="391"/>
      <c r="BL651" s="391"/>
      <c r="BM651" s="391"/>
      <c r="BN651" s="391"/>
      <c r="BO651" s="391"/>
      <c r="BP651" s="391"/>
      <c r="BQ651" s="391"/>
      <c r="BR651" s="391"/>
      <c r="BS651" s="391"/>
      <c r="BT651" s="391"/>
      <c r="BU651" s="391"/>
      <c r="BV651" s="391"/>
      <c r="BW651" s="391"/>
      <c r="BX651" s="391"/>
      <c r="BY651" s="391"/>
      <c r="BZ651" s="391"/>
      <c r="CA651" s="391"/>
      <c r="CB651" s="391"/>
      <c r="CC651" s="391"/>
      <c r="CD651" s="391"/>
      <c r="CE651" s="391"/>
      <c r="CF651" s="391"/>
      <c r="CG651" s="391"/>
      <c r="CH651" s="391"/>
      <c r="CI651" s="391"/>
      <c r="CJ651" s="391"/>
      <c r="CK651" s="391"/>
      <c r="CM651" s="391"/>
      <c r="CN651" s="391"/>
      <c r="CO651" s="391"/>
      <c r="CP651" s="391"/>
      <c r="CR651" s="391"/>
      <c r="CS651" s="391"/>
      <c r="CX651" s="391"/>
      <c r="DA651" s="391"/>
      <c r="DB651" s="391"/>
      <c r="DC651" s="391"/>
      <c r="DD651" s="391"/>
      <c r="DE651" s="391"/>
      <c r="DF651" s="391"/>
      <c r="DG651" s="391"/>
      <c r="DH651" s="391"/>
      <c r="DI651" s="391"/>
      <c r="DJ651" s="391"/>
      <c r="DK651" s="391"/>
      <c r="DL651" s="391"/>
      <c r="DM651" s="391"/>
      <c r="DN651" s="391"/>
      <c r="DO651" s="391"/>
      <c r="DP651" s="391"/>
      <c r="DQ651" s="391"/>
      <c r="DR651" s="391"/>
      <c r="DS651" s="391"/>
      <c r="DT651" s="391"/>
      <c r="DU651" s="391"/>
      <c r="DV651" s="391"/>
      <c r="DW651" s="391"/>
      <c r="DX651" s="391"/>
      <c r="DY651" s="391"/>
      <c r="DZ651" s="391"/>
      <c r="EA651" s="391"/>
      <c r="EB651" s="391"/>
      <c r="EC651" s="391"/>
      <c r="ED651" s="391"/>
      <c r="EE651" s="391"/>
      <c r="EF651" s="391"/>
      <c r="EG651" s="391"/>
      <c r="EH651" s="391"/>
      <c r="EI651" s="391"/>
      <c r="EJ651" s="391"/>
      <c r="EK651" s="391"/>
      <c r="EL651" s="391"/>
      <c r="EM651" s="391"/>
      <c r="EN651" s="391"/>
      <c r="EO651" s="391"/>
      <c r="EP651" s="391"/>
      <c r="EQ651" s="391"/>
      <c r="ER651" s="391"/>
      <c r="ES651" s="391"/>
      <c r="ET651" s="391"/>
      <c r="EU651" s="391"/>
      <c r="EV651" s="391"/>
      <c r="EW651" s="391"/>
    </row>
    <row r="652" spans="1:153" s="400" customFormat="1">
      <c r="A652" s="391"/>
      <c r="E652" s="454"/>
      <c r="F652" s="454"/>
      <c r="G652" s="454"/>
      <c r="H652" s="454"/>
      <c r="I652" s="454"/>
      <c r="J652" s="404"/>
      <c r="K652" s="454"/>
      <c r="L652" s="454"/>
      <c r="M652" s="391"/>
      <c r="N652" s="391"/>
      <c r="O652" s="391"/>
      <c r="P652" s="391"/>
      <c r="Q652" s="391"/>
      <c r="R652" s="391"/>
      <c r="S652" s="391"/>
      <c r="T652" s="391"/>
      <c r="U652" s="391"/>
      <c r="V652" s="391"/>
      <c r="W652" s="391"/>
      <c r="X652" s="391"/>
      <c r="Y652" s="391"/>
      <c r="Z652" s="391"/>
      <c r="AA652" s="391"/>
      <c r="AB652" s="391"/>
      <c r="AC652" s="391"/>
      <c r="AD652" s="391"/>
      <c r="AE652" s="391"/>
      <c r="AF652" s="391"/>
      <c r="AG652" s="391"/>
      <c r="AH652" s="391"/>
      <c r="AI652" s="391"/>
      <c r="AJ652" s="391"/>
      <c r="AK652" s="391"/>
      <c r="AL652" s="391"/>
      <c r="AM652" s="391"/>
      <c r="AN652" s="391"/>
      <c r="AO652" s="391"/>
      <c r="AP652" s="391"/>
      <c r="AQ652" s="391"/>
      <c r="AR652" s="391"/>
      <c r="AS652" s="454"/>
      <c r="AT652" s="391"/>
      <c r="AU652" s="391"/>
      <c r="AV652" s="391"/>
      <c r="AW652" s="391"/>
      <c r="AX652" s="649"/>
      <c r="AY652" s="593"/>
      <c r="AZ652" s="391"/>
      <c r="BA652" s="391"/>
      <c r="BB652" s="651"/>
      <c r="BC652" s="651"/>
      <c r="BD652" s="402"/>
      <c r="BE652" s="402"/>
      <c r="BF652" s="402"/>
      <c r="BH652" s="594"/>
      <c r="BI652" s="594"/>
      <c r="BJ652" s="595"/>
      <c r="BK652" s="391"/>
      <c r="BL652" s="391"/>
      <c r="BM652" s="391"/>
      <c r="BN652" s="391"/>
      <c r="BO652" s="391"/>
      <c r="BP652" s="391"/>
      <c r="BQ652" s="391"/>
      <c r="BR652" s="391"/>
      <c r="BS652" s="391"/>
      <c r="BT652" s="391"/>
      <c r="BU652" s="391"/>
      <c r="BV652" s="391"/>
      <c r="BW652" s="391"/>
      <c r="BX652" s="391"/>
      <c r="BY652" s="391"/>
      <c r="BZ652" s="391"/>
      <c r="CA652" s="391"/>
      <c r="CB652" s="391"/>
      <c r="CC652" s="391"/>
      <c r="CD652" s="391"/>
      <c r="CE652" s="391"/>
      <c r="CF652" s="391"/>
      <c r="CG652" s="391"/>
      <c r="CH652" s="391"/>
      <c r="CI652" s="391"/>
      <c r="CJ652" s="391"/>
      <c r="CK652" s="391"/>
      <c r="CM652" s="391"/>
      <c r="CN652" s="391"/>
      <c r="CO652" s="391"/>
      <c r="CP652" s="391"/>
      <c r="CR652" s="391"/>
      <c r="CS652" s="391"/>
      <c r="CX652" s="391"/>
      <c r="DA652" s="391"/>
      <c r="DB652" s="391"/>
      <c r="DC652" s="391"/>
      <c r="DD652" s="391"/>
      <c r="DE652" s="391"/>
      <c r="DF652" s="391"/>
      <c r="DG652" s="391"/>
      <c r="DH652" s="391"/>
      <c r="DI652" s="391"/>
      <c r="DJ652" s="391"/>
      <c r="DK652" s="391"/>
      <c r="DL652" s="391"/>
      <c r="DM652" s="391"/>
      <c r="DN652" s="391"/>
      <c r="DO652" s="391"/>
      <c r="DP652" s="391"/>
      <c r="DQ652" s="391"/>
      <c r="DR652" s="391"/>
      <c r="DS652" s="391"/>
      <c r="DT652" s="391"/>
      <c r="DU652" s="391"/>
      <c r="DV652" s="391"/>
      <c r="DW652" s="391"/>
      <c r="DX652" s="391"/>
      <c r="DY652" s="391"/>
      <c r="DZ652" s="391"/>
      <c r="EA652" s="391"/>
      <c r="EB652" s="391"/>
      <c r="EC652" s="391"/>
      <c r="ED652" s="391"/>
      <c r="EE652" s="391"/>
      <c r="EF652" s="391"/>
      <c r="EG652" s="391"/>
      <c r="EH652" s="391"/>
      <c r="EI652" s="391"/>
      <c r="EJ652" s="391"/>
      <c r="EK652" s="391"/>
      <c r="EL652" s="391"/>
      <c r="EM652" s="391"/>
      <c r="EN652" s="391"/>
      <c r="EO652" s="391"/>
      <c r="EP652" s="391"/>
      <c r="EQ652" s="391"/>
      <c r="ER652" s="391"/>
      <c r="ES652" s="391"/>
      <c r="ET652" s="391"/>
      <c r="EU652" s="391"/>
      <c r="EV652" s="391"/>
      <c r="EW652" s="391"/>
    </row>
    <row r="653" spans="1:153" s="400" customFormat="1">
      <c r="A653" s="391"/>
      <c r="E653" s="454"/>
      <c r="F653" s="454"/>
      <c r="G653" s="454"/>
      <c r="H653" s="454"/>
      <c r="I653" s="454"/>
      <c r="J653" s="404"/>
      <c r="K653" s="454"/>
      <c r="L653" s="454"/>
      <c r="M653" s="391"/>
      <c r="N653" s="391"/>
      <c r="O653" s="391"/>
      <c r="P653" s="391"/>
      <c r="Q653" s="391"/>
      <c r="R653" s="391"/>
      <c r="S653" s="391"/>
      <c r="T653" s="391"/>
      <c r="U653" s="391"/>
      <c r="V653" s="391"/>
      <c r="W653" s="391"/>
      <c r="X653" s="391"/>
      <c r="Y653" s="391"/>
      <c r="Z653" s="391"/>
      <c r="AA653" s="391"/>
      <c r="AB653" s="391"/>
      <c r="AC653" s="391"/>
      <c r="AD653" s="391"/>
      <c r="AE653" s="391"/>
      <c r="AF653" s="391"/>
      <c r="AG653" s="391"/>
      <c r="AH653" s="391"/>
      <c r="AI653" s="391"/>
      <c r="AJ653" s="391"/>
      <c r="AK653" s="391"/>
      <c r="AL653" s="391"/>
      <c r="AM653" s="391"/>
      <c r="AN653" s="391"/>
      <c r="AO653" s="391"/>
      <c r="AP653" s="391"/>
      <c r="AQ653" s="391"/>
      <c r="AR653" s="391"/>
      <c r="AS653" s="454"/>
      <c r="AT653" s="391"/>
      <c r="AU653" s="391"/>
      <c r="AV653" s="391"/>
      <c r="AW653" s="391"/>
      <c r="AX653" s="649"/>
      <c r="AY653" s="593"/>
      <c r="AZ653" s="391"/>
      <c r="BA653" s="391"/>
      <c r="BB653" s="651"/>
      <c r="BC653" s="651"/>
      <c r="BD653" s="402"/>
      <c r="BE653" s="402"/>
      <c r="BF653" s="402"/>
      <c r="BH653" s="594"/>
      <c r="BI653" s="594"/>
      <c r="BJ653" s="595"/>
      <c r="BK653" s="391"/>
      <c r="BL653" s="391"/>
      <c r="BM653" s="391"/>
      <c r="BN653" s="391"/>
      <c r="BO653" s="391"/>
      <c r="BP653" s="391"/>
      <c r="BQ653" s="391"/>
      <c r="BR653" s="391"/>
      <c r="BS653" s="391"/>
      <c r="BT653" s="391"/>
      <c r="BU653" s="391"/>
      <c r="BV653" s="391"/>
      <c r="BW653" s="391"/>
      <c r="BX653" s="391"/>
      <c r="BY653" s="391"/>
      <c r="BZ653" s="391"/>
      <c r="CA653" s="391"/>
      <c r="CB653" s="391"/>
      <c r="CC653" s="391"/>
      <c r="CD653" s="391"/>
      <c r="CE653" s="391"/>
      <c r="CF653" s="391"/>
      <c r="CG653" s="391"/>
      <c r="CH653" s="391"/>
      <c r="CI653" s="391"/>
      <c r="CJ653" s="391"/>
      <c r="CK653" s="391"/>
      <c r="CM653" s="391"/>
      <c r="CN653" s="391"/>
      <c r="CO653" s="391"/>
      <c r="CP653" s="391"/>
      <c r="CR653" s="391"/>
      <c r="CS653" s="391"/>
      <c r="CX653" s="391"/>
      <c r="DA653" s="391"/>
      <c r="DB653" s="391"/>
      <c r="DC653" s="391"/>
      <c r="DD653" s="391"/>
      <c r="DE653" s="391"/>
      <c r="DF653" s="391"/>
      <c r="DG653" s="391"/>
      <c r="DH653" s="391"/>
      <c r="DI653" s="391"/>
      <c r="DJ653" s="391"/>
      <c r="DK653" s="391"/>
      <c r="DL653" s="391"/>
      <c r="DM653" s="391"/>
      <c r="DN653" s="391"/>
      <c r="DO653" s="391"/>
      <c r="DP653" s="391"/>
      <c r="DQ653" s="391"/>
      <c r="DR653" s="391"/>
      <c r="DS653" s="391"/>
      <c r="DT653" s="391"/>
      <c r="DU653" s="391"/>
      <c r="DV653" s="391"/>
      <c r="DW653" s="391"/>
      <c r="DX653" s="391"/>
      <c r="DY653" s="391"/>
      <c r="DZ653" s="391"/>
      <c r="EA653" s="391"/>
      <c r="EB653" s="391"/>
      <c r="EC653" s="391"/>
      <c r="ED653" s="391"/>
      <c r="EE653" s="391"/>
      <c r="EF653" s="391"/>
      <c r="EG653" s="391"/>
      <c r="EH653" s="391"/>
      <c r="EI653" s="391"/>
      <c r="EJ653" s="391"/>
      <c r="EK653" s="391"/>
      <c r="EL653" s="391"/>
      <c r="EM653" s="391"/>
      <c r="EN653" s="391"/>
      <c r="EO653" s="391"/>
      <c r="EP653" s="391"/>
      <c r="EQ653" s="391"/>
      <c r="ER653" s="391"/>
      <c r="ES653" s="391"/>
      <c r="ET653" s="391"/>
      <c r="EU653" s="391"/>
      <c r="EV653" s="391"/>
      <c r="EW653" s="391"/>
    </row>
    <row r="654" spans="1:153" s="400" customFormat="1">
      <c r="A654" s="391"/>
      <c r="E654" s="454"/>
      <c r="F654" s="454"/>
      <c r="G654" s="454"/>
      <c r="H654" s="454"/>
      <c r="I654" s="454"/>
      <c r="J654" s="404"/>
      <c r="K654" s="454"/>
      <c r="L654" s="454"/>
      <c r="M654" s="391"/>
      <c r="N654" s="391"/>
      <c r="O654" s="391"/>
      <c r="P654" s="391"/>
      <c r="Q654" s="391"/>
      <c r="R654" s="391"/>
      <c r="S654" s="391"/>
      <c r="T654" s="391"/>
      <c r="U654" s="391"/>
      <c r="V654" s="391"/>
      <c r="W654" s="391"/>
      <c r="X654" s="391"/>
      <c r="Y654" s="391"/>
      <c r="Z654" s="391"/>
      <c r="AA654" s="391"/>
      <c r="AB654" s="391"/>
      <c r="AC654" s="391"/>
      <c r="AD654" s="391"/>
      <c r="AE654" s="391"/>
      <c r="AF654" s="391"/>
      <c r="AG654" s="391"/>
      <c r="AH654" s="391"/>
      <c r="AI654" s="391"/>
      <c r="AJ654" s="391"/>
      <c r="AK654" s="391"/>
      <c r="AL654" s="391"/>
      <c r="AM654" s="391"/>
      <c r="AN654" s="391"/>
      <c r="AO654" s="391"/>
      <c r="AP654" s="391"/>
      <c r="AQ654" s="391"/>
      <c r="AR654" s="391"/>
      <c r="AS654" s="454"/>
      <c r="AT654" s="391"/>
      <c r="AU654" s="391"/>
      <c r="AV654" s="391"/>
      <c r="AW654" s="391"/>
      <c r="AX654" s="649"/>
      <c r="AY654" s="593"/>
      <c r="AZ654" s="391"/>
      <c r="BA654" s="391"/>
      <c r="BB654" s="651"/>
      <c r="BC654" s="651"/>
      <c r="BD654" s="402"/>
      <c r="BE654" s="402"/>
      <c r="BF654" s="402"/>
      <c r="BH654" s="594"/>
      <c r="BI654" s="594"/>
      <c r="BJ654" s="595"/>
      <c r="BK654" s="391"/>
      <c r="BL654" s="391"/>
      <c r="BM654" s="391"/>
      <c r="BN654" s="391"/>
      <c r="BO654" s="391"/>
      <c r="BP654" s="391"/>
      <c r="BQ654" s="391"/>
      <c r="BR654" s="391"/>
      <c r="BS654" s="391"/>
      <c r="BT654" s="391"/>
      <c r="BU654" s="391"/>
      <c r="BV654" s="391"/>
      <c r="BW654" s="391"/>
      <c r="BX654" s="391"/>
      <c r="BY654" s="391"/>
      <c r="BZ654" s="391"/>
      <c r="CA654" s="391"/>
      <c r="CB654" s="391"/>
      <c r="CC654" s="391"/>
      <c r="CD654" s="391"/>
      <c r="CE654" s="391"/>
      <c r="CF654" s="391"/>
      <c r="CG654" s="391"/>
      <c r="CH654" s="391"/>
      <c r="CI654" s="391"/>
      <c r="CJ654" s="391"/>
      <c r="CK654" s="391"/>
      <c r="CM654" s="391"/>
      <c r="CN654" s="391"/>
      <c r="CO654" s="391"/>
      <c r="CP654" s="391"/>
      <c r="CR654" s="391"/>
      <c r="CS654" s="391"/>
      <c r="CX654" s="391"/>
      <c r="DA654" s="391"/>
      <c r="DB654" s="391"/>
      <c r="DC654" s="391"/>
      <c r="DD654" s="391"/>
      <c r="DE654" s="391"/>
      <c r="DF654" s="391"/>
      <c r="DG654" s="391"/>
      <c r="DH654" s="391"/>
      <c r="DI654" s="391"/>
      <c r="DJ654" s="391"/>
      <c r="DK654" s="391"/>
      <c r="DL654" s="391"/>
      <c r="DM654" s="391"/>
      <c r="DN654" s="391"/>
      <c r="DO654" s="391"/>
      <c r="DP654" s="391"/>
      <c r="DQ654" s="391"/>
      <c r="DR654" s="391"/>
      <c r="DS654" s="391"/>
      <c r="DT654" s="391"/>
      <c r="DU654" s="391"/>
      <c r="DV654" s="391"/>
      <c r="DW654" s="391"/>
      <c r="DX654" s="391"/>
      <c r="DY654" s="391"/>
      <c r="DZ654" s="391"/>
      <c r="EA654" s="391"/>
      <c r="EB654" s="391"/>
      <c r="EC654" s="391"/>
      <c r="ED654" s="391"/>
      <c r="EE654" s="391"/>
      <c r="EF654" s="391"/>
      <c r="EG654" s="391"/>
      <c r="EH654" s="391"/>
      <c r="EI654" s="391"/>
      <c r="EJ654" s="391"/>
      <c r="EK654" s="391"/>
      <c r="EL654" s="391"/>
      <c r="EM654" s="391"/>
      <c r="EN654" s="391"/>
      <c r="EO654" s="391"/>
      <c r="EP654" s="391"/>
      <c r="EQ654" s="391"/>
      <c r="ER654" s="391"/>
      <c r="ES654" s="391"/>
      <c r="ET654" s="391"/>
      <c r="EU654" s="391"/>
      <c r="EV654" s="391"/>
      <c r="EW654" s="391"/>
    </row>
    <row r="655" spans="1:153" s="400" customFormat="1">
      <c r="A655" s="391"/>
      <c r="E655" s="454"/>
      <c r="F655" s="454"/>
      <c r="G655" s="454"/>
      <c r="H655" s="454"/>
      <c r="I655" s="454"/>
      <c r="J655" s="404"/>
      <c r="K655" s="454"/>
      <c r="L655" s="454"/>
      <c r="M655" s="391"/>
      <c r="N655" s="391"/>
      <c r="O655" s="391"/>
      <c r="P655" s="391"/>
      <c r="Q655" s="391"/>
      <c r="R655" s="391"/>
      <c r="S655" s="391"/>
      <c r="T655" s="391"/>
      <c r="U655" s="391"/>
      <c r="V655" s="391"/>
      <c r="W655" s="391"/>
      <c r="X655" s="391"/>
      <c r="Y655" s="391"/>
      <c r="Z655" s="391"/>
      <c r="AA655" s="391"/>
      <c r="AB655" s="391"/>
      <c r="AC655" s="391"/>
      <c r="AD655" s="391"/>
      <c r="AE655" s="391"/>
      <c r="AF655" s="391"/>
      <c r="AG655" s="391"/>
      <c r="AH655" s="391"/>
      <c r="AI655" s="391"/>
      <c r="AJ655" s="391"/>
      <c r="AK655" s="391"/>
      <c r="AL655" s="391"/>
      <c r="AM655" s="391"/>
      <c r="AN655" s="391"/>
      <c r="AO655" s="391"/>
      <c r="AP655" s="391"/>
      <c r="AQ655" s="391"/>
      <c r="AR655" s="391"/>
      <c r="AS655" s="454"/>
      <c r="AT655" s="391"/>
      <c r="AU655" s="391"/>
      <c r="AV655" s="391"/>
      <c r="AW655" s="391"/>
      <c r="AX655" s="649"/>
      <c r="AY655" s="593"/>
      <c r="AZ655" s="391"/>
      <c r="BA655" s="391"/>
      <c r="BB655" s="651"/>
      <c r="BC655" s="651"/>
      <c r="BD655" s="402"/>
      <c r="BE655" s="402"/>
      <c r="BF655" s="402"/>
      <c r="BH655" s="594"/>
      <c r="BI655" s="594"/>
      <c r="BJ655" s="595"/>
      <c r="BK655" s="391"/>
      <c r="BL655" s="391"/>
      <c r="BM655" s="391"/>
      <c r="BN655" s="391"/>
      <c r="BO655" s="391"/>
      <c r="BP655" s="391"/>
      <c r="BQ655" s="391"/>
      <c r="BR655" s="391"/>
      <c r="BS655" s="391"/>
      <c r="BT655" s="391"/>
      <c r="BU655" s="391"/>
      <c r="BV655" s="391"/>
      <c r="BW655" s="391"/>
      <c r="BX655" s="391"/>
      <c r="BY655" s="391"/>
      <c r="BZ655" s="391"/>
      <c r="CA655" s="391"/>
      <c r="CB655" s="391"/>
      <c r="CC655" s="391"/>
      <c r="CD655" s="391"/>
      <c r="CE655" s="391"/>
      <c r="CF655" s="391"/>
      <c r="CG655" s="391"/>
      <c r="CH655" s="391"/>
      <c r="CI655" s="391"/>
      <c r="CJ655" s="391"/>
      <c r="CK655" s="391"/>
      <c r="CM655" s="391"/>
      <c r="CN655" s="391"/>
      <c r="CO655" s="391"/>
      <c r="CP655" s="391"/>
      <c r="CR655" s="391"/>
      <c r="CS655" s="391"/>
      <c r="CX655" s="391"/>
      <c r="DA655" s="391"/>
      <c r="DB655" s="391"/>
      <c r="DC655" s="391"/>
      <c r="DD655" s="391"/>
      <c r="DE655" s="391"/>
      <c r="DF655" s="391"/>
      <c r="DG655" s="391"/>
      <c r="DH655" s="391"/>
      <c r="DI655" s="391"/>
      <c r="DJ655" s="391"/>
      <c r="DK655" s="391"/>
      <c r="DL655" s="391"/>
      <c r="DM655" s="391"/>
      <c r="DN655" s="391"/>
      <c r="DO655" s="391"/>
      <c r="DP655" s="391"/>
      <c r="DQ655" s="391"/>
      <c r="DR655" s="391"/>
      <c r="DS655" s="391"/>
      <c r="DT655" s="391"/>
      <c r="DU655" s="391"/>
      <c r="DV655" s="391"/>
      <c r="DW655" s="391"/>
      <c r="DX655" s="391"/>
      <c r="DY655" s="391"/>
      <c r="DZ655" s="391"/>
      <c r="EA655" s="391"/>
      <c r="EB655" s="391"/>
      <c r="EC655" s="391"/>
      <c r="ED655" s="391"/>
      <c r="EE655" s="391"/>
      <c r="EF655" s="391"/>
      <c r="EG655" s="391"/>
      <c r="EH655" s="391"/>
      <c r="EI655" s="391"/>
      <c r="EJ655" s="391"/>
      <c r="EK655" s="391"/>
      <c r="EL655" s="391"/>
      <c r="EM655" s="391"/>
      <c r="EN655" s="391"/>
      <c r="EO655" s="391"/>
      <c r="EP655" s="391"/>
      <c r="EQ655" s="391"/>
      <c r="ER655" s="391"/>
      <c r="ES655" s="391"/>
      <c r="ET655" s="391"/>
      <c r="EU655" s="391"/>
      <c r="EV655" s="391"/>
      <c r="EW655" s="391"/>
    </row>
    <row r="656" spans="1:153" s="400" customFormat="1">
      <c r="A656" s="391"/>
      <c r="E656" s="454"/>
      <c r="F656" s="454"/>
      <c r="G656" s="454"/>
      <c r="H656" s="454"/>
      <c r="I656" s="454"/>
      <c r="J656" s="404"/>
      <c r="K656" s="454"/>
      <c r="L656" s="454"/>
      <c r="M656" s="391"/>
      <c r="N656" s="391"/>
      <c r="O656" s="391"/>
      <c r="P656" s="391"/>
      <c r="Q656" s="391"/>
      <c r="R656" s="391"/>
      <c r="S656" s="391"/>
      <c r="T656" s="391"/>
      <c r="U656" s="391"/>
      <c r="V656" s="391"/>
      <c r="W656" s="391"/>
      <c r="X656" s="391"/>
      <c r="Y656" s="391"/>
      <c r="Z656" s="391"/>
      <c r="AA656" s="391"/>
      <c r="AB656" s="391"/>
      <c r="AC656" s="391"/>
      <c r="AD656" s="391"/>
      <c r="AE656" s="391"/>
      <c r="AF656" s="391"/>
      <c r="AG656" s="391"/>
      <c r="AH656" s="391"/>
      <c r="AI656" s="391"/>
      <c r="AJ656" s="391"/>
      <c r="AK656" s="391"/>
      <c r="AL656" s="391"/>
      <c r="AM656" s="391"/>
      <c r="AN656" s="391"/>
      <c r="AO656" s="391"/>
      <c r="AP656" s="391"/>
      <c r="AQ656" s="391"/>
      <c r="AR656" s="391"/>
      <c r="AS656" s="454"/>
      <c r="AT656" s="391"/>
      <c r="AU656" s="391"/>
      <c r="AV656" s="391"/>
      <c r="AW656" s="391"/>
      <c r="AX656" s="649"/>
      <c r="AY656" s="593"/>
      <c r="AZ656" s="391"/>
      <c r="BA656" s="391"/>
      <c r="BB656" s="651"/>
      <c r="BC656" s="651"/>
      <c r="BD656" s="402"/>
      <c r="BE656" s="402"/>
      <c r="BF656" s="402"/>
      <c r="BH656" s="594"/>
      <c r="BI656" s="594"/>
      <c r="BJ656" s="595"/>
      <c r="BK656" s="391"/>
      <c r="BL656" s="391"/>
      <c r="BM656" s="391"/>
      <c r="BN656" s="391"/>
      <c r="BO656" s="391"/>
      <c r="BP656" s="391"/>
      <c r="BQ656" s="391"/>
      <c r="BR656" s="391"/>
      <c r="BS656" s="391"/>
      <c r="BT656" s="391"/>
      <c r="BU656" s="391"/>
      <c r="BV656" s="391"/>
      <c r="BW656" s="391"/>
      <c r="BX656" s="391"/>
      <c r="BY656" s="391"/>
      <c r="BZ656" s="391"/>
      <c r="CA656" s="391"/>
      <c r="CB656" s="391"/>
      <c r="CC656" s="391"/>
      <c r="CD656" s="391"/>
      <c r="CE656" s="391"/>
      <c r="CF656" s="391"/>
      <c r="CG656" s="391"/>
      <c r="CH656" s="391"/>
      <c r="CI656" s="391"/>
      <c r="CJ656" s="391"/>
      <c r="CK656" s="391"/>
      <c r="CM656" s="391"/>
      <c r="CN656" s="391"/>
      <c r="CO656" s="391"/>
      <c r="CP656" s="391"/>
      <c r="CR656" s="391"/>
      <c r="CS656" s="391"/>
      <c r="CX656" s="391"/>
      <c r="DA656" s="391"/>
      <c r="DB656" s="391"/>
      <c r="DC656" s="391"/>
      <c r="DD656" s="391"/>
      <c r="DE656" s="391"/>
      <c r="DF656" s="391"/>
      <c r="DG656" s="391"/>
      <c r="DH656" s="391"/>
      <c r="DI656" s="391"/>
      <c r="DJ656" s="391"/>
      <c r="DK656" s="391"/>
      <c r="DL656" s="391"/>
      <c r="DM656" s="391"/>
      <c r="DN656" s="391"/>
      <c r="DO656" s="391"/>
      <c r="DP656" s="391"/>
      <c r="DQ656" s="391"/>
      <c r="DR656" s="391"/>
      <c r="DS656" s="391"/>
      <c r="DT656" s="391"/>
      <c r="DU656" s="391"/>
      <c r="DV656" s="391"/>
      <c r="DW656" s="391"/>
      <c r="DX656" s="391"/>
      <c r="DY656" s="391"/>
      <c r="DZ656" s="391"/>
      <c r="EA656" s="391"/>
      <c r="EB656" s="391"/>
      <c r="EC656" s="391"/>
      <c r="ED656" s="391"/>
      <c r="EE656" s="391"/>
      <c r="EF656" s="391"/>
      <c r="EG656" s="391"/>
      <c r="EH656" s="391"/>
      <c r="EI656" s="391"/>
      <c r="EJ656" s="391"/>
      <c r="EK656" s="391"/>
      <c r="EL656" s="391"/>
      <c r="EM656" s="391"/>
      <c r="EN656" s="391"/>
      <c r="EO656" s="391"/>
      <c r="EP656" s="391"/>
      <c r="EQ656" s="391"/>
      <c r="ER656" s="391"/>
      <c r="ES656" s="391"/>
      <c r="ET656" s="391"/>
      <c r="EU656" s="391"/>
      <c r="EV656" s="391"/>
      <c r="EW656" s="391"/>
    </row>
    <row r="657" spans="1:153" s="400" customFormat="1">
      <c r="A657" s="391"/>
      <c r="E657" s="454"/>
      <c r="F657" s="454"/>
      <c r="G657" s="454"/>
      <c r="H657" s="454"/>
      <c r="I657" s="454"/>
      <c r="J657" s="404"/>
      <c r="K657" s="454"/>
      <c r="L657" s="454"/>
      <c r="M657" s="391"/>
      <c r="N657" s="391"/>
      <c r="O657" s="391"/>
      <c r="P657" s="391"/>
      <c r="Q657" s="391"/>
      <c r="R657" s="391"/>
      <c r="S657" s="391"/>
      <c r="T657" s="391"/>
      <c r="U657" s="391"/>
      <c r="V657" s="391"/>
      <c r="W657" s="391"/>
      <c r="X657" s="391"/>
      <c r="Y657" s="391"/>
      <c r="Z657" s="391"/>
      <c r="AA657" s="391"/>
      <c r="AB657" s="391"/>
      <c r="AC657" s="391"/>
      <c r="AD657" s="391"/>
      <c r="AE657" s="391"/>
      <c r="AF657" s="391"/>
      <c r="AG657" s="391"/>
      <c r="AH657" s="391"/>
      <c r="AI657" s="391"/>
      <c r="AJ657" s="391"/>
      <c r="AK657" s="391"/>
      <c r="AL657" s="391"/>
      <c r="AM657" s="391"/>
      <c r="AN657" s="391"/>
      <c r="AO657" s="391"/>
      <c r="AP657" s="391"/>
      <c r="AQ657" s="391"/>
      <c r="AR657" s="391"/>
      <c r="AS657" s="454"/>
      <c r="AT657" s="391"/>
      <c r="AU657" s="391"/>
      <c r="AV657" s="391"/>
      <c r="AW657" s="391"/>
      <c r="AX657" s="649"/>
      <c r="AY657" s="593"/>
      <c r="AZ657" s="391"/>
      <c r="BA657" s="391"/>
      <c r="BB657" s="651"/>
      <c r="BC657" s="651"/>
      <c r="BD657" s="402"/>
      <c r="BE657" s="402"/>
      <c r="BF657" s="402"/>
      <c r="BH657" s="594"/>
      <c r="BI657" s="594"/>
      <c r="BJ657" s="595"/>
      <c r="BK657" s="391"/>
      <c r="BL657" s="391"/>
      <c r="BM657" s="391"/>
      <c r="BN657" s="391"/>
      <c r="BO657" s="391"/>
      <c r="BP657" s="391"/>
      <c r="BQ657" s="391"/>
      <c r="BR657" s="391"/>
      <c r="BS657" s="391"/>
      <c r="BT657" s="391"/>
      <c r="BU657" s="391"/>
      <c r="BV657" s="391"/>
      <c r="BW657" s="391"/>
      <c r="BX657" s="391"/>
      <c r="BY657" s="391"/>
      <c r="BZ657" s="391"/>
      <c r="CA657" s="391"/>
      <c r="CB657" s="391"/>
      <c r="CC657" s="391"/>
      <c r="CD657" s="391"/>
      <c r="CE657" s="391"/>
      <c r="CF657" s="391"/>
      <c r="CG657" s="391"/>
      <c r="CH657" s="391"/>
      <c r="CI657" s="391"/>
      <c r="CJ657" s="391"/>
      <c r="CK657" s="391"/>
      <c r="CM657" s="391"/>
      <c r="CN657" s="391"/>
      <c r="CO657" s="391"/>
      <c r="CP657" s="391"/>
      <c r="CR657" s="391"/>
      <c r="CS657" s="391"/>
      <c r="CX657" s="391"/>
      <c r="DA657" s="391"/>
      <c r="DB657" s="391"/>
      <c r="DC657" s="391"/>
      <c r="DD657" s="391"/>
      <c r="DE657" s="391"/>
      <c r="DF657" s="391"/>
      <c r="DG657" s="391"/>
      <c r="DH657" s="391"/>
      <c r="DI657" s="391"/>
      <c r="DJ657" s="391"/>
      <c r="DK657" s="391"/>
      <c r="DL657" s="391"/>
      <c r="DM657" s="391"/>
      <c r="DN657" s="391"/>
      <c r="DO657" s="391"/>
      <c r="DP657" s="391"/>
      <c r="DQ657" s="391"/>
      <c r="DR657" s="391"/>
      <c r="DS657" s="391"/>
      <c r="DT657" s="391"/>
      <c r="DU657" s="391"/>
      <c r="DV657" s="391"/>
      <c r="DW657" s="391"/>
      <c r="DX657" s="391"/>
      <c r="DY657" s="391"/>
      <c r="DZ657" s="391"/>
      <c r="EA657" s="391"/>
      <c r="EB657" s="391"/>
      <c r="EC657" s="391"/>
      <c r="ED657" s="391"/>
      <c r="EE657" s="391"/>
      <c r="EF657" s="391"/>
      <c r="EG657" s="391"/>
      <c r="EH657" s="391"/>
      <c r="EI657" s="391"/>
      <c r="EJ657" s="391"/>
      <c r="EK657" s="391"/>
      <c r="EL657" s="391"/>
      <c r="EM657" s="391"/>
      <c r="EN657" s="391"/>
      <c r="EO657" s="391"/>
      <c r="EP657" s="391"/>
      <c r="EQ657" s="391"/>
      <c r="ER657" s="391"/>
      <c r="ES657" s="391"/>
      <c r="ET657" s="391"/>
      <c r="EU657" s="391"/>
      <c r="EV657" s="391"/>
      <c r="EW657" s="391"/>
    </row>
    <row r="658" spans="1:153" s="400" customFormat="1">
      <c r="A658" s="391"/>
      <c r="E658" s="454"/>
      <c r="F658" s="454"/>
      <c r="G658" s="454"/>
      <c r="H658" s="454"/>
      <c r="I658" s="454"/>
      <c r="J658" s="404"/>
      <c r="K658" s="454"/>
      <c r="L658" s="454"/>
      <c r="M658" s="391"/>
      <c r="N658" s="391"/>
      <c r="O658" s="391"/>
      <c r="P658" s="391"/>
      <c r="Q658" s="391"/>
      <c r="R658" s="391"/>
      <c r="S658" s="391"/>
      <c r="T658" s="391"/>
      <c r="U658" s="391"/>
      <c r="V658" s="391"/>
      <c r="W658" s="391"/>
      <c r="X658" s="391"/>
      <c r="Y658" s="391"/>
      <c r="Z658" s="391"/>
      <c r="AA658" s="391"/>
      <c r="AB658" s="391"/>
      <c r="AC658" s="391"/>
      <c r="AD658" s="391"/>
      <c r="AE658" s="391"/>
      <c r="AF658" s="391"/>
      <c r="AG658" s="391"/>
      <c r="AH658" s="391"/>
      <c r="AI658" s="391"/>
      <c r="AJ658" s="391"/>
      <c r="AK658" s="391"/>
      <c r="AL658" s="391"/>
      <c r="AM658" s="391"/>
      <c r="AN658" s="391"/>
      <c r="AO658" s="391"/>
      <c r="AP658" s="391"/>
      <c r="AQ658" s="391"/>
      <c r="AR658" s="391"/>
      <c r="AS658" s="454"/>
      <c r="AT658" s="391"/>
      <c r="AU658" s="391"/>
      <c r="AV658" s="391"/>
      <c r="AW658" s="391"/>
      <c r="AX658" s="649"/>
      <c r="AY658" s="593"/>
      <c r="AZ658" s="391"/>
      <c r="BA658" s="391"/>
      <c r="BB658" s="651"/>
      <c r="BC658" s="651"/>
      <c r="BD658" s="402"/>
      <c r="BE658" s="402"/>
      <c r="BF658" s="402"/>
      <c r="BH658" s="594"/>
      <c r="BI658" s="594"/>
      <c r="BJ658" s="595"/>
      <c r="BK658" s="391"/>
      <c r="BL658" s="391"/>
      <c r="BM658" s="391"/>
      <c r="BN658" s="391"/>
      <c r="BO658" s="391"/>
      <c r="BP658" s="391"/>
      <c r="BQ658" s="391"/>
      <c r="BR658" s="391"/>
      <c r="BS658" s="391"/>
      <c r="BT658" s="391"/>
      <c r="BU658" s="391"/>
      <c r="BV658" s="391"/>
      <c r="BW658" s="391"/>
      <c r="BX658" s="391"/>
      <c r="BY658" s="391"/>
      <c r="BZ658" s="391"/>
      <c r="CA658" s="391"/>
      <c r="CB658" s="391"/>
      <c r="CC658" s="391"/>
      <c r="CD658" s="391"/>
      <c r="CE658" s="391"/>
      <c r="CF658" s="391"/>
      <c r="CG658" s="391"/>
      <c r="CH658" s="391"/>
      <c r="CI658" s="391"/>
      <c r="CJ658" s="391"/>
      <c r="CK658" s="391"/>
      <c r="CM658" s="391"/>
      <c r="CN658" s="391"/>
      <c r="CO658" s="391"/>
      <c r="CP658" s="391"/>
      <c r="CR658" s="391"/>
      <c r="CS658" s="391"/>
      <c r="CX658" s="391"/>
      <c r="DA658" s="391"/>
      <c r="DB658" s="391"/>
      <c r="DC658" s="391"/>
      <c r="DD658" s="391"/>
      <c r="DE658" s="391"/>
      <c r="DF658" s="391"/>
      <c r="DG658" s="391"/>
      <c r="DH658" s="391"/>
      <c r="DI658" s="391"/>
      <c r="DJ658" s="391"/>
      <c r="DK658" s="391"/>
      <c r="DL658" s="391"/>
      <c r="DM658" s="391"/>
      <c r="DN658" s="391"/>
      <c r="DO658" s="391"/>
      <c r="DP658" s="391"/>
      <c r="DQ658" s="391"/>
      <c r="DR658" s="391"/>
      <c r="DS658" s="391"/>
      <c r="DT658" s="391"/>
      <c r="DU658" s="391"/>
      <c r="DV658" s="391"/>
      <c r="DW658" s="391"/>
      <c r="DX658" s="391"/>
      <c r="DY658" s="391"/>
      <c r="DZ658" s="391"/>
      <c r="EA658" s="391"/>
      <c r="EB658" s="391"/>
      <c r="EC658" s="391"/>
      <c r="ED658" s="391"/>
      <c r="EE658" s="391"/>
      <c r="EF658" s="391"/>
      <c r="EG658" s="391"/>
      <c r="EH658" s="391"/>
      <c r="EI658" s="391"/>
      <c r="EJ658" s="391"/>
      <c r="EK658" s="391"/>
      <c r="EL658" s="391"/>
      <c r="EM658" s="391"/>
      <c r="EN658" s="391"/>
      <c r="EO658" s="391"/>
      <c r="EP658" s="391"/>
      <c r="EQ658" s="391"/>
      <c r="ER658" s="391"/>
      <c r="ES658" s="391"/>
      <c r="ET658" s="391"/>
      <c r="EU658" s="391"/>
      <c r="EV658" s="391"/>
      <c r="EW658" s="391"/>
    </row>
    <row r="659" spans="1:153" s="400" customFormat="1">
      <c r="A659" s="391"/>
      <c r="E659" s="454"/>
      <c r="F659" s="454"/>
      <c r="G659" s="454"/>
      <c r="H659" s="454"/>
      <c r="I659" s="454"/>
      <c r="J659" s="404"/>
      <c r="K659" s="454"/>
      <c r="L659" s="454"/>
      <c r="M659" s="391"/>
      <c r="N659" s="391"/>
      <c r="O659" s="391"/>
      <c r="P659" s="391"/>
      <c r="Q659" s="391"/>
      <c r="R659" s="391"/>
      <c r="S659" s="391"/>
      <c r="T659" s="391"/>
      <c r="U659" s="391"/>
      <c r="V659" s="391"/>
      <c r="W659" s="391"/>
      <c r="X659" s="391"/>
      <c r="Y659" s="391"/>
      <c r="Z659" s="391"/>
      <c r="AA659" s="391"/>
      <c r="AB659" s="391"/>
      <c r="AC659" s="391"/>
      <c r="AD659" s="391"/>
      <c r="AE659" s="391"/>
      <c r="AF659" s="391"/>
      <c r="AG659" s="391"/>
      <c r="AH659" s="391"/>
      <c r="AI659" s="391"/>
      <c r="AJ659" s="391"/>
      <c r="AK659" s="391"/>
      <c r="AL659" s="391"/>
      <c r="AM659" s="391"/>
      <c r="AN659" s="391"/>
      <c r="AO659" s="391"/>
      <c r="AP659" s="391"/>
      <c r="AQ659" s="391"/>
      <c r="AR659" s="391"/>
      <c r="AS659" s="454"/>
      <c r="AT659" s="391"/>
      <c r="AU659" s="391"/>
      <c r="AV659" s="391"/>
      <c r="AW659" s="391"/>
      <c r="AX659" s="649"/>
      <c r="AY659" s="593"/>
      <c r="AZ659" s="391"/>
      <c r="BA659" s="391"/>
      <c r="BB659" s="651"/>
      <c r="BC659" s="651"/>
      <c r="BD659" s="402"/>
      <c r="BE659" s="402"/>
      <c r="BF659" s="402"/>
      <c r="BH659" s="594"/>
      <c r="BI659" s="594"/>
      <c r="BJ659" s="595"/>
      <c r="BK659" s="391"/>
      <c r="BL659" s="391"/>
      <c r="BM659" s="391"/>
      <c r="BN659" s="391"/>
      <c r="BO659" s="391"/>
      <c r="BP659" s="391"/>
      <c r="BQ659" s="391"/>
      <c r="BR659" s="391"/>
      <c r="BS659" s="391"/>
      <c r="BT659" s="391"/>
      <c r="BU659" s="391"/>
      <c r="BV659" s="391"/>
      <c r="BW659" s="391"/>
      <c r="BX659" s="391"/>
      <c r="BY659" s="391"/>
      <c r="BZ659" s="391"/>
      <c r="CA659" s="391"/>
      <c r="CB659" s="391"/>
      <c r="CC659" s="391"/>
      <c r="CD659" s="391"/>
      <c r="CE659" s="391"/>
      <c r="CF659" s="391"/>
      <c r="CG659" s="391"/>
      <c r="CH659" s="391"/>
      <c r="CI659" s="391"/>
      <c r="CJ659" s="391"/>
      <c r="CK659" s="391"/>
      <c r="CM659" s="391"/>
      <c r="CN659" s="391"/>
      <c r="CO659" s="391"/>
      <c r="CP659" s="391"/>
      <c r="CR659" s="391"/>
      <c r="CS659" s="391"/>
      <c r="CX659" s="391"/>
      <c r="DA659" s="391"/>
      <c r="DB659" s="391"/>
      <c r="DC659" s="391"/>
      <c r="DD659" s="391"/>
      <c r="DE659" s="391"/>
      <c r="DF659" s="391"/>
      <c r="DG659" s="391"/>
      <c r="DH659" s="391"/>
      <c r="DI659" s="391"/>
      <c r="DJ659" s="391"/>
      <c r="DK659" s="391"/>
      <c r="DL659" s="391"/>
      <c r="DM659" s="391"/>
      <c r="DN659" s="391"/>
      <c r="DO659" s="391"/>
      <c r="DP659" s="391"/>
      <c r="DQ659" s="391"/>
      <c r="DR659" s="391"/>
      <c r="DS659" s="391"/>
      <c r="DT659" s="391"/>
      <c r="DU659" s="391"/>
      <c r="DV659" s="391"/>
      <c r="DW659" s="391"/>
      <c r="DX659" s="391"/>
      <c r="DY659" s="391"/>
      <c r="DZ659" s="391"/>
      <c r="EA659" s="391"/>
      <c r="EB659" s="391"/>
      <c r="EC659" s="391"/>
      <c r="ED659" s="391"/>
      <c r="EE659" s="391"/>
      <c r="EF659" s="391"/>
      <c r="EG659" s="391"/>
      <c r="EH659" s="391"/>
      <c r="EI659" s="391"/>
      <c r="EJ659" s="391"/>
      <c r="EK659" s="391"/>
      <c r="EL659" s="391"/>
      <c r="EM659" s="391"/>
      <c r="EN659" s="391"/>
      <c r="EO659" s="391"/>
      <c r="EP659" s="391"/>
      <c r="EQ659" s="391"/>
      <c r="ER659" s="391"/>
      <c r="ES659" s="391"/>
      <c r="ET659" s="391"/>
      <c r="EU659" s="391"/>
      <c r="EV659" s="391"/>
      <c r="EW659" s="391"/>
    </row>
    <row r="660" spans="1:153" s="400" customFormat="1">
      <c r="A660" s="391"/>
      <c r="E660" s="454"/>
      <c r="F660" s="454"/>
      <c r="G660" s="454"/>
      <c r="H660" s="454"/>
      <c r="I660" s="454"/>
      <c r="J660" s="404"/>
      <c r="K660" s="454"/>
      <c r="L660" s="454"/>
      <c r="M660" s="391"/>
      <c r="N660" s="391"/>
      <c r="O660" s="391"/>
      <c r="P660" s="391"/>
      <c r="Q660" s="391"/>
      <c r="R660" s="391"/>
      <c r="S660" s="391"/>
      <c r="T660" s="391"/>
      <c r="U660" s="391"/>
      <c r="V660" s="391"/>
      <c r="W660" s="391"/>
      <c r="X660" s="391"/>
      <c r="Y660" s="391"/>
      <c r="Z660" s="391"/>
      <c r="AA660" s="391"/>
      <c r="AB660" s="391"/>
      <c r="AC660" s="391"/>
      <c r="AD660" s="391"/>
      <c r="AE660" s="391"/>
      <c r="AF660" s="391"/>
      <c r="AG660" s="391"/>
      <c r="AH660" s="391"/>
      <c r="AI660" s="391"/>
      <c r="AJ660" s="391"/>
      <c r="AK660" s="391"/>
      <c r="AL660" s="391"/>
      <c r="AM660" s="391"/>
      <c r="AN660" s="391"/>
      <c r="AO660" s="391"/>
      <c r="AP660" s="391"/>
      <c r="AQ660" s="391"/>
      <c r="AR660" s="391"/>
      <c r="AS660" s="454"/>
      <c r="AT660" s="391"/>
      <c r="AU660" s="391"/>
      <c r="AV660" s="391"/>
      <c r="AW660" s="391"/>
      <c r="AX660" s="649"/>
      <c r="AY660" s="593"/>
      <c r="AZ660" s="391"/>
      <c r="BA660" s="391"/>
      <c r="BB660" s="651"/>
      <c r="BC660" s="651"/>
      <c r="BD660" s="402"/>
      <c r="BE660" s="402"/>
      <c r="BF660" s="402"/>
      <c r="BH660" s="594"/>
      <c r="BI660" s="594"/>
      <c r="BJ660" s="595"/>
      <c r="BK660" s="391"/>
      <c r="BL660" s="391"/>
      <c r="BM660" s="391"/>
      <c r="BN660" s="391"/>
      <c r="BO660" s="391"/>
      <c r="BP660" s="391"/>
      <c r="BQ660" s="391"/>
      <c r="BR660" s="391"/>
      <c r="BS660" s="391"/>
      <c r="BT660" s="391"/>
      <c r="BU660" s="391"/>
      <c r="BV660" s="391"/>
      <c r="BW660" s="391"/>
      <c r="BX660" s="391"/>
      <c r="BY660" s="391"/>
      <c r="BZ660" s="391"/>
      <c r="CA660" s="391"/>
      <c r="CB660" s="391"/>
      <c r="CC660" s="391"/>
      <c r="CD660" s="391"/>
      <c r="CE660" s="391"/>
      <c r="CF660" s="391"/>
      <c r="CG660" s="391"/>
      <c r="CH660" s="391"/>
      <c r="CI660" s="391"/>
      <c r="CJ660" s="391"/>
      <c r="CK660" s="391"/>
      <c r="CM660" s="391"/>
      <c r="CN660" s="391"/>
      <c r="CO660" s="391"/>
      <c r="CP660" s="391"/>
      <c r="CR660" s="391"/>
      <c r="CS660" s="391"/>
      <c r="CX660" s="391"/>
      <c r="DA660" s="391"/>
      <c r="DB660" s="391"/>
      <c r="DC660" s="391"/>
      <c r="DD660" s="391"/>
      <c r="DE660" s="391"/>
      <c r="DF660" s="391"/>
      <c r="DG660" s="391"/>
      <c r="DH660" s="391"/>
      <c r="DI660" s="391"/>
      <c r="DJ660" s="391"/>
      <c r="DK660" s="391"/>
      <c r="DL660" s="391"/>
      <c r="DM660" s="391"/>
      <c r="DN660" s="391"/>
      <c r="DO660" s="391"/>
      <c r="DP660" s="391"/>
      <c r="DQ660" s="391"/>
      <c r="DR660" s="391"/>
      <c r="DS660" s="391"/>
      <c r="DT660" s="391"/>
      <c r="DU660" s="391"/>
      <c r="DV660" s="391"/>
      <c r="DW660" s="391"/>
      <c r="DX660" s="391"/>
      <c r="DY660" s="391"/>
      <c r="DZ660" s="391"/>
      <c r="EA660" s="391"/>
      <c r="EB660" s="391"/>
      <c r="EC660" s="391"/>
      <c r="ED660" s="391"/>
      <c r="EE660" s="391"/>
      <c r="EF660" s="391"/>
      <c r="EG660" s="391"/>
      <c r="EH660" s="391"/>
      <c r="EI660" s="391"/>
      <c r="EJ660" s="391"/>
      <c r="EK660" s="391"/>
      <c r="EL660" s="391"/>
      <c r="EM660" s="391"/>
      <c r="EN660" s="391"/>
      <c r="EO660" s="391"/>
      <c r="EP660" s="391"/>
      <c r="EQ660" s="391"/>
      <c r="ER660" s="391"/>
      <c r="ES660" s="391"/>
      <c r="ET660" s="391"/>
      <c r="EU660" s="391"/>
      <c r="EV660" s="391"/>
      <c r="EW660" s="391"/>
    </row>
    <row r="661" spans="1:153" s="400" customFormat="1">
      <c r="A661" s="391"/>
      <c r="E661" s="454"/>
      <c r="F661" s="454"/>
      <c r="G661" s="454"/>
      <c r="H661" s="454"/>
      <c r="I661" s="454"/>
      <c r="J661" s="404"/>
      <c r="K661" s="454"/>
      <c r="L661" s="454"/>
      <c r="M661" s="391"/>
      <c r="N661" s="391"/>
      <c r="O661" s="391"/>
      <c r="P661" s="391"/>
      <c r="Q661" s="391"/>
      <c r="R661" s="391"/>
      <c r="S661" s="391"/>
      <c r="T661" s="391"/>
      <c r="U661" s="391"/>
      <c r="V661" s="391"/>
      <c r="W661" s="391"/>
      <c r="X661" s="391"/>
      <c r="Y661" s="391"/>
      <c r="Z661" s="391"/>
      <c r="AA661" s="391"/>
      <c r="AB661" s="391"/>
      <c r="AC661" s="391"/>
      <c r="AD661" s="391"/>
      <c r="AE661" s="391"/>
      <c r="AF661" s="391"/>
      <c r="AG661" s="391"/>
      <c r="AH661" s="391"/>
      <c r="AI661" s="391"/>
      <c r="AJ661" s="391"/>
      <c r="AK661" s="391"/>
      <c r="AL661" s="391"/>
      <c r="AM661" s="391"/>
      <c r="AN661" s="391"/>
      <c r="AO661" s="391"/>
      <c r="AP661" s="391"/>
      <c r="AQ661" s="391"/>
      <c r="AR661" s="391"/>
      <c r="AS661" s="454"/>
      <c r="AT661" s="391"/>
      <c r="AU661" s="391"/>
      <c r="AV661" s="391"/>
      <c r="AW661" s="391"/>
      <c r="AX661" s="649"/>
      <c r="AY661" s="593"/>
      <c r="AZ661" s="391"/>
      <c r="BA661" s="391"/>
      <c r="BB661" s="651"/>
      <c r="BC661" s="651"/>
      <c r="BD661" s="402"/>
      <c r="BE661" s="402"/>
      <c r="BF661" s="402"/>
      <c r="BH661" s="594"/>
      <c r="BI661" s="594"/>
      <c r="BJ661" s="595"/>
      <c r="BK661" s="391"/>
      <c r="BL661" s="391"/>
      <c r="BM661" s="391"/>
      <c r="BN661" s="391"/>
      <c r="BO661" s="391"/>
      <c r="BP661" s="391"/>
      <c r="BQ661" s="391"/>
      <c r="BR661" s="391"/>
      <c r="BS661" s="391"/>
      <c r="BT661" s="391"/>
      <c r="BU661" s="391"/>
      <c r="BV661" s="391"/>
      <c r="BW661" s="391"/>
      <c r="BX661" s="391"/>
      <c r="BY661" s="391"/>
      <c r="BZ661" s="391"/>
      <c r="CA661" s="391"/>
      <c r="CB661" s="391"/>
      <c r="CC661" s="391"/>
      <c r="CD661" s="391"/>
      <c r="CE661" s="391"/>
      <c r="CF661" s="391"/>
      <c r="CG661" s="391"/>
      <c r="CH661" s="391"/>
      <c r="CI661" s="391"/>
      <c r="CJ661" s="391"/>
      <c r="CK661" s="391"/>
      <c r="CM661" s="391"/>
      <c r="CN661" s="391"/>
      <c r="CO661" s="391"/>
      <c r="CP661" s="391"/>
      <c r="CR661" s="391"/>
      <c r="CS661" s="391"/>
      <c r="CX661" s="391"/>
      <c r="DA661" s="391"/>
      <c r="DB661" s="391"/>
      <c r="DC661" s="391"/>
      <c r="DD661" s="391"/>
      <c r="DE661" s="391"/>
      <c r="DF661" s="391"/>
      <c r="DG661" s="391"/>
      <c r="DH661" s="391"/>
      <c r="DI661" s="391"/>
      <c r="DJ661" s="391"/>
      <c r="DK661" s="391"/>
      <c r="DL661" s="391"/>
      <c r="DM661" s="391"/>
      <c r="DN661" s="391"/>
      <c r="DO661" s="391"/>
      <c r="DP661" s="391"/>
      <c r="DQ661" s="391"/>
      <c r="DR661" s="391"/>
      <c r="DS661" s="391"/>
      <c r="DT661" s="391"/>
      <c r="DU661" s="391"/>
      <c r="DV661" s="391"/>
      <c r="DW661" s="391"/>
      <c r="DX661" s="391"/>
      <c r="DY661" s="391"/>
      <c r="DZ661" s="391"/>
      <c r="EA661" s="391"/>
      <c r="EB661" s="391"/>
      <c r="EC661" s="391"/>
      <c r="ED661" s="391"/>
      <c r="EE661" s="391"/>
      <c r="EF661" s="391"/>
      <c r="EG661" s="391"/>
      <c r="EH661" s="391"/>
      <c r="EI661" s="391"/>
      <c r="EJ661" s="391"/>
      <c r="EK661" s="391"/>
      <c r="EL661" s="391"/>
      <c r="EM661" s="391"/>
      <c r="EN661" s="391"/>
      <c r="EO661" s="391"/>
      <c r="EP661" s="391"/>
      <c r="EQ661" s="391"/>
      <c r="ER661" s="391"/>
      <c r="ES661" s="391"/>
      <c r="ET661" s="391"/>
      <c r="EU661" s="391"/>
      <c r="EV661" s="391"/>
      <c r="EW661" s="391"/>
    </row>
    <row r="662" spans="1:153" s="400" customFormat="1">
      <c r="A662" s="391"/>
      <c r="E662" s="454"/>
      <c r="F662" s="454"/>
      <c r="G662" s="454"/>
      <c r="H662" s="454"/>
      <c r="I662" s="454"/>
      <c r="J662" s="404"/>
      <c r="K662" s="454"/>
      <c r="L662" s="454"/>
      <c r="M662" s="391"/>
      <c r="N662" s="391"/>
      <c r="O662" s="391"/>
      <c r="P662" s="391"/>
      <c r="Q662" s="391"/>
      <c r="R662" s="391"/>
      <c r="S662" s="391"/>
      <c r="T662" s="391"/>
      <c r="U662" s="391"/>
      <c r="V662" s="391"/>
      <c r="W662" s="391"/>
      <c r="X662" s="391"/>
      <c r="Y662" s="391"/>
      <c r="Z662" s="391"/>
      <c r="AA662" s="391"/>
      <c r="AB662" s="391"/>
      <c r="AC662" s="391"/>
      <c r="AD662" s="391"/>
      <c r="AE662" s="391"/>
      <c r="AF662" s="391"/>
      <c r="AG662" s="391"/>
      <c r="AH662" s="391"/>
      <c r="AI662" s="391"/>
      <c r="AJ662" s="391"/>
      <c r="AK662" s="391"/>
      <c r="AL662" s="391"/>
      <c r="AM662" s="391"/>
      <c r="AN662" s="391"/>
      <c r="AO662" s="391"/>
      <c r="AP662" s="391"/>
      <c r="AQ662" s="391"/>
      <c r="AR662" s="391"/>
      <c r="AS662" s="454"/>
      <c r="AT662" s="391"/>
      <c r="AU662" s="391"/>
      <c r="AV662" s="391"/>
      <c r="AW662" s="391"/>
      <c r="AX662" s="649"/>
      <c r="AY662" s="593"/>
      <c r="AZ662" s="391"/>
      <c r="BA662" s="391"/>
      <c r="BB662" s="651"/>
      <c r="BC662" s="651"/>
      <c r="BD662" s="402"/>
      <c r="BE662" s="402"/>
      <c r="BF662" s="402"/>
      <c r="BH662" s="594"/>
      <c r="BI662" s="594"/>
      <c r="BJ662" s="595"/>
      <c r="BK662" s="391"/>
      <c r="BL662" s="391"/>
      <c r="BM662" s="391"/>
      <c r="BN662" s="391"/>
      <c r="BO662" s="391"/>
      <c r="BP662" s="391"/>
      <c r="BQ662" s="391"/>
      <c r="BR662" s="391"/>
      <c r="BS662" s="391"/>
      <c r="BT662" s="391"/>
      <c r="BU662" s="391"/>
      <c r="BV662" s="391"/>
      <c r="BW662" s="391"/>
      <c r="BX662" s="391"/>
      <c r="BY662" s="391"/>
      <c r="BZ662" s="391"/>
      <c r="CA662" s="391"/>
      <c r="CB662" s="391"/>
      <c r="CC662" s="391"/>
      <c r="CD662" s="391"/>
      <c r="CE662" s="391"/>
      <c r="CF662" s="391"/>
      <c r="CG662" s="391"/>
      <c r="CH662" s="391"/>
      <c r="CI662" s="391"/>
      <c r="CJ662" s="391"/>
      <c r="CK662" s="391"/>
      <c r="CM662" s="391"/>
      <c r="CN662" s="391"/>
      <c r="CO662" s="391"/>
      <c r="CP662" s="391"/>
      <c r="CR662" s="391"/>
      <c r="CS662" s="391"/>
      <c r="CX662" s="391"/>
      <c r="DA662" s="391"/>
      <c r="DB662" s="391"/>
      <c r="DC662" s="391"/>
      <c r="DD662" s="391"/>
      <c r="DE662" s="391"/>
      <c r="DF662" s="391"/>
      <c r="DG662" s="391"/>
      <c r="DH662" s="391"/>
      <c r="DI662" s="391"/>
      <c r="DJ662" s="391"/>
      <c r="DK662" s="391"/>
      <c r="DL662" s="391"/>
      <c r="DM662" s="391"/>
      <c r="DN662" s="391"/>
      <c r="DO662" s="391"/>
      <c r="DP662" s="391"/>
      <c r="DQ662" s="391"/>
      <c r="DR662" s="391"/>
      <c r="DS662" s="391"/>
      <c r="DT662" s="391"/>
      <c r="DU662" s="391"/>
      <c r="DV662" s="391"/>
      <c r="DW662" s="391"/>
      <c r="DX662" s="391"/>
      <c r="DY662" s="391"/>
      <c r="DZ662" s="391"/>
      <c r="EA662" s="391"/>
      <c r="EB662" s="391"/>
      <c r="EC662" s="391"/>
      <c r="ED662" s="391"/>
      <c r="EE662" s="391"/>
      <c r="EF662" s="391"/>
      <c r="EG662" s="391"/>
      <c r="EH662" s="391"/>
      <c r="EI662" s="391"/>
      <c r="EJ662" s="391"/>
      <c r="EK662" s="391"/>
      <c r="EL662" s="391"/>
      <c r="EM662" s="391"/>
      <c r="EN662" s="391"/>
      <c r="EO662" s="391"/>
      <c r="EP662" s="391"/>
      <c r="EQ662" s="391"/>
      <c r="ER662" s="391"/>
      <c r="ES662" s="391"/>
      <c r="ET662" s="391"/>
      <c r="EU662" s="391"/>
      <c r="EV662" s="391"/>
      <c r="EW662" s="391"/>
    </row>
    <row r="663" spans="1:153" s="400" customFormat="1">
      <c r="A663" s="391"/>
      <c r="E663" s="454"/>
      <c r="F663" s="454"/>
      <c r="G663" s="454"/>
      <c r="H663" s="454"/>
      <c r="I663" s="454"/>
      <c r="J663" s="404"/>
      <c r="K663" s="454"/>
      <c r="L663" s="454"/>
      <c r="M663" s="391"/>
      <c r="N663" s="391"/>
      <c r="O663" s="391"/>
      <c r="P663" s="391"/>
      <c r="Q663" s="391"/>
      <c r="R663" s="391"/>
      <c r="S663" s="391"/>
      <c r="T663" s="391"/>
      <c r="U663" s="391"/>
      <c r="V663" s="391"/>
      <c r="W663" s="391"/>
      <c r="X663" s="391"/>
      <c r="Y663" s="391"/>
      <c r="Z663" s="391"/>
      <c r="AA663" s="391"/>
      <c r="AB663" s="391"/>
      <c r="AC663" s="391"/>
      <c r="AD663" s="391"/>
      <c r="AE663" s="391"/>
      <c r="AF663" s="391"/>
      <c r="AG663" s="391"/>
      <c r="AH663" s="391"/>
      <c r="AI663" s="391"/>
      <c r="AJ663" s="391"/>
      <c r="AK663" s="391"/>
      <c r="AL663" s="391"/>
      <c r="AM663" s="391"/>
      <c r="AN663" s="391"/>
      <c r="AO663" s="391"/>
      <c r="AP663" s="391"/>
      <c r="AQ663" s="391"/>
      <c r="AR663" s="391"/>
      <c r="AS663" s="454"/>
      <c r="AT663" s="391"/>
      <c r="AU663" s="391"/>
      <c r="AV663" s="391"/>
      <c r="AW663" s="391"/>
      <c r="AX663" s="649"/>
      <c r="AY663" s="593"/>
      <c r="AZ663" s="391"/>
      <c r="BA663" s="391"/>
      <c r="BB663" s="651"/>
      <c r="BC663" s="651"/>
      <c r="BD663" s="402"/>
      <c r="BE663" s="402"/>
      <c r="BF663" s="402"/>
      <c r="BH663" s="594"/>
      <c r="BI663" s="594"/>
      <c r="BJ663" s="595"/>
      <c r="BK663" s="391"/>
      <c r="BL663" s="391"/>
      <c r="BM663" s="391"/>
      <c r="BN663" s="391"/>
      <c r="BO663" s="391"/>
      <c r="BP663" s="391"/>
      <c r="BQ663" s="391"/>
      <c r="BR663" s="391"/>
      <c r="BS663" s="391"/>
      <c r="BT663" s="391"/>
      <c r="BU663" s="391"/>
      <c r="BV663" s="391"/>
      <c r="BW663" s="391"/>
      <c r="BX663" s="391"/>
      <c r="BY663" s="391"/>
      <c r="BZ663" s="391"/>
      <c r="CA663" s="391"/>
      <c r="CB663" s="391"/>
      <c r="CC663" s="391"/>
      <c r="CD663" s="391"/>
      <c r="CE663" s="391"/>
      <c r="CF663" s="391"/>
      <c r="CG663" s="391"/>
      <c r="CH663" s="391"/>
      <c r="CI663" s="391"/>
      <c r="CJ663" s="391"/>
      <c r="CK663" s="391"/>
      <c r="CM663" s="391"/>
      <c r="CN663" s="391"/>
      <c r="CO663" s="391"/>
      <c r="CP663" s="391"/>
      <c r="CR663" s="391"/>
      <c r="CS663" s="391"/>
      <c r="CX663" s="391"/>
      <c r="DA663" s="391"/>
      <c r="DB663" s="391"/>
      <c r="DC663" s="391"/>
      <c r="DD663" s="391"/>
      <c r="DE663" s="391"/>
      <c r="DF663" s="391"/>
      <c r="DG663" s="391"/>
      <c r="DH663" s="391"/>
      <c r="DI663" s="391"/>
      <c r="DJ663" s="391"/>
      <c r="DK663" s="391"/>
      <c r="DL663" s="391"/>
      <c r="DM663" s="391"/>
      <c r="DN663" s="391"/>
      <c r="DO663" s="391"/>
      <c r="DP663" s="391"/>
      <c r="DQ663" s="391"/>
      <c r="DR663" s="391"/>
      <c r="DS663" s="391"/>
      <c r="DT663" s="391"/>
      <c r="DU663" s="391"/>
      <c r="DV663" s="391"/>
      <c r="DW663" s="391"/>
      <c r="DX663" s="391"/>
      <c r="DY663" s="391"/>
      <c r="DZ663" s="391"/>
      <c r="EA663" s="391"/>
      <c r="EB663" s="391"/>
      <c r="EC663" s="391"/>
      <c r="ED663" s="391"/>
      <c r="EE663" s="391"/>
      <c r="EF663" s="391"/>
      <c r="EG663" s="391"/>
      <c r="EH663" s="391"/>
      <c r="EI663" s="391"/>
      <c r="EJ663" s="391"/>
      <c r="EK663" s="391"/>
      <c r="EL663" s="391"/>
      <c r="EM663" s="391"/>
      <c r="EN663" s="391"/>
      <c r="EO663" s="391"/>
      <c r="EP663" s="391"/>
      <c r="EQ663" s="391"/>
      <c r="ER663" s="391"/>
      <c r="ES663" s="391"/>
      <c r="ET663" s="391"/>
      <c r="EU663" s="391"/>
      <c r="EV663" s="391"/>
      <c r="EW663" s="391"/>
    </row>
    <row r="664" spans="1:153" s="400" customFormat="1">
      <c r="A664" s="391"/>
      <c r="E664" s="454"/>
      <c r="F664" s="454"/>
      <c r="G664" s="454"/>
      <c r="H664" s="454"/>
      <c r="I664" s="454"/>
      <c r="J664" s="404"/>
      <c r="K664" s="454"/>
      <c r="L664" s="454"/>
      <c r="M664" s="391"/>
      <c r="N664" s="391"/>
      <c r="O664" s="391"/>
      <c r="P664" s="391"/>
      <c r="Q664" s="391"/>
      <c r="R664" s="391"/>
      <c r="S664" s="391"/>
      <c r="T664" s="391"/>
      <c r="U664" s="391"/>
      <c r="V664" s="391"/>
      <c r="W664" s="391"/>
      <c r="X664" s="391"/>
      <c r="Y664" s="391"/>
      <c r="Z664" s="391"/>
      <c r="AA664" s="391"/>
      <c r="AB664" s="391"/>
      <c r="AC664" s="391"/>
      <c r="AD664" s="391"/>
      <c r="AE664" s="391"/>
      <c r="AF664" s="391"/>
      <c r="AG664" s="391"/>
      <c r="AH664" s="391"/>
      <c r="AI664" s="391"/>
      <c r="AJ664" s="391"/>
      <c r="AK664" s="391"/>
      <c r="AL664" s="391"/>
      <c r="AM664" s="391"/>
      <c r="AN664" s="391"/>
      <c r="AO664" s="391"/>
      <c r="AP664" s="391"/>
      <c r="AQ664" s="391"/>
      <c r="AR664" s="391"/>
      <c r="AS664" s="454"/>
      <c r="AT664" s="391"/>
      <c r="AU664" s="391"/>
      <c r="AV664" s="391"/>
      <c r="AW664" s="391"/>
      <c r="AX664" s="649"/>
      <c r="AY664" s="593"/>
      <c r="AZ664" s="391"/>
      <c r="BA664" s="391"/>
      <c r="BB664" s="651"/>
      <c r="BC664" s="651"/>
      <c r="BD664" s="402"/>
      <c r="BE664" s="402"/>
      <c r="BF664" s="402"/>
      <c r="BH664" s="594"/>
      <c r="BI664" s="594"/>
      <c r="BJ664" s="595"/>
      <c r="BK664" s="391"/>
      <c r="BL664" s="391"/>
      <c r="BM664" s="391"/>
      <c r="BN664" s="391"/>
      <c r="BO664" s="391"/>
      <c r="BP664" s="391"/>
      <c r="BQ664" s="391"/>
      <c r="BR664" s="391"/>
      <c r="BS664" s="391"/>
      <c r="BT664" s="391"/>
      <c r="BU664" s="391"/>
      <c r="BV664" s="391"/>
      <c r="BW664" s="391"/>
      <c r="BX664" s="391"/>
      <c r="BY664" s="391"/>
      <c r="BZ664" s="391"/>
      <c r="CA664" s="391"/>
      <c r="CB664" s="391"/>
      <c r="CC664" s="391"/>
      <c r="CD664" s="391"/>
      <c r="CE664" s="391"/>
      <c r="CF664" s="391"/>
      <c r="CG664" s="391"/>
      <c r="CH664" s="391"/>
      <c r="CI664" s="391"/>
      <c r="CJ664" s="391"/>
      <c r="CK664" s="391"/>
      <c r="CM664" s="391"/>
      <c r="CN664" s="391"/>
      <c r="CO664" s="391"/>
      <c r="CP664" s="391"/>
      <c r="CR664" s="391"/>
      <c r="CS664" s="391"/>
      <c r="CX664" s="391"/>
      <c r="DA664" s="391"/>
      <c r="DB664" s="391"/>
      <c r="DC664" s="391"/>
      <c r="DD664" s="391"/>
      <c r="DE664" s="391"/>
      <c r="DF664" s="391"/>
      <c r="DG664" s="391"/>
      <c r="DH664" s="391"/>
      <c r="DI664" s="391"/>
      <c r="DJ664" s="391"/>
      <c r="DK664" s="391"/>
      <c r="DL664" s="391"/>
      <c r="DM664" s="391"/>
      <c r="DN664" s="391"/>
      <c r="DO664" s="391"/>
      <c r="DP664" s="391"/>
      <c r="DQ664" s="391"/>
      <c r="DR664" s="391"/>
      <c r="DS664" s="391"/>
      <c r="DT664" s="391"/>
      <c r="DU664" s="391"/>
      <c r="DV664" s="391"/>
      <c r="DW664" s="391"/>
      <c r="DX664" s="391"/>
      <c r="DY664" s="391"/>
      <c r="DZ664" s="391"/>
      <c r="EA664" s="391"/>
      <c r="EB664" s="391"/>
      <c r="EC664" s="391"/>
      <c r="ED664" s="391"/>
      <c r="EE664" s="391"/>
      <c r="EF664" s="391"/>
      <c r="EG664" s="391"/>
      <c r="EH664" s="391"/>
      <c r="EI664" s="391"/>
      <c r="EJ664" s="391"/>
      <c r="EK664" s="391"/>
      <c r="EL664" s="391"/>
      <c r="EM664" s="391"/>
      <c r="EN664" s="391"/>
      <c r="EO664" s="391"/>
      <c r="EP664" s="391"/>
      <c r="EQ664" s="391"/>
      <c r="ER664" s="391"/>
      <c r="ES664" s="391"/>
      <c r="ET664" s="391"/>
      <c r="EU664" s="391"/>
      <c r="EV664" s="391"/>
      <c r="EW664" s="391"/>
    </row>
    <row r="665" spans="1:153" s="400" customFormat="1">
      <c r="A665" s="391"/>
      <c r="E665" s="454"/>
      <c r="F665" s="454"/>
      <c r="G665" s="454"/>
      <c r="H665" s="454"/>
      <c r="I665" s="454"/>
      <c r="J665" s="404"/>
      <c r="K665" s="454"/>
      <c r="L665" s="454"/>
      <c r="M665" s="391"/>
      <c r="N665" s="391"/>
      <c r="O665" s="391"/>
      <c r="P665" s="391"/>
      <c r="Q665" s="391"/>
      <c r="R665" s="391"/>
      <c r="S665" s="391"/>
      <c r="T665" s="391"/>
      <c r="U665" s="391"/>
      <c r="V665" s="391"/>
      <c r="W665" s="391"/>
      <c r="X665" s="391"/>
      <c r="Y665" s="391"/>
      <c r="Z665" s="391"/>
      <c r="AA665" s="391"/>
      <c r="AB665" s="391"/>
      <c r="AC665" s="391"/>
      <c r="AD665" s="391"/>
      <c r="AE665" s="391"/>
      <c r="AF665" s="391"/>
      <c r="AG665" s="391"/>
      <c r="AH665" s="391"/>
      <c r="AI665" s="391"/>
      <c r="AJ665" s="391"/>
      <c r="AK665" s="391"/>
      <c r="AL665" s="391"/>
      <c r="AM665" s="391"/>
      <c r="AN665" s="391"/>
      <c r="AO665" s="391"/>
      <c r="AP665" s="391"/>
      <c r="AQ665" s="391"/>
      <c r="AR665" s="391"/>
      <c r="AS665" s="454"/>
      <c r="AT665" s="391"/>
      <c r="AU665" s="391"/>
      <c r="AV665" s="391"/>
      <c r="AW665" s="391"/>
      <c r="AX665" s="649"/>
      <c r="AY665" s="593"/>
      <c r="AZ665" s="391"/>
      <c r="BA665" s="391"/>
      <c r="BB665" s="651"/>
      <c r="BC665" s="651"/>
      <c r="BD665" s="402"/>
      <c r="BE665" s="402"/>
      <c r="BF665" s="402"/>
      <c r="BH665" s="594"/>
      <c r="BI665" s="594"/>
      <c r="BJ665" s="595"/>
      <c r="BK665" s="391"/>
      <c r="BL665" s="391"/>
      <c r="BM665" s="391"/>
      <c r="BN665" s="391"/>
      <c r="BO665" s="391"/>
      <c r="BP665" s="391"/>
      <c r="BQ665" s="391"/>
      <c r="BR665" s="391"/>
      <c r="BS665" s="391"/>
      <c r="BT665" s="391"/>
      <c r="BU665" s="391"/>
      <c r="BV665" s="391"/>
      <c r="BW665" s="391"/>
      <c r="BX665" s="391"/>
      <c r="BY665" s="391"/>
      <c r="BZ665" s="391"/>
      <c r="CA665" s="391"/>
      <c r="CB665" s="391"/>
      <c r="CC665" s="391"/>
      <c r="CD665" s="391"/>
      <c r="CE665" s="391"/>
      <c r="CF665" s="391"/>
      <c r="CG665" s="391"/>
      <c r="CH665" s="391"/>
      <c r="CI665" s="391"/>
      <c r="CJ665" s="391"/>
      <c r="CK665" s="391"/>
      <c r="CM665" s="391"/>
      <c r="CN665" s="391"/>
      <c r="CO665" s="391"/>
      <c r="CP665" s="391"/>
      <c r="CR665" s="391"/>
      <c r="CS665" s="391"/>
      <c r="CX665" s="391"/>
      <c r="DA665" s="391"/>
      <c r="DB665" s="391"/>
      <c r="DC665" s="391"/>
      <c r="DD665" s="391"/>
      <c r="DE665" s="391"/>
      <c r="DF665" s="391"/>
      <c r="DG665" s="391"/>
      <c r="DH665" s="391"/>
      <c r="DI665" s="391"/>
      <c r="DJ665" s="391"/>
      <c r="DK665" s="391"/>
      <c r="DL665" s="391"/>
      <c r="DM665" s="391"/>
      <c r="DN665" s="391"/>
      <c r="DO665" s="391"/>
      <c r="DP665" s="391"/>
      <c r="DQ665" s="391"/>
      <c r="DR665" s="391"/>
      <c r="DS665" s="391"/>
      <c r="DT665" s="391"/>
      <c r="DU665" s="391"/>
      <c r="DV665" s="391"/>
      <c r="DW665" s="391"/>
      <c r="DX665" s="391"/>
      <c r="DY665" s="391"/>
      <c r="DZ665" s="391"/>
      <c r="EA665" s="391"/>
      <c r="EB665" s="391"/>
      <c r="EC665" s="391"/>
      <c r="ED665" s="391"/>
      <c r="EE665" s="391"/>
      <c r="EF665" s="391"/>
      <c r="EG665" s="391"/>
      <c r="EH665" s="391"/>
      <c r="EI665" s="391"/>
      <c r="EJ665" s="391"/>
      <c r="EK665" s="391"/>
      <c r="EL665" s="391"/>
      <c r="EM665" s="391"/>
      <c r="EN665" s="391"/>
      <c r="EO665" s="391"/>
      <c r="EP665" s="391"/>
      <c r="EQ665" s="391"/>
      <c r="ER665" s="391"/>
      <c r="ES665" s="391"/>
      <c r="ET665" s="391"/>
      <c r="EU665" s="391"/>
      <c r="EV665" s="391"/>
      <c r="EW665" s="391"/>
    </row>
    <row r="666" spans="1:153" s="400" customFormat="1">
      <c r="A666" s="391"/>
      <c r="E666" s="454"/>
      <c r="F666" s="454"/>
      <c r="G666" s="454"/>
      <c r="H666" s="454"/>
      <c r="I666" s="454"/>
      <c r="J666" s="404"/>
      <c r="K666" s="454"/>
      <c r="L666" s="454"/>
      <c r="M666" s="391"/>
      <c r="N666" s="391"/>
      <c r="O666" s="391"/>
      <c r="P666" s="391"/>
      <c r="Q666" s="391"/>
      <c r="R666" s="391"/>
      <c r="S666" s="391"/>
      <c r="T666" s="391"/>
      <c r="U666" s="391"/>
      <c r="V666" s="391"/>
      <c r="W666" s="391"/>
      <c r="X666" s="391"/>
      <c r="Y666" s="391"/>
      <c r="Z666" s="391"/>
      <c r="AA666" s="391"/>
      <c r="AB666" s="391"/>
      <c r="AC666" s="391"/>
      <c r="AD666" s="391"/>
      <c r="AE666" s="391"/>
      <c r="AF666" s="391"/>
      <c r="AG666" s="391"/>
      <c r="AH666" s="391"/>
      <c r="AI666" s="391"/>
      <c r="AJ666" s="391"/>
      <c r="AK666" s="391"/>
      <c r="AL666" s="391"/>
      <c r="AM666" s="391"/>
      <c r="AN666" s="391"/>
      <c r="AO666" s="391"/>
      <c r="AP666" s="391"/>
      <c r="AQ666" s="391"/>
      <c r="AR666" s="391"/>
      <c r="AS666" s="454"/>
      <c r="AT666" s="391"/>
      <c r="AU666" s="391"/>
      <c r="AV666" s="391"/>
      <c r="AW666" s="391"/>
      <c r="AX666" s="649"/>
      <c r="AY666" s="593"/>
      <c r="AZ666" s="391"/>
      <c r="BA666" s="391"/>
      <c r="BB666" s="651"/>
      <c r="BC666" s="651"/>
      <c r="BD666" s="402"/>
      <c r="BE666" s="402"/>
      <c r="BF666" s="402"/>
      <c r="BH666" s="594"/>
      <c r="BI666" s="594"/>
      <c r="BJ666" s="595"/>
      <c r="BK666" s="391"/>
      <c r="BL666" s="391"/>
      <c r="BM666" s="391"/>
      <c r="BN666" s="391"/>
      <c r="BO666" s="391"/>
      <c r="BP666" s="391"/>
      <c r="BQ666" s="391"/>
      <c r="BR666" s="391"/>
      <c r="BS666" s="391"/>
      <c r="BT666" s="391"/>
      <c r="BU666" s="391"/>
      <c r="BV666" s="391"/>
      <c r="BW666" s="391"/>
      <c r="BX666" s="391"/>
      <c r="BY666" s="391"/>
      <c r="BZ666" s="391"/>
      <c r="CA666" s="391"/>
      <c r="CB666" s="391"/>
      <c r="CC666" s="391"/>
      <c r="CD666" s="391"/>
      <c r="CE666" s="391"/>
      <c r="CF666" s="391"/>
      <c r="CG666" s="391"/>
      <c r="CH666" s="391"/>
      <c r="CI666" s="391"/>
      <c r="CJ666" s="391"/>
      <c r="CK666" s="391"/>
      <c r="CM666" s="391"/>
      <c r="CN666" s="391"/>
      <c r="CO666" s="391"/>
      <c r="CP666" s="391"/>
      <c r="CR666" s="391"/>
      <c r="CS666" s="391"/>
      <c r="CX666" s="391"/>
      <c r="DA666" s="391"/>
      <c r="DB666" s="391"/>
      <c r="DC666" s="391"/>
      <c r="DD666" s="391"/>
      <c r="DE666" s="391"/>
      <c r="DF666" s="391"/>
      <c r="DG666" s="391"/>
      <c r="DH666" s="391"/>
      <c r="DI666" s="391"/>
      <c r="DJ666" s="391"/>
      <c r="DK666" s="391"/>
      <c r="DL666" s="391"/>
      <c r="DM666" s="391"/>
      <c r="DN666" s="391"/>
      <c r="DO666" s="391"/>
      <c r="DP666" s="391"/>
      <c r="DQ666" s="391"/>
      <c r="DR666" s="391"/>
      <c r="DS666" s="391"/>
      <c r="DT666" s="391"/>
      <c r="DU666" s="391"/>
      <c r="DV666" s="391"/>
      <c r="DW666" s="391"/>
      <c r="DX666" s="391"/>
      <c r="DY666" s="391"/>
      <c r="DZ666" s="391"/>
      <c r="EA666" s="391"/>
      <c r="EB666" s="391"/>
      <c r="EC666" s="391"/>
      <c r="ED666" s="391"/>
      <c r="EE666" s="391"/>
      <c r="EF666" s="391"/>
      <c r="EG666" s="391"/>
      <c r="EH666" s="391"/>
      <c r="EI666" s="391"/>
      <c r="EJ666" s="391"/>
      <c r="EK666" s="391"/>
      <c r="EL666" s="391"/>
      <c r="EM666" s="391"/>
      <c r="EN666" s="391"/>
      <c r="EO666" s="391"/>
      <c r="EP666" s="391"/>
      <c r="EQ666" s="391"/>
      <c r="ER666" s="391"/>
      <c r="ES666" s="391"/>
      <c r="ET666" s="391"/>
      <c r="EU666" s="391"/>
      <c r="EV666" s="391"/>
      <c r="EW666" s="391"/>
    </row>
    <row r="667" spans="1:153" s="400" customFormat="1">
      <c r="A667" s="391"/>
      <c r="E667" s="454"/>
      <c r="F667" s="454"/>
      <c r="G667" s="454"/>
      <c r="H667" s="454"/>
      <c r="I667" s="454"/>
      <c r="J667" s="404"/>
      <c r="K667" s="454"/>
      <c r="L667" s="454"/>
      <c r="M667" s="391"/>
      <c r="N667" s="391"/>
      <c r="O667" s="391"/>
      <c r="P667" s="391"/>
      <c r="Q667" s="391"/>
      <c r="R667" s="391"/>
      <c r="S667" s="391"/>
      <c r="T667" s="391"/>
      <c r="U667" s="391"/>
      <c r="V667" s="391"/>
      <c r="W667" s="391"/>
      <c r="X667" s="391"/>
      <c r="Y667" s="391"/>
      <c r="Z667" s="391"/>
      <c r="AA667" s="391"/>
      <c r="AB667" s="391"/>
      <c r="AC667" s="391"/>
      <c r="AD667" s="391"/>
      <c r="AE667" s="391"/>
      <c r="AF667" s="391"/>
      <c r="AG667" s="391"/>
      <c r="AH667" s="391"/>
      <c r="AI667" s="391"/>
      <c r="AJ667" s="391"/>
      <c r="AK667" s="391"/>
      <c r="AL667" s="391"/>
      <c r="AM667" s="391"/>
      <c r="AN667" s="391"/>
      <c r="AO667" s="391"/>
      <c r="AP667" s="391"/>
      <c r="AQ667" s="391"/>
      <c r="AR667" s="391"/>
      <c r="AS667" s="454"/>
      <c r="AT667" s="391"/>
      <c r="AU667" s="391"/>
      <c r="AV667" s="391"/>
      <c r="AW667" s="391"/>
      <c r="AX667" s="649"/>
      <c r="AY667" s="593"/>
      <c r="AZ667" s="391"/>
      <c r="BA667" s="391"/>
      <c r="BB667" s="651"/>
      <c r="BC667" s="651"/>
      <c r="BD667" s="402"/>
      <c r="BE667" s="402"/>
      <c r="BF667" s="402"/>
      <c r="BH667" s="594"/>
      <c r="BI667" s="594"/>
      <c r="BJ667" s="595"/>
      <c r="BK667" s="391"/>
      <c r="BL667" s="391"/>
      <c r="BM667" s="391"/>
      <c r="BN667" s="391"/>
      <c r="BO667" s="391"/>
      <c r="BP667" s="391"/>
      <c r="BQ667" s="391"/>
      <c r="BR667" s="391"/>
      <c r="BS667" s="391"/>
      <c r="BT667" s="391"/>
      <c r="BU667" s="391"/>
      <c r="BV667" s="391"/>
      <c r="BW667" s="391"/>
      <c r="BX667" s="391"/>
      <c r="BY667" s="391"/>
      <c r="BZ667" s="391"/>
      <c r="CA667" s="391"/>
      <c r="CB667" s="391"/>
      <c r="CC667" s="391"/>
      <c r="CD667" s="391"/>
      <c r="CE667" s="391"/>
      <c r="CF667" s="391"/>
      <c r="CG667" s="391"/>
      <c r="CH667" s="391"/>
      <c r="CI667" s="391"/>
      <c r="CJ667" s="391"/>
      <c r="CK667" s="391"/>
      <c r="CM667" s="391"/>
      <c r="CN667" s="391"/>
      <c r="CO667" s="391"/>
      <c r="CP667" s="391"/>
      <c r="CR667" s="391"/>
      <c r="CS667" s="391"/>
      <c r="CX667" s="391"/>
      <c r="DA667" s="391"/>
      <c r="DB667" s="391"/>
      <c r="DC667" s="391"/>
      <c r="DD667" s="391"/>
      <c r="DE667" s="391"/>
      <c r="DF667" s="391"/>
      <c r="DG667" s="391"/>
      <c r="DH667" s="391"/>
      <c r="DI667" s="391"/>
      <c r="DJ667" s="391"/>
      <c r="DK667" s="391"/>
      <c r="DL667" s="391"/>
      <c r="DM667" s="391"/>
      <c r="DN667" s="391"/>
      <c r="DO667" s="391"/>
      <c r="DP667" s="391"/>
      <c r="DQ667" s="391"/>
      <c r="DR667" s="391"/>
      <c r="DS667" s="391"/>
      <c r="DT667" s="391"/>
      <c r="DU667" s="391"/>
      <c r="DV667" s="391"/>
      <c r="DW667" s="391"/>
      <c r="DX667" s="391"/>
      <c r="DY667" s="391"/>
      <c r="DZ667" s="391"/>
      <c r="EA667" s="391"/>
      <c r="EB667" s="391"/>
      <c r="EC667" s="391"/>
      <c r="ED667" s="391"/>
      <c r="EE667" s="391"/>
      <c r="EF667" s="391"/>
      <c r="EG667" s="391"/>
      <c r="EH667" s="391"/>
      <c r="EI667" s="391"/>
      <c r="EJ667" s="391"/>
      <c r="EK667" s="391"/>
      <c r="EL667" s="391"/>
      <c r="EM667" s="391"/>
      <c r="EN667" s="391"/>
      <c r="EO667" s="391"/>
      <c r="EP667" s="391"/>
      <c r="EQ667" s="391"/>
      <c r="ER667" s="391"/>
      <c r="ES667" s="391"/>
      <c r="ET667" s="391"/>
      <c r="EU667" s="391"/>
      <c r="EV667" s="391"/>
      <c r="EW667" s="391"/>
    </row>
    <row r="668" spans="1:153" s="400" customFormat="1">
      <c r="A668" s="391"/>
      <c r="E668" s="454"/>
      <c r="F668" s="454"/>
      <c r="G668" s="454"/>
      <c r="H668" s="454"/>
      <c r="I668" s="454"/>
      <c r="J668" s="404"/>
      <c r="K668" s="454"/>
      <c r="L668" s="454"/>
      <c r="M668" s="391"/>
      <c r="N668" s="391"/>
      <c r="O668" s="391"/>
      <c r="P668" s="391"/>
      <c r="Q668" s="391"/>
      <c r="R668" s="391"/>
      <c r="S668" s="391"/>
      <c r="T668" s="391"/>
      <c r="U668" s="391"/>
      <c r="V668" s="391"/>
      <c r="W668" s="391"/>
      <c r="X668" s="391"/>
      <c r="Y668" s="391"/>
      <c r="Z668" s="391"/>
      <c r="AA668" s="391"/>
      <c r="AB668" s="391"/>
      <c r="AC668" s="391"/>
      <c r="AD668" s="391"/>
      <c r="AE668" s="391"/>
      <c r="AF668" s="391"/>
      <c r="AG668" s="391"/>
      <c r="AH668" s="391"/>
      <c r="AI668" s="391"/>
      <c r="AJ668" s="391"/>
      <c r="AK668" s="391"/>
      <c r="AL668" s="391"/>
      <c r="AM668" s="391"/>
      <c r="AN668" s="391"/>
      <c r="AO668" s="391"/>
      <c r="AP668" s="391"/>
      <c r="AQ668" s="391"/>
      <c r="AR668" s="391"/>
      <c r="AS668" s="454"/>
      <c r="AT668" s="391"/>
      <c r="AU668" s="391"/>
      <c r="AV668" s="391"/>
      <c r="AW668" s="391"/>
      <c r="AX668" s="649"/>
      <c r="AY668" s="593"/>
      <c r="AZ668" s="391"/>
      <c r="BA668" s="391"/>
      <c r="BB668" s="651"/>
      <c r="BC668" s="651"/>
      <c r="BD668" s="402"/>
      <c r="BE668" s="402"/>
      <c r="BF668" s="402"/>
      <c r="BH668" s="594"/>
      <c r="BI668" s="594"/>
      <c r="BJ668" s="595"/>
      <c r="BK668" s="391"/>
      <c r="BL668" s="391"/>
      <c r="BM668" s="391"/>
      <c r="BN668" s="391"/>
      <c r="BO668" s="391"/>
      <c r="BP668" s="391"/>
      <c r="BQ668" s="391"/>
      <c r="BR668" s="391"/>
      <c r="BS668" s="391"/>
      <c r="BT668" s="391"/>
      <c r="BU668" s="391"/>
      <c r="BV668" s="391"/>
      <c r="BW668" s="391"/>
      <c r="BX668" s="391"/>
      <c r="BY668" s="391"/>
      <c r="BZ668" s="391"/>
      <c r="CA668" s="391"/>
      <c r="CB668" s="391"/>
      <c r="CC668" s="391"/>
      <c r="CD668" s="391"/>
      <c r="CE668" s="391"/>
      <c r="CF668" s="391"/>
      <c r="CG668" s="391"/>
      <c r="CH668" s="391"/>
      <c r="CI668" s="391"/>
      <c r="CJ668" s="391"/>
      <c r="CK668" s="391"/>
      <c r="CM668" s="391"/>
      <c r="CN668" s="391"/>
      <c r="CO668" s="391"/>
      <c r="CP668" s="391"/>
      <c r="CR668" s="391"/>
      <c r="CS668" s="391"/>
      <c r="CX668" s="391"/>
      <c r="DA668" s="391"/>
      <c r="DB668" s="391"/>
      <c r="DC668" s="391"/>
      <c r="DD668" s="391"/>
      <c r="DE668" s="391"/>
      <c r="DF668" s="391"/>
      <c r="DG668" s="391"/>
      <c r="DH668" s="391"/>
      <c r="DI668" s="391"/>
      <c r="DJ668" s="391"/>
      <c r="DK668" s="391"/>
      <c r="DL668" s="391"/>
      <c r="DM668" s="391"/>
      <c r="DN668" s="391"/>
      <c r="DO668" s="391"/>
      <c r="DP668" s="391"/>
      <c r="DQ668" s="391"/>
      <c r="DR668" s="391"/>
      <c r="DS668" s="391"/>
      <c r="DT668" s="391"/>
      <c r="DU668" s="391"/>
      <c r="DV668" s="391"/>
      <c r="DW668" s="391"/>
      <c r="DX668" s="391"/>
      <c r="DY668" s="391"/>
      <c r="DZ668" s="391"/>
      <c r="EA668" s="391"/>
      <c r="EB668" s="391"/>
      <c r="EC668" s="391"/>
      <c r="ED668" s="391"/>
      <c r="EE668" s="391"/>
      <c r="EF668" s="391"/>
      <c r="EG668" s="391"/>
      <c r="EH668" s="391"/>
      <c r="EI668" s="391"/>
      <c r="EJ668" s="391"/>
      <c r="EK668" s="391"/>
      <c r="EL668" s="391"/>
      <c r="EM668" s="391"/>
      <c r="EN668" s="391"/>
      <c r="EO668" s="391"/>
      <c r="EP668" s="391"/>
      <c r="EQ668" s="391"/>
      <c r="ER668" s="391"/>
      <c r="ES668" s="391"/>
      <c r="ET668" s="391"/>
      <c r="EU668" s="391"/>
      <c r="EV668" s="391"/>
      <c r="EW668" s="391"/>
    </row>
    <row r="669" spans="1:153" s="400" customFormat="1">
      <c r="A669" s="391"/>
      <c r="E669" s="454"/>
      <c r="F669" s="454"/>
      <c r="G669" s="454"/>
      <c r="H669" s="454"/>
      <c r="I669" s="454"/>
      <c r="J669" s="404"/>
      <c r="K669" s="454"/>
      <c r="L669" s="454"/>
      <c r="M669" s="391"/>
      <c r="N669" s="391"/>
      <c r="O669" s="391"/>
      <c r="P669" s="391"/>
      <c r="Q669" s="391"/>
      <c r="R669" s="391"/>
      <c r="S669" s="391"/>
      <c r="T669" s="391"/>
      <c r="U669" s="391"/>
      <c r="V669" s="391"/>
      <c r="W669" s="391"/>
      <c r="X669" s="391"/>
      <c r="Y669" s="391"/>
      <c r="Z669" s="391"/>
      <c r="AA669" s="391"/>
      <c r="AB669" s="391"/>
      <c r="AC669" s="391"/>
      <c r="AD669" s="391"/>
      <c r="AE669" s="391"/>
      <c r="AF669" s="391"/>
      <c r="AG669" s="391"/>
      <c r="AH669" s="391"/>
      <c r="AI669" s="391"/>
      <c r="AJ669" s="391"/>
      <c r="AK669" s="391"/>
      <c r="AL669" s="391"/>
      <c r="AM669" s="391"/>
      <c r="AN669" s="391"/>
      <c r="AO669" s="391"/>
      <c r="AP669" s="391"/>
      <c r="AQ669" s="391"/>
      <c r="AR669" s="391"/>
      <c r="AS669" s="454"/>
      <c r="AT669" s="391"/>
      <c r="AU669" s="391"/>
      <c r="AV669" s="391"/>
      <c r="AW669" s="391"/>
      <c r="AX669" s="649"/>
      <c r="AY669" s="593"/>
      <c r="AZ669" s="391"/>
      <c r="BA669" s="391"/>
      <c r="BB669" s="651"/>
      <c r="BC669" s="651"/>
      <c r="BD669" s="402"/>
      <c r="BE669" s="402"/>
      <c r="BF669" s="402"/>
      <c r="BH669" s="594"/>
      <c r="BI669" s="594"/>
      <c r="BJ669" s="595"/>
      <c r="BK669" s="391"/>
      <c r="BL669" s="391"/>
      <c r="BM669" s="391"/>
      <c r="BN669" s="391"/>
      <c r="BO669" s="391"/>
      <c r="BP669" s="391"/>
      <c r="BQ669" s="391"/>
      <c r="BR669" s="391"/>
      <c r="BS669" s="391"/>
      <c r="BT669" s="391"/>
      <c r="BU669" s="391"/>
      <c r="BV669" s="391"/>
      <c r="BW669" s="391"/>
      <c r="BX669" s="391"/>
      <c r="BY669" s="391"/>
      <c r="BZ669" s="391"/>
      <c r="CA669" s="391"/>
      <c r="CB669" s="391"/>
      <c r="CC669" s="391"/>
      <c r="CD669" s="391"/>
      <c r="CE669" s="391"/>
      <c r="CF669" s="391"/>
      <c r="CG669" s="391"/>
      <c r="CH669" s="391"/>
      <c r="CI669" s="391"/>
      <c r="CJ669" s="391"/>
      <c r="CK669" s="391"/>
      <c r="CM669" s="391"/>
      <c r="CN669" s="391"/>
      <c r="CO669" s="391"/>
      <c r="CP669" s="391"/>
      <c r="CR669" s="391"/>
      <c r="CS669" s="391"/>
      <c r="CX669" s="391"/>
      <c r="DA669" s="391"/>
      <c r="DB669" s="391"/>
      <c r="DC669" s="391"/>
      <c r="DD669" s="391"/>
      <c r="DE669" s="391"/>
      <c r="DF669" s="391"/>
      <c r="DG669" s="391"/>
      <c r="DH669" s="391"/>
      <c r="DI669" s="391"/>
      <c r="DJ669" s="391"/>
      <c r="DK669" s="391"/>
      <c r="DL669" s="391"/>
      <c r="DM669" s="391"/>
      <c r="DN669" s="391"/>
      <c r="DO669" s="391"/>
      <c r="DP669" s="391"/>
      <c r="DQ669" s="391"/>
      <c r="DR669" s="391"/>
      <c r="DS669" s="391"/>
      <c r="DT669" s="391"/>
      <c r="DU669" s="391"/>
      <c r="DV669" s="391"/>
      <c r="DW669" s="391"/>
      <c r="DX669" s="391"/>
      <c r="DY669" s="391"/>
      <c r="DZ669" s="391"/>
      <c r="EA669" s="391"/>
      <c r="EB669" s="391"/>
      <c r="EC669" s="391"/>
      <c r="ED669" s="391"/>
      <c r="EE669" s="391"/>
      <c r="EF669" s="391"/>
      <c r="EG669" s="391"/>
      <c r="EH669" s="391"/>
      <c r="EI669" s="391"/>
      <c r="EJ669" s="391"/>
      <c r="EK669" s="391"/>
      <c r="EL669" s="391"/>
      <c r="EM669" s="391"/>
      <c r="EN669" s="391"/>
      <c r="EO669" s="391"/>
      <c r="EP669" s="391"/>
      <c r="EQ669" s="391"/>
      <c r="ER669" s="391"/>
      <c r="ES669" s="391"/>
      <c r="ET669" s="391"/>
      <c r="EU669" s="391"/>
      <c r="EV669" s="391"/>
      <c r="EW669" s="391"/>
    </row>
    <row r="670" spans="1:153" s="400" customFormat="1">
      <c r="A670" s="391"/>
      <c r="E670" s="454"/>
      <c r="F670" s="454"/>
      <c r="G670" s="454"/>
      <c r="H670" s="454"/>
      <c r="I670" s="454"/>
      <c r="J670" s="404"/>
      <c r="K670" s="454"/>
      <c r="L670" s="454"/>
      <c r="M670" s="391"/>
      <c r="N670" s="391"/>
      <c r="O670" s="391"/>
      <c r="P670" s="391"/>
      <c r="Q670" s="391"/>
      <c r="R670" s="391"/>
      <c r="S670" s="391"/>
      <c r="T670" s="391"/>
      <c r="U670" s="391"/>
      <c r="V670" s="391"/>
      <c r="W670" s="391"/>
      <c r="X670" s="391"/>
      <c r="Y670" s="391"/>
      <c r="Z670" s="391"/>
      <c r="AA670" s="391"/>
      <c r="AB670" s="391"/>
      <c r="AC670" s="391"/>
      <c r="AD670" s="391"/>
      <c r="AE670" s="391"/>
      <c r="AF670" s="391"/>
      <c r="AG670" s="391"/>
      <c r="AH670" s="391"/>
      <c r="AI670" s="391"/>
      <c r="AJ670" s="391"/>
      <c r="AK670" s="391"/>
      <c r="AL670" s="391"/>
      <c r="AM670" s="391"/>
      <c r="AN670" s="391"/>
      <c r="AO670" s="391"/>
      <c r="AP670" s="391"/>
      <c r="AQ670" s="391"/>
      <c r="AR670" s="391"/>
      <c r="AS670" s="454"/>
      <c r="AT670" s="391"/>
      <c r="AU670" s="391"/>
      <c r="AV670" s="391"/>
      <c r="AW670" s="391"/>
      <c r="AX670" s="649"/>
      <c r="AY670" s="593"/>
      <c r="AZ670" s="391"/>
      <c r="BA670" s="391"/>
      <c r="BB670" s="651"/>
      <c r="BC670" s="651"/>
      <c r="BD670" s="402"/>
      <c r="BE670" s="402"/>
      <c r="BF670" s="402"/>
      <c r="BH670" s="594"/>
      <c r="BI670" s="594"/>
      <c r="BJ670" s="595"/>
      <c r="BK670" s="391"/>
      <c r="BL670" s="391"/>
      <c r="BM670" s="391"/>
      <c r="BN670" s="391"/>
      <c r="BO670" s="391"/>
      <c r="BP670" s="391"/>
      <c r="BQ670" s="391"/>
      <c r="BR670" s="391"/>
      <c r="BS670" s="391"/>
      <c r="BT670" s="391"/>
      <c r="BU670" s="391"/>
      <c r="BV670" s="391"/>
      <c r="BW670" s="391"/>
      <c r="BX670" s="391"/>
      <c r="BY670" s="391"/>
      <c r="BZ670" s="391"/>
      <c r="CA670" s="391"/>
      <c r="CB670" s="391"/>
      <c r="CC670" s="391"/>
      <c r="CD670" s="391"/>
      <c r="CE670" s="391"/>
      <c r="CF670" s="391"/>
      <c r="CG670" s="391"/>
      <c r="CH670" s="391"/>
      <c r="CI670" s="391"/>
      <c r="CJ670" s="391"/>
      <c r="CK670" s="391"/>
      <c r="CM670" s="391"/>
      <c r="CN670" s="391"/>
      <c r="CO670" s="391"/>
      <c r="CP670" s="391"/>
      <c r="CR670" s="391"/>
      <c r="CS670" s="391"/>
      <c r="CX670" s="391"/>
      <c r="DA670" s="391"/>
      <c r="DB670" s="391"/>
      <c r="DC670" s="391"/>
      <c r="DD670" s="391"/>
      <c r="DE670" s="391"/>
      <c r="DF670" s="391"/>
      <c r="DG670" s="391"/>
      <c r="DH670" s="391"/>
      <c r="DI670" s="391"/>
      <c r="DJ670" s="391"/>
      <c r="DK670" s="391"/>
      <c r="DL670" s="391"/>
      <c r="DM670" s="391"/>
      <c r="DN670" s="391"/>
      <c r="DO670" s="391"/>
      <c r="DP670" s="391"/>
      <c r="DQ670" s="391"/>
      <c r="DR670" s="391"/>
      <c r="DS670" s="391"/>
      <c r="DT670" s="391"/>
      <c r="DU670" s="391"/>
      <c r="DV670" s="391"/>
      <c r="DW670" s="391"/>
      <c r="DX670" s="391"/>
      <c r="DY670" s="391"/>
      <c r="DZ670" s="391"/>
      <c r="EA670" s="391"/>
      <c r="EB670" s="391"/>
      <c r="EC670" s="391"/>
      <c r="ED670" s="391"/>
      <c r="EE670" s="391"/>
      <c r="EF670" s="391"/>
      <c r="EG670" s="391"/>
      <c r="EH670" s="391"/>
      <c r="EI670" s="391"/>
      <c r="EJ670" s="391"/>
      <c r="EK670" s="391"/>
      <c r="EL670" s="391"/>
      <c r="EM670" s="391"/>
      <c r="EN670" s="391"/>
      <c r="EO670" s="391"/>
      <c r="EP670" s="391"/>
      <c r="EQ670" s="391"/>
      <c r="ER670" s="391"/>
      <c r="ES670" s="391"/>
      <c r="ET670" s="391"/>
      <c r="EU670" s="391"/>
      <c r="EV670" s="391"/>
      <c r="EW670" s="391"/>
    </row>
    <row r="671" spans="1:153" s="400" customFormat="1">
      <c r="A671" s="391"/>
      <c r="E671" s="454"/>
      <c r="F671" s="454"/>
      <c r="G671" s="454"/>
      <c r="H671" s="454"/>
      <c r="I671" s="454"/>
      <c r="J671" s="404"/>
      <c r="K671" s="454"/>
      <c r="L671" s="454"/>
      <c r="M671" s="391"/>
      <c r="N671" s="391"/>
      <c r="O671" s="391"/>
      <c r="P671" s="391"/>
      <c r="Q671" s="391"/>
      <c r="R671" s="391"/>
      <c r="S671" s="391"/>
      <c r="T671" s="391"/>
      <c r="U671" s="391"/>
      <c r="V671" s="391"/>
      <c r="W671" s="391"/>
      <c r="X671" s="391"/>
      <c r="Y671" s="391"/>
      <c r="Z671" s="391"/>
      <c r="AA671" s="391"/>
      <c r="AB671" s="391"/>
      <c r="AC671" s="391"/>
      <c r="AD671" s="391"/>
      <c r="AE671" s="391"/>
      <c r="AF671" s="391"/>
      <c r="AG671" s="391"/>
      <c r="AH671" s="391"/>
      <c r="AI671" s="391"/>
      <c r="AJ671" s="391"/>
      <c r="AK671" s="391"/>
      <c r="AL671" s="391"/>
      <c r="AM671" s="391"/>
      <c r="AN671" s="391"/>
      <c r="AO671" s="391"/>
      <c r="AP671" s="391"/>
      <c r="AQ671" s="391"/>
      <c r="AR671" s="391"/>
      <c r="AS671" s="454"/>
      <c r="AT671" s="391"/>
      <c r="AU671" s="391"/>
      <c r="AV671" s="391"/>
      <c r="AW671" s="391"/>
      <c r="AX671" s="649"/>
      <c r="AY671" s="593"/>
      <c r="AZ671" s="391"/>
      <c r="BA671" s="391"/>
      <c r="BB671" s="651"/>
      <c r="BC671" s="651"/>
      <c r="BD671" s="402"/>
      <c r="BE671" s="402"/>
      <c r="BF671" s="402"/>
      <c r="BH671" s="594"/>
      <c r="BI671" s="594"/>
      <c r="BJ671" s="595"/>
      <c r="BK671" s="391"/>
      <c r="BL671" s="391"/>
      <c r="BM671" s="391"/>
      <c r="BN671" s="391"/>
      <c r="BO671" s="391"/>
      <c r="BP671" s="391"/>
      <c r="BQ671" s="391"/>
      <c r="BR671" s="391"/>
      <c r="BS671" s="391"/>
      <c r="BT671" s="391"/>
      <c r="BU671" s="391"/>
      <c r="BV671" s="391"/>
      <c r="BW671" s="391"/>
      <c r="BX671" s="391"/>
      <c r="BY671" s="391"/>
      <c r="BZ671" s="391"/>
      <c r="CA671" s="391"/>
      <c r="CB671" s="391"/>
      <c r="CC671" s="391"/>
      <c r="CD671" s="391"/>
      <c r="CE671" s="391"/>
      <c r="CF671" s="391"/>
      <c r="CG671" s="391"/>
      <c r="CH671" s="391"/>
      <c r="CI671" s="391"/>
      <c r="CJ671" s="391"/>
      <c r="CK671" s="391"/>
      <c r="CM671" s="391"/>
      <c r="CN671" s="391"/>
      <c r="CO671" s="391"/>
      <c r="CP671" s="391"/>
      <c r="CR671" s="391"/>
      <c r="CS671" s="391"/>
      <c r="CX671" s="391"/>
      <c r="DA671" s="391"/>
      <c r="DB671" s="391"/>
      <c r="DC671" s="391"/>
      <c r="DD671" s="391"/>
      <c r="DE671" s="391"/>
      <c r="DF671" s="391"/>
      <c r="DG671" s="391"/>
      <c r="DH671" s="391"/>
      <c r="DI671" s="391"/>
      <c r="DJ671" s="391"/>
      <c r="DK671" s="391"/>
      <c r="DL671" s="391"/>
      <c r="DM671" s="391"/>
      <c r="DN671" s="391"/>
      <c r="DO671" s="391"/>
      <c r="DP671" s="391"/>
      <c r="DQ671" s="391"/>
      <c r="DR671" s="391"/>
      <c r="DS671" s="391"/>
      <c r="DT671" s="391"/>
      <c r="DU671" s="391"/>
      <c r="DV671" s="391"/>
      <c r="DW671" s="391"/>
      <c r="DX671" s="391"/>
      <c r="DY671" s="391"/>
      <c r="DZ671" s="391"/>
      <c r="EA671" s="391"/>
      <c r="EB671" s="391"/>
      <c r="EC671" s="391"/>
      <c r="ED671" s="391"/>
      <c r="EE671" s="391"/>
      <c r="EF671" s="391"/>
      <c r="EG671" s="391"/>
      <c r="EH671" s="391"/>
      <c r="EI671" s="391"/>
      <c r="EJ671" s="391"/>
      <c r="EK671" s="391"/>
      <c r="EL671" s="391"/>
      <c r="EM671" s="391"/>
      <c r="EN671" s="391"/>
      <c r="EO671" s="391"/>
      <c r="EP671" s="391"/>
      <c r="EQ671" s="391"/>
      <c r="ER671" s="391"/>
      <c r="ES671" s="391"/>
      <c r="ET671" s="391"/>
      <c r="EU671" s="391"/>
      <c r="EV671" s="391"/>
      <c r="EW671" s="391"/>
    </row>
    <row r="672" spans="1:153" s="400" customFormat="1">
      <c r="A672" s="391"/>
      <c r="E672" s="454"/>
      <c r="F672" s="454"/>
      <c r="G672" s="454"/>
      <c r="H672" s="454"/>
      <c r="I672" s="454"/>
      <c r="J672" s="404"/>
      <c r="K672" s="454"/>
      <c r="L672" s="454"/>
      <c r="M672" s="391"/>
      <c r="N672" s="391"/>
      <c r="O672" s="391"/>
      <c r="P672" s="391"/>
      <c r="Q672" s="391"/>
      <c r="R672" s="391"/>
      <c r="S672" s="391"/>
      <c r="T672" s="391"/>
      <c r="U672" s="391"/>
      <c r="V672" s="391"/>
      <c r="W672" s="391"/>
      <c r="X672" s="391"/>
      <c r="Y672" s="391"/>
      <c r="Z672" s="391"/>
      <c r="AA672" s="391"/>
      <c r="AB672" s="391"/>
      <c r="AC672" s="391"/>
      <c r="AD672" s="391"/>
      <c r="AE672" s="391"/>
      <c r="AF672" s="391"/>
      <c r="AG672" s="391"/>
      <c r="AH672" s="391"/>
      <c r="AI672" s="391"/>
      <c r="AJ672" s="391"/>
      <c r="AK672" s="391"/>
      <c r="AL672" s="391"/>
      <c r="AM672" s="391"/>
      <c r="AN672" s="391"/>
      <c r="AO672" s="391"/>
      <c r="AP672" s="391"/>
      <c r="AQ672" s="391"/>
      <c r="AR672" s="391"/>
      <c r="AS672" s="454"/>
      <c r="AT672" s="391"/>
      <c r="AU672" s="391"/>
      <c r="AV672" s="391"/>
      <c r="AW672" s="391"/>
      <c r="AX672" s="649"/>
      <c r="AY672" s="593"/>
      <c r="AZ672" s="391"/>
      <c r="BA672" s="391"/>
      <c r="BB672" s="651"/>
      <c r="BC672" s="651"/>
      <c r="BD672" s="402"/>
      <c r="BE672" s="402"/>
      <c r="BF672" s="402"/>
      <c r="BH672" s="594"/>
      <c r="BI672" s="594"/>
      <c r="BJ672" s="595"/>
      <c r="BK672" s="391"/>
      <c r="BL672" s="391"/>
      <c r="BM672" s="391"/>
      <c r="BN672" s="391"/>
      <c r="BO672" s="391"/>
      <c r="BP672" s="391"/>
      <c r="BQ672" s="391"/>
      <c r="BR672" s="391"/>
      <c r="BS672" s="391"/>
      <c r="BT672" s="391"/>
      <c r="BU672" s="391"/>
      <c r="BV672" s="391"/>
      <c r="BW672" s="391"/>
      <c r="BX672" s="391"/>
      <c r="BY672" s="391"/>
      <c r="BZ672" s="391"/>
      <c r="CA672" s="391"/>
      <c r="CB672" s="391"/>
      <c r="CC672" s="391"/>
      <c r="CD672" s="391"/>
      <c r="CE672" s="391"/>
      <c r="CF672" s="391"/>
      <c r="CG672" s="391"/>
      <c r="CH672" s="391"/>
      <c r="CI672" s="391"/>
      <c r="CJ672" s="391"/>
      <c r="CK672" s="391"/>
      <c r="CM672" s="391"/>
      <c r="CN672" s="391"/>
      <c r="CO672" s="391"/>
      <c r="CP672" s="391"/>
      <c r="CR672" s="391"/>
      <c r="CS672" s="391"/>
      <c r="CX672" s="391"/>
      <c r="DA672" s="391"/>
      <c r="DB672" s="391"/>
      <c r="DC672" s="391"/>
      <c r="DD672" s="391"/>
      <c r="DE672" s="391"/>
      <c r="DF672" s="391"/>
      <c r="DG672" s="391"/>
      <c r="DH672" s="391"/>
      <c r="DI672" s="391"/>
      <c r="DJ672" s="391"/>
      <c r="DK672" s="391"/>
      <c r="DL672" s="391"/>
      <c r="DM672" s="391"/>
      <c r="DN672" s="391"/>
      <c r="DO672" s="391"/>
      <c r="DP672" s="391"/>
      <c r="DQ672" s="391"/>
      <c r="DR672" s="391"/>
      <c r="DS672" s="391"/>
      <c r="DT672" s="391"/>
      <c r="DU672" s="391"/>
      <c r="DV672" s="391"/>
      <c r="DW672" s="391"/>
      <c r="DX672" s="391"/>
      <c r="DY672" s="391"/>
      <c r="DZ672" s="391"/>
      <c r="EA672" s="391"/>
      <c r="EB672" s="391"/>
      <c r="EC672" s="391"/>
      <c r="ED672" s="391"/>
      <c r="EE672" s="391"/>
      <c r="EF672" s="391"/>
      <c r="EG672" s="391"/>
      <c r="EH672" s="391"/>
      <c r="EI672" s="391"/>
      <c r="EJ672" s="391"/>
      <c r="EK672" s="391"/>
      <c r="EL672" s="391"/>
      <c r="EM672" s="391"/>
      <c r="EN672" s="391"/>
      <c r="EO672" s="391"/>
      <c r="EP672" s="391"/>
      <c r="EQ672" s="391"/>
      <c r="ER672" s="391"/>
      <c r="ES672" s="391"/>
      <c r="ET672" s="391"/>
      <c r="EU672" s="391"/>
      <c r="EV672" s="391"/>
      <c r="EW672" s="391"/>
    </row>
    <row r="673" spans="1:153" s="400" customFormat="1">
      <c r="A673" s="391"/>
      <c r="E673" s="454"/>
      <c r="F673" s="454"/>
      <c r="G673" s="454"/>
      <c r="H673" s="454"/>
      <c r="I673" s="454"/>
      <c r="J673" s="404"/>
      <c r="K673" s="454"/>
      <c r="L673" s="454"/>
      <c r="M673" s="391"/>
      <c r="N673" s="391"/>
      <c r="O673" s="391"/>
      <c r="P673" s="391"/>
      <c r="Q673" s="391"/>
      <c r="R673" s="391"/>
      <c r="S673" s="391"/>
      <c r="T673" s="391"/>
      <c r="U673" s="391"/>
      <c r="V673" s="391"/>
      <c r="W673" s="391"/>
      <c r="X673" s="391"/>
      <c r="Y673" s="391"/>
      <c r="Z673" s="391"/>
      <c r="AA673" s="391"/>
      <c r="AB673" s="391"/>
      <c r="AC673" s="391"/>
      <c r="AD673" s="391"/>
      <c r="AE673" s="391"/>
      <c r="AF673" s="391"/>
      <c r="AG673" s="391"/>
      <c r="AH673" s="391"/>
      <c r="AI673" s="391"/>
      <c r="AJ673" s="391"/>
      <c r="AK673" s="391"/>
      <c r="AL673" s="391"/>
      <c r="AM673" s="391"/>
      <c r="AN673" s="391"/>
      <c r="AO673" s="391"/>
      <c r="AP673" s="391"/>
      <c r="AQ673" s="391"/>
      <c r="AR673" s="391"/>
      <c r="AS673" s="454"/>
      <c r="AT673" s="391"/>
      <c r="AU673" s="391"/>
      <c r="AV673" s="391"/>
      <c r="AW673" s="391"/>
      <c r="AX673" s="649"/>
      <c r="AY673" s="593"/>
      <c r="AZ673" s="391"/>
      <c r="BA673" s="391"/>
      <c r="BB673" s="651"/>
      <c r="BC673" s="651"/>
      <c r="BD673" s="402"/>
      <c r="BE673" s="402"/>
      <c r="BF673" s="402"/>
      <c r="BH673" s="594"/>
      <c r="BI673" s="594"/>
      <c r="BJ673" s="595"/>
      <c r="BK673" s="391"/>
      <c r="BL673" s="391"/>
      <c r="BM673" s="391"/>
      <c r="BN673" s="391"/>
      <c r="BO673" s="391"/>
      <c r="BP673" s="391"/>
      <c r="BQ673" s="391"/>
      <c r="BR673" s="391"/>
      <c r="BS673" s="391"/>
      <c r="BT673" s="391"/>
      <c r="BU673" s="391"/>
      <c r="BV673" s="391"/>
      <c r="BW673" s="391"/>
      <c r="BX673" s="391"/>
      <c r="BY673" s="391"/>
      <c r="BZ673" s="391"/>
      <c r="CA673" s="391"/>
      <c r="CB673" s="391"/>
      <c r="CC673" s="391"/>
      <c r="CD673" s="391"/>
      <c r="CE673" s="391"/>
      <c r="CF673" s="391"/>
      <c r="CG673" s="391"/>
      <c r="CH673" s="391"/>
      <c r="CI673" s="391"/>
      <c r="CJ673" s="391"/>
      <c r="CK673" s="391"/>
      <c r="CM673" s="391"/>
      <c r="CN673" s="391"/>
      <c r="CO673" s="391"/>
      <c r="CP673" s="391"/>
      <c r="CR673" s="391"/>
      <c r="CS673" s="391"/>
      <c r="CX673" s="391"/>
      <c r="DA673" s="391"/>
      <c r="DB673" s="391"/>
      <c r="DC673" s="391"/>
      <c r="DD673" s="391"/>
      <c r="DE673" s="391"/>
      <c r="DF673" s="391"/>
      <c r="DG673" s="391"/>
      <c r="DH673" s="391"/>
      <c r="DI673" s="391"/>
      <c r="DJ673" s="391"/>
      <c r="DK673" s="391"/>
      <c r="DL673" s="391"/>
      <c r="DM673" s="391"/>
      <c r="DN673" s="391"/>
      <c r="DO673" s="391"/>
      <c r="DP673" s="391"/>
      <c r="DQ673" s="391"/>
      <c r="DR673" s="391"/>
      <c r="DS673" s="391"/>
      <c r="DT673" s="391"/>
      <c r="DU673" s="391"/>
      <c r="DV673" s="391"/>
      <c r="DW673" s="391"/>
      <c r="DX673" s="391"/>
      <c r="DY673" s="391"/>
      <c r="DZ673" s="391"/>
      <c r="EA673" s="391"/>
      <c r="EB673" s="391"/>
      <c r="EC673" s="391"/>
      <c r="ED673" s="391"/>
      <c r="EE673" s="391"/>
      <c r="EF673" s="391"/>
      <c r="EG673" s="391"/>
      <c r="EH673" s="391"/>
      <c r="EI673" s="391"/>
      <c r="EJ673" s="391"/>
      <c r="EK673" s="391"/>
      <c r="EL673" s="391"/>
      <c r="EM673" s="391"/>
      <c r="EN673" s="391"/>
      <c r="EO673" s="391"/>
      <c r="EP673" s="391"/>
      <c r="EQ673" s="391"/>
      <c r="ER673" s="391"/>
      <c r="ES673" s="391"/>
      <c r="ET673" s="391"/>
      <c r="EU673" s="391"/>
      <c r="EV673" s="391"/>
      <c r="EW673" s="391"/>
    </row>
    <row r="674" spans="1:153" s="400" customFormat="1">
      <c r="A674" s="391"/>
      <c r="E674" s="454"/>
      <c r="F674" s="454"/>
      <c r="G674" s="454"/>
      <c r="H674" s="454"/>
      <c r="I674" s="454"/>
      <c r="J674" s="404"/>
      <c r="K674" s="454"/>
      <c r="L674" s="454"/>
      <c r="M674" s="391"/>
      <c r="N674" s="391"/>
      <c r="O674" s="391"/>
      <c r="P674" s="391"/>
      <c r="Q674" s="391"/>
      <c r="R674" s="391"/>
      <c r="S674" s="391"/>
      <c r="T674" s="391"/>
      <c r="U674" s="391"/>
      <c r="V674" s="391"/>
      <c r="W674" s="391"/>
      <c r="X674" s="391"/>
      <c r="Y674" s="391"/>
      <c r="Z674" s="391"/>
      <c r="AA674" s="391"/>
      <c r="AB674" s="391"/>
      <c r="AC674" s="391"/>
      <c r="AD674" s="391"/>
      <c r="AE674" s="391"/>
      <c r="AF674" s="391"/>
      <c r="AG674" s="391"/>
      <c r="AH674" s="391"/>
      <c r="AI674" s="391"/>
      <c r="AJ674" s="391"/>
      <c r="AK674" s="391"/>
      <c r="AL674" s="391"/>
      <c r="AM674" s="391"/>
      <c r="AN674" s="391"/>
      <c r="AO674" s="391"/>
      <c r="AP674" s="391"/>
      <c r="AQ674" s="391"/>
      <c r="AR674" s="391"/>
      <c r="AS674" s="454"/>
      <c r="AT674" s="391"/>
      <c r="AU674" s="391"/>
      <c r="AV674" s="391"/>
      <c r="AW674" s="391"/>
      <c r="AX674" s="649"/>
      <c r="AY674" s="593"/>
      <c r="AZ674" s="391"/>
      <c r="BA674" s="391"/>
      <c r="BB674" s="651"/>
      <c r="BC674" s="651"/>
      <c r="BD674" s="402"/>
      <c r="BE674" s="402"/>
      <c r="BF674" s="402"/>
      <c r="BH674" s="594"/>
      <c r="BI674" s="594"/>
      <c r="BJ674" s="595"/>
      <c r="BK674" s="391"/>
      <c r="BL674" s="391"/>
      <c r="BM674" s="391"/>
      <c r="BN674" s="391"/>
      <c r="BO674" s="391"/>
      <c r="BP674" s="391"/>
      <c r="BQ674" s="391"/>
      <c r="BR674" s="391"/>
      <c r="BS674" s="391"/>
      <c r="BT674" s="391"/>
      <c r="BU674" s="391"/>
      <c r="BV674" s="391"/>
      <c r="BW674" s="391"/>
      <c r="BX674" s="391"/>
      <c r="BY674" s="391"/>
      <c r="BZ674" s="391"/>
      <c r="CA674" s="391"/>
      <c r="CB674" s="391"/>
      <c r="CC674" s="391"/>
      <c r="CD674" s="391"/>
      <c r="CE674" s="391"/>
      <c r="CF674" s="391"/>
      <c r="CG674" s="391"/>
      <c r="CH674" s="391"/>
      <c r="CI674" s="391"/>
      <c r="CJ674" s="391"/>
      <c r="CK674" s="391"/>
      <c r="CM674" s="391"/>
      <c r="CN674" s="391"/>
      <c r="CO674" s="391"/>
      <c r="CP674" s="391"/>
      <c r="CR674" s="391"/>
      <c r="CS674" s="391"/>
      <c r="CX674" s="391"/>
      <c r="DA674" s="391"/>
      <c r="DB674" s="391"/>
      <c r="DC674" s="391"/>
      <c r="DD674" s="391"/>
      <c r="DE674" s="391"/>
      <c r="DF674" s="391"/>
      <c r="DG674" s="391"/>
      <c r="DH674" s="391"/>
      <c r="DI674" s="391"/>
      <c r="DJ674" s="391"/>
      <c r="DK674" s="391"/>
      <c r="DL674" s="391"/>
      <c r="DM674" s="391"/>
      <c r="DN674" s="391"/>
      <c r="DO674" s="391"/>
      <c r="DP674" s="391"/>
      <c r="DQ674" s="391"/>
      <c r="DR674" s="391"/>
      <c r="DS674" s="391"/>
      <c r="DT674" s="391"/>
      <c r="DU674" s="391"/>
      <c r="DV674" s="391"/>
      <c r="DW674" s="391"/>
      <c r="DX674" s="391"/>
      <c r="DY674" s="391"/>
      <c r="DZ674" s="391"/>
      <c r="EA674" s="391"/>
      <c r="EB674" s="391"/>
      <c r="EC674" s="391"/>
      <c r="ED674" s="391"/>
      <c r="EE674" s="391"/>
      <c r="EF674" s="391"/>
      <c r="EG674" s="391"/>
      <c r="EH674" s="391"/>
      <c r="EI674" s="391"/>
      <c r="EJ674" s="391"/>
      <c r="EK674" s="391"/>
      <c r="EL674" s="391"/>
      <c r="EM674" s="391"/>
      <c r="EN674" s="391"/>
      <c r="EO674" s="391"/>
      <c r="EP674" s="391"/>
      <c r="EQ674" s="391"/>
      <c r="ER674" s="391"/>
      <c r="ES674" s="391"/>
      <c r="ET674" s="391"/>
      <c r="EU674" s="391"/>
      <c r="EV674" s="391"/>
      <c r="EW674" s="391"/>
    </row>
    <row r="675" spans="1:153" s="400" customFormat="1">
      <c r="A675" s="391"/>
      <c r="E675" s="454"/>
      <c r="F675" s="454"/>
      <c r="G675" s="454"/>
      <c r="H675" s="454"/>
      <c r="I675" s="454"/>
      <c r="J675" s="404"/>
      <c r="K675" s="454"/>
      <c r="L675" s="454"/>
      <c r="M675" s="391"/>
      <c r="N675" s="391"/>
      <c r="O675" s="391"/>
      <c r="P675" s="391"/>
      <c r="Q675" s="391"/>
      <c r="R675" s="391"/>
      <c r="S675" s="391"/>
      <c r="T675" s="391"/>
      <c r="U675" s="391"/>
      <c r="V675" s="391"/>
      <c r="W675" s="391"/>
      <c r="X675" s="391"/>
      <c r="Y675" s="391"/>
      <c r="Z675" s="391"/>
      <c r="AA675" s="391"/>
      <c r="AB675" s="391"/>
      <c r="AC675" s="391"/>
      <c r="AD675" s="391"/>
      <c r="AE675" s="391"/>
      <c r="AF675" s="391"/>
      <c r="AG675" s="391"/>
      <c r="AH675" s="391"/>
      <c r="AI675" s="391"/>
      <c r="AJ675" s="391"/>
      <c r="AK675" s="391"/>
      <c r="AL675" s="391"/>
      <c r="AM675" s="391"/>
      <c r="AN675" s="391"/>
      <c r="AO675" s="391"/>
      <c r="AP675" s="391"/>
      <c r="AQ675" s="391"/>
      <c r="AR675" s="391"/>
      <c r="AS675" s="454"/>
      <c r="AT675" s="391"/>
      <c r="AU675" s="391"/>
      <c r="AV675" s="391"/>
      <c r="AW675" s="391"/>
      <c r="AX675" s="649"/>
      <c r="AY675" s="593"/>
      <c r="AZ675" s="391"/>
      <c r="BA675" s="391"/>
      <c r="BB675" s="651"/>
      <c r="BC675" s="651"/>
      <c r="BD675" s="402"/>
      <c r="BE675" s="402"/>
      <c r="BF675" s="402"/>
      <c r="BH675" s="594"/>
      <c r="BI675" s="594"/>
      <c r="BJ675" s="595"/>
      <c r="BK675" s="391"/>
      <c r="BL675" s="391"/>
      <c r="BM675" s="391"/>
      <c r="BN675" s="391"/>
      <c r="BO675" s="391"/>
      <c r="BP675" s="391"/>
      <c r="BQ675" s="391"/>
      <c r="BR675" s="391"/>
      <c r="BS675" s="391"/>
      <c r="BT675" s="391"/>
      <c r="BU675" s="391"/>
      <c r="BV675" s="391"/>
      <c r="BW675" s="391"/>
      <c r="BX675" s="391"/>
      <c r="BY675" s="391"/>
      <c r="BZ675" s="391"/>
      <c r="CA675" s="391"/>
      <c r="CB675" s="391"/>
      <c r="CC675" s="391"/>
      <c r="CD675" s="391"/>
      <c r="CE675" s="391"/>
      <c r="CF675" s="391"/>
      <c r="CG675" s="391"/>
      <c r="CH675" s="391"/>
      <c r="CI675" s="391"/>
      <c r="CJ675" s="391"/>
      <c r="CK675" s="391"/>
      <c r="CM675" s="391"/>
      <c r="CN675" s="391"/>
      <c r="CO675" s="391"/>
      <c r="CP675" s="391"/>
      <c r="CR675" s="391"/>
      <c r="CS675" s="391"/>
      <c r="CX675" s="391"/>
      <c r="DA675" s="391"/>
      <c r="DB675" s="391"/>
      <c r="DC675" s="391"/>
      <c r="DD675" s="391"/>
      <c r="DE675" s="391"/>
      <c r="DF675" s="391"/>
      <c r="DG675" s="391"/>
      <c r="DH675" s="391"/>
      <c r="DI675" s="391"/>
      <c r="DJ675" s="391"/>
      <c r="DK675" s="391"/>
      <c r="DL675" s="391"/>
      <c r="DM675" s="391"/>
      <c r="DN675" s="391"/>
      <c r="DO675" s="391"/>
      <c r="DP675" s="391"/>
      <c r="DQ675" s="391"/>
      <c r="DR675" s="391"/>
      <c r="DS675" s="391"/>
      <c r="DT675" s="391"/>
      <c r="DU675" s="391"/>
      <c r="DV675" s="391"/>
      <c r="DW675" s="391"/>
      <c r="DX675" s="391"/>
      <c r="DY675" s="391"/>
      <c r="DZ675" s="391"/>
      <c r="EA675" s="391"/>
      <c r="EB675" s="391"/>
      <c r="EC675" s="391"/>
      <c r="ED675" s="391"/>
      <c r="EE675" s="391"/>
      <c r="EF675" s="391"/>
      <c r="EG675" s="391"/>
      <c r="EH675" s="391"/>
      <c r="EI675" s="391"/>
      <c r="EJ675" s="391"/>
      <c r="EK675" s="391"/>
      <c r="EL675" s="391"/>
      <c r="EM675" s="391"/>
      <c r="EN675" s="391"/>
      <c r="EO675" s="391"/>
      <c r="EP675" s="391"/>
      <c r="EQ675" s="391"/>
      <c r="ER675" s="391"/>
      <c r="ES675" s="391"/>
      <c r="ET675" s="391"/>
      <c r="EU675" s="391"/>
      <c r="EV675" s="391"/>
      <c r="EW675" s="391"/>
    </row>
    <row r="676" spans="1:153" s="400" customFormat="1">
      <c r="A676" s="391"/>
      <c r="E676" s="454"/>
      <c r="F676" s="454"/>
      <c r="G676" s="454"/>
      <c r="H676" s="454"/>
      <c r="I676" s="454"/>
      <c r="J676" s="404"/>
      <c r="K676" s="454"/>
      <c r="L676" s="454"/>
      <c r="M676" s="391"/>
      <c r="N676" s="391"/>
      <c r="O676" s="391"/>
      <c r="P676" s="391"/>
      <c r="Q676" s="391"/>
      <c r="R676" s="391"/>
      <c r="S676" s="391"/>
      <c r="T676" s="391"/>
      <c r="U676" s="391"/>
      <c r="V676" s="391"/>
      <c r="W676" s="391"/>
      <c r="X676" s="391"/>
      <c r="Y676" s="391"/>
      <c r="Z676" s="391"/>
      <c r="AA676" s="391"/>
      <c r="AB676" s="391"/>
      <c r="AC676" s="391"/>
      <c r="AD676" s="391"/>
      <c r="AE676" s="391"/>
      <c r="AF676" s="391"/>
      <c r="AG676" s="391"/>
      <c r="AH676" s="391"/>
      <c r="AI676" s="391"/>
      <c r="AJ676" s="391"/>
      <c r="AK676" s="391"/>
      <c r="AL676" s="391"/>
      <c r="AM676" s="391"/>
      <c r="AN676" s="391"/>
      <c r="AO676" s="391"/>
      <c r="AP676" s="391"/>
      <c r="AQ676" s="391"/>
      <c r="AR676" s="391"/>
      <c r="AS676" s="454"/>
      <c r="AT676" s="391"/>
      <c r="AU676" s="391"/>
      <c r="AV676" s="391"/>
      <c r="AW676" s="391"/>
      <c r="AX676" s="649"/>
      <c r="AY676" s="593"/>
      <c r="AZ676" s="391"/>
      <c r="BA676" s="391"/>
      <c r="BB676" s="651"/>
      <c r="BC676" s="651"/>
      <c r="BD676" s="402"/>
      <c r="BE676" s="402"/>
      <c r="BF676" s="402"/>
      <c r="BH676" s="594"/>
      <c r="BI676" s="594"/>
      <c r="BJ676" s="595"/>
      <c r="BK676" s="391"/>
      <c r="BL676" s="391"/>
      <c r="BM676" s="391"/>
      <c r="BN676" s="391"/>
      <c r="BO676" s="391"/>
      <c r="BP676" s="391"/>
      <c r="BQ676" s="391"/>
      <c r="BR676" s="391"/>
      <c r="BS676" s="391"/>
      <c r="BT676" s="391"/>
      <c r="BU676" s="391"/>
      <c r="BV676" s="391"/>
      <c r="BW676" s="391"/>
      <c r="BX676" s="391"/>
      <c r="BY676" s="391"/>
      <c r="BZ676" s="391"/>
      <c r="CA676" s="391"/>
      <c r="CB676" s="391"/>
      <c r="CC676" s="391"/>
      <c r="CD676" s="391"/>
      <c r="CE676" s="391"/>
      <c r="CF676" s="391"/>
      <c r="CG676" s="391"/>
      <c r="CH676" s="391"/>
      <c r="CI676" s="391"/>
      <c r="CJ676" s="391"/>
      <c r="CK676" s="391"/>
      <c r="CM676" s="391"/>
      <c r="CN676" s="391"/>
      <c r="CO676" s="391"/>
      <c r="CP676" s="391"/>
      <c r="CR676" s="391"/>
      <c r="CS676" s="391"/>
      <c r="CX676" s="391"/>
      <c r="DA676" s="391"/>
      <c r="DB676" s="391"/>
      <c r="DC676" s="391"/>
      <c r="DD676" s="391"/>
      <c r="DE676" s="391"/>
      <c r="DF676" s="391"/>
      <c r="DG676" s="391"/>
      <c r="DH676" s="391"/>
      <c r="DI676" s="391"/>
      <c r="DJ676" s="391"/>
      <c r="DK676" s="391"/>
      <c r="DL676" s="391"/>
      <c r="DM676" s="391"/>
      <c r="DN676" s="391"/>
      <c r="DO676" s="391"/>
      <c r="DP676" s="391"/>
      <c r="DQ676" s="391"/>
      <c r="DR676" s="391"/>
      <c r="DS676" s="391"/>
      <c r="DT676" s="391"/>
      <c r="DU676" s="391"/>
      <c r="DV676" s="391"/>
      <c r="DW676" s="391"/>
      <c r="DX676" s="391"/>
      <c r="DY676" s="391"/>
      <c r="DZ676" s="391"/>
      <c r="EA676" s="391"/>
      <c r="EB676" s="391"/>
      <c r="EC676" s="391"/>
      <c r="ED676" s="391"/>
      <c r="EE676" s="391"/>
      <c r="EF676" s="391"/>
      <c r="EG676" s="391"/>
      <c r="EH676" s="391"/>
      <c r="EI676" s="391"/>
      <c r="EJ676" s="391"/>
      <c r="EK676" s="391"/>
      <c r="EL676" s="391"/>
      <c r="EM676" s="391"/>
      <c r="EN676" s="391"/>
      <c r="EO676" s="391"/>
      <c r="EP676" s="391"/>
      <c r="EQ676" s="391"/>
      <c r="ER676" s="391"/>
      <c r="ES676" s="391"/>
      <c r="ET676" s="391"/>
      <c r="EU676" s="391"/>
      <c r="EV676" s="391"/>
      <c r="EW676" s="391"/>
    </row>
    <row r="677" spans="1:153" s="400" customFormat="1">
      <c r="A677" s="391"/>
      <c r="E677" s="454"/>
      <c r="F677" s="454"/>
      <c r="G677" s="454"/>
      <c r="H677" s="454"/>
      <c r="I677" s="454"/>
      <c r="J677" s="404"/>
      <c r="K677" s="454"/>
      <c r="L677" s="454"/>
      <c r="M677" s="391"/>
      <c r="N677" s="391"/>
      <c r="O677" s="391"/>
      <c r="P677" s="391"/>
      <c r="Q677" s="391"/>
      <c r="R677" s="391"/>
      <c r="S677" s="391"/>
      <c r="T677" s="391"/>
      <c r="U677" s="391"/>
      <c r="V677" s="391"/>
      <c r="W677" s="391"/>
      <c r="X677" s="391"/>
      <c r="Y677" s="391"/>
      <c r="Z677" s="391"/>
      <c r="AA677" s="391"/>
      <c r="AB677" s="391"/>
      <c r="AC677" s="391"/>
      <c r="AD677" s="391"/>
      <c r="AE677" s="391"/>
      <c r="AF677" s="391"/>
      <c r="AG677" s="391"/>
      <c r="AH677" s="391"/>
      <c r="AI677" s="391"/>
      <c r="AJ677" s="391"/>
      <c r="AK677" s="391"/>
      <c r="AL677" s="391"/>
      <c r="AM677" s="391"/>
      <c r="AN677" s="391"/>
      <c r="AO677" s="391"/>
      <c r="AP677" s="391"/>
      <c r="AQ677" s="391"/>
      <c r="AR677" s="391"/>
      <c r="AS677" s="454"/>
      <c r="AT677" s="391"/>
      <c r="AU677" s="391"/>
      <c r="AV677" s="391"/>
      <c r="AW677" s="391"/>
      <c r="AX677" s="649"/>
      <c r="AY677" s="593"/>
      <c r="AZ677" s="391"/>
      <c r="BA677" s="391"/>
      <c r="BB677" s="651"/>
      <c r="BC677" s="651"/>
      <c r="BD677" s="402"/>
      <c r="BE677" s="402"/>
      <c r="BF677" s="402"/>
      <c r="BH677" s="594"/>
      <c r="BI677" s="594"/>
      <c r="BJ677" s="595"/>
      <c r="BK677" s="391"/>
      <c r="BL677" s="391"/>
      <c r="BM677" s="391"/>
      <c r="BN677" s="391"/>
      <c r="BO677" s="391"/>
      <c r="BP677" s="391"/>
      <c r="BQ677" s="391"/>
      <c r="BR677" s="391"/>
      <c r="BS677" s="391"/>
      <c r="BT677" s="391"/>
      <c r="BU677" s="391"/>
      <c r="BV677" s="391"/>
      <c r="BW677" s="391"/>
      <c r="BX677" s="391"/>
      <c r="BY677" s="391"/>
      <c r="BZ677" s="391"/>
      <c r="CA677" s="391"/>
      <c r="CB677" s="391"/>
      <c r="CC677" s="391"/>
      <c r="CD677" s="391"/>
      <c r="CE677" s="391"/>
      <c r="CF677" s="391"/>
      <c r="CG677" s="391"/>
      <c r="CH677" s="391"/>
      <c r="CI677" s="391"/>
      <c r="CJ677" s="391"/>
      <c r="CK677" s="391"/>
      <c r="CM677" s="391"/>
      <c r="CN677" s="391"/>
      <c r="CO677" s="391"/>
      <c r="CP677" s="391"/>
      <c r="CR677" s="391"/>
      <c r="CS677" s="391"/>
      <c r="CX677" s="391"/>
      <c r="DA677" s="391"/>
      <c r="DB677" s="391"/>
      <c r="DC677" s="391"/>
      <c r="DD677" s="391"/>
      <c r="DE677" s="391"/>
      <c r="DF677" s="391"/>
      <c r="DG677" s="391"/>
      <c r="DH677" s="391"/>
      <c r="DI677" s="391"/>
      <c r="DJ677" s="391"/>
      <c r="DK677" s="391"/>
      <c r="DL677" s="391"/>
      <c r="DM677" s="391"/>
      <c r="DN677" s="391"/>
      <c r="DO677" s="391"/>
      <c r="DP677" s="391"/>
      <c r="DQ677" s="391"/>
      <c r="DR677" s="391"/>
      <c r="DS677" s="391"/>
      <c r="DT677" s="391"/>
      <c r="DU677" s="391"/>
      <c r="DV677" s="391"/>
      <c r="DW677" s="391"/>
      <c r="DX677" s="391"/>
      <c r="DY677" s="391"/>
      <c r="DZ677" s="391"/>
      <c r="EA677" s="391"/>
      <c r="EB677" s="391"/>
      <c r="EC677" s="391"/>
      <c r="ED677" s="391"/>
      <c r="EE677" s="391"/>
      <c r="EF677" s="391"/>
      <c r="EG677" s="391"/>
      <c r="EH677" s="391"/>
      <c r="EI677" s="391"/>
      <c r="EJ677" s="391"/>
      <c r="EK677" s="391"/>
      <c r="EL677" s="391"/>
      <c r="EM677" s="391"/>
      <c r="EN677" s="391"/>
      <c r="EO677" s="391"/>
      <c r="EP677" s="391"/>
      <c r="EQ677" s="391"/>
      <c r="ER677" s="391"/>
      <c r="ES677" s="391"/>
      <c r="ET677" s="391"/>
      <c r="EU677" s="391"/>
      <c r="EV677" s="391"/>
      <c r="EW677" s="391"/>
    </row>
    <row r="678" spans="1:153" s="400" customFormat="1">
      <c r="A678" s="391"/>
      <c r="E678" s="454"/>
      <c r="F678" s="454"/>
      <c r="G678" s="454"/>
      <c r="H678" s="454"/>
      <c r="I678" s="454"/>
      <c r="J678" s="404"/>
      <c r="K678" s="454"/>
      <c r="L678" s="454"/>
      <c r="M678" s="391"/>
      <c r="N678" s="391"/>
      <c r="O678" s="391"/>
      <c r="P678" s="391"/>
      <c r="Q678" s="391"/>
      <c r="R678" s="391"/>
      <c r="S678" s="391"/>
      <c r="T678" s="391"/>
      <c r="U678" s="391"/>
      <c r="V678" s="391"/>
      <c r="W678" s="391"/>
      <c r="X678" s="391"/>
      <c r="Y678" s="391"/>
      <c r="Z678" s="391"/>
      <c r="AA678" s="391"/>
      <c r="AB678" s="391"/>
      <c r="AC678" s="391"/>
      <c r="AD678" s="391"/>
      <c r="AE678" s="391"/>
      <c r="AF678" s="391"/>
      <c r="AG678" s="391"/>
      <c r="AH678" s="391"/>
      <c r="AI678" s="391"/>
      <c r="AJ678" s="391"/>
      <c r="AK678" s="391"/>
      <c r="AL678" s="391"/>
      <c r="AM678" s="391"/>
      <c r="AN678" s="391"/>
      <c r="AO678" s="391"/>
      <c r="AP678" s="391"/>
      <c r="AQ678" s="391"/>
      <c r="AR678" s="391"/>
      <c r="AS678" s="454"/>
      <c r="AT678" s="391"/>
      <c r="AU678" s="391"/>
      <c r="AV678" s="391"/>
      <c r="AW678" s="391"/>
      <c r="AX678" s="649"/>
      <c r="AY678" s="593"/>
      <c r="AZ678" s="391"/>
      <c r="BA678" s="391"/>
      <c r="BB678" s="651"/>
      <c r="BC678" s="651"/>
      <c r="BD678" s="402"/>
      <c r="BE678" s="402"/>
      <c r="BF678" s="402"/>
      <c r="BH678" s="594"/>
      <c r="BI678" s="594"/>
      <c r="BJ678" s="595"/>
      <c r="BK678" s="391"/>
      <c r="BL678" s="391"/>
      <c r="BM678" s="391"/>
      <c r="BN678" s="391"/>
      <c r="BO678" s="391"/>
      <c r="BP678" s="391"/>
      <c r="BQ678" s="391"/>
      <c r="BR678" s="391"/>
      <c r="BS678" s="391"/>
      <c r="BT678" s="391"/>
      <c r="BU678" s="391"/>
      <c r="BV678" s="391"/>
      <c r="BW678" s="391"/>
      <c r="BX678" s="391"/>
      <c r="BY678" s="391"/>
      <c r="BZ678" s="391"/>
      <c r="CA678" s="391"/>
      <c r="CB678" s="391"/>
      <c r="CC678" s="391"/>
      <c r="CD678" s="391"/>
      <c r="CE678" s="391"/>
      <c r="CF678" s="391"/>
      <c r="CG678" s="391"/>
      <c r="CH678" s="391"/>
      <c r="CI678" s="391"/>
      <c r="CJ678" s="391"/>
      <c r="CK678" s="391"/>
      <c r="CM678" s="391"/>
      <c r="CN678" s="391"/>
      <c r="CO678" s="391"/>
      <c r="CP678" s="391"/>
      <c r="CR678" s="391"/>
      <c r="CS678" s="391"/>
      <c r="CX678" s="391"/>
      <c r="DA678" s="391"/>
      <c r="DB678" s="391"/>
      <c r="DC678" s="391"/>
      <c r="DD678" s="391"/>
      <c r="DE678" s="391"/>
      <c r="DF678" s="391"/>
      <c r="DG678" s="391"/>
      <c r="DH678" s="391"/>
      <c r="DI678" s="391"/>
      <c r="DJ678" s="391"/>
      <c r="DK678" s="391"/>
      <c r="DL678" s="391"/>
      <c r="DM678" s="391"/>
      <c r="DN678" s="391"/>
      <c r="DO678" s="391"/>
      <c r="DP678" s="391"/>
      <c r="DQ678" s="391"/>
      <c r="DR678" s="391"/>
      <c r="DS678" s="391"/>
      <c r="DT678" s="391"/>
      <c r="DU678" s="391"/>
      <c r="DV678" s="391"/>
      <c r="DW678" s="391"/>
      <c r="DX678" s="391"/>
      <c r="DY678" s="391"/>
      <c r="DZ678" s="391"/>
      <c r="EA678" s="391"/>
      <c r="EB678" s="391"/>
      <c r="EC678" s="391"/>
      <c r="ED678" s="391"/>
      <c r="EE678" s="391"/>
      <c r="EF678" s="391"/>
      <c r="EG678" s="391"/>
      <c r="EH678" s="391"/>
      <c r="EI678" s="391"/>
      <c r="EJ678" s="391"/>
      <c r="EK678" s="391"/>
      <c r="EL678" s="391"/>
      <c r="EM678" s="391"/>
      <c r="EN678" s="391"/>
      <c r="EO678" s="391"/>
      <c r="EP678" s="391"/>
      <c r="EQ678" s="391"/>
      <c r="ER678" s="391"/>
      <c r="ES678" s="391"/>
      <c r="ET678" s="391"/>
      <c r="EU678" s="391"/>
      <c r="EV678" s="391"/>
      <c r="EW678" s="391"/>
    </row>
    <row r="679" spans="1:153" s="400" customFormat="1">
      <c r="A679" s="391"/>
      <c r="E679" s="454"/>
      <c r="F679" s="454"/>
      <c r="G679" s="454"/>
      <c r="H679" s="454"/>
      <c r="I679" s="454"/>
      <c r="J679" s="404"/>
      <c r="K679" s="454"/>
      <c r="L679" s="454"/>
      <c r="M679" s="391"/>
      <c r="N679" s="391"/>
      <c r="O679" s="391"/>
      <c r="P679" s="391"/>
      <c r="Q679" s="391"/>
      <c r="R679" s="391"/>
      <c r="S679" s="391"/>
      <c r="T679" s="391"/>
      <c r="U679" s="391"/>
      <c r="V679" s="391"/>
      <c r="W679" s="391"/>
      <c r="X679" s="391"/>
      <c r="Y679" s="391"/>
      <c r="Z679" s="391"/>
      <c r="AA679" s="391"/>
      <c r="AB679" s="391"/>
      <c r="AC679" s="391"/>
      <c r="AD679" s="391"/>
      <c r="AE679" s="391"/>
      <c r="AF679" s="391"/>
      <c r="AG679" s="391"/>
      <c r="AH679" s="391"/>
      <c r="AI679" s="391"/>
      <c r="AJ679" s="391"/>
      <c r="AK679" s="391"/>
      <c r="AL679" s="391"/>
      <c r="AM679" s="391"/>
      <c r="AN679" s="391"/>
      <c r="AO679" s="391"/>
      <c r="AP679" s="391"/>
      <c r="AQ679" s="391"/>
      <c r="AR679" s="391"/>
      <c r="AS679" s="454"/>
      <c r="AT679" s="391"/>
      <c r="AU679" s="391"/>
      <c r="AV679" s="391"/>
      <c r="AW679" s="391"/>
      <c r="AX679" s="649"/>
      <c r="AY679" s="593"/>
      <c r="AZ679" s="391"/>
      <c r="BA679" s="391"/>
      <c r="BB679" s="651"/>
      <c r="BC679" s="651"/>
      <c r="BD679" s="402"/>
      <c r="BE679" s="402"/>
      <c r="BF679" s="402"/>
      <c r="BH679" s="594"/>
      <c r="BI679" s="594"/>
      <c r="BJ679" s="595"/>
      <c r="BK679" s="391"/>
      <c r="BL679" s="391"/>
      <c r="BM679" s="391"/>
      <c r="BN679" s="391"/>
      <c r="BO679" s="391"/>
      <c r="BP679" s="391"/>
      <c r="BQ679" s="391"/>
      <c r="BR679" s="391"/>
      <c r="BS679" s="391"/>
      <c r="BT679" s="391"/>
      <c r="BU679" s="391"/>
      <c r="BV679" s="391"/>
      <c r="BW679" s="391"/>
      <c r="BX679" s="391"/>
      <c r="BY679" s="391"/>
      <c r="BZ679" s="391"/>
      <c r="CA679" s="391"/>
      <c r="CB679" s="391"/>
      <c r="CC679" s="391"/>
      <c r="CD679" s="391"/>
      <c r="CE679" s="391"/>
      <c r="CF679" s="391"/>
      <c r="CG679" s="391"/>
      <c r="CH679" s="391"/>
      <c r="CI679" s="391"/>
      <c r="CJ679" s="391"/>
      <c r="CK679" s="391"/>
      <c r="CM679" s="391"/>
      <c r="CN679" s="391"/>
      <c r="CO679" s="391"/>
      <c r="CP679" s="391"/>
      <c r="CR679" s="391"/>
      <c r="CS679" s="391"/>
      <c r="CX679" s="391"/>
      <c r="DA679" s="391"/>
      <c r="DB679" s="391"/>
      <c r="DC679" s="391"/>
      <c r="DD679" s="391"/>
      <c r="DE679" s="391"/>
      <c r="DF679" s="391"/>
      <c r="DG679" s="391"/>
      <c r="DH679" s="391"/>
      <c r="DI679" s="391"/>
      <c r="DJ679" s="391"/>
      <c r="DK679" s="391"/>
      <c r="DL679" s="391"/>
      <c r="DM679" s="391"/>
      <c r="DN679" s="391"/>
      <c r="DO679" s="391"/>
      <c r="DP679" s="391"/>
      <c r="DQ679" s="391"/>
      <c r="DR679" s="391"/>
      <c r="DS679" s="391"/>
      <c r="DT679" s="391"/>
      <c r="DU679" s="391"/>
      <c r="DV679" s="391"/>
      <c r="DW679" s="391"/>
      <c r="DX679" s="391"/>
      <c r="DY679" s="391"/>
      <c r="DZ679" s="391"/>
      <c r="EA679" s="391"/>
      <c r="EB679" s="391"/>
      <c r="EC679" s="391"/>
      <c r="ED679" s="391"/>
      <c r="EE679" s="391"/>
      <c r="EF679" s="391"/>
      <c r="EG679" s="391"/>
      <c r="EH679" s="391"/>
      <c r="EI679" s="391"/>
      <c r="EJ679" s="391"/>
      <c r="EK679" s="391"/>
      <c r="EL679" s="391"/>
      <c r="EM679" s="391"/>
      <c r="EN679" s="391"/>
      <c r="EO679" s="391"/>
      <c r="EP679" s="391"/>
      <c r="EQ679" s="391"/>
      <c r="ER679" s="391"/>
      <c r="ES679" s="391"/>
      <c r="ET679" s="391"/>
      <c r="EU679" s="391"/>
      <c r="EV679" s="391"/>
      <c r="EW679" s="391"/>
    </row>
    <row r="680" spans="1:153" s="400" customFormat="1">
      <c r="A680" s="391"/>
      <c r="E680" s="454"/>
      <c r="F680" s="454"/>
      <c r="G680" s="454"/>
      <c r="H680" s="454"/>
      <c r="I680" s="454"/>
      <c r="J680" s="404"/>
      <c r="K680" s="454"/>
      <c r="L680" s="454"/>
      <c r="M680" s="391"/>
      <c r="N680" s="391"/>
      <c r="O680" s="391"/>
      <c r="P680" s="391"/>
      <c r="Q680" s="391"/>
      <c r="R680" s="391"/>
      <c r="S680" s="391"/>
      <c r="T680" s="391"/>
      <c r="U680" s="391"/>
      <c r="V680" s="391"/>
      <c r="W680" s="391"/>
      <c r="X680" s="391"/>
      <c r="Y680" s="391"/>
      <c r="Z680" s="391"/>
      <c r="AA680" s="391"/>
      <c r="AB680" s="391"/>
      <c r="AC680" s="391"/>
      <c r="AD680" s="391"/>
      <c r="AE680" s="391"/>
      <c r="AF680" s="391"/>
      <c r="AG680" s="391"/>
      <c r="AH680" s="391"/>
      <c r="AI680" s="391"/>
      <c r="AJ680" s="391"/>
      <c r="AK680" s="391"/>
      <c r="AL680" s="391"/>
      <c r="AM680" s="391"/>
      <c r="AN680" s="391"/>
      <c r="AO680" s="391"/>
      <c r="AP680" s="391"/>
      <c r="AQ680" s="391"/>
      <c r="AR680" s="391"/>
      <c r="AS680" s="454"/>
      <c r="AT680" s="391"/>
      <c r="AU680" s="391"/>
      <c r="AV680" s="391"/>
      <c r="AW680" s="391"/>
      <c r="AX680" s="649"/>
      <c r="AY680" s="593"/>
      <c r="AZ680" s="391"/>
      <c r="BA680" s="391"/>
      <c r="BB680" s="651"/>
      <c r="BC680" s="651"/>
      <c r="BD680" s="402"/>
      <c r="BE680" s="402"/>
      <c r="BF680" s="402"/>
      <c r="BH680" s="594"/>
      <c r="BI680" s="594"/>
      <c r="BJ680" s="595"/>
      <c r="BK680" s="391"/>
      <c r="BL680" s="391"/>
      <c r="BM680" s="391"/>
      <c r="BN680" s="391"/>
      <c r="BO680" s="391"/>
      <c r="BP680" s="391"/>
      <c r="BQ680" s="391"/>
      <c r="BR680" s="391"/>
      <c r="BS680" s="391"/>
      <c r="BT680" s="391"/>
      <c r="BU680" s="391"/>
      <c r="BV680" s="391"/>
      <c r="BW680" s="391"/>
      <c r="BX680" s="391"/>
      <c r="BY680" s="391"/>
      <c r="BZ680" s="391"/>
      <c r="CA680" s="391"/>
      <c r="CB680" s="391"/>
      <c r="CC680" s="391"/>
      <c r="CD680" s="391"/>
      <c r="CE680" s="391"/>
      <c r="CF680" s="391"/>
      <c r="CG680" s="391"/>
      <c r="CH680" s="391"/>
      <c r="CI680" s="391"/>
      <c r="CJ680" s="391"/>
      <c r="CK680" s="391"/>
      <c r="CM680" s="391"/>
      <c r="CN680" s="391"/>
      <c r="CO680" s="391"/>
      <c r="CP680" s="391"/>
      <c r="CR680" s="391"/>
      <c r="CS680" s="391"/>
      <c r="CX680" s="391"/>
      <c r="DA680" s="391"/>
      <c r="DB680" s="391"/>
      <c r="DC680" s="391"/>
      <c r="DD680" s="391"/>
      <c r="DE680" s="391"/>
      <c r="DF680" s="391"/>
      <c r="DG680" s="391"/>
      <c r="DH680" s="391"/>
      <c r="DI680" s="391"/>
      <c r="DJ680" s="391"/>
      <c r="DK680" s="391"/>
      <c r="DL680" s="391"/>
      <c r="DM680" s="391"/>
      <c r="DN680" s="391"/>
      <c r="DO680" s="391"/>
      <c r="DP680" s="391"/>
      <c r="DQ680" s="391"/>
      <c r="DR680" s="391"/>
      <c r="DS680" s="391"/>
      <c r="DT680" s="391"/>
      <c r="DU680" s="391"/>
      <c r="DV680" s="391"/>
      <c r="DW680" s="391"/>
      <c r="DX680" s="391"/>
      <c r="DY680" s="391"/>
      <c r="DZ680" s="391"/>
      <c r="EA680" s="391"/>
      <c r="EB680" s="391"/>
      <c r="EC680" s="391"/>
      <c r="ED680" s="391"/>
      <c r="EE680" s="391"/>
      <c r="EF680" s="391"/>
      <c r="EG680" s="391"/>
      <c r="EH680" s="391"/>
      <c r="EI680" s="391"/>
      <c r="EJ680" s="391"/>
      <c r="EK680" s="391"/>
      <c r="EL680" s="391"/>
      <c r="EM680" s="391"/>
      <c r="EN680" s="391"/>
      <c r="EO680" s="391"/>
      <c r="EP680" s="391"/>
      <c r="EQ680" s="391"/>
      <c r="ER680" s="391"/>
      <c r="ES680" s="391"/>
      <c r="ET680" s="391"/>
      <c r="EU680" s="391"/>
      <c r="EV680" s="391"/>
      <c r="EW680" s="391"/>
    </row>
    <row r="681" spans="1:153" s="400" customFormat="1">
      <c r="A681" s="391"/>
      <c r="E681" s="454"/>
      <c r="F681" s="454"/>
      <c r="G681" s="454"/>
      <c r="H681" s="454"/>
      <c r="I681" s="454"/>
      <c r="J681" s="404"/>
      <c r="K681" s="454"/>
      <c r="L681" s="454"/>
      <c r="M681" s="391"/>
      <c r="N681" s="391"/>
      <c r="O681" s="391"/>
      <c r="P681" s="391"/>
      <c r="Q681" s="391"/>
      <c r="R681" s="391"/>
      <c r="S681" s="391"/>
      <c r="T681" s="391"/>
      <c r="U681" s="391"/>
      <c r="V681" s="391"/>
      <c r="W681" s="391"/>
      <c r="X681" s="391"/>
      <c r="Y681" s="391"/>
      <c r="Z681" s="391"/>
      <c r="AA681" s="391"/>
      <c r="AB681" s="391"/>
      <c r="AC681" s="391"/>
      <c r="AD681" s="391"/>
      <c r="AE681" s="391"/>
      <c r="AF681" s="391"/>
      <c r="AG681" s="391"/>
      <c r="AH681" s="391"/>
      <c r="AI681" s="391"/>
      <c r="AJ681" s="391"/>
      <c r="AK681" s="391"/>
      <c r="AL681" s="391"/>
      <c r="AM681" s="391"/>
      <c r="AN681" s="391"/>
      <c r="AO681" s="391"/>
      <c r="AP681" s="391"/>
      <c r="AQ681" s="391"/>
      <c r="AR681" s="391"/>
      <c r="AS681" s="454"/>
      <c r="AT681" s="391"/>
      <c r="AU681" s="391"/>
      <c r="AV681" s="391"/>
      <c r="AW681" s="391"/>
      <c r="AX681" s="649"/>
      <c r="AY681" s="593"/>
      <c r="AZ681" s="391"/>
      <c r="BA681" s="391"/>
      <c r="BB681" s="651"/>
      <c r="BC681" s="651"/>
      <c r="BD681" s="402"/>
      <c r="BE681" s="402"/>
      <c r="BF681" s="402"/>
      <c r="BH681" s="594"/>
      <c r="BI681" s="594"/>
      <c r="BJ681" s="595"/>
      <c r="BK681" s="391"/>
      <c r="BL681" s="391"/>
      <c r="BM681" s="391"/>
      <c r="BN681" s="391"/>
      <c r="BO681" s="391"/>
      <c r="BP681" s="391"/>
      <c r="BQ681" s="391"/>
      <c r="BR681" s="391"/>
      <c r="BS681" s="391"/>
      <c r="BT681" s="391"/>
      <c r="BU681" s="391"/>
      <c r="BV681" s="391"/>
      <c r="BW681" s="391"/>
      <c r="BX681" s="391"/>
      <c r="BY681" s="391"/>
      <c r="BZ681" s="391"/>
      <c r="CA681" s="391"/>
      <c r="CB681" s="391"/>
      <c r="CC681" s="391"/>
      <c r="CD681" s="391"/>
      <c r="CE681" s="391"/>
      <c r="CF681" s="391"/>
      <c r="CG681" s="391"/>
      <c r="CH681" s="391"/>
      <c r="CI681" s="391"/>
      <c r="CJ681" s="391"/>
      <c r="CK681" s="391"/>
      <c r="CM681" s="391"/>
      <c r="CN681" s="391"/>
      <c r="CO681" s="391"/>
      <c r="CP681" s="391"/>
      <c r="CR681" s="391"/>
      <c r="CS681" s="391"/>
      <c r="CX681" s="391"/>
      <c r="DA681" s="391"/>
      <c r="DB681" s="391"/>
      <c r="DC681" s="391"/>
      <c r="DD681" s="391"/>
      <c r="DE681" s="391"/>
      <c r="DF681" s="391"/>
      <c r="DG681" s="391"/>
      <c r="DH681" s="391"/>
      <c r="DI681" s="391"/>
      <c r="DJ681" s="391"/>
      <c r="DK681" s="391"/>
      <c r="DL681" s="391"/>
      <c r="DM681" s="391"/>
      <c r="DN681" s="391"/>
      <c r="DO681" s="391"/>
      <c r="DP681" s="391"/>
      <c r="DQ681" s="391"/>
      <c r="DR681" s="391"/>
      <c r="DS681" s="391"/>
      <c r="DT681" s="391"/>
      <c r="DU681" s="391"/>
      <c r="DV681" s="391"/>
      <c r="DW681" s="391"/>
      <c r="DX681" s="391"/>
      <c r="DY681" s="391"/>
      <c r="DZ681" s="391"/>
      <c r="EA681" s="391"/>
      <c r="EB681" s="391"/>
      <c r="EC681" s="391"/>
      <c r="ED681" s="391"/>
      <c r="EE681" s="391"/>
      <c r="EF681" s="391"/>
      <c r="EG681" s="391"/>
      <c r="EH681" s="391"/>
      <c r="EI681" s="391"/>
      <c r="EJ681" s="391"/>
      <c r="EK681" s="391"/>
      <c r="EL681" s="391"/>
      <c r="EM681" s="391"/>
      <c r="EN681" s="391"/>
      <c r="EO681" s="391"/>
      <c r="EP681" s="391"/>
      <c r="EQ681" s="391"/>
      <c r="ER681" s="391"/>
      <c r="ES681" s="391"/>
      <c r="ET681" s="391"/>
      <c r="EU681" s="391"/>
      <c r="EV681" s="391"/>
      <c r="EW681" s="391"/>
    </row>
    <row r="682" spans="1:153" s="400" customFormat="1">
      <c r="A682" s="391"/>
      <c r="E682" s="454"/>
      <c r="F682" s="454"/>
      <c r="G682" s="454"/>
      <c r="H682" s="454"/>
      <c r="I682" s="454"/>
      <c r="J682" s="404"/>
      <c r="K682" s="454"/>
      <c r="L682" s="454"/>
      <c r="M682" s="391"/>
      <c r="N682" s="391"/>
      <c r="O682" s="391"/>
      <c r="P682" s="391"/>
      <c r="Q682" s="391"/>
      <c r="R682" s="391"/>
      <c r="S682" s="391"/>
      <c r="T682" s="391"/>
      <c r="U682" s="391"/>
      <c r="V682" s="391"/>
      <c r="W682" s="391"/>
      <c r="X682" s="391"/>
      <c r="Y682" s="391"/>
      <c r="Z682" s="391"/>
      <c r="AA682" s="391"/>
      <c r="AB682" s="391"/>
      <c r="AC682" s="391"/>
      <c r="AD682" s="391"/>
      <c r="AE682" s="391"/>
      <c r="AF682" s="391"/>
      <c r="AG682" s="391"/>
      <c r="AH682" s="391"/>
      <c r="AI682" s="391"/>
      <c r="AJ682" s="391"/>
      <c r="AK682" s="391"/>
      <c r="AL682" s="391"/>
      <c r="AM682" s="391"/>
      <c r="AN682" s="391"/>
      <c r="AO682" s="391"/>
      <c r="AP682" s="391"/>
      <c r="AQ682" s="391"/>
      <c r="AR682" s="391"/>
      <c r="AS682" s="454"/>
      <c r="AT682" s="391"/>
      <c r="AU682" s="391"/>
      <c r="AV682" s="391"/>
      <c r="AW682" s="391"/>
      <c r="AX682" s="649"/>
      <c r="AY682" s="593"/>
      <c r="AZ682" s="391"/>
      <c r="BA682" s="391"/>
      <c r="BB682" s="651"/>
      <c r="BC682" s="651"/>
      <c r="BD682" s="402"/>
      <c r="BE682" s="402"/>
      <c r="BF682" s="402"/>
      <c r="BH682" s="594"/>
      <c r="BI682" s="594"/>
      <c r="BJ682" s="595"/>
      <c r="BK682" s="391"/>
      <c r="BL682" s="391"/>
      <c r="BM682" s="391"/>
      <c r="BN682" s="391"/>
      <c r="BO682" s="391"/>
      <c r="BP682" s="391"/>
      <c r="BQ682" s="391"/>
      <c r="BR682" s="391"/>
      <c r="BS682" s="391"/>
      <c r="BT682" s="391"/>
      <c r="BU682" s="391"/>
      <c r="BV682" s="391"/>
      <c r="BW682" s="391"/>
      <c r="BX682" s="391"/>
      <c r="BY682" s="391"/>
      <c r="BZ682" s="391"/>
      <c r="CA682" s="391"/>
      <c r="CB682" s="391"/>
      <c r="CC682" s="391"/>
      <c r="CD682" s="391"/>
      <c r="CE682" s="391"/>
      <c r="CF682" s="391"/>
      <c r="CG682" s="391"/>
      <c r="CH682" s="391"/>
      <c r="CI682" s="391"/>
      <c r="CJ682" s="391"/>
      <c r="CK682" s="391"/>
      <c r="CM682" s="391"/>
      <c r="CN682" s="391"/>
      <c r="CO682" s="391"/>
      <c r="CP682" s="391"/>
      <c r="CR682" s="391"/>
      <c r="CS682" s="391"/>
      <c r="CX682" s="391"/>
      <c r="DA682" s="391"/>
      <c r="DB682" s="391"/>
      <c r="DC682" s="391"/>
      <c r="DD682" s="391"/>
      <c r="DE682" s="391"/>
      <c r="DF682" s="391"/>
      <c r="DG682" s="391"/>
      <c r="DH682" s="391"/>
      <c r="DI682" s="391"/>
      <c r="DJ682" s="391"/>
      <c r="DK682" s="391"/>
      <c r="DL682" s="391"/>
      <c r="DM682" s="391"/>
      <c r="DN682" s="391"/>
      <c r="DO682" s="391"/>
      <c r="DP682" s="391"/>
      <c r="DQ682" s="391"/>
      <c r="DR682" s="391"/>
      <c r="DS682" s="391"/>
      <c r="DT682" s="391"/>
      <c r="DU682" s="391"/>
      <c r="DV682" s="391"/>
      <c r="DW682" s="391"/>
      <c r="DX682" s="391"/>
      <c r="DY682" s="391"/>
      <c r="DZ682" s="391"/>
      <c r="EA682" s="391"/>
      <c r="EB682" s="391"/>
      <c r="EC682" s="391"/>
      <c r="ED682" s="391"/>
      <c r="EE682" s="391"/>
      <c r="EF682" s="391"/>
      <c r="EG682" s="391"/>
      <c r="EH682" s="391"/>
      <c r="EI682" s="391"/>
      <c r="EJ682" s="391"/>
      <c r="EK682" s="391"/>
      <c r="EL682" s="391"/>
      <c r="EM682" s="391"/>
      <c r="EN682" s="391"/>
      <c r="EO682" s="391"/>
      <c r="EP682" s="391"/>
      <c r="EQ682" s="391"/>
      <c r="ER682" s="391"/>
      <c r="ES682" s="391"/>
      <c r="ET682" s="391"/>
      <c r="EU682" s="391"/>
      <c r="EV682" s="391"/>
      <c r="EW682" s="391"/>
    </row>
    <row r="683" spans="1:153" s="400" customFormat="1">
      <c r="A683" s="391"/>
      <c r="E683" s="454"/>
      <c r="F683" s="454"/>
      <c r="G683" s="454"/>
      <c r="H683" s="454"/>
      <c r="I683" s="454"/>
      <c r="J683" s="404"/>
      <c r="K683" s="454"/>
      <c r="L683" s="454"/>
      <c r="M683" s="391"/>
      <c r="N683" s="391"/>
      <c r="O683" s="391"/>
      <c r="P683" s="391"/>
      <c r="Q683" s="391"/>
      <c r="R683" s="391"/>
      <c r="S683" s="391"/>
      <c r="T683" s="391"/>
      <c r="U683" s="391"/>
      <c r="V683" s="391"/>
      <c r="W683" s="391"/>
      <c r="X683" s="391"/>
      <c r="Y683" s="391"/>
      <c r="Z683" s="391"/>
      <c r="AA683" s="391"/>
      <c r="AB683" s="391"/>
      <c r="AC683" s="391"/>
      <c r="AD683" s="391"/>
      <c r="AE683" s="391"/>
      <c r="AF683" s="391"/>
      <c r="AG683" s="391"/>
      <c r="AH683" s="391"/>
      <c r="AI683" s="391"/>
      <c r="AJ683" s="391"/>
      <c r="AK683" s="391"/>
      <c r="AL683" s="391"/>
      <c r="AM683" s="391"/>
      <c r="AN683" s="391"/>
      <c r="AO683" s="391"/>
      <c r="AP683" s="391"/>
      <c r="AQ683" s="391"/>
      <c r="AR683" s="391"/>
      <c r="AS683" s="454"/>
      <c r="AT683" s="391"/>
      <c r="AU683" s="391"/>
      <c r="AV683" s="391"/>
      <c r="AW683" s="391"/>
      <c r="AX683" s="649"/>
      <c r="AY683" s="593"/>
      <c r="AZ683" s="391"/>
      <c r="BA683" s="391"/>
      <c r="BB683" s="651"/>
      <c r="BC683" s="651"/>
      <c r="BD683" s="402"/>
      <c r="BE683" s="402"/>
      <c r="BF683" s="402"/>
      <c r="BH683" s="594"/>
      <c r="BI683" s="594"/>
      <c r="BJ683" s="595"/>
      <c r="BK683" s="391"/>
      <c r="BL683" s="391"/>
      <c r="BM683" s="391"/>
      <c r="BN683" s="391"/>
      <c r="BO683" s="391"/>
      <c r="BP683" s="391"/>
      <c r="BQ683" s="391"/>
      <c r="BR683" s="391"/>
      <c r="BS683" s="391"/>
      <c r="BT683" s="391"/>
      <c r="BU683" s="391"/>
      <c r="BV683" s="391"/>
      <c r="BW683" s="391"/>
      <c r="BX683" s="391"/>
      <c r="BY683" s="391"/>
      <c r="BZ683" s="391"/>
      <c r="CA683" s="391"/>
      <c r="CB683" s="391"/>
      <c r="CC683" s="391"/>
      <c r="CD683" s="391"/>
      <c r="CE683" s="391"/>
      <c r="CF683" s="391"/>
      <c r="CG683" s="391"/>
      <c r="CH683" s="391"/>
      <c r="CI683" s="391"/>
      <c r="CJ683" s="391"/>
      <c r="CK683" s="391"/>
      <c r="CM683" s="391"/>
      <c r="CN683" s="391"/>
      <c r="CO683" s="391"/>
      <c r="CP683" s="391"/>
      <c r="CR683" s="391"/>
      <c r="CS683" s="391"/>
      <c r="CX683" s="391"/>
      <c r="DA683" s="391"/>
      <c r="DB683" s="391"/>
      <c r="DC683" s="391"/>
      <c r="DD683" s="391"/>
      <c r="DE683" s="391"/>
      <c r="DF683" s="391"/>
      <c r="DG683" s="391"/>
      <c r="DH683" s="391"/>
      <c r="DI683" s="391"/>
      <c r="DJ683" s="391"/>
      <c r="DK683" s="391"/>
      <c r="DL683" s="391"/>
      <c r="DM683" s="391"/>
      <c r="DN683" s="391"/>
      <c r="DO683" s="391"/>
      <c r="DP683" s="391"/>
      <c r="DQ683" s="391"/>
      <c r="DR683" s="391"/>
      <c r="DS683" s="391"/>
      <c r="DT683" s="391"/>
      <c r="DU683" s="391"/>
      <c r="DV683" s="391"/>
      <c r="DW683" s="391"/>
      <c r="DX683" s="391"/>
      <c r="DY683" s="391"/>
      <c r="DZ683" s="391"/>
      <c r="EA683" s="391"/>
      <c r="EB683" s="391"/>
      <c r="EC683" s="391"/>
      <c r="ED683" s="391"/>
      <c r="EE683" s="391"/>
      <c r="EF683" s="391"/>
      <c r="EG683" s="391"/>
      <c r="EH683" s="391"/>
      <c r="EI683" s="391"/>
      <c r="EJ683" s="391"/>
      <c r="EK683" s="391"/>
      <c r="EL683" s="391"/>
      <c r="EM683" s="391"/>
      <c r="EN683" s="391"/>
      <c r="EO683" s="391"/>
      <c r="EP683" s="391"/>
      <c r="EQ683" s="391"/>
      <c r="ER683" s="391"/>
      <c r="ES683" s="391"/>
      <c r="ET683" s="391"/>
      <c r="EU683" s="391"/>
      <c r="EV683" s="391"/>
      <c r="EW683" s="391"/>
    </row>
    <row r="684" spans="1:153" s="400" customFormat="1">
      <c r="A684" s="391"/>
      <c r="E684" s="454"/>
      <c r="F684" s="454"/>
      <c r="G684" s="454"/>
      <c r="H684" s="454"/>
      <c r="I684" s="454"/>
      <c r="J684" s="404"/>
      <c r="K684" s="454"/>
      <c r="L684" s="454"/>
      <c r="M684" s="391"/>
      <c r="N684" s="391"/>
      <c r="O684" s="391"/>
      <c r="P684" s="391"/>
      <c r="Q684" s="391"/>
      <c r="R684" s="391"/>
      <c r="S684" s="391"/>
      <c r="T684" s="391"/>
      <c r="U684" s="391"/>
      <c r="V684" s="391"/>
      <c r="W684" s="391"/>
      <c r="X684" s="391"/>
      <c r="Y684" s="391"/>
      <c r="Z684" s="391"/>
      <c r="AA684" s="391"/>
      <c r="AB684" s="391"/>
      <c r="AC684" s="391"/>
      <c r="AD684" s="391"/>
      <c r="AE684" s="391"/>
      <c r="AF684" s="391"/>
      <c r="AG684" s="391"/>
      <c r="AH684" s="391"/>
      <c r="AI684" s="391"/>
      <c r="AJ684" s="391"/>
      <c r="AK684" s="391"/>
      <c r="AL684" s="391"/>
      <c r="AM684" s="391"/>
      <c r="AN684" s="391"/>
      <c r="AO684" s="391"/>
      <c r="AP684" s="391"/>
      <c r="AQ684" s="391"/>
      <c r="AR684" s="391"/>
      <c r="AS684" s="454"/>
      <c r="AT684" s="391"/>
      <c r="AU684" s="391"/>
      <c r="AV684" s="391"/>
      <c r="AW684" s="391"/>
      <c r="AX684" s="649"/>
      <c r="AY684" s="593"/>
      <c r="AZ684" s="391"/>
      <c r="BA684" s="391"/>
      <c r="BB684" s="651"/>
      <c r="BC684" s="651"/>
      <c r="BD684" s="402"/>
      <c r="BE684" s="402"/>
      <c r="BF684" s="402"/>
      <c r="BH684" s="594"/>
      <c r="BI684" s="594"/>
      <c r="BJ684" s="595"/>
      <c r="BK684" s="391"/>
      <c r="BL684" s="391"/>
      <c r="BM684" s="391"/>
      <c r="BN684" s="391"/>
      <c r="BO684" s="391"/>
      <c r="BP684" s="391"/>
      <c r="BQ684" s="391"/>
      <c r="BR684" s="391"/>
      <c r="BS684" s="391"/>
      <c r="BT684" s="391"/>
      <c r="BU684" s="391"/>
      <c r="BV684" s="391"/>
      <c r="BW684" s="391"/>
      <c r="BX684" s="391"/>
      <c r="BY684" s="391"/>
      <c r="BZ684" s="391"/>
      <c r="CA684" s="391"/>
      <c r="CB684" s="391"/>
      <c r="CC684" s="391"/>
      <c r="CD684" s="391"/>
      <c r="CE684" s="391"/>
      <c r="CF684" s="391"/>
      <c r="CG684" s="391"/>
      <c r="CH684" s="391"/>
      <c r="CI684" s="391"/>
      <c r="CJ684" s="391"/>
      <c r="CK684" s="391"/>
      <c r="CM684" s="391"/>
      <c r="CN684" s="391"/>
      <c r="CO684" s="391"/>
      <c r="CP684" s="391"/>
      <c r="CR684" s="391"/>
      <c r="CS684" s="391"/>
      <c r="CX684" s="391"/>
      <c r="DA684" s="391"/>
      <c r="DB684" s="391"/>
      <c r="DC684" s="391"/>
      <c r="DD684" s="391"/>
      <c r="DE684" s="391"/>
      <c r="DF684" s="391"/>
      <c r="DG684" s="391"/>
      <c r="DH684" s="391"/>
      <c r="DI684" s="391"/>
      <c r="DJ684" s="391"/>
      <c r="DK684" s="391"/>
      <c r="DL684" s="391"/>
      <c r="DM684" s="391"/>
      <c r="DN684" s="391"/>
      <c r="DO684" s="391"/>
      <c r="DP684" s="391"/>
      <c r="DQ684" s="391"/>
      <c r="DR684" s="391"/>
      <c r="DS684" s="391"/>
      <c r="DT684" s="391"/>
      <c r="DU684" s="391"/>
      <c r="DV684" s="391"/>
      <c r="DW684" s="391"/>
      <c r="DX684" s="391"/>
      <c r="DY684" s="391"/>
      <c r="DZ684" s="391"/>
      <c r="EA684" s="391"/>
      <c r="EB684" s="391"/>
      <c r="EC684" s="391"/>
      <c r="ED684" s="391"/>
      <c r="EE684" s="391"/>
      <c r="EF684" s="391"/>
      <c r="EG684" s="391"/>
      <c r="EH684" s="391"/>
      <c r="EI684" s="391"/>
      <c r="EJ684" s="391"/>
      <c r="EK684" s="391"/>
      <c r="EL684" s="391"/>
      <c r="EM684" s="391"/>
      <c r="EN684" s="391"/>
      <c r="EO684" s="391"/>
      <c r="EP684" s="391"/>
      <c r="EQ684" s="391"/>
      <c r="ER684" s="391"/>
      <c r="ES684" s="391"/>
      <c r="ET684" s="391"/>
      <c r="EU684" s="391"/>
      <c r="EV684" s="391"/>
      <c r="EW684" s="391"/>
    </row>
    <row r="685" spans="1:153" s="400" customFormat="1">
      <c r="A685" s="391"/>
      <c r="E685" s="454"/>
      <c r="F685" s="454"/>
      <c r="G685" s="454"/>
      <c r="H685" s="454"/>
      <c r="I685" s="454"/>
      <c r="J685" s="404"/>
      <c r="K685" s="454"/>
      <c r="L685" s="454"/>
      <c r="M685" s="391"/>
      <c r="N685" s="391"/>
      <c r="O685" s="391"/>
      <c r="P685" s="391"/>
      <c r="Q685" s="391"/>
      <c r="R685" s="391"/>
      <c r="S685" s="391"/>
      <c r="T685" s="391"/>
      <c r="U685" s="391"/>
      <c r="V685" s="391"/>
      <c r="W685" s="391"/>
      <c r="X685" s="391"/>
      <c r="Y685" s="391"/>
      <c r="Z685" s="391"/>
      <c r="AA685" s="391"/>
      <c r="AB685" s="391"/>
      <c r="AC685" s="391"/>
      <c r="AD685" s="391"/>
      <c r="AE685" s="391"/>
      <c r="AF685" s="391"/>
      <c r="AG685" s="391"/>
      <c r="AH685" s="391"/>
      <c r="AI685" s="391"/>
      <c r="AJ685" s="391"/>
      <c r="AK685" s="391"/>
      <c r="AL685" s="391"/>
      <c r="AM685" s="391"/>
      <c r="AN685" s="391"/>
      <c r="AO685" s="391"/>
      <c r="AP685" s="391"/>
      <c r="AQ685" s="391"/>
      <c r="AR685" s="391"/>
      <c r="AS685" s="454"/>
      <c r="AT685" s="391"/>
      <c r="AU685" s="391"/>
      <c r="AV685" s="391"/>
      <c r="AW685" s="391"/>
      <c r="AX685" s="649"/>
      <c r="AY685" s="593"/>
      <c r="AZ685" s="391"/>
      <c r="BA685" s="391"/>
      <c r="BB685" s="651"/>
      <c r="BC685" s="651"/>
      <c r="BD685" s="402"/>
      <c r="BE685" s="402"/>
      <c r="BF685" s="402"/>
      <c r="BH685" s="594"/>
      <c r="BI685" s="594"/>
      <c r="BJ685" s="595"/>
      <c r="BK685" s="391"/>
      <c r="BL685" s="391"/>
      <c r="BM685" s="391"/>
      <c r="BN685" s="391"/>
      <c r="BO685" s="391"/>
      <c r="BP685" s="391"/>
      <c r="BQ685" s="391"/>
      <c r="BR685" s="391"/>
      <c r="BS685" s="391"/>
      <c r="BT685" s="391"/>
      <c r="BU685" s="391"/>
      <c r="BV685" s="391"/>
      <c r="BW685" s="391"/>
      <c r="BX685" s="391"/>
      <c r="BY685" s="391"/>
      <c r="BZ685" s="391"/>
      <c r="CA685" s="391"/>
      <c r="CB685" s="391"/>
      <c r="CC685" s="391"/>
      <c r="CD685" s="391"/>
      <c r="CE685" s="391"/>
      <c r="CF685" s="391"/>
      <c r="CG685" s="391"/>
      <c r="CH685" s="391"/>
      <c r="CI685" s="391"/>
      <c r="CJ685" s="391"/>
      <c r="CK685" s="391"/>
      <c r="CM685" s="391"/>
      <c r="CN685" s="391"/>
      <c r="CO685" s="391"/>
      <c r="CP685" s="391"/>
      <c r="CR685" s="391"/>
      <c r="CS685" s="391"/>
      <c r="CX685" s="391"/>
      <c r="DA685" s="391"/>
      <c r="DB685" s="391"/>
      <c r="DC685" s="391"/>
      <c r="DD685" s="391"/>
      <c r="DE685" s="391"/>
      <c r="DF685" s="391"/>
      <c r="DG685" s="391"/>
      <c r="DH685" s="391"/>
      <c r="DI685" s="391"/>
      <c r="DJ685" s="391"/>
      <c r="DK685" s="391"/>
      <c r="DL685" s="391"/>
      <c r="DM685" s="391"/>
      <c r="DN685" s="391"/>
      <c r="DO685" s="391"/>
      <c r="DP685" s="391"/>
      <c r="DQ685" s="391"/>
      <c r="DR685" s="391"/>
      <c r="DS685" s="391"/>
      <c r="DT685" s="391"/>
      <c r="DU685" s="391"/>
      <c r="DV685" s="391"/>
      <c r="DW685" s="391"/>
      <c r="DX685" s="391"/>
      <c r="DY685" s="391"/>
      <c r="DZ685" s="391"/>
      <c r="EA685" s="391"/>
      <c r="EB685" s="391"/>
      <c r="EC685" s="391"/>
      <c r="ED685" s="391"/>
      <c r="EE685" s="391"/>
      <c r="EF685" s="391"/>
      <c r="EG685" s="391"/>
      <c r="EH685" s="391"/>
      <c r="EI685" s="391"/>
      <c r="EJ685" s="391"/>
      <c r="EK685" s="391"/>
      <c r="EL685" s="391"/>
      <c r="EM685" s="391"/>
      <c r="EN685" s="391"/>
      <c r="EO685" s="391"/>
      <c r="EP685" s="391"/>
      <c r="EQ685" s="391"/>
      <c r="ER685" s="391"/>
      <c r="ES685" s="391"/>
      <c r="ET685" s="391"/>
      <c r="EU685" s="391"/>
      <c r="EV685" s="391"/>
      <c r="EW685" s="391"/>
    </row>
    <row r="686" spans="1:153" s="400" customFormat="1">
      <c r="A686" s="391"/>
      <c r="E686" s="454"/>
      <c r="F686" s="454"/>
      <c r="G686" s="454"/>
      <c r="H686" s="454"/>
      <c r="I686" s="454"/>
      <c r="J686" s="404"/>
      <c r="K686" s="454"/>
      <c r="L686" s="454"/>
      <c r="M686" s="391"/>
      <c r="N686" s="391"/>
      <c r="O686" s="391"/>
      <c r="P686" s="391"/>
      <c r="Q686" s="391"/>
      <c r="R686" s="391"/>
      <c r="S686" s="391"/>
      <c r="T686" s="391"/>
      <c r="U686" s="391"/>
      <c r="V686" s="391"/>
      <c r="W686" s="391"/>
      <c r="X686" s="391"/>
      <c r="Y686" s="391"/>
      <c r="Z686" s="391"/>
      <c r="AA686" s="391"/>
      <c r="AB686" s="391"/>
      <c r="AC686" s="391"/>
      <c r="AD686" s="391"/>
      <c r="AE686" s="391"/>
      <c r="AF686" s="391"/>
      <c r="AG686" s="391"/>
      <c r="AH686" s="391"/>
      <c r="AI686" s="391"/>
      <c r="AJ686" s="391"/>
      <c r="AK686" s="391"/>
      <c r="AL686" s="391"/>
      <c r="AM686" s="391"/>
      <c r="AN686" s="391"/>
      <c r="AO686" s="391"/>
      <c r="AP686" s="391"/>
      <c r="AQ686" s="391"/>
      <c r="AR686" s="391"/>
      <c r="AS686" s="454"/>
      <c r="AT686" s="391"/>
      <c r="AU686" s="391"/>
      <c r="AV686" s="391"/>
      <c r="AW686" s="391"/>
      <c r="AX686" s="649"/>
      <c r="AY686" s="593"/>
      <c r="AZ686" s="391"/>
      <c r="BA686" s="391"/>
      <c r="BB686" s="651"/>
      <c r="BC686" s="651"/>
      <c r="BD686" s="402"/>
      <c r="BE686" s="402"/>
      <c r="BF686" s="402"/>
      <c r="BH686" s="594"/>
      <c r="BI686" s="594"/>
      <c r="BJ686" s="595"/>
      <c r="BK686" s="391"/>
      <c r="BL686" s="391"/>
      <c r="BM686" s="391"/>
      <c r="BN686" s="391"/>
      <c r="BO686" s="391"/>
      <c r="BP686" s="391"/>
      <c r="BQ686" s="391"/>
      <c r="BR686" s="391"/>
      <c r="BS686" s="391"/>
      <c r="BT686" s="391"/>
      <c r="BU686" s="391"/>
      <c r="BV686" s="391"/>
      <c r="BW686" s="391"/>
      <c r="BX686" s="391"/>
      <c r="BY686" s="391"/>
      <c r="BZ686" s="391"/>
      <c r="CA686" s="391"/>
      <c r="CB686" s="391"/>
      <c r="CC686" s="391"/>
      <c r="CD686" s="391"/>
      <c r="CE686" s="391"/>
      <c r="CF686" s="391"/>
      <c r="CG686" s="391"/>
      <c r="CH686" s="391"/>
      <c r="CI686" s="391"/>
      <c r="CJ686" s="391"/>
      <c r="CK686" s="391"/>
      <c r="CM686" s="391"/>
      <c r="CN686" s="391"/>
      <c r="CO686" s="391"/>
      <c r="CP686" s="391"/>
      <c r="CR686" s="391"/>
      <c r="CS686" s="391"/>
      <c r="CX686" s="391"/>
      <c r="DA686" s="391"/>
      <c r="DB686" s="391"/>
      <c r="DC686" s="391"/>
      <c r="DD686" s="391"/>
      <c r="DE686" s="391"/>
      <c r="DF686" s="391"/>
      <c r="DG686" s="391"/>
      <c r="DH686" s="391"/>
      <c r="DI686" s="391"/>
      <c r="DJ686" s="391"/>
      <c r="DK686" s="391"/>
      <c r="DL686" s="391"/>
      <c r="DM686" s="391"/>
      <c r="DN686" s="391"/>
      <c r="DO686" s="391"/>
      <c r="DP686" s="391"/>
      <c r="DQ686" s="391"/>
      <c r="DR686" s="391"/>
      <c r="DS686" s="391"/>
      <c r="DT686" s="391"/>
      <c r="DU686" s="391"/>
      <c r="DV686" s="391"/>
      <c r="DW686" s="391"/>
      <c r="DX686" s="391"/>
      <c r="DY686" s="391"/>
      <c r="DZ686" s="391"/>
      <c r="EA686" s="391"/>
      <c r="EB686" s="391"/>
      <c r="EC686" s="391"/>
      <c r="ED686" s="391"/>
      <c r="EE686" s="391"/>
      <c r="EF686" s="391"/>
      <c r="EG686" s="391"/>
      <c r="EH686" s="391"/>
      <c r="EI686" s="391"/>
      <c r="EJ686" s="391"/>
      <c r="EK686" s="391"/>
      <c r="EL686" s="391"/>
      <c r="EM686" s="391"/>
      <c r="EN686" s="391"/>
      <c r="EO686" s="391"/>
      <c r="EP686" s="391"/>
      <c r="EQ686" s="391"/>
      <c r="ER686" s="391"/>
      <c r="ES686" s="391"/>
      <c r="ET686" s="391"/>
      <c r="EU686" s="391"/>
      <c r="EV686" s="391"/>
      <c r="EW686" s="391"/>
    </row>
    <row r="687" spans="1:153" s="400" customFormat="1">
      <c r="A687" s="391"/>
      <c r="E687" s="454"/>
      <c r="F687" s="454"/>
      <c r="G687" s="454"/>
      <c r="H687" s="454"/>
      <c r="I687" s="454"/>
      <c r="J687" s="404"/>
      <c r="K687" s="454"/>
      <c r="L687" s="454"/>
      <c r="M687" s="391"/>
      <c r="N687" s="391"/>
      <c r="O687" s="391"/>
      <c r="P687" s="391"/>
      <c r="Q687" s="391"/>
      <c r="R687" s="391"/>
      <c r="S687" s="391"/>
      <c r="T687" s="391"/>
      <c r="U687" s="391"/>
      <c r="V687" s="391"/>
      <c r="W687" s="391"/>
      <c r="X687" s="391"/>
      <c r="Y687" s="391"/>
      <c r="Z687" s="391"/>
      <c r="AA687" s="391"/>
      <c r="AB687" s="391"/>
      <c r="AC687" s="391"/>
      <c r="AD687" s="391"/>
      <c r="AE687" s="391"/>
      <c r="AF687" s="391"/>
      <c r="AG687" s="391"/>
      <c r="AH687" s="391"/>
      <c r="AI687" s="391"/>
      <c r="AJ687" s="391"/>
      <c r="AK687" s="391"/>
      <c r="AL687" s="391"/>
      <c r="AM687" s="391"/>
      <c r="AN687" s="391"/>
      <c r="AO687" s="391"/>
      <c r="AP687" s="391"/>
      <c r="AQ687" s="391"/>
      <c r="AR687" s="391"/>
      <c r="AS687" s="454"/>
      <c r="AT687" s="391"/>
      <c r="AU687" s="391"/>
      <c r="AV687" s="391"/>
      <c r="AW687" s="391"/>
      <c r="AX687" s="649"/>
      <c r="AY687" s="593"/>
      <c r="AZ687" s="391"/>
      <c r="BA687" s="391"/>
      <c r="BB687" s="651"/>
      <c r="BC687" s="651"/>
      <c r="BD687" s="402"/>
      <c r="BE687" s="402"/>
      <c r="BF687" s="402"/>
      <c r="BH687" s="594"/>
      <c r="BI687" s="594"/>
      <c r="BJ687" s="595"/>
      <c r="BK687" s="391"/>
      <c r="BL687" s="391"/>
      <c r="BM687" s="391"/>
      <c r="BN687" s="391"/>
      <c r="BO687" s="391"/>
      <c r="BP687" s="391"/>
      <c r="BQ687" s="391"/>
      <c r="BR687" s="391"/>
      <c r="BS687" s="391"/>
      <c r="BT687" s="391"/>
      <c r="BU687" s="391"/>
      <c r="BV687" s="391"/>
      <c r="BW687" s="391"/>
      <c r="BX687" s="391"/>
      <c r="BY687" s="391"/>
      <c r="BZ687" s="391"/>
      <c r="CA687" s="391"/>
      <c r="CB687" s="391"/>
      <c r="CC687" s="391"/>
      <c r="CD687" s="391"/>
      <c r="CE687" s="391"/>
      <c r="CF687" s="391"/>
      <c r="CG687" s="391"/>
      <c r="CH687" s="391"/>
      <c r="CI687" s="391"/>
      <c r="CJ687" s="391"/>
      <c r="CK687" s="391"/>
      <c r="CM687" s="391"/>
      <c r="CN687" s="391"/>
      <c r="CO687" s="391"/>
      <c r="CP687" s="391"/>
      <c r="CR687" s="391"/>
      <c r="CS687" s="391"/>
      <c r="CX687" s="391"/>
      <c r="DA687" s="391"/>
      <c r="DB687" s="391"/>
      <c r="DC687" s="391"/>
      <c r="DD687" s="391"/>
      <c r="DE687" s="391"/>
      <c r="DF687" s="391"/>
      <c r="DG687" s="391"/>
      <c r="DH687" s="391"/>
      <c r="DI687" s="391"/>
      <c r="DJ687" s="391"/>
      <c r="DK687" s="391"/>
      <c r="DL687" s="391"/>
      <c r="DM687" s="391"/>
      <c r="DN687" s="391"/>
      <c r="DO687" s="391"/>
      <c r="DP687" s="391"/>
      <c r="DQ687" s="391"/>
      <c r="DR687" s="391"/>
      <c r="DS687" s="391"/>
      <c r="DT687" s="391"/>
      <c r="DU687" s="391"/>
      <c r="DV687" s="391"/>
      <c r="DW687" s="391"/>
      <c r="DX687" s="391"/>
      <c r="DY687" s="391"/>
      <c r="DZ687" s="391"/>
      <c r="EA687" s="391"/>
      <c r="EB687" s="391"/>
      <c r="EC687" s="391"/>
      <c r="ED687" s="391"/>
      <c r="EE687" s="391"/>
      <c r="EF687" s="391"/>
      <c r="EG687" s="391"/>
      <c r="EH687" s="391"/>
      <c r="EI687" s="391"/>
      <c r="EJ687" s="391"/>
      <c r="EK687" s="391"/>
      <c r="EL687" s="391"/>
      <c r="EM687" s="391"/>
      <c r="EN687" s="391"/>
      <c r="EO687" s="391"/>
      <c r="EP687" s="391"/>
      <c r="EQ687" s="391"/>
      <c r="ER687" s="391"/>
      <c r="ES687" s="391"/>
      <c r="ET687" s="391"/>
      <c r="EU687" s="391"/>
      <c r="EV687" s="391"/>
      <c r="EW687" s="391"/>
    </row>
    <row r="688" spans="1:153" s="400" customFormat="1">
      <c r="A688" s="391"/>
      <c r="E688" s="454"/>
      <c r="F688" s="454"/>
      <c r="G688" s="454"/>
      <c r="H688" s="454"/>
      <c r="I688" s="454"/>
      <c r="J688" s="404"/>
      <c r="K688" s="454"/>
      <c r="L688" s="454"/>
      <c r="M688" s="391"/>
      <c r="N688" s="391"/>
      <c r="O688" s="391"/>
      <c r="P688" s="391"/>
      <c r="Q688" s="391"/>
      <c r="R688" s="391"/>
      <c r="S688" s="391"/>
      <c r="T688" s="391"/>
      <c r="U688" s="391"/>
      <c r="V688" s="391"/>
      <c r="W688" s="391"/>
      <c r="X688" s="391"/>
      <c r="Y688" s="391"/>
      <c r="Z688" s="391"/>
      <c r="AA688" s="391"/>
      <c r="AB688" s="391"/>
      <c r="AC688" s="391"/>
      <c r="AD688" s="391"/>
      <c r="AE688" s="391"/>
      <c r="AF688" s="391"/>
      <c r="AG688" s="391"/>
      <c r="AH688" s="391"/>
      <c r="AI688" s="391"/>
      <c r="AJ688" s="391"/>
      <c r="AK688" s="391"/>
      <c r="AL688" s="391"/>
      <c r="AM688" s="391"/>
      <c r="AN688" s="391"/>
      <c r="AO688" s="391"/>
      <c r="AP688" s="391"/>
      <c r="AQ688" s="391"/>
      <c r="AR688" s="391"/>
      <c r="AS688" s="454"/>
      <c r="AT688" s="391"/>
      <c r="AU688" s="391"/>
      <c r="AV688" s="391"/>
      <c r="AW688" s="391"/>
      <c r="AX688" s="649"/>
      <c r="AY688" s="593"/>
      <c r="AZ688" s="391"/>
      <c r="BA688" s="391"/>
      <c r="BB688" s="651"/>
      <c r="BC688" s="651"/>
      <c r="BD688" s="402"/>
      <c r="BE688" s="402"/>
      <c r="BF688" s="402"/>
      <c r="BH688" s="594"/>
      <c r="BI688" s="594"/>
      <c r="BJ688" s="595"/>
      <c r="BK688" s="391"/>
      <c r="BL688" s="391"/>
      <c r="BM688" s="391"/>
      <c r="BN688" s="391"/>
      <c r="BO688" s="391"/>
      <c r="BP688" s="391"/>
      <c r="BQ688" s="391"/>
      <c r="BR688" s="391"/>
      <c r="BS688" s="391"/>
      <c r="BT688" s="391"/>
      <c r="BU688" s="391"/>
      <c r="BV688" s="391"/>
      <c r="BW688" s="391"/>
      <c r="BX688" s="391"/>
      <c r="BY688" s="391"/>
      <c r="BZ688" s="391"/>
      <c r="CA688" s="391"/>
      <c r="CB688" s="391"/>
      <c r="CC688" s="391"/>
      <c r="CD688" s="391"/>
      <c r="CE688" s="391"/>
      <c r="CF688" s="391"/>
      <c r="CG688" s="391"/>
      <c r="CH688" s="391"/>
      <c r="CI688" s="391"/>
      <c r="CJ688" s="391"/>
      <c r="CK688" s="391"/>
      <c r="CM688" s="391"/>
      <c r="CN688" s="391"/>
      <c r="CO688" s="391"/>
      <c r="CP688" s="391"/>
      <c r="CR688" s="391"/>
      <c r="CS688" s="391"/>
      <c r="CX688" s="391"/>
      <c r="DA688" s="391"/>
      <c r="DB688" s="391"/>
      <c r="DC688" s="391"/>
      <c r="DD688" s="391"/>
      <c r="DE688" s="391"/>
      <c r="DF688" s="391"/>
      <c r="DG688" s="391"/>
      <c r="DH688" s="391"/>
      <c r="DI688" s="391"/>
      <c r="DJ688" s="391"/>
      <c r="DK688" s="391"/>
      <c r="DL688" s="391"/>
      <c r="DM688" s="391"/>
      <c r="DN688" s="391"/>
      <c r="DO688" s="391"/>
      <c r="DP688" s="391"/>
      <c r="DQ688" s="391"/>
      <c r="DR688" s="391"/>
      <c r="DS688" s="391"/>
      <c r="DT688" s="391"/>
      <c r="DU688" s="391"/>
      <c r="DV688" s="391"/>
      <c r="DW688" s="391"/>
      <c r="DX688" s="391"/>
      <c r="DY688" s="391"/>
      <c r="DZ688" s="391"/>
      <c r="EA688" s="391"/>
      <c r="EB688" s="391"/>
      <c r="EC688" s="391"/>
      <c r="ED688" s="391"/>
      <c r="EE688" s="391"/>
      <c r="EF688" s="391"/>
      <c r="EG688" s="391"/>
      <c r="EH688" s="391"/>
      <c r="EI688" s="391"/>
      <c r="EJ688" s="391"/>
      <c r="EK688" s="391"/>
      <c r="EL688" s="391"/>
      <c r="EM688" s="391"/>
      <c r="EN688" s="391"/>
      <c r="EO688" s="391"/>
      <c r="EP688" s="391"/>
      <c r="EQ688" s="391"/>
      <c r="ER688" s="391"/>
      <c r="ES688" s="391"/>
      <c r="ET688" s="391"/>
      <c r="EU688" s="391"/>
      <c r="EV688" s="391"/>
      <c r="EW688" s="391"/>
    </row>
    <row r="689" spans="1:153" s="400" customFormat="1">
      <c r="A689" s="391"/>
      <c r="E689" s="454"/>
      <c r="F689" s="454"/>
      <c r="G689" s="454"/>
      <c r="H689" s="454"/>
      <c r="I689" s="454"/>
      <c r="J689" s="404"/>
      <c r="K689" s="454"/>
      <c r="L689" s="454"/>
      <c r="M689" s="391"/>
      <c r="N689" s="391"/>
      <c r="O689" s="391"/>
      <c r="P689" s="391"/>
      <c r="Q689" s="391"/>
      <c r="R689" s="391"/>
      <c r="S689" s="391"/>
      <c r="T689" s="391"/>
      <c r="U689" s="391"/>
      <c r="V689" s="391"/>
      <c r="W689" s="391"/>
      <c r="X689" s="391"/>
      <c r="Y689" s="391"/>
      <c r="Z689" s="391"/>
      <c r="AA689" s="391"/>
      <c r="AB689" s="391"/>
      <c r="AC689" s="391"/>
      <c r="AD689" s="391"/>
      <c r="AE689" s="391"/>
      <c r="AF689" s="391"/>
      <c r="AG689" s="391"/>
      <c r="AH689" s="391"/>
      <c r="AI689" s="391"/>
      <c r="AJ689" s="391"/>
      <c r="AK689" s="391"/>
      <c r="AL689" s="391"/>
      <c r="AM689" s="391"/>
      <c r="AN689" s="391"/>
      <c r="AO689" s="391"/>
      <c r="AP689" s="391"/>
      <c r="AQ689" s="391"/>
      <c r="AR689" s="391"/>
      <c r="AS689" s="454"/>
      <c r="AT689" s="391"/>
      <c r="AU689" s="391"/>
      <c r="AV689" s="391"/>
      <c r="AW689" s="391"/>
      <c r="AX689" s="649"/>
      <c r="AY689" s="593"/>
      <c r="AZ689" s="391"/>
      <c r="BA689" s="391"/>
      <c r="BB689" s="651"/>
      <c r="BC689" s="651"/>
      <c r="BD689" s="402"/>
      <c r="BE689" s="402"/>
      <c r="BF689" s="402"/>
      <c r="BH689" s="594"/>
      <c r="BI689" s="594"/>
      <c r="BJ689" s="595"/>
      <c r="BK689" s="391"/>
      <c r="BL689" s="391"/>
      <c r="BM689" s="391"/>
      <c r="BN689" s="391"/>
      <c r="BO689" s="391"/>
      <c r="BP689" s="391"/>
      <c r="BQ689" s="391"/>
      <c r="BR689" s="391"/>
      <c r="BS689" s="391"/>
      <c r="BT689" s="391"/>
      <c r="BU689" s="391"/>
      <c r="BV689" s="391"/>
      <c r="BW689" s="391"/>
      <c r="BX689" s="391"/>
      <c r="BY689" s="391"/>
      <c r="BZ689" s="391"/>
      <c r="CA689" s="391"/>
      <c r="CB689" s="391"/>
      <c r="CC689" s="391"/>
      <c r="CD689" s="391"/>
      <c r="CE689" s="391"/>
      <c r="CF689" s="391"/>
      <c r="CG689" s="391"/>
      <c r="CH689" s="391"/>
      <c r="CI689" s="391"/>
      <c r="CJ689" s="391"/>
      <c r="CK689" s="391"/>
      <c r="CM689" s="391"/>
      <c r="CN689" s="391"/>
      <c r="CO689" s="391"/>
      <c r="CP689" s="391"/>
      <c r="CR689" s="391"/>
      <c r="CS689" s="391"/>
      <c r="CX689" s="391"/>
      <c r="DA689" s="391"/>
      <c r="DB689" s="391"/>
      <c r="DC689" s="391"/>
      <c r="DD689" s="391"/>
      <c r="DE689" s="391"/>
      <c r="DF689" s="391"/>
      <c r="DG689" s="391"/>
      <c r="DH689" s="391"/>
      <c r="DI689" s="391"/>
      <c r="DJ689" s="391"/>
      <c r="DK689" s="391"/>
      <c r="DL689" s="391"/>
      <c r="DM689" s="391"/>
      <c r="DN689" s="391"/>
      <c r="DO689" s="391"/>
      <c r="DP689" s="391"/>
      <c r="DQ689" s="391"/>
      <c r="DR689" s="391"/>
      <c r="DS689" s="391"/>
      <c r="DT689" s="391"/>
      <c r="DU689" s="391"/>
      <c r="DV689" s="391"/>
      <c r="DW689" s="391"/>
      <c r="DX689" s="391"/>
      <c r="DY689" s="391"/>
      <c r="DZ689" s="391"/>
      <c r="EA689" s="391"/>
      <c r="EB689" s="391"/>
      <c r="EC689" s="391"/>
      <c r="ED689" s="391"/>
      <c r="EE689" s="391"/>
      <c r="EF689" s="391"/>
      <c r="EG689" s="391"/>
      <c r="EH689" s="391"/>
      <c r="EI689" s="391"/>
      <c r="EJ689" s="391"/>
      <c r="EK689" s="391"/>
      <c r="EL689" s="391"/>
      <c r="EM689" s="391"/>
      <c r="EN689" s="391"/>
      <c r="EO689" s="391"/>
      <c r="EP689" s="391"/>
      <c r="EQ689" s="391"/>
      <c r="ER689" s="391"/>
      <c r="ES689" s="391"/>
      <c r="ET689" s="391"/>
      <c r="EU689" s="391"/>
      <c r="EV689" s="391"/>
      <c r="EW689" s="391"/>
    </row>
    <row r="690" spans="1:153" s="400" customFormat="1">
      <c r="A690" s="391"/>
      <c r="E690" s="454"/>
      <c r="F690" s="454"/>
      <c r="G690" s="454"/>
      <c r="H690" s="454"/>
      <c r="I690" s="454"/>
      <c r="J690" s="404"/>
      <c r="K690" s="454"/>
      <c r="L690" s="454"/>
      <c r="M690" s="391"/>
      <c r="N690" s="391"/>
      <c r="O690" s="391"/>
      <c r="P690" s="391"/>
      <c r="Q690" s="391"/>
      <c r="R690" s="391"/>
      <c r="S690" s="391"/>
      <c r="T690" s="391"/>
      <c r="U690" s="391"/>
      <c r="V690" s="391"/>
      <c r="W690" s="391"/>
      <c r="X690" s="391"/>
      <c r="Y690" s="391"/>
      <c r="Z690" s="391"/>
      <c r="AA690" s="391"/>
      <c r="AB690" s="391"/>
      <c r="AC690" s="391"/>
      <c r="AD690" s="391"/>
      <c r="AE690" s="391"/>
      <c r="AF690" s="391"/>
      <c r="AG690" s="391"/>
      <c r="AH690" s="391"/>
      <c r="AI690" s="391"/>
      <c r="AJ690" s="391"/>
      <c r="AK690" s="391"/>
      <c r="AL690" s="391"/>
      <c r="AM690" s="391"/>
      <c r="AN690" s="391"/>
      <c r="AO690" s="391"/>
      <c r="AP690" s="391"/>
      <c r="AQ690" s="391"/>
      <c r="AR690" s="391"/>
      <c r="AS690" s="454"/>
      <c r="AT690" s="391"/>
      <c r="AU690" s="391"/>
      <c r="AV690" s="391"/>
      <c r="AW690" s="391"/>
      <c r="AX690" s="649"/>
      <c r="AY690" s="593"/>
      <c r="AZ690" s="391"/>
      <c r="BA690" s="391"/>
      <c r="BB690" s="651"/>
      <c r="BC690" s="651"/>
      <c r="BD690" s="402"/>
      <c r="BE690" s="402"/>
      <c r="BF690" s="402"/>
      <c r="BH690" s="594"/>
      <c r="BI690" s="594"/>
      <c r="BJ690" s="595"/>
      <c r="BK690" s="391"/>
      <c r="BL690" s="391"/>
      <c r="BM690" s="391"/>
      <c r="BN690" s="391"/>
      <c r="BO690" s="391"/>
      <c r="BP690" s="391"/>
      <c r="BQ690" s="391"/>
      <c r="BR690" s="391"/>
      <c r="BS690" s="391"/>
      <c r="BT690" s="391"/>
      <c r="BU690" s="391"/>
      <c r="BV690" s="391"/>
      <c r="BW690" s="391"/>
      <c r="BX690" s="391"/>
      <c r="BY690" s="391"/>
      <c r="BZ690" s="391"/>
      <c r="CA690" s="391"/>
      <c r="CB690" s="391"/>
      <c r="CC690" s="391"/>
      <c r="CD690" s="391"/>
      <c r="CE690" s="391"/>
      <c r="CF690" s="391"/>
      <c r="CG690" s="391"/>
      <c r="CH690" s="391"/>
      <c r="CI690" s="391"/>
      <c r="CJ690" s="391"/>
      <c r="CK690" s="391"/>
      <c r="CM690" s="391"/>
      <c r="CN690" s="391"/>
      <c r="CO690" s="391"/>
      <c r="CP690" s="391"/>
      <c r="CR690" s="391"/>
      <c r="CS690" s="391"/>
      <c r="CX690" s="391"/>
      <c r="DA690" s="391"/>
      <c r="DB690" s="391"/>
      <c r="DC690" s="391"/>
      <c r="DD690" s="391"/>
      <c r="DE690" s="391"/>
      <c r="DF690" s="391"/>
      <c r="DG690" s="391"/>
      <c r="DH690" s="391"/>
      <c r="DI690" s="391"/>
      <c r="DJ690" s="391"/>
      <c r="DK690" s="391"/>
      <c r="DL690" s="391"/>
      <c r="DM690" s="391"/>
      <c r="DN690" s="391"/>
      <c r="DO690" s="391"/>
      <c r="DP690" s="391"/>
      <c r="DQ690" s="391"/>
      <c r="DR690" s="391"/>
      <c r="DS690" s="391"/>
      <c r="DT690" s="391"/>
      <c r="DU690" s="391"/>
      <c r="DV690" s="391"/>
      <c r="DW690" s="391"/>
      <c r="DX690" s="391"/>
      <c r="DY690" s="391"/>
      <c r="DZ690" s="391"/>
      <c r="EA690" s="391"/>
      <c r="EB690" s="391"/>
      <c r="EC690" s="391"/>
      <c r="ED690" s="391"/>
      <c r="EE690" s="391"/>
      <c r="EF690" s="391"/>
      <c r="EG690" s="391"/>
      <c r="EH690" s="391"/>
      <c r="EI690" s="391"/>
      <c r="EJ690" s="391"/>
      <c r="EK690" s="391"/>
      <c r="EL690" s="391"/>
      <c r="EM690" s="391"/>
      <c r="EN690" s="391"/>
      <c r="EO690" s="391"/>
      <c r="EP690" s="391"/>
      <c r="EQ690" s="391"/>
      <c r="ER690" s="391"/>
      <c r="ES690" s="391"/>
      <c r="ET690" s="391"/>
      <c r="EU690" s="391"/>
      <c r="EV690" s="391"/>
      <c r="EW690" s="391"/>
    </row>
    <row r="691" spans="1:153" s="400" customFormat="1">
      <c r="A691" s="391"/>
      <c r="E691" s="454"/>
      <c r="F691" s="454"/>
      <c r="G691" s="454"/>
      <c r="H691" s="454"/>
      <c r="I691" s="454"/>
      <c r="J691" s="404"/>
      <c r="K691" s="454"/>
      <c r="L691" s="454"/>
      <c r="M691" s="391"/>
      <c r="N691" s="391"/>
      <c r="O691" s="391"/>
      <c r="P691" s="391"/>
      <c r="Q691" s="391"/>
      <c r="R691" s="391"/>
      <c r="S691" s="391"/>
      <c r="T691" s="391"/>
      <c r="U691" s="391"/>
      <c r="V691" s="391"/>
      <c r="W691" s="391"/>
      <c r="X691" s="391"/>
      <c r="Y691" s="391"/>
      <c r="Z691" s="391"/>
      <c r="AA691" s="391"/>
      <c r="AB691" s="391"/>
      <c r="AC691" s="391"/>
      <c r="AD691" s="391"/>
      <c r="AE691" s="391"/>
      <c r="AF691" s="391"/>
      <c r="AG691" s="391"/>
      <c r="AH691" s="391"/>
      <c r="AI691" s="391"/>
      <c r="AJ691" s="391"/>
      <c r="AK691" s="391"/>
      <c r="AL691" s="391"/>
      <c r="AM691" s="391"/>
      <c r="AN691" s="391"/>
      <c r="AO691" s="391"/>
      <c r="AP691" s="391"/>
      <c r="AQ691" s="391"/>
      <c r="AR691" s="391"/>
      <c r="AS691" s="454"/>
      <c r="AT691" s="391"/>
      <c r="AU691" s="391"/>
      <c r="AV691" s="391"/>
      <c r="AW691" s="391"/>
      <c r="AX691" s="649"/>
      <c r="AY691" s="593"/>
      <c r="AZ691" s="391"/>
      <c r="BA691" s="391"/>
      <c r="BB691" s="651"/>
      <c r="BC691" s="651"/>
      <c r="BD691" s="402"/>
      <c r="BE691" s="402"/>
      <c r="BF691" s="402"/>
      <c r="BH691" s="594"/>
      <c r="BI691" s="594"/>
      <c r="BJ691" s="595"/>
      <c r="BK691" s="391"/>
      <c r="BL691" s="391"/>
      <c r="BM691" s="391"/>
      <c r="BN691" s="391"/>
      <c r="BO691" s="391"/>
      <c r="BP691" s="391"/>
      <c r="BQ691" s="391"/>
      <c r="BR691" s="391"/>
      <c r="BS691" s="391"/>
      <c r="BT691" s="391"/>
      <c r="BU691" s="391"/>
      <c r="BV691" s="391"/>
      <c r="BW691" s="391"/>
      <c r="BX691" s="391"/>
      <c r="BY691" s="391"/>
      <c r="BZ691" s="391"/>
      <c r="CA691" s="391"/>
      <c r="CB691" s="391"/>
      <c r="CC691" s="391"/>
      <c r="CD691" s="391"/>
      <c r="CE691" s="391"/>
      <c r="CF691" s="391"/>
      <c r="CG691" s="391"/>
      <c r="CH691" s="391"/>
      <c r="CI691" s="391"/>
      <c r="CJ691" s="391"/>
      <c r="CK691" s="391"/>
      <c r="CM691" s="391"/>
      <c r="CN691" s="391"/>
      <c r="CO691" s="391"/>
      <c r="CP691" s="391"/>
      <c r="CR691" s="391"/>
      <c r="CS691" s="391"/>
      <c r="CX691" s="391"/>
      <c r="DA691" s="391"/>
      <c r="DB691" s="391"/>
      <c r="DC691" s="391"/>
      <c r="DD691" s="391"/>
      <c r="DE691" s="391"/>
      <c r="DF691" s="391"/>
      <c r="DG691" s="391"/>
      <c r="DH691" s="391"/>
      <c r="DI691" s="391"/>
      <c r="DJ691" s="391"/>
      <c r="DK691" s="391"/>
      <c r="DL691" s="391"/>
      <c r="DM691" s="391"/>
      <c r="DN691" s="391"/>
      <c r="DO691" s="391"/>
      <c r="DP691" s="391"/>
      <c r="DQ691" s="391"/>
      <c r="DR691" s="391"/>
      <c r="DS691" s="391"/>
      <c r="DT691" s="391"/>
      <c r="DU691" s="391"/>
      <c r="DV691" s="391"/>
      <c r="DW691" s="391"/>
      <c r="DX691" s="391"/>
      <c r="DY691" s="391"/>
      <c r="DZ691" s="391"/>
      <c r="EA691" s="391"/>
      <c r="EB691" s="391"/>
      <c r="EC691" s="391"/>
      <c r="ED691" s="391"/>
      <c r="EE691" s="391"/>
      <c r="EF691" s="391"/>
      <c r="EG691" s="391"/>
      <c r="EH691" s="391"/>
      <c r="EI691" s="391"/>
      <c r="EJ691" s="391"/>
      <c r="EK691" s="391"/>
      <c r="EL691" s="391"/>
      <c r="EM691" s="391"/>
      <c r="EN691" s="391"/>
      <c r="EO691" s="391"/>
      <c r="EP691" s="391"/>
      <c r="EQ691" s="391"/>
      <c r="ER691" s="391"/>
      <c r="ES691" s="391"/>
      <c r="ET691" s="391"/>
      <c r="EU691" s="391"/>
      <c r="EV691" s="391"/>
      <c r="EW691" s="391"/>
    </row>
    <row r="692" spans="1:153" s="400" customFormat="1">
      <c r="A692" s="391"/>
      <c r="E692" s="454"/>
      <c r="F692" s="454"/>
      <c r="G692" s="454"/>
      <c r="H692" s="454"/>
      <c r="I692" s="454"/>
      <c r="J692" s="404"/>
      <c r="K692" s="454"/>
      <c r="L692" s="454"/>
      <c r="M692" s="391"/>
      <c r="N692" s="391"/>
      <c r="O692" s="391"/>
      <c r="P692" s="391"/>
      <c r="Q692" s="391"/>
      <c r="R692" s="391"/>
      <c r="S692" s="391"/>
      <c r="T692" s="391"/>
      <c r="U692" s="391"/>
      <c r="V692" s="391"/>
      <c r="W692" s="391"/>
      <c r="X692" s="391"/>
      <c r="Y692" s="391"/>
      <c r="Z692" s="391"/>
      <c r="AA692" s="391"/>
      <c r="AB692" s="391"/>
      <c r="AC692" s="391"/>
      <c r="AD692" s="391"/>
      <c r="AE692" s="391"/>
      <c r="AF692" s="391"/>
      <c r="AG692" s="391"/>
      <c r="AH692" s="391"/>
      <c r="AI692" s="391"/>
      <c r="AJ692" s="391"/>
      <c r="AK692" s="391"/>
      <c r="AL692" s="391"/>
      <c r="AM692" s="391"/>
      <c r="AN692" s="391"/>
      <c r="AO692" s="391"/>
      <c r="AP692" s="391"/>
      <c r="AQ692" s="391"/>
      <c r="AR692" s="391"/>
      <c r="AS692" s="454"/>
      <c r="AT692" s="391"/>
      <c r="AU692" s="391"/>
      <c r="AV692" s="391"/>
      <c r="AW692" s="391"/>
      <c r="AX692" s="649"/>
      <c r="AY692" s="593"/>
      <c r="AZ692" s="391"/>
      <c r="BA692" s="391"/>
      <c r="BB692" s="651"/>
      <c r="BC692" s="651"/>
      <c r="BD692" s="402"/>
      <c r="BE692" s="402"/>
      <c r="BF692" s="402"/>
      <c r="BH692" s="594"/>
      <c r="BI692" s="594"/>
      <c r="BJ692" s="595"/>
      <c r="BK692" s="391"/>
      <c r="BL692" s="391"/>
      <c r="BM692" s="391"/>
      <c r="BN692" s="391"/>
      <c r="BO692" s="391"/>
      <c r="BP692" s="391"/>
      <c r="BQ692" s="391"/>
      <c r="BR692" s="391"/>
      <c r="BS692" s="391"/>
      <c r="BT692" s="391"/>
      <c r="BU692" s="391"/>
      <c r="BV692" s="391"/>
      <c r="BW692" s="391"/>
      <c r="BX692" s="391"/>
      <c r="BY692" s="391"/>
      <c r="BZ692" s="391"/>
      <c r="CA692" s="391"/>
      <c r="CB692" s="391"/>
      <c r="CC692" s="391"/>
      <c r="CD692" s="391"/>
      <c r="CE692" s="391"/>
      <c r="CF692" s="391"/>
      <c r="CG692" s="391"/>
      <c r="CH692" s="391"/>
      <c r="CI692" s="391"/>
      <c r="CJ692" s="391"/>
      <c r="CK692" s="391"/>
      <c r="CM692" s="391"/>
      <c r="CN692" s="391"/>
      <c r="CO692" s="391"/>
      <c r="CP692" s="391"/>
      <c r="CR692" s="391"/>
      <c r="CS692" s="391"/>
      <c r="CX692" s="391"/>
      <c r="DA692" s="391"/>
      <c r="DB692" s="391"/>
      <c r="DC692" s="391"/>
      <c r="DD692" s="391"/>
      <c r="DE692" s="391"/>
      <c r="DF692" s="391"/>
      <c r="DG692" s="391"/>
      <c r="DH692" s="391"/>
      <c r="DI692" s="391"/>
      <c r="DJ692" s="391"/>
      <c r="DK692" s="391"/>
      <c r="DL692" s="391"/>
      <c r="DM692" s="391"/>
      <c r="DN692" s="391"/>
      <c r="DO692" s="391"/>
      <c r="DP692" s="391"/>
      <c r="DQ692" s="391"/>
      <c r="DR692" s="391"/>
      <c r="DS692" s="391"/>
      <c r="DT692" s="391"/>
      <c r="DU692" s="391"/>
      <c r="DV692" s="391"/>
      <c r="DW692" s="391"/>
      <c r="DX692" s="391"/>
      <c r="DY692" s="391"/>
      <c r="DZ692" s="391"/>
      <c r="EA692" s="391"/>
      <c r="EB692" s="391"/>
      <c r="EC692" s="391"/>
      <c r="ED692" s="391"/>
      <c r="EE692" s="391"/>
      <c r="EF692" s="391"/>
      <c r="EG692" s="391"/>
      <c r="EH692" s="391"/>
      <c r="EI692" s="391"/>
      <c r="EJ692" s="391"/>
      <c r="EK692" s="391"/>
      <c r="EL692" s="391"/>
      <c r="EM692" s="391"/>
      <c r="EN692" s="391"/>
      <c r="EO692" s="391"/>
      <c r="EP692" s="391"/>
      <c r="EQ692" s="391"/>
      <c r="ER692" s="391"/>
      <c r="ES692" s="391"/>
      <c r="ET692" s="391"/>
      <c r="EU692" s="391"/>
      <c r="EV692" s="391"/>
      <c r="EW692" s="391"/>
    </row>
    <row r="693" spans="1:153" s="400" customFormat="1">
      <c r="A693" s="391"/>
      <c r="E693" s="454"/>
      <c r="F693" s="454"/>
      <c r="G693" s="454"/>
      <c r="H693" s="454"/>
      <c r="I693" s="454"/>
      <c r="J693" s="404"/>
      <c r="K693" s="454"/>
      <c r="L693" s="454"/>
      <c r="M693" s="391"/>
      <c r="N693" s="391"/>
      <c r="O693" s="391"/>
      <c r="P693" s="391"/>
      <c r="Q693" s="391"/>
      <c r="R693" s="391"/>
      <c r="S693" s="391"/>
      <c r="T693" s="391"/>
      <c r="U693" s="391"/>
      <c r="V693" s="391"/>
      <c r="W693" s="391"/>
      <c r="X693" s="391"/>
      <c r="Y693" s="391"/>
      <c r="Z693" s="391"/>
      <c r="AA693" s="391"/>
      <c r="AB693" s="391"/>
      <c r="AC693" s="391"/>
      <c r="AD693" s="391"/>
      <c r="AE693" s="391"/>
      <c r="AF693" s="391"/>
      <c r="AG693" s="391"/>
      <c r="AH693" s="391"/>
      <c r="AI693" s="391"/>
      <c r="AJ693" s="391"/>
      <c r="AK693" s="391"/>
      <c r="AL693" s="391"/>
      <c r="AM693" s="391"/>
      <c r="AN693" s="391"/>
      <c r="AO693" s="391"/>
      <c r="AP693" s="391"/>
      <c r="AQ693" s="391"/>
      <c r="AR693" s="391"/>
      <c r="AS693" s="454"/>
      <c r="AT693" s="391"/>
      <c r="AU693" s="391"/>
      <c r="AV693" s="391"/>
      <c r="AW693" s="391"/>
      <c r="AX693" s="649"/>
      <c r="AY693" s="593"/>
      <c r="AZ693" s="391"/>
      <c r="BA693" s="391"/>
      <c r="BB693" s="651"/>
      <c r="BC693" s="651"/>
      <c r="BD693" s="402"/>
      <c r="BE693" s="402"/>
      <c r="BF693" s="402"/>
      <c r="BH693" s="594"/>
      <c r="BI693" s="594"/>
      <c r="BJ693" s="595"/>
      <c r="BK693" s="391"/>
      <c r="BL693" s="391"/>
      <c r="BM693" s="391"/>
      <c r="BN693" s="391"/>
      <c r="BO693" s="391"/>
      <c r="BP693" s="391"/>
      <c r="BQ693" s="391"/>
      <c r="BR693" s="391"/>
      <c r="BS693" s="391"/>
      <c r="BT693" s="391"/>
      <c r="BU693" s="391"/>
      <c r="BV693" s="391"/>
      <c r="BW693" s="391"/>
      <c r="BX693" s="391"/>
      <c r="BY693" s="391"/>
      <c r="BZ693" s="391"/>
      <c r="CA693" s="391"/>
      <c r="CB693" s="391"/>
      <c r="CC693" s="391"/>
      <c r="CD693" s="391"/>
      <c r="CE693" s="391"/>
      <c r="CF693" s="391"/>
      <c r="CG693" s="391"/>
      <c r="CH693" s="391"/>
      <c r="CI693" s="391"/>
      <c r="CJ693" s="391"/>
      <c r="CK693" s="391"/>
      <c r="CM693" s="391"/>
      <c r="CN693" s="391"/>
      <c r="CO693" s="391"/>
      <c r="CP693" s="391"/>
      <c r="CR693" s="391"/>
      <c r="CS693" s="391"/>
      <c r="CX693" s="391"/>
      <c r="DA693" s="391"/>
      <c r="DB693" s="391"/>
      <c r="DC693" s="391"/>
      <c r="DD693" s="391"/>
      <c r="DE693" s="391"/>
      <c r="DF693" s="391"/>
      <c r="DG693" s="391"/>
      <c r="DH693" s="391"/>
      <c r="DI693" s="391"/>
      <c r="DJ693" s="391"/>
      <c r="DK693" s="391"/>
      <c r="DL693" s="391"/>
      <c r="DM693" s="391"/>
      <c r="DN693" s="391"/>
      <c r="DO693" s="391"/>
      <c r="DP693" s="391"/>
      <c r="DQ693" s="391"/>
      <c r="DR693" s="391"/>
      <c r="DS693" s="391"/>
      <c r="DT693" s="391"/>
      <c r="DU693" s="391"/>
      <c r="DV693" s="391"/>
      <c r="DW693" s="391"/>
      <c r="DX693" s="391"/>
      <c r="DY693" s="391"/>
      <c r="DZ693" s="391"/>
      <c r="EA693" s="391"/>
      <c r="EB693" s="391"/>
      <c r="EC693" s="391"/>
      <c r="ED693" s="391"/>
      <c r="EE693" s="391"/>
      <c r="EF693" s="391"/>
      <c r="EG693" s="391"/>
      <c r="EH693" s="391"/>
      <c r="EI693" s="391"/>
      <c r="EJ693" s="391"/>
      <c r="EK693" s="391"/>
      <c r="EL693" s="391"/>
      <c r="EM693" s="391"/>
      <c r="EN693" s="391"/>
      <c r="EO693" s="391"/>
      <c r="EP693" s="391"/>
      <c r="EQ693" s="391"/>
      <c r="ER693" s="391"/>
      <c r="ES693" s="391"/>
      <c r="ET693" s="391"/>
      <c r="EU693" s="391"/>
      <c r="EV693" s="391"/>
      <c r="EW693" s="391"/>
    </row>
    <row r="694" spans="1:153" s="400" customFormat="1">
      <c r="A694" s="391"/>
      <c r="E694" s="454"/>
      <c r="F694" s="454"/>
      <c r="G694" s="454"/>
      <c r="H694" s="454"/>
      <c r="I694" s="454"/>
      <c r="J694" s="404"/>
      <c r="K694" s="454"/>
      <c r="L694" s="454"/>
      <c r="M694" s="391"/>
      <c r="N694" s="391"/>
      <c r="O694" s="391"/>
      <c r="P694" s="391"/>
      <c r="Q694" s="391"/>
      <c r="R694" s="391"/>
      <c r="S694" s="391"/>
      <c r="T694" s="391"/>
      <c r="U694" s="391"/>
      <c r="V694" s="391"/>
      <c r="W694" s="391"/>
      <c r="X694" s="391"/>
      <c r="Y694" s="391"/>
      <c r="Z694" s="391"/>
      <c r="AA694" s="391"/>
      <c r="AB694" s="391"/>
      <c r="AC694" s="391"/>
      <c r="AD694" s="391"/>
      <c r="AE694" s="391"/>
      <c r="AF694" s="391"/>
      <c r="AG694" s="391"/>
      <c r="AH694" s="391"/>
      <c r="AI694" s="391"/>
      <c r="AJ694" s="391"/>
      <c r="AK694" s="391"/>
      <c r="AL694" s="391"/>
      <c r="AM694" s="391"/>
      <c r="AN694" s="391"/>
      <c r="AO694" s="391"/>
      <c r="AP694" s="391"/>
      <c r="AQ694" s="391"/>
      <c r="AR694" s="391"/>
      <c r="AS694" s="454"/>
      <c r="AT694" s="391"/>
      <c r="AU694" s="391"/>
      <c r="AV694" s="391"/>
      <c r="AW694" s="391"/>
      <c r="AX694" s="649"/>
      <c r="AY694" s="593"/>
      <c r="AZ694" s="391"/>
      <c r="BA694" s="391"/>
      <c r="BB694" s="651"/>
      <c r="BC694" s="651"/>
      <c r="BD694" s="402"/>
      <c r="BE694" s="402"/>
      <c r="BF694" s="402"/>
      <c r="BH694" s="594"/>
      <c r="BI694" s="594"/>
      <c r="BJ694" s="595"/>
      <c r="BK694" s="391"/>
      <c r="BL694" s="391"/>
      <c r="BM694" s="391"/>
      <c r="BN694" s="391"/>
      <c r="BO694" s="391"/>
      <c r="BP694" s="391"/>
      <c r="BQ694" s="391"/>
      <c r="BR694" s="391"/>
      <c r="BS694" s="391"/>
      <c r="BT694" s="391"/>
      <c r="BU694" s="391"/>
      <c r="BV694" s="391"/>
      <c r="BW694" s="391"/>
      <c r="BX694" s="391"/>
      <c r="BY694" s="391"/>
      <c r="BZ694" s="391"/>
      <c r="CA694" s="391"/>
      <c r="CB694" s="391"/>
      <c r="CC694" s="391"/>
      <c r="CD694" s="391"/>
      <c r="CE694" s="391"/>
      <c r="CF694" s="391"/>
      <c r="CG694" s="391"/>
      <c r="CH694" s="391"/>
      <c r="CI694" s="391"/>
      <c r="CJ694" s="391"/>
      <c r="CK694" s="391"/>
      <c r="CM694" s="391"/>
      <c r="CN694" s="391"/>
      <c r="CO694" s="391"/>
      <c r="CP694" s="391"/>
      <c r="CR694" s="391"/>
      <c r="CS694" s="391"/>
      <c r="CX694" s="391"/>
      <c r="DA694" s="391"/>
      <c r="DB694" s="391"/>
      <c r="DC694" s="391"/>
      <c r="DD694" s="391"/>
      <c r="DE694" s="391"/>
      <c r="DF694" s="391"/>
      <c r="DG694" s="391"/>
      <c r="DH694" s="391"/>
      <c r="DI694" s="391"/>
      <c r="DJ694" s="391"/>
      <c r="DK694" s="391"/>
      <c r="DL694" s="391"/>
      <c r="DM694" s="391"/>
      <c r="DN694" s="391"/>
      <c r="DO694" s="391"/>
      <c r="DP694" s="391"/>
      <c r="DQ694" s="391"/>
      <c r="DR694" s="391"/>
      <c r="DS694" s="391"/>
      <c r="DT694" s="391"/>
      <c r="DU694" s="391"/>
      <c r="DV694" s="391"/>
      <c r="DW694" s="391"/>
      <c r="DX694" s="391"/>
      <c r="DY694" s="391"/>
      <c r="DZ694" s="391"/>
      <c r="EA694" s="391"/>
      <c r="EB694" s="391"/>
      <c r="EC694" s="391"/>
      <c r="ED694" s="391"/>
      <c r="EE694" s="391"/>
      <c r="EF694" s="391"/>
      <c r="EG694" s="391"/>
      <c r="EH694" s="391"/>
      <c r="EI694" s="391"/>
      <c r="EJ694" s="391"/>
      <c r="EK694" s="391"/>
      <c r="EL694" s="391"/>
      <c r="EM694" s="391"/>
      <c r="EN694" s="391"/>
      <c r="EO694" s="391"/>
      <c r="EP694" s="391"/>
      <c r="EQ694" s="391"/>
      <c r="ER694" s="391"/>
      <c r="ES694" s="391"/>
      <c r="ET694" s="391"/>
      <c r="EU694" s="391"/>
      <c r="EV694" s="391"/>
      <c r="EW694" s="391"/>
    </row>
    <row r="695" spans="1:153" s="400" customFormat="1">
      <c r="A695" s="391"/>
      <c r="E695" s="454"/>
      <c r="F695" s="454"/>
      <c r="G695" s="454"/>
      <c r="H695" s="454"/>
      <c r="I695" s="454"/>
      <c r="J695" s="404"/>
      <c r="K695" s="454"/>
      <c r="L695" s="454"/>
      <c r="M695" s="391"/>
      <c r="N695" s="391"/>
      <c r="O695" s="391"/>
      <c r="P695" s="391"/>
      <c r="Q695" s="391"/>
      <c r="R695" s="391"/>
      <c r="S695" s="391"/>
      <c r="T695" s="391"/>
      <c r="U695" s="391"/>
      <c r="V695" s="391"/>
      <c r="W695" s="391"/>
      <c r="X695" s="391"/>
      <c r="Y695" s="391"/>
      <c r="Z695" s="391"/>
      <c r="AA695" s="391"/>
      <c r="AB695" s="391"/>
      <c r="AC695" s="391"/>
      <c r="AD695" s="391"/>
      <c r="AE695" s="391"/>
      <c r="AF695" s="391"/>
      <c r="AG695" s="391"/>
      <c r="AH695" s="391"/>
      <c r="AI695" s="391"/>
      <c r="AJ695" s="391"/>
      <c r="AK695" s="391"/>
      <c r="AL695" s="391"/>
      <c r="AM695" s="391"/>
      <c r="AN695" s="391"/>
      <c r="AO695" s="391"/>
      <c r="AP695" s="391"/>
      <c r="AQ695" s="391"/>
      <c r="AR695" s="391"/>
      <c r="AS695" s="454"/>
      <c r="AT695" s="391"/>
      <c r="AU695" s="391"/>
      <c r="AV695" s="391"/>
      <c r="AW695" s="391"/>
      <c r="AX695" s="649"/>
      <c r="AY695" s="593"/>
      <c r="AZ695" s="391"/>
      <c r="BA695" s="391"/>
      <c r="BB695" s="651"/>
      <c r="BC695" s="651"/>
      <c r="BD695" s="402"/>
      <c r="BE695" s="402"/>
      <c r="BF695" s="402"/>
      <c r="BH695" s="594"/>
      <c r="BI695" s="594"/>
      <c r="BJ695" s="595"/>
      <c r="BK695" s="391"/>
      <c r="BL695" s="391"/>
      <c r="BM695" s="391"/>
      <c r="BN695" s="391"/>
      <c r="BO695" s="391"/>
      <c r="BP695" s="391"/>
      <c r="BQ695" s="391"/>
      <c r="BR695" s="391"/>
      <c r="BS695" s="391"/>
      <c r="BT695" s="391"/>
      <c r="BU695" s="391"/>
      <c r="BV695" s="391"/>
      <c r="BW695" s="391"/>
      <c r="BX695" s="391"/>
      <c r="BY695" s="391"/>
      <c r="BZ695" s="391"/>
      <c r="CA695" s="391"/>
      <c r="CB695" s="391"/>
      <c r="CC695" s="391"/>
      <c r="CD695" s="391"/>
      <c r="CE695" s="391"/>
      <c r="CF695" s="391"/>
      <c r="CG695" s="391"/>
      <c r="CH695" s="391"/>
      <c r="CI695" s="391"/>
      <c r="CJ695" s="391"/>
      <c r="CK695" s="391"/>
      <c r="CM695" s="391"/>
      <c r="CN695" s="391"/>
      <c r="CO695" s="391"/>
      <c r="CP695" s="391"/>
      <c r="CR695" s="391"/>
      <c r="CS695" s="391"/>
      <c r="CX695" s="391"/>
      <c r="DA695" s="391"/>
      <c r="DB695" s="391"/>
      <c r="DC695" s="391"/>
      <c r="DD695" s="391"/>
      <c r="DE695" s="391"/>
      <c r="DF695" s="391"/>
      <c r="DG695" s="391"/>
      <c r="DH695" s="391"/>
      <c r="DI695" s="391"/>
      <c r="DJ695" s="391"/>
      <c r="DK695" s="391"/>
      <c r="DL695" s="391"/>
      <c r="DM695" s="391"/>
      <c r="DN695" s="391"/>
      <c r="DO695" s="391"/>
      <c r="DP695" s="391"/>
      <c r="DQ695" s="391"/>
      <c r="DR695" s="391"/>
      <c r="DS695" s="391"/>
      <c r="DT695" s="391"/>
      <c r="DU695" s="391"/>
      <c r="DV695" s="391"/>
      <c r="DW695" s="391"/>
      <c r="DX695" s="391"/>
      <c r="DY695" s="391"/>
      <c r="DZ695" s="391"/>
      <c r="EA695" s="391"/>
      <c r="EB695" s="391"/>
      <c r="EC695" s="391"/>
      <c r="ED695" s="391"/>
      <c r="EE695" s="391"/>
      <c r="EF695" s="391"/>
      <c r="EG695" s="391"/>
      <c r="EH695" s="391"/>
      <c r="EI695" s="391"/>
      <c r="EJ695" s="391"/>
      <c r="EK695" s="391"/>
      <c r="EL695" s="391"/>
      <c r="EM695" s="391"/>
      <c r="EN695" s="391"/>
      <c r="EO695" s="391"/>
      <c r="EP695" s="391"/>
      <c r="EQ695" s="391"/>
      <c r="ER695" s="391"/>
      <c r="ES695" s="391"/>
      <c r="ET695" s="391"/>
      <c r="EU695" s="391"/>
      <c r="EV695" s="391"/>
      <c r="EW695" s="391"/>
    </row>
    <row r="696" spans="1:153" s="400" customFormat="1">
      <c r="A696" s="391"/>
      <c r="E696" s="454"/>
      <c r="F696" s="454"/>
      <c r="G696" s="454"/>
      <c r="H696" s="454"/>
      <c r="I696" s="454"/>
      <c r="J696" s="404"/>
      <c r="K696" s="454"/>
      <c r="L696" s="454"/>
      <c r="M696" s="391"/>
      <c r="N696" s="391"/>
      <c r="O696" s="391"/>
      <c r="P696" s="391"/>
      <c r="Q696" s="391"/>
      <c r="R696" s="391"/>
      <c r="S696" s="391"/>
      <c r="T696" s="391"/>
      <c r="U696" s="391"/>
      <c r="V696" s="391"/>
      <c r="W696" s="391"/>
      <c r="X696" s="391"/>
      <c r="Y696" s="391"/>
      <c r="Z696" s="391"/>
      <c r="AA696" s="391"/>
      <c r="AB696" s="391"/>
      <c r="AC696" s="391"/>
      <c r="AD696" s="391"/>
      <c r="AE696" s="391"/>
      <c r="AF696" s="391"/>
      <c r="AG696" s="391"/>
      <c r="AH696" s="391"/>
      <c r="AI696" s="391"/>
      <c r="AJ696" s="391"/>
      <c r="AK696" s="391"/>
      <c r="AL696" s="391"/>
      <c r="AM696" s="391"/>
      <c r="AN696" s="391"/>
      <c r="AO696" s="391"/>
      <c r="AP696" s="391"/>
      <c r="AQ696" s="391"/>
      <c r="AR696" s="391"/>
      <c r="AS696" s="454"/>
      <c r="AT696" s="391"/>
      <c r="AU696" s="391"/>
      <c r="AV696" s="391"/>
      <c r="AW696" s="391"/>
      <c r="AX696" s="649"/>
      <c r="AY696" s="593"/>
      <c r="AZ696" s="391"/>
      <c r="BA696" s="391"/>
      <c r="BB696" s="651"/>
      <c r="BC696" s="651"/>
      <c r="BD696" s="402"/>
      <c r="BE696" s="402"/>
      <c r="BF696" s="402"/>
      <c r="BH696" s="594"/>
      <c r="BI696" s="594"/>
      <c r="BJ696" s="595"/>
      <c r="BK696" s="391"/>
      <c r="BL696" s="391"/>
      <c r="BM696" s="391"/>
      <c r="BN696" s="391"/>
      <c r="BO696" s="391"/>
      <c r="BP696" s="391"/>
      <c r="BQ696" s="391"/>
      <c r="BR696" s="391"/>
      <c r="BS696" s="391"/>
      <c r="BT696" s="391"/>
      <c r="BU696" s="391"/>
      <c r="BV696" s="391"/>
      <c r="BW696" s="391"/>
      <c r="BX696" s="391"/>
      <c r="BY696" s="391"/>
      <c r="BZ696" s="391"/>
      <c r="CA696" s="391"/>
      <c r="CB696" s="391"/>
      <c r="CC696" s="391"/>
      <c r="CD696" s="391"/>
      <c r="CE696" s="391"/>
      <c r="CF696" s="391"/>
      <c r="CG696" s="391"/>
      <c r="CH696" s="391"/>
      <c r="CI696" s="391"/>
      <c r="CJ696" s="391"/>
      <c r="CK696" s="391"/>
      <c r="CM696" s="391"/>
      <c r="CN696" s="391"/>
      <c r="CO696" s="391"/>
      <c r="CP696" s="391"/>
      <c r="CR696" s="391"/>
      <c r="CS696" s="391"/>
      <c r="CX696" s="391"/>
      <c r="DA696" s="391"/>
      <c r="DB696" s="391"/>
      <c r="DC696" s="391"/>
      <c r="DD696" s="391"/>
      <c r="DE696" s="391"/>
      <c r="DF696" s="391"/>
      <c r="DG696" s="391"/>
      <c r="DH696" s="391"/>
      <c r="DI696" s="391"/>
      <c r="DJ696" s="391"/>
      <c r="DK696" s="391"/>
      <c r="DL696" s="391"/>
      <c r="DM696" s="391"/>
      <c r="DN696" s="391"/>
      <c r="DO696" s="391"/>
      <c r="DP696" s="391"/>
      <c r="DQ696" s="391"/>
      <c r="DR696" s="391"/>
      <c r="DS696" s="391"/>
      <c r="DT696" s="391"/>
      <c r="DU696" s="391"/>
      <c r="DV696" s="391"/>
      <c r="DW696" s="391"/>
      <c r="DX696" s="391"/>
      <c r="DY696" s="391"/>
      <c r="DZ696" s="391"/>
      <c r="EA696" s="391"/>
      <c r="EB696" s="391"/>
      <c r="EC696" s="391"/>
      <c r="ED696" s="391"/>
      <c r="EE696" s="391"/>
      <c r="EF696" s="391"/>
      <c r="EG696" s="391"/>
      <c r="EH696" s="391"/>
      <c r="EI696" s="391"/>
      <c r="EJ696" s="391"/>
      <c r="EK696" s="391"/>
      <c r="EL696" s="391"/>
      <c r="EM696" s="391"/>
      <c r="EN696" s="391"/>
      <c r="EO696" s="391"/>
      <c r="EP696" s="391"/>
      <c r="EQ696" s="391"/>
      <c r="ER696" s="391"/>
      <c r="ES696" s="391"/>
      <c r="ET696" s="391"/>
      <c r="EU696" s="391"/>
      <c r="EV696" s="391"/>
      <c r="EW696" s="391"/>
    </row>
    <row r="697" spans="1:153" s="400" customFormat="1">
      <c r="A697" s="391"/>
      <c r="E697" s="454"/>
      <c r="F697" s="454"/>
      <c r="G697" s="454"/>
      <c r="H697" s="454"/>
      <c r="I697" s="454"/>
      <c r="J697" s="404"/>
      <c r="K697" s="454"/>
      <c r="L697" s="454"/>
      <c r="M697" s="391"/>
      <c r="N697" s="391"/>
      <c r="O697" s="391"/>
      <c r="P697" s="391"/>
      <c r="Q697" s="391"/>
      <c r="R697" s="391"/>
      <c r="S697" s="391"/>
      <c r="T697" s="391"/>
      <c r="U697" s="391"/>
      <c r="V697" s="391"/>
      <c r="W697" s="391"/>
      <c r="X697" s="391"/>
      <c r="Y697" s="391"/>
      <c r="Z697" s="391"/>
      <c r="AA697" s="391"/>
      <c r="AB697" s="391"/>
      <c r="AC697" s="391"/>
      <c r="AD697" s="391"/>
      <c r="AE697" s="391"/>
      <c r="AF697" s="391"/>
      <c r="AG697" s="391"/>
      <c r="AH697" s="391"/>
      <c r="AI697" s="391"/>
      <c r="AJ697" s="391"/>
      <c r="AK697" s="391"/>
      <c r="AL697" s="391"/>
      <c r="AM697" s="391"/>
      <c r="AN697" s="391"/>
      <c r="AO697" s="391"/>
      <c r="AP697" s="391"/>
      <c r="AQ697" s="391"/>
      <c r="AR697" s="391"/>
      <c r="AS697" s="454"/>
      <c r="AT697" s="391"/>
      <c r="AU697" s="391"/>
      <c r="AV697" s="391"/>
      <c r="AW697" s="391"/>
      <c r="AX697" s="649"/>
      <c r="AY697" s="593"/>
      <c r="AZ697" s="391"/>
      <c r="BA697" s="391"/>
      <c r="BB697" s="651"/>
      <c r="BC697" s="651"/>
      <c r="BD697" s="402"/>
      <c r="BE697" s="402"/>
      <c r="BF697" s="402"/>
      <c r="BH697" s="594"/>
      <c r="BI697" s="594"/>
      <c r="BJ697" s="595"/>
      <c r="BK697" s="391"/>
      <c r="BL697" s="391"/>
      <c r="BM697" s="391"/>
      <c r="BN697" s="391"/>
      <c r="BO697" s="391"/>
      <c r="BP697" s="391"/>
      <c r="BQ697" s="391"/>
      <c r="BR697" s="391"/>
      <c r="BS697" s="391"/>
      <c r="BT697" s="391"/>
      <c r="BU697" s="391"/>
      <c r="BV697" s="391"/>
      <c r="BW697" s="391"/>
      <c r="BX697" s="391"/>
      <c r="BY697" s="391"/>
      <c r="BZ697" s="391"/>
      <c r="CA697" s="391"/>
      <c r="CB697" s="391"/>
      <c r="CC697" s="391"/>
      <c r="CD697" s="391"/>
      <c r="CE697" s="391"/>
      <c r="CF697" s="391"/>
      <c r="CG697" s="391"/>
      <c r="CH697" s="391"/>
      <c r="CI697" s="391"/>
      <c r="CJ697" s="391"/>
      <c r="CK697" s="391"/>
      <c r="CM697" s="391"/>
      <c r="CN697" s="391"/>
      <c r="CO697" s="391"/>
      <c r="CP697" s="391"/>
      <c r="CR697" s="391"/>
      <c r="CS697" s="391"/>
      <c r="CX697" s="391"/>
      <c r="DA697" s="391"/>
      <c r="DB697" s="391"/>
      <c r="DC697" s="391"/>
      <c r="DD697" s="391"/>
      <c r="DE697" s="391"/>
      <c r="DF697" s="391"/>
      <c r="DG697" s="391"/>
      <c r="DH697" s="391"/>
      <c r="DI697" s="391"/>
      <c r="DJ697" s="391"/>
      <c r="DK697" s="391"/>
      <c r="DL697" s="391"/>
      <c r="DM697" s="391"/>
      <c r="DN697" s="391"/>
      <c r="DO697" s="391"/>
      <c r="DP697" s="391"/>
      <c r="DQ697" s="391"/>
      <c r="DR697" s="391"/>
      <c r="DS697" s="391"/>
      <c r="DT697" s="391"/>
      <c r="DU697" s="391"/>
      <c r="DV697" s="391"/>
      <c r="DW697" s="391"/>
      <c r="DX697" s="391"/>
      <c r="DY697" s="391"/>
      <c r="DZ697" s="391"/>
      <c r="EA697" s="391"/>
      <c r="EB697" s="391"/>
      <c r="EC697" s="391"/>
      <c r="ED697" s="391"/>
      <c r="EE697" s="391"/>
      <c r="EF697" s="391"/>
      <c r="EG697" s="391"/>
      <c r="EH697" s="391"/>
      <c r="EI697" s="391"/>
      <c r="EJ697" s="391"/>
      <c r="EK697" s="391"/>
      <c r="EL697" s="391"/>
      <c r="EM697" s="391"/>
      <c r="EN697" s="391"/>
      <c r="EO697" s="391"/>
      <c r="EP697" s="391"/>
      <c r="EQ697" s="391"/>
      <c r="ER697" s="391"/>
      <c r="ES697" s="391"/>
      <c r="ET697" s="391"/>
      <c r="EU697" s="391"/>
      <c r="EV697" s="391"/>
      <c r="EW697" s="391"/>
    </row>
    <row r="698" spans="1:153" s="400" customFormat="1">
      <c r="A698" s="391"/>
      <c r="E698" s="454"/>
      <c r="F698" s="454"/>
      <c r="G698" s="454"/>
      <c r="H698" s="454"/>
      <c r="I698" s="454"/>
      <c r="J698" s="404"/>
      <c r="K698" s="454"/>
      <c r="L698" s="454"/>
      <c r="M698" s="391"/>
      <c r="N698" s="391"/>
      <c r="O698" s="391"/>
      <c r="P698" s="391"/>
      <c r="Q698" s="391"/>
      <c r="R698" s="391"/>
      <c r="S698" s="391"/>
      <c r="T698" s="391"/>
      <c r="U698" s="391"/>
      <c r="V698" s="391"/>
      <c r="W698" s="391"/>
      <c r="X698" s="391"/>
      <c r="Y698" s="391"/>
      <c r="Z698" s="391"/>
      <c r="AA698" s="391"/>
      <c r="AB698" s="391"/>
      <c r="AC698" s="391"/>
      <c r="AD698" s="391"/>
      <c r="AE698" s="391"/>
      <c r="AF698" s="391"/>
      <c r="AG698" s="391"/>
      <c r="AH698" s="391"/>
      <c r="AI698" s="391"/>
      <c r="AJ698" s="391"/>
      <c r="AK698" s="391"/>
      <c r="AL698" s="391"/>
      <c r="AM698" s="391"/>
      <c r="AN698" s="391"/>
      <c r="AO698" s="391"/>
      <c r="AP698" s="391"/>
      <c r="AQ698" s="391"/>
      <c r="AR698" s="391"/>
      <c r="AS698" s="454"/>
      <c r="AT698" s="391"/>
      <c r="AU698" s="391"/>
      <c r="AV698" s="391"/>
      <c r="AW698" s="391"/>
      <c r="AX698" s="649"/>
      <c r="AY698" s="593"/>
      <c r="AZ698" s="391"/>
      <c r="BA698" s="391"/>
      <c r="BB698" s="651"/>
      <c r="BC698" s="651"/>
      <c r="BD698" s="402"/>
      <c r="BE698" s="402"/>
      <c r="BF698" s="402"/>
      <c r="BH698" s="594"/>
      <c r="BI698" s="594"/>
      <c r="BJ698" s="595"/>
      <c r="BK698" s="391"/>
      <c r="BL698" s="391"/>
      <c r="BM698" s="391"/>
      <c r="BN698" s="391"/>
      <c r="BO698" s="391"/>
      <c r="BP698" s="391"/>
      <c r="BQ698" s="391"/>
      <c r="BR698" s="391"/>
      <c r="BS698" s="391"/>
      <c r="BT698" s="391"/>
      <c r="BU698" s="391"/>
      <c r="BV698" s="391"/>
      <c r="BW698" s="391"/>
      <c r="BX698" s="391"/>
      <c r="BY698" s="391"/>
      <c r="BZ698" s="391"/>
      <c r="CA698" s="391"/>
      <c r="CB698" s="391"/>
      <c r="CC698" s="391"/>
      <c r="CD698" s="391"/>
      <c r="CE698" s="391"/>
      <c r="CF698" s="391"/>
      <c r="CG698" s="391"/>
      <c r="CH698" s="391"/>
      <c r="CI698" s="391"/>
      <c r="CJ698" s="391"/>
      <c r="CK698" s="391"/>
      <c r="CM698" s="391"/>
      <c r="CN698" s="391"/>
      <c r="CO698" s="391"/>
      <c r="CP698" s="391"/>
      <c r="CR698" s="391"/>
      <c r="CS698" s="391"/>
      <c r="CX698" s="391"/>
      <c r="DA698" s="391"/>
      <c r="DB698" s="391"/>
      <c r="DC698" s="391"/>
      <c r="DD698" s="391"/>
      <c r="DE698" s="391"/>
      <c r="DF698" s="391"/>
      <c r="DG698" s="391"/>
      <c r="DH698" s="391"/>
      <c r="DI698" s="391"/>
      <c r="DJ698" s="391"/>
      <c r="DK698" s="391"/>
      <c r="DL698" s="391"/>
      <c r="DM698" s="391"/>
      <c r="DN698" s="391"/>
      <c r="DO698" s="391"/>
      <c r="DP698" s="391"/>
      <c r="DQ698" s="391"/>
      <c r="DR698" s="391"/>
      <c r="DS698" s="391"/>
      <c r="DT698" s="391"/>
      <c r="DU698" s="391"/>
      <c r="DV698" s="391"/>
      <c r="DW698" s="391"/>
      <c r="DX698" s="391"/>
      <c r="DY698" s="391"/>
      <c r="DZ698" s="391"/>
      <c r="EA698" s="391"/>
      <c r="EB698" s="391"/>
      <c r="EC698" s="391"/>
      <c r="ED698" s="391"/>
      <c r="EE698" s="391"/>
      <c r="EF698" s="391"/>
      <c r="EG698" s="391"/>
      <c r="EH698" s="391"/>
      <c r="EI698" s="391"/>
      <c r="EJ698" s="391"/>
      <c r="EK698" s="391"/>
      <c r="EL698" s="391"/>
      <c r="EM698" s="391"/>
      <c r="EN698" s="391"/>
      <c r="EO698" s="391"/>
      <c r="EP698" s="391"/>
      <c r="EQ698" s="391"/>
      <c r="ER698" s="391"/>
      <c r="ES698" s="391"/>
      <c r="ET698" s="391"/>
      <c r="EU698" s="391"/>
      <c r="EV698" s="391"/>
      <c r="EW698" s="391"/>
    </row>
    <row r="699" spans="1:153" s="400" customFormat="1">
      <c r="A699" s="391"/>
      <c r="E699" s="454"/>
      <c r="F699" s="454"/>
      <c r="G699" s="454"/>
      <c r="H699" s="454"/>
      <c r="I699" s="454"/>
      <c r="J699" s="404"/>
      <c r="K699" s="454"/>
      <c r="L699" s="454"/>
      <c r="M699" s="391"/>
      <c r="N699" s="391"/>
      <c r="O699" s="391"/>
      <c r="P699" s="391"/>
      <c r="Q699" s="391"/>
      <c r="R699" s="391"/>
      <c r="S699" s="391"/>
      <c r="T699" s="391"/>
      <c r="U699" s="391"/>
      <c r="V699" s="391"/>
      <c r="W699" s="391"/>
      <c r="X699" s="391"/>
      <c r="Y699" s="391"/>
      <c r="Z699" s="391"/>
      <c r="AA699" s="391"/>
      <c r="AB699" s="391"/>
      <c r="AC699" s="391"/>
      <c r="AD699" s="391"/>
      <c r="AE699" s="391"/>
      <c r="AF699" s="391"/>
      <c r="AG699" s="391"/>
      <c r="AH699" s="391"/>
      <c r="AI699" s="391"/>
      <c r="AJ699" s="391"/>
      <c r="AK699" s="391"/>
      <c r="AL699" s="391"/>
      <c r="AM699" s="391"/>
      <c r="AN699" s="391"/>
      <c r="AO699" s="391"/>
      <c r="AP699" s="391"/>
      <c r="AQ699" s="391"/>
      <c r="AR699" s="391"/>
      <c r="AS699" s="454"/>
      <c r="AT699" s="391"/>
      <c r="AU699" s="391"/>
      <c r="AV699" s="391"/>
      <c r="AW699" s="391"/>
      <c r="AX699" s="649"/>
      <c r="AY699" s="593"/>
      <c r="AZ699" s="391"/>
      <c r="BA699" s="391"/>
      <c r="BB699" s="651"/>
      <c r="BC699" s="651"/>
      <c r="BD699" s="402"/>
      <c r="BE699" s="402"/>
      <c r="BF699" s="402"/>
      <c r="BH699" s="594"/>
      <c r="BI699" s="594"/>
      <c r="BJ699" s="595"/>
      <c r="BK699" s="391"/>
      <c r="BL699" s="391"/>
      <c r="BM699" s="391"/>
      <c r="BN699" s="391"/>
      <c r="BO699" s="391"/>
      <c r="BP699" s="391"/>
      <c r="BQ699" s="391"/>
      <c r="BR699" s="391"/>
      <c r="BS699" s="391"/>
      <c r="BT699" s="391"/>
      <c r="BU699" s="391"/>
      <c r="BV699" s="391"/>
      <c r="BW699" s="391"/>
      <c r="BX699" s="391"/>
      <c r="BY699" s="391"/>
      <c r="BZ699" s="391"/>
      <c r="CA699" s="391"/>
      <c r="CB699" s="391"/>
      <c r="CC699" s="391"/>
      <c r="CD699" s="391"/>
      <c r="CE699" s="391"/>
      <c r="CF699" s="391"/>
      <c r="CG699" s="391"/>
      <c r="CH699" s="391"/>
      <c r="CI699" s="391"/>
      <c r="CJ699" s="391"/>
      <c r="CK699" s="391"/>
      <c r="CM699" s="391"/>
      <c r="CN699" s="391"/>
      <c r="CO699" s="391"/>
      <c r="CP699" s="391"/>
      <c r="CR699" s="391"/>
      <c r="CS699" s="391"/>
      <c r="CX699" s="391"/>
      <c r="DA699" s="391"/>
      <c r="DB699" s="391"/>
      <c r="DC699" s="391"/>
      <c r="DD699" s="391"/>
      <c r="DE699" s="391"/>
      <c r="DF699" s="391"/>
      <c r="DG699" s="391"/>
      <c r="DH699" s="391"/>
      <c r="DI699" s="391"/>
      <c r="DJ699" s="391"/>
      <c r="DK699" s="391"/>
      <c r="DL699" s="391"/>
      <c r="DM699" s="391"/>
      <c r="DN699" s="391"/>
      <c r="DO699" s="391"/>
      <c r="DP699" s="391"/>
      <c r="DQ699" s="391"/>
      <c r="DR699" s="391"/>
      <c r="DS699" s="391"/>
      <c r="DT699" s="391"/>
      <c r="DU699" s="391"/>
      <c r="DV699" s="391"/>
      <c r="DW699" s="391"/>
      <c r="DX699" s="391"/>
      <c r="DY699" s="391"/>
      <c r="DZ699" s="391"/>
      <c r="EA699" s="391"/>
      <c r="EB699" s="391"/>
      <c r="EC699" s="391"/>
      <c r="ED699" s="391"/>
      <c r="EE699" s="391"/>
      <c r="EF699" s="391"/>
      <c r="EG699" s="391"/>
      <c r="EH699" s="391"/>
      <c r="EI699" s="391"/>
      <c r="EJ699" s="391"/>
      <c r="EK699" s="391"/>
      <c r="EL699" s="391"/>
      <c r="EM699" s="391"/>
      <c r="EN699" s="391"/>
      <c r="EO699" s="391"/>
      <c r="EP699" s="391"/>
      <c r="EQ699" s="391"/>
      <c r="ER699" s="391"/>
      <c r="ES699" s="391"/>
      <c r="ET699" s="391"/>
      <c r="EU699" s="391"/>
      <c r="EV699" s="391"/>
      <c r="EW699" s="391"/>
    </row>
    <row r="700" spans="1:153" s="400" customFormat="1">
      <c r="A700" s="391"/>
      <c r="E700" s="454"/>
      <c r="F700" s="454"/>
      <c r="G700" s="454"/>
      <c r="H700" s="454"/>
      <c r="I700" s="454"/>
      <c r="J700" s="404"/>
      <c r="K700" s="454"/>
      <c r="L700" s="454"/>
      <c r="M700" s="391"/>
      <c r="N700" s="391"/>
      <c r="O700" s="391"/>
      <c r="P700" s="391"/>
      <c r="Q700" s="391"/>
      <c r="R700" s="391"/>
      <c r="S700" s="391"/>
      <c r="T700" s="391"/>
      <c r="U700" s="391"/>
      <c r="V700" s="391"/>
      <c r="W700" s="391"/>
      <c r="X700" s="391"/>
      <c r="Y700" s="391"/>
      <c r="Z700" s="391"/>
      <c r="AA700" s="391"/>
      <c r="AB700" s="391"/>
      <c r="AC700" s="391"/>
      <c r="AD700" s="391"/>
      <c r="AE700" s="391"/>
      <c r="AF700" s="391"/>
      <c r="AG700" s="391"/>
      <c r="AH700" s="391"/>
      <c r="AI700" s="391"/>
      <c r="AJ700" s="391"/>
      <c r="AK700" s="391"/>
      <c r="AL700" s="391"/>
      <c r="AM700" s="391"/>
      <c r="AN700" s="391"/>
      <c r="AO700" s="391"/>
      <c r="AP700" s="391"/>
      <c r="AQ700" s="391"/>
      <c r="AR700" s="391"/>
      <c r="AS700" s="454"/>
      <c r="AT700" s="391"/>
      <c r="AU700" s="391"/>
      <c r="AV700" s="391"/>
      <c r="AW700" s="391"/>
      <c r="AX700" s="649"/>
      <c r="AY700" s="593"/>
      <c r="AZ700" s="391"/>
      <c r="BA700" s="391"/>
      <c r="BB700" s="651"/>
      <c r="BC700" s="651"/>
      <c r="BD700" s="402"/>
      <c r="BE700" s="402"/>
      <c r="BF700" s="402"/>
      <c r="BH700" s="594"/>
      <c r="BI700" s="594"/>
      <c r="BJ700" s="595"/>
      <c r="BK700" s="391"/>
      <c r="BL700" s="391"/>
      <c r="BM700" s="391"/>
      <c r="BN700" s="391"/>
      <c r="BO700" s="391"/>
      <c r="BP700" s="391"/>
      <c r="BQ700" s="391"/>
      <c r="BR700" s="391"/>
      <c r="BS700" s="391"/>
      <c r="BT700" s="391"/>
      <c r="BU700" s="391"/>
      <c r="BV700" s="391"/>
      <c r="BW700" s="391"/>
      <c r="BX700" s="391"/>
      <c r="BY700" s="391"/>
      <c r="BZ700" s="391"/>
      <c r="CA700" s="391"/>
      <c r="CB700" s="391"/>
      <c r="CC700" s="391"/>
      <c r="CD700" s="391"/>
      <c r="CE700" s="391"/>
      <c r="CF700" s="391"/>
      <c r="CG700" s="391"/>
      <c r="CH700" s="391"/>
      <c r="CI700" s="391"/>
      <c r="CJ700" s="391"/>
      <c r="CK700" s="391"/>
      <c r="CM700" s="391"/>
      <c r="CN700" s="391"/>
      <c r="CO700" s="391"/>
      <c r="CP700" s="391"/>
      <c r="CR700" s="391"/>
      <c r="CS700" s="391"/>
      <c r="CX700" s="391"/>
      <c r="DA700" s="391"/>
      <c r="DB700" s="391"/>
      <c r="DC700" s="391"/>
      <c r="DD700" s="391"/>
      <c r="DE700" s="391"/>
      <c r="DF700" s="391"/>
      <c r="DG700" s="391"/>
      <c r="DH700" s="391"/>
      <c r="DI700" s="391"/>
      <c r="DJ700" s="391"/>
      <c r="DK700" s="391"/>
      <c r="DL700" s="391"/>
      <c r="DM700" s="391"/>
      <c r="DN700" s="391"/>
      <c r="DO700" s="391"/>
      <c r="DP700" s="391"/>
      <c r="DQ700" s="391"/>
      <c r="DR700" s="391"/>
      <c r="DS700" s="391"/>
      <c r="DT700" s="391"/>
      <c r="DU700" s="391"/>
      <c r="DV700" s="391"/>
      <c r="DW700" s="391"/>
      <c r="DX700" s="391"/>
      <c r="DY700" s="391"/>
      <c r="DZ700" s="391"/>
      <c r="EA700" s="391"/>
      <c r="EB700" s="391"/>
      <c r="EC700" s="391"/>
      <c r="ED700" s="391"/>
      <c r="EE700" s="391"/>
      <c r="EF700" s="391"/>
      <c r="EG700" s="391"/>
      <c r="EH700" s="391"/>
      <c r="EI700" s="391"/>
      <c r="EJ700" s="391"/>
      <c r="EK700" s="391"/>
      <c r="EL700" s="391"/>
      <c r="EM700" s="391"/>
      <c r="EN700" s="391"/>
      <c r="EO700" s="391"/>
      <c r="EP700" s="391"/>
      <c r="EQ700" s="391"/>
      <c r="ER700" s="391"/>
      <c r="ES700" s="391"/>
      <c r="ET700" s="391"/>
      <c r="EU700" s="391"/>
      <c r="EV700" s="391"/>
      <c r="EW700" s="391"/>
    </row>
    <row r="701" spans="1:153" s="400" customFormat="1">
      <c r="A701" s="391"/>
      <c r="E701" s="454"/>
      <c r="F701" s="454"/>
      <c r="G701" s="454"/>
      <c r="H701" s="454"/>
      <c r="I701" s="454"/>
      <c r="J701" s="404"/>
      <c r="K701" s="454"/>
      <c r="L701" s="454"/>
      <c r="M701" s="391"/>
      <c r="N701" s="391"/>
      <c r="O701" s="391"/>
      <c r="P701" s="391"/>
      <c r="Q701" s="391"/>
      <c r="R701" s="391"/>
      <c r="S701" s="391"/>
      <c r="T701" s="391"/>
      <c r="U701" s="391"/>
      <c r="V701" s="391"/>
      <c r="W701" s="391"/>
      <c r="X701" s="391"/>
      <c r="Y701" s="391"/>
      <c r="Z701" s="391"/>
      <c r="AA701" s="391"/>
      <c r="AB701" s="391"/>
      <c r="AC701" s="391"/>
      <c r="AD701" s="391"/>
      <c r="AE701" s="391"/>
      <c r="AF701" s="391"/>
      <c r="AG701" s="391"/>
      <c r="AH701" s="391"/>
      <c r="AI701" s="391"/>
      <c r="AJ701" s="391"/>
      <c r="AK701" s="391"/>
      <c r="AL701" s="391"/>
      <c r="AM701" s="391"/>
      <c r="AN701" s="391"/>
      <c r="AO701" s="391"/>
      <c r="AP701" s="391"/>
      <c r="AQ701" s="391"/>
      <c r="AR701" s="391"/>
      <c r="AS701" s="454"/>
      <c r="AT701" s="391"/>
      <c r="AU701" s="391"/>
      <c r="AV701" s="391"/>
      <c r="AW701" s="391"/>
      <c r="AX701" s="649"/>
      <c r="AY701" s="593"/>
      <c r="AZ701" s="391"/>
      <c r="BA701" s="391"/>
      <c r="BB701" s="651"/>
      <c r="BC701" s="651"/>
      <c r="BH701" s="594"/>
      <c r="BI701" s="594"/>
      <c r="BJ701" s="595"/>
      <c r="BK701" s="391"/>
      <c r="BL701" s="391"/>
      <c r="BM701" s="391"/>
      <c r="BN701" s="391"/>
      <c r="BO701" s="391"/>
      <c r="BP701" s="391"/>
      <c r="BQ701" s="391"/>
      <c r="BR701" s="391"/>
      <c r="BS701" s="391"/>
      <c r="BT701" s="391"/>
      <c r="BU701" s="391"/>
      <c r="BV701" s="391"/>
      <c r="BW701" s="391"/>
      <c r="BX701" s="391"/>
      <c r="BY701" s="391"/>
      <c r="BZ701" s="391"/>
      <c r="CA701" s="391"/>
      <c r="CB701" s="391"/>
      <c r="CC701" s="391"/>
      <c r="CD701" s="391"/>
      <c r="CE701" s="391"/>
      <c r="CF701" s="391"/>
      <c r="CG701" s="391"/>
      <c r="CH701" s="391"/>
      <c r="CI701" s="391"/>
      <c r="CJ701" s="391"/>
      <c r="CK701" s="391"/>
      <c r="CM701" s="391"/>
      <c r="CN701" s="391"/>
      <c r="CO701" s="391"/>
      <c r="CP701" s="391"/>
      <c r="CR701" s="391"/>
      <c r="CS701" s="391"/>
      <c r="CX701" s="391"/>
      <c r="DA701" s="391"/>
      <c r="DB701" s="391"/>
      <c r="DC701" s="391"/>
      <c r="DD701" s="391"/>
      <c r="DE701" s="391"/>
      <c r="DF701" s="391"/>
      <c r="DG701" s="391"/>
      <c r="DH701" s="391"/>
      <c r="DI701" s="391"/>
      <c r="DJ701" s="391"/>
      <c r="DK701" s="391"/>
      <c r="DL701" s="391"/>
      <c r="DM701" s="391"/>
      <c r="DN701" s="391"/>
      <c r="DO701" s="391"/>
      <c r="DP701" s="391"/>
      <c r="DQ701" s="391"/>
      <c r="DR701" s="391"/>
      <c r="DS701" s="391"/>
      <c r="DT701" s="391"/>
      <c r="DU701" s="391"/>
      <c r="DV701" s="391"/>
      <c r="DW701" s="391"/>
      <c r="DX701" s="391"/>
      <c r="DY701" s="391"/>
      <c r="DZ701" s="391"/>
      <c r="EA701" s="391"/>
      <c r="EB701" s="391"/>
      <c r="EC701" s="391"/>
      <c r="ED701" s="391"/>
      <c r="EE701" s="391"/>
      <c r="EF701" s="391"/>
      <c r="EG701" s="391"/>
      <c r="EH701" s="391"/>
      <c r="EI701" s="391"/>
      <c r="EJ701" s="391"/>
      <c r="EK701" s="391"/>
      <c r="EL701" s="391"/>
      <c r="EM701" s="391"/>
      <c r="EN701" s="391"/>
      <c r="EO701" s="391"/>
      <c r="EP701" s="391"/>
      <c r="EQ701" s="391"/>
      <c r="ER701" s="391"/>
      <c r="ES701" s="391"/>
      <c r="ET701" s="391"/>
      <c r="EU701" s="391"/>
      <c r="EV701" s="391"/>
      <c r="EW701" s="391"/>
    </row>
    <row r="702" spans="1:153" s="400" customFormat="1">
      <c r="A702" s="391"/>
      <c r="E702" s="454"/>
      <c r="F702" s="454"/>
      <c r="G702" s="454"/>
      <c r="H702" s="454"/>
      <c r="I702" s="454"/>
      <c r="J702" s="404"/>
      <c r="K702" s="454"/>
      <c r="L702" s="454"/>
      <c r="M702" s="391"/>
      <c r="N702" s="391"/>
      <c r="O702" s="391"/>
      <c r="P702" s="391"/>
      <c r="Q702" s="391"/>
      <c r="R702" s="391"/>
      <c r="S702" s="391"/>
      <c r="T702" s="391"/>
      <c r="U702" s="391"/>
      <c r="V702" s="391"/>
      <c r="W702" s="391"/>
      <c r="X702" s="391"/>
      <c r="Y702" s="391"/>
      <c r="Z702" s="391"/>
      <c r="AA702" s="391"/>
      <c r="AB702" s="391"/>
      <c r="AC702" s="391"/>
      <c r="AD702" s="391"/>
      <c r="AE702" s="391"/>
      <c r="AF702" s="391"/>
      <c r="AG702" s="391"/>
      <c r="AH702" s="391"/>
      <c r="AI702" s="391"/>
      <c r="AJ702" s="391"/>
      <c r="AK702" s="391"/>
      <c r="AL702" s="391"/>
      <c r="AM702" s="391"/>
      <c r="AN702" s="391"/>
      <c r="AO702" s="391"/>
      <c r="AP702" s="391"/>
      <c r="AQ702" s="391"/>
      <c r="AR702" s="391"/>
      <c r="AS702" s="454"/>
      <c r="AT702" s="391"/>
      <c r="AU702" s="391"/>
      <c r="AV702" s="391"/>
      <c r="AW702" s="391"/>
      <c r="AX702" s="649"/>
      <c r="AY702" s="593"/>
      <c r="AZ702" s="391"/>
      <c r="BA702" s="391"/>
      <c r="BB702" s="651"/>
      <c r="BC702" s="651"/>
      <c r="BH702" s="594"/>
      <c r="BI702" s="594"/>
      <c r="BJ702" s="595"/>
      <c r="BK702" s="391"/>
      <c r="BL702" s="391"/>
      <c r="BM702" s="391"/>
      <c r="BN702" s="391"/>
      <c r="BO702" s="391"/>
      <c r="BP702" s="391"/>
      <c r="BQ702" s="391"/>
      <c r="BR702" s="391"/>
      <c r="BS702" s="391"/>
      <c r="BT702" s="391"/>
      <c r="BU702" s="391"/>
      <c r="BV702" s="391"/>
      <c r="BW702" s="391"/>
      <c r="BX702" s="391"/>
      <c r="BY702" s="391"/>
      <c r="BZ702" s="391"/>
      <c r="CA702" s="391"/>
      <c r="CB702" s="391"/>
      <c r="CC702" s="391"/>
      <c r="CD702" s="391"/>
      <c r="CE702" s="391"/>
      <c r="CF702" s="391"/>
      <c r="CG702" s="391"/>
      <c r="CH702" s="391"/>
      <c r="CI702" s="391"/>
      <c r="CJ702" s="391"/>
      <c r="CK702" s="391"/>
      <c r="CM702" s="391"/>
      <c r="CN702" s="391"/>
      <c r="CO702" s="391"/>
      <c r="CP702" s="391"/>
      <c r="CR702" s="391"/>
      <c r="CS702" s="391"/>
      <c r="CX702" s="391"/>
      <c r="DA702" s="391"/>
      <c r="DB702" s="391"/>
      <c r="DC702" s="391"/>
      <c r="DD702" s="391"/>
      <c r="DE702" s="391"/>
      <c r="DF702" s="391"/>
      <c r="DG702" s="391"/>
      <c r="DH702" s="391"/>
      <c r="DI702" s="391"/>
      <c r="DJ702" s="391"/>
      <c r="DK702" s="391"/>
      <c r="DL702" s="391"/>
      <c r="DM702" s="391"/>
      <c r="DN702" s="391"/>
      <c r="DO702" s="391"/>
      <c r="DP702" s="391"/>
      <c r="DQ702" s="391"/>
      <c r="DR702" s="391"/>
      <c r="DS702" s="391"/>
      <c r="DT702" s="391"/>
      <c r="DU702" s="391"/>
      <c r="DV702" s="391"/>
      <c r="DW702" s="391"/>
      <c r="DX702" s="391"/>
      <c r="DY702" s="391"/>
      <c r="DZ702" s="391"/>
      <c r="EA702" s="391"/>
      <c r="EB702" s="391"/>
      <c r="EC702" s="391"/>
      <c r="ED702" s="391"/>
      <c r="EE702" s="391"/>
      <c r="EF702" s="391"/>
      <c r="EG702" s="391"/>
      <c r="EH702" s="391"/>
      <c r="EI702" s="391"/>
      <c r="EJ702" s="391"/>
      <c r="EK702" s="391"/>
      <c r="EL702" s="391"/>
      <c r="EM702" s="391"/>
      <c r="EN702" s="391"/>
      <c r="EO702" s="391"/>
      <c r="EP702" s="391"/>
      <c r="EQ702" s="391"/>
      <c r="ER702" s="391"/>
      <c r="ES702" s="391"/>
      <c r="ET702" s="391"/>
      <c r="EU702" s="391"/>
      <c r="EV702" s="391"/>
      <c r="EW702" s="391"/>
    </row>
    <row r="703" spans="1:153" s="400" customFormat="1">
      <c r="A703" s="391"/>
      <c r="E703" s="454"/>
      <c r="F703" s="454"/>
      <c r="G703" s="454"/>
      <c r="H703" s="454"/>
      <c r="I703" s="454"/>
      <c r="J703" s="404"/>
      <c r="K703" s="454"/>
      <c r="L703" s="454"/>
      <c r="M703" s="391"/>
      <c r="N703" s="391"/>
      <c r="O703" s="391"/>
      <c r="P703" s="391"/>
      <c r="Q703" s="391"/>
      <c r="R703" s="391"/>
      <c r="S703" s="391"/>
      <c r="T703" s="391"/>
      <c r="U703" s="391"/>
      <c r="V703" s="391"/>
      <c r="W703" s="391"/>
      <c r="X703" s="391"/>
      <c r="Y703" s="391"/>
      <c r="Z703" s="391"/>
      <c r="AA703" s="391"/>
      <c r="AB703" s="391"/>
      <c r="AC703" s="391"/>
      <c r="AD703" s="391"/>
      <c r="AE703" s="391"/>
      <c r="AF703" s="391"/>
      <c r="AG703" s="391"/>
      <c r="AH703" s="391"/>
      <c r="AI703" s="391"/>
      <c r="AJ703" s="391"/>
      <c r="AK703" s="391"/>
      <c r="AL703" s="391"/>
      <c r="AM703" s="391"/>
      <c r="AN703" s="391"/>
      <c r="AO703" s="391"/>
      <c r="AP703" s="391"/>
      <c r="AQ703" s="391"/>
      <c r="AR703" s="391"/>
      <c r="AS703" s="454"/>
      <c r="AT703" s="391"/>
      <c r="AU703" s="391"/>
      <c r="AV703" s="391"/>
      <c r="AW703" s="391"/>
      <c r="AX703" s="649"/>
      <c r="AY703" s="593"/>
      <c r="AZ703" s="391"/>
      <c r="BA703" s="391"/>
      <c r="BB703" s="651"/>
      <c r="BC703" s="651"/>
      <c r="BH703" s="594"/>
      <c r="BI703" s="594"/>
      <c r="BJ703" s="595"/>
      <c r="BK703" s="391"/>
      <c r="BL703" s="391"/>
      <c r="BM703" s="391"/>
      <c r="BN703" s="391"/>
      <c r="BO703" s="391"/>
      <c r="BP703" s="391"/>
      <c r="BQ703" s="391"/>
      <c r="BR703" s="391"/>
      <c r="BS703" s="391"/>
      <c r="BT703" s="391"/>
      <c r="BU703" s="391"/>
      <c r="BV703" s="391"/>
      <c r="BW703" s="391"/>
      <c r="BX703" s="391"/>
      <c r="BY703" s="391"/>
      <c r="BZ703" s="391"/>
      <c r="CA703" s="391"/>
      <c r="CB703" s="391"/>
      <c r="CC703" s="391"/>
      <c r="CD703" s="391"/>
      <c r="CE703" s="391"/>
      <c r="CF703" s="391"/>
      <c r="CG703" s="391"/>
      <c r="CH703" s="391"/>
      <c r="CI703" s="391"/>
      <c r="CJ703" s="391"/>
      <c r="CK703" s="391"/>
      <c r="CM703" s="391"/>
      <c r="CN703" s="391"/>
      <c r="CO703" s="391"/>
      <c r="CP703" s="391"/>
      <c r="CR703" s="391"/>
      <c r="CS703" s="391"/>
      <c r="CX703" s="391"/>
      <c r="DA703" s="391"/>
      <c r="DB703" s="391"/>
      <c r="DC703" s="391"/>
      <c r="DD703" s="391"/>
      <c r="DE703" s="391"/>
      <c r="DF703" s="391"/>
      <c r="DG703" s="391"/>
      <c r="DH703" s="391"/>
      <c r="DI703" s="391"/>
      <c r="DJ703" s="391"/>
      <c r="DK703" s="391"/>
      <c r="DL703" s="391"/>
      <c r="DM703" s="391"/>
      <c r="DN703" s="391"/>
      <c r="DO703" s="391"/>
      <c r="DP703" s="391"/>
      <c r="DQ703" s="391"/>
      <c r="DR703" s="391"/>
      <c r="DS703" s="391"/>
      <c r="DT703" s="391"/>
      <c r="DU703" s="391"/>
      <c r="DV703" s="391"/>
      <c r="DW703" s="391"/>
      <c r="DX703" s="391"/>
      <c r="DY703" s="391"/>
      <c r="DZ703" s="391"/>
      <c r="EA703" s="391"/>
      <c r="EB703" s="391"/>
      <c r="EC703" s="391"/>
      <c r="ED703" s="391"/>
      <c r="EE703" s="391"/>
      <c r="EF703" s="391"/>
      <c r="EG703" s="391"/>
      <c r="EH703" s="391"/>
      <c r="EI703" s="391"/>
      <c r="EJ703" s="391"/>
      <c r="EK703" s="391"/>
      <c r="EL703" s="391"/>
      <c r="EM703" s="391"/>
      <c r="EN703" s="391"/>
      <c r="EO703" s="391"/>
      <c r="EP703" s="391"/>
      <c r="EQ703" s="391"/>
      <c r="ER703" s="391"/>
      <c r="ES703" s="391"/>
      <c r="ET703" s="391"/>
      <c r="EU703" s="391"/>
      <c r="EV703" s="391"/>
      <c r="EW703" s="391"/>
    </row>
    <row r="704" spans="1:153" s="400" customFormat="1">
      <c r="A704" s="391"/>
      <c r="E704" s="454"/>
      <c r="F704" s="454"/>
      <c r="G704" s="454"/>
      <c r="H704" s="454"/>
      <c r="I704" s="454"/>
      <c r="J704" s="404"/>
      <c r="K704" s="454"/>
      <c r="L704" s="454"/>
      <c r="M704" s="391"/>
      <c r="N704" s="391"/>
      <c r="O704" s="391"/>
      <c r="P704" s="391"/>
      <c r="Q704" s="391"/>
      <c r="R704" s="391"/>
      <c r="S704" s="391"/>
      <c r="T704" s="391"/>
      <c r="U704" s="391"/>
      <c r="V704" s="391"/>
      <c r="W704" s="391"/>
      <c r="X704" s="391"/>
      <c r="Y704" s="391"/>
      <c r="Z704" s="391"/>
      <c r="AA704" s="391"/>
      <c r="AB704" s="391"/>
      <c r="AC704" s="391"/>
      <c r="AD704" s="391"/>
      <c r="AE704" s="391"/>
      <c r="AF704" s="391"/>
      <c r="AG704" s="391"/>
      <c r="AH704" s="391"/>
      <c r="AI704" s="391"/>
      <c r="AJ704" s="391"/>
      <c r="AK704" s="391"/>
      <c r="AL704" s="391"/>
      <c r="AM704" s="391"/>
      <c r="AN704" s="391"/>
      <c r="AO704" s="391"/>
      <c r="AP704" s="391"/>
      <c r="AQ704" s="391"/>
      <c r="AR704" s="391"/>
      <c r="AS704" s="454"/>
      <c r="AT704" s="391"/>
      <c r="AU704" s="391"/>
      <c r="AV704" s="391"/>
      <c r="AW704" s="391"/>
      <c r="AX704" s="649"/>
      <c r="AY704" s="593"/>
      <c r="AZ704" s="391"/>
      <c r="BA704" s="391"/>
      <c r="BB704" s="651"/>
      <c r="BC704" s="651"/>
      <c r="BH704" s="594"/>
      <c r="BI704" s="594"/>
      <c r="BJ704" s="595"/>
      <c r="BK704" s="391"/>
      <c r="BL704" s="391"/>
      <c r="BM704" s="391"/>
      <c r="BN704" s="391"/>
      <c r="BO704" s="391"/>
      <c r="BP704" s="391"/>
      <c r="BQ704" s="391"/>
      <c r="BR704" s="391"/>
      <c r="BS704" s="391"/>
      <c r="BT704" s="391"/>
      <c r="BU704" s="391"/>
      <c r="BV704" s="391"/>
      <c r="BW704" s="391"/>
      <c r="BX704" s="391"/>
      <c r="BY704" s="391"/>
      <c r="BZ704" s="391"/>
      <c r="CA704" s="391"/>
      <c r="CB704" s="391"/>
      <c r="CC704" s="391"/>
      <c r="CD704" s="391"/>
      <c r="CE704" s="391"/>
      <c r="CF704" s="391"/>
      <c r="CG704" s="391"/>
      <c r="CH704" s="391"/>
      <c r="CI704" s="391"/>
      <c r="CJ704" s="391"/>
      <c r="CK704" s="391"/>
      <c r="CM704" s="391"/>
      <c r="CN704" s="391"/>
      <c r="CO704" s="391"/>
      <c r="CP704" s="391"/>
      <c r="CR704" s="391"/>
      <c r="CS704" s="391"/>
      <c r="CX704" s="391"/>
      <c r="DA704" s="391"/>
      <c r="DB704" s="391"/>
      <c r="DC704" s="391"/>
      <c r="DD704" s="391"/>
      <c r="DE704" s="391"/>
      <c r="DF704" s="391"/>
      <c r="DG704" s="391"/>
      <c r="DH704" s="391"/>
      <c r="DI704" s="391"/>
      <c r="DJ704" s="391"/>
      <c r="DK704" s="391"/>
      <c r="DL704" s="391"/>
      <c r="DM704" s="391"/>
      <c r="DN704" s="391"/>
      <c r="DO704" s="391"/>
      <c r="DP704" s="391"/>
      <c r="DQ704" s="391"/>
      <c r="DR704" s="391"/>
      <c r="DS704" s="391"/>
      <c r="DT704" s="391"/>
      <c r="DU704" s="391"/>
      <c r="DV704" s="391"/>
      <c r="DW704" s="391"/>
      <c r="DX704" s="391"/>
      <c r="DY704" s="391"/>
      <c r="DZ704" s="391"/>
      <c r="EA704" s="391"/>
      <c r="EB704" s="391"/>
      <c r="EC704" s="391"/>
      <c r="ED704" s="391"/>
      <c r="EE704" s="391"/>
      <c r="EF704" s="391"/>
      <c r="EG704" s="391"/>
      <c r="EH704" s="391"/>
      <c r="EI704" s="391"/>
      <c r="EJ704" s="391"/>
      <c r="EK704" s="391"/>
      <c r="EL704" s="391"/>
      <c r="EM704" s="391"/>
      <c r="EN704" s="391"/>
      <c r="EO704" s="391"/>
      <c r="EP704" s="391"/>
      <c r="EQ704" s="391"/>
      <c r="ER704" s="391"/>
      <c r="ES704" s="391"/>
      <c r="ET704" s="391"/>
      <c r="EU704" s="391"/>
      <c r="EV704" s="391"/>
      <c r="EW704" s="391"/>
    </row>
    <row r="705" spans="1:153" s="400" customFormat="1">
      <c r="A705" s="391"/>
      <c r="E705" s="454"/>
      <c r="F705" s="454"/>
      <c r="G705" s="454"/>
      <c r="H705" s="454"/>
      <c r="I705" s="454"/>
      <c r="J705" s="404"/>
      <c r="K705" s="454"/>
      <c r="L705" s="454"/>
      <c r="M705" s="391"/>
      <c r="N705" s="391"/>
      <c r="O705" s="391"/>
      <c r="P705" s="391"/>
      <c r="Q705" s="391"/>
      <c r="R705" s="391"/>
      <c r="S705" s="391"/>
      <c r="T705" s="391"/>
      <c r="U705" s="391"/>
      <c r="V705" s="391"/>
      <c r="W705" s="391"/>
      <c r="X705" s="391"/>
      <c r="Y705" s="391"/>
      <c r="Z705" s="391"/>
      <c r="AA705" s="391"/>
      <c r="AB705" s="391"/>
      <c r="AC705" s="391"/>
      <c r="AD705" s="391"/>
      <c r="AE705" s="391"/>
      <c r="AF705" s="391"/>
      <c r="AG705" s="391"/>
      <c r="AH705" s="391"/>
      <c r="AI705" s="391"/>
      <c r="AJ705" s="391"/>
      <c r="AK705" s="391"/>
      <c r="AL705" s="391"/>
      <c r="AM705" s="391"/>
      <c r="AN705" s="391"/>
      <c r="AO705" s="391"/>
      <c r="AP705" s="391"/>
      <c r="AQ705" s="391"/>
      <c r="AR705" s="391"/>
      <c r="AS705" s="454"/>
      <c r="AT705" s="391"/>
      <c r="AU705" s="391"/>
      <c r="AV705" s="391"/>
      <c r="AW705" s="391"/>
      <c r="AX705" s="649"/>
      <c r="AY705" s="593"/>
      <c r="AZ705" s="391"/>
      <c r="BA705" s="391"/>
      <c r="BB705" s="651"/>
      <c r="BC705" s="651"/>
      <c r="BH705" s="594"/>
      <c r="BI705" s="594"/>
      <c r="BJ705" s="595"/>
      <c r="BK705" s="391"/>
      <c r="BL705" s="391"/>
      <c r="BM705" s="391"/>
      <c r="BN705" s="391"/>
      <c r="BO705" s="391"/>
      <c r="BP705" s="391"/>
      <c r="BQ705" s="391"/>
      <c r="BR705" s="391"/>
      <c r="BS705" s="391"/>
      <c r="BT705" s="391"/>
      <c r="BU705" s="391"/>
      <c r="BV705" s="391"/>
      <c r="BW705" s="391"/>
      <c r="BX705" s="391"/>
      <c r="BY705" s="391"/>
      <c r="BZ705" s="391"/>
      <c r="CA705" s="391"/>
      <c r="CB705" s="391"/>
      <c r="CC705" s="391"/>
      <c r="CD705" s="391"/>
      <c r="CE705" s="391"/>
      <c r="CF705" s="391"/>
      <c r="CG705" s="391"/>
      <c r="CH705" s="391"/>
      <c r="CI705" s="391"/>
      <c r="CJ705" s="391"/>
      <c r="CK705" s="391"/>
      <c r="CM705" s="391"/>
      <c r="CN705" s="391"/>
      <c r="CO705" s="391"/>
      <c r="CP705" s="391"/>
      <c r="CR705" s="391"/>
      <c r="CS705" s="391"/>
      <c r="CX705" s="391"/>
      <c r="DA705" s="391"/>
      <c r="DB705" s="391"/>
      <c r="DC705" s="391"/>
      <c r="DD705" s="391"/>
      <c r="DE705" s="391"/>
      <c r="DF705" s="391"/>
      <c r="DG705" s="391"/>
      <c r="DH705" s="391"/>
      <c r="DI705" s="391"/>
      <c r="DJ705" s="391"/>
      <c r="DK705" s="391"/>
      <c r="DL705" s="391"/>
      <c r="DM705" s="391"/>
      <c r="DN705" s="391"/>
      <c r="DO705" s="391"/>
      <c r="DP705" s="391"/>
      <c r="DQ705" s="391"/>
      <c r="DR705" s="391"/>
      <c r="DS705" s="391"/>
      <c r="DT705" s="391"/>
      <c r="DU705" s="391"/>
      <c r="DV705" s="391"/>
      <c r="DW705" s="391"/>
      <c r="DX705" s="391"/>
      <c r="DY705" s="391"/>
      <c r="DZ705" s="391"/>
      <c r="EA705" s="391"/>
      <c r="EB705" s="391"/>
      <c r="EC705" s="391"/>
      <c r="ED705" s="391"/>
      <c r="EE705" s="391"/>
      <c r="EF705" s="391"/>
      <c r="EG705" s="391"/>
      <c r="EH705" s="391"/>
      <c r="EI705" s="391"/>
      <c r="EJ705" s="391"/>
      <c r="EK705" s="391"/>
      <c r="EL705" s="391"/>
      <c r="EM705" s="391"/>
      <c r="EN705" s="391"/>
      <c r="EO705" s="391"/>
      <c r="EP705" s="391"/>
      <c r="EQ705" s="391"/>
      <c r="ER705" s="391"/>
      <c r="ES705" s="391"/>
      <c r="ET705" s="391"/>
      <c r="EU705" s="391"/>
      <c r="EV705" s="391"/>
      <c r="EW705" s="391"/>
    </row>
    <row r="706" spans="1:153" s="400" customFormat="1">
      <c r="A706" s="391"/>
      <c r="E706" s="454"/>
      <c r="F706" s="454"/>
      <c r="G706" s="454"/>
      <c r="H706" s="454"/>
      <c r="I706" s="454"/>
      <c r="J706" s="404"/>
      <c r="K706" s="454"/>
      <c r="L706" s="454"/>
      <c r="M706" s="391"/>
      <c r="N706" s="391"/>
      <c r="O706" s="391"/>
      <c r="P706" s="391"/>
      <c r="Q706" s="391"/>
      <c r="R706" s="391"/>
      <c r="S706" s="391"/>
      <c r="T706" s="391"/>
      <c r="U706" s="391"/>
      <c r="V706" s="391"/>
      <c r="W706" s="391"/>
      <c r="X706" s="391"/>
      <c r="Y706" s="391"/>
      <c r="Z706" s="391"/>
      <c r="AA706" s="391"/>
      <c r="AB706" s="391"/>
      <c r="AC706" s="391"/>
      <c r="AD706" s="391"/>
      <c r="AE706" s="391"/>
      <c r="AF706" s="391"/>
      <c r="AG706" s="391"/>
      <c r="AH706" s="391"/>
      <c r="AI706" s="391"/>
      <c r="AJ706" s="391"/>
      <c r="AK706" s="391"/>
      <c r="AL706" s="391"/>
      <c r="AM706" s="391"/>
      <c r="AN706" s="391"/>
      <c r="AO706" s="391"/>
      <c r="AP706" s="391"/>
      <c r="AQ706" s="391"/>
      <c r="AR706" s="391"/>
      <c r="AS706" s="454"/>
      <c r="AT706" s="391"/>
      <c r="AU706" s="391"/>
      <c r="AV706" s="391"/>
      <c r="AW706" s="391"/>
      <c r="AX706" s="649"/>
      <c r="AY706" s="593"/>
      <c r="AZ706" s="391"/>
      <c r="BA706" s="391"/>
      <c r="BB706" s="651"/>
      <c r="BC706" s="651"/>
      <c r="BH706" s="594"/>
      <c r="BI706" s="594"/>
      <c r="BJ706" s="595"/>
      <c r="BK706" s="391"/>
      <c r="BL706" s="391"/>
      <c r="BM706" s="391"/>
      <c r="BN706" s="391"/>
      <c r="BO706" s="391"/>
      <c r="BP706" s="391"/>
      <c r="BQ706" s="391"/>
      <c r="BR706" s="391"/>
      <c r="BS706" s="391"/>
      <c r="BT706" s="391"/>
      <c r="BU706" s="391"/>
      <c r="BV706" s="391"/>
      <c r="BW706" s="391"/>
      <c r="BX706" s="391"/>
      <c r="BY706" s="391"/>
      <c r="BZ706" s="391"/>
      <c r="CA706" s="391"/>
      <c r="CB706" s="391"/>
      <c r="CC706" s="391"/>
      <c r="CD706" s="391"/>
      <c r="CE706" s="391"/>
      <c r="CF706" s="391"/>
      <c r="CG706" s="391"/>
      <c r="CH706" s="391"/>
      <c r="CI706" s="391"/>
      <c r="CJ706" s="391"/>
      <c r="CK706" s="391"/>
      <c r="CM706" s="391"/>
      <c r="CN706" s="391"/>
      <c r="CO706" s="391"/>
      <c r="CP706" s="391"/>
      <c r="CR706" s="391"/>
      <c r="CS706" s="391"/>
      <c r="CX706" s="391"/>
      <c r="DA706" s="391"/>
      <c r="DB706" s="391"/>
      <c r="DC706" s="391"/>
      <c r="DD706" s="391"/>
      <c r="DE706" s="391"/>
      <c r="DF706" s="391"/>
      <c r="DG706" s="391"/>
      <c r="DH706" s="391"/>
      <c r="DI706" s="391"/>
      <c r="DJ706" s="391"/>
      <c r="DK706" s="391"/>
      <c r="DL706" s="391"/>
      <c r="DM706" s="391"/>
      <c r="DN706" s="391"/>
      <c r="DO706" s="391"/>
      <c r="DP706" s="391"/>
      <c r="DQ706" s="391"/>
      <c r="DR706" s="391"/>
      <c r="DS706" s="391"/>
      <c r="DT706" s="391"/>
      <c r="DU706" s="391"/>
      <c r="DV706" s="391"/>
      <c r="DW706" s="391"/>
      <c r="DX706" s="391"/>
      <c r="DY706" s="391"/>
      <c r="DZ706" s="391"/>
      <c r="EA706" s="391"/>
      <c r="EB706" s="391"/>
      <c r="EC706" s="391"/>
      <c r="ED706" s="391"/>
      <c r="EE706" s="391"/>
      <c r="EF706" s="391"/>
      <c r="EG706" s="391"/>
      <c r="EH706" s="391"/>
      <c r="EI706" s="391"/>
      <c r="EJ706" s="391"/>
      <c r="EK706" s="391"/>
      <c r="EL706" s="391"/>
      <c r="EM706" s="391"/>
      <c r="EN706" s="391"/>
      <c r="EO706" s="391"/>
      <c r="EP706" s="391"/>
      <c r="EQ706" s="391"/>
      <c r="ER706" s="391"/>
      <c r="ES706" s="391"/>
      <c r="ET706" s="391"/>
      <c r="EU706" s="391"/>
      <c r="EV706" s="391"/>
      <c r="EW706" s="391"/>
    </row>
    <row r="707" spans="1:153" s="400" customFormat="1">
      <c r="A707" s="391"/>
      <c r="E707" s="454"/>
      <c r="F707" s="454"/>
      <c r="G707" s="454"/>
      <c r="H707" s="454"/>
      <c r="I707" s="454"/>
      <c r="J707" s="404"/>
      <c r="K707" s="454"/>
      <c r="L707" s="454"/>
      <c r="M707" s="391"/>
      <c r="N707" s="391"/>
      <c r="O707" s="391"/>
      <c r="P707" s="391"/>
      <c r="Q707" s="391"/>
      <c r="R707" s="391"/>
      <c r="S707" s="391"/>
      <c r="T707" s="391"/>
      <c r="U707" s="391"/>
      <c r="V707" s="391"/>
      <c r="W707" s="391"/>
      <c r="X707" s="391"/>
      <c r="Y707" s="391"/>
      <c r="Z707" s="391"/>
      <c r="AA707" s="391"/>
      <c r="AB707" s="391"/>
      <c r="AC707" s="391"/>
      <c r="AD707" s="391"/>
      <c r="AE707" s="391"/>
      <c r="AF707" s="391"/>
      <c r="AG707" s="391"/>
      <c r="AH707" s="391"/>
      <c r="AI707" s="391"/>
      <c r="AJ707" s="391"/>
      <c r="AK707" s="391"/>
      <c r="AL707" s="391"/>
      <c r="AM707" s="391"/>
      <c r="AN707" s="391"/>
      <c r="AO707" s="391"/>
      <c r="AP707" s="391"/>
      <c r="AQ707" s="391"/>
      <c r="AR707" s="391"/>
      <c r="AS707" s="454"/>
      <c r="AT707" s="391"/>
      <c r="AU707" s="391"/>
      <c r="AV707" s="391"/>
      <c r="AW707" s="391"/>
      <c r="AX707" s="649"/>
      <c r="AY707" s="593"/>
      <c r="AZ707" s="391"/>
      <c r="BA707" s="391"/>
      <c r="BB707" s="651"/>
      <c r="BC707" s="651"/>
      <c r="BH707" s="594"/>
      <c r="BI707" s="594"/>
      <c r="BJ707" s="595"/>
      <c r="BK707" s="391"/>
      <c r="BL707" s="391"/>
      <c r="BM707" s="391"/>
      <c r="BN707" s="391"/>
      <c r="BO707" s="391"/>
      <c r="BP707" s="391"/>
      <c r="BQ707" s="391"/>
      <c r="BR707" s="391"/>
      <c r="BS707" s="391"/>
      <c r="BT707" s="391"/>
      <c r="BU707" s="391"/>
      <c r="BV707" s="391"/>
      <c r="BW707" s="391"/>
      <c r="BX707" s="391"/>
      <c r="BY707" s="391"/>
      <c r="BZ707" s="391"/>
      <c r="CA707" s="391"/>
      <c r="CB707" s="391"/>
      <c r="CC707" s="391"/>
      <c r="CD707" s="391"/>
      <c r="CE707" s="391"/>
      <c r="CF707" s="391"/>
      <c r="CG707" s="391"/>
      <c r="CH707" s="391"/>
      <c r="CI707" s="391"/>
      <c r="CJ707" s="391"/>
      <c r="CK707" s="391"/>
      <c r="CM707" s="391"/>
      <c r="CN707" s="391"/>
      <c r="CO707" s="391"/>
      <c r="CP707" s="391"/>
      <c r="CR707" s="391"/>
      <c r="CS707" s="391"/>
      <c r="CX707" s="391"/>
      <c r="DA707" s="391"/>
      <c r="DB707" s="391"/>
      <c r="DC707" s="391"/>
      <c r="DD707" s="391"/>
      <c r="DE707" s="391"/>
      <c r="DF707" s="391"/>
      <c r="DG707" s="391"/>
      <c r="DH707" s="391"/>
      <c r="DI707" s="391"/>
      <c r="DJ707" s="391"/>
      <c r="DK707" s="391"/>
      <c r="DL707" s="391"/>
      <c r="DM707" s="391"/>
      <c r="DN707" s="391"/>
      <c r="DO707" s="391"/>
      <c r="DP707" s="391"/>
      <c r="DQ707" s="391"/>
      <c r="DR707" s="391"/>
      <c r="DS707" s="391"/>
      <c r="DT707" s="391"/>
      <c r="DU707" s="391"/>
      <c r="DV707" s="391"/>
      <c r="DW707" s="391"/>
      <c r="DX707" s="391"/>
      <c r="DY707" s="391"/>
      <c r="DZ707" s="391"/>
      <c r="EA707" s="391"/>
      <c r="EB707" s="391"/>
      <c r="EC707" s="391"/>
      <c r="ED707" s="391"/>
      <c r="EE707" s="391"/>
      <c r="EF707" s="391"/>
      <c r="EG707" s="391"/>
      <c r="EH707" s="391"/>
      <c r="EI707" s="391"/>
      <c r="EJ707" s="391"/>
      <c r="EK707" s="391"/>
      <c r="EL707" s="391"/>
      <c r="EM707" s="391"/>
      <c r="EN707" s="391"/>
      <c r="EO707" s="391"/>
      <c r="EP707" s="391"/>
      <c r="EQ707" s="391"/>
      <c r="ER707" s="391"/>
      <c r="ES707" s="391"/>
      <c r="ET707" s="391"/>
      <c r="EU707" s="391"/>
      <c r="EV707" s="391"/>
      <c r="EW707" s="391"/>
    </row>
    <row r="708" spans="1:153" s="400" customFormat="1">
      <c r="A708" s="391"/>
      <c r="E708" s="454"/>
      <c r="F708" s="454"/>
      <c r="G708" s="454"/>
      <c r="H708" s="454"/>
      <c r="I708" s="454"/>
      <c r="J708" s="404"/>
      <c r="K708" s="454"/>
      <c r="L708" s="454"/>
      <c r="M708" s="391"/>
      <c r="N708" s="391"/>
      <c r="O708" s="391"/>
      <c r="P708" s="391"/>
      <c r="Q708" s="391"/>
      <c r="R708" s="391"/>
      <c r="S708" s="391"/>
      <c r="T708" s="391"/>
      <c r="U708" s="391"/>
      <c r="V708" s="391"/>
      <c r="W708" s="391"/>
      <c r="X708" s="391"/>
      <c r="Y708" s="391"/>
      <c r="Z708" s="391"/>
      <c r="AA708" s="391"/>
      <c r="AB708" s="391"/>
      <c r="AC708" s="391"/>
      <c r="AD708" s="391"/>
      <c r="AE708" s="391"/>
      <c r="AF708" s="391"/>
      <c r="AG708" s="391"/>
      <c r="AH708" s="391"/>
      <c r="AI708" s="391"/>
      <c r="AJ708" s="391"/>
      <c r="AK708" s="391"/>
      <c r="AL708" s="391"/>
      <c r="AM708" s="391"/>
      <c r="AN708" s="391"/>
      <c r="AO708" s="391"/>
      <c r="AP708" s="391"/>
      <c r="AQ708" s="391"/>
      <c r="AR708" s="391"/>
      <c r="AS708" s="454"/>
      <c r="AT708" s="391"/>
      <c r="AU708" s="391"/>
      <c r="AV708" s="391"/>
      <c r="AW708" s="391"/>
      <c r="AX708" s="649"/>
      <c r="AY708" s="593"/>
      <c r="AZ708" s="391"/>
      <c r="BA708" s="391"/>
      <c r="BB708" s="651"/>
      <c r="BC708" s="651"/>
      <c r="BH708" s="594"/>
      <c r="BI708" s="594"/>
      <c r="BJ708" s="595"/>
      <c r="BK708" s="391"/>
      <c r="BL708" s="391"/>
      <c r="BM708" s="391"/>
      <c r="BN708" s="391"/>
      <c r="BO708" s="391"/>
      <c r="BP708" s="391"/>
      <c r="BQ708" s="391"/>
      <c r="BR708" s="391"/>
      <c r="BS708" s="391"/>
      <c r="BT708" s="391"/>
      <c r="BU708" s="391"/>
      <c r="BV708" s="391"/>
      <c r="BW708" s="391"/>
      <c r="BX708" s="391"/>
      <c r="BY708" s="391"/>
      <c r="BZ708" s="391"/>
      <c r="CA708" s="391"/>
      <c r="CB708" s="391"/>
      <c r="CC708" s="391"/>
      <c r="CD708" s="391"/>
      <c r="CE708" s="391"/>
      <c r="CF708" s="391"/>
      <c r="CG708" s="391"/>
      <c r="CH708" s="391"/>
      <c r="CI708" s="391"/>
      <c r="CJ708" s="391"/>
      <c r="CK708" s="391"/>
      <c r="CM708" s="391"/>
      <c r="CN708" s="391"/>
      <c r="CO708" s="391"/>
      <c r="CP708" s="391"/>
      <c r="CR708" s="391"/>
      <c r="CS708" s="391"/>
      <c r="CX708" s="391"/>
      <c r="DA708" s="391"/>
      <c r="DB708" s="391"/>
      <c r="DC708" s="391"/>
      <c r="DD708" s="391"/>
      <c r="DE708" s="391"/>
      <c r="DF708" s="391"/>
      <c r="DG708" s="391"/>
      <c r="DH708" s="391"/>
      <c r="DI708" s="391"/>
      <c r="DJ708" s="391"/>
      <c r="DK708" s="391"/>
      <c r="DL708" s="391"/>
      <c r="DM708" s="391"/>
      <c r="DN708" s="391"/>
      <c r="DO708" s="391"/>
      <c r="DP708" s="391"/>
      <c r="DQ708" s="391"/>
      <c r="DR708" s="391"/>
      <c r="DS708" s="391"/>
      <c r="DT708" s="391"/>
      <c r="DU708" s="391"/>
      <c r="DV708" s="391"/>
      <c r="DW708" s="391"/>
      <c r="DX708" s="391"/>
      <c r="DY708" s="391"/>
      <c r="DZ708" s="391"/>
      <c r="EA708" s="391"/>
      <c r="EB708" s="391"/>
      <c r="EC708" s="391"/>
      <c r="ED708" s="391"/>
      <c r="EE708" s="391"/>
      <c r="EF708" s="391"/>
      <c r="EG708" s="391"/>
      <c r="EH708" s="391"/>
      <c r="EI708" s="391"/>
      <c r="EJ708" s="391"/>
      <c r="EK708" s="391"/>
      <c r="EL708" s="391"/>
      <c r="EM708" s="391"/>
      <c r="EN708" s="391"/>
      <c r="EO708" s="391"/>
      <c r="EP708" s="391"/>
      <c r="EQ708" s="391"/>
      <c r="ER708" s="391"/>
      <c r="ES708" s="391"/>
      <c r="ET708" s="391"/>
      <c r="EU708" s="391"/>
      <c r="EV708" s="391"/>
      <c r="EW708" s="391"/>
    </row>
    <row r="709" spans="1:153" s="400" customFormat="1">
      <c r="A709" s="391"/>
      <c r="E709" s="454"/>
      <c r="F709" s="454"/>
      <c r="G709" s="454"/>
      <c r="H709" s="454"/>
      <c r="I709" s="454"/>
      <c r="J709" s="404"/>
      <c r="K709" s="454"/>
      <c r="L709" s="454"/>
      <c r="M709" s="391"/>
      <c r="N709" s="391"/>
      <c r="O709" s="391"/>
      <c r="P709" s="391"/>
      <c r="Q709" s="391"/>
      <c r="R709" s="391"/>
      <c r="S709" s="391"/>
      <c r="T709" s="391"/>
      <c r="U709" s="391"/>
      <c r="V709" s="391"/>
      <c r="W709" s="391"/>
      <c r="X709" s="391"/>
      <c r="Y709" s="391"/>
      <c r="Z709" s="391"/>
      <c r="AA709" s="391"/>
      <c r="AB709" s="391"/>
      <c r="AC709" s="391"/>
      <c r="AD709" s="391"/>
      <c r="AE709" s="391"/>
      <c r="AF709" s="391"/>
      <c r="AG709" s="391"/>
      <c r="AH709" s="391"/>
      <c r="AI709" s="391"/>
      <c r="AJ709" s="391"/>
      <c r="AK709" s="391"/>
      <c r="AL709" s="391"/>
      <c r="AM709" s="391"/>
      <c r="AN709" s="391"/>
      <c r="AO709" s="391"/>
      <c r="AP709" s="391"/>
      <c r="AQ709" s="391"/>
      <c r="AR709" s="391"/>
      <c r="AS709" s="454"/>
      <c r="AT709" s="391"/>
      <c r="AU709" s="391"/>
      <c r="AV709" s="391"/>
      <c r="AW709" s="391"/>
      <c r="AX709" s="649"/>
      <c r="AY709" s="593"/>
      <c r="AZ709" s="391"/>
      <c r="BA709" s="391"/>
      <c r="BB709" s="651"/>
      <c r="BC709" s="651"/>
      <c r="BH709" s="594"/>
      <c r="BI709" s="594"/>
      <c r="BJ709" s="595"/>
      <c r="BK709" s="391"/>
      <c r="BL709" s="391"/>
      <c r="BM709" s="391"/>
      <c r="BN709" s="391"/>
      <c r="BO709" s="391"/>
      <c r="BP709" s="391"/>
      <c r="BQ709" s="391"/>
      <c r="BR709" s="391"/>
      <c r="BS709" s="391"/>
      <c r="BT709" s="391"/>
      <c r="BU709" s="391"/>
      <c r="BV709" s="391"/>
      <c r="BW709" s="391"/>
      <c r="BX709" s="391"/>
      <c r="BY709" s="391"/>
      <c r="BZ709" s="391"/>
      <c r="CA709" s="391"/>
      <c r="CB709" s="391"/>
      <c r="CC709" s="391"/>
      <c r="CD709" s="391"/>
      <c r="CE709" s="391"/>
      <c r="CF709" s="391"/>
      <c r="CG709" s="391"/>
      <c r="CH709" s="391"/>
      <c r="CI709" s="391"/>
      <c r="CJ709" s="391"/>
      <c r="CK709" s="391"/>
      <c r="CM709" s="391"/>
      <c r="CN709" s="391"/>
      <c r="CO709" s="391"/>
      <c r="CP709" s="391"/>
      <c r="CR709" s="391"/>
      <c r="CS709" s="391"/>
      <c r="CX709" s="391"/>
      <c r="DA709" s="391"/>
      <c r="DB709" s="391"/>
      <c r="DC709" s="391"/>
      <c r="DD709" s="391"/>
      <c r="DE709" s="391"/>
      <c r="DF709" s="391"/>
      <c r="DG709" s="391"/>
      <c r="DH709" s="391"/>
      <c r="DI709" s="391"/>
      <c r="DJ709" s="391"/>
      <c r="DK709" s="391"/>
      <c r="DL709" s="391"/>
      <c r="DM709" s="391"/>
      <c r="DN709" s="391"/>
      <c r="DO709" s="391"/>
      <c r="DP709" s="391"/>
      <c r="DQ709" s="391"/>
      <c r="DR709" s="391"/>
      <c r="DS709" s="391"/>
      <c r="DT709" s="391"/>
      <c r="DU709" s="391"/>
      <c r="DV709" s="391"/>
      <c r="DW709" s="391"/>
      <c r="DX709" s="391"/>
      <c r="DY709" s="391"/>
      <c r="DZ709" s="391"/>
      <c r="EA709" s="391"/>
      <c r="EB709" s="391"/>
      <c r="EC709" s="391"/>
      <c r="ED709" s="391"/>
      <c r="EE709" s="391"/>
      <c r="EF709" s="391"/>
      <c r="EG709" s="391"/>
      <c r="EH709" s="391"/>
      <c r="EI709" s="391"/>
      <c r="EJ709" s="391"/>
      <c r="EK709" s="391"/>
      <c r="EL709" s="391"/>
      <c r="EM709" s="391"/>
      <c r="EN709" s="391"/>
      <c r="EO709" s="391"/>
      <c r="EP709" s="391"/>
      <c r="EQ709" s="391"/>
      <c r="ER709" s="391"/>
      <c r="ES709" s="391"/>
      <c r="ET709" s="391"/>
      <c r="EU709" s="391"/>
      <c r="EV709" s="391"/>
      <c r="EW709" s="391"/>
    </row>
    <row r="710" spans="1:153" s="400" customFormat="1">
      <c r="A710" s="391"/>
      <c r="E710" s="454"/>
      <c r="F710" s="454"/>
      <c r="G710" s="454"/>
      <c r="H710" s="454"/>
      <c r="I710" s="454"/>
      <c r="J710" s="404"/>
      <c r="K710" s="454"/>
      <c r="L710" s="454"/>
      <c r="M710" s="391"/>
      <c r="N710" s="391"/>
      <c r="O710" s="391"/>
      <c r="P710" s="391"/>
      <c r="Q710" s="391"/>
      <c r="R710" s="391"/>
      <c r="S710" s="391"/>
      <c r="T710" s="391"/>
      <c r="U710" s="391"/>
      <c r="V710" s="391"/>
      <c r="W710" s="391"/>
      <c r="X710" s="391"/>
      <c r="Y710" s="391"/>
      <c r="Z710" s="391"/>
      <c r="AA710" s="391"/>
      <c r="AB710" s="391"/>
      <c r="AC710" s="391"/>
      <c r="AD710" s="391"/>
      <c r="AE710" s="391"/>
      <c r="AF710" s="391"/>
      <c r="AG710" s="391"/>
      <c r="AH710" s="391"/>
      <c r="AI710" s="391"/>
      <c r="AJ710" s="391"/>
      <c r="AK710" s="391"/>
      <c r="AL710" s="391"/>
      <c r="AM710" s="391"/>
      <c r="AN710" s="391"/>
      <c r="AO710" s="391"/>
      <c r="AP710" s="391"/>
      <c r="AQ710" s="391"/>
      <c r="AR710" s="391"/>
      <c r="AS710" s="454"/>
      <c r="AT710" s="391"/>
      <c r="AU710" s="391"/>
      <c r="AV710" s="391"/>
      <c r="AW710" s="391"/>
      <c r="AX710" s="649"/>
      <c r="AY710" s="593"/>
      <c r="AZ710" s="391"/>
      <c r="BA710" s="391"/>
      <c r="BB710" s="651"/>
      <c r="BC710" s="651"/>
      <c r="BH710" s="594"/>
      <c r="BI710" s="594"/>
      <c r="BJ710" s="595"/>
      <c r="BK710" s="391"/>
      <c r="BL710" s="391"/>
      <c r="BM710" s="391"/>
      <c r="BN710" s="391"/>
      <c r="BO710" s="391"/>
      <c r="BP710" s="391"/>
      <c r="BQ710" s="391"/>
      <c r="BR710" s="391"/>
      <c r="BS710" s="391"/>
      <c r="BT710" s="391"/>
      <c r="BU710" s="391"/>
      <c r="BV710" s="391"/>
      <c r="BW710" s="391"/>
      <c r="BX710" s="391"/>
      <c r="BY710" s="391"/>
      <c r="BZ710" s="391"/>
      <c r="CA710" s="391"/>
      <c r="CB710" s="391"/>
      <c r="CC710" s="391"/>
      <c r="CD710" s="391"/>
      <c r="CE710" s="391"/>
      <c r="CF710" s="391"/>
      <c r="CG710" s="391"/>
      <c r="CH710" s="391"/>
      <c r="CI710" s="391"/>
      <c r="CJ710" s="391"/>
      <c r="CK710" s="391"/>
      <c r="CM710" s="391"/>
      <c r="CN710" s="391"/>
      <c r="CO710" s="391"/>
      <c r="CP710" s="391"/>
      <c r="CR710" s="391"/>
      <c r="CS710" s="391"/>
      <c r="CX710" s="391"/>
      <c r="DA710" s="391"/>
      <c r="DB710" s="391"/>
      <c r="DC710" s="391"/>
      <c r="DD710" s="391"/>
      <c r="DE710" s="391"/>
      <c r="DF710" s="391"/>
      <c r="DG710" s="391"/>
      <c r="DH710" s="391"/>
      <c r="DI710" s="391"/>
      <c r="DJ710" s="391"/>
      <c r="DK710" s="391"/>
      <c r="DL710" s="391"/>
      <c r="DM710" s="391"/>
      <c r="DN710" s="391"/>
      <c r="DO710" s="391"/>
      <c r="DP710" s="391"/>
      <c r="DQ710" s="391"/>
      <c r="DR710" s="391"/>
      <c r="DS710" s="391"/>
      <c r="DT710" s="391"/>
      <c r="DU710" s="391"/>
      <c r="DV710" s="391"/>
      <c r="DW710" s="391"/>
      <c r="DX710" s="391"/>
      <c r="DY710" s="391"/>
      <c r="DZ710" s="391"/>
      <c r="EA710" s="391"/>
      <c r="EB710" s="391"/>
      <c r="EC710" s="391"/>
      <c r="ED710" s="391"/>
      <c r="EE710" s="391"/>
      <c r="EF710" s="391"/>
      <c r="EG710" s="391"/>
      <c r="EH710" s="391"/>
      <c r="EI710" s="391"/>
      <c r="EJ710" s="391"/>
      <c r="EK710" s="391"/>
      <c r="EL710" s="391"/>
      <c r="EM710" s="391"/>
      <c r="EN710" s="391"/>
      <c r="EO710" s="391"/>
      <c r="EP710" s="391"/>
      <c r="EQ710" s="391"/>
      <c r="ER710" s="391"/>
      <c r="ES710" s="391"/>
      <c r="ET710" s="391"/>
      <c r="EU710" s="391"/>
      <c r="EV710" s="391"/>
      <c r="EW710" s="391"/>
    </row>
    <row r="711" spans="1:153" s="400" customFormat="1">
      <c r="A711" s="391"/>
      <c r="E711" s="454"/>
      <c r="F711" s="454"/>
      <c r="G711" s="454"/>
      <c r="H711" s="454"/>
      <c r="I711" s="454"/>
      <c r="J711" s="404"/>
      <c r="K711" s="454"/>
      <c r="L711" s="454"/>
      <c r="M711" s="391"/>
      <c r="N711" s="391"/>
      <c r="O711" s="391"/>
      <c r="P711" s="391"/>
      <c r="Q711" s="391"/>
      <c r="R711" s="391"/>
      <c r="S711" s="391"/>
      <c r="T711" s="391"/>
      <c r="U711" s="391"/>
      <c r="V711" s="391"/>
      <c r="W711" s="391"/>
      <c r="X711" s="391"/>
      <c r="Y711" s="391"/>
      <c r="Z711" s="391"/>
      <c r="AA711" s="391"/>
      <c r="AB711" s="391"/>
      <c r="AC711" s="391"/>
      <c r="AD711" s="391"/>
      <c r="AE711" s="391"/>
      <c r="AF711" s="391"/>
      <c r="AG711" s="391"/>
      <c r="AH711" s="391"/>
      <c r="AI711" s="391"/>
      <c r="AJ711" s="391"/>
      <c r="AK711" s="391"/>
      <c r="AL711" s="391"/>
      <c r="AM711" s="391"/>
      <c r="AN711" s="391"/>
      <c r="AO711" s="391"/>
      <c r="AP711" s="391"/>
      <c r="AQ711" s="391"/>
      <c r="AR711" s="391"/>
      <c r="AS711" s="454"/>
      <c r="AT711" s="391"/>
      <c r="AU711" s="391"/>
      <c r="AV711" s="391"/>
      <c r="AW711" s="391"/>
      <c r="AX711" s="649"/>
      <c r="AY711" s="593"/>
      <c r="AZ711" s="391"/>
      <c r="BA711" s="391"/>
      <c r="BB711" s="651"/>
      <c r="BC711" s="651"/>
      <c r="BH711" s="594"/>
      <c r="BI711" s="594"/>
      <c r="BJ711" s="595"/>
      <c r="BK711" s="391"/>
      <c r="BL711" s="391"/>
      <c r="BM711" s="391"/>
      <c r="BN711" s="391"/>
      <c r="BO711" s="391"/>
      <c r="BP711" s="391"/>
      <c r="BQ711" s="391"/>
      <c r="BR711" s="391"/>
      <c r="BS711" s="391"/>
      <c r="BT711" s="391"/>
      <c r="BU711" s="391"/>
      <c r="BV711" s="391"/>
      <c r="BW711" s="391"/>
      <c r="BX711" s="391"/>
      <c r="BY711" s="391"/>
      <c r="BZ711" s="391"/>
      <c r="CA711" s="391"/>
      <c r="CB711" s="391"/>
      <c r="CC711" s="391"/>
      <c r="CD711" s="391"/>
      <c r="CE711" s="391"/>
      <c r="CF711" s="391"/>
      <c r="CG711" s="391"/>
      <c r="CH711" s="391"/>
      <c r="CI711" s="391"/>
      <c r="CJ711" s="391"/>
      <c r="CK711" s="391"/>
      <c r="CM711" s="391"/>
      <c r="CN711" s="391"/>
      <c r="CO711" s="391"/>
      <c r="CP711" s="391"/>
      <c r="CR711" s="391"/>
      <c r="CS711" s="391"/>
      <c r="CX711" s="391"/>
      <c r="DA711" s="391"/>
      <c r="DB711" s="391"/>
      <c r="DC711" s="391"/>
      <c r="DD711" s="391"/>
      <c r="DE711" s="391"/>
      <c r="DF711" s="391"/>
      <c r="DG711" s="391"/>
      <c r="DH711" s="391"/>
      <c r="DI711" s="391"/>
      <c r="DJ711" s="391"/>
      <c r="DK711" s="391"/>
      <c r="DL711" s="391"/>
      <c r="DM711" s="391"/>
      <c r="DN711" s="391"/>
      <c r="DO711" s="391"/>
      <c r="DP711" s="391"/>
      <c r="DQ711" s="391"/>
      <c r="DR711" s="391"/>
      <c r="DS711" s="391"/>
      <c r="DT711" s="391"/>
      <c r="DU711" s="391"/>
      <c r="DV711" s="391"/>
      <c r="DW711" s="391"/>
      <c r="DX711" s="391"/>
      <c r="DY711" s="391"/>
      <c r="DZ711" s="391"/>
      <c r="EA711" s="391"/>
      <c r="EB711" s="391"/>
      <c r="EC711" s="391"/>
      <c r="ED711" s="391"/>
      <c r="EE711" s="391"/>
      <c r="EF711" s="391"/>
      <c r="EG711" s="391"/>
      <c r="EH711" s="391"/>
      <c r="EI711" s="391"/>
      <c r="EJ711" s="391"/>
      <c r="EK711" s="391"/>
      <c r="EL711" s="391"/>
      <c r="EM711" s="391"/>
      <c r="EN711" s="391"/>
      <c r="EO711" s="391"/>
      <c r="EP711" s="391"/>
      <c r="EQ711" s="391"/>
      <c r="ER711" s="391"/>
      <c r="ES711" s="391"/>
      <c r="ET711" s="391"/>
      <c r="EU711" s="391"/>
      <c r="EV711" s="391"/>
      <c r="EW711" s="391"/>
    </row>
  </sheetData>
  <dataConsolidate/>
  <mergeCells count="108">
    <mergeCell ref="C315:D315"/>
    <mergeCell ref="C203:D203"/>
    <mergeCell ref="C17:G17"/>
    <mergeCell ref="C140:D140"/>
    <mergeCell ref="M17:O17"/>
    <mergeCell ref="B21:C21"/>
    <mergeCell ref="C134:D134"/>
    <mergeCell ref="C15:G15"/>
    <mergeCell ref="M15:O15"/>
    <mergeCell ref="V5:X6"/>
    <mergeCell ref="AY5:AY7"/>
    <mergeCell ref="AZ5:AZ7"/>
    <mergeCell ref="AL15:AO16"/>
    <mergeCell ref="AP15:AP16"/>
    <mergeCell ref="C16:G16"/>
    <mergeCell ref="M16:O16"/>
    <mergeCell ref="C11:G11"/>
    <mergeCell ref="C12:G12"/>
    <mergeCell ref="AL12:AP12"/>
    <mergeCell ref="C13:G13"/>
    <mergeCell ref="M13:O13"/>
    <mergeCell ref="C14:G14"/>
    <mergeCell ref="M14:O14"/>
    <mergeCell ref="C7:C8"/>
    <mergeCell ref="D7:D8"/>
    <mergeCell ref="U7:U8"/>
    <mergeCell ref="X7:X8"/>
    <mergeCell ref="AJ5:AJ7"/>
    <mergeCell ref="AK5:AK7"/>
    <mergeCell ref="AF5:AF7"/>
    <mergeCell ref="AD5:AD7"/>
    <mergeCell ref="AE5:AE7"/>
    <mergeCell ref="AA5:AA7"/>
    <mergeCell ref="DA5:DA8"/>
    <mergeCell ref="CG6:CH6"/>
    <mergeCell ref="CI6:CJ6"/>
    <mergeCell ref="CQ5:CQ8"/>
    <mergeCell ref="CR5:CR7"/>
    <mergeCell ref="CS5:CT6"/>
    <mergeCell ref="CU5:CU7"/>
    <mergeCell ref="CV5:CV8"/>
    <mergeCell ref="CW5:CW8"/>
    <mergeCell ref="CG5:CJ5"/>
    <mergeCell ref="CK5:CK7"/>
    <mergeCell ref="CL5:CM8"/>
    <mergeCell ref="CN5:CO7"/>
    <mergeCell ref="CP5:CP7"/>
    <mergeCell ref="CN8:CO8"/>
    <mergeCell ref="BK5:BK7"/>
    <mergeCell ref="AV5:AV7"/>
    <mergeCell ref="AW5:AW7"/>
    <mergeCell ref="AX5:AX7"/>
    <mergeCell ref="BB5:BC6"/>
    <mergeCell ref="BD5:BE6"/>
    <mergeCell ref="AL5:AL7"/>
    <mergeCell ref="AM5:AM7"/>
    <mergeCell ref="AN5:AN7"/>
    <mergeCell ref="AS5:AS7"/>
    <mergeCell ref="AT5:AT7"/>
    <mergeCell ref="AU5:AU7"/>
    <mergeCell ref="AB5:AB7"/>
    <mergeCell ref="AC5:AC7"/>
    <mergeCell ref="C10:G10"/>
    <mergeCell ref="CX5:CX8"/>
    <mergeCell ref="CY5:CY8"/>
    <mergeCell ref="CZ5:CZ8"/>
    <mergeCell ref="CE5:CF6"/>
    <mergeCell ref="BU5:BV6"/>
    <mergeCell ref="BW5:BX6"/>
    <mergeCell ref="BY5:BZ6"/>
    <mergeCell ref="CA5:CB6"/>
    <mergeCell ref="CC5:CC7"/>
    <mergeCell ref="CD5:CD8"/>
    <mergeCell ref="BL5:BL7"/>
    <mergeCell ref="BM5:BM7"/>
    <mergeCell ref="BN5:BN7"/>
    <mergeCell ref="BO5:BP6"/>
    <mergeCell ref="BQ5:BR6"/>
    <mergeCell ref="BS5:BT6"/>
    <mergeCell ref="AQ5:AQ7"/>
    <mergeCell ref="AR5:AR7"/>
    <mergeCell ref="AG5:AG7"/>
    <mergeCell ref="AH5:AH7"/>
    <mergeCell ref="AI5:AI7"/>
    <mergeCell ref="DA1:DA4"/>
    <mergeCell ref="E4:CZ4"/>
    <mergeCell ref="A5:A8"/>
    <mergeCell ref="B5:B8"/>
    <mergeCell ref="C5:D6"/>
    <mergeCell ref="E5:G6"/>
    <mergeCell ref="H5:H7"/>
    <mergeCell ref="I5:K6"/>
    <mergeCell ref="Y5:Y7"/>
    <mergeCell ref="Z5:Z7"/>
    <mergeCell ref="L5:L7"/>
    <mergeCell ref="M5:M7"/>
    <mergeCell ref="N5:P6"/>
    <mergeCell ref="Q5:Q7"/>
    <mergeCell ref="R5:R7"/>
    <mergeCell ref="S5:U6"/>
    <mergeCell ref="BA5:BA7"/>
    <mergeCell ref="AP5:AP7"/>
    <mergeCell ref="A1:D4"/>
    <mergeCell ref="E1:CZ3"/>
    <mergeCell ref="AO5:AO7"/>
    <mergeCell ref="BF5:BG6"/>
    <mergeCell ref="BH5:BI6"/>
    <mergeCell ref="BJ5:BJ7"/>
  </mergeCells>
  <conditionalFormatting sqref="F21">
    <cfRule type="cellIs" dxfId="96" priority="73" operator="greaterThan">
      <formula>0.5</formula>
    </cfRule>
  </conditionalFormatting>
  <conditionalFormatting sqref="J21">
    <cfRule type="cellIs" dxfId="95" priority="72" operator="greaterThan">
      <formula>0.5</formula>
    </cfRule>
  </conditionalFormatting>
  <conditionalFormatting sqref="AM15:AM16">
    <cfRule type="cellIs" dxfId="94" priority="69" operator="lessThan">
      <formula>5</formula>
    </cfRule>
  </conditionalFormatting>
  <conditionalFormatting sqref="AO15:AO16">
    <cfRule type="cellIs" dxfId="93" priority="68" operator="lessThan">
      <formula>10</formula>
    </cfRule>
  </conditionalFormatting>
  <conditionalFormatting sqref="AQ9:AQ1048576 BT281:BT1048576">
    <cfRule type="cellIs" dxfId="92" priority="12" operator="greaterThan">
      <formula>10</formula>
    </cfRule>
  </conditionalFormatting>
  <conditionalFormatting sqref="AX9:AX156 DB21:DB279 AX158:AX235 AX238:AX324 DB281:DB507 AX327:AX332 AX359:AX1048576">
    <cfRule type="cellIs" dxfId="91" priority="78" operator="greaterThan">
      <formula>120</formula>
    </cfRule>
  </conditionalFormatting>
  <conditionalFormatting sqref="BC61:BE61 BC65:BE65 BD67:BE67 BD70:BE70 BC73:BE73 BD76:BE76 BC134:BE134 BC136:BE136 BC138:BE138 BC140:BE140 BC142:BE142 BD150:BE150 BC161:BE161 BB165:BE165 BD203:BE203 BC228:BE228 BC235:BE235 BC265 BC305 BC315:BE315 BD327:BE327 BD333:BE333 BG507:BG700 BF701:BG1048576">
    <cfRule type="cellIs" dxfId="90" priority="65" operator="greaterThan">
      <formula>4</formula>
    </cfRule>
  </conditionalFormatting>
  <conditionalFormatting sqref="BC147:BE147">
    <cfRule type="cellIs" dxfId="89" priority="60" operator="greaterThan">
      <formula>4</formula>
    </cfRule>
  </conditionalFormatting>
  <conditionalFormatting sqref="BD22:BE60 BD62:BE64 BD66:BE66 BD68:BE69 BD71:BE72 BD74:BE75 BD77:BE133 BD137:BE137 BD139:BE139 BD143:BE146 BD151:BE152 BD154:BE156 BD158:BE160 BD166:BE202 BD204:BE227 BD229:BE234 BD309:BE312 BD314:BE314">
    <cfRule type="cellIs" dxfId="88" priority="66" operator="lessThan">
      <formula>0.75</formula>
    </cfRule>
  </conditionalFormatting>
  <conditionalFormatting sqref="BD135:BE135">
    <cfRule type="cellIs" dxfId="87" priority="57" operator="lessThan">
      <formula>0.75</formula>
    </cfRule>
  </conditionalFormatting>
  <conditionalFormatting sqref="BD141:BE141">
    <cfRule type="cellIs" dxfId="86" priority="54" operator="lessThan">
      <formula>0.75</formula>
    </cfRule>
  </conditionalFormatting>
  <conditionalFormatting sqref="BD148:BE149">
    <cfRule type="cellIs" dxfId="85" priority="44" operator="lessThan">
      <formula>0.75</formula>
    </cfRule>
  </conditionalFormatting>
  <conditionalFormatting sqref="BD157:BE157">
    <cfRule type="cellIs" dxfId="84" priority="10" operator="greaterThan">
      <formula>4</formula>
    </cfRule>
  </conditionalFormatting>
  <conditionalFormatting sqref="BD162:BE164">
    <cfRule type="cellIs" dxfId="83" priority="61" operator="lessThan">
      <formula>0.75</formula>
    </cfRule>
  </conditionalFormatting>
  <conditionalFormatting sqref="BD236:BE239">
    <cfRule type="cellIs" dxfId="82" priority="32" operator="lessThan">
      <formula>0.75</formula>
    </cfRule>
  </conditionalFormatting>
  <conditionalFormatting sqref="BD306:BE307">
    <cfRule type="cellIs" dxfId="81" priority="26" operator="lessThan">
      <formula>0.75</formula>
    </cfRule>
  </conditionalFormatting>
  <conditionalFormatting sqref="BD316:BE326">
    <cfRule type="cellIs" dxfId="80" priority="23" operator="lessThan">
      <formula>0.75</formula>
    </cfRule>
  </conditionalFormatting>
  <conditionalFormatting sqref="BD328:BE506">
    <cfRule type="cellIs" dxfId="79" priority="11" operator="lessThan">
      <formula>0.75</formula>
    </cfRule>
  </conditionalFormatting>
  <conditionalFormatting sqref="BD701:BE1048576">
    <cfRule type="cellIs" dxfId="78" priority="76" operator="lessThan">
      <formula>0.6</formula>
    </cfRule>
  </conditionalFormatting>
  <conditionalFormatting sqref="BD5:BG8">
    <cfRule type="cellIs" dxfId="77" priority="67" operator="lessThan">
      <formula>0.6</formula>
    </cfRule>
  </conditionalFormatting>
  <conditionalFormatting sqref="BF22:BG279">
    <cfRule type="cellIs" dxfId="76" priority="31" operator="greaterThan">
      <formula>4</formula>
    </cfRule>
  </conditionalFormatting>
  <conditionalFormatting sqref="BF281:BG506">
    <cfRule type="cellIs" dxfId="75" priority="1" operator="greaterThan">
      <formula>4</formula>
    </cfRule>
  </conditionalFormatting>
  <conditionalFormatting sqref="BG9:BG20">
    <cfRule type="cellIs" dxfId="74" priority="79" operator="greaterThan">
      <formula>4</formula>
    </cfRule>
  </conditionalFormatting>
  <conditionalFormatting sqref="BJ1:BJ4 BJ9:BJ1048576">
    <cfRule type="cellIs" dxfId="73" priority="3" operator="greaterThan">
      <formula>0.7</formula>
    </cfRule>
  </conditionalFormatting>
  <conditionalFormatting sqref="BJ1:BJ1048576">
    <cfRule type="cellIs" dxfId="72" priority="2" operator="lessThan">
      <formula>0</formula>
    </cfRule>
  </conditionalFormatting>
  <conditionalFormatting sqref="BJ9:BJ1048576 BJ1:BJ4">
    <cfRule type="cellIs" dxfId="71" priority="5" operator="greaterThan">
      <formula>"0.7"</formula>
    </cfRule>
  </conditionalFormatting>
  <conditionalFormatting sqref="BJ22:BJ279 CK238:CK279">
    <cfRule type="cellIs" dxfId="70" priority="38" operator="greaterThan">
      <formula>#REF!</formula>
    </cfRule>
    <cfRule type="cellIs" dxfId="69" priority="40" operator="greaterThan">
      <formula>"0.75"</formula>
    </cfRule>
  </conditionalFormatting>
  <conditionalFormatting sqref="BJ135:BJ342">
    <cfRule type="cellIs" dxfId="68" priority="4" operator="greaterThan">
      <formula>0.7</formula>
    </cfRule>
  </conditionalFormatting>
  <conditionalFormatting sqref="BJ281:BJ313">
    <cfRule type="cellIs" dxfId="67" priority="29" operator="greaterThan">
      <formula>#REF!</formula>
    </cfRule>
    <cfRule type="cellIs" dxfId="66" priority="30" operator="greaterThan">
      <formula>"0.75"</formula>
    </cfRule>
  </conditionalFormatting>
  <conditionalFormatting sqref="BJ315:BJ586 CK281:CK586">
    <cfRule type="cellIs" dxfId="65" priority="17" operator="greaterThan">
      <formula>#REF!</formula>
    </cfRule>
  </conditionalFormatting>
  <conditionalFormatting sqref="BL9:BL20">
    <cfRule type="cellIs" dxfId="64" priority="77" operator="greaterThan">
      <formula>15</formula>
    </cfRule>
  </conditionalFormatting>
  <conditionalFormatting sqref="BL22:BL279">
    <cfRule type="cellIs" dxfId="63" priority="35" operator="greaterThan">
      <formula>15</formula>
    </cfRule>
  </conditionalFormatting>
  <conditionalFormatting sqref="BL281:BL1048576">
    <cfRule type="cellIs" dxfId="62" priority="14" operator="greaterThan">
      <formula>15</formula>
    </cfRule>
  </conditionalFormatting>
  <conditionalFormatting sqref="BN22:BN279">
    <cfRule type="cellIs" dxfId="61" priority="43" stopIfTrue="1" operator="greaterThan">
      <formula>5</formula>
    </cfRule>
  </conditionalFormatting>
  <conditionalFormatting sqref="BN281:BN586">
    <cfRule type="cellIs" dxfId="60" priority="22" stopIfTrue="1" operator="greaterThan">
      <formula>5</formula>
    </cfRule>
  </conditionalFormatting>
  <conditionalFormatting sqref="BO22:BO160">
    <cfRule type="cellIs" dxfId="59" priority="50" operator="greaterThan">
      <formula>#REF!</formula>
    </cfRule>
  </conditionalFormatting>
  <conditionalFormatting sqref="BO162:BO279">
    <cfRule type="cellIs" dxfId="58" priority="39" operator="greaterThan">
      <formula>#REF!</formula>
    </cfRule>
  </conditionalFormatting>
  <conditionalFormatting sqref="BO281:BO586">
    <cfRule type="cellIs" dxfId="57" priority="18" operator="greaterThan">
      <formula>#REF!</formula>
    </cfRule>
  </conditionalFormatting>
  <conditionalFormatting sqref="BP5:BP6 BP9:BP20">
    <cfRule type="cellIs" dxfId="56" priority="81" operator="greaterThan">
      <formula>1</formula>
    </cfRule>
    <cfRule type="cellIs" dxfId="55" priority="84" operator="greaterThan">
      <formula>1</formula>
    </cfRule>
  </conditionalFormatting>
  <conditionalFormatting sqref="BP22:BP160">
    <cfRule type="cellIs" dxfId="54" priority="48" operator="greaterThan">
      <formula>1</formula>
    </cfRule>
    <cfRule type="cellIs" dxfId="53" priority="52" operator="greaterThan">
      <formula>1</formula>
    </cfRule>
  </conditionalFormatting>
  <conditionalFormatting sqref="BP162:BP279">
    <cfRule type="cellIs" dxfId="52" priority="37" operator="greaterThan">
      <formula>1</formula>
    </cfRule>
    <cfRule type="cellIs" dxfId="51" priority="41" operator="greaterThan">
      <formula>1</formula>
    </cfRule>
  </conditionalFormatting>
  <conditionalFormatting sqref="BP281:BP1048576">
    <cfRule type="cellIs" dxfId="50" priority="16" operator="greaterThan">
      <formula>1</formula>
    </cfRule>
    <cfRule type="cellIs" dxfId="49" priority="20" operator="greaterThan">
      <formula>1</formula>
    </cfRule>
  </conditionalFormatting>
  <conditionalFormatting sqref="BS22:BS60 BS62:BS64 BS66:BS133 BS137 BS139 BS143:BS146 BS151:BS152 BS154:BS155 BS158:BS160 BS166:BS202 BS204:BS227 BS229:BS234 BS241:BS264 BS266:BS279 BS281:BS304 BS328:BS335 BS628:BS1048576">
    <cfRule type="cellIs" dxfId="48" priority="71" operator="greaterThan">
      <formula>5</formula>
    </cfRule>
    <cfRule type="cellIs" dxfId="47" priority="80" operator="lessThan">
      <formula>0.45</formula>
    </cfRule>
  </conditionalFormatting>
  <conditionalFormatting sqref="BS135">
    <cfRule type="cellIs" dxfId="46" priority="58" operator="greaterThan">
      <formula>5</formula>
    </cfRule>
    <cfRule type="cellIs" dxfId="45" priority="59" operator="lessThan">
      <formula>0.45</formula>
    </cfRule>
  </conditionalFormatting>
  <conditionalFormatting sqref="BS141">
    <cfRule type="cellIs" dxfId="44" priority="55" operator="greaterThan">
      <formula>5</formula>
    </cfRule>
    <cfRule type="cellIs" dxfId="43" priority="56" operator="lessThan">
      <formula>0.45</formula>
    </cfRule>
  </conditionalFormatting>
  <conditionalFormatting sqref="BS147">
    <cfRule type="cellIs" dxfId="42" priority="9" operator="greaterThan">
      <formula>10</formula>
    </cfRule>
  </conditionalFormatting>
  <conditionalFormatting sqref="BS148:BS149">
    <cfRule type="cellIs" dxfId="41" priority="46" operator="greaterThan">
      <formula>5</formula>
    </cfRule>
    <cfRule type="cellIs" dxfId="40" priority="47" operator="lessThan">
      <formula>0.45</formula>
    </cfRule>
  </conditionalFormatting>
  <conditionalFormatting sqref="BS150">
    <cfRule type="cellIs" dxfId="39" priority="8" operator="greaterThan">
      <formula>10</formula>
    </cfRule>
  </conditionalFormatting>
  <conditionalFormatting sqref="BS157">
    <cfRule type="cellIs" dxfId="38" priority="7" operator="greaterThan">
      <formula>10</formula>
    </cfRule>
  </conditionalFormatting>
  <conditionalFormatting sqref="BS162:BS164">
    <cfRule type="cellIs" dxfId="37" priority="62" operator="greaterThan">
      <formula>5</formula>
    </cfRule>
    <cfRule type="cellIs" dxfId="36" priority="63" operator="lessThan">
      <formula>0.45</formula>
    </cfRule>
  </conditionalFormatting>
  <conditionalFormatting sqref="BS236:BS239">
    <cfRule type="cellIs" dxfId="35" priority="34" operator="greaterThan">
      <formula>5</formula>
    </cfRule>
    <cfRule type="cellIs" dxfId="34" priority="36" operator="lessThan">
      <formula>0.45</formula>
    </cfRule>
  </conditionalFormatting>
  <conditionalFormatting sqref="BS240">
    <cfRule type="cellIs" dxfId="33" priority="6" operator="greaterThan">
      <formula>10</formula>
    </cfRule>
  </conditionalFormatting>
  <conditionalFormatting sqref="BS306:BS314">
    <cfRule type="cellIs" dxfId="32" priority="27" operator="greaterThan">
      <formula>5</formula>
    </cfRule>
    <cfRule type="cellIs" dxfId="31" priority="28" operator="lessThan">
      <formula>0.45</formula>
    </cfRule>
  </conditionalFormatting>
  <conditionalFormatting sqref="BS316:BS326">
    <cfRule type="cellIs" dxfId="30" priority="24" operator="greaterThan">
      <formula>5</formula>
    </cfRule>
    <cfRule type="cellIs" dxfId="29" priority="25" operator="lessThan">
      <formula>0.45</formula>
    </cfRule>
  </conditionalFormatting>
  <conditionalFormatting sqref="BS338:BS586">
    <cfRule type="cellIs" dxfId="28" priority="13" operator="greaterThan">
      <formula>5</formula>
    </cfRule>
    <cfRule type="cellIs" dxfId="27" priority="15" operator="lessThan">
      <formula>0.45</formula>
    </cfRule>
  </conditionalFormatting>
  <conditionalFormatting sqref="BT9:BT20 BQ61:BS61 BS65 BS134 BS136 BS138 BS140 BS142 BR153:BS153 BO161:BS161 BT166:BT202 BS228 BR235:BS235 BR265:BS265 BS305 BQ315:BS315 BR327:BS327 BR333:BS333">
    <cfRule type="cellIs" dxfId="26" priority="70" operator="greaterThan">
      <formula>10</formula>
    </cfRule>
  </conditionalFormatting>
  <conditionalFormatting sqref="BT22:BT164">
    <cfRule type="cellIs" dxfId="25" priority="45" operator="greaterThan">
      <formula>10</formula>
    </cfRule>
  </conditionalFormatting>
  <conditionalFormatting sqref="BT204:BT279">
    <cfRule type="cellIs" dxfId="24" priority="33" operator="greaterThan">
      <formula>10</formula>
    </cfRule>
  </conditionalFormatting>
  <conditionalFormatting sqref="CK21">
    <cfRule type="cellIs" dxfId="23" priority="74" operator="greaterThan">
      <formula>"0.75"</formula>
    </cfRule>
    <cfRule type="cellIs" dxfId="22" priority="75" stopIfTrue="1" operator="greaterThan">
      <formula>0.75</formula>
    </cfRule>
  </conditionalFormatting>
  <conditionalFormatting sqref="CK21:CK134">
    <cfRule type="cellIs" dxfId="21" priority="82" operator="greaterThan">
      <formula>#REF!</formula>
    </cfRule>
  </conditionalFormatting>
  <conditionalFormatting sqref="CK22:CK134 CK164:CK237">
    <cfRule type="cellIs" dxfId="20" priority="83" operator="greaterThan">
      <formula>"0.75"</formula>
    </cfRule>
    <cfRule type="cellIs" dxfId="19" priority="85" stopIfTrue="1" operator="greaterThan">
      <formula>0.75</formula>
    </cfRule>
  </conditionalFormatting>
  <conditionalFormatting sqref="CK135:CK164">
    <cfRule type="cellIs" dxfId="18" priority="49" operator="greaterThan">
      <formula>#REF!</formula>
    </cfRule>
    <cfRule type="cellIs" dxfId="17" priority="51" operator="greaterThan">
      <formula>"0.75"</formula>
    </cfRule>
    <cfRule type="cellIs" dxfId="16" priority="53" stopIfTrue="1" operator="greaterThan">
      <formula>0.75</formula>
    </cfRule>
  </conditionalFormatting>
  <conditionalFormatting sqref="CK164:CK237">
    <cfRule type="cellIs" dxfId="15" priority="64" operator="greaterThan">
      <formula>#REF!</formula>
    </cfRule>
  </conditionalFormatting>
  <conditionalFormatting sqref="CK238:CK279">
    <cfRule type="cellIs" dxfId="14" priority="42" stopIfTrue="1" operator="greaterThan">
      <formula>0.75</formula>
    </cfRule>
  </conditionalFormatting>
  <conditionalFormatting sqref="CK281:CK586 BJ315:BJ586">
    <cfRule type="cellIs" dxfId="13" priority="19" operator="greaterThan">
      <formula>"0.75"</formula>
    </cfRule>
  </conditionalFormatting>
  <conditionalFormatting sqref="CK281:CK586">
    <cfRule type="cellIs" dxfId="12" priority="21" stopIfTrue="1" operator="greaterThan">
      <formula>0.75</formula>
    </cfRule>
  </conditionalFormatting>
  <dataValidations count="2">
    <dataValidation allowBlank="1" showErrorMessage="1" prompt="_x000a_" sqref="F554:F559" xr:uid="{00000000-0002-0000-1F00-000000000000}"/>
    <dataValidation type="decimal" operator="greaterThanOrEqual" allowBlank="1" showInputMessage="1" showErrorMessage="1" sqref="E569:E571 E519 E573:E575 E521 E513:E515 E564:E567 I22:J279 E22:F279 I281:J586 E281:F506" xr:uid="{00000000-0002-0000-1F00-000001000000}">
      <formula1>0</formula1>
    </dataValidation>
  </dataValidations>
  <printOptions horizontalCentered="1"/>
  <pageMargins left="0.19685039370078741" right="0.19685039370078741" top="0.59055118110236227" bottom="0.39370078740157483" header="0.47244094488188981" footer="0.59055118110236227"/>
  <pageSetup paperSize="189" scale="15" orientation="portrait" r:id="rId1"/>
  <headerFooter alignWithMargins="0">
    <oddFooter>&amp;C&amp;P de &amp;N</oddFooter>
  </headerFooter>
  <colBreaks count="1" manualBreakCount="1">
    <brk id="20" max="137" man="1"/>
  </colBreaks>
  <drawing r:id="rId2"/>
  <legacy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00B0F0"/>
  </sheetPr>
  <dimension ref="B1:H41"/>
  <sheetViews>
    <sheetView workbookViewId="0"/>
  </sheetViews>
  <sheetFormatPr baseColWidth="10" defaultColWidth="11.42578125" defaultRowHeight="12.75"/>
  <cols>
    <col min="1" max="3" width="11.42578125" style="659"/>
    <col min="4" max="4" width="22.28515625" style="659" customWidth="1"/>
    <col min="5" max="7" width="11.42578125" style="659"/>
    <col min="8" max="8" width="23.7109375" style="659" customWidth="1"/>
    <col min="9" max="16384" width="11.42578125" style="659"/>
  </cols>
  <sheetData>
    <row r="1" spans="2:8" s="824" customFormat="1">
      <c r="D1" s="824" t="s">
        <v>2534</v>
      </c>
      <c r="H1" s="824" t="s">
        <v>2534</v>
      </c>
    </row>
    <row r="2" spans="2:8">
      <c r="B2" s="823">
        <v>117</v>
      </c>
      <c r="C2" s="823" t="s">
        <v>141</v>
      </c>
      <c r="D2" s="822">
        <v>4.7842203599999999</v>
      </c>
      <c r="G2" s="823"/>
      <c r="H2" s="823"/>
    </row>
    <row r="3" spans="2:8">
      <c r="B3" s="823" t="s">
        <v>141</v>
      </c>
      <c r="C3" s="823" t="s">
        <v>2535</v>
      </c>
      <c r="D3" s="822">
        <v>0</v>
      </c>
      <c r="G3" s="823">
        <v>117</v>
      </c>
      <c r="H3" s="823">
        <f t="shared" ref="H3:H10" si="0">+VLOOKUP(G3,$B$2:$D$40,3,FALSE)</f>
        <v>4.7842203599999999</v>
      </c>
    </row>
    <row r="4" spans="2:8">
      <c r="B4" s="823" t="s">
        <v>2535</v>
      </c>
      <c r="C4" s="823" t="s">
        <v>2536</v>
      </c>
      <c r="D4" s="822">
        <v>0.91202098666666664</v>
      </c>
      <c r="G4" s="823" t="s">
        <v>2009</v>
      </c>
      <c r="H4" s="823">
        <f t="shared" si="0"/>
        <v>0.55604104973333335</v>
      </c>
    </row>
    <row r="5" spans="2:8">
      <c r="B5" s="823" t="s">
        <v>2536</v>
      </c>
      <c r="C5" s="823" t="s">
        <v>2537</v>
      </c>
      <c r="D5" s="822">
        <v>0</v>
      </c>
      <c r="G5" s="823" t="s">
        <v>2083</v>
      </c>
      <c r="H5" s="823">
        <f t="shared" si="0"/>
        <v>0.39853666346666655</v>
      </c>
    </row>
    <row r="6" spans="2:8">
      <c r="B6" s="823"/>
      <c r="C6" s="823"/>
      <c r="D6" s="822"/>
      <c r="G6" s="823" t="s">
        <v>2538</v>
      </c>
      <c r="H6" s="823">
        <f t="shared" si="0"/>
        <v>0.78658551999999982</v>
      </c>
    </row>
    <row r="7" spans="2:8">
      <c r="B7" s="823" t="s">
        <v>2539</v>
      </c>
      <c r="C7" s="823" t="s">
        <v>2540</v>
      </c>
      <c r="D7" s="822">
        <v>0.13109758666666665</v>
      </c>
      <c r="G7" s="823" t="s">
        <v>2539</v>
      </c>
      <c r="H7" s="823">
        <f t="shared" si="0"/>
        <v>0.13109758666666665</v>
      </c>
    </row>
    <row r="8" spans="2:8">
      <c r="B8" s="823" t="s">
        <v>2540</v>
      </c>
      <c r="C8" s="823" t="s">
        <v>2541</v>
      </c>
      <c r="D8" s="822">
        <v>0</v>
      </c>
      <c r="G8" s="823" t="s">
        <v>2542</v>
      </c>
      <c r="H8" s="823">
        <f t="shared" si="0"/>
        <v>0</v>
      </c>
    </row>
    <row r="9" spans="2:8">
      <c r="B9" s="823" t="s">
        <v>2541</v>
      </c>
      <c r="C9" s="823" t="s">
        <v>2543</v>
      </c>
      <c r="D9" s="822">
        <v>0.22473871999999995</v>
      </c>
      <c r="G9" s="823" t="s">
        <v>2544</v>
      </c>
      <c r="H9" s="823">
        <f t="shared" si="0"/>
        <v>0.24346694666666663</v>
      </c>
    </row>
    <row r="10" spans="2:8">
      <c r="B10" s="823" t="s">
        <v>2543</v>
      </c>
      <c r="C10" s="823" t="s">
        <v>2545</v>
      </c>
      <c r="D10" s="822">
        <v>0</v>
      </c>
      <c r="G10" s="823" t="s">
        <v>2546</v>
      </c>
      <c r="H10" s="823">
        <f t="shared" si="0"/>
        <v>0</v>
      </c>
    </row>
    <row r="11" spans="2:8">
      <c r="B11" s="823"/>
      <c r="C11" s="823"/>
      <c r="D11" s="822"/>
      <c r="G11" s="823" t="s">
        <v>2547</v>
      </c>
      <c r="H11" s="823"/>
    </row>
    <row r="12" spans="2:8">
      <c r="B12" s="823" t="s">
        <v>2548</v>
      </c>
      <c r="C12" s="823" t="s">
        <v>2549</v>
      </c>
      <c r="D12" s="822">
        <v>1.872822666666666E-2</v>
      </c>
      <c r="G12" s="823" t="s">
        <v>2550</v>
      </c>
      <c r="H12" s="823">
        <f t="shared" ref="H12:H29" si="1">+VLOOKUP(G12,$B$2:$D$40,3,FALSE)</f>
        <v>0.16855403999999996</v>
      </c>
    </row>
    <row r="13" spans="2:8">
      <c r="B13" s="823" t="s">
        <v>2549</v>
      </c>
      <c r="C13" s="823" t="s">
        <v>2551</v>
      </c>
      <c r="D13" s="822">
        <v>5.6184679999999987E-2</v>
      </c>
      <c r="G13" s="823" t="s">
        <v>2552</v>
      </c>
      <c r="H13" s="823">
        <f t="shared" si="1"/>
        <v>0</v>
      </c>
    </row>
    <row r="14" spans="2:8">
      <c r="B14" s="823" t="s">
        <v>2551</v>
      </c>
      <c r="C14" s="823" t="s">
        <v>2553</v>
      </c>
      <c r="D14" s="822">
        <v>0</v>
      </c>
      <c r="G14" s="823" t="s">
        <v>2554</v>
      </c>
      <c r="H14" s="823">
        <f t="shared" si="1"/>
        <v>0.502852886</v>
      </c>
    </row>
    <row r="15" spans="2:8">
      <c r="B15" s="823" t="s">
        <v>2553</v>
      </c>
      <c r="C15" s="823" t="s">
        <v>2545</v>
      </c>
      <c r="D15" s="822">
        <v>9.3641133333333348E-2</v>
      </c>
      <c r="G15" s="823" t="s">
        <v>2555</v>
      </c>
      <c r="H15" s="823">
        <f t="shared" si="1"/>
        <v>0.13109758666666665</v>
      </c>
    </row>
    <row r="16" spans="2:8">
      <c r="B16" s="823" t="s">
        <v>2545</v>
      </c>
      <c r="C16" s="823" t="s">
        <v>2556</v>
      </c>
      <c r="D16" s="822">
        <v>0</v>
      </c>
      <c r="G16" s="823" t="s">
        <v>2557</v>
      </c>
      <c r="H16" s="823">
        <f t="shared" si="1"/>
        <v>0</v>
      </c>
    </row>
    <row r="17" spans="2:8">
      <c r="B17" s="823" t="s">
        <v>2556</v>
      </c>
      <c r="C17" s="823" t="s">
        <v>2558</v>
      </c>
      <c r="D17" s="822">
        <v>0</v>
      </c>
      <c r="G17" s="823" t="s">
        <v>2559</v>
      </c>
      <c r="H17" s="823">
        <f t="shared" si="1"/>
        <v>0</v>
      </c>
    </row>
    <row r="18" spans="2:8">
      <c r="B18" s="823" t="s">
        <v>2558</v>
      </c>
      <c r="C18" s="823" t="s">
        <v>2537</v>
      </c>
      <c r="D18" s="822">
        <v>0</v>
      </c>
      <c r="G18" s="823" t="s">
        <v>2560</v>
      </c>
      <c r="H18" s="823">
        <f t="shared" si="1"/>
        <v>0.46015252919999999</v>
      </c>
    </row>
    <row r="19" spans="2:8">
      <c r="B19" s="823" t="s">
        <v>2537</v>
      </c>
      <c r="C19" s="823" t="s">
        <v>2561</v>
      </c>
      <c r="D19" s="822">
        <v>0</v>
      </c>
      <c r="G19" s="823" t="s">
        <v>2562</v>
      </c>
      <c r="H19" s="823">
        <f t="shared" si="1"/>
        <v>0.52439034666666662</v>
      </c>
    </row>
    <row r="20" spans="2:8">
      <c r="B20" s="823" t="s">
        <v>2561</v>
      </c>
      <c r="C20" s="823" t="s">
        <v>2563</v>
      </c>
      <c r="D20" s="822">
        <v>0</v>
      </c>
      <c r="G20" s="823" t="s">
        <v>2548</v>
      </c>
      <c r="H20" s="823">
        <f t="shared" si="1"/>
        <v>1.872822666666666E-2</v>
      </c>
    </row>
    <row r="21" spans="2:8">
      <c r="B21" s="823" t="s">
        <v>2563</v>
      </c>
      <c r="C21" s="823" t="s">
        <v>2564</v>
      </c>
      <c r="D21" s="822">
        <v>0</v>
      </c>
      <c r="G21" s="823" t="s">
        <v>2549</v>
      </c>
      <c r="H21" s="823">
        <f t="shared" si="1"/>
        <v>5.6184679999999987E-2</v>
      </c>
    </row>
    <row r="22" spans="2:8">
      <c r="B22" s="823" t="s">
        <v>2564</v>
      </c>
      <c r="C22" s="823" t="s">
        <v>2542</v>
      </c>
      <c r="D22" s="822">
        <v>0</v>
      </c>
      <c r="G22" s="823" t="s">
        <v>2551</v>
      </c>
      <c r="H22" s="823">
        <f t="shared" si="1"/>
        <v>0</v>
      </c>
    </row>
    <row r="23" spans="2:8">
      <c r="B23" s="823" t="s">
        <v>2542</v>
      </c>
      <c r="C23" s="823" t="s">
        <v>2546</v>
      </c>
      <c r="D23" s="822">
        <v>0</v>
      </c>
      <c r="G23" s="823" t="s">
        <v>2553</v>
      </c>
      <c r="H23" s="823">
        <f t="shared" si="1"/>
        <v>9.3641133333333348E-2</v>
      </c>
    </row>
    <row r="24" spans="2:8">
      <c r="B24" s="823" t="s">
        <v>2546</v>
      </c>
      <c r="C24" s="823" t="s">
        <v>2547</v>
      </c>
      <c r="D24" s="822">
        <v>0</v>
      </c>
      <c r="G24" s="823" t="s">
        <v>2541</v>
      </c>
      <c r="H24" s="823">
        <f t="shared" si="1"/>
        <v>0.22473871999999995</v>
      </c>
    </row>
    <row r="25" spans="2:8">
      <c r="B25" s="823" t="s">
        <v>2547</v>
      </c>
      <c r="C25" s="823" t="s">
        <v>2565</v>
      </c>
      <c r="D25" s="822">
        <v>0</v>
      </c>
      <c r="G25" s="823" t="s">
        <v>2540</v>
      </c>
      <c r="H25" s="823">
        <f t="shared" si="1"/>
        <v>0</v>
      </c>
    </row>
    <row r="26" spans="2:8">
      <c r="B26" s="823"/>
      <c r="C26" s="823"/>
      <c r="D26" s="822"/>
      <c r="G26" s="823" t="s">
        <v>2543</v>
      </c>
      <c r="H26" s="823">
        <f t="shared" si="1"/>
        <v>0</v>
      </c>
    </row>
    <row r="27" spans="2:8">
      <c r="B27" s="823" t="s">
        <v>2538</v>
      </c>
      <c r="C27" s="823" t="s">
        <v>2552</v>
      </c>
      <c r="D27" s="822">
        <v>0.78658551999999982</v>
      </c>
      <c r="G27" s="823" t="s">
        <v>2545</v>
      </c>
      <c r="H27" s="823">
        <f t="shared" si="1"/>
        <v>0</v>
      </c>
    </row>
    <row r="28" spans="2:8">
      <c r="B28" s="823" t="s">
        <v>2552</v>
      </c>
      <c r="C28" s="823" t="s">
        <v>2550</v>
      </c>
      <c r="D28" s="822">
        <v>0</v>
      </c>
      <c r="G28" s="823" t="s">
        <v>2556</v>
      </c>
      <c r="H28" s="823">
        <f t="shared" si="1"/>
        <v>0</v>
      </c>
    </row>
    <row r="29" spans="2:8">
      <c r="B29" s="823" t="s">
        <v>2550</v>
      </c>
      <c r="C29" s="823" t="s">
        <v>2566</v>
      </c>
      <c r="D29" s="822">
        <v>0.16855403999999996</v>
      </c>
      <c r="G29" s="823" t="s">
        <v>2558</v>
      </c>
      <c r="H29" s="823">
        <f t="shared" si="1"/>
        <v>0</v>
      </c>
    </row>
    <row r="30" spans="2:8">
      <c r="B30" s="823"/>
      <c r="C30" s="823"/>
      <c r="D30" s="822"/>
      <c r="G30" s="823" t="s">
        <v>2537</v>
      </c>
      <c r="H30" s="823"/>
    </row>
    <row r="31" spans="2:8">
      <c r="B31" s="823" t="s">
        <v>2083</v>
      </c>
      <c r="C31" s="823" t="s">
        <v>2554</v>
      </c>
      <c r="D31" s="822">
        <v>0.39853666346666655</v>
      </c>
      <c r="G31" s="823" t="s">
        <v>2536</v>
      </c>
      <c r="H31" s="823">
        <f t="shared" ref="H31:H36" si="2">+VLOOKUP(G31,$B$2:$D$40,3,FALSE)</f>
        <v>0</v>
      </c>
    </row>
    <row r="32" spans="2:8">
      <c r="B32" s="823"/>
      <c r="C32" s="823"/>
      <c r="D32" s="822"/>
      <c r="G32" s="823" t="s">
        <v>2535</v>
      </c>
      <c r="H32" s="823">
        <f t="shared" si="2"/>
        <v>0.91202098666666664</v>
      </c>
    </row>
    <row r="33" spans="2:8">
      <c r="B33" s="823" t="s">
        <v>2009</v>
      </c>
      <c r="C33" s="823" t="s">
        <v>2554</v>
      </c>
      <c r="D33" s="822">
        <v>0.55604104973333335</v>
      </c>
      <c r="G33" s="823" t="s">
        <v>2561</v>
      </c>
      <c r="H33" s="823">
        <f t="shared" si="2"/>
        <v>0</v>
      </c>
    </row>
    <row r="34" spans="2:8">
      <c r="B34" s="823" t="s">
        <v>2554</v>
      </c>
      <c r="C34" s="823" t="s">
        <v>2555</v>
      </c>
      <c r="D34" s="822">
        <v>0.502852886</v>
      </c>
      <c r="G34" s="823" t="s">
        <v>141</v>
      </c>
      <c r="H34" s="823">
        <f t="shared" si="2"/>
        <v>0</v>
      </c>
    </row>
    <row r="35" spans="2:8">
      <c r="B35" s="823" t="s">
        <v>2555</v>
      </c>
      <c r="C35" s="823" t="s">
        <v>2557</v>
      </c>
      <c r="D35" s="822">
        <v>0.13109758666666665</v>
      </c>
      <c r="G35" s="823" t="s">
        <v>2563</v>
      </c>
      <c r="H35" s="823">
        <f t="shared" si="2"/>
        <v>0</v>
      </c>
    </row>
    <row r="36" spans="2:8">
      <c r="B36" s="823" t="s">
        <v>2557</v>
      </c>
      <c r="C36" s="823" t="s">
        <v>2559</v>
      </c>
      <c r="D36" s="822">
        <v>0</v>
      </c>
      <c r="G36" s="823" t="s">
        <v>2564</v>
      </c>
      <c r="H36" s="823">
        <f t="shared" si="2"/>
        <v>0</v>
      </c>
    </row>
    <row r="37" spans="2:8">
      <c r="B37" s="823" t="s">
        <v>2559</v>
      </c>
      <c r="C37" s="823" t="s">
        <v>2560</v>
      </c>
      <c r="D37" s="822">
        <v>0</v>
      </c>
      <c r="H37" s="823">
        <f>SUM(H3:H36)</f>
        <v>9.9923092617333342</v>
      </c>
    </row>
    <row r="38" spans="2:8">
      <c r="B38" s="823" t="s">
        <v>2560</v>
      </c>
      <c r="C38" s="823" t="s">
        <v>2562</v>
      </c>
      <c r="D38" s="822">
        <v>0.46015252919999999</v>
      </c>
      <c r="G38" s="823"/>
      <c r="H38" s="823"/>
    </row>
    <row r="39" spans="2:8">
      <c r="B39" s="823" t="s">
        <v>2562</v>
      </c>
      <c r="C39" s="823" t="s">
        <v>2544</v>
      </c>
      <c r="D39" s="822">
        <v>0.52439034666666662</v>
      </c>
      <c r="H39" s="823"/>
    </row>
    <row r="40" spans="2:8">
      <c r="B40" s="823" t="s">
        <v>2544</v>
      </c>
      <c r="C40" s="823" t="s">
        <v>2567</v>
      </c>
      <c r="D40" s="822">
        <v>0.24346694666666663</v>
      </c>
    </row>
    <row r="41" spans="2:8">
      <c r="D41" s="821">
        <f>SUM(D2:D40)</f>
        <v>9.9923092617333324</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B0F0"/>
  </sheetPr>
  <dimension ref="B1:P490"/>
  <sheetViews>
    <sheetView workbookViewId="0"/>
  </sheetViews>
  <sheetFormatPr baseColWidth="10" defaultColWidth="11.42578125" defaultRowHeight="12.75"/>
  <cols>
    <col min="1" max="2" width="11.42578125" style="659"/>
    <col min="3" max="3" width="12.5703125" style="659" bestFit="1" customWidth="1"/>
    <col min="4" max="16384" width="11.42578125" style="659"/>
  </cols>
  <sheetData>
    <row r="1" spans="2:16">
      <c r="B1" s="658" t="s">
        <v>2061</v>
      </c>
      <c r="C1" s="658" t="s">
        <v>2062</v>
      </c>
      <c r="D1" s="658" t="s">
        <v>2063</v>
      </c>
      <c r="E1" s="658" t="s">
        <v>2064</v>
      </c>
    </row>
    <row r="2" spans="2:16">
      <c r="B2" s="828" t="s">
        <v>2093</v>
      </c>
      <c r="C2" s="828">
        <v>2242234.4572999999</v>
      </c>
      <c r="D2" s="828">
        <v>4778836.7824999997</v>
      </c>
      <c r="E2" s="829">
        <f t="shared" ref="E2:E65" si="0">+F2-$P$7</f>
        <v>979.75160000000005</v>
      </c>
      <c r="F2" s="825">
        <v>981.72</v>
      </c>
      <c r="H2" s="659">
        <f t="shared" ref="H2:H33" si="1">+VLOOKUP(B2,$J$1:$K$490,2,FALSE)</f>
        <v>981.72</v>
      </c>
      <c r="J2" s="826" t="s">
        <v>2009</v>
      </c>
      <c r="K2" s="825">
        <v>968</v>
      </c>
      <c r="M2" s="655" t="s">
        <v>104</v>
      </c>
      <c r="N2" s="831">
        <v>990.71</v>
      </c>
      <c r="O2" s="659">
        <v>988.68600000000004</v>
      </c>
      <c r="P2" s="832">
        <f>+N2-O2</f>
        <v>2.0240000000000009</v>
      </c>
    </row>
    <row r="3" spans="2:16">
      <c r="B3" s="828" t="s">
        <v>2094</v>
      </c>
      <c r="C3" s="828">
        <v>2242126.3868</v>
      </c>
      <c r="D3" s="828">
        <v>4778763.6303000003</v>
      </c>
      <c r="E3" s="829">
        <f t="shared" si="0"/>
        <v>974.03160000000003</v>
      </c>
      <c r="F3" s="831">
        <v>976</v>
      </c>
      <c r="H3" s="659" t="e">
        <f t="shared" si="1"/>
        <v>#N/A</v>
      </c>
      <c r="J3" s="501"/>
      <c r="K3" s="825"/>
      <c r="M3" s="501" t="s">
        <v>2321</v>
      </c>
      <c r="N3" s="825">
        <v>992.41</v>
      </c>
      <c r="O3" s="659">
        <v>990.30600000000004</v>
      </c>
      <c r="P3" s="832">
        <f>+N3-O3</f>
        <v>2.1039999999999281</v>
      </c>
    </row>
    <row r="4" spans="2:16">
      <c r="B4" s="828" t="s">
        <v>2095</v>
      </c>
      <c r="C4" s="828">
        <v>2242157.7458000001</v>
      </c>
      <c r="D4" s="828">
        <v>4778814.6933000004</v>
      </c>
      <c r="E4" s="829">
        <f t="shared" si="0"/>
        <v>974.61160000000007</v>
      </c>
      <c r="F4" s="659">
        <v>976.58</v>
      </c>
      <c r="H4" s="659">
        <f t="shared" si="1"/>
        <v>976.58</v>
      </c>
      <c r="J4" s="826" t="s">
        <v>2084</v>
      </c>
      <c r="K4" s="825">
        <v>963.28</v>
      </c>
      <c r="M4" s="501" t="s">
        <v>83</v>
      </c>
      <c r="N4" s="825">
        <v>990.51</v>
      </c>
      <c r="O4" s="659">
        <v>988.67200000000003</v>
      </c>
      <c r="P4" s="832">
        <f>+N4-O4</f>
        <v>1.8379999999999654</v>
      </c>
    </row>
    <row r="5" spans="2:16">
      <c r="B5" s="828" t="s">
        <v>2096</v>
      </c>
      <c r="C5" s="828">
        <v>2242216.0088</v>
      </c>
      <c r="D5" s="828">
        <v>4778898.0882999999</v>
      </c>
      <c r="E5" s="829">
        <f t="shared" si="0"/>
        <v>978.63160000000005</v>
      </c>
      <c r="F5" s="831">
        <v>980.6</v>
      </c>
      <c r="H5" s="659">
        <f t="shared" si="1"/>
        <v>980.6</v>
      </c>
      <c r="J5" s="501"/>
      <c r="K5" s="825"/>
      <c r="M5" s="659" t="s">
        <v>103</v>
      </c>
      <c r="N5" s="831">
        <v>989.42</v>
      </c>
      <c r="O5" s="659">
        <v>987.46100000000001</v>
      </c>
      <c r="P5" s="832">
        <f>+N5-O5</f>
        <v>1.9589999999999463</v>
      </c>
    </row>
    <row r="6" spans="2:16">
      <c r="B6" s="828" t="s">
        <v>2097</v>
      </c>
      <c r="C6" s="828">
        <v>2242219.2947999998</v>
      </c>
      <c r="D6" s="828">
        <v>4778941.5223000003</v>
      </c>
      <c r="E6" s="829">
        <f t="shared" si="0"/>
        <v>977.97160000000008</v>
      </c>
      <c r="F6" s="831">
        <v>979.94</v>
      </c>
      <c r="H6" s="659">
        <f t="shared" si="1"/>
        <v>979.94</v>
      </c>
      <c r="J6" s="501"/>
      <c r="K6" s="825"/>
      <c r="M6" s="659" t="s">
        <v>99</v>
      </c>
      <c r="N6" s="831">
        <v>995.55</v>
      </c>
      <c r="O6" s="659">
        <v>993.63300000000004</v>
      </c>
      <c r="P6" s="832">
        <f>+N6-O6</f>
        <v>1.9169999999999163</v>
      </c>
    </row>
    <row r="7" spans="2:16">
      <c r="B7" s="828" t="s">
        <v>2098</v>
      </c>
      <c r="C7" s="828">
        <v>2242217.9537999998</v>
      </c>
      <c r="D7" s="828">
        <v>4779027.1842999998</v>
      </c>
      <c r="E7" s="829">
        <f t="shared" si="0"/>
        <v>976.79160000000002</v>
      </c>
      <c r="F7" s="831">
        <v>978.76</v>
      </c>
      <c r="H7" s="659">
        <f t="shared" si="1"/>
        <v>978.76</v>
      </c>
      <c r="J7" s="501" t="s">
        <v>2153</v>
      </c>
      <c r="K7" s="825">
        <v>976.41</v>
      </c>
      <c r="P7" s="832">
        <f>+AVERAGE(P2:P6)</f>
        <v>1.9683999999999515</v>
      </c>
    </row>
    <row r="8" spans="2:16">
      <c r="B8" s="828" t="s">
        <v>2099</v>
      </c>
      <c r="C8" s="828">
        <v>2242219.6468000002</v>
      </c>
      <c r="D8" s="828">
        <v>4779086.9933000002</v>
      </c>
      <c r="E8" s="829">
        <f t="shared" si="0"/>
        <v>979.52160000000003</v>
      </c>
      <c r="F8" s="825">
        <v>981.49</v>
      </c>
      <c r="H8" s="659">
        <f t="shared" si="1"/>
        <v>981.49</v>
      </c>
      <c r="J8" s="501"/>
      <c r="K8" s="825"/>
    </row>
    <row r="9" spans="2:16">
      <c r="B9" s="828" t="s">
        <v>2100</v>
      </c>
      <c r="C9" s="828">
        <v>2242090.4608</v>
      </c>
      <c r="D9" s="828">
        <v>4779004.1303000003</v>
      </c>
      <c r="E9" s="829">
        <f t="shared" si="0"/>
        <v>975.09159999999997</v>
      </c>
      <c r="F9" s="831">
        <v>977.06</v>
      </c>
      <c r="H9" s="659">
        <f t="shared" si="1"/>
        <v>977.06</v>
      </c>
      <c r="J9" s="501" t="s">
        <v>2149</v>
      </c>
      <c r="K9" s="825">
        <v>984.59</v>
      </c>
    </row>
    <row r="10" spans="2:16">
      <c r="B10" s="828" t="s">
        <v>2101</v>
      </c>
      <c r="C10" s="828">
        <v>2242086.7488000002</v>
      </c>
      <c r="D10" s="828">
        <v>4779002.2987000002</v>
      </c>
      <c r="E10" s="829">
        <f t="shared" si="0"/>
        <v>973.52160000000003</v>
      </c>
      <c r="F10" s="831">
        <v>975.49</v>
      </c>
      <c r="H10" s="659">
        <f t="shared" si="1"/>
        <v>975.49</v>
      </c>
      <c r="J10" s="501" t="s">
        <v>2150</v>
      </c>
      <c r="K10" s="825">
        <v>984.74</v>
      </c>
    </row>
    <row r="11" spans="2:16">
      <c r="B11" s="828" t="s">
        <v>2102</v>
      </c>
      <c r="C11" s="828">
        <v>2242033.5847999998</v>
      </c>
      <c r="D11" s="828">
        <v>4779004.0743000004</v>
      </c>
      <c r="E11" s="829">
        <f t="shared" si="0"/>
        <v>974.99160000000006</v>
      </c>
      <c r="F11" s="831">
        <v>976.96</v>
      </c>
      <c r="H11" s="659">
        <f t="shared" si="1"/>
        <v>976.96</v>
      </c>
      <c r="J11" s="501" t="s">
        <v>2151</v>
      </c>
      <c r="K11" s="825">
        <v>983.21</v>
      </c>
    </row>
    <row r="12" spans="2:16">
      <c r="B12" s="828" t="s">
        <v>2352</v>
      </c>
      <c r="C12" s="828">
        <v>2241970.1838000002</v>
      </c>
      <c r="D12" s="828">
        <v>4779072.8532999996</v>
      </c>
      <c r="E12" s="829">
        <f t="shared" si="0"/>
        <v>973.61160000000007</v>
      </c>
      <c r="F12" s="831">
        <v>975.58</v>
      </c>
      <c r="H12" s="659">
        <f t="shared" si="1"/>
        <v>975.58</v>
      </c>
      <c r="J12" s="501"/>
      <c r="K12" s="825"/>
    </row>
    <row r="13" spans="2:16">
      <c r="B13" s="828" t="s">
        <v>2103</v>
      </c>
      <c r="C13" s="828">
        <v>2242122.9887999999</v>
      </c>
      <c r="D13" s="828">
        <v>4779115.7392999995</v>
      </c>
      <c r="E13" s="829">
        <f t="shared" si="0"/>
        <v>983.91160000000002</v>
      </c>
      <c r="F13" s="825">
        <v>985.88</v>
      </c>
      <c r="H13" s="659">
        <f t="shared" si="1"/>
        <v>985.88</v>
      </c>
      <c r="J13" s="501" t="s">
        <v>2150</v>
      </c>
      <c r="K13" s="825">
        <v>984.74</v>
      </c>
    </row>
    <row r="14" spans="2:16">
      <c r="B14" s="828" t="s">
        <v>2104</v>
      </c>
      <c r="C14" s="828">
        <v>2241558.5238000001</v>
      </c>
      <c r="D14" s="828">
        <v>4778823.0422999999</v>
      </c>
      <c r="E14" s="829">
        <f t="shared" si="0"/>
        <v>995.16160000000002</v>
      </c>
      <c r="F14" s="825">
        <v>997.13</v>
      </c>
      <c r="H14" s="659">
        <f t="shared" si="1"/>
        <v>997.13</v>
      </c>
      <c r="J14" s="501" t="s">
        <v>2147</v>
      </c>
      <c r="K14" s="825">
        <v>979.97</v>
      </c>
    </row>
    <row r="15" spans="2:16">
      <c r="B15" s="828" t="s">
        <v>2105</v>
      </c>
      <c r="C15" s="828">
        <v>2241590.1438000002</v>
      </c>
      <c r="D15" s="828">
        <v>4778847.9763000002</v>
      </c>
      <c r="E15" s="829">
        <f t="shared" si="0"/>
        <v>994.25160000000005</v>
      </c>
      <c r="F15" s="831">
        <v>996.22</v>
      </c>
      <c r="H15" s="659">
        <f t="shared" si="1"/>
        <v>996.22</v>
      </c>
      <c r="J15" s="501"/>
      <c r="K15" s="825"/>
    </row>
    <row r="16" spans="2:16">
      <c r="B16" s="828" t="s">
        <v>2106</v>
      </c>
      <c r="C16" s="828">
        <v>2241623.4040999999</v>
      </c>
      <c r="D16" s="828">
        <v>4778854.1964999996</v>
      </c>
      <c r="E16" s="829">
        <f t="shared" si="0"/>
        <v>993.84159999999997</v>
      </c>
      <c r="F16" s="831">
        <v>995.81</v>
      </c>
      <c r="H16" s="659">
        <f t="shared" si="1"/>
        <v>995.81</v>
      </c>
      <c r="J16" s="501" t="s">
        <v>2148</v>
      </c>
      <c r="K16" s="825">
        <v>984.47</v>
      </c>
    </row>
    <row r="17" spans="2:11">
      <c r="B17" s="828" t="s">
        <v>2107</v>
      </c>
      <c r="C17" s="828">
        <v>2241668.2318000002</v>
      </c>
      <c r="D17" s="828">
        <v>4778749.2412999999</v>
      </c>
      <c r="E17" s="829">
        <f t="shared" si="0"/>
        <v>990.59159999999997</v>
      </c>
      <c r="F17" s="825">
        <v>992.56</v>
      </c>
      <c r="H17" s="659">
        <f t="shared" si="1"/>
        <v>992.56</v>
      </c>
      <c r="J17" s="501"/>
      <c r="K17" s="825"/>
    </row>
    <row r="18" spans="2:11">
      <c r="B18" s="828" t="s">
        <v>2108</v>
      </c>
      <c r="C18" s="828">
        <v>2241689.1127999998</v>
      </c>
      <c r="D18" s="828">
        <v>4778770.4782999996</v>
      </c>
      <c r="E18" s="829">
        <f t="shared" si="0"/>
        <v>990.4316</v>
      </c>
      <c r="F18" s="825">
        <v>992.4</v>
      </c>
      <c r="H18" s="659">
        <f t="shared" si="1"/>
        <v>992.4</v>
      </c>
      <c r="J18" s="501" t="s">
        <v>2161</v>
      </c>
      <c r="K18" s="825">
        <v>992.28</v>
      </c>
    </row>
    <row r="19" spans="2:11">
      <c r="B19" s="828" t="s">
        <v>2109</v>
      </c>
      <c r="C19" s="828">
        <v>2241702.5858</v>
      </c>
      <c r="D19" s="828">
        <v>4778795.0853000004</v>
      </c>
      <c r="E19" s="829">
        <f t="shared" si="0"/>
        <v>990.72160000000008</v>
      </c>
      <c r="F19" s="825">
        <v>992.69</v>
      </c>
      <c r="H19" s="659">
        <f t="shared" si="1"/>
        <v>992.69</v>
      </c>
      <c r="J19" s="501" t="s">
        <v>2162</v>
      </c>
      <c r="K19" s="825">
        <v>991.49</v>
      </c>
    </row>
    <row r="20" spans="2:11">
      <c r="B20" s="828" t="s">
        <v>2110</v>
      </c>
      <c r="C20" s="828">
        <v>2241706.6808000002</v>
      </c>
      <c r="D20" s="828">
        <v>4778823.9863</v>
      </c>
      <c r="E20" s="829">
        <f t="shared" si="0"/>
        <v>992.44659999999999</v>
      </c>
      <c r="F20" s="831">
        <v>994.41499999999996</v>
      </c>
      <c r="H20" s="659">
        <f t="shared" si="1"/>
        <v>994.04</v>
      </c>
      <c r="J20" s="501" t="s">
        <v>2163</v>
      </c>
      <c r="K20" s="825">
        <v>994.52</v>
      </c>
    </row>
    <row r="21" spans="2:11">
      <c r="B21" s="828" t="s">
        <v>2111</v>
      </c>
      <c r="C21" s="828">
        <v>2241569.6628</v>
      </c>
      <c r="D21" s="828">
        <v>4778744.9612999996</v>
      </c>
      <c r="E21" s="829">
        <f t="shared" si="0"/>
        <v>993.26160000000004</v>
      </c>
      <c r="F21" s="825">
        <v>995.23</v>
      </c>
      <c r="H21" s="659">
        <f t="shared" si="1"/>
        <v>995.23</v>
      </c>
      <c r="J21" s="501" t="s">
        <v>2164</v>
      </c>
      <c r="K21" s="825">
        <v>989.68</v>
      </c>
    </row>
    <row r="22" spans="2:11">
      <c r="B22" s="828" t="s">
        <v>2112</v>
      </c>
      <c r="C22" s="828">
        <v>2241596.7187999999</v>
      </c>
      <c r="D22" s="828">
        <v>4778798.9073000001</v>
      </c>
      <c r="E22" s="829">
        <f t="shared" si="0"/>
        <v>993.38160000000005</v>
      </c>
      <c r="F22" s="831">
        <v>995.35</v>
      </c>
      <c r="H22" s="659">
        <f t="shared" si="1"/>
        <v>995.35</v>
      </c>
      <c r="J22" s="501" t="s">
        <v>2165</v>
      </c>
      <c r="K22" s="825">
        <v>982.58</v>
      </c>
    </row>
    <row r="23" spans="2:11">
      <c r="B23" s="828" t="s">
        <v>2113</v>
      </c>
      <c r="C23" s="828">
        <v>2241606.5726999999</v>
      </c>
      <c r="D23" s="828">
        <v>4778740.6805999996</v>
      </c>
      <c r="E23" s="829">
        <f t="shared" si="0"/>
        <v>991.14160000000004</v>
      </c>
      <c r="F23" s="825">
        <v>993.11</v>
      </c>
      <c r="H23" s="659">
        <f t="shared" si="1"/>
        <v>993.11</v>
      </c>
      <c r="J23" s="501" t="s">
        <v>2166</v>
      </c>
      <c r="K23" s="825">
        <v>981.67</v>
      </c>
    </row>
    <row r="24" spans="2:11">
      <c r="B24" s="828" t="s">
        <v>2114</v>
      </c>
      <c r="C24" s="828">
        <v>2241631.4857999999</v>
      </c>
      <c r="D24" s="828">
        <v>4778789.2472999999</v>
      </c>
      <c r="E24" s="829">
        <f t="shared" si="0"/>
        <v>992.01160000000004</v>
      </c>
      <c r="F24" s="831">
        <v>993.98</v>
      </c>
      <c r="H24" s="659">
        <f t="shared" si="1"/>
        <v>993.98</v>
      </c>
      <c r="J24" s="501"/>
      <c r="K24" s="825"/>
    </row>
    <row r="25" spans="2:11">
      <c r="B25" s="828" t="s">
        <v>2115</v>
      </c>
      <c r="C25" s="828">
        <v>2241639.0118</v>
      </c>
      <c r="D25" s="828">
        <v>4778733.1492999997</v>
      </c>
      <c r="E25" s="829">
        <f t="shared" si="0"/>
        <v>990.66160000000002</v>
      </c>
      <c r="F25" s="825">
        <v>992.63</v>
      </c>
      <c r="H25" s="659">
        <f t="shared" si="1"/>
        <v>992.63</v>
      </c>
      <c r="J25" s="501" t="s">
        <v>2149</v>
      </c>
      <c r="K25" s="825">
        <v>984.59</v>
      </c>
    </row>
    <row r="26" spans="2:11">
      <c r="B26" s="828" t="s">
        <v>2118</v>
      </c>
      <c r="C26" s="828">
        <v>2241651.3508000001</v>
      </c>
      <c r="D26" s="828">
        <v>4778756.7528999997</v>
      </c>
      <c r="E26" s="829">
        <f t="shared" si="0"/>
        <v>991.89160000000004</v>
      </c>
      <c r="F26" s="825">
        <v>993.86</v>
      </c>
      <c r="H26" s="659">
        <f t="shared" si="1"/>
        <v>993.86</v>
      </c>
      <c r="J26" s="501"/>
      <c r="K26" s="825"/>
    </row>
    <row r="27" spans="2:11">
      <c r="B27" s="828" t="s">
        <v>2117</v>
      </c>
      <c r="C27" s="828">
        <v>2241664.8547999999</v>
      </c>
      <c r="D27" s="828">
        <v>4778782.5853000004</v>
      </c>
      <c r="E27" s="829">
        <f t="shared" si="0"/>
        <v>991.53160000000003</v>
      </c>
      <c r="F27" s="831">
        <v>993.5</v>
      </c>
      <c r="H27" s="659">
        <f t="shared" si="1"/>
        <v>993.5</v>
      </c>
      <c r="J27" s="501" t="s">
        <v>2151</v>
      </c>
      <c r="K27" s="825">
        <v>983.21</v>
      </c>
    </row>
    <row r="28" spans="2:11">
      <c r="B28" s="828" t="s">
        <v>2118</v>
      </c>
      <c r="C28" s="828">
        <v>2241677.6830000002</v>
      </c>
      <c r="D28" s="828">
        <v>4778807.8165999996</v>
      </c>
      <c r="E28" s="829">
        <f t="shared" si="0"/>
        <v>991.89160000000004</v>
      </c>
      <c r="F28" s="831">
        <v>993.86</v>
      </c>
      <c r="H28" s="659">
        <f t="shared" si="1"/>
        <v>993.86</v>
      </c>
      <c r="J28" s="501" t="s">
        <v>2152</v>
      </c>
      <c r="K28" s="825">
        <v>980.05</v>
      </c>
    </row>
    <row r="29" spans="2:11">
      <c r="B29" s="828" t="s">
        <v>2119</v>
      </c>
      <c r="C29" s="828">
        <v>2241683.6288000001</v>
      </c>
      <c r="D29" s="828">
        <v>4778819.5702999998</v>
      </c>
      <c r="E29" s="829">
        <f t="shared" si="0"/>
        <v>992.25160000000005</v>
      </c>
      <c r="F29" s="831">
        <v>994.22</v>
      </c>
      <c r="H29" s="659">
        <f t="shared" si="1"/>
        <v>994.22</v>
      </c>
      <c r="J29" s="501" t="s">
        <v>2153</v>
      </c>
      <c r="K29" s="825">
        <v>976.41</v>
      </c>
    </row>
    <row r="30" spans="2:11">
      <c r="B30" s="828" t="s">
        <v>2120</v>
      </c>
      <c r="C30" s="828">
        <v>2241686.2374</v>
      </c>
      <c r="D30" s="828">
        <v>4778833.3843</v>
      </c>
      <c r="E30" s="829">
        <f t="shared" si="0"/>
        <v>992.44659999999999</v>
      </c>
      <c r="F30" s="831">
        <v>994.41499999999996</v>
      </c>
      <c r="H30" s="659">
        <f t="shared" si="1"/>
        <v>994.41499999999996</v>
      </c>
      <c r="J30" s="501" t="s">
        <v>2154</v>
      </c>
      <c r="K30" s="825">
        <v>973.56</v>
      </c>
    </row>
    <row r="31" spans="2:11">
      <c r="B31" s="828" t="s">
        <v>2121</v>
      </c>
      <c r="C31" s="828">
        <v>2241689.1408000002</v>
      </c>
      <c r="D31" s="828">
        <v>4778848.9363000002</v>
      </c>
      <c r="E31" s="829">
        <f t="shared" si="0"/>
        <v>992.64160000000004</v>
      </c>
      <c r="F31" s="831">
        <v>994.61</v>
      </c>
      <c r="H31" s="659">
        <f t="shared" si="1"/>
        <v>994.61</v>
      </c>
      <c r="J31" s="501" t="s">
        <v>2155</v>
      </c>
      <c r="K31" s="825">
        <v>973.45</v>
      </c>
    </row>
    <row r="32" spans="2:11">
      <c r="B32" s="828" t="s">
        <v>2122</v>
      </c>
      <c r="C32" s="828">
        <v>2241645.0647999998</v>
      </c>
      <c r="D32" s="828">
        <v>4778854.6732999999</v>
      </c>
      <c r="E32" s="829">
        <f t="shared" si="0"/>
        <v>993.72160000000008</v>
      </c>
      <c r="F32" s="831">
        <v>995.69</v>
      </c>
      <c r="H32" s="659">
        <f t="shared" si="1"/>
        <v>995.69</v>
      </c>
      <c r="J32" s="501" t="s">
        <v>2156</v>
      </c>
      <c r="K32" s="825">
        <v>974.95</v>
      </c>
    </row>
    <row r="33" spans="2:11">
      <c r="B33" s="828" t="s">
        <v>2123</v>
      </c>
      <c r="C33" s="828">
        <v>2241663.2209000001</v>
      </c>
      <c r="D33" s="828">
        <v>4778849.5484999996</v>
      </c>
      <c r="E33" s="829">
        <f t="shared" si="0"/>
        <v>993.70159999999998</v>
      </c>
      <c r="F33" s="831">
        <v>995.67</v>
      </c>
      <c r="H33" s="659">
        <f t="shared" si="1"/>
        <v>995.67</v>
      </c>
      <c r="J33" s="501" t="s">
        <v>2157</v>
      </c>
      <c r="K33" s="825">
        <v>974.68</v>
      </c>
    </row>
    <row r="34" spans="2:11">
      <c r="B34" s="828" t="s">
        <v>2124</v>
      </c>
      <c r="C34" s="828">
        <v>2241674.0367999999</v>
      </c>
      <c r="D34" s="828">
        <v>4778849.6343</v>
      </c>
      <c r="E34" s="829">
        <f t="shared" si="0"/>
        <v>993.76160000000004</v>
      </c>
      <c r="F34" s="831">
        <v>995.73</v>
      </c>
      <c r="H34" s="659">
        <f t="shared" ref="H34:H65" si="2">+VLOOKUP(B34,$J$1:$K$490,2,FALSE)</f>
        <v>995.73</v>
      </c>
      <c r="J34" s="501" t="s">
        <v>2158</v>
      </c>
      <c r="K34" s="825">
        <v>974.09</v>
      </c>
    </row>
    <row r="35" spans="2:11">
      <c r="B35" s="828" t="s">
        <v>2125</v>
      </c>
      <c r="C35" s="828">
        <v>2241706.9208</v>
      </c>
      <c r="D35" s="828">
        <v>4778860.7833000002</v>
      </c>
      <c r="E35" s="829">
        <f t="shared" si="0"/>
        <v>990.59159999999997</v>
      </c>
      <c r="F35" s="831">
        <v>992.56</v>
      </c>
      <c r="H35" s="659">
        <f t="shared" si="2"/>
        <v>992.56</v>
      </c>
      <c r="J35" s="501" t="s">
        <v>2159</v>
      </c>
      <c r="K35" s="825">
        <v>973.79</v>
      </c>
    </row>
    <row r="36" spans="2:11">
      <c r="B36" s="828" t="s">
        <v>2126</v>
      </c>
      <c r="C36" s="828">
        <v>2241732.1568</v>
      </c>
      <c r="D36" s="828">
        <v>4778902.1222999999</v>
      </c>
      <c r="E36" s="829">
        <f t="shared" si="0"/>
        <v>986.20159999999998</v>
      </c>
      <c r="F36" s="831">
        <v>988.17</v>
      </c>
      <c r="H36" s="659">
        <f t="shared" si="2"/>
        <v>988.17</v>
      </c>
      <c r="J36" s="501" t="s">
        <v>2160</v>
      </c>
      <c r="K36" s="825">
        <v>972.99</v>
      </c>
    </row>
    <row r="37" spans="2:11">
      <c r="B37" s="828" t="s">
        <v>2127</v>
      </c>
      <c r="C37" s="828">
        <v>2241769.3957000002</v>
      </c>
      <c r="D37" s="828">
        <v>4778916.9391000001</v>
      </c>
      <c r="E37" s="829">
        <f t="shared" si="0"/>
        <v>980.59159999999997</v>
      </c>
      <c r="F37" s="831">
        <v>982.56</v>
      </c>
      <c r="H37" s="659">
        <f t="shared" si="2"/>
        <v>982.56</v>
      </c>
      <c r="J37" s="826" t="s">
        <v>2167</v>
      </c>
      <c r="K37" s="825">
        <v>974.86</v>
      </c>
    </row>
    <row r="38" spans="2:11">
      <c r="B38" s="828" t="s">
        <v>2128</v>
      </c>
      <c r="C38" s="828">
        <v>2241792.1578000002</v>
      </c>
      <c r="D38" s="828">
        <v>4778952.0352999996</v>
      </c>
      <c r="E38" s="829">
        <f t="shared" si="0"/>
        <v>977.71159999999998</v>
      </c>
      <c r="F38" s="831">
        <v>979.68</v>
      </c>
      <c r="H38" s="659">
        <f t="shared" si="2"/>
        <v>979.68</v>
      </c>
      <c r="J38" s="501"/>
      <c r="K38" s="825"/>
    </row>
    <row r="39" spans="2:11">
      <c r="B39" s="828" t="s">
        <v>2362</v>
      </c>
      <c r="C39" s="828">
        <v>2241844.7828000002</v>
      </c>
      <c r="D39" s="828">
        <v>4779031.2273000004</v>
      </c>
      <c r="E39" s="829">
        <f t="shared" si="0"/>
        <v>972.47160000000008</v>
      </c>
      <c r="F39" s="831">
        <v>974.44</v>
      </c>
      <c r="H39" s="659">
        <f t="shared" si="2"/>
        <v>974.44</v>
      </c>
      <c r="J39" s="501" t="s">
        <v>2245</v>
      </c>
      <c r="K39" s="825">
        <v>965.72</v>
      </c>
    </row>
    <row r="40" spans="2:11">
      <c r="B40" s="828" t="s">
        <v>2129</v>
      </c>
      <c r="C40" s="828">
        <v>2242108.7617000001</v>
      </c>
      <c r="D40" s="828">
        <v>4779133.4397999998</v>
      </c>
      <c r="E40" s="829">
        <f t="shared" si="0"/>
        <v>984.9316</v>
      </c>
      <c r="F40" s="825">
        <v>986.9</v>
      </c>
      <c r="H40" s="659">
        <f t="shared" si="2"/>
        <v>986.9</v>
      </c>
      <c r="J40" s="501"/>
      <c r="K40" s="825"/>
    </row>
    <row r="41" spans="2:11">
      <c r="B41" s="828" t="s">
        <v>2130</v>
      </c>
      <c r="C41" s="828">
        <v>2242079.0932999998</v>
      </c>
      <c r="D41" s="828">
        <v>4779143.6928000003</v>
      </c>
      <c r="E41" s="829">
        <f t="shared" si="0"/>
        <v>985.09159999999997</v>
      </c>
      <c r="F41" s="825">
        <v>987.06</v>
      </c>
      <c r="H41" s="659">
        <f t="shared" si="2"/>
        <v>987.06</v>
      </c>
      <c r="J41" s="501" t="s">
        <v>2357</v>
      </c>
      <c r="K41" s="825">
        <v>966.98</v>
      </c>
    </row>
    <row r="42" spans="2:11">
      <c r="B42" s="828" t="s">
        <v>2131</v>
      </c>
      <c r="C42" s="828">
        <v>2242063.5018000002</v>
      </c>
      <c r="D42" s="828">
        <v>4779121.0723000001</v>
      </c>
      <c r="E42" s="829">
        <f t="shared" si="0"/>
        <v>983.94159999999999</v>
      </c>
      <c r="F42" s="825">
        <v>985.91</v>
      </c>
      <c r="H42" s="659">
        <f t="shared" si="2"/>
        <v>985.91</v>
      </c>
      <c r="J42" s="501"/>
      <c r="K42" s="825"/>
    </row>
    <row r="43" spans="2:11">
      <c r="B43" s="828" t="s">
        <v>2350</v>
      </c>
      <c r="C43" s="828">
        <v>2242036.1812</v>
      </c>
      <c r="D43" s="828">
        <v>4779136.5673000002</v>
      </c>
      <c r="E43" s="829">
        <f t="shared" si="0"/>
        <v>982.58159999999998</v>
      </c>
      <c r="F43" s="825">
        <v>984.55</v>
      </c>
      <c r="H43" s="659">
        <f t="shared" si="2"/>
        <v>984.55</v>
      </c>
      <c r="J43" s="501" t="s">
        <v>2243</v>
      </c>
      <c r="K43" s="825">
        <v>981.55</v>
      </c>
    </row>
    <row r="44" spans="2:11">
      <c r="B44" s="828" t="s">
        <v>2132</v>
      </c>
      <c r="C44" s="828">
        <v>2242021.2733999998</v>
      </c>
      <c r="D44" s="828">
        <v>4779110.21</v>
      </c>
      <c r="E44" s="829">
        <f t="shared" si="0"/>
        <v>981.19159999999999</v>
      </c>
      <c r="F44" s="825">
        <v>983.16</v>
      </c>
      <c r="H44" s="659">
        <f t="shared" si="2"/>
        <v>983.16</v>
      </c>
      <c r="J44" s="501" t="s">
        <v>2360</v>
      </c>
      <c r="K44" s="825">
        <v>975.75</v>
      </c>
    </row>
    <row r="45" spans="2:11">
      <c r="B45" s="828" t="s">
        <v>2133</v>
      </c>
      <c r="C45" s="828">
        <v>2242111.0167999999</v>
      </c>
      <c r="D45" s="828">
        <v>4779094.7333000004</v>
      </c>
      <c r="E45" s="829">
        <f t="shared" si="0"/>
        <v>982.6816</v>
      </c>
      <c r="F45" s="831">
        <v>984.65</v>
      </c>
      <c r="H45" s="659">
        <f t="shared" si="2"/>
        <v>984.65</v>
      </c>
      <c r="J45" s="501" t="s">
        <v>2359</v>
      </c>
      <c r="K45" s="825">
        <v>967.26</v>
      </c>
    </row>
    <row r="46" spans="2:11">
      <c r="B46" s="828" t="s">
        <v>2134</v>
      </c>
      <c r="C46" s="828">
        <v>2242103.2828000002</v>
      </c>
      <c r="D46" s="828">
        <v>4779098.0403000005</v>
      </c>
      <c r="E46" s="829">
        <f t="shared" si="0"/>
        <v>982.23160000000007</v>
      </c>
      <c r="F46" s="831">
        <v>984.2</v>
      </c>
      <c r="H46" s="659">
        <f t="shared" si="2"/>
        <v>984.2</v>
      </c>
      <c r="J46" s="501"/>
      <c r="K46" s="825"/>
    </row>
    <row r="47" spans="2:11">
      <c r="B47" s="828" t="s">
        <v>2135</v>
      </c>
      <c r="C47" s="828">
        <v>2242088.1738</v>
      </c>
      <c r="D47" s="828">
        <v>4779071.4382999996</v>
      </c>
      <c r="E47" s="829">
        <f t="shared" si="0"/>
        <v>981.13160000000005</v>
      </c>
      <c r="F47" s="831">
        <v>983.1</v>
      </c>
      <c r="H47" s="659">
        <f t="shared" si="2"/>
        <v>983.1</v>
      </c>
      <c r="J47" s="501" t="s">
        <v>2358</v>
      </c>
      <c r="K47" s="825">
        <v>965.92</v>
      </c>
    </row>
    <row r="48" spans="2:11">
      <c r="B48" s="828" t="s">
        <v>2136</v>
      </c>
      <c r="C48" s="828">
        <v>2242002.2752</v>
      </c>
      <c r="D48" s="828">
        <v>4779109.6023000004</v>
      </c>
      <c r="E48" s="829">
        <f t="shared" si="0"/>
        <v>980.13160000000005</v>
      </c>
      <c r="F48" s="831">
        <v>982.1</v>
      </c>
      <c r="H48" s="659">
        <f t="shared" si="2"/>
        <v>981.74</v>
      </c>
      <c r="J48" s="501"/>
      <c r="K48" s="825"/>
    </row>
    <row r="49" spans="2:11">
      <c r="B49" s="828" t="s">
        <v>2137</v>
      </c>
      <c r="C49" s="828">
        <v>2242021.4378999998</v>
      </c>
      <c r="D49" s="828">
        <v>4779131.0751999998</v>
      </c>
      <c r="E49" s="829">
        <f t="shared" si="0"/>
        <v>981.07159999999999</v>
      </c>
      <c r="F49" s="825">
        <v>983.04</v>
      </c>
      <c r="H49" s="659">
        <f t="shared" si="2"/>
        <v>983.04</v>
      </c>
      <c r="J49" s="501" t="s">
        <v>2210</v>
      </c>
      <c r="K49" s="825">
        <v>973.72</v>
      </c>
    </row>
    <row r="50" spans="2:11">
      <c r="B50" s="828" t="s">
        <v>2138</v>
      </c>
      <c r="C50" s="828">
        <v>2242036.9197999998</v>
      </c>
      <c r="D50" s="828">
        <v>4779144.9863</v>
      </c>
      <c r="E50" s="829">
        <f t="shared" si="0"/>
        <v>982.35160000000008</v>
      </c>
      <c r="F50" s="825">
        <v>984.32</v>
      </c>
      <c r="H50" s="659">
        <f t="shared" si="2"/>
        <v>984.32</v>
      </c>
      <c r="J50" s="501" t="s">
        <v>2204</v>
      </c>
      <c r="K50" s="825">
        <v>971.21</v>
      </c>
    </row>
    <row r="51" spans="2:11">
      <c r="B51" s="828" t="s">
        <v>2139</v>
      </c>
      <c r="C51" s="828">
        <v>2242052.4205</v>
      </c>
      <c r="D51" s="828">
        <v>4779159.6053999998</v>
      </c>
      <c r="E51" s="829">
        <f t="shared" si="0"/>
        <v>982.92160000000001</v>
      </c>
      <c r="F51" s="825">
        <v>984.89</v>
      </c>
      <c r="H51" s="659">
        <f t="shared" si="2"/>
        <v>984.89</v>
      </c>
      <c r="J51" s="501"/>
      <c r="K51" s="825"/>
    </row>
    <row r="52" spans="2:11">
      <c r="B52" s="828" t="s">
        <v>2140</v>
      </c>
      <c r="C52" s="828">
        <v>2242065.6433000001</v>
      </c>
      <c r="D52" s="828">
        <v>4779174.8584000003</v>
      </c>
      <c r="E52" s="829">
        <f t="shared" si="0"/>
        <v>983.6816</v>
      </c>
      <c r="F52" s="825">
        <v>985.65</v>
      </c>
      <c r="H52" s="659">
        <f t="shared" si="2"/>
        <v>985.65</v>
      </c>
      <c r="J52" s="501" t="s">
        <v>2111</v>
      </c>
      <c r="K52" s="825">
        <v>995.23</v>
      </c>
    </row>
    <row r="53" spans="2:11">
      <c r="B53" s="828" t="s">
        <v>2141</v>
      </c>
      <c r="C53" s="828">
        <v>2242053.1098000002</v>
      </c>
      <c r="D53" s="828">
        <v>4779187.2164000003</v>
      </c>
      <c r="E53" s="829">
        <f t="shared" si="0"/>
        <v>983.10160000000008</v>
      </c>
      <c r="F53" s="831">
        <v>985.07</v>
      </c>
      <c r="H53" s="659">
        <f t="shared" si="2"/>
        <v>985.07</v>
      </c>
      <c r="J53" s="501" t="s">
        <v>2112</v>
      </c>
      <c r="K53" s="825">
        <v>995.35</v>
      </c>
    </row>
    <row r="54" spans="2:11">
      <c r="B54" s="828" t="s">
        <v>2142</v>
      </c>
      <c r="C54" s="828">
        <v>2242039.4818000002</v>
      </c>
      <c r="D54" s="828">
        <v>4779172.9993000003</v>
      </c>
      <c r="E54" s="829">
        <f t="shared" si="0"/>
        <v>982.69159999999999</v>
      </c>
      <c r="F54" s="825">
        <v>984.66</v>
      </c>
      <c r="H54" s="659">
        <f t="shared" si="2"/>
        <v>984.66</v>
      </c>
      <c r="J54" s="501"/>
      <c r="K54" s="825"/>
    </row>
    <row r="55" spans="2:11">
      <c r="B55" s="828" t="s">
        <v>2143</v>
      </c>
      <c r="C55" s="828">
        <v>2242024.0397999999</v>
      </c>
      <c r="D55" s="828">
        <v>4779159.4363000002</v>
      </c>
      <c r="E55" s="829">
        <f t="shared" si="0"/>
        <v>982.39160000000004</v>
      </c>
      <c r="F55" s="825">
        <v>984.36</v>
      </c>
      <c r="H55" s="659">
        <f t="shared" si="2"/>
        <v>984.36</v>
      </c>
      <c r="J55" s="501" t="s">
        <v>2113</v>
      </c>
      <c r="K55" s="825">
        <v>993.11</v>
      </c>
    </row>
    <row r="56" spans="2:11">
      <c r="B56" s="828" t="s">
        <v>2144</v>
      </c>
      <c r="C56" s="828">
        <v>2242007.8508000001</v>
      </c>
      <c r="D56" s="828">
        <v>4779145.6902999999</v>
      </c>
      <c r="E56" s="829">
        <f t="shared" si="0"/>
        <v>981.11160000000007</v>
      </c>
      <c r="F56" s="825">
        <v>983.08</v>
      </c>
      <c r="H56" s="659">
        <f t="shared" si="2"/>
        <v>983.08</v>
      </c>
      <c r="J56" s="501" t="s">
        <v>2114</v>
      </c>
      <c r="K56" s="825">
        <v>993.98</v>
      </c>
    </row>
    <row r="57" spans="2:11">
      <c r="B57" s="828" t="s">
        <v>2145</v>
      </c>
      <c r="C57" s="828">
        <v>2241996.6357999998</v>
      </c>
      <c r="D57" s="828">
        <v>4779136.0582999997</v>
      </c>
      <c r="E57" s="829">
        <f t="shared" si="0"/>
        <v>980.13160000000005</v>
      </c>
      <c r="F57" s="825">
        <v>982.1</v>
      </c>
      <c r="H57" s="659">
        <f t="shared" si="2"/>
        <v>982.1</v>
      </c>
      <c r="J57" s="501"/>
      <c r="K57" s="825"/>
    </row>
    <row r="58" spans="2:11">
      <c r="B58" s="828" t="s">
        <v>2146</v>
      </c>
      <c r="C58" s="828">
        <v>2241993.3237999999</v>
      </c>
      <c r="D58" s="828">
        <v>4779139.9502999997</v>
      </c>
      <c r="E58" s="829">
        <f t="shared" si="0"/>
        <v>978.22160000000008</v>
      </c>
      <c r="F58" s="825">
        <v>980.19</v>
      </c>
      <c r="H58" s="659">
        <f t="shared" si="2"/>
        <v>980.19</v>
      </c>
      <c r="J58" s="501" t="s">
        <v>2115</v>
      </c>
      <c r="K58" s="825">
        <v>992.63</v>
      </c>
    </row>
    <row r="59" spans="2:11">
      <c r="B59" s="828" t="s">
        <v>2529</v>
      </c>
      <c r="C59" s="828">
        <v>2242443.3168000001</v>
      </c>
      <c r="D59" s="828">
        <v>4779702.3152999999</v>
      </c>
      <c r="E59" s="829">
        <f t="shared" si="0"/>
        <v>982.25160000000005</v>
      </c>
      <c r="F59" s="825">
        <v>984.22</v>
      </c>
      <c r="H59" s="659">
        <f t="shared" si="2"/>
        <v>984.22</v>
      </c>
      <c r="J59" s="501" t="s">
        <v>2116</v>
      </c>
      <c r="K59" s="825">
        <v>993.06500000000005</v>
      </c>
    </row>
    <row r="60" spans="2:11">
      <c r="B60" s="828" t="s">
        <v>2147</v>
      </c>
      <c r="C60" s="828">
        <v>2242612.3358</v>
      </c>
      <c r="D60" s="828">
        <v>4779678.7613000004</v>
      </c>
      <c r="E60" s="829">
        <f t="shared" si="0"/>
        <v>978.00160000000005</v>
      </c>
      <c r="F60" s="825">
        <v>979.97</v>
      </c>
      <c r="H60" s="659">
        <f t="shared" si="2"/>
        <v>979.97</v>
      </c>
      <c r="J60" s="501" t="s">
        <v>2117</v>
      </c>
      <c r="K60" s="825">
        <v>993.5</v>
      </c>
    </row>
    <row r="61" spans="2:11">
      <c r="B61" s="828" t="s">
        <v>2148</v>
      </c>
      <c r="C61" s="828">
        <v>2242580.3487999998</v>
      </c>
      <c r="D61" s="828">
        <v>4779720.5673000002</v>
      </c>
      <c r="E61" s="829">
        <f t="shared" si="0"/>
        <v>982.50160000000005</v>
      </c>
      <c r="F61" s="825">
        <v>984.47</v>
      </c>
      <c r="H61" s="659">
        <f t="shared" si="2"/>
        <v>984.47</v>
      </c>
      <c r="J61" s="501" t="s">
        <v>2118</v>
      </c>
      <c r="K61" s="825">
        <v>993.86</v>
      </c>
    </row>
    <row r="62" spans="2:11">
      <c r="B62" s="828" t="s">
        <v>2149</v>
      </c>
      <c r="C62" s="828">
        <v>2242579.2530999999</v>
      </c>
      <c r="D62" s="828">
        <v>4779723.5385999996</v>
      </c>
      <c r="E62" s="829">
        <f t="shared" si="0"/>
        <v>982.62160000000006</v>
      </c>
      <c r="F62" s="825">
        <v>984.59</v>
      </c>
      <c r="H62" s="659">
        <f t="shared" si="2"/>
        <v>984.59</v>
      </c>
      <c r="J62" s="501" t="s">
        <v>2119</v>
      </c>
      <c r="K62" s="825">
        <v>994.22</v>
      </c>
    </row>
    <row r="63" spans="2:11">
      <c r="B63" s="828" t="s">
        <v>2150</v>
      </c>
      <c r="C63" s="828">
        <v>2242624.1137999999</v>
      </c>
      <c r="D63" s="828">
        <v>4779710.0383000001</v>
      </c>
      <c r="E63" s="829">
        <f t="shared" si="0"/>
        <v>982.77160000000003</v>
      </c>
      <c r="F63" s="825">
        <v>984.74</v>
      </c>
      <c r="H63" s="659">
        <f t="shared" si="2"/>
        <v>984.74</v>
      </c>
      <c r="J63" s="501" t="s">
        <v>2120</v>
      </c>
      <c r="K63" s="825">
        <v>994.41499999999996</v>
      </c>
    </row>
    <row r="64" spans="2:11">
      <c r="B64" s="828" t="s">
        <v>2151</v>
      </c>
      <c r="C64" s="828">
        <v>2242665.9438</v>
      </c>
      <c r="D64" s="828">
        <v>4779695.5043000001</v>
      </c>
      <c r="E64" s="829">
        <f t="shared" si="0"/>
        <v>981.24160000000006</v>
      </c>
      <c r="F64" s="825">
        <v>983.21</v>
      </c>
      <c r="H64" s="659">
        <f t="shared" si="2"/>
        <v>983.21</v>
      </c>
      <c r="J64" s="501" t="s">
        <v>2121</v>
      </c>
      <c r="K64" s="825">
        <v>994.61</v>
      </c>
    </row>
    <row r="65" spans="2:11">
      <c r="B65" s="828" t="s">
        <v>2152</v>
      </c>
      <c r="C65" s="828">
        <v>2242748.3426999999</v>
      </c>
      <c r="D65" s="828">
        <v>4779667.8853000002</v>
      </c>
      <c r="E65" s="829">
        <f t="shared" si="0"/>
        <v>978.08159999999998</v>
      </c>
      <c r="F65" s="825">
        <v>980.05</v>
      </c>
      <c r="H65" s="659">
        <f t="shared" si="2"/>
        <v>980.05</v>
      </c>
      <c r="J65" s="501"/>
      <c r="K65" s="825"/>
    </row>
    <row r="66" spans="2:11">
      <c r="B66" s="828" t="s">
        <v>2153</v>
      </c>
      <c r="C66" s="828">
        <v>2242733.0787999998</v>
      </c>
      <c r="D66" s="828">
        <v>4779625.0922999997</v>
      </c>
      <c r="E66" s="829">
        <f t="shared" ref="E66:E129" si="3">+F66-$P$7</f>
        <v>974.44159999999999</v>
      </c>
      <c r="F66" s="825">
        <v>976.41</v>
      </c>
      <c r="H66" s="659">
        <f t="shared" ref="H66:H97" si="4">+VLOOKUP(B66,$J$1:$K$490,2,FALSE)</f>
        <v>976.41</v>
      </c>
      <c r="J66" s="501" t="s">
        <v>2107</v>
      </c>
      <c r="K66" s="825">
        <v>992.56</v>
      </c>
    </row>
    <row r="67" spans="2:11">
      <c r="B67" s="828" t="s">
        <v>2154</v>
      </c>
      <c r="C67" s="828">
        <v>2242718.2900999999</v>
      </c>
      <c r="D67" s="828">
        <v>4779582.0531000001</v>
      </c>
      <c r="E67" s="829">
        <f t="shared" si="3"/>
        <v>971.59159999999997</v>
      </c>
      <c r="F67" s="825">
        <v>973.56</v>
      </c>
      <c r="H67" s="659">
        <f t="shared" si="4"/>
        <v>973.56</v>
      </c>
      <c r="J67" s="501"/>
      <c r="K67" s="825"/>
    </row>
    <row r="68" spans="2:11">
      <c r="B68" s="828" t="s">
        <v>2155</v>
      </c>
      <c r="C68" s="828">
        <v>2242647.9308000002</v>
      </c>
      <c r="D68" s="828">
        <v>4779606.6063000001</v>
      </c>
      <c r="E68" s="829">
        <f t="shared" si="3"/>
        <v>971.48160000000007</v>
      </c>
      <c r="F68" s="825">
        <v>973.45</v>
      </c>
      <c r="H68" s="659">
        <f t="shared" si="4"/>
        <v>973.45</v>
      </c>
      <c r="J68" s="501" t="s">
        <v>2108</v>
      </c>
      <c r="K68" s="825">
        <v>992.4</v>
      </c>
    </row>
    <row r="69" spans="2:11">
      <c r="B69" s="828" t="s">
        <v>2156</v>
      </c>
      <c r="C69" s="828">
        <v>2242652.5967999999</v>
      </c>
      <c r="D69" s="828">
        <v>4779653.3492999999</v>
      </c>
      <c r="E69" s="829">
        <f t="shared" si="3"/>
        <v>972.98160000000007</v>
      </c>
      <c r="F69" s="825">
        <v>974.95</v>
      </c>
      <c r="H69" s="659">
        <f t="shared" si="4"/>
        <v>974.95</v>
      </c>
      <c r="J69" s="501"/>
      <c r="K69" s="825"/>
    </row>
    <row r="70" spans="2:11">
      <c r="B70" s="828" t="s">
        <v>2157</v>
      </c>
      <c r="C70" s="828">
        <v>2242608.6667999998</v>
      </c>
      <c r="D70" s="828">
        <v>4779667.9303000001</v>
      </c>
      <c r="E70" s="829">
        <f t="shared" si="3"/>
        <v>972.71159999999998</v>
      </c>
      <c r="F70" s="825">
        <v>974.68</v>
      </c>
      <c r="H70" s="659">
        <f t="shared" si="4"/>
        <v>974.68</v>
      </c>
      <c r="J70" s="501" t="s">
        <v>2109</v>
      </c>
      <c r="K70" s="825">
        <v>992.69</v>
      </c>
    </row>
    <row r="71" spans="2:11">
      <c r="B71" s="828" t="s">
        <v>2158</v>
      </c>
      <c r="C71" s="828">
        <v>2242568.2968000001</v>
      </c>
      <c r="D71" s="828">
        <v>4779682.1162999999</v>
      </c>
      <c r="E71" s="829">
        <f t="shared" si="3"/>
        <v>972.12160000000006</v>
      </c>
      <c r="F71" s="825">
        <v>974.09</v>
      </c>
      <c r="H71" s="659">
        <f t="shared" si="4"/>
        <v>974.09</v>
      </c>
      <c r="J71" s="501"/>
      <c r="K71" s="825"/>
    </row>
    <row r="72" spans="2:11">
      <c r="B72" s="828" t="s">
        <v>2159</v>
      </c>
      <c r="C72" s="828">
        <v>2242553.7118000002</v>
      </c>
      <c r="D72" s="828">
        <v>4779686.0462999996</v>
      </c>
      <c r="E72" s="829">
        <f t="shared" si="3"/>
        <v>971.82159999999999</v>
      </c>
      <c r="F72" s="825">
        <v>973.79</v>
      </c>
      <c r="H72" s="659">
        <f t="shared" si="4"/>
        <v>973.79</v>
      </c>
      <c r="J72" s="501" t="s">
        <v>2110</v>
      </c>
      <c r="K72" s="825">
        <v>994.04</v>
      </c>
    </row>
    <row r="73" spans="2:11">
      <c r="B73" s="828" t="s">
        <v>2160</v>
      </c>
      <c r="C73" s="828">
        <v>2242536.9918</v>
      </c>
      <c r="D73" s="828">
        <v>4779725.2373000002</v>
      </c>
      <c r="E73" s="829">
        <f t="shared" si="3"/>
        <v>971.02160000000003</v>
      </c>
      <c r="F73" s="825">
        <v>972.99</v>
      </c>
      <c r="H73" s="659">
        <f t="shared" si="4"/>
        <v>972.99</v>
      </c>
      <c r="J73" s="501"/>
      <c r="K73" s="825"/>
    </row>
    <row r="74" spans="2:11">
      <c r="B74" s="828" t="s">
        <v>2161</v>
      </c>
      <c r="C74" s="828">
        <v>2242698.9877999998</v>
      </c>
      <c r="D74" s="828">
        <v>4779717.1533000004</v>
      </c>
      <c r="E74" s="829">
        <f t="shared" si="3"/>
        <v>990.3116</v>
      </c>
      <c r="F74" s="825">
        <v>992.28</v>
      </c>
      <c r="H74" s="659">
        <f t="shared" si="4"/>
        <v>992.28</v>
      </c>
      <c r="J74" s="501" t="s">
        <v>2510</v>
      </c>
      <c r="K74" s="825">
        <v>970.92</v>
      </c>
    </row>
    <row r="75" spans="2:11">
      <c r="B75" s="828" t="s">
        <v>2162</v>
      </c>
      <c r="C75" s="828">
        <v>2242688.4948</v>
      </c>
      <c r="D75" s="828">
        <v>4779716.9773000004</v>
      </c>
      <c r="E75" s="829">
        <f t="shared" si="3"/>
        <v>989.52160000000003</v>
      </c>
      <c r="F75" s="825">
        <v>991.49</v>
      </c>
      <c r="H75" s="659">
        <f t="shared" si="4"/>
        <v>991.49</v>
      </c>
      <c r="J75" s="501"/>
      <c r="K75" s="825"/>
    </row>
    <row r="76" spans="2:11">
      <c r="B76" s="828" t="s">
        <v>2163</v>
      </c>
      <c r="C76" s="828">
        <v>2242610.6838000002</v>
      </c>
      <c r="D76" s="828">
        <v>4779740.2632999998</v>
      </c>
      <c r="E76" s="829">
        <f t="shared" si="3"/>
        <v>992.55160000000001</v>
      </c>
      <c r="F76" s="825">
        <v>994.52</v>
      </c>
      <c r="H76" s="659">
        <f t="shared" si="4"/>
        <v>994.52</v>
      </c>
      <c r="J76" s="501" t="s">
        <v>2511</v>
      </c>
      <c r="K76" s="825">
        <v>970.76</v>
      </c>
    </row>
    <row r="77" spans="2:11">
      <c r="B77" s="828" t="s">
        <v>2164</v>
      </c>
      <c r="C77" s="828">
        <v>2242581.1748000002</v>
      </c>
      <c r="D77" s="828">
        <v>4779737.2812999999</v>
      </c>
      <c r="E77" s="829">
        <f t="shared" si="3"/>
        <v>987.71159999999998</v>
      </c>
      <c r="F77" s="825">
        <v>989.68</v>
      </c>
      <c r="H77" s="659">
        <f t="shared" si="4"/>
        <v>989.68</v>
      </c>
      <c r="J77" s="501"/>
      <c r="K77" s="825"/>
    </row>
    <row r="78" spans="2:11">
      <c r="B78" s="828" t="s">
        <v>2165</v>
      </c>
      <c r="C78" s="828">
        <v>2242550.6277999999</v>
      </c>
      <c r="D78" s="828">
        <v>4779733.6803000001</v>
      </c>
      <c r="E78" s="829">
        <f t="shared" si="3"/>
        <v>980.61160000000007</v>
      </c>
      <c r="F78" s="825">
        <v>982.58</v>
      </c>
      <c r="H78" s="659">
        <f t="shared" si="4"/>
        <v>982.58</v>
      </c>
      <c r="J78" s="501" t="s">
        <v>2512</v>
      </c>
      <c r="K78" s="825">
        <v>970.76</v>
      </c>
    </row>
    <row r="79" spans="2:11">
      <c r="B79" s="828" t="s">
        <v>2166</v>
      </c>
      <c r="C79" s="828">
        <v>2242544.0518</v>
      </c>
      <c r="D79" s="828">
        <v>4779736.0943</v>
      </c>
      <c r="E79" s="829">
        <f t="shared" si="3"/>
        <v>979.70159999999998</v>
      </c>
      <c r="F79" s="825">
        <v>981.67</v>
      </c>
      <c r="H79" s="659">
        <f t="shared" si="4"/>
        <v>981.67</v>
      </c>
      <c r="J79" s="501"/>
      <c r="K79" s="825"/>
    </row>
    <row r="80" spans="2:11">
      <c r="B80" s="828" t="s">
        <v>2167</v>
      </c>
      <c r="C80" s="828">
        <v>2242497.3078000001</v>
      </c>
      <c r="D80" s="828">
        <v>4779756.8523000004</v>
      </c>
      <c r="E80" s="829">
        <f t="shared" si="3"/>
        <v>972.89160000000004</v>
      </c>
      <c r="F80" s="825">
        <v>974.86</v>
      </c>
      <c r="H80" s="659">
        <f t="shared" si="4"/>
        <v>974.86</v>
      </c>
      <c r="J80" s="501" t="s">
        <v>2229</v>
      </c>
      <c r="K80" s="825">
        <v>975.46</v>
      </c>
    </row>
    <row r="81" spans="2:11">
      <c r="B81" s="828" t="s">
        <v>2531</v>
      </c>
      <c r="C81" s="828">
        <v>2242374.2867999999</v>
      </c>
      <c r="D81" s="828">
        <v>4779773.6703000003</v>
      </c>
      <c r="E81" s="829">
        <f t="shared" si="3"/>
        <v>986.95159999999998</v>
      </c>
      <c r="F81" s="825">
        <v>988.92</v>
      </c>
      <c r="H81" s="659">
        <f t="shared" si="4"/>
        <v>988.92</v>
      </c>
      <c r="J81" s="501" t="s">
        <v>2513</v>
      </c>
      <c r="K81" s="825">
        <v>970.15</v>
      </c>
    </row>
    <row r="82" spans="2:11">
      <c r="B82" s="828" t="s">
        <v>2168</v>
      </c>
      <c r="C82" s="828">
        <v>2242402.6828000001</v>
      </c>
      <c r="D82" s="828">
        <v>4779756.7143000001</v>
      </c>
      <c r="E82" s="829">
        <f t="shared" si="3"/>
        <v>980.00160000000005</v>
      </c>
      <c r="F82" s="825">
        <v>981.97</v>
      </c>
      <c r="H82" s="659">
        <f t="shared" si="4"/>
        <v>981.97</v>
      </c>
      <c r="J82" s="501"/>
      <c r="K82" s="825"/>
    </row>
    <row r="83" spans="2:11">
      <c r="B83" s="828" t="s">
        <v>2169</v>
      </c>
      <c r="C83" s="828">
        <v>2242417.9967999998</v>
      </c>
      <c r="D83" s="828">
        <v>4779741.4112999998</v>
      </c>
      <c r="E83" s="829">
        <f t="shared" si="3"/>
        <v>978.98160000000007</v>
      </c>
      <c r="F83" s="825">
        <v>980.95</v>
      </c>
      <c r="H83" s="659">
        <f t="shared" si="4"/>
        <v>980.95</v>
      </c>
      <c r="J83" s="501" t="s">
        <v>2230</v>
      </c>
      <c r="K83" s="825">
        <v>970.83</v>
      </c>
    </row>
    <row r="84" spans="2:11">
      <c r="B84" s="828" t="s">
        <v>2170</v>
      </c>
      <c r="C84" s="828">
        <v>2242457.1477999999</v>
      </c>
      <c r="D84" s="828">
        <v>4779723.7912999997</v>
      </c>
      <c r="E84" s="829">
        <f t="shared" si="3"/>
        <v>977.87160000000006</v>
      </c>
      <c r="F84" s="825">
        <v>979.84</v>
      </c>
      <c r="H84" s="659">
        <f t="shared" si="4"/>
        <v>979.84</v>
      </c>
      <c r="J84" s="501" t="s">
        <v>2514</v>
      </c>
      <c r="K84" s="825">
        <v>970.81</v>
      </c>
    </row>
    <row r="85" spans="2:11">
      <c r="B85" s="828" t="s">
        <v>2171</v>
      </c>
      <c r="C85" s="828">
        <v>2242481.2377999998</v>
      </c>
      <c r="D85" s="828">
        <v>4779742.4493000004</v>
      </c>
      <c r="E85" s="829">
        <f t="shared" si="3"/>
        <v>972.80160000000001</v>
      </c>
      <c r="F85" s="825">
        <v>974.77</v>
      </c>
      <c r="H85" s="659">
        <f t="shared" si="4"/>
        <v>974.77</v>
      </c>
      <c r="J85" s="501"/>
      <c r="K85" s="825"/>
    </row>
    <row r="86" spans="2:11">
      <c r="B86" s="828" t="s">
        <v>2172</v>
      </c>
      <c r="C86" s="828">
        <v>2242461.9657999999</v>
      </c>
      <c r="D86" s="828">
        <v>4779556.1212999998</v>
      </c>
      <c r="E86" s="829">
        <f t="shared" si="3"/>
        <v>1003.8516000000001</v>
      </c>
      <c r="F86" s="825">
        <v>1005.82</v>
      </c>
      <c r="H86" s="659">
        <f t="shared" si="4"/>
        <v>1005.82</v>
      </c>
      <c r="J86" s="501" t="s">
        <v>2093</v>
      </c>
      <c r="K86" s="825">
        <v>981.72</v>
      </c>
    </row>
    <row r="87" spans="2:11">
      <c r="B87" s="828" t="s">
        <v>2173</v>
      </c>
      <c r="C87" s="828">
        <v>2242457.1858000001</v>
      </c>
      <c r="D87" s="828">
        <v>4779553.4133000001</v>
      </c>
      <c r="E87" s="829">
        <f t="shared" si="3"/>
        <v>1002.5716</v>
      </c>
      <c r="F87" s="825">
        <v>1004.54</v>
      </c>
      <c r="H87" s="659">
        <f t="shared" si="4"/>
        <v>1004.54</v>
      </c>
      <c r="J87" s="501" t="s">
        <v>2096</v>
      </c>
      <c r="K87" s="825">
        <v>980.6</v>
      </c>
    </row>
    <row r="88" spans="2:11">
      <c r="B88" s="828" t="s">
        <v>2174</v>
      </c>
      <c r="C88" s="828">
        <v>2242442.3687999998</v>
      </c>
      <c r="D88" s="828">
        <v>4779557.0592999998</v>
      </c>
      <c r="E88" s="829">
        <f t="shared" si="3"/>
        <v>1001.9916000000001</v>
      </c>
      <c r="F88" s="825">
        <v>1003.96</v>
      </c>
      <c r="H88" s="659">
        <f t="shared" si="4"/>
        <v>1003.96</v>
      </c>
      <c r="J88" s="501" t="s">
        <v>2097</v>
      </c>
      <c r="K88" s="825">
        <v>979.94</v>
      </c>
    </row>
    <row r="89" spans="2:11">
      <c r="B89" s="828" t="s">
        <v>2175</v>
      </c>
      <c r="C89" s="828">
        <v>2242449.0558000002</v>
      </c>
      <c r="D89" s="828">
        <v>4779582.7823000001</v>
      </c>
      <c r="E89" s="829">
        <f t="shared" si="3"/>
        <v>1001.5016000000001</v>
      </c>
      <c r="F89" s="825">
        <v>1003.47</v>
      </c>
      <c r="H89" s="659">
        <f t="shared" si="4"/>
        <v>1003.47</v>
      </c>
      <c r="J89" s="501" t="s">
        <v>2098</v>
      </c>
      <c r="K89" s="825">
        <v>978.76</v>
      </c>
    </row>
    <row r="90" spans="2:11">
      <c r="B90" s="828" t="s">
        <v>2176</v>
      </c>
      <c r="C90" s="828">
        <v>2242456.3058000002</v>
      </c>
      <c r="D90" s="828">
        <v>4779609.9962999998</v>
      </c>
      <c r="E90" s="829">
        <f t="shared" si="3"/>
        <v>998.28160000000003</v>
      </c>
      <c r="F90" s="825">
        <v>1000.25</v>
      </c>
      <c r="H90" s="659">
        <f t="shared" si="4"/>
        <v>1000.25</v>
      </c>
      <c r="J90" s="501" t="s">
        <v>2100</v>
      </c>
      <c r="K90" s="825">
        <v>977.06</v>
      </c>
    </row>
    <row r="91" spans="2:11">
      <c r="B91" s="828" t="s">
        <v>2528</v>
      </c>
      <c r="C91" s="828">
        <v>2242446.7418</v>
      </c>
      <c r="D91" s="828">
        <v>4779617.1032999996</v>
      </c>
      <c r="E91" s="829">
        <f t="shared" si="3"/>
        <v>997.83159999999998</v>
      </c>
      <c r="F91" s="825">
        <v>999.8</v>
      </c>
      <c r="H91" s="659">
        <f t="shared" si="4"/>
        <v>999.8</v>
      </c>
      <c r="J91" s="501" t="s">
        <v>2101</v>
      </c>
      <c r="K91" s="825">
        <v>975.49</v>
      </c>
    </row>
    <row r="92" spans="2:11">
      <c r="B92" s="828" t="s">
        <v>2340</v>
      </c>
      <c r="C92" s="828">
        <v>2242415.4580000001</v>
      </c>
      <c r="D92" s="828">
        <v>4779534.8773999996</v>
      </c>
      <c r="E92" s="829">
        <f t="shared" si="3"/>
        <v>995.01160000000004</v>
      </c>
      <c r="F92" s="825">
        <v>996.98</v>
      </c>
      <c r="H92" s="659">
        <f t="shared" si="4"/>
        <v>996.98</v>
      </c>
      <c r="J92" s="501" t="s">
        <v>2102</v>
      </c>
      <c r="K92" s="825">
        <v>976.96</v>
      </c>
    </row>
    <row r="93" spans="2:11">
      <c r="B93" s="828" t="s">
        <v>2177</v>
      </c>
      <c r="C93" s="828">
        <v>2242326.0877999999</v>
      </c>
      <c r="D93" s="828">
        <v>4779262.0082999999</v>
      </c>
      <c r="E93" s="829">
        <f t="shared" si="3"/>
        <v>987.32159999999999</v>
      </c>
      <c r="F93" s="825">
        <v>989.29</v>
      </c>
      <c r="H93" s="659">
        <f t="shared" si="4"/>
        <v>989.29</v>
      </c>
      <c r="J93" s="501" t="s">
        <v>2352</v>
      </c>
      <c r="K93" s="825">
        <v>975.58</v>
      </c>
    </row>
    <row r="94" spans="2:11">
      <c r="B94" s="828" t="s">
        <v>2178</v>
      </c>
      <c r="C94" s="828">
        <v>2242291.8128</v>
      </c>
      <c r="D94" s="828">
        <v>4779276.1463000001</v>
      </c>
      <c r="E94" s="829">
        <f t="shared" si="3"/>
        <v>986.88160000000005</v>
      </c>
      <c r="F94" s="825">
        <v>988.85</v>
      </c>
      <c r="H94" s="659">
        <f t="shared" si="4"/>
        <v>988.85</v>
      </c>
      <c r="J94" s="501" t="s">
        <v>2353</v>
      </c>
      <c r="K94" s="825">
        <v>975.34</v>
      </c>
    </row>
    <row r="95" spans="2:11">
      <c r="B95" s="828" t="s">
        <v>2179</v>
      </c>
      <c r="C95" s="828">
        <v>2242289.9974000002</v>
      </c>
      <c r="D95" s="828">
        <v>4779246.2089999998</v>
      </c>
      <c r="E95" s="829">
        <f t="shared" si="3"/>
        <v>985.73160000000007</v>
      </c>
      <c r="F95" s="825">
        <v>987.7</v>
      </c>
      <c r="H95" s="659">
        <f t="shared" si="4"/>
        <v>987.7</v>
      </c>
      <c r="J95" s="501"/>
      <c r="K95" s="825"/>
    </row>
    <row r="96" spans="2:11">
      <c r="B96" s="828" t="s">
        <v>2180</v>
      </c>
      <c r="C96" s="828">
        <v>2242245.9528000001</v>
      </c>
      <c r="D96" s="828">
        <v>4779198.7193</v>
      </c>
      <c r="E96" s="829">
        <f t="shared" si="3"/>
        <v>985.66160000000002</v>
      </c>
      <c r="F96" s="825">
        <v>987.63</v>
      </c>
      <c r="H96" s="659">
        <f t="shared" si="4"/>
        <v>987.63</v>
      </c>
      <c r="J96" s="501" t="s">
        <v>2101</v>
      </c>
      <c r="K96" s="825">
        <v>975.49</v>
      </c>
    </row>
    <row r="97" spans="2:11">
      <c r="B97" s="828" t="s">
        <v>2181</v>
      </c>
      <c r="C97" s="828">
        <v>2242256.6077999999</v>
      </c>
      <c r="D97" s="828">
        <v>4779192.0683000004</v>
      </c>
      <c r="E97" s="829">
        <f t="shared" si="3"/>
        <v>986.87160000000006</v>
      </c>
      <c r="F97" s="825">
        <v>988.84</v>
      </c>
      <c r="H97" s="659">
        <f t="shared" si="4"/>
        <v>988.84</v>
      </c>
      <c r="J97" s="501"/>
      <c r="K97" s="825"/>
    </row>
    <row r="98" spans="2:11">
      <c r="B98" s="828" t="s">
        <v>2182</v>
      </c>
      <c r="C98" s="828">
        <v>2242225.8827999998</v>
      </c>
      <c r="D98" s="828">
        <v>4779126.3003000002</v>
      </c>
      <c r="E98" s="829">
        <f t="shared" si="3"/>
        <v>986.65160000000003</v>
      </c>
      <c r="F98" s="825">
        <v>988.62</v>
      </c>
      <c r="H98" s="659">
        <f t="shared" ref="H98:H129" si="5">+VLOOKUP(B98,$J$1:$K$490,2,FALSE)</f>
        <v>988.62</v>
      </c>
      <c r="J98" s="830" t="s">
        <v>2096</v>
      </c>
      <c r="K98" s="825">
        <v>980.6</v>
      </c>
    </row>
    <row r="99" spans="2:11">
      <c r="B99" s="828" t="s">
        <v>2365</v>
      </c>
      <c r="C99" s="828">
        <v>2242089.7960999999</v>
      </c>
      <c r="D99" s="828">
        <v>4779210.1442</v>
      </c>
      <c r="E99" s="829">
        <f t="shared" si="3"/>
        <v>983.36160000000007</v>
      </c>
      <c r="F99" s="825">
        <v>985.33</v>
      </c>
      <c r="H99" s="659">
        <f t="shared" si="5"/>
        <v>985.33</v>
      </c>
      <c r="J99" s="830" t="s">
        <v>2095</v>
      </c>
      <c r="K99" s="825">
        <v>976.58</v>
      </c>
    </row>
    <row r="100" spans="2:11">
      <c r="B100" s="828" t="s">
        <v>2366</v>
      </c>
      <c r="C100" s="828">
        <v>2242069.1784999999</v>
      </c>
      <c r="D100" s="828">
        <v>4779216.8273999998</v>
      </c>
      <c r="E100" s="829">
        <f t="shared" si="3"/>
        <v>982.13160000000005</v>
      </c>
      <c r="F100" s="825">
        <v>984.1</v>
      </c>
      <c r="H100" s="659">
        <f t="shared" si="5"/>
        <v>984.1</v>
      </c>
      <c r="J100" s="501"/>
      <c r="K100" s="825"/>
    </row>
    <row r="101" spans="2:11">
      <c r="B101" s="828" t="s">
        <v>2367</v>
      </c>
      <c r="C101" s="828">
        <v>2242040.6971999998</v>
      </c>
      <c r="D101" s="828">
        <v>4779191.2547000004</v>
      </c>
      <c r="E101" s="829">
        <f t="shared" si="3"/>
        <v>978.73160000000007</v>
      </c>
      <c r="F101" s="825">
        <v>980.7</v>
      </c>
      <c r="H101" s="659">
        <f t="shared" si="5"/>
        <v>980.7</v>
      </c>
      <c r="J101" s="501" t="s">
        <v>2099</v>
      </c>
      <c r="K101" s="825">
        <v>981.49</v>
      </c>
    </row>
    <row r="102" spans="2:11">
      <c r="B102" s="828" t="s">
        <v>2369</v>
      </c>
      <c r="C102" s="828">
        <v>2242013.2771999999</v>
      </c>
      <c r="D102" s="828">
        <v>4779172.4663000004</v>
      </c>
      <c r="E102" s="829">
        <f t="shared" si="3"/>
        <v>975.88160000000005</v>
      </c>
      <c r="F102" s="825">
        <v>977.85</v>
      </c>
      <c r="H102" s="659">
        <f t="shared" si="5"/>
        <v>977.85</v>
      </c>
      <c r="J102" s="501"/>
      <c r="K102" s="825"/>
    </row>
    <row r="103" spans="2:11">
      <c r="B103" s="828" t="s">
        <v>2368</v>
      </c>
      <c r="C103" s="828">
        <v>2241972.4618000002</v>
      </c>
      <c r="D103" s="828">
        <v>4779145.5652999999</v>
      </c>
      <c r="E103" s="829">
        <f t="shared" si="3"/>
        <v>974.61160000000007</v>
      </c>
      <c r="F103" s="825">
        <v>976.58</v>
      </c>
      <c r="H103" s="659">
        <f t="shared" si="5"/>
        <v>976.58</v>
      </c>
      <c r="J103" s="501" t="s">
        <v>2129</v>
      </c>
      <c r="K103" s="825">
        <v>986.9</v>
      </c>
    </row>
    <row r="104" spans="2:11">
      <c r="B104" s="828" t="s">
        <v>2183</v>
      </c>
      <c r="C104" s="828">
        <v>2242020.6828000001</v>
      </c>
      <c r="D104" s="828">
        <v>4779200.8623000002</v>
      </c>
      <c r="E104" s="829">
        <f t="shared" si="3"/>
        <v>984.00160000000005</v>
      </c>
      <c r="F104" s="825">
        <v>985.97</v>
      </c>
      <c r="H104" s="659">
        <f t="shared" si="5"/>
        <v>985.97</v>
      </c>
      <c r="J104" s="501" t="s">
        <v>2130</v>
      </c>
      <c r="K104" s="825">
        <v>987.06</v>
      </c>
    </row>
    <row r="105" spans="2:11">
      <c r="B105" s="828" t="s">
        <v>2184</v>
      </c>
      <c r="C105" s="828">
        <v>2242029.8818999999</v>
      </c>
      <c r="D105" s="828">
        <v>4779213.8514999999</v>
      </c>
      <c r="E105" s="829">
        <f t="shared" si="3"/>
        <v>985.15160000000003</v>
      </c>
      <c r="F105" s="825">
        <v>987.12</v>
      </c>
      <c r="H105" s="659">
        <f t="shared" si="5"/>
        <v>987.12</v>
      </c>
      <c r="J105" s="501" t="s">
        <v>2131</v>
      </c>
      <c r="K105" s="825">
        <v>985.91</v>
      </c>
    </row>
    <row r="106" spans="2:11">
      <c r="B106" s="828" t="s">
        <v>2185</v>
      </c>
      <c r="C106" s="828">
        <v>2242043.6238000002</v>
      </c>
      <c r="D106" s="828">
        <v>4779235.6907000002</v>
      </c>
      <c r="E106" s="829">
        <f t="shared" si="3"/>
        <v>986.07159999999999</v>
      </c>
      <c r="F106" s="825">
        <v>988.04</v>
      </c>
      <c r="H106" s="659">
        <f t="shared" si="5"/>
        <v>988.04</v>
      </c>
      <c r="J106" s="501" t="s">
        <v>2350</v>
      </c>
      <c r="K106" s="825">
        <v>984.55</v>
      </c>
    </row>
    <row r="107" spans="2:11">
      <c r="B107" s="828" t="s">
        <v>2186</v>
      </c>
      <c r="C107" s="828">
        <v>2242017.5797999999</v>
      </c>
      <c r="D107" s="828">
        <v>4779250.1473000003</v>
      </c>
      <c r="E107" s="829">
        <f t="shared" si="3"/>
        <v>986.27160000000003</v>
      </c>
      <c r="F107" s="825">
        <v>988.24</v>
      </c>
      <c r="H107" s="659">
        <f t="shared" si="5"/>
        <v>988.24</v>
      </c>
      <c r="J107" s="501" t="s">
        <v>2132</v>
      </c>
      <c r="K107" s="825">
        <v>983.16</v>
      </c>
    </row>
    <row r="108" spans="2:11">
      <c r="B108" s="828" t="s">
        <v>2187</v>
      </c>
      <c r="C108" s="828">
        <v>2242006.0647999998</v>
      </c>
      <c r="D108" s="828">
        <v>4779226.2582999999</v>
      </c>
      <c r="E108" s="829">
        <f t="shared" si="3"/>
        <v>985.66160000000002</v>
      </c>
      <c r="F108" s="825">
        <v>987.63</v>
      </c>
      <c r="H108" s="659">
        <f t="shared" si="5"/>
        <v>987.63</v>
      </c>
      <c r="J108" s="501" t="s">
        <v>2135</v>
      </c>
      <c r="K108" s="825">
        <v>983.1</v>
      </c>
    </row>
    <row r="109" spans="2:11">
      <c r="B109" s="828" t="s">
        <v>2188</v>
      </c>
      <c r="C109" s="828">
        <v>2241995.6497999998</v>
      </c>
      <c r="D109" s="828">
        <v>4779204.6113</v>
      </c>
      <c r="E109" s="829">
        <f t="shared" si="3"/>
        <v>984.70159999999998</v>
      </c>
      <c r="F109" s="825">
        <v>986.67</v>
      </c>
      <c r="H109" s="659">
        <f t="shared" si="5"/>
        <v>986.67</v>
      </c>
      <c r="J109" s="501"/>
      <c r="K109" s="825"/>
    </row>
    <row r="110" spans="2:11">
      <c r="B110" s="828" t="s">
        <v>2520</v>
      </c>
      <c r="C110" s="828">
        <v>2241966.8558</v>
      </c>
      <c r="D110" s="828">
        <v>4779312.3053000001</v>
      </c>
      <c r="E110" s="829">
        <f t="shared" si="3"/>
        <v>989.91160000000002</v>
      </c>
      <c r="F110" s="825">
        <v>991.88</v>
      </c>
      <c r="H110" s="659">
        <f t="shared" si="5"/>
        <v>991.88</v>
      </c>
      <c r="J110" s="501" t="s">
        <v>2131</v>
      </c>
      <c r="K110" s="825">
        <v>985.91</v>
      </c>
    </row>
    <row r="111" spans="2:11">
      <c r="B111" s="828" t="s">
        <v>2189</v>
      </c>
      <c r="C111" s="828">
        <v>2242000.6362999999</v>
      </c>
      <c r="D111" s="828">
        <v>4779571.4419999998</v>
      </c>
      <c r="E111" s="829">
        <f t="shared" si="3"/>
        <v>984.46159999999998</v>
      </c>
      <c r="F111" s="825">
        <v>986.43</v>
      </c>
      <c r="H111" s="659">
        <f t="shared" si="5"/>
        <v>986.43</v>
      </c>
      <c r="J111" s="501" t="s">
        <v>2134</v>
      </c>
      <c r="K111" s="825">
        <v>984.2</v>
      </c>
    </row>
    <row r="112" spans="2:11">
      <c r="B112" s="828" t="s">
        <v>2190</v>
      </c>
      <c r="C112" s="828">
        <v>2242024.6913000001</v>
      </c>
      <c r="D112" s="828">
        <v>4779540.5904000001</v>
      </c>
      <c r="E112" s="829">
        <f t="shared" si="3"/>
        <v>989.72160000000008</v>
      </c>
      <c r="F112" s="825">
        <v>991.69</v>
      </c>
      <c r="H112" s="659">
        <f t="shared" si="5"/>
        <v>991.69</v>
      </c>
      <c r="J112" s="501"/>
      <c r="K112" s="825"/>
    </row>
    <row r="113" spans="2:11">
      <c r="B113" s="828" t="s">
        <v>2191</v>
      </c>
      <c r="C113" s="828">
        <v>2241994.4268</v>
      </c>
      <c r="D113" s="828">
        <v>4779550.4653000003</v>
      </c>
      <c r="E113" s="829">
        <f t="shared" si="3"/>
        <v>984.12160000000006</v>
      </c>
      <c r="F113" s="825">
        <v>986.09</v>
      </c>
      <c r="H113" s="659">
        <f t="shared" si="5"/>
        <v>986.09</v>
      </c>
      <c r="J113" s="501" t="s">
        <v>2103</v>
      </c>
      <c r="K113" s="825">
        <v>985.88</v>
      </c>
    </row>
    <row r="114" spans="2:11">
      <c r="B114" s="828" t="s">
        <v>2195</v>
      </c>
      <c r="C114" s="828">
        <v>2241972.0197999999</v>
      </c>
      <c r="D114" s="828">
        <v>4779529.1142999995</v>
      </c>
      <c r="E114" s="829">
        <f t="shared" si="3"/>
        <v>983.04160000000002</v>
      </c>
      <c r="F114" s="825">
        <v>985.01</v>
      </c>
      <c r="H114" s="659">
        <f t="shared" si="5"/>
        <v>985.01</v>
      </c>
      <c r="J114" s="501" t="s">
        <v>2133</v>
      </c>
      <c r="K114" s="825">
        <v>984.65</v>
      </c>
    </row>
    <row r="115" spans="2:11">
      <c r="B115" s="828" t="s">
        <v>2193</v>
      </c>
      <c r="C115" s="828">
        <v>2241978.6178000001</v>
      </c>
      <c r="D115" s="828">
        <v>4779555.0702999998</v>
      </c>
      <c r="E115" s="829">
        <f t="shared" si="3"/>
        <v>983.13160000000005</v>
      </c>
      <c r="F115" s="825">
        <v>985.1</v>
      </c>
      <c r="H115" s="659">
        <f t="shared" si="5"/>
        <v>985.1</v>
      </c>
      <c r="J115" s="501"/>
      <c r="K115" s="825"/>
    </row>
    <row r="116" spans="2:11">
      <c r="B116" s="828" t="s">
        <v>2194</v>
      </c>
      <c r="C116" s="828">
        <v>2241988.6228</v>
      </c>
      <c r="D116" s="828">
        <v>4779598.9023000002</v>
      </c>
      <c r="E116" s="829">
        <f t="shared" si="3"/>
        <v>982.84159999999997</v>
      </c>
      <c r="F116" s="825">
        <v>984.81</v>
      </c>
      <c r="H116" s="659">
        <f t="shared" si="5"/>
        <v>984.81</v>
      </c>
      <c r="J116" s="501" t="s">
        <v>72</v>
      </c>
      <c r="K116" s="825">
        <v>990.56</v>
      </c>
    </row>
    <row r="117" spans="2:11">
      <c r="B117" s="828" t="s">
        <v>2195</v>
      </c>
      <c r="C117" s="828">
        <v>2241972.0118</v>
      </c>
      <c r="D117" s="828">
        <v>4779527.2763</v>
      </c>
      <c r="E117" s="829">
        <f t="shared" si="3"/>
        <v>983.04160000000002</v>
      </c>
      <c r="F117" s="825">
        <v>985.01</v>
      </c>
      <c r="H117" s="659">
        <f t="shared" si="5"/>
        <v>985.01</v>
      </c>
      <c r="J117" s="501" t="s">
        <v>73</v>
      </c>
      <c r="K117" s="825">
        <v>987.63</v>
      </c>
    </row>
    <row r="118" spans="2:11">
      <c r="B118" s="828" t="s">
        <v>2196</v>
      </c>
      <c r="C118" s="828">
        <v>2241967.8388</v>
      </c>
      <c r="D118" s="828">
        <v>4779530.8213</v>
      </c>
      <c r="E118" s="829">
        <f t="shared" si="3"/>
        <v>982.28160000000003</v>
      </c>
      <c r="F118" s="825">
        <v>984.25</v>
      </c>
      <c r="H118" s="659">
        <f t="shared" si="5"/>
        <v>984.25</v>
      </c>
      <c r="J118" s="501" t="s">
        <v>2071</v>
      </c>
      <c r="K118" s="825">
        <v>987.87</v>
      </c>
    </row>
    <row r="119" spans="2:11">
      <c r="B119" s="828" t="s">
        <v>2197</v>
      </c>
      <c r="C119" s="828">
        <v>2241957.6017999998</v>
      </c>
      <c r="D119" s="828">
        <v>4779493.6042999998</v>
      </c>
      <c r="E119" s="829">
        <f t="shared" si="3"/>
        <v>980.12160000000006</v>
      </c>
      <c r="F119" s="825">
        <v>982.09</v>
      </c>
      <c r="H119" s="659">
        <f t="shared" si="5"/>
        <v>982.09</v>
      </c>
      <c r="J119" s="501" t="s">
        <v>80</v>
      </c>
      <c r="K119" s="825">
        <v>987.89</v>
      </c>
    </row>
    <row r="120" spans="2:11">
      <c r="B120" s="828" t="s">
        <v>2198</v>
      </c>
      <c r="C120" s="828">
        <v>2241952.2398000001</v>
      </c>
      <c r="D120" s="828">
        <v>4779474.4073000001</v>
      </c>
      <c r="E120" s="829">
        <f t="shared" si="3"/>
        <v>979.52160000000003</v>
      </c>
      <c r="F120" s="825">
        <v>981.49</v>
      </c>
      <c r="H120" s="659">
        <f t="shared" si="5"/>
        <v>981.49</v>
      </c>
      <c r="J120" s="501" t="s">
        <v>108</v>
      </c>
      <c r="K120" s="825">
        <v>987.86</v>
      </c>
    </row>
    <row r="121" spans="2:11">
      <c r="B121" s="828" t="s">
        <v>2523</v>
      </c>
      <c r="C121" s="828">
        <v>2241939.8048</v>
      </c>
      <c r="D121" s="828">
        <v>4779420.3003000002</v>
      </c>
      <c r="E121" s="829">
        <f t="shared" si="3"/>
        <v>976.09159999999997</v>
      </c>
      <c r="F121" s="825">
        <v>978.06</v>
      </c>
      <c r="H121" s="659">
        <f t="shared" si="5"/>
        <v>978.06</v>
      </c>
      <c r="J121" s="501" t="s">
        <v>87</v>
      </c>
      <c r="K121" s="825">
        <v>984.2</v>
      </c>
    </row>
    <row r="122" spans="2:11">
      <c r="B122" s="828" t="s">
        <v>2199</v>
      </c>
      <c r="C122" s="828">
        <v>2242019.5666</v>
      </c>
      <c r="D122" s="828">
        <v>4779505.8229999999</v>
      </c>
      <c r="E122" s="829">
        <f t="shared" si="3"/>
        <v>989.45159999999998</v>
      </c>
      <c r="F122" s="825">
        <v>991.42</v>
      </c>
      <c r="H122" s="659">
        <f t="shared" si="5"/>
        <v>991.42</v>
      </c>
      <c r="J122" s="501" t="s">
        <v>2326</v>
      </c>
      <c r="K122" s="825">
        <v>985.98</v>
      </c>
    </row>
    <row r="123" spans="2:11">
      <c r="B123" s="828" t="s">
        <v>2200</v>
      </c>
      <c r="C123" s="828">
        <v>2241975.0838000001</v>
      </c>
      <c r="D123" s="828">
        <v>4779409.0182999996</v>
      </c>
      <c r="E123" s="829">
        <f t="shared" si="3"/>
        <v>984.64160000000004</v>
      </c>
      <c r="F123" s="825">
        <v>986.61</v>
      </c>
      <c r="H123" s="659">
        <f t="shared" si="5"/>
        <v>986.61</v>
      </c>
      <c r="J123" s="501" t="s">
        <v>2365</v>
      </c>
      <c r="K123" s="825">
        <v>985.33</v>
      </c>
    </row>
    <row r="124" spans="2:11">
      <c r="B124" s="828" t="s">
        <v>2201</v>
      </c>
      <c r="C124" s="828">
        <v>2241923.3439000002</v>
      </c>
      <c r="D124" s="828">
        <v>4779308.6341000004</v>
      </c>
      <c r="E124" s="829">
        <f t="shared" si="3"/>
        <v>982.22160000000008</v>
      </c>
      <c r="F124" s="825">
        <v>984.19</v>
      </c>
      <c r="H124" s="659">
        <f t="shared" si="5"/>
        <v>984.19</v>
      </c>
      <c r="J124" s="501" t="s">
        <v>2366</v>
      </c>
      <c r="K124" s="825">
        <v>984.1</v>
      </c>
    </row>
    <row r="125" spans="2:11">
      <c r="B125" s="828" t="s">
        <v>2518</v>
      </c>
      <c r="C125" s="828">
        <v>2241912.0164000001</v>
      </c>
      <c r="D125" s="828">
        <v>4779242.2562999995</v>
      </c>
      <c r="E125" s="829">
        <f t="shared" si="3"/>
        <v>979.21159999999998</v>
      </c>
      <c r="F125" s="825">
        <v>981.18</v>
      </c>
      <c r="H125" s="659">
        <f t="shared" si="5"/>
        <v>981.18</v>
      </c>
      <c r="J125" s="501" t="s">
        <v>2367</v>
      </c>
      <c r="K125" s="825">
        <v>980.7</v>
      </c>
    </row>
    <row r="126" spans="2:11">
      <c r="B126" s="828" t="s">
        <v>2202</v>
      </c>
      <c r="C126" s="828">
        <v>2242027.9358000001</v>
      </c>
      <c r="D126" s="828">
        <v>4779581.7372000003</v>
      </c>
      <c r="E126" s="829">
        <f t="shared" si="3"/>
        <v>988.03160000000003</v>
      </c>
      <c r="F126" s="825">
        <v>990</v>
      </c>
      <c r="H126" s="659">
        <f t="shared" si="5"/>
        <v>990</v>
      </c>
      <c r="J126" s="501" t="s">
        <v>2369</v>
      </c>
      <c r="K126" s="825">
        <v>977.85</v>
      </c>
    </row>
    <row r="127" spans="2:11">
      <c r="B127" s="828" t="s">
        <v>2203</v>
      </c>
      <c r="C127" s="828">
        <v>2242004.6718000001</v>
      </c>
      <c r="D127" s="828">
        <v>4779592.2433000002</v>
      </c>
      <c r="E127" s="829">
        <f t="shared" si="3"/>
        <v>984.40160000000003</v>
      </c>
      <c r="F127" s="825">
        <v>986.37</v>
      </c>
      <c r="H127" s="659">
        <f t="shared" si="5"/>
        <v>986.37</v>
      </c>
      <c r="J127" s="501" t="s">
        <v>2368</v>
      </c>
      <c r="K127" s="825">
        <v>976.58</v>
      </c>
    </row>
    <row r="128" spans="2:11">
      <c r="B128" s="828" t="s">
        <v>2204</v>
      </c>
      <c r="C128" s="828">
        <v>2242005.6238000002</v>
      </c>
      <c r="D128" s="828">
        <v>4779744.6003</v>
      </c>
      <c r="E128" s="829">
        <f t="shared" si="3"/>
        <v>969.24160000000006</v>
      </c>
      <c r="F128" s="825">
        <v>971.21</v>
      </c>
      <c r="H128" s="659">
        <f t="shared" si="5"/>
        <v>971.21</v>
      </c>
      <c r="J128" s="501" t="s">
        <v>2072</v>
      </c>
      <c r="K128" s="825">
        <v>979.02</v>
      </c>
    </row>
    <row r="129" spans="2:11">
      <c r="B129" s="828" t="s">
        <v>2205</v>
      </c>
      <c r="C129" s="828">
        <v>2242050.2212999999</v>
      </c>
      <c r="D129" s="828">
        <v>4779668.4616999999</v>
      </c>
      <c r="E129" s="829">
        <f t="shared" si="3"/>
        <v>981.83159999999998</v>
      </c>
      <c r="F129" s="825">
        <v>983.8</v>
      </c>
      <c r="H129" s="659">
        <f t="shared" si="5"/>
        <v>983.8</v>
      </c>
      <c r="J129" s="501" t="s">
        <v>2327</v>
      </c>
      <c r="K129" s="825">
        <v>975.82</v>
      </c>
    </row>
    <row r="130" spans="2:11">
      <c r="B130" s="828" t="s">
        <v>2517</v>
      </c>
      <c r="C130" s="828">
        <v>2242189.5455</v>
      </c>
      <c r="D130" s="828">
        <v>4779743.0702999998</v>
      </c>
      <c r="E130" s="829">
        <f t="shared" ref="E130:E193" si="6">+F130-$P$7</f>
        <v>985.19159999999999</v>
      </c>
      <c r="F130" s="825">
        <v>987.16</v>
      </c>
      <c r="H130" s="659">
        <f t="shared" ref="H130:H161" si="7">+VLOOKUP(B130,$J$1:$K$490,2,FALSE)</f>
        <v>987.16</v>
      </c>
      <c r="J130" s="501"/>
      <c r="K130" s="825"/>
    </row>
    <row r="131" spans="2:11">
      <c r="B131" s="828" t="s">
        <v>2206</v>
      </c>
      <c r="C131" s="828">
        <v>2242177.7777999998</v>
      </c>
      <c r="D131" s="828">
        <v>4779865.2543000001</v>
      </c>
      <c r="E131" s="829">
        <f t="shared" si="6"/>
        <v>984.07159999999999</v>
      </c>
      <c r="F131" s="825">
        <v>986.04</v>
      </c>
      <c r="H131" s="659">
        <f t="shared" si="7"/>
        <v>986.04</v>
      </c>
      <c r="J131" s="501" t="s">
        <v>76</v>
      </c>
      <c r="K131" s="825">
        <v>991.34</v>
      </c>
    </row>
    <row r="132" spans="2:11">
      <c r="B132" s="828" t="s">
        <v>2516</v>
      </c>
      <c r="C132" s="828">
        <v>2242138.2703999998</v>
      </c>
      <c r="D132" s="828">
        <v>4779769.5081000002</v>
      </c>
      <c r="E132" s="829">
        <f t="shared" si="6"/>
        <v>983.4316</v>
      </c>
      <c r="F132" s="825">
        <v>985.4</v>
      </c>
      <c r="H132" s="659">
        <f t="shared" si="7"/>
        <v>985.4</v>
      </c>
      <c r="J132" s="501"/>
      <c r="K132" s="825"/>
    </row>
    <row r="133" spans="2:11">
      <c r="B133" s="828" t="s">
        <v>2516</v>
      </c>
      <c r="C133" s="828">
        <v>2242143.9268</v>
      </c>
      <c r="D133" s="828">
        <v>4779748.8963000001</v>
      </c>
      <c r="E133" s="829">
        <f t="shared" si="6"/>
        <v>983.4316</v>
      </c>
      <c r="F133" s="825">
        <v>985.4</v>
      </c>
      <c r="H133" s="659">
        <f t="shared" si="7"/>
        <v>985.4</v>
      </c>
      <c r="J133" s="501" t="s">
        <v>117</v>
      </c>
      <c r="K133" s="825">
        <v>992.85</v>
      </c>
    </row>
    <row r="134" spans="2:11">
      <c r="B134" s="828" t="s">
        <v>2207</v>
      </c>
      <c r="C134" s="828">
        <v>2242114.9177999999</v>
      </c>
      <c r="D134" s="828">
        <v>4779761.8702999996</v>
      </c>
      <c r="E134" s="829">
        <f t="shared" si="6"/>
        <v>979.50160000000005</v>
      </c>
      <c r="F134" s="825">
        <v>981.47</v>
      </c>
      <c r="H134" s="659">
        <f t="shared" si="7"/>
        <v>981.47</v>
      </c>
      <c r="J134" s="501"/>
      <c r="K134" s="825"/>
    </row>
    <row r="135" spans="2:11">
      <c r="B135" s="828" t="s">
        <v>2208</v>
      </c>
      <c r="C135" s="828">
        <v>2242089.0247999998</v>
      </c>
      <c r="D135" s="828">
        <v>4779769.7553000003</v>
      </c>
      <c r="E135" s="829">
        <f t="shared" si="6"/>
        <v>975.32159999999999</v>
      </c>
      <c r="F135" s="825">
        <v>977.29</v>
      </c>
      <c r="H135" s="659">
        <f t="shared" si="7"/>
        <v>977.29</v>
      </c>
      <c r="J135" s="501" t="s">
        <v>73</v>
      </c>
      <c r="K135" s="825">
        <v>987.63</v>
      </c>
    </row>
    <row r="136" spans="2:11">
      <c r="B136" s="828" t="s">
        <v>2209</v>
      </c>
      <c r="C136" s="828">
        <v>2242056.5957999998</v>
      </c>
      <c r="D136" s="828">
        <v>4779733.6913000001</v>
      </c>
      <c r="E136" s="829">
        <f t="shared" si="6"/>
        <v>972.65160000000003</v>
      </c>
      <c r="F136" s="825">
        <v>974.62</v>
      </c>
      <c r="H136" s="659">
        <f t="shared" si="7"/>
        <v>974.62</v>
      </c>
      <c r="J136" s="501"/>
      <c r="K136" s="825"/>
    </row>
    <row r="137" spans="2:11">
      <c r="B137" s="828" t="s">
        <v>2210</v>
      </c>
      <c r="C137" s="828">
        <v>2242040.8938000002</v>
      </c>
      <c r="D137" s="828">
        <v>4779739.3073000005</v>
      </c>
      <c r="E137" s="829">
        <f t="shared" si="6"/>
        <v>971.75160000000005</v>
      </c>
      <c r="F137" s="825">
        <v>973.72</v>
      </c>
      <c r="H137" s="659">
        <f t="shared" si="7"/>
        <v>973.72</v>
      </c>
      <c r="J137" s="501" t="s">
        <v>2322</v>
      </c>
      <c r="K137" s="825">
        <v>986.71</v>
      </c>
    </row>
    <row r="138" spans="2:11">
      <c r="B138" s="828" t="s">
        <v>2211</v>
      </c>
      <c r="C138" s="828">
        <v>2242038.5018000002</v>
      </c>
      <c r="D138" s="828">
        <v>4779737.6832999997</v>
      </c>
      <c r="E138" s="829">
        <f t="shared" si="6"/>
        <v>971.58159999999998</v>
      </c>
      <c r="F138" s="825">
        <v>973.55</v>
      </c>
      <c r="H138" s="659">
        <f t="shared" si="7"/>
        <v>973.55</v>
      </c>
      <c r="J138" s="501"/>
      <c r="K138" s="825"/>
    </row>
    <row r="139" spans="2:11">
      <c r="B139" s="828" t="s">
        <v>2212</v>
      </c>
      <c r="C139" s="828">
        <v>2242003.6088</v>
      </c>
      <c r="D139" s="828">
        <v>4779742.1662999997</v>
      </c>
      <c r="E139" s="829">
        <f t="shared" si="6"/>
        <v>969.23160000000007</v>
      </c>
      <c r="F139" s="825">
        <v>971.2</v>
      </c>
      <c r="H139" s="659">
        <f t="shared" si="7"/>
        <v>971.2</v>
      </c>
      <c r="J139" s="501" t="s">
        <v>2177</v>
      </c>
      <c r="K139" s="825">
        <v>989.29</v>
      </c>
    </row>
    <row r="140" spans="2:11">
      <c r="B140" s="828" t="s">
        <v>2213</v>
      </c>
      <c r="C140" s="828">
        <v>2242043.8157000002</v>
      </c>
      <c r="D140" s="828">
        <v>4779740.6796000004</v>
      </c>
      <c r="E140" s="829">
        <f t="shared" si="6"/>
        <v>971.91160000000002</v>
      </c>
      <c r="F140" s="825">
        <v>973.88</v>
      </c>
      <c r="H140" s="659">
        <f t="shared" si="7"/>
        <v>973.88</v>
      </c>
      <c r="J140" s="501" t="s">
        <v>2178</v>
      </c>
      <c r="K140" s="825">
        <v>988.85</v>
      </c>
    </row>
    <row r="141" spans="2:11">
      <c r="B141" s="828" t="s">
        <v>2214</v>
      </c>
      <c r="C141" s="828">
        <v>2242078.3358</v>
      </c>
      <c r="D141" s="828">
        <v>4779777.3652999997</v>
      </c>
      <c r="E141" s="829">
        <f t="shared" si="6"/>
        <v>976.22160000000008</v>
      </c>
      <c r="F141" s="825">
        <v>978.19</v>
      </c>
      <c r="H141" s="659">
        <f t="shared" si="7"/>
        <v>978.19</v>
      </c>
      <c r="J141" s="501"/>
      <c r="K141" s="825"/>
    </row>
    <row r="142" spans="2:11">
      <c r="B142" s="828" t="s">
        <v>2363</v>
      </c>
      <c r="C142" s="828">
        <v>2242148.8237999999</v>
      </c>
      <c r="D142" s="828">
        <v>4779666.7052999996</v>
      </c>
      <c r="E142" s="829">
        <f t="shared" si="6"/>
        <v>987.15160000000003</v>
      </c>
      <c r="F142" s="825">
        <v>989.12</v>
      </c>
      <c r="H142" s="659">
        <f t="shared" si="7"/>
        <v>989.12</v>
      </c>
      <c r="J142" s="501" t="s">
        <v>83</v>
      </c>
      <c r="K142" s="825">
        <v>990.51</v>
      </c>
    </row>
    <row r="143" spans="2:11">
      <c r="B143" s="828" t="s">
        <v>2215</v>
      </c>
      <c r="C143" s="828">
        <v>2242129.0588000002</v>
      </c>
      <c r="D143" s="828">
        <v>4779676.2033000002</v>
      </c>
      <c r="E143" s="829">
        <f t="shared" si="6"/>
        <v>985.04160000000002</v>
      </c>
      <c r="F143" s="825">
        <v>987.01</v>
      </c>
      <c r="H143" s="659">
        <f t="shared" si="7"/>
        <v>987.01</v>
      </c>
      <c r="J143" s="501" t="s">
        <v>84</v>
      </c>
      <c r="K143" s="825">
        <v>985.46</v>
      </c>
    </row>
    <row r="144" spans="2:11">
      <c r="B144" s="828" t="s">
        <v>2216</v>
      </c>
      <c r="C144" s="828">
        <v>2242101.3928</v>
      </c>
      <c r="D144" s="828">
        <v>4779685.0302999998</v>
      </c>
      <c r="E144" s="829">
        <f t="shared" si="6"/>
        <v>982.99160000000006</v>
      </c>
      <c r="F144" s="825">
        <v>984.96</v>
      </c>
      <c r="H144" s="659">
        <f t="shared" si="7"/>
        <v>984.96</v>
      </c>
      <c r="J144" s="501"/>
      <c r="K144" s="825"/>
    </row>
    <row r="145" spans="2:11">
      <c r="B145" s="828" t="s">
        <v>2217</v>
      </c>
      <c r="C145" s="828">
        <v>2242063.5666999999</v>
      </c>
      <c r="D145" s="828">
        <v>4779694.9831999997</v>
      </c>
      <c r="E145" s="829">
        <f t="shared" si="6"/>
        <v>980.73160000000007</v>
      </c>
      <c r="F145" s="825">
        <v>982.7</v>
      </c>
      <c r="H145" s="659">
        <f t="shared" si="7"/>
        <v>982.7</v>
      </c>
      <c r="J145" s="501" t="s">
        <v>112</v>
      </c>
      <c r="K145" s="825">
        <v>995.49</v>
      </c>
    </row>
    <row r="146" spans="2:11">
      <c r="B146" s="828" t="s">
        <v>2218</v>
      </c>
      <c r="C146" s="828">
        <v>2242041.3088000002</v>
      </c>
      <c r="D146" s="828">
        <v>4779700.8393000001</v>
      </c>
      <c r="E146" s="829">
        <f t="shared" si="6"/>
        <v>980.16160000000002</v>
      </c>
      <c r="F146" s="825">
        <v>982.13</v>
      </c>
      <c r="H146" s="659">
        <f t="shared" si="7"/>
        <v>982.13</v>
      </c>
      <c r="J146" s="501" t="s">
        <v>113</v>
      </c>
      <c r="K146" s="825">
        <v>994.85</v>
      </c>
    </row>
    <row r="147" spans="2:11">
      <c r="B147" s="828" t="s">
        <v>2219</v>
      </c>
      <c r="C147" s="828">
        <v>2241988.5707999999</v>
      </c>
      <c r="D147" s="828">
        <v>4779713.8183000004</v>
      </c>
      <c r="E147" s="829">
        <f t="shared" si="6"/>
        <v>976.38160000000005</v>
      </c>
      <c r="F147" s="825">
        <v>978.35</v>
      </c>
      <c r="H147" s="659">
        <f t="shared" si="7"/>
        <v>978.35</v>
      </c>
      <c r="J147" s="501" t="s">
        <v>116</v>
      </c>
      <c r="K147" s="825">
        <v>994.55</v>
      </c>
    </row>
    <row r="148" spans="2:11">
      <c r="B148" s="828" t="s">
        <v>2220</v>
      </c>
      <c r="C148" s="828">
        <v>2241974.0268000001</v>
      </c>
      <c r="D148" s="828">
        <v>4779717.9802999999</v>
      </c>
      <c r="E148" s="829">
        <f t="shared" si="6"/>
        <v>967.08159999999998</v>
      </c>
      <c r="F148" s="825">
        <v>969.05</v>
      </c>
      <c r="H148" s="659">
        <f t="shared" si="7"/>
        <v>969.05</v>
      </c>
      <c r="J148" s="501" t="s">
        <v>117</v>
      </c>
      <c r="K148" s="825">
        <v>992.85</v>
      </c>
    </row>
    <row r="149" spans="2:11">
      <c r="B149" s="828" t="s">
        <v>2221</v>
      </c>
      <c r="C149" s="828">
        <v>2242063.4078000002</v>
      </c>
      <c r="D149" s="828">
        <v>4779599.2323000003</v>
      </c>
      <c r="E149" s="829">
        <f t="shared" si="6"/>
        <v>987.17160000000001</v>
      </c>
      <c r="F149" s="825">
        <v>989.14</v>
      </c>
      <c r="H149" s="659">
        <f t="shared" si="7"/>
        <v>989.14</v>
      </c>
      <c r="J149" s="501" t="s">
        <v>92</v>
      </c>
      <c r="K149" s="825">
        <v>989.73</v>
      </c>
    </row>
    <row r="150" spans="2:11">
      <c r="B150" s="828" t="s">
        <v>2222</v>
      </c>
      <c r="C150" s="828">
        <v>2241996.1948000002</v>
      </c>
      <c r="D150" s="828">
        <v>4779631.3633000003</v>
      </c>
      <c r="E150" s="829">
        <f t="shared" si="6"/>
        <v>982.51160000000004</v>
      </c>
      <c r="F150" s="825">
        <v>984.48</v>
      </c>
      <c r="H150" s="659">
        <f t="shared" si="7"/>
        <v>984.48</v>
      </c>
      <c r="J150" s="501"/>
      <c r="K150" s="825"/>
    </row>
    <row r="151" spans="2:11">
      <c r="B151" s="828" t="s">
        <v>2223</v>
      </c>
      <c r="C151" s="828">
        <v>2241975.8278000001</v>
      </c>
      <c r="D151" s="828">
        <v>4779641.1183000002</v>
      </c>
      <c r="E151" s="829">
        <f t="shared" si="6"/>
        <v>975.91160000000002</v>
      </c>
      <c r="F151" s="825">
        <v>977.88</v>
      </c>
      <c r="H151" s="659">
        <f t="shared" si="7"/>
        <v>977.88</v>
      </c>
      <c r="J151" s="501" t="s">
        <v>2181</v>
      </c>
      <c r="K151" s="825">
        <v>988.84</v>
      </c>
    </row>
    <row r="152" spans="2:11">
      <c r="B152" s="828" t="s">
        <v>2224</v>
      </c>
      <c r="C152" s="828">
        <v>2241959.4358000001</v>
      </c>
      <c r="D152" s="828">
        <v>4779648.2893000003</v>
      </c>
      <c r="E152" s="829">
        <f t="shared" si="6"/>
        <v>968.35160000000008</v>
      </c>
      <c r="F152" s="825">
        <v>970.32</v>
      </c>
      <c r="H152" s="659">
        <f t="shared" si="7"/>
        <v>970.32</v>
      </c>
      <c r="J152" s="501" t="s">
        <v>2182</v>
      </c>
      <c r="K152" s="825">
        <v>988.62</v>
      </c>
    </row>
    <row r="153" spans="2:11">
      <c r="B153" s="828" t="s">
        <v>2225</v>
      </c>
      <c r="C153" s="828">
        <v>2241948.1058</v>
      </c>
      <c r="D153" s="828">
        <v>4779652.6492999997</v>
      </c>
      <c r="E153" s="829">
        <f t="shared" si="6"/>
        <v>967.28160000000003</v>
      </c>
      <c r="F153" s="825">
        <v>969.25</v>
      </c>
      <c r="H153" s="659">
        <f t="shared" si="7"/>
        <v>969.25</v>
      </c>
      <c r="J153" s="501" t="s">
        <v>88</v>
      </c>
      <c r="K153" s="825">
        <v>986.34</v>
      </c>
    </row>
    <row r="154" spans="2:11">
      <c r="B154" s="828" t="s">
        <v>2226</v>
      </c>
      <c r="C154" s="828">
        <v>2241970.3857999998</v>
      </c>
      <c r="D154" s="828">
        <v>4779718.8832999999</v>
      </c>
      <c r="E154" s="829">
        <f t="shared" si="6"/>
        <v>967.34159999999997</v>
      </c>
      <c r="F154" s="825">
        <v>969.31</v>
      </c>
      <c r="H154" s="659">
        <f t="shared" si="7"/>
        <v>969.31</v>
      </c>
      <c r="J154" s="501" t="s">
        <v>89</v>
      </c>
      <c r="K154" s="825">
        <v>985.12</v>
      </c>
    </row>
    <row r="155" spans="2:11">
      <c r="B155" s="828" t="s">
        <v>2227</v>
      </c>
      <c r="C155" s="828">
        <v>2241988.0427999999</v>
      </c>
      <c r="D155" s="828">
        <v>4779762.3391000004</v>
      </c>
      <c r="E155" s="829">
        <f t="shared" si="6"/>
        <v>967.33159999999998</v>
      </c>
      <c r="F155" s="825">
        <v>969.3</v>
      </c>
      <c r="H155" s="659">
        <f t="shared" si="7"/>
        <v>969.3</v>
      </c>
      <c r="J155" s="501"/>
      <c r="K155" s="825"/>
    </row>
    <row r="156" spans="2:11">
      <c r="B156" s="828" t="s">
        <v>2228</v>
      </c>
      <c r="C156" s="828">
        <v>2242021.1208000001</v>
      </c>
      <c r="D156" s="828">
        <v>4779827.4203000003</v>
      </c>
      <c r="E156" s="829">
        <f t="shared" si="6"/>
        <v>966.79160000000002</v>
      </c>
      <c r="F156" s="825">
        <v>968.76</v>
      </c>
      <c r="H156" s="659">
        <f t="shared" si="7"/>
        <v>968.76</v>
      </c>
      <c r="J156" s="501" t="s">
        <v>2178</v>
      </c>
      <c r="K156" s="825">
        <v>988.85</v>
      </c>
    </row>
    <row r="157" spans="2:11">
      <c r="B157" s="828" t="s">
        <v>2510</v>
      </c>
      <c r="C157" s="828">
        <v>2241929.3648000001</v>
      </c>
      <c r="D157" s="828">
        <v>4779464.4863</v>
      </c>
      <c r="E157" s="829">
        <f t="shared" si="6"/>
        <v>968.95159999999998</v>
      </c>
      <c r="F157" s="825">
        <v>970.92</v>
      </c>
      <c r="H157" s="659">
        <f t="shared" si="7"/>
        <v>970.92</v>
      </c>
      <c r="J157" s="501" t="s">
        <v>2179</v>
      </c>
      <c r="K157" s="825">
        <v>987.7</v>
      </c>
    </row>
    <row r="158" spans="2:11">
      <c r="B158" s="828" t="s">
        <v>2511</v>
      </c>
      <c r="C158" s="828">
        <v>2241933.5098000001</v>
      </c>
      <c r="D158" s="828">
        <v>4779488.1573000001</v>
      </c>
      <c r="E158" s="829">
        <f t="shared" si="6"/>
        <v>968.79160000000002</v>
      </c>
      <c r="F158" s="825">
        <v>970.76</v>
      </c>
      <c r="H158" s="659">
        <f t="shared" si="7"/>
        <v>970.76</v>
      </c>
      <c r="J158" s="501" t="s">
        <v>2180</v>
      </c>
      <c r="K158" s="825">
        <v>987.63</v>
      </c>
    </row>
    <row r="159" spans="2:11">
      <c r="B159" s="828" t="s">
        <v>2512</v>
      </c>
      <c r="C159" s="828">
        <v>2241936.2348000002</v>
      </c>
      <c r="D159" s="828">
        <v>4779511.9533000002</v>
      </c>
      <c r="E159" s="829">
        <f t="shared" si="6"/>
        <v>968.79160000000002</v>
      </c>
      <c r="F159" s="825">
        <v>970.76</v>
      </c>
      <c r="H159" s="659">
        <f t="shared" si="7"/>
        <v>970.76</v>
      </c>
      <c r="J159" s="501" t="s">
        <v>93</v>
      </c>
      <c r="K159" s="825">
        <v>985.45</v>
      </c>
    </row>
    <row r="160" spans="2:11">
      <c r="B160" s="828" t="s">
        <v>2229</v>
      </c>
      <c r="C160" s="828">
        <v>2241943.4561999999</v>
      </c>
      <c r="D160" s="828">
        <v>4779542.6122000003</v>
      </c>
      <c r="E160" s="829">
        <f t="shared" si="6"/>
        <v>973.49160000000006</v>
      </c>
      <c r="F160" s="825">
        <v>975.46</v>
      </c>
      <c r="H160" s="659">
        <f t="shared" si="7"/>
        <v>975.46</v>
      </c>
      <c r="J160" s="501"/>
      <c r="K160" s="825"/>
    </row>
    <row r="161" spans="2:11">
      <c r="B161" s="828" t="s">
        <v>2513</v>
      </c>
      <c r="C161" s="828">
        <v>2241921.7752999999</v>
      </c>
      <c r="D161" s="828">
        <v>4779553.2308</v>
      </c>
      <c r="E161" s="829">
        <f t="shared" si="6"/>
        <v>968.1816</v>
      </c>
      <c r="F161" s="825">
        <v>970.15</v>
      </c>
      <c r="H161" s="659">
        <f t="shared" si="7"/>
        <v>970.15</v>
      </c>
      <c r="J161" s="501" t="s">
        <v>92</v>
      </c>
      <c r="K161" s="825">
        <v>989.73</v>
      </c>
    </row>
    <row r="162" spans="2:11">
      <c r="B162" s="828" t="s">
        <v>2337</v>
      </c>
      <c r="C162" s="828">
        <v>2241917.1458000001</v>
      </c>
      <c r="D162" s="828">
        <v>4779555.2572999997</v>
      </c>
      <c r="E162" s="829">
        <f t="shared" si="6"/>
        <v>968.20159999999998</v>
      </c>
      <c r="F162" s="825">
        <v>970.17</v>
      </c>
      <c r="H162" s="659">
        <f t="shared" ref="H162:H180" si="8">+VLOOKUP(B162,$J$1:$K$490,2,FALSE)</f>
        <v>970.17</v>
      </c>
      <c r="J162" s="501"/>
      <c r="K162" s="825"/>
    </row>
    <row r="163" spans="2:11">
      <c r="B163" s="828" t="s">
        <v>2230</v>
      </c>
      <c r="C163" s="828">
        <v>2241937.0068000001</v>
      </c>
      <c r="D163" s="828">
        <v>4779537.2812999999</v>
      </c>
      <c r="E163" s="829">
        <f t="shared" si="6"/>
        <v>968.86160000000007</v>
      </c>
      <c r="F163" s="825">
        <v>970.83</v>
      </c>
      <c r="H163" s="659">
        <f t="shared" si="8"/>
        <v>970.83</v>
      </c>
      <c r="J163" s="501" t="s">
        <v>2140</v>
      </c>
      <c r="K163" s="825">
        <v>985.65</v>
      </c>
    </row>
    <row r="164" spans="2:11">
      <c r="B164" s="828" t="s">
        <v>2514</v>
      </c>
      <c r="C164" s="828">
        <v>2241923.9218000001</v>
      </c>
      <c r="D164" s="828">
        <v>4779540.1923000002</v>
      </c>
      <c r="E164" s="829">
        <f t="shared" si="6"/>
        <v>968.84159999999997</v>
      </c>
      <c r="F164" s="825">
        <v>970.81</v>
      </c>
      <c r="H164" s="659">
        <f t="shared" si="8"/>
        <v>970.81</v>
      </c>
      <c r="J164" s="501" t="s">
        <v>2141</v>
      </c>
      <c r="K164" s="825">
        <v>985.07</v>
      </c>
    </row>
    <row r="165" spans="2:11">
      <c r="B165" s="828"/>
      <c r="C165" s="828">
        <v>2242250.6298000002</v>
      </c>
      <c r="D165" s="828">
        <v>4779616.9033000004</v>
      </c>
      <c r="E165" s="829" t="e">
        <f t="shared" si="6"/>
        <v>#N/A</v>
      </c>
      <c r="F165" s="825" t="e">
        <v>#N/A</v>
      </c>
      <c r="H165" s="659" t="e">
        <f t="shared" si="8"/>
        <v>#N/A</v>
      </c>
      <c r="J165" s="501" t="s">
        <v>2142</v>
      </c>
      <c r="K165" s="825">
        <v>984.66</v>
      </c>
    </row>
    <row r="166" spans="2:11">
      <c r="B166" s="828" t="s">
        <v>2231</v>
      </c>
      <c r="C166" s="828">
        <v>2242222.2207999998</v>
      </c>
      <c r="D166" s="828">
        <v>4779556.2462999998</v>
      </c>
      <c r="E166" s="829">
        <f t="shared" si="6"/>
        <v>990.89160000000004</v>
      </c>
      <c r="F166" s="825">
        <v>992.86</v>
      </c>
      <c r="H166" s="659">
        <f t="shared" si="8"/>
        <v>992.86</v>
      </c>
      <c r="J166" s="501" t="s">
        <v>2143</v>
      </c>
      <c r="K166" s="825">
        <v>984.36</v>
      </c>
    </row>
    <row r="167" spans="2:11">
      <c r="B167" s="828" t="s">
        <v>2232</v>
      </c>
      <c r="C167" s="828">
        <v>2242250.6298000002</v>
      </c>
      <c r="D167" s="828">
        <v>4779616.9033000004</v>
      </c>
      <c r="E167" s="829">
        <f t="shared" si="6"/>
        <v>990.74160000000006</v>
      </c>
      <c r="F167" s="825">
        <v>992.71</v>
      </c>
      <c r="H167" s="659">
        <f t="shared" si="8"/>
        <v>992.71</v>
      </c>
      <c r="J167" s="501" t="s">
        <v>2144</v>
      </c>
      <c r="K167" s="825">
        <v>983.08</v>
      </c>
    </row>
    <row r="168" spans="2:11">
      <c r="B168" s="828" t="s">
        <v>2233</v>
      </c>
      <c r="C168" s="828">
        <v>2242221.2242000001</v>
      </c>
      <c r="D168" s="828">
        <v>4779587.0548999999</v>
      </c>
      <c r="E168" s="829">
        <f t="shared" si="6"/>
        <v>990.39160000000004</v>
      </c>
      <c r="F168" s="825">
        <v>992.36</v>
      </c>
      <c r="H168" s="659">
        <f t="shared" si="8"/>
        <v>992.36</v>
      </c>
      <c r="J168" s="501" t="s">
        <v>2145</v>
      </c>
      <c r="K168" s="825">
        <v>982.1</v>
      </c>
    </row>
    <row r="169" spans="2:11">
      <c r="B169" s="828" t="s">
        <v>2522</v>
      </c>
      <c r="C169" s="828">
        <v>2242205.1468000002</v>
      </c>
      <c r="D169" s="828">
        <v>4779563.5922999997</v>
      </c>
      <c r="E169" s="829">
        <f t="shared" si="6"/>
        <v>990.23160000000007</v>
      </c>
      <c r="F169" s="825">
        <v>992.2</v>
      </c>
      <c r="H169" s="659">
        <f t="shared" si="8"/>
        <v>992.2</v>
      </c>
      <c r="J169" s="501" t="s">
        <v>2146</v>
      </c>
      <c r="K169" s="825">
        <v>980.19</v>
      </c>
    </row>
    <row r="170" spans="2:11">
      <c r="B170" s="828" t="s">
        <v>2521</v>
      </c>
      <c r="C170" s="828">
        <v>2242295.3171000001</v>
      </c>
      <c r="D170" s="828">
        <v>4779624.4435000001</v>
      </c>
      <c r="E170" s="829">
        <f t="shared" si="6"/>
        <v>991.63160000000005</v>
      </c>
      <c r="F170" s="825">
        <v>993.6</v>
      </c>
      <c r="H170" s="659">
        <f t="shared" si="8"/>
        <v>993.6</v>
      </c>
      <c r="J170" s="501"/>
      <c r="K170" s="825"/>
    </row>
    <row r="171" spans="2:11">
      <c r="B171" s="828" t="s">
        <v>2530</v>
      </c>
      <c r="C171" s="828">
        <v>2242309.4298</v>
      </c>
      <c r="D171" s="828">
        <v>4779654.4873000002</v>
      </c>
      <c r="E171" s="829">
        <f t="shared" si="6"/>
        <v>991.49160000000006</v>
      </c>
      <c r="F171" s="825">
        <v>993.46</v>
      </c>
      <c r="H171" s="659">
        <f t="shared" si="8"/>
        <v>993.46</v>
      </c>
      <c r="J171" s="501" t="s">
        <v>2139</v>
      </c>
      <c r="K171" s="825">
        <v>984.89</v>
      </c>
    </row>
    <row r="172" spans="2:11">
      <c r="B172" s="828" t="s">
        <v>2344</v>
      </c>
      <c r="C172" s="828">
        <v>2242333.2338</v>
      </c>
      <c r="D172" s="828">
        <v>4779793.4002999999</v>
      </c>
      <c r="E172" s="829">
        <f t="shared" si="6"/>
        <v>988.13160000000005</v>
      </c>
      <c r="F172" s="825">
        <v>990.1</v>
      </c>
      <c r="H172" s="659">
        <f t="shared" si="8"/>
        <v>990.1</v>
      </c>
      <c r="J172" s="501"/>
      <c r="K172" s="825"/>
    </row>
    <row r="173" spans="2:11">
      <c r="B173" s="828" t="s">
        <v>2234</v>
      </c>
      <c r="C173" s="828">
        <v>2242298.3558</v>
      </c>
      <c r="D173" s="828">
        <v>4779814.2543000001</v>
      </c>
      <c r="E173" s="829">
        <f t="shared" si="6"/>
        <v>988.11160000000007</v>
      </c>
      <c r="F173" s="825">
        <v>990.08</v>
      </c>
      <c r="H173" s="659">
        <f t="shared" si="8"/>
        <v>990.08</v>
      </c>
      <c r="J173" s="501" t="s">
        <v>2138</v>
      </c>
      <c r="K173" s="825">
        <v>984.32</v>
      </c>
    </row>
    <row r="174" spans="2:11">
      <c r="B174" s="828" t="s">
        <v>2364</v>
      </c>
      <c r="C174" s="828">
        <v>2242225.9048000001</v>
      </c>
      <c r="D174" s="828">
        <v>4779844.8362999996</v>
      </c>
      <c r="E174" s="829">
        <f t="shared" si="6"/>
        <v>985.99160000000006</v>
      </c>
      <c r="F174" s="825">
        <v>987.96</v>
      </c>
      <c r="H174" s="659">
        <f t="shared" si="8"/>
        <v>987.96</v>
      </c>
      <c r="J174" s="501"/>
      <c r="K174" s="825"/>
    </row>
    <row r="175" spans="2:11">
      <c r="B175" s="828" t="s">
        <v>2235</v>
      </c>
      <c r="C175" s="828">
        <v>2242247.8467999999</v>
      </c>
      <c r="D175" s="828">
        <v>4779895.9342999998</v>
      </c>
      <c r="E175" s="829">
        <f t="shared" si="6"/>
        <v>986.11160000000007</v>
      </c>
      <c r="F175" s="825">
        <v>988.08</v>
      </c>
      <c r="H175" s="659">
        <f t="shared" si="8"/>
        <v>988.08</v>
      </c>
      <c r="J175" s="501" t="s">
        <v>2137</v>
      </c>
      <c r="K175" s="825">
        <v>983.04</v>
      </c>
    </row>
    <row r="176" spans="2:11">
      <c r="B176" s="828" t="s">
        <v>2236</v>
      </c>
      <c r="C176" s="828">
        <v>2242267.9027999998</v>
      </c>
      <c r="D176" s="828">
        <v>4779942.5033</v>
      </c>
      <c r="E176" s="829">
        <f t="shared" si="6"/>
        <v>985.66160000000002</v>
      </c>
      <c r="F176" s="825">
        <v>987.63</v>
      </c>
      <c r="H176" s="659">
        <f t="shared" si="8"/>
        <v>987.63</v>
      </c>
      <c r="J176" s="501"/>
      <c r="K176" s="825"/>
    </row>
    <row r="177" spans="2:11">
      <c r="B177" s="828" t="s">
        <v>2237</v>
      </c>
      <c r="C177" s="828">
        <v>2242305.5758000002</v>
      </c>
      <c r="D177" s="828">
        <v>4780033.1023000004</v>
      </c>
      <c r="E177" s="829">
        <f t="shared" si="6"/>
        <v>984.71159999999998</v>
      </c>
      <c r="F177" s="825">
        <v>986.68</v>
      </c>
      <c r="H177" s="659">
        <f t="shared" si="8"/>
        <v>986.68</v>
      </c>
      <c r="J177" s="501" t="s">
        <v>2136</v>
      </c>
      <c r="K177" s="825">
        <v>981.74</v>
      </c>
    </row>
    <row r="178" spans="2:11">
      <c r="B178" s="828" t="s">
        <v>2238</v>
      </c>
      <c r="C178" s="828">
        <v>2242231.1398</v>
      </c>
      <c r="D178" s="828">
        <v>4780065.3393000001</v>
      </c>
      <c r="E178" s="829">
        <f t="shared" si="6"/>
        <v>978.80160000000001</v>
      </c>
      <c r="F178" s="825">
        <v>980.77</v>
      </c>
      <c r="H178" s="659">
        <f t="shared" si="8"/>
        <v>980.77</v>
      </c>
      <c r="J178" s="501"/>
      <c r="K178" s="825"/>
    </row>
    <row r="179" spans="2:11">
      <c r="B179" s="828" t="s">
        <v>2239</v>
      </c>
      <c r="C179" s="828">
        <v>2242239.6908</v>
      </c>
      <c r="D179" s="828">
        <v>4779953.8623000002</v>
      </c>
      <c r="E179" s="829">
        <f t="shared" si="6"/>
        <v>984.32159999999999</v>
      </c>
      <c r="F179" s="825">
        <v>986.29</v>
      </c>
      <c r="H179" s="659">
        <f t="shared" si="8"/>
        <v>986.29</v>
      </c>
      <c r="J179" s="501" t="s">
        <v>72</v>
      </c>
      <c r="K179" s="825">
        <v>990.56</v>
      </c>
    </row>
    <row r="180" spans="2:11">
      <c r="B180" s="828" t="s">
        <v>2240</v>
      </c>
      <c r="C180" s="828">
        <v>2242187.3744000001</v>
      </c>
      <c r="D180" s="828">
        <v>4779977.1789999995</v>
      </c>
      <c r="E180" s="829">
        <f t="shared" si="6"/>
        <v>978.9316</v>
      </c>
      <c r="F180" s="825">
        <v>980.9</v>
      </c>
      <c r="H180" s="659">
        <f t="shared" si="8"/>
        <v>980.9</v>
      </c>
      <c r="J180" s="501" t="s">
        <v>2339</v>
      </c>
      <c r="K180" s="825">
        <v>990.78</v>
      </c>
    </row>
    <row r="181" spans="2:11">
      <c r="B181" s="828" t="s">
        <v>2241</v>
      </c>
      <c r="C181" s="829">
        <v>2242192.9997999999</v>
      </c>
      <c r="D181" s="828">
        <v>4780028.0093</v>
      </c>
      <c r="E181" s="829">
        <f t="shared" si="6"/>
        <v>975.9316</v>
      </c>
      <c r="F181" s="825">
        <v>977.9</v>
      </c>
      <c r="H181" s="659">
        <v>977.9</v>
      </c>
      <c r="J181" s="501" t="s">
        <v>2342</v>
      </c>
      <c r="K181" s="825">
        <v>990.44</v>
      </c>
    </row>
    <row r="182" spans="2:11">
      <c r="B182" s="828" t="s">
        <v>2242</v>
      </c>
      <c r="C182" s="828">
        <v>2242204.3138000001</v>
      </c>
      <c r="D182" s="828">
        <v>4780075.6262999997</v>
      </c>
      <c r="E182" s="829">
        <f t="shared" si="6"/>
        <v>973.15160000000003</v>
      </c>
      <c r="F182" s="825">
        <v>975.12</v>
      </c>
      <c r="H182" s="659">
        <f t="shared" ref="H182:H245" si="9">+VLOOKUP(B182,$J$1:$K$490,2,FALSE)</f>
        <v>975.12</v>
      </c>
      <c r="J182" s="501" t="s">
        <v>2363</v>
      </c>
      <c r="K182" s="825">
        <v>989.12</v>
      </c>
    </row>
    <row r="183" spans="2:11">
      <c r="B183" s="828" t="s">
        <v>2243</v>
      </c>
      <c r="C183" s="828">
        <v>2242170.4567999998</v>
      </c>
      <c r="D183" s="828">
        <v>4779959.6482999995</v>
      </c>
      <c r="E183" s="829">
        <f t="shared" si="6"/>
        <v>979.58159999999998</v>
      </c>
      <c r="F183" s="825">
        <v>981.55</v>
      </c>
      <c r="H183" s="659">
        <f t="shared" si="9"/>
        <v>981.55</v>
      </c>
      <c r="J183" s="501" t="s">
        <v>2215</v>
      </c>
      <c r="K183" s="825">
        <v>987.01</v>
      </c>
    </row>
    <row r="184" spans="2:11">
      <c r="B184" s="828" t="s">
        <v>2360</v>
      </c>
      <c r="C184" s="828">
        <v>2242132.7588999998</v>
      </c>
      <c r="D184" s="828">
        <v>4779974.4172999999</v>
      </c>
      <c r="E184" s="829">
        <f t="shared" si="6"/>
        <v>973.78160000000003</v>
      </c>
      <c r="F184" s="825">
        <v>975.75</v>
      </c>
      <c r="H184" s="659">
        <f t="shared" si="9"/>
        <v>975.75</v>
      </c>
      <c r="J184" s="501" t="s">
        <v>2216</v>
      </c>
      <c r="K184" s="825">
        <v>984.96</v>
      </c>
    </row>
    <row r="185" spans="2:11">
      <c r="B185" s="828" t="s">
        <v>2359</v>
      </c>
      <c r="C185" s="828">
        <v>2242102.3975999998</v>
      </c>
      <c r="D185" s="828">
        <v>4779987.1327999998</v>
      </c>
      <c r="E185" s="829">
        <f t="shared" si="6"/>
        <v>965.29160000000002</v>
      </c>
      <c r="F185" s="825">
        <v>967.26</v>
      </c>
      <c r="H185" s="659">
        <f t="shared" si="9"/>
        <v>967.26</v>
      </c>
      <c r="J185" s="501" t="s">
        <v>2217</v>
      </c>
      <c r="K185" s="825">
        <v>982.7</v>
      </c>
    </row>
    <row r="186" spans="2:11">
      <c r="B186" s="828" t="s">
        <v>2244</v>
      </c>
      <c r="C186" s="828">
        <v>2242158.5698000002</v>
      </c>
      <c r="D186" s="828">
        <v>4779872.6722999997</v>
      </c>
      <c r="E186" s="829">
        <f t="shared" si="6"/>
        <v>981.39160000000004</v>
      </c>
      <c r="F186" s="825">
        <v>983.36</v>
      </c>
      <c r="H186" s="659">
        <f t="shared" si="9"/>
        <v>983.36</v>
      </c>
      <c r="J186" s="501" t="s">
        <v>2218</v>
      </c>
      <c r="K186" s="825">
        <v>982.13</v>
      </c>
    </row>
    <row r="187" spans="2:11">
      <c r="B187" s="828" t="s">
        <v>2355</v>
      </c>
      <c r="C187" s="828">
        <v>2242089.5213000001</v>
      </c>
      <c r="D187" s="828">
        <v>4779902.1624999996</v>
      </c>
      <c r="E187" s="829">
        <f t="shared" si="6"/>
        <v>967.44159999999999</v>
      </c>
      <c r="F187" s="825">
        <v>969.41</v>
      </c>
      <c r="H187" s="659">
        <f t="shared" si="9"/>
        <v>969.41</v>
      </c>
      <c r="J187" s="501" t="s">
        <v>2219</v>
      </c>
      <c r="K187" s="825">
        <v>978.35</v>
      </c>
    </row>
    <row r="188" spans="2:11">
      <c r="B188" s="828" t="s">
        <v>2356</v>
      </c>
      <c r="C188" s="828">
        <v>2242066.9991000001</v>
      </c>
      <c r="D188" s="828">
        <v>4779912.1750999996</v>
      </c>
      <c r="E188" s="829">
        <f t="shared" si="6"/>
        <v>966.05160000000001</v>
      </c>
      <c r="F188" s="825">
        <v>968.02</v>
      </c>
      <c r="H188" s="659">
        <f t="shared" si="9"/>
        <v>968.02</v>
      </c>
      <c r="J188" s="501" t="s">
        <v>2220</v>
      </c>
      <c r="K188" s="825">
        <v>969.05</v>
      </c>
    </row>
    <row r="189" spans="2:11">
      <c r="B189" s="828" t="s">
        <v>2357</v>
      </c>
      <c r="C189" s="828">
        <v>2242034.7228000001</v>
      </c>
      <c r="D189" s="828">
        <v>4779926.4063999997</v>
      </c>
      <c r="E189" s="829">
        <f t="shared" si="6"/>
        <v>965.01160000000004</v>
      </c>
      <c r="F189" s="825">
        <v>966.98</v>
      </c>
      <c r="H189" s="659">
        <f t="shared" si="9"/>
        <v>966.98</v>
      </c>
      <c r="J189" s="501"/>
      <c r="K189" s="825"/>
    </row>
    <row r="190" spans="2:11">
      <c r="B190" s="828" t="s">
        <v>2358</v>
      </c>
      <c r="C190" s="828">
        <v>2242070.7064</v>
      </c>
      <c r="D190" s="828">
        <v>4780000.2430999996</v>
      </c>
      <c r="E190" s="829">
        <f t="shared" si="6"/>
        <v>963.95159999999998</v>
      </c>
      <c r="F190" s="825">
        <v>965.92</v>
      </c>
      <c r="H190" s="659">
        <f t="shared" si="9"/>
        <v>965.92</v>
      </c>
      <c r="J190" s="501" t="s">
        <v>2206</v>
      </c>
      <c r="K190" s="825">
        <v>986.04</v>
      </c>
    </row>
    <row r="191" spans="2:11">
      <c r="B191" s="828" t="s">
        <v>2361</v>
      </c>
      <c r="C191" s="828">
        <v>2242075.1902999999</v>
      </c>
      <c r="D191" s="828">
        <v>4780006.0202000001</v>
      </c>
      <c r="E191" s="829">
        <f t="shared" si="6"/>
        <v>964.67160000000001</v>
      </c>
      <c r="F191" s="825">
        <v>966.64</v>
      </c>
      <c r="H191" s="659">
        <f t="shared" si="9"/>
        <v>966.64</v>
      </c>
      <c r="J191" s="501" t="s">
        <v>2516</v>
      </c>
      <c r="K191" s="825">
        <v>985.4</v>
      </c>
    </row>
    <row r="192" spans="2:11">
      <c r="B192" s="828" t="s">
        <v>2245</v>
      </c>
      <c r="C192" s="828">
        <v>2242077.4537999998</v>
      </c>
      <c r="D192" s="828">
        <v>4780019.4933000002</v>
      </c>
      <c r="E192" s="829">
        <f t="shared" si="6"/>
        <v>963.75160000000005</v>
      </c>
      <c r="F192" s="825">
        <v>965.72</v>
      </c>
      <c r="H192" s="659">
        <f t="shared" si="9"/>
        <v>965.72</v>
      </c>
      <c r="J192" s="501"/>
      <c r="K192" s="825"/>
    </row>
    <row r="193" spans="2:11">
      <c r="B193" s="828" t="s">
        <v>2246</v>
      </c>
      <c r="C193" s="828">
        <v>2242102.1288000001</v>
      </c>
      <c r="D193" s="828">
        <v>4780049.1662999997</v>
      </c>
      <c r="E193" s="829">
        <f t="shared" si="6"/>
        <v>963.34159999999997</v>
      </c>
      <c r="F193" s="825">
        <v>965.31</v>
      </c>
      <c r="H193" s="659">
        <f t="shared" si="9"/>
        <v>965.31</v>
      </c>
      <c r="J193" s="501" t="s">
        <v>2345</v>
      </c>
      <c r="K193" s="825">
        <v>989.73</v>
      </c>
    </row>
    <row r="194" spans="2:11">
      <c r="B194" s="828" t="s">
        <v>2247</v>
      </c>
      <c r="C194" s="828">
        <v>2242118.1031999998</v>
      </c>
      <c r="D194" s="828">
        <v>4780088.9521000003</v>
      </c>
      <c r="E194" s="829">
        <f t="shared" ref="E194:E257" si="10">+F194-$P$7</f>
        <v>963.48160000000007</v>
      </c>
      <c r="F194" s="825">
        <v>965.45</v>
      </c>
      <c r="H194" s="659">
        <f t="shared" si="9"/>
        <v>965.45</v>
      </c>
      <c r="J194" s="501" t="s">
        <v>2517</v>
      </c>
      <c r="K194" s="825">
        <v>987.16</v>
      </c>
    </row>
    <row r="195" spans="2:11">
      <c r="B195" s="828" t="s">
        <v>2248</v>
      </c>
      <c r="C195" s="828">
        <v>2242368.4988000002</v>
      </c>
      <c r="D195" s="828">
        <v>4780153.6382999998</v>
      </c>
      <c r="E195" s="829">
        <f t="shared" si="10"/>
        <v>969.22160000000008</v>
      </c>
      <c r="F195" s="825">
        <v>971.19</v>
      </c>
      <c r="H195" s="659">
        <f t="shared" si="9"/>
        <v>971.19</v>
      </c>
      <c r="J195" s="501"/>
      <c r="K195" s="825"/>
    </row>
    <row r="196" spans="2:11">
      <c r="B196" s="828" t="s">
        <v>2249</v>
      </c>
      <c r="C196" s="828">
        <v>2242363.4308000002</v>
      </c>
      <c r="D196" s="828">
        <v>4780170.3432999998</v>
      </c>
      <c r="E196" s="829">
        <f t="shared" si="10"/>
        <v>970.46159999999998</v>
      </c>
      <c r="F196" s="825">
        <v>972.43</v>
      </c>
      <c r="H196" s="659">
        <f t="shared" si="9"/>
        <v>972.43</v>
      </c>
      <c r="J196" s="501" t="s">
        <v>2199</v>
      </c>
      <c r="K196" s="825">
        <v>991.42</v>
      </c>
    </row>
    <row r="197" spans="2:11">
      <c r="B197" s="828" t="s">
        <v>2568</v>
      </c>
      <c r="C197" s="828">
        <v>2242352.6102</v>
      </c>
      <c r="D197" s="828">
        <v>4780193.2150999997</v>
      </c>
      <c r="E197" s="829" t="e">
        <f t="shared" si="10"/>
        <v>#N/A</v>
      </c>
      <c r="F197" s="825" t="e">
        <v>#N/A</v>
      </c>
      <c r="H197" s="659" t="e">
        <f t="shared" si="9"/>
        <v>#N/A</v>
      </c>
      <c r="J197" s="501" t="s">
        <v>2200</v>
      </c>
      <c r="K197" s="825">
        <v>986.61</v>
      </c>
    </row>
    <row r="198" spans="2:11">
      <c r="B198" s="828" t="s">
        <v>2251</v>
      </c>
      <c r="C198" s="828">
        <v>2242306.7917999998</v>
      </c>
      <c r="D198" s="828">
        <v>4780215.9962999998</v>
      </c>
      <c r="E198" s="829">
        <f t="shared" si="10"/>
        <v>969.4316</v>
      </c>
      <c r="F198" s="825">
        <v>971.4</v>
      </c>
      <c r="H198" s="659">
        <f t="shared" si="9"/>
        <v>971.4</v>
      </c>
      <c r="J198" s="501" t="s">
        <v>2201</v>
      </c>
      <c r="K198" s="825">
        <v>984.19</v>
      </c>
    </row>
    <row r="199" spans="2:11">
      <c r="B199" s="828" t="s">
        <v>2252</v>
      </c>
      <c r="C199" s="828">
        <v>2242275.9427999998</v>
      </c>
      <c r="D199" s="828">
        <v>4780214.8712999998</v>
      </c>
      <c r="E199" s="829">
        <f t="shared" si="10"/>
        <v>967.90160000000003</v>
      </c>
      <c r="F199" s="825">
        <v>969.87</v>
      </c>
      <c r="H199" s="659">
        <f t="shared" si="9"/>
        <v>969.87</v>
      </c>
      <c r="J199" s="501" t="s">
        <v>2518</v>
      </c>
      <c r="K199" s="825">
        <v>981.18</v>
      </c>
    </row>
    <row r="200" spans="2:11">
      <c r="B200" s="828" t="s">
        <v>2253</v>
      </c>
      <c r="C200" s="828">
        <v>2242260.6767000002</v>
      </c>
      <c r="D200" s="828">
        <v>4780215.4403999997</v>
      </c>
      <c r="E200" s="829">
        <f t="shared" si="10"/>
        <v>966.94159999999999</v>
      </c>
      <c r="F200" s="825">
        <v>968.91</v>
      </c>
      <c r="H200" s="659">
        <f t="shared" si="9"/>
        <v>968.91</v>
      </c>
      <c r="J200" s="501"/>
      <c r="K200" s="825"/>
    </row>
    <row r="201" spans="2:11">
      <c r="B201" s="828" t="s">
        <v>2254</v>
      </c>
      <c r="C201" s="828">
        <v>2242204.0735999998</v>
      </c>
      <c r="D201" s="828">
        <v>4780185.6338999998</v>
      </c>
      <c r="E201" s="829">
        <f t="shared" si="10"/>
        <v>966.30160000000001</v>
      </c>
      <c r="F201" s="825">
        <v>968.27</v>
      </c>
      <c r="H201" s="659">
        <f t="shared" si="9"/>
        <v>968.27</v>
      </c>
      <c r="J201" s="501" t="s">
        <v>2321</v>
      </c>
      <c r="K201" s="825">
        <v>992.41</v>
      </c>
    </row>
    <row r="202" spans="2:11">
      <c r="B202" s="828" t="s">
        <v>2255</v>
      </c>
      <c r="C202" s="828">
        <v>2242173.4788000002</v>
      </c>
      <c r="D202" s="828">
        <v>4780173.3453000002</v>
      </c>
      <c r="E202" s="829">
        <f t="shared" si="10"/>
        <v>968.76160000000004</v>
      </c>
      <c r="F202" s="825">
        <v>970.73</v>
      </c>
      <c r="H202" s="659">
        <f t="shared" si="9"/>
        <v>970.73</v>
      </c>
      <c r="J202" s="501" t="s">
        <v>83</v>
      </c>
      <c r="K202" s="825">
        <v>990.51</v>
      </c>
    </row>
    <row r="203" spans="2:11">
      <c r="B203" s="828" t="s">
        <v>2256</v>
      </c>
      <c r="C203" s="828">
        <v>2242141.8070999999</v>
      </c>
      <c r="D203" s="828">
        <v>4780157.9276999999</v>
      </c>
      <c r="E203" s="829">
        <f t="shared" si="10"/>
        <v>965.4316</v>
      </c>
      <c r="F203" s="825">
        <v>967.4</v>
      </c>
      <c r="H203" s="659">
        <f t="shared" si="9"/>
        <v>967.4</v>
      </c>
      <c r="J203" s="501" t="s">
        <v>2323</v>
      </c>
      <c r="K203" s="825">
        <v>986.1</v>
      </c>
    </row>
    <row r="204" spans="2:11">
      <c r="B204" s="828" t="s">
        <v>2257</v>
      </c>
      <c r="C204" s="828">
        <v>2242127.8768000002</v>
      </c>
      <c r="D204" s="828">
        <v>4780118.8832999999</v>
      </c>
      <c r="E204" s="829">
        <f t="shared" si="10"/>
        <v>964.3116</v>
      </c>
      <c r="F204" s="825">
        <v>966.28</v>
      </c>
      <c r="H204" s="659">
        <f t="shared" si="9"/>
        <v>966.28</v>
      </c>
      <c r="J204" s="501"/>
      <c r="K204" s="825"/>
    </row>
    <row r="205" spans="2:11">
      <c r="B205" s="828" t="s">
        <v>2258</v>
      </c>
      <c r="C205" s="828">
        <v>2242119.7747999998</v>
      </c>
      <c r="D205" s="828">
        <v>4780093.7012999998</v>
      </c>
      <c r="E205" s="829">
        <f t="shared" si="10"/>
        <v>964.03160000000003</v>
      </c>
      <c r="F205" s="825">
        <v>966</v>
      </c>
      <c r="H205" s="659">
        <f t="shared" si="9"/>
        <v>966</v>
      </c>
      <c r="J205" s="501" t="s">
        <v>2520</v>
      </c>
      <c r="K205" s="825">
        <v>991.88</v>
      </c>
    </row>
    <row r="206" spans="2:11">
      <c r="B206" s="828" t="s">
        <v>2532</v>
      </c>
      <c r="C206" s="828">
        <v>2242296.9068</v>
      </c>
      <c r="D206" s="828">
        <v>4779876.1142999995</v>
      </c>
      <c r="E206" s="829">
        <f t="shared" si="10"/>
        <v>987.76160000000004</v>
      </c>
      <c r="F206" s="825">
        <v>989.73</v>
      </c>
      <c r="H206" s="659">
        <f t="shared" si="9"/>
        <v>989.73</v>
      </c>
      <c r="J206" s="501"/>
      <c r="K206" s="825"/>
    </row>
    <row r="207" spans="2:11">
      <c r="B207" s="828" t="s">
        <v>2259</v>
      </c>
      <c r="C207" s="828">
        <v>2242316.1628</v>
      </c>
      <c r="D207" s="828">
        <v>4779920.6212999998</v>
      </c>
      <c r="E207" s="829">
        <f t="shared" si="10"/>
        <v>987.33159999999998</v>
      </c>
      <c r="F207" s="825">
        <v>989.3</v>
      </c>
      <c r="H207" s="659">
        <f t="shared" si="9"/>
        <v>989.3</v>
      </c>
      <c r="J207" s="501" t="s">
        <v>2185</v>
      </c>
      <c r="K207" s="825">
        <v>988.04</v>
      </c>
    </row>
    <row r="208" spans="2:11">
      <c r="B208" s="828" t="s">
        <v>2260</v>
      </c>
      <c r="C208" s="828">
        <v>2242332.4018000001</v>
      </c>
      <c r="D208" s="828">
        <v>4779958.2893000003</v>
      </c>
      <c r="E208" s="829">
        <f t="shared" si="10"/>
        <v>986.75160000000005</v>
      </c>
      <c r="F208" s="825">
        <v>988.72</v>
      </c>
      <c r="H208" s="659">
        <f t="shared" si="9"/>
        <v>988.72</v>
      </c>
      <c r="J208" s="501" t="s">
        <v>2186</v>
      </c>
      <c r="K208" s="825">
        <v>988.24</v>
      </c>
    </row>
    <row r="209" spans="2:11">
      <c r="B209" s="828" t="s">
        <v>2261</v>
      </c>
      <c r="C209" s="828">
        <v>2242354.9808</v>
      </c>
      <c r="D209" s="828">
        <v>4780011.4653000003</v>
      </c>
      <c r="E209" s="829">
        <f t="shared" si="10"/>
        <v>985.79160000000002</v>
      </c>
      <c r="F209" s="825">
        <v>987.76</v>
      </c>
      <c r="H209" s="659">
        <f t="shared" si="9"/>
        <v>987.76</v>
      </c>
      <c r="J209" s="501" t="s">
        <v>2187</v>
      </c>
      <c r="K209" s="825">
        <v>987.63</v>
      </c>
    </row>
    <row r="210" spans="2:11">
      <c r="B210" s="828" t="s">
        <v>2262</v>
      </c>
      <c r="C210" s="828">
        <v>2242412.9508000002</v>
      </c>
      <c r="D210" s="828">
        <v>4779985.0723000001</v>
      </c>
      <c r="E210" s="829">
        <f t="shared" si="10"/>
        <v>985.97160000000008</v>
      </c>
      <c r="F210" s="825">
        <v>987.94</v>
      </c>
      <c r="H210" s="659">
        <f t="shared" si="9"/>
        <v>987.94</v>
      </c>
      <c r="J210" s="501" t="s">
        <v>2188</v>
      </c>
      <c r="K210" s="825">
        <v>986.67</v>
      </c>
    </row>
    <row r="211" spans="2:11">
      <c r="B211" s="828" t="s">
        <v>2263</v>
      </c>
      <c r="C211" s="828">
        <v>2242387.5408000001</v>
      </c>
      <c r="D211" s="828">
        <v>4779996.5743000004</v>
      </c>
      <c r="E211" s="829">
        <f t="shared" si="10"/>
        <v>986.52160000000003</v>
      </c>
      <c r="F211" s="825">
        <v>988.49</v>
      </c>
      <c r="H211" s="659">
        <f t="shared" si="9"/>
        <v>988.49</v>
      </c>
      <c r="J211" s="501" t="s">
        <v>2323</v>
      </c>
      <c r="K211" s="825">
        <v>986.1</v>
      </c>
    </row>
    <row r="212" spans="2:11">
      <c r="B212" s="828" t="s">
        <v>2264</v>
      </c>
      <c r="C212" s="828">
        <v>2242372.4007999999</v>
      </c>
      <c r="D212" s="828">
        <v>4780050.7703</v>
      </c>
      <c r="E212" s="829">
        <f t="shared" si="10"/>
        <v>984.55160000000001</v>
      </c>
      <c r="F212" s="825">
        <v>986.52</v>
      </c>
      <c r="H212" s="659">
        <f t="shared" si="9"/>
        <v>986.52</v>
      </c>
      <c r="J212" s="501"/>
      <c r="K212" s="825"/>
    </row>
    <row r="213" spans="2:11">
      <c r="B213" s="828" t="s">
        <v>2265</v>
      </c>
      <c r="C213" s="828">
        <v>2242382.5208000001</v>
      </c>
      <c r="D213" s="828">
        <v>4780062.8942999998</v>
      </c>
      <c r="E213" s="829">
        <f t="shared" si="10"/>
        <v>980.59159999999997</v>
      </c>
      <c r="F213" s="825">
        <v>982.56</v>
      </c>
      <c r="H213" s="659">
        <f t="shared" si="9"/>
        <v>982.56</v>
      </c>
      <c r="J213" s="501" t="s">
        <v>2184</v>
      </c>
      <c r="K213" s="825">
        <v>987.12</v>
      </c>
    </row>
    <row r="214" spans="2:11">
      <c r="B214" s="828" t="s">
        <v>2266</v>
      </c>
      <c r="C214" s="828">
        <v>2242383.6718000001</v>
      </c>
      <c r="D214" s="828">
        <v>4780072.4972999999</v>
      </c>
      <c r="E214" s="829">
        <f t="shared" si="10"/>
        <v>978.35160000000008</v>
      </c>
      <c r="F214" s="825">
        <v>980.32</v>
      </c>
      <c r="H214" s="659">
        <f t="shared" si="9"/>
        <v>980.32</v>
      </c>
      <c r="J214" s="501"/>
      <c r="K214" s="825"/>
    </row>
    <row r="215" spans="2:11">
      <c r="B215" s="828" t="s">
        <v>2267</v>
      </c>
      <c r="C215" s="828">
        <v>2242400.0218000002</v>
      </c>
      <c r="D215" s="828">
        <v>4780110.2943000002</v>
      </c>
      <c r="E215" s="829">
        <f t="shared" si="10"/>
        <v>968.99160000000006</v>
      </c>
      <c r="F215" s="825">
        <v>970.96</v>
      </c>
      <c r="H215" s="659">
        <f t="shared" si="9"/>
        <v>970.96</v>
      </c>
      <c r="J215" s="501" t="s">
        <v>2183</v>
      </c>
      <c r="K215" s="825">
        <v>985.97</v>
      </c>
    </row>
    <row r="216" spans="2:11">
      <c r="B216" s="828" t="s">
        <v>2268</v>
      </c>
      <c r="C216" s="828">
        <v>2242412.1398</v>
      </c>
      <c r="D216" s="828">
        <v>4780120.4183</v>
      </c>
      <c r="E216" s="829">
        <f t="shared" si="10"/>
        <v>966.9316</v>
      </c>
      <c r="F216" s="825">
        <v>968.9</v>
      </c>
      <c r="H216" s="659">
        <f t="shared" si="9"/>
        <v>968.9</v>
      </c>
      <c r="J216" s="501"/>
      <c r="K216" s="825"/>
    </row>
    <row r="217" spans="2:11">
      <c r="B217" s="828" t="s">
        <v>2269</v>
      </c>
      <c r="C217" s="828">
        <v>2242376.9717999999</v>
      </c>
      <c r="D217" s="828">
        <v>4780136.7692999998</v>
      </c>
      <c r="E217" s="829">
        <f t="shared" si="10"/>
        <v>968.12160000000006</v>
      </c>
      <c r="F217" s="825">
        <v>970.09</v>
      </c>
      <c r="H217" s="659">
        <f t="shared" si="9"/>
        <v>970.09</v>
      </c>
      <c r="J217" s="501" t="s">
        <v>2199</v>
      </c>
      <c r="K217" s="825">
        <v>991.42</v>
      </c>
    </row>
    <row r="218" spans="2:11">
      <c r="B218" s="828" t="s">
        <v>2270</v>
      </c>
      <c r="C218" s="828">
        <v>2242375.9928000001</v>
      </c>
      <c r="D218" s="828">
        <v>4780070.9263000004</v>
      </c>
      <c r="E218" s="829">
        <f t="shared" si="10"/>
        <v>983.94159999999999</v>
      </c>
      <c r="F218" s="825">
        <v>985.91</v>
      </c>
      <c r="H218" s="659">
        <f t="shared" si="9"/>
        <v>985.91</v>
      </c>
      <c r="J218" s="501" t="s">
        <v>2195</v>
      </c>
      <c r="K218" s="825">
        <v>985.01</v>
      </c>
    </row>
    <row r="219" spans="2:11">
      <c r="B219" s="828" t="s">
        <v>2271</v>
      </c>
      <c r="C219" s="828">
        <v>2242329.4158000001</v>
      </c>
      <c r="D219" s="828">
        <v>4780091.0053000003</v>
      </c>
      <c r="E219" s="829">
        <f t="shared" si="10"/>
        <v>982.90160000000003</v>
      </c>
      <c r="F219" s="825">
        <v>984.87</v>
      </c>
      <c r="H219" s="659">
        <f t="shared" si="9"/>
        <v>984.87</v>
      </c>
      <c r="J219" s="501" t="s">
        <v>2192</v>
      </c>
      <c r="K219" s="825">
        <v>984.89</v>
      </c>
    </row>
    <row r="220" spans="2:11">
      <c r="B220" s="828" t="s">
        <v>2272</v>
      </c>
      <c r="C220" s="828">
        <v>2242337.6858000001</v>
      </c>
      <c r="D220" s="828">
        <v>4780110.9133000001</v>
      </c>
      <c r="E220" s="829">
        <f t="shared" si="10"/>
        <v>981.99160000000006</v>
      </c>
      <c r="F220" s="825">
        <v>983.96</v>
      </c>
      <c r="H220" s="659">
        <f t="shared" si="9"/>
        <v>983.96</v>
      </c>
      <c r="J220" s="501" t="s">
        <v>2193</v>
      </c>
      <c r="K220" s="825">
        <v>985.1</v>
      </c>
    </row>
    <row r="221" spans="2:11">
      <c r="B221" s="828" t="s">
        <v>2273</v>
      </c>
      <c r="C221" s="828">
        <v>2242347.3768000002</v>
      </c>
      <c r="D221" s="828">
        <v>4780138.5982999997</v>
      </c>
      <c r="E221" s="829">
        <f t="shared" si="10"/>
        <v>981.22160000000008</v>
      </c>
      <c r="F221" s="825">
        <v>983.19</v>
      </c>
      <c r="H221" s="659">
        <f t="shared" si="9"/>
        <v>983.19</v>
      </c>
      <c r="J221" s="501" t="s">
        <v>2194</v>
      </c>
      <c r="K221" s="825">
        <v>984.81</v>
      </c>
    </row>
    <row r="222" spans="2:11">
      <c r="B222" s="828" t="s">
        <v>2274</v>
      </c>
      <c r="C222" s="828">
        <v>2242362.4627999999</v>
      </c>
      <c r="D222" s="828">
        <v>4780170.0453000003</v>
      </c>
      <c r="E222" s="829">
        <f t="shared" si="10"/>
        <v>970.50160000000005</v>
      </c>
      <c r="F222" s="825">
        <v>972.47</v>
      </c>
      <c r="H222" s="659">
        <f t="shared" si="9"/>
        <v>972.47</v>
      </c>
      <c r="J222" s="501" t="s">
        <v>2222</v>
      </c>
      <c r="K222" s="825">
        <v>984.48</v>
      </c>
    </row>
    <row r="223" spans="2:11">
      <c r="B223" s="828" t="s">
        <v>2275</v>
      </c>
      <c r="C223" s="828">
        <v>2242371.7467999998</v>
      </c>
      <c r="D223" s="828">
        <v>4780139.9263000004</v>
      </c>
      <c r="E223" s="829">
        <f t="shared" si="10"/>
        <v>968.61160000000007</v>
      </c>
      <c r="F223" s="825">
        <v>970.58</v>
      </c>
      <c r="H223" s="659">
        <f t="shared" si="9"/>
        <v>970.58</v>
      </c>
      <c r="J223" s="501" t="s">
        <v>2223</v>
      </c>
      <c r="K223" s="825">
        <v>977.88</v>
      </c>
    </row>
    <row r="224" spans="2:11">
      <c r="B224" s="828" t="s">
        <v>2276</v>
      </c>
      <c r="C224" s="828">
        <v>2242123.9372999999</v>
      </c>
      <c r="D224" s="828">
        <v>4780262.0450999998</v>
      </c>
      <c r="E224" s="829">
        <f t="shared" si="10"/>
        <v>971.74160000000006</v>
      </c>
      <c r="F224" s="825">
        <v>973.71</v>
      </c>
      <c r="H224" s="659">
        <f t="shared" si="9"/>
        <v>973.71</v>
      </c>
      <c r="J224" s="501" t="s">
        <v>2224</v>
      </c>
      <c r="K224" s="825">
        <v>970.32</v>
      </c>
    </row>
    <row r="225" spans="2:11">
      <c r="B225" s="828" t="s">
        <v>2277</v>
      </c>
      <c r="C225" s="828">
        <v>2242146.4227999998</v>
      </c>
      <c r="D225" s="828">
        <v>4780271.3822999997</v>
      </c>
      <c r="E225" s="829">
        <f t="shared" si="10"/>
        <v>972.28160000000003</v>
      </c>
      <c r="F225" s="825">
        <v>974.25</v>
      </c>
      <c r="H225" s="659">
        <f t="shared" si="9"/>
        <v>974.25</v>
      </c>
      <c r="J225" s="501"/>
      <c r="K225" s="825"/>
    </row>
    <row r="226" spans="2:11">
      <c r="B226" s="828" t="s">
        <v>2278</v>
      </c>
      <c r="C226" s="828">
        <v>2242169.3887999998</v>
      </c>
      <c r="D226" s="828">
        <v>4780281.6442999998</v>
      </c>
      <c r="E226" s="829">
        <f t="shared" si="10"/>
        <v>972.05160000000001</v>
      </c>
      <c r="F226" s="825">
        <v>974.02</v>
      </c>
      <c r="H226" s="659">
        <f t="shared" si="9"/>
        <v>974.02</v>
      </c>
      <c r="J226" s="501" t="s">
        <v>2075</v>
      </c>
      <c r="K226" s="825">
        <v>997.65</v>
      </c>
    </row>
    <row r="227" spans="2:11">
      <c r="B227" s="828" t="s">
        <v>2279</v>
      </c>
      <c r="C227" s="828">
        <v>2242193.6628</v>
      </c>
      <c r="D227" s="828">
        <v>4780292.4892999995</v>
      </c>
      <c r="E227" s="829">
        <f t="shared" si="10"/>
        <v>970.17160000000001</v>
      </c>
      <c r="F227" s="825">
        <v>972.14</v>
      </c>
      <c r="H227" s="659">
        <f t="shared" si="9"/>
        <v>972.14</v>
      </c>
      <c r="J227" s="501" t="s">
        <v>99</v>
      </c>
      <c r="K227" s="825">
        <v>995.55</v>
      </c>
    </row>
    <row r="228" spans="2:11">
      <c r="B228" s="828" t="s">
        <v>2280</v>
      </c>
      <c r="C228" s="828">
        <v>2242196.3717999998</v>
      </c>
      <c r="D228" s="828">
        <v>4780293.8652999997</v>
      </c>
      <c r="E228" s="829">
        <f t="shared" si="10"/>
        <v>969.74160000000006</v>
      </c>
      <c r="F228" s="825">
        <v>971.71</v>
      </c>
      <c r="H228" s="659">
        <f t="shared" si="9"/>
        <v>971.71</v>
      </c>
      <c r="J228" s="501" t="s">
        <v>2338</v>
      </c>
      <c r="K228" s="825">
        <v>990.91</v>
      </c>
    </row>
    <row r="229" spans="2:11">
      <c r="B229" s="828" t="s">
        <v>2281</v>
      </c>
      <c r="C229" s="828">
        <v>2242254.2798000001</v>
      </c>
      <c r="D229" s="828">
        <v>4780235.1042999998</v>
      </c>
      <c r="E229" s="829">
        <f t="shared" si="10"/>
        <v>967.4316</v>
      </c>
      <c r="F229" s="825">
        <v>969.4</v>
      </c>
      <c r="H229" s="659">
        <f t="shared" si="9"/>
        <v>969.4</v>
      </c>
      <c r="J229" s="501" t="s">
        <v>103</v>
      </c>
      <c r="K229" s="825">
        <v>989.42</v>
      </c>
    </row>
    <row r="230" spans="2:11">
      <c r="B230" s="828" t="s">
        <v>2282</v>
      </c>
      <c r="C230" s="828">
        <v>2242511.9347999999</v>
      </c>
      <c r="D230" s="828">
        <v>4780478.0477999998</v>
      </c>
      <c r="E230" s="829">
        <f t="shared" si="10"/>
        <v>986.77160000000003</v>
      </c>
      <c r="F230" s="825">
        <v>988.74</v>
      </c>
      <c r="H230" s="659">
        <f t="shared" si="9"/>
        <v>988.74</v>
      </c>
      <c r="J230" s="501" t="s">
        <v>72</v>
      </c>
      <c r="K230" s="825">
        <v>990.56</v>
      </c>
    </row>
    <row r="231" spans="2:11">
      <c r="B231" s="828" t="s">
        <v>2283</v>
      </c>
      <c r="C231" s="828">
        <v>2242491.1847999999</v>
      </c>
      <c r="D231" s="828">
        <v>4780455.4622999998</v>
      </c>
      <c r="E231" s="829">
        <f t="shared" si="10"/>
        <v>986.16160000000002</v>
      </c>
      <c r="F231" s="825">
        <v>988.13</v>
      </c>
      <c r="H231" s="659">
        <f t="shared" si="9"/>
        <v>988.13</v>
      </c>
      <c r="J231" s="501" t="s">
        <v>2221</v>
      </c>
      <c r="K231" s="825">
        <v>989.14</v>
      </c>
    </row>
    <row r="232" spans="2:11">
      <c r="B232" s="828" t="s">
        <v>2284</v>
      </c>
      <c r="C232" s="828">
        <v>2242472.8568000002</v>
      </c>
      <c r="D232" s="828">
        <v>4780434.4123</v>
      </c>
      <c r="E232" s="829">
        <f t="shared" si="10"/>
        <v>983.23160000000007</v>
      </c>
      <c r="F232" s="825">
        <v>985.2</v>
      </c>
      <c r="H232" s="659">
        <f t="shared" si="9"/>
        <v>985.2</v>
      </c>
      <c r="J232" s="501"/>
      <c r="K232" s="825"/>
    </row>
    <row r="233" spans="2:11">
      <c r="B233" s="828" t="s">
        <v>2285</v>
      </c>
      <c r="C233" s="828">
        <v>2242455.7688000002</v>
      </c>
      <c r="D233" s="828">
        <v>4780415.2812999999</v>
      </c>
      <c r="E233" s="829">
        <f t="shared" si="10"/>
        <v>981.24160000000006</v>
      </c>
      <c r="F233" s="825">
        <v>983.21</v>
      </c>
      <c r="H233" s="659">
        <f t="shared" si="9"/>
        <v>983.21</v>
      </c>
      <c r="J233" s="501" t="s">
        <v>116</v>
      </c>
      <c r="K233" s="825">
        <v>994.55</v>
      </c>
    </row>
    <row r="234" spans="2:11">
      <c r="B234" s="828" t="s">
        <v>2286</v>
      </c>
      <c r="C234" s="828">
        <v>2242478.1847999999</v>
      </c>
      <c r="D234" s="828">
        <v>4780395.5333000002</v>
      </c>
      <c r="E234" s="829">
        <f t="shared" si="10"/>
        <v>981.42160000000001</v>
      </c>
      <c r="F234" s="825">
        <v>983.39</v>
      </c>
      <c r="H234" s="659">
        <f t="shared" si="9"/>
        <v>983.39</v>
      </c>
      <c r="J234" s="501" t="s">
        <v>2070</v>
      </c>
      <c r="K234" s="825">
        <v>989.41</v>
      </c>
    </row>
    <row r="235" spans="2:11">
      <c r="B235" s="828" t="s">
        <v>2287</v>
      </c>
      <c r="C235" s="828">
        <v>2242500.8598000002</v>
      </c>
      <c r="D235" s="828">
        <v>4780375.9883000003</v>
      </c>
      <c r="E235" s="829">
        <f t="shared" si="10"/>
        <v>981.17160000000001</v>
      </c>
      <c r="F235" s="825">
        <v>983.14</v>
      </c>
      <c r="H235" s="659">
        <f t="shared" si="9"/>
        <v>983.14</v>
      </c>
      <c r="J235" s="501" t="s">
        <v>73</v>
      </c>
      <c r="K235" s="825">
        <v>987.63</v>
      </c>
    </row>
    <row r="236" spans="2:11">
      <c r="B236" s="828" t="s">
        <v>2288</v>
      </c>
      <c r="C236" s="828">
        <v>2242507.5218000002</v>
      </c>
      <c r="D236" s="828">
        <v>4780322.8542999998</v>
      </c>
      <c r="E236" s="829">
        <f t="shared" si="10"/>
        <v>968.54160000000002</v>
      </c>
      <c r="F236" s="825">
        <v>970.51</v>
      </c>
      <c r="H236" s="659">
        <f t="shared" si="9"/>
        <v>970.51</v>
      </c>
      <c r="J236" s="501" t="s">
        <v>102</v>
      </c>
      <c r="K236" s="825">
        <v>987.97</v>
      </c>
    </row>
    <row r="237" spans="2:11">
      <c r="B237" s="828" t="s">
        <v>2289</v>
      </c>
      <c r="C237" s="828">
        <v>2242460.3857999998</v>
      </c>
      <c r="D237" s="828">
        <v>4780281.2703</v>
      </c>
      <c r="E237" s="829">
        <f t="shared" si="10"/>
        <v>967.96159999999998</v>
      </c>
      <c r="F237" s="825">
        <v>969.93</v>
      </c>
      <c r="H237" s="659">
        <f t="shared" si="9"/>
        <v>969.93</v>
      </c>
      <c r="J237" s="501"/>
      <c r="K237" s="825"/>
    </row>
    <row r="238" spans="2:11">
      <c r="B238" s="828" t="s">
        <v>2290</v>
      </c>
      <c r="C238" s="828">
        <v>2242448.3317999998</v>
      </c>
      <c r="D238" s="828">
        <v>4780194.4183</v>
      </c>
      <c r="E238" s="829">
        <f t="shared" si="10"/>
        <v>967.38160000000005</v>
      </c>
      <c r="F238" s="825">
        <v>969.35</v>
      </c>
      <c r="H238" s="659">
        <f t="shared" si="9"/>
        <v>969.35</v>
      </c>
      <c r="J238" s="501" t="s">
        <v>2521</v>
      </c>
      <c r="K238" s="825">
        <v>993.6</v>
      </c>
    </row>
    <row r="239" spans="2:11">
      <c r="B239" s="828" t="s">
        <v>2291</v>
      </c>
      <c r="C239" s="828">
        <v>2242548.6858000001</v>
      </c>
      <c r="D239" s="828">
        <v>4780430.2203000002</v>
      </c>
      <c r="E239" s="829">
        <f t="shared" si="10"/>
        <v>987.47160000000008</v>
      </c>
      <c r="F239" s="825">
        <v>989.44</v>
      </c>
      <c r="H239" s="659">
        <f t="shared" si="9"/>
        <v>989.44</v>
      </c>
      <c r="J239" s="501" t="s">
        <v>2341</v>
      </c>
      <c r="K239" s="825">
        <v>993.74</v>
      </c>
    </row>
    <row r="240" spans="2:11">
      <c r="B240" s="828" t="s">
        <v>2292</v>
      </c>
      <c r="C240" s="828">
        <v>2242518.1438000002</v>
      </c>
      <c r="D240" s="828">
        <v>4780395.0412999997</v>
      </c>
      <c r="E240" s="829">
        <f t="shared" si="10"/>
        <v>981.96159999999998</v>
      </c>
      <c r="F240" s="825">
        <v>983.93</v>
      </c>
      <c r="H240" s="659">
        <f t="shared" si="9"/>
        <v>983.93</v>
      </c>
      <c r="J240" s="501"/>
      <c r="K240" s="825"/>
    </row>
    <row r="241" spans="2:11">
      <c r="B241" s="828" t="s">
        <v>2293</v>
      </c>
      <c r="C241" s="828">
        <v>2242537.6828000001</v>
      </c>
      <c r="D241" s="828">
        <v>4780463.1212999998</v>
      </c>
      <c r="E241" s="829">
        <f t="shared" si="10"/>
        <v>987.45159999999998</v>
      </c>
      <c r="F241" s="825">
        <v>989.42</v>
      </c>
      <c r="H241" s="659">
        <f t="shared" si="9"/>
        <v>989.42</v>
      </c>
      <c r="J241" s="501" t="s">
        <v>2569</v>
      </c>
      <c r="K241" s="825">
        <v>982.02</v>
      </c>
    </row>
    <row r="242" spans="2:11">
      <c r="B242" s="828" t="s">
        <v>2294</v>
      </c>
      <c r="C242" s="828">
        <v>2242507.5148</v>
      </c>
      <c r="D242" s="828">
        <v>4780428.7572999997</v>
      </c>
      <c r="E242" s="829">
        <f t="shared" si="10"/>
        <v>983.66160000000002</v>
      </c>
      <c r="F242" s="825">
        <v>985.63</v>
      </c>
      <c r="H242" s="659">
        <f t="shared" si="9"/>
        <v>985.63</v>
      </c>
      <c r="J242" s="501" t="s">
        <v>2207</v>
      </c>
      <c r="K242" s="825">
        <v>981.47</v>
      </c>
    </row>
    <row r="243" spans="2:11">
      <c r="B243" s="828" t="s">
        <v>2295</v>
      </c>
      <c r="C243" s="828">
        <v>2242495.3637999999</v>
      </c>
      <c r="D243" s="828">
        <v>4780414.8073000005</v>
      </c>
      <c r="E243" s="829">
        <f t="shared" si="10"/>
        <v>982.65160000000003</v>
      </c>
      <c r="F243" s="825">
        <v>984.62</v>
      </c>
      <c r="H243" s="659">
        <f t="shared" si="9"/>
        <v>984.62</v>
      </c>
      <c r="J243" s="501" t="s">
        <v>2208</v>
      </c>
      <c r="K243" s="825">
        <v>977.29</v>
      </c>
    </row>
    <row r="244" spans="2:11">
      <c r="B244" s="828" t="s">
        <v>2296</v>
      </c>
      <c r="C244" s="828">
        <v>2242551.1187999998</v>
      </c>
      <c r="D244" s="828">
        <v>4780290.6382999998</v>
      </c>
      <c r="E244" s="829">
        <f t="shared" si="10"/>
        <v>982.4316</v>
      </c>
      <c r="F244" s="825">
        <v>984.4</v>
      </c>
      <c r="H244" s="659">
        <f t="shared" si="9"/>
        <v>984.4</v>
      </c>
      <c r="J244" s="501" t="s">
        <v>2209</v>
      </c>
      <c r="K244" s="825">
        <v>974.62</v>
      </c>
    </row>
    <row r="245" spans="2:11">
      <c r="B245" s="828" t="s">
        <v>2297</v>
      </c>
      <c r="C245" s="828">
        <v>2242527.3097999999</v>
      </c>
      <c r="D245" s="828">
        <v>4780268.2962999996</v>
      </c>
      <c r="E245" s="829">
        <f t="shared" si="10"/>
        <v>980.44159999999999</v>
      </c>
      <c r="F245" s="825">
        <v>982.41</v>
      </c>
      <c r="H245" s="659">
        <f t="shared" si="9"/>
        <v>982.41</v>
      </c>
      <c r="J245" s="501" t="s">
        <v>2213</v>
      </c>
      <c r="K245" s="825">
        <v>973.88</v>
      </c>
    </row>
    <row r="246" spans="2:11">
      <c r="B246" s="828" t="s">
        <v>2298</v>
      </c>
      <c r="C246" s="828">
        <v>2242498.9537999998</v>
      </c>
      <c r="D246" s="828">
        <v>4780230.1133000003</v>
      </c>
      <c r="E246" s="829">
        <f t="shared" si="10"/>
        <v>975.36160000000007</v>
      </c>
      <c r="F246" s="825">
        <v>977.33</v>
      </c>
      <c r="H246" s="659">
        <f t="shared" ref="H246:H309" si="11">+VLOOKUP(B246,$J$1:$K$490,2,FALSE)</f>
        <v>977.33</v>
      </c>
      <c r="J246" s="501" t="s">
        <v>2211</v>
      </c>
      <c r="K246" s="825">
        <v>973.55</v>
      </c>
    </row>
    <row r="247" spans="2:11">
      <c r="B247" s="828" t="s">
        <v>2299</v>
      </c>
      <c r="C247" s="828">
        <v>2242484.0548</v>
      </c>
      <c r="D247" s="828">
        <v>4780197.9332999997</v>
      </c>
      <c r="E247" s="829">
        <f t="shared" si="10"/>
        <v>970.74160000000006</v>
      </c>
      <c r="F247" s="825">
        <v>972.71</v>
      </c>
      <c r="H247" s="659">
        <f t="shared" si="11"/>
        <v>972.71</v>
      </c>
      <c r="J247" s="501" t="s">
        <v>2212</v>
      </c>
      <c r="K247" s="825">
        <v>971.2</v>
      </c>
    </row>
    <row r="248" spans="2:11">
      <c r="B248" s="828" t="s">
        <v>2300</v>
      </c>
      <c r="C248" s="828">
        <v>2242473.1318000001</v>
      </c>
      <c r="D248" s="828">
        <v>4780174.1243000003</v>
      </c>
      <c r="E248" s="829">
        <f t="shared" si="10"/>
        <v>968.36160000000007</v>
      </c>
      <c r="F248" s="825">
        <v>970.33</v>
      </c>
      <c r="H248" s="659">
        <f t="shared" si="11"/>
        <v>970.33</v>
      </c>
      <c r="J248" s="501"/>
      <c r="K248" s="825"/>
    </row>
    <row r="249" spans="2:11">
      <c r="B249" s="828" t="s">
        <v>2301</v>
      </c>
      <c r="C249" s="828">
        <v>2242457.6647999999</v>
      </c>
      <c r="D249" s="828">
        <v>4780155.1123000002</v>
      </c>
      <c r="E249" s="829">
        <f t="shared" si="10"/>
        <v>967.63160000000005</v>
      </c>
      <c r="F249" s="825">
        <v>969.6</v>
      </c>
      <c r="H249" s="659">
        <f t="shared" si="11"/>
        <v>969.6</v>
      </c>
      <c r="J249" s="501" t="s">
        <v>2214</v>
      </c>
      <c r="K249" s="825">
        <v>978.19</v>
      </c>
    </row>
    <row r="250" spans="2:11">
      <c r="B250" s="828" t="s">
        <v>2302</v>
      </c>
      <c r="C250" s="828">
        <v>2242442.1867999998</v>
      </c>
      <c r="D250" s="828">
        <v>4780148.2153000003</v>
      </c>
      <c r="E250" s="829">
        <f t="shared" si="10"/>
        <v>966.57159999999999</v>
      </c>
      <c r="F250" s="825">
        <v>968.54</v>
      </c>
      <c r="H250" s="659">
        <f t="shared" si="11"/>
        <v>968.54</v>
      </c>
      <c r="J250" s="501"/>
      <c r="K250" s="825"/>
    </row>
    <row r="251" spans="2:11">
      <c r="B251" s="828" t="s">
        <v>2303</v>
      </c>
      <c r="C251" s="828">
        <v>2242441.8265</v>
      </c>
      <c r="D251" s="828">
        <v>4780143.1503999997</v>
      </c>
      <c r="E251" s="829">
        <f t="shared" si="10"/>
        <v>966.79160000000002</v>
      </c>
      <c r="F251" s="825">
        <v>968.76</v>
      </c>
      <c r="H251" s="659">
        <f t="shared" si="11"/>
        <v>968.76</v>
      </c>
      <c r="J251" s="501" t="s">
        <v>2199</v>
      </c>
      <c r="K251" s="825">
        <v>991.42</v>
      </c>
    </row>
    <row r="252" spans="2:11">
      <c r="B252" s="828" t="s">
        <v>2304</v>
      </c>
      <c r="C252" s="828">
        <v>2242578.3857999998</v>
      </c>
      <c r="D252" s="828">
        <v>4780232.0522999996</v>
      </c>
      <c r="E252" s="829">
        <f t="shared" si="10"/>
        <v>978.5616</v>
      </c>
      <c r="F252" s="825">
        <v>980.53</v>
      </c>
      <c r="H252" s="659">
        <f t="shared" si="11"/>
        <v>980.53</v>
      </c>
      <c r="J252" s="501" t="s">
        <v>2221</v>
      </c>
      <c r="K252" s="825">
        <v>989.14</v>
      </c>
    </row>
    <row r="253" spans="2:11">
      <c r="B253" s="828" t="s">
        <v>2305</v>
      </c>
      <c r="C253" s="828">
        <v>2242558.9138000002</v>
      </c>
      <c r="D253" s="828">
        <v>4780204.2443000004</v>
      </c>
      <c r="E253" s="829">
        <f t="shared" si="10"/>
        <v>974.86160000000007</v>
      </c>
      <c r="F253" s="825">
        <v>976.83</v>
      </c>
      <c r="H253" s="659">
        <f t="shared" si="11"/>
        <v>976.83</v>
      </c>
      <c r="J253" s="501"/>
      <c r="K253" s="825"/>
    </row>
    <row r="254" spans="2:11">
      <c r="B254" s="828" t="s">
        <v>2306</v>
      </c>
      <c r="C254" s="828">
        <v>2242548.0528000002</v>
      </c>
      <c r="D254" s="828">
        <v>4780189.3032999998</v>
      </c>
      <c r="E254" s="829">
        <f t="shared" si="10"/>
        <v>974.32159999999999</v>
      </c>
      <c r="F254" s="825">
        <v>976.29</v>
      </c>
      <c r="H254" s="659">
        <f t="shared" si="11"/>
        <v>976.29</v>
      </c>
      <c r="J254" s="501" t="s">
        <v>2205</v>
      </c>
      <c r="K254" s="825">
        <v>983.8</v>
      </c>
    </row>
    <row r="255" spans="2:11">
      <c r="B255" s="828" t="s">
        <v>2307</v>
      </c>
      <c r="C255" s="828">
        <v>2242536.5844999999</v>
      </c>
      <c r="D255" s="828">
        <v>4780172.9588000001</v>
      </c>
      <c r="E255" s="829">
        <f t="shared" si="10"/>
        <v>972.03160000000003</v>
      </c>
      <c r="F255" s="825">
        <v>974</v>
      </c>
      <c r="H255" s="659">
        <f t="shared" si="11"/>
        <v>974</v>
      </c>
      <c r="J255" s="501"/>
      <c r="K255" s="825"/>
    </row>
    <row r="256" spans="2:11">
      <c r="B256" s="828" t="s">
        <v>2308</v>
      </c>
      <c r="C256" s="828">
        <v>2242525.8928</v>
      </c>
      <c r="D256" s="828">
        <v>4780156.4682999998</v>
      </c>
      <c r="E256" s="829">
        <f t="shared" si="10"/>
        <v>971.61160000000007</v>
      </c>
      <c r="F256" s="825">
        <v>973.58</v>
      </c>
      <c r="H256" s="659">
        <f t="shared" si="11"/>
        <v>973.58</v>
      </c>
      <c r="J256" s="501" t="s">
        <v>2231</v>
      </c>
      <c r="K256" s="825">
        <v>992.86</v>
      </c>
    </row>
    <row r="257" spans="2:11">
      <c r="B257" s="828" t="s">
        <v>2309</v>
      </c>
      <c r="C257" s="828">
        <v>2242494.0288</v>
      </c>
      <c r="D257" s="828">
        <v>4780159.9062999999</v>
      </c>
      <c r="E257" s="829">
        <f t="shared" si="10"/>
        <v>968.57159999999999</v>
      </c>
      <c r="F257" s="825">
        <v>970.54</v>
      </c>
      <c r="H257" s="659">
        <f t="shared" si="11"/>
        <v>970.54</v>
      </c>
      <c r="J257" s="501" t="s">
        <v>2522</v>
      </c>
      <c r="K257" s="825">
        <v>992.2</v>
      </c>
    </row>
    <row r="258" spans="2:11">
      <c r="B258" s="828" t="s">
        <v>2310</v>
      </c>
      <c r="C258" s="828">
        <v>2242528.1063999999</v>
      </c>
      <c r="D258" s="828">
        <v>4780263.5120999999</v>
      </c>
      <c r="E258" s="829">
        <f t="shared" ref="E258:E266" si="12">+F258-$P$7</f>
        <v>979.54160000000002</v>
      </c>
      <c r="F258" s="825">
        <v>981.51</v>
      </c>
      <c r="H258" s="659">
        <f t="shared" si="11"/>
        <v>981.51</v>
      </c>
      <c r="J258" s="501"/>
      <c r="K258" s="825"/>
    </row>
    <row r="259" spans="2:11">
      <c r="B259" s="828" t="s">
        <v>2311</v>
      </c>
      <c r="C259" s="828">
        <v>2242502.3158</v>
      </c>
      <c r="D259" s="828">
        <v>4780221.5383000001</v>
      </c>
      <c r="E259" s="829">
        <f t="shared" si="12"/>
        <v>974.48160000000007</v>
      </c>
      <c r="F259" s="825">
        <v>976.45</v>
      </c>
      <c r="H259" s="659">
        <f t="shared" si="11"/>
        <v>976.45</v>
      </c>
      <c r="J259" s="501" t="s">
        <v>2233</v>
      </c>
      <c r="K259" s="825">
        <v>992.36</v>
      </c>
    </row>
    <row r="260" spans="2:11">
      <c r="B260" s="828" t="s">
        <v>2312</v>
      </c>
      <c r="C260" s="828">
        <v>2242525.6208000001</v>
      </c>
      <c r="D260" s="828">
        <v>4780205.5453000003</v>
      </c>
      <c r="E260" s="829">
        <f t="shared" si="12"/>
        <v>973.58159999999998</v>
      </c>
      <c r="F260" s="825">
        <v>975.55</v>
      </c>
      <c r="H260" s="659">
        <f t="shared" si="11"/>
        <v>975.55</v>
      </c>
      <c r="J260" s="501"/>
      <c r="K260" s="825"/>
    </row>
    <row r="261" spans="2:11">
      <c r="B261" s="828" t="s">
        <v>2313</v>
      </c>
      <c r="C261" s="828">
        <v>2242143.7218999998</v>
      </c>
      <c r="D261" s="828">
        <v>4780280.1412000004</v>
      </c>
      <c r="E261" s="829">
        <f t="shared" si="12"/>
        <v>971.4316</v>
      </c>
      <c r="F261" s="825">
        <v>973.4</v>
      </c>
      <c r="H261" s="659">
        <f t="shared" si="11"/>
        <v>973.4</v>
      </c>
      <c r="J261" s="501" t="s">
        <v>2231</v>
      </c>
      <c r="K261" s="825">
        <v>992.86</v>
      </c>
    </row>
    <row r="262" spans="2:11">
      <c r="B262" s="828" t="s">
        <v>2314</v>
      </c>
      <c r="C262" s="828">
        <v>2242155.7667999999</v>
      </c>
      <c r="D262" s="828">
        <v>4780314.0203999998</v>
      </c>
      <c r="E262" s="829">
        <f t="shared" si="12"/>
        <v>972.09159999999997</v>
      </c>
      <c r="F262" s="825">
        <v>974.06</v>
      </c>
      <c r="H262" s="659">
        <f t="shared" si="11"/>
        <v>974.06</v>
      </c>
      <c r="J262" s="501"/>
      <c r="K262" s="825"/>
    </row>
    <row r="263" spans="2:11">
      <c r="B263" s="828" t="s">
        <v>2315</v>
      </c>
      <c r="C263" s="828">
        <v>2242555.5647999998</v>
      </c>
      <c r="D263" s="828">
        <v>4780249.4083000002</v>
      </c>
      <c r="E263" s="829">
        <f t="shared" si="12"/>
        <v>979.38160000000005</v>
      </c>
      <c r="F263" s="825">
        <v>981.35</v>
      </c>
      <c r="H263" s="659">
        <f t="shared" si="11"/>
        <v>981.35</v>
      </c>
      <c r="J263" s="501" t="s">
        <v>2340</v>
      </c>
      <c r="K263" s="825">
        <v>996.98</v>
      </c>
    </row>
    <row r="264" spans="2:11">
      <c r="B264" s="828" t="s">
        <v>2316</v>
      </c>
      <c r="C264" s="828">
        <v>2242539.7588</v>
      </c>
      <c r="D264" s="828">
        <v>4780195.7433000002</v>
      </c>
      <c r="E264" s="829">
        <f t="shared" si="12"/>
        <v>974.03160000000003</v>
      </c>
      <c r="F264" s="825">
        <v>976</v>
      </c>
      <c r="H264" s="659">
        <f t="shared" si="11"/>
        <v>976</v>
      </c>
      <c r="J264" s="501" t="s">
        <v>98</v>
      </c>
      <c r="K264" s="825">
        <v>997.63</v>
      </c>
    </row>
    <row r="265" spans="2:11">
      <c r="B265" s="828" t="s">
        <v>2317</v>
      </c>
      <c r="C265" s="828">
        <v>2242519.7678</v>
      </c>
      <c r="D265" s="828">
        <v>4780333.9272999996</v>
      </c>
      <c r="E265" s="829">
        <f t="shared" si="12"/>
        <v>969.4316</v>
      </c>
      <c r="F265" s="825">
        <v>971.4</v>
      </c>
      <c r="H265" s="659">
        <f t="shared" si="11"/>
        <v>971.4</v>
      </c>
      <c r="J265" s="501" t="s">
        <v>2341</v>
      </c>
      <c r="K265" s="825">
        <v>993.74</v>
      </c>
    </row>
    <row r="266" spans="2:11">
      <c r="B266" s="828" t="s">
        <v>2318</v>
      </c>
      <c r="C266" s="828">
        <v>2242305.4978</v>
      </c>
      <c r="D266" s="828">
        <v>4779970.5953000002</v>
      </c>
      <c r="E266" s="829">
        <f t="shared" si="12"/>
        <v>985.84159999999997</v>
      </c>
      <c r="F266" s="825">
        <v>987.81</v>
      </c>
      <c r="H266" s="659">
        <f t="shared" si="11"/>
        <v>987.81</v>
      </c>
      <c r="J266" s="501" t="s">
        <v>2232</v>
      </c>
      <c r="K266" s="825">
        <v>992.71</v>
      </c>
    </row>
    <row r="267" spans="2:11">
      <c r="F267" s="828"/>
      <c r="H267" s="659" t="e">
        <f t="shared" si="11"/>
        <v>#N/A</v>
      </c>
      <c r="J267" s="501"/>
      <c r="K267" s="825"/>
    </row>
    <row r="268" spans="2:11">
      <c r="H268" s="659" t="e">
        <f t="shared" si="11"/>
        <v>#N/A</v>
      </c>
      <c r="J268" s="501" t="s">
        <v>2189</v>
      </c>
      <c r="K268" s="825">
        <v>986.43</v>
      </c>
    </row>
    <row r="269" spans="2:11">
      <c r="H269" s="659" t="e">
        <f t="shared" si="11"/>
        <v>#N/A</v>
      </c>
      <c r="J269" s="501" t="s">
        <v>2191</v>
      </c>
      <c r="K269" s="825">
        <v>986.09</v>
      </c>
    </row>
    <row r="270" spans="2:11">
      <c r="H270" s="659" t="e">
        <f t="shared" si="11"/>
        <v>#N/A</v>
      </c>
      <c r="J270" s="501"/>
      <c r="K270" s="825"/>
    </row>
    <row r="271" spans="2:11">
      <c r="H271" s="659" t="e">
        <f t="shared" si="11"/>
        <v>#N/A</v>
      </c>
      <c r="J271" s="501" t="s">
        <v>2190</v>
      </c>
      <c r="K271" s="825">
        <v>991.69</v>
      </c>
    </row>
    <row r="272" spans="2:11">
      <c r="H272" s="659" t="e">
        <f t="shared" si="11"/>
        <v>#N/A</v>
      </c>
      <c r="J272" s="501"/>
      <c r="K272" s="825"/>
    </row>
    <row r="273" spans="8:11">
      <c r="H273" s="659" t="e">
        <f t="shared" si="11"/>
        <v>#N/A</v>
      </c>
      <c r="J273" s="501" t="s">
        <v>2189</v>
      </c>
      <c r="K273" s="825">
        <v>986.43</v>
      </c>
    </row>
    <row r="274" spans="8:11">
      <c r="H274" s="659" t="e">
        <f t="shared" si="11"/>
        <v>#N/A</v>
      </c>
      <c r="J274" s="501" t="s">
        <v>2203</v>
      </c>
      <c r="K274" s="825">
        <v>986.37</v>
      </c>
    </row>
    <row r="275" spans="8:11">
      <c r="H275" s="659" t="e">
        <f t="shared" si="11"/>
        <v>#N/A</v>
      </c>
      <c r="J275" s="501"/>
      <c r="K275" s="825"/>
    </row>
    <row r="276" spans="8:11">
      <c r="H276" s="659" t="e">
        <f t="shared" si="11"/>
        <v>#N/A</v>
      </c>
      <c r="J276" s="501" t="s">
        <v>2202</v>
      </c>
      <c r="K276" s="825">
        <v>990</v>
      </c>
    </row>
    <row r="277" spans="8:11">
      <c r="H277" s="659" t="e">
        <f t="shared" si="11"/>
        <v>#N/A</v>
      </c>
      <c r="J277" s="501"/>
      <c r="K277" s="825"/>
    </row>
    <row r="278" spans="8:11">
      <c r="H278" s="659" t="e">
        <f t="shared" si="11"/>
        <v>#N/A</v>
      </c>
      <c r="J278" s="501" t="s">
        <v>2076</v>
      </c>
      <c r="K278" s="825">
        <v>992.52</v>
      </c>
    </row>
    <row r="279" spans="8:11">
      <c r="H279" s="659" t="e">
        <f t="shared" si="11"/>
        <v>#N/A</v>
      </c>
      <c r="J279" s="501" t="s">
        <v>2343</v>
      </c>
      <c r="K279" s="825">
        <v>990.06</v>
      </c>
    </row>
    <row r="280" spans="8:11">
      <c r="H280" s="659" t="e">
        <f t="shared" si="11"/>
        <v>#N/A</v>
      </c>
      <c r="J280" s="501" t="s">
        <v>2344</v>
      </c>
      <c r="K280" s="825">
        <v>990.1</v>
      </c>
    </row>
    <row r="281" spans="8:11">
      <c r="H281" s="659" t="e">
        <f t="shared" si="11"/>
        <v>#N/A</v>
      </c>
      <c r="J281" s="501" t="s">
        <v>2234</v>
      </c>
      <c r="K281" s="825">
        <v>990.08</v>
      </c>
    </row>
    <row r="282" spans="8:11">
      <c r="H282" s="659" t="e">
        <f t="shared" si="11"/>
        <v>#N/A</v>
      </c>
      <c r="J282" s="501" t="s">
        <v>2346</v>
      </c>
      <c r="K282" s="825">
        <v>989.92</v>
      </c>
    </row>
    <row r="283" spans="8:11">
      <c r="H283" s="659" t="e">
        <f t="shared" si="11"/>
        <v>#N/A</v>
      </c>
      <c r="J283" s="501" t="s">
        <v>2364</v>
      </c>
      <c r="K283" s="825">
        <v>987.96</v>
      </c>
    </row>
    <row r="284" spans="8:11">
      <c r="H284" s="659" t="e">
        <f t="shared" si="11"/>
        <v>#N/A</v>
      </c>
      <c r="J284" s="501" t="s">
        <v>2206</v>
      </c>
      <c r="K284" s="825">
        <v>986.04</v>
      </c>
    </row>
    <row r="285" spans="8:11">
      <c r="H285" s="659" t="e">
        <f t="shared" si="11"/>
        <v>#N/A</v>
      </c>
      <c r="J285" s="501" t="s">
        <v>2244</v>
      </c>
      <c r="K285" s="825">
        <v>983.36</v>
      </c>
    </row>
    <row r="286" spans="8:11">
      <c r="H286" s="659" t="e">
        <f t="shared" si="11"/>
        <v>#N/A</v>
      </c>
      <c r="J286" s="501" t="s">
        <v>2355</v>
      </c>
      <c r="K286" s="825">
        <v>969.41</v>
      </c>
    </row>
    <row r="287" spans="8:11">
      <c r="H287" s="659" t="e">
        <f t="shared" si="11"/>
        <v>#N/A</v>
      </c>
      <c r="J287" s="501"/>
      <c r="K287" s="825"/>
    </row>
    <row r="288" spans="8:11">
      <c r="H288" s="659" t="e">
        <f t="shared" si="11"/>
        <v>#N/A</v>
      </c>
      <c r="J288" s="501" t="s">
        <v>2342</v>
      </c>
      <c r="K288" s="825">
        <v>990.44</v>
      </c>
    </row>
    <row r="289" spans="8:11">
      <c r="H289" s="659" t="e">
        <f t="shared" si="11"/>
        <v>#N/A</v>
      </c>
      <c r="J289" s="501" t="s">
        <v>2345</v>
      </c>
      <c r="K289" s="825">
        <v>989.73</v>
      </c>
    </row>
    <row r="290" spans="8:11">
      <c r="H290" s="659" t="e">
        <f t="shared" si="11"/>
        <v>#N/A</v>
      </c>
      <c r="J290" s="501"/>
      <c r="K290" s="825"/>
    </row>
    <row r="291" spans="8:11">
      <c r="H291" s="659" t="e">
        <f t="shared" si="11"/>
        <v>#N/A</v>
      </c>
      <c r="J291" s="501" t="s">
        <v>2347</v>
      </c>
      <c r="K291" s="825">
        <v>992.63</v>
      </c>
    </row>
    <row r="292" spans="8:11">
      <c r="H292" s="659" t="e">
        <f t="shared" si="11"/>
        <v>#N/A</v>
      </c>
      <c r="J292" s="501"/>
      <c r="K292" s="825"/>
    </row>
    <row r="293" spans="8:11">
      <c r="H293" s="659" t="e">
        <f t="shared" si="11"/>
        <v>#N/A</v>
      </c>
      <c r="J293" s="501" t="s">
        <v>2195</v>
      </c>
      <c r="K293" s="825">
        <v>985.01</v>
      </c>
    </row>
    <row r="294" spans="8:11">
      <c r="H294" s="659" t="e">
        <f t="shared" si="11"/>
        <v>#N/A</v>
      </c>
      <c r="J294" s="501" t="s">
        <v>2196</v>
      </c>
      <c r="K294" s="825">
        <v>984.25</v>
      </c>
    </row>
    <row r="295" spans="8:11">
      <c r="H295" s="659" t="e">
        <f t="shared" si="11"/>
        <v>#N/A</v>
      </c>
      <c r="J295" s="501" t="s">
        <v>2197</v>
      </c>
      <c r="K295" s="825">
        <v>982.09</v>
      </c>
    </row>
    <row r="296" spans="8:11">
      <c r="H296" s="659" t="e">
        <f t="shared" si="11"/>
        <v>#N/A</v>
      </c>
      <c r="J296" s="501" t="s">
        <v>2198</v>
      </c>
      <c r="K296" s="825">
        <v>981.49</v>
      </c>
    </row>
    <row r="297" spans="8:11">
      <c r="H297" s="659" t="e">
        <f t="shared" si="11"/>
        <v>#N/A</v>
      </c>
      <c r="J297" s="501" t="s">
        <v>2201</v>
      </c>
      <c r="K297" s="825">
        <v>984.19</v>
      </c>
    </row>
    <row r="298" spans="8:11">
      <c r="H298" s="659" t="e">
        <f t="shared" si="11"/>
        <v>#N/A</v>
      </c>
      <c r="J298" s="501" t="s">
        <v>2523</v>
      </c>
      <c r="K298" s="825">
        <v>978.06</v>
      </c>
    </row>
    <row r="299" spans="8:11">
      <c r="H299" s="659" t="e">
        <f t="shared" si="11"/>
        <v>#N/A</v>
      </c>
      <c r="J299" s="501"/>
      <c r="K299" s="825"/>
    </row>
    <row r="300" spans="8:11">
      <c r="H300" s="659" t="e">
        <f t="shared" si="11"/>
        <v>#N/A</v>
      </c>
      <c r="J300" s="501" t="s">
        <v>2200</v>
      </c>
      <c r="K300" s="825">
        <v>986.61</v>
      </c>
    </row>
    <row r="301" spans="8:11">
      <c r="H301" s="659" t="e">
        <f t="shared" si="11"/>
        <v>#N/A</v>
      </c>
      <c r="J301" s="501"/>
      <c r="K301" s="825"/>
    </row>
    <row r="302" spans="8:11">
      <c r="H302" s="659" t="e">
        <f t="shared" si="11"/>
        <v>#N/A</v>
      </c>
      <c r="J302" s="501" t="s">
        <v>2321</v>
      </c>
      <c r="K302" s="825">
        <v>992.41</v>
      </c>
    </row>
    <row r="303" spans="8:11">
      <c r="H303" s="659" t="e">
        <f t="shared" si="11"/>
        <v>#N/A</v>
      </c>
      <c r="J303" s="501" t="s">
        <v>104</v>
      </c>
      <c r="K303" s="825">
        <v>990.71</v>
      </c>
    </row>
    <row r="304" spans="8:11">
      <c r="H304" s="659" t="e">
        <f t="shared" si="11"/>
        <v>#N/A</v>
      </c>
      <c r="J304" s="501" t="s">
        <v>105</v>
      </c>
      <c r="K304" s="825">
        <v>986.96</v>
      </c>
    </row>
    <row r="305" spans="8:11">
      <c r="H305" s="659" t="e">
        <f t="shared" si="11"/>
        <v>#N/A</v>
      </c>
      <c r="J305" s="501"/>
      <c r="K305" s="825"/>
    </row>
    <row r="306" spans="8:11">
      <c r="H306" s="659" t="e">
        <f t="shared" si="11"/>
        <v>#N/A</v>
      </c>
      <c r="J306" s="501" t="s">
        <v>104</v>
      </c>
      <c r="K306" s="825">
        <v>990.71</v>
      </c>
    </row>
    <row r="307" spans="8:11">
      <c r="H307" s="659" t="e">
        <f t="shared" si="11"/>
        <v>#N/A</v>
      </c>
      <c r="J307" s="501" t="s">
        <v>2320</v>
      </c>
      <c r="K307" s="825">
        <v>986.84</v>
      </c>
    </row>
    <row r="308" spans="8:11">
      <c r="H308" s="659" t="e">
        <f t="shared" si="11"/>
        <v>#N/A</v>
      </c>
      <c r="J308" s="501"/>
      <c r="K308" s="825"/>
    </row>
    <row r="309" spans="8:11">
      <c r="H309" s="659" t="e">
        <f t="shared" si="11"/>
        <v>#N/A</v>
      </c>
      <c r="J309" s="501" t="s">
        <v>104</v>
      </c>
      <c r="K309" s="825">
        <v>990.71</v>
      </c>
    </row>
    <row r="310" spans="8:11">
      <c r="H310" s="659" t="e">
        <f t="shared" ref="H310:H373" si="13">+VLOOKUP(B310,$J$1:$K$490,2,FALSE)</f>
        <v>#N/A</v>
      </c>
      <c r="J310" s="501" t="s">
        <v>2080</v>
      </c>
      <c r="K310" s="825">
        <v>989.5</v>
      </c>
    </row>
    <row r="311" spans="8:11">
      <c r="H311" s="659" t="e">
        <f t="shared" si="13"/>
        <v>#N/A</v>
      </c>
      <c r="J311" s="501"/>
      <c r="K311" s="825"/>
    </row>
    <row r="312" spans="8:11">
      <c r="H312" s="659" t="e">
        <f t="shared" si="13"/>
        <v>#N/A</v>
      </c>
      <c r="J312" s="501" t="s">
        <v>2074</v>
      </c>
      <c r="K312" s="825">
        <v>990.24</v>
      </c>
    </row>
    <row r="313" spans="8:11">
      <c r="H313" s="659" t="e">
        <f t="shared" si="13"/>
        <v>#N/A</v>
      </c>
      <c r="J313" s="501"/>
      <c r="K313" s="825"/>
    </row>
    <row r="314" spans="8:11">
      <c r="H314" s="659" t="e">
        <f t="shared" si="13"/>
        <v>#N/A</v>
      </c>
      <c r="J314" s="501" t="s">
        <v>109</v>
      </c>
      <c r="K314" s="825">
        <v>998.75</v>
      </c>
    </row>
    <row r="315" spans="8:11">
      <c r="H315" s="659" t="e">
        <f t="shared" si="13"/>
        <v>#N/A</v>
      </c>
      <c r="J315" s="501">
        <v>207</v>
      </c>
      <c r="K315" s="825"/>
    </row>
    <row r="316" spans="8:11">
      <c r="H316" s="659" t="e">
        <f t="shared" si="13"/>
        <v>#N/A</v>
      </c>
      <c r="J316" s="501" t="s">
        <v>2104</v>
      </c>
      <c r="K316" s="825">
        <v>997.13</v>
      </c>
    </row>
    <row r="317" spans="8:11">
      <c r="H317" s="659" t="e">
        <f t="shared" si="13"/>
        <v>#N/A</v>
      </c>
      <c r="J317" s="501" t="s">
        <v>2105</v>
      </c>
      <c r="K317" s="825">
        <v>996.22</v>
      </c>
    </row>
    <row r="318" spans="8:11">
      <c r="H318" s="659" t="e">
        <f t="shared" si="13"/>
        <v>#N/A</v>
      </c>
      <c r="J318" s="501" t="s">
        <v>2106</v>
      </c>
      <c r="K318" s="825">
        <v>995.81</v>
      </c>
    </row>
    <row r="319" spans="8:11">
      <c r="H319" s="659" t="e">
        <f t="shared" si="13"/>
        <v>#N/A</v>
      </c>
      <c r="J319" s="501" t="s">
        <v>2122</v>
      </c>
      <c r="K319" s="825">
        <v>995.69</v>
      </c>
    </row>
    <row r="320" spans="8:11">
      <c r="H320" s="659" t="e">
        <f t="shared" si="13"/>
        <v>#N/A</v>
      </c>
      <c r="J320" s="501" t="s">
        <v>2123</v>
      </c>
      <c r="K320" s="825">
        <v>995.67</v>
      </c>
    </row>
    <row r="321" spans="8:11">
      <c r="H321" s="659" t="e">
        <f t="shared" si="13"/>
        <v>#N/A</v>
      </c>
      <c r="J321" s="501" t="s">
        <v>2124</v>
      </c>
      <c r="K321" s="825">
        <v>995.73</v>
      </c>
    </row>
    <row r="322" spans="8:11">
      <c r="H322" s="659" t="e">
        <f t="shared" si="13"/>
        <v>#N/A</v>
      </c>
      <c r="J322" s="501" t="s">
        <v>2125</v>
      </c>
      <c r="K322" s="825">
        <v>992.56</v>
      </c>
    </row>
    <row r="323" spans="8:11">
      <c r="H323" s="659" t="e">
        <f t="shared" si="13"/>
        <v>#N/A</v>
      </c>
      <c r="J323" s="501" t="s">
        <v>2126</v>
      </c>
      <c r="K323" s="825">
        <v>988.17</v>
      </c>
    </row>
    <row r="324" spans="8:11">
      <c r="H324" s="659" t="e">
        <f t="shared" si="13"/>
        <v>#N/A</v>
      </c>
      <c r="J324" s="501" t="s">
        <v>2127</v>
      </c>
      <c r="K324" s="825">
        <v>982.56</v>
      </c>
    </row>
    <row r="325" spans="8:11">
      <c r="H325" s="659" t="e">
        <f t="shared" si="13"/>
        <v>#N/A</v>
      </c>
      <c r="J325" s="501" t="s">
        <v>2128</v>
      </c>
      <c r="K325" s="825">
        <v>979.68</v>
      </c>
    </row>
    <row r="326" spans="8:11">
      <c r="H326" s="659" t="e">
        <f t="shared" si="13"/>
        <v>#N/A</v>
      </c>
      <c r="J326" s="501" t="s">
        <v>2362</v>
      </c>
      <c r="K326" s="825">
        <v>974.44</v>
      </c>
    </row>
    <row r="327" spans="8:11">
      <c r="H327" s="659" t="e">
        <f t="shared" si="13"/>
        <v>#N/A</v>
      </c>
      <c r="J327" s="501" t="s">
        <v>2069</v>
      </c>
      <c r="K327" s="825">
        <v>973.82</v>
      </c>
    </row>
    <row r="328" spans="8:11">
      <c r="H328" s="659" t="e">
        <f t="shared" si="13"/>
        <v>#N/A</v>
      </c>
      <c r="J328" s="501" t="s">
        <v>2324</v>
      </c>
      <c r="K328" s="825">
        <v>974.65</v>
      </c>
    </row>
    <row r="329" spans="8:11">
      <c r="H329" s="659" t="e">
        <f t="shared" si="13"/>
        <v>#N/A</v>
      </c>
      <c r="J329" s="501" t="s">
        <v>2354</v>
      </c>
      <c r="K329" s="825">
        <v>975.2</v>
      </c>
    </row>
    <row r="330" spans="8:11">
      <c r="H330" s="659" t="e">
        <f t="shared" si="13"/>
        <v>#N/A</v>
      </c>
      <c r="J330" s="827" t="s">
        <v>2328</v>
      </c>
      <c r="K330" s="825">
        <v>975.42</v>
      </c>
    </row>
    <row r="331" spans="8:11">
      <c r="H331" s="659" t="e">
        <f t="shared" si="13"/>
        <v>#N/A</v>
      </c>
      <c r="J331" s="501" t="s">
        <v>2329</v>
      </c>
      <c r="K331" s="825">
        <v>974.61</v>
      </c>
    </row>
    <row r="332" spans="8:11">
      <c r="H332" s="659" t="e">
        <f t="shared" si="13"/>
        <v>#N/A</v>
      </c>
      <c r="J332" s="501" t="s">
        <v>2330</v>
      </c>
      <c r="K332" s="825">
        <v>973.27</v>
      </c>
    </row>
    <row r="333" spans="8:11">
      <c r="H333" s="659" t="e">
        <f t="shared" si="13"/>
        <v>#N/A</v>
      </c>
      <c r="J333" s="501" t="s">
        <v>2331</v>
      </c>
      <c r="K333" s="825">
        <v>972.94</v>
      </c>
    </row>
    <row r="334" spans="8:11">
      <c r="H334" s="659" t="e">
        <f t="shared" si="13"/>
        <v>#N/A</v>
      </c>
      <c r="J334" s="501" t="s">
        <v>2332</v>
      </c>
      <c r="K334" s="825">
        <v>971.29</v>
      </c>
    </row>
    <row r="335" spans="8:11">
      <c r="H335" s="659" t="e">
        <f t="shared" si="13"/>
        <v>#N/A</v>
      </c>
      <c r="J335" s="501" t="s">
        <v>2570</v>
      </c>
      <c r="K335" s="825">
        <v>971.14</v>
      </c>
    </row>
    <row r="336" spans="8:11">
      <c r="H336" s="659" t="e">
        <f t="shared" si="13"/>
        <v>#N/A</v>
      </c>
      <c r="J336" s="501" t="s">
        <v>2333</v>
      </c>
      <c r="K336" s="825">
        <v>970.88</v>
      </c>
    </row>
    <row r="337" spans="8:11">
      <c r="H337" s="659" t="e">
        <f t="shared" si="13"/>
        <v>#N/A</v>
      </c>
      <c r="J337" s="501" t="s">
        <v>2334</v>
      </c>
      <c r="K337" s="825">
        <v>970.72</v>
      </c>
    </row>
    <row r="338" spans="8:11">
      <c r="H338" s="659" t="e">
        <f t="shared" si="13"/>
        <v>#N/A</v>
      </c>
      <c r="J338" s="501" t="s">
        <v>2335</v>
      </c>
      <c r="K338" s="825">
        <v>970.66</v>
      </c>
    </row>
    <row r="339" spans="8:11">
      <c r="H339" s="659" t="e">
        <f t="shared" si="13"/>
        <v>#N/A</v>
      </c>
      <c r="J339" s="501" t="s">
        <v>2336</v>
      </c>
      <c r="K339" s="825">
        <v>970.45</v>
      </c>
    </row>
    <row r="340" spans="8:11">
      <c r="H340" s="659" t="e">
        <f t="shared" si="13"/>
        <v>#N/A</v>
      </c>
      <c r="J340" s="501" t="s">
        <v>2337</v>
      </c>
      <c r="K340" s="825">
        <v>970.17</v>
      </c>
    </row>
    <row r="341" spans="8:11">
      <c r="H341" s="659" t="e">
        <f t="shared" si="13"/>
        <v>#N/A</v>
      </c>
      <c r="J341" s="501" t="s">
        <v>2225</v>
      </c>
      <c r="K341" s="825">
        <v>969.25</v>
      </c>
    </row>
    <row r="342" spans="8:11">
      <c r="H342" s="659" t="e">
        <f t="shared" si="13"/>
        <v>#N/A</v>
      </c>
      <c r="J342" s="501" t="s">
        <v>2226</v>
      </c>
      <c r="K342" s="825">
        <v>969.31</v>
      </c>
    </row>
    <row r="343" spans="8:11">
      <c r="H343" s="659" t="e">
        <f t="shared" si="13"/>
        <v>#N/A</v>
      </c>
      <c r="J343" s="827" t="s">
        <v>2227</v>
      </c>
      <c r="K343" s="825">
        <v>969.3</v>
      </c>
    </row>
    <row r="344" spans="8:11">
      <c r="H344" s="659" t="e">
        <f t="shared" si="13"/>
        <v>#N/A</v>
      </c>
      <c r="J344" s="501" t="s">
        <v>2228</v>
      </c>
      <c r="K344" s="825">
        <v>968.76</v>
      </c>
    </row>
    <row r="345" spans="8:11">
      <c r="H345" s="659" t="e">
        <f t="shared" si="13"/>
        <v>#N/A</v>
      </c>
      <c r="J345" s="501" t="s">
        <v>2356</v>
      </c>
      <c r="K345" s="825">
        <v>968.02</v>
      </c>
    </row>
    <row r="346" spans="8:11">
      <c r="H346" s="659" t="e">
        <f t="shared" si="13"/>
        <v>#N/A</v>
      </c>
      <c r="J346" s="501" t="s">
        <v>2357</v>
      </c>
      <c r="K346" s="825">
        <v>966.98</v>
      </c>
    </row>
    <row r="347" spans="8:11">
      <c r="H347" s="659" t="e">
        <f t="shared" si="13"/>
        <v>#N/A</v>
      </c>
      <c r="J347" s="501" t="s">
        <v>2358</v>
      </c>
      <c r="K347" s="825">
        <v>965.92</v>
      </c>
    </row>
    <row r="348" spans="8:11">
      <c r="H348" s="659" t="e">
        <f t="shared" si="13"/>
        <v>#N/A</v>
      </c>
      <c r="J348" s="501" t="s">
        <v>2361</v>
      </c>
      <c r="K348" s="825">
        <v>966.64</v>
      </c>
    </row>
    <row r="349" spans="8:11">
      <c r="H349" s="659" t="e">
        <f t="shared" si="13"/>
        <v>#N/A</v>
      </c>
      <c r="J349" s="827" t="s">
        <v>2245</v>
      </c>
      <c r="K349" s="825">
        <v>965.72</v>
      </c>
    </row>
    <row r="350" spans="8:11">
      <c r="H350" s="659" t="e">
        <f t="shared" si="13"/>
        <v>#N/A</v>
      </c>
      <c r="J350" s="501" t="s">
        <v>2246</v>
      </c>
      <c r="K350" s="825">
        <v>965.31</v>
      </c>
    </row>
    <row r="351" spans="8:11">
      <c r="H351" s="659" t="e">
        <f t="shared" si="13"/>
        <v>#N/A</v>
      </c>
      <c r="J351" s="826" t="s">
        <v>2247</v>
      </c>
      <c r="K351" s="825">
        <v>965.45</v>
      </c>
    </row>
    <row r="352" spans="8:11">
      <c r="H352" s="659" t="e">
        <f t="shared" si="13"/>
        <v>#N/A</v>
      </c>
      <c r="J352" s="501"/>
      <c r="K352" s="825"/>
    </row>
    <row r="353" spans="8:11">
      <c r="H353" s="659" t="e">
        <f t="shared" si="13"/>
        <v>#N/A</v>
      </c>
      <c r="J353" s="501" t="s">
        <v>2172</v>
      </c>
      <c r="K353" s="825">
        <v>1005.82</v>
      </c>
    </row>
    <row r="354" spans="8:11">
      <c r="H354" s="659" t="e">
        <f t="shared" si="13"/>
        <v>#N/A</v>
      </c>
      <c r="J354" s="501" t="s">
        <v>2173</v>
      </c>
      <c r="K354" s="825">
        <v>1004.54</v>
      </c>
    </row>
    <row r="355" spans="8:11">
      <c r="H355" s="659" t="e">
        <f t="shared" si="13"/>
        <v>#N/A</v>
      </c>
      <c r="J355" s="501" t="s">
        <v>2174</v>
      </c>
      <c r="K355" s="825">
        <v>1003.96</v>
      </c>
    </row>
    <row r="356" spans="8:11">
      <c r="H356" s="659" t="e">
        <f t="shared" si="13"/>
        <v>#N/A</v>
      </c>
      <c r="J356" s="501" t="s">
        <v>2175</v>
      </c>
      <c r="K356" s="825">
        <v>1003.47</v>
      </c>
    </row>
    <row r="357" spans="8:11">
      <c r="H357" s="659" t="e">
        <f t="shared" si="13"/>
        <v>#N/A</v>
      </c>
      <c r="J357" s="501" t="s">
        <v>2176</v>
      </c>
      <c r="K357" s="825">
        <v>1000.25</v>
      </c>
    </row>
    <row r="358" spans="8:11">
      <c r="H358" s="659" t="e">
        <f t="shared" si="13"/>
        <v>#N/A</v>
      </c>
      <c r="J358" s="501" t="s">
        <v>2528</v>
      </c>
      <c r="K358" s="825">
        <v>999.8</v>
      </c>
    </row>
    <row r="359" spans="8:11">
      <c r="H359" s="659" t="e">
        <f t="shared" si="13"/>
        <v>#N/A</v>
      </c>
      <c r="J359" s="501" t="s">
        <v>109</v>
      </c>
      <c r="K359" s="825">
        <v>998.75</v>
      </c>
    </row>
    <row r="360" spans="8:11">
      <c r="H360" s="659" t="e">
        <f t="shared" si="13"/>
        <v>#N/A</v>
      </c>
      <c r="J360" s="501" t="s">
        <v>2529</v>
      </c>
      <c r="K360" s="825">
        <v>984.22</v>
      </c>
    </row>
    <row r="361" spans="8:11">
      <c r="H361" s="659" t="e">
        <f t="shared" si="13"/>
        <v>#N/A</v>
      </c>
      <c r="J361" s="501"/>
      <c r="K361" s="825"/>
    </row>
    <row r="362" spans="8:11">
      <c r="H362" s="659" t="e">
        <f t="shared" si="13"/>
        <v>#N/A</v>
      </c>
      <c r="J362" s="501" t="s">
        <v>109</v>
      </c>
      <c r="K362" s="825">
        <v>998.75</v>
      </c>
    </row>
    <row r="363" spans="8:11">
      <c r="H363" s="659" t="e">
        <f t="shared" si="13"/>
        <v>#N/A</v>
      </c>
      <c r="J363" s="501"/>
      <c r="K363" s="825"/>
    </row>
    <row r="364" spans="8:11">
      <c r="H364" s="659" t="e">
        <f t="shared" si="13"/>
        <v>#N/A</v>
      </c>
      <c r="J364" s="501" t="s">
        <v>2530</v>
      </c>
      <c r="K364" s="825">
        <v>993.46</v>
      </c>
    </row>
    <row r="365" spans="8:11">
      <c r="H365" s="659" t="e">
        <f t="shared" si="13"/>
        <v>#N/A</v>
      </c>
      <c r="J365" s="501" t="s">
        <v>2347</v>
      </c>
      <c r="K365" s="825">
        <v>992.63</v>
      </c>
    </row>
    <row r="366" spans="8:11">
      <c r="H366" s="659" t="e">
        <f t="shared" si="13"/>
        <v>#N/A</v>
      </c>
      <c r="J366" s="501" t="s">
        <v>2077</v>
      </c>
      <c r="K366" s="825">
        <v>990.04</v>
      </c>
    </row>
    <row r="367" spans="8:11">
      <c r="H367" s="659" t="e">
        <f t="shared" si="13"/>
        <v>#N/A</v>
      </c>
      <c r="J367" s="501" t="s">
        <v>2531</v>
      </c>
      <c r="K367" s="825">
        <v>988.92</v>
      </c>
    </row>
    <row r="368" spans="8:11">
      <c r="H368" s="659" t="e">
        <f t="shared" si="13"/>
        <v>#N/A</v>
      </c>
      <c r="J368" s="501" t="s">
        <v>2168</v>
      </c>
      <c r="K368" s="825">
        <v>981.97</v>
      </c>
    </row>
    <row r="369" spans="8:11">
      <c r="H369" s="659" t="e">
        <f t="shared" si="13"/>
        <v>#N/A</v>
      </c>
      <c r="J369" s="501" t="s">
        <v>2169</v>
      </c>
      <c r="K369" s="825">
        <v>980.95</v>
      </c>
    </row>
    <row r="370" spans="8:11">
      <c r="H370" s="659" t="e">
        <f t="shared" si="13"/>
        <v>#N/A</v>
      </c>
      <c r="J370" s="501" t="s">
        <v>2170</v>
      </c>
      <c r="K370" s="825">
        <v>979.84</v>
      </c>
    </row>
    <row r="371" spans="8:11">
      <c r="H371" s="659" t="e">
        <f t="shared" si="13"/>
        <v>#N/A</v>
      </c>
      <c r="J371" s="826" t="s">
        <v>2171</v>
      </c>
      <c r="K371" s="825">
        <v>974.77</v>
      </c>
    </row>
    <row r="372" spans="8:11">
      <c r="H372" s="659" t="e">
        <f t="shared" si="13"/>
        <v>#N/A</v>
      </c>
      <c r="J372" s="501"/>
      <c r="K372" s="825"/>
    </row>
    <row r="373" spans="8:11">
      <c r="H373" s="659" t="e">
        <f t="shared" si="13"/>
        <v>#N/A</v>
      </c>
      <c r="J373" s="501" t="s">
        <v>2065</v>
      </c>
      <c r="K373" s="825">
        <v>986.16</v>
      </c>
    </row>
    <row r="374" spans="8:11">
      <c r="H374" s="659" t="e">
        <f t="shared" ref="H374:H437" si="14">+VLOOKUP(B374,$J$1:$K$490,2,FALSE)</f>
        <v>#N/A</v>
      </c>
      <c r="J374" s="501" t="s">
        <v>2066</v>
      </c>
      <c r="K374" s="825">
        <v>986.66</v>
      </c>
    </row>
    <row r="375" spans="8:11">
      <c r="H375" s="659" t="e">
        <f t="shared" si="14"/>
        <v>#N/A</v>
      </c>
      <c r="J375" s="501" t="s">
        <v>2067</v>
      </c>
      <c r="K375" s="825">
        <v>985.82</v>
      </c>
    </row>
    <row r="376" spans="8:11">
      <c r="H376" s="659" t="e">
        <f t="shared" si="14"/>
        <v>#N/A</v>
      </c>
      <c r="J376" s="501"/>
      <c r="K376" s="825"/>
    </row>
    <row r="377" spans="8:11">
      <c r="H377" s="659" t="e">
        <f t="shared" si="14"/>
        <v>#N/A</v>
      </c>
      <c r="J377" s="501" t="s">
        <v>2081</v>
      </c>
      <c r="K377" s="825">
        <v>989.58</v>
      </c>
    </row>
    <row r="378" spans="8:11">
      <c r="H378" s="659" t="e">
        <f t="shared" si="14"/>
        <v>#N/A</v>
      </c>
      <c r="J378" s="826" t="s">
        <v>2082</v>
      </c>
      <c r="K378" s="825">
        <v>990</v>
      </c>
    </row>
    <row r="379" spans="8:11">
      <c r="H379" s="659" t="e">
        <f t="shared" si="14"/>
        <v>#N/A</v>
      </c>
      <c r="J379" s="501"/>
      <c r="K379" s="825"/>
    </row>
    <row r="380" spans="8:11">
      <c r="H380" s="659" t="e">
        <f t="shared" si="14"/>
        <v>#N/A</v>
      </c>
      <c r="J380" s="501" t="s">
        <v>2077</v>
      </c>
      <c r="K380" s="825">
        <v>990.04</v>
      </c>
    </row>
    <row r="381" spans="8:11">
      <c r="H381" s="659" t="e">
        <f t="shared" si="14"/>
        <v>#N/A</v>
      </c>
      <c r="J381" s="501"/>
      <c r="K381" s="825"/>
    </row>
    <row r="382" spans="8:11">
      <c r="H382" s="659" t="e">
        <f t="shared" si="14"/>
        <v>#N/A</v>
      </c>
      <c r="J382" s="501" t="s">
        <v>2303</v>
      </c>
      <c r="K382" s="825">
        <v>968.76</v>
      </c>
    </row>
    <row r="383" spans="8:11">
      <c r="H383" s="659" t="e">
        <f t="shared" si="14"/>
        <v>#N/A</v>
      </c>
      <c r="J383" s="501"/>
      <c r="K383" s="825"/>
    </row>
    <row r="384" spans="8:11">
      <c r="H384" s="659" t="e">
        <f t="shared" si="14"/>
        <v>#N/A</v>
      </c>
      <c r="J384" s="501" t="s">
        <v>2261</v>
      </c>
      <c r="K384" s="825">
        <v>987.76</v>
      </c>
    </row>
    <row r="385" spans="8:11">
      <c r="H385" s="659" t="e">
        <f t="shared" si="14"/>
        <v>#N/A</v>
      </c>
      <c r="J385" s="501" t="s">
        <v>2264</v>
      </c>
      <c r="K385" s="825">
        <v>986.52</v>
      </c>
    </row>
    <row r="386" spans="8:11">
      <c r="H386" s="659" t="e">
        <f t="shared" si="14"/>
        <v>#N/A</v>
      </c>
      <c r="J386" s="501" t="s">
        <v>2265</v>
      </c>
      <c r="K386" s="825">
        <v>982.56</v>
      </c>
    </row>
    <row r="387" spans="8:11">
      <c r="H387" s="659" t="e">
        <f t="shared" si="14"/>
        <v>#N/A</v>
      </c>
      <c r="J387" s="501" t="s">
        <v>2266</v>
      </c>
      <c r="K387" s="825">
        <v>980.32</v>
      </c>
    </row>
    <row r="388" spans="8:11">
      <c r="H388" s="659" t="e">
        <f t="shared" si="14"/>
        <v>#N/A</v>
      </c>
      <c r="J388" s="501" t="s">
        <v>2267</v>
      </c>
      <c r="K388" s="825">
        <v>970.96</v>
      </c>
    </row>
    <row r="389" spans="8:11">
      <c r="H389" s="659" t="e">
        <f t="shared" si="14"/>
        <v>#N/A</v>
      </c>
      <c r="J389" s="501"/>
      <c r="K389" s="825"/>
    </row>
    <row r="390" spans="8:11">
      <c r="H390" s="659" t="e">
        <f t="shared" si="14"/>
        <v>#N/A</v>
      </c>
      <c r="J390" s="501" t="s">
        <v>2293</v>
      </c>
      <c r="K390" s="825">
        <v>989.42</v>
      </c>
    </row>
    <row r="391" spans="8:11">
      <c r="H391" s="659" t="e">
        <f t="shared" si="14"/>
        <v>#N/A</v>
      </c>
      <c r="J391" s="501" t="s">
        <v>2294</v>
      </c>
      <c r="K391" s="825">
        <v>985.63</v>
      </c>
    </row>
    <row r="392" spans="8:11">
      <c r="H392" s="659" t="e">
        <f t="shared" si="14"/>
        <v>#N/A</v>
      </c>
      <c r="J392" s="501" t="s">
        <v>2295</v>
      </c>
      <c r="K392" s="825">
        <v>984.62</v>
      </c>
    </row>
    <row r="393" spans="8:11">
      <c r="H393" s="659" t="e">
        <f t="shared" si="14"/>
        <v>#N/A</v>
      </c>
      <c r="J393" s="501"/>
      <c r="K393" s="825"/>
    </row>
    <row r="394" spans="8:11">
      <c r="H394" s="659" t="e">
        <f t="shared" si="14"/>
        <v>#N/A</v>
      </c>
      <c r="J394" s="501" t="s">
        <v>2291</v>
      </c>
      <c r="K394" s="825">
        <v>989.44</v>
      </c>
    </row>
    <row r="395" spans="8:11">
      <c r="H395" s="659" t="e">
        <f t="shared" si="14"/>
        <v>#N/A</v>
      </c>
      <c r="J395" s="501" t="s">
        <v>2292</v>
      </c>
      <c r="K395" s="825">
        <v>983.93</v>
      </c>
    </row>
    <row r="396" spans="8:11">
      <c r="H396" s="659" t="e">
        <f t="shared" si="14"/>
        <v>#N/A</v>
      </c>
      <c r="J396" s="501"/>
      <c r="K396" s="825"/>
    </row>
    <row r="397" spans="8:11">
      <c r="H397" s="659" t="e">
        <f t="shared" si="14"/>
        <v>#N/A</v>
      </c>
      <c r="J397" s="501" t="s">
        <v>2237</v>
      </c>
      <c r="K397" s="825">
        <v>986.68</v>
      </c>
    </row>
    <row r="398" spans="8:11">
      <c r="H398" s="659" t="e">
        <f t="shared" si="14"/>
        <v>#N/A</v>
      </c>
      <c r="J398" s="501" t="s">
        <v>2271</v>
      </c>
      <c r="K398" s="825">
        <v>984.87</v>
      </c>
    </row>
    <row r="399" spans="8:11">
      <c r="H399" s="659" t="e">
        <f t="shared" si="14"/>
        <v>#N/A</v>
      </c>
      <c r="J399" s="501" t="s">
        <v>2272</v>
      </c>
      <c r="K399" s="825">
        <v>983.96</v>
      </c>
    </row>
    <row r="400" spans="8:11">
      <c r="H400" s="659" t="e">
        <f t="shared" si="14"/>
        <v>#N/A</v>
      </c>
      <c r="J400" s="501" t="s">
        <v>2273</v>
      </c>
      <c r="K400" s="825">
        <v>983.19</v>
      </c>
    </row>
    <row r="401" spans="8:11">
      <c r="H401" s="659" t="e">
        <f t="shared" si="14"/>
        <v>#N/A</v>
      </c>
      <c r="J401" s="501" t="s">
        <v>2274</v>
      </c>
      <c r="K401" s="825">
        <v>972.47</v>
      </c>
    </row>
    <row r="402" spans="8:11">
      <c r="H402" s="659" t="e">
        <f t="shared" si="14"/>
        <v>#N/A</v>
      </c>
      <c r="J402" s="501"/>
      <c r="K402" s="825"/>
    </row>
    <row r="403" spans="8:11">
      <c r="H403" s="659" t="e">
        <f t="shared" si="14"/>
        <v>#N/A</v>
      </c>
      <c r="J403" s="501" t="s">
        <v>2082</v>
      </c>
      <c r="K403" s="825">
        <v>989.92</v>
      </c>
    </row>
    <row r="404" spans="8:11">
      <c r="H404" s="659" t="e">
        <f t="shared" si="14"/>
        <v>#N/A</v>
      </c>
      <c r="J404" s="501" t="s">
        <v>2532</v>
      </c>
      <c r="K404" s="825">
        <v>989.73</v>
      </c>
    </row>
    <row r="405" spans="8:11">
      <c r="H405" s="659" t="e">
        <f t="shared" si="14"/>
        <v>#N/A</v>
      </c>
      <c r="J405" s="501" t="s">
        <v>2259</v>
      </c>
      <c r="K405" s="825">
        <v>989.3</v>
      </c>
    </row>
    <row r="406" spans="8:11">
      <c r="H406" s="659" t="e">
        <f t="shared" si="14"/>
        <v>#N/A</v>
      </c>
      <c r="J406" s="501" t="s">
        <v>2260</v>
      </c>
      <c r="K406" s="825">
        <v>988.72</v>
      </c>
    </row>
    <row r="407" spans="8:11">
      <c r="H407" s="659" t="e">
        <f t="shared" si="14"/>
        <v>#N/A</v>
      </c>
      <c r="J407" s="501" t="s">
        <v>2261</v>
      </c>
      <c r="K407" s="825">
        <v>987.76</v>
      </c>
    </row>
    <row r="408" spans="8:11">
      <c r="H408" s="659" t="e">
        <f t="shared" si="14"/>
        <v>#N/A</v>
      </c>
      <c r="J408" s="501" t="s">
        <v>2237</v>
      </c>
      <c r="K408" s="825">
        <v>986.68</v>
      </c>
    </row>
    <row r="409" spans="8:11">
      <c r="H409" s="659" t="e">
        <f t="shared" si="14"/>
        <v>#N/A</v>
      </c>
      <c r="J409" s="501" t="s">
        <v>2238</v>
      </c>
      <c r="K409" s="825">
        <v>980.77</v>
      </c>
    </row>
    <row r="410" spans="8:11">
      <c r="H410" s="659" t="e">
        <f t="shared" si="14"/>
        <v>#N/A</v>
      </c>
      <c r="J410" s="501" t="s">
        <v>2242</v>
      </c>
      <c r="K410" s="825">
        <v>975.12</v>
      </c>
    </row>
    <row r="411" spans="8:11">
      <c r="H411" s="659" t="e">
        <f t="shared" si="14"/>
        <v>#N/A</v>
      </c>
      <c r="J411" s="501"/>
      <c r="K411" s="825"/>
    </row>
    <row r="412" spans="8:11">
      <c r="H412" s="659" t="e">
        <f t="shared" si="14"/>
        <v>#N/A</v>
      </c>
      <c r="J412" s="501" t="s">
        <v>2262</v>
      </c>
      <c r="K412" s="825">
        <v>987.94</v>
      </c>
    </row>
    <row r="413" spans="8:11">
      <c r="H413" s="659" t="e">
        <f t="shared" si="14"/>
        <v>#N/A</v>
      </c>
      <c r="J413" s="501" t="s">
        <v>2263</v>
      </c>
      <c r="K413" s="825">
        <v>988.49</v>
      </c>
    </row>
    <row r="414" spans="8:11">
      <c r="H414" s="659" t="e">
        <f t="shared" si="14"/>
        <v>#N/A</v>
      </c>
      <c r="J414" s="501"/>
      <c r="K414" s="825"/>
    </row>
    <row r="415" spans="8:11">
      <c r="H415" s="659" t="e">
        <f t="shared" si="14"/>
        <v>#N/A</v>
      </c>
      <c r="J415" s="501" t="s">
        <v>2364</v>
      </c>
      <c r="K415" s="825">
        <v>987.96</v>
      </c>
    </row>
    <row r="416" spans="8:11">
      <c r="H416" s="659" t="e">
        <f t="shared" si="14"/>
        <v>#N/A</v>
      </c>
      <c r="J416" s="501" t="s">
        <v>2235</v>
      </c>
      <c r="K416" s="825">
        <v>988.08</v>
      </c>
    </row>
    <row r="417" spans="8:11">
      <c r="H417" s="659" t="e">
        <f t="shared" si="14"/>
        <v>#N/A</v>
      </c>
      <c r="J417" s="501" t="s">
        <v>2236</v>
      </c>
      <c r="K417" s="825">
        <v>987.63</v>
      </c>
    </row>
    <row r="418" spans="8:11">
      <c r="H418" s="659" t="e">
        <f t="shared" si="14"/>
        <v>#N/A</v>
      </c>
      <c r="J418" s="501"/>
      <c r="K418" s="825"/>
    </row>
    <row r="419" spans="8:11">
      <c r="H419" s="659" t="e">
        <f t="shared" si="14"/>
        <v>#N/A</v>
      </c>
      <c r="J419" s="501" t="s">
        <v>2206</v>
      </c>
      <c r="K419" s="825">
        <v>986.04</v>
      </c>
    </row>
    <row r="420" spans="8:11">
      <c r="H420" s="659" t="e">
        <f t="shared" si="14"/>
        <v>#N/A</v>
      </c>
      <c r="J420" s="501" t="s">
        <v>2240</v>
      </c>
      <c r="K420" s="825">
        <v>980.9</v>
      </c>
    </row>
    <row r="421" spans="8:11">
      <c r="H421" s="659" t="e">
        <f t="shared" si="14"/>
        <v>#N/A</v>
      </c>
      <c r="J421" s="501" t="s">
        <v>2241</v>
      </c>
      <c r="K421" s="825"/>
    </row>
    <row r="422" spans="8:11">
      <c r="H422" s="659" t="e">
        <f t="shared" si="14"/>
        <v>#N/A</v>
      </c>
      <c r="J422" s="501"/>
      <c r="K422" s="825"/>
    </row>
    <row r="423" spans="8:11">
      <c r="H423" s="659" t="e">
        <f t="shared" si="14"/>
        <v>#N/A</v>
      </c>
      <c r="J423" s="501" t="s">
        <v>2259</v>
      </c>
      <c r="K423" s="825">
        <v>989.3</v>
      </c>
    </row>
    <row r="424" spans="8:11">
      <c r="H424" s="659" t="e">
        <f t="shared" si="14"/>
        <v>#N/A</v>
      </c>
      <c r="J424" s="501"/>
      <c r="K424" s="825"/>
    </row>
    <row r="425" spans="8:11">
      <c r="H425" s="659" t="e">
        <f t="shared" si="14"/>
        <v>#N/A</v>
      </c>
      <c r="J425" s="501" t="s">
        <v>2236</v>
      </c>
      <c r="K425" s="825">
        <v>987.63</v>
      </c>
    </row>
    <row r="426" spans="8:11">
      <c r="H426" s="659" t="e">
        <f t="shared" si="14"/>
        <v>#N/A</v>
      </c>
      <c r="J426" s="501" t="s">
        <v>2239</v>
      </c>
      <c r="K426" s="825">
        <v>986.29</v>
      </c>
    </row>
    <row r="427" spans="8:11">
      <c r="H427" s="659" t="e">
        <f t="shared" si="14"/>
        <v>#N/A</v>
      </c>
      <c r="J427" s="501"/>
      <c r="K427" s="825"/>
    </row>
    <row r="428" spans="8:11">
      <c r="H428" s="659" t="e">
        <f t="shared" si="14"/>
        <v>#N/A</v>
      </c>
      <c r="J428" s="501" t="s">
        <v>2318</v>
      </c>
      <c r="K428" s="825">
        <v>987.81</v>
      </c>
    </row>
    <row r="429" spans="8:11">
      <c r="H429" s="659" t="e">
        <f t="shared" si="14"/>
        <v>#N/A</v>
      </c>
      <c r="J429" s="501"/>
      <c r="K429" s="825"/>
    </row>
    <row r="430" spans="8:11">
      <c r="H430" s="659" t="e">
        <f t="shared" si="14"/>
        <v>#N/A</v>
      </c>
      <c r="J430" s="501" t="s">
        <v>2270</v>
      </c>
      <c r="K430" s="825">
        <v>985.91</v>
      </c>
    </row>
    <row r="431" spans="8:11">
      <c r="H431" s="659" t="e">
        <f t="shared" si="14"/>
        <v>#N/A</v>
      </c>
      <c r="J431" s="501"/>
      <c r="K431" s="825"/>
    </row>
    <row r="432" spans="8:11">
      <c r="H432" s="659" t="e">
        <f t="shared" si="14"/>
        <v>#N/A</v>
      </c>
      <c r="J432" s="501" t="s">
        <v>2276</v>
      </c>
      <c r="K432" s="825">
        <v>973.71</v>
      </c>
    </row>
    <row r="433" spans="8:11">
      <c r="H433" s="659" t="e">
        <f t="shared" si="14"/>
        <v>#N/A</v>
      </c>
      <c r="J433" s="501" t="s">
        <v>2277</v>
      </c>
      <c r="K433" s="825">
        <v>974.25</v>
      </c>
    </row>
    <row r="434" spans="8:11">
      <c r="H434" s="659" t="e">
        <f t="shared" si="14"/>
        <v>#N/A</v>
      </c>
      <c r="J434" s="501" t="s">
        <v>2278</v>
      </c>
      <c r="K434" s="825">
        <v>974.02</v>
      </c>
    </row>
    <row r="435" spans="8:11">
      <c r="H435" s="659" t="e">
        <f t="shared" si="14"/>
        <v>#N/A</v>
      </c>
      <c r="J435" s="501" t="s">
        <v>2279</v>
      </c>
      <c r="K435" s="825">
        <v>972.14</v>
      </c>
    </row>
    <row r="436" spans="8:11">
      <c r="H436" s="659" t="e">
        <f t="shared" si="14"/>
        <v>#N/A</v>
      </c>
      <c r="J436" s="501" t="s">
        <v>2280</v>
      </c>
      <c r="K436" s="825">
        <v>971.71</v>
      </c>
    </row>
    <row r="437" spans="8:11">
      <c r="H437" s="659" t="e">
        <f t="shared" si="14"/>
        <v>#N/A</v>
      </c>
      <c r="J437" s="501" t="s">
        <v>2281</v>
      </c>
      <c r="K437" s="825">
        <v>969.4</v>
      </c>
    </row>
    <row r="438" spans="8:11">
      <c r="H438" s="659" t="e">
        <f t="shared" ref="H438:H490" si="15">+VLOOKUP(B438,$J$1:$K$490,2,FALSE)</f>
        <v>#N/A</v>
      </c>
      <c r="J438" s="501"/>
      <c r="K438" s="825"/>
    </row>
    <row r="439" spans="8:11">
      <c r="H439" s="659" t="e">
        <f t="shared" si="15"/>
        <v>#N/A</v>
      </c>
      <c r="J439" s="501" t="s">
        <v>2314</v>
      </c>
      <c r="K439" s="825">
        <v>974.06</v>
      </c>
    </row>
    <row r="440" spans="8:11">
      <c r="H440" s="659" t="e">
        <f t="shared" si="15"/>
        <v>#N/A</v>
      </c>
      <c r="J440" s="501"/>
      <c r="K440" s="825"/>
    </row>
    <row r="441" spans="8:11">
      <c r="H441" s="659" t="e">
        <f t="shared" si="15"/>
        <v>#N/A</v>
      </c>
      <c r="J441" s="501" t="s">
        <v>2313</v>
      </c>
      <c r="K441" s="825">
        <v>973.4</v>
      </c>
    </row>
    <row r="442" spans="8:11">
      <c r="H442" s="659" t="e">
        <f t="shared" si="15"/>
        <v>#N/A</v>
      </c>
      <c r="J442" s="501"/>
      <c r="K442" s="825"/>
    </row>
    <row r="443" spans="8:11">
      <c r="H443" s="659" t="e">
        <f t="shared" si="15"/>
        <v>#N/A</v>
      </c>
      <c r="J443" s="501" t="s">
        <v>2296</v>
      </c>
      <c r="K443" s="825">
        <v>984.4</v>
      </c>
    </row>
    <row r="444" spans="8:11">
      <c r="H444" s="659" t="e">
        <f t="shared" si="15"/>
        <v>#N/A</v>
      </c>
      <c r="J444" s="501" t="s">
        <v>2297</v>
      </c>
      <c r="K444" s="825">
        <v>982.41</v>
      </c>
    </row>
    <row r="445" spans="8:11">
      <c r="H445" s="659" t="e">
        <f t="shared" si="15"/>
        <v>#N/A</v>
      </c>
      <c r="J445" s="501" t="s">
        <v>2298</v>
      </c>
      <c r="K445" s="825">
        <v>977.33</v>
      </c>
    </row>
    <row r="446" spans="8:11">
      <c r="H446" s="659" t="e">
        <f t="shared" si="15"/>
        <v>#N/A</v>
      </c>
      <c r="J446" s="501" t="s">
        <v>2299</v>
      </c>
      <c r="K446" s="825">
        <v>972.71</v>
      </c>
    </row>
    <row r="447" spans="8:11">
      <c r="H447" s="659" t="e">
        <f t="shared" si="15"/>
        <v>#N/A</v>
      </c>
      <c r="J447" s="501" t="s">
        <v>2300</v>
      </c>
      <c r="K447" s="825">
        <v>970.33</v>
      </c>
    </row>
    <row r="448" spans="8:11">
      <c r="H448" s="659" t="e">
        <f t="shared" si="15"/>
        <v>#N/A</v>
      </c>
      <c r="J448" s="501"/>
      <c r="K448" s="825"/>
    </row>
    <row r="449" spans="8:11">
      <c r="H449" s="659" t="e">
        <f t="shared" si="15"/>
        <v>#N/A</v>
      </c>
      <c r="J449" s="501" t="s">
        <v>2304</v>
      </c>
      <c r="K449" s="825">
        <v>980.53</v>
      </c>
    </row>
    <row r="450" spans="8:11">
      <c r="H450" s="659" t="e">
        <f t="shared" si="15"/>
        <v>#N/A</v>
      </c>
      <c r="J450" s="501" t="s">
        <v>2305</v>
      </c>
      <c r="K450" s="825">
        <v>976.83</v>
      </c>
    </row>
    <row r="451" spans="8:11">
      <c r="H451" s="659" t="e">
        <f t="shared" si="15"/>
        <v>#N/A</v>
      </c>
      <c r="J451" s="501" t="s">
        <v>2306</v>
      </c>
      <c r="K451" s="825">
        <v>976.29</v>
      </c>
    </row>
    <row r="452" spans="8:11">
      <c r="H452" s="659" t="e">
        <f t="shared" si="15"/>
        <v>#N/A</v>
      </c>
      <c r="J452" s="501" t="s">
        <v>2307</v>
      </c>
      <c r="K452" s="825">
        <v>974</v>
      </c>
    </row>
    <row r="453" spans="8:11">
      <c r="H453" s="659" t="e">
        <f t="shared" si="15"/>
        <v>#N/A</v>
      </c>
      <c r="J453" s="501" t="s">
        <v>2308</v>
      </c>
      <c r="K453" s="825">
        <v>973.58</v>
      </c>
    </row>
    <row r="454" spans="8:11">
      <c r="H454" s="659" t="e">
        <f t="shared" si="15"/>
        <v>#N/A</v>
      </c>
      <c r="J454" s="501" t="s">
        <v>2309</v>
      </c>
      <c r="K454" s="825">
        <v>970.54</v>
      </c>
    </row>
    <row r="455" spans="8:11">
      <c r="H455" s="659" t="e">
        <f t="shared" si="15"/>
        <v>#N/A</v>
      </c>
      <c r="J455" s="501"/>
      <c r="K455" s="825"/>
    </row>
    <row r="456" spans="8:11">
      <c r="H456" s="659" t="e">
        <f t="shared" si="15"/>
        <v>#N/A</v>
      </c>
      <c r="J456" s="501" t="s">
        <v>2310</v>
      </c>
      <c r="K456" s="825">
        <v>981.51</v>
      </c>
    </row>
    <row r="457" spans="8:11">
      <c r="H457" s="659" t="e">
        <f t="shared" si="15"/>
        <v>#N/A</v>
      </c>
      <c r="J457" s="501" t="s">
        <v>2311</v>
      </c>
      <c r="K457" s="825">
        <v>976.45</v>
      </c>
    </row>
    <row r="458" spans="8:11">
      <c r="H458" s="659" t="e">
        <f t="shared" si="15"/>
        <v>#N/A</v>
      </c>
      <c r="J458" s="501" t="s">
        <v>2312</v>
      </c>
      <c r="K458" s="825">
        <v>975.55</v>
      </c>
    </row>
    <row r="459" spans="8:11">
      <c r="H459" s="659" t="e">
        <f t="shared" si="15"/>
        <v>#N/A</v>
      </c>
      <c r="J459" s="501"/>
      <c r="K459" s="825"/>
    </row>
    <row r="460" spans="8:11">
      <c r="H460" s="659" t="e">
        <f t="shared" si="15"/>
        <v>#N/A</v>
      </c>
      <c r="J460" s="501" t="s">
        <v>2315</v>
      </c>
      <c r="K460" s="825">
        <v>981.35</v>
      </c>
    </row>
    <row r="461" spans="8:11">
      <c r="H461" s="659" t="e">
        <f t="shared" si="15"/>
        <v>#N/A</v>
      </c>
      <c r="J461" s="501"/>
      <c r="K461" s="825"/>
    </row>
    <row r="462" spans="8:11">
      <c r="H462" s="659" t="e">
        <f t="shared" si="15"/>
        <v>#N/A</v>
      </c>
      <c r="J462" s="501" t="s">
        <v>2316</v>
      </c>
      <c r="K462" s="825">
        <v>976</v>
      </c>
    </row>
    <row r="463" spans="8:11">
      <c r="H463" s="659" t="e">
        <f t="shared" si="15"/>
        <v>#N/A</v>
      </c>
      <c r="J463" s="501"/>
      <c r="K463" s="825"/>
    </row>
    <row r="464" spans="8:11">
      <c r="H464" s="659" t="e">
        <f t="shared" si="15"/>
        <v>#N/A</v>
      </c>
      <c r="J464" s="501" t="s">
        <v>2282</v>
      </c>
      <c r="K464" s="825">
        <v>988.74</v>
      </c>
    </row>
    <row r="465" spans="8:11">
      <c r="H465" s="659" t="e">
        <f t="shared" si="15"/>
        <v>#N/A</v>
      </c>
      <c r="J465" s="501" t="s">
        <v>2283</v>
      </c>
      <c r="K465" s="825">
        <v>988.13</v>
      </c>
    </row>
    <row r="466" spans="8:11">
      <c r="H466" s="659" t="e">
        <f t="shared" si="15"/>
        <v>#N/A</v>
      </c>
      <c r="J466" s="501" t="s">
        <v>2284</v>
      </c>
      <c r="K466" s="825">
        <v>985.2</v>
      </c>
    </row>
    <row r="467" spans="8:11">
      <c r="H467" s="659" t="e">
        <f t="shared" si="15"/>
        <v>#N/A</v>
      </c>
      <c r="J467" s="501" t="s">
        <v>2285</v>
      </c>
      <c r="K467" s="825">
        <v>983.21</v>
      </c>
    </row>
    <row r="468" spans="8:11">
      <c r="H468" s="659" t="e">
        <f t="shared" si="15"/>
        <v>#N/A</v>
      </c>
      <c r="J468" s="501" t="s">
        <v>2286</v>
      </c>
      <c r="K468" s="825">
        <v>983.39</v>
      </c>
    </row>
    <row r="469" spans="8:11">
      <c r="H469" s="659" t="e">
        <f t="shared" si="15"/>
        <v>#N/A</v>
      </c>
      <c r="J469" s="501" t="s">
        <v>2287</v>
      </c>
      <c r="K469" s="825">
        <v>983.14</v>
      </c>
    </row>
    <row r="470" spans="8:11">
      <c r="H470" s="659" t="e">
        <f t="shared" si="15"/>
        <v>#N/A</v>
      </c>
      <c r="J470" s="501" t="s">
        <v>2317</v>
      </c>
      <c r="K470" s="825">
        <v>971.4</v>
      </c>
    </row>
    <row r="471" spans="8:11">
      <c r="H471" s="659" t="e">
        <f t="shared" si="15"/>
        <v>#N/A</v>
      </c>
      <c r="J471" s="501" t="s">
        <v>2288</v>
      </c>
      <c r="K471" s="825">
        <v>970.51</v>
      </c>
    </row>
    <row r="472" spans="8:11">
      <c r="H472" s="659" t="e">
        <f t="shared" si="15"/>
        <v>#N/A</v>
      </c>
      <c r="J472" s="501" t="s">
        <v>2289</v>
      </c>
      <c r="K472" s="825">
        <v>969.93</v>
      </c>
    </row>
    <row r="473" spans="8:11">
      <c r="H473" s="659" t="e">
        <f t="shared" si="15"/>
        <v>#N/A</v>
      </c>
      <c r="J473" s="501" t="s">
        <v>2290</v>
      </c>
      <c r="K473" s="825">
        <v>969.35</v>
      </c>
    </row>
    <row r="474" spans="8:11">
      <c r="H474" s="659" t="e">
        <f t="shared" si="15"/>
        <v>#N/A</v>
      </c>
      <c r="J474" s="501" t="s">
        <v>2301</v>
      </c>
      <c r="K474" s="825">
        <v>969.6</v>
      </c>
    </row>
    <row r="475" spans="8:11">
      <c r="H475" s="659" t="e">
        <f t="shared" si="15"/>
        <v>#N/A</v>
      </c>
      <c r="J475" s="501" t="s">
        <v>2302</v>
      </c>
      <c r="K475" s="825">
        <v>968.54</v>
      </c>
    </row>
    <row r="476" spans="8:11">
      <c r="H476" s="659" t="e">
        <f t="shared" si="15"/>
        <v>#N/A</v>
      </c>
      <c r="J476" s="501" t="s">
        <v>2303</v>
      </c>
      <c r="K476" s="825">
        <v>968.76</v>
      </c>
    </row>
    <row r="477" spans="8:11">
      <c r="H477" s="659" t="e">
        <f t="shared" si="15"/>
        <v>#N/A</v>
      </c>
      <c r="J477" s="501" t="s">
        <v>2268</v>
      </c>
      <c r="K477" s="825">
        <v>968.9</v>
      </c>
    </row>
    <row r="478" spans="8:11">
      <c r="H478" s="659" t="e">
        <f t="shared" si="15"/>
        <v>#N/A</v>
      </c>
      <c r="J478" s="501" t="s">
        <v>2269</v>
      </c>
      <c r="K478" s="825">
        <v>970.09</v>
      </c>
    </row>
    <row r="479" spans="8:11">
      <c r="H479" s="659" t="e">
        <f t="shared" si="15"/>
        <v>#N/A</v>
      </c>
      <c r="J479" s="501" t="s">
        <v>2275</v>
      </c>
      <c r="K479" s="825">
        <v>970.58</v>
      </c>
    </row>
    <row r="480" spans="8:11">
      <c r="H480" s="659" t="e">
        <f t="shared" si="15"/>
        <v>#N/A</v>
      </c>
      <c r="J480" s="501" t="s">
        <v>2248</v>
      </c>
      <c r="K480" s="825">
        <v>971.19</v>
      </c>
    </row>
    <row r="481" spans="8:11">
      <c r="H481" s="659" t="e">
        <f t="shared" si="15"/>
        <v>#N/A</v>
      </c>
      <c r="J481" s="501" t="s">
        <v>2249</v>
      </c>
      <c r="K481" s="825">
        <v>972.43</v>
      </c>
    </row>
    <row r="482" spans="8:11">
      <c r="H482" s="659" t="e">
        <f t="shared" si="15"/>
        <v>#N/A</v>
      </c>
      <c r="J482" s="501" t="s">
        <v>2250</v>
      </c>
      <c r="K482" s="825">
        <v>973.37</v>
      </c>
    </row>
    <row r="483" spans="8:11">
      <c r="H483" s="659" t="e">
        <f t="shared" si="15"/>
        <v>#N/A</v>
      </c>
      <c r="J483" s="501" t="s">
        <v>2251</v>
      </c>
      <c r="K483" s="825">
        <v>971.4</v>
      </c>
    </row>
    <row r="484" spans="8:11">
      <c r="H484" s="659" t="e">
        <f t="shared" si="15"/>
        <v>#N/A</v>
      </c>
      <c r="J484" s="501" t="s">
        <v>2252</v>
      </c>
      <c r="K484" s="825">
        <v>969.87</v>
      </c>
    </row>
    <row r="485" spans="8:11">
      <c r="H485" s="659" t="e">
        <f t="shared" si="15"/>
        <v>#N/A</v>
      </c>
      <c r="J485" s="501" t="s">
        <v>2253</v>
      </c>
      <c r="K485" s="825">
        <v>968.91</v>
      </c>
    </row>
    <row r="486" spans="8:11">
      <c r="H486" s="659" t="e">
        <f t="shared" si="15"/>
        <v>#N/A</v>
      </c>
      <c r="J486" s="501" t="s">
        <v>2254</v>
      </c>
      <c r="K486" s="825">
        <v>968.27</v>
      </c>
    </row>
    <row r="487" spans="8:11">
      <c r="H487" s="659" t="e">
        <f t="shared" si="15"/>
        <v>#N/A</v>
      </c>
      <c r="J487" s="501" t="s">
        <v>2255</v>
      </c>
      <c r="K487" s="825">
        <v>970.73</v>
      </c>
    </row>
    <row r="488" spans="8:11">
      <c r="H488" s="659" t="e">
        <f t="shared" si="15"/>
        <v>#N/A</v>
      </c>
      <c r="J488" s="501" t="s">
        <v>2256</v>
      </c>
      <c r="K488" s="825">
        <v>967.4</v>
      </c>
    </row>
    <row r="489" spans="8:11">
      <c r="H489" s="659" t="e">
        <f t="shared" si="15"/>
        <v>#N/A</v>
      </c>
      <c r="J489" s="501" t="s">
        <v>2257</v>
      </c>
      <c r="K489" s="825">
        <v>966.28</v>
      </c>
    </row>
    <row r="490" spans="8:11">
      <c r="H490" s="659" t="e">
        <f t="shared" si="15"/>
        <v>#N/A</v>
      </c>
      <c r="J490" s="826" t="s">
        <v>2258</v>
      </c>
      <c r="K490" s="825">
        <v>966</v>
      </c>
    </row>
  </sheetData>
  <conditionalFormatting sqref="F2">
    <cfRule type="cellIs" dxfId="11" priority="12" operator="equal">
      <formula>0</formula>
    </cfRule>
  </conditionalFormatting>
  <conditionalFormatting sqref="F8">
    <cfRule type="cellIs" dxfId="10" priority="11" operator="equal">
      <formula>0</formula>
    </cfRule>
  </conditionalFormatting>
  <conditionalFormatting sqref="F13:F14">
    <cfRule type="cellIs" dxfId="9" priority="10" operator="equal">
      <formula>0</formula>
    </cfRule>
  </conditionalFormatting>
  <conditionalFormatting sqref="F17:F19">
    <cfRule type="cellIs" dxfId="8" priority="9" operator="equal">
      <formula>0</formula>
    </cfRule>
  </conditionalFormatting>
  <conditionalFormatting sqref="F21">
    <cfRule type="cellIs" dxfId="7" priority="8" operator="equal">
      <formula>0</formula>
    </cfRule>
  </conditionalFormatting>
  <conditionalFormatting sqref="F23">
    <cfRule type="cellIs" dxfId="6" priority="7" operator="equal">
      <formula>0</formula>
    </cfRule>
  </conditionalFormatting>
  <conditionalFormatting sqref="F25:F26">
    <cfRule type="cellIs" dxfId="5" priority="2" operator="equal">
      <formula>0</formula>
    </cfRule>
  </conditionalFormatting>
  <conditionalFormatting sqref="F40:F44">
    <cfRule type="cellIs" dxfId="4" priority="6" operator="equal">
      <formula>0</formula>
    </cfRule>
  </conditionalFormatting>
  <conditionalFormatting sqref="F49:F52">
    <cfRule type="cellIs" dxfId="3" priority="5" operator="equal">
      <formula>0</formula>
    </cfRule>
  </conditionalFormatting>
  <conditionalFormatting sqref="F54:F266">
    <cfRule type="cellIs" dxfId="2" priority="1" operator="equal">
      <formula>0</formula>
    </cfRule>
  </conditionalFormatting>
  <conditionalFormatting sqref="K2:K490">
    <cfRule type="cellIs" dxfId="1" priority="4" operator="equal">
      <formula>0</formula>
    </cfRule>
  </conditionalFormatting>
  <conditionalFormatting sqref="N3:N4">
    <cfRule type="cellIs" dxfId="0" priority="3" operator="equal">
      <formula>0</formula>
    </cfRule>
  </conditionalFormatting>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0B0F0"/>
  </sheetPr>
  <dimension ref="A1:J39"/>
  <sheetViews>
    <sheetView workbookViewId="0"/>
  </sheetViews>
  <sheetFormatPr baseColWidth="10" defaultColWidth="11.42578125" defaultRowHeight="12.75"/>
  <cols>
    <col min="1" max="1" width="17" style="659" bestFit="1" customWidth="1"/>
    <col min="2" max="2" width="14.28515625" style="659" bestFit="1" customWidth="1"/>
    <col min="3" max="4" width="9.28515625" style="659" bestFit="1" customWidth="1"/>
    <col min="5" max="6" width="11.42578125" style="659"/>
    <col min="7" max="7" width="17" style="659" bestFit="1" customWidth="1"/>
    <col min="8" max="8" width="14.28515625" style="659" bestFit="1" customWidth="1"/>
    <col min="9" max="10" width="9.28515625" style="659" bestFit="1" customWidth="1"/>
    <col min="11" max="16384" width="11.42578125" style="659"/>
  </cols>
  <sheetData>
    <row r="1" spans="1:4">
      <c r="A1" s="657"/>
      <c r="B1" s="657"/>
      <c r="C1" s="657"/>
      <c r="D1" s="657"/>
    </row>
    <row r="2" spans="1:4">
      <c r="A2" s="833"/>
      <c r="B2" s="834"/>
      <c r="C2" s="833"/>
      <c r="D2" s="833"/>
    </row>
    <row r="3" spans="1:4">
      <c r="A3" s="833"/>
      <c r="B3" s="834"/>
      <c r="C3" s="833"/>
      <c r="D3" s="833"/>
    </row>
    <row r="4" spans="1:4">
      <c r="A4" s="833"/>
      <c r="B4" s="834"/>
      <c r="C4" s="833"/>
      <c r="D4" s="833"/>
    </row>
    <row r="5" spans="1:4">
      <c r="A5" s="833"/>
      <c r="B5" s="834"/>
      <c r="C5" s="833"/>
      <c r="D5" s="833"/>
    </row>
    <row r="6" spans="1:4">
      <c r="A6" s="833"/>
      <c r="B6" s="834"/>
      <c r="C6" s="833"/>
      <c r="D6" s="833"/>
    </row>
    <row r="7" spans="1:4">
      <c r="A7" s="833"/>
      <c r="B7" s="834"/>
      <c r="C7" s="833"/>
      <c r="D7" s="833"/>
    </row>
    <row r="8" spans="1:4">
      <c r="A8" s="833"/>
      <c r="B8" s="834"/>
      <c r="C8" s="833"/>
      <c r="D8" s="833"/>
    </row>
    <row r="9" spans="1:4">
      <c r="A9" s="833"/>
      <c r="B9" s="834"/>
      <c r="C9" s="833"/>
      <c r="D9" s="833"/>
    </row>
    <row r="10" spans="1:4">
      <c r="A10" s="833"/>
      <c r="B10" s="834"/>
      <c r="C10" s="833"/>
      <c r="D10" s="833"/>
    </row>
    <row r="11" spans="1:4">
      <c r="A11" s="833"/>
      <c r="B11" s="834"/>
      <c r="C11" s="833"/>
      <c r="D11" s="833"/>
    </row>
    <row r="12" spans="1:4">
      <c r="A12" s="833"/>
      <c r="B12" s="834"/>
      <c r="C12" s="833"/>
      <c r="D12" s="833"/>
    </row>
    <row r="13" spans="1:4">
      <c r="A13" s="833"/>
      <c r="B13" s="834"/>
      <c r="C13" s="833"/>
      <c r="D13" s="833"/>
    </row>
    <row r="14" spans="1:4">
      <c r="A14" s="833"/>
      <c r="B14" s="834"/>
      <c r="C14" s="833"/>
      <c r="D14" s="833"/>
    </row>
    <row r="15" spans="1:4">
      <c r="A15" s="833"/>
      <c r="B15" s="834"/>
      <c r="C15" s="833"/>
      <c r="D15" s="833"/>
    </row>
    <row r="16" spans="1:4">
      <c r="A16" s="833"/>
      <c r="B16" s="834"/>
      <c r="C16" s="833"/>
      <c r="D16" s="833"/>
    </row>
    <row r="17" spans="1:10">
      <c r="A17" s="833"/>
      <c r="B17" s="834"/>
      <c r="C17" s="833"/>
      <c r="D17" s="833"/>
    </row>
    <row r="18" spans="1:10">
      <c r="A18" s="833"/>
      <c r="B18" s="834"/>
      <c r="C18" s="833"/>
      <c r="D18" s="833"/>
    </row>
    <row r="19" spans="1:10">
      <c r="A19" s="833"/>
      <c r="B19" s="834"/>
      <c r="C19" s="833"/>
      <c r="D19" s="833"/>
      <c r="G19" s="657" t="s">
        <v>2571</v>
      </c>
      <c r="H19" s="657" t="s">
        <v>2572</v>
      </c>
      <c r="I19" s="657" t="s">
        <v>2063</v>
      </c>
      <c r="J19" s="657" t="s">
        <v>2062</v>
      </c>
    </row>
    <row r="20" spans="1:10" ht="32.25">
      <c r="A20" s="833"/>
      <c r="B20" s="834"/>
      <c r="C20" s="833"/>
      <c r="D20" s="833"/>
      <c r="G20" s="833" t="s">
        <v>2573</v>
      </c>
      <c r="H20" s="834" t="s">
        <v>2574</v>
      </c>
      <c r="I20" s="833">
        <v>4693325.7598999999</v>
      </c>
      <c r="J20" s="833">
        <v>2301437.0682999999</v>
      </c>
    </row>
    <row r="21" spans="1:10" ht="53.25">
      <c r="A21" s="833"/>
      <c r="B21" s="834"/>
      <c r="C21" s="833"/>
      <c r="D21" s="833"/>
      <c r="G21" s="833" t="s">
        <v>2575</v>
      </c>
      <c r="H21" s="834" t="s">
        <v>2576</v>
      </c>
      <c r="I21" s="833">
        <v>4693347.7329000002</v>
      </c>
      <c r="J21" s="833">
        <v>2301433.2618</v>
      </c>
    </row>
    <row r="22" spans="1:10" ht="53.25">
      <c r="G22" s="833" t="s">
        <v>2577</v>
      </c>
      <c r="H22" s="834" t="s">
        <v>2578</v>
      </c>
      <c r="I22" s="833">
        <v>4693348.4433000004</v>
      </c>
      <c r="J22" s="833">
        <v>2301415.5036999998</v>
      </c>
    </row>
    <row r="23" spans="1:10" ht="53.25">
      <c r="G23" s="833" t="s">
        <v>2579</v>
      </c>
      <c r="H23" s="834" t="s">
        <v>2580</v>
      </c>
      <c r="I23" s="833">
        <v>4693354.0305000003</v>
      </c>
      <c r="J23" s="833">
        <v>2301414.6442</v>
      </c>
    </row>
    <row r="24" spans="1:10" ht="53.25">
      <c r="G24" s="833" t="s">
        <v>2581</v>
      </c>
      <c r="H24" s="834" t="s">
        <v>2582</v>
      </c>
      <c r="I24" s="833">
        <v>4693364.0253999997</v>
      </c>
      <c r="J24" s="833">
        <v>2301420.8952000001</v>
      </c>
    </row>
    <row r="25" spans="1:10" ht="53.25">
      <c r="G25" s="833" t="s">
        <v>2583</v>
      </c>
      <c r="H25" s="834" t="s">
        <v>2584</v>
      </c>
      <c r="I25" s="833">
        <v>4693367.2761000004</v>
      </c>
      <c r="J25" s="833">
        <v>2301416.2091999999</v>
      </c>
    </row>
    <row r="26" spans="1:10" ht="53.25">
      <c r="G26" s="833" t="s">
        <v>2585</v>
      </c>
      <c r="H26" s="834" t="s">
        <v>2586</v>
      </c>
      <c r="I26" s="833">
        <v>4693375.3859000001</v>
      </c>
      <c r="J26" s="833">
        <v>2301414.9432000001</v>
      </c>
    </row>
    <row r="27" spans="1:10" ht="53.25">
      <c r="G27" s="833" t="s">
        <v>2587</v>
      </c>
      <c r="H27" s="834" t="s">
        <v>2588</v>
      </c>
      <c r="I27" s="833">
        <v>4693384.3350999998</v>
      </c>
      <c r="J27" s="833">
        <v>2301414.6082000001</v>
      </c>
    </row>
    <row r="28" spans="1:10" ht="53.25">
      <c r="G28" s="833" t="s">
        <v>2589</v>
      </c>
      <c r="H28" s="834" t="s">
        <v>2590</v>
      </c>
      <c r="I28" s="833">
        <v>4693400.7736</v>
      </c>
      <c r="J28" s="833">
        <v>2301414.1749999998</v>
      </c>
    </row>
    <row r="29" spans="1:10" ht="53.25">
      <c r="G29" s="833" t="s">
        <v>2591</v>
      </c>
      <c r="H29" s="834" t="s">
        <v>2592</v>
      </c>
      <c r="I29" s="833">
        <v>4693410.5939999996</v>
      </c>
      <c r="J29" s="833">
        <v>2301388.4896999998</v>
      </c>
    </row>
    <row r="30" spans="1:10" ht="53.25">
      <c r="G30" s="833" t="s">
        <v>2593</v>
      </c>
      <c r="H30" s="834" t="s">
        <v>2594</v>
      </c>
      <c r="I30" s="833">
        <v>4693408.9475999996</v>
      </c>
      <c r="J30" s="833">
        <v>2301351.6746999999</v>
      </c>
    </row>
    <row r="31" spans="1:10" ht="53.25">
      <c r="G31" s="833" t="s">
        <v>2595</v>
      </c>
      <c r="H31" s="834" t="s">
        <v>2596</v>
      </c>
      <c r="I31" s="833">
        <v>4693407.7993000001</v>
      </c>
      <c r="J31" s="833">
        <v>2301303.1302999998</v>
      </c>
    </row>
    <row r="32" spans="1:10" ht="53.25">
      <c r="G32" s="833" t="s">
        <v>2597</v>
      </c>
      <c r="H32" s="834" t="s">
        <v>2598</v>
      </c>
      <c r="I32" s="833">
        <v>4693412.2615999999</v>
      </c>
      <c r="J32" s="833">
        <v>2301241.0556000001</v>
      </c>
    </row>
    <row r="33" spans="7:10" ht="53.25">
      <c r="G33" s="833" t="s">
        <v>2599</v>
      </c>
      <c r="H33" s="834" t="s">
        <v>2600</v>
      </c>
      <c r="I33" s="833">
        <v>4693415.5442000004</v>
      </c>
      <c r="J33" s="833">
        <v>2301197.5745999999</v>
      </c>
    </row>
    <row r="34" spans="7:10" ht="53.25">
      <c r="G34" s="833" t="s">
        <v>2601</v>
      </c>
      <c r="H34" s="834" t="s">
        <v>2602</v>
      </c>
      <c r="I34" s="833">
        <v>4693420.1228999998</v>
      </c>
      <c r="J34" s="833">
        <v>2301142.4994000001</v>
      </c>
    </row>
    <row r="35" spans="7:10" ht="53.25">
      <c r="G35" s="833" t="s">
        <v>2603</v>
      </c>
      <c r="H35" s="834" t="s">
        <v>2604</v>
      </c>
      <c r="I35" s="833">
        <v>4693422.3729999997</v>
      </c>
      <c r="J35" s="833">
        <v>2301096.9950000001</v>
      </c>
    </row>
    <row r="36" spans="7:10" ht="53.25">
      <c r="G36" s="833" t="s">
        <v>2605</v>
      </c>
      <c r="H36" s="834" t="s">
        <v>2606</v>
      </c>
      <c r="I36" s="833">
        <v>4693418.3739</v>
      </c>
      <c r="J36" s="833">
        <v>2301050.4452999998</v>
      </c>
    </row>
    <row r="37" spans="7:10" ht="53.25">
      <c r="G37" s="833" t="s">
        <v>2607</v>
      </c>
      <c r="H37" s="834" t="s">
        <v>2608</v>
      </c>
      <c r="I37" s="833">
        <v>4693419.1453</v>
      </c>
      <c r="J37" s="833">
        <v>2301040.0816000002</v>
      </c>
    </row>
    <row r="38" spans="7:10" ht="53.25">
      <c r="G38" s="833" t="s">
        <v>2609</v>
      </c>
      <c r="H38" s="834" t="s">
        <v>2610</v>
      </c>
      <c r="I38" s="833">
        <v>4693426.6063000001</v>
      </c>
      <c r="J38" s="833">
        <v>2301024.5523999999</v>
      </c>
    </row>
    <row r="39" spans="7:10" ht="53.25">
      <c r="G39" s="833" t="s">
        <v>2611</v>
      </c>
      <c r="H39" s="834" t="s">
        <v>2612</v>
      </c>
      <c r="I39" s="833">
        <v>4693434.9713000003</v>
      </c>
      <c r="J39" s="833">
        <v>2300993.8032</v>
      </c>
    </row>
  </sheetData>
  <pageMargins left="0.7" right="0.7" top="0.75" bottom="0.75" header="0.3" footer="0.3"/>
  <pageSetup paperSize="9" orientation="portrait" horizontalDpi="360" verticalDpi="36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B0F0"/>
  </sheetPr>
  <dimension ref="A1:L1142"/>
  <sheetViews>
    <sheetView workbookViewId="0">
      <selection sqref="A1:G1"/>
    </sheetView>
  </sheetViews>
  <sheetFormatPr baseColWidth="10" defaultColWidth="11.42578125" defaultRowHeight="21" customHeight="1"/>
  <cols>
    <col min="1" max="1" width="6.7109375" style="837" customWidth="1"/>
    <col min="2" max="2" width="7.7109375" style="837" customWidth="1"/>
    <col min="3" max="3" width="50.7109375" style="835" customWidth="1"/>
    <col min="4" max="4" width="8.42578125" style="835" customWidth="1"/>
    <col min="5" max="5" width="10.7109375" style="836" customWidth="1"/>
    <col min="6" max="7" width="18.7109375" style="835" customWidth="1"/>
    <col min="8" max="8" width="12.7109375" style="835" bestFit="1" customWidth="1"/>
    <col min="9" max="16384" width="11.42578125" style="835"/>
  </cols>
  <sheetData>
    <row r="1" spans="1:12" ht="40.15" customHeight="1">
      <c r="A1" s="1987" t="s">
        <v>2613</v>
      </c>
      <c r="B1" s="1988"/>
      <c r="C1" s="1988"/>
      <c r="D1" s="1988"/>
      <c r="E1" s="1988"/>
      <c r="F1" s="1988"/>
      <c r="G1" s="1989"/>
    </row>
    <row r="2" spans="1:12" ht="40.15" customHeight="1" thickBot="1">
      <c r="A2" s="1990" t="s">
        <v>1</v>
      </c>
      <c r="B2" s="1991"/>
      <c r="C2" s="1991"/>
      <c r="D2" s="1991"/>
      <c r="E2" s="1991"/>
      <c r="F2" s="1991"/>
      <c r="G2" s="1992"/>
    </row>
    <row r="3" spans="1:12" ht="14.25" customHeight="1" thickBot="1">
      <c r="A3" s="1993"/>
      <c r="B3" s="1994"/>
      <c r="C3" s="1994"/>
      <c r="D3" s="1994"/>
      <c r="E3" s="1994"/>
      <c r="F3" s="1994"/>
      <c r="G3" s="1995"/>
    </row>
    <row r="4" spans="1:12" ht="27" customHeight="1">
      <c r="A4" s="915" t="s">
        <v>2614</v>
      </c>
      <c r="B4" s="914"/>
      <c r="C4" s="1996" t="s">
        <v>2615</v>
      </c>
      <c r="D4" s="1996"/>
      <c r="E4" s="1996"/>
      <c r="F4" s="1996"/>
      <c r="G4" s="1997"/>
    </row>
    <row r="5" spans="1:12" ht="15" customHeight="1" thickBot="1">
      <c r="A5" s="913" t="s">
        <v>2616</v>
      </c>
      <c r="B5" s="912"/>
      <c r="C5" s="911" t="s">
        <v>2617</v>
      </c>
      <c r="D5" s="1998" t="s">
        <v>2618</v>
      </c>
      <c r="E5" s="1998"/>
      <c r="F5" s="1999" t="s">
        <v>2619</v>
      </c>
      <c r="G5" s="2000"/>
    </row>
    <row r="6" spans="1:12" ht="14.25" customHeight="1" thickBot="1">
      <c r="A6" s="910"/>
      <c r="B6" s="909"/>
      <c r="C6" s="909"/>
      <c r="D6" s="909"/>
      <c r="E6" s="909"/>
      <c r="F6" s="909"/>
      <c r="G6" s="908"/>
    </row>
    <row r="7" spans="1:12" ht="30" customHeight="1" thickBot="1">
      <c r="A7" s="2006" t="s">
        <v>2620</v>
      </c>
      <c r="B7" s="2007"/>
      <c r="C7" s="2007"/>
      <c r="D7" s="2007"/>
      <c r="E7" s="2007"/>
      <c r="F7" s="2007"/>
      <c r="G7" s="2008"/>
    </row>
    <row r="8" spans="1:12" ht="26.25" thickBot="1">
      <c r="A8" s="2009" t="s">
        <v>2</v>
      </c>
      <c r="B8" s="2010"/>
      <c r="C8" s="907" t="s">
        <v>3</v>
      </c>
      <c r="D8" s="907" t="s">
        <v>4</v>
      </c>
      <c r="E8" s="906" t="s">
        <v>5</v>
      </c>
      <c r="F8" s="905" t="s">
        <v>6</v>
      </c>
      <c r="G8" s="904" t="s">
        <v>2621</v>
      </c>
    </row>
    <row r="9" spans="1:12" s="884" customFormat="1" ht="45" customHeight="1">
      <c r="A9" s="2011" t="s">
        <v>2622</v>
      </c>
      <c r="B9" s="2011"/>
      <c r="C9" s="2011"/>
      <c r="D9" s="2011"/>
      <c r="E9" s="2011"/>
      <c r="F9" s="2011"/>
      <c r="G9" s="2011"/>
    </row>
    <row r="10" spans="1:12" s="879" customFormat="1" ht="22.5" customHeight="1">
      <c r="A10" s="2003" t="s">
        <v>2623</v>
      </c>
      <c r="B10" s="2004"/>
      <c r="C10" s="2004"/>
      <c r="D10" s="2004"/>
      <c r="E10" s="2004"/>
      <c r="F10" s="2004"/>
      <c r="G10" s="2005"/>
    </row>
    <row r="11" spans="1:12" s="841" customFormat="1" ht="71.099999999999994" customHeight="1">
      <c r="A11" s="2001" t="s">
        <v>945</v>
      </c>
      <c r="B11" s="2002"/>
      <c r="C11" s="878" t="e">
        <f>#REF!</f>
        <v>#REF!</v>
      </c>
      <c r="D11" s="877" t="s">
        <v>299</v>
      </c>
      <c r="E11" s="876">
        <f>+ALDO!E503</f>
        <v>1242.6899999999998</v>
      </c>
      <c r="F11" s="881" t="e">
        <f>#REF!</f>
        <v>#REF!</v>
      </c>
      <c r="G11" s="881" t="e">
        <f>E11*F11</f>
        <v>#REF!</v>
      </c>
    </row>
    <row r="12" spans="1:12" s="879" customFormat="1" ht="22.5" customHeight="1">
      <c r="A12" s="2003" t="s">
        <v>2624</v>
      </c>
      <c r="B12" s="2004"/>
      <c r="C12" s="2004"/>
      <c r="D12" s="2004"/>
      <c r="E12" s="2004"/>
      <c r="F12" s="2004"/>
      <c r="G12" s="2005"/>
      <c r="L12" s="841"/>
    </row>
    <row r="13" spans="1:12" s="841" customFormat="1" ht="14.25">
      <c r="A13" s="2001" t="s">
        <v>967</v>
      </c>
      <c r="B13" s="2002"/>
      <c r="C13" s="878" t="e">
        <f>#REF!</f>
        <v>#REF!</v>
      </c>
      <c r="D13" s="877" t="s">
        <v>2625</v>
      </c>
      <c r="E13" s="876">
        <f ca="1">+ALDO!Z503</f>
        <v>390.7465623351888</v>
      </c>
      <c r="F13" s="881" t="e">
        <f>#REF!</f>
        <v>#REF!</v>
      </c>
      <c r="G13" s="881" t="e">
        <f ca="1">E13*F13</f>
        <v>#REF!</v>
      </c>
    </row>
    <row r="14" spans="1:12" s="841" customFormat="1" ht="12.75">
      <c r="A14" s="2001" t="s">
        <v>2626</v>
      </c>
      <c r="B14" s="2002"/>
      <c r="C14" s="878" t="e">
        <f>#REF!</f>
        <v>#REF!</v>
      </c>
      <c r="D14" s="877" t="s">
        <v>299</v>
      </c>
      <c r="E14" s="894">
        <f ca="1">+ALDO!CU503</f>
        <v>29.841500000000018</v>
      </c>
      <c r="F14" s="881" t="e">
        <f>#REF!</f>
        <v>#REF!</v>
      </c>
      <c r="G14" s="881" t="e">
        <f ca="1">E14*F14</f>
        <v>#REF!</v>
      </c>
    </row>
    <row r="15" spans="1:12" s="879" customFormat="1" ht="22.5" customHeight="1">
      <c r="A15" s="2003" t="s">
        <v>2627</v>
      </c>
      <c r="B15" s="2004"/>
      <c r="C15" s="2004"/>
      <c r="D15" s="2004"/>
      <c r="E15" s="2004"/>
      <c r="F15" s="2004"/>
      <c r="G15" s="2005"/>
      <c r="L15" s="841"/>
    </row>
    <row r="16" spans="1:12" s="841" customFormat="1" ht="14.25">
      <c r="A16" s="2001" t="s">
        <v>2628</v>
      </c>
      <c r="B16" s="2002"/>
      <c r="C16" s="878" t="e">
        <f>#REF!</f>
        <v>#REF!</v>
      </c>
      <c r="D16" s="877" t="s">
        <v>2625</v>
      </c>
      <c r="E16" s="885">
        <f ca="1">+ALDO!AF503*0.8</f>
        <v>1366.0032439927429</v>
      </c>
      <c r="F16" s="882" t="e">
        <f>#REF!</f>
        <v>#REF!</v>
      </c>
      <c r="G16" s="881" t="e">
        <f t="shared" ref="G16:G24" ca="1" si="0">E16*F16</f>
        <v>#REF!</v>
      </c>
      <c r="J16" s="883"/>
    </row>
    <row r="17" spans="1:12" s="841" customFormat="1" ht="14.25">
      <c r="A17" s="2001" t="s">
        <v>2629</v>
      </c>
      <c r="B17" s="2002"/>
      <c r="C17" s="878" t="e">
        <f>#REF!</f>
        <v>#REF!</v>
      </c>
      <c r="D17" s="877" t="s">
        <v>2625</v>
      </c>
      <c r="E17" s="885">
        <f>+ALDO!AG503*0.8</f>
        <v>432.64822752756231</v>
      </c>
      <c r="F17" s="882" t="e">
        <f>#REF!</f>
        <v>#REF!</v>
      </c>
      <c r="G17" s="881" t="e">
        <f t="shared" si="0"/>
        <v>#REF!</v>
      </c>
      <c r="J17" s="883"/>
    </row>
    <row r="18" spans="1:12" s="841" customFormat="1" ht="14.25">
      <c r="A18" s="2001" t="s">
        <v>2630</v>
      </c>
      <c r="B18" s="2002"/>
      <c r="C18" s="878" t="e">
        <f>#REF!</f>
        <v>#REF!</v>
      </c>
      <c r="D18" s="877" t="s">
        <v>2625</v>
      </c>
      <c r="E18" s="885">
        <f ca="1">ALDO!AC503*0.8+ALDO!CN503*0.8</f>
        <v>239.55413822141583</v>
      </c>
      <c r="F18" s="882" t="e">
        <f>#REF!</f>
        <v>#REF!</v>
      </c>
      <c r="G18" s="881" t="e">
        <f t="shared" ca="1" si="0"/>
        <v>#REF!</v>
      </c>
      <c r="J18" s="883"/>
    </row>
    <row r="19" spans="1:12" s="841" customFormat="1" ht="66" customHeight="1">
      <c r="A19" s="2001" t="s">
        <v>2631</v>
      </c>
      <c r="B19" s="2002"/>
      <c r="C19" s="878" t="e">
        <f>#REF!</f>
        <v>#REF!</v>
      </c>
      <c r="D19" s="877" t="s">
        <v>2625</v>
      </c>
      <c r="E19" s="885">
        <f ca="1">ALDO!AD503*0.8+ALDO!CO503*0.8</f>
        <v>100.09602528084025</v>
      </c>
      <c r="F19" s="882" t="e">
        <f>#REF!</f>
        <v>#REF!</v>
      </c>
      <c r="G19" s="881" t="e">
        <f t="shared" ca="1" si="0"/>
        <v>#REF!</v>
      </c>
      <c r="J19" s="883"/>
    </row>
    <row r="20" spans="1:12" s="841" customFormat="1" ht="14.25">
      <c r="A20" s="2001" t="s">
        <v>2632</v>
      </c>
      <c r="B20" s="2002"/>
      <c r="C20" s="878" t="e">
        <f>#REF!</f>
        <v>#REF!</v>
      </c>
      <c r="D20" s="877" t="s">
        <v>2625</v>
      </c>
      <c r="E20" s="885">
        <f ca="1">+ALDO!AF503*0.2</f>
        <v>341.50081099818573</v>
      </c>
      <c r="F20" s="882" t="e">
        <f>#REF!</f>
        <v>#REF!</v>
      </c>
      <c r="G20" s="881" t="e">
        <f t="shared" ca="1" si="0"/>
        <v>#REF!</v>
      </c>
      <c r="J20" s="883"/>
    </row>
    <row r="21" spans="1:12" s="841" customFormat="1" ht="14.25">
      <c r="A21" s="2001" t="s">
        <v>2633</v>
      </c>
      <c r="B21" s="2002"/>
      <c r="C21" s="878" t="e">
        <f>#REF!</f>
        <v>#REF!</v>
      </c>
      <c r="D21" s="877" t="s">
        <v>2625</v>
      </c>
      <c r="E21" s="885">
        <f>+ALDO!AG503*0.2</f>
        <v>108.16205688189058</v>
      </c>
      <c r="F21" s="882" t="e">
        <f>#REF!</f>
        <v>#REF!</v>
      </c>
      <c r="G21" s="881" t="e">
        <f t="shared" si="0"/>
        <v>#REF!</v>
      </c>
    </row>
    <row r="22" spans="1:12" s="841" customFormat="1" ht="14.25">
      <c r="A22" s="2001" t="s">
        <v>2634</v>
      </c>
      <c r="B22" s="2002"/>
      <c r="C22" s="878" t="e">
        <f>#REF!</f>
        <v>#REF!</v>
      </c>
      <c r="D22" s="877" t="s">
        <v>2625</v>
      </c>
      <c r="E22" s="885">
        <f ca="1">ALDO!AC503*0.2+ALDO!CN503*0.2</f>
        <v>59.888534555353957</v>
      </c>
      <c r="F22" s="882" t="e">
        <f>#REF!</f>
        <v>#REF!</v>
      </c>
      <c r="G22" s="881" t="e">
        <f t="shared" ca="1" si="0"/>
        <v>#REF!</v>
      </c>
    </row>
    <row r="23" spans="1:12" s="841" customFormat="1" ht="14.25">
      <c r="A23" s="2001" t="s">
        <v>2635</v>
      </c>
      <c r="B23" s="2002"/>
      <c r="C23" s="878" t="e">
        <f>#REF!</f>
        <v>#REF!</v>
      </c>
      <c r="D23" s="877" t="s">
        <v>2625</v>
      </c>
      <c r="E23" s="885">
        <f ca="1">ALDO!AD503*0.2+ALDO!CO503*0.2</f>
        <v>25.024006320210063</v>
      </c>
      <c r="F23" s="882" t="e">
        <f>#REF!</f>
        <v>#REF!</v>
      </c>
      <c r="G23" s="881" t="e">
        <f t="shared" ca="1" si="0"/>
        <v>#REF!</v>
      </c>
    </row>
    <row r="24" spans="1:12" s="841" customFormat="1" ht="14.25">
      <c r="A24" s="2001" t="s">
        <v>2636</v>
      </c>
      <c r="B24" s="2002"/>
      <c r="C24" s="878" t="e">
        <f>#REF!</f>
        <v>#REF!</v>
      </c>
      <c r="D24" s="877" t="s">
        <v>2625</v>
      </c>
      <c r="E24" s="885">
        <f ca="1">+ALDO!AI503</f>
        <v>25.576704234783339</v>
      </c>
      <c r="F24" s="882" t="e">
        <f>#REF!</f>
        <v>#REF!</v>
      </c>
      <c r="G24" s="881" t="e">
        <f t="shared" ca="1" si="0"/>
        <v>#REF!</v>
      </c>
      <c r="H24" s="883"/>
    </row>
    <row r="25" spans="1:12" s="879" customFormat="1" ht="22.5" customHeight="1">
      <c r="A25" s="2003" t="s">
        <v>2637</v>
      </c>
      <c r="B25" s="2004"/>
      <c r="C25" s="2004"/>
      <c r="D25" s="2004"/>
      <c r="E25" s="2004"/>
      <c r="F25" s="2004"/>
      <c r="G25" s="2005"/>
      <c r="L25" s="841"/>
    </row>
    <row r="26" spans="1:12" s="896" customFormat="1" ht="14.25">
      <c r="A26" s="2012" t="s">
        <v>2638</v>
      </c>
      <c r="B26" s="2013"/>
      <c r="C26" s="903" t="e">
        <f>#REF!</f>
        <v>#REF!</v>
      </c>
      <c r="D26" s="900" t="s">
        <v>2625</v>
      </c>
      <c r="E26" s="902">
        <f ca="1">+ALDO!BA503+ALDO!AU503</f>
        <v>1399.9699420004213</v>
      </c>
      <c r="F26" s="898" t="e">
        <f>#REF!</f>
        <v>#REF!</v>
      </c>
      <c r="G26" s="897" t="e">
        <f ca="1">E26*F26</f>
        <v>#REF!</v>
      </c>
      <c r="L26" s="841"/>
    </row>
    <row r="27" spans="1:12" s="841" customFormat="1" ht="14.25">
      <c r="A27" s="2014" t="s">
        <v>2639</v>
      </c>
      <c r="B27" s="2015"/>
      <c r="C27" s="878" t="e">
        <f>#REF!</f>
        <v>#REF!</v>
      </c>
      <c r="D27" s="877" t="s">
        <v>2625</v>
      </c>
      <c r="E27" s="876">
        <f ca="1">+ALDO!AZ503</f>
        <v>424.2931299253205</v>
      </c>
      <c r="F27" s="881" t="e">
        <f>#REF!</f>
        <v>#REF!</v>
      </c>
      <c r="G27" s="881" t="e">
        <f ca="1">E27*F27</f>
        <v>#REF!</v>
      </c>
    </row>
    <row r="28" spans="1:12" s="896" customFormat="1" ht="14.25">
      <c r="A28" s="2012" t="s">
        <v>2640</v>
      </c>
      <c r="B28" s="2013"/>
      <c r="C28" s="901" t="e">
        <f>#REF!</f>
        <v>#REF!</v>
      </c>
      <c r="D28" s="900" t="s">
        <v>2625</v>
      </c>
      <c r="E28" s="899">
        <f ca="1">+ALDO!AT503</f>
        <v>637.94253177644975</v>
      </c>
      <c r="F28" s="898" t="e">
        <f>#REF!</f>
        <v>#REF!</v>
      </c>
      <c r="G28" s="897" t="e">
        <f ca="1">E28*F28</f>
        <v>#REF!</v>
      </c>
      <c r="L28" s="841"/>
    </row>
    <row r="29" spans="1:12" s="879" customFormat="1" ht="22.5" customHeight="1">
      <c r="A29" s="2003" t="s">
        <v>2641</v>
      </c>
      <c r="B29" s="2004"/>
      <c r="C29" s="2004"/>
      <c r="D29" s="2004"/>
      <c r="E29" s="2004"/>
      <c r="F29" s="2004"/>
      <c r="G29" s="2005"/>
      <c r="L29" s="841"/>
    </row>
    <row r="30" spans="1:12" s="841" customFormat="1" ht="14.25">
      <c r="A30" s="2014" t="s">
        <v>2642</v>
      </c>
      <c r="B30" s="2015"/>
      <c r="C30" s="878" t="e">
        <f>#REF!</f>
        <v>#REF!</v>
      </c>
      <c r="D30" s="877" t="s">
        <v>2643</v>
      </c>
      <c r="E30" s="885">
        <f>+ALDO!AK503</f>
        <v>4018.2337650000031</v>
      </c>
      <c r="F30" s="882" t="e">
        <f>#REF!</f>
        <v>#REF!</v>
      </c>
      <c r="G30" s="881" t="e">
        <f>E30*F30</f>
        <v>#REF!</v>
      </c>
    </row>
    <row r="31" spans="1:12" s="841" customFormat="1" ht="14.25">
      <c r="A31" s="2014" t="s">
        <v>2644</v>
      </c>
      <c r="B31" s="2015"/>
      <c r="C31" s="878" t="e">
        <f>#REF!</f>
        <v>#REF!</v>
      </c>
      <c r="D31" s="877" t="s">
        <v>2643</v>
      </c>
      <c r="E31" s="885">
        <f>+ALDO!AL503</f>
        <v>1722.1001850000009</v>
      </c>
      <c r="F31" s="882" t="e">
        <f>#REF!</f>
        <v>#REF!</v>
      </c>
      <c r="G31" s="881" t="e">
        <f>E31*F31</f>
        <v>#REF!</v>
      </c>
    </row>
    <row r="32" spans="1:12" s="879" customFormat="1" ht="22.5" customHeight="1">
      <c r="A32" s="2003" t="s">
        <v>2645</v>
      </c>
      <c r="B32" s="2004"/>
      <c r="C32" s="2004"/>
      <c r="D32" s="2004"/>
      <c r="E32" s="2004"/>
      <c r="F32" s="2004"/>
      <c r="G32" s="2005"/>
      <c r="L32" s="841"/>
    </row>
    <row r="33" spans="1:12" s="841" customFormat="1" ht="14.25">
      <c r="A33" s="2014" t="s">
        <v>2646</v>
      </c>
      <c r="B33" s="2015"/>
      <c r="C33" s="878" t="e">
        <f>#REF!</f>
        <v>#REF!</v>
      </c>
      <c r="D33" s="877" t="s">
        <v>2625</v>
      </c>
      <c r="E33" s="885">
        <f ca="1">+ALDO!BC503</f>
        <v>2133.3772935530133</v>
      </c>
      <c r="F33" s="882" t="e">
        <f>#REF!</f>
        <v>#REF!</v>
      </c>
      <c r="G33" s="881" t="e">
        <f ca="1">E33*F33</f>
        <v>#REF!</v>
      </c>
      <c r="I33" s="883"/>
    </row>
    <row r="34" spans="1:12" s="879" customFormat="1" ht="22.5" customHeight="1">
      <c r="A34" s="2003" t="s">
        <v>2647</v>
      </c>
      <c r="B34" s="2004"/>
      <c r="C34" s="2004"/>
      <c r="D34" s="2004"/>
      <c r="E34" s="2004"/>
      <c r="F34" s="2004"/>
      <c r="G34" s="2005"/>
      <c r="L34" s="841"/>
    </row>
    <row r="35" spans="1:12" s="841" customFormat="1" ht="14.25">
      <c r="A35" s="2016" t="s">
        <v>2648</v>
      </c>
      <c r="B35" s="2016"/>
      <c r="C35" s="895" t="e">
        <f>#REF!</f>
        <v>#REF!</v>
      </c>
      <c r="D35" s="877" t="s">
        <v>2625</v>
      </c>
      <c r="E35" s="885">
        <f ca="1">E13</f>
        <v>390.7465623351888</v>
      </c>
      <c r="F35" s="882" t="e">
        <f>#REF!</f>
        <v>#REF!</v>
      </c>
      <c r="G35" s="881" t="e">
        <f ca="1">E35*F35</f>
        <v>#REF!</v>
      </c>
    </row>
    <row r="36" spans="1:12" s="879" customFormat="1" ht="22.5" customHeight="1">
      <c r="A36" s="2003" t="s">
        <v>2649</v>
      </c>
      <c r="B36" s="2004"/>
      <c r="C36" s="2004"/>
      <c r="D36" s="2004"/>
      <c r="E36" s="2004"/>
      <c r="F36" s="2004"/>
      <c r="G36" s="2005"/>
      <c r="L36" s="841"/>
    </row>
    <row r="37" spans="1:12" s="841" customFormat="1" ht="12.75">
      <c r="A37" s="2014" t="s">
        <v>2650</v>
      </c>
      <c r="B37" s="2015"/>
      <c r="C37" s="878" t="e">
        <f>#REF!</f>
        <v>#REF!</v>
      </c>
      <c r="D37" s="877" t="s">
        <v>527</v>
      </c>
      <c r="E37" s="894">
        <f>+ALDO!ED503</f>
        <v>0</v>
      </c>
      <c r="F37" s="881" t="e">
        <f>#REF!</f>
        <v>#REF!</v>
      </c>
      <c r="G37" s="881" t="e">
        <f t="shared" ref="G37:G44" si="1">E37*F37</f>
        <v>#REF!</v>
      </c>
    </row>
    <row r="38" spans="1:12" s="841" customFormat="1" ht="12.75">
      <c r="A38" s="2014" t="s">
        <v>2651</v>
      </c>
      <c r="B38" s="2015"/>
      <c r="C38" s="878" t="e">
        <f>#REF!</f>
        <v>#REF!</v>
      </c>
      <c r="D38" s="877" t="s">
        <v>527</v>
      </c>
      <c r="E38" s="894">
        <f>+ALDO!EE503</f>
        <v>0</v>
      </c>
      <c r="F38" s="881" t="e">
        <f>#REF!</f>
        <v>#REF!</v>
      </c>
      <c r="G38" s="881" t="e">
        <f t="shared" si="1"/>
        <v>#REF!</v>
      </c>
    </row>
    <row r="39" spans="1:12" s="841" customFormat="1" ht="12.75">
      <c r="A39" s="2014" t="s">
        <v>2652</v>
      </c>
      <c r="B39" s="2015"/>
      <c r="C39" s="878" t="e">
        <f>#REF!</f>
        <v>#REF!</v>
      </c>
      <c r="D39" s="877" t="s">
        <v>527</v>
      </c>
      <c r="E39" s="894">
        <f>+ALDO!EF503</f>
        <v>0</v>
      </c>
      <c r="F39" s="881" t="e">
        <f>#REF!</f>
        <v>#REF!</v>
      </c>
      <c r="G39" s="881" t="e">
        <f t="shared" si="1"/>
        <v>#REF!</v>
      </c>
    </row>
    <row r="40" spans="1:12" s="841" customFormat="1" ht="12.75">
      <c r="A40" s="2014" t="s">
        <v>2653</v>
      </c>
      <c r="B40" s="2015"/>
      <c r="C40" s="878" t="e">
        <f>#REF!</f>
        <v>#REF!</v>
      </c>
      <c r="D40" s="877" t="s">
        <v>527</v>
      </c>
      <c r="E40" s="876">
        <v>9</v>
      </c>
      <c r="F40" s="881" t="e">
        <f>#REF!</f>
        <v>#REF!</v>
      </c>
      <c r="G40" s="881" t="e">
        <f t="shared" si="1"/>
        <v>#REF!</v>
      </c>
    </row>
    <row r="41" spans="1:12" s="841" customFormat="1" ht="12.75">
      <c r="A41" s="2014" t="s">
        <v>2654</v>
      </c>
      <c r="B41" s="2015"/>
      <c r="C41" s="878" t="e">
        <f>#REF!</f>
        <v>#REF!</v>
      </c>
      <c r="D41" s="877" t="s">
        <v>527</v>
      </c>
      <c r="E41" s="876">
        <v>9</v>
      </c>
      <c r="F41" s="881" t="e">
        <f>#REF!</f>
        <v>#REF!</v>
      </c>
      <c r="G41" s="881" t="e">
        <f t="shared" si="1"/>
        <v>#REF!</v>
      </c>
    </row>
    <row r="42" spans="1:12" s="841" customFormat="1" ht="12.75">
      <c r="A42" s="2014" t="s">
        <v>2655</v>
      </c>
      <c r="B42" s="2015"/>
      <c r="C42" s="878" t="e">
        <f>#REF!</f>
        <v>#REF!</v>
      </c>
      <c r="D42" s="877" t="s">
        <v>527</v>
      </c>
      <c r="E42" s="876">
        <v>9</v>
      </c>
      <c r="F42" s="881" t="e">
        <f>#REF!</f>
        <v>#REF!</v>
      </c>
      <c r="G42" s="881" t="e">
        <f t="shared" si="1"/>
        <v>#REF!</v>
      </c>
    </row>
    <row r="43" spans="1:12" s="841" customFormat="1" ht="12.75">
      <c r="A43" s="2014" t="s">
        <v>2656</v>
      </c>
      <c r="B43" s="2015"/>
      <c r="C43" s="878" t="e">
        <f>#REF!</f>
        <v>#REF!</v>
      </c>
      <c r="D43" s="877" t="s">
        <v>527</v>
      </c>
      <c r="E43" s="876">
        <v>9</v>
      </c>
      <c r="F43" s="881" t="e">
        <f>#REF!</f>
        <v>#REF!</v>
      </c>
      <c r="G43" s="881" t="e">
        <f t="shared" si="1"/>
        <v>#REF!</v>
      </c>
    </row>
    <row r="44" spans="1:12" s="841" customFormat="1" ht="12.75">
      <c r="A44" s="2014" t="s">
        <v>2657</v>
      </c>
      <c r="B44" s="2015"/>
      <c r="C44" s="878" t="e">
        <f>#REF!</f>
        <v>#REF!</v>
      </c>
      <c r="D44" s="877" t="s">
        <v>527</v>
      </c>
      <c r="E44" s="894">
        <f>+ALDO!EH503</f>
        <v>20</v>
      </c>
      <c r="F44" s="881" t="e">
        <f>#REF!</f>
        <v>#REF!</v>
      </c>
      <c r="G44" s="881" t="e">
        <f t="shared" si="1"/>
        <v>#REF!</v>
      </c>
    </row>
    <row r="45" spans="1:12" ht="30" customHeight="1">
      <c r="A45" s="873"/>
      <c r="B45" s="872"/>
      <c r="C45" s="2017" t="s">
        <v>2658</v>
      </c>
      <c r="D45" s="2018"/>
      <c r="E45" s="2018"/>
      <c r="F45" s="2019"/>
      <c r="G45" s="861" t="e">
        <f>+SUM(G11:G44)</f>
        <v>#REF!</v>
      </c>
      <c r="L45" s="841"/>
    </row>
    <row r="46" spans="1:12" ht="12.75">
      <c r="A46" s="888"/>
      <c r="B46" s="890"/>
      <c r="C46" s="868"/>
      <c r="D46" s="868"/>
      <c r="E46" s="868"/>
      <c r="F46" s="889"/>
      <c r="G46" s="888"/>
      <c r="L46" s="841"/>
    </row>
    <row r="47" spans="1:12" s="884" customFormat="1" ht="45" customHeight="1">
      <c r="A47" s="2011" t="s">
        <v>2659</v>
      </c>
      <c r="B47" s="2011"/>
      <c r="C47" s="2011"/>
      <c r="D47" s="2011"/>
      <c r="E47" s="2011"/>
      <c r="F47" s="2011"/>
      <c r="G47" s="2011"/>
      <c r="L47" s="841"/>
    </row>
    <row r="48" spans="1:12" s="879" customFormat="1" ht="22.5" customHeight="1">
      <c r="A48" s="2003" t="s">
        <v>2660</v>
      </c>
      <c r="B48" s="2004"/>
      <c r="C48" s="2004"/>
      <c r="D48" s="2004"/>
      <c r="E48" s="2004"/>
      <c r="F48" s="2004"/>
      <c r="G48" s="2005"/>
      <c r="L48" s="841"/>
    </row>
    <row r="49" spans="1:12" s="841" customFormat="1" ht="12.75">
      <c r="A49" s="2020" t="s">
        <v>2661</v>
      </c>
      <c r="B49" s="2021"/>
      <c r="C49" s="878" t="e">
        <f>#REF!</f>
        <v>#REF!</v>
      </c>
      <c r="D49" s="877" t="s">
        <v>299</v>
      </c>
      <c r="E49" s="876">
        <f ca="1">+ALDO!CV503</f>
        <v>0</v>
      </c>
      <c r="F49" s="875" t="e">
        <f>#REF!</f>
        <v>#REF!</v>
      </c>
      <c r="G49" s="874" t="e">
        <f ca="1">E49*F49</f>
        <v>#REF!</v>
      </c>
    </row>
    <row r="50" spans="1:12" s="879" customFormat="1" ht="22.5" customHeight="1">
      <c r="A50" s="2003" t="s">
        <v>2662</v>
      </c>
      <c r="B50" s="2004"/>
      <c r="C50" s="2004"/>
      <c r="D50" s="2004"/>
      <c r="E50" s="2004"/>
      <c r="F50" s="2004"/>
      <c r="G50" s="2005"/>
      <c r="L50" s="841"/>
    </row>
    <row r="51" spans="1:12" ht="30" customHeight="1">
      <c r="A51" s="893"/>
      <c r="B51" s="892"/>
      <c r="C51" s="2017" t="s">
        <v>2663</v>
      </c>
      <c r="D51" s="2018"/>
      <c r="E51" s="2018"/>
      <c r="F51" s="2019"/>
      <c r="G51" s="891" t="e">
        <f ca="1">+SUM(G49:G50)</f>
        <v>#REF!</v>
      </c>
      <c r="L51" s="841"/>
    </row>
    <row r="52" spans="1:12" ht="12.75">
      <c r="A52" s="888"/>
      <c r="B52" s="890"/>
      <c r="C52" s="868"/>
      <c r="D52" s="868"/>
      <c r="E52" s="868"/>
      <c r="F52" s="889"/>
      <c r="G52" s="888"/>
      <c r="L52" s="841"/>
    </row>
    <row r="53" spans="1:12" s="884" customFormat="1" ht="45" customHeight="1">
      <c r="A53" s="2011" t="s">
        <v>2664</v>
      </c>
      <c r="B53" s="2011"/>
      <c r="C53" s="2011"/>
      <c r="D53" s="2011"/>
      <c r="E53" s="2011"/>
      <c r="F53" s="2011"/>
      <c r="G53" s="2011"/>
      <c r="L53" s="841"/>
    </row>
    <row r="54" spans="1:12" s="879" customFormat="1" ht="22.5" customHeight="1">
      <c r="A54" s="2003" t="s">
        <v>2665</v>
      </c>
      <c r="B54" s="2004"/>
      <c r="C54" s="2004"/>
      <c r="D54" s="2004"/>
      <c r="E54" s="2004"/>
      <c r="F54" s="2004"/>
      <c r="G54" s="2005"/>
      <c r="L54" s="841"/>
    </row>
    <row r="55" spans="1:12" s="841" customFormat="1" ht="14.25">
      <c r="A55" s="2020" t="s">
        <v>2666</v>
      </c>
      <c r="B55" s="2021"/>
      <c r="C55" s="878" t="e">
        <f>#REF!</f>
        <v>#REF!</v>
      </c>
      <c r="D55" s="877" t="s">
        <v>2625</v>
      </c>
      <c r="E55" s="876">
        <f>E68*0.6*1*0.25</f>
        <v>0</v>
      </c>
      <c r="F55" s="875" t="e">
        <f>#REF!</f>
        <v>#REF!</v>
      </c>
      <c r="G55" s="874" t="e">
        <f>E55*F55</f>
        <v>#REF!</v>
      </c>
    </row>
    <row r="56" spans="1:12" s="841" customFormat="1" ht="14.25">
      <c r="A56" s="2020" t="s">
        <v>2667</v>
      </c>
      <c r="B56" s="2021"/>
      <c r="C56" s="878" t="e">
        <f>#REF!</f>
        <v>#REF!</v>
      </c>
      <c r="D56" s="877" t="s">
        <v>2625</v>
      </c>
      <c r="E56" s="876">
        <f>(5*0.6*0.2*E68)</f>
        <v>0</v>
      </c>
      <c r="F56" s="875" t="e">
        <f>#REF!</f>
        <v>#REF!</v>
      </c>
      <c r="G56" s="874" t="e">
        <f>E56*F56</f>
        <v>#REF!</v>
      </c>
    </row>
    <row r="57" spans="1:12" s="879" customFormat="1" ht="22.5" customHeight="1">
      <c r="A57" s="2003" t="s">
        <v>2668</v>
      </c>
      <c r="B57" s="2004"/>
      <c r="C57" s="2004"/>
      <c r="D57" s="2004"/>
      <c r="E57" s="2004"/>
      <c r="F57" s="2004"/>
      <c r="G57" s="2005"/>
      <c r="L57" s="841"/>
    </row>
    <row r="58" spans="1:12" s="841" customFormat="1" ht="14.25">
      <c r="A58" s="2020" t="s">
        <v>2669</v>
      </c>
      <c r="B58" s="2021"/>
      <c r="C58" s="878" t="e">
        <f>#REF!</f>
        <v>#REF!</v>
      </c>
      <c r="D58" s="877" t="s">
        <v>2625</v>
      </c>
      <c r="E58" s="876">
        <f>ALDO!DP503*0.8</f>
        <v>1649.6840947463697</v>
      </c>
      <c r="F58" s="875" t="e">
        <f>#REF!</f>
        <v>#REF!</v>
      </c>
      <c r="G58" s="874" t="e">
        <f>E58*F58</f>
        <v>#REF!</v>
      </c>
    </row>
    <row r="59" spans="1:12" s="841" customFormat="1" ht="14.25">
      <c r="A59" s="2020" t="s">
        <v>2670</v>
      </c>
      <c r="B59" s="2021"/>
      <c r="C59" s="878" t="e">
        <f>#REF!</f>
        <v>#REF!</v>
      </c>
      <c r="D59" s="877" t="s">
        <v>2625</v>
      </c>
      <c r="E59" s="876">
        <f>+ALDO!DQ503*0.8</f>
        <v>115.11452623932431</v>
      </c>
      <c r="F59" s="875" t="e">
        <f>#REF!</f>
        <v>#REF!</v>
      </c>
      <c r="G59" s="874" t="e">
        <f>E59*F59</f>
        <v>#REF!</v>
      </c>
    </row>
    <row r="60" spans="1:12" s="841" customFormat="1" ht="14.25">
      <c r="A60" s="2020" t="s">
        <v>2671</v>
      </c>
      <c r="B60" s="2021"/>
      <c r="C60" s="878" t="e">
        <f>#REF!</f>
        <v>#REF!</v>
      </c>
      <c r="D60" s="877" t="s">
        <v>2625</v>
      </c>
      <c r="E60" s="876">
        <f>ALDO!DP503*0.2</f>
        <v>412.42102368659243</v>
      </c>
      <c r="F60" s="875" t="e">
        <f>#REF!</f>
        <v>#REF!</v>
      </c>
      <c r="G60" s="874" t="e">
        <f>E60*F60</f>
        <v>#REF!</v>
      </c>
    </row>
    <row r="61" spans="1:12" s="841" customFormat="1" ht="14.25">
      <c r="A61" s="2020" t="s">
        <v>2672</v>
      </c>
      <c r="B61" s="2021"/>
      <c r="C61" s="878" t="e">
        <f>#REF!</f>
        <v>#REF!</v>
      </c>
      <c r="D61" s="877" t="s">
        <v>2625</v>
      </c>
      <c r="E61" s="876">
        <f>ALDO!DQ503*0.2</f>
        <v>28.778631559831076</v>
      </c>
      <c r="F61" s="875" t="e">
        <f>#REF!</f>
        <v>#REF!</v>
      </c>
      <c r="G61" s="874" t="e">
        <f>E61*F61</f>
        <v>#REF!</v>
      </c>
    </row>
    <row r="62" spans="1:12" s="879" customFormat="1" ht="22.5" customHeight="1">
      <c r="A62" s="2003" t="s">
        <v>2673</v>
      </c>
      <c r="B62" s="2004"/>
      <c r="C62" s="2004"/>
      <c r="D62" s="2004"/>
      <c r="E62" s="2004"/>
      <c r="F62" s="2004"/>
      <c r="G62" s="2005"/>
      <c r="L62" s="841"/>
    </row>
    <row r="63" spans="1:12" s="841" customFormat="1" ht="15">
      <c r="A63" s="2020" t="s">
        <v>2674</v>
      </c>
      <c r="B63" s="2021"/>
      <c r="C63" s="878" t="e">
        <f>#REF!</f>
        <v>#REF!</v>
      </c>
      <c r="D63" s="877" t="s">
        <v>2675</v>
      </c>
      <c r="E63" s="876">
        <f>SUM(E58:E61)-E64</f>
        <v>882.39931049284701</v>
      </c>
      <c r="F63" s="875" t="e">
        <f>#REF!</f>
        <v>#REF!</v>
      </c>
      <c r="G63" s="874" t="e">
        <f>E63*F63</f>
        <v>#REF!</v>
      </c>
    </row>
    <row r="64" spans="1:12" s="841" customFormat="1" ht="15">
      <c r="A64" s="2020" t="s">
        <v>2676</v>
      </c>
      <c r="B64" s="2021"/>
      <c r="C64" s="878" t="e">
        <f>#REF!</f>
        <v>#REF!</v>
      </c>
      <c r="D64" s="877" t="s">
        <v>2675</v>
      </c>
      <c r="E64" s="876">
        <f>SUM(E58:E61)*0.6</f>
        <v>1323.5989657392704</v>
      </c>
      <c r="F64" s="875" t="e">
        <f>#REF!</f>
        <v>#REF!</v>
      </c>
      <c r="G64" s="874" t="e">
        <f>E64*F64</f>
        <v>#REF!</v>
      </c>
    </row>
    <row r="65" spans="1:12" s="879" customFormat="1" ht="22.5" customHeight="1">
      <c r="A65" s="2003" t="s">
        <v>2677</v>
      </c>
      <c r="B65" s="2004"/>
      <c r="C65" s="2004"/>
      <c r="D65" s="2004"/>
      <c r="E65" s="2004"/>
      <c r="F65" s="2004"/>
      <c r="G65" s="2005"/>
      <c r="L65" s="841"/>
    </row>
    <row r="66" spans="1:12" s="841" customFormat="1" ht="15">
      <c r="A66" s="2020" t="s">
        <v>2678</v>
      </c>
      <c r="B66" s="2021"/>
      <c r="C66" s="878" t="e">
        <f>#REF!</f>
        <v>#REF!</v>
      </c>
      <c r="D66" s="877" t="s">
        <v>2675</v>
      </c>
      <c r="E66" s="876">
        <f>E63</f>
        <v>882.39931049284701</v>
      </c>
      <c r="F66" s="875" t="e">
        <f>#REF!</f>
        <v>#REF!</v>
      </c>
      <c r="G66" s="874" t="e">
        <f>E66*F66</f>
        <v>#REF!</v>
      </c>
    </row>
    <row r="67" spans="1:12" s="879" customFormat="1" ht="22.5" customHeight="1">
      <c r="A67" s="2003" t="s">
        <v>2679</v>
      </c>
      <c r="B67" s="2004"/>
      <c r="C67" s="2004"/>
      <c r="D67" s="2004"/>
      <c r="E67" s="2004"/>
      <c r="F67" s="2004"/>
      <c r="G67" s="2005"/>
      <c r="H67" s="887"/>
      <c r="I67" s="886"/>
      <c r="J67" s="886"/>
      <c r="L67" s="841"/>
    </row>
    <row r="68" spans="1:12" s="841" customFormat="1" ht="12.75">
      <c r="A68" s="2020" t="s">
        <v>2680</v>
      </c>
      <c r="B68" s="2021"/>
      <c r="C68" s="878" t="e">
        <f>#REF!</f>
        <v>#REF!</v>
      </c>
      <c r="D68" s="877" t="s">
        <v>527</v>
      </c>
      <c r="E68" s="876">
        <v>0</v>
      </c>
      <c r="F68" s="875" t="e">
        <f>#REF!</f>
        <v>#REF!</v>
      </c>
      <c r="G68" s="874" t="e">
        <f>E68*F68</f>
        <v>#REF!</v>
      </c>
    </row>
    <row r="69" spans="1:12" s="841" customFormat="1" ht="14.25">
      <c r="A69" s="2020" t="s">
        <v>2681</v>
      </c>
      <c r="B69" s="2021"/>
      <c r="C69" s="878" t="e">
        <f>#REF!</f>
        <v>#REF!</v>
      </c>
      <c r="D69" s="877" t="s">
        <v>2643</v>
      </c>
      <c r="E69" s="876">
        <f>E55/0.25</f>
        <v>0</v>
      </c>
      <c r="F69" s="875" t="e">
        <f>#REF!</f>
        <v>#REF!</v>
      </c>
      <c r="G69" s="874" t="e">
        <f>E69*F69</f>
        <v>#REF!</v>
      </c>
    </row>
    <row r="70" spans="1:12" s="879" customFormat="1" ht="22.5" customHeight="1">
      <c r="A70" s="2003" t="s">
        <v>2682</v>
      </c>
      <c r="B70" s="2004"/>
      <c r="C70" s="2004"/>
      <c r="D70" s="2004"/>
      <c r="E70" s="2004"/>
      <c r="F70" s="2004"/>
      <c r="G70" s="2005"/>
      <c r="L70" s="841"/>
    </row>
    <row r="71" spans="1:12" s="841" customFormat="1" ht="12.75">
      <c r="A71" s="2020" t="s">
        <v>2683</v>
      </c>
      <c r="B71" s="2021"/>
      <c r="C71" s="878" t="e">
        <f>#REF!</f>
        <v>#REF!</v>
      </c>
      <c r="D71" s="877" t="s">
        <v>299</v>
      </c>
      <c r="E71" s="876">
        <f>E68*6</f>
        <v>0</v>
      </c>
      <c r="F71" s="875" t="e">
        <f>#REF!</f>
        <v>#REF!</v>
      </c>
      <c r="G71" s="874" t="e">
        <f>E71*F71</f>
        <v>#REF!</v>
      </c>
    </row>
    <row r="72" spans="1:12" s="841" customFormat="1" ht="12.75">
      <c r="A72" s="2020" t="s">
        <v>2684</v>
      </c>
      <c r="B72" s="2021"/>
      <c r="C72" s="878" t="e">
        <f>#REF!</f>
        <v>#REF!</v>
      </c>
      <c r="D72" s="877" t="s">
        <v>527</v>
      </c>
      <c r="E72" s="876">
        <f>E68</f>
        <v>0</v>
      </c>
      <c r="F72" s="875" t="e">
        <f>#REF!</f>
        <v>#REF!</v>
      </c>
      <c r="G72" s="874" t="e">
        <f>E72*F72</f>
        <v>#REF!</v>
      </c>
    </row>
    <row r="73" spans="1:12" s="841" customFormat="1" ht="12.75">
      <c r="A73" s="2020" t="s">
        <v>2685</v>
      </c>
      <c r="B73" s="2021"/>
      <c r="C73" s="878" t="e">
        <f>#REF!</f>
        <v>#REF!</v>
      </c>
      <c r="D73" s="877" t="s">
        <v>527</v>
      </c>
      <c r="E73" s="876">
        <f>+E72</f>
        <v>0</v>
      </c>
      <c r="F73" s="875" t="e">
        <f>#REF!</f>
        <v>#REF!</v>
      </c>
      <c r="G73" s="874" t="e">
        <f>E73*F73</f>
        <v>#REF!</v>
      </c>
    </row>
    <row r="74" spans="1:12" ht="30" customHeight="1">
      <c r="A74" s="873"/>
      <c r="B74" s="872"/>
      <c r="C74" s="2017" t="s">
        <v>2686</v>
      </c>
      <c r="D74" s="2018"/>
      <c r="E74" s="2018"/>
      <c r="F74" s="2019"/>
      <c r="G74" s="861" t="e">
        <f>+SUM(G55:G73)</f>
        <v>#REF!</v>
      </c>
      <c r="L74" s="841"/>
    </row>
    <row r="75" spans="1:12" ht="18" customHeight="1">
      <c r="A75" s="867"/>
      <c r="B75" s="867"/>
      <c r="C75" s="871"/>
      <c r="D75" s="871"/>
      <c r="E75" s="871"/>
      <c r="F75" s="871"/>
      <c r="G75" s="870"/>
      <c r="L75" s="841"/>
    </row>
    <row r="76" spans="1:12" ht="30" customHeight="1">
      <c r="A76" s="2022" t="s">
        <v>2687</v>
      </c>
      <c r="B76" s="2022"/>
      <c r="C76" s="2022"/>
      <c r="D76" s="2022"/>
      <c r="E76" s="2022"/>
      <c r="F76" s="2022"/>
      <c r="G76" s="861" t="e">
        <f ca="1">G45+G51+G74</f>
        <v>#REF!</v>
      </c>
      <c r="L76" s="841"/>
    </row>
    <row r="77" spans="1:12" ht="18" customHeight="1">
      <c r="A77" s="867"/>
      <c r="B77" s="867"/>
      <c r="C77" s="871"/>
      <c r="D77" s="871"/>
      <c r="E77" s="871"/>
      <c r="F77" s="871"/>
      <c r="G77" s="870"/>
      <c r="L77" s="841"/>
    </row>
    <row r="78" spans="1:12" s="884" customFormat="1" ht="45" customHeight="1">
      <c r="A78" s="2023" t="s">
        <v>2688</v>
      </c>
      <c r="B78" s="2023"/>
      <c r="C78" s="2023"/>
      <c r="D78" s="2023"/>
      <c r="E78" s="2023"/>
      <c r="F78" s="2023"/>
      <c r="G78" s="2023"/>
      <c r="L78" s="841"/>
    </row>
    <row r="79" spans="1:12" s="879" customFormat="1" ht="22.5" customHeight="1">
      <c r="A79" s="2003" t="s">
        <v>2689</v>
      </c>
      <c r="B79" s="2004"/>
      <c r="C79" s="2004"/>
      <c r="D79" s="2004"/>
      <c r="E79" s="2004"/>
      <c r="F79" s="2004"/>
      <c r="G79" s="2005"/>
      <c r="L79" s="841"/>
    </row>
    <row r="80" spans="1:12" s="841" customFormat="1" ht="12.75">
      <c r="A80" s="2001" t="s">
        <v>2690</v>
      </c>
      <c r="B80" s="2002"/>
      <c r="C80" s="878" t="e">
        <f>#REF!</f>
        <v>#REF!</v>
      </c>
      <c r="D80" s="877" t="s">
        <v>299</v>
      </c>
      <c r="E80" s="876">
        <v>0</v>
      </c>
      <c r="F80" s="881" t="e">
        <f>#REF!</f>
        <v>#REF!</v>
      </c>
      <c r="G80" s="881" t="e">
        <f>E80*F80</f>
        <v>#REF!</v>
      </c>
    </row>
    <row r="81" spans="1:12" s="879" customFormat="1" ht="22.5" customHeight="1">
      <c r="A81" s="2003" t="s">
        <v>2691</v>
      </c>
      <c r="B81" s="2004"/>
      <c r="C81" s="2004"/>
      <c r="D81" s="2004"/>
      <c r="E81" s="2004"/>
      <c r="F81" s="2004"/>
      <c r="G81" s="2005"/>
      <c r="L81" s="841"/>
    </row>
    <row r="82" spans="1:12" s="841" customFormat="1" ht="90" customHeight="1">
      <c r="A82" s="2001" t="s">
        <v>2692</v>
      </c>
      <c r="B82" s="2002"/>
      <c r="C82" s="878" t="e">
        <f>#REF!</f>
        <v>#REF!</v>
      </c>
      <c r="D82" s="877" t="s">
        <v>2625</v>
      </c>
      <c r="E82" s="876">
        <v>0</v>
      </c>
      <c r="F82" s="881" t="e">
        <f>#REF!</f>
        <v>#REF!</v>
      </c>
      <c r="G82" s="881" t="e">
        <f>E82*F82</f>
        <v>#REF!</v>
      </c>
    </row>
    <row r="83" spans="1:12" s="879" customFormat="1" ht="22.5" customHeight="1">
      <c r="A83" s="2003" t="s">
        <v>2693</v>
      </c>
      <c r="B83" s="2004"/>
      <c r="C83" s="2004"/>
      <c r="D83" s="2004"/>
      <c r="E83" s="2004"/>
      <c r="F83" s="2004"/>
      <c r="G83" s="2005"/>
      <c r="L83" s="841"/>
    </row>
    <row r="84" spans="1:12" s="841" customFormat="1" ht="90" customHeight="1">
      <c r="A84" s="2001" t="s">
        <v>2694</v>
      </c>
      <c r="B84" s="2002"/>
      <c r="C84" s="878" t="e">
        <f>#REF!</f>
        <v>#REF!</v>
      </c>
      <c r="D84" s="880" t="s">
        <v>2625</v>
      </c>
      <c r="E84" s="885">
        <v>0</v>
      </c>
      <c r="F84" s="882" t="e">
        <f>#REF!</f>
        <v>#REF!</v>
      </c>
      <c r="G84" s="881" t="e">
        <f>E84*F84</f>
        <v>#REF!</v>
      </c>
      <c r="J84" s="883"/>
    </row>
    <row r="85" spans="1:12" s="841" customFormat="1" ht="90" customHeight="1">
      <c r="A85" s="2001" t="s">
        <v>2695</v>
      </c>
      <c r="B85" s="2002"/>
      <c r="C85" s="878" t="e">
        <f>#REF!</f>
        <v>#REF!</v>
      </c>
      <c r="D85" s="880" t="s">
        <v>2625</v>
      </c>
      <c r="E85" s="885">
        <f>1.75*0.6*E80*0.3*0.2</f>
        <v>0</v>
      </c>
      <c r="F85" s="882" t="e">
        <f>#REF!</f>
        <v>#REF!</v>
      </c>
      <c r="G85" s="881" t="e">
        <f>E85*F85</f>
        <v>#REF!</v>
      </c>
    </row>
    <row r="86" spans="1:12" s="841" customFormat="1" ht="90" customHeight="1">
      <c r="A86" s="2001" t="s">
        <v>2696</v>
      </c>
      <c r="B86" s="2002"/>
      <c r="C86" s="878" t="e">
        <f>#REF!</f>
        <v>#REF!</v>
      </c>
      <c r="D86" s="880" t="s">
        <v>2625</v>
      </c>
      <c r="E86" s="885">
        <f>1.75*0.6*E80*0.7*0.8</f>
        <v>0</v>
      </c>
      <c r="F86" s="882" t="e">
        <f>#REF!</f>
        <v>#REF!</v>
      </c>
      <c r="G86" s="881" t="e">
        <f>E86*F86</f>
        <v>#REF!</v>
      </c>
      <c r="J86" s="883"/>
    </row>
    <row r="87" spans="1:12" s="841" customFormat="1" ht="90" customHeight="1">
      <c r="A87" s="2001" t="s">
        <v>2697</v>
      </c>
      <c r="B87" s="2002"/>
      <c r="C87" s="878" t="e">
        <f>#REF!</f>
        <v>#REF!</v>
      </c>
      <c r="D87" s="880" t="s">
        <v>2625</v>
      </c>
      <c r="E87" s="885">
        <f>1.75*0.6*E80*0.3*0.8</f>
        <v>0</v>
      </c>
      <c r="F87" s="882" t="e">
        <f>#REF!</f>
        <v>#REF!</v>
      </c>
      <c r="G87" s="881" t="e">
        <f>E87*F87</f>
        <v>#REF!</v>
      </c>
    </row>
    <row r="88" spans="1:12" s="879" customFormat="1" ht="22.5" customHeight="1">
      <c r="A88" s="2003" t="s">
        <v>2698</v>
      </c>
      <c r="B88" s="2004"/>
      <c r="C88" s="2004"/>
      <c r="D88" s="2004"/>
      <c r="E88" s="2004"/>
      <c r="F88" s="2004"/>
      <c r="G88" s="2005"/>
      <c r="L88" s="841"/>
    </row>
    <row r="89" spans="1:12" s="841" customFormat="1" ht="110.1" customHeight="1">
      <c r="A89" s="2014" t="s">
        <v>2699</v>
      </c>
      <c r="B89" s="2015"/>
      <c r="C89" s="878" t="e">
        <f>#REF!</f>
        <v>#REF!</v>
      </c>
      <c r="D89" s="880" t="s">
        <v>2625</v>
      </c>
      <c r="E89" s="885">
        <f>SUM(E84:E87)-E90</f>
        <v>0</v>
      </c>
      <c r="F89" s="882" t="e">
        <f>#REF!</f>
        <v>#REF!</v>
      </c>
      <c r="G89" s="881" t="e">
        <f>E89*F89</f>
        <v>#REF!</v>
      </c>
    </row>
    <row r="90" spans="1:12" s="841" customFormat="1" ht="90" customHeight="1">
      <c r="A90" s="2014" t="s">
        <v>2700</v>
      </c>
      <c r="B90" s="2015"/>
      <c r="C90" s="878" t="e">
        <f>#REF!</f>
        <v>#REF!</v>
      </c>
      <c r="D90" s="880" t="s">
        <v>2625</v>
      </c>
      <c r="E90" s="876">
        <f>SUM(E84:E87)*0.6</f>
        <v>0</v>
      </c>
      <c r="F90" s="881" t="e">
        <f>#REF!</f>
        <v>#REF!</v>
      </c>
      <c r="G90" s="881" t="e">
        <f>E90*F90</f>
        <v>#REF!</v>
      </c>
    </row>
    <row r="91" spans="1:12" s="879" customFormat="1" ht="22.5" customHeight="1">
      <c r="A91" s="2003" t="s">
        <v>2701</v>
      </c>
      <c r="B91" s="2004"/>
      <c r="C91" s="2004"/>
      <c r="D91" s="2004"/>
      <c r="E91" s="2004"/>
      <c r="F91" s="2004"/>
      <c r="G91" s="2005"/>
      <c r="L91" s="841"/>
    </row>
    <row r="92" spans="1:12" s="841" customFormat="1" ht="110.1" customHeight="1">
      <c r="A92" s="2020" t="s">
        <v>2702</v>
      </c>
      <c r="B92" s="2021"/>
      <c r="C92" s="878" t="e">
        <f>#REF!</f>
        <v>#REF!</v>
      </c>
      <c r="D92" s="880" t="s">
        <v>2625</v>
      </c>
      <c r="E92" s="876">
        <f>E89</f>
        <v>0</v>
      </c>
      <c r="F92" s="875" t="e">
        <f>#REF!</f>
        <v>#REF!</v>
      </c>
      <c r="G92" s="874" t="e">
        <f>E92*F92</f>
        <v>#REF!</v>
      </c>
    </row>
    <row r="93" spans="1:12" s="879" customFormat="1" ht="22.5" customHeight="1">
      <c r="A93" s="2003" t="s">
        <v>2703</v>
      </c>
      <c r="B93" s="2004"/>
      <c r="C93" s="2004"/>
      <c r="D93" s="2004"/>
      <c r="E93" s="2004"/>
      <c r="F93" s="2004"/>
      <c r="G93" s="2005"/>
      <c r="L93" s="841"/>
    </row>
    <row r="94" spans="1:12" s="841" customFormat="1" ht="110.1" customHeight="1">
      <c r="A94" s="2020" t="s">
        <v>2704</v>
      </c>
      <c r="B94" s="2021"/>
      <c r="C94" s="878" t="e">
        <f>#REF!</f>
        <v>#REF!</v>
      </c>
      <c r="D94" s="880" t="s">
        <v>2625</v>
      </c>
      <c r="E94" s="876">
        <v>0</v>
      </c>
      <c r="F94" s="875" t="e">
        <f>#REF!</f>
        <v>#REF!</v>
      </c>
      <c r="G94" s="874" t="e">
        <f>E94*F94</f>
        <v>#REF!</v>
      </c>
    </row>
    <row r="95" spans="1:12" ht="30" customHeight="1">
      <c r="A95" s="873"/>
      <c r="B95" s="872"/>
      <c r="C95" s="2017" t="s">
        <v>2705</v>
      </c>
      <c r="D95" s="2018"/>
      <c r="E95" s="2018"/>
      <c r="F95" s="2019"/>
      <c r="G95" s="861" t="e">
        <f>+SUM(G80:G94)</f>
        <v>#REF!</v>
      </c>
      <c r="L95" s="841"/>
    </row>
    <row r="96" spans="1:12" ht="18" customHeight="1">
      <c r="A96" s="867"/>
      <c r="B96" s="867"/>
      <c r="C96" s="871"/>
      <c r="D96" s="871"/>
      <c r="E96" s="871"/>
      <c r="F96" s="871"/>
      <c r="G96" s="870"/>
      <c r="L96" s="841"/>
    </row>
    <row r="97" spans="1:12" s="884" customFormat="1" ht="45" customHeight="1">
      <c r="A97" s="2023" t="s">
        <v>2706</v>
      </c>
      <c r="B97" s="2023"/>
      <c r="C97" s="2023"/>
      <c r="D97" s="2023"/>
      <c r="E97" s="2023"/>
      <c r="F97" s="2023"/>
      <c r="G97" s="2023"/>
      <c r="L97" s="841"/>
    </row>
    <row r="98" spans="1:12" s="879" customFormat="1" ht="22.5" customHeight="1">
      <c r="A98" s="2003" t="s">
        <v>2707</v>
      </c>
      <c r="B98" s="2004"/>
      <c r="C98" s="2004"/>
      <c r="D98" s="2004"/>
      <c r="E98" s="2004"/>
      <c r="F98" s="2004"/>
      <c r="G98" s="2005"/>
      <c r="L98" s="841"/>
    </row>
    <row r="99" spans="1:12" s="841" customFormat="1" ht="60" customHeight="1">
      <c r="A99" s="2020" t="s">
        <v>2708</v>
      </c>
      <c r="B99" s="2021"/>
      <c r="C99" s="878" t="e">
        <f>#REF!</f>
        <v>#REF!</v>
      </c>
      <c r="D99" s="877" t="s">
        <v>299</v>
      </c>
      <c r="E99" s="876">
        <v>0</v>
      </c>
      <c r="F99" s="875" t="e">
        <f>#REF!</f>
        <v>#REF!</v>
      </c>
      <c r="G99" s="874" t="e">
        <f>E99*F99</f>
        <v>#REF!</v>
      </c>
    </row>
    <row r="100" spans="1:12" s="841" customFormat="1" ht="60" customHeight="1">
      <c r="A100" s="2020" t="s">
        <v>2709</v>
      </c>
      <c r="B100" s="2021"/>
      <c r="C100" s="878" t="e">
        <f>#REF!</f>
        <v>#REF!</v>
      </c>
      <c r="D100" s="877" t="s">
        <v>299</v>
      </c>
      <c r="E100" s="876">
        <v>0</v>
      </c>
      <c r="F100" s="875" t="e">
        <f>#REF!</f>
        <v>#REF!</v>
      </c>
      <c r="G100" s="874" t="e">
        <f>E100*F100</f>
        <v>#REF!</v>
      </c>
    </row>
    <row r="101" spans="1:12" s="841" customFormat="1" ht="60" customHeight="1">
      <c r="A101" s="2020" t="s">
        <v>2710</v>
      </c>
      <c r="B101" s="2021"/>
      <c r="C101" s="878" t="e">
        <f>#REF!</f>
        <v>#REF!</v>
      </c>
      <c r="D101" s="877" t="s">
        <v>299</v>
      </c>
      <c r="E101" s="876">
        <v>0</v>
      </c>
      <c r="F101" s="875" t="e">
        <f>#REF!</f>
        <v>#REF!</v>
      </c>
      <c r="G101" s="874" t="e">
        <f>E101*F101</f>
        <v>#REF!</v>
      </c>
    </row>
    <row r="102" spans="1:12" s="879" customFormat="1" ht="22.5" customHeight="1">
      <c r="A102" s="2003" t="s">
        <v>2711</v>
      </c>
      <c r="B102" s="2004"/>
      <c r="C102" s="2004"/>
      <c r="D102" s="2004"/>
      <c r="E102" s="2004"/>
      <c r="F102" s="2004"/>
      <c r="G102" s="2005"/>
      <c r="L102" s="841"/>
    </row>
    <row r="103" spans="1:12" s="841" customFormat="1" ht="90" customHeight="1">
      <c r="A103" s="2020" t="s">
        <v>2712</v>
      </c>
      <c r="B103" s="2021"/>
      <c r="C103" s="878" t="e">
        <f>#REF!</f>
        <v>#REF!</v>
      </c>
      <c r="D103" s="877" t="s">
        <v>527</v>
      </c>
      <c r="E103" s="876">
        <v>0</v>
      </c>
      <c r="F103" s="875" t="e">
        <f>#REF!</f>
        <v>#REF!</v>
      </c>
      <c r="G103" s="874" t="e">
        <f>E103*F103</f>
        <v>#REF!</v>
      </c>
    </row>
    <row r="104" spans="1:12" s="879" customFormat="1" ht="22.5" customHeight="1">
      <c r="A104" s="2003" t="s">
        <v>2713</v>
      </c>
      <c r="B104" s="2004"/>
      <c r="C104" s="2004"/>
      <c r="D104" s="2004"/>
      <c r="E104" s="2004"/>
      <c r="F104" s="2004"/>
      <c r="G104" s="2005"/>
      <c r="L104" s="841"/>
    </row>
    <row r="105" spans="1:12" s="841" customFormat="1" ht="60" customHeight="1">
      <c r="A105" s="2020" t="s">
        <v>2714</v>
      </c>
      <c r="B105" s="2021"/>
      <c r="C105" s="878" t="e">
        <f>#REF!</f>
        <v>#REF!</v>
      </c>
      <c r="D105" s="877" t="s">
        <v>527</v>
      </c>
      <c r="E105" s="876">
        <v>0</v>
      </c>
      <c r="F105" s="875" t="e">
        <f>#REF!</f>
        <v>#REF!</v>
      </c>
      <c r="G105" s="874" t="e">
        <f t="shared" ref="G105:G116" si="2">E105*F105</f>
        <v>#REF!</v>
      </c>
    </row>
    <row r="106" spans="1:12" s="841" customFormat="1" ht="60" customHeight="1">
      <c r="A106" s="2020" t="s">
        <v>2715</v>
      </c>
      <c r="B106" s="2021"/>
      <c r="C106" s="878" t="e">
        <f>#REF!</f>
        <v>#REF!</v>
      </c>
      <c r="D106" s="877" t="s">
        <v>527</v>
      </c>
      <c r="E106" s="876">
        <v>0</v>
      </c>
      <c r="F106" s="875" t="e">
        <f>#REF!</f>
        <v>#REF!</v>
      </c>
      <c r="G106" s="874" t="e">
        <f t="shared" si="2"/>
        <v>#REF!</v>
      </c>
    </row>
    <row r="107" spans="1:12" s="841" customFormat="1" ht="60" customHeight="1">
      <c r="A107" s="2020" t="s">
        <v>2716</v>
      </c>
      <c r="B107" s="2021"/>
      <c r="C107" s="878" t="e">
        <f>#REF!</f>
        <v>#REF!</v>
      </c>
      <c r="D107" s="877" t="s">
        <v>527</v>
      </c>
      <c r="E107" s="876">
        <v>0</v>
      </c>
      <c r="F107" s="875" t="e">
        <f>#REF!</f>
        <v>#REF!</v>
      </c>
      <c r="G107" s="874" t="e">
        <f t="shared" si="2"/>
        <v>#REF!</v>
      </c>
    </row>
    <row r="108" spans="1:12" s="841" customFormat="1" ht="60" customHeight="1">
      <c r="A108" s="2020" t="s">
        <v>2717</v>
      </c>
      <c r="B108" s="2021"/>
      <c r="C108" s="878" t="e">
        <f>#REF!</f>
        <v>#REF!</v>
      </c>
      <c r="D108" s="877" t="s">
        <v>527</v>
      </c>
      <c r="E108" s="876">
        <v>0</v>
      </c>
      <c r="F108" s="875" t="e">
        <f>#REF!</f>
        <v>#REF!</v>
      </c>
      <c r="G108" s="874" t="e">
        <f t="shared" si="2"/>
        <v>#REF!</v>
      </c>
    </row>
    <row r="109" spans="1:12" s="841" customFormat="1" ht="60" customHeight="1">
      <c r="A109" s="2020" t="s">
        <v>2718</v>
      </c>
      <c r="B109" s="2021"/>
      <c r="C109" s="878" t="e">
        <f>#REF!</f>
        <v>#REF!</v>
      </c>
      <c r="D109" s="877" t="s">
        <v>527</v>
      </c>
      <c r="E109" s="876">
        <v>0</v>
      </c>
      <c r="F109" s="875" t="e">
        <f>#REF!</f>
        <v>#REF!</v>
      </c>
      <c r="G109" s="874" t="e">
        <f t="shared" si="2"/>
        <v>#REF!</v>
      </c>
    </row>
    <row r="110" spans="1:12" s="841" customFormat="1" ht="60" customHeight="1">
      <c r="A110" s="2020" t="s">
        <v>2719</v>
      </c>
      <c r="B110" s="2021"/>
      <c r="C110" s="878" t="e">
        <f>#REF!</f>
        <v>#REF!</v>
      </c>
      <c r="D110" s="877" t="s">
        <v>527</v>
      </c>
      <c r="E110" s="876">
        <v>0</v>
      </c>
      <c r="F110" s="875" t="e">
        <f>#REF!</f>
        <v>#REF!</v>
      </c>
      <c r="G110" s="874" t="e">
        <f t="shared" si="2"/>
        <v>#REF!</v>
      </c>
    </row>
    <row r="111" spans="1:12" s="841" customFormat="1" ht="60" customHeight="1">
      <c r="A111" s="2020" t="s">
        <v>2720</v>
      </c>
      <c r="B111" s="2021"/>
      <c r="C111" s="878" t="e">
        <f>#REF!</f>
        <v>#REF!</v>
      </c>
      <c r="D111" s="877" t="s">
        <v>527</v>
      </c>
      <c r="E111" s="876">
        <v>0</v>
      </c>
      <c r="F111" s="875" t="e">
        <f>#REF!</f>
        <v>#REF!</v>
      </c>
      <c r="G111" s="874" t="e">
        <f t="shared" si="2"/>
        <v>#REF!</v>
      </c>
    </row>
    <row r="112" spans="1:12" s="841" customFormat="1" ht="60" customHeight="1">
      <c r="A112" s="2020" t="s">
        <v>2721</v>
      </c>
      <c r="B112" s="2021"/>
      <c r="C112" s="878" t="e">
        <f>#REF!</f>
        <v>#REF!</v>
      </c>
      <c r="D112" s="877" t="s">
        <v>527</v>
      </c>
      <c r="E112" s="876">
        <v>0</v>
      </c>
      <c r="F112" s="875" t="e">
        <f>#REF!</f>
        <v>#REF!</v>
      </c>
      <c r="G112" s="874" t="e">
        <f t="shared" si="2"/>
        <v>#REF!</v>
      </c>
    </row>
    <row r="113" spans="1:12" s="841" customFormat="1" ht="60" customHeight="1">
      <c r="A113" s="2020" t="s">
        <v>2722</v>
      </c>
      <c r="B113" s="2021"/>
      <c r="C113" s="878" t="e">
        <f>#REF!</f>
        <v>#REF!</v>
      </c>
      <c r="D113" s="877" t="s">
        <v>527</v>
      </c>
      <c r="E113" s="876">
        <v>0</v>
      </c>
      <c r="F113" s="875" t="e">
        <f>#REF!</f>
        <v>#REF!</v>
      </c>
      <c r="G113" s="874" t="e">
        <f t="shared" si="2"/>
        <v>#REF!</v>
      </c>
    </row>
    <row r="114" spans="1:12" s="841" customFormat="1" ht="60" customHeight="1">
      <c r="A114" s="2020" t="s">
        <v>2723</v>
      </c>
      <c r="B114" s="2021"/>
      <c r="C114" s="878" t="e">
        <f>#REF!</f>
        <v>#REF!</v>
      </c>
      <c r="D114" s="877" t="s">
        <v>527</v>
      </c>
      <c r="E114" s="876">
        <v>0</v>
      </c>
      <c r="F114" s="875" t="e">
        <f>#REF!</f>
        <v>#REF!</v>
      </c>
      <c r="G114" s="874" t="e">
        <f t="shared" si="2"/>
        <v>#REF!</v>
      </c>
    </row>
    <row r="115" spans="1:12" s="841" customFormat="1" ht="60" customHeight="1">
      <c r="A115" s="2020" t="s">
        <v>2724</v>
      </c>
      <c r="B115" s="2021"/>
      <c r="C115" s="878" t="e">
        <f>#REF!</f>
        <v>#REF!</v>
      </c>
      <c r="D115" s="877" t="s">
        <v>527</v>
      </c>
      <c r="E115" s="876">
        <v>0</v>
      </c>
      <c r="F115" s="875" t="e">
        <f>#REF!</f>
        <v>#REF!</v>
      </c>
      <c r="G115" s="874" t="e">
        <f t="shared" si="2"/>
        <v>#REF!</v>
      </c>
    </row>
    <row r="116" spans="1:12" s="841" customFormat="1" ht="60" customHeight="1">
      <c r="A116" s="2020" t="s">
        <v>2725</v>
      </c>
      <c r="B116" s="2021"/>
      <c r="C116" s="878" t="e">
        <f>#REF!</f>
        <v>#REF!</v>
      </c>
      <c r="D116" s="877" t="s">
        <v>527</v>
      </c>
      <c r="E116" s="876">
        <v>0</v>
      </c>
      <c r="F116" s="875" t="e">
        <f>#REF!</f>
        <v>#REF!</v>
      </c>
      <c r="G116" s="874" t="e">
        <f t="shared" si="2"/>
        <v>#REF!</v>
      </c>
    </row>
    <row r="117" spans="1:12" ht="30" customHeight="1">
      <c r="A117" s="873"/>
      <c r="B117" s="872"/>
      <c r="C117" s="2017" t="s">
        <v>2726</v>
      </c>
      <c r="D117" s="2018"/>
      <c r="E117" s="2018"/>
      <c r="F117" s="2019"/>
      <c r="G117" s="861" t="e">
        <f>+SUM(G99:G116)</f>
        <v>#REF!</v>
      </c>
      <c r="L117" s="841"/>
    </row>
    <row r="118" spans="1:12" ht="18" customHeight="1">
      <c r="A118" s="867"/>
      <c r="B118" s="867"/>
      <c r="C118" s="871"/>
      <c r="D118" s="871"/>
      <c r="E118" s="871"/>
      <c r="F118" s="871"/>
      <c r="G118" s="870"/>
      <c r="L118" s="841"/>
    </row>
    <row r="119" spans="1:12" s="884" customFormat="1" ht="45" customHeight="1">
      <c r="A119" s="2023" t="s">
        <v>2727</v>
      </c>
      <c r="B119" s="2023"/>
      <c r="C119" s="2023"/>
      <c r="D119" s="2023"/>
      <c r="E119" s="2023"/>
      <c r="F119" s="2023"/>
      <c r="G119" s="2023"/>
      <c r="L119" s="841"/>
    </row>
    <row r="120" spans="1:12" s="879" customFormat="1" ht="22.5" customHeight="1">
      <c r="A120" s="2003" t="s">
        <v>2728</v>
      </c>
      <c r="B120" s="2004"/>
      <c r="C120" s="2004"/>
      <c r="D120" s="2004"/>
      <c r="E120" s="2004"/>
      <c r="F120" s="2004"/>
      <c r="G120" s="2005"/>
      <c r="L120" s="841"/>
    </row>
    <row r="121" spans="1:12" s="841" customFormat="1" ht="90" customHeight="1">
      <c r="A121" s="2001" t="s">
        <v>2729</v>
      </c>
      <c r="B121" s="2002"/>
      <c r="C121" s="878" t="e">
        <f>#REF!</f>
        <v>#REF!</v>
      </c>
      <c r="D121" s="880" t="s">
        <v>2625</v>
      </c>
      <c r="E121" s="876">
        <v>0</v>
      </c>
      <c r="F121" s="882" t="e">
        <f>#REF!</f>
        <v>#REF!</v>
      </c>
      <c r="G121" s="881" t="e">
        <f>E121*F121</f>
        <v>#REF!</v>
      </c>
      <c r="J121" s="883"/>
    </row>
    <row r="122" spans="1:12" s="841" customFormat="1" ht="90" customHeight="1">
      <c r="A122" s="2001" t="s">
        <v>2730</v>
      </c>
      <c r="B122" s="2002"/>
      <c r="C122" s="878" t="e">
        <f>#REF!</f>
        <v>#REF!</v>
      </c>
      <c r="D122" s="880" t="s">
        <v>2625</v>
      </c>
      <c r="E122" s="876">
        <v>0</v>
      </c>
      <c r="F122" s="882" t="e">
        <f>#REF!</f>
        <v>#REF!</v>
      </c>
      <c r="G122" s="881" t="e">
        <f>E122*F122</f>
        <v>#REF!</v>
      </c>
    </row>
    <row r="123" spans="1:12" s="879" customFormat="1" ht="22.5" customHeight="1">
      <c r="A123" s="2003" t="s">
        <v>2731</v>
      </c>
      <c r="B123" s="2004"/>
      <c r="C123" s="2004"/>
      <c r="D123" s="2004"/>
      <c r="E123" s="2004"/>
      <c r="F123" s="2004"/>
      <c r="G123" s="2005"/>
      <c r="L123" s="841"/>
    </row>
    <row r="124" spans="1:12" s="841" customFormat="1" ht="110.1" customHeight="1">
      <c r="A124" s="2014" t="s">
        <v>2732</v>
      </c>
      <c r="B124" s="2015"/>
      <c r="C124" s="878" t="e">
        <f>#REF!</f>
        <v>#REF!</v>
      </c>
      <c r="D124" s="880" t="s">
        <v>2625</v>
      </c>
      <c r="E124" s="876">
        <v>0</v>
      </c>
      <c r="F124" s="882" t="e">
        <f>#REF!</f>
        <v>#REF!</v>
      </c>
      <c r="G124" s="881" t="e">
        <f>E124*F124</f>
        <v>#REF!</v>
      </c>
    </row>
    <row r="125" spans="1:12" s="841" customFormat="1" ht="90" customHeight="1">
      <c r="A125" s="2014" t="s">
        <v>2733</v>
      </c>
      <c r="B125" s="2015"/>
      <c r="C125" s="878" t="e">
        <f>#REF!</f>
        <v>#REF!</v>
      </c>
      <c r="D125" s="880" t="s">
        <v>2625</v>
      </c>
      <c r="E125" s="876">
        <f>SUM(E121:E122)*0.6</f>
        <v>0</v>
      </c>
      <c r="F125" s="881" t="e">
        <f>#REF!</f>
        <v>#REF!</v>
      </c>
      <c r="G125" s="881" t="e">
        <f>E125*F125</f>
        <v>#REF!</v>
      </c>
    </row>
    <row r="126" spans="1:12" s="879" customFormat="1" ht="22.5" customHeight="1">
      <c r="A126" s="2003" t="s">
        <v>2734</v>
      </c>
      <c r="B126" s="2004"/>
      <c r="C126" s="2004"/>
      <c r="D126" s="2004"/>
      <c r="E126" s="2004"/>
      <c r="F126" s="2004"/>
      <c r="G126" s="2005"/>
      <c r="L126" s="841"/>
    </row>
    <row r="127" spans="1:12" s="841" customFormat="1" ht="110.1" customHeight="1">
      <c r="A127" s="2020" t="s">
        <v>2735</v>
      </c>
      <c r="B127" s="2021"/>
      <c r="C127" s="878" t="e">
        <f>#REF!</f>
        <v>#REF!</v>
      </c>
      <c r="D127" s="880" t="s">
        <v>2625</v>
      </c>
      <c r="E127" s="876">
        <f>E124</f>
        <v>0</v>
      </c>
      <c r="F127" s="875" t="e">
        <f>#REF!</f>
        <v>#REF!</v>
      </c>
      <c r="G127" s="874" t="e">
        <f>E127*F127</f>
        <v>#REF!</v>
      </c>
    </row>
    <row r="128" spans="1:12" s="879" customFormat="1" ht="22.5" customHeight="1">
      <c r="A128" s="2003" t="s">
        <v>2736</v>
      </c>
      <c r="B128" s="2004"/>
      <c r="C128" s="2004"/>
      <c r="D128" s="2004"/>
      <c r="E128" s="2004"/>
      <c r="F128" s="2004"/>
      <c r="G128" s="2005"/>
      <c r="L128" s="841"/>
    </row>
    <row r="129" spans="1:12" s="841" customFormat="1" ht="90" customHeight="1">
      <c r="A129" s="2020" t="s">
        <v>2737</v>
      </c>
      <c r="B129" s="2021"/>
      <c r="C129" s="878" t="e">
        <f>#REF!</f>
        <v>#REF!</v>
      </c>
      <c r="D129" s="877" t="s">
        <v>527</v>
      </c>
      <c r="E129" s="876">
        <v>0</v>
      </c>
      <c r="F129" s="875" t="e">
        <f>#REF!</f>
        <v>#REF!</v>
      </c>
      <c r="G129" s="874" t="e">
        <f>E129*F129</f>
        <v>#REF!</v>
      </c>
    </row>
    <row r="130" spans="1:12" s="841" customFormat="1" ht="110.1" customHeight="1">
      <c r="A130" s="2020" t="s">
        <v>2738</v>
      </c>
      <c r="B130" s="2021"/>
      <c r="C130" s="878" t="e">
        <f>#REF!</f>
        <v>#REF!</v>
      </c>
      <c r="D130" s="877" t="s">
        <v>527</v>
      </c>
      <c r="E130" s="876">
        <v>0</v>
      </c>
      <c r="F130" s="875" t="e">
        <f>#REF!</f>
        <v>#REF!</v>
      </c>
      <c r="G130" s="874" t="e">
        <f>E130*F130</f>
        <v>#REF!</v>
      </c>
    </row>
    <row r="131" spans="1:12" ht="30" customHeight="1">
      <c r="A131" s="873"/>
      <c r="B131" s="872"/>
      <c r="C131" s="2017" t="s">
        <v>2739</v>
      </c>
      <c r="D131" s="2018"/>
      <c r="E131" s="2018"/>
      <c r="F131" s="2019"/>
      <c r="G131" s="861" t="e">
        <f>+SUM(G121:G130)</f>
        <v>#REF!</v>
      </c>
      <c r="L131" s="841"/>
    </row>
    <row r="132" spans="1:12" ht="18" customHeight="1">
      <c r="A132" s="867"/>
      <c r="B132" s="867"/>
      <c r="C132" s="871"/>
      <c r="D132" s="871"/>
      <c r="E132" s="871"/>
      <c r="F132" s="871"/>
      <c r="G132" s="870"/>
      <c r="L132" s="841"/>
    </row>
    <row r="133" spans="1:12" ht="18" customHeight="1">
      <c r="A133" s="867"/>
      <c r="B133" s="867"/>
      <c r="C133" s="871"/>
      <c r="D133" s="871"/>
      <c r="E133" s="871"/>
      <c r="F133" s="871"/>
      <c r="G133" s="870"/>
      <c r="L133" s="841"/>
    </row>
    <row r="134" spans="1:12" ht="50.1" customHeight="1">
      <c r="A134" s="867"/>
      <c r="B134" s="866"/>
      <c r="C134" s="2017" t="s">
        <v>2740</v>
      </c>
      <c r="D134" s="2018"/>
      <c r="E134" s="2018"/>
      <c r="F134" s="2019"/>
      <c r="G134" s="861" t="e">
        <f>SUM(G45,G51,G74,G95,G117,G131)</f>
        <v>#REF!</v>
      </c>
      <c r="L134" s="841"/>
    </row>
    <row r="135" spans="1:12" ht="30" customHeight="1">
      <c r="A135" s="867"/>
      <c r="B135" s="866"/>
      <c r="C135" s="865" t="s">
        <v>2741</v>
      </c>
      <c r="D135" s="864"/>
      <c r="E135" s="863"/>
      <c r="F135" s="862"/>
      <c r="G135" s="861" t="e">
        <f>+G134*AIU</f>
        <v>#REF!</v>
      </c>
      <c r="H135" s="869"/>
      <c r="L135" s="841"/>
    </row>
    <row r="136" spans="1:12" ht="30" customHeight="1">
      <c r="A136" s="867"/>
      <c r="B136" s="866"/>
      <c r="C136" s="2028" t="s">
        <v>2742</v>
      </c>
      <c r="D136" s="2018"/>
      <c r="E136" s="2018"/>
      <c r="F136" s="2019"/>
      <c r="G136" s="861" t="e">
        <f>SUM(G134:G135)</f>
        <v>#REF!</v>
      </c>
      <c r="L136" s="841"/>
    </row>
    <row r="137" spans="1:12" ht="30" customHeight="1">
      <c r="A137" s="867"/>
      <c r="B137" s="866"/>
      <c r="C137" s="2028" t="s">
        <v>2743</v>
      </c>
      <c r="D137" s="2018"/>
      <c r="E137" s="2018"/>
      <c r="F137" s="2019"/>
      <c r="G137" s="861" t="e">
        <f>G136*#REF!</f>
        <v>#REF!</v>
      </c>
      <c r="L137" s="841"/>
    </row>
    <row r="138" spans="1:12" ht="30" customHeight="1">
      <c r="A138" s="867"/>
      <c r="B138" s="866"/>
      <c r="C138" s="865" t="s">
        <v>2744</v>
      </c>
      <c r="D138" s="864"/>
      <c r="E138" s="863"/>
      <c r="F138" s="862"/>
      <c r="G138" s="861" t="e">
        <f>SUM(G136:G137)</f>
        <v>#REF!</v>
      </c>
      <c r="L138" s="841"/>
    </row>
    <row r="139" spans="1:12" ht="21" customHeight="1">
      <c r="A139" s="855"/>
      <c r="B139" s="855"/>
      <c r="C139" s="841"/>
      <c r="D139" s="841"/>
      <c r="E139" s="860"/>
      <c r="F139" s="859"/>
      <c r="G139" s="841"/>
      <c r="L139" s="841"/>
    </row>
    <row r="140" spans="1:12" ht="21" customHeight="1">
      <c r="A140" s="855"/>
      <c r="B140" s="855"/>
      <c r="C140" s="844"/>
      <c r="D140" s="843"/>
      <c r="E140" s="853"/>
      <c r="F140" s="858"/>
      <c r="G140" s="841"/>
    </row>
    <row r="141" spans="1:12" ht="21" customHeight="1">
      <c r="A141" s="855"/>
      <c r="B141" s="855"/>
      <c r="C141" s="844"/>
      <c r="D141" s="843"/>
      <c r="E141" s="853"/>
      <c r="F141" s="852"/>
      <c r="G141" s="857"/>
    </row>
    <row r="142" spans="1:12" ht="21" customHeight="1">
      <c r="A142" s="855"/>
      <c r="B142" s="855"/>
      <c r="C142" s="844"/>
      <c r="D142" s="843"/>
      <c r="E142" s="853"/>
      <c r="F142" s="852"/>
      <c r="G142" s="852"/>
    </row>
    <row r="143" spans="1:12" ht="21" customHeight="1">
      <c r="A143" s="855"/>
      <c r="B143" s="855"/>
      <c r="C143" s="844"/>
      <c r="D143" s="843"/>
      <c r="E143" s="853"/>
      <c r="F143" s="852"/>
      <c r="G143" s="852"/>
    </row>
    <row r="144" spans="1:12" ht="21" customHeight="1">
      <c r="A144" s="855"/>
      <c r="B144" s="855"/>
      <c r="C144" s="844"/>
      <c r="D144" s="841"/>
      <c r="E144" s="856"/>
      <c r="F144" s="852"/>
      <c r="G144" s="852"/>
    </row>
    <row r="145" spans="1:7" ht="21" customHeight="1">
      <c r="A145" s="855"/>
      <c r="B145" s="855"/>
      <c r="C145" s="844"/>
      <c r="D145" s="843"/>
      <c r="E145" s="853"/>
      <c r="F145" s="852"/>
      <c r="G145" s="852"/>
    </row>
    <row r="146" spans="1:7" ht="21" customHeight="1">
      <c r="A146" s="855"/>
      <c r="B146" s="855"/>
      <c r="C146" s="844"/>
      <c r="D146" s="843"/>
      <c r="E146" s="853"/>
      <c r="F146" s="852"/>
      <c r="G146" s="852"/>
    </row>
    <row r="147" spans="1:7" ht="21" customHeight="1">
      <c r="A147" s="855"/>
      <c r="B147" s="855"/>
      <c r="C147" s="844"/>
      <c r="D147" s="843"/>
      <c r="E147" s="853"/>
      <c r="F147" s="852"/>
      <c r="G147" s="852"/>
    </row>
    <row r="148" spans="1:7" ht="21" customHeight="1">
      <c r="A148" s="855"/>
      <c r="B148" s="855"/>
      <c r="C148" s="844"/>
      <c r="D148" s="843"/>
      <c r="E148" s="853"/>
      <c r="F148" s="852"/>
      <c r="G148" s="852"/>
    </row>
    <row r="149" spans="1:7" ht="21" customHeight="1">
      <c r="A149" s="854"/>
      <c r="B149" s="854"/>
      <c r="C149" s="844"/>
      <c r="D149" s="843"/>
      <c r="E149" s="853"/>
      <c r="F149" s="852"/>
      <c r="G149" s="852"/>
    </row>
    <row r="150" spans="1:7" ht="21" customHeight="1">
      <c r="A150" s="854"/>
      <c r="B150" s="854"/>
      <c r="C150" s="844"/>
      <c r="D150" s="843"/>
      <c r="E150" s="853"/>
      <c r="F150" s="852"/>
      <c r="G150" s="852"/>
    </row>
    <row r="151" spans="1:7" ht="21" customHeight="1">
      <c r="A151" s="854"/>
      <c r="B151" s="854"/>
      <c r="C151" s="844"/>
      <c r="D151" s="843"/>
      <c r="E151" s="853"/>
      <c r="F151" s="852"/>
      <c r="G151" s="852"/>
    </row>
    <row r="152" spans="1:7" ht="21" customHeight="1">
      <c r="A152" s="845"/>
      <c r="B152" s="845"/>
      <c r="C152" s="844"/>
      <c r="D152" s="843"/>
      <c r="E152" s="853"/>
      <c r="F152" s="852"/>
      <c r="G152" s="852"/>
    </row>
    <row r="153" spans="1:7" ht="21" customHeight="1">
      <c r="A153" s="845"/>
      <c r="B153" s="845"/>
      <c r="C153" s="844"/>
      <c r="D153" s="843"/>
      <c r="E153" s="853"/>
      <c r="F153" s="852"/>
      <c r="G153" s="852"/>
    </row>
    <row r="154" spans="1:7" ht="21" customHeight="1">
      <c r="A154" s="2029" t="s">
        <v>2745</v>
      </c>
      <c r="B154" s="2029"/>
      <c r="C154" s="2029"/>
      <c r="D154" s="2029"/>
      <c r="E154" s="2029"/>
      <c r="F154" s="2029"/>
      <c r="G154" s="2029"/>
    </row>
    <row r="155" spans="1:7" ht="21" customHeight="1">
      <c r="A155" s="845"/>
      <c r="B155" s="845"/>
      <c r="C155" s="844"/>
      <c r="D155" s="843"/>
      <c r="E155" s="853"/>
      <c r="F155" s="852"/>
      <c r="G155" s="852"/>
    </row>
    <row r="156" spans="1:7" ht="21" customHeight="1">
      <c r="A156" s="845"/>
      <c r="B156" s="2030" t="s">
        <v>2746</v>
      </c>
      <c r="C156" s="2030"/>
      <c r="D156" s="2030"/>
      <c r="E156" s="2030"/>
      <c r="F156" s="2030"/>
      <c r="G156" s="851" t="s">
        <v>2747</v>
      </c>
    </row>
    <row r="157" spans="1:7" ht="21" customHeight="1">
      <c r="A157" s="847">
        <v>1</v>
      </c>
      <c r="B157" s="2031" t="s">
        <v>2748</v>
      </c>
      <c r="C157" s="2032"/>
      <c r="D157" s="2032"/>
      <c r="E157" s="2032"/>
      <c r="F157" s="2032"/>
      <c r="G157" s="850" t="s">
        <v>2749</v>
      </c>
    </row>
    <row r="158" spans="1:7" ht="40.15" customHeight="1">
      <c r="A158" s="847">
        <v>2</v>
      </c>
      <c r="B158" s="2024" t="s">
        <v>2750</v>
      </c>
      <c r="C158" s="2025"/>
      <c r="D158" s="2025"/>
      <c r="E158" s="2025"/>
      <c r="F158" s="2025"/>
      <c r="G158" s="849" t="s">
        <v>2751</v>
      </c>
    </row>
    <row r="159" spans="1:7" ht="40.15" customHeight="1">
      <c r="A159" s="847">
        <v>3</v>
      </c>
      <c r="B159" s="2024" t="s">
        <v>2752</v>
      </c>
      <c r="C159" s="2025"/>
      <c r="D159" s="2025"/>
      <c r="E159" s="2025"/>
      <c r="F159" s="2025"/>
      <c r="G159" s="848" t="s">
        <v>2753</v>
      </c>
    </row>
    <row r="160" spans="1:7" ht="40.15" customHeight="1">
      <c r="A160" s="847">
        <v>4</v>
      </c>
      <c r="B160" s="2024" t="s">
        <v>2754</v>
      </c>
      <c r="C160" s="2025"/>
      <c r="D160" s="2025"/>
      <c r="E160" s="2025"/>
      <c r="F160" s="2025"/>
      <c r="G160" s="848" t="s">
        <v>2755</v>
      </c>
    </row>
    <row r="161" spans="1:7" ht="21" customHeight="1">
      <c r="A161" s="847">
        <v>5</v>
      </c>
      <c r="B161" s="2026" t="s">
        <v>2756</v>
      </c>
      <c r="C161" s="2027"/>
      <c r="D161" s="2027"/>
      <c r="E161" s="2027"/>
      <c r="F161" s="2027"/>
      <c r="G161" s="848" t="s">
        <v>2757</v>
      </c>
    </row>
    <row r="162" spans="1:7" ht="40.15" customHeight="1">
      <c r="A162" s="847">
        <v>6</v>
      </c>
      <c r="B162" s="2024" t="s">
        <v>2758</v>
      </c>
      <c r="C162" s="2025"/>
      <c r="D162" s="2025"/>
      <c r="E162" s="2025"/>
      <c r="F162" s="2025"/>
      <c r="G162" s="848" t="s">
        <v>2648</v>
      </c>
    </row>
    <row r="163" spans="1:7" ht="21" customHeight="1">
      <c r="A163" s="847">
        <v>7</v>
      </c>
      <c r="B163" s="2026" t="s">
        <v>2759</v>
      </c>
      <c r="C163" s="2027"/>
      <c r="D163" s="2027"/>
      <c r="E163" s="2027"/>
      <c r="F163" s="2027"/>
      <c r="G163" s="846" t="s">
        <v>2760</v>
      </c>
    </row>
    <row r="164" spans="1:7" ht="21" customHeight="1">
      <c r="A164" s="847">
        <v>8</v>
      </c>
      <c r="B164" s="2026" t="s">
        <v>2761</v>
      </c>
      <c r="C164" s="2027"/>
      <c r="D164" s="2027"/>
      <c r="E164" s="2027"/>
      <c r="F164" s="2027"/>
      <c r="G164" s="846" t="s">
        <v>480</v>
      </c>
    </row>
    <row r="165" spans="1:7" ht="40.15" customHeight="1">
      <c r="A165" s="847">
        <v>9</v>
      </c>
      <c r="B165" s="2024" t="s">
        <v>2762</v>
      </c>
      <c r="C165" s="2025"/>
      <c r="D165" s="2025"/>
      <c r="E165" s="2025"/>
      <c r="F165" s="2025"/>
      <c r="G165" s="846"/>
    </row>
    <row r="166" spans="1:7" ht="40.15" customHeight="1">
      <c r="A166" s="847">
        <v>10</v>
      </c>
      <c r="B166" s="2024" t="s">
        <v>2763</v>
      </c>
      <c r="C166" s="2025"/>
      <c r="D166" s="2025"/>
      <c r="E166" s="2025"/>
      <c r="F166" s="2025"/>
      <c r="G166" s="846" t="s">
        <v>2764</v>
      </c>
    </row>
    <row r="167" spans="1:7" ht="21" customHeight="1">
      <c r="A167" s="845"/>
      <c r="B167" s="845"/>
      <c r="C167" s="844"/>
      <c r="D167" s="843"/>
      <c r="E167" s="842"/>
      <c r="F167" s="841"/>
      <c r="G167" s="841"/>
    </row>
    <row r="168" spans="1:7" ht="21" customHeight="1">
      <c r="A168" s="845"/>
      <c r="B168" s="845"/>
      <c r="C168" s="844"/>
      <c r="D168" s="843"/>
      <c r="E168" s="842"/>
      <c r="F168" s="841"/>
      <c r="G168" s="841"/>
    </row>
    <row r="169" spans="1:7" ht="21" customHeight="1">
      <c r="A169" s="845"/>
      <c r="B169" s="845"/>
      <c r="C169" s="844"/>
      <c r="D169" s="843"/>
      <c r="E169" s="842"/>
      <c r="F169" s="841"/>
      <c r="G169" s="841"/>
    </row>
    <row r="170" spans="1:7" ht="21" customHeight="1">
      <c r="A170" s="845"/>
      <c r="B170" s="845"/>
      <c r="C170" s="844"/>
      <c r="D170" s="843"/>
      <c r="E170" s="842"/>
      <c r="F170" s="841"/>
      <c r="G170" s="841"/>
    </row>
    <row r="171" spans="1:7" ht="21" customHeight="1">
      <c r="A171" s="845"/>
      <c r="B171" s="845"/>
      <c r="C171" s="844"/>
      <c r="D171" s="843"/>
      <c r="E171" s="842"/>
      <c r="F171" s="841"/>
      <c r="G171" s="841"/>
    </row>
    <row r="172" spans="1:7" ht="21" customHeight="1">
      <c r="A172" s="845"/>
      <c r="B172" s="845"/>
      <c r="C172" s="844"/>
      <c r="D172" s="843"/>
      <c r="E172" s="842"/>
      <c r="F172" s="841"/>
      <c r="G172" s="841"/>
    </row>
    <row r="173" spans="1:7" ht="21" customHeight="1">
      <c r="A173" s="845"/>
      <c r="B173" s="845"/>
      <c r="C173" s="844"/>
      <c r="D173" s="843"/>
      <c r="E173" s="842"/>
      <c r="F173" s="841"/>
      <c r="G173" s="841"/>
    </row>
    <row r="174" spans="1:7" ht="21" customHeight="1">
      <c r="A174" s="845"/>
      <c r="B174" s="845"/>
      <c r="C174" s="844"/>
      <c r="D174" s="843"/>
      <c r="E174" s="842"/>
      <c r="F174" s="841"/>
      <c r="G174" s="841"/>
    </row>
    <row r="175" spans="1:7" ht="21" customHeight="1">
      <c r="A175" s="845"/>
      <c r="B175" s="845"/>
      <c r="C175" s="844"/>
      <c r="D175" s="843"/>
      <c r="E175" s="842"/>
      <c r="F175" s="841"/>
      <c r="G175" s="841"/>
    </row>
    <row r="176" spans="1:7" ht="21" customHeight="1">
      <c r="A176" s="845"/>
      <c r="B176" s="845"/>
      <c r="C176" s="844"/>
      <c r="D176" s="843"/>
      <c r="E176" s="842"/>
      <c r="F176" s="841"/>
      <c r="G176" s="841"/>
    </row>
    <row r="177" spans="1:7" ht="21" customHeight="1">
      <c r="A177" s="845"/>
      <c r="B177" s="845"/>
      <c r="C177" s="844"/>
      <c r="D177" s="843"/>
      <c r="E177" s="842"/>
      <c r="F177" s="841"/>
      <c r="G177" s="841"/>
    </row>
    <row r="178" spans="1:7" ht="21" customHeight="1">
      <c r="A178" s="845"/>
      <c r="B178" s="845"/>
      <c r="C178" s="844"/>
      <c r="D178" s="843"/>
      <c r="E178" s="842"/>
      <c r="F178" s="841"/>
      <c r="G178" s="841"/>
    </row>
    <row r="179" spans="1:7" ht="21" customHeight="1">
      <c r="A179" s="845"/>
      <c r="B179" s="845"/>
      <c r="C179" s="844"/>
      <c r="D179" s="843"/>
      <c r="E179" s="842"/>
      <c r="F179" s="841"/>
      <c r="G179" s="841"/>
    </row>
    <row r="180" spans="1:7" ht="21" customHeight="1">
      <c r="A180" s="845"/>
      <c r="B180" s="845"/>
      <c r="C180" s="844"/>
      <c r="D180" s="843"/>
      <c r="E180" s="842"/>
      <c r="F180" s="841"/>
      <c r="G180" s="841"/>
    </row>
    <row r="181" spans="1:7" ht="21" customHeight="1">
      <c r="A181" s="845"/>
      <c r="B181" s="845"/>
      <c r="C181" s="844"/>
      <c r="D181" s="843"/>
      <c r="E181" s="842"/>
      <c r="F181" s="841"/>
      <c r="G181" s="841"/>
    </row>
    <row r="182" spans="1:7" ht="21" customHeight="1">
      <c r="A182" s="845"/>
      <c r="B182" s="845"/>
      <c r="C182" s="844"/>
      <c r="D182" s="843"/>
      <c r="E182" s="842"/>
      <c r="F182" s="841"/>
      <c r="G182" s="841"/>
    </row>
    <row r="183" spans="1:7" ht="21" customHeight="1">
      <c r="A183" s="845"/>
      <c r="B183" s="845"/>
      <c r="C183" s="844"/>
      <c r="D183" s="843"/>
      <c r="E183" s="842"/>
      <c r="F183" s="841"/>
      <c r="G183" s="841"/>
    </row>
    <row r="184" spans="1:7" ht="21" customHeight="1">
      <c r="A184" s="845"/>
      <c r="B184" s="845"/>
      <c r="C184" s="844"/>
      <c r="D184" s="843"/>
      <c r="E184" s="842"/>
      <c r="F184" s="841"/>
      <c r="G184" s="841"/>
    </row>
    <row r="185" spans="1:7" ht="21" customHeight="1">
      <c r="A185" s="845"/>
      <c r="B185" s="845"/>
      <c r="C185" s="844"/>
      <c r="D185" s="843"/>
      <c r="E185" s="842"/>
      <c r="F185" s="841"/>
      <c r="G185" s="841"/>
    </row>
    <row r="186" spans="1:7" ht="21" customHeight="1">
      <c r="A186" s="845"/>
      <c r="B186" s="845"/>
      <c r="C186" s="844"/>
      <c r="D186" s="843"/>
      <c r="E186" s="842"/>
      <c r="F186" s="841"/>
      <c r="G186" s="841"/>
    </row>
    <row r="187" spans="1:7" ht="21" customHeight="1">
      <c r="A187" s="839"/>
      <c r="B187" s="839"/>
      <c r="C187" s="838"/>
      <c r="D187" s="822"/>
      <c r="E187" s="840"/>
    </row>
    <row r="188" spans="1:7" ht="21" customHeight="1">
      <c r="A188" s="839"/>
      <c r="B188" s="839"/>
      <c r="C188" s="838"/>
      <c r="D188" s="822"/>
      <c r="E188" s="840"/>
    </row>
    <row r="189" spans="1:7" ht="21" customHeight="1">
      <c r="A189" s="839"/>
      <c r="B189" s="839"/>
      <c r="C189" s="838"/>
      <c r="D189" s="822"/>
      <c r="E189" s="840"/>
    </row>
    <row r="190" spans="1:7" ht="21" customHeight="1">
      <c r="A190" s="839"/>
      <c r="B190" s="839"/>
      <c r="C190" s="838"/>
      <c r="D190" s="822"/>
      <c r="E190" s="840"/>
    </row>
    <row r="191" spans="1:7" ht="21" customHeight="1">
      <c r="A191" s="839"/>
      <c r="B191" s="839"/>
      <c r="C191" s="838"/>
      <c r="D191" s="822"/>
      <c r="E191" s="840"/>
    </row>
    <row r="192" spans="1:7" ht="21" customHeight="1">
      <c r="A192" s="839"/>
      <c r="B192" s="839"/>
      <c r="C192" s="838"/>
      <c r="D192" s="822"/>
      <c r="E192" s="840"/>
    </row>
    <row r="193" spans="1:5" ht="21" customHeight="1">
      <c r="A193" s="839"/>
      <c r="B193" s="839"/>
      <c r="C193" s="838"/>
      <c r="D193" s="822"/>
      <c r="E193" s="840"/>
    </row>
    <row r="194" spans="1:5" ht="21" customHeight="1">
      <c r="A194" s="839"/>
      <c r="B194" s="839"/>
      <c r="C194" s="838"/>
      <c r="D194" s="822"/>
      <c r="E194" s="840"/>
    </row>
    <row r="195" spans="1:5" ht="21" customHeight="1">
      <c r="A195" s="839"/>
      <c r="B195" s="839"/>
      <c r="C195" s="838"/>
      <c r="D195" s="822"/>
      <c r="E195" s="840"/>
    </row>
    <row r="196" spans="1:5" ht="21" customHeight="1">
      <c r="A196" s="839"/>
      <c r="B196" s="839"/>
      <c r="C196" s="838"/>
      <c r="D196" s="822"/>
      <c r="E196" s="840"/>
    </row>
    <row r="197" spans="1:5" ht="21" customHeight="1">
      <c r="A197" s="839"/>
      <c r="B197" s="839"/>
      <c r="C197" s="838"/>
      <c r="D197" s="822"/>
      <c r="E197" s="840"/>
    </row>
    <row r="198" spans="1:5" ht="21" customHeight="1">
      <c r="A198" s="839"/>
      <c r="B198" s="839"/>
      <c r="C198" s="838"/>
      <c r="D198" s="822"/>
      <c r="E198" s="840"/>
    </row>
    <row r="199" spans="1:5" ht="21" customHeight="1">
      <c r="A199" s="839"/>
      <c r="B199" s="839"/>
      <c r="C199" s="838"/>
      <c r="D199" s="822"/>
      <c r="E199" s="840"/>
    </row>
    <row r="200" spans="1:5" ht="21" customHeight="1">
      <c r="A200" s="839"/>
      <c r="B200" s="839"/>
      <c r="C200" s="838"/>
      <c r="D200" s="822"/>
      <c r="E200" s="840"/>
    </row>
    <row r="201" spans="1:5" ht="21" customHeight="1">
      <c r="A201" s="839"/>
      <c r="B201" s="839"/>
      <c r="C201" s="838"/>
      <c r="D201" s="822"/>
      <c r="E201" s="840"/>
    </row>
    <row r="202" spans="1:5" ht="21" customHeight="1">
      <c r="A202" s="839"/>
      <c r="B202" s="839"/>
      <c r="C202" s="838"/>
      <c r="D202" s="822"/>
      <c r="E202" s="840"/>
    </row>
    <row r="203" spans="1:5" ht="21" customHeight="1">
      <c r="A203" s="839"/>
      <c r="B203" s="839"/>
      <c r="C203" s="838"/>
      <c r="D203" s="822"/>
      <c r="E203" s="840"/>
    </row>
    <row r="204" spans="1:5" ht="21" customHeight="1">
      <c r="A204" s="839"/>
      <c r="B204" s="839"/>
      <c r="C204" s="838"/>
      <c r="D204" s="822"/>
      <c r="E204" s="840"/>
    </row>
    <row r="205" spans="1:5" ht="21" customHeight="1">
      <c r="A205" s="839"/>
      <c r="B205" s="839"/>
      <c r="C205" s="838"/>
      <c r="D205" s="822"/>
      <c r="E205" s="840"/>
    </row>
    <row r="206" spans="1:5" ht="21" customHeight="1">
      <c r="A206" s="839"/>
      <c r="B206" s="839"/>
      <c r="C206" s="838"/>
      <c r="D206" s="822"/>
      <c r="E206" s="840"/>
    </row>
    <row r="207" spans="1:5" ht="21" customHeight="1">
      <c r="A207" s="839"/>
      <c r="B207" s="839"/>
      <c r="C207" s="838"/>
      <c r="D207" s="822"/>
      <c r="E207" s="840"/>
    </row>
    <row r="208" spans="1:5" ht="21" customHeight="1">
      <c r="A208" s="839"/>
      <c r="B208" s="839"/>
      <c r="C208" s="838"/>
      <c r="D208" s="822"/>
      <c r="E208" s="840"/>
    </row>
    <row r="209" spans="1:5" ht="21" customHeight="1">
      <c r="A209" s="839"/>
      <c r="B209" s="839"/>
      <c r="C209" s="838"/>
      <c r="D209" s="822"/>
      <c r="E209" s="840"/>
    </row>
    <row r="210" spans="1:5" ht="21" customHeight="1">
      <c r="A210" s="839"/>
      <c r="B210" s="839"/>
      <c r="C210" s="838"/>
      <c r="D210" s="822"/>
      <c r="E210" s="840"/>
    </row>
    <row r="211" spans="1:5" ht="21" customHeight="1">
      <c r="A211" s="839"/>
      <c r="B211" s="839"/>
      <c r="C211" s="838"/>
      <c r="D211" s="822"/>
      <c r="E211" s="840"/>
    </row>
    <row r="212" spans="1:5" ht="21" customHeight="1">
      <c r="A212" s="839"/>
      <c r="B212" s="839"/>
      <c r="C212" s="838"/>
      <c r="D212" s="822"/>
      <c r="E212" s="840"/>
    </row>
    <row r="213" spans="1:5" ht="21" customHeight="1">
      <c r="A213" s="839"/>
      <c r="B213" s="839"/>
      <c r="C213" s="838"/>
      <c r="D213" s="822"/>
      <c r="E213" s="840"/>
    </row>
    <row r="214" spans="1:5" ht="21" customHeight="1">
      <c r="A214" s="839"/>
      <c r="B214" s="839"/>
      <c r="C214" s="838"/>
      <c r="D214" s="822"/>
      <c r="E214" s="840"/>
    </row>
    <row r="215" spans="1:5" ht="21" customHeight="1">
      <c r="A215" s="839"/>
      <c r="B215" s="839"/>
      <c r="C215" s="838"/>
      <c r="D215" s="822"/>
      <c r="E215" s="840"/>
    </row>
    <row r="216" spans="1:5" ht="21" customHeight="1">
      <c r="A216" s="839"/>
      <c r="B216" s="839"/>
      <c r="C216" s="838"/>
      <c r="D216" s="822"/>
      <c r="E216" s="840"/>
    </row>
    <row r="217" spans="1:5" ht="21" customHeight="1">
      <c r="A217" s="839"/>
      <c r="B217" s="839"/>
      <c r="C217" s="838"/>
      <c r="D217" s="822"/>
      <c r="E217" s="840"/>
    </row>
    <row r="218" spans="1:5" ht="21" customHeight="1">
      <c r="A218" s="839"/>
      <c r="B218" s="839"/>
      <c r="C218" s="838"/>
      <c r="D218" s="822"/>
      <c r="E218" s="840"/>
    </row>
    <row r="219" spans="1:5" ht="21" customHeight="1">
      <c r="A219" s="839"/>
      <c r="B219" s="839"/>
      <c r="C219" s="838"/>
      <c r="D219" s="822"/>
      <c r="E219" s="840"/>
    </row>
    <row r="220" spans="1:5" ht="21" customHeight="1">
      <c r="A220" s="839"/>
      <c r="B220" s="839"/>
      <c r="C220" s="838"/>
      <c r="D220" s="822"/>
      <c r="E220" s="840"/>
    </row>
    <row r="221" spans="1:5" ht="21" customHeight="1">
      <c r="A221" s="839"/>
      <c r="B221" s="839"/>
      <c r="C221" s="838"/>
      <c r="D221" s="822"/>
      <c r="E221" s="840"/>
    </row>
    <row r="222" spans="1:5" ht="21" customHeight="1">
      <c r="A222" s="839"/>
      <c r="B222" s="839"/>
      <c r="C222" s="838"/>
      <c r="D222" s="822"/>
      <c r="E222" s="840"/>
    </row>
    <row r="223" spans="1:5" ht="21" customHeight="1">
      <c r="A223" s="839"/>
      <c r="B223" s="839"/>
      <c r="C223" s="838"/>
      <c r="D223" s="822"/>
      <c r="E223" s="840"/>
    </row>
    <row r="224" spans="1:5" ht="21" customHeight="1">
      <c r="A224" s="839"/>
      <c r="B224" s="839"/>
      <c r="C224" s="838"/>
      <c r="D224" s="822"/>
      <c r="E224" s="840"/>
    </row>
    <row r="225" spans="1:5" ht="21" customHeight="1">
      <c r="A225" s="839"/>
      <c r="B225" s="839"/>
      <c r="C225" s="838"/>
      <c r="D225" s="822"/>
      <c r="E225" s="840"/>
    </row>
    <row r="226" spans="1:5" ht="21" customHeight="1">
      <c r="A226" s="839"/>
      <c r="B226" s="839"/>
      <c r="C226" s="838"/>
      <c r="D226" s="822"/>
      <c r="E226" s="840"/>
    </row>
    <row r="227" spans="1:5" ht="21" customHeight="1">
      <c r="A227" s="839"/>
      <c r="B227" s="839"/>
      <c r="C227" s="838"/>
      <c r="D227" s="822"/>
      <c r="E227" s="840"/>
    </row>
    <row r="228" spans="1:5" ht="21" customHeight="1">
      <c r="A228" s="839"/>
      <c r="B228" s="839"/>
      <c r="C228" s="838"/>
      <c r="D228" s="822"/>
      <c r="E228" s="840"/>
    </row>
    <row r="229" spans="1:5" ht="21" customHeight="1">
      <c r="A229" s="839"/>
      <c r="B229" s="839"/>
      <c r="C229" s="838"/>
      <c r="D229" s="822"/>
      <c r="E229" s="840"/>
    </row>
    <row r="230" spans="1:5" ht="21" customHeight="1">
      <c r="A230" s="839"/>
      <c r="B230" s="839"/>
      <c r="C230" s="838"/>
      <c r="D230" s="822"/>
      <c r="E230" s="840"/>
    </row>
    <row r="231" spans="1:5" ht="21" customHeight="1">
      <c r="A231" s="839"/>
      <c r="B231" s="839"/>
      <c r="C231" s="838"/>
      <c r="D231" s="822"/>
      <c r="E231" s="840"/>
    </row>
    <row r="232" spans="1:5" ht="21" customHeight="1">
      <c r="A232" s="839"/>
      <c r="B232" s="839"/>
      <c r="C232" s="838"/>
      <c r="D232" s="822"/>
      <c r="E232" s="840"/>
    </row>
    <row r="233" spans="1:5" ht="21" customHeight="1">
      <c r="A233" s="839"/>
      <c r="B233" s="839"/>
      <c r="C233" s="838"/>
      <c r="D233" s="822"/>
      <c r="E233" s="840"/>
    </row>
    <row r="234" spans="1:5" ht="21" customHeight="1">
      <c r="A234" s="839"/>
      <c r="B234" s="839"/>
      <c r="C234" s="838"/>
      <c r="D234" s="822"/>
      <c r="E234" s="840"/>
    </row>
    <row r="235" spans="1:5" ht="21" customHeight="1">
      <c r="A235" s="839"/>
      <c r="B235" s="839"/>
      <c r="C235" s="838"/>
      <c r="D235" s="822"/>
      <c r="E235" s="840"/>
    </row>
    <row r="236" spans="1:5" ht="21" customHeight="1">
      <c r="A236" s="839"/>
      <c r="B236" s="839"/>
      <c r="C236" s="838"/>
      <c r="D236" s="822"/>
      <c r="E236" s="840"/>
    </row>
    <row r="237" spans="1:5" ht="21" customHeight="1">
      <c r="A237" s="839"/>
      <c r="B237" s="839"/>
      <c r="C237" s="838"/>
      <c r="D237" s="822"/>
      <c r="E237" s="840"/>
    </row>
    <row r="238" spans="1:5" ht="21" customHeight="1">
      <c r="A238" s="839"/>
      <c r="B238" s="839"/>
      <c r="C238" s="838"/>
      <c r="D238" s="822"/>
      <c r="E238" s="840"/>
    </row>
    <row r="239" spans="1:5" ht="21" customHeight="1">
      <c r="A239" s="839"/>
      <c r="B239" s="839"/>
      <c r="C239" s="838"/>
      <c r="D239" s="822"/>
      <c r="E239" s="840"/>
    </row>
    <row r="240" spans="1:5" ht="21" customHeight="1">
      <c r="A240" s="839"/>
      <c r="B240" s="839"/>
      <c r="C240" s="838"/>
      <c r="D240" s="822"/>
      <c r="E240" s="840"/>
    </row>
    <row r="241" spans="1:5" ht="21" customHeight="1">
      <c r="A241" s="839"/>
      <c r="B241" s="839"/>
      <c r="C241" s="838"/>
      <c r="D241" s="822"/>
      <c r="E241" s="840"/>
    </row>
    <row r="242" spans="1:5" ht="21" customHeight="1">
      <c r="A242" s="839"/>
      <c r="B242" s="839"/>
      <c r="C242" s="838"/>
      <c r="D242" s="822"/>
      <c r="E242" s="840"/>
    </row>
    <row r="243" spans="1:5" ht="21" customHeight="1">
      <c r="A243" s="839"/>
      <c r="B243" s="839"/>
      <c r="C243" s="838"/>
      <c r="D243" s="822"/>
      <c r="E243" s="840"/>
    </row>
    <row r="244" spans="1:5" ht="21" customHeight="1">
      <c r="A244" s="839"/>
      <c r="B244" s="839"/>
      <c r="C244" s="838"/>
      <c r="D244" s="822"/>
      <c r="E244" s="840"/>
    </row>
    <row r="245" spans="1:5" ht="21" customHeight="1">
      <c r="A245" s="839"/>
      <c r="B245" s="839"/>
      <c r="C245" s="838"/>
      <c r="D245" s="822"/>
      <c r="E245" s="840"/>
    </row>
    <row r="246" spans="1:5" ht="21" customHeight="1">
      <c r="A246" s="839"/>
      <c r="B246" s="839"/>
      <c r="C246" s="838"/>
      <c r="D246" s="822"/>
      <c r="E246" s="840"/>
    </row>
    <row r="247" spans="1:5" ht="21" customHeight="1">
      <c r="A247" s="839"/>
      <c r="B247" s="839"/>
      <c r="C247" s="838"/>
      <c r="D247" s="822"/>
      <c r="E247" s="840"/>
    </row>
    <row r="248" spans="1:5" ht="21" customHeight="1">
      <c r="A248" s="839"/>
      <c r="B248" s="839"/>
      <c r="C248" s="838"/>
      <c r="D248" s="822"/>
      <c r="E248" s="840"/>
    </row>
    <row r="249" spans="1:5" ht="21" customHeight="1">
      <c r="A249" s="839"/>
      <c r="B249" s="839"/>
      <c r="C249" s="838"/>
      <c r="D249" s="822"/>
      <c r="E249" s="840"/>
    </row>
    <row r="250" spans="1:5" ht="21" customHeight="1">
      <c r="A250" s="839"/>
      <c r="B250" s="839"/>
      <c r="C250" s="838"/>
      <c r="D250" s="822"/>
      <c r="E250" s="840"/>
    </row>
    <row r="251" spans="1:5" ht="21" customHeight="1">
      <c r="A251" s="839"/>
      <c r="B251" s="839"/>
      <c r="C251" s="838"/>
      <c r="D251" s="822"/>
      <c r="E251" s="840"/>
    </row>
    <row r="252" spans="1:5" ht="21" customHeight="1">
      <c r="A252" s="839"/>
      <c r="B252" s="839"/>
      <c r="C252" s="838"/>
      <c r="D252" s="822"/>
      <c r="E252" s="840"/>
    </row>
    <row r="253" spans="1:5" ht="21" customHeight="1">
      <c r="A253" s="839"/>
      <c r="B253" s="839"/>
      <c r="C253" s="838"/>
      <c r="D253" s="822"/>
      <c r="E253" s="840"/>
    </row>
    <row r="254" spans="1:5" ht="21" customHeight="1">
      <c r="A254" s="839"/>
      <c r="B254" s="839"/>
      <c r="C254" s="838"/>
      <c r="D254" s="822"/>
      <c r="E254" s="840"/>
    </row>
    <row r="255" spans="1:5" ht="21" customHeight="1">
      <c r="A255" s="839"/>
      <c r="B255" s="839"/>
      <c r="C255" s="838"/>
      <c r="D255" s="822"/>
      <c r="E255" s="840"/>
    </row>
    <row r="256" spans="1:5" ht="21" customHeight="1">
      <c r="A256" s="839"/>
      <c r="B256" s="839"/>
      <c r="C256" s="838"/>
      <c r="D256" s="822"/>
      <c r="E256" s="840"/>
    </row>
    <row r="257" spans="1:5" ht="21" customHeight="1">
      <c r="A257" s="839"/>
      <c r="B257" s="839"/>
      <c r="C257" s="838"/>
      <c r="D257" s="822"/>
      <c r="E257" s="840"/>
    </row>
    <row r="258" spans="1:5" ht="21" customHeight="1">
      <c r="A258" s="839"/>
      <c r="B258" s="839"/>
      <c r="C258" s="838"/>
      <c r="D258" s="822"/>
      <c r="E258" s="840"/>
    </row>
    <row r="259" spans="1:5" ht="21" customHeight="1">
      <c r="A259" s="839"/>
      <c r="B259" s="839"/>
      <c r="C259" s="838"/>
      <c r="D259" s="822"/>
      <c r="E259" s="840"/>
    </row>
    <row r="260" spans="1:5" ht="21" customHeight="1">
      <c r="A260" s="839"/>
      <c r="B260" s="839"/>
      <c r="C260" s="838"/>
      <c r="D260" s="822"/>
      <c r="E260" s="840"/>
    </row>
    <row r="261" spans="1:5" ht="21" customHeight="1">
      <c r="A261" s="839"/>
      <c r="B261" s="839"/>
      <c r="C261" s="838"/>
    </row>
    <row r="262" spans="1:5" ht="21" customHeight="1">
      <c r="A262" s="839"/>
      <c r="B262" s="839"/>
      <c r="C262" s="838"/>
    </row>
    <row r="263" spans="1:5" ht="21" customHeight="1">
      <c r="A263" s="839"/>
      <c r="B263" s="839"/>
      <c r="C263" s="838"/>
    </row>
    <row r="264" spans="1:5" ht="21" customHeight="1">
      <c r="A264" s="839"/>
      <c r="B264" s="839"/>
      <c r="C264" s="838"/>
      <c r="E264" s="835"/>
    </row>
    <row r="265" spans="1:5" ht="21" customHeight="1">
      <c r="A265" s="839"/>
      <c r="B265" s="839"/>
      <c r="C265" s="838"/>
      <c r="E265" s="835"/>
    </row>
    <row r="266" spans="1:5" ht="21" customHeight="1">
      <c r="A266" s="839"/>
      <c r="B266" s="839"/>
      <c r="C266" s="838"/>
      <c r="E266" s="835"/>
    </row>
    <row r="267" spans="1:5" ht="21" customHeight="1">
      <c r="A267" s="839"/>
      <c r="B267" s="839"/>
      <c r="C267" s="838"/>
      <c r="E267" s="835"/>
    </row>
    <row r="268" spans="1:5" ht="21" customHeight="1">
      <c r="A268" s="839"/>
      <c r="B268" s="839"/>
      <c r="C268" s="838"/>
      <c r="E268" s="835"/>
    </row>
    <row r="269" spans="1:5" ht="21" customHeight="1">
      <c r="A269" s="839"/>
      <c r="B269" s="839"/>
      <c r="C269" s="838"/>
      <c r="E269" s="835"/>
    </row>
    <row r="270" spans="1:5" ht="21" customHeight="1">
      <c r="A270" s="839"/>
      <c r="B270" s="839"/>
      <c r="C270" s="838"/>
      <c r="E270" s="835"/>
    </row>
    <row r="271" spans="1:5" ht="21" customHeight="1">
      <c r="A271" s="839"/>
      <c r="B271" s="839"/>
      <c r="C271" s="838"/>
      <c r="E271" s="835"/>
    </row>
    <row r="272" spans="1:5" ht="21" customHeight="1">
      <c r="A272" s="839"/>
      <c r="B272" s="839"/>
      <c r="C272" s="838"/>
      <c r="E272" s="835"/>
    </row>
    <row r="273" spans="1:5" ht="21" customHeight="1">
      <c r="A273" s="839"/>
      <c r="B273" s="839"/>
      <c r="C273" s="838"/>
      <c r="E273" s="835"/>
    </row>
    <row r="274" spans="1:5" ht="21" customHeight="1">
      <c r="A274" s="839"/>
      <c r="B274" s="839"/>
      <c r="C274" s="838"/>
      <c r="E274" s="835"/>
    </row>
    <row r="275" spans="1:5" ht="21" customHeight="1">
      <c r="A275" s="839"/>
      <c r="B275" s="839"/>
      <c r="C275" s="838"/>
      <c r="E275" s="835"/>
    </row>
    <row r="276" spans="1:5" ht="21" customHeight="1">
      <c r="A276" s="839"/>
      <c r="B276" s="839"/>
      <c r="C276" s="838"/>
      <c r="E276" s="835"/>
    </row>
    <row r="277" spans="1:5" ht="21" customHeight="1">
      <c r="A277" s="839"/>
      <c r="B277" s="839"/>
      <c r="C277" s="838"/>
      <c r="E277" s="835"/>
    </row>
    <row r="278" spans="1:5" ht="21" customHeight="1">
      <c r="A278" s="839"/>
      <c r="B278" s="839"/>
      <c r="C278" s="838"/>
      <c r="E278" s="835"/>
    </row>
    <row r="279" spans="1:5" ht="21" customHeight="1">
      <c r="A279" s="839"/>
      <c r="B279" s="839"/>
      <c r="C279" s="838"/>
      <c r="E279" s="835"/>
    </row>
    <row r="280" spans="1:5" ht="21" customHeight="1">
      <c r="A280" s="839"/>
      <c r="B280" s="839"/>
      <c r="C280" s="838"/>
      <c r="E280" s="835"/>
    </row>
    <row r="281" spans="1:5" ht="21" customHeight="1">
      <c r="A281" s="839"/>
      <c r="B281" s="839"/>
      <c r="C281" s="838"/>
      <c r="E281" s="835"/>
    </row>
    <row r="282" spans="1:5" ht="21" customHeight="1">
      <c r="A282" s="839"/>
      <c r="B282" s="839"/>
      <c r="C282" s="838"/>
      <c r="E282" s="835"/>
    </row>
    <row r="283" spans="1:5" ht="21" customHeight="1">
      <c r="A283" s="839"/>
      <c r="B283" s="839"/>
      <c r="C283" s="838"/>
      <c r="E283" s="835"/>
    </row>
    <row r="284" spans="1:5" ht="21" customHeight="1">
      <c r="A284" s="839"/>
      <c r="B284" s="839"/>
      <c r="C284" s="838"/>
      <c r="E284" s="835"/>
    </row>
    <row r="285" spans="1:5" ht="21" customHeight="1">
      <c r="A285" s="839"/>
      <c r="B285" s="839"/>
      <c r="C285" s="838"/>
      <c r="E285" s="835"/>
    </row>
    <row r="286" spans="1:5" ht="21" customHeight="1">
      <c r="A286" s="839"/>
      <c r="B286" s="839"/>
      <c r="C286" s="838"/>
      <c r="E286" s="835"/>
    </row>
    <row r="287" spans="1:5" ht="21" customHeight="1">
      <c r="A287" s="839"/>
      <c r="B287" s="839"/>
      <c r="C287" s="838"/>
      <c r="E287" s="835"/>
    </row>
    <row r="288" spans="1:5" ht="21" customHeight="1">
      <c r="A288" s="839"/>
      <c r="B288" s="839"/>
      <c r="C288" s="838"/>
      <c r="E288" s="835"/>
    </row>
    <row r="289" spans="1:5" ht="21" customHeight="1">
      <c r="A289" s="839"/>
      <c r="B289" s="839"/>
      <c r="C289" s="838"/>
      <c r="E289" s="835"/>
    </row>
    <row r="290" spans="1:5" ht="21" customHeight="1">
      <c r="A290" s="839"/>
      <c r="B290" s="839"/>
      <c r="C290" s="838"/>
      <c r="E290" s="835"/>
    </row>
    <row r="291" spans="1:5" ht="21" customHeight="1">
      <c r="A291" s="839"/>
      <c r="B291" s="839"/>
      <c r="C291" s="838"/>
      <c r="E291" s="835"/>
    </row>
    <row r="292" spans="1:5" ht="21" customHeight="1">
      <c r="A292" s="839"/>
      <c r="B292" s="839"/>
      <c r="C292" s="838"/>
      <c r="E292" s="835"/>
    </row>
    <row r="293" spans="1:5" ht="21" customHeight="1">
      <c r="A293" s="839"/>
      <c r="B293" s="839"/>
      <c r="C293" s="838"/>
      <c r="E293" s="835"/>
    </row>
    <row r="294" spans="1:5" ht="21" customHeight="1">
      <c r="A294" s="839"/>
      <c r="B294" s="839"/>
      <c r="C294" s="838"/>
      <c r="E294" s="835"/>
    </row>
    <row r="295" spans="1:5" ht="21" customHeight="1">
      <c r="A295" s="839"/>
      <c r="B295" s="839"/>
      <c r="C295" s="838"/>
      <c r="E295" s="835"/>
    </row>
    <row r="296" spans="1:5" ht="21" customHeight="1">
      <c r="A296" s="839"/>
      <c r="B296" s="839"/>
      <c r="C296" s="838"/>
      <c r="E296" s="835"/>
    </row>
    <row r="297" spans="1:5" ht="21" customHeight="1">
      <c r="A297" s="839"/>
      <c r="B297" s="839"/>
      <c r="C297" s="838"/>
      <c r="E297" s="835"/>
    </row>
    <row r="298" spans="1:5" ht="21" customHeight="1">
      <c r="A298" s="839"/>
      <c r="B298" s="839"/>
      <c r="C298" s="838"/>
      <c r="E298" s="835"/>
    </row>
    <row r="299" spans="1:5" ht="21" customHeight="1">
      <c r="A299" s="839"/>
      <c r="B299" s="839"/>
      <c r="C299" s="838"/>
      <c r="E299" s="835"/>
    </row>
    <row r="300" spans="1:5" ht="21" customHeight="1">
      <c r="A300" s="839"/>
      <c r="B300" s="839"/>
      <c r="C300" s="838"/>
      <c r="E300" s="835"/>
    </row>
    <row r="301" spans="1:5" ht="21" customHeight="1">
      <c r="A301" s="839"/>
      <c r="B301" s="839"/>
      <c r="C301" s="838"/>
      <c r="E301" s="835"/>
    </row>
    <row r="302" spans="1:5" ht="21" customHeight="1">
      <c r="A302" s="839"/>
      <c r="B302" s="839"/>
      <c r="C302" s="838"/>
      <c r="E302" s="835"/>
    </row>
    <row r="303" spans="1:5" ht="21" customHeight="1">
      <c r="A303" s="839"/>
      <c r="B303" s="839"/>
      <c r="C303" s="838"/>
      <c r="E303" s="835"/>
    </row>
    <row r="304" spans="1:5" ht="21" customHeight="1">
      <c r="A304" s="839"/>
      <c r="B304" s="839"/>
      <c r="C304" s="838"/>
      <c r="E304" s="835"/>
    </row>
    <row r="305" spans="1:5" ht="21" customHeight="1">
      <c r="A305" s="839"/>
      <c r="B305" s="839"/>
      <c r="C305" s="838"/>
      <c r="E305" s="835"/>
    </row>
    <row r="306" spans="1:5" ht="21" customHeight="1">
      <c r="A306" s="839"/>
      <c r="B306" s="839"/>
      <c r="C306" s="838"/>
      <c r="E306" s="835"/>
    </row>
    <row r="307" spans="1:5" ht="21" customHeight="1">
      <c r="A307" s="839"/>
      <c r="B307" s="839"/>
      <c r="C307" s="838"/>
      <c r="E307" s="835"/>
    </row>
    <row r="308" spans="1:5" ht="21" customHeight="1">
      <c r="A308" s="839"/>
      <c r="B308" s="839"/>
      <c r="C308" s="838"/>
      <c r="E308" s="835"/>
    </row>
    <row r="309" spans="1:5" ht="21" customHeight="1">
      <c r="A309" s="839"/>
      <c r="B309" s="839"/>
      <c r="C309" s="838"/>
      <c r="E309" s="835"/>
    </row>
    <row r="310" spans="1:5" ht="21" customHeight="1">
      <c r="A310" s="839"/>
      <c r="B310" s="839"/>
      <c r="C310" s="838"/>
      <c r="E310" s="835"/>
    </row>
    <row r="311" spans="1:5" ht="21" customHeight="1">
      <c r="A311" s="839"/>
      <c r="B311" s="839"/>
      <c r="C311" s="838"/>
      <c r="E311" s="835"/>
    </row>
    <row r="312" spans="1:5" ht="21" customHeight="1">
      <c r="A312" s="839"/>
      <c r="B312" s="839"/>
      <c r="C312" s="838"/>
      <c r="E312" s="835"/>
    </row>
    <row r="313" spans="1:5" ht="21" customHeight="1">
      <c r="A313" s="839"/>
      <c r="B313" s="839"/>
      <c r="C313" s="838"/>
      <c r="E313" s="835"/>
    </row>
    <row r="314" spans="1:5" ht="21" customHeight="1">
      <c r="A314" s="839"/>
      <c r="B314" s="839"/>
      <c r="C314" s="838"/>
      <c r="E314" s="835"/>
    </row>
    <row r="315" spans="1:5" ht="21" customHeight="1">
      <c r="A315" s="839"/>
      <c r="B315" s="839"/>
      <c r="C315" s="838"/>
      <c r="E315" s="835"/>
    </row>
    <row r="316" spans="1:5" ht="21" customHeight="1">
      <c r="A316" s="839"/>
      <c r="B316" s="839"/>
      <c r="C316" s="838"/>
      <c r="E316" s="835"/>
    </row>
    <row r="317" spans="1:5" ht="21" customHeight="1">
      <c r="A317" s="839"/>
      <c r="B317" s="839"/>
      <c r="C317" s="838"/>
      <c r="E317" s="835"/>
    </row>
    <row r="318" spans="1:5" ht="21" customHeight="1">
      <c r="A318" s="839"/>
      <c r="B318" s="839"/>
      <c r="C318" s="838"/>
      <c r="E318" s="835"/>
    </row>
    <row r="319" spans="1:5" ht="21" customHeight="1">
      <c r="A319" s="839"/>
      <c r="B319" s="839"/>
      <c r="C319" s="838"/>
      <c r="E319" s="835"/>
    </row>
    <row r="320" spans="1:5" ht="21" customHeight="1">
      <c r="A320" s="839"/>
      <c r="B320" s="839"/>
      <c r="C320" s="838"/>
      <c r="E320" s="835"/>
    </row>
    <row r="321" spans="1:5" ht="21" customHeight="1">
      <c r="A321" s="839"/>
      <c r="B321" s="839"/>
      <c r="C321" s="838"/>
      <c r="E321" s="835"/>
    </row>
    <row r="322" spans="1:5" ht="21" customHeight="1">
      <c r="A322" s="839"/>
      <c r="B322" s="839"/>
      <c r="C322" s="838"/>
      <c r="E322" s="835"/>
    </row>
    <row r="323" spans="1:5" ht="21" customHeight="1">
      <c r="A323" s="839"/>
      <c r="B323" s="839"/>
      <c r="C323" s="838"/>
      <c r="E323" s="835"/>
    </row>
    <row r="324" spans="1:5" ht="21" customHeight="1">
      <c r="A324" s="839"/>
      <c r="B324" s="839"/>
      <c r="C324" s="838"/>
      <c r="E324" s="835"/>
    </row>
    <row r="325" spans="1:5" ht="21" customHeight="1">
      <c r="A325" s="839"/>
      <c r="B325" s="839"/>
      <c r="C325" s="838"/>
      <c r="E325" s="835"/>
    </row>
    <row r="326" spans="1:5" ht="21" customHeight="1">
      <c r="A326" s="839"/>
      <c r="B326" s="839"/>
      <c r="C326" s="838"/>
      <c r="E326" s="835"/>
    </row>
    <row r="327" spans="1:5" ht="21" customHeight="1">
      <c r="A327" s="839"/>
      <c r="B327" s="839"/>
      <c r="C327" s="838"/>
      <c r="E327" s="835"/>
    </row>
    <row r="328" spans="1:5" ht="21" customHeight="1">
      <c r="A328" s="839"/>
      <c r="B328" s="839"/>
      <c r="C328" s="838"/>
      <c r="E328" s="835"/>
    </row>
    <row r="329" spans="1:5" ht="21" customHeight="1">
      <c r="A329" s="839"/>
      <c r="B329" s="839"/>
      <c r="C329" s="838"/>
      <c r="E329" s="835"/>
    </row>
    <row r="330" spans="1:5" ht="21" customHeight="1">
      <c r="A330" s="839"/>
      <c r="B330" s="839"/>
      <c r="C330" s="838"/>
      <c r="E330" s="835"/>
    </row>
    <row r="331" spans="1:5" ht="21" customHeight="1">
      <c r="A331" s="839"/>
      <c r="B331" s="839"/>
      <c r="C331" s="838"/>
      <c r="E331" s="835"/>
    </row>
    <row r="332" spans="1:5" ht="21" customHeight="1">
      <c r="A332" s="839"/>
      <c r="B332" s="839"/>
      <c r="C332" s="838"/>
      <c r="E332" s="835"/>
    </row>
    <row r="333" spans="1:5" ht="21" customHeight="1">
      <c r="A333" s="839"/>
      <c r="B333" s="839"/>
      <c r="C333" s="838"/>
      <c r="E333" s="835"/>
    </row>
    <row r="334" spans="1:5" ht="21" customHeight="1">
      <c r="A334" s="839"/>
      <c r="B334" s="839"/>
      <c r="C334" s="838"/>
      <c r="E334" s="835"/>
    </row>
    <row r="335" spans="1:5" ht="21" customHeight="1">
      <c r="A335" s="839"/>
      <c r="B335" s="839"/>
      <c r="C335" s="838"/>
      <c r="E335" s="835"/>
    </row>
    <row r="336" spans="1:5" ht="21" customHeight="1">
      <c r="A336" s="839"/>
      <c r="B336" s="839"/>
      <c r="C336" s="838"/>
      <c r="E336" s="835"/>
    </row>
    <row r="337" spans="1:5" ht="21" customHeight="1">
      <c r="A337" s="839"/>
      <c r="B337" s="839"/>
      <c r="C337" s="838"/>
      <c r="E337" s="835"/>
    </row>
    <row r="338" spans="1:5" ht="21" customHeight="1">
      <c r="A338" s="839"/>
      <c r="B338" s="839"/>
      <c r="C338" s="838"/>
      <c r="E338" s="835"/>
    </row>
    <row r="339" spans="1:5" ht="21" customHeight="1">
      <c r="A339" s="839"/>
      <c r="B339" s="839"/>
      <c r="C339" s="838"/>
      <c r="E339" s="835"/>
    </row>
    <row r="340" spans="1:5" ht="21" customHeight="1">
      <c r="A340" s="839"/>
      <c r="B340" s="839"/>
      <c r="C340" s="838"/>
      <c r="E340" s="835"/>
    </row>
    <row r="341" spans="1:5" ht="21" customHeight="1">
      <c r="A341" s="839"/>
      <c r="B341" s="839"/>
      <c r="C341" s="838"/>
      <c r="E341" s="835"/>
    </row>
    <row r="342" spans="1:5" ht="21" customHeight="1">
      <c r="A342" s="839"/>
      <c r="B342" s="839"/>
      <c r="C342" s="838"/>
      <c r="E342" s="835"/>
    </row>
    <row r="343" spans="1:5" ht="21" customHeight="1">
      <c r="A343" s="839"/>
      <c r="B343" s="839"/>
      <c r="C343" s="838"/>
      <c r="E343" s="835"/>
    </row>
    <row r="344" spans="1:5" ht="21" customHeight="1">
      <c r="A344" s="839"/>
      <c r="B344" s="839"/>
      <c r="C344" s="838"/>
      <c r="E344" s="835"/>
    </row>
    <row r="345" spans="1:5" ht="21" customHeight="1">
      <c r="A345" s="839"/>
      <c r="B345" s="839"/>
      <c r="C345" s="838"/>
      <c r="E345" s="835"/>
    </row>
    <row r="346" spans="1:5" ht="21" customHeight="1">
      <c r="A346" s="839"/>
      <c r="B346" s="839"/>
      <c r="C346" s="838"/>
      <c r="E346" s="835"/>
    </row>
    <row r="347" spans="1:5" ht="21" customHeight="1">
      <c r="A347" s="839"/>
      <c r="B347" s="839"/>
      <c r="C347" s="838"/>
      <c r="E347" s="835"/>
    </row>
    <row r="348" spans="1:5" ht="21" customHeight="1">
      <c r="A348" s="839"/>
      <c r="B348" s="839"/>
      <c r="C348" s="838"/>
      <c r="E348" s="835"/>
    </row>
    <row r="349" spans="1:5" ht="21" customHeight="1">
      <c r="A349" s="839"/>
      <c r="B349" s="839"/>
      <c r="C349" s="838"/>
      <c r="E349" s="835"/>
    </row>
    <row r="350" spans="1:5" ht="21" customHeight="1">
      <c r="A350" s="839"/>
      <c r="B350" s="839"/>
      <c r="C350" s="838"/>
      <c r="E350" s="835"/>
    </row>
    <row r="351" spans="1:5" ht="21" customHeight="1">
      <c r="A351" s="839"/>
      <c r="B351" s="839"/>
      <c r="C351" s="838"/>
      <c r="E351" s="835"/>
    </row>
    <row r="352" spans="1:5" ht="21" customHeight="1">
      <c r="A352" s="839"/>
      <c r="B352" s="839"/>
      <c r="C352" s="838"/>
      <c r="E352" s="835"/>
    </row>
    <row r="353" spans="1:5" ht="21" customHeight="1">
      <c r="A353" s="839"/>
      <c r="B353" s="839"/>
      <c r="C353" s="838"/>
      <c r="E353" s="835"/>
    </row>
    <row r="354" spans="1:5" ht="21" customHeight="1">
      <c r="A354" s="839"/>
      <c r="B354" s="839"/>
      <c r="C354" s="838"/>
      <c r="E354" s="835"/>
    </row>
    <row r="355" spans="1:5" ht="21" customHeight="1">
      <c r="A355" s="839"/>
      <c r="B355" s="839"/>
      <c r="C355" s="838"/>
      <c r="E355" s="835"/>
    </row>
    <row r="356" spans="1:5" ht="21" customHeight="1">
      <c r="A356" s="839"/>
      <c r="B356" s="839"/>
      <c r="C356" s="838"/>
      <c r="E356" s="835"/>
    </row>
    <row r="357" spans="1:5" ht="21" customHeight="1">
      <c r="A357" s="839"/>
      <c r="B357" s="839"/>
      <c r="C357" s="838"/>
      <c r="E357" s="835"/>
    </row>
    <row r="358" spans="1:5" ht="21" customHeight="1">
      <c r="A358" s="839"/>
      <c r="B358" s="839"/>
      <c r="C358" s="838"/>
      <c r="E358" s="835"/>
    </row>
    <row r="359" spans="1:5" ht="21" customHeight="1">
      <c r="A359" s="839"/>
      <c r="B359" s="839"/>
      <c r="C359" s="838"/>
      <c r="E359" s="835"/>
    </row>
    <row r="360" spans="1:5" ht="21" customHeight="1">
      <c r="A360" s="839"/>
      <c r="B360" s="839"/>
      <c r="C360" s="838"/>
      <c r="E360" s="835"/>
    </row>
    <row r="361" spans="1:5" ht="21" customHeight="1">
      <c r="A361" s="839"/>
      <c r="B361" s="839"/>
      <c r="C361" s="838"/>
      <c r="E361" s="835"/>
    </row>
    <row r="362" spans="1:5" ht="21" customHeight="1">
      <c r="A362" s="839"/>
      <c r="B362" s="839"/>
      <c r="C362" s="838"/>
      <c r="E362" s="835"/>
    </row>
    <row r="363" spans="1:5" ht="21" customHeight="1">
      <c r="A363" s="839"/>
      <c r="B363" s="839"/>
      <c r="C363" s="838"/>
      <c r="E363" s="835"/>
    </row>
    <row r="364" spans="1:5" ht="21" customHeight="1">
      <c r="A364" s="839"/>
      <c r="B364" s="839"/>
      <c r="C364" s="838"/>
      <c r="E364" s="835"/>
    </row>
    <row r="365" spans="1:5" ht="21" customHeight="1">
      <c r="A365" s="839"/>
      <c r="B365" s="839"/>
      <c r="C365" s="838"/>
      <c r="E365" s="835"/>
    </row>
    <row r="366" spans="1:5" ht="21" customHeight="1">
      <c r="A366" s="839"/>
      <c r="B366" s="839"/>
      <c r="C366" s="838"/>
      <c r="E366" s="835"/>
    </row>
    <row r="367" spans="1:5" ht="21" customHeight="1">
      <c r="A367" s="839"/>
      <c r="B367" s="839"/>
      <c r="C367" s="838"/>
      <c r="E367" s="835"/>
    </row>
    <row r="368" spans="1:5" ht="21" customHeight="1">
      <c r="A368" s="839"/>
      <c r="B368" s="839"/>
      <c r="C368" s="838"/>
      <c r="E368" s="835"/>
    </row>
    <row r="369" spans="1:5" ht="21" customHeight="1">
      <c r="A369" s="839"/>
      <c r="B369" s="839"/>
      <c r="C369" s="838"/>
      <c r="E369" s="835"/>
    </row>
    <row r="370" spans="1:5" ht="21" customHeight="1">
      <c r="A370" s="839"/>
      <c r="B370" s="839"/>
      <c r="C370" s="838"/>
      <c r="E370" s="835"/>
    </row>
    <row r="371" spans="1:5" ht="21" customHeight="1">
      <c r="A371" s="839"/>
      <c r="B371" s="839"/>
      <c r="C371" s="838"/>
      <c r="E371" s="835"/>
    </row>
    <row r="372" spans="1:5" ht="21" customHeight="1">
      <c r="A372" s="839"/>
      <c r="B372" s="839"/>
      <c r="C372" s="838"/>
      <c r="E372" s="835"/>
    </row>
    <row r="373" spans="1:5" ht="21" customHeight="1">
      <c r="A373" s="839"/>
      <c r="B373" s="839"/>
      <c r="C373" s="838"/>
      <c r="E373" s="835"/>
    </row>
    <row r="374" spans="1:5" ht="21" customHeight="1">
      <c r="A374" s="839"/>
      <c r="B374" s="839"/>
      <c r="C374" s="838"/>
      <c r="E374" s="835"/>
    </row>
    <row r="375" spans="1:5" ht="21" customHeight="1">
      <c r="A375" s="839"/>
      <c r="B375" s="839"/>
      <c r="C375" s="838"/>
      <c r="E375" s="835"/>
    </row>
    <row r="376" spans="1:5" ht="21" customHeight="1">
      <c r="A376" s="839"/>
      <c r="B376" s="839"/>
      <c r="C376" s="838"/>
      <c r="E376" s="835"/>
    </row>
    <row r="377" spans="1:5" ht="21" customHeight="1">
      <c r="A377" s="839"/>
      <c r="B377" s="839"/>
      <c r="C377" s="838"/>
      <c r="E377" s="835"/>
    </row>
    <row r="378" spans="1:5" ht="21" customHeight="1">
      <c r="A378" s="839"/>
      <c r="B378" s="839"/>
      <c r="C378" s="838"/>
      <c r="E378" s="835"/>
    </row>
    <row r="379" spans="1:5" ht="21" customHeight="1">
      <c r="A379" s="839"/>
      <c r="B379" s="839"/>
      <c r="C379" s="838"/>
      <c r="E379" s="835"/>
    </row>
    <row r="380" spans="1:5" ht="21" customHeight="1">
      <c r="A380" s="839"/>
      <c r="B380" s="839"/>
      <c r="C380" s="838"/>
      <c r="E380" s="835"/>
    </row>
    <row r="381" spans="1:5" ht="21" customHeight="1">
      <c r="A381" s="839"/>
      <c r="B381" s="839"/>
      <c r="C381" s="838"/>
      <c r="E381" s="835"/>
    </row>
    <row r="382" spans="1:5" ht="21" customHeight="1">
      <c r="A382" s="839"/>
      <c r="B382" s="839"/>
      <c r="C382" s="838"/>
      <c r="E382" s="835"/>
    </row>
    <row r="383" spans="1:5" ht="21" customHeight="1">
      <c r="A383" s="839"/>
      <c r="B383" s="839"/>
      <c r="C383" s="838"/>
      <c r="E383" s="835"/>
    </row>
    <row r="384" spans="1:5" ht="21" customHeight="1">
      <c r="A384" s="839"/>
      <c r="B384" s="839"/>
      <c r="C384" s="838"/>
      <c r="E384" s="835"/>
    </row>
    <row r="385" spans="1:5" ht="21" customHeight="1">
      <c r="A385" s="839"/>
      <c r="B385" s="839"/>
      <c r="C385" s="838"/>
      <c r="E385" s="835"/>
    </row>
    <row r="386" spans="1:5" ht="21" customHeight="1">
      <c r="A386" s="839"/>
      <c r="B386" s="839"/>
      <c r="C386" s="838"/>
      <c r="E386" s="835"/>
    </row>
    <row r="387" spans="1:5" ht="21" customHeight="1">
      <c r="A387" s="839"/>
      <c r="B387" s="839"/>
      <c r="C387" s="838"/>
      <c r="E387" s="835"/>
    </row>
    <row r="388" spans="1:5" ht="21" customHeight="1">
      <c r="A388" s="839"/>
      <c r="B388" s="839"/>
      <c r="C388" s="838"/>
      <c r="E388" s="835"/>
    </row>
    <row r="389" spans="1:5" ht="21" customHeight="1">
      <c r="A389" s="839"/>
      <c r="B389" s="839"/>
      <c r="C389" s="838"/>
      <c r="E389" s="835"/>
    </row>
    <row r="390" spans="1:5" ht="21" customHeight="1">
      <c r="A390" s="839"/>
      <c r="B390" s="839"/>
      <c r="C390" s="838"/>
      <c r="E390" s="835"/>
    </row>
    <row r="391" spans="1:5" ht="21" customHeight="1">
      <c r="A391" s="839"/>
      <c r="B391" s="839"/>
      <c r="C391" s="838"/>
      <c r="E391" s="835"/>
    </row>
    <row r="392" spans="1:5" ht="21" customHeight="1">
      <c r="A392" s="839"/>
      <c r="B392" s="839"/>
      <c r="C392" s="838"/>
      <c r="E392" s="835"/>
    </row>
    <row r="393" spans="1:5" ht="21" customHeight="1">
      <c r="A393" s="839"/>
      <c r="B393" s="839"/>
      <c r="C393" s="838"/>
      <c r="E393" s="835"/>
    </row>
    <row r="394" spans="1:5" ht="21" customHeight="1">
      <c r="A394" s="839"/>
      <c r="B394" s="839"/>
      <c r="C394" s="838"/>
      <c r="E394" s="835"/>
    </row>
    <row r="395" spans="1:5" ht="21" customHeight="1">
      <c r="A395" s="839"/>
      <c r="B395" s="839"/>
      <c r="C395" s="838"/>
      <c r="E395" s="835"/>
    </row>
    <row r="396" spans="1:5" ht="21" customHeight="1">
      <c r="A396" s="839"/>
      <c r="B396" s="839"/>
      <c r="C396" s="838"/>
      <c r="E396" s="835"/>
    </row>
    <row r="397" spans="1:5" ht="21" customHeight="1">
      <c r="A397" s="839"/>
      <c r="B397" s="839"/>
      <c r="C397" s="838"/>
      <c r="E397" s="835"/>
    </row>
    <row r="398" spans="1:5" ht="21" customHeight="1">
      <c r="A398" s="839"/>
      <c r="B398" s="839"/>
      <c r="C398" s="838"/>
      <c r="E398" s="835"/>
    </row>
    <row r="399" spans="1:5" ht="21" customHeight="1">
      <c r="A399" s="839"/>
      <c r="B399" s="839"/>
      <c r="C399" s="838"/>
      <c r="E399" s="835"/>
    </row>
    <row r="400" spans="1:5" ht="21" customHeight="1">
      <c r="A400" s="839"/>
      <c r="B400" s="839"/>
      <c r="C400" s="838"/>
      <c r="E400" s="835"/>
    </row>
    <row r="401" spans="1:5" ht="21" customHeight="1">
      <c r="A401" s="839"/>
      <c r="B401" s="839"/>
      <c r="C401" s="838"/>
      <c r="E401" s="835"/>
    </row>
    <row r="402" spans="1:5" ht="21" customHeight="1">
      <c r="A402" s="839"/>
      <c r="B402" s="839"/>
      <c r="C402" s="838"/>
      <c r="E402" s="835"/>
    </row>
    <row r="403" spans="1:5" ht="21" customHeight="1">
      <c r="A403" s="839"/>
      <c r="B403" s="839"/>
      <c r="C403" s="838"/>
      <c r="E403" s="835"/>
    </row>
    <row r="404" spans="1:5" ht="21" customHeight="1">
      <c r="A404" s="839"/>
      <c r="B404" s="839"/>
      <c r="C404" s="838"/>
      <c r="E404" s="835"/>
    </row>
    <row r="405" spans="1:5" ht="21" customHeight="1">
      <c r="A405" s="839"/>
      <c r="B405" s="839"/>
      <c r="C405" s="838"/>
      <c r="E405" s="835"/>
    </row>
    <row r="406" spans="1:5" ht="21" customHeight="1">
      <c r="A406" s="839"/>
      <c r="B406" s="839"/>
      <c r="C406" s="838"/>
      <c r="E406" s="835"/>
    </row>
    <row r="407" spans="1:5" ht="21" customHeight="1">
      <c r="A407" s="839"/>
      <c r="B407" s="839"/>
      <c r="C407" s="838"/>
      <c r="E407" s="835"/>
    </row>
    <row r="408" spans="1:5" ht="21" customHeight="1">
      <c r="A408" s="839"/>
      <c r="B408" s="839"/>
      <c r="C408" s="838"/>
      <c r="E408" s="835"/>
    </row>
    <row r="409" spans="1:5" ht="21" customHeight="1">
      <c r="A409" s="839"/>
      <c r="B409" s="839"/>
      <c r="C409" s="838"/>
      <c r="E409" s="835"/>
    </row>
    <row r="410" spans="1:5" ht="21" customHeight="1">
      <c r="A410" s="839"/>
      <c r="B410" s="839"/>
      <c r="C410" s="838"/>
      <c r="E410" s="835"/>
    </row>
    <row r="411" spans="1:5" ht="21" customHeight="1">
      <c r="A411" s="839"/>
      <c r="B411" s="839"/>
      <c r="C411" s="838"/>
      <c r="E411" s="835"/>
    </row>
    <row r="412" spans="1:5" ht="21" customHeight="1">
      <c r="A412" s="839"/>
      <c r="B412" s="839"/>
      <c r="C412" s="838"/>
      <c r="E412" s="835"/>
    </row>
    <row r="413" spans="1:5" ht="21" customHeight="1">
      <c r="A413" s="839"/>
      <c r="B413" s="839"/>
      <c r="C413" s="838"/>
      <c r="E413" s="835"/>
    </row>
    <row r="414" spans="1:5" ht="21" customHeight="1">
      <c r="A414" s="839"/>
      <c r="B414" s="839"/>
      <c r="C414" s="838"/>
      <c r="E414" s="835"/>
    </row>
    <row r="415" spans="1:5" ht="21" customHeight="1">
      <c r="A415" s="839"/>
      <c r="B415" s="839"/>
      <c r="C415" s="838"/>
      <c r="E415" s="835"/>
    </row>
    <row r="416" spans="1:5" ht="21" customHeight="1">
      <c r="A416" s="839"/>
      <c r="B416" s="839"/>
      <c r="C416" s="838"/>
      <c r="E416" s="835"/>
    </row>
    <row r="417" spans="1:5" ht="21" customHeight="1">
      <c r="A417" s="839"/>
      <c r="B417" s="839"/>
      <c r="C417" s="838"/>
      <c r="E417" s="835"/>
    </row>
    <row r="418" spans="1:5" ht="21" customHeight="1">
      <c r="A418" s="839"/>
      <c r="B418" s="839"/>
      <c r="C418" s="838"/>
      <c r="E418" s="835"/>
    </row>
    <row r="419" spans="1:5" ht="21" customHeight="1">
      <c r="A419" s="839"/>
      <c r="B419" s="839"/>
      <c r="C419" s="838"/>
      <c r="E419" s="835"/>
    </row>
    <row r="420" spans="1:5" ht="21" customHeight="1">
      <c r="A420" s="839"/>
      <c r="B420" s="839"/>
      <c r="C420" s="838"/>
      <c r="E420" s="835"/>
    </row>
    <row r="421" spans="1:5" ht="21" customHeight="1">
      <c r="A421" s="839"/>
      <c r="B421" s="839"/>
      <c r="C421" s="838"/>
      <c r="E421" s="835"/>
    </row>
    <row r="422" spans="1:5" ht="21" customHeight="1">
      <c r="A422" s="839"/>
      <c r="B422" s="839"/>
      <c r="C422" s="838"/>
      <c r="E422" s="835"/>
    </row>
    <row r="423" spans="1:5" ht="21" customHeight="1">
      <c r="A423" s="839"/>
      <c r="B423" s="839"/>
      <c r="C423" s="838"/>
      <c r="E423" s="835"/>
    </row>
    <row r="424" spans="1:5" ht="21" customHeight="1">
      <c r="A424" s="839"/>
      <c r="B424" s="839"/>
      <c r="C424" s="838"/>
      <c r="E424" s="835"/>
    </row>
    <row r="425" spans="1:5" ht="21" customHeight="1">
      <c r="A425" s="839"/>
      <c r="B425" s="839"/>
      <c r="C425" s="838"/>
      <c r="E425" s="835"/>
    </row>
    <row r="426" spans="1:5" ht="21" customHeight="1">
      <c r="A426" s="839"/>
      <c r="B426" s="839"/>
      <c r="C426" s="838"/>
      <c r="E426" s="835"/>
    </row>
    <row r="427" spans="1:5" ht="21" customHeight="1">
      <c r="A427" s="839"/>
      <c r="B427" s="839"/>
      <c r="C427" s="838"/>
      <c r="E427" s="835"/>
    </row>
    <row r="428" spans="1:5" ht="21" customHeight="1">
      <c r="A428" s="839"/>
      <c r="B428" s="839"/>
      <c r="C428" s="838"/>
      <c r="E428" s="835"/>
    </row>
    <row r="429" spans="1:5" ht="21" customHeight="1">
      <c r="A429" s="839"/>
      <c r="B429" s="839"/>
      <c r="C429" s="838"/>
      <c r="E429" s="835"/>
    </row>
    <row r="430" spans="1:5" ht="21" customHeight="1">
      <c r="A430" s="839"/>
      <c r="B430" s="839"/>
      <c r="C430" s="838"/>
      <c r="E430" s="835"/>
    </row>
    <row r="431" spans="1:5" ht="21" customHeight="1">
      <c r="A431" s="839"/>
      <c r="B431" s="839"/>
      <c r="C431" s="838"/>
      <c r="E431" s="835"/>
    </row>
    <row r="432" spans="1:5" ht="21" customHeight="1">
      <c r="A432" s="839"/>
      <c r="B432" s="839"/>
      <c r="C432" s="838"/>
      <c r="E432" s="835"/>
    </row>
    <row r="433" spans="1:5" ht="21" customHeight="1">
      <c r="A433" s="839"/>
      <c r="B433" s="839"/>
      <c r="C433" s="838"/>
      <c r="E433" s="835"/>
    </row>
    <row r="434" spans="1:5" ht="21" customHeight="1">
      <c r="A434" s="839"/>
      <c r="B434" s="839"/>
      <c r="C434" s="838"/>
      <c r="E434" s="835"/>
    </row>
    <row r="435" spans="1:5" ht="21" customHeight="1">
      <c r="A435" s="839"/>
      <c r="B435" s="839"/>
      <c r="C435" s="838"/>
      <c r="E435" s="835"/>
    </row>
    <row r="436" spans="1:5" ht="21" customHeight="1">
      <c r="A436" s="839"/>
      <c r="B436" s="839"/>
      <c r="C436" s="838"/>
      <c r="E436" s="835"/>
    </row>
    <row r="437" spans="1:5" ht="21" customHeight="1">
      <c r="A437" s="839"/>
      <c r="B437" s="839"/>
      <c r="C437" s="838"/>
      <c r="E437" s="835"/>
    </row>
    <row r="438" spans="1:5" ht="21" customHeight="1">
      <c r="A438" s="839"/>
      <c r="B438" s="839"/>
      <c r="C438" s="838"/>
      <c r="E438" s="835"/>
    </row>
    <row r="439" spans="1:5" ht="21" customHeight="1">
      <c r="A439" s="839"/>
      <c r="B439" s="839"/>
      <c r="C439" s="838"/>
      <c r="E439" s="835"/>
    </row>
    <row r="440" spans="1:5" ht="21" customHeight="1">
      <c r="A440" s="839"/>
      <c r="B440" s="839"/>
      <c r="C440" s="838"/>
      <c r="E440" s="835"/>
    </row>
    <row r="441" spans="1:5" ht="21" customHeight="1">
      <c r="A441" s="839"/>
      <c r="B441" s="839"/>
      <c r="C441" s="838"/>
      <c r="E441" s="835"/>
    </row>
    <row r="442" spans="1:5" ht="21" customHeight="1">
      <c r="A442" s="839"/>
      <c r="B442" s="839"/>
      <c r="C442" s="838"/>
      <c r="E442" s="835"/>
    </row>
    <row r="443" spans="1:5" ht="21" customHeight="1">
      <c r="A443" s="839"/>
      <c r="B443" s="839"/>
      <c r="C443" s="838"/>
      <c r="E443" s="835"/>
    </row>
    <row r="444" spans="1:5" ht="21" customHeight="1">
      <c r="A444" s="839"/>
      <c r="B444" s="839"/>
      <c r="C444" s="838"/>
      <c r="E444" s="835"/>
    </row>
    <row r="445" spans="1:5" ht="21" customHeight="1">
      <c r="A445" s="839"/>
      <c r="B445" s="839"/>
      <c r="C445" s="838"/>
      <c r="E445" s="835"/>
    </row>
    <row r="446" spans="1:5" ht="21" customHeight="1">
      <c r="A446" s="839"/>
      <c r="B446" s="839"/>
      <c r="C446" s="838"/>
      <c r="E446" s="835"/>
    </row>
    <row r="447" spans="1:5" ht="21" customHeight="1">
      <c r="A447" s="839"/>
      <c r="B447" s="839"/>
      <c r="C447" s="838"/>
      <c r="E447" s="835"/>
    </row>
    <row r="448" spans="1:5" ht="21" customHeight="1">
      <c r="A448" s="839"/>
      <c r="B448" s="839"/>
      <c r="C448" s="838"/>
      <c r="E448" s="835"/>
    </row>
    <row r="449" spans="1:5" ht="21" customHeight="1">
      <c r="A449" s="839"/>
      <c r="B449" s="839"/>
      <c r="C449" s="838"/>
      <c r="E449" s="835"/>
    </row>
    <row r="450" spans="1:5" ht="21" customHeight="1">
      <c r="A450" s="839"/>
      <c r="B450" s="839"/>
      <c r="C450" s="838"/>
      <c r="E450" s="835"/>
    </row>
    <row r="451" spans="1:5" ht="21" customHeight="1">
      <c r="A451" s="839"/>
      <c r="B451" s="839"/>
      <c r="C451" s="838"/>
      <c r="E451" s="835"/>
    </row>
    <row r="452" spans="1:5" ht="21" customHeight="1">
      <c r="A452" s="839"/>
      <c r="B452" s="839"/>
      <c r="C452" s="838"/>
      <c r="E452" s="835"/>
    </row>
    <row r="453" spans="1:5" ht="21" customHeight="1">
      <c r="A453" s="839"/>
      <c r="B453" s="839"/>
      <c r="C453" s="838"/>
      <c r="E453" s="835"/>
    </row>
    <row r="454" spans="1:5" ht="21" customHeight="1">
      <c r="A454" s="839"/>
      <c r="B454" s="839"/>
      <c r="C454" s="838"/>
      <c r="E454" s="835"/>
    </row>
    <row r="455" spans="1:5" ht="21" customHeight="1">
      <c r="A455" s="839"/>
      <c r="B455" s="839"/>
      <c r="C455" s="838"/>
      <c r="E455" s="835"/>
    </row>
    <row r="456" spans="1:5" ht="21" customHeight="1">
      <c r="A456" s="839"/>
      <c r="B456" s="839"/>
      <c r="C456" s="838"/>
      <c r="E456" s="835"/>
    </row>
    <row r="457" spans="1:5" ht="21" customHeight="1">
      <c r="A457" s="839"/>
      <c r="B457" s="839"/>
      <c r="C457" s="838"/>
      <c r="E457" s="835"/>
    </row>
    <row r="458" spans="1:5" ht="21" customHeight="1">
      <c r="A458" s="839"/>
      <c r="B458" s="839"/>
      <c r="C458" s="838"/>
      <c r="E458" s="835"/>
    </row>
    <row r="459" spans="1:5" ht="21" customHeight="1">
      <c r="A459" s="839"/>
      <c r="B459" s="839"/>
      <c r="C459" s="838"/>
      <c r="E459" s="835"/>
    </row>
    <row r="460" spans="1:5" ht="21" customHeight="1">
      <c r="A460" s="839"/>
      <c r="B460" s="839"/>
      <c r="C460" s="838"/>
      <c r="E460" s="835"/>
    </row>
    <row r="461" spans="1:5" ht="21" customHeight="1">
      <c r="A461" s="839"/>
      <c r="B461" s="839"/>
      <c r="C461" s="838"/>
      <c r="E461" s="835"/>
    </row>
    <row r="462" spans="1:5" ht="21" customHeight="1">
      <c r="A462" s="839"/>
      <c r="B462" s="839"/>
      <c r="C462" s="838"/>
      <c r="E462" s="835"/>
    </row>
    <row r="463" spans="1:5" ht="21" customHeight="1">
      <c r="A463" s="839"/>
      <c r="B463" s="839"/>
      <c r="C463" s="838"/>
      <c r="E463" s="835"/>
    </row>
    <row r="464" spans="1:5" ht="21" customHeight="1">
      <c r="A464" s="839"/>
      <c r="B464" s="839"/>
      <c r="C464" s="838"/>
      <c r="E464" s="835"/>
    </row>
    <row r="465" spans="1:5" ht="21" customHeight="1">
      <c r="A465" s="839"/>
      <c r="B465" s="839"/>
      <c r="C465" s="838"/>
      <c r="E465" s="835"/>
    </row>
    <row r="466" spans="1:5" ht="21" customHeight="1">
      <c r="A466" s="839"/>
      <c r="B466" s="839"/>
      <c r="C466" s="838"/>
      <c r="E466" s="835"/>
    </row>
    <row r="467" spans="1:5" ht="21" customHeight="1">
      <c r="A467" s="839"/>
      <c r="B467" s="839"/>
      <c r="C467" s="838"/>
      <c r="E467" s="835"/>
    </row>
    <row r="468" spans="1:5" ht="21" customHeight="1">
      <c r="A468" s="839"/>
      <c r="B468" s="839"/>
      <c r="C468" s="838"/>
      <c r="E468" s="835"/>
    </row>
    <row r="469" spans="1:5" ht="21" customHeight="1">
      <c r="A469" s="839"/>
      <c r="B469" s="839"/>
      <c r="C469" s="838"/>
      <c r="E469" s="835"/>
    </row>
    <row r="470" spans="1:5" ht="21" customHeight="1">
      <c r="A470" s="839"/>
      <c r="B470" s="839"/>
      <c r="C470" s="838"/>
      <c r="E470" s="835"/>
    </row>
    <row r="471" spans="1:5" ht="21" customHeight="1">
      <c r="A471" s="839"/>
      <c r="B471" s="839"/>
      <c r="C471" s="838"/>
      <c r="E471" s="835"/>
    </row>
    <row r="472" spans="1:5" ht="21" customHeight="1">
      <c r="A472" s="839"/>
      <c r="B472" s="839"/>
      <c r="C472" s="838"/>
      <c r="E472" s="835"/>
    </row>
    <row r="473" spans="1:5" ht="21" customHeight="1">
      <c r="A473" s="839"/>
      <c r="B473" s="839"/>
      <c r="C473" s="838"/>
      <c r="E473" s="835"/>
    </row>
    <row r="474" spans="1:5" ht="21" customHeight="1">
      <c r="A474" s="839"/>
      <c r="B474" s="839"/>
      <c r="C474" s="838"/>
      <c r="E474" s="835"/>
    </row>
    <row r="475" spans="1:5" ht="21" customHeight="1">
      <c r="A475" s="839"/>
      <c r="B475" s="839"/>
      <c r="C475" s="838"/>
      <c r="E475" s="835"/>
    </row>
    <row r="476" spans="1:5" ht="21" customHeight="1">
      <c r="A476" s="839"/>
      <c r="B476" s="839"/>
      <c r="C476" s="838"/>
      <c r="E476" s="835"/>
    </row>
    <row r="477" spans="1:5" ht="21" customHeight="1">
      <c r="A477" s="839"/>
      <c r="B477" s="839"/>
      <c r="C477" s="838"/>
      <c r="E477" s="835"/>
    </row>
    <row r="478" spans="1:5" ht="21" customHeight="1">
      <c r="A478" s="839"/>
      <c r="B478" s="839"/>
      <c r="C478" s="838"/>
      <c r="E478" s="835"/>
    </row>
    <row r="479" spans="1:5" ht="21" customHeight="1">
      <c r="A479" s="839"/>
      <c r="B479" s="839"/>
      <c r="C479" s="838"/>
      <c r="E479" s="835"/>
    </row>
    <row r="480" spans="1:5" ht="21" customHeight="1">
      <c r="A480" s="839"/>
      <c r="B480" s="839"/>
      <c r="C480" s="838"/>
      <c r="E480" s="835"/>
    </row>
    <row r="481" spans="1:5" ht="21" customHeight="1">
      <c r="A481" s="839"/>
      <c r="B481" s="839"/>
      <c r="C481" s="838"/>
      <c r="E481" s="835"/>
    </row>
    <row r="482" spans="1:5" ht="21" customHeight="1">
      <c r="A482" s="839"/>
      <c r="B482" s="839"/>
      <c r="C482" s="838"/>
      <c r="E482" s="835"/>
    </row>
    <row r="483" spans="1:5" ht="21" customHeight="1">
      <c r="A483" s="839"/>
      <c r="B483" s="839"/>
      <c r="C483" s="838"/>
      <c r="E483" s="835"/>
    </row>
    <row r="484" spans="1:5" ht="21" customHeight="1">
      <c r="A484" s="839"/>
      <c r="B484" s="839"/>
      <c r="C484" s="838"/>
      <c r="E484" s="835"/>
    </row>
    <row r="485" spans="1:5" ht="21" customHeight="1">
      <c r="A485" s="839"/>
      <c r="B485" s="839"/>
      <c r="C485" s="838"/>
      <c r="E485" s="835"/>
    </row>
    <row r="486" spans="1:5" ht="21" customHeight="1">
      <c r="A486" s="839"/>
      <c r="B486" s="839"/>
      <c r="C486" s="838"/>
      <c r="E486" s="835"/>
    </row>
    <row r="487" spans="1:5" ht="21" customHeight="1">
      <c r="A487" s="839"/>
      <c r="B487" s="839"/>
      <c r="C487" s="838"/>
      <c r="E487" s="835"/>
    </row>
    <row r="488" spans="1:5" ht="21" customHeight="1">
      <c r="A488" s="839"/>
      <c r="B488" s="839"/>
      <c r="C488" s="838"/>
      <c r="E488" s="835"/>
    </row>
    <row r="489" spans="1:5" ht="21" customHeight="1">
      <c r="A489" s="839"/>
      <c r="B489" s="839"/>
      <c r="C489" s="838"/>
      <c r="E489" s="835"/>
    </row>
    <row r="490" spans="1:5" ht="21" customHeight="1">
      <c r="A490" s="839"/>
      <c r="B490" s="839"/>
      <c r="C490" s="838"/>
      <c r="E490" s="835"/>
    </row>
    <row r="491" spans="1:5" ht="21" customHeight="1">
      <c r="A491" s="839"/>
      <c r="B491" s="839"/>
      <c r="C491" s="838"/>
      <c r="E491" s="835"/>
    </row>
    <row r="492" spans="1:5" ht="21" customHeight="1">
      <c r="A492" s="839"/>
      <c r="B492" s="839"/>
      <c r="C492" s="838"/>
      <c r="E492" s="835"/>
    </row>
    <row r="493" spans="1:5" ht="21" customHeight="1">
      <c r="A493" s="839"/>
      <c r="B493" s="839"/>
      <c r="C493" s="838"/>
      <c r="E493" s="835"/>
    </row>
    <row r="494" spans="1:5" ht="21" customHeight="1">
      <c r="A494" s="839"/>
      <c r="B494" s="839"/>
      <c r="C494" s="838"/>
      <c r="E494" s="835"/>
    </row>
    <row r="495" spans="1:5" ht="21" customHeight="1">
      <c r="A495" s="839"/>
      <c r="B495" s="839"/>
      <c r="C495" s="838"/>
      <c r="E495" s="835"/>
    </row>
    <row r="496" spans="1:5" ht="21" customHeight="1">
      <c r="A496" s="839"/>
      <c r="B496" s="839"/>
      <c r="C496" s="838"/>
      <c r="E496" s="835"/>
    </row>
    <row r="497" spans="1:5" ht="21" customHeight="1">
      <c r="A497" s="839"/>
      <c r="B497" s="839"/>
      <c r="C497" s="838"/>
      <c r="E497" s="835"/>
    </row>
    <row r="498" spans="1:5" ht="21" customHeight="1">
      <c r="A498" s="839"/>
      <c r="B498" s="839"/>
      <c r="C498" s="838"/>
      <c r="E498" s="835"/>
    </row>
    <row r="499" spans="1:5" ht="21" customHeight="1">
      <c r="A499" s="839"/>
      <c r="B499" s="839"/>
      <c r="C499" s="838"/>
      <c r="E499" s="835"/>
    </row>
    <row r="500" spans="1:5" ht="21" customHeight="1">
      <c r="A500" s="839"/>
      <c r="B500" s="839"/>
      <c r="C500" s="838"/>
      <c r="E500" s="835"/>
    </row>
    <row r="501" spans="1:5" ht="21" customHeight="1">
      <c r="A501" s="839"/>
      <c r="B501" s="839"/>
      <c r="C501" s="838"/>
      <c r="E501" s="835"/>
    </row>
    <row r="502" spans="1:5" ht="21" customHeight="1">
      <c r="A502" s="839"/>
      <c r="B502" s="839"/>
      <c r="C502" s="838"/>
      <c r="E502" s="835"/>
    </row>
    <row r="503" spans="1:5" ht="21" customHeight="1">
      <c r="A503" s="839"/>
      <c r="B503" s="839"/>
      <c r="C503" s="838"/>
      <c r="E503" s="835"/>
    </row>
    <row r="504" spans="1:5" ht="21" customHeight="1">
      <c r="A504" s="839"/>
      <c r="B504" s="839"/>
      <c r="C504" s="838"/>
      <c r="E504" s="835"/>
    </row>
    <row r="505" spans="1:5" ht="21" customHeight="1">
      <c r="A505" s="839"/>
      <c r="B505" s="839"/>
      <c r="C505" s="838"/>
      <c r="E505" s="835"/>
    </row>
    <row r="506" spans="1:5" ht="21" customHeight="1">
      <c r="A506" s="839"/>
      <c r="B506" s="839"/>
      <c r="C506" s="838"/>
      <c r="E506" s="835"/>
    </row>
    <row r="507" spans="1:5" ht="21" customHeight="1">
      <c r="A507" s="839"/>
      <c r="B507" s="839"/>
      <c r="C507" s="838"/>
      <c r="E507" s="835"/>
    </row>
    <row r="508" spans="1:5" ht="21" customHeight="1">
      <c r="A508" s="839"/>
      <c r="B508" s="839"/>
      <c r="C508" s="838"/>
      <c r="E508" s="835"/>
    </row>
    <row r="509" spans="1:5" ht="21" customHeight="1">
      <c r="A509" s="839"/>
      <c r="B509" s="839"/>
      <c r="C509" s="838"/>
      <c r="E509" s="835"/>
    </row>
    <row r="510" spans="1:5" ht="21" customHeight="1">
      <c r="A510" s="839"/>
      <c r="B510" s="839"/>
      <c r="C510" s="838"/>
      <c r="E510" s="835"/>
    </row>
    <row r="511" spans="1:5" ht="21" customHeight="1">
      <c r="A511" s="839"/>
      <c r="B511" s="839"/>
      <c r="C511" s="838"/>
      <c r="E511" s="835"/>
    </row>
    <row r="512" spans="1:5" ht="21" customHeight="1">
      <c r="A512" s="839"/>
      <c r="B512" s="839"/>
      <c r="C512" s="838"/>
      <c r="E512" s="835"/>
    </row>
    <row r="513" spans="1:5" ht="21" customHeight="1">
      <c r="A513" s="839"/>
      <c r="B513" s="839"/>
      <c r="C513" s="838"/>
      <c r="E513" s="835"/>
    </row>
    <row r="514" spans="1:5" ht="21" customHeight="1">
      <c r="A514" s="839"/>
      <c r="B514" s="839"/>
      <c r="C514" s="838"/>
      <c r="E514" s="835"/>
    </row>
    <row r="515" spans="1:5" ht="21" customHeight="1">
      <c r="A515" s="839"/>
      <c r="B515" s="839"/>
      <c r="C515" s="838"/>
      <c r="E515" s="835"/>
    </row>
    <row r="516" spans="1:5" ht="21" customHeight="1">
      <c r="A516" s="839"/>
      <c r="B516" s="839"/>
      <c r="C516" s="838"/>
      <c r="E516" s="835"/>
    </row>
    <row r="517" spans="1:5" ht="21" customHeight="1">
      <c r="A517" s="839"/>
      <c r="B517" s="839"/>
      <c r="C517" s="838"/>
      <c r="E517" s="835"/>
    </row>
    <row r="518" spans="1:5" ht="21" customHeight="1">
      <c r="A518" s="839"/>
      <c r="B518" s="839"/>
      <c r="C518" s="838"/>
      <c r="E518" s="835"/>
    </row>
    <row r="519" spans="1:5" ht="21" customHeight="1">
      <c r="A519" s="839"/>
      <c r="B519" s="839"/>
      <c r="C519" s="838"/>
      <c r="E519" s="835"/>
    </row>
    <row r="520" spans="1:5" ht="21" customHeight="1">
      <c r="A520" s="839"/>
      <c r="B520" s="839"/>
      <c r="C520" s="838"/>
      <c r="E520" s="835"/>
    </row>
    <row r="521" spans="1:5" ht="21" customHeight="1">
      <c r="A521" s="839"/>
      <c r="B521" s="839"/>
      <c r="C521" s="838"/>
      <c r="E521" s="835"/>
    </row>
    <row r="522" spans="1:5" ht="21" customHeight="1">
      <c r="A522" s="839"/>
      <c r="B522" s="839"/>
      <c r="C522" s="838"/>
      <c r="E522" s="835"/>
    </row>
    <row r="523" spans="1:5" ht="21" customHeight="1">
      <c r="A523" s="839"/>
      <c r="B523" s="839"/>
      <c r="C523" s="838"/>
      <c r="E523" s="835"/>
    </row>
    <row r="524" spans="1:5" ht="21" customHeight="1">
      <c r="A524" s="839"/>
      <c r="B524" s="839"/>
      <c r="C524" s="838"/>
      <c r="E524" s="835"/>
    </row>
    <row r="525" spans="1:5" ht="21" customHeight="1">
      <c r="A525" s="839"/>
      <c r="B525" s="839"/>
      <c r="C525" s="838"/>
      <c r="E525" s="835"/>
    </row>
    <row r="526" spans="1:5" ht="21" customHeight="1">
      <c r="A526" s="839"/>
      <c r="B526" s="839"/>
      <c r="C526" s="838"/>
      <c r="E526" s="835"/>
    </row>
    <row r="527" spans="1:5" ht="21" customHeight="1">
      <c r="A527" s="839"/>
      <c r="B527" s="839"/>
      <c r="C527" s="838"/>
      <c r="E527" s="835"/>
    </row>
    <row r="528" spans="1:5" ht="21" customHeight="1">
      <c r="A528" s="839"/>
      <c r="B528" s="839"/>
      <c r="C528" s="838"/>
      <c r="E528" s="835"/>
    </row>
    <row r="529" spans="1:5" ht="21" customHeight="1">
      <c r="A529" s="839"/>
      <c r="B529" s="839"/>
      <c r="C529" s="838"/>
      <c r="E529" s="835"/>
    </row>
    <row r="530" spans="1:5" ht="21" customHeight="1">
      <c r="A530" s="839"/>
      <c r="B530" s="839"/>
      <c r="C530" s="838"/>
      <c r="E530" s="835"/>
    </row>
    <row r="531" spans="1:5" ht="21" customHeight="1">
      <c r="A531" s="839"/>
      <c r="B531" s="839"/>
      <c r="C531" s="838"/>
      <c r="E531" s="835"/>
    </row>
    <row r="532" spans="1:5" ht="21" customHeight="1">
      <c r="A532" s="839"/>
      <c r="B532" s="839"/>
      <c r="C532" s="838"/>
      <c r="E532" s="835"/>
    </row>
    <row r="533" spans="1:5" ht="21" customHeight="1">
      <c r="A533" s="839"/>
      <c r="B533" s="839"/>
      <c r="C533" s="838"/>
      <c r="E533" s="835"/>
    </row>
    <row r="534" spans="1:5" ht="21" customHeight="1">
      <c r="A534" s="839"/>
      <c r="B534" s="839"/>
      <c r="C534" s="838"/>
      <c r="E534" s="835"/>
    </row>
    <row r="535" spans="1:5" ht="21" customHeight="1">
      <c r="A535" s="839"/>
      <c r="B535" s="839"/>
      <c r="C535" s="838"/>
      <c r="E535" s="835"/>
    </row>
    <row r="536" spans="1:5" ht="21" customHeight="1">
      <c r="A536" s="839"/>
      <c r="B536" s="839"/>
      <c r="C536" s="838"/>
      <c r="E536" s="835"/>
    </row>
    <row r="537" spans="1:5" ht="21" customHeight="1">
      <c r="A537" s="839"/>
      <c r="B537" s="839"/>
      <c r="C537" s="838"/>
      <c r="E537" s="835"/>
    </row>
    <row r="538" spans="1:5" ht="21" customHeight="1">
      <c r="A538" s="839"/>
      <c r="B538" s="839"/>
      <c r="C538" s="838"/>
      <c r="E538" s="835"/>
    </row>
    <row r="539" spans="1:5" ht="21" customHeight="1">
      <c r="A539" s="839"/>
      <c r="B539" s="839"/>
      <c r="C539" s="838"/>
      <c r="E539" s="835"/>
    </row>
    <row r="540" spans="1:5" ht="21" customHeight="1">
      <c r="A540" s="839"/>
      <c r="B540" s="839"/>
      <c r="C540" s="838"/>
      <c r="E540" s="835"/>
    </row>
    <row r="541" spans="1:5" ht="21" customHeight="1">
      <c r="A541" s="839"/>
      <c r="B541" s="839"/>
      <c r="C541" s="838"/>
      <c r="E541" s="835"/>
    </row>
    <row r="542" spans="1:5" ht="21" customHeight="1">
      <c r="A542" s="839"/>
      <c r="B542" s="839"/>
      <c r="C542" s="838"/>
      <c r="E542" s="835"/>
    </row>
    <row r="543" spans="1:5" ht="21" customHeight="1">
      <c r="A543" s="839"/>
      <c r="B543" s="839"/>
      <c r="C543" s="838"/>
      <c r="E543" s="835"/>
    </row>
    <row r="544" spans="1:5" ht="21" customHeight="1">
      <c r="A544" s="839"/>
      <c r="B544" s="839"/>
      <c r="C544" s="838"/>
      <c r="E544" s="835"/>
    </row>
    <row r="545" spans="1:5" ht="21" customHeight="1">
      <c r="A545" s="839"/>
      <c r="B545" s="839"/>
      <c r="C545" s="838"/>
      <c r="E545" s="835"/>
    </row>
    <row r="546" spans="1:5" ht="21" customHeight="1">
      <c r="A546" s="839"/>
      <c r="B546" s="839"/>
      <c r="C546" s="838"/>
      <c r="E546" s="835"/>
    </row>
    <row r="547" spans="1:5" ht="21" customHeight="1">
      <c r="A547" s="839"/>
      <c r="B547" s="839"/>
      <c r="C547" s="838"/>
      <c r="E547" s="835"/>
    </row>
    <row r="548" spans="1:5" ht="21" customHeight="1">
      <c r="A548" s="839"/>
      <c r="B548" s="839"/>
      <c r="C548" s="838"/>
      <c r="E548" s="835"/>
    </row>
    <row r="549" spans="1:5" ht="21" customHeight="1">
      <c r="A549" s="839"/>
      <c r="B549" s="839"/>
      <c r="C549" s="838"/>
      <c r="E549" s="835"/>
    </row>
    <row r="550" spans="1:5" ht="21" customHeight="1">
      <c r="A550" s="839"/>
      <c r="B550" s="839"/>
      <c r="C550" s="838"/>
      <c r="E550" s="835"/>
    </row>
    <row r="551" spans="1:5" ht="21" customHeight="1">
      <c r="A551" s="839"/>
      <c r="B551" s="839"/>
      <c r="C551" s="838"/>
      <c r="E551" s="835"/>
    </row>
    <row r="552" spans="1:5" ht="21" customHeight="1">
      <c r="A552" s="839"/>
      <c r="B552" s="839"/>
      <c r="C552" s="838"/>
      <c r="E552" s="835"/>
    </row>
    <row r="553" spans="1:5" ht="21" customHeight="1">
      <c r="A553" s="839"/>
      <c r="B553" s="839"/>
      <c r="C553" s="838"/>
      <c r="E553" s="835"/>
    </row>
    <row r="554" spans="1:5" ht="21" customHeight="1">
      <c r="A554" s="839"/>
      <c r="B554" s="839"/>
      <c r="C554" s="838"/>
      <c r="E554" s="835"/>
    </row>
    <row r="555" spans="1:5" ht="21" customHeight="1">
      <c r="A555" s="839"/>
      <c r="B555" s="839"/>
      <c r="C555" s="838"/>
      <c r="E555" s="835"/>
    </row>
    <row r="556" spans="1:5" ht="21" customHeight="1">
      <c r="A556" s="839"/>
      <c r="B556" s="839"/>
      <c r="C556" s="838"/>
      <c r="E556" s="835"/>
    </row>
    <row r="557" spans="1:5" ht="21" customHeight="1">
      <c r="A557" s="839"/>
      <c r="B557" s="839"/>
      <c r="C557" s="838"/>
      <c r="E557" s="835"/>
    </row>
    <row r="558" spans="1:5" ht="21" customHeight="1">
      <c r="A558" s="839"/>
      <c r="B558" s="839"/>
      <c r="C558" s="838"/>
      <c r="E558" s="835"/>
    </row>
    <row r="559" spans="1:5" ht="21" customHeight="1">
      <c r="A559" s="839"/>
      <c r="B559" s="839"/>
      <c r="C559" s="838"/>
      <c r="E559" s="835"/>
    </row>
    <row r="560" spans="1:5" ht="21" customHeight="1">
      <c r="A560" s="839"/>
      <c r="B560" s="839"/>
      <c r="C560" s="838"/>
      <c r="E560" s="835"/>
    </row>
    <row r="561" spans="1:5" ht="21" customHeight="1">
      <c r="A561" s="839"/>
      <c r="B561" s="839"/>
      <c r="C561" s="838"/>
      <c r="E561" s="835"/>
    </row>
    <row r="562" spans="1:5" ht="21" customHeight="1">
      <c r="A562" s="839"/>
      <c r="B562" s="839"/>
      <c r="C562" s="838"/>
      <c r="E562" s="835"/>
    </row>
    <row r="563" spans="1:5" ht="21" customHeight="1">
      <c r="A563" s="839"/>
      <c r="B563" s="839"/>
      <c r="C563" s="838"/>
      <c r="E563" s="835"/>
    </row>
    <row r="564" spans="1:5" ht="21" customHeight="1">
      <c r="A564" s="839"/>
      <c r="B564" s="839"/>
      <c r="C564" s="838"/>
      <c r="E564" s="835"/>
    </row>
    <row r="565" spans="1:5" ht="21" customHeight="1">
      <c r="A565" s="839"/>
      <c r="B565" s="839"/>
      <c r="C565" s="838"/>
      <c r="E565" s="835"/>
    </row>
    <row r="566" spans="1:5" ht="21" customHeight="1">
      <c r="A566" s="839"/>
      <c r="B566" s="839"/>
      <c r="C566" s="838"/>
      <c r="E566" s="835"/>
    </row>
    <row r="567" spans="1:5" ht="21" customHeight="1">
      <c r="A567" s="839"/>
      <c r="B567" s="839"/>
      <c r="C567" s="838"/>
      <c r="E567" s="835"/>
    </row>
    <row r="568" spans="1:5" ht="21" customHeight="1">
      <c r="A568" s="839"/>
      <c r="B568" s="839"/>
      <c r="C568" s="838"/>
      <c r="E568" s="835"/>
    </row>
    <row r="569" spans="1:5" ht="21" customHeight="1">
      <c r="A569" s="839"/>
      <c r="B569" s="839"/>
      <c r="C569" s="838"/>
      <c r="E569" s="835"/>
    </row>
    <row r="570" spans="1:5" ht="21" customHeight="1">
      <c r="A570" s="839"/>
      <c r="B570" s="839"/>
      <c r="C570" s="838"/>
      <c r="E570" s="835"/>
    </row>
    <row r="571" spans="1:5" ht="21" customHeight="1">
      <c r="A571" s="839"/>
      <c r="B571" s="839"/>
      <c r="C571" s="838"/>
      <c r="E571" s="835"/>
    </row>
    <row r="572" spans="1:5" ht="21" customHeight="1">
      <c r="A572" s="839"/>
      <c r="B572" s="839"/>
      <c r="C572" s="838"/>
      <c r="E572" s="835"/>
    </row>
    <row r="573" spans="1:5" ht="21" customHeight="1">
      <c r="A573" s="839"/>
      <c r="B573" s="839"/>
      <c r="C573" s="838"/>
      <c r="E573" s="835"/>
    </row>
    <row r="574" spans="1:5" ht="21" customHeight="1">
      <c r="A574" s="839"/>
      <c r="B574" s="839"/>
      <c r="C574" s="838"/>
      <c r="E574" s="835"/>
    </row>
    <row r="575" spans="1:5" ht="21" customHeight="1">
      <c r="A575" s="839"/>
      <c r="B575" s="839"/>
      <c r="C575" s="838"/>
      <c r="E575" s="835"/>
    </row>
    <row r="576" spans="1:5" ht="21" customHeight="1">
      <c r="A576" s="839"/>
      <c r="B576" s="839"/>
      <c r="C576" s="838"/>
      <c r="E576" s="835"/>
    </row>
    <row r="577" spans="1:5" ht="21" customHeight="1">
      <c r="A577" s="839"/>
      <c r="B577" s="839"/>
      <c r="C577" s="838"/>
      <c r="E577" s="835"/>
    </row>
    <row r="578" spans="1:5" ht="21" customHeight="1">
      <c r="A578" s="839"/>
      <c r="B578" s="839"/>
      <c r="C578" s="838"/>
      <c r="E578" s="835"/>
    </row>
    <row r="579" spans="1:5" ht="21" customHeight="1">
      <c r="A579" s="839"/>
      <c r="B579" s="839"/>
      <c r="C579" s="838"/>
      <c r="E579" s="835"/>
    </row>
    <row r="580" spans="1:5" ht="21" customHeight="1">
      <c r="A580" s="839"/>
      <c r="B580" s="839"/>
      <c r="C580" s="838"/>
      <c r="E580" s="835"/>
    </row>
    <row r="581" spans="1:5" ht="21" customHeight="1">
      <c r="A581" s="839"/>
      <c r="B581" s="839"/>
      <c r="C581" s="838"/>
      <c r="E581" s="835"/>
    </row>
    <row r="582" spans="1:5" ht="21" customHeight="1">
      <c r="A582" s="839"/>
      <c r="B582" s="839"/>
      <c r="C582" s="838"/>
      <c r="E582" s="835"/>
    </row>
    <row r="583" spans="1:5" ht="21" customHeight="1">
      <c r="A583" s="839"/>
      <c r="B583" s="839"/>
      <c r="C583" s="838"/>
      <c r="E583" s="835"/>
    </row>
    <row r="584" spans="1:5" ht="21" customHeight="1">
      <c r="A584" s="839"/>
      <c r="B584" s="839"/>
      <c r="C584" s="838"/>
      <c r="E584" s="835"/>
    </row>
    <row r="585" spans="1:5" ht="21" customHeight="1">
      <c r="A585" s="839"/>
      <c r="B585" s="839"/>
      <c r="C585" s="838"/>
      <c r="E585" s="835"/>
    </row>
    <row r="586" spans="1:5" ht="21" customHeight="1">
      <c r="A586" s="839"/>
      <c r="B586" s="839"/>
      <c r="C586" s="838"/>
      <c r="E586" s="835"/>
    </row>
    <row r="587" spans="1:5" ht="21" customHeight="1">
      <c r="A587" s="839"/>
      <c r="B587" s="839"/>
      <c r="C587" s="838"/>
      <c r="E587" s="835"/>
    </row>
    <row r="588" spans="1:5" ht="21" customHeight="1">
      <c r="A588" s="839"/>
      <c r="B588" s="839"/>
      <c r="C588" s="838"/>
      <c r="E588" s="835"/>
    </row>
    <row r="589" spans="1:5" ht="21" customHeight="1">
      <c r="A589" s="839"/>
      <c r="B589" s="839"/>
      <c r="C589" s="838"/>
      <c r="E589" s="835"/>
    </row>
    <row r="590" spans="1:5" ht="21" customHeight="1">
      <c r="A590" s="839"/>
      <c r="B590" s="839"/>
      <c r="C590" s="838"/>
      <c r="E590" s="835"/>
    </row>
    <row r="591" spans="1:5" ht="21" customHeight="1">
      <c r="A591" s="839"/>
      <c r="B591" s="839"/>
      <c r="C591" s="838"/>
      <c r="E591" s="835"/>
    </row>
    <row r="592" spans="1:5" ht="21" customHeight="1">
      <c r="A592" s="839"/>
      <c r="B592" s="839"/>
      <c r="C592" s="838"/>
      <c r="E592" s="835"/>
    </row>
    <row r="593" spans="1:5" ht="21" customHeight="1">
      <c r="A593" s="839"/>
      <c r="B593" s="839"/>
      <c r="C593" s="838"/>
      <c r="E593" s="835"/>
    </row>
    <row r="594" spans="1:5" ht="21" customHeight="1">
      <c r="A594" s="839"/>
      <c r="B594" s="839"/>
      <c r="C594" s="838"/>
      <c r="E594" s="835"/>
    </row>
    <row r="595" spans="1:5" ht="21" customHeight="1">
      <c r="A595" s="839"/>
      <c r="B595" s="839"/>
      <c r="C595" s="838"/>
      <c r="E595" s="835"/>
    </row>
    <row r="596" spans="1:5" ht="21" customHeight="1">
      <c r="A596" s="839"/>
      <c r="B596" s="839"/>
      <c r="C596" s="838"/>
      <c r="E596" s="835"/>
    </row>
    <row r="597" spans="1:5" ht="21" customHeight="1">
      <c r="A597" s="839"/>
      <c r="B597" s="839"/>
      <c r="C597" s="838"/>
      <c r="E597" s="835"/>
    </row>
    <row r="598" spans="1:5" ht="21" customHeight="1">
      <c r="A598" s="839"/>
      <c r="B598" s="839"/>
      <c r="C598" s="838"/>
      <c r="E598" s="835"/>
    </row>
    <row r="599" spans="1:5" ht="21" customHeight="1">
      <c r="A599" s="839"/>
      <c r="B599" s="839"/>
      <c r="C599" s="838"/>
      <c r="E599" s="835"/>
    </row>
    <row r="600" spans="1:5" ht="21" customHeight="1">
      <c r="A600" s="839"/>
      <c r="B600" s="839"/>
      <c r="C600" s="838"/>
      <c r="E600" s="835"/>
    </row>
    <row r="601" spans="1:5" ht="21" customHeight="1">
      <c r="A601" s="839"/>
      <c r="B601" s="839"/>
      <c r="C601" s="838"/>
      <c r="E601" s="835"/>
    </row>
    <row r="602" spans="1:5" ht="21" customHeight="1">
      <c r="A602" s="839"/>
      <c r="B602" s="839"/>
      <c r="C602" s="838"/>
      <c r="E602" s="835"/>
    </row>
    <row r="603" spans="1:5" ht="21" customHeight="1">
      <c r="A603" s="839"/>
      <c r="B603" s="839"/>
      <c r="C603" s="838"/>
      <c r="E603" s="835"/>
    </row>
    <row r="604" spans="1:5" ht="21" customHeight="1">
      <c r="A604" s="839"/>
      <c r="B604" s="839"/>
      <c r="C604" s="838"/>
      <c r="E604" s="835"/>
    </row>
    <row r="605" spans="1:5" ht="21" customHeight="1">
      <c r="A605" s="839"/>
      <c r="B605" s="839"/>
      <c r="C605" s="838"/>
      <c r="E605" s="835"/>
    </row>
    <row r="606" spans="1:5" ht="21" customHeight="1">
      <c r="A606" s="839"/>
      <c r="B606" s="839"/>
      <c r="C606" s="838"/>
      <c r="E606" s="835"/>
    </row>
    <row r="607" spans="1:5" ht="21" customHeight="1">
      <c r="A607" s="839"/>
      <c r="B607" s="839"/>
      <c r="C607" s="838"/>
      <c r="E607" s="835"/>
    </row>
    <row r="608" spans="1:5" ht="21" customHeight="1">
      <c r="A608" s="839"/>
      <c r="B608" s="839"/>
      <c r="C608" s="838"/>
      <c r="E608" s="835"/>
    </row>
    <row r="609" spans="1:5" ht="21" customHeight="1">
      <c r="A609" s="839"/>
      <c r="B609" s="839"/>
      <c r="C609" s="838"/>
      <c r="E609" s="835"/>
    </row>
    <row r="610" spans="1:5" ht="21" customHeight="1">
      <c r="A610" s="839"/>
      <c r="B610" s="839"/>
      <c r="C610" s="838"/>
      <c r="E610" s="835"/>
    </row>
    <row r="611" spans="1:5" ht="21" customHeight="1">
      <c r="A611" s="839"/>
      <c r="B611" s="839"/>
      <c r="C611" s="838"/>
      <c r="E611" s="835"/>
    </row>
    <row r="612" spans="1:5" ht="21" customHeight="1">
      <c r="A612" s="839"/>
      <c r="B612" s="839"/>
      <c r="C612" s="838"/>
      <c r="E612" s="835"/>
    </row>
    <row r="613" spans="1:5" ht="21" customHeight="1">
      <c r="A613" s="839"/>
      <c r="B613" s="839"/>
      <c r="C613" s="838"/>
      <c r="E613" s="835"/>
    </row>
    <row r="614" spans="1:5" ht="21" customHeight="1">
      <c r="A614" s="839"/>
      <c r="B614" s="839"/>
      <c r="C614" s="838"/>
      <c r="E614" s="835"/>
    </row>
    <row r="615" spans="1:5" ht="21" customHeight="1">
      <c r="A615" s="839"/>
      <c r="B615" s="839"/>
      <c r="C615" s="838"/>
      <c r="E615" s="835"/>
    </row>
    <row r="616" spans="1:5" ht="21" customHeight="1">
      <c r="A616" s="839"/>
      <c r="B616" s="839"/>
      <c r="C616" s="838"/>
      <c r="E616" s="835"/>
    </row>
    <row r="617" spans="1:5" ht="21" customHeight="1">
      <c r="A617" s="839"/>
      <c r="B617" s="839"/>
      <c r="C617" s="838"/>
      <c r="E617" s="835"/>
    </row>
    <row r="618" spans="1:5" ht="21" customHeight="1">
      <c r="A618" s="839"/>
      <c r="B618" s="839"/>
      <c r="C618" s="838"/>
      <c r="E618" s="835"/>
    </row>
    <row r="619" spans="1:5" ht="21" customHeight="1">
      <c r="A619" s="839"/>
      <c r="B619" s="839"/>
      <c r="C619" s="838"/>
      <c r="E619" s="835"/>
    </row>
    <row r="620" spans="1:5" ht="21" customHeight="1">
      <c r="A620" s="839"/>
      <c r="B620" s="839"/>
      <c r="C620" s="838"/>
      <c r="E620" s="835"/>
    </row>
    <row r="621" spans="1:5" ht="21" customHeight="1">
      <c r="A621" s="839"/>
      <c r="B621" s="839"/>
      <c r="C621" s="838"/>
      <c r="E621" s="835"/>
    </row>
    <row r="622" spans="1:5" ht="21" customHeight="1">
      <c r="A622" s="839"/>
      <c r="B622" s="839"/>
      <c r="C622" s="838"/>
      <c r="E622" s="835"/>
    </row>
    <row r="623" spans="1:5" ht="21" customHeight="1">
      <c r="A623" s="839"/>
      <c r="B623" s="839"/>
      <c r="C623" s="838"/>
      <c r="E623" s="835"/>
    </row>
    <row r="624" spans="1:5" ht="21" customHeight="1">
      <c r="A624" s="839"/>
      <c r="B624" s="839"/>
      <c r="C624" s="838"/>
      <c r="E624" s="835"/>
    </row>
    <row r="625" spans="1:5" ht="21" customHeight="1">
      <c r="A625" s="839"/>
      <c r="B625" s="839"/>
      <c r="C625" s="838"/>
      <c r="E625" s="835"/>
    </row>
    <row r="626" spans="1:5" ht="21" customHeight="1">
      <c r="A626" s="839"/>
      <c r="B626" s="839"/>
      <c r="C626" s="838"/>
      <c r="E626" s="835"/>
    </row>
    <row r="627" spans="1:5" ht="21" customHeight="1">
      <c r="A627" s="839"/>
      <c r="B627" s="839"/>
      <c r="C627" s="838"/>
      <c r="E627" s="835"/>
    </row>
    <row r="628" spans="1:5" ht="21" customHeight="1">
      <c r="A628" s="839"/>
      <c r="B628" s="839"/>
      <c r="C628" s="838"/>
      <c r="E628" s="835"/>
    </row>
    <row r="629" spans="1:5" ht="21" customHeight="1">
      <c r="A629" s="839"/>
      <c r="B629" s="839"/>
      <c r="C629" s="838"/>
      <c r="E629" s="835"/>
    </row>
    <row r="630" spans="1:5" ht="21" customHeight="1">
      <c r="A630" s="839"/>
      <c r="B630" s="839"/>
      <c r="C630" s="838"/>
      <c r="E630" s="835"/>
    </row>
    <row r="631" spans="1:5" ht="21" customHeight="1">
      <c r="A631" s="839"/>
      <c r="B631" s="839"/>
      <c r="C631" s="838"/>
      <c r="E631" s="835"/>
    </row>
    <row r="632" spans="1:5" ht="21" customHeight="1">
      <c r="A632" s="839"/>
      <c r="B632" s="839"/>
      <c r="C632" s="838"/>
      <c r="E632" s="835"/>
    </row>
    <row r="633" spans="1:5" ht="21" customHeight="1">
      <c r="A633" s="839"/>
      <c r="B633" s="839"/>
      <c r="C633" s="838"/>
      <c r="E633" s="835"/>
    </row>
    <row r="634" spans="1:5" ht="21" customHeight="1">
      <c r="A634" s="839"/>
      <c r="B634" s="839"/>
      <c r="C634" s="838"/>
      <c r="E634" s="835"/>
    </row>
    <row r="635" spans="1:5" ht="21" customHeight="1">
      <c r="A635" s="839"/>
      <c r="B635" s="839"/>
      <c r="C635" s="838"/>
      <c r="E635" s="835"/>
    </row>
    <row r="636" spans="1:5" ht="21" customHeight="1">
      <c r="A636" s="839"/>
      <c r="B636" s="839"/>
      <c r="C636" s="838"/>
      <c r="E636" s="835"/>
    </row>
    <row r="637" spans="1:5" ht="21" customHeight="1">
      <c r="A637" s="839"/>
      <c r="B637" s="839"/>
      <c r="C637" s="838"/>
      <c r="E637" s="835"/>
    </row>
    <row r="638" spans="1:5" ht="21" customHeight="1">
      <c r="A638" s="839"/>
      <c r="B638" s="839"/>
      <c r="C638" s="838"/>
      <c r="E638" s="835"/>
    </row>
    <row r="639" spans="1:5" ht="21" customHeight="1">
      <c r="A639" s="839"/>
      <c r="B639" s="839"/>
      <c r="C639" s="838"/>
      <c r="E639" s="835"/>
    </row>
    <row r="640" spans="1:5" ht="21" customHeight="1">
      <c r="A640" s="839"/>
      <c r="B640" s="839"/>
      <c r="C640" s="838"/>
      <c r="E640" s="835"/>
    </row>
    <row r="641" spans="1:5" ht="21" customHeight="1">
      <c r="A641" s="839"/>
      <c r="B641" s="839"/>
      <c r="C641" s="838"/>
      <c r="E641" s="835"/>
    </row>
    <row r="642" spans="1:5" ht="21" customHeight="1">
      <c r="A642" s="839"/>
      <c r="B642" s="839"/>
      <c r="C642" s="838"/>
      <c r="E642" s="835"/>
    </row>
    <row r="643" spans="1:5" ht="21" customHeight="1">
      <c r="A643" s="839"/>
      <c r="B643" s="839"/>
      <c r="C643" s="838"/>
      <c r="E643" s="835"/>
    </row>
    <row r="644" spans="1:5" ht="21" customHeight="1">
      <c r="A644" s="839"/>
      <c r="B644" s="839"/>
      <c r="C644" s="838"/>
      <c r="E644" s="835"/>
    </row>
    <row r="645" spans="1:5" ht="21" customHeight="1">
      <c r="A645" s="839"/>
      <c r="B645" s="839"/>
      <c r="C645" s="838"/>
      <c r="E645" s="835"/>
    </row>
    <row r="646" spans="1:5" ht="21" customHeight="1">
      <c r="A646" s="839"/>
      <c r="B646" s="839"/>
      <c r="C646" s="838"/>
      <c r="E646" s="835"/>
    </row>
    <row r="647" spans="1:5" ht="21" customHeight="1">
      <c r="A647" s="839"/>
      <c r="B647" s="839"/>
      <c r="C647" s="838"/>
      <c r="E647" s="835"/>
    </row>
    <row r="648" spans="1:5" ht="21" customHeight="1">
      <c r="A648" s="839"/>
      <c r="B648" s="839"/>
      <c r="C648" s="838"/>
      <c r="E648" s="835"/>
    </row>
    <row r="649" spans="1:5" ht="21" customHeight="1">
      <c r="A649" s="839"/>
      <c r="B649" s="839"/>
      <c r="C649" s="838"/>
      <c r="E649" s="835"/>
    </row>
    <row r="650" spans="1:5" ht="21" customHeight="1">
      <c r="A650" s="839"/>
      <c r="B650" s="839"/>
      <c r="C650" s="838"/>
      <c r="E650" s="835"/>
    </row>
    <row r="651" spans="1:5" ht="21" customHeight="1">
      <c r="A651" s="839"/>
      <c r="B651" s="839"/>
      <c r="C651" s="838"/>
      <c r="E651" s="835"/>
    </row>
    <row r="652" spans="1:5" ht="21" customHeight="1">
      <c r="A652" s="839"/>
      <c r="B652" s="839"/>
      <c r="C652" s="838"/>
      <c r="E652" s="835"/>
    </row>
    <row r="653" spans="1:5" ht="21" customHeight="1">
      <c r="A653" s="839"/>
      <c r="B653" s="839"/>
      <c r="C653" s="838"/>
      <c r="E653" s="835"/>
    </row>
    <row r="654" spans="1:5" ht="21" customHeight="1">
      <c r="A654" s="839"/>
      <c r="B654" s="839"/>
      <c r="C654" s="838"/>
      <c r="E654" s="835"/>
    </row>
    <row r="655" spans="1:5" ht="21" customHeight="1">
      <c r="A655" s="839"/>
      <c r="B655" s="839"/>
      <c r="C655" s="838"/>
      <c r="E655" s="835"/>
    </row>
    <row r="656" spans="1:5" ht="21" customHeight="1">
      <c r="A656" s="839"/>
      <c r="B656" s="839"/>
      <c r="C656" s="838"/>
      <c r="E656" s="835"/>
    </row>
    <row r="657" spans="1:5" ht="21" customHeight="1">
      <c r="A657" s="839"/>
      <c r="B657" s="839"/>
      <c r="C657" s="838"/>
      <c r="E657" s="835"/>
    </row>
    <row r="658" spans="1:5" ht="21" customHeight="1">
      <c r="A658" s="839"/>
      <c r="B658" s="839"/>
      <c r="C658" s="838"/>
      <c r="E658" s="835"/>
    </row>
    <row r="659" spans="1:5" ht="21" customHeight="1">
      <c r="A659" s="839"/>
      <c r="B659" s="839"/>
      <c r="C659" s="838"/>
      <c r="E659" s="835"/>
    </row>
    <row r="660" spans="1:5" ht="21" customHeight="1">
      <c r="A660" s="839"/>
      <c r="B660" s="839"/>
      <c r="C660" s="838"/>
      <c r="E660" s="835"/>
    </row>
    <row r="661" spans="1:5" ht="21" customHeight="1">
      <c r="A661" s="839"/>
      <c r="B661" s="839"/>
      <c r="C661" s="838"/>
      <c r="E661" s="835"/>
    </row>
    <row r="662" spans="1:5" ht="21" customHeight="1">
      <c r="A662" s="839"/>
      <c r="B662" s="839"/>
      <c r="C662" s="838"/>
      <c r="E662" s="835"/>
    </row>
    <row r="663" spans="1:5" ht="21" customHeight="1">
      <c r="A663" s="839"/>
      <c r="B663" s="839"/>
      <c r="C663" s="838"/>
      <c r="E663" s="835"/>
    </row>
    <row r="664" spans="1:5" ht="21" customHeight="1">
      <c r="A664" s="839"/>
      <c r="B664" s="839"/>
      <c r="C664" s="838"/>
      <c r="E664" s="835"/>
    </row>
    <row r="665" spans="1:5" ht="21" customHeight="1">
      <c r="A665" s="839"/>
      <c r="B665" s="839"/>
      <c r="C665" s="838"/>
      <c r="E665" s="835"/>
    </row>
    <row r="666" spans="1:5" ht="21" customHeight="1">
      <c r="A666" s="839"/>
      <c r="B666" s="839"/>
      <c r="C666" s="838"/>
      <c r="E666" s="835"/>
    </row>
    <row r="667" spans="1:5" ht="21" customHeight="1">
      <c r="A667" s="839"/>
      <c r="B667" s="839"/>
      <c r="C667" s="838"/>
      <c r="E667" s="835"/>
    </row>
    <row r="668" spans="1:5" ht="21" customHeight="1">
      <c r="A668" s="839"/>
      <c r="B668" s="839"/>
      <c r="C668" s="838"/>
      <c r="E668" s="835"/>
    </row>
    <row r="669" spans="1:5" ht="21" customHeight="1">
      <c r="A669" s="839"/>
      <c r="B669" s="839"/>
      <c r="C669" s="838"/>
      <c r="E669" s="835"/>
    </row>
    <row r="670" spans="1:5" ht="21" customHeight="1">
      <c r="A670" s="839"/>
      <c r="B670" s="839"/>
      <c r="C670" s="838"/>
      <c r="E670" s="835"/>
    </row>
    <row r="671" spans="1:5" ht="21" customHeight="1">
      <c r="A671" s="839"/>
      <c r="B671" s="839"/>
      <c r="C671" s="838"/>
      <c r="E671" s="835"/>
    </row>
    <row r="672" spans="1:5" ht="21" customHeight="1">
      <c r="A672" s="839"/>
      <c r="B672" s="839"/>
      <c r="C672" s="838"/>
      <c r="E672" s="835"/>
    </row>
    <row r="673" spans="1:5" ht="21" customHeight="1">
      <c r="A673" s="839"/>
      <c r="B673" s="839"/>
      <c r="C673" s="838"/>
      <c r="E673" s="835"/>
    </row>
    <row r="674" spans="1:5" ht="21" customHeight="1">
      <c r="A674" s="839"/>
      <c r="B674" s="839"/>
      <c r="C674" s="838"/>
      <c r="E674" s="835"/>
    </row>
    <row r="675" spans="1:5" ht="21" customHeight="1">
      <c r="A675" s="839"/>
      <c r="B675" s="839"/>
      <c r="C675" s="838"/>
      <c r="E675" s="835"/>
    </row>
    <row r="676" spans="1:5" ht="21" customHeight="1">
      <c r="A676" s="839"/>
      <c r="B676" s="839"/>
      <c r="C676" s="838"/>
      <c r="E676" s="835"/>
    </row>
    <row r="677" spans="1:5" ht="21" customHeight="1">
      <c r="A677" s="839"/>
      <c r="B677" s="839"/>
      <c r="C677" s="838"/>
      <c r="E677" s="835"/>
    </row>
    <row r="678" spans="1:5" ht="21" customHeight="1">
      <c r="A678" s="839"/>
      <c r="B678" s="839"/>
      <c r="C678" s="838"/>
      <c r="E678" s="835"/>
    </row>
    <row r="679" spans="1:5" ht="21" customHeight="1">
      <c r="A679" s="839"/>
      <c r="B679" s="839"/>
      <c r="C679" s="838"/>
      <c r="E679" s="835"/>
    </row>
    <row r="680" spans="1:5" ht="21" customHeight="1">
      <c r="A680" s="839"/>
      <c r="B680" s="839"/>
      <c r="C680" s="838"/>
      <c r="E680" s="835"/>
    </row>
    <row r="681" spans="1:5" ht="21" customHeight="1">
      <c r="A681" s="839"/>
      <c r="B681" s="839"/>
      <c r="C681" s="838"/>
      <c r="E681" s="835"/>
    </row>
    <row r="682" spans="1:5" ht="21" customHeight="1">
      <c r="A682" s="839"/>
      <c r="B682" s="839"/>
      <c r="C682" s="838"/>
      <c r="E682" s="835"/>
    </row>
    <row r="683" spans="1:5" ht="21" customHeight="1">
      <c r="A683" s="839"/>
      <c r="B683" s="839"/>
      <c r="C683" s="838"/>
      <c r="E683" s="835"/>
    </row>
    <row r="684" spans="1:5" ht="21" customHeight="1">
      <c r="A684" s="839"/>
      <c r="B684" s="839"/>
      <c r="C684" s="838"/>
      <c r="E684" s="835"/>
    </row>
    <row r="685" spans="1:5" ht="21" customHeight="1">
      <c r="A685" s="839"/>
      <c r="B685" s="839"/>
      <c r="C685" s="838"/>
      <c r="E685" s="835"/>
    </row>
    <row r="686" spans="1:5" ht="21" customHeight="1">
      <c r="A686" s="839"/>
      <c r="B686" s="839"/>
      <c r="C686" s="838"/>
      <c r="E686" s="835"/>
    </row>
    <row r="687" spans="1:5" ht="21" customHeight="1">
      <c r="A687" s="839"/>
      <c r="B687" s="839"/>
      <c r="C687" s="838"/>
      <c r="E687" s="835"/>
    </row>
    <row r="688" spans="1:5" ht="21" customHeight="1">
      <c r="A688" s="839"/>
      <c r="B688" s="839"/>
      <c r="C688" s="838"/>
      <c r="E688" s="835"/>
    </row>
    <row r="689" spans="1:5" ht="21" customHeight="1">
      <c r="A689" s="839"/>
      <c r="B689" s="839"/>
      <c r="C689" s="838"/>
      <c r="E689" s="835"/>
    </row>
    <row r="690" spans="1:5" ht="21" customHeight="1">
      <c r="A690" s="839"/>
      <c r="B690" s="839"/>
      <c r="C690" s="838"/>
      <c r="E690" s="835"/>
    </row>
    <row r="691" spans="1:5" ht="21" customHeight="1">
      <c r="A691" s="839"/>
      <c r="B691" s="839"/>
      <c r="C691" s="838"/>
      <c r="E691" s="835"/>
    </row>
    <row r="692" spans="1:5" ht="21" customHeight="1">
      <c r="A692" s="839"/>
      <c r="B692" s="839"/>
      <c r="C692" s="838"/>
      <c r="E692" s="835"/>
    </row>
    <row r="693" spans="1:5" ht="21" customHeight="1">
      <c r="A693" s="839"/>
      <c r="B693" s="839"/>
      <c r="C693" s="838"/>
      <c r="E693" s="835"/>
    </row>
    <row r="694" spans="1:5" ht="21" customHeight="1">
      <c r="A694" s="839"/>
      <c r="B694" s="839"/>
      <c r="C694" s="838"/>
      <c r="E694" s="835"/>
    </row>
    <row r="695" spans="1:5" ht="21" customHeight="1">
      <c r="A695" s="839"/>
      <c r="B695" s="839"/>
      <c r="C695" s="838"/>
      <c r="E695" s="835"/>
    </row>
    <row r="696" spans="1:5" ht="21" customHeight="1">
      <c r="A696" s="839"/>
      <c r="B696" s="839"/>
      <c r="C696" s="838"/>
      <c r="E696" s="835"/>
    </row>
    <row r="697" spans="1:5" ht="21" customHeight="1">
      <c r="A697" s="839"/>
      <c r="B697" s="839"/>
      <c r="C697" s="838"/>
      <c r="E697" s="835"/>
    </row>
    <row r="698" spans="1:5" ht="21" customHeight="1">
      <c r="A698" s="839"/>
      <c r="B698" s="839"/>
      <c r="C698" s="838"/>
      <c r="E698" s="835"/>
    </row>
    <row r="699" spans="1:5" ht="21" customHeight="1">
      <c r="A699" s="839"/>
      <c r="B699" s="839"/>
      <c r="C699" s="838"/>
      <c r="E699" s="835"/>
    </row>
    <row r="700" spans="1:5" ht="21" customHeight="1">
      <c r="A700" s="839"/>
      <c r="B700" s="839"/>
      <c r="C700" s="838"/>
      <c r="E700" s="835"/>
    </row>
    <row r="701" spans="1:5" ht="21" customHeight="1">
      <c r="A701" s="839"/>
      <c r="B701" s="839"/>
      <c r="C701" s="838"/>
      <c r="E701" s="835"/>
    </row>
    <row r="702" spans="1:5" ht="21" customHeight="1">
      <c r="A702" s="839"/>
      <c r="B702" s="839"/>
      <c r="C702" s="838"/>
      <c r="E702" s="835"/>
    </row>
    <row r="703" spans="1:5" ht="21" customHeight="1">
      <c r="A703" s="839"/>
      <c r="B703" s="839"/>
      <c r="C703" s="838"/>
      <c r="E703" s="835"/>
    </row>
    <row r="704" spans="1:5" ht="21" customHeight="1">
      <c r="A704" s="839"/>
      <c r="B704" s="839"/>
      <c r="C704" s="838"/>
      <c r="E704" s="835"/>
    </row>
    <row r="705" spans="1:5" ht="21" customHeight="1">
      <c r="A705" s="839"/>
      <c r="B705" s="839"/>
      <c r="C705" s="838"/>
      <c r="E705" s="835"/>
    </row>
    <row r="706" spans="1:5" ht="21" customHeight="1">
      <c r="A706" s="839"/>
      <c r="B706" s="839"/>
      <c r="C706" s="838"/>
      <c r="E706" s="835"/>
    </row>
    <row r="707" spans="1:5" ht="21" customHeight="1">
      <c r="A707" s="839"/>
      <c r="B707" s="839"/>
      <c r="C707" s="838"/>
      <c r="E707" s="835"/>
    </row>
    <row r="708" spans="1:5" ht="21" customHeight="1">
      <c r="A708" s="839"/>
      <c r="B708" s="839"/>
      <c r="C708" s="838"/>
      <c r="E708" s="835"/>
    </row>
    <row r="709" spans="1:5" ht="21" customHeight="1">
      <c r="A709" s="839"/>
      <c r="B709" s="839"/>
      <c r="C709" s="838"/>
      <c r="E709" s="835"/>
    </row>
    <row r="710" spans="1:5" ht="21" customHeight="1">
      <c r="A710" s="839"/>
      <c r="B710" s="839"/>
      <c r="C710" s="838"/>
      <c r="E710" s="835"/>
    </row>
    <row r="711" spans="1:5" ht="21" customHeight="1">
      <c r="A711" s="839"/>
      <c r="B711" s="839"/>
      <c r="C711" s="838"/>
      <c r="E711" s="835"/>
    </row>
    <row r="712" spans="1:5" ht="21" customHeight="1">
      <c r="A712" s="839"/>
      <c r="B712" s="839"/>
      <c r="C712" s="838"/>
      <c r="E712" s="835"/>
    </row>
    <row r="713" spans="1:5" ht="21" customHeight="1">
      <c r="A713" s="839"/>
      <c r="B713" s="839"/>
      <c r="C713" s="838"/>
      <c r="E713" s="835"/>
    </row>
    <row r="714" spans="1:5" ht="21" customHeight="1">
      <c r="A714" s="839"/>
      <c r="B714" s="839"/>
      <c r="C714" s="838"/>
      <c r="E714" s="835"/>
    </row>
    <row r="715" spans="1:5" ht="21" customHeight="1">
      <c r="A715" s="839"/>
      <c r="B715" s="839"/>
      <c r="C715" s="838"/>
      <c r="E715" s="835"/>
    </row>
    <row r="716" spans="1:5" ht="21" customHeight="1">
      <c r="A716" s="839"/>
      <c r="B716" s="839"/>
      <c r="C716" s="838"/>
      <c r="E716" s="835"/>
    </row>
    <row r="717" spans="1:5" ht="21" customHeight="1">
      <c r="A717" s="839"/>
      <c r="B717" s="839"/>
      <c r="C717" s="838"/>
      <c r="E717" s="835"/>
    </row>
    <row r="718" spans="1:5" ht="21" customHeight="1">
      <c r="A718" s="839"/>
      <c r="B718" s="839"/>
      <c r="C718" s="838"/>
      <c r="E718" s="835"/>
    </row>
    <row r="719" spans="1:5" ht="21" customHeight="1">
      <c r="A719" s="839"/>
      <c r="B719" s="839"/>
      <c r="C719" s="838"/>
      <c r="E719" s="835"/>
    </row>
    <row r="720" spans="1:5" ht="21" customHeight="1">
      <c r="A720" s="839"/>
      <c r="B720" s="839"/>
      <c r="C720" s="838"/>
      <c r="E720" s="835"/>
    </row>
    <row r="721" spans="1:5" ht="21" customHeight="1">
      <c r="A721" s="839"/>
      <c r="B721" s="839"/>
      <c r="C721" s="838"/>
      <c r="E721" s="835"/>
    </row>
    <row r="722" spans="1:5" ht="21" customHeight="1">
      <c r="A722" s="839"/>
      <c r="B722" s="839"/>
      <c r="C722" s="838"/>
      <c r="E722" s="835"/>
    </row>
    <row r="723" spans="1:5" ht="21" customHeight="1">
      <c r="A723" s="839"/>
      <c r="B723" s="839"/>
      <c r="C723" s="838"/>
      <c r="E723" s="835"/>
    </row>
    <row r="724" spans="1:5" ht="21" customHeight="1">
      <c r="A724" s="839"/>
      <c r="B724" s="839"/>
      <c r="C724" s="838"/>
      <c r="E724" s="835"/>
    </row>
    <row r="725" spans="1:5" ht="21" customHeight="1">
      <c r="A725" s="839"/>
      <c r="B725" s="839"/>
      <c r="C725" s="838"/>
      <c r="E725" s="835"/>
    </row>
    <row r="726" spans="1:5" ht="21" customHeight="1">
      <c r="A726" s="839"/>
      <c r="B726" s="839"/>
      <c r="C726" s="838"/>
      <c r="E726" s="835"/>
    </row>
    <row r="727" spans="1:5" ht="21" customHeight="1">
      <c r="A727" s="839"/>
      <c r="B727" s="839"/>
      <c r="C727" s="838"/>
      <c r="E727" s="835"/>
    </row>
    <row r="728" spans="1:5" ht="21" customHeight="1">
      <c r="A728" s="839"/>
      <c r="B728" s="839"/>
      <c r="C728" s="838"/>
      <c r="E728" s="835"/>
    </row>
    <row r="729" spans="1:5" ht="21" customHeight="1">
      <c r="A729" s="839"/>
      <c r="B729" s="839"/>
      <c r="C729" s="838"/>
      <c r="E729" s="835"/>
    </row>
    <row r="730" spans="1:5" ht="21" customHeight="1">
      <c r="A730" s="839"/>
      <c r="B730" s="839"/>
      <c r="C730" s="838"/>
      <c r="E730" s="835"/>
    </row>
    <row r="731" spans="1:5" ht="21" customHeight="1">
      <c r="A731" s="839"/>
      <c r="B731" s="839"/>
      <c r="C731" s="838"/>
      <c r="E731" s="835"/>
    </row>
    <row r="732" spans="1:5" ht="21" customHeight="1">
      <c r="A732" s="839"/>
      <c r="B732" s="839"/>
      <c r="C732" s="838"/>
      <c r="E732" s="835"/>
    </row>
    <row r="733" spans="1:5" ht="21" customHeight="1">
      <c r="A733" s="839"/>
      <c r="B733" s="839"/>
      <c r="C733" s="838"/>
      <c r="E733" s="835"/>
    </row>
    <row r="734" spans="1:5" ht="21" customHeight="1">
      <c r="A734" s="839"/>
      <c r="B734" s="839"/>
      <c r="C734" s="838"/>
      <c r="E734" s="835"/>
    </row>
    <row r="735" spans="1:5" ht="21" customHeight="1">
      <c r="A735" s="839"/>
      <c r="B735" s="839"/>
      <c r="C735" s="838"/>
      <c r="E735" s="835"/>
    </row>
    <row r="736" spans="1:5" ht="21" customHeight="1">
      <c r="A736" s="839"/>
      <c r="B736" s="839"/>
      <c r="C736" s="838"/>
      <c r="E736" s="835"/>
    </row>
    <row r="737" spans="1:5" ht="21" customHeight="1">
      <c r="A737" s="839"/>
      <c r="B737" s="839"/>
      <c r="C737" s="838"/>
      <c r="E737" s="835"/>
    </row>
    <row r="738" spans="1:5" ht="21" customHeight="1">
      <c r="A738" s="839"/>
      <c r="B738" s="839"/>
      <c r="C738" s="838"/>
      <c r="E738" s="835"/>
    </row>
    <row r="739" spans="1:5" ht="21" customHeight="1">
      <c r="A739" s="839"/>
      <c r="B739" s="839"/>
      <c r="C739" s="838"/>
      <c r="E739" s="835"/>
    </row>
    <row r="740" spans="1:5" ht="21" customHeight="1">
      <c r="A740" s="839"/>
      <c r="B740" s="839"/>
      <c r="C740" s="838"/>
      <c r="E740" s="835"/>
    </row>
    <row r="741" spans="1:5" ht="21" customHeight="1">
      <c r="A741" s="839"/>
      <c r="B741" s="839"/>
      <c r="C741" s="838"/>
      <c r="E741" s="835"/>
    </row>
    <row r="742" spans="1:5" ht="21" customHeight="1">
      <c r="A742" s="839"/>
      <c r="B742" s="839"/>
      <c r="C742" s="838"/>
      <c r="E742" s="835"/>
    </row>
    <row r="743" spans="1:5" ht="21" customHeight="1">
      <c r="A743" s="839"/>
      <c r="B743" s="839"/>
      <c r="C743" s="838"/>
      <c r="E743" s="835"/>
    </row>
    <row r="744" spans="1:5" ht="21" customHeight="1">
      <c r="A744" s="839"/>
      <c r="B744" s="839"/>
      <c r="C744" s="838"/>
      <c r="E744" s="835"/>
    </row>
    <row r="745" spans="1:5" ht="21" customHeight="1">
      <c r="A745" s="839"/>
      <c r="B745" s="839"/>
      <c r="C745" s="838"/>
      <c r="E745" s="835"/>
    </row>
    <row r="746" spans="1:5" ht="21" customHeight="1">
      <c r="A746" s="839"/>
      <c r="B746" s="839"/>
      <c r="C746" s="838"/>
      <c r="E746" s="835"/>
    </row>
    <row r="747" spans="1:5" ht="21" customHeight="1">
      <c r="A747" s="839"/>
      <c r="B747" s="839"/>
      <c r="C747" s="838"/>
      <c r="E747" s="835"/>
    </row>
    <row r="748" spans="1:5" ht="21" customHeight="1">
      <c r="A748" s="839"/>
      <c r="B748" s="839"/>
      <c r="C748" s="838"/>
      <c r="E748" s="835"/>
    </row>
    <row r="749" spans="1:5" ht="21" customHeight="1">
      <c r="A749" s="839"/>
      <c r="B749" s="839"/>
      <c r="C749" s="838"/>
      <c r="E749" s="835"/>
    </row>
    <row r="750" spans="1:5" ht="21" customHeight="1">
      <c r="A750" s="839"/>
      <c r="B750" s="839"/>
      <c r="C750" s="838"/>
      <c r="E750" s="835"/>
    </row>
    <row r="751" spans="1:5" ht="21" customHeight="1">
      <c r="A751" s="839"/>
      <c r="B751" s="839"/>
      <c r="C751" s="838"/>
      <c r="E751" s="835"/>
    </row>
    <row r="752" spans="1:5" ht="21" customHeight="1">
      <c r="A752" s="839"/>
      <c r="B752" s="839"/>
      <c r="C752" s="838"/>
      <c r="E752" s="835"/>
    </row>
    <row r="753" spans="1:5" ht="21" customHeight="1">
      <c r="A753" s="839"/>
      <c r="B753" s="839"/>
      <c r="C753" s="838"/>
      <c r="E753" s="835"/>
    </row>
    <row r="754" spans="1:5" ht="21" customHeight="1">
      <c r="A754" s="839"/>
      <c r="B754" s="839"/>
      <c r="C754" s="838"/>
      <c r="E754" s="835"/>
    </row>
    <row r="755" spans="1:5" ht="21" customHeight="1">
      <c r="A755" s="839"/>
      <c r="B755" s="839"/>
      <c r="C755" s="838"/>
      <c r="E755" s="835"/>
    </row>
    <row r="756" spans="1:5" ht="21" customHeight="1">
      <c r="A756" s="839"/>
      <c r="B756" s="839"/>
      <c r="C756" s="838"/>
      <c r="E756" s="835"/>
    </row>
    <row r="757" spans="1:5" ht="21" customHeight="1">
      <c r="A757" s="839"/>
      <c r="B757" s="839"/>
      <c r="C757" s="838"/>
      <c r="E757" s="835"/>
    </row>
    <row r="758" spans="1:5" ht="21" customHeight="1">
      <c r="A758" s="839"/>
      <c r="B758" s="839"/>
      <c r="C758" s="838"/>
      <c r="E758" s="835"/>
    </row>
    <row r="759" spans="1:5" ht="21" customHeight="1">
      <c r="A759" s="839"/>
      <c r="B759" s="839"/>
      <c r="C759" s="838"/>
      <c r="E759" s="835"/>
    </row>
    <row r="760" spans="1:5" ht="21" customHeight="1">
      <c r="A760" s="839"/>
      <c r="B760" s="839"/>
      <c r="C760" s="838"/>
      <c r="E760" s="835"/>
    </row>
    <row r="761" spans="1:5" ht="21" customHeight="1">
      <c r="A761" s="839"/>
      <c r="B761" s="839"/>
      <c r="C761" s="838"/>
      <c r="E761" s="835"/>
    </row>
    <row r="762" spans="1:5" ht="21" customHeight="1">
      <c r="A762" s="839"/>
      <c r="B762" s="839"/>
      <c r="C762" s="838"/>
      <c r="E762" s="835"/>
    </row>
    <row r="763" spans="1:5" ht="21" customHeight="1">
      <c r="A763" s="839"/>
      <c r="B763" s="839"/>
      <c r="C763" s="838"/>
      <c r="E763" s="835"/>
    </row>
    <row r="764" spans="1:5" ht="21" customHeight="1">
      <c r="A764" s="839"/>
      <c r="B764" s="839"/>
      <c r="C764" s="838"/>
      <c r="E764" s="835"/>
    </row>
    <row r="765" spans="1:5" ht="21" customHeight="1">
      <c r="A765" s="839"/>
      <c r="B765" s="839"/>
      <c r="C765" s="838"/>
      <c r="E765" s="835"/>
    </row>
    <row r="766" spans="1:5" ht="21" customHeight="1">
      <c r="A766" s="839"/>
      <c r="B766" s="839"/>
      <c r="C766" s="838"/>
      <c r="E766" s="835"/>
    </row>
    <row r="767" spans="1:5" ht="21" customHeight="1">
      <c r="A767" s="839"/>
      <c r="B767" s="839"/>
      <c r="C767" s="838"/>
      <c r="E767" s="835"/>
    </row>
    <row r="768" spans="1:5" ht="21" customHeight="1">
      <c r="A768" s="839"/>
      <c r="B768" s="839"/>
      <c r="C768" s="838"/>
      <c r="E768" s="835"/>
    </row>
    <row r="769" spans="1:5" ht="21" customHeight="1">
      <c r="A769" s="839"/>
      <c r="B769" s="839"/>
      <c r="C769" s="838"/>
      <c r="E769" s="835"/>
    </row>
    <row r="770" spans="1:5" ht="21" customHeight="1">
      <c r="A770" s="839"/>
      <c r="B770" s="839"/>
      <c r="C770" s="838"/>
      <c r="E770" s="835"/>
    </row>
    <row r="771" spans="1:5" ht="21" customHeight="1">
      <c r="A771" s="839"/>
      <c r="B771" s="839"/>
      <c r="C771" s="838"/>
      <c r="E771" s="835"/>
    </row>
    <row r="772" spans="1:5" ht="21" customHeight="1">
      <c r="A772" s="839"/>
      <c r="B772" s="839"/>
      <c r="C772" s="838"/>
      <c r="E772" s="835"/>
    </row>
    <row r="773" spans="1:5" ht="21" customHeight="1">
      <c r="A773" s="839"/>
      <c r="B773" s="839"/>
      <c r="C773" s="838"/>
      <c r="E773" s="835"/>
    </row>
    <row r="774" spans="1:5" ht="21" customHeight="1">
      <c r="A774" s="839"/>
      <c r="B774" s="839"/>
      <c r="C774" s="838"/>
      <c r="E774" s="835"/>
    </row>
    <row r="775" spans="1:5" ht="21" customHeight="1">
      <c r="A775" s="839"/>
      <c r="B775" s="839"/>
      <c r="C775" s="838"/>
      <c r="E775" s="835"/>
    </row>
    <row r="776" spans="1:5" ht="21" customHeight="1">
      <c r="A776" s="839"/>
      <c r="B776" s="839"/>
      <c r="C776" s="838"/>
      <c r="E776" s="835"/>
    </row>
    <row r="777" spans="1:5" ht="21" customHeight="1">
      <c r="A777" s="839"/>
      <c r="B777" s="839"/>
      <c r="C777" s="838"/>
      <c r="E777" s="835"/>
    </row>
    <row r="778" spans="1:5" ht="21" customHeight="1">
      <c r="A778" s="839"/>
      <c r="B778" s="839"/>
      <c r="C778" s="838"/>
      <c r="E778" s="835"/>
    </row>
    <row r="779" spans="1:5" ht="21" customHeight="1">
      <c r="A779" s="839"/>
      <c r="B779" s="839"/>
      <c r="C779" s="838"/>
      <c r="E779" s="835"/>
    </row>
    <row r="780" spans="1:5" ht="21" customHeight="1">
      <c r="A780" s="839"/>
      <c r="B780" s="839"/>
      <c r="C780" s="838"/>
      <c r="E780" s="835"/>
    </row>
    <row r="781" spans="1:5" ht="21" customHeight="1">
      <c r="A781" s="839"/>
      <c r="B781" s="839"/>
      <c r="C781" s="838"/>
      <c r="E781" s="835"/>
    </row>
    <row r="782" spans="1:5" ht="21" customHeight="1">
      <c r="A782" s="839"/>
      <c r="B782" s="839"/>
      <c r="C782" s="838"/>
      <c r="E782" s="835"/>
    </row>
    <row r="783" spans="1:5" ht="21" customHeight="1">
      <c r="A783" s="839"/>
      <c r="B783" s="839"/>
      <c r="C783" s="838"/>
      <c r="E783" s="835"/>
    </row>
    <row r="784" spans="1:5" ht="21" customHeight="1">
      <c r="A784" s="839"/>
      <c r="B784" s="839"/>
      <c r="C784" s="838"/>
      <c r="E784" s="835"/>
    </row>
    <row r="785" spans="1:5" ht="21" customHeight="1">
      <c r="A785" s="839"/>
      <c r="B785" s="839"/>
      <c r="C785" s="838"/>
      <c r="E785" s="835"/>
    </row>
    <row r="786" spans="1:5" ht="21" customHeight="1">
      <c r="A786" s="839"/>
      <c r="B786" s="839"/>
      <c r="C786" s="838"/>
      <c r="E786" s="835"/>
    </row>
    <row r="787" spans="1:5" ht="21" customHeight="1">
      <c r="A787" s="839"/>
      <c r="B787" s="839"/>
      <c r="C787" s="838"/>
      <c r="E787" s="835"/>
    </row>
    <row r="788" spans="1:5" ht="21" customHeight="1">
      <c r="A788" s="839"/>
      <c r="B788" s="839"/>
      <c r="C788" s="838"/>
      <c r="E788" s="835"/>
    </row>
    <row r="789" spans="1:5" ht="21" customHeight="1">
      <c r="A789" s="839"/>
      <c r="B789" s="839"/>
      <c r="C789" s="838"/>
      <c r="E789" s="835"/>
    </row>
    <row r="790" spans="1:5" ht="21" customHeight="1">
      <c r="A790" s="839"/>
      <c r="B790" s="839"/>
      <c r="C790" s="838"/>
      <c r="E790" s="835"/>
    </row>
    <row r="791" spans="1:5" ht="21" customHeight="1">
      <c r="A791" s="839"/>
      <c r="B791" s="839"/>
      <c r="C791" s="838"/>
      <c r="E791" s="835"/>
    </row>
    <row r="792" spans="1:5" ht="21" customHeight="1">
      <c r="A792" s="839"/>
      <c r="B792" s="839"/>
      <c r="C792" s="838"/>
      <c r="E792" s="835"/>
    </row>
    <row r="793" spans="1:5" ht="21" customHeight="1">
      <c r="A793" s="839"/>
      <c r="B793" s="839"/>
      <c r="C793" s="838"/>
      <c r="E793" s="835"/>
    </row>
    <row r="794" spans="1:5" ht="21" customHeight="1">
      <c r="A794" s="839"/>
      <c r="B794" s="839"/>
      <c r="C794" s="838"/>
      <c r="E794" s="835"/>
    </row>
    <row r="795" spans="1:5" ht="21" customHeight="1">
      <c r="A795" s="839"/>
      <c r="B795" s="839"/>
      <c r="C795" s="838"/>
      <c r="E795" s="835"/>
    </row>
    <row r="796" spans="1:5" ht="21" customHeight="1">
      <c r="A796" s="839"/>
      <c r="B796" s="839"/>
      <c r="C796" s="838"/>
      <c r="E796" s="835"/>
    </row>
    <row r="797" spans="1:5" ht="21" customHeight="1">
      <c r="A797" s="839"/>
      <c r="B797" s="839"/>
      <c r="C797" s="838"/>
      <c r="E797" s="835"/>
    </row>
    <row r="798" spans="1:5" ht="21" customHeight="1">
      <c r="A798" s="839"/>
      <c r="B798" s="839"/>
      <c r="C798" s="838"/>
      <c r="E798" s="835"/>
    </row>
    <row r="799" spans="1:5" ht="21" customHeight="1">
      <c r="A799" s="839"/>
      <c r="B799" s="839"/>
      <c r="C799" s="838"/>
      <c r="E799" s="835"/>
    </row>
    <row r="800" spans="1:5" ht="21" customHeight="1">
      <c r="A800" s="839"/>
      <c r="B800" s="839"/>
      <c r="C800" s="838"/>
      <c r="E800" s="835"/>
    </row>
    <row r="801" spans="1:5" ht="21" customHeight="1">
      <c r="A801" s="839"/>
      <c r="B801" s="839"/>
      <c r="C801" s="838"/>
      <c r="E801" s="835"/>
    </row>
    <row r="802" spans="1:5" ht="21" customHeight="1">
      <c r="A802" s="839"/>
      <c r="B802" s="839"/>
      <c r="C802" s="838"/>
      <c r="E802" s="835"/>
    </row>
    <row r="803" spans="1:5" ht="21" customHeight="1">
      <c r="A803" s="839"/>
      <c r="B803" s="839"/>
      <c r="C803" s="838"/>
      <c r="E803" s="835"/>
    </row>
    <row r="804" spans="1:5" ht="21" customHeight="1">
      <c r="A804" s="839"/>
      <c r="B804" s="839"/>
      <c r="C804" s="838"/>
      <c r="E804" s="835"/>
    </row>
    <row r="805" spans="1:5" ht="21" customHeight="1">
      <c r="A805" s="839"/>
      <c r="B805" s="839"/>
      <c r="C805" s="838"/>
      <c r="E805" s="835"/>
    </row>
    <row r="806" spans="1:5" ht="21" customHeight="1">
      <c r="A806" s="839"/>
      <c r="B806" s="839"/>
      <c r="C806" s="838"/>
      <c r="E806" s="835"/>
    </row>
    <row r="807" spans="1:5" ht="21" customHeight="1">
      <c r="A807" s="839"/>
      <c r="B807" s="839"/>
      <c r="C807" s="838"/>
      <c r="E807" s="835"/>
    </row>
    <row r="808" spans="1:5" ht="21" customHeight="1">
      <c r="A808" s="839"/>
      <c r="B808" s="839"/>
      <c r="C808" s="838"/>
      <c r="E808" s="835"/>
    </row>
    <row r="809" spans="1:5" ht="21" customHeight="1">
      <c r="A809" s="839"/>
      <c r="B809" s="839"/>
      <c r="C809" s="838"/>
      <c r="E809" s="835"/>
    </row>
    <row r="810" spans="1:5" ht="21" customHeight="1">
      <c r="A810" s="839"/>
      <c r="B810" s="839"/>
      <c r="C810" s="838"/>
      <c r="E810" s="835"/>
    </row>
    <row r="811" spans="1:5" ht="21" customHeight="1">
      <c r="A811" s="839"/>
      <c r="B811" s="839"/>
      <c r="C811" s="838"/>
      <c r="E811" s="835"/>
    </row>
    <row r="812" spans="1:5" ht="21" customHeight="1">
      <c r="A812" s="839"/>
      <c r="B812" s="839"/>
      <c r="C812" s="838"/>
      <c r="E812" s="835"/>
    </row>
    <row r="813" spans="1:5" ht="21" customHeight="1">
      <c r="A813" s="839"/>
      <c r="B813" s="839"/>
      <c r="C813" s="838"/>
      <c r="E813" s="835"/>
    </row>
    <row r="814" spans="1:5" ht="21" customHeight="1">
      <c r="A814" s="839"/>
      <c r="B814" s="839"/>
      <c r="C814" s="838"/>
      <c r="E814" s="835"/>
    </row>
    <row r="815" spans="1:5" ht="21" customHeight="1">
      <c r="A815" s="839"/>
      <c r="B815" s="839"/>
      <c r="C815" s="838"/>
      <c r="E815" s="835"/>
    </row>
    <row r="816" spans="1:5" ht="21" customHeight="1">
      <c r="A816" s="839"/>
      <c r="B816" s="839"/>
      <c r="C816" s="838"/>
      <c r="E816" s="835"/>
    </row>
    <row r="817" spans="1:5" ht="21" customHeight="1">
      <c r="A817" s="839"/>
      <c r="B817" s="839"/>
      <c r="C817" s="838"/>
      <c r="E817" s="835"/>
    </row>
    <row r="818" spans="1:5" ht="21" customHeight="1">
      <c r="A818" s="839"/>
      <c r="B818" s="839"/>
      <c r="C818" s="838"/>
      <c r="E818" s="835"/>
    </row>
    <row r="819" spans="1:5" ht="21" customHeight="1">
      <c r="A819" s="839"/>
      <c r="B819" s="839"/>
      <c r="C819" s="838"/>
      <c r="E819" s="835"/>
    </row>
    <row r="820" spans="1:5" ht="21" customHeight="1">
      <c r="A820" s="839"/>
      <c r="B820" s="839"/>
      <c r="C820" s="838"/>
      <c r="E820" s="835"/>
    </row>
    <row r="821" spans="1:5" ht="21" customHeight="1">
      <c r="A821" s="839"/>
      <c r="B821" s="839"/>
      <c r="C821" s="838"/>
      <c r="E821" s="835"/>
    </row>
    <row r="822" spans="1:5" ht="21" customHeight="1">
      <c r="A822" s="839"/>
      <c r="B822" s="839"/>
      <c r="C822" s="838"/>
      <c r="E822" s="835"/>
    </row>
    <row r="823" spans="1:5" ht="21" customHeight="1">
      <c r="A823" s="839"/>
      <c r="B823" s="839"/>
      <c r="C823" s="838"/>
      <c r="E823" s="835"/>
    </row>
    <row r="824" spans="1:5" ht="21" customHeight="1">
      <c r="A824" s="839"/>
      <c r="B824" s="839"/>
      <c r="C824" s="838"/>
      <c r="E824" s="835"/>
    </row>
    <row r="825" spans="1:5" ht="21" customHeight="1">
      <c r="A825" s="839"/>
      <c r="B825" s="839"/>
      <c r="C825" s="838"/>
      <c r="E825" s="835"/>
    </row>
    <row r="826" spans="1:5" ht="21" customHeight="1">
      <c r="A826" s="839"/>
      <c r="B826" s="839"/>
      <c r="C826" s="838"/>
      <c r="E826" s="835"/>
    </row>
    <row r="827" spans="1:5" ht="21" customHeight="1">
      <c r="A827" s="839"/>
      <c r="B827" s="839"/>
      <c r="C827" s="838"/>
      <c r="E827" s="835"/>
    </row>
    <row r="828" spans="1:5" ht="21" customHeight="1">
      <c r="A828" s="839"/>
      <c r="B828" s="839"/>
      <c r="C828" s="838"/>
      <c r="E828" s="835"/>
    </row>
    <row r="829" spans="1:5" ht="21" customHeight="1">
      <c r="A829" s="839"/>
      <c r="B829" s="839"/>
      <c r="C829" s="838"/>
      <c r="E829" s="835"/>
    </row>
    <row r="830" spans="1:5" ht="21" customHeight="1">
      <c r="A830" s="839"/>
      <c r="B830" s="839"/>
      <c r="C830" s="838"/>
      <c r="E830" s="835"/>
    </row>
    <row r="831" spans="1:5" ht="21" customHeight="1">
      <c r="A831" s="839"/>
      <c r="B831" s="839"/>
      <c r="C831" s="838"/>
      <c r="E831" s="835"/>
    </row>
    <row r="832" spans="1:5" ht="21" customHeight="1">
      <c r="A832" s="839"/>
      <c r="B832" s="839"/>
      <c r="C832" s="838"/>
      <c r="E832" s="835"/>
    </row>
    <row r="833" spans="1:5" ht="21" customHeight="1">
      <c r="A833" s="839"/>
      <c r="B833" s="839"/>
      <c r="C833" s="838"/>
      <c r="E833" s="835"/>
    </row>
    <row r="834" spans="1:5" ht="21" customHeight="1">
      <c r="A834" s="839"/>
      <c r="B834" s="839"/>
      <c r="C834" s="838"/>
      <c r="E834" s="835"/>
    </row>
    <row r="835" spans="1:5" ht="21" customHeight="1">
      <c r="A835" s="839"/>
      <c r="B835" s="839"/>
      <c r="C835" s="838"/>
      <c r="E835" s="835"/>
    </row>
    <row r="836" spans="1:5" ht="21" customHeight="1">
      <c r="A836" s="839"/>
      <c r="B836" s="839"/>
      <c r="C836" s="838"/>
      <c r="E836" s="835"/>
    </row>
    <row r="837" spans="1:5" ht="21" customHeight="1">
      <c r="A837" s="839"/>
      <c r="B837" s="839"/>
      <c r="C837" s="838"/>
      <c r="E837" s="835"/>
    </row>
    <row r="838" spans="1:5" ht="21" customHeight="1">
      <c r="A838" s="839"/>
      <c r="B838" s="839"/>
      <c r="C838" s="838"/>
      <c r="E838" s="835"/>
    </row>
    <row r="839" spans="1:5" ht="21" customHeight="1">
      <c r="A839" s="839"/>
      <c r="B839" s="839"/>
      <c r="C839" s="838"/>
      <c r="E839" s="835"/>
    </row>
    <row r="840" spans="1:5" ht="21" customHeight="1">
      <c r="A840" s="839"/>
      <c r="B840" s="839"/>
      <c r="C840" s="838"/>
      <c r="E840" s="835"/>
    </row>
    <row r="841" spans="1:5" ht="21" customHeight="1">
      <c r="A841" s="839"/>
      <c r="B841" s="839"/>
      <c r="C841" s="838"/>
      <c r="E841" s="835"/>
    </row>
    <row r="842" spans="1:5" ht="21" customHeight="1">
      <c r="A842" s="839"/>
      <c r="B842" s="839"/>
      <c r="C842" s="838"/>
      <c r="E842" s="835"/>
    </row>
    <row r="843" spans="1:5" ht="21" customHeight="1">
      <c r="A843" s="839"/>
      <c r="B843" s="839"/>
      <c r="C843" s="838"/>
      <c r="E843" s="835"/>
    </row>
    <row r="844" spans="1:5" ht="21" customHeight="1">
      <c r="A844" s="839"/>
      <c r="B844" s="839"/>
      <c r="C844" s="838"/>
      <c r="E844" s="835"/>
    </row>
    <row r="845" spans="1:5" ht="21" customHeight="1">
      <c r="A845" s="839"/>
      <c r="B845" s="839"/>
      <c r="C845" s="838"/>
      <c r="E845" s="835"/>
    </row>
    <row r="846" spans="1:5" ht="21" customHeight="1">
      <c r="A846" s="839"/>
      <c r="B846" s="839"/>
      <c r="C846" s="838"/>
      <c r="E846" s="835"/>
    </row>
    <row r="847" spans="1:5" ht="21" customHeight="1">
      <c r="A847" s="839"/>
      <c r="B847" s="839"/>
      <c r="C847" s="838"/>
      <c r="E847" s="835"/>
    </row>
    <row r="848" spans="1:5" ht="21" customHeight="1">
      <c r="A848" s="839"/>
      <c r="B848" s="839"/>
      <c r="C848" s="838"/>
      <c r="E848" s="835"/>
    </row>
    <row r="849" spans="1:5" ht="21" customHeight="1">
      <c r="A849" s="839"/>
      <c r="B849" s="839"/>
      <c r="C849" s="838"/>
      <c r="E849" s="835"/>
    </row>
    <row r="850" spans="1:5" ht="21" customHeight="1">
      <c r="A850" s="839"/>
      <c r="B850" s="839"/>
      <c r="C850" s="838"/>
      <c r="E850" s="835"/>
    </row>
    <row r="851" spans="1:5" ht="21" customHeight="1">
      <c r="A851" s="839"/>
      <c r="B851" s="839"/>
      <c r="C851" s="838"/>
      <c r="E851" s="835"/>
    </row>
    <row r="852" spans="1:5" ht="21" customHeight="1">
      <c r="A852" s="839"/>
      <c r="B852" s="839"/>
      <c r="C852" s="838"/>
      <c r="E852" s="835"/>
    </row>
    <row r="853" spans="1:5" ht="21" customHeight="1">
      <c r="A853" s="839"/>
      <c r="B853" s="839"/>
      <c r="C853" s="838"/>
      <c r="E853" s="835"/>
    </row>
    <row r="854" spans="1:5" ht="21" customHeight="1">
      <c r="A854" s="839"/>
      <c r="B854" s="839"/>
      <c r="C854" s="838"/>
      <c r="E854" s="835"/>
    </row>
    <row r="855" spans="1:5" ht="21" customHeight="1">
      <c r="A855" s="839"/>
      <c r="B855" s="839"/>
      <c r="C855" s="838"/>
      <c r="E855" s="835"/>
    </row>
    <row r="856" spans="1:5" ht="21" customHeight="1">
      <c r="A856" s="839"/>
      <c r="B856" s="839"/>
      <c r="C856" s="838"/>
      <c r="E856" s="835"/>
    </row>
    <row r="857" spans="1:5" ht="21" customHeight="1">
      <c r="A857" s="839"/>
      <c r="B857" s="839"/>
      <c r="C857" s="838"/>
      <c r="E857" s="835"/>
    </row>
    <row r="858" spans="1:5" ht="21" customHeight="1">
      <c r="A858" s="839"/>
      <c r="B858" s="839"/>
      <c r="C858" s="838"/>
      <c r="E858" s="835"/>
    </row>
    <row r="859" spans="1:5" ht="21" customHeight="1">
      <c r="A859" s="839"/>
      <c r="B859" s="839"/>
      <c r="C859" s="838"/>
      <c r="E859" s="835"/>
    </row>
    <row r="860" spans="1:5" ht="21" customHeight="1">
      <c r="A860" s="839"/>
      <c r="B860" s="839"/>
      <c r="C860" s="838"/>
      <c r="E860" s="835"/>
    </row>
    <row r="861" spans="1:5" ht="21" customHeight="1">
      <c r="A861" s="839"/>
      <c r="B861" s="839"/>
      <c r="C861" s="838"/>
      <c r="E861" s="835"/>
    </row>
    <row r="862" spans="1:5" ht="21" customHeight="1">
      <c r="A862" s="839"/>
      <c r="B862" s="839"/>
      <c r="C862" s="838"/>
      <c r="E862" s="835"/>
    </row>
    <row r="863" spans="1:5" ht="21" customHeight="1">
      <c r="A863" s="839"/>
      <c r="B863" s="839"/>
      <c r="C863" s="838"/>
      <c r="E863" s="835"/>
    </row>
    <row r="864" spans="1:5" ht="21" customHeight="1">
      <c r="A864" s="839"/>
      <c r="B864" s="839"/>
      <c r="C864" s="838"/>
      <c r="E864" s="835"/>
    </row>
    <row r="865" spans="1:5" ht="21" customHeight="1">
      <c r="A865" s="839"/>
      <c r="B865" s="839"/>
      <c r="C865" s="838"/>
      <c r="E865" s="835"/>
    </row>
    <row r="866" spans="1:5" ht="21" customHeight="1">
      <c r="A866" s="839"/>
      <c r="B866" s="839"/>
      <c r="C866" s="838"/>
      <c r="E866" s="835"/>
    </row>
    <row r="867" spans="1:5" ht="21" customHeight="1">
      <c r="A867" s="839"/>
      <c r="B867" s="839"/>
      <c r="C867" s="838"/>
      <c r="E867" s="835"/>
    </row>
    <row r="868" spans="1:5" ht="21" customHeight="1">
      <c r="A868" s="839"/>
      <c r="B868" s="839"/>
      <c r="C868" s="838"/>
      <c r="E868" s="835"/>
    </row>
    <row r="869" spans="1:5" ht="21" customHeight="1">
      <c r="A869" s="839"/>
      <c r="B869" s="839"/>
      <c r="C869" s="838"/>
      <c r="E869" s="835"/>
    </row>
    <row r="870" spans="1:5" ht="21" customHeight="1">
      <c r="A870" s="839"/>
      <c r="B870" s="839"/>
      <c r="C870" s="838"/>
      <c r="E870" s="835"/>
    </row>
    <row r="871" spans="1:5" ht="21" customHeight="1">
      <c r="A871" s="839"/>
      <c r="B871" s="839"/>
      <c r="C871" s="838"/>
      <c r="E871" s="835"/>
    </row>
    <row r="872" spans="1:5" ht="21" customHeight="1">
      <c r="A872" s="839"/>
      <c r="B872" s="839"/>
      <c r="C872" s="838"/>
      <c r="E872" s="835"/>
    </row>
    <row r="873" spans="1:5" ht="21" customHeight="1">
      <c r="A873" s="839"/>
      <c r="B873" s="839"/>
      <c r="C873" s="838"/>
      <c r="E873" s="835"/>
    </row>
    <row r="874" spans="1:5" ht="21" customHeight="1">
      <c r="A874" s="839"/>
      <c r="B874" s="839"/>
      <c r="C874" s="838"/>
      <c r="E874" s="835"/>
    </row>
    <row r="875" spans="1:5" ht="21" customHeight="1">
      <c r="A875" s="839"/>
      <c r="B875" s="839"/>
      <c r="C875" s="838"/>
      <c r="E875" s="835"/>
    </row>
    <row r="876" spans="1:5" ht="21" customHeight="1">
      <c r="A876" s="839"/>
      <c r="B876" s="839"/>
      <c r="C876" s="838"/>
      <c r="E876" s="835"/>
    </row>
    <row r="877" spans="1:5" ht="21" customHeight="1">
      <c r="A877" s="839"/>
      <c r="B877" s="839"/>
      <c r="C877" s="838"/>
      <c r="E877" s="835"/>
    </row>
    <row r="878" spans="1:5" ht="21" customHeight="1">
      <c r="A878" s="839"/>
      <c r="B878" s="839"/>
      <c r="C878" s="838"/>
      <c r="E878" s="835"/>
    </row>
    <row r="879" spans="1:5" ht="21" customHeight="1">
      <c r="A879" s="839"/>
      <c r="B879" s="839"/>
      <c r="C879" s="838"/>
      <c r="E879" s="835"/>
    </row>
    <row r="880" spans="1:5" ht="21" customHeight="1">
      <c r="A880" s="839"/>
      <c r="B880" s="839"/>
      <c r="C880" s="838"/>
      <c r="E880" s="835"/>
    </row>
    <row r="881" spans="1:5" ht="21" customHeight="1">
      <c r="A881" s="839"/>
      <c r="B881" s="839"/>
      <c r="C881" s="838"/>
      <c r="E881" s="835"/>
    </row>
    <row r="882" spans="1:5" ht="21" customHeight="1">
      <c r="A882" s="839"/>
      <c r="B882" s="839"/>
      <c r="C882" s="838"/>
      <c r="E882" s="835"/>
    </row>
    <row r="883" spans="1:5" ht="21" customHeight="1">
      <c r="A883" s="839"/>
      <c r="B883" s="839"/>
      <c r="C883" s="838"/>
      <c r="E883" s="835"/>
    </row>
    <row r="884" spans="1:5" ht="21" customHeight="1">
      <c r="A884" s="839"/>
      <c r="B884" s="839"/>
      <c r="C884" s="838"/>
      <c r="E884" s="835"/>
    </row>
    <row r="885" spans="1:5" ht="21" customHeight="1">
      <c r="A885" s="839"/>
      <c r="B885" s="839"/>
      <c r="C885" s="838"/>
      <c r="E885" s="835"/>
    </row>
    <row r="886" spans="1:5" ht="21" customHeight="1">
      <c r="A886" s="839"/>
      <c r="B886" s="839"/>
      <c r="C886" s="838"/>
      <c r="E886" s="835"/>
    </row>
    <row r="887" spans="1:5" ht="21" customHeight="1">
      <c r="A887" s="839"/>
      <c r="B887" s="839"/>
      <c r="C887" s="838"/>
      <c r="E887" s="835"/>
    </row>
    <row r="888" spans="1:5" ht="21" customHeight="1">
      <c r="A888" s="839"/>
      <c r="B888" s="839"/>
      <c r="C888" s="838"/>
      <c r="E888" s="835"/>
    </row>
    <row r="889" spans="1:5" ht="21" customHeight="1">
      <c r="A889" s="839"/>
      <c r="B889" s="839"/>
      <c r="C889" s="838"/>
      <c r="E889" s="835"/>
    </row>
    <row r="890" spans="1:5" ht="21" customHeight="1">
      <c r="A890" s="839"/>
      <c r="B890" s="839"/>
      <c r="C890" s="838"/>
      <c r="E890" s="835"/>
    </row>
    <row r="891" spans="1:5" ht="21" customHeight="1">
      <c r="A891" s="839"/>
      <c r="B891" s="839"/>
      <c r="C891" s="838"/>
      <c r="E891" s="835"/>
    </row>
    <row r="892" spans="1:5" ht="21" customHeight="1">
      <c r="A892" s="839"/>
      <c r="B892" s="839"/>
      <c r="C892" s="838"/>
      <c r="E892" s="835"/>
    </row>
    <row r="893" spans="1:5" ht="21" customHeight="1">
      <c r="A893" s="839"/>
      <c r="B893" s="839"/>
      <c r="C893" s="838"/>
      <c r="E893" s="835"/>
    </row>
    <row r="894" spans="1:5" ht="21" customHeight="1">
      <c r="A894" s="839"/>
      <c r="B894" s="839"/>
      <c r="C894" s="838"/>
      <c r="E894" s="835"/>
    </row>
    <row r="895" spans="1:5" ht="21" customHeight="1">
      <c r="A895" s="839"/>
      <c r="B895" s="839"/>
      <c r="C895" s="838"/>
      <c r="E895" s="835"/>
    </row>
    <row r="896" spans="1:5" ht="21" customHeight="1">
      <c r="A896" s="839"/>
      <c r="B896" s="839"/>
      <c r="C896" s="838"/>
      <c r="E896" s="835"/>
    </row>
    <row r="897" spans="1:5" ht="21" customHeight="1">
      <c r="A897" s="839"/>
      <c r="B897" s="839"/>
      <c r="C897" s="838"/>
      <c r="E897" s="835"/>
    </row>
    <row r="898" spans="1:5" ht="21" customHeight="1">
      <c r="A898" s="839"/>
      <c r="B898" s="839"/>
      <c r="C898" s="838"/>
      <c r="E898" s="835"/>
    </row>
    <row r="899" spans="1:5" ht="21" customHeight="1">
      <c r="A899" s="839"/>
      <c r="B899" s="839"/>
      <c r="C899" s="838"/>
      <c r="E899" s="835"/>
    </row>
    <row r="900" spans="1:5" ht="21" customHeight="1">
      <c r="A900" s="839"/>
      <c r="B900" s="839"/>
      <c r="C900" s="838"/>
      <c r="E900" s="835"/>
    </row>
    <row r="901" spans="1:5" ht="21" customHeight="1">
      <c r="A901" s="839"/>
      <c r="B901" s="839"/>
      <c r="C901" s="838"/>
      <c r="E901" s="835"/>
    </row>
    <row r="902" spans="1:5" ht="21" customHeight="1">
      <c r="A902" s="839"/>
      <c r="B902" s="839"/>
      <c r="C902" s="838"/>
      <c r="E902" s="835"/>
    </row>
    <row r="903" spans="1:5" ht="21" customHeight="1">
      <c r="A903" s="839"/>
      <c r="B903" s="839"/>
      <c r="C903" s="838"/>
      <c r="E903" s="835"/>
    </row>
    <row r="904" spans="1:5" ht="21" customHeight="1">
      <c r="A904" s="839"/>
      <c r="B904" s="839"/>
      <c r="C904" s="838"/>
      <c r="E904" s="835"/>
    </row>
    <row r="905" spans="1:5" ht="21" customHeight="1">
      <c r="A905" s="839"/>
      <c r="B905" s="839"/>
      <c r="C905" s="838"/>
      <c r="E905" s="835"/>
    </row>
    <row r="906" spans="1:5" ht="21" customHeight="1">
      <c r="A906" s="839"/>
      <c r="B906" s="839"/>
      <c r="C906" s="838"/>
      <c r="E906" s="835"/>
    </row>
    <row r="907" spans="1:5" ht="21" customHeight="1">
      <c r="A907" s="839"/>
      <c r="B907" s="839"/>
      <c r="C907" s="838"/>
      <c r="E907" s="835"/>
    </row>
    <row r="908" spans="1:5" ht="21" customHeight="1">
      <c r="A908" s="839"/>
      <c r="B908" s="839"/>
      <c r="C908" s="838"/>
      <c r="E908" s="835"/>
    </row>
    <row r="909" spans="1:5" ht="21" customHeight="1">
      <c r="A909" s="839"/>
      <c r="B909" s="839"/>
      <c r="C909" s="838"/>
      <c r="E909" s="835"/>
    </row>
    <row r="910" spans="1:5" ht="21" customHeight="1">
      <c r="A910" s="839"/>
      <c r="B910" s="839"/>
      <c r="C910" s="838"/>
      <c r="E910" s="835"/>
    </row>
    <row r="911" spans="1:5" ht="21" customHeight="1">
      <c r="A911" s="839"/>
      <c r="B911" s="839"/>
      <c r="C911" s="838"/>
      <c r="E911" s="835"/>
    </row>
    <row r="912" spans="1:5" ht="21" customHeight="1">
      <c r="A912" s="839"/>
      <c r="B912" s="839"/>
      <c r="C912" s="838"/>
      <c r="E912" s="835"/>
    </row>
    <row r="913" spans="1:5" ht="21" customHeight="1">
      <c r="A913" s="839"/>
      <c r="B913" s="839"/>
      <c r="C913" s="838"/>
      <c r="E913" s="835"/>
    </row>
    <row r="914" spans="1:5" ht="21" customHeight="1">
      <c r="A914" s="839"/>
      <c r="B914" s="839"/>
      <c r="C914" s="838"/>
      <c r="E914" s="835"/>
    </row>
    <row r="915" spans="1:5" ht="21" customHeight="1">
      <c r="A915" s="839"/>
      <c r="B915" s="839"/>
      <c r="C915" s="838"/>
      <c r="E915" s="835"/>
    </row>
    <row r="916" spans="1:5" ht="21" customHeight="1">
      <c r="A916" s="839"/>
      <c r="B916" s="839"/>
      <c r="C916" s="838"/>
      <c r="E916" s="835"/>
    </row>
    <row r="917" spans="1:5" ht="21" customHeight="1">
      <c r="A917" s="839"/>
      <c r="B917" s="839"/>
      <c r="C917" s="838"/>
      <c r="E917" s="835"/>
    </row>
    <row r="918" spans="1:5" ht="21" customHeight="1">
      <c r="A918" s="839"/>
      <c r="B918" s="839"/>
      <c r="C918" s="838"/>
      <c r="E918" s="835"/>
    </row>
    <row r="919" spans="1:5" ht="21" customHeight="1">
      <c r="A919" s="839"/>
      <c r="B919" s="839"/>
      <c r="C919" s="838"/>
      <c r="E919" s="835"/>
    </row>
    <row r="920" spans="1:5" ht="21" customHeight="1">
      <c r="A920" s="839"/>
      <c r="B920" s="839"/>
      <c r="C920" s="838"/>
      <c r="E920" s="835"/>
    </row>
    <row r="921" spans="1:5" ht="21" customHeight="1">
      <c r="A921" s="839"/>
      <c r="B921" s="839"/>
      <c r="C921" s="838"/>
      <c r="E921" s="835"/>
    </row>
    <row r="922" spans="1:5" ht="21" customHeight="1">
      <c r="A922" s="839"/>
      <c r="B922" s="839"/>
      <c r="C922" s="838"/>
      <c r="E922" s="835"/>
    </row>
    <row r="923" spans="1:5" ht="21" customHeight="1">
      <c r="A923" s="839"/>
      <c r="B923" s="839"/>
      <c r="C923" s="838"/>
      <c r="E923" s="835"/>
    </row>
    <row r="924" spans="1:5" ht="21" customHeight="1">
      <c r="A924" s="839"/>
      <c r="B924" s="839"/>
      <c r="C924" s="838"/>
      <c r="E924" s="835"/>
    </row>
    <row r="925" spans="1:5" ht="21" customHeight="1">
      <c r="A925" s="839"/>
      <c r="B925" s="839"/>
      <c r="C925" s="838"/>
      <c r="E925" s="835"/>
    </row>
    <row r="926" spans="1:5" ht="21" customHeight="1">
      <c r="A926" s="839"/>
      <c r="B926" s="839"/>
      <c r="C926" s="838"/>
      <c r="E926" s="835"/>
    </row>
    <row r="927" spans="1:5" ht="21" customHeight="1">
      <c r="A927" s="839"/>
      <c r="B927" s="839"/>
      <c r="C927" s="838"/>
      <c r="E927" s="835"/>
    </row>
    <row r="928" spans="1:5" ht="21" customHeight="1">
      <c r="A928" s="839"/>
      <c r="B928" s="839"/>
      <c r="C928" s="838"/>
      <c r="E928" s="835"/>
    </row>
    <row r="929" spans="1:5" ht="21" customHeight="1">
      <c r="A929" s="839"/>
      <c r="B929" s="839"/>
      <c r="C929" s="838"/>
      <c r="E929" s="835"/>
    </row>
    <row r="930" spans="1:5" ht="21" customHeight="1">
      <c r="A930" s="839"/>
      <c r="B930" s="839"/>
      <c r="C930" s="838"/>
      <c r="E930" s="835"/>
    </row>
    <row r="931" spans="1:5" ht="21" customHeight="1">
      <c r="A931" s="839"/>
      <c r="B931" s="839"/>
      <c r="C931" s="838"/>
      <c r="E931" s="835"/>
    </row>
    <row r="932" spans="1:5" ht="21" customHeight="1">
      <c r="A932" s="839"/>
      <c r="B932" s="839"/>
      <c r="C932" s="838"/>
      <c r="E932" s="835"/>
    </row>
    <row r="933" spans="1:5" ht="21" customHeight="1">
      <c r="A933" s="839"/>
      <c r="B933" s="839"/>
      <c r="C933" s="838"/>
      <c r="E933" s="835"/>
    </row>
    <row r="934" spans="1:5" ht="21" customHeight="1">
      <c r="A934" s="839"/>
      <c r="B934" s="839"/>
      <c r="C934" s="838"/>
      <c r="E934" s="835"/>
    </row>
    <row r="935" spans="1:5" ht="21" customHeight="1">
      <c r="A935" s="839"/>
      <c r="B935" s="839"/>
      <c r="C935" s="838"/>
      <c r="E935" s="835"/>
    </row>
    <row r="936" spans="1:5" ht="21" customHeight="1">
      <c r="A936" s="839"/>
      <c r="B936" s="839"/>
      <c r="C936" s="838"/>
      <c r="E936" s="835"/>
    </row>
    <row r="937" spans="1:5" ht="21" customHeight="1">
      <c r="A937" s="839"/>
      <c r="B937" s="839"/>
      <c r="C937" s="838"/>
      <c r="E937" s="835"/>
    </row>
    <row r="938" spans="1:5" ht="21" customHeight="1">
      <c r="A938" s="839"/>
      <c r="B938" s="839"/>
      <c r="C938" s="838"/>
      <c r="E938" s="835"/>
    </row>
    <row r="939" spans="1:5" ht="21" customHeight="1">
      <c r="A939" s="839"/>
      <c r="B939" s="839"/>
      <c r="C939" s="838"/>
      <c r="E939" s="835"/>
    </row>
    <row r="940" spans="1:5" ht="21" customHeight="1">
      <c r="A940" s="839"/>
      <c r="B940" s="839"/>
      <c r="C940" s="838"/>
      <c r="E940" s="835"/>
    </row>
    <row r="941" spans="1:5" ht="21" customHeight="1">
      <c r="A941" s="839"/>
      <c r="B941" s="839"/>
      <c r="C941" s="838"/>
      <c r="E941" s="835"/>
    </row>
    <row r="942" spans="1:5" ht="21" customHeight="1">
      <c r="A942" s="839"/>
      <c r="B942" s="839"/>
      <c r="C942" s="838"/>
      <c r="E942" s="835"/>
    </row>
    <row r="943" spans="1:5" ht="21" customHeight="1">
      <c r="A943" s="839"/>
      <c r="B943" s="839"/>
      <c r="C943" s="838"/>
      <c r="E943" s="835"/>
    </row>
    <row r="944" spans="1:5" ht="21" customHeight="1">
      <c r="A944" s="839"/>
      <c r="B944" s="839"/>
      <c r="C944" s="838"/>
      <c r="E944" s="835"/>
    </row>
    <row r="945" spans="1:5" ht="21" customHeight="1">
      <c r="A945" s="839"/>
      <c r="B945" s="839"/>
      <c r="C945" s="838"/>
      <c r="E945" s="835"/>
    </row>
    <row r="946" spans="1:5" ht="21" customHeight="1">
      <c r="A946" s="839"/>
      <c r="B946" s="839"/>
      <c r="C946" s="838"/>
      <c r="E946" s="835"/>
    </row>
    <row r="947" spans="1:5" ht="21" customHeight="1">
      <c r="A947" s="839"/>
      <c r="B947" s="839"/>
      <c r="C947" s="838"/>
      <c r="E947" s="835"/>
    </row>
    <row r="948" spans="1:5" ht="21" customHeight="1">
      <c r="A948" s="839"/>
      <c r="B948" s="839"/>
      <c r="C948" s="838"/>
      <c r="E948" s="835"/>
    </row>
    <row r="949" spans="1:5" ht="21" customHeight="1">
      <c r="A949" s="839"/>
      <c r="B949" s="839"/>
      <c r="C949" s="838"/>
      <c r="E949" s="835"/>
    </row>
    <row r="950" spans="1:5" ht="21" customHeight="1">
      <c r="A950" s="839"/>
      <c r="B950" s="839"/>
      <c r="C950" s="838"/>
      <c r="E950" s="835"/>
    </row>
    <row r="951" spans="1:5" ht="21" customHeight="1">
      <c r="A951" s="839"/>
      <c r="B951" s="839"/>
      <c r="C951" s="838"/>
      <c r="E951" s="835"/>
    </row>
    <row r="952" spans="1:5" ht="21" customHeight="1">
      <c r="A952" s="839"/>
      <c r="B952" s="839"/>
      <c r="C952" s="838"/>
      <c r="E952" s="835"/>
    </row>
    <row r="953" spans="1:5" ht="21" customHeight="1">
      <c r="A953" s="839"/>
      <c r="B953" s="839"/>
      <c r="C953" s="838"/>
      <c r="E953" s="835"/>
    </row>
    <row r="954" spans="1:5" ht="21" customHeight="1">
      <c r="A954" s="839"/>
      <c r="B954" s="839"/>
      <c r="C954" s="838"/>
      <c r="E954" s="835"/>
    </row>
    <row r="955" spans="1:5" ht="21" customHeight="1">
      <c r="A955" s="839"/>
      <c r="B955" s="839"/>
      <c r="C955" s="838"/>
      <c r="E955" s="835"/>
    </row>
    <row r="956" spans="1:5" ht="21" customHeight="1">
      <c r="A956" s="839"/>
      <c r="B956" s="839"/>
      <c r="C956" s="838"/>
      <c r="E956" s="835"/>
    </row>
    <row r="957" spans="1:5" ht="21" customHeight="1">
      <c r="A957" s="839"/>
      <c r="B957" s="839"/>
      <c r="C957" s="838"/>
      <c r="E957" s="835"/>
    </row>
    <row r="958" spans="1:5" ht="21" customHeight="1">
      <c r="A958" s="839"/>
      <c r="B958" s="839"/>
      <c r="C958" s="838"/>
      <c r="E958" s="835"/>
    </row>
    <row r="959" spans="1:5" ht="21" customHeight="1">
      <c r="A959" s="839"/>
      <c r="B959" s="839"/>
      <c r="C959" s="838"/>
      <c r="E959" s="835"/>
    </row>
    <row r="960" spans="1:5" ht="21" customHeight="1">
      <c r="A960" s="839"/>
      <c r="B960" s="839"/>
      <c r="C960" s="838"/>
      <c r="E960" s="835"/>
    </row>
    <row r="961" spans="1:5" ht="21" customHeight="1">
      <c r="A961" s="839"/>
      <c r="B961" s="839"/>
      <c r="C961" s="838"/>
      <c r="E961" s="835"/>
    </row>
    <row r="962" spans="1:5" ht="21" customHeight="1">
      <c r="A962" s="839"/>
      <c r="B962" s="839"/>
      <c r="C962" s="838"/>
      <c r="E962" s="835"/>
    </row>
    <row r="963" spans="1:5" ht="21" customHeight="1">
      <c r="A963" s="839"/>
      <c r="B963" s="839"/>
      <c r="C963" s="838"/>
      <c r="E963" s="835"/>
    </row>
    <row r="964" spans="1:5" ht="21" customHeight="1">
      <c r="A964" s="839"/>
      <c r="B964" s="839"/>
      <c r="C964" s="838"/>
      <c r="E964" s="835"/>
    </row>
    <row r="965" spans="1:5" ht="21" customHeight="1">
      <c r="A965" s="839"/>
      <c r="B965" s="839"/>
      <c r="C965" s="838"/>
      <c r="E965" s="835"/>
    </row>
    <row r="966" spans="1:5" ht="21" customHeight="1">
      <c r="A966" s="839"/>
      <c r="B966" s="839"/>
      <c r="C966" s="838"/>
      <c r="E966" s="835"/>
    </row>
    <row r="967" spans="1:5" ht="21" customHeight="1">
      <c r="A967" s="839"/>
      <c r="B967" s="839"/>
      <c r="C967" s="838"/>
      <c r="E967" s="835"/>
    </row>
    <row r="968" spans="1:5" ht="21" customHeight="1">
      <c r="A968" s="839"/>
      <c r="B968" s="839"/>
      <c r="C968" s="838"/>
      <c r="E968" s="835"/>
    </row>
    <row r="969" spans="1:5" ht="21" customHeight="1">
      <c r="A969" s="839"/>
      <c r="B969" s="839"/>
      <c r="C969" s="838"/>
      <c r="E969" s="835"/>
    </row>
    <row r="970" spans="1:5" ht="21" customHeight="1">
      <c r="A970" s="839"/>
      <c r="B970" s="839"/>
      <c r="C970" s="838"/>
      <c r="E970" s="835"/>
    </row>
    <row r="971" spans="1:5" ht="21" customHeight="1">
      <c r="A971" s="839"/>
      <c r="B971" s="839"/>
      <c r="C971" s="838"/>
      <c r="E971" s="835"/>
    </row>
    <row r="972" spans="1:5" ht="21" customHeight="1">
      <c r="A972" s="839"/>
      <c r="B972" s="839"/>
      <c r="C972" s="838"/>
      <c r="E972" s="835"/>
    </row>
    <row r="973" spans="1:5" ht="21" customHeight="1">
      <c r="A973" s="839"/>
      <c r="B973" s="839"/>
      <c r="C973" s="838"/>
      <c r="E973" s="835"/>
    </row>
    <row r="974" spans="1:5" ht="21" customHeight="1">
      <c r="A974" s="839"/>
      <c r="B974" s="839"/>
      <c r="C974" s="838"/>
      <c r="E974" s="835"/>
    </row>
    <row r="975" spans="1:5" ht="21" customHeight="1">
      <c r="A975" s="839"/>
      <c r="B975" s="839"/>
      <c r="C975" s="838"/>
      <c r="E975" s="835"/>
    </row>
    <row r="976" spans="1:5" ht="21" customHeight="1">
      <c r="A976" s="839"/>
      <c r="B976" s="839"/>
      <c r="C976" s="838"/>
      <c r="E976" s="835"/>
    </row>
    <row r="977" spans="1:5" ht="21" customHeight="1">
      <c r="A977" s="839"/>
      <c r="B977" s="839"/>
      <c r="C977" s="838"/>
      <c r="E977" s="835"/>
    </row>
    <row r="978" spans="1:5" ht="21" customHeight="1">
      <c r="A978" s="839"/>
      <c r="B978" s="839"/>
      <c r="C978" s="838"/>
      <c r="E978" s="835"/>
    </row>
    <row r="979" spans="1:5" ht="21" customHeight="1">
      <c r="A979" s="839"/>
      <c r="B979" s="839"/>
      <c r="C979" s="838"/>
      <c r="E979" s="835"/>
    </row>
    <row r="980" spans="1:5" ht="21" customHeight="1">
      <c r="A980" s="839"/>
      <c r="B980" s="839"/>
      <c r="C980" s="838"/>
      <c r="E980" s="835"/>
    </row>
    <row r="981" spans="1:5" ht="21" customHeight="1">
      <c r="A981" s="839"/>
      <c r="B981" s="839"/>
      <c r="C981" s="838"/>
      <c r="E981" s="835"/>
    </row>
    <row r="982" spans="1:5" ht="21" customHeight="1">
      <c r="A982" s="839"/>
      <c r="B982" s="839"/>
      <c r="C982" s="838"/>
      <c r="E982" s="835"/>
    </row>
    <row r="983" spans="1:5" ht="21" customHeight="1">
      <c r="A983" s="839"/>
      <c r="B983" s="839"/>
      <c r="C983" s="838"/>
      <c r="E983" s="835"/>
    </row>
    <row r="984" spans="1:5" ht="21" customHeight="1">
      <c r="A984" s="839"/>
      <c r="B984" s="839"/>
      <c r="C984" s="838"/>
      <c r="E984" s="835"/>
    </row>
    <row r="985" spans="1:5" ht="21" customHeight="1">
      <c r="A985" s="839"/>
      <c r="B985" s="839"/>
      <c r="C985" s="838"/>
      <c r="E985" s="835"/>
    </row>
    <row r="986" spans="1:5" ht="21" customHeight="1">
      <c r="A986" s="839"/>
      <c r="B986" s="839"/>
      <c r="C986" s="838"/>
      <c r="E986" s="835"/>
    </row>
    <row r="987" spans="1:5" ht="21" customHeight="1">
      <c r="A987" s="839"/>
      <c r="B987" s="839"/>
      <c r="C987" s="838"/>
      <c r="E987" s="835"/>
    </row>
    <row r="988" spans="1:5" ht="21" customHeight="1">
      <c r="A988" s="839"/>
      <c r="B988" s="839"/>
      <c r="C988" s="838"/>
      <c r="E988" s="835"/>
    </row>
    <row r="989" spans="1:5" ht="21" customHeight="1">
      <c r="A989" s="839"/>
      <c r="B989" s="839"/>
      <c r="C989" s="838"/>
      <c r="E989" s="835"/>
    </row>
    <row r="990" spans="1:5" ht="21" customHeight="1">
      <c r="A990" s="839"/>
      <c r="B990" s="839"/>
      <c r="C990" s="838"/>
      <c r="E990" s="835"/>
    </row>
    <row r="991" spans="1:5" ht="21" customHeight="1">
      <c r="A991" s="839"/>
      <c r="B991" s="839"/>
      <c r="C991" s="838"/>
      <c r="E991" s="835"/>
    </row>
    <row r="992" spans="1:5" ht="21" customHeight="1">
      <c r="A992" s="839"/>
      <c r="B992" s="839"/>
      <c r="C992" s="838"/>
      <c r="E992" s="835"/>
    </row>
    <row r="993" spans="1:5" ht="21" customHeight="1">
      <c r="A993" s="839"/>
      <c r="B993" s="839"/>
      <c r="C993" s="838"/>
      <c r="E993" s="835"/>
    </row>
    <row r="994" spans="1:5" ht="21" customHeight="1">
      <c r="A994" s="839"/>
      <c r="B994" s="839"/>
      <c r="C994" s="838"/>
      <c r="E994" s="835"/>
    </row>
    <row r="995" spans="1:5" ht="21" customHeight="1">
      <c r="A995" s="839"/>
      <c r="B995" s="839"/>
      <c r="C995" s="838"/>
      <c r="E995" s="835"/>
    </row>
    <row r="996" spans="1:5" ht="21" customHeight="1">
      <c r="A996" s="839"/>
      <c r="B996" s="839"/>
      <c r="C996" s="838"/>
      <c r="E996" s="835"/>
    </row>
    <row r="997" spans="1:5" ht="21" customHeight="1">
      <c r="A997" s="839"/>
      <c r="B997" s="839"/>
      <c r="C997" s="838"/>
      <c r="E997" s="835"/>
    </row>
    <row r="998" spans="1:5" ht="21" customHeight="1">
      <c r="A998" s="839"/>
      <c r="B998" s="839"/>
      <c r="C998" s="838"/>
      <c r="E998" s="835"/>
    </row>
    <row r="999" spans="1:5" ht="21" customHeight="1">
      <c r="A999" s="839"/>
      <c r="B999" s="839"/>
      <c r="C999" s="838"/>
      <c r="E999" s="835"/>
    </row>
    <row r="1000" spans="1:5" ht="21" customHeight="1">
      <c r="A1000" s="839"/>
      <c r="B1000" s="839"/>
      <c r="C1000" s="838"/>
      <c r="E1000" s="835"/>
    </row>
    <row r="1001" spans="1:5" ht="21" customHeight="1">
      <c r="A1001" s="839"/>
      <c r="B1001" s="839"/>
      <c r="C1001" s="838"/>
      <c r="E1001" s="835"/>
    </row>
    <row r="1002" spans="1:5" ht="21" customHeight="1">
      <c r="A1002" s="839"/>
      <c r="B1002" s="839"/>
      <c r="C1002" s="838"/>
      <c r="E1002" s="835"/>
    </row>
    <row r="1003" spans="1:5" ht="21" customHeight="1">
      <c r="A1003" s="839"/>
      <c r="B1003" s="839"/>
      <c r="C1003" s="838"/>
      <c r="E1003" s="835"/>
    </row>
    <row r="1004" spans="1:5" ht="21" customHeight="1">
      <c r="A1004" s="839"/>
      <c r="B1004" s="839"/>
      <c r="C1004" s="838"/>
      <c r="E1004" s="835"/>
    </row>
    <row r="1005" spans="1:5" ht="21" customHeight="1">
      <c r="A1005" s="839"/>
      <c r="B1005" s="839"/>
      <c r="C1005" s="838"/>
      <c r="E1005" s="835"/>
    </row>
    <row r="1006" spans="1:5" ht="21" customHeight="1">
      <c r="A1006" s="839"/>
      <c r="B1006" s="839"/>
      <c r="C1006" s="838"/>
      <c r="E1006" s="835"/>
    </row>
    <row r="1007" spans="1:5" ht="21" customHeight="1">
      <c r="A1007" s="839"/>
      <c r="B1007" s="839"/>
      <c r="C1007" s="838"/>
      <c r="E1007" s="835"/>
    </row>
    <row r="1008" spans="1:5" ht="21" customHeight="1">
      <c r="A1008" s="839"/>
      <c r="B1008" s="839"/>
      <c r="C1008" s="838"/>
      <c r="E1008" s="835"/>
    </row>
    <row r="1009" spans="1:5" ht="21" customHeight="1">
      <c r="A1009" s="839"/>
      <c r="B1009" s="839"/>
      <c r="C1009" s="838"/>
      <c r="E1009" s="835"/>
    </row>
    <row r="1010" spans="1:5" ht="21" customHeight="1">
      <c r="A1010" s="839"/>
      <c r="B1010" s="839"/>
      <c r="C1010" s="838"/>
      <c r="E1010" s="835"/>
    </row>
    <row r="1011" spans="1:5" ht="21" customHeight="1">
      <c r="A1011" s="839"/>
      <c r="B1011" s="839"/>
      <c r="C1011" s="838"/>
      <c r="E1011" s="835"/>
    </row>
    <row r="1012" spans="1:5" ht="21" customHeight="1">
      <c r="A1012" s="839"/>
      <c r="B1012" s="839"/>
      <c r="C1012" s="838"/>
      <c r="E1012" s="835"/>
    </row>
    <row r="1013" spans="1:5" ht="21" customHeight="1">
      <c r="A1013" s="839"/>
      <c r="B1013" s="839"/>
      <c r="C1013" s="838"/>
      <c r="E1013" s="835"/>
    </row>
    <row r="1014" spans="1:5" ht="21" customHeight="1">
      <c r="A1014" s="839"/>
      <c r="B1014" s="839"/>
      <c r="C1014" s="838"/>
      <c r="E1014" s="835"/>
    </row>
    <row r="1015" spans="1:5" ht="21" customHeight="1">
      <c r="A1015" s="839"/>
      <c r="B1015" s="839"/>
      <c r="C1015" s="838"/>
      <c r="E1015" s="835"/>
    </row>
    <row r="1016" spans="1:5" ht="21" customHeight="1">
      <c r="A1016" s="839"/>
      <c r="B1016" s="839"/>
      <c r="C1016" s="838"/>
      <c r="E1016" s="835"/>
    </row>
    <row r="1017" spans="1:5" ht="21" customHeight="1">
      <c r="A1017" s="839"/>
      <c r="B1017" s="839"/>
      <c r="C1017" s="838"/>
      <c r="E1017" s="835"/>
    </row>
    <row r="1018" spans="1:5" ht="21" customHeight="1">
      <c r="A1018" s="839"/>
      <c r="B1018" s="839"/>
      <c r="C1018" s="838"/>
      <c r="E1018" s="835"/>
    </row>
    <row r="1019" spans="1:5" ht="21" customHeight="1">
      <c r="A1019" s="839"/>
      <c r="B1019" s="839"/>
      <c r="C1019" s="838"/>
      <c r="E1019" s="835"/>
    </row>
    <row r="1020" spans="1:5" ht="21" customHeight="1">
      <c r="A1020" s="839"/>
      <c r="B1020" s="839"/>
      <c r="C1020" s="838"/>
      <c r="E1020" s="835"/>
    </row>
    <row r="1021" spans="1:5" ht="21" customHeight="1">
      <c r="A1021" s="839"/>
      <c r="B1021" s="839"/>
      <c r="C1021" s="838"/>
      <c r="E1021" s="835"/>
    </row>
    <row r="1022" spans="1:5" ht="21" customHeight="1">
      <c r="A1022" s="839"/>
      <c r="B1022" s="839"/>
      <c r="C1022" s="838"/>
      <c r="E1022" s="835"/>
    </row>
    <row r="1023" spans="1:5" ht="21" customHeight="1">
      <c r="A1023" s="839"/>
      <c r="B1023" s="839"/>
      <c r="C1023" s="838"/>
      <c r="E1023" s="835"/>
    </row>
    <row r="1024" spans="1:5" ht="21" customHeight="1">
      <c r="A1024" s="839"/>
      <c r="B1024" s="839"/>
      <c r="C1024" s="838"/>
      <c r="E1024" s="835"/>
    </row>
    <row r="1025" spans="1:5" ht="21" customHeight="1">
      <c r="A1025" s="839"/>
      <c r="B1025" s="839"/>
      <c r="C1025" s="838"/>
      <c r="E1025" s="835"/>
    </row>
    <row r="1026" spans="1:5" ht="21" customHeight="1">
      <c r="A1026" s="839"/>
      <c r="B1026" s="839"/>
      <c r="C1026" s="838"/>
      <c r="E1026" s="835"/>
    </row>
    <row r="1027" spans="1:5" ht="21" customHeight="1">
      <c r="A1027" s="839"/>
      <c r="B1027" s="839"/>
      <c r="C1027" s="838"/>
      <c r="E1027" s="835"/>
    </row>
    <row r="1028" spans="1:5" ht="21" customHeight="1">
      <c r="A1028" s="839"/>
      <c r="B1028" s="839"/>
      <c r="C1028" s="838"/>
      <c r="E1028" s="835"/>
    </row>
    <row r="1029" spans="1:5" ht="21" customHeight="1">
      <c r="A1029" s="839"/>
      <c r="B1029" s="839"/>
      <c r="C1029" s="838"/>
      <c r="E1029" s="835"/>
    </row>
    <row r="1030" spans="1:5" ht="21" customHeight="1">
      <c r="A1030" s="839"/>
      <c r="B1030" s="839"/>
      <c r="C1030" s="838"/>
      <c r="E1030" s="835"/>
    </row>
    <row r="1031" spans="1:5" ht="21" customHeight="1">
      <c r="A1031" s="839"/>
      <c r="B1031" s="839"/>
      <c r="C1031" s="838"/>
      <c r="E1031" s="835"/>
    </row>
    <row r="1032" spans="1:5" ht="21" customHeight="1">
      <c r="A1032" s="839"/>
      <c r="B1032" s="839"/>
      <c r="C1032" s="838"/>
      <c r="E1032" s="835"/>
    </row>
    <row r="1033" spans="1:5" ht="21" customHeight="1">
      <c r="A1033" s="839"/>
      <c r="B1033" s="839"/>
      <c r="C1033" s="838"/>
      <c r="E1033" s="835"/>
    </row>
    <row r="1034" spans="1:5" ht="21" customHeight="1">
      <c r="A1034" s="839"/>
      <c r="B1034" s="839"/>
      <c r="C1034" s="838"/>
      <c r="E1034" s="835"/>
    </row>
    <row r="1035" spans="1:5" ht="21" customHeight="1">
      <c r="A1035" s="839"/>
      <c r="B1035" s="839"/>
      <c r="C1035" s="838"/>
      <c r="E1035" s="835"/>
    </row>
    <row r="1036" spans="1:5" ht="21" customHeight="1">
      <c r="A1036" s="839"/>
      <c r="B1036" s="839"/>
      <c r="C1036" s="838"/>
      <c r="E1036" s="835"/>
    </row>
    <row r="1037" spans="1:5" ht="21" customHeight="1">
      <c r="A1037" s="839"/>
      <c r="B1037" s="839"/>
      <c r="C1037" s="838"/>
      <c r="E1037" s="835"/>
    </row>
    <row r="1038" spans="1:5" ht="21" customHeight="1">
      <c r="A1038" s="839"/>
      <c r="B1038" s="839"/>
      <c r="C1038" s="838"/>
      <c r="E1038" s="835"/>
    </row>
    <row r="1039" spans="1:5" ht="21" customHeight="1">
      <c r="A1039" s="839"/>
      <c r="B1039" s="839"/>
      <c r="C1039" s="838"/>
      <c r="E1039" s="835"/>
    </row>
    <row r="1040" spans="1:5" ht="21" customHeight="1">
      <c r="A1040" s="839"/>
      <c r="B1040" s="839"/>
      <c r="C1040" s="838"/>
      <c r="E1040" s="835"/>
    </row>
    <row r="1041" spans="1:5" ht="21" customHeight="1">
      <c r="A1041" s="839"/>
      <c r="B1041" s="839"/>
      <c r="C1041" s="838"/>
      <c r="E1041" s="835"/>
    </row>
    <row r="1042" spans="1:5" ht="21" customHeight="1">
      <c r="A1042" s="839"/>
      <c r="B1042" s="839"/>
      <c r="C1042" s="838"/>
      <c r="E1042" s="835"/>
    </row>
    <row r="1043" spans="1:5" ht="21" customHeight="1">
      <c r="A1043" s="839"/>
      <c r="B1043" s="839"/>
      <c r="C1043" s="838"/>
      <c r="E1043" s="835"/>
    </row>
    <row r="1044" spans="1:5" ht="21" customHeight="1">
      <c r="A1044" s="839"/>
      <c r="B1044" s="839"/>
      <c r="C1044" s="838"/>
      <c r="E1044" s="835"/>
    </row>
    <row r="1045" spans="1:5" ht="21" customHeight="1">
      <c r="A1045" s="839"/>
      <c r="B1045" s="839"/>
      <c r="C1045" s="838"/>
      <c r="E1045" s="835"/>
    </row>
    <row r="1046" spans="1:5" ht="21" customHeight="1">
      <c r="A1046" s="839"/>
      <c r="B1046" s="839"/>
      <c r="C1046" s="838"/>
      <c r="E1046" s="835"/>
    </row>
    <row r="1047" spans="1:5" ht="21" customHeight="1">
      <c r="A1047" s="839"/>
      <c r="B1047" s="839"/>
      <c r="C1047" s="838"/>
      <c r="E1047" s="835"/>
    </row>
    <row r="1048" spans="1:5" ht="21" customHeight="1">
      <c r="A1048" s="839"/>
      <c r="B1048" s="839"/>
      <c r="C1048" s="838"/>
      <c r="E1048" s="835"/>
    </row>
    <row r="1049" spans="1:5" ht="21" customHeight="1">
      <c r="A1049" s="839"/>
      <c r="B1049" s="839"/>
      <c r="C1049" s="838"/>
      <c r="E1049" s="835"/>
    </row>
    <row r="1050" spans="1:5" ht="21" customHeight="1">
      <c r="A1050" s="839"/>
      <c r="B1050" s="839"/>
      <c r="C1050" s="838"/>
      <c r="E1050" s="835"/>
    </row>
    <row r="1051" spans="1:5" ht="21" customHeight="1">
      <c r="A1051" s="839"/>
      <c r="B1051" s="839"/>
      <c r="C1051" s="838"/>
      <c r="E1051" s="835"/>
    </row>
    <row r="1052" spans="1:5" ht="21" customHeight="1">
      <c r="A1052" s="839"/>
      <c r="B1052" s="839"/>
      <c r="C1052" s="838"/>
      <c r="E1052" s="835"/>
    </row>
    <row r="1053" spans="1:5" ht="21" customHeight="1">
      <c r="A1053" s="839"/>
      <c r="B1053" s="839"/>
      <c r="C1053" s="838"/>
      <c r="E1053" s="835"/>
    </row>
    <row r="1054" spans="1:5" ht="21" customHeight="1">
      <c r="A1054" s="839"/>
      <c r="B1054" s="839"/>
      <c r="C1054" s="838"/>
      <c r="E1054" s="835"/>
    </row>
    <row r="1055" spans="1:5" ht="21" customHeight="1">
      <c r="A1055" s="839"/>
      <c r="B1055" s="839"/>
      <c r="C1055" s="838"/>
      <c r="E1055" s="835"/>
    </row>
    <row r="1056" spans="1:5" ht="21" customHeight="1">
      <c r="A1056" s="839"/>
      <c r="B1056" s="839"/>
      <c r="C1056" s="838"/>
      <c r="E1056" s="835"/>
    </row>
    <row r="1057" spans="1:5" ht="21" customHeight="1">
      <c r="A1057" s="839"/>
      <c r="B1057" s="839"/>
      <c r="C1057" s="838"/>
      <c r="E1057" s="835"/>
    </row>
    <row r="1058" spans="1:5" ht="21" customHeight="1">
      <c r="A1058" s="839"/>
      <c r="B1058" s="839"/>
      <c r="C1058" s="838"/>
      <c r="E1058" s="835"/>
    </row>
    <row r="1059" spans="1:5" ht="21" customHeight="1">
      <c r="A1059" s="839"/>
      <c r="B1059" s="839"/>
      <c r="C1059" s="838"/>
      <c r="E1059" s="835"/>
    </row>
    <row r="1060" spans="1:5" ht="21" customHeight="1">
      <c r="A1060" s="839"/>
      <c r="B1060" s="839"/>
      <c r="C1060" s="838"/>
      <c r="E1060" s="835"/>
    </row>
    <row r="1061" spans="1:5" ht="21" customHeight="1">
      <c r="A1061" s="839"/>
      <c r="B1061" s="839"/>
      <c r="C1061" s="838"/>
      <c r="E1061" s="835"/>
    </row>
    <row r="1062" spans="1:5" ht="21" customHeight="1">
      <c r="A1062" s="839"/>
      <c r="B1062" s="839"/>
      <c r="C1062" s="838"/>
      <c r="E1062" s="835"/>
    </row>
    <row r="1063" spans="1:5" ht="21" customHeight="1">
      <c r="A1063" s="839"/>
      <c r="B1063" s="839"/>
      <c r="C1063" s="838"/>
      <c r="E1063" s="835"/>
    </row>
    <row r="1064" spans="1:5" ht="21" customHeight="1">
      <c r="A1064" s="839"/>
      <c r="B1064" s="839"/>
      <c r="C1064" s="838"/>
      <c r="E1064" s="835"/>
    </row>
    <row r="1065" spans="1:5" ht="21" customHeight="1">
      <c r="A1065" s="839"/>
      <c r="B1065" s="839"/>
      <c r="C1065" s="838"/>
      <c r="E1065" s="835"/>
    </row>
    <row r="1066" spans="1:5" ht="21" customHeight="1">
      <c r="A1066" s="839"/>
      <c r="B1066" s="839"/>
      <c r="C1066" s="838"/>
      <c r="E1066" s="835"/>
    </row>
    <row r="1067" spans="1:5" ht="21" customHeight="1">
      <c r="A1067" s="839"/>
      <c r="B1067" s="839"/>
      <c r="C1067" s="838"/>
      <c r="E1067" s="835"/>
    </row>
    <row r="1068" spans="1:5" ht="21" customHeight="1">
      <c r="A1068" s="839"/>
      <c r="B1068" s="839"/>
      <c r="C1068" s="838"/>
      <c r="E1068" s="835"/>
    </row>
    <row r="1069" spans="1:5" ht="21" customHeight="1">
      <c r="A1069" s="839"/>
      <c r="B1069" s="839"/>
      <c r="C1069" s="838"/>
      <c r="E1069" s="835"/>
    </row>
    <row r="1070" spans="1:5" ht="21" customHeight="1">
      <c r="A1070" s="839"/>
      <c r="B1070" s="839"/>
      <c r="C1070" s="838"/>
      <c r="E1070" s="835"/>
    </row>
    <row r="1071" spans="1:5" ht="21" customHeight="1">
      <c r="A1071" s="839"/>
      <c r="B1071" s="839"/>
      <c r="C1071" s="838"/>
      <c r="E1071" s="835"/>
    </row>
    <row r="1072" spans="1:5" ht="21" customHeight="1">
      <c r="A1072" s="839"/>
      <c r="B1072" s="839"/>
      <c r="C1072" s="838"/>
      <c r="E1072" s="835"/>
    </row>
    <row r="1073" spans="1:5" ht="21" customHeight="1">
      <c r="A1073" s="839"/>
      <c r="B1073" s="839"/>
      <c r="C1073" s="838"/>
      <c r="E1073" s="835"/>
    </row>
    <row r="1074" spans="1:5" ht="21" customHeight="1">
      <c r="A1074" s="839"/>
      <c r="B1074" s="839"/>
      <c r="C1074" s="838"/>
      <c r="E1074" s="835"/>
    </row>
    <row r="1075" spans="1:5" ht="21" customHeight="1">
      <c r="A1075" s="839"/>
      <c r="B1075" s="839"/>
      <c r="C1075" s="838"/>
      <c r="E1075" s="835"/>
    </row>
    <row r="1076" spans="1:5" ht="21" customHeight="1">
      <c r="A1076" s="839"/>
      <c r="B1076" s="839"/>
      <c r="C1076" s="838"/>
      <c r="E1076" s="835"/>
    </row>
    <row r="1077" spans="1:5" ht="21" customHeight="1">
      <c r="A1077" s="839"/>
      <c r="B1077" s="839"/>
      <c r="C1077" s="838"/>
      <c r="E1077" s="835"/>
    </row>
    <row r="1078" spans="1:5" ht="21" customHeight="1">
      <c r="A1078" s="839"/>
      <c r="B1078" s="839"/>
      <c r="C1078" s="838"/>
      <c r="E1078" s="835"/>
    </row>
    <row r="1079" spans="1:5" ht="21" customHeight="1">
      <c r="A1079" s="839"/>
      <c r="B1079" s="839"/>
      <c r="C1079" s="838"/>
      <c r="E1079" s="835"/>
    </row>
    <row r="1080" spans="1:5" ht="21" customHeight="1">
      <c r="A1080" s="839"/>
      <c r="B1080" s="839"/>
      <c r="C1080" s="838"/>
      <c r="E1080" s="835"/>
    </row>
    <row r="1081" spans="1:5" ht="21" customHeight="1">
      <c r="A1081" s="839"/>
      <c r="B1081" s="839"/>
      <c r="C1081" s="838"/>
      <c r="E1081" s="835"/>
    </row>
    <row r="1082" spans="1:5" ht="21" customHeight="1">
      <c r="A1082" s="839"/>
      <c r="B1082" s="839"/>
      <c r="C1082" s="838"/>
      <c r="E1082" s="835"/>
    </row>
    <row r="1083" spans="1:5" ht="21" customHeight="1">
      <c r="A1083" s="839"/>
      <c r="B1083" s="839"/>
      <c r="C1083" s="838"/>
      <c r="E1083" s="835"/>
    </row>
    <row r="1084" spans="1:5" ht="21" customHeight="1">
      <c r="A1084" s="839"/>
      <c r="B1084" s="839"/>
      <c r="C1084" s="838"/>
      <c r="E1084" s="835"/>
    </row>
    <row r="1085" spans="1:5" ht="21" customHeight="1">
      <c r="A1085" s="839"/>
      <c r="B1085" s="839"/>
      <c r="C1085" s="838"/>
      <c r="E1085" s="835"/>
    </row>
    <row r="1086" spans="1:5" ht="21" customHeight="1">
      <c r="A1086" s="839"/>
      <c r="B1086" s="839"/>
      <c r="C1086" s="838"/>
      <c r="E1086" s="835"/>
    </row>
    <row r="1087" spans="1:5" ht="21" customHeight="1">
      <c r="A1087" s="839"/>
      <c r="B1087" s="839"/>
      <c r="C1087" s="838"/>
      <c r="E1087" s="835"/>
    </row>
    <row r="1088" spans="1:5" ht="21" customHeight="1">
      <c r="A1088" s="839"/>
      <c r="B1088" s="839"/>
      <c r="C1088" s="838"/>
      <c r="E1088" s="835"/>
    </row>
    <row r="1089" spans="1:5" ht="21" customHeight="1">
      <c r="A1089" s="839"/>
      <c r="B1089" s="839"/>
      <c r="C1089" s="838"/>
      <c r="E1089" s="835"/>
    </row>
    <row r="1090" spans="1:5" ht="21" customHeight="1">
      <c r="A1090" s="839"/>
      <c r="B1090" s="839"/>
      <c r="C1090" s="838"/>
      <c r="E1090" s="835"/>
    </row>
    <row r="1091" spans="1:5" ht="21" customHeight="1">
      <c r="A1091" s="839"/>
      <c r="B1091" s="839"/>
      <c r="C1091" s="838"/>
      <c r="E1091" s="835"/>
    </row>
    <row r="1092" spans="1:5" ht="21" customHeight="1">
      <c r="A1092" s="839"/>
      <c r="B1092" s="839"/>
      <c r="C1092" s="838"/>
      <c r="E1092" s="835"/>
    </row>
    <row r="1093" spans="1:5" ht="21" customHeight="1">
      <c r="A1093" s="839"/>
      <c r="B1093" s="839"/>
      <c r="C1093" s="838"/>
      <c r="E1093" s="835"/>
    </row>
    <row r="1094" spans="1:5" ht="21" customHeight="1">
      <c r="A1094" s="839"/>
      <c r="B1094" s="839"/>
      <c r="C1094" s="838"/>
      <c r="E1094" s="835"/>
    </row>
    <row r="1095" spans="1:5" ht="21" customHeight="1">
      <c r="A1095" s="839"/>
      <c r="B1095" s="839"/>
      <c r="C1095" s="838"/>
      <c r="E1095" s="835"/>
    </row>
    <row r="1096" spans="1:5" ht="21" customHeight="1">
      <c r="A1096" s="839"/>
      <c r="B1096" s="839"/>
      <c r="C1096" s="838"/>
      <c r="E1096" s="835"/>
    </row>
    <row r="1097" spans="1:5" ht="21" customHeight="1">
      <c r="A1097" s="839"/>
      <c r="B1097" s="839"/>
      <c r="C1097" s="838"/>
      <c r="E1097" s="835"/>
    </row>
    <row r="1098" spans="1:5" ht="21" customHeight="1">
      <c r="A1098" s="839"/>
      <c r="B1098" s="839"/>
      <c r="C1098" s="838"/>
      <c r="E1098" s="835"/>
    </row>
    <row r="1099" spans="1:5" ht="21" customHeight="1">
      <c r="A1099" s="839"/>
      <c r="B1099" s="839"/>
      <c r="C1099" s="838"/>
      <c r="E1099" s="835"/>
    </row>
    <row r="1100" spans="1:5" ht="21" customHeight="1">
      <c r="A1100" s="839"/>
      <c r="B1100" s="839"/>
      <c r="C1100" s="838"/>
      <c r="E1100" s="835"/>
    </row>
    <row r="1101" spans="1:5" ht="21" customHeight="1">
      <c r="A1101" s="839"/>
      <c r="B1101" s="839"/>
      <c r="C1101" s="838"/>
      <c r="E1101" s="835"/>
    </row>
    <row r="1102" spans="1:5" ht="21" customHeight="1">
      <c r="A1102" s="839"/>
      <c r="B1102" s="839"/>
      <c r="C1102" s="838"/>
      <c r="E1102" s="835"/>
    </row>
    <row r="1103" spans="1:5" ht="21" customHeight="1">
      <c r="A1103" s="839"/>
      <c r="B1103" s="839"/>
      <c r="C1103" s="838"/>
      <c r="E1103" s="835"/>
    </row>
    <row r="1104" spans="1:5" ht="21" customHeight="1">
      <c r="A1104" s="839"/>
      <c r="B1104" s="839"/>
      <c r="C1104" s="838"/>
      <c r="E1104" s="835"/>
    </row>
    <row r="1105" spans="1:5" ht="21" customHeight="1">
      <c r="A1105" s="839"/>
      <c r="B1105" s="839"/>
      <c r="C1105" s="838"/>
      <c r="E1105" s="835"/>
    </row>
    <row r="1106" spans="1:5" ht="21" customHeight="1">
      <c r="A1106" s="839"/>
      <c r="B1106" s="839"/>
      <c r="C1106" s="838"/>
      <c r="E1106" s="835"/>
    </row>
    <row r="1107" spans="1:5" ht="21" customHeight="1">
      <c r="A1107" s="839"/>
      <c r="B1107" s="839"/>
      <c r="C1107" s="838"/>
      <c r="E1107" s="835"/>
    </row>
    <row r="1108" spans="1:5" ht="21" customHeight="1">
      <c r="A1108" s="839"/>
      <c r="B1108" s="839"/>
      <c r="C1108" s="838"/>
      <c r="E1108" s="835"/>
    </row>
    <row r="1109" spans="1:5" ht="21" customHeight="1">
      <c r="A1109" s="839"/>
      <c r="B1109" s="839"/>
      <c r="C1109" s="838"/>
      <c r="E1109" s="835"/>
    </row>
    <row r="1110" spans="1:5" ht="21" customHeight="1">
      <c r="A1110" s="839"/>
      <c r="B1110" s="839"/>
      <c r="C1110" s="838"/>
      <c r="E1110" s="835"/>
    </row>
    <row r="1111" spans="1:5" ht="21" customHeight="1">
      <c r="A1111" s="839"/>
      <c r="B1111" s="839"/>
      <c r="C1111" s="838"/>
      <c r="E1111" s="835"/>
    </row>
    <row r="1112" spans="1:5" ht="21" customHeight="1">
      <c r="A1112" s="839"/>
      <c r="B1112" s="839"/>
      <c r="C1112" s="838"/>
      <c r="E1112" s="835"/>
    </row>
    <row r="1113" spans="1:5" ht="21" customHeight="1">
      <c r="A1113" s="839"/>
      <c r="B1113" s="839"/>
      <c r="C1113" s="838"/>
      <c r="E1113" s="835"/>
    </row>
    <row r="1114" spans="1:5" ht="21" customHeight="1">
      <c r="A1114" s="839"/>
      <c r="B1114" s="839"/>
      <c r="C1114" s="838"/>
      <c r="E1114" s="835"/>
    </row>
    <row r="1115" spans="1:5" ht="21" customHeight="1">
      <c r="A1115" s="839"/>
      <c r="B1115" s="839"/>
      <c r="C1115" s="838"/>
      <c r="E1115" s="835"/>
    </row>
    <row r="1116" spans="1:5" ht="21" customHeight="1">
      <c r="A1116" s="839"/>
      <c r="B1116" s="839"/>
      <c r="C1116" s="838"/>
      <c r="E1116" s="835"/>
    </row>
    <row r="1117" spans="1:5" ht="21" customHeight="1">
      <c r="A1117" s="839"/>
      <c r="B1117" s="839"/>
      <c r="C1117" s="838"/>
      <c r="E1117" s="835"/>
    </row>
    <row r="1118" spans="1:5" ht="21" customHeight="1">
      <c r="A1118" s="839"/>
      <c r="B1118" s="839"/>
      <c r="C1118" s="838"/>
      <c r="E1118" s="835"/>
    </row>
    <row r="1119" spans="1:5" ht="21" customHeight="1">
      <c r="A1119" s="839"/>
      <c r="B1119" s="839"/>
      <c r="C1119" s="838"/>
      <c r="E1119" s="835"/>
    </row>
    <row r="1120" spans="1:5" ht="21" customHeight="1">
      <c r="A1120" s="839"/>
      <c r="B1120" s="839"/>
      <c r="C1120" s="838"/>
      <c r="E1120" s="835"/>
    </row>
    <row r="1121" spans="1:5" ht="21" customHeight="1">
      <c r="A1121" s="839"/>
      <c r="B1121" s="839"/>
      <c r="C1121" s="838"/>
      <c r="E1121" s="835"/>
    </row>
    <row r="1122" spans="1:5" ht="21" customHeight="1">
      <c r="A1122" s="839"/>
      <c r="B1122" s="839"/>
      <c r="C1122" s="838"/>
      <c r="E1122" s="835"/>
    </row>
    <row r="1123" spans="1:5" ht="21" customHeight="1">
      <c r="A1123" s="839"/>
      <c r="B1123" s="839"/>
      <c r="C1123" s="838"/>
      <c r="E1123" s="835"/>
    </row>
    <row r="1124" spans="1:5" ht="21" customHeight="1">
      <c r="A1124" s="839"/>
      <c r="B1124" s="839"/>
      <c r="C1124" s="838"/>
      <c r="E1124" s="835"/>
    </row>
    <row r="1125" spans="1:5" ht="21" customHeight="1">
      <c r="A1125" s="839"/>
      <c r="B1125" s="839"/>
      <c r="C1125" s="838"/>
      <c r="E1125" s="835"/>
    </row>
    <row r="1126" spans="1:5" ht="21" customHeight="1">
      <c r="A1126" s="839"/>
      <c r="B1126" s="839"/>
      <c r="C1126" s="838"/>
      <c r="E1126" s="835"/>
    </row>
    <row r="1127" spans="1:5" ht="21" customHeight="1">
      <c r="A1127" s="839"/>
      <c r="B1127" s="839"/>
      <c r="C1127" s="838"/>
      <c r="E1127" s="835"/>
    </row>
    <row r="1128" spans="1:5" ht="21" customHeight="1">
      <c r="A1128" s="839"/>
      <c r="B1128" s="839"/>
      <c r="C1128" s="838"/>
      <c r="E1128" s="835"/>
    </row>
    <row r="1129" spans="1:5" ht="21" customHeight="1">
      <c r="A1129" s="839"/>
      <c r="B1129" s="839"/>
      <c r="C1129" s="838"/>
      <c r="E1129" s="835"/>
    </row>
    <row r="1130" spans="1:5" ht="21" customHeight="1">
      <c r="A1130" s="839"/>
      <c r="B1130" s="839"/>
      <c r="C1130" s="838"/>
      <c r="E1130" s="835"/>
    </row>
    <row r="1131" spans="1:5" ht="21" customHeight="1">
      <c r="A1131" s="839"/>
      <c r="B1131" s="839"/>
      <c r="C1131" s="838"/>
      <c r="E1131" s="835"/>
    </row>
    <row r="1132" spans="1:5" ht="21" customHeight="1">
      <c r="A1132" s="839"/>
      <c r="B1132" s="839"/>
      <c r="C1132" s="838"/>
      <c r="E1132" s="835"/>
    </row>
    <row r="1133" spans="1:5" ht="21" customHeight="1">
      <c r="A1133" s="839"/>
      <c r="B1133" s="839"/>
      <c r="C1133" s="838"/>
      <c r="E1133" s="835"/>
    </row>
    <row r="1134" spans="1:5" ht="21" customHeight="1">
      <c r="A1134" s="839"/>
      <c r="B1134" s="839"/>
      <c r="C1134" s="838"/>
      <c r="E1134" s="835"/>
    </row>
    <row r="1135" spans="1:5" ht="21" customHeight="1">
      <c r="A1135" s="839"/>
      <c r="B1135" s="839"/>
      <c r="C1135" s="838"/>
      <c r="E1135" s="835"/>
    </row>
    <row r="1136" spans="1:5" ht="21" customHeight="1">
      <c r="A1136" s="839"/>
      <c r="B1136" s="839"/>
      <c r="C1136" s="838"/>
      <c r="E1136" s="835"/>
    </row>
    <row r="1137" spans="1:5" ht="21" customHeight="1">
      <c r="A1137" s="839"/>
      <c r="B1137" s="839"/>
      <c r="C1137" s="838"/>
      <c r="E1137" s="835"/>
    </row>
    <row r="1138" spans="1:5" ht="21" customHeight="1">
      <c r="A1138" s="839"/>
      <c r="B1138" s="839"/>
      <c r="C1138" s="838"/>
      <c r="E1138" s="835"/>
    </row>
    <row r="1139" spans="1:5" ht="21" customHeight="1">
      <c r="A1139" s="839"/>
      <c r="B1139" s="839"/>
      <c r="C1139" s="838"/>
      <c r="E1139" s="835"/>
    </row>
    <row r="1140" spans="1:5" ht="21" customHeight="1">
      <c r="A1140" s="839"/>
      <c r="B1140" s="839"/>
      <c r="C1140" s="838"/>
      <c r="E1140" s="835"/>
    </row>
    <row r="1141" spans="1:5" ht="21" customHeight="1">
      <c r="A1141" s="839"/>
      <c r="B1141" s="839"/>
      <c r="C1141" s="838"/>
      <c r="E1141" s="835"/>
    </row>
    <row r="1142" spans="1:5" ht="21" customHeight="1">
      <c r="A1142" s="839"/>
      <c r="B1142" s="839"/>
      <c r="C1142" s="838"/>
      <c r="E1142" s="835"/>
    </row>
  </sheetData>
  <mergeCells count="140">
    <mergeCell ref="B165:F165"/>
    <mergeCell ref="B166:F166"/>
    <mergeCell ref="B159:F159"/>
    <mergeCell ref="B160:F160"/>
    <mergeCell ref="B161:F161"/>
    <mergeCell ref="B162:F162"/>
    <mergeCell ref="B163:F163"/>
    <mergeCell ref="B164:F164"/>
    <mergeCell ref="C136:F136"/>
    <mergeCell ref="C137:F137"/>
    <mergeCell ref="A154:G154"/>
    <mergeCell ref="B156:F156"/>
    <mergeCell ref="B157:F157"/>
    <mergeCell ref="B158:F158"/>
    <mergeCell ref="A127:B127"/>
    <mergeCell ref="A128:G128"/>
    <mergeCell ref="A129:B129"/>
    <mergeCell ref="A130:B130"/>
    <mergeCell ref="C131:F131"/>
    <mergeCell ref="C134:F134"/>
    <mergeCell ref="A121:B121"/>
    <mergeCell ref="A122:B122"/>
    <mergeCell ref="A123:G123"/>
    <mergeCell ref="A124:B124"/>
    <mergeCell ref="A125:B125"/>
    <mergeCell ref="A126:G126"/>
    <mergeCell ref="A114:B114"/>
    <mergeCell ref="A115:B115"/>
    <mergeCell ref="A116:B116"/>
    <mergeCell ref="C117:F117"/>
    <mergeCell ref="A119:G119"/>
    <mergeCell ref="A120:G120"/>
    <mergeCell ref="A108:B108"/>
    <mergeCell ref="A109:B109"/>
    <mergeCell ref="A110:B110"/>
    <mergeCell ref="A111:B111"/>
    <mergeCell ref="A112:B112"/>
    <mergeCell ref="A113:B113"/>
    <mergeCell ref="A102:G102"/>
    <mergeCell ref="A103:B103"/>
    <mergeCell ref="A104:G104"/>
    <mergeCell ref="A105:B105"/>
    <mergeCell ref="A106:B106"/>
    <mergeCell ref="A107:B107"/>
    <mergeCell ref="C95:F95"/>
    <mergeCell ref="A97:G97"/>
    <mergeCell ref="A98:G98"/>
    <mergeCell ref="A99:B99"/>
    <mergeCell ref="A100:B100"/>
    <mergeCell ref="A101:B101"/>
    <mergeCell ref="A89:B89"/>
    <mergeCell ref="A90:B90"/>
    <mergeCell ref="A91:G91"/>
    <mergeCell ref="A92:B92"/>
    <mergeCell ref="A93:G93"/>
    <mergeCell ref="A94:B94"/>
    <mergeCell ref="A83:G83"/>
    <mergeCell ref="A84:B84"/>
    <mergeCell ref="A85:B85"/>
    <mergeCell ref="A86:B86"/>
    <mergeCell ref="A87:B87"/>
    <mergeCell ref="A88:G88"/>
    <mergeCell ref="A76:F76"/>
    <mergeCell ref="A78:G78"/>
    <mergeCell ref="A79:G79"/>
    <mergeCell ref="A80:B80"/>
    <mergeCell ref="A81:G81"/>
    <mergeCell ref="A82:B82"/>
    <mergeCell ref="A69:B69"/>
    <mergeCell ref="A70:G70"/>
    <mergeCell ref="A71:B71"/>
    <mergeCell ref="A72:B72"/>
    <mergeCell ref="A73:B73"/>
    <mergeCell ref="C74:F74"/>
    <mergeCell ref="A63:B63"/>
    <mergeCell ref="A64:B64"/>
    <mergeCell ref="A65:G65"/>
    <mergeCell ref="A66:B66"/>
    <mergeCell ref="A67:G67"/>
    <mergeCell ref="A68:B68"/>
    <mergeCell ref="A57:G57"/>
    <mergeCell ref="A58:B58"/>
    <mergeCell ref="A59:B59"/>
    <mergeCell ref="A60:B60"/>
    <mergeCell ref="A61:B61"/>
    <mergeCell ref="A62:G62"/>
    <mergeCell ref="A50:G50"/>
    <mergeCell ref="C51:F51"/>
    <mergeCell ref="A53:G53"/>
    <mergeCell ref="A54:G54"/>
    <mergeCell ref="A55:B55"/>
    <mergeCell ref="A56:B56"/>
    <mergeCell ref="A43:B43"/>
    <mergeCell ref="A44:B44"/>
    <mergeCell ref="C45:F45"/>
    <mergeCell ref="A47:G47"/>
    <mergeCell ref="A48:G48"/>
    <mergeCell ref="A49:B49"/>
    <mergeCell ref="A37:B37"/>
    <mergeCell ref="A38:B38"/>
    <mergeCell ref="A39:B39"/>
    <mergeCell ref="A40:B40"/>
    <mergeCell ref="A41:B41"/>
    <mergeCell ref="A42:B42"/>
    <mergeCell ref="A31:B31"/>
    <mergeCell ref="A32:G32"/>
    <mergeCell ref="A33:B33"/>
    <mergeCell ref="A34:G34"/>
    <mergeCell ref="A35:B35"/>
    <mergeCell ref="A36:G36"/>
    <mergeCell ref="A25:G25"/>
    <mergeCell ref="A26:B26"/>
    <mergeCell ref="A27:B27"/>
    <mergeCell ref="A28:B28"/>
    <mergeCell ref="A29:G29"/>
    <mergeCell ref="A30:B30"/>
    <mergeCell ref="A19:B19"/>
    <mergeCell ref="A20:B20"/>
    <mergeCell ref="A21:B21"/>
    <mergeCell ref="A22:B22"/>
    <mergeCell ref="A23:B23"/>
    <mergeCell ref="A24:B24"/>
    <mergeCell ref="A16:B16"/>
    <mergeCell ref="A17:B17"/>
    <mergeCell ref="A18:B18"/>
    <mergeCell ref="A7:G7"/>
    <mergeCell ref="A8:B8"/>
    <mergeCell ref="A9:G9"/>
    <mergeCell ref="A10:G10"/>
    <mergeCell ref="A11:B11"/>
    <mergeCell ref="A12:G12"/>
    <mergeCell ref="A1:G1"/>
    <mergeCell ref="A2:G2"/>
    <mergeCell ref="A3:G3"/>
    <mergeCell ref="C4:G4"/>
    <mergeCell ref="D5:E5"/>
    <mergeCell ref="F5:G5"/>
    <mergeCell ref="A13:B13"/>
    <mergeCell ref="A14:B14"/>
    <mergeCell ref="A15:G15"/>
  </mergeCells>
  <printOptions horizontalCentered="1"/>
  <pageMargins left="0.19685039370078741" right="0.19685039370078741" top="0.39370078740157483" bottom="0.19685039370078741" header="0.23622047244094491" footer="0"/>
  <pageSetup scale="85" orientation="portrait" r:id="rId1"/>
  <headerFooter alignWithMargins="0">
    <oddFooter>&amp;C&amp;P de &amp;N</oddFooter>
  </headerFooter>
  <rowBreaks count="9" manualBreakCount="9">
    <brk id="17" max="6" man="1"/>
    <brk id="22" max="6" man="1"/>
    <brk id="27" max="6" man="1"/>
    <brk id="30" max="6" man="1"/>
    <brk id="39" max="6" man="1"/>
    <brk id="51" max="6" man="1"/>
    <brk id="61" max="6" man="1"/>
    <brk id="69" max="6" man="1"/>
    <brk id="146" max="6"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00B0F0"/>
  </sheetPr>
  <dimension ref="A1:DA1125"/>
  <sheetViews>
    <sheetView workbookViewId="0">
      <selection sqref="A1:F1"/>
    </sheetView>
  </sheetViews>
  <sheetFormatPr baseColWidth="10" defaultColWidth="11.42578125" defaultRowHeight="21" customHeight="1"/>
  <cols>
    <col min="1" max="1" width="6.7109375" style="837" customWidth="1"/>
    <col min="2" max="2" width="7.7109375" style="837" customWidth="1"/>
    <col min="3" max="3" width="50.7109375" style="835" customWidth="1"/>
    <col min="4" max="4" width="8.42578125" style="835" customWidth="1"/>
    <col min="5" max="5" width="18.7109375" style="836" customWidth="1"/>
    <col min="6" max="6" width="18.7109375" style="835" customWidth="1"/>
    <col min="7" max="7" width="15.42578125" style="835" bestFit="1" customWidth="1"/>
    <col min="8" max="8" width="23.5703125" style="835" bestFit="1" customWidth="1"/>
    <col min="9" max="9" width="17.5703125" style="835" bestFit="1" customWidth="1"/>
    <col min="10" max="10" width="12.7109375" style="835" bestFit="1" customWidth="1"/>
    <col min="11" max="16384" width="11.42578125" style="835"/>
  </cols>
  <sheetData>
    <row r="1" spans="1:105" ht="60" customHeight="1" thickBot="1">
      <c r="A1" s="2035" t="s">
        <v>2765</v>
      </c>
      <c r="B1" s="2036"/>
      <c r="C1" s="2036"/>
      <c r="D1" s="2036"/>
      <c r="E1" s="2036"/>
      <c r="F1" s="2037"/>
      <c r="G1" s="841"/>
      <c r="H1" s="841"/>
      <c r="I1" s="841"/>
      <c r="J1" s="841"/>
      <c r="K1" s="841"/>
      <c r="L1" s="841"/>
      <c r="M1" s="841"/>
      <c r="N1" s="841"/>
      <c r="O1" s="841"/>
      <c r="P1" s="841"/>
      <c r="Q1" s="841"/>
      <c r="R1" s="841"/>
      <c r="S1" s="841"/>
      <c r="T1" s="841"/>
      <c r="U1" s="841"/>
      <c r="V1" s="841"/>
      <c r="W1" s="841"/>
      <c r="X1" s="841"/>
      <c r="Y1" s="841"/>
      <c r="Z1" s="841"/>
      <c r="AA1" s="841"/>
      <c r="AB1" s="841"/>
      <c r="AC1" s="841"/>
      <c r="AD1" s="841"/>
      <c r="AE1" s="841"/>
      <c r="AF1" s="841"/>
      <c r="AG1" s="841"/>
      <c r="AH1" s="841"/>
      <c r="AI1" s="841"/>
      <c r="AJ1" s="841"/>
      <c r="AK1" s="841"/>
      <c r="AL1" s="841"/>
      <c r="AM1" s="841"/>
      <c r="AN1" s="841"/>
      <c r="AO1" s="841"/>
      <c r="AP1" s="841"/>
      <c r="AQ1" s="841"/>
      <c r="AR1" s="841"/>
      <c r="AS1" s="841"/>
      <c r="AT1" s="841"/>
      <c r="AU1" s="841"/>
      <c r="AV1" s="841"/>
      <c r="AW1" s="841"/>
      <c r="AX1" s="841"/>
      <c r="AY1" s="841"/>
      <c r="AZ1" s="841"/>
      <c r="BA1" s="841"/>
      <c r="BB1" s="841"/>
      <c r="BC1" s="841"/>
      <c r="BD1" s="841"/>
      <c r="BE1" s="841"/>
      <c r="BF1" s="841"/>
      <c r="BG1" s="841"/>
      <c r="BH1" s="841"/>
      <c r="BI1" s="841"/>
      <c r="BJ1" s="841"/>
      <c r="BK1" s="841"/>
      <c r="BL1" s="841"/>
      <c r="BM1" s="841"/>
      <c r="BN1" s="841"/>
      <c r="BO1" s="841"/>
      <c r="BP1" s="841"/>
      <c r="BQ1" s="841"/>
      <c r="BR1" s="841"/>
      <c r="BS1" s="841"/>
      <c r="BT1" s="841"/>
      <c r="BU1" s="841"/>
      <c r="BV1" s="841"/>
      <c r="BW1" s="841"/>
      <c r="BX1" s="841"/>
      <c r="BY1" s="841"/>
      <c r="BZ1" s="841"/>
      <c r="CA1" s="841"/>
      <c r="CB1" s="841"/>
      <c r="CC1" s="841"/>
      <c r="CD1" s="841"/>
      <c r="CE1" s="841"/>
      <c r="CF1" s="841"/>
      <c r="CG1" s="841"/>
      <c r="CH1" s="841"/>
      <c r="CI1" s="841"/>
      <c r="CJ1" s="841"/>
      <c r="CK1" s="841"/>
      <c r="CL1" s="841"/>
      <c r="CM1" s="841"/>
      <c r="CN1" s="841"/>
      <c r="CO1" s="841"/>
      <c r="CP1" s="841"/>
      <c r="CQ1" s="841"/>
      <c r="CR1" s="841"/>
      <c r="CS1" s="841"/>
      <c r="CT1" s="841"/>
      <c r="CU1" s="841"/>
      <c r="CV1" s="841"/>
      <c r="CW1" s="841"/>
      <c r="CX1" s="841"/>
      <c r="CY1" s="841"/>
      <c r="CZ1" s="841"/>
      <c r="DA1" s="841"/>
    </row>
    <row r="2" spans="1:105" ht="26.25" thickBot="1">
      <c r="A2" s="2009" t="s">
        <v>445</v>
      </c>
      <c r="B2" s="2010"/>
      <c r="C2" s="907" t="s">
        <v>3</v>
      </c>
      <c r="D2" s="907" t="s">
        <v>4</v>
      </c>
      <c r="E2" s="906" t="s">
        <v>2766</v>
      </c>
      <c r="F2" s="929" t="s">
        <v>6</v>
      </c>
      <c r="G2" s="841"/>
      <c r="H2" s="841"/>
      <c r="I2" s="841"/>
      <c r="J2" s="841"/>
      <c r="K2" s="841"/>
      <c r="L2" s="841"/>
      <c r="M2" s="841"/>
      <c r="N2" s="841"/>
      <c r="O2" s="841"/>
      <c r="P2" s="841"/>
      <c r="Q2" s="841"/>
      <c r="R2" s="841"/>
      <c r="S2" s="841"/>
      <c r="T2" s="841"/>
      <c r="U2" s="841"/>
      <c r="V2" s="841"/>
      <c r="W2" s="841"/>
      <c r="X2" s="841"/>
      <c r="Y2" s="841"/>
      <c r="Z2" s="841"/>
      <c r="AA2" s="841"/>
      <c r="AB2" s="841"/>
      <c r="AC2" s="841"/>
      <c r="AD2" s="841"/>
      <c r="AE2" s="841"/>
      <c r="AF2" s="841"/>
      <c r="AG2" s="841"/>
      <c r="AH2" s="841"/>
      <c r="AI2" s="841"/>
      <c r="AJ2" s="841"/>
      <c r="AK2" s="841"/>
      <c r="AL2" s="841"/>
      <c r="AM2" s="841"/>
      <c r="AN2" s="841"/>
      <c r="AO2" s="841"/>
      <c r="AP2" s="841"/>
      <c r="AQ2" s="841"/>
      <c r="AR2" s="841"/>
      <c r="AS2" s="841"/>
      <c r="AT2" s="841"/>
      <c r="AU2" s="841"/>
      <c r="AV2" s="841"/>
      <c r="AW2" s="841"/>
      <c r="AX2" s="841"/>
      <c r="AY2" s="841"/>
      <c r="AZ2" s="841"/>
      <c r="BA2" s="841"/>
      <c r="BB2" s="841"/>
      <c r="BC2" s="841"/>
      <c r="BD2" s="841"/>
      <c r="BE2" s="841"/>
      <c r="BF2" s="841"/>
      <c r="BG2" s="841"/>
      <c r="BH2" s="841"/>
      <c r="BI2" s="841"/>
      <c r="BJ2" s="841"/>
      <c r="BK2" s="841"/>
      <c r="BL2" s="841"/>
      <c r="BM2" s="841"/>
      <c r="BN2" s="841"/>
      <c r="BO2" s="841"/>
      <c r="BP2" s="841"/>
      <c r="BQ2" s="841"/>
      <c r="BR2" s="841"/>
      <c r="BS2" s="841"/>
      <c r="BT2" s="841"/>
      <c r="BU2" s="841"/>
      <c r="BV2" s="841"/>
      <c r="BW2" s="841"/>
      <c r="BX2" s="841"/>
      <c r="BY2" s="841"/>
      <c r="BZ2" s="841"/>
      <c r="CA2" s="841"/>
      <c r="CB2" s="841"/>
      <c r="CC2" s="841"/>
      <c r="CD2" s="841"/>
      <c r="CE2" s="841"/>
      <c r="CF2" s="841"/>
      <c r="CG2" s="841"/>
      <c r="CH2" s="841"/>
      <c r="CI2" s="841"/>
      <c r="CJ2" s="841"/>
      <c r="CK2" s="841"/>
      <c r="CL2" s="841"/>
      <c r="CM2" s="841"/>
      <c r="CN2" s="841"/>
      <c r="CO2" s="841"/>
      <c r="CP2" s="841"/>
      <c r="CQ2" s="841"/>
      <c r="CR2" s="841"/>
      <c r="CS2" s="841"/>
      <c r="CT2" s="841"/>
      <c r="CU2" s="841"/>
      <c r="CV2" s="841"/>
      <c r="CW2" s="841"/>
      <c r="CX2" s="841"/>
      <c r="CY2" s="841"/>
      <c r="CZ2" s="841"/>
      <c r="DA2" s="841"/>
    </row>
    <row r="3" spans="1:105" s="884" customFormat="1" ht="45" customHeight="1">
      <c r="A3" s="2011" t="s">
        <v>2622</v>
      </c>
      <c r="B3" s="2011"/>
      <c r="C3" s="2011"/>
      <c r="D3" s="2011"/>
      <c r="E3" s="2011"/>
      <c r="F3" s="201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1"/>
      <c r="AF3" s="841"/>
      <c r="AG3" s="841"/>
      <c r="AH3" s="841"/>
      <c r="AI3" s="841"/>
      <c r="AJ3" s="841"/>
      <c r="AK3" s="841"/>
      <c r="AL3" s="841"/>
      <c r="AM3" s="841"/>
      <c r="AN3" s="841"/>
      <c r="AO3" s="841"/>
      <c r="AP3" s="841"/>
      <c r="AQ3" s="841"/>
      <c r="AR3" s="841"/>
      <c r="AS3" s="841"/>
      <c r="AT3" s="841"/>
      <c r="AU3" s="841"/>
      <c r="AV3" s="841"/>
      <c r="AW3" s="841"/>
      <c r="AX3" s="841"/>
      <c r="AY3" s="841"/>
      <c r="AZ3" s="841"/>
      <c r="BA3" s="841"/>
      <c r="BB3" s="841"/>
      <c r="BC3" s="841"/>
      <c r="BD3" s="841"/>
      <c r="BE3" s="841"/>
      <c r="BF3" s="841"/>
      <c r="BG3" s="841"/>
      <c r="BH3" s="841"/>
      <c r="BI3" s="841"/>
      <c r="BJ3" s="841"/>
      <c r="BK3" s="841"/>
      <c r="BL3" s="841"/>
      <c r="BM3" s="841"/>
      <c r="BN3" s="841"/>
      <c r="BO3" s="841"/>
      <c r="BP3" s="841"/>
      <c r="BQ3" s="841"/>
      <c r="BR3" s="841"/>
      <c r="BS3" s="841"/>
      <c r="BT3" s="841"/>
      <c r="BU3" s="841"/>
      <c r="BV3" s="841"/>
      <c r="BW3" s="841"/>
      <c r="BX3" s="841"/>
      <c r="BY3" s="841"/>
      <c r="BZ3" s="841"/>
      <c r="CA3" s="841"/>
      <c r="CB3" s="841"/>
      <c r="CC3" s="841"/>
      <c r="CD3" s="841"/>
      <c r="CE3" s="841"/>
      <c r="CF3" s="841"/>
      <c r="CG3" s="841"/>
      <c r="CH3" s="841"/>
      <c r="CI3" s="841"/>
      <c r="CJ3" s="841"/>
      <c r="CK3" s="841"/>
      <c r="CL3" s="841"/>
      <c r="CM3" s="841"/>
      <c r="CN3" s="841"/>
      <c r="CO3" s="841"/>
      <c r="CP3" s="841"/>
      <c r="CQ3" s="841"/>
      <c r="CR3" s="841"/>
      <c r="CS3" s="841"/>
      <c r="CT3" s="841"/>
      <c r="CU3" s="841"/>
      <c r="CV3" s="841"/>
      <c r="CW3" s="841"/>
      <c r="CX3" s="841"/>
      <c r="CY3" s="841"/>
      <c r="CZ3" s="841"/>
      <c r="DA3" s="841"/>
    </row>
    <row r="4" spans="1:105" s="879" customFormat="1" ht="22.5" customHeight="1">
      <c r="A4" s="2034" t="s">
        <v>2767</v>
      </c>
      <c r="B4" s="2034"/>
      <c r="C4" s="2034"/>
      <c r="D4" s="2034"/>
      <c r="E4" s="2034"/>
      <c r="F4" s="2034"/>
      <c r="G4" s="841"/>
      <c r="H4" s="841"/>
      <c r="I4" s="841"/>
      <c r="J4" s="841"/>
      <c r="K4" s="841"/>
      <c r="L4" s="841"/>
      <c r="M4" s="841"/>
      <c r="N4" s="841"/>
      <c r="O4" s="841"/>
      <c r="P4" s="841"/>
      <c r="Q4" s="841"/>
      <c r="R4" s="841"/>
      <c r="S4" s="841"/>
      <c r="T4" s="841"/>
      <c r="U4" s="841"/>
      <c r="V4" s="841"/>
      <c r="W4" s="841"/>
      <c r="X4" s="841"/>
      <c r="Y4" s="841"/>
      <c r="Z4" s="841"/>
      <c r="AA4" s="841"/>
      <c r="AB4" s="841"/>
      <c r="AC4" s="841"/>
      <c r="AD4" s="841"/>
      <c r="AE4" s="841"/>
      <c r="AF4" s="841"/>
      <c r="AG4" s="841"/>
      <c r="AH4" s="841"/>
      <c r="AI4" s="841"/>
      <c r="AJ4" s="841"/>
      <c r="AK4" s="841"/>
      <c r="AL4" s="841"/>
      <c r="AM4" s="841"/>
      <c r="AN4" s="841"/>
      <c r="AO4" s="841"/>
      <c r="AP4" s="841"/>
      <c r="AQ4" s="841"/>
      <c r="AR4" s="841"/>
      <c r="AS4" s="841"/>
      <c r="AT4" s="841"/>
      <c r="AU4" s="841"/>
      <c r="AV4" s="841"/>
      <c r="AW4" s="841"/>
      <c r="AX4" s="841"/>
      <c r="AY4" s="841"/>
      <c r="AZ4" s="841"/>
      <c r="BA4" s="841"/>
      <c r="BB4" s="841"/>
      <c r="BC4" s="841"/>
      <c r="BD4" s="841"/>
      <c r="BE4" s="841"/>
      <c r="BF4" s="841"/>
      <c r="BG4" s="841"/>
      <c r="BH4" s="841"/>
      <c r="BI4" s="841"/>
      <c r="BJ4" s="841"/>
      <c r="BK4" s="841"/>
      <c r="BL4" s="841"/>
      <c r="BM4" s="841"/>
      <c r="BN4" s="841"/>
      <c r="BO4" s="841"/>
      <c r="BP4" s="841"/>
      <c r="BQ4" s="841"/>
      <c r="BR4" s="841"/>
      <c r="BS4" s="841"/>
      <c r="BT4" s="841"/>
      <c r="BU4" s="841"/>
      <c r="BV4" s="841"/>
      <c r="BW4" s="841"/>
      <c r="BX4" s="841"/>
      <c r="BY4" s="841"/>
      <c r="BZ4" s="841"/>
      <c r="CA4" s="841"/>
      <c r="CB4" s="841"/>
      <c r="CC4" s="841"/>
      <c r="CD4" s="841"/>
      <c r="CE4" s="841"/>
      <c r="CF4" s="841"/>
      <c r="CG4" s="841"/>
      <c r="CH4" s="841"/>
      <c r="CI4" s="841"/>
      <c r="CJ4" s="841"/>
      <c r="CK4" s="841"/>
      <c r="CL4" s="841"/>
      <c r="CM4" s="841"/>
      <c r="CN4" s="841"/>
      <c r="CO4" s="841"/>
      <c r="CP4" s="841"/>
      <c r="CQ4" s="841"/>
      <c r="CR4" s="841"/>
      <c r="CS4" s="841"/>
      <c r="CT4" s="841"/>
      <c r="CU4" s="841"/>
      <c r="CV4" s="841"/>
      <c r="CW4" s="841"/>
      <c r="CX4" s="841"/>
      <c r="CY4" s="841"/>
      <c r="CZ4" s="841"/>
      <c r="DA4" s="841"/>
    </row>
    <row r="5" spans="1:105" s="841" customFormat="1" ht="20.100000000000001" customHeight="1">
      <c r="A5" s="2033" t="s">
        <v>945</v>
      </c>
      <c r="B5" s="2033"/>
      <c r="C5" s="895" t="s">
        <v>2768</v>
      </c>
      <c r="D5" s="877" t="s">
        <v>299</v>
      </c>
      <c r="E5" s="918">
        <v>42457</v>
      </c>
      <c r="F5" s="881" t="e">
        <f>#REF!</f>
        <v>#REF!</v>
      </c>
      <c r="G5" s="860"/>
    </row>
    <row r="6" spans="1:105" s="841" customFormat="1" ht="20.100000000000001" customHeight="1">
      <c r="A6" s="2033" t="s">
        <v>947</v>
      </c>
      <c r="B6" s="2033"/>
      <c r="C6" s="895" t="s">
        <v>2769</v>
      </c>
      <c r="D6" s="877" t="s">
        <v>2643</v>
      </c>
      <c r="E6" s="918">
        <v>42457</v>
      </c>
      <c r="F6" s="881" t="e">
        <f>#REF!</f>
        <v>#REF!</v>
      </c>
      <c r="G6" s="860"/>
    </row>
    <row r="7" spans="1:105" s="841" customFormat="1" ht="20.100000000000001" customHeight="1">
      <c r="A7" s="2033" t="s">
        <v>950</v>
      </c>
      <c r="B7" s="2033"/>
      <c r="C7" s="895" t="s">
        <v>2770</v>
      </c>
      <c r="D7" s="877" t="s">
        <v>2625</v>
      </c>
      <c r="E7" s="918">
        <v>42457</v>
      </c>
      <c r="F7" s="881" t="e">
        <f>#REF!</f>
        <v>#REF!</v>
      </c>
      <c r="G7" s="860"/>
    </row>
    <row r="8" spans="1:105" s="841" customFormat="1" ht="20.100000000000001" customHeight="1">
      <c r="A8" s="2033" t="s">
        <v>953</v>
      </c>
      <c r="B8" s="2033"/>
      <c r="C8" s="895" t="s">
        <v>2770</v>
      </c>
      <c r="D8" s="877" t="s">
        <v>2643</v>
      </c>
      <c r="E8" s="918">
        <v>42457</v>
      </c>
      <c r="F8" s="881" t="e">
        <f>#REF!</f>
        <v>#REF!</v>
      </c>
      <c r="G8" s="860"/>
    </row>
    <row r="9" spans="1:105" s="841" customFormat="1" ht="20.100000000000001" customHeight="1">
      <c r="A9" s="2033" t="s">
        <v>956</v>
      </c>
      <c r="B9" s="2033"/>
      <c r="C9" s="895" t="s">
        <v>2771</v>
      </c>
      <c r="D9" s="877" t="s">
        <v>2625</v>
      </c>
      <c r="E9" s="918">
        <v>42457</v>
      </c>
      <c r="F9" s="881" t="e">
        <f>#REF!</f>
        <v>#REF!</v>
      </c>
      <c r="G9" s="860"/>
    </row>
    <row r="10" spans="1:105" s="841" customFormat="1" ht="40.15" customHeight="1">
      <c r="A10" s="2033" t="s">
        <v>959</v>
      </c>
      <c r="B10" s="2033"/>
      <c r="C10" s="895" t="s">
        <v>2772</v>
      </c>
      <c r="D10" s="877" t="s">
        <v>2643</v>
      </c>
      <c r="E10" s="918">
        <v>42457</v>
      </c>
      <c r="F10" s="881" t="e">
        <f>#REF!</f>
        <v>#REF!</v>
      </c>
      <c r="G10" s="860"/>
    </row>
    <row r="11" spans="1:105" s="879" customFormat="1" ht="22.5" customHeight="1">
      <c r="A11" s="2034" t="s">
        <v>2773</v>
      </c>
      <c r="B11" s="2034"/>
      <c r="C11" s="2034"/>
      <c r="D11" s="2034"/>
      <c r="E11" s="2034"/>
      <c r="F11" s="2034"/>
      <c r="G11" s="841"/>
      <c r="H11" s="841"/>
      <c r="I11" s="841"/>
      <c r="J11" s="841"/>
      <c r="K11" s="841"/>
      <c r="L11" s="841"/>
      <c r="M11" s="841"/>
      <c r="N11" s="841"/>
      <c r="O11" s="841"/>
      <c r="P11" s="841"/>
      <c r="Q11" s="841"/>
      <c r="R11" s="841"/>
      <c r="S11" s="841"/>
      <c r="T11" s="841"/>
      <c r="U11" s="841"/>
      <c r="V11" s="841"/>
      <c r="W11" s="841"/>
      <c r="X11" s="841"/>
      <c r="Y11" s="841"/>
      <c r="Z11" s="841"/>
      <c r="AA11" s="841"/>
      <c r="AB11" s="841"/>
      <c r="AC11" s="841"/>
      <c r="AD11" s="841"/>
      <c r="AE11" s="841"/>
      <c r="AF11" s="841"/>
      <c r="AG11" s="841"/>
      <c r="AH11" s="841"/>
      <c r="AI11" s="841"/>
      <c r="AJ11" s="841"/>
      <c r="AK11" s="841"/>
      <c r="AL11" s="841"/>
      <c r="AM11" s="841"/>
      <c r="AN11" s="841"/>
      <c r="AO11" s="841"/>
      <c r="AP11" s="841"/>
      <c r="AQ11" s="841"/>
      <c r="AR11" s="841"/>
      <c r="AS11" s="841"/>
      <c r="AT11" s="841"/>
      <c r="AU11" s="841"/>
      <c r="AV11" s="841"/>
      <c r="AW11" s="841"/>
      <c r="AX11" s="841"/>
      <c r="AY11" s="841"/>
      <c r="AZ11" s="841"/>
      <c r="BA11" s="841"/>
      <c r="BB11" s="841"/>
      <c r="BC11" s="841"/>
      <c r="BD11" s="841"/>
      <c r="BE11" s="841"/>
      <c r="BF11" s="841"/>
      <c r="BG11" s="841"/>
      <c r="BH11" s="841"/>
      <c r="BI11" s="841"/>
      <c r="BJ11" s="841"/>
      <c r="BK11" s="841"/>
      <c r="BL11" s="841"/>
      <c r="BM11" s="841"/>
      <c r="BN11" s="841"/>
      <c r="BO11" s="841"/>
      <c r="BP11" s="841"/>
      <c r="BQ11" s="841"/>
      <c r="BR11" s="841"/>
      <c r="BS11" s="841"/>
      <c r="BT11" s="841"/>
      <c r="BU11" s="841"/>
      <c r="BV11" s="841"/>
      <c r="BW11" s="841"/>
      <c r="BX11" s="841"/>
      <c r="BY11" s="841"/>
      <c r="BZ11" s="841"/>
      <c r="CA11" s="841"/>
      <c r="CB11" s="841"/>
      <c r="CC11" s="841"/>
      <c r="CD11" s="841"/>
      <c r="CE11" s="841"/>
      <c r="CF11" s="841"/>
      <c r="CG11" s="841"/>
      <c r="CH11" s="841"/>
      <c r="CI11" s="841"/>
      <c r="CJ11" s="841"/>
      <c r="CK11" s="841"/>
      <c r="CL11" s="841"/>
      <c r="CM11" s="841"/>
      <c r="CN11" s="841"/>
      <c r="CO11" s="841"/>
      <c r="CP11" s="841"/>
      <c r="CQ11" s="841"/>
      <c r="CR11" s="841"/>
      <c r="CS11" s="841"/>
      <c r="CT11" s="841"/>
      <c r="CU11" s="841"/>
      <c r="CV11" s="841"/>
      <c r="CW11" s="841"/>
      <c r="CX11" s="841"/>
      <c r="CY11" s="841"/>
      <c r="CZ11" s="841"/>
      <c r="DA11" s="841"/>
    </row>
    <row r="12" spans="1:105" s="841" customFormat="1" ht="40.15" customHeight="1">
      <c r="A12" s="2033" t="s">
        <v>967</v>
      </c>
      <c r="B12" s="2033"/>
      <c r="C12" s="895" t="s">
        <v>2774</v>
      </c>
      <c r="D12" s="877" t="s">
        <v>299</v>
      </c>
      <c r="E12" s="918">
        <v>42457</v>
      </c>
      <c r="F12" s="881" t="e">
        <f>#REF!</f>
        <v>#REF!</v>
      </c>
      <c r="G12" s="860"/>
    </row>
    <row r="13" spans="1:105" s="879" customFormat="1" ht="22.5" customHeight="1">
      <c r="A13" s="2034" t="s">
        <v>2775</v>
      </c>
      <c r="B13" s="2034"/>
      <c r="C13" s="2034"/>
      <c r="D13" s="2034"/>
      <c r="E13" s="2034"/>
      <c r="F13" s="2034"/>
      <c r="G13" s="841"/>
      <c r="H13" s="841"/>
      <c r="I13" s="841"/>
      <c r="J13" s="841"/>
      <c r="K13" s="841"/>
      <c r="L13" s="841"/>
      <c r="M13" s="841"/>
      <c r="N13" s="841"/>
      <c r="O13" s="841"/>
      <c r="P13" s="841"/>
      <c r="Q13" s="841"/>
      <c r="R13" s="841"/>
      <c r="S13" s="841"/>
      <c r="T13" s="841"/>
      <c r="U13" s="841"/>
      <c r="V13" s="841"/>
      <c r="W13" s="841"/>
      <c r="X13" s="841"/>
      <c r="Y13" s="841"/>
      <c r="Z13" s="841"/>
      <c r="AA13" s="841"/>
      <c r="AB13" s="841"/>
      <c r="AC13" s="841"/>
      <c r="AD13" s="841"/>
      <c r="AE13" s="841"/>
      <c r="AF13" s="841"/>
      <c r="AG13" s="841"/>
      <c r="AH13" s="841"/>
      <c r="AI13" s="841"/>
      <c r="AJ13" s="841"/>
      <c r="AK13" s="841"/>
      <c r="AL13" s="841"/>
      <c r="AM13" s="841"/>
      <c r="AN13" s="841"/>
      <c r="AO13" s="841"/>
      <c r="AP13" s="841"/>
      <c r="AQ13" s="841"/>
      <c r="AR13" s="841"/>
      <c r="AS13" s="841"/>
      <c r="AT13" s="841"/>
      <c r="AU13" s="841"/>
      <c r="AV13" s="841"/>
      <c r="AW13" s="841"/>
      <c r="AX13" s="841"/>
      <c r="AY13" s="841"/>
      <c r="AZ13" s="841"/>
      <c r="BA13" s="841"/>
      <c r="BB13" s="841"/>
      <c r="BC13" s="841"/>
      <c r="BD13" s="841"/>
      <c r="BE13" s="841"/>
      <c r="BF13" s="841"/>
      <c r="BG13" s="841"/>
      <c r="BH13" s="841"/>
      <c r="BI13" s="841"/>
      <c r="BJ13" s="841"/>
      <c r="BK13" s="841"/>
      <c r="BL13" s="841"/>
      <c r="BM13" s="841"/>
      <c r="BN13" s="841"/>
      <c r="BO13" s="841"/>
      <c r="BP13" s="841"/>
      <c r="BQ13" s="841"/>
      <c r="BR13" s="841"/>
      <c r="BS13" s="841"/>
      <c r="BT13" s="841"/>
      <c r="BU13" s="841"/>
      <c r="BV13" s="841"/>
      <c r="BW13" s="841"/>
      <c r="BX13" s="841"/>
      <c r="BY13" s="841"/>
      <c r="BZ13" s="841"/>
      <c r="CA13" s="841"/>
      <c r="CB13" s="841"/>
      <c r="CC13" s="841"/>
      <c r="CD13" s="841"/>
      <c r="CE13" s="841"/>
      <c r="CF13" s="841"/>
      <c r="CG13" s="841"/>
      <c r="CH13" s="841"/>
      <c r="CI13" s="841"/>
      <c r="CJ13" s="841"/>
      <c r="CK13" s="841"/>
      <c r="CL13" s="841"/>
      <c r="CM13" s="841"/>
      <c r="CN13" s="841"/>
      <c r="CO13" s="841"/>
      <c r="CP13" s="841"/>
      <c r="CQ13" s="841"/>
      <c r="CR13" s="841"/>
      <c r="CS13" s="841"/>
      <c r="CT13" s="841"/>
      <c r="CU13" s="841"/>
      <c r="CV13" s="841"/>
      <c r="CW13" s="841"/>
      <c r="CX13" s="841"/>
      <c r="CY13" s="841"/>
      <c r="CZ13" s="841"/>
      <c r="DA13" s="841"/>
    </row>
    <row r="14" spans="1:105" s="841" customFormat="1" ht="20.100000000000001" customHeight="1">
      <c r="A14" s="2033" t="s">
        <v>2628</v>
      </c>
      <c r="B14" s="2033"/>
      <c r="C14" s="895" t="s">
        <v>2776</v>
      </c>
      <c r="D14" s="877" t="s">
        <v>2643</v>
      </c>
      <c r="E14" s="918">
        <v>42457</v>
      </c>
      <c r="F14" s="881" t="e">
        <f>#REF!</f>
        <v>#REF!</v>
      </c>
      <c r="G14" s="860"/>
    </row>
    <row r="15" spans="1:105" s="841" customFormat="1" ht="40.15" customHeight="1">
      <c r="A15" s="2033" t="s">
        <v>2629</v>
      </c>
      <c r="B15" s="2033"/>
      <c r="C15" s="895" t="s">
        <v>2777</v>
      </c>
      <c r="D15" s="877" t="s">
        <v>2625</v>
      </c>
      <c r="E15" s="918">
        <v>42457</v>
      </c>
      <c r="F15" s="881" t="e">
        <f>#REF!</f>
        <v>#REF!</v>
      </c>
      <c r="G15" s="860"/>
    </row>
    <row r="16" spans="1:105" s="879" customFormat="1" ht="22.5" customHeight="1">
      <c r="A16" s="2034" t="s">
        <v>2778</v>
      </c>
      <c r="B16" s="2034"/>
      <c r="C16" s="2034"/>
      <c r="D16" s="2034"/>
      <c r="E16" s="2034"/>
      <c r="F16" s="2034"/>
      <c r="G16" s="841"/>
      <c r="H16" s="841"/>
      <c r="I16" s="841"/>
      <c r="J16" s="841"/>
      <c r="K16" s="841"/>
      <c r="L16" s="841"/>
      <c r="M16" s="841"/>
      <c r="N16" s="841"/>
      <c r="O16" s="841"/>
      <c r="P16" s="841"/>
      <c r="Q16" s="841"/>
      <c r="R16" s="841"/>
      <c r="S16" s="841"/>
      <c r="T16" s="841"/>
      <c r="U16" s="841"/>
      <c r="V16" s="841"/>
      <c r="W16" s="841"/>
      <c r="X16" s="841"/>
      <c r="Y16" s="841"/>
      <c r="Z16" s="841"/>
      <c r="AA16" s="841"/>
      <c r="AB16" s="841"/>
      <c r="AC16" s="841"/>
      <c r="AD16" s="841"/>
      <c r="AE16" s="841"/>
      <c r="AF16" s="841"/>
      <c r="AG16" s="841"/>
      <c r="AH16" s="841"/>
      <c r="AI16" s="841"/>
      <c r="AJ16" s="841"/>
      <c r="AK16" s="841"/>
      <c r="AL16" s="841"/>
      <c r="AM16" s="841"/>
      <c r="AN16" s="841"/>
      <c r="AO16" s="841"/>
      <c r="AP16" s="841"/>
      <c r="AQ16" s="841"/>
      <c r="AR16" s="841"/>
      <c r="AS16" s="841"/>
      <c r="AT16" s="841"/>
      <c r="AU16" s="841"/>
      <c r="AV16" s="841"/>
      <c r="AW16" s="841"/>
      <c r="AX16" s="841"/>
      <c r="AY16" s="841"/>
      <c r="AZ16" s="841"/>
      <c r="BA16" s="841"/>
      <c r="BB16" s="841"/>
      <c r="BC16" s="841"/>
      <c r="BD16" s="841"/>
      <c r="BE16" s="841"/>
      <c r="BF16" s="841"/>
      <c r="BG16" s="841"/>
      <c r="BH16" s="841"/>
      <c r="BI16" s="841"/>
      <c r="BJ16" s="841"/>
      <c r="BK16" s="841"/>
      <c r="BL16" s="841"/>
      <c r="BM16" s="841"/>
      <c r="BN16" s="841"/>
      <c r="BO16" s="841"/>
      <c r="BP16" s="841"/>
      <c r="BQ16" s="841"/>
      <c r="BR16" s="841"/>
      <c r="BS16" s="841"/>
      <c r="BT16" s="841"/>
      <c r="BU16" s="841"/>
      <c r="BV16" s="841"/>
      <c r="BW16" s="841"/>
      <c r="BX16" s="841"/>
      <c r="BY16" s="841"/>
      <c r="BZ16" s="841"/>
      <c r="CA16" s="841"/>
      <c r="CB16" s="841"/>
      <c r="CC16" s="841"/>
      <c r="CD16" s="841"/>
      <c r="CE16" s="841"/>
      <c r="CF16" s="841"/>
      <c r="CG16" s="841"/>
      <c r="CH16" s="841"/>
      <c r="CI16" s="841"/>
      <c r="CJ16" s="841"/>
      <c r="CK16" s="841"/>
      <c r="CL16" s="841"/>
      <c r="CM16" s="841"/>
      <c r="CN16" s="841"/>
      <c r="CO16" s="841"/>
      <c r="CP16" s="841"/>
      <c r="CQ16" s="841"/>
      <c r="CR16" s="841"/>
      <c r="CS16" s="841"/>
      <c r="CT16" s="841"/>
      <c r="CU16" s="841"/>
      <c r="CV16" s="841"/>
      <c r="CW16" s="841"/>
      <c r="CX16" s="841"/>
      <c r="CY16" s="841"/>
      <c r="CZ16" s="841"/>
      <c r="DA16" s="841"/>
    </row>
    <row r="17" spans="1:105" s="924" customFormat="1" ht="40.15" customHeight="1">
      <c r="A17" s="2038" t="s">
        <v>2638</v>
      </c>
      <c r="B17" s="2038"/>
      <c r="C17" s="928" t="s">
        <v>2779</v>
      </c>
      <c r="D17" s="880" t="s">
        <v>2643</v>
      </c>
      <c r="E17" s="927">
        <v>42458</v>
      </c>
      <c r="F17" s="926" t="e">
        <f>#REF!</f>
        <v>#REF!</v>
      </c>
      <c r="G17" s="925"/>
    </row>
    <row r="18" spans="1:105" s="924" customFormat="1" ht="40.15" customHeight="1">
      <c r="A18" s="2038" t="s">
        <v>2639</v>
      </c>
      <c r="B18" s="2038"/>
      <c r="C18" s="928" t="s">
        <v>2780</v>
      </c>
      <c r="D18" s="880" t="s">
        <v>2625</v>
      </c>
      <c r="E18" s="927">
        <v>42458</v>
      </c>
      <c r="F18" s="926" t="e">
        <f>#REF!</f>
        <v>#REF!</v>
      </c>
      <c r="G18" s="925"/>
    </row>
    <row r="19" spans="1:105" s="924" customFormat="1" ht="40.15" customHeight="1">
      <c r="A19" s="2038" t="s">
        <v>2640</v>
      </c>
      <c r="B19" s="2038"/>
      <c r="C19" s="928" t="s">
        <v>2781</v>
      </c>
      <c r="D19" s="880" t="s">
        <v>2643</v>
      </c>
      <c r="E19" s="927">
        <v>42458</v>
      </c>
      <c r="F19" s="926" t="e">
        <f>#REF!</f>
        <v>#REF!</v>
      </c>
      <c r="G19" s="925"/>
    </row>
    <row r="20" spans="1:105" s="924" customFormat="1" ht="20.100000000000001" customHeight="1">
      <c r="A20" s="2038" t="s">
        <v>2782</v>
      </c>
      <c r="B20" s="2038"/>
      <c r="C20" s="928" t="s">
        <v>2783</v>
      </c>
      <c r="D20" s="880" t="s">
        <v>2625</v>
      </c>
      <c r="E20" s="927">
        <v>42458</v>
      </c>
      <c r="F20" s="926" t="e">
        <f>#REF!</f>
        <v>#REF!</v>
      </c>
      <c r="G20" s="925"/>
    </row>
    <row r="21" spans="1:105" s="924" customFormat="1" ht="40.15" customHeight="1">
      <c r="A21" s="2038" t="s">
        <v>2784</v>
      </c>
      <c r="B21" s="2038"/>
      <c r="C21" s="928" t="s">
        <v>2785</v>
      </c>
      <c r="D21" s="880" t="s">
        <v>2643</v>
      </c>
      <c r="E21" s="927">
        <v>42458</v>
      </c>
      <c r="F21" s="926" t="e">
        <f>#REF!</f>
        <v>#REF!</v>
      </c>
      <c r="G21" s="925"/>
    </row>
    <row r="22" spans="1:105" s="924" customFormat="1" ht="20.100000000000001" customHeight="1">
      <c r="A22" s="2038" t="s">
        <v>2786</v>
      </c>
      <c r="B22" s="2038"/>
      <c r="C22" s="928" t="s">
        <v>2787</v>
      </c>
      <c r="D22" s="880" t="s">
        <v>2643</v>
      </c>
      <c r="E22" s="927">
        <v>42458</v>
      </c>
      <c r="F22" s="926" t="e">
        <f>#REF!</f>
        <v>#REF!</v>
      </c>
      <c r="G22" s="925"/>
    </row>
    <row r="23" spans="1:105" s="924" customFormat="1" ht="20.100000000000001" customHeight="1">
      <c r="A23" s="2038" t="s">
        <v>2788</v>
      </c>
      <c r="B23" s="2038"/>
      <c r="C23" s="928" t="s">
        <v>2787</v>
      </c>
      <c r="D23" s="880" t="s">
        <v>2625</v>
      </c>
      <c r="E23" s="927">
        <v>42458</v>
      </c>
      <c r="F23" s="926" t="e">
        <f>#REF!</f>
        <v>#REF!</v>
      </c>
      <c r="G23" s="925"/>
    </row>
    <row r="24" spans="1:105" s="924" customFormat="1" ht="20.100000000000001" customHeight="1">
      <c r="A24" s="2038" t="s">
        <v>2789</v>
      </c>
      <c r="B24" s="2038"/>
      <c r="C24" s="928" t="s">
        <v>2790</v>
      </c>
      <c r="D24" s="880" t="s">
        <v>299</v>
      </c>
      <c r="E24" s="927">
        <v>42458</v>
      </c>
      <c r="F24" s="926" t="e">
        <f>#REF!</f>
        <v>#REF!</v>
      </c>
      <c r="G24" s="925"/>
    </row>
    <row r="25" spans="1:105" s="924" customFormat="1" ht="40.15" customHeight="1">
      <c r="A25" s="2038" t="s">
        <v>2791</v>
      </c>
      <c r="B25" s="2038"/>
      <c r="C25" s="928" t="s">
        <v>2792</v>
      </c>
      <c r="D25" s="880" t="s">
        <v>2643</v>
      </c>
      <c r="E25" s="927">
        <v>42458</v>
      </c>
      <c r="F25" s="926" t="e">
        <f>#REF!</f>
        <v>#REF!</v>
      </c>
      <c r="G25" s="925"/>
    </row>
    <row r="26" spans="1:105" s="924" customFormat="1" ht="40.15" customHeight="1">
      <c r="A26" s="2038" t="s">
        <v>2793</v>
      </c>
      <c r="B26" s="2038"/>
      <c r="C26" s="928" t="s">
        <v>2792</v>
      </c>
      <c r="D26" s="880" t="s">
        <v>2625</v>
      </c>
      <c r="E26" s="927">
        <v>42458</v>
      </c>
      <c r="F26" s="926" t="e">
        <f>#REF!</f>
        <v>#REF!</v>
      </c>
      <c r="G26" s="925"/>
    </row>
    <row r="27" spans="1:105" s="924" customFormat="1" ht="40.15" customHeight="1">
      <c r="A27" s="2038" t="s">
        <v>2794</v>
      </c>
      <c r="B27" s="2038"/>
      <c r="C27" s="928" t="s">
        <v>2795</v>
      </c>
      <c r="D27" s="880" t="s">
        <v>299</v>
      </c>
      <c r="E27" s="927">
        <v>42458</v>
      </c>
      <c r="F27" s="926" t="e">
        <f>#REF!</f>
        <v>#REF!</v>
      </c>
      <c r="G27" s="925"/>
    </row>
    <row r="28" spans="1:105" s="924" customFormat="1" ht="40.15" customHeight="1">
      <c r="A28" s="2038" t="s">
        <v>2796</v>
      </c>
      <c r="B28" s="2038"/>
      <c r="C28" s="928" t="s">
        <v>2797</v>
      </c>
      <c r="D28" s="880" t="s">
        <v>299</v>
      </c>
      <c r="E28" s="927">
        <v>42458</v>
      </c>
      <c r="F28" s="926" t="e">
        <f>#REF!</f>
        <v>#REF!</v>
      </c>
      <c r="G28" s="925"/>
    </row>
    <row r="29" spans="1:105" s="879" customFormat="1" ht="22.5" customHeight="1">
      <c r="A29" s="2034" t="s">
        <v>2798</v>
      </c>
      <c r="B29" s="2034"/>
      <c r="C29" s="2034"/>
      <c r="D29" s="2034"/>
      <c r="E29" s="2034"/>
      <c r="F29" s="2034"/>
      <c r="G29" s="841"/>
      <c r="H29" s="841"/>
      <c r="I29" s="841"/>
      <c r="J29" s="841"/>
      <c r="K29" s="841"/>
      <c r="L29" s="841"/>
      <c r="M29" s="841"/>
      <c r="N29" s="841"/>
      <c r="O29" s="841"/>
      <c r="P29" s="841"/>
      <c r="Q29" s="841"/>
      <c r="R29" s="841"/>
      <c r="S29" s="841"/>
      <c r="T29" s="841"/>
      <c r="U29" s="841"/>
      <c r="V29" s="841"/>
      <c r="W29" s="841"/>
      <c r="X29" s="841"/>
      <c r="Y29" s="841"/>
      <c r="Z29" s="841"/>
      <c r="AA29" s="841"/>
      <c r="AB29" s="841"/>
      <c r="AC29" s="841"/>
      <c r="AD29" s="841"/>
      <c r="AE29" s="841"/>
      <c r="AF29" s="841"/>
      <c r="AG29" s="841"/>
      <c r="AH29" s="841"/>
      <c r="AI29" s="841"/>
      <c r="AJ29" s="841"/>
      <c r="AK29" s="841"/>
      <c r="AL29" s="841"/>
      <c r="AM29" s="841"/>
      <c r="AN29" s="841"/>
      <c r="AO29" s="841"/>
      <c r="AP29" s="841"/>
      <c r="AQ29" s="841"/>
      <c r="AR29" s="841"/>
      <c r="AS29" s="841"/>
      <c r="AT29" s="841"/>
      <c r="AU29" s="841"/>
      <c r="AV29" s="841"/>
      <c r="AW29" s="841"/>
      <c r="AX29" s="841"/>
      <c r="AY29" s="841"/>
      <c r="AZ29" s="841"/>
      <c r="BA29" s="841"/>
      <c r="BB29" s="841"/>
      <c r="BC29" s="841"/>
      <c r="BD29" s="841"/>
      <c r="BE29" s="841"/>
      <c r="BF29" s="841"/>
      <c r="BG29" s="841"/>
      <c r="BH29" s="841"/>
      <c r="BI29" s="841"/>
      <c r="BJ29" s="841"/>
      <c r="BK29" s="841"/>
      <c r="BL29" s="841"/>
      <c r="BM29" s="841"/>
      <c r="BN29" s="841"/>
      <c r="BO29" s="841"/>
      <c r="BP29" s="841"/>
      <c r="BQ29" s="841"/>
      <c r="BR29" s="841"/>
      <c r="BS29" s="841"/>
      <c r="BT29" s="841"/>
      <c r="BU29" s="841"/>
      <c r="BV29" s="841"/>
      <c r="BW29" s="841"/>
      <c r="BX29" s="841"/>
      <c r="BY29" s="841"/>
      <c r="BZ29" s="841"/>
      <c r="CA29" s="841"/>
      <c r="CB29" s="841"/>
      <c r="CC29" s="841"/>
      <c r="CD29" s="841"/>
      <c r="CE29" s="841"/>
      <c r="CF29" s="841"/>
      <c r="CG29" s="841"/>
      <c r="CH29" s="841"/>
      <c r="CI29" s="841"/>
      <c r="CJ29" s="841"/>
      <c r="CK29" s="841"/>
      <c r="CL29" s="841"/>
      <c r="CM29" s="841"/>
      <c r="CN29" s="841"/>
      <c r="CO29" s="841"/>
      <c r="CP29" s="841"/>
      <c r="CQ29" s="841"/>
      <c r="CR29" s="841"/>
      <c r="CS29" s="841"/>
      <c r="CT29" s="841"/>
      <c r="CU29" s="841"/>
      <c r="CV29" s="841"/>
      <c r="CW29" s="841"/>
      <c r="CX29" s="841"/>
      <c r="CY29" s="841"/>
      <c r="CZ29" s="841"/>
      <c r="DA29" s="841"/>
    </row>
    <row r="30" spans="1:105" s="841" customFormat="1" ht="20.100000000000001" customHeight="1">
      <c r="A30" s="2033" t="s">
        <v>2642</v>
      </c>
      <c r="B30" s="2033"/>
      <c r="C30" s="895" t="s">
        <v>2799</v>
      </c>
      <c r="D30" s="877" t="s">
        <v>527</v>
      </c>
      <c r="E30" s="918">
        <v>42457</v>
      </c>
      <c r="F30" s="881" t="e">
        <f>#REF!</f>
        <v>#REF!</v>
      </c>
      <c r="G30" s="860"/>
    </row>
    <row r="31" spans="1:105" s="841" customFormat="1" ht="20.100000000000001" customHeight="1">
      <c r="A31" s="2033" t="s">
        <v>2644</v>
      </c>
      <c r="B31" s="2033"/>
      <c r="C31" s="895" t="s">
        <v>2800</v>
      </c>
      <c r="D31" s="877" t="s">
        <v>527</v>
      </c>
      <c r="E31" s="918">
        <v>42457</v>
      </c>
      <c r="F31" s="881" t="e">
        <f>#REF!</f>
        <v>#REF!</v>
      </c>
      <c r="G31" s="860"/>
    </row>
    <row r="32" spans="1:105" s="841" customFormat="1" ht="20.100000000000001" customHeight="1">
      <c r="A32" s="2033" t="s">
        <v>2801</v>
      </c>
      <c r="B32" s="2033"/>
      <c r="C32" s="895" t="s">
        <v>2802</v>
      </c>
      <c r="D32" s="877" t="s">
        <v>527</v>
      </c>
      <c r="E32" s="918">
        <v>42457</v>
      </c>
      <c r="F32" s="881" t="e">
        <f>#REF!</f>
        <v>#REF!</v>
      </c>
      <c r="G32" s="860"/>
    </row>
    <row r="33" spans="1:105" s="841" customFormat="1" ht="20.100000000000001" customHeight="1">
      <c r="A33" s="2033" t="s">
        <v>2803</v>
      </c>
      <c r="B33" s="2033"/>
      <c r="C33" s="895" t="s">
        <v>2804</v>
      </c>
      <c r="D33" s="877" t="s">
        <v>527</v>
      </c>
      <c r="E33" s="918">
        <v>42457</v>
      </c>
      <c r="F33" s="881" t="e">
        <f>#REF!</f>
        <v>#REF!</v>
      </c>
      <c r="G33" s="860"/>
    </row>
    <row r="34" spans="1:105" s="841" customFormat="1" ht="20.100000000000001" customHeight="1">
      <c r="A34" s="2033" t="s">
        <v>2805</v>
      </c>
      <c r="B34" s="2033"/>
      <c r="C34" s="895" t="s">
        <v>2806</v>
      </c>
      <c r="D34" s="877" t="s">
        <v>527</v>
      </c>
      <c r="E34" s="918">
        <v>42457</v>
      </c>
      <c r="F34" s="881" t="e">
        <f>#REF!</f>
        <v>#REF!</v>
      </c>
      <c r="G34" s="860"/>
    </row>
    <row r="35" spans="1:105" s="879" customFormat="1" ht="22.5" customHeight="1">
      <c r="A35" s="2034" t="s">
        <v>2807</v>
      </c>
      <c r="B35" s="2034"/>
      <c r="C35" s="2034"/>
      <c r="D35" s="2034"/>
      <c r="E35" s="2034"/>
      <c r="F35" s="2034"/>
      <c r="G35" s="841"/>
      <c r="H35" s="841"/>
      <c r="I35" s="841"/>
      <c r="J35" s="841"/>
      <c r="K35" s="841"/>
      <c r="L35" s="841"/>
      <c r="M35" s="841"/>
      <c r="N35" s="841"/>
      <c r="O35" s="841"/>
      <c r="P35" s="841"/>
      <c r="Q35" s="841"/>
      <c r="R35" s="841"/>
      <c r="S35" s="841"/>
      <c r="T35" s="841"/>
      <c r="U35" s="841"/>
      <c r="V35" s="841"/>
      <c r="W35" s="841"/>
      <c r="X35" s="841"/>
      <c r="Y35" s="841"/>
      <c r="Z35" s="841"/>
      <c r="AA35" s="841"/>
      <c r="AB35" s="841"/>
      <c r="AC35" s="841"/>
      <c r="AD35" s="841"/>
      <c r="AE35" s="841"/>
      <c r="AF35" s="841"/>
      <c r="AG35" s="841"/>
      <c r="AH35" s="841"/>
      <c r="AI35" s="841"/>
      <c r="AJ35" s="841"/>
      <c r="AK35" s="841"/>
      <c r="AL35" s="841"/>
      <c r="AM35" s="841"/>
      <c r="AN35" s="841"/>
      <c r="AO35" s="841"/>
      <c r="AP35" s="841"/>
      <c r="AQ35" s="841"/>
      <c r="AR35" s="841"/>
      <c r="AS35" s="841"/>
      <c r="AT35" s="841"/>
      <c r="AU35" s="841"/>
      <c r="AV35" s="841"/>
      <c r="AW35" s="841"/>
      <c r="AX35" s="841"/>
      <c r="AY35" s="841"/>
      <c r="AZ35" s="841"/>
      <c r="BA35" s="841"/>
      <c r="BB35" s="841"/>
      <c r="BC35" s="841"/>
      <c r="BD35" s="841"/>
      <c r="BE35" s="841"/>
      <c r="BF35" s="841"/>
      <c r="BG35" s="841"/>
      <c r="BH35" s="841"/>
      <c r="BI35" s="841"/>
      <c r="BJ35" s="841"/>
      <c r="BK35" s="841"/>
      <c r="BL35" s="841"/>
      <c r="BM35" s="841"/>
      <c r="BN35" s="841"/>
      <c r="BO35" s="841"/>
      <c r="BP35" s="841"/>
      <c r="BQ35" s="841"/>
      <c r="BR35" s="841"/>
      <c r="BS35" s="841"/>
      <c r="BT35" s="841"/>
      <c r="BU35" s="841"/>
      <c r="BV35" s="841"/>
      <c r="BW35" s="841"/>
      <c r="BX35" s="841"/>
      <c r="BY35" s="841"/>
      <c r="BZ35" s="841"/>
      <c r="CA35" s="841"/>
      <c r="CB35" s="841"/>
      <c r="CC35" s="841"/>
      <c r="CD35" s="841"/>
      <c r="CE35" s="841"/>
      <c r="CF35" s="841"/>
      <c r="CG35" s="841"/>
      <c r="CH35" s="841"/>
      <c r="CI35" s="841"/>
      <c r="CJ35" s="841"/>
      <c r="CK35" s="841"/>
      <c r="CL35" s="841"/>
      <c r="CM35" s="841"/>
      <c r="CN35" s="841"/>
      <c r="CO35" s="841"/>
      <c r="CP35" s="841"/>
      <c r="CQ35" s="841"/>
      <c r="CR35" s="841"/>
      <c r="CS35" s="841"/>
      <c r="CT35" s="841"/>
      <c r="CU35" s="841"/>
      <c r="CV35" s="841"/>
      <c r="CW35" s="841"/>
      <c r="CX35" s="841"/>
      <c r="CY35" s="841"/>
      <c r="CZ35" s="841"/>
      <c r="DA35" s="841"/>
    </row>
    <row r="36" spans="1:105" s="841" customFormat="1" ht="40.15" customHeight="1">
      <c r="A36" s="2033" t="s">
        <v>2646</v>
      </c>
      <c r="B36" s="2033"/>
      <c r="C36" s="895" t="s">
        <v>2808</v>
      </c>
      <c r="D36" s="877" t="s">
        <v>2625</v>
      </c>
      <c r="E36" s="918">
        <v>42457</v>
      </c>
      <c r="F36" s="881" t="e">
        <f>#REF!</f>
        <v>#REF!</v>
      </c>
      <c r="G36" s="860"/>
    </row>
    <row r="37" spans="1:105" s="841" customFormat="1" ht="40.15" customHeight="1">
      <c r="A37" s="2033" t="s">
        <v>2809</v>
      </c>
      <c r="B37" s="2033"/>
      <c r="C37" s="895" t="s">
        <v>2810</v>
      </c>
      <c r="D37" s="877" t="s">
        <v>2625</v>
      </c>
      <c r="E37" s="918">
        <v>42457</v>
      </c>
      <c r="F37" s="881" t="e">
        <f>#REF!</f>
        <v>#REF!</v>
      </c>
      <c r="G37" s="860"/>
    </row>
    <row r="38" spans="1:105" s="841" customFormat="1" ht="40.15" customHeight="1">
      <c r="A38" s="2033" t="s">
        <v>2811</v>
      </c>
      <c r="B38" s="2033"/>
      <c r="C38" s="895" t="s">
        <v>2812</v>
      </c>
      <c r="D38" s="877" t="s">
        <v>2625</v>
      </c>
      <c r="E38" s="918">
        <v>42457</v>
      </c>
      <c r="F38" s="881" t="e">
        <f>#REF!</f>
        <v>#REF!</v>
      </c>
      <c r="G38" s="860"/>
    </row>
    <row r="39" spans="1:105" s="841" customFormat="1" ht="40.15" customHeight="1">
      <c r="A39" s="2033" t="s">
        <v>2813</v>
      </c>
      <c r="B39" s="2033"/>
      <c r="C39" s="895" t="s">
        <v>2814</v>
      </c>
      <c r="D39" s="877" t="s">
        <v>2625</v>
      </c>
      <c r="E39" s="918">
        <v>42457</v>
      </c>
      <c r="F39" s="881" t="e">
        <f>#REF!</f>
        <v>#REF!</v>
      </c>
      <c r="G39" s="860"/>
    </row>
    <row r="40" spans="1:105" s="841" customFormat="1" ht="40.15" customHeight="1">
      <c r="A40" s="2033" t="s">
        <v>2815</v>
      </c>
      <c r="B40" s="2033"/>
      <c r="C40" s="895" t="s">
        <v>2816</v>
      </c>
      <c r="D40" s="877" t="s">
        <v>2625</v>
      </c>
      <c r="E40" s="918">
        <v>42457</v>
      </c>
      <c r="F40" s="881" t="e">
        <f>#REF!</f>
        <v>#REF!</v>
      </c>
      <c r="G40" s="860"/>
    </row>
    <row r="41" spans="1:105" s="841" customFormat="1" ht="40.15" customHeight="1">
      <c r="A41" s="2033" t="s">
        <v>2817</v>
      </c>
      <c r="B41" s="2033"/>
      <c r="C41" s="895" t="s">
        <v>2818</v>
      </c>
      <c r="D41" s="877" t="s">
        <v>2625</v>
      </c>
      <c r="E41" s="918">
        <v>42457</v>
      </c>
      <c r="F41" s="881" t="e">
        <f>#REF!</f>
        <v>#REF!</v>
      </c>
      <c r="G41" s="860"/>
    </row>
    <row r="42" spans="1:105" s="841" customFormat="1" ht="40.15" customHeight="1">
      <c r="A42" s="2033" t="s">
        <v>2819</v>
      </c>
      <c r="B42" s="2033"/>
      <c r="C42" s="895" t="s">
        <v>2820</v>
      </c>
      <c r="D42" s="877" t="s">
        <v>2625</v>
      </c>
      <c r="E42" s="918">
        <v>42457</v>
      </c>
      <c r="F42" s="881" t="e">
        <f>#REF!</f>
        <v>#REF!</v>
      </c>
      <c r="G42" s="860"/>
    </row>
    <row r="43" spans="1:105" s="841" customFormat="1" ht="40.15" customHeight="1">
      <c r="A43" s="2033" t="s">
        <v>2821</v>
      </c>
      <c r="B43" s="2033"/>
      <c r="C43" s="895" t="s">
        <v>2822</v>
      </c>
      <c r="D43" s="877" t="s">
        <v>2625</v>
      </c>
      <c r="E43" s="918">
        <v>42457</v>
      </c>
      <c r="F43" s="881" t="e">
        <f>#REF!</f>
        <v>#REF!</v>
      </c>
      <c r="G43" s="860"/>
    </row>
    <row r="44" spans="1:105" s="841" customFormat="1" ht="40.15" customHeight="1">
      <c r="A44" s="2033" t="s">
        <v>2823</v>
      </c>
      <c r="B44" s="2033"/>
      <c r="C44" s="895" t="s">
        <v>2824</v>
      </c>
      <c r="D44" s="877" t="s">
        <v>2625</v>
      </c>
      <c r="E44" s="918">
        <v>42457</v>
      </c>
      <c r="F44" s="881" t="e">
        <f>#REF!</f>
        <v>#REF!</v>
      </c>
      <c r="G44" s="860"/>
    </row>
    <row r="45" spans="1:105" s="841" customFormat="1" ht="40.15" customHeight="1">
      <c r="A45" s="2033" t="s">
        <v>2825</v>
      </c>
      <c r="B45" s="2033"/>
      <c r="C45" s="895" t="s">
        <v>2826</v>
      </c>
      <c r="D45" s="877" t="s">
        <v>2625</v>
      </c>
      <c r="E45" s="918">
        <v>42457</v>
      </c>
      <c r="F45" s="881" t="e">
        <f>#REF!</f>
        <v>#REF!</v>
      </c>
      <c r="G45" s="860"/>
    </row>
    <row r="46" spans="1:105" s="841" customFormat="1" ht="40.15" customHeight="1">
      <c r="A46" s="2033" t="s">
        <v>2827</v>
      </c>
      <c r="B46" s="2033"/>
      <c r="C46" s="895" t="s">
        <v>2828</v>
      </c>
      <c r="D46" s="877" t="s">
        <v>2625</v>
      </c>
      <c r="E46" s="918">
        <v>42457</v>
      </c>
      <c r="F46" s="881" t="e">
        <f>#REF!</f>
        <v>#REF!</v>
      </c>
      <c r="G46" s="860"/>
    </row>
    <row r="47" spans="1:105" s="841" customFormat="1" ht="40.15" customHeight="1">
      <c r="A47" s="2033" t="s">
        <v>2829</v>
      </c>
      <c r="B47" s="2033"/>
      <c r="C47" s="895" t="s">
        <v>2830</v>
      </c>
      <c r="D47" s="877" t="s">
        <v>2625</v>
      </c>
      <c r="E47" s="918">
        <v>42457</v>
      </c>
      <c r="F47" s="881" t="e">
        <f>#REF!</f>
        <v>#REF!</v>
      </c>
      <c r="G47" s="860"/>
    </row>
    <row r="48" spans="1:105" s="841" customFormat="1" ht="40.15" customHeight="1">
      <c r="A48" s="2033" t="s">
        <v>2831</v>
      </c>
      <c r="B48" s="2033"/>
      <c r="C48" s="895" t="s">
        <v>2832</v>
      </c>
      <c r="D48" s="877" t="s">
        <v>2625</v>
      </c>
      <c r="E48" s="918">
        <v>42457</v>
      </c>
      <c r="F48" s="881" t="e">
        <f>#REF!</f>
        <v>#REF!</v>
      </c>
      <c r="G48" s="860"/>
    </row>
    <row r="49" spans="1:104" s="841" customFormat="1" ht="40.15" customHeight="1">
      <c r="A49" s="2033" t="s">
        <v>2833</v>
      </c>
      <c r="B49" s="2033"/>
      <c r="C49" s="895" t="s">
        <v>2834</v>
      </c>
      <c r="D49" s="877" t="s">
        <v>2625</v>
      </c>
      <c r="E49" s="918">
        <v>42457</v>
      </c>
      <c r="F49" s="881" t="e">
        <f>#REF!</f>
        <v>#REF!</v>
      </c>
      <c r="G49" s="860"/>
    </row>
    <row r="50" spans="1:104" s="841" customFormat="1" ht="40.15" customHeight="1">
      <c r="A50" s="2033" t="s">
        <v>2835</v>
      </c>
      <c r="B50" s="2033"/>
      <c r="C50" s="895" t="s">
        <v>2836</v>
      </c>
      <c r="D50" s="877" t="s">
        <v>2625</v>
      </c>
      <c r="E50" s="918">
        <v>42457</v>
      </c>
      <c r="F50" s="881" t="e">
        <f>#REF!</f>
        <v>#REF!</v>
      </c>
      <c r="G50" s="860"/>
    </row>
    <row r="51" spans="1:104" s="841" customFormat="1" ht="40.15" customHeight="1">
      <c r="A51" s="2033" t="s">
        <v>2837</v>
      </c>
      <c r="B51" s="2033"/>
      <c r="C51" s="895" t="s">
        <v>2838</v>
      </c>
      <c r="D51" s="877" t="s">
        <v>2625</v>
      </c>
      <c r="E51" s="918">
        <v>42457</v>
      </c>
      <c r="F51" s="881" t="e">
        <f>#REF!</f>
        <v>#REF!</v>
      </c>
      <c r="G51" s="860"/>
    </row>
    <row r="52" spans="1:104" s="841" customFormat="1" ht="40.15" customHeight="1">
      <c r="A52" s="2033" t="s">
        <v>2839</v>
      </c>
      <c r="B52" s="2033"/>
      <c r="C52" s="895" t="s">
        <v>2840</v>
      </c>
      <c r="D52" s="877" t="s">
        <v>2625</v>
      </c>
      <c r="E52" s="918">
        <v>42457</v>
      </c>
      <c r="F52" s="881" t="e">
        <f>#REF!</f>
        <v>#REF!</v>
      </c>
      <c r="G52" s="860"/>
    </row>
    <row r="53" spans="1:104" s="841" customFormat="1" ht="40.15" customHeight="1">
      <c r="A53" s="2033" t="s">
        <v>2841</v>
      </c>
      <c r="B53" s="2033"/>
      <c r="C53" s="895" t="s">
        <v>2842</v>
      </c>
      <c r="D53" s="877" t="s">
        <v>2625</v>
      </c>
      <c r="E53" s="918">
        <v>42457</v>
      </c>
      <c r="F53" s="881" t="e">
        <f>#REF!</f>
        <v>#REF!</v>
      </c>
      <c r="G53" s="860"/>
    </row>
    <row r="54" spans="1:104" s="879" customFormat="1" ht="22.5" customHeight="1">
      <c r="A54" s="2034" t="s">
        <v>2843</v>
      </c>
      <c r="B54" s="2034"/>
      <c r="C54" s="2034"/>
      <c r="D54" s="2034"/>
      <c r="E54" s="2034"/>
      <c r="F54" s="2034"/>
      <c r="G54" s="841"/>
      <c r="H54" s="841"/>
      <c r="I54" s="841"/>
      <c r="J54" s="841"/>
      <c r="K54" s="841"/>
      <c r="L54" s="841"/>
      <c r="M54" s="841"/>
      <c r="N54" s="841"/>
      <c r="O54" s="841"/>
      <c r="P54" s="841"/>
      <c r="Q54" s="841"/>
      <c r="R54" s="841"/>
      <c r="S54" s="841"/>
      <c r="T54" s="841"/>
      <c r="U54" s="841"/>
      <c r="V54" s="841"/>
      <c r="W54" s="841"/>
      <c r="X54" s="841"/>
      <c r="Y54" s="841"/>
      <c r="Z54" s="841"/>
      <c r="AA54" s="841"/>
      <c r="AB54" s="841"/>
      <c r="AC54" s="841"/>
      <c r="AD54" s="841"/>
      <c r="AE54" s="841"/>
      <c r="AF54" s="841"/>
      <c r="AG54" s="841"/>
      <c r="AH54" s="841"/>
      <c r="AI54" s="841"/>
      <c r="AJ54" s="841"/>
      <c r="AK54" s="841"/>
      <c r="AL54" s="841"/>
      <c r="AM54" s="841"/>
      <c r="AN54" s="841"/>
      <c r="AO54" s="841"/>
      <c r="AP54" s="841"/>
      <c r="AQ54" s="841"/>
      <c r="AR54" s="841"/>
      <c r="AS54" s="841"/>
      <c r="AT54" s="841"/>
      <c r="AU54" s="841"/>
      <c r="AV54" s="841"/>
      <c r="AW54" s="841"/>
      <c r="AX54" s="841"/>
      <c r="AY54" s="841"/>
      <c r="AZ54" s="841"/>
      <c r="BA54" s="841"/>
      <c r="BB54" s="841"/>
      <c r="BC54" s="841"/>
      <c r="BD54" s="841"/>
      <c r="BE54" s="841"/>
      <c r="BF54" s="841"/>
      <c r="BG54" s="841"/>
      <c r="BH54" s="841"/>
      <c r="BI54" s="841"/>
      <c r="BJ54" s="841"/>
      <c r="BK54" s="841"/>
      <c r="BL54" s="841"/>
      <c r="BM54" s="841"/>
      <c r="BN54" s="841"/>
      <c r="BO54" s="841"/>
      <c r="BP54" s="841"/>
      <c r="BQ54" s="841"/>
      <c r="BR54" s="841"/>
      <c r="BS54" s="841"/>
      <c r="BT54" s="841"/>
      <c r="BU54" s="841"/>
      <c r="BV54" s="841"/>
      <c r="BW54" s="841"/>
      <c r="BX54" s="841"/>
      <c r="BY54" s="841"/>
      <c r="BZ54" s="841"/>
      <c r="CA54" s="841"/>
      <c r="CB54" s="841"/>
      <c r="CC54" s="841"/>
      <c r="CD54" s="841"/>
      <c r="CE54" s="841"/>
      <c r="CF54" s="841"/>
      <c r="CG54" s="841"/>
      <c r="CH54" s="841"/>
      <c r="CI54" s="841"/>
      <c r="CJ54" s="841"/>
      <c r="CK54" s="841"/>
      <c r="CL54" s="841"/>
      <c r="CM54" s="841"/>
      <c r="CN54" s="841"/>
      <c r="CO54" s="841"/>
      <c r="CP54" s="841"/>
      <c r="CQ54" s="841"/>
      <c r="CR54" s="841"/>
      <c r="CS54" s="841"/>
      <c r="CT54" s="841"/>
      <c r="CU54" s="841"/>
      <c r="CV54" s="841"/>
      <c r="CW54" s="841"/>
      <c r="CX54" s="841"/>
      <c r="CY54" s="841"/>
      <c r="CZ54" s="841"/>
    </row>
    <row r="55" spans="1:104" s="841" customFormat="1" ht="60" customHeight="1">
      <c r="A55" s="2033" t="s">
        <v>2648</v>
      </c>
      <c r="B55" s="2033"/>
      <c r="C55" s="895" t="s">
        <v>2844</v>
      </c>
      <c r="D55" s="877" t="s">
        <v>299</v>
      </c>
      <c r="E55" s="918">
        <v>42457</v>
      </c>
      <c r="F55" s="881" t="e">
        <f>#REF!</f>
        <v>#REF!</v>
      </c>
      <c r="G55" s="860"/>
    </row>
    <row r="56" spans="1:104" s="841" customFormat="1" ht="60" customHeight="1">
      <c r="A56" s="2033" t="s">
        <v>2845</v>
      </c>
      <c r="B56" s="2033"/>
      <c r="C56" s="895" t="s">
        <v>2846</v>
      </c>
      <c r="D56" s="877" t="s">
        <v>299</v>
      </c>
      <c r="E56" s="918">
        <v>42457</v>
      </c>
      <c r="F56" s="881" t="e">
        <f>#REF!</f>
        <v>#REF!</v>
      </c>
      <c r="G56" s="860"/>
    </row>
    <row r="57" spans="1:104" s="879" customFormat="1" ht="22.5" customHeight="1">
      <c r="A57" s="2034" t="s">
        <v>2847</v>
      </c>
      <c r="B57" s="2034"/>
      <c r="C57" s="2034"/>
      <c r="D57" s="2034"/>
      <c r="E57" s="2034"/>
      <c r="F57" s="2034"/>
      <c r="G57" s="841"/>
      <c r="H57" s="841"/>
      <c r="I57" s="841"/>
      <c r="J57" s="841"/>
      <c r="K57" s="841"/>
      <c r="L57" s="841"/>
      <c r="M57" s="841"/>
      <c r="N57" s="841"/>
      <c r="O57" s="841"/>
      <c r="P57" s="841"/>
      <c r="Q57" s="841"/>
      <c r="R57" s="841"/>
      <c r="S57" s="841"/>
      <c r="T57" s="841"/>
      <c r="U57" s="841"/>
      <c r="V57" s="841"/>
      <c r="W57" s="841"/>
      <c r="X57" s="841"/>
      <c r="Y57" s="841"/>
      <c r="Z57" s="841"/>
      <c r="AA57" s="841"/>
      <c r="AB57" s="841"/>
      <c r="AC57" s="841"/>
      <c r="AD57" s="841"/>
      <c r="AE57" s="841"/>
      <c r="AF57" s="841"/>
      <c r="AG57" s="841"/>
      <c r="AH57" s="841"/>
      <c r="AI57" s="841"/>
      <c r="AJ57" s="841"/>
      <c r="AK57" s="841"/>
      <c r="AL57" s="841"/>
      <c r="AM57" s="841"/>
      <c r="AN57" s="841"/>
      <c r="AO57" s="841"/>
      <c r="AP57" s="841"/>
      <c r="AQ57" s="841"/>
      <c r="AR57" s="841"/>
      <c r="AS57" s="841"/>
      <c r="AT57" s="841"/>
      <c r="AU57" s="841"/>
      <c r="AV57" s="841"/>
      <c r="AW57" s="841"/>
      <c r="AX57" s="841"/>
      <c r="AY57" s="841"/>
      <c r="AZ57" s="841"/>
      <c r="BA57" s="841"/>
      <c r="BB57" s="841"/>
      <c r="BC57" s="841"/>
      <c r="BD57" s="841"/>
      <c r="BE57" s="841"/>
      <c r="BF57" s="841"/>
      <c r="BG57" s="841"/>
      <c r="BH57" s="841"/>
      <c r="BI57" s="841"/>
      <c r="BJ57" s="841"/>
      <c r="BK57" s="841"/>
      <c r="BL57" s="841"/>
      <c r="BM57" s="841"/>
      <c r="BN57" s="841"/>
      <c r="BO57" s="841"/>
      <c r="BP57" s="841"/>
      <c r="BQ57" s="841"/>
      <c r="BR57" s="841"/>
      <c r="BS57" s="841"/>
      <c r="BT57" s="841"/>
      <c r="BU57" s="841"/>
      <c r="BV57" s="841"/>
      <c r="BW57" s="841"/>
      <c r="BX57" s="841"/>
      <c r="BY57" s="841"/>
      <c r="BZ57" s="841"/>
      <c r="CA57" s="841"/>
      <c r="CB57" s="841"/>
      <c r="CC57" s="841"/>
      <c r="CD57" s="841"/>
      <c r="CE57" s="841"/>
      <c r="CF57" s="841"/>
      <c r="CG57" s="841"/>
      <c r="CH57" s="841"/>
      <c r="CI57" s="841"/>
      <c r="CJ57" s="841"/>
      <c r="CK57" s="841"/>
      <c r="CL57" s="841"/>
      <c r="CM57" s="841"/>
      <c r="CN57" s="841"/>
      <c r="CO57" s="841"/>
      <c r="CP57" s="841"/>
      <c r="CQ57" s="841"/>
      <c r="CR57" s="841"/>
      <c r="CS57" s="841"/>
      <c r="CT57" s="841"/>
      <c r="CU57" s="841"/>
      <c r="CV57" s="841"/>
      <c r="CW57" s="841"/>
      <c r="CX57" s="841"/>
      <c r="CY57" s="841"/>
      <c r="CZ57" s="841"/>
    </row>
    <row r="58" spans="1:104" s="841" customFormat="1" ht="20.100000000000001" customHeight="1">
      <c r="A58" s="2016" t="s">
        <v>2650</v>
      </c>
      <c r="B58" s="2016"/>
      <c r="C58" s="895" t="s">
        <v>2848</v>
      </c>
      <c r="D58" s="877" t="s">
        <v>2625</v>
      </c>
      <c r="E58" s="918">
        <v>42457</v>
      </c>
      <c r="F58" s="882" t="e">
        <f>#REF!</f>
        <v>#REF!</v>
      </c>
      <c r="G58" s="860"/>
    </row>
    <row r="59" spans="1:104" s="841" customFormat="1" ht="40.15" customHeight="1">
      <c r="A59" s="2016" t="s">
        <v>2651</v>
      </c>
      <c r="B59" s="2016"/>
      <c r="C59" s="895" t="s">
        <v>2849</v>
      </c>
      <c r="D59" s="877" t="s">
        <v>2625</v>
      </c>
      <c r="E59" s="918">
        <v>42457</v>
      </c>
      <c r="F59" s="881" t="e">
        <f>#REF!</f>
        <v>#REF!</v>
      </c>
    </row>
    <row r="60" spans="1:104" s="841" customFormat="1" ht="20.100000000000001" customHeight="1">
      <c r="A60" s="2016" t="s">
        <v>2652</v>
      </c>
      <c r="B60" s="2016"/>
      <c r="C60" s="895" t="s">
        <v>2850</v>
      </c>
      <c r="D60" s="877" t="s">
        <v>2625</v>
      </c>
      <c r="E60" s="918">
        <v>42457</v>
      </c>
      <c r="F60" s="882" t="e">
        <f>#REF!</f>
        <v>#REF!</v>
      </c>
    </row>
    <row r="61" spans="1:104" s="879" customFormat="1" ht="22.5" customHeight="1">
      <c r="A61" s="2034" t="s">
        <v>2851</v>
      </c>
      <c r="B61" s="2034"/>
      <c r="C61" s="2034"/>
      <c r="D61" s="2034"/>
      <c r="E61" s="2034"/>
      <c r="F61" s="2034"/>
      <c r="G61" s="841"/>
      <c r="H61" s="841"/>
      <c r="I61" s="841"/>
      <c r="J61" s="841"/>
      <c r="K61" s="841"/>
      <c r="L61" s="841"/>
      <c r="M61" s="841"/>
      <c r="N61" s="841"/>
      <c r="O61" s="841"/>
      <c r="P61" s="841"/>
      <c r="Q61" s="841"/>
      <c r="R61" s="841"/>
      <c r="S61" s="841"/>
      <c r="T61" s="841"/>
      <c r="U61" s="841"/>
      <c r="V61" s="841"/>
      <c r="W61" s="841"/>
      <c r="X61" s="841"/>
      <c r="Y61" s="841"/>
      <c r="Z61" s="841"/>
      <c r="AA61" s="841"/>
      <c r="AB61" s="841"/>
      <c r="AC61" s="841"/>
      <c r="AD61" s="841"/>
      <c r="AE61" s="841"/>
      <c r="AF61" s="841"/>
      <c r="AG61" s="841"/>
      <c r="AH61" s="841"/>
      <c r="AI61" s="841"/>
      <c r="AJ61" s="841"/>
      <c r="AK61" s="841"/>
      <c r="AL61" s="841"/>
      <c r="AM61" s="841"/>
      <c r="AN61" s="841"/>
      <c r="AO61" s="841"/>
      <c r="AP61" s="841"/>
      <c r="AQ61" s="841"/>
      <c r="AR61" s="841"/>
      <c r="AS61" s="841"/>
      <c r="AT61" s="841"/>
      <c r="AU61" s="841"/>
      <c r="AV61" s="841"/>
      <c r="AW61" s="841"/>
      <c r="AX61" s="841"/>
      <c r="AY61" s="841"/>
      <c r="AZ61" s="841"/>
      <c r="BA61" s="841"/>
      <c r="BB61" s="841"/>
      <c r="BC61" s="841"/>
      <c r="BD61" s="841"/>
      <c r="BE61" s="841"/>
      <c r="BF61" s="841"/>
      <c r="BG61" s="841"/>
      <c r="BH61" s="841"/>
      <c r="BI61" s="841"/>
      <c r="BJ61" s="841"/>
      <c r="BK61" s="841"/>
      <c r="BL61" s="841"/>
      <c r="BM61" s="841"/>
      <c r="BN61" s="841"/>
      <c r="BO61" s="841"/>
      <c r="BP61" s="841"/>
      <c r="BQ61" s="841"/>
      <c r="BR61" s="841"/>
      <c r="BS61" s="841"/>
      <c r="BT61" s="841"/>
      <c r="BU61" s="841"/>
      <c r="BV61" s="841"/>
      <c r="BW61" s="841"/>
      <c r="BX61" s="841"/>
      <c r="BY61" s="841"/>
      <c r="BZ61" s="841"/>
      <c r="CA61" s="841"/>
      <c r="CB61" s="841"/>
      <c r="CC61" s="841"/>
      <c r="CD61" s="841"/>
      <c r="CE61" s="841"/>
      <c r="CF61" s="841"/>
      <c r="CG61" s="841"/>
      <c r="CH61" s="841"/>
      <c r="CI61" s="841"/>
      <c r="CJ61" s="841"/>
      <c r="CK61" s="841"/>
      <c r="CL61" s="841"/>
      <c r="CM61" s="841"/>
      <c r="CN61" s="841"/>
      <c r="CO61" s="841"/>
      <c r="CP61" s="841"/>
      <c r="CQ61" s="841"/>
      <c r="CR61" s="841"/>
      <c r="CS61" s="841"/>
      <c r="CT61" s="841"/>
      <c r="CU61" s="841"/>
      <c r="CV61" s="841"/>
      <c r="CW61" s="841"/>
      <c r="CX61" s="841"/>
      <c r="CY61" s="841"/>
      <c r="CZ61" s="841"/>
    </row>
    <row r="62" spans="1:104" s="841" customFormat="1" ht="40.15" customHeight="1">
      <c r="A62" s="2016" t="s">
        <v>2852</v>
      </c>
      <c r="B62" s="2016"/>
      <c r="C62" s="895" t="s">
        <v>2853</v>
      </c>
      <c r="D62" s="877" t="s">
        <v>2643</v>
      </c>
      <c r="E62" s="918">
        <v>42457</v>
      </c>
      <c r="F62" s="881" t="e">
        <f>#REF!</f>
        <v>#REF!</v>
      </c>
    </row>
    <row r="63" spans="1:104" s="841" customFormat="1" ht="20.100000000000001" customHeight="1">
      <c r="A63" s="2016" t="s">
        <v>2854</v>
      </c>
      <c r="B63" s="2016"/>
      <c r="C63" s="895" t="s">
        <v>2855</v>
      </c>
      <c r="D63" s="877" t="s">
        <v>2643</v>
      </c>
      <c r="E63" s="918">
        <v>42457</v>
      </c>
      <c r="F63" s="881" t="e">
        <f>#REF!</f>
        <v>#REF!</v>
      </c>
    </row>
    <row r="64" spans="1:104" s="841" customFormat="1" ht="20.100000000000001" customHeight="1">
      <c r="A64" s="2016" t="s">
        <v>2856</v>
      </c>
      <c r="B64" s="2016"/>
      <c r="C64" s="895" t="s">
        <v>2857</v>
      </c>
      <c r="D64" s="877" t="s">
        <v>2643</v>
      </c>
      <c r="E64" s="918">
        <v>42457</v>
      </c>
      <c r="F64" s="881" t="e">
        <f>#REF!</f>
        <v>#REF!</v>
      </c>
    </row>
    <row r="65" spans="1:104" s="879" customFormat="1" ht="22.5" customHeight="1">
      <c r="A65" s="2034" t="s">
        <v>2858</v>
      </c>
      <c r="B65" s="2034"/>
      <c r="C65" s="2034"/>
      <c r="D65" s="2034"/>
      <c r="E65" s="2034"/>
      <c r="F65" s="2034"/>
      <c r="G65" s="841"/>
      <c r="H65" s="841"/>
      <c r="I65" s="841"/>
      <c r="J65" s="841"/>
      <c r="K65" s="841"/>
      <c r="L65" s="841"/>
      <c r="M65" s="841"/>
      <c r="N65" s="841"/>
      <c r="O65" s="841"/>
      <c r="P65" s="841"/>
      <c r="Q65" s="841"/>
      <c r="R65" s="841"/>
      <c r="S65" s="841"/>
      <c r="T65" s="841"/>
      <c r="U65" s="841"/>
      <c r="V65" s="841"/>
      <c r="W65" s="841"/>
      <c r="X65" s="841"/>
      <c r="Y65" s="841"/>
      <c r="Z65" s="841"/>
      <c r="AA65" s="841"/>
      <c r="AB65" s="841"/>
      <c r="AC65" s="841"/>
      <c r="AD65" s="841"/>
      <c r="AE65" s="841"/>
      <c r="AF65" s="841"/>
      <c r="AG65" s="841"/>
      <c r="AH65" s="841"/>
      <c r="AI65" s="841"/>
      <c r="AJ65" s="841"/>
      <c r="AK65" s="841"/>
      <c r="AL65" s="841"/>
      <c r="AM65" s="841"/>
      <c r="AN65" s="841"/>
      <c r="AO65" s="841"/>
      <c r="AP65" s="841"/>
      <c r="AQ65" s="841"/>
      <c r="AR65" s="841"/>
      <c r="AS65" s="841"/>
      <c r="AT65" s="841"/>
      <c r="AU65" s="841"/>
      <c r="AV65" s="841"/>
      <c r="AW65" s="841"/>
      <c r="AX65" s="841"/>
      <c r="AY65" s="841"/>
      <c r="AZ65" s="841"/>
      <c r="BA65" s="841"/>
      <c r="BB65" s="841"/>
      <c r="BC65" s="841"/>
      <c r="BD65" s="841"/>
      <c r="BE65" s="841"/>
      <c r="BF65" s="841"/>
      <c r="BG65" s="841"/>
      <c r="BH65" s="841"/>
      <c r="BI65" s="841"/>
      <c r="BJ65" s="841"/>
      <c r="BK65" s="841"/>
      <c r="BL65" s="841"/>
      <c r="BM65" s="841"/>
      <c r="BN65" s="841"/>
      <c r="BO65" s="841"/>
      <c r="BP65" s="841"/>
      <c r="BQ65" s="841"/>
      <c r="BR65" s="841"/>
      <c r="BS65" s="841"/>
      <c r="BT65" s="841"/>
      <c r="BU65" s="841"/>
      <c r="BV65" s="841"/>
      <c r="BW65" s="841"/>
      <c r="BX65" s="841"/>
      <c r="BY65" s="841"/>
      <c r="BZ65" s="841"/>
      <c r="CA65" s="841"/>
      <c r="CB65" s="841"/>
      <c r="CC65" s="841"/>
      <c r="CD65" s="841"/>
      <c r="CE65" s="841"/>
      <c r="CF65" s="841"/>
      <c r="CG65" s="841"/>
      <c r="CH65" s="841"/>
      <c r="CI65" s="841"/>
      <c r="CJ65" s="841"/>
      <c r="CK65" s="841"/>
      <c r="CL65" s="841"/>
      <c r="CM65" s="841"/>
      <c r="CN65" s="841"/>
      <c r="CO65" s="841"/>
      <c r="CP65" s="841"/>
      <c r="CQ65" s="841"/>
      <c r="CR65" s="841"/>
      <c r="CS65" s="841"/>
      <c r="CT65" s="841"/>
      <c r="CU65" s="841"/>
      <c r="CV65" s="841"/>
      <c r="CW65" s="841"/>
      <c r="CX65" s="841"/>
      <c r="CY65" s="841"/>
      <c r="CZ65" s="841"/>
    </row>
    <row r="66" spans="1:104" s="841" customFormat="1" ht="40.15" customHeight="1">
      <c r="A66" s="2016" t="s">
        <v>2859</v>
      </c>
      <c r="B66" s="2016"/>
      <c r="C66" s="895" t="s">
        <v>2860</v>
      </c>
      <c r="D66" s="877" t="s">
        <v>2625</v>
      </c>
      <c r="E66" s="918">
        <v>42457</v>
      </c>
      <c r="F66" s="881" t="e">
        <f>#REF!</f>
        <v>#REF!</v>
      </c>
    </row>
    <row r="67" spans="1:104" s="879" customFormat="1" ht="22.5" customHeight="1">
      <c r="A67" s="2034" t="s">
        <v>2861</v>
      </c>
      <c r="B67" s="2034"/>
      <c r="C67" s="2034"/>
      <c r="D67" s="2034"/>
      <c r="E67" s="2034"/>
      <c r="F67" s="2034"/>
      <c r="G67" s="841"/>
      <c r="H67" s="841"/>
      <c r="I67" s="841"/>
      <c r="J67" s="841"/>
      <c r="K67" s="841"/>
      <c r="L67" s="841"/>
      <c r="M67" s="841"/>
      <c r="N67" s="841"/>
      <c r="O67" s="841"/>
      <c r="P67" s="841"/>
      <c r="Q67" s="841"/>
      <c r="R67" s="841"/>
      <c r="S67" s="841"/>
      <c r="T67" s="841"/>
      <c r="U67" s="841"/>
      <c r="V67" s="841"/>
      <c r="W67" s="841"/>
      <c r="X67" s="841"/>
      <c r="Y67" s="841"/>
      <c r="Z67" s="841"/>
      <c r="AA67" s="841"/>
      <c r="AB67" s="841"/>
      <c r="AC67" s="841"/>
      <c r="AD67" s="841"/>
      <c r="AE67" s="841"/>
      <c r="AF67" s="841"/>
      <c r="AG67" s="841"/>
      <c r="AH67" s="841"/>
      <c r="AI67" s="841"/>
      <c r="AJ67" s="841"/>
      <c r="AK67" s="841"/>
      <c r="AL67" s="841"/>
      <c r="AM67" s="841"/>
      <c r="AN67" s="841"/>
      <c r="AO67" s="841"/>
      <c r="AP67" s="841"/>
      <c r="AQ67" s="841"/>
      <c r="AR67" s="841"/>
      <c r="AS67" s="841"/>
      <c r="AT67" s="841"/>
      <c r="AU67" s="841"/>
      <c r="AV67" s="841"/>
      <c r="AW67" s="841"/>
      <c r="AX67" s="841"/>
      <c r="AY67" s="841"/>
      <c r="AZ67" s="841"/>
      <c r="BA67" s="841"/>
      <c r="BB67" s="841"/>
      <c r="BC67" s="841"/>
      <c r="BD67" s="841"/>
      <c r="BE67" s="841"/>
      <c r="BF67" s="841"/>
      <c r="BG67" s="841"/>
      <c r="BH67" s="841"/>
      <c r="BI67" s="841"/>
      <c r="BJ67" s="841"/>
      <c r="BK67" s="841"/>
      <c r="BL67" s="841"/>
      <c r="BM67" s="841"/>
      <c r="BN67" s="841"/>
      <c r="BO67" s="841"/>
      <c r="BP67" s="841"/>
      <c r="BQ67" s="841"/>
      <c r="BR67" s="841"/>
      <c r="BS67" s="841"/>
      <c r="BT67" s="841"/>
      <c r="BU67" s="841"/>
      <c r="BV67" s="841"/>
      <c r="BW67" s="841"/>
      <c r="BX67" s="841"/>
      <c r="BY67" s="841"/>
      <c r="BZ67" s="841"/>
      <c r="CA67" s="841"/>
      <c r="CB67" s="841"/>
      <c r="CC67" s="841"/>
      <c r="CD67" s="841"/>
      <c r="CE67" s="841"/>
      <c r="CF67" s="841"/>
      <c r="CG67" s="841"/>
      <c r="CH67" s="841"/>
      <c r="CI67" s="841"/>
      <c r="CJ67" s="841"/>
      <c r="CK67" s="841"/>
      <c r="CL67" s="841"/>
      <c r="CM67" s="841"/>
      <c r="CN67" s="841"/>
      <c r="CO67" s="841"/>
      <c r="CP67" s="841"/>
      <c r="CQ67" s="841"/>
      <c r="CR67" s="841"/>
      <c r="CS67" s="841"/>
      <c r="CT67" s="841"/>
      <c r="CU67" s="841"/>
      <c r="CV67" s="841"/>
      <c r="CW67" s="841"/>
      <c r="CX67" s="841"/>
      <c r="CY67" s="841"/>
      <c r="CZ67" s="841"/>
    </row>
    <row r="68" spans="1:104" s="841" customFormat="1" ht="40.15" customHeight="1">
      <c r="A68" s="2016" t="s">
        <v>2862</v>
      </c>
      <c r="B68" s="2016"/>
      <c r="C68" s="895" t="s">
        <v>2863</v>
      </c>
      <c r="D68" s="877" t="s">
        <v>2643</v>
      </c>
      <c r="E68" s="918">
        <v>42457</v>
      </c>
      <c r="F68" s="881" t="e">
        <f>#REF!</f>
        <v>#REF!</v>
      </c>
    </row>
    <row r="69" spans="1:104" s="841" customFormat="1" ht="20.100000000000001" customHeight="1">
      <c r="A69" s="2016" t="s">
        <v>2864</v>
      </c>
      <c r="B69" s="2016"/>
      <c r="C69" s="895" t="s">
        <v>2865</v>
      </c>
      <c r="D69" s="877" t="s">
        <v>299</v>
      </c>
      <c r="E69" s="918">
        <v>42457</v>
      </c>
      <c r="F69" s="881" t="e">
        <f>#REF!</f>
        <v>#REF!</v>
      </c>
    </row>
    <row r="70" spans="1:104" s="841" customFormat="1" ht="20.100000000000001" customHeight="1">
      <c r="A70" s="2016" t="s">
        <v>2866</v>
      </c>
      <c r="B70" s="2016"/>
      <c r="C70" s="895" t="s">
        <v>2867</v>
      </c>
      <c r="D70" s="877" t="s">
        <v>299</v>
      </c>
      <c r="E70" s="918">
        <v>42457</v>
      </c>
      <c r="F70" s="881" t="e">
        <f>#REF!</f>
        <v>#REF!</v>
      </c>
    </row>
    <row r="71" spans="1:104" s="841" customFormat="1" ht="40.15" customHeight="1">
      <c r="A71" s="2016" t="s">
        <v>2868</v>
      </c>
      <c r="B71" s="2016"/>
      <c r="C71" s="895" t="s">
        <v>2869</v>
      </c>
      <c r="D71" s="885" t="s">
        <v>527</v>
      </c>
      <c r="E71" s="918">
        <v>42457</v>
      </c>
      <c r="F71" s="882" t="e">
        <f>#REF!</f>
        <v>#REF!</v>
      </c>
    </row>
    <row r="72" spans="1:104" s="841" customFormat="1" ht="40.15" customHeight="1">
      <c r="A72" s="2016" t="s">
        <v>2870</v>
      </c>
      <c r="B72" s="2016"/>
      <c r="C72" s="895" t="s">
        <v>2871</v>
      </c>
      <c r="D72" s="885" t="s">
        <v>527</v>
      </c>
      <c r="E72" s="918">
        <v>42457</v>
      </c>
      <c r="F72" s="882" t="e">
        <f>#REF!</f>
        <v>#REF!</v>
      </c>
    </row>
    <row r="73" spans="1:104" s="841" customFormat="1" ht="40.15" customHeight="1">
      <c r="A73" s="2016" t="s">
        <v>2872</v>
      </c>
      <c r="B73" s="2016"/>
      <c r="C73" s="895" t="s">
        <v>2873</v>
      </c>
      <c r="D73" s="885" t="s">
        <v>527</v>
      </c>
      <c r="E73" s="918">
        <v>42457</v>
      </c>
      <c r="F73" s="882" t="e">
        <f>#REF!</f>
        <v>#REF!</v>
      </c>
    </row>
    <row r="74" spans="1:104" s="841" customFormat="1" ht="40.15" customHeight="1">
      <c r="A74" s="2016" t="s">
        <v>2874</v>
      </c>
      <c r="B74" s="2016"/>
      <c r="C74" s="895" t="s">
        <v>2875</v>
      </c>
      <c r="D74" s="885" t="s">
        <v>527</v>
      </c>
      <c r="E74" s="918">
        <v>42457</v>
      </c>
      <c r="F74" s="882" t="e">
        <f>#REF!</f>
        <v>#REF!</v>
      </c>
    </row>
    <row r="75" spans="1:104" s="841" customFormat="1" ht="40.15" customHeight="1">
      <c r="A75" s="2016" t="s">
        <v>2876</v>
      </c>
      <c r="B75" s="2016"/>
      <c r="C75" s="895" t="s">
        <v>2877</v>
      </c>
      <c r="D75" s="885" t="s">
        <v>527</v>
      </c>
      <c r="E75" s="918">
        <v>42457</v>
      </c>
      <c r="F75" s="882" t="e">
        <f>#REF!</f>
        <v>#REF!</v>
      </c>
    </row>
    <row r="76" spans="1:104" s="841" customFormat="1" ht="40.15" customHeight="1">
      <c r="A76" s="2016" t="s">
        <v>2878</v>
      </c>
      <c r="B76" s="2016"/>
      <c r="C76" s="895" t="s">
        <v>2879</v>
      </c>
      <c r="D76" s="885" t="s">
        <v>527</v>
      </c>
      <c r="E76" s="918">
        <v>42457</v>
      </c>
      <c r="F76" s="882" t="e">
        <f>#REF!</f>
        <v>#REF!</v>
      </c>
    </row>
    <row r="77" spans="1:104" s="841" customFormat="1" ht="40.15" customHeight="1">
      <c r="A77" s="2016" t="s">
        <v>2880</v>
      </c>
      <c r="B77" s="2016"/>
      <c r="C77" s="895" t="s">
        <v>2881</v>
      </c>
      <c r="D77" s="885" t="s">
        <v>527</v>
      </c>
      <c r="E77" s="918">
        <v>42457</v>
      </c>
      <c r="F77" s="882" t="e">
        <f>#REF!</f>
        <v>#REF!</v>
      </c>
    </row>
    <row r="78" spans="1:104" s="841" customFormat="1" ht="40.15" customHeight="1">
      <c r="A78" s="2016" t="s">
        <v>2882</v>
      </c>
      <c r="B78" s="2016"/>
      <c r="C78" s="895" t="s">
        <v>2883</v>
      </c>
      <c r="D78" s="877" t="s">
        <v>2625</v>
      </c>
      <c r="E78" s="918">
        <v>42457</v>
      </c>
      <c r="F78" s="882" t="e">
        <f>#REF!</f>
        <v>#REF!</v>
      </c>
    </row>
    <row r="79" spans="1:104" s="841" customFormat="1" ht="40.15" customHeight="1">
      <c r="A79" s="2016" t="s">
        <v>2884</v>
      </c>
      <c r="B79" s="2016"/>
      <c r="C79" s="895" t="s">
        <v>2885</v>
      </c>
      <c r="D79" s="877" t="s">
        <v>2625</v>
      </c>
      <c r="E79" s="918">
        <v>42457</v>
      </c>
      <c r="F79" s="882" t="e">
        <f>#REF!</f>
        <v>#REF!</v>
      </c>
    </row>
    <row r="80" spans="1:104" s="841" customFormat="1" ht="20.100000000000001" customHeight="1">
      <c r="A80" s="2016" t="s">
        <v>2886</v>
      </c>
      <c r="B80" s="2016"/>
      <c r="C80" s="895" t="s">
        <v>2887</v>
      </c>
      <c r="D80" s="885" t="s">
        <v>527</v>
      </c>
      <c r="E80" s="918">
        <v>42457</v>
      </c>
      <c r="F80" s="882" t="e">
        <f>#REF!</f>
        <v>#REF!</v>
      </c>
    </row>
    <row r="81" spans="1:104" s="879" customFormat="1" ht="22.5" customHeight="1">
      <c r="A81" s="2034" t="s">
        <v>2888</v>
      </c>
      <c r="B81" s="2034"/>
      <c r="C81" s="2034"/>
      <c r="D81" s="2034"/>
      <c r="E81" s="2034"/>
      <c r="F81" s="2034"/>
      <c r="G81" s="841"/>
      <c r="H81" s="841"/>
      <c r="I81" s="841"/>
      <c r="J81" s="841"/>
      <c r="K81" s="841"/>
      <c r="L81" s="841"/>
      <c r="M81" s="841"/>
      <c r="N81" s="841"/>
      <c r="O81" s="841"/>
      <c r="P81" s="841"/>
      <c r="Q81" s="841"/>
      <c r="R81" s="841"/>
      <c r="S81" s="841"/>
      <c r="T81" s="841"/>
      <c r="U81" s="841"/>
      <c r="V81" s="841"/>
      <c r="W81" s="841"/>
      <c r="X81" s="841"/>
      <c r="Y81" s="841"/>
      <c r="Z81" s="841"/>
      <c r="AA81" s="841"/>
      <c r="AB81" s="841"/>
      <c r="AC81" s="841"/>
      <c r="AD81" s="841"/>
      <c r="AE81" s="841"/>
      <c r="AF81" s="841"/>
      <c r="AG81" s="841"/>
      <c r="AH81" s="841"/>
      <c r="AI81" s="841"/>
      <c r="AJ81" s="841"/>
      <c r="AK81" s="841"/>
      <c r="AL81" s="841"/>
      <c r="AM81" s="841"/>
      <c r="AN81" s="841"/>
      <c r="AO81" s="841"/>
      <c r="AP81" s="841"/>
      <c r="AQ81" s="841"/>
      <c r="AR81" s="841"/>
      <c r="AS81" s="841"/>
      <c r="AT81" s="841"/>
      <c r="AU81" s="841"/>
      <c r="AV81" s="841"/>
      <c r="AW81" s="841"/>
      <c r="AX81" s="841"/>
      <c r="AY81" s="841"/>
      <c r="AZ81" s="841"/>
      <c r="BA81" s="841"/>
      <c r="BB81" s="841"/>
      <c r="BC81" s="841"/>
      <c r="BD81" s="841"/>
      <c r="BE81" s="841"/>
      <c r="BF81" s="841"/>
      <c r="BG81" s="841"/>
      <c r="BH81" s="841"/>
      <c r="BI81" s="841"/>
      <c r="BJ81" s="841"/>
      <c r="BK81" s="841"/>
      <c r="BL81" s="841"/>
      <c r="BM81" s="841"/>
      <c r="BN81" s="841"/>
      <c r="BO81" s="841"/>
      <c r="BP81" s="841"/>
      <c r="BQ81" s="841"/>
      <c r="BR81" s="841"/>
      <c r="BS81" s="841"/>
      <c r="BT81" s="841"/>
      <c r="BU81" s="841"/>
      <c r="BV81" s="841"/>
      <c r="BW81" s="841"/>
      <c r="BX81" s="841"/>
      <c r="BY81" s="841"/>
      <c r="BZ81" s="841"/>
      <c r="CA81" s="841"/>
      <c r="CB81" s="841"/>
      <c r="CC81" s="841"/>
      <c r="CD81" s="841"/>
      <c r="CE81" s="841"/>
      <c r="CF81" s="841"/>
      <c r="CG81" s="841"/>
      <c r="CH81" s="841"/>
      <c r="CI81" s="841"/>
      <c r="CJ81" s="841"/>
      <c r="CK81" s="841"/>
      <c r="CL81" s="841"/>
      <c r="CM81" s="841"/>
      <c r="CN81" s="841"/>
      <c r="CO81" s="841"/>
      <c r="CP81" s="841"/>
      <c r="CQ81" s="841"/>
      <c r="CR81" s="841"/>
      <c r="CS81" s="841"/>
      <c r="CT81" s="841"/>
      <c r="CU81" s="841"/>
      <c r="CV81" s="841"/>
      <c r="CW81" s="841"/>
      <c r="CX81" s="841"/>
      <c r="CY81" s="841"/>
      <c r="CZ81" s="841"/>
    </row>
    <row r="82" spans="1:104" s="841" customFormat="1" ht="20.100000000000001" customHeight="1">
      <c r="A82" s="2016" t="s">
        <v>2889</v>
      </c>
      <c r="B82" s="2016"/>
      <c r="C82" s="895" t="s">
        <v>2890</v>
      </c>
      <c r="D82" s="877" t="s">
        <v>2625</v>
      </c>
      <c r="E82" s="918">
        <v>42457</v>
      </c>
      <c r="F82" s="882" t="e">
        <f>#REF!</f>
        <v>#REF!</v>
      </c>
    </row>
    <row r="83" spans="1:104" s="841" customFormat="1" ht="20.100000000000001" customHeight="1">
      <c r="A83" s="2016" t="s">
        <v>2891</v>
      </c>
      <c r="B83" s="2016"/>
      <c r="C83" s="895" t="s">
        <v>2892</v>
      </c>
      <c r="D83" s="877" t="s">
        <v>2625</v>
      </c>
      <c r="E83" s="918">
        <v>42457</v>
      </c>
      <c r="F83" s="882" t="e">
        <f>#REF!</f>
        <v>#REF!</v>
      </c>
    </row>
    <row r="84" spans="1:104" s="841" customFormat="1" ht="20.100000000000001" customHeight="1">
      <c r="A84" s="2016" t="s">
        <v>2893</v>
      </c>
      <c r="B84" s="2016"/>
      <c r="C84" s="895" t="s">
        <v>2894</v>
      </c>
      <c r="D84" s="877" t="s">
        <v>2625</v>
      </c>
      <c r="E84" s="918">
        <v>42457</v>
      </c>
      <c r="F84" s="882" t="e">
        <f>#REF!</f>
        <v>#REF!</v>
      </c>
    </row>
    <row r="85" spans="1:104" s="841" customFormat="1" ht="40.15" customHeight="1">
      <c r="A85" s="2016" t="s">
        <v>2895</v>
      </c>
      <c r="B85" s="2016"/>
      <c r="C85" s="895" t="s">
        <v>2896</v>
      </c>
      <c r="D85" s="877" t="s">
        <v>2625</v>
      </c>
      <c r="E85" s="918">
        <v>42457</v>
      </c>
      <c r="F85" s="882" t="e">
        <f>#REF!</f>
        <v>#REF!</v>
      </c>
    </row>
    <row r="86" spans="1:104" s="841" customFormat="1" ht="40.15" customHeight="1">
      <c r="A86" s="2016" t="s">
        <v>2897</v>
      </c>
      <c r="B86" s="2016"/>
      <c r="C86" s="895" t="s">
        <v>2898</v>
      </c>
      <c r="D86" s="877" t="s">
        <v>2625</v>
      </c>
      <c r="E86" s="918">
        <v>42457</v>
      </c>
      <c r="F86" s="882" t="e">
        <f>#REF!</f>
        <v>#REF!</v>
      </c>
    </row>
    <row r="87" spans="1:104" s="879" customFormat="1" ht="22.5" customHeight="1">
      <c r="A87" s="2003" t="s">
        <v>2899</v>
      </c>
      <c r="B87" s="2004"/>
      <c r="C87" s="2004"/>
      <c r="D87" s="2004"/>
      <c r="E87" s="2004"/>
      <c r="F87" s="2005"/>
      <c r="G87" s="841"/>
      <c r="H87" s="841"/>
      <c r="I87" s="841"/>
      <c r="J87" s="841"/>
      <c r="K87" s="841"/>
      <c r="L87" s="841"/>
      <c r="M87" s="841"/>
      <c r="N87" s="841"/>
      <c r="O87" s="841"/>
      <c r="P87" s="841"/>
      <c r="Q87" s="841"/>
      <c r="R87" s="841"/>
      <c r="S87" s="841"/>
      <c r="T87" s="841"/>
      <c r="U87" s="841"/>
      <c r="V87" s="841"/>
      <c r="W87" s="841"/>
      <c r="X87" s="841"/>
      <c r="Y87" s="841"/>
      <c r="Z87" s="841"/>
      <c r="AA87" s="841"/>
      <c r="AB87" s="841"/>
      <c r="AC87" s="841"/>
      <c r="AD87" s="841"/>
      <c r="AE87" s="841"/>
      <c r="AF87" s="841"/>
      <c r="AG87" s="841"/>
      <c r="AH87" s="841"/>
      <c r="AI87" s="841"/>
      <c r="AJ87" s="841"/>
      <c r="AK87" s="841"/>
      <c r="AL87" s="841"/>
      <c r="AM87" s="841"/>
      <c r="AN87" s="841"/>
      <c r="AO87" s="841"/>
      <c r="AP87" s="841"/>
      <c r="AQ87" s="841"/>
      <c r="AR87" s="841"/>
      <c r="AS87" s="841"/>
      <c r="AT87" s="841"/>
      <c r="AU87" s="841"/>
      <c r="AV87" s="841"/>
      <c r="AW87" s="841"/>
      <c r="AX87" s="841"/>
      <c r="AY87" s="841"/>
      <c r="AZ87" s="841"/>
      <c r="BA87" s="841"/>
      <c r="BB87" s="841"/>
      <c r="BC87" s="841"/>
      <c r="BD87" s="841"/>
      <c r="BE87" s="841"/>
      <c r="BF87" s="841"/>
      <c r="BG87" s="841"/>
      <c r="BH87" s="841"/>
      <c r="BI87" s="841"/>
      <c r="BJ87" s="841"/>
      <c r="BK87" s="841"/>
      <c r="BL87" s="841"/>
      <c r="BM87" s="841"/>
      <c r="BN87" s="841"/>
      <c r="BO87" s="841"/>
      <c r="BP87" s="841"/>
      <c r="BQ87" s="841"/>
      <c r="BR87" s="841"/>
      <c r="BS87" s="841"/>
      <c r="BT87" s="841"/>
      <c r="BU87" s="841"/>
      <c r="BV87" s="841"/>
      <c r="BW87" s="841"/>
      <c r="BX87" s="841"/>
      <c r="BY87" s="841"/>
      <c r="BZ87" s="841"/>
      <c r="CA87" s="841"/>
      <c r="CB87" s="841"/>
      <c r="CC87" s="841"/>
      <c r="CD87" s="841"/>
      <c r="CE87" s="841"/>
      <c r="CF87" s="841"/>
      <c r="CG87" s="841"/>
      <c r="CH87" s="841"/>
      <c r="CI87" s="841"/>
      <c r="CJ87" s="841"/>
      <c r="CK87" s="841"/>
      <c r="CL87" s="841"/>
      <c r="CM87" s="841"/>
      <c r="CN87" s="841"/>
      <c r="CO87" s="841"/>
      <c r="CP87" s="841"/>
      <c r="CQ87" s="841"/>
      <c r="CR87" s="841"/>
      <c r="CS87" s="841"/>
      <c r="CT87" s="841"/>
      <c r="CU87" s="841"/>
      <c r="CV87" s="841"/>
      <c r="CW87" s="841"/>
      <c r="CX87" s="841"/>
      <c r="CY87" s="841"/>
      <c r="CZ87" s="841"/>
    </row>
    <row r="88" spans="1:104" s="841" customFormat="1" ht="20.100000000000001" customHeight="1">
      <c r="A88" s="2014" t="s">
        <v>2900</v>
      </c>
      <c r="B88" s="2015"/>
      <c r="C88" s="895" t="s">
        <v>2901</v>
      </c>
      <c r="D88" s="877" t="s">
        <v>299</v>
      </c>
      <c r="E88" s="918">
        <v>42457</v>
      </c>
      <c r="F88" s="882" t="e">
        <f>#REF!</f>
        <v>#REF!</v>
      </c>
    </row>
    <row r="89" spans="1:104" s="841" customFormat="1" ht="20.100000000000001" customHeight="1">
      <c r="A89" s="2014" t="s">
        <v>2902</v>
      </c>
      <c r="B89" s="2015"/>
      <c r="C89" s="895" t="s">
        <v>2903</v>
      </c>
      <c r="D89" s="877" t="s">
        <v>527</v>
      </c>
      <c r="E89" s="918">
        <v>42457</v>
      </c>
      <c r="F89" s="882" t="e">
        <f>#REF!</f>
        <v>#REF!</v>
      </c>
    </row>
    <row r="90" spans="1:104" s="841" customFormat="1" ht="20.100000000000001" customHeight="1">
      <c r="A90" s="2014" t="s">
        <v>2904</v>
      </c>
      <c r="B90" s="2015"/>
      <c r="C90" s="895" t="s">
        <v>2905</v>
      </c>
      <c r="D90" s="877" t="s">
        <v>527</v>
      </c>
      <c r="E90" s="918">
        <v>42457</v>
      </c>
      <c r="F90" s="882" t="e">
        <f>#REF!</f>
        <v>#REF!</v>
      </c>
    </row>
    <row r="91" spans="1:104" s="841" customFormat="1" ht="20.100000000000001" customHeight="1">
      <c r="A91" s="2014" t="s">
        <v>2906</v>
      </c>
      <c r="B91" s="2015"/>
      <c r="C91" s="895" t="s">
        <v>2907</v>
      </c>
      <c r="D91" s="877" t="s">
        <v>527</v>
      </c>
      <c r="E91" s="918">
        <v>42457</v>
      </c>
      <c r="F91" s="882" t="e">
        <f>#REF!</f>
        <v>#REF!</v>
      </c>
    </row>
    <row r="92" spans="1:104" s="841" customFormat="1" ht="20.100000000000001" customHeight="1">
      <c r="A92" s="2014" t="s">
        <v>2908</v>
      </c>
      <c r="B92" s="2015"/>
      <c r="C92" s="895" t="s">
        <v>2909</v>
      </c>
      <c r="D92" s="877" t="s">
        <v>299</v>
      </c>
      <c r="E92" s="918">
        <v>42457</v>
      </c>
      <c r="F92" s="882" t="e">
        <f>#REF!</f>
        <v>#REF!</v>
      </c>
    </row>
    <row r="93" spans="1:104" s="841" customFormat="1" ht="20.100000000000001" customHeight="1">
      <c r="A93" s="2014" t="s">
        <v>2910</v>
      </c>
      <c r="B93" s="2015"/>
      <c r="C93" s="895" t="s">
        <v>2911</v>
      </c>
      <c r="D93" s="877" t="s">
        <v>527</v>
      </c>
      <c r="E93" s="918">
        <v>42457</v>
      </c>
      <c r="F93" s="882" t="e">
        <f>#REF!</f>
        <v>#REF!</v>
      </c>
    </row>
    <row r="94" spans="1:104" s="841" customFormat="1" ht="40.15" customHeight="1">
      <c r="A94" s="2014" t="s">
        <v>2912</v>
      </c>
      <c r="B94" s="2015"/>
      <c r="C94" s="895" t="s">
        <v>2913</v>
      </c>
      <c r="D94" s="877" t="s">
        <v>527</v>
      </c>
      <c r="E94" s="918">
        <v>42457</v>
      </c>
      <c r="F94" s="882" t="e">
        <f>#REF!</f>
        <v>#REF!</v>
      </c>
    </row>
    <row r="95" spans="1:104" s="841" customFormat="1" ht="40.15" customHeight="1">
      <c r="A95" s="2014" t="s">
        <v>2914</v>
      </c>
      <c r="B95" s="2015"/>
      <c r="C95" s="895" t="s">
        <v>2915</v>
      </c>
      <c r="D95" s="877" t="s">
        <v>299</v>
      </c>
      <c r="E95" s="918">
        <v>42457</v>
      </c>
      <c r="F95" s="882" t="e">
        <f>#REF!</f>
        <v>#REF!</v>
      </c>
    </row>
    <row r="96" spans="1:104" s="841" customFormat="1" ht="20.100000000000001" customHeight="1">
      <c r="A96" s="2014" t="s">
        <v>2916</v>
      </c>
      <c r="B96" s="2015"/>
      <c r="C96" s="895" t="s">
        <v>2917</v>
      </c>
      <c r="D96" s="877" t="s">
        <v>299</v>
      </c>
      <c r="E96" s="918">
        <v>42457</v>
      </c>
      <c r="F96" s="882" t="e">
        <f>#REF!</f>
        <v>#REF!</v>
      </c>
    </row>
    <row r="97" spans="1:104" s="841" customFormat="1" ht="20.100000000000001" customHeight="1">
      <c r="A97" s="2014" t="s">
        <v>2918</v>
      </c>
      <c r="B97" s="2015"/>
      <c r="C97" s="895" t="s">
        <v>2919</v>
      </c>
      <c r="D97" s="877" t="s">
        <v>299</v>
      </c>
      <c r="E97" s="918">
        <v>42457</v>
      </c>
      <c r="F97" s="882" t="e">
        <f>#REF!</f>
        <v>#REF!</v>
      </c>
    </row>
    <row r="98" spans="1:104" s="841" customFormat="1" ht="20.100000000000001" customHeight="1">
      <c r="A98" s="2014" t="s">
        <v>2920</v>
      </c>
      <c r="B98" s="2015"/>
      <c r="C98" s="895" t="s">
        <v>2921</v>
      </c>
      <c r="D98" s="877" t="s">
        <v>299</v>
      </c>
      <c r="E98" s="918">
        <v>42457</v>
      </c>
      <c r="F98" s="882" t="e">
        <f>#REF!</f>
        <v>#REF!</v>
      </c>
    </row>
    <row r="99" spans="1:104" s="879" customFormat="1" ht="22.5" customHeight="1">
      <c r="A99" s="2034" t="s">
        <v>2922</v>
      </c>
      <c r="B99" s="2034"/>
      <c r="C99" s="2034"/>
      <c r="D99" s="2034"/>
      <c r="E99" s="2034"/>
      <c r="F99" s="2034"/>
      <c r="G99" s="841"/>
      <c r="H99" s="841"/>
      <c r="I99" s="841"/>
      <c r="J99" s="841"/>
      <c r="K99" s="841"/>
      <c r="L99" s="841"/>
      <c r="M99" s="841"/>
      <c r="N99" s="841"/>
      <c r="O99" s="841"/>
      <c r="P99" s="841"/>
      <c r="Q99" s="841"/>
      <c r="R99" s="841"/>
      <c r="S99" s="841"/>
      <c r="T99" s="841"/>
      <c r="U99" s="841"/>
      <c r="V99" s="841"/>
      <c r="W99" s="841"/>
      <c r="X99" s="841"/>
      <c r="Y99" s="841"/>
      <c r="Z99" s="841"/>
      <c r="AA99" s="841"/>
      <c r="AB99" s="841"/>
      <c r="AC99" s="841"/>
      <c r="AD99" s="841"/>
      <c r="AE99" s="841"/>
      <c r="AF99" s="841"/>
      <c r="AG99" s="841"/>
      <c r="AH99" s="841"/>
      <c r="AI99" s="841"/>
      <c r="AJ99" s="841"/>
      <c r="AK99" s="841"/>
      <c r="AL99" s="841"/>
      <c r="AM99" s="841"/>
      <c r="AN99" s="841"/>
      <c r="AO99" s="841"/>
      <c r="AP99" s="841"/>
      <c r="AQ99" s="841"/>
      <c r="AR99" s="841"/>
      <c r="AS99" s="841"/>
      <c r="AT99" s="841"/>
      <c r="AU99" s="841"/>
      <c r="AV99" s="841"/>
      <c r="AW99" s="841"/>
      <c r="AX99" s="841"/>
      <c r="AY99" s="841"/>
      <c r="AZ99" s="841"/>
      <c r="BA99" s="841"/>
      <c r="BB99" s="841"/>
      <c r="BC99" s="841"/>
      <c r="BD99" s="841"/>
      <c r="BE99" s="841"/>
      <c r="BF99" s="841"/>
      <c r="BG99" s="841"/>
      <c r="BH99" s="841"/>
      <c r="BI99" s="841"/>
      <c r="BJ99" s="841"/>
      <c r="BK99" s="841"/>
      <c r="BL99" s="841"/>
      <c r="BM99" s="841"/>
      <c r="BN99" s="841"/>
      <c r="BO99" s="841"/>
      <c r="BP99" s="841"/>
      <c r="BQ99" s="841"/>
      <c r="BR99" s="841"/>
      <c r="BS99" s="841"/>
      <c r="BT99" s="841"/>
      <c r="BU99" s="841"/>
      <c r="BV99" s="841"/>
      <c r="BW99" s="841"/>
      <c r="BX99" s="841"/>
      <c r="BY99" s="841"/>
      <c r="BZ99" s="841"/>
      <c r="CA99" s="841"/>
      <c r="CB99" s="841"/>
      <c r="CC99" s="841"/>
      <c r="CD99" s="841"/>
      <c r="CE99" s="841"/>
      <c r="CF99" s="841"/>
      <c r="CG99" s="841"/>
      <c r="CH99" s="841"/>
      <c r="CI99" s="841"/>
      <c r="CJ99" s="841"/>
      <c r="CK99" s="841"/>
      <c r="CL99" s="841"/>
      <c r="CM99" s="841"/>
      <c r="CN99" s="841"/>
      <c r="CO99" s="841"/>
      <c r="CP99" s="841"/>
      <c r="CQ99" s="841"/>
      <c r="CR99" s="841"/>
      <c r="CS99" s="841"/>
      <c r="CT99" s="841"/>
      <c r="CU99" s="841"/>
      <c r="CV99" s="841"/>
      <c r="CW99" s="841"/>
      <c r="CX99" s="841"/>
      <c r="CY99" s="841"/>
      <c r="CZ99" s="841"/>
    </row>
    <row r="100" spans="1:104" s="841" customFormat="1" ht="20.100000000000001" customHeight="1">
      <c r="A100" s="2014" t="s">
        <v>2923</v>
      </c>
      <c r="B100" s="2015"/>
      <c r="C100" s="878" t="s">
        <v>2924</v>
      </c>
      <c r="D100" s="877" t="s">
        <v>527</v>
      </c>
      <c r="E100" s="918">
        <v>42457</v>
      </c>
      <c r="F100" s="881" t="e">
        <f>#REF!</f>
        <v>#REF!</v>
      </c>
    </row>
    <row r="101" spans="1:104" s="841" customFormat="1" ht="20.100000000000001" customHeight="1">
      <c r="A101" s="2014" t="s">
        <v>2925</v>
      </c>
      <c r="B101" s="2015"/>
      <c r="C101" s="878" t="s">
        <v>2926</v>
      </c>
      <c r="D101" s="877" t="s">
        <v>527</v>
      </c>
      <c r="E101" s="918">
        <v>42457</v>
      </c>
      <c r="F101" s="881" t="e">
        <f>#REF!</f>
        <v>#REF!</v>
      </c>
    </row>
    <row r="102" spans="1:104" s="841" customFormat="1" ht="20.100000000000001" customHeight="1">
      <c r="A102" s="2014" t="s">
        <v>2927</v>
      </c>
      <c r="B102" s="2015"/>
      <c r="C102" s="878" t="s">
        <v>2928</v>
      </c>
      <c r="D102" s="877" t="s">
        <v>527</v>
      </c>
      <c r="E102" s="918">
        <v>42457</v>
      </c>
      <c r="F102" s="881" t="e">
        <f>#REF!</f>
        <v>#REF!</v>
      </c>
    </row>
    <row r="103" spans="1:104" s="841" customFormat="1" ht="20.100000000000001" customHeight="1">
      <c r="A103" s="2014" t="s">
        <v>2929</v>
      </c>
      <c r="B103" s="2015"/>
      <c r="C103" s="878" t="s">
        <v>2930</v>
      </c>
      <c r="D103" s="877" t="s">
        <v>527</v>
      </c>
      <c r="E103" s="918">
        <v>42457</v>
      </c>
      <c r="F103" s="881" t="e">
        <f>#REF!</f>
        <v>#REF!</v>
      </c>
    </row>
    <row r="104" spans="1:104" s="841" customFormat="1" ht="20.100000000000001" customHeight="1">
      <c r="A104" s="2014" t="s">
        <v>2931</v>
      </c>
      <c r="B104" s="2015"/>
      <c r="C104" s="878" t="s">
        <v>2932</v>
      </c>
      <c r="D104" s="877" t="s">
        <v>527</v>
      </c>
      <c r="E104" s="918">
        <v>42457</v>
      </c>
      <c r="F104" s="881" t="e">
        <f>#REF!</f>
        <v>#REF!</v>
      </c>
    </row>
    <row r="105" spans="1:104" s="841" customFormat="1" ht="40.15" customHeight="1">
      <c r="A105" s="2014" t="s">
        <v>2933</v>
      </c>
      <c r="B105" s="2015"/>
      <c r="C105" s="878" t="s">
        <v>2934</v>
      </c>
      <c r="D105" s="877" t="s">
        <v>527</v>
      </c>
      <c r="E105" s="918">
        <v>42457</v>
      </c>
      <c r="F105" s="881" t="e">
        <f>#REF!</f>
        <v>#REF!</v>
      </c>
    </row>
    <row r="106" spans="1:104" s="841" customFormat="1" ht="20.100000000000001" customHeight="1">
      <c r="A106" s="2014" t="s">
        <v>2935</v>
      </c>
      <c r="B106" s="2015"/>
      <c r="C106" s="878" t="s">
        <v>2936</v>
      </c>
      <c r="D106" s="877" t="s">
        <v>527</v>
      </c>
      <c r="E106" s="918">
        <v>42457</v>
      </c>
      <c r="F106" s="881" t="e">
        <f>#REF!</f>
        <v>#REF!</v>
      </c>
    </row>
    <row r="107" spans="1:104" s="841" customFormat="1" ht="40.15" customHeight="1">
      <c r="A107" s="2014" t="s">
        <v>2937</v>
      </c>
      <c r="B107" s="2015"/>
      <c r="C107" s="895" t="s">
        <v>2938</v>
      </c>
      <c r="D107" s="877" t="s">
        <v>527</v>
      </c>
      <c r="E107" s="918">
        <v>42457</v>
      </c>
      <c r="F107" s="881" t="e">
        <f>#REF!</f>
        <v>#REF!</v>
      </c>
      <c r="H107" s="920"/>
    </row>
    <row r="108" spans="1:104" s="879" customFormat="1" ht="22.5" customHeight="1">
      <c r="A108" s="2034" t="s">
        <v>2939</v>
      </c>
      <c r="B108" s="2034"/>
      <c r="C108" s="2034"/>
      <c r="D108" s="2034"/>
      <c r="E108" s="2034"/>
      <c r="F108" s="2034"/>
      <c r="G108" s="841"/>
      <c r="H108" s="841"/>
      <c r="I108" s="841"/>
      <c r="J108" s="841"/>
      <c r="K108" s="841"/>
      <c r="L108" s="841"/>
      <c r="M108" s="841"/>
      <c r="N108" s="841"/>
      <c r="O108" s="841"/>
      <c r="P108" s="841"/>
      <c r="Q108" s="841"/>
      <c r="R108" s="841"/>
      <c r="S108" s="841"/>
      <c r="T108" s="841"/>
      <c r="U108" s="841"/>
      <c r="V108" s="841"/>
      <c r="W108" s="841"/>
      <c r="X108" s="841"/>
      <c r="Y108" s="841"/>
      <c r="Z108" s="841"/>
      <c r="AA108" s="841"/>
      <c r="AB108" s="841"/>
      <c r="AC108" s="841"/>
      <c r="AD108" s="841"/>
      <c r="AE108" s="841"/>
      <c r="AF108" s="841"/>
      <c r="AG108" s="841"/>
      <c r="AH108" s="841"/>
      <c r="AI108" s="841"/>
      <c r="AJ108" s="841"/>
      <c r="AK108" s="841"/>
      <c r="AL108" s="841"/>
      <c r="AM108" s="841"/>
      <c r="AN108" s="841"/>
      <c r="AO108" s="841"/>
      <c r="AP108" s="841"/>
      <c r="AQ108" s="841"/>
      <c r="AR108" s="841"/>
      <c r="AS108" s="841"/>
      <c r="AT108" s="841"/>
      <c r="AU108" s="841"/>
      <c r="AV108" s="841"/>
      <c r="AW108" s="841"/>
      <c r="AX108" s="841"/>
      <c r="AY108" s="841"/>
      <c r="AZ108" s="841"/>
      <c r="BA108" s="841"/>
      <c r="BB108" s="841"/>
      <c r="BC108" s="841"/>
      <c r="BD108" s="841"/>
      <c r="BE108" s="841"/>
      <c r="BF108" s="841"/>
      <c r="BG108" s="841"/>
      <c r="BH108" s="841"/>
      <c r="BI108" s="841"/>
      <c r="BJ108" s="841"/>
      <c r="BK108" s="841"/>
      <c r="BL108" s="841"/>
      <c r="BM108" s="841"/>
      <c r="BN108" s="841"/>
      <c r="BO108" s="841"/>
      <c r="BP108" s="841"/>
      <c r="BQ108" s="841"/>
      <c r="BR108" s="841"/>
      <c r="BS108" s="841"/>
      <c r="BT108" s="841"/>
      <c r="BU108" s="841"/>
      <c r="BV108" s="841"/>
      <c r="BW108" s="841"/>
      <c r="BX108" s="841"/>
      <c r="BY108" s="841"/>
      <c r="BZ108" s="841"/>
      <c r="CA108" s="841"/>
      <c r="CB108" s="841"/>
      <c r="CC108" s="841"/>
      <c r="CD108" s="841"/>
      <c r="CE108" s="841"/>
      <c r="CF108" s="841"/>
      <c r="CG108" s="841"/>
      <c r="CH108" s="841"/>
      <c r="CI108" s="841"/>
      <c r="CJ108" s="841"/>
      <c r="CK108" s="841"/>
      <c r="CL108" s="841"/>
      <c r="CM108" s="841"/>
      <c r="CN108" s="841"/>
      <c r="CO108" s="841"/>
      <c r="CP108" s="841"/>
      <c r="CQ108" s="841"/>
      <c r="CR108" s="841"/>
      <c r="CS108" s="841"/>
      <c r="CT108" s="841"/>
      <c r="CU108" s="841"/>
      <c r="CV108" s="841"/>
      <c r="CW108" s="841"/>
      <c r="CX108" s="841"/>
      <c r="CY108" s="841"/>
      <c r="CZ108" s="841"/>
    </row>
    <row r="109" spans="1:104" s="841" customFormat="1" ht="20.100000000000001" customHeight="1">
      <c r="A109" s="2014" t="s">
        <v>2940</v>
      </c>
      <c r="B109" s="2015"/>
      <c r="C109" s="923" t="s">
        <v>2941</v>
      </c>
      <c r="D109" s="877" t="s">
        <v>2643</v>
      </c>
      <c r="E109" s="918">
        <v>42457</v>
      </c>
      <c r="F109" s="921" t="e">
        <f>#REF!</f>
        <v>#REF!</v>
      </c>
      <c r="H109" s="920"/>
    </row>
    <row r="110" spans="1:104" s="841" customFormat="1" ht="20.100000000000001" customHeight="1">
      <c r="A110" s="2014" t="s">
        <v>2942</v>
      </c>
      <c r="B110" s="2015"/>
      <c r="C110" s="923" t="s">
        <v>2943</v>
      </c>
      <c r="D110" s="922" t="s">
        <v>527</v>
      </c>
      <c r="E110" s="918">
        <v>42457</v>
      </c>
      <c r="F110" s="921" t="e">
        <f>#REF!</f>
        <v>#REF!</v>
      </c>
      <c r="H110" s="920"/>
    </row>
    <row r="111" spans="1:104" s="841" customFormat="1" ht="20.100000000000001" customHeight="1">
      <c r="A111" s="2014" t="s">
        <v>2944</v>
      </c>
      <c r="B111" s="2015"/>
      <c r="C111" s="923" t="s">
        <v>2945</v>
      </c>
      <c r="D111" s="922" t="s">
        <v>2946</v>
      </c>
      <c r="E111" s="918">
        <v>42457</v>
      </c>
      <c r="F111" s="921" t="e">
        <f>#REF!</f>
        <v>#REF!</v>
      </c>
      <c r="H111" s="920"/>
    </row>
    <row r="112" spans="1:104" s="884" customFormat="1" ht="45" customHeight="1">
      <c r="A112" s="2011" t="s">
        <v>2947</v>
      </c>
      <c r="B112" s="2011"/>
      <c r="C112" s="2011"/>
      <c r="D112" s="2011"/>
      <c r="E112" s="2011"/>
      <c r="F112" s="2011"/>
      <c r="G112" s="841"/>
      <c r="H112" s="841"/>
      <c r="I112" s="841"/>
      <c r="J112" s="841"/>
      <c r="K112" s="841"/>
      <c r="L112" s="841"/>
      <c r="M112" s="841"/>
      <c r="N112" s="841"/>
      <c r="O112" s="841"/>
      <c r="P112" s="841"/>
      <c r="Q112" s="841"/>
      <c r="R112" s="841"/>
      <c r="S112" s="841"/>
      <c r="T112" s="841"/>
      <c r="U112" s="841"/>
      <c r="V112" s="841"/>
      <c r="W112" s="841"/>
      <c r="X112" s="841"/>
      <c r="Y112" s="841"/>
      <c r="Z112" s="841"/>
      <c r="AA112" s="841"/>
      <c r="AB112" s="841"/>
      <c r="AC112" s="841"/>
      <c r="AD112" s="841"/>
      <c r="AE112" s="841"/>
      <c r="AF112" s="841"/>
      <c r="AG112" s="841"/>
      <c r="AH112" s="841"/>
      <c r="AI112" s="841"/>
      <c r="AJ112" s="841"/>
      <c r="AK112" s="841"/>
      <c r="AL112" s="841"/>
      <c r="AM112" s="841"/>
      <c r="AN112" s="841"/>
      <c r="AO112" s="841"/>
      <c r="AP112" s="841"/>
      <c r="AQ112" s="841"/>
      <c r="AR112" s="841"/>
      <c r="AS112" s="841"/>
      <c r="AT112" s="841"/>
      <c r="AU112" s="841"/>
      <c r="AV112" s="841"/>
      <c r="AW112" s="841"/>
      <c r="AX112" s="841"/>
      <c r="AY112" s="841"/>
      <c r="AZ112" s="841"/>
      <c r="BA112" s="841"/>
      <c r="BB112" s="841"/>
      <c r="BC112" s="841"/>
      <c r="BD112" s="841"/>
      <c r="BE112" s="841"/>
      <c r="BF112" s="841"/>
      <c r="BG112" s="841"/>
      <c r="BH112" s="841"/>
      <c r="BI112" s="841"/>
      <c r="BJ112" s="841"/>
      <c r="BK112" s="841"/>
      <c r="BL112" s="841"/>
      <c r="BM112" s="841"/>
      <c r="BN112" s="841"/>
      <c r="BO112" s="841"/>
      <c r="BP112" s="841"/>
      <c r="BQ112" s="841"/>
      <c r="BR112" s="841"/>
      <c r="BS112" s="841"/>
      <c r="BT112" s="841"/>
      <c r="BU112" s="841"/>
      <c r="BV112" s="841"/>
      <c r="BW112" s="841"/>
      <c r="BX112" s="841"/>
      <c r="BY112" s="841"/>
      <c r="BZ112" s="841"/>
      <c r="CA112" s="841"/>
      <c r="CB112" s="841"/>
      <c r="CC112" s="841"/>
      <c r="CD112" s="841"/>
      <c r="CE112" s="841"/>
      <c r="CF112" s="841"/>
      <c r="CG112" s="841"/>
      <c r="CH112" s="841"/>
      <c r="CI112" s="841"/>
      <c r="CJ112" s="841"/>
      <c r="CK112" s="841"/>
      <c r="CL112" s="841"/>
      <c r="CM112" s="841"/>
      <c r="CN112" s="841"/>
      <c r="CO112" s="841"/>
      <c r="CP112" s="841"/>
      <c r="CQ112" s="841"/>
      <c r="CR112" s="841"/>
      <c r="CS112" s="841"/>
      <c r="CT112" s="841"/>
      <c r="CU112" s="841"/>
      <c r="CV112" s="841"/>
      <c r="CW112" s="841"/>
      <c r="CX112" s="841"/>
      <c r="CY112" s="841"/>
      <c r="CZ112" s="841"/>
    </row>
    <row r="113" spans="1:104" s="879" customFormat="1" ht="22.5" customHeight="1">
      <c r="A113" s="2034" t="s">
        <v>2948</v>
      </c>
      <c r="B113" s="2034"/>
      <c r="C113" s="2034"/>
      <c r="D113" s="2034"/>
      <c r="E113" s="2034"/>
      <c r="F113" s="2034"/>
      <c r="G113" s="841"/>
      <c r="H113" s="841"/>
      <c r="I113" s="841"/>
      <c r="J113" s="841"/>
      <c r="K113" s="841"/>
      <c r="L113" s="841"/>
      <c r="M113" s="841"/>
      <c r="N113" s="841"/>
      <c r="O113" s="841"/>
      <c r="P113" s="841"/>
      <c r="Q113" s="841"/>
      <c r="R113" s="841"/>
      <c r="S113" s="841"/>
      <c r="T113" s="841"/>
      <c r="U113" s="841"/>
      <c r="V113" s="841"/>
      <c r="W113" s="841"/>
      <c r="X113" s="841"/>
      <c r="Y113" s="841"/>
      <c r="Z113" s="841"/>
      <c r="AA113" s="841"/>
      <c r="AB113" s="841"/>
      <c r="AC113" s="841"/>
      <c r="AD113" s="841"/>
      <c r="AE113" s="841"/>
      <c r="AF113" s="841"/>
      <c r="AG113" s="841"/>
      <c r="AH113" s="841"/>
      <c r="AI113" s="841"/>
      <c r="AJ113" s="841"/>
      <c r="AK113" s="841"/>
      <c r="AL113" s="841"/>
      <c r="AM113" s="841"/>
      <c r="AN113" s="841"/>
      <c r="AO113" s="841"/>
      <c r="AP113" s="841"/>
      <c r="AQ113" s="841"/>
      <c r="AR113" s="841"/>
      <c r="AS113" s="841"/>
      <c r="AT113" s="841"/>
      <c r="AU113" s="841"/>
      <c r="AV113" s="841"/>
      <c r="AW113" s="841"/>
      <c r="AX113" s="841"/>
      <c r="AY113" s="841"/>
      <c r="AZ113" s="841"/>
      <c r="BA113" s="841"/>
      <c r="BB113" s="841"/>
      <c r="BC113" s="841"/>
      <c r="BD113" s="841"/>
      <c r="BE113" s="841"/>
      <c r="BF113" s="841"/>
      <c r="BG113" s="841"/>
      <c r="BH113" s="841"/>
      <c r="BI113" s="841"/>
      <c r="BJ113" s="841"/>
      <c r="BK113" s="841"/>
      <c r="BL113" s="841"/>
      <c r="BM113" s="841"/>
      <c r="BN113" s="841"/>
      <c r="BO113" s="841"/>
      <c r="BP113" s="841"/>
      <c r="BQ113" s="841"/>
      <c r="BR113" s="841"/>
      <c r="BS113" s="841"/>
      <c r="BT113" s="841"/>
      <c r="BU113" s="841"/>
      <c r="BV113" s="841"/>
      <c r="BW113" s="841"/>
      <c r="BX113" s="841"/>
      <c r="BY113" s="841"/>
      <c r="BZ113" s="841"/>
      <c r="CA113" s="841"/>
      <c r="CB113" s="841"/>
      <c r="CC113" s="841"/>
      <c r="CD113" s="841"/>
      <c r="CE113" s="841"/>
      <c r="CF113" s="841"/>
      <c r="CG113" s="841"/>
      <c r="CH113" s="841"/>
      <c r="CI113" s="841"/>
      <c r="CJ113" s="841"/>
      <c r="CK113" s="841"/>
      <c r="CL113" s="841"/>
      <c r="CM113" s="841"/>
      <c r="CN113" s="841"/>
      <c r="CO113" s="841"/>
      <c r="CP113" s="841"/>
      <c r="CQ113" s="841"/>
      <c r="CR113" s="841"/>
      <c r="CS113" s="841"/>
      <c r="CT113" s="841"/>
      <c r="CU113" s="841"/>
      <c r="CV113" s="841"/>
      <c r="CW113" s="841"/>
      <c r="CX113" s="841"/>
      <c r="CY113" s="841"/>
      <c r="CZ113" s="841"/>
    </row>
    <row r="114" spans="1:104" s="841" customFormat="1" ht="20.100000000000001" customHeight="1">
      <c r="A114" s="2014" t="s">
        <v>2661</v>
      </c>
      <c r="B114" s="2015"/>
      <c r="C114" s="895" t="s">
        <v>2949</v>
      </c>
      <c r="D114" s="877" t="s">
        <v>299</v>
      </c>
      <c r="E114" s="918">
        <v>42457</v>
      </c>
      <c r="F114" s="881" t="e">
        <f>#REF!</f>
        <v>#REF!</v>
      </c>
      <c r="H114" s="920"/>
    </row>
    <row r="115" spans="1:104" s="841" customFormat="1" ht="20.100000000000001" customHeight="1">
      <c r="A115" s="2014" t="s">
        <v>2950</v>
      </c>
      <c r="B115" s="2015"/>
      <c r="C115" s="895" t="s">
        <v>2951</v>
      </c>
      <c r="D115" s="877" t="s">
        <v>527</v>
      </c>
      <c r="E115" s="918">
        <v>42457</v>
      </c>
      <c r="F115" s="881" t="e">
        <f>#REF!</f>
        <v>#REF!</v>
      </c>
      <c r="H115" s="920"/>
    </row>
    <row r="116" spans="1:104" s="841" customFormat="1" ht="20.100000000000001" customHeight="1">
      <c r="A116" s="2014" t="s">
        <v>2952</v>
      </c>
      <c r="B116" s="2015"/>
      <c r="C116" s="895" t="s">
        <v>2953</v>
      </c>
      <c r="D116" s="877" t="s">
        <v>527</v>
      </c>
      <c r="E116" s="918">
        <v>42457</v>
      </c>
      <c r="F116" s="881" t="e">
        <f>#REF!</f>
        <v>#REF!</v>
      </c>
      <c r="H116" s="920"/>
    </row>
    <row r="117" spans="1:104" s="841" customFormat="1" ht="20.100000000000001" customHeight="1">
      <c r="A117" s="2014" t="s">
        <v>2954</v>
      </c>
      <c r="B117" s="2015"/>
      <c r="C117" s="895" t="s">
        <v>2955</v>
      </c>
      <c r="D117" s="877" t="s">
        <v>527</v>
      </c>
      <c r="E117" s="918">
        <v>42457</v>
      </c>
      <c r="F117" s="881" t="e">
        <f>#REF!</f>
        <v>#REF!</v>
      </c>
      <c r="H117" s="920"/>
    </row>
    <row r="118" spans="1:104" s="841" customFormat="1" ht="20.100000000000001" customHeight="1">
      <c r="A118" s="2014" t="s">
        <v>2956</v>
      </c>
      <c r="B118" s="2015"/>
      <c r="C118" s="895" t="s">
        <v>2957</v>
      </c>
      <c r="D118" s="877" t="s">
        <v>527</v>
      </c>
      <c r="E118" s="918">
        <v>42457</v>
      </c>
      <c r="F118" s="881" t="e">
        <f>#REF!</f>
        <v>#REF!</v>
      </c>
      <c r="H118" s="920"/>
    </row>
    <row r="119" spans="1:104" s="841" customFormat="1" ht="20.100000000000001" customHeight="1">
      <c r="A119" s="2014" t="s">
        <v>2958</v>
      </c>
      <c r="B119" s="2015"/>
      <c r="C119" s="895" t="s">
        <v>2959</v>
      </c>
      <c r="D119" s="877" t="s">
        <v>527</v>
      </c>
      <c r="E119" s="918">
        <v>42457</v>
      </c>
      <c r="F119" s="881" t="e">
        <f>#REF!</f>
        <v>#REF!</v>
      </c>
      <c r="H119" s="920"/>
    </row>
    <row r="120" spans="1:104" s="841" customFormat="1" ht="20.100000000000001" customHeight="1">
      <c r="A120" s="2014" t="s">
        <v>2960</v>
      </c>
      <c r="B120" s="2015"/>
      <c r="C120" s="895" t="s">
        <v>2961</v>
      </c>
      <c r="D120" s="877" t="s">
        <v>527</v>
      </c>
      <c r="E120" s="918">
        <v>42457</v>
      </c>
      <c r="F120" s="881" t="e">
        <f>#REF!</f>
        <v>#REF!</v>
      </c>
      <c r="H120" s="920"/>
    </row>
    <row r="121" spans="1:104" s="841" customFormat="1" ht="20.100000000000001" customHeight="1">
      <c r="A121" s="2014" t="s">
        <v>2962</v>
      </c>
      <c r="B121" s="2015"/>
      <c r="C121" s="895" t="s">
        <v>2963</v>
      </c>
      <c r="D121" s="877" t="s">
        <v>527</v>
      </c>
      <c r="E121" s="918">
        <v>42457</v>
      </c>
      <c r="F121" s="881" t="e">
        <f>#REF!</f>
        <v>#REF!</v>
      </c>
      <c r="H121" s="920"/>
    </row>
    <row r="122" spans="1:104" s="841" customFormat="1" ht="20.100000000000001" customHeight="1">
      <c r="A122" s="2014" t="s">
        <v>2964</v>
      </c>
      <c r="B122" s="2015"/>
      <c r="C122" s="895" t="s">
        <v>2965</v>
      </c>
      <c r="D122" s="877" t="s">
        <v>527</v>
      </c>
      <c r="E122" s="918">
        <v>42457</v>
      </c>
      <c r="F122" s="881" t="e">
        <f>#REF!</f>
        <v>#REF!</v>
      </c>
      <c r="H122" s="920"/>
    </row>
    <row r="123" spans="1:104" s="841" customFormat="1" ht="20.100000000000001" customHeight="1">
      <c r="A123" s="2014" t="s">
        <v>2966</v>
      </c>
      <c r="B123" s="2015"/>
      <c r="C123" s="895" t="s">
        <v>2967</v>
      </c>
      <c r="D123" s="877" t="s">
        <v>527</v>
      </c>
      <c r="E123" s="918">
        <v>42457</v>
      </c>
      <c r="F123" s="881" t="e">
        <f>#REF!</f>
        <v>#REF!</v>
      </c>
      <c r="H123" s="920"/>
    </row>
    <row r="124" spans="1:104" s="879" customFormat="1" ht="22.5" customHeight="1">
      <c r="A124" s="2034" t="s">
        <v>2968</v>
      </c>
      <c r="B124" s="2034"/>
      <c r="C124" s="2034"/>
      <c r="D124" s="2034"/>
      <c r="E124" s="2034"/>
      <c r="F124" s="2034"/>
      <c r="G124" s="841"/>
      <c r="H124" s="841"/>
      <c r="I124" s="841"/>
      <c r="J124" s="841"/>
      <c r="K124" s="841"/>
      <c r="L124" s="841"/>
      <c r="M124" s="841"/>
      <c r="N124" s="841"/>
      <c r="O124" s="841"/>
      <c r="P124" s="841"/>
      <c r="Q124" s="841"/>
      <c r="R124" s="841"/>
      <c r="S124" s="841"/>
      <c r="T124" s="841"/>
      <c r="U124" s="841"/>
      <c r="V124" s="841"/>
      <c r="W124" s="841"/>
      <c r="X124" s="841"/>
      <c r="Y124" s="841"/>
      <c r="Z124" s="841"/>
      <c r="AA124" s="841"/>
      <c r="AB124" s="841"/>
      <c r="AC124" s="841"/>
      <c r="AD124" s="841"/>
      <c r="AE124" s="841"/>
      <c r="AF124" s="841"/>
      <c r="AG124" s="841"/>
      <c r="AH124" s="841"/>
      <c r="AI124" s="841"/>
      <c r="AJ124" s="841"/>
      <c r="AK124" s="841"/>
      <c r="AL124" s="841"/>
      <c r="AM124" s="841"/>
      <c r="AN124" s="841"/>
      <c r="AO124" s="841"/>
      <c r="AP124" s="841"/>
      <c r="AQ124" s="841"/>
      <c r="AR124" s="841"/>
      <c r="AS124" s="841"/>
      <c r="AT124" s="841"/>
      <c r="AU124" s="841"/>
      <c r="AV124" s="841"/>
      <c r="AW124" s="841"/>
      <c r="AX124" s="841"/>
      <c r="AY124" s="841"/>
      <c r="AZ124" s="841"/>
      <c r="BA124" s="841"/>
      <c r="BB124" s="841"/>
      <c r="BC124" s="841"/>
      <c r="BD124" s="841"/>
      <c r="BE124" s="841"/>
      <c r="BF124" s="841"/>
      <c r="BG124" s="841"/>
      <c r="BH124" s="841"/>
      <c r="BI124" s="841"/>
      <c r="BJ124" s="841"/>
      <c r="BK124" s="841"/>
      <c r="BL124" s="841"/>
      <c r="BM124" s="841"/>
      <c r="BN124" s="841"/>
      <c r="BO124" s="841"/>
      <c r="BP124" s="841"/>
      <c r="BQ124" s="841"/>
      <c r="BR124" s="841"/>
      <c r="BS124" s="841"/>
      <c r="BT124" s="841"/>
      <c r="BU124" s="841"/>
      <c r="BV124" s="841"/>
      <c r="BW124" s="841"/>
      <c r="BX124" s="841"/>
      <c r="BY124" s="841"/>
      <c r="BZ124" s="841"/>
      <c r="CA124" s="841"/>
      <c r="CB124" s="841"/>
      <c r="CC124" s="841"/>
      <c r="CD124" s="841"/>
      <c r="CE124" s="841"/>
      <c r="CF124" s="841"/>
      <c r="CG124" s="841"/>
      <c r="CH124" s="841"/>
      <c r="CI124" s="841"/>
      <c r="CJ124" s="841"/>
      <c r="CK124" s="841"/>
      <c r="CL124" s="841"/>
      <c r="CM124" s="841"/>
      <c r="CN124" s="841"/>
      <c r="CO124" s="841"/>
      <c r="CP124" s="841"/>
      <c r="CQ124" s="841"/>
      <c r="CR124" s="841"/>
      <c r="CS124" s="841"/>
      <c r="CT124" s="841"/>
      <c r="CU124" s="841"/>
      <c r="CV124" s="841"/>
      <c r="CW124" s="841"/>
      <c r="CX124" s="841"/>
      <c r="CY124" s="841"/>
      <c r="CZ124" s="841"/>
    </row>
    <row r="125" spans="1:104" s="841" customFormat="1" ht="20.100000000000001" customHeight="1">
      <c r="A125" s="2020" t="s">
        <v>2753</v>
      </c>
      <c r="B125" s="2021"/>
      <c r="C125" s="878" t="s">
        <v>2969</v>
      </c>
      <c r="D125" s="877" t="s">
        <v>299</v>
      </c>
      <c r="E125" s="918">
        <v>42457</v>
      </c>
      <c r="F125" s="875" t="e">
        <f>#REF!</f>
        <v>#REF!</v>
      </c>
      <c r="G125" s="919"/>
    </row>
    <row r="126" spans="1:104" s="841" customFormat="1" ht="20.100000000000001" customHeight="1">
      <c r="A126" s="2020" t="s">
        <v>2970</v>
      </c>
      <c r="B126" s="2021"/>
      <c r="C126" s="878" t="s">
        <v>2971</v>
      </c>
      <c r="D126" s="877" t="s">
        <v>299</v>
      </c>
      <c r="E126" s="918">
        <v>42457</v>
      </c>
      <c r="F126" s="875" t="e">
        <f>#REF!</f>
        <v>#REF!</v>
      </c>
      <c r="G126" s="919"/>
    </row>
    <row r="127" spans="1:104" s="841" customFormat="1" ht="20.100000000000001" customHeight="1">
      <c r="A127" s="2020" t="s">
        <v>2972</v>
      </c>
      <c r="B127" s="2021"/>
      <c r="C127" s="878" t="s">
        <v>2973</v>
      </c>
      <c r="D127" s="877" t="s">
        <v>299</v>
      </c>
      <c r="E127" s="918">
        <v>42457</v>
      </c>
      <c r="F127" s="875" t="e">
        <f>#REF!</f>
        <v>#REF!</v>
      </c>
      <c r="G127" s="919"/>
    </row>
    <row r="128" spans="1:104" s="841" customFormat="1" ht="20.100000000000001" customHeight="1">
      <c r="A128" s="2020" t="s">
        <v>2974</v>
      </c>
      <c r="B128" s="2021"/>
      <c r="C128" s="878" t="s">
        <v>2975</v>
      </c>
      <c r="D128" s="877" t="s">
        <v>299</v>
      </c>
      <c r="E128" s="918">
        <v>42457</v>
      </c>
      <c r="F128" s="875" t="e">
        <f>#REF!</f>
        <v>#REF!</v>
      </c>
      <c r="G128" s="919"/>
    </row>
    <row r="129" spans="1:104" s="841" customFormat="1" ht="20.100000000000001" customHeight="1">
      <c r="A129" s="2020" t="s">
        <v>2976</v>
      </c>
      <c r="B129" s="2021"/>
      <c r="C129" s="878" t="s">
        <v>2977</v>
      </c>
      <c r="D129" s="877" t="s">
        <v>299</v>
      </c>
      <c r="E129" s="918">
        <v>42457</v>
      </c>
      <c r="F129" s="875" t="e">
        <f>#REF!</f>
        <v>#REF!</v>
      </c>
      <c r="G129" s="919"/>
    </row>
    <row r="130" spans="1:104" s="841" customFormat="1" ht="20.100000000000001" customHeight="1">
      <c r="A130" s="2020" t="s">
        <v>2978</v>
      </c>
      <c r="B130" s="2021"/>
      <c r="C130" s="878" t="s">
        <v>2979</v>
      </c>
      <c r="D130" s="877" t="s">
        <v>299</v>
      </c>
      <c r="E130" s="918">
        <v>42457</v>
      </c>
      <c r="F130" s="875" t="e">
        <f>#REF!</f>
        <v>#REF!</v>
      </c>
      <c r="G130" s="919"/>
    </row>
    <row r="131" spans="1:104" s="841" customFormat="1" ht="20.100000000000001" customHeight="1">
      <c r="A131" s="2020" t="s">
        <v>2980</v>
      </c>
      <c r="B131" s="2021"/>
      <c r="C131" s="878" t="s">
        <v>2981</v>
      </c>
      <c r="D131" s="877" t="s">
        <v>299</v>
      </c>
      <c r="E131" s="918">
        <v>42457</v>
      </c>
      <c r="F131" s="875" t="e">
        <f>#REF!</f>
        <v>#REF!</v>
      </c>
      <c r="G131" s="919"/>
    </row>
    <row r="132" spans="1:104" s="841" customFormat="1" ht="20.100000000000001" customHeight="1">
      <c r="A132" s="2020" t="s">
        <v>2982</v>
      </c>
      <c r="B132" s="2021"/>
      <c r="C132" s="878" t="s">
        <v>2983</v>
      </c>
      <c r="D132" s="877" t="s">
        <v>299</v>
      </c>
      <c r="E132" s="918">
        <v>42457</v>
      </c>
      <c r="F132" s="875" t="e">
        <f>#REF!</f>
        <v>#REF!</v>
      </c>
      <c r="G132" s="919"/>
    </row>
    <row r="133" spans="1:104" s="841" customFormat="1" ht="20.100000000000001" customHeight="1">
      <c r="A133" s="2020" t="s">
        <v>2984</v>
      </c>
      <c r="B133" s="2021"/>
      <c r="C133" s="878" t="s">
        <v>2985</v>
      </c>
      <c r="D133" s="877" t="s">
        <v>299</v>
      </c>
      <c r="E133" s="918">
        <v>42457</v>
      </c>
      <c r="F133" s="875" t="e">
        <f>#REF!</f>
        <v>#REF!</v>
      </c>
      <c r="G133" s="919"/>
    </row>
    <row r="134" spans="1:104" s="879" customFormat="1" ht="22.5" customHeight="1">
      <c r="A134" s="2034" t="s">
        <v>2986</v>
      </c>
      <c r="B134" s="2034"/>
      <c r="C134" s="2034"/>
      <c r="D134" s="2034"/>
      <c r="E134" s="2034"/>
      <c r="F134" s="2034"/>
      <c r="G134" s="841"/>
      <c r="H134" s="841"/>
      <c r="I134" s="841"/>
      <c r="J134" s="841"/>
      <c r="K134" s="841"/>
      <c r="L134" s="841"/>
      <c r="M134" s="841"/>
      <c r="N134" s="841"/>
      <c r="O134" s="841"/>
      <c r="P134" s="841"/>
      <c r="Q134" s="841"/>
      <c r="R134" s="841"/>
      <c r="S134" s="841"/>
      <c r="T134" s="841"/>
      <c r="U134" s="841"/>
      <c r="V134" s="841"/>
      <c r="W134" s="841"/>
      <c r="X134" s="841"/>
      <c r="Y134" s="841"/>
      <c r="Z134" s="841"/>
      <c r="AA134" s="841"/>
      <c r="AB134" s="841"/>
      <c r="AC134" s="841"/>
      <c r="AD134" s="841"/>
      <c r="AE134" s="841"/>
      <c r="AF134" s="841"/>
      <c r="AG134" s="841"/>
      <c r="AH134" s="841"/>
      <c r="AI134" s="841"/>
      <c r="AJ134" s="841"/>
      <c r="AK134" s="841"/>
      <c r="AL134" s="841"/>
      <c r="AM134" s="841"/>
      <c r="AN134" s="841"/>
      <c r="AO134" s="841"/>
      <c r="AP134" s="841"/>
      <c r="AQ134" s="841"/>
      <c r="AR134" s="841"/>
      <c r="AS134" s="841"/>
      <c r="AT134" s="841"/>
      <c r="AU134" s="841"/>
      <c r="AV134" s="841"/>
      <c r="AW134" s="841"/>
      <c r="AX134" s="841"/>
      <c r="AY134" s="841"/>
      <c r="AZ134" s="841"/>
      <c r="BA134" s="841"/>
      <c r="BB134" s="841"/>
      <c r="BC134" s="841"/>
      <c r="BD134" s="841"/>
      <c r="BE134" s="841"/>
      <c r="BF134" s="841"/>
      <c r="BG134" s="841"/>
      <c r="BH134" s="841"/>
      <c r="BI134" s="841"/>
      <c r="BJ134" s="841"/>
      <c r="BK134" s="841"/>
      <c r="BL134" s="841"/>
      <c r="BM134" s="841"/>
      <c r="BN134" s="841"/>
      <c r="BO134" s="841"/>
      <c r="BP134" s="841"/>
      <c r="BQ134" s="841"/>
      <c r="BR134" s="841"/>
      <c r="BS134" s="841"/>
      <c r="BT134" s="841"/>
      <c r="BU134" s="841"/>
      <c r="BV134" s="841"/>
      <c r="BW134" s="841"/>
      <c r="BX134" s="841"/>
      <c r="BY134" s="841"/>
      <c r="BZ134" s="841"/>
      <c r="CA134" s="841"/>
      <c r="CB134" s="841"/>
      <c r="CC134" s="841"/>
      <c r="CD134" s="841"/>
      <c r="CE134" s="841"/>
      <c r="CF134" s="841"/>
      <c r="CG134" s="841"/>
      <c r="CH134" s="841"/>
      <c r="CI134" s="841"/>
      <c r="CJ134" s="841"/>
      <c r="CK134" s="841"/>
      <c r="CL134" s="841"/>
      <c r="CM134" s="841"/>
      <c r="CN134" s="841"/>
      <c r="CO134" s="841"/>
      <c r="CP134" s="841"/>
      <c r="CQ134" s="841"/>
      <c r="CR134" s="841"/>
      <c r="CS134" s="841"/>
      <c r="CT134" s="841"/>
      <c r="CU134" s="841"/>
      <c r="CV134" s="841"/>
      <c r="CW134" s="841"/>
      <c r="CX134" s="841"/>
      <c r="CY134" s="841"/>
      <c r="CZ134" s="841"/>
    </row>
    <row r="135" spans="1:104" s="841" customFormat="1" ht="20.100000000000001" customHeight="1">
      <c r="A135" s="2020" t="s">
        <v>2987</v>
      </c>
      <c r="B135" s="2021"/>
      <c r="C135" s="878" t="s">
        <v>2988</v>
      </c>
      <c r="D135" s="877" t="s">
        <v>527</v>
      </c>
      <c r="E135" s="918">
        <v>42457</v>
      </c>
      <c r="F135" s="875" t="e">
        <f>#REF!</f>
        <v>#REF!</v>
      </c>
      <c r="G135" s="919"/>
    </row>
    <row r="136" spans="1:104" s="841" customFormat="1" ht="20.100000000000001" customHeight="1">
      <c r="A136" s="2020" t="s">
        <v>2989</v>
      </c>
      <c r="B136" s="2021"/>
      <c r="C136" s="878" t="s">
        <v>2990</v>
      </c>
      <c r="D136" s="877" t="s">
        <v>527</v>
      </c>
      <c r="E136" s="918">
        <v>42457</v>
      </c>
      <c r="F136" s="875" t="e">
        <f>#REF!</f>
        <v>#REF!</v>
      </c>
      <c r="G136" s="919"/>
    </row>
    <row r="137" spans="1:104" s="841" customFormat="1" ht="20.100000000000001" customHeight="1">
      <c r="A137" s="2020" t="s">
        <v>2991</v>
      </c>
      <c r="B137" s="2021"/>
      <c r="C137" s="878" t="s">
        <v>2992</v>
      </c>
      <c r="D137" s="877" t="s">
        <v>527</v>
      </c>
      <c r="E137" s="918">
        <v>42457</v>
      </c>
      <c r="F137" s="875" t="e">
        <f>#REF!</f>
        <v>#REF!</v>
      </c>
      <c r="G137" s="919"/>
    </row>
    <row r="138" spans="1:104" s="841" customFormat="1" ht="20.100000000000001" customHeight="1">
      <c r="A138" s="2020" t="s">
        <v>2993</v>
      </c>
      <c r="B138" s="2021"/>
      <c r="C138" s="878" t="s">
        <v>2994</v>
      </c>
      <c r="D138" s="877" t="s">
        <v>527</v>
      </c>
      <c r="E138" s="918">
        <v>42457</v>
      </c>
      <c r="F138" s="875" t="e">
        <f>#REF!</f>
        <v>#REF!</v>
      </c>
      <c r="G138" s="919"/>
    </row>
    <row r="139" spans="1:104" s="841" customFormat="1" ht="20.100000000000001" customHeight="1">
      <c r="A139" s="2020" t="s">
        <v>2995</v>
      </c>
      <c r="B139" s="2021"/>
      <c r="C139" s="878" t="s">
        <v>2996</v>
      </c>
      <c r="D139" s="877" t="s">
        <v>527</v>
      </c>
      <c r="E139" s="918">
        <v>42457</v>
      </c>
      <c r="F139" s="875" t="e">
        <f>#REF!</f>
        <v>#REF!</v>
      </c>
      <c r="G139" s="919"/>
    </row>
    <row r="140" spans="1:104" s="884" customFormat="1" ht="45" customHeight="1">
      <c r="A140" s="2011" t="s">
        <v>2997</v>
      </c>
      <c r="B140" s="2011"/>
      <c r="C140" s="2011"/>
      <c r="D140" s="2011"/>
      <c r="E140" s="2011"/>
      <c r="F140" s="2011"/>
      <c r="G140" s="841"/>
      <c r="H140" s="841"/>
      <c r="I140" s="841"/>
      <c r="J140" s="841"/>
      <c r="K140" s="841"/>
      <c r="L140" s="841"/>
      <c r="M140" s="841"/>
      <c r="N140" s="841"/>
      <c r="O140" s="841"/>
      <c r="P140" s="841"/>
      <c r="Q140" s="841"/>
      <c r="R140" s="841"/>
      <c r="S140" s="841"/>
      <c r="T140" s="841"/>
      <c r="U140" s="841"/>
      <c r="V140" s="841"/>
      <c r="W140" s="841"/>
      <c r="X140" s="841"/>
      <c r="Y140" s="841"/>
      <c r="Z140" s="841"/>
      <c r="AA140" s="841"/>
      <c r="AB140" s="841"/>
      <c r="AC140" s="841"/>
      <c r="AD140" s="841"/>
      <c r="AE140" s="841"/>
      <c r="AF140" s="841"/>
      <c r="AG140" s="841"/>
      <c r="AH140" s="841"/>
      <c r="AI140" s="841"/>
      <c r="AJ140" s="841"/>
      <c r="AK140" s="841"/>
      <c r="AL140" s="841"/>
      <c r="AM140" s="841"/>
      <c r="AN140" s="841"/>
      <c r="AO140" s="841"/>
      <c r="AP140" s="841"/>
      <c r="AQ140" s="841"/>
      <c r="AR140" s="841"/>
      <c r="AS140" s="841"/>
      <c r="AT140" s="841"/>
      <c r="AU140" s="841"/>
      <c r="AV140" s="841"/>
      <c r="AW140" s="841"/>
      <c r="AX140" s="841"/>
      <c r="AY140" s="841"/>
      <c r="AZ140" s="841"/>
      <c r="BA140" s="841"/>
      <c r="BB140" s="841"/>
      <c r="BC140" s="841"/>
      <c r="BD140" s="841"/>
      <c r="BE140" s="841"/>
      <c r="BF140" s="841"/>
      <c r="BG140" s="841"/>
      <c r="BH140" s="841"/>
      <c r="BI140" s="841"/>
      <c r="BJ140" s="841"/>
      <c r="BK140" s="841"/>
      <c r="BL140" s="841"/>
      <c r="BM140" s="841"/>
      <c r="BN140" s="841"/>
      <c r="BO140" s="841"/>
      <c r="BP140" s="841"/>
      <c r="BQ140" s="841"/>
      <c r="BR140" s="841"/>
      <c r="BS140" s="841"/>
      <c r="BT140" s="841"/>
      <c r="BU140" s="841"/>
      <c r="BV140" s="841"/>
      <c r="BW140" s="841"/>
      <c r="BX140" s="841"/>
      <c r="BY140" s="841"/>
      <c r="BZ140" s="841"/>
      <c r="CA140" s="841"/>
      <c r="CB140" s="841"/>
      <c r="CC140" s="841"/>
      <c r="CD140" s="841"/>
      <c r="CE140" s="841"/>
      <c r="CF140" s="841"/>
      <c r="CG140" s="841"/>
      <c r="CH140" s="841"/>
      <c r="CI140" s="841"/>
      <c r="CJ140" s="841"/>
      <c r="CK140" s="841"/>
      <c r="CL140" s="841"/>
      <c r="CM140" s="841"/>
      <c r="CN140" s="841"/>
      <c r="CO140" s="841"/>
      <c r="CP140" s="841"/>
      <c r="CQ140" s="841"/>
      <c r="CR140" s="841"/>
      <c r="CS140" s="841"/>
      <c r="CT140" s="841"/>
      <c r="CU140" s="841"/>
      <c r="CV140" s="841"/>
      <c r="CW140" s="841"/>
      <c r="CX140" s="841"/>
      <c r="CY140" s="841"/>
      <c r="CZ140" s="841"/>
    </row>
    <row r="141" spans="1:104" s="879" customFormat="1" ht="22.5" customHeight="1">
      <c r="A141" s="2034" t="s">
        <v>2998</v>
      </c>
      <c r="B141" s="2034"/>
      <c r="C141" s="2034"/>
      <c r="D141" s="2034"/>
      <c r="E141" s="2034"/>
      <c r="F141" s="2034"/>
      <c r="G141" s="841"/>
      <c r="H141" s="841"/>
      <c r="I141" s="841"/>
      <c r="J141" s="841"/>
      <c r="K141" s="841"/>
      <c r="L141" s="841"/>
      <c r="M141" s="841"/>
      <c r="N141" s="841"/>
      <c r="O141" s="841"/>
      <c r="P141" s="841"/>
      <c r="Q141" s="841"/>
      <c r="R141" s="841"/>
      <c r="S141" s="841"/>
      <c r="T141" s="841"/>
      <c r="U141" s="841"/>
      <c r="V141" s="841"/>
      <c r="W141" s="841"/>
      <c r="X141" s="841"/>
      <c r="Y141" s="841"/>
      <c r="Z141" s="841"/>
      <c r="AA141" s="841"/>
      <c r="AB141" s="841"/>
      <c r="AC141" s="841"/>
      <c r="AD141" s="841"/>
      <c r="AE141" s="841"/>
      <c r="AF141" s="841"/>
      <c r="AG141" s="841"/>
      <c r="AH141" s="841"/>
      <c r="AI141" s="841"/>
      <c r="AJ141" s="841"/>
      <c r="AK141" s="841"/>
      <c r="AL141" s="841"/>
      <c r="AM141" s="841"/>
      <c r="AN141" s="841"/>
      <c r="AO141" s="841"/>
      <c r="AP141" s="841"/>
      <c r="AQ141" s="841"/>
      <c r="AR141" s="841"/>
      <c r="AS141" s="841"/>
      <c r="AT141" s="841"/>
      <c r="AU141" s="841"/>
      <c r="AV141" s="841"/>
      <c r="AW141" s="841"/>
      <c r="AX141" s="841"/>
      <c r="AY141" s="841"/>
      <c r="AZ141" s="841"/>
      <c r="BA141" s="841"/>
      <c r="BB141" s="841"/>
      <c r="BC141" s="841"/>
      <c r="BD141" s="841"/>
      <c r="BE141" s="841"/>
      <c r="BF141" s="841"/>
      <c r="BG141" s="841"/>
      <c r="BH141" s="841"/>
      <c r="BI141" s="841"/>
      <c r="BJ141" s="841"/>
      <c r="BK141" s="841"/>
      <c r="BL141" s="841"/>
      <c r="BM141" s="841"/>
      <c r="BN141" s="841"/>
      <c r="BO141" s="841"/>
      <c r="BP141" s="841"/>
      <c r="BQ141" s="841"/>
      <c r="BR141" s="841"/>
      <c r="BS141" s="841"/>
      <c r="BT141" s="841"/>
      <c r="BU141" s="841"/>
      <c r="BV141" s="841"/>
      <c r="BW141" s="841"/>
      <c r="BX141" s="841"/>
      <c r="BY141" s="841"/>
      <c r="BZ141" s="841"/>
      <c r="CA141" s="841"/>
      <c r="CB141" s="841"/>
      <c r="CC141" s="841"/>
      <c r="CD141" s="841"/>
      <c r="CE141" s="841"/>
      <c r="CF141" s="841"/>
      <c r="CG141" s="841"/>
      <c r="CH141" s="841"/>
      <c r="CI141" s="841"/>
      <c r="CJ141" s="841"/>
      <c r="CK141" s="841"/>
      <c r="CL141" s="841"/>
      <c r="CM141" s="841"/>
      <c r="CN141" s="841"/>
      <c r="CO141" s="841"/>
      <c r="CP141" s="841"/>
      <c r="CQ141" s="841"/>
      <c r="CR141" s="841"/>
      <c r="CS141" s="841"/>
      <c r="CT141" s="841"/>
      <c r="CU141" s="841"/>
      <c r="CV141" s="841"/>
      <c r="CW141" s="841"/>
      <c r="CX141" s="841"/>
      <c r="CY141" s="841"/>
      <c r="CZ141" s="841"/>
    </row>
    <row r="142" spans="1:104" s="841" customFormat="1" ht="40.15" customHeight="1">
      <c r="A142" s="2020" t="s">
        <v>2666</v>
      </c>
      <c r="B142" s="2021"/>
      <c r="C142" s="878" t="s">
        <v>2999</v>
      </c>
      <c r="D142" s="877" t="s">
        <v>299</v>
      </c>
      <c r="E142" s="918">
        <v>42457</v>
      </c>
      <c r="F142" s="875" t="e">
        <f>#REF!</f>
        <v>#REF!</v>
      </c>
      <c r="G142" s="919"/>
    </row>
    <row r="143" spans="1:104" s="841" customFormat="1" ht="40.15" customHeight="1">
      <c r="A143" s="2020" t="s">
        <v>2667</v>
      </c>
      <c r="B143" s="2021"/>
      <c r="C143" s="878" t="s">
        <v>3000</v>
      </c>
      <c r="D143" s="877" t="s">
        <v>299</v>
      </c>
      <c r="E143" s="918">
        <v>42457</v>
      </c>
      <c r="F143" s="875" t="e">
        <f>#REF!</f>
        <v>#REF!</v>
      </c>
      <c r="G143" s="919"/>
    </row>
    <row r="144" spans="1:104" s="841" customFormat="1" ht="40.15" customHeight="1">
      <c r="A144" s="2020" t="s">
        <v>3001</v>
      </c>
      <c r="B144" s="2021"/>
      <c r="C144" s="878" t="s">
        <v>3002</v>
      </c>
      <c r="D144" s="877" t="s">
        <v>299</v>
      </c>
      <c r="E144" s="918">
        <v>42457</v>
      </c>
      <c r="F144" s="875" t="e">
        <f>#REF!</f>
        <v>#REF!</v>
      </c>
      <c r="G144" s="919"/>
    </row>
    <row r="145" spans="1:104" s="841" customFormat="1" ht="40.15" customHeight="1">
      <c r="A145" s="2020" t="s">
        <v>3003</v>
      </c>
      <c r="B145" s="2021"/>
      <c r="C145" s="878" t="s">
        <v>3004</v>
      </c>
      <c r="D145" s="877" t="s">
        <v>299</v>
      </c>
      <c r="E145" s="918">
        <v>42457</v>
      </c>
      <c r="F145" s="875" t="e">
        <f>#REF!</f>
        <v>#REF!</v>
      </c>
      <c r="G145" s="919"/>
    </row>
    <row r="146" spans="1:104" s="841" customFormat="1" ht="40.15" customHeight="1">
      <c r="A146" s="2020" t="s">
        <v>3005</v>
      </c>
      <c r="B146" s="2021"/>
      <c r="C146" s="878" t="s">
        <v>3006</v>
      </c>
      <c r="D146" s="877" t="s">
        <v>299</v>
      </c>
      <c r="E146" s="918">
        <v>42457</v>
      </c>
      <c r="F146" s="875" t="e">
        <f>#REF!</f>
        <v>#REF!</v>
      </c>
      <c r="G146" s="919"/>
    </row>
    <row r="147" spans="1:104" s="879" customFormat="1" ht="22.5" customHeight="1">
      <c r="A147" s="2034" t="s">
        <v>3007</v>
      </c>
      <c r="B147" s="2034"/>
      <c r="C147" s="2034"/>
      <c r="D147" s="2034"/>
      <c r="E147" s="2034"/>
      <c r="F147" s="2034"/>
      <c r="G147" s="841"/>
      <c r="H147" s="841"/>
      <c r="I147" s="841"/>
      <c r="J147" s="841"/>
      <c r="K147" s="841"/>
      <c r="L147" s="841"/>
      <c r="M147" s="841"/>
      <c r="N147" s="841"/>
      <c r="O147" s="841"/>
      <c r="P147" s="841"/>
      <c r="Q147" s="841"/>
      <c r="R147" s="841"/>
      <c r="S147" s="841"/>
      <c r="T147" s="841"/>
      <c r="U147" s="841"/>
      <c r="V147" s="841"/>
      <c r="W147" s="841"/>
      <c r="X147" s="841"/>
      <c r="Y147" s="841"/>
      <c r="Z147" s="841"/>
      <c r="AA147" s="841"/>
      <c r="AB147" s="841"/>
      <c r="AC147" s="841"/>
      <c r="AD147" s="841"/>
      <c r="AE147" s="841"/>
      <c r="AF147" s="841"/>
      <c r="AG147" s="841"/>
      <c r="AH147" s="841"/>
      <c r="AI147" s="841"/>
      <c r="AJ147" s="841"/>
      <c r="AK147" s="841"/>
      <c r="AL147" s="841"/>
      <c r="AM147" s="841"/>
      <c r="AN147" s="841"/>
      <c r="AO147" s="841"/>
      <c r="AP147" s="841"/>
      <c r="AQ147" s="841"/>
      <c r="AR147" s="841"/>
      <c r="AS147" s="841"/>
      <c r="AT147" s="841"/>
      <c r="AU147" s="841"/>
      <c r="AV147" s="841"/>
      <c r="AW147" s="841"/>
      <c r="AX147" s="841"/>
      <c r="AY147" s="841"/>
      <c r="AZ147" s="841"/>
      <c r="BA147" s="841"/>
      <c r="BB147" s="841"/>
      <c r="BC147" s="841"/>
      <c r="BD147" s="841"/>
      <c r="BE147" s="841"/>
      <c r="BF147" s="841"/>
      <c r="BG147" s="841"/>
      <c r="BH147" s="841"/>
      <c r="BI147" s="841"/>
      <c r="BJ147" s="841"/>
      <c r="BK147" s="841"/>
      <c r="BL147" s="841"/>
      <c r="BM147" s="841"/>
      <c r="BN147" s="841"/>
      <c r="BO147" s="841"/>
      <c r="BP147" s="841"/>
      <c r="BQ147" s="841"/>
      <c r="BR147" s="841"/>
      <c r="BS147" s="841"/>
      <c r="BT147" s="841"/>
      <c r="BU147" s="841"/>
      <c r="BV147" s="841"/>
      <c r="BW147" s="841"/>
      <c r="BX147" s="841"/>
      <c r="BY147" s="841"/>
      <c r="BZ147" s="841"/>
      <c r="CA147" s="841"/>
      <c r="CB147" s="841"/>
      <c r="CC147" s="841"/>
      <c r="CD147" s="841"/>
      <c r="CE147" s="841"/>
      <c r="CF147" s="841"/>
      <c r="CG147" s="841"/>
      <c r="CH147" s="841"/>
      <c r="CI147" s="841"/>
      <c r="CJ147" s="841"/>
      <c r="CK147" s="841"/>
      <c r="CL147" s="841"/>
      <c r="CM147" s="841"/>
      <c r="CN147" s="841"/>
      <c r="CO147" s="841"/>
      <c r="CP147" s="841"/>
      <c r="CQ147" s="841"/>
      <c r="CR147" s="841"/>
      <c r="CS147" s="841"/>
      <c r="CT147" s="841"/>
      <c r="CU147" s="841"/>
      <c r="CV147" s="841"/>
      <c r="CW147" s="841"/>
      <c r="CX147" s="841"/>
      <c r="CY147" s="841"/>
      <c r="CZ147" s="841"/>
    </row>
    <row r="148" spans="1:104" s="841" customFormat="1" ht="20.100000000000001" customHeight="1">
      <c r="A148" s="2020" t="s">
        <v>2669</v>
      </c>
      <c r="B148" s="2021"/>
      <c r="C148" s="878" t="s">
        <v>3008</v>
      </c>
      <c r="D148" s="877" t="s">
        <v>527</v>
      </c>
      <c r="E148" s="918">
        <v>42457</v>
      </c>
      <c r="F148" s="875" t="e">
        <f>#REF!</f>
        <v>#REF!</v>
      </c>
    </row>
    <row r="149" spans="1:104" s="841" customFormat="1" ht="20.100000000000001" customHeight="1">
      <c r="A149" s="2020" t="s">
        <v>2670</v>
      </c>
      <c r="B149" s="2021"/>
      <c r="C149" s="878" t="s">
        <v>3009</v>
      </c>
      <c r="D149" s="877" t="s">
        <v>527</v>
      </c>
      <c r="E149" s="918">
        <v>42457</v>
      </c>
      <c r="F149" s="875" t="e">
        <f>#REF!</f>
        <v>#REF!</v>
      </c>
    </row>
    <row r="150" spans="1:104" s="879" customFormat="1" ht="22.5" customHeight="1">
      <c r="A150" s="2034" t="s">
        <v>3010</v>
      </c>
      <c r="B150" s="2034"/>
      <c r="C150" s="2034"/>
      <c r="D150" s="2034"/>
      <c r="E150" s="2034"/>
      <c r="F150" s="2034"/>
      <c r="G150" s="841"/>
      <c r="H150" s="841"/>
      <c r="I150" s="919"/>
      <c r="J150" s="841"/>
      <c r="K150" s="841"/>
      <c r="L150" s="841"/>
      <c r="M150" s="841"/>
      <c r="N150" s="841"/>
      <c r="O150" s="841"/>
      <c r="P150" s="841"/>
      <c r="Q150" s="841"/>
      <c r="R150" s="841"/>
      <c r="S150" s="841"/>
      <c r="T150" s="841"/>
      <c r="U150" s="841"/>
      <c r="V150" s="841"/>
      <c r="W150" s="841"/>
      <c r="X150" s="841"/>
      <c r="Y150" s="841"/>
      <c r="Z150" s="841"/>
      <c r="AA150" s="841"/>
      <c r="AB150" s="841"/>
      <c r="AC150" s="841"/>
      <c r="AD150" s="841"/>
      <c r="AE150" s="841"/>
      <c r="AF150" s="841"/>
      <c r="AG150" s="841"/>
      <c r="AH150" s="841"/>
      <c r="AI150" s="841"/>
      <c r="AJ150" s="841"/>
      <c r="AK150" s="841"/>
      <c r="AL150" s="841"/>
      <c r="AM150" s="841"/>
      <c r="AN150" s="841"/>
      <c r="AO150" s="841"/>
      <c r="AP150" s="841"/>
      <c r="AQ150" s="841"/>
      <c r="AR150" s="841"/>
      <c r="AS150" s="841"/>
      <c r="AT150" s="841"/>
      <c r="AU150" s="841"/>
      <c r="AV150" s="841"/>
      <c r="AW150" s="841"/>
      <c r="AX150" s="841"/>
      <c r="AY150" s="841"/>
      <c r="AZ150" s="841"/>
      <c r="BA150" s="841"/>
      <c r="BB150" s="841"/>
      <c r="BC150" s="841"/>
      <c r="BD150" s="841"/>
      <c r="BE150" s="841"/>
      <c r="BF150" s="841"/>
      <c r="BG150" s="841"/>
      <c r="BH150" s="841"/>
      <c r="BI150" s="841"/>
      <c r="BJ150" s="841"/>
      <c r="BK150" s="841"/>
      <c r="BL150" s="841"/>
      <c r="BM150" s="841"/>
      <c r="BN150" s="841"/>
      <c r="BO150" s="841"/>
      <c r="BP150" s="841"/>
      <c r="BQ150" s="841"/>
      <c r="BR150" s="841"/>
      <c r="BS150" s="841"/>
      <c r="BT150" s="841"/>
      <c r="BU150" s="841"/>
      <c r="BV150" s="841"/>
      <c r="BW150" s="841"/>
      <c r="BX150" s="841"/>
      <c r="BY150" s="841"/>
      <c r="BZ150" s="841"/>
      <c r="CA150" s="841"/>
      <c r="CB150" s="841"/>
      <c r="CC150" s="841"/>
      <c r="CD150" s="841"/>
      <c r="CE150" s="841"/>
      <c r="CF150" s="841"/>
      <c r="CG150" s="841"/>
      <c r="CH150" s="841"/>
      <c r="CI150" s="841"/>
      <c r="CJ150" s="841"/>
      <c r="CK150" s="841"/>
      <c r="CL150" s="841"/>
      <c r="CM150" s="841"/>
      <c r="CN150" s="841"/>
      <c r="CO150" s="841"/>
      <c r="CP150" s="841"/>
      <c r="CQ150" s="841"/>
      <c r="CR150" s="841"/>
      <c r="CS150" s="841"/>
      <c r="CT150" s="841"/>
      <c r="CU150" s="841"/>
      <c r="CV150" s="841"/>
      <c r="CW150" s="841"/>
      <c r="CX150" s="841"/>
      <c r="CY150" s="841"/>
      <c r="CZ150" s="841"/>
    </row>
    <row r="151" spans="1:104" s="841" customFormat="1" ht="20.100000000000001" customHeight="1">
      <c r="A151" s="2020" t="s">
        <v>2674</v>
      </c>
      <c r="B151" s="2021"/>
      <c r="C151" s="878" t="s">
        <v>3011</v>
      </c>
      <c r="D151" s="877" t="s">
        <v>527</v>
      </c>
      <c r="E151" s="918">
        <v>42457</v>
      </c>
      <c r="F151" s="875" t="e">
        <f>#REF!</f>
        <v>#REF!</v>
      </c>
    </row>
    <row r="152" spans="1:104" s="841" customFormat="1" ht="20.100000000000001" customHeight="1">
      <c r="A152" s="2020" t="s">
        <v>2676</v>
      </c>
      <c r="B152" s="2021"/>
      <c r="C152" s="878" t="s">
        <v>3012</v>
      </c>
      <c r="D152" s="877" t="s">
        <v>527</v>
      </c>
      <c r="E152" s="918">
        <v>42457</v>
      </c>
      <c r="F152" s="875" t="e">
        <f>#REF!</f>
        <v>#REF!</v>
      </c>
    </row>
    <row r="153" spans="1:104" s="841" customFormat="1" ht="20.100000000000001" customHeight="1">
      <c r="A153" s="2020" t="s">
        <v>3013</v>
      </c>
      <c r="B153" s="2021"/>
      <c r="C153" s="895" t="s">
        <v>3014</v>
      </c>
      <c r="D153" s="877" t="s">
        <v>527</v>
      </c>
      <c r="E153" s="918">
        <v>42457</v>
      </c>
      <c r="F153" s="875" t="e">
        <f>#REF!</f>
        <v>#REF!</v>
      </c>
    </row>
    <row r="154" spans="1:104" s="841" customFormat="1" ht="20.100000000000001" customHeight="1">
      <c r="A154" s="2020" t="s">
        <v>3015</v>
      </c>
      <c r="B154" s="2021"/>
      <c r="C154" s="878" t="s">
        <v>3016</v>
      </c>
      <c r="D154" s="877" t="s">
        <v>527</v>
      </c>
      <c r="E154" s="918">
        <v>42457</v>
      </c>
      <c r="F154" s="875" t="e">
        <f>#REF!</f>
        <v>#REF!</v>
      </c>
    </row>
    <row r="155" spans="1:104" s="841" customFormat="1" ht="20.100000000000001" customHeight="1">
      <c r="A155" s="2020" t="s">
        <v>3017</v>
      </c>
      <c r="B155" s="2021"/>
      <c r="C155" s="878" t="s">
        <v>3018</v>
      </c>
      <c r="D155" s="877" t="s">
        <v>527</v>
      </c>
      <c r="E155" s="918">
        <v>42457</v>
      </c>
      <c r="F155" s="875" t="e">
        <f>#REF!</f>
        <v>#REF!</v>
      </c>
    </row>
    <row r="156" spans="1:104" s="841" customFormat="1" ht="20.100000000000001" customHeight="1">
      <c r="A156" s="2020" t="s">
        <v>3019</v>
      </c>
      <c r="B156" s="2021"/>
      <c r="C156" s="878" t="s">
        <v>3020</v>
      </c>
      <c r="D156" s="877" t="s">
        <v>527</v>
      </c>
      <c r="E156" s="918">
        <v>42457</v>
      </c>
      <c r="F156" s="875" t="e">
        <f>#REF!</f>
        <v>#REF!</v>
      </c>
    </row>
    <row r="157" spans="1:104" s="841" customFormat="1" ht="20.100000000000001" customHeight="1">
      <c r="A157" s="2020" t="s">
        <v>3021</v>
      </c>
      <c r="B157" s="2021"/>
      <c r="C157" s="895" t="s">
        <v>3022</v>
      </c>
      <c r="D157" s="877" t="s">
        <v>527</v>
      </c>
      <c r="E157" s="918">
        <v>42457</v>
      </c>
      <c r="F157" s="875" t="e">
        <f>#REF!</f>
        <v>#REF!</v>
      </c>
    </row>
    <row r="158" spans="1:104" s="841" customFormat="1" ht="20.100000000000001" customHeight="1">
      <c r="A158" s="2020" t="s">
        <v>3023</v>
      </c>
      <c r="B158" s="2021"/>
      <c r="C158" s="878" t="s">
        <v>3024</v>
      </c>
      <c r="D158" s="877" t="s">
        <v>527</v>
      </c>
      <c r="E158" s="918">
        <v>42457</v>
      </c>
      <c r="F158" s="875" t="e">
        <f>#REF!</f>
        <v>#REF!</v>
      </c>
    </row>
    <row r="159" spans="1:104" s="841" customFormat="1" ht="20.100000000000001" customHeight="1">
      <c r="A159" s="2020" t="s">
        <v>3025</v>
      </c>
      <c r="B159" s="2021"/>
      <c r="C159" s="878" t="s">
        <v>3026</v>
      </c>
      <c r="D159" s="877" t="s">
        <v>527</v>
      </c>
      <c r="E159" s="918">
        <v>42457</v>
      </c>
      <c r="F159" s="875" t="e">
        <f>#REF!</f>
        <v>#REF!</v>
      </c>
    </row>
    <row r="160" spans="1:104" s="841" customFormat="1" ht="20.100000000000001" customHeight="1">
      <c r="A160" s="2020" t="s">
        <v>3027</v>
      </c>
      <c r="B160" s="2021"/>
      <c r="C160" s="878" t="s">
        <v>3028</v>
      </c>
      <c r="D160" s="877" t="s">
        <v>527</v>
      </c>
      <c r="E160" s="918">
        <v>42457</v>
      </c>
      <c r="F160" s="875" t="e">
        <f>#REF!</f>
        <v>#REF!</v>
      </c>
    </row>
    <row r="161" spans="1:104" s="841" customFormat="1" ht="20.100000000000001" customHeight="1">
      <c r="A161" s="2020" t="s">
        <v>3029</v>
      </c>
      <c r="B161" s="2021"/>
      <c r="C161" s="878" t="s">
        <v>3030</v>
      </c>
      <c r="D161" s="877" t="s">
        <v>527</v>
      </c>
      <c r="E161" s="918">
        <v>42457</v>
      </c>
      <c r="F161" s="875" t="e">
        <f>#REF!</f>
        <v>#REF!</v>
      </c>
    </row>
    <row r="162" spans="1:104" s="841" customFormat="1" ht="20.100000000000001" customHeight="1">
      <c r="A162" s="2020" t="s">
        <v>3031</v>
      </c>
      <c r="B162" s="2021"/>
      <c r="C162" s="878" t="s">
        <v>3032</v>
      </c>
      <c r="D162" s="877" t="s">
        <v>527</v>
      </c>
      <c r="E162" s="918">
        <v>42457</v>
      </c>
      <c r="F162" s="875" t="e">
        <f>#REF!</f>
        <v>#REF!</v>
      </c>
    </row>
    <row r="163" spans="1:104" s="841" customFormat="1" ht="20.100000000000001" customHeight="1">
      <c r="A163" s="2020" t="s">
        <v>3033</v>
      </c>
      <c r="B163" s="2021"/>
      <c r="C163" s="878" t="s">
        <v>3034</v>
      </c>
      <c r="D163" s="877" t="s">
        <v>527</v>
      </c>
      <c r="E163" s="918">
        <v>42457</v>
      </c>
      <c r="F163" s="875" t="e">
        <f>#REF!</f>
        <v>#REF!</v>
      </c>
    </row>
    <row r="164" spans="1:104" s="841" customFormat="1" ht="20.100000000000001" customHeight="1">
      <c r="A164" s="2020" t="s">
        <v>3035</v>
      </c>
      <c r="B164" s="2021"/>
      <c r="C164" s="878" t="s">
        <v>3036</v>
      </c>
      <c r="D164" s="877" t="s">
        <v>527</v>
      </c>
      <c r="E164" s="918">
        <v>42457</v>
      </c>
      <c r="F164" s="875" t="e">
        <f>#REF!</f>
        <v>#REF!</v>
      </c>
    </row>
    <row r="165" spans="1:104" s="841" customFormat="1" ht="80.099999999999994" customHeight="1">
      <c r="A165" s="2020" t="s">
        <v>3037</v>
      </c>
      <c r="B165" s="2021"/>
      <c r="C165" s="878" t="s">
        <v>3038</v>
      </c>
      <c r="D165" s="877" t="s">
        <v>527</v>
      </c>
      <c r="E165" s="918">
        <v>42457</v>
      </c>
      <c r="F165" s="875" t="e">
        <f>#REF!</f>
        <v>#REF!</v>
      </c>
    </row>
    <row r="166" spans="1:104" s="841" customFormat="1" ht="50.1" customHeight="1">
      <c r="A166" s="2020" t="s">
        <v>3039</v>
      </c>
      <c r="B166" s="2021"/>
      <c r="C166" s="878" t="s">
        <v>3040</v>
      </c>
      <c r="D166" s="877" t="s">
        <v>527</v>
      </c>
      <c r="E166" s="918">
        <v>42457</v>
      </c>
      <c r="F166" s="875" t="e">
        <f>#REF!</f>
        <v>#REF!</v>
      </c>
    </row>
    <row r="167" spans="1:104" ht="21" customHeight="1">
      <c r="A167" s="855"/>
      <c r="B167" s="855"/>
      <c r="C167" s="841"/>
      <c r="D167" s="841"/>
      <c r="E167" s="860"/>
      <c r="F167" s="859"/>
      <c r="G167" s="841"/>
      <c r="H167" s="841"/>
      <c r="I167" s="841"/>
      <c r="J167" s="841"/>
      <c r="K167" s="841"/>
      <c r="L167" s="841"/>
      <c r="M167" s="841"/>
      <c r="N167" s="841"/>
      <c r="O167" s="841"/>
      <c r="P167" s="841"/>
      <c r="Q167" s="841"/>
      <c r="R167" s="841"/>
      <c r="S167" s="841"/>
      <c r="T167" s="841"/>
      <c r="U167" s="841"/>
      <c r="V167" s="841"/>
      <c r="W167" s="841"/>
      <c r="X167" s="841"/>
      <c r="Y167" s="841"/>
      <c r="Z167" s="841"/>
      <c r="AA167" s="841"/>
      <c r="AB167" s="841"/>
      <c r="AC167" s="841"/>
      <c r="AD167" s="841"/>
      <c r="AE167" s="841"/>
      <c r="AF167" s="841"/>
      <c r="AG167" s="841"/>
      <c r="AH167" s="841"/>
      <c r="AI167" s="841"/>
      <c r="AJ167" s="841"/>
      <c r="AK167" s="841"/>
      <c r="AL167" s="841"/>
      <c r="AM167" s="841"/>
      <c r="AN167" s="841"/>
      <c r="AO167" s="841"/>
      <c r="AP167" s="841"/>
      <c r="AQ167" s="841"/>
      <c r="AR167" s="841"/>
      <c r="AS167" s="841"/>
      <c r="AT167" s="841"/>
      <c r="AU167" s="841"/>
      <c r="AV167" s="841"/>
      <c r="AW167" s="841"/>
      <c r="AX167" s="841"/>
      <c r="AY167" s="841"/>
      <c r="AZ167" s="841"/>
      <c r="BA167" s="841"/>
      <c r="BB167" s="841"/>
      <c r="BC167" s="841"/>
      <c r="BD167" s="841"/>
      <c r="BE167" s="841"/>
      <c r="BF167" s="841"/>
      <c r="BG167" s="841"/>
      <c r="BH167" s="841"/>
      <c r="BI167" s="841"/>
      <c r="BJ167" s="841"/>
      <c r="BK167" s="841"/>
      <c r="BL167" s="841"/>
      <c r="BM167" s="841"/>
      <c r="BN167" s="841"/>
      <c r="BO167" s="841"/>
      <c r="BP167" s="841"/>
      <c r="BQ167" s="841"/>
      <c r="BR167" s="841"/>
      <c r="BS167" s="841"/>
      <c r="BT167" s="841"/>
      <c r="BU167" s="841"/>
      <c r="BV167" s="841"/>
      <c r="BW167" s="841"/>
      <c r="BX167" s="841"/>
      <c r="BY167" s="841"/>
      <c r="BZ167" s="841"/>
      <c r="CA167" s="841"/>
      <c r="CB167" s="841"/>
      <c r="CC167" s="841"/>
      <c r="CD167" s="841"/>
      <c r="CE167" s="841"/>
      <c r="CF167" s="841"/>
      <c r="CG167" s="841"/>
      <c r="CH167" s="841"/>
      <c r="CI167" s="841"/>
      <c r="CJ167" s="841"/>
      <c r="CK167" s="841"/>
      <c r="CL167" s="841"/>
      <c r="CM167" s="841"/>
      <c r="CN167" s="841"/>
      <c r="CO167" s="841"/>
      <c r="CP167" s="841"/>
      <c r="CQ167" s="841"/>
      <c r="CR167" s="841"/>
      <c r="CS167" s="841"/>
      <c r="CT167" s="841"/>
      <c r="CU167" s="841"/>
      <c r="CV167" s="841"/>
      <c r="CW167" s="841"/>
      <c r="CX167" s="841"/>
      <c r="CY167" s="841"/>
      <c r="CZ167" s="841"/>
    </row>
    <row r="168" spans="1:104" ht="21" customHeight="1">
      <c r="A168" s="855"/>
      <c r="B168" s="855"/>
      <c r="C168" s="844"/>
      <c r="D168" s="843"/>
      <c r="E168" s="853"/>
      <c r="F168" s="858"/>
    </row>
    <row r="169" spans="1:104" ht="21" customHeight="1">
      <c r="A169" s="855"/>
      <c r="B169" s="855"/>
      <c r="C169" s="844"/>
      <c r="D169" s="843"/>
      <c r="E169" s="853"/>
      <c r="F169" s="852"/>
      <c r="G169" s="917"/>
    </row>
    <row r="170" spans="1:104" ht="21" customHeight="1">
      <c r="A170" s="855"/>
      <c r="B170" s="855"/>
      <c r="C170" s="844"/>
      <c r="D170" s="843"/>
      <c r="E170" s="853"/>
      <c r="F170" s="852"/>
      <c r="H170" s="916"/>
    </row>
    <row r="171" spans="1:104" ht="21" customHeight="1">
      <c r="A171" s="855"/>
      <c r="B171" s="855"/>
      <c r="C171" s="844"/>
      <c r="D171" s="843"/>
      <c r="E171" s="853"/>
      <c r="F171" s="852"/>
    </row>
    <row r="172" spans="1:104" ht="21" customHeight="1">
      <c r="A172" s="855"/>
      <c r="B172" s="855"/>
      <c r="C172" s="844"/>
      <c r="D172" s="841"/>
      <c r="E172" s="856"/>
      <c r="F172" s="852"/>
      <c r="I172" s="916"/>
    </row>
    <row r="173" spans="1:104" ht="21" customHeight="1">
      <c r="A173" s="855"/>
      <c r="B173" s="855"/>
      <c r="C173" s="844"/>
      <c r="D173" s="843"/>
      <c r="E173" s="853"/>
      <c r="F173" s="852"/>
    </row>
    <row r="174" spans="1:104" ht="21" customHeight="1">
      <c r="A174" s="855"/>
      <c r="B174" s="855"/>
      <c r="C174" s="844"/>
      <c r="D174" s="843"/>
      <c r="E174" s="853"/>
      <c r="F174" s="852"/>
    </row>
    <row r="175" spans="1:104" ht="21" customHeight="1">
      <c r="A175" s="855"/>
      <c r="B175" s="855"/>
      <c r="C175" s="844"/>
      <c r="D175" s="843"/>
      <c r="E175" s="853"/>
      <c r="F175" s="852"/>
    </row>
    <row r="176" spans="1:104" ht="21" customHeight="1">
      <c r="A176" s="839"/>
      <c r="B176" s="839"/>
      <c r="C176" s="838"/>
      <c r="D176" s="822"/>
      <c r="E176" s="840"/>
    </row>
    <row r="177" spans="1:5" ht="21" customHeight="1">
      <c r="A177" s="839"/>
      <c r="B177" s="839"/>
      <c r="C177" s="838"/>
      <c r="D177" s="822"/>
      <c r="E177" s="840"/>
    </row>
    <row r="178" spans="1:5" ht="21" customHeight="1">
      <c r="A178" s="839"/>
      <c r="B178" s="839"/>
      <c r="C178" s="838"/>
      <c r="D178" s="822"/>
      <c r="E178" s="840"/>
    </row>
    <row r="179" spans="1:5" ht="21" customHeight="1">
      <c r="A179" s="839"/>
      <c r="B179" s="839"/>
      <c r="C179" s="838"/>
      <c r="D179" s="822"/>
      <c r="E179" s="840"/>
    </row>
    <row r="180" spans="1:5" ht="21" customHeight="1">
      <c r="A180" s="839"/>
      <c r="B180" s="839"/>
      <c r="C180" s="838"/>
      <c r="D180" s="822"/>
      <c r="E180" s="840"/>
    </row>
    <row r="181" spans="1:5" ht="21" customHeight="1">
      <c r="A181" s="839"/>
      <c r="B181" s="839"/>
      <c r="C181" s="838"/>
      <c r="D181" s="822"/>
      <c r="E181" s="840"/>
    </row>
    <row r="182" spans="1:5" ht="21" customHeight="1">
      <c r="A182" s="839"/>
      <c r="B182" s="839"/>
      <c r="C182" s="838"/>
      <c r="D182" s="822"/>
      <c r="E182" s="840"/>
    </row>
    <row r="183" spans="1:5" ht="21" customHeight="1">
      <c r="A183" s="839"/>
      <c r="B183" s="839"/>
      <c r="C183" s="838"/>
      <c r="D183" s="822"/>
      <c r="E183" s="840"/>
    </row>
    <row r="184" spans="1:5" ht="21" customHeight="1">
      <c r="A184" s="839"/>
      <c r="B184" s="839"/>
      <c r="C184" s="838"/>
      <c r="D184" s="822"/>
      <c r="E184" s="840"/>
    </row>
    <row r="185" spans="1:5" ht="21" customHeight="1">
      <c r="A185" s="839"/>
      <c r="B185" s="839"/>
      <c r="C185" s="838"/>
      <c r="D185" s="822"/>
      <c r="E185" s="840"/>
    </row>
    <row r="186" spans="1:5" ht="21" customHeight="1">
      <c r="A186" s="839"/>
      <c r="B186" s="839"/>
      <c r="C186" s="838"/>
      <c r="D186" s="822"/>
      <c r="E186" s="840"/>
    </row>
    <row r="187" spans="1:5" ht="21" customHeight="1">
      <c r="A187" s="839"/>
      <c r="B187" s="839"/>
      <c r="C187" s="838"/>
      <c r="D187" s="822"/>
      <c r="E187" s="840"/>
    </row>
    <row r="188" spans="1:5" ht="21" customHeight="1">
      <c r="A188" s="839"/>
      <c r="B188" s="839"/>
      <c r="C188" s="838"/>
      <c r="D188" s="822"/>
      <c r="E188" s="840"/>
    </row>
    <row r="189" spans="1:5" ht="21" customHeight="1">
      <c r="A189" s="839"/>
      <c r="B189" s="839"/>
      <c r="C189" s="838"/>
      <c r="D189" s="822"/>
      <c r="E189" s="840"/>
    </row>
    <row r="190" spans="1:5" ht="21" customHeight="1">
      <c r="A190" s="839"/>
      <c r="B190" s="839"/>
      <c r="C190" s="838"/>
      <c r="D190" s="822"/>
      <c r="E190" s="840"/>
    </row>
    <row r="191" spans="1:5" ht="21" customHeight="1">
      <c r="A191" s="839"/>
      <c r="B191" s="839"/>
      <c r="C191" s="838"/>
      <c r="D191" s="822"/>
      <c r="E191" s="840"/>
    </row>
    <row r="192" spans="1:5" ht="21" customHeight="1">
      <c r="A192" s="839"/>
      <c r="B192" s="839"/>
      <c r="C192" s="838"/>
      <c r="D192" s="822"/>
      <c r="E192" s="840"/>
    </row>
    <row r="193" spans="1:5" ht="21" customHeight="1">
      <c r="A193" s="839"/>
      <c r="B193" s="839"/>
      <c r="C193" s="838"/>
      <c r="D193" s="822"/>
      <c r="E193" s="840"/>
    </row>
    <row r="194" spans="1:5" ht="21" customHeight="1">
      <c r="A194" s="839"/>
      <c r="B194" s="839"/>
      <c r="C194" s="838"/>
      <c r="D194" s="822"/>
      <c r="E194" s="840"/>
    </row>
    <row r="195" spans="1:5" ht="21" customHeight="1">
      <c r="A195" s="839"/>
      <c r="B195" s="839"/>
      <c r="C195" s="838"/>
      <c r="D195" s="822"/>
      <c r="E195" s="840"/>
    </row>
    <row r="196" spans="1:5" ht="21" customHeight="1">
      <c r="A196" s="839"/>
      <c r="B196" s="839"/>
      <c r="C196" s="838"/>
      <c r="D196" s="822"/>
      <c r="E196" s="840"/>
    </row>
    <row r="197" spans="1:5" ht="21" customHeight="1">
      <c r="A197" s="839"/>
      <c r="B197" s="839"/>
      <c r="C197" s="838"/>
      <c r="D197" s="822"/>
      <c r="E197" s="840"/>
    </row>
    <row r="198" spans="1:5" ht="21" customHeight="1">
      <c r="A198" s="839"/>
      <c r="B198" s="839"/>
      <c r="C198" s="838"/>
      <c r="D198" s="822"/>
      <c r="E198" s="840"/>
    </row>
    <row r="199" spans="1:5" ht="21" customHeight="1">
      <c r="A199" s="839"/>
      <c r="B199" s="839"/>
      <c r="C199" s="838"/>
      <c r="D199" s="822"/>
      <c r="E199" s="840"/>
    </row>
    <row r="200" spans="1:5" ht="21" customHeight="1">
      <c r="A200" s="839"/>
      <c r="B200" s="839"/>
      <c r="C200" s="838"/>
      <c r="D200" s="822"/>
      <c r="E200" s="840"/>
    </row>
    <row r="201" spans="1:5" ht="21" customHeight="1">
      <c r="A201" s="839"/>
      <c r="B201" s="839"/>
      <c r="C201" s="838"/>
      <c r="D201" s="822"/>
      <c r="E201" s="840"/>
    </row>
    <row r="202" spans="1:5" ht="21" customHeight="1">
      <c r="A202" s="839"/>
      <c r="B202" s="839"/>
      <c r="C202" s="838"/>
      <c r="D202" s="822"/>
      <c r="E202" s="840"/>
    </row>
    <row r="203" spans="1:5" ht="21" customHeight="1">
      <c r="A203" s="839"/>
      <c r="B203" s="839"/>
      <c r="C203" s="838"/>
      <c r="D203" s="822"/>
      <c r="E203" s="840"/>
    </row>
    <row r="204" spans="1:5" ht="21" customHeight="1">
      <c r="A204" s="839"/>
      <c r="B204" s="839"/>
      <c r="C204" s="838"/>
      <c r="D204" s="822"/>
      <c r="E204" s="840"/>
    </row>
    <row r="205" spans="1:5" ht="21" customHeight="1">
      <c r="A205" s="839"/>
      <c r="B205" s="839"/>
      <c r="C205" s="838"/>
      <c r="D205" s="822"/>
      <c r="E205" s="840"/>
    </row>
    <row r="206" spans="1:5" ht="21" customHeight="1">
      <c r="A206" s="839"/>
      <c r="B206" s="839"/>
      <c r="C206" s="838"/>
      <c r="D206" s="822"/>
      <c r="E206" s="840"/>
    </row>
    <row r="207" spans="1:5" ht="21" customHeight="1">
      <c r="A207" s="839"/>
      <c r="B207" s="839"/>
      <c r="C207" s="838"/>
      <c r="D207" s="822"/>
      <c r="E207" s="840"/>
    </row>
    <row r="208" spans="1:5" ht="21" customHeight="1">
      <c r="A208" s="839"/>
      <c r="B208" s="839"/>
      <c r="C208" s="838"/>
      <c r="D208" s="822"/>
      <c r="E208" s="840"/>
    </row>
    <row r="209" spans="1:5" ht="21" customHeight="1">
      <c r="A209" s="839"/>
      <c r="B209" s="839"/>
      <c r="C209" s="838"/>
      <c r="D209" s="822"/>
      <c r="E209" s="840"/>
    </row>
    <row r="210" spans="1:5" ht="21" customHeight="1">
      <c r="A210" s="839"/>
      <c r="B210" s="839"/>
      <c r="C210" s="838"/>
      <c r="D210" s="822"/>
      <c r="E210" s="840"/>
    </row>
    <row r="211" spans="1:5" ht="21" customHeight="1">
      <c r="A211" s="839"/>
      <c r="B211" s="839"/>
      <c r="C211" s="838"/>
      <c r="D211" s="822"/>
      <c r="E211" s="840"/>
    </row>
    <row r="212" spans="1:5" ht="21" customHeight="1">
      <c r="A212" s="839"/>
      <c r="B212" s="839"/>
      <c r="C212" s="838"/>
      <c r="D212" s="822"/>
      <c r="E212" s="840"/>
    </row>
    <row r="213" spans="1:5" ht="21" customHeight="1">
      <c r="A213" s="839"/>
      <c r="B213" s="839"/>
      <c r="C213" s="838"/>
      <c r="D213" s="822"/>
      <c r="E213" s="840"/>
    </row>
    <row r="214" spans="1:5" ht="21" customHeight="1">
      <c r="A214" s="839"/>
      <c r="B214" s="839"/>
      <c r="C214" s="838"/>
      <c r="D214" s="822"/>
      <c r="E214" s="840"/>
    </row>
    <row r="215" spans="1:5" ht="21" customHeight="1">
      <c r="A215" s="839"/>
      <c r="B215" s="839"/>
      <c r="C215" s="838"/>
      <c r="D215" s="822"/>
      <c r="E215" s="840"/>
    </row>
    <row r="216" spans="1:5" ht="21" customHeight="1">
      <c r="A216" s="839"/>
      <c r="B216" s="839"/>
      <c r="C216" s="838"/>
      <c r="D216" s="822"/>
      <c r="E216" s="840"/>
    </row>
    <row r="217" spans="1:5" ht="21" customHeight="1">
      <c r="A217" s="839"/>
      <c r="B217" s="839"/>
      <c r="C217" s="838"/>
      <c r="D217" s="822"/>
      <c r="E217" s="840"/>
    </row>
    <row r="218" spans="1:5" ht="21" customHeight="1">
      <c r="A218" s="839"/>
      <c r="B218" s="839"/>
      <c r="C218" s="838"/>
      <c r="D218" s="822"/>
      <c r="E218" s="840"/>
    </row>
    <row r="219" spans="1:5" ht="21" customHeight="1">
      <c r="A219" s="839"/>
      <c r="B219" s="839"/>
      <c r="C219" s="838"/>
      <c r="D219" s="822"/>
      <c r="E219" s="840"/>
    </row>
    <row r="220" spans="1:5" ht="21" customHeight="1">
      <c r="A220" s="839"/>
      <c r="B220" s="839"/>
      <c r="C220" s="838"/>
      <c r="D220" s="822"/>
      <c r="E220" s="840"/>
    </row>
    <row r="221" spans="1:5" ht="21" customHeight="1">
      <c r="A221" s="839"/>
      <c r="B221" s="839"/>
      <c r="C221" s="838"/>
      <c r="D221" s="822"/>
      <c r="E221" s="840"/>
    </row>
    <row r="222" spans="1:5" ht="21" customHeight="1">
      <c r="A222" s="839"/>
      <c r="B222" s="839"/>
      <c r="C222" s="838"/>
      <c r="D222" s="822"/>
      <c r="E222" s="840"/>
    </row>
    <row r="223" spans="1:5" ht="21" customHeight="1">
      <c r="A223" s="839"/>
      <c r="B223" s="839"/>
      <c r="C223" s="838"/>
      <c r="D223" s="822"/>
      <c r="E223" s="840"/>
    </row>
    <row r="224" spans="1:5" ht="21" customHeight="1">
      <c r="A224" s="839"/>
      <c r="B224" s="839"/>
      <c r="C224" s="838"/>
      <c r="D224" s="822"/>
      <c r="E224" s="840"/>
    </row>
    <row r="225" spans="1:5" ht="21" customHeight="1">
      <c r="A225" s="839"/>
      <c r="B225" s="839"/>
      <c r="C225" s="838"/>
      <c r="D225" s="822"/>
      <c r="E225" s="840"/>
    </row>
    <row r="226" spans="1:5" ht="21" customHeight="1">
      <c r="A226" s="839"/>
      <c r="B226" s="839"/>
      <c r="C226" s="838"/>
      <c r="D226" s="822"/>
      <c r="E226" s="840"/>
    </row>
    <row r="227" spans="1:5" ht="21" customHeight="1">
      <c r="A227" s="839"/>
      <c r="B227" s="839"/>
      <c r="C227" s="838"/>
      <c r="D227" s="822"/>
      <c r="E227" s="840"/>
    </row>
    <row r="228" spans="1:5" ht="21" customHeight="1">
      <c r="A228" s="839"/>
      <c r="B228" s="839"/>
      <c r="C228" s="838"/>
      <c r="D228" s="822"/>
      <c r="E228" s="840"/>
    </row>
    <row r="229" spans="1:5" ht="21" customHeight="1">
      <c r="A229" s="839"/>
      <c r="B229" s="839"/>
      <c r="C229" s="838"/>
      <c r="D229" s="822"/>
      <c r="E229" s="840"/>
    </row>
    <row r="230" spans="1:5" ht="21" customHeight="1">
      <c r="A230" s="839"/>
      <c r="B230" s="839"/>
      <c r="C230" s="838"/>
      <c r="D230" s="822"/>
      <c r="E230" s="840"/>
    </row>
    <row r="231" spans="1:5" ht="21" customHeight="1">
      <c r="A231" s="839"/>
      <c r="B231" s="839"/>
      <c r="C231" s="838"/>
      <c r="D231" s="822"/>
      <c r="E231" s="840"/>
    </row>
    <row r="232" spans="1:5" ht="21" customHeight="1">
      <c r="A232" s="839"/>
      <c r="B232" s="839"/>
      <c r="C232" s="838"/>
      <c r="D232" s="822"/>
      <c r="E232" s="840"/>
    </row>
    <row r="233" spans="1:5" ht="21" customHeight="1">
      <c r="A233" s="839"/>
      <c r="B233" s="839"/>
      <c r="C233" s="838"/>
      <c r="D233" s="822"/>
      <c r="E233" s="840"/>
    </row>
    <row r="234" spans="1:5" ht="21" customHeight="1">
      <c r="A234" s="839"/>
      <c r="B234" s="839"/>
      <c r="C234" s="838"/>
      <c r="D234" s="822"/>
      <c r="E234" s="840"/>
    </row>
    <row r="235" spans="1:5" ht="21" customHeight="1">
      <c r="A235" s="839"/>
      <c r="B235" s="839"/>
      <c r="C235" s="838"/>
      <c r="D235" s="822"/>
      <c r="E235" s="840"/>
    </row>
    <row r="236" spans="1:5" ht="21" customHeight="1">
      <c r="A236" s="839"/>
      <c r="B236" s="839"/>
      <c r="C236" s="838"/>
      <c r="D236" s="822"/>
      <c r="E236" s="840"/>
    </row>
    <row r="237" spans="1:5" ht="21" customHeight="1">
      <c r="A237" s="839"/>
      <c r="B237" s="839"/>
      <c r="C237" s="838"/>
      <c r="D237" s="822"/>
      <c r="E237" s="840"/>
    </row>
    <row r="238" spans="1:5" ht="21" customHeight="1">
      <c r="A238" s="839"/>
      <c r="B238" s="839"/>
      <c r="C238" s="838"/>
      <c r="D238" s="822"/>
      <c r="E238" s="840"/>
    </row>
    <row r="239" spans="1:5" ht="21" customHeight="1">
      <c r="A239" s="839"/>
      <c r="B239" s="839"/>
      <c r="C239" s="838"/>
      <c r="D239" s="822"/>
      <c r="E239" s="840"/>
    </row>
    <row r="240" spans="1:5" ht="21" customHeight="1">
      <c r="A240" s="839"/>
      <c r="B240" s="839"/>
      <c r="C240" s="838"/>
      <c r="D240" s="822"/>
      <c r="E240" s="840"/>
    </row>
    <row r="241" spans="1:5" ht="21" customHeight="1">
      <c r="A241" s="839"/>
      <c r="B241" s="839"/>
      <c r="C241" s="838"/>
      <c r="D241" s="822"/>
      <c r="E241" s="840"/>
    </row>
    <row r="242" spans="1:5" ht="21" customHeight="1">
      <c r="A242" s="839"/>
      <c r="B242" s="839"/>
      <c r="C242" s="838"/>
      <c r="D242" s="822"/>
      <c r="E242" s="840"/>
    </row>
    <row r="243" spans="1:5" ht="21" customHeight="1">
      <c r="A243" s="839"/>
      <c r="B243" s="839"/>
      <c r="C243" s="838"/>
      <c r="D243" s="822"/>
      <c r="E243" s="840"/>
    </row>
    <row r="244" spans="1:5" ht="21" customHeight="1">
      <c r="A244" s="839"/>
      <c r="B244" s="839"/>
      <c r="C244" s="838"/>
    </row>
    <row r="245" spans="1:5" ht="21" customHeight="1">
      <c r="A245" s="839"/>
      <c r="B245" s="839"/>
      <c r="C245" s="838"/>
    </row>
    <row r="246" spans="1:5" ht="21" customHeight="1">
      <c r="A246" s="839"/>
      <c r="B246" s="839"/>
      <c r="C246" s="838"/>
    </row>
    <row r="247" spans="1:5" ht="21" customHeight="1">
      <c r="A247" s="839"/>
      <c r="B247" s="839"/>
      <c r="C247" s="838"/>
      <c r="E247" s="835"/>
    </row>
    <row r="248" spans="1:5" ht="21" customHeight="1">
      <c r="A248" s="839"/>
      <c r="B248" s="839"/>
      <c r="C248" s="838"/>
      <c r="E248" s="835"/>
    </row>
    <row r="249" spans="1:5" ht="21" customHeight="1">
      <c r="A249" s="839"/>
      <c r="B249" s="839"/>
      <c r="C249" s="838"/>
      <c r="E249" s="835"/>
    </row>
    <row r="250" spans="1:5" ht="21" customHeight="1">
      <c r="A250" s="839"/>
      <c r="B250" s="839"/>
      <c r="C250" s="838"/>
      <c r="E250" s="835"/>
    </row>
    <row r="251" spans="1:5" ht="21" customHeight="1">
      <c r="A251" s="839"/>
      <c r="B251" s="839"/>
      <c r="C251" s="838"/>
      <c r="E251" s="835"/>
    </row>
    <row r="252" spans="1:5" ht="21" customHeight="1">
      <c r="A252" s="839"/>
      <c r="B252" s="839"/>
      <c r="C252" s="838"/>
      <c r="E252" s="835"/>
    </row>
    <row r="253" spans="1:5" ht="21" customHeight="1">
      <c r="A253" s="839"/>
      <c r="B253" s="839"/>
      <c r="C253" s="838"/>
      <c r="E253" s="835"/>
    </row>
    <row r="254" spans="1:5" ht="21" customHeight="1">
      <c r="A254" s="839"/>
      <c r="B254" s="839"/>
      <c r="C254" s="838"/>
      <c r="E254" s="835"/>
    </row>
    <row r="255" spans="1:5" ht="21" customHeight="1">
      <c r="A255" s="839"/>
      <c r="B255" s="839"/>
      <c r="C255" s="838"/>
      <c r="E255" s="835"/>
    </row>
    <row r="256" spans="1:5" ht="21" customHeight="1">
      <c r="A256" s="839"/>
      <c r="B256" s="839"/>
      <c r="C256" s="838"/>
      <c r="E256" s="835"/>
    </row>
    <row r="257" spans="1:5" ht="21" customHeight="1">
      <c r="A257" s="839"/>
      <c r="B257" s="839"/>
      <c r="C257" s="838"/>
      <c r="E257" s="835"/>
    </row>
    <row r="258" spans="1:5" ht="21" customHeight="1">
      <c r="A258" s="839"/>
      <c r="B258" s="839"/>
      <c r="C258" s="838"/>
      <c r="E258" s="835"/>
    </row>
    <row r="259" spans="1:5" ht="21" customHeight="1">
      <c r="A259" s="839"/>
      <c r="B259" s="839"/>
      <c r="C259" s="838"/>
      <c r="E259" s="835"/>
    </row>
    <row r="260" spans="1:5" ht="21" customHeight="1">
      <c r="A260" s="839"/>
      <c r="B260" s="839"/>
      <c r="C260" s="838"/>
      <c r="E260" s="835"/>
    </row>
    <row r="261" spans="1:5" ht="21" customHeight="1">
      <c r="A261" s="839"/>
      <c r="B261" s="839"/>
      <c r="C261" s="838"/>
      <c r="E261" s="835"/>
    </row>
    <row r="262" spans="1:5" ht="21" customHeight="1">
      <c r="A262" s="839"/>
      <c r="B262" s="839"/>
      <c r="C262" s="838"/>
      <c r="E262" s="835"/>
    </row>
    <row r="263" spans="1:5" ht="21" customHeight="1">
      <c r="A263" s="839"/>
      <c r="B263" s="839"/>
      <c r="C263" s="838"/>
      <c r="E263" s="835"/>
    </row>
    <row r="264" spans="1:5" ht="21" customHeight="1">
      <c r="A264" s="839"/>
      <c r="B264" s="839"/>
      <c r="C264" s="838"/>
      <c r="E264" s="835"/>
    </row>
    <row r="265" spans="1:5" ht="21" customHeight="1">
      <c r="A265" s="839"/>
      <c r="B265" s="839"/>
      <c r="C265" s="838"/>
      <c r="E265" s="835"/>
    </row>
    <row r="266" spans="1:5" ht="21" customHeight="1">
      <c r="A266" s="839"/>
      <c r="B266" s="839"/>
      <c r="C266" s="838"/>
      <c r="E266" s="835"/>
    </row>
    <row r="267" spans="1:5" ht="21" customHeight="1">
      <c r="A267" s="839"/>
      <c r="B267" s="839"/>
      <c r="C267" s="838"/>
      <c r="E267" s="835"/>
    </row>
    <row r="268" spans="1:5" ht="21" customHeight="1">
      <c r="A268" s="839"/>
      <c r="B268" s="839"/>
      <c r="C268" s="838"/>
      <c r="E268" s="835"/>
    </row>
    <row r="269" spans="1:5" ht="21" customHeight="1">
      <c r="A269" s="839"/>
      <c r="B269" s="839"/>
      <c r="C269" s="838"/>
      <c r="E269" s="835"/>
    </row>
    <row r="270" spans="1:5" ht="21" customHeight="1">
      <c r="A270" s="839"/>
      <c r="B270" s="839"/>
      <c r="C270" s="838"/>
      <c r="E270" s="835"/>
    </row>
    <row r="271" spans="1:5" ht="21" customHeight="1">
      <c r="A271" s="839"/>
      <c r="B271" s="839"/>
      <c r="C271" s="838"/>
      <c r="E271" s="835"/>
    </row>
    <row r="272" spans="1:5" ht="21" customHeight="1">
      <c r="A272" s="839"/>
      <c r="B272" s="839"/>
      <c r="C272" s="838"/>
      <c r="E272" s="835"/>
    </row>
    <row r="273" spans="1:5" ht="21" customHeight="1">
      <c r="A273" s="839"/>
      <c r="B273" s="839"/>
      <c r="C273" s="838"/>
      <c r="E273" s="835"/>
    </row>
    <row r="274" spans="1:5" ht="21" customHeight="1">
      <c r="A274" s="839"/>
      <c r="B274" s="839"/>
      <c r="C274" s="838"/>
      <c r="E274" s="835"/>
    </row>
    <row r="275" spans="1:5" ht="21" customHeight="1">
      <c r="A275" s="839"/>
      <c r="B275" s="839"/>
      <c r="C275" s="838"/>
      <c r="E275" s="835"/>
    </row>
    <row r="276" spans="1:5" ht="21" customHeight="1">
      <c r="A276" s="839"/>
      <c r="B276" s="839"/>
      <c r="C276" s="838"/>
      <c r="E276" s="835"/>
    </row>
    <row r="277" spans="1:5" ht="21" customHeight="1">
      <c r="A277" s="839"/>
      <c r="B277" s="839"/>
      <c r="C277" s="838"/>
      <c r="E277" s="835"/>
    </row>
    <row r="278" spans="1:5" ht="21" customHeight="1">
      <c r="A278" s="839"/>
      <c r="B278" s="839"/>
      <c r="C278" s="838"/>
      <c r="E278" s="835"/>
    </row>
    <row r="279" spans="1:5" ht="21" customHeight="1">
      <c r="A279" s="839"/>
      <c r="B279" s="839"/>
      <c r="C279" s="838"/>
      <c r="E279" s="835"/>
    </row>
    <row r="280" spans="1:5" ht="21" customHeight="1">
      <c r="A280" s="839"/>
      <c r="B280" s="839"/>
      <c r="C280" s="838"/>
      <c r="E280" s="835"/>
    </row>
    <row r="281" spans="1:5" ht="21" customHeight="1">
      <c r="A281" s="839"/>
      <c r="B281" s="839"/>
      <c r="C281" s="838"/>
      <c r="E281" s="835"/>
    </row>
    <row r="282" spans="1:5" ht="21" customHeight="1">
      <c r="A282" s="839"/>
      <c r="B282" s="839"/>
      <c r="C282" s="838"/>
      <c r="E282" s="835"/>
    </row>
    <row r="283" spans="1:5" ht="21" customHeight="1">
      <c r="A283" s="839"/>
      <c r="B283" s="839"/>
      <c r="C283" s="838"/>
      <c r="E283" s="835"/>
    </row>
    <row r="284" spans="1:5" ht="21" customHeight="1">
      <c r="A284" s="839"/>
      <c r="B284" s="839"/>
      <c r="C284" s="838"/>
      <c r="E284" s="835"/>
    </row>
    <row r="285" spans="1:5" ht="21" customHeight="1">
      <c r="A285" s="839"/>
      <c r="B285" s="839"/>
      <c r="C285" s="838"/>
      <c r="E285" s="835"/>
    </row>
    <row r="286" spans="1:5" ht="21" customHeight="1">
      <c r="A286" s="839"/>
      <c r="B286" s="839"/>
      <c r="C286" s="838"/>
      <c r="E286" s="835"/>
    </row>
    <row r="287" spans="1:5" ht="21" customHeight="1">
      <c r="A287" s="839"/>
      <c r="B287" s="839"/>
      <c r="C287" s="838"/>
      <c r="E287" s="835"/>
    </row>
    <row r="288" spans="1:5" ht="21" customHeight="1">
      <c r="A288" s="839"/>
      <c r="B288" s="839"/>
      <c r="C288" s="838"/>
      <c r="E288" s="835"/>
    </row>
    <row r="289" spans="1:5" ht="21" customHeight="1">
      <c r="A289" s="839"/>
      <c r="B289" s="839"/>
      <c r="C289" s="838"/>
      <c r="E289" s="835"/>
    </row>
    <row r="290" spans="1:5" ht="21" customHeight="1">
      <c r="A290" s="839"/>
      <c r="B290" s="839"/>
      <c r="C290" s="838"/>
      <c r="E290" s="835"/>
    </row>
    <row r="291" spans="1:5" ht="21" customHeight="1">
      <c r="A291" s="839"/>
      <c r="B291" s="839"/>
      <c r="C291" s="838"/>
      <c r="E291" s="835"/>
    </row>
    <row r="292" spans="1:5" ht="21" customHeight="1">
      <c r="A292" s="839"/>
      <c r="B292" s="839"/>
      <c r="C292" s="838"/>
      <c r="E292" s="835"/>
    </row>
    <row r="293" spans="1:5" ht="21" customHeight="1">
      <c r="A293" s="839"/>
      <c r="B293" s="839"/>
      <c r="C293" s="838"/>
      <c r="E293" s="835"/>
    </row>
    <row r="294" spans="1:5" ht="21" customHeight="1">
      <c r="A294" s="839"/>
      <c r="B294" s="839"/>
      <c r="C294" s="838"/>
      <c r="E294" s="835"/>
    </row>
    <row r="295" spans="1:5" ht="21" customHeight="1">
      <c r="A295" s="839"/>
      <c r="B295" s="839"/>
      <c r="C295" s="838"/>
      <c r="E295" s="835"/>
    </row>
    <row r="296" spans="1:5" ht="21" customHeight="1">
      <c r="A296" s="839"/>
      <c r="B296" s="839"/>
      <c r="C296" s="838"/>
      <c r="E296" s="835"/>
    </row>
    <row r="297" spans="1:5" ht="21" customHeight="1">
      <c r="A297" s="839"/>
      <c r="B297" s="839"/>
      <c r="C297" s="838"/>
      <c r="E297" s="835"/>
    </row>
    <row r="298" spans="1:5" ht="21" customHeight="1">
      <c r="A298" s="839"/>
      <c r="B298" s="839"/>
      <c r="C298" s="838"/>
      <c r="E298" s="835"/>
    </row>
    <row r="299" spans="1:5" ht="21" customHeight="1">
      <c r="A299" s="839"/>
      <c r="B299" s="839"/>
      <c r="C299" s="838"/>
      <c r="E299" s="835"/>
    </row>
    <row r="300" spans="1:5" ht="21" customHeight="1">
      <c r="A300" s="839"/>
      <c r="B300" s="839"/>
      <c r="C300" s="838"/>
      <c r="E300" s="835"/>
    </row>
    <row r="301" spans="1:5" ht="21" customHeight="1">
      <c r="A301" s="839"/>
      <c r="B301" s="839"/>
      <c r="C301" s="838"/>
      <c r="E301" s="835"/>
    </row>
    <row r="302" spans="1:5" ht="21" customHeight="1">
      <c r="A302" s="839"/>
      <c r="B302" s="839"/>
      <c r="C302" s="838"/>
      <c r="E302" s="835"/>
    </row>
    <row r="303" spans="1:5" ht="21" customHeight="1">
      <c r="A303" s="839"/>
      <c r="B303" s="839"/>
      <c r="C303" s="838"/>
      <c r="E303" s="835"/>
    </row>
    <row r="304" spans="1:5" ht="21" customHeight="1">
      <c r="A304" s="839"/>
      <c r="B304" s="839"/>
      <c r="C304" s="838"/>
      <c r="E304" s="835"/>
    </row>
    <row r="305" spans="1:5" ht="21" customHeight="1">
      <c r="A305" s="839"/>
      <c r="B305" s="839"/>
      <c r="C305" s="838"/>
      <c r="E305" s="835"/>
    </row>
    <row r="306" spans="1:5" ht="21" customHeight="1">
      <c r="A306" s="839"/>
      <c r="B306" s="839"/>
      <c r="C306" s="838"/>
      <c r="E306" s="835"/>
    </row>
    <row r="307" spans="1:5" ht="21" customHeight="1">
      <c r="A307" s="839"/>
      <c r="B307" s="839"/>
      <c r="C307" s="838"/>
      <c r="E307" s="835"/>
    </row>
    <row r="308" spans="1:5" ht="21" customHeight="1">
      <c r="A308" s="839"/>
      <c r="B308" s="839"/>
      <c r="C308" s="838"/>
      <c r="E308" s="835"/>
    </row>
    <row r="309" spans="1:5" ht="21" customHeight="1">
      <c r="A309" s="839"/>
      <c r="B309" s="839"/>
      <c r="C309" s="838"/>
      <c r="E309" s="835"/>
    </row>
    <row r="310" spans="1:5" ht="21" customHeight="1">
      <c r="A310" s="839"/>
      <c r="B310" s="839"/>
      <c r="C310" s="838"/>
      <c r="E310" s="835"/>
    </row>
    <row r="311" spans="1:5" ht="21" customHeight="1">
      <c r="A311" s="839"/>
      <c r="B311" s="839"/>
      <c r="C311" s="838"/>
      <c r="E311" s="835"/>
    </row>
    <row r="312" spans="1:5" ht="21" customHeight="1">
      <c r="A312" s="839"/>
      <c r="B312" s="839"/>
      <c r="C312" s="838"/>
      <c r="E312" s="835"/>
    </row>
    <row r="313" spans="1:5" ht="21" customHeight="1">
      <c r="A313" s="839"/>
      <c r="B313" s="839"/>
      <c r="C313" s="838"/>
      <c r="E313" s="835"/>
    </row>
    <row r="314" spans="1:5" ht="21" customHeight="1">
      <c r="A314" s="839"/>
      <c r="B314" s="839"/>
      <c r="C314" s="838"/>
      <c r="E314" s="835"/>
    </row>
    <row r="315" spans="1:5" ht="21" customHeight="1">
      <c r="A315" s="839"/>
      <c r="B315" s="839"/>
      <c r="C315" s="838"/>
      <c r="E315" s="835"/>
    </row>
    <row r="316" spans="1:5" ht="21" customHeight="1">
      <c r="A316" s="839"/>
      <c r="B316" s="839"/>
      <c r="C316" s="838"/>
      <c r="E316" s="835"/>
    </row>
    <row r="317" spans="1:5" ht="21" customHeight="1">
      <c r="A317" s="839"/>
      <c r="B317" s="839"/>
      <c r="C317" s="838"/>
      <c r="E317" s="835"/>
    </row>
    <row r="318" spans="1:5" ht="21" customHeight="1">
      <c r="A318" s="839"/>
      <c r="B318" s="839"/>
      <c r="C318" s="838"/>
      <c r="E318" s="835"/>
    </row>
    <row r="319" spans="1:5" ht="21" customHeight="1">
      <c r="A319" s="839"/>
      <c r="B319" s="839"/>
      <c r="C319" s="838"/>
      <c r="E319" s="835"/>
    </row>
    <row r="320" spans="1:5" ht="21" customHeight="1">
      <c r="A320" s="839"/>
      <c r="B320" s="839"/>
      <c r="C320" s="838"/>
      <c r="E320" s="835"/>
    </row>
    <row r="321" spans="1:5" ht="21" customHeight="1">
      <c r="A321" s="839"/>
      <c r="B321" s="839"/>
      <c r="C321" s="838"/>
      <c r="E321" s="835"/>
    </row>
    <row r="322" spans="1:5" ht="21" customHeight="1">
      <c r="A322" s="839"/>
      <c r="B322" s="839"/>
      <c r="C322" s="838"/>
      <c r="E322" s="835"/>
    </row>
    <row r="323" spans="1:5" ht="21" customHeight="1">
      <c r="A323" s="839"/>
      <c r="B323" s="839"/>
      <c r="C323" s="838"/>
      <c r="E323" s="835"/>
    </row>
    <row r="324" spans="1:5" ht="21" customHeight="1">
      <c r="A324" s="839"/>
      <c r="B324" s="839"/>
      <c r="C324" s="838"/>
      <c r="E324" s="835"/>
    </row>
    <row r="325" spans="1:5" ht="21" customHeight="1">
      <c r="A325" s="839"/>
      <c r="B325" s="839"/>
      <c r="C325" s="838"/>
      <c r="E325" s="835"/>
    </row>
    <row r="326" spans="1:5" ht="21" customHeight="1">
      <c r="A326" s="839"/>
      <c r="B326" s="839"/>
      <c r="C326" s="838"/>
      <c r="E326" s="835"/>
    </row>
    <row r="327" spans="1:5" ht="21" customHeight="1">
      <c r="A327" s="839"/>
      <c r="B327" s="839"/>
      <c r="C327" s="838"/>
      <c r="E327" s="835"/>
    </row>
    <row r="328" spans="1:5" ht="21" customHeight="1">
      <c r="A328" s="839"/>
      <c r="B328" s="839"/>
      <c r="C328" s="838"/>
      <c r="E328" s="835"/>
    </row>
    <row r="329" spans="1:5" ht="21" customHeight="1">
      <c r="A329" s="839"/>
      <c r="B329" s="839"/>
      <c r="C329" s="838"/>
      <c r="E329" s="835"/>
    </row>
    <row r="330" spans="1:5" ht="21" customHeight="1">
      <c r="A330" s="839"/>
      <c r="B330" s="839"/>
      <c r="C330" s="838"/>
      <c r="E330" s="835"/>
    </row>
    <row r="331" spans="1:5" ht="21" customHeight="1">
      <c r="A331" s="839"/>
      <c r="B331" s="839"/>
      <c r="C331" s="838"/>
      <c r="E331" s="835"/>
    </row>
    <row r="332" spans="1:5" ht="21" customHeight="1">
      <c r="A332" s="839"/>
      <c r="B332" s="839"/>
      <c r="C332" s="838"/>
      <c r="E332" s="835"/>
    </row>
    <row r="333" spans="1:5" ht="21" customHeight="1">
      <c r="A333" s="839"/>
      <c r="B333" s="839"/>
      <c r="C333" s="838"/>
      <c r="E333" s="835"/>
    </row>
    <row r="334" spans="1:5" ht="21" customHeight="1">
      <c r="A334" s="839"/>
      <c r="B334" s="839"/>
      <c r="C334" s="838"/>
      <c r="E334" s="835"/>
    </row>
    <row r="335" spans="1:5" ht="21" customHeight="1">
      <c r="A335" s="839"/>
      <c r="B335" s="839"/>
      <c r="C335" s="838"/>
      <c r="E335" s="835"/>
    </row>
    <row r="336" spans="1:5" ht="21" customHeight="1">
      <c r="A336" s="839"/>
      <c r="B336" s="839"/>
      <c r="C336" s="838"/>
      <c r="E336" s="835"/>
    </row>
    <row r="337" spans="1:5" ht="21" customHeight="1">
      <c r="A337" s="839"/>
      <c r="B337" s="839"/>
      <c r="C337" s="838"/>
      <c r="E337" s="835"/>
    </row>
    <row r="338" spans="1:5" ht="21" customHeight="1">
      <c r="A338" s="839"/>
      <c r="B338" s="839"/>
      <c r="C338" s="838"/>
      <c r="E338" s="835"/>
    </row>
    <row r="339" spans="1:5" ht="21" customHeight="1">
      <c r="A339" s="839"/>
      <c r="B339" s="839"/>
      <c r="C339" s="838"/>
      <c r="E339" s="835"/>
    </row>
    <row r="340" spans="1:5" ht="21" customHeight="1">
      <c r="A340" s="839"/>
      <c r="B340" s="839"/>
      <c r="C340" s="838"/>
      <c r="E340" s="835"/>
    </row>
    <row r="341" spans="1:5" ht="21" customHeight="1">
      <c r="A341" s="839"/>
      <c r="B341" s="839"/>
      <c r="C341" s="838"/>
      <c r="E341" s="835"/>
    </row>
    <row r="342" spans="1:5" ht="21" customHeight="1">
      <c r="A342" s="839"/>
      <c r="B342" s="839"/>
      <c r="C342" s="838"/>
      <c r="E342" s="835"/>
    </row>
    <row r="343" spans="1:5" ht="21" customHeight="1">
      <c r="A343" s="839"/>
      <c r="B343" s="839"/>
      <c r="C343" s="838"/>
      <c r="E343" s="835"/>
    </row>
    <row r="344" spans="1:5" ht="21" customHeight="1">
      <c r="A344" s="839"/>
      <c r="B344" s="839"/>
      <c r="C344" s="838"/>
      <c r="E344" s="835"/>
    </row>
    <row r="345" spans="1:5" ht="21" customHeight="1">
      <c r="A345" s="839"/>
      <c r="B345" s="839"/>
      <c r="C345" s="838"/>
      <c r="E345" s="835"/>
    </row>
    <row r="346" spans="1:5" ht="21" customHeight="1">
      <c r="A346" s="839"/>
      <c r="B346" s="839"/>
      <c r="C346" s="838"/>
      <c r="E346" s="835"/>
    </row>
    <row r="347" spans="1:5" ht="21" customHeight="1">
      <c r="A347" s="839"/>
      <c r="B347" s="839"/>
      <c r="C347" s="838"/>
      <c r="E347" s="835"/>
    </row>
    <row r="348" spans="1:5" ht="21" customHeight="1">
      <c r="A348" s="839"/>
      <c r="B348" s="839"/>
      <c r="C348" s="838"/>
      <c r="E348" s="835"/>
    </row>
    <row r="349" spans="1:5" ht="21" customHeight="1">
      <c r="A349" s="839"/>
      <c r="B349" s="839"/>
      <c r="C349" s="838"/>
      <c r="E349" s="835"/>
    </row>
    <row r="350" spans="1:5" ht="21" customHeight="1">
      <c r="A350" s="839"/>
      <c r="B350" s="839"/>
      <c r="C350" s="838"/>
      <c r="E350" s="835"/>
    </row>
    <row r="351" spans="1:5" ht="21" customHeight="1">
      <c r="A351" s="839"/>
      <c r="B351" s="839"/>
      <c r="C351" s="838"/>
      <c r="E351" s="835"/>
    </row>
    <row r="352" spans="1:5" ht="21" customHeight="1">
      <c r="A352" s="839"/>
      <c r="B352" s="839"/>
      <c r="C352" s="838"/>
      <c r="E352" s="835"/>
    </row>
    <row r="353" spans="1:5" ht="21" customHeight="1">
      <c r="A353" s="839"/>
      <c r="B353" s="839"/>
      <c r="C353" s="838"/>
      <c r="E353" s="835"/>
    </row>
    <row r="354" spans="1:5" ht="21" customHeight="1">
      <c r="A354" s="839"/>
      <c r="B354" s="839"/>
      <c r="C354" s="838"/>
      <c r="E354" s="835"/>
    </row>
    <row r="355" spans="1:5" ht="21" customHeight="1">
      <c r="A355" s="839"/>
      <c r="B355" s="839"/>
      <c r="C355" s="838"/>
      <c r="E355" s="835"/>
    </row>
    <row r="356" spans="1:5" ht="21" customHeight="1">
      <c r="A356" s="839"/>
      <c r="B356" s="839"/>
      <c r="C356" s="838"/>
      <c r="E356" s="835"/>
    </row>
    <row r="357" spans="1:5" ht="21" customHeight="1">
      <c r="A357" s="839"/>
      <c r="B357" s="839"/>
      <c r="C357" s="838"/>
      <c r="E357" s="835"/>
    </row>
    <row r="358" spans="1:5" ht="21" customHeight="1">
      <c r="A358" s="839"/>
      <c r="B358" s="839"/>
      <c r="C358" s="838"/>
      <c r="E358" s="835"/>
    </row>
    <row r="359" spans="1:5" ht="21" customHeight="1">
      <c r="A359" s="839"/>
      <c r="B359" s="839"/>
      <c r="C359" s="838"/>
      <c r="E359" s="835"/>
    </row>
    <row r="360" spans="1:5" ht="21" customHeight="1">
      <c r="A360" s="839"/>
      <c r="B360" s="839"/>
      <c r="C360" s="838"/>
      <c r="E360" s="835"/>
    </row>
    <row r="361" spans="1:5" ht="21" customHeight="1">
      <c r="A361" s="839"/>
      <c r="B361" s="839"/>
      <c r="C361" s="838"/>
      <c r="E361" s="835"/>
    </row>
    <row r="362" spans="1:5" ht="21" customHeight="1">
      <c r="A362" s="839"/>
      <c r="B362" s="839"/>
      <c r="C362" s="838"/>
      <c r="E362" s="835"/>
    </row>
    <row r="363" spans="1:5" ht="21" customHeight="1">
      <c r="A363" s="839"/>
      <c r="B363" s="839"/>
      <c r="C363" s="838"/>
      <c r="E363" s="835"/>
    </row>
    <row r="364" spans="1:5" ht="21" customHeight="1">
      <c r="A364" s="839"/>
      <c r="B364" s="839"/>
      <c r="C364" s="838"/>
      <c r="E364" s="835"/>
    </row>
    <row r="365" spans="1:5" ht="21" customHeight="1">
      <c r="A365" s="839"/>
      <c r="B365" s="839"/>
      <c r="C365" s="838"/>
      <c r="E365" s="835"/>
    </row>
    <row r="366" spans="1:5" ht="21" customHeight="1">
      <c r="A366" s="839"/>
      <c r="B366" s="839"/>
      <c r="C366" s="838"/>
      <c r="E366" s="835"/>
    </row>
    <row r="367" spans="1:5" ht="21" customHeight="1">
      <c r="A367" s="839"/>
      <c r="B367" s="839"/>
      <c r="C367" s="838"/>
      <c r="E367" s="835"/>
    </row>
    <row r="368" spans="1:5" ht="21" customHeight="1">
      <c r="A368" s="839"/>
      <c r="B368" s="839"/>
      <c r="C368" s="838"/>
      <c r="E368" s="835"/>
    </row>
    <row r="369" spans="1:5" ht="21" customHeight="1">
      <c r="A369" s="839"/>
      <c r="B369" s="839"/>
      <c r="C369" s="838"/>
      <c r="E369" s="835"/>
    </row>
    <row r="370" spans="1:5" ht="21" customHeight="1">
      <c r="A370" s="839"/>
      <c r="B370" s="839"/>
      <c r="C370" s="838"/>
      <c r="E370" s="835"/>
    </row>
    <row r="371" spans="1:5" ht="21" customHeight="1">
      <c r="A371" s="839"/>
      <c r="B371" s="839"/>
      <c r="C371" s="838"/>
      <c r="E371" s="835"/>
    </row>
    <row r="372" spans="1:5" ht="21" customHeight="1">
      <c r="A372" s="839"/>
      <c r="B372" s="839"/>
      <c r="C372" s="838"/>
      <c r="E372" s="835"/>
    </row>
    <row r="373" spans="1:5" ht="21" customHeight="1">
      <c r="A373" s="839"/>
      <c r="B373" s="839"/>
      <c r="C373" s="838"/>
      <c r="E373" s="835"/>
    </row>
    <row r="374" spans="1:5" ht="21" customHeight="1">
      <c r="A374" s="839"/>
      <c r="B374" s="839"/>
      <c r="C374" s="838"/>
      <c r="E374" s="835"/>
    </row>
    <row r="375" spans="1:5" ht="21" customHeight="1">
      <c r="A375" s="839"/>
      <c r="B375" s="839"/>
      <c r="C375" s="838"/>
      <c r="E375" s="835"/>
    </row>
    <row r="376" spans="1:5" ht="21" customHeight="1">
      <c r="A376" s="839"/>
      <c r="B376" s="839"/>
      <c r="C376" s="838"/>
      <c r="E376" s="835"/>
    </row>
    <row r="377" spans="1:5" ht="21" customHeight="1">
      <c r="A377" s="839"/>
      <c r="B377" s="839"/>
      <c r="C377" s="838"/>
      <c r="E377" s="835"/>
    </row>
    <row r="378" spans="1:5" ht="21" customHeight="1">
      <c r="A378" s="839"/>
      <c r="B378" s="839"/>
      <c r="C378" s="838"/>
      <c r="E378" s="835"/>
    </row>
    <row r="379" spans="1:5" ht="21" customHeight="1">
      <c r="A379" s="839"/>
      <c r="B379" s="839"/>
      <c r="C379" s="838"/>
      <c r="E379" s="835"/>
    </row>
    <row r="380" spans="1:5" ht="21" customHeight="1">
      <c r="A380" s="839"/>
      <c r="B380" s="839"/>
      <c r="C380" s="838"/>
      <c r="E380" s="835"/>
    </row>
    <row r="381" spans="1:5" ht="21" customHeight="1">
      <c r="A381" s="839"/>
      <c r="B381" s="839"/>
      <c r="C381" s="838"/>
      <c r="E381" s="835"/>
    </row>
    <row r="382" spans="1:5" ht="21" customHeight="1">
      <c r="A382" s="839"/>
      <c r="B382" s="839"/>
      <c r="C382" s="838"/>
      <c r="E382" s="835"/>
    </row>
    <row r="383" spans="1:5" ht="21" customHeight="1">
      <c r="A383" s="839"/>
      <c r="B383" s="839"/>
      <c r="C383" s="838"/>
      <c r="E383" s="835"/>
    </row>
    <row r="384" spans="1:5" ht="21" customHeight="1">
      <c r="A384" s="839"/>
      <c r="B384" s="839"/>
      <c r="C384" s="838"/>
      <c r="E384" s="835"/>
    </row>
    <row r="385" spans="1:5" ht="21" customHeight="1">
      <c r="A385" s="839"/>
      <c r="B385" s="839"/>
      <c r="C385" s="838"/>
      <c r="E385" s="835"/>
    </row>
    <row r="386" spans="1:5" ht="21" customHeight="1">
      <c r="A386" s="839"/>
      <c r="B386" s="839"/>
      <c r="C386" s="838"/>
      <c r="E386" s="835"/>
    </row>
    <row r="387" spans="1:5" ht="21" customHeight="1">
      <c r="A387" s="839"/>
      <c r="B387" s="839"/>
      <c r="C387" s="838"/>
      <c r="E387" s="835"/>
    </row>
    <row r="388" spans="1:5" ht="21" customHeight="1">
      <c r="A388" s="839"/>
      <c r="B388" s="839"/>
      <c r="C388" s="838"/>
      <c r="E388" s="835"/>
    </row>
    <row r="389" spans="1:5" ht="21" customHeight="1">
      <c r="A389" s="839"/>
      <c r="B389" s="839"/>
      <c r="C389" s="838"/>
      <c r="E389" s="835"/>
    </row>
    <row r="390" spans="1:5" ht="21" customHeight="1">
      <c r="A390" s="839"/>
      <c r="B390" s="839"/>
      <c r="C390" s="838"/>
      <c r="E390" s="835"/>
    </row>
    <row r="391" spans="1:5" ht="21" customHeight="1">
      <c r="A391" s="839"/>
      <c r="B391" s="839"/>
      <c r="C391" s="838"/>
      <c r="E391" s="835"/>
    </row>
    <row r="392" spans="1:5" ht="21" customHeight="1">
      <c r="A392" s="839"/>
      <c r="B392" s="839"/>
      <c r="C392" s="838"/>
      <c r="E392" s="835"/>
    </row>
    <row r="393" spans="1:5" ht="21" customHeight="1">
      <c r="A393" s="839"/>
      <c r="B393" s="839"/>
      <c r="C393" s="838"/>
      <c r="E393" s="835"/>
    </row>
    <row r="394" spans="1:5" ht="21" customHeight="1">
      <c r="A394" s="839"/>
      <c r="B394" s="839"/>
      <c r="C394" s="838"/>
      <c r="E394" s="835"/>
    </row>
    <row r="395" spans="1:5" ht="21" customHeight="1">
      <c r="A395" s="839"/>
      <c r="B395" s="839"/>
      <c r="C395" s="838"/>
      <c r="E395" s="835"/>
    </row>
    <row r="396" spans="1:5" ht="21" customHeight="1">
      <c r="A396" s="839"/>
      <c r="B396" s="839"/>
      <c r="C396" s="838"/>
      <c r="E396" s="835"/>
    </row>
    <row r="397" spans="1:5" ht="21" customHeight="1">
      <c r="A397" s="839"/>
      <c r="B397" s="839"/>
      <c r="C397" s="838"/>
      <c r="E397" s="835"/>
    </row>
    <row r="398" spans="1:5" ht="21" customHeight="1">
      <c r="A398" s="839"/>
      <c r="B398" s="839"/>
      <c r="C398" s="838"/>
      <c r="E398" s="835"/>
    </row>
    <row r="399" spans="1:5" ht="21" customHeight="1">
      <c r="A399" s="839"/>
      <c r="B399" s="839"/>
      <c r="C399" s="838"/>
      <c r="E399" s="835"/>
    </row>
    <row r="400" spans="1:5" ht="21" customHeight="1">
      <c r="A400" s="839"/>
      <c r="B400" s="839"/>
      <c r="C400" s="838"/>
      <c r="E400" s="835"/>
    </row>
    <row r="401" spans="1:5" ht="21" customHeight="1">
      <c r="A401" s="839"/>
      <c r="B401" s="839"/>
      <c r="C401" s="838"/>
      <c r="E401" s="835"/>
    </row>
    <row r="402" spans="1:5" ht="21" customHeight="1">
      <c r="A402" s="839"/>
      <c r="B402" s="839"/>
      <c r="C402" s="838"/>
      <c r="E402" s="835"/>
    </row>
    <row r="403" spans="1:5" ht="21" customHeight="1">
      <c r="A403" s="839"/>
      <c r="B403" s="839"/>
      <c r="C403" s="838"/>
      <c r="E403" s="835"/>
    </row>
    <row r="404" spans="1:5" ht="21" customHeight="1">
      <c r="A404" s="839"/>
      <c r="B404" s="839"/>
      <c r="C404" s="838"/>
      <c r="E404" s="835"/>
    </row>
    <row r="405" spans="1:5" ht="21" customHeight="1">
      <c r="A405" s="839"/>
      <c r="B405" s="839"/>
      <c r="C405" s="838"/>
      <c r="E405" s="835"/>
    </row>
    <row r="406" spans="1:5" ht="21" customHeight="1">
      <c r="A406" s="839"/>
      <c r="B406" s="839"/>
      <c r="C406" s="838"/>
      <c r="E406" s="835"/>
    </row>
    <row r="407" spans="1:5" ht="21" customHeight="1">
      <c r="A407" s="839"/>
      <c r="B407" s="839"/>
      <c r="C407" s="838"/>
      <c r="E407" s="835"/>
    </row>
    <row r="408" spans="1:5" ht="21" customHeight="1">
      <c r="A408" s="839"/>
      <c r="B408" s="839"/>
      <c r="C408" s="838"/>
      <c r="E408" s="835"/>
    </row>
    <row r="409" spans="1:5" ht="21" customHeight="1">
      <c r="A409" s="839"/>
      <c r="B409" s="839"/>
      <c r="C409" s="838"/>
      <c r="E409" s="835"/>
    </row>
    <row r="410" spans="1:5" ht="21" customHeight="1">
      <c r="A410" s="839"/>
      <c r="B410" s="839"/>
      <c r="C410" s="838"/>
      <c r="E410" s="835"/>
    </row>
    <row r="411" spans="1:5" ht="21" customHeight="1">
      <c r="A411" s="839"/>
      <c r="B411" s="839"/>
      <c r="C411" s="838"/>
      <c r="E411" s="835"/>
    </row>
    <row r="412" spans="1:5" ht="21" customHeight="1">
      <c r="A412" s="839"/>
      <c r="B412" s="839"/>
      <c r="C412" s="838"/>
      <c r="E412" s="835"/>
    </row>
    <row r="413" spans="1:5" ht="21" customHeight="1">
      <c r="A413" s="839"/>
      <c r="B413" s="839"/>
      <c r="C413" s="838"/>
      <c r="E413" s="835"/>
    </row>
    <row r="414" spans="1:5" ht="21" customHeight="1">
      <c r="A414" s="839"/>
      <c r="B414" s="839"/>
      <c r="C414" s="838"/>
      <c r="E414" s="835"/>
    </row>
    <row r="415" spans="1:5" ht="21" customHeight="1">
      <c r="A415" s="839"/>
      <c r="B415" s="839"/>
      <c r="C415" s="838"/>
      <c r="E415" s="835"/>
    </row>
    <row r="416" spans="1:5" ht="21" customHeight="1">
      <c r="A416" s="839"/>
      <c r="B416" s="839"/>
      <c r="C416" s="838"/>
      <c r="E416" s="835"/>
    </row>
    <row r="417" spans="1:5" ht="21" customHeight="1">
      <c r="A417" s="839"/>
      <c r="B417" s="839"/>
      <c r="C417" s="838"/>
      <c r="E417" s="835"/>
    </row>
    <row r="418" spans="1:5" ht="21" customHeight="1">
      <c r="A418" s="839"/>
      <c r="B418" s="839"/>
      <c r="C418" s="838"/>
      <c r="E418" s="835"/>
    </row>
    <row r="419" spans="1:5" ht="21" customHeight="1">
      <c r="A419" s="839"/>
      <c r="B419" s="839"/>
      <c r="C419" s="838"/>
      <c r="E419" s="835"/>
    </row>
    <row r="420" spans="1:5" ht="21" customHeight="1">
      <c r="A420" s="839"/>
      <c r="B420" s="839"/>
      <c r="C420" s="838"/>
      <c r="E420" s="835"/>
    </row>
    <row r="421" spans="1:5" ht="21" customHeight="1">
      <c r="A421" s="839"/>
      <c r="B421" s="839"/>
      <c r="C421" s="838"/>
      <c r="E421" s="835"/>
    </row>
    <row r="422" spans="1:5" ht="21" customHeight="1">
      <c r="A422" s="839"/>
      <c r="B422" s="839"/>
      <c r="C422" s="838"/>
      <c r="E422" s="835"/>
    </row>
    <row r="423" spans="1:5" ht="21" customHeight="1">
      <c r="A423" s="839"/>
      <c r="B423" s="839"/>
      <c r="C423" s="838"/>
      <c r="E423" s="835"/>
    </row>
    <row r="424" spans="1:5" ht="21" customHeight="1">
      <c r="A424" s="839"/>
      <c r="B424" s="839"/>
      <c r="C424" s="838"/>
      <c r="E424" s="835"/>
    </row>
    <row r="425" spans="1:5" ht="21" customHeight="1">
      <c r="A425" s="839"/>
      <c r="B425" s="839"/>
      <c r="C425" s="838"/>
      <c r="E425" s="835"/>
    </row>
    <row r="426" spans="1:5" ht="21" customHeight="1">
      <c r="A426" s="839"/>
      <c r="B426" s="839"/>
      <c r="C426" s="838"/>
      <c r="E426" s="835"/>
    </row>
    <row r="427" spans="1:5" ht="21" customHeight="1">
      <c r="A427" s="839"/>
      <c r="B427" s="839"/>
      <c r="C427" s="838"/>
      <c r="E427" s="835"/>
    </row>
    <row r="428" spans="1:5" ht="21" customHeight="1">
      <c r="A428" s="839"/>
      <c r="B428" s="839"/>
      <c r="C428" s="838"/>
      <c r="E428" s="835"/>
    </row>
    <row r="429" spans="1:5" ht="21" customHeight="1">
      <c r="A429" s="839"/>
      <c r="B429" s="839"/>
      <c r="C429" s="838"/>
      <c r="E429" s="835"/>
    </row>
    <row r="430" spans="1:5" ht="21" customHeight="1">
      <c r="A430" s="839"/>
      <c r="B430" s="839"/>
      <c r="C430" s="838"/>
      <c r="E430" s="835"/>
    </row>
    <row r="431" spans="1:5" ht="21" customHeight="1">
      <c r="A431" s="839"/>
      <c r="B431" s="839"/>
      <c r="C431" s="838"/>
      <c r="E431" s="835"/>
    </row>
    <row r="432" spans="1:5" ht="21" customHeight="1">
      <c r="A432" s="839"/>
      <c r="B432" s="839"/>
      <c r="C432" s="838"/>
      <c r="E432" s="835"/>
    </row>
    <row r="433" spans="1:5" ht="21" customHeight="1">
      <c r="A433" s="839"/>
      <c r="B433" s="839"/>
      <c r="C433" s="838"/>
      <c r="E433" s="835"/>
    </row>
    <row r="434" spans="1:5" ht="21" customHeight="1">
      <c r="A434" s="839"/>
      <c r="B434" s="839"/>
      <c r="C434" s="838"/>
      <c r="E434" s="835"/>
    </row>
    <row r="435" spans="1:5" ht="21" customHeight="1">
      <c r="A435" s="839"/>
      <c r="B435" s="839"/>
      <c r="C435" s="838"/>
      <c r="E435" s="835"/>
    </row>
    <row r="436" spans="1:5" ht="21" customHeight="1">
      <c r="A436" s="839"/>
      <c r="B436" s="839"/>
      <c r="C436" s="838"/>
      <c r="E436" s="835"/>
    </row>
    <row r="437" spans="1:5" ht="21" customHeight="1">
      <c r="A437" s="839"/>
      <c r="B437" s="839"/>
      <c r="C437" s="838"/>
      <c r="E437" s="835"/>
    </row>
    <row r="438" spans="1:5" ht="21" customHeight="1">
      <c r="A438" s="839"/>
      <c r="B438" s="839"/>
      <c r="C438" s="838"/>
      <c r="E438" s="835"/>
    </row>
    <row r="439" spans="1:5" ht="21" customHeight="1">
      <c r="A439" s="839"/>
      <c r="B439" s="839"/>
      <c r="C439" s="838"/>
      <c r="E439" s="835"/>
    </row>
    <row r="440" spans="1:5" ht="21" customHeight="1">
      <c r="A440" s="839"/>
      <c r="B440" s="839"/>
      <c r="C440" s="838"/>
      <c r="E440" s="835"/>
    </row>
    <row r="441" spans="1:5" ht="21" customHeight="1">
      <c r="A441" s="839"/>
      <c r="B441" s="839"/>
      <c r="C441" s="838"/>
      <c r="E441" s="835"/>
    </row>
    <row r="442" spans="1:5" ht="21" customHeight="1">
      <c r="A442" s="839"/>
      <c r="B442" s="839"/>
      <c r="C442" s="838"/>
      <c r="E442" s="835"/>
    </row>
    <row r="443" spans="1:5" ht="21" customHeight="1">
      <c r="A443" s="839"/>
      <c r="B443" s="839"/>
      <c r="C443" s="838"/>
      <c r="E443" s="835"/>
    </row>
    <row r="444" spans="1:5" ht="21" customHeight="1">
      <c r="A444" s="839"/>
      <c r="B444" s="839"/>
      <c r="C444" s="838"/>
      <c r="E444" s="835"/>
    </row>
    <row r="445" spans="1:5" ht="21" customHeight="1">
      <c r="A445" s="839"/>
      <c r="B445" s="839"/>
      <c r="C445" s="838"/>
      <c r="E445" s="835"/>
    </row>
    <row r="446" spans="1:5" ht="21" customHeight="1">
      <c r="A446" s="839"/>
      <c r="B446" s="839"/>
      <c r="C446" s="838"/>
      <c r="E446" s="835"/>
    </row>
    <row r="447" spans="1:5" ht="21" customHeight="1">
      <c r="A447" s="839"/>
      <c r="B447" s="839"/>
      <c r="C447" s="838"/>
      <c r="E447" s="835"/>
    </row>
    <row r="448" spans="1:5" ht="21" customHeight="1">
      <c r="A448" s="839"/>
      <c r="B448" s="839"/>
      <c r="C448" s="838"/>
      <c r="E448" s="835"/>
    </row>
    <row r="449" spans="1:5" ht="21" customHeight="1">
      <c r="A449" s="839"/>
      <c r="B449" s="839"/>
      <c r="C449" s="838"/>
      <c r="E449" s="835"/>
    </row>
    <row r="450" spans="1:5" ht="21" customHeight="1">
      <c r="A450" s="839"/>
      <c r="B450" s="839"/>
      <c r="C450" s="838"/>
      <c r="E450" s="835"/>
    </row>
    <row r="451" spans="1:5" ht="21" customHeight="1">
      <c r="A451" s="839"/>
      <c r="B451" s="839"/>
      <c r="C451" s="838"/>
      <c r="E451" s="835"/>
    </row>
    <row r="452" spans="1:5" ht="21" customHeight="1">
      <c r="A452" s="839"/>
      <c r="B452" s="839"/>
      <c r="C452" s="838"/>
      <c r="E452" s="835"/>
    </row>
    <row r="453" spans="1:5" ht="21" customHeight="1">
      <c r="A453" s="839"/>
      <c r="B453" s="839"/>
      <c r="C453" s="838"/>
      <c r="E453" s="835"/>
    </row>
    <row r="454" spans="1:5" ht="21" customHeight="1">
      <c r="A454" s="839"/>
      <c r="B454" s="839"/>
      <c r="C454" s="838"/>
      <c r="E454" s="835"/>
    </row>
    <row r="455" spans="1:5" ht="21" customHeight="1">
      <c r="A455" s="839"/>
      <c r="B455" s="839"/>
      <c r="C455" s="838"/>
      <c r="E455" s="835"/>
    </row>
    <row r="456" spans="1:5" ht="21" customHeight="1">
      <c r="A456" s="839"/>
      <c r="B456" s="839"/>
      <c r="C456" s="838"/>
      <c r="E456" s="835"/>
    </row>
    <row r="457" spans="1:5" ht="21" customHeight="1">
      <c r="A457" s="839"/>
      <c r="B457" s="839"/>
      <c r="C457" s="838"/>
      <c r="E457" s="835"/>
    </row>
    <row r="458" spans="1:5" ht="21" customHeight="1">
      <c r="A458" s="839"/>
      <c r="B458" s="839"/>
      <c r="C458" s="838"/>
      <c r="E458" s="835"/>
    </row>
    <row r="459" spans="1:5" ht="21" customHeight="1">
      <c r="A459" s="839"/>
      <c r="B459" s="839"/>
      <c r="C459" s="838"/>
      <c r="E459" s="835"/>
    </row>
    <row r="460" spans="1:5" ht="21" customHeight="1">
      <c r="A460" s="839"/>
      <c r="B460" s="839"/>
      <c r="C460" s="838"/>
      <c r="E460" s="835"/>
    </row>
    <row r="461" spans="1:5" ht="21" customHeight="1">
      <c r="A461" s="839"/>
      <c r="B461" s="839"/>
      <c r="C461" s="838"/>
      <c r="E461" s="835"/>
    </row>
    <row r="462" spans="1:5" ht="21" customHeight="1">
      <c r="A462" s="839"/>
      <c r="B462" s="839"/>
      <c r="C462" s="838"/>
      <c r="E462" s="835"/>
    </row>
    <row r="463" spans="1:5" ht="21" customHeight="1">
      <c r="A463" s="839"/>
      <c r="B463" s="839"/>
      <c r="C463" s="838"/>
      <c r="E463" s="835"/>
    </row>
    <row r="464" spans="1:5" ht="21" customHeight="1">
      <c r="A464" s="839"/>
      <c r="B464" s="839"/>
      <c r="C464" s="838"/>
      <c r="E464" s="835"/>
    </row>
    <row r="465" spans="1:5" ht="21" customHeight="1">
      <c r="A465" s="839"/>
      <c r="B465" s="839"/>
      <c r="C465" s="838"/>
      <c r="E465" s="835"/>
    </row>
    <row r="466" spans="1:5" ht="21" customHeight="1">
      <c r="A466" s="839"/>
      <c r="B466" s="839"/>
      <c r="C466" s="838"/>
      <c r="E466" s="835"/>
    </row>
    <row r="467" spans="1:5" ht="21" customHeight="1">
      <c r="A467" s="839"/>
      <c r="B467" s="839"/>
      <c r="C467" s="838"/>
      <c r="E467" s="835"/>
    </row>
    <row r="468" spans="1:5" ht="21" customHeight="1">
      <c r="A468" s="839"/>
      <c r="B468" s="839"/>
      <c r="C468" s="838"/>
      <c r="E468" s="835"/>
    </row>
    <row r="469" spans="1:5" ht="21" customHeight="1">
      <c r="A469" s="839"/>
      <c r="B469" s="839"/>
      <c r="C469" s="838"/>
      <c r="E469" s="835"/>
    </row>
    <row r="470" spans="1:5" ht="21" customHeight="1">
      <c r="A470" s="839"/>
      <c r="B470" s="839"/>
      <c r="C470" s="838"/>
      <c r="E470" s="835"/>
    </row>
    <row r="471" spans="1:5" ht="21" customHeight="1">
      <c r="A471" s="839"/>
      <c r="B471" s="839"/>
      <c r="C471" s="838"/>
      <c r="E471" s="835"/>
    </row>
    <row r="472" spans="1:5" ht="21" customHeight="1">
      <c r="A472" s="839"/>
      <c r="B472" s="839"/>
      <c r="C472" s="838"/>
      <c r="E472" s="835"/>
    </row>
    <row r="473" spans="1:5" ht="21" customHeight="1">
      <c r="A473" s="839"/>
      <c r="B473" s="839"/>
      <c r="C473" s="838"/>
      <c r="E473" s="835"/>
    </row>
    <row r="474" spans="1:5" ht="21" customHeight="1">
      <c r="A474" s="839"/>
      <c r="B474" s="839"/>
      <c r="C474" s="838"/>
      <c r="E474" s="835"/>
    </row>
    <row r="475" spans="1:5" ht="21" customHeight="1">
      <c r="A475" s="839"/>
      <c r="B475" s="839"/>
      <c r="C475" s="838"/>
      <c r="E475" s="835"/>
    </row>
    <row r="476" spans="1:5" ht="21" customHeight="1">
      <c r="A476" s="839"/>
      <c r="B476" s="839"/>
      <c r="C476" s="838"/>
      <c r="E476" s="835"/>
    </row>
    <row r="477" spans="1:5" ht="21" customHeight="1">
      <c r="A477" s="839"/>
      <c r="B477" s="839"/>
      <c r="C477" s="838"/>
      <c r="E477" s="835"/>
    </row>
    <row r="478" spans="1:5" ht="21" customHeight="1">
      <c r="A478" s="839"/>
      <c r="B478" s="839"/>
      <c r="C478" s="838"/>
      <c r="E478" s="835"/>
    </row>
    <row r="479" spans="1:5" ht="21" customHeight="1">
      <c r="A479" s="839"/>
      <c r="B479" s="839"/>
      <c r="C479" s="838"/>
      <c r="E479" s="835"/>
    </row>
    <row r="480" spans="1:5" ht="21" customHeight="1">
      <c r="A480" s="839"/>
      <c r="B480" s="839"/>
      <c r="C480" s="838"/>
      <c r="E480" s="835"/>
    </row>
    <row r="481" spans="1:5" ht="21" customHeight="1">
      <c r="A481" s="839"/>
      <c r="B481" s="839"/>
      <c r="C481" s="838"/>
      <c r="E481" s="835"/>
    </row>
    <row r="482" spans="1:5" ht="21" customHeight="1">
      <c r="A482" s="839"/>
      <c r="B482" s="839"/>
      <c r="C482" s="838"/>
      <c r="E482" s="835"/>
    </row>
    <row r="483" spans="1:5" ht="21" customHeight="1">
      <c r="A483" s="839"/>
      <c r="B483" s="839"/>
      <c r="C483" s="838"/>
      <c r="E483" s="835"/>
    </row>
    <row r="484" spans="1:5" ht="21" customHeight="1">
      <c r="A484" s="839"/>
      <c r="B484" s="839"/>
      <c r="C484" s="838"/>
      <c r="E484" s="835"/>
    </row>
    <row r="485" spans="1:5" ht="21" customHeight="1">
      <c r="A485" s="839"/>
      <c r="B485" s="839"/>
      <c r="C485" s="838"/>
      <c r="E485" s="835"/>
    </row>
    <row r="486" spans="1:5" ht="21" customHeight="1">
      <c r="A486" s="839"/>
      <c r="B486" s="839"/>
      <c r="C486" s="838"/>
      <c r="E486" s="835"/>
    </row>
    <row r="487" spans="1:5" ht="21" customHeight="1">
      <c r="A487" s="839"/>
      <c r="B487" s="839"/>
      <c r="C487" s="838"/>
      <c r="E487" s="835"/>
    </row>
    <row r="488" spans="1:5" ht="21" customHeight="1">
      <c r="A488" s="839"/>
      <c r="B488" s="839"/>
      <c r="C488" s="838"/>
      <c r="E488" s="835"/>
    </row>
    <row r="489" spans="1:5" ht="21" customHeight="1">
      <c r="A489" s="839"/>
      <c r="B489" s="839"/>
      <c r="C489" s="838"/>
      <c r="E489" s="835"/>
    </row>
    <row r="490" spans="1:5" ht="21" customHeight="1">
      <c r="A490" s="839"/>
      <c r="B490" s="839"/>
      <c r="C490" s="838"/>
      <c r="E490" s="835"/>
    </row>
    <row r="491" spans="1:5" ht="21" customHeight="1">
      <c r="A491" s="839"/>
      <c r="B491" s="839"/>
      <c r="C491" s="838"/>
      <c r="E491" s="835"/>
    </row>
    <row r="492" spans="1:5" ht="21" customHeight="1">
      <c r="A492" s="839"/>
      <c r="B492" s="839"/>
      <c r="C492" s="838"/>
      <c r="E492" s="835"/>
    </row>
    <row r="493" spans="1:5" ht="21" customHeight="1">
      <c r="A493" s="839"/>
      <c r="B493" s="839"/>
      <c r="C493" s="838"/>
      <c r="E493" s="835"/>
    </row>
    <row r="494" spans="1:5" ht="21" customHeight="1">
      <c r="A494" s="839"/>
      <c r="B494" s="839"/>
      <c r="C494" s="838"/>
      <c r="E494" s="835"/>
    </row>
    <row r="495" spans="1:5" ht="21" customHeight="1">
      <c r="A495" s="839"/>
      <c r="B495" s="839"/>
      <c r="C495" s="838"/>
      <c r="E495" s="835"/>
    </row>
    <row r="496" spans="1:5" ht="21" customHeight="1">
      <c r="A496" s="839"/>
      <c r="B496" s="839"/>
      <c r="C496" s="838"/>
      <c r="E496" s="835"/>
    </row>
    <row r="497" spans="1:5" ht="21" customHeight="1">
      <c r="A497" s="839"/>
      <c r="B497" s="839"/>
      <c r="C497" s="838"/>
      <c r="E497" s="835"/>
    </row>
    <row r="498" spans="1:5" ht="21" customHeight="1">
      <c r="A498" s="839"/>
      <c r="B498" s="839"/>
      <c r="C498" s="838"/>
      <c r="E498" s="835"/>
    </row>
    <row r="499" spans="1:5" ht="21" customHeight="1">
      <c r="A499" s="839"/>
      <c r="B499" s="839"/>
      <c r="C499" s="838"/>
      <c r="E499" s="835"/>
    </row>
    <row r="500" spans="1:5" ht="21" customHeight="1">
      <c r="A500" s="839"/>
      <c r="B500" s="839"/>
      <c r="C500" s="838"/>
      <c r="E500" s="835"/>
    </row>
    <row r="501" spans="1:5" ht="21" customHeight="1">
      <c r="A501" s="839"/>
      <c r="B501" s="839"/>
      <c r="C501" s="838"/>
      <c r="E501" s="835"/>
    </row>
    <row r="502" spans="1:5" ht="21" customHeight="1">
      <c r="A502" s="839"/>
      <c r="B502" s="839"/>
      <c r="C502" s="838"/>
      <c r="E502" s="835"/>
    </row>
    <row r="503" spans="1:5" ht="21" customHeight="1">
      <c r="A503" s="839"/>
      <c r="B503" s="839"/>
      <c r="C503" s="838"/>
      <c r="E503" s="835"/>
    </row>
    <row r="504" spans="1:5" ht="21" customHeight="1">
      <c r="A504" s="839"/>
      <c r="B504" s="839"/>
      <c r="C504" s="838"/>
      <c r="E504" s="835"/>
    </row>
    <row r="505" spans="1:5" ht="21" customHeight="1">
      <c r="A505" s="839"/>
      <c r="B505" s="839"/>
      <c r="C505" s="838"/>
      <c r="E505" s="835"/>
    </row>
    <row r="506" spans="1:5" ht="21" customHeight="1">
      <c r="A506" s="839"/>
      <c r="B506" s="839"/>
      <c r="C506" s="838"/>
      <c r="E506" s="835"/>
    </row>
    <row r="507" spans="1:5" ht="21" customHeight="1">
      <c r="A507" s="839"/>
      <c r="B507" s="839"/>
      <c r="C507" s="838"/>
      <c r="E507" s="835"/>
    </row>
    <row r="508" spans="1:5" ht="21" customHeight="1">
      <c r="A508" s="839"/>
      <c r="B508" s="839"/>
      <c r="C508" s="838"/>
      <c r="E508" s="835"/>
    </row>
    <row r="509" spans="1:5" ht="21" customHeight="1">
      <c r="A509" s="839"/>
      <c r="B509" s="839"/>
      <c r="C509" s="838"/>
      <c r="E509" s="835"/>
    </row>
    <row r="510" spans="1:5" ht="21" customHeight="1">
      <c r="A510" s="839"/>
      <c r="B510" s="839"/>
      <c r="C510" s="838"/>
      <c r="E510" s="835"/>
    </row>
    <row r="511" spans="1:5" ht="21" customHeight="1">
      <c r="A511" s="839"/>
      <c r="B511" s="839"/>
      <c r="C511" s="838"/>
      <c r="E511" s="835"/>
    </row>
    <row r="512" spans="1:5" ht="21" customHeight="1">
      <c r="A512" s="839"/>
      <c r="B512" s="839"/>
      <c r="C512" s="838"/>
      <c r="E512" s="835"/>
    </row>
    <row r="513" spans="1:5" ht="21" customHeight="1">
      <c r="A513" s="839"/>
      <c r="B513" s="839"/>
      <c r="C513" s="838"/>
      <c r="E513" s="835"/>
    </row>
    <row r="514" spans="1:5" ht="21" customHeight="1">
      <c r="A514" s="839"/>
      <c r="B514" s="839"/>
      <c r="C514" s="838"/>
      <c r="E514" s="835"/>
    </row>
    <row r="515" spans="1:5" ht="21" customHeight="1">
      <c r="A515" s="839"/>
      <c r="B515" s="839"/>
      <c r="C515" s="838"/>
      <c r="E515" s="835"/>
    </row>
    <row r="516" spans="1:5" ht="21" customHeight="1">
      <c r="A516" s="839"/>
      <c r="B516" s="839"/>
      <c r="C516" s="838"/>
      <c r="E516" s="835"/>
    </row>
    <row r="517" spans="1:5" ht="21" customHeight="1">
      <c r="A517" s="839"/>
      <c r="B517" s="839"/>
      <c r="C517" s="838"/>
      <c r="E517" s="835"/>
    </row>
    <row r="518" spans="1:5" ht="21" customHeight="1">
      <c r="A518" s="839"/>
      <c r="B518" s="839"/>
      <c r="C518" s="838"/>
      <c r="E518" s="835"/>
    </row>
    <row r="519" spans="1:5" ht="21" customHeight="1">
      <c r="A519" s="839"/>
      <c r="B519" s="839"/>
      <c r="C519" s="838"/>
      <c r="E519" s="835"/>
    </row>
    <row r="520" spans="1:5" ht="21" customHeight="1">
      <c r="A520" s="839"/>
      <c r="B520" s="839"/>
      <c r="C520" s="838"/>
      <c r="E520" s="835"/>
    </row>
    <row r="521" spans="1:5" ht="21" customHeight="1">
      <c r="A521" s="839"/>
      <c r="B521" s="839"/>
      <c r="C521" s="838"/>
      <c r="E521" s="835"/>
    </row>
    <row r="522" spans="1:5" ht="21" customHeight="1">
      <c r="A522" s="839"/>
      <c r="B522" s="839"/>
      <c r="C522" s="838"/>
      <c r="E522" s="835"/>
    </row>
    <row r="523" spans="1:5" ht="21" customHeight="1">
      <c r="A523" s="839"/>
      <c r="B523" s="839"/>
      <c r="C523" s="838"/>
      <c r="E523" s="835"/>
    </row>
    <row r="524" spans="1:5" ht="21" customHeight="1">
      <c r="A524" s="839"/>
      <c r="B524" s="839"/>
      <c r="C524" s="838"/>
      <c r="E524" s="835"/>
    </row>
    <row r="525" spans="1:5" ht="21" customHeight="1">
      <c r="A525" s="839"/>
      <c r="B525" s="839"/>
      <c r="C525" s="838"/>
      <c r="E525" s="835"/>
    </row>
    <row r="526" spans="1:5" ht="21" customHeight="1">
      <c r="A526" s="839"/>
      <c r="B526" s="839"/>
      <c r="C526" s="838"/>
      <c r="E526" s="835"/>
    </row>
    <row r="527" spans="1:5" ht="21" customHeight="1">
      <c r="A527" s="839"/>
      <c r="B527" s="839"/>
      <c r="C527" s="838"/>
      <c r="E527" s="835"/>
    </row>
    <row r="528" spans="1:5" ht="21" customHeight="1">
      <c r="A528" s="839"/>
      <c r="B528" s="839"/>
      <c r="C528" s="838"/>
      <c r="E528" s="835"/>
    </row>
    <row r="529" spans="1:5" ht="21" customHeight="1">
      <c r="A529" s="839"/>
      <c r="B529" s="839"/>
      <c r="C529" s="838"/>
      <c r="E529" s="835"/>
    </row>
    <row r="530" spans="1:5" ht="21" customHeight="1">
      <c r="A530" s="839"/>
      <c r="B530" s="839"/>
      <c r="C530" s="838"/>
      <c r="E530" s="835"/>
    </row>
    <row r="531" spans="1:5" ht="21" customHeight="1">
      <c r="A531" s="839"/>
      <c r="B531" s="839"/>
      <c r="C531" s="838"/>
      <c r="E531" s="835"/>
    </row>
    <row r="532" spans="1:5" ht="21" customHeight="1">
      <c r="A532" s="839"/>
      <c r="B532" s="839"/>
      <c r="C532" s="838"/>
      <c r="E532" s="835"/>
    </row>
    <row r="533" spans="1:5" ht="21" customHeight="1">
      <c r="A533" s="839"/>
      <c r="B533" s="839"/>
      <c r="C533" s="838"/>
      <c r="E533" s="835"/>
    </row>
    <row r="534" spans="1:5" ht="21" customHeight="1">
      <c r="A534" s="839"/>
      <c r="B534" s="839"/>
      <c r="C534" s="838"/>
      <c r="E534" s="835"/>
    </row>
    <row r="535" spans="1:5" ht="21" customHeight="1">
      <c r="A535" s="839"/>
      <c r="B535" s="839"/>
      <c r="C535" s="838"/>
      <c r="E535" s="835"/>
    </row>
    <row r="536" spans="1:5" ht="21" customHeight="1">
      <c r="A536" s="839"/>
      <c r="B536" s="839"/>
      <c r="C536" s="838"/>
      <c r="E536" s="835"/>
    </row>
    <row r="537" spans="1:5" ht="21" customHeight="1">
      <c r="A537" s="839"/>
      <c r="B537" s="839"/>
      <c r="C537" s="838"/>
      <c r="E537" s="835"/>
    </row>
    <row r="538" spans="1:5" ht="21" customHeight="1">
      <c r="A538" s="839"/>
      <c r="B538" s="839"/>
      <c r="C538" s="838"/>
      <c r="E538" s="835"/>
    </row>
    <row r="539" spans="1:5" ht="21" customHeight="1">
      <c r="A539" s="839"/>
      <c r="B539" s="839"/>
      <c r="C539" s="838"/>
      <c r="E539" s="835"/>
    </row>
    <row r="540" spans="1:5" ht="21" customHeight="1">
      <c r="A540" s="839"/>
      <c r="B540" s="839"/>
      <c r="C540" s="838"/>
      <c r="E540" s="835"/>
    </row>
    <row r="541" spans="1:5" ht="21" customHeight="1">
      <c r="A541" s="839"/>
      <c r="B541" s="839"/>
      <c r="C541" s="838"/>
      <c r="E541" s="835"/>
    </row>
    <row r="542" spans="1:5" ht="21" customHeight="1">
      <c r="A542" s="839"/>
      <c r="B542" s="839"/>
      <c r="C542" s="838"/>
      <c r="E542" s="835"/>
    </row>
    <row r="543" spans="1:5" ht="21" customHeight="1">
      <c r="A543" s="839"/>
      <c r="B543" s="839"/>
      <c r="C543" s="838"/>
      <c r="E543" s="835"/>
    </row>
    <row r="544" spans="1:5" ht="21" customHeight="1">
      <c r="A544" s="839"/>
      <c r="B544" s="839"/>
      <c r="C544" s="838"/>
      <c r="E544" s="835"/>
    </row>
    <row r="545" spans="1:5" ht="21" customHeight="1">
      <c r="A545" s="839"/>
      <c r="B545" s="839"/>
      <c r="C545" s="838"/>
      <c r="E545" s="835"/>
    </row>
    <row r="546" spans="1:5" ht="21" customHeight="1">
      <c r="A546" s="839"/>
      <c r="B546" s="839"/>
      <c r="C546" s="838"/>
      <c r="E546" s="835"/>
    </row>
    <row r="547" spans="1:5" ht="21" customHeight="1">
      <c r="A547" s="839"/>
      <c r="B547" s="839"/>
      <c r="C547" s="838"/>
      <c r="E547" s="835"/>
    </row>
    <row r="548" spans="1:5" ht="21" customHeight="1">
      <c r="A548" s="839"/>
      <c r="B548" s="839"/>
      <c r="C548" s="838"/>
      <c r="E548" s="835"/>
    </row>
    <row r="549" spans="1:5" ht="21" customHeight="1">
      <c r="A549" s="839"/>
      <c r="B549" s="839"/>
      <c r="C549" s="838"/>
      <c r="E549" s="835"/>
    </row>
    <row r="550" spans="1:5" ht="21" customHeight="1">
      <c r="A550" s="839"/>
      <c r="B550" s="839"/>
      <c r="C550" s="838"/>
      <c r="E550" s="835"/>
    </row>
    <row r="551" spans="1:5" ht="21" customHeight="1">
      <c r="A551" s="839"/>
      <c r="B551" s="839"/>
      <c r="C551" s="838"/>
      <c r="E551" s="835"/>
    </row>
    <row r="552" spans="1:5" ht="21" customHeight="1">
      <c r="A552" s="839"/>
      <c r="B552" s="839"/>
      <c r="C552" s="838"/>
      <c r="E552" s="835"/>
    </row>
    <row r="553" spans="1:5" ht="21" customHeight="1">
      <c r="A553" s="839"/>
      <c r="B553" s="839"/>
      <c r="C553" s="838"/>
      <c r="E553" s="835"/>
    </row>
    <row r="554" spans="1:5" ht="21" customHeight="1">
      <c r="A554" s="839"/>
      <c r="B554" s="839"/>
      <c r="C554" s="838"/>
      <c r="E554" s="835"/>
    </row>
    <row r="555" spans="1:5" ht="21" customHeight="1">
      <c r="A555" s="839"/>
      <c r="B555" s="839"/>
      <c r="C555" s="838"/>
      <c r="E555" s="835"/>
    </row>
    <row r="556" spans="1:5" ht="21" customHeight="1">
      <c r="A556" s="839"/>
      <c r="B556" s="839"/>
      <c r="C556" s="838"/>
      <c r="E556" s="835"/>
    </row>
    <row r="557" spans="1:5" ht="21" customHeight="1">
      <c r="A557" s="839"/>
      <c r="B557" s="839"/>
      <c r="C557" s="838"/>
      <c r="E557" s="835"/>
    </row>
    <row r="558" spans="1:5" ht="21" customHeight="1">
      <c r="A558" s="839"/>
      <c r="B558" s="839"/>
      <c r="C558" s="838"/>
      <c r="E558" s="835"/>
    </row>
    <row r="559" spans="1:5" ht="21" customHeight="1">
      <c r="A559" s="839"/>
      <c r="B559" s="839"/>
      <c r="C559" s="838"/>
      <c r="E559" s="835"/>
    </row>
    <row r="560" spans="1:5" ht="21" customHeight="1">
      <c r="A560" s="839"/>
      <c r="B560" s="839"/>
      <c r="C560" s="838"/>
      <c r="E560" s="835"/>
    </row>
    <row r="561" spans="1:5" ht="21" customHeight="1">
      <c r="A561" s="839"/>
      <c r="B561" s="839"/>
      <c r="C561" s="838"/>
      <c r="E561" s="835"/>
    </row>
    <row r="562" spans="1:5" ht="21" customHeight="1">
      <c r="A562" s="839"/>
      <c r="B562" s="839"/>
      <c r="C562" s="838"/>
      <c r="E562" s="835"/>
    </row>
    <row r="563" spans="1:5" ht="21" customHeight="1">
      <c r="A563" s="839"/>
      <c r="B563" s="839"/>
      <c r="C563" s="838"/>
      <c r="E563" s="835"/>
    </row>
    <row r="564" spans="1:5" ht="21" customHeight="1">
      <c r="A564" s="839"/>
      <c r="B564" s="839"/>
      <c r="C564" s="838"/>
      <c r="E564" s="835"/>
    </row>
    <row r="565" spans="1:5" ht="21" customHeight="1">
      <c r="A565" s="839"/>
      <c r="B565" s="839"/>
      <c r="C565" s="838"/>
      <c r="E565" s="835"/>
    </row>
    <row r="566" spans="1:5" ht="21" customHeight="1">
      <c r="A566" s="839"/>
      <c r="B566" s="839"/>
      <c r="C566" s="838"/>
      <c r="E566" s="835"/>
    </row>
    <row r="567" spans="1:5" ht="21" customHeight="1">
      <c r="A567" s="839"/>
      <c r="B567" s="839"/>
      <c r="C567" s="838"/>
      <c r="E567" s="835"/>
    </row>
    <row r="568" spans="1:5" ht="21" customHeight="1">
      <c r="A568" s="839"/>
      <c r="B568" s="839"/>
      <c r="C568" s="838"/>
      <c r="E568" s="835"/>
    </row>
    <row r="569" spans="1:5" ht="21" customHeight="1">
      <c r="A569" s="839"/>
      <c r="B569" s="839"/>
      <c r="C569" s="838"/>
      <c r="E569" s="835"/>
    </row>
    <row r="570" spans="1:5" ht="21" customHeight="1">
      <c r="A570" s="839"/>
      <c r="B570" s="839"/>
      <c r="C570" s="838"/>
      <c r="E570" s="835"/>
    </row>
    <row r="571" spans="1:5" ht="21" customHeight="1">
      <c r="A571" s="839"/>
      <c r="B571" s="839"/>
      <c r="C571" s="838"/>
      <c r="E571" s="835"/>
    </row>
    <row r="572" spans="1:5" ht="21" customHeight="1">
      <c r="A572" s="839"/>
      <c r="B572" s="839"/>
      <c r="C572" s="838"/>
      <c r="E572" s="835"/>
    </row>
    <row r="573" spans="1:5" ht="21" customHeight="1">
      <c r="A573" s="839"/>
      <c r="B573" s="839"/>
      <c r="C573" s="838"/>
      <c r="E573" s="835"/>
    </row>
    <row r="574" spans="1:5" ht="21" customHeight="1">
      <c r="A574" s="839"/>
      <c r="B574" s="839"/>
      <c r="C574" s="838"/>
      <c r="E574" s="835"/>
    </row>
    <row r="575" spans="1:5" ht="21" customHeight="1">
      <c r="A575" s="839"/>
      <c r="B575" s="839"/>
      <c r="C575" s="838"/>
      <c r="E575" s="835"/>
    </row>
    <row r="576" spans="1:5" ht="21" customHeight="1">
      <c r="A576" s="839"/>
      <c r="B576" s="839"/>
      <c r="C576" s="838"/>
      <c r="E576" s="835"/>
    </row>
    <row r="577" spans="1:5" ht="21" customHeight="1">
      <c r="A577" s="839"/>
      <c r="B577" s="839"/>
      <c r="C577" s="838"/>
      <c r="E577" s="835"/>
    </row>
    <row r="578" spans="1:5" ht="21" customHeight="1">
      <c r="A578" s="839"/>
      <c r="B578" s="839"/>
      <c r="C578" s="838"/>
      <c r="E578" s="835"/>
    </row>
    <row r="579" spans="1:5" ht="21" customHeight="1">
      <c r="A579" s="839"/>
      <c r="B579" s="839"/>
      <c r="C579" s="838"/>
      <c r="E579" s="835"/>
    </row>
    <row r="580" spans="1:5" ht="21" customHeight="1">
      <c r="A580" s="839"/>
      <c r="B580" s="839"/>
      <c r="C580" s="838"/>
      <c r="E580" s="835"/>
    </row>
    <row r="581" spans="1:5" ht="21" customHeight="1">
      <c r="A581" s="839"/>
      <c r="B581" s="839"/>
      <c r="C581" s="838"/>
      <c r="E581" s="835"/>
    </row>
    <row r="582" spans="1:5" ht="21" customHeight="1">
      <c r="A582" s="839"/>
      <c r="B582" s="839"/>
      <c r="C582" s="838"/>
      <c r="E582" s="835"/>
    </row>
    <row r="583" spans="1:5" ht="21" customHeight="1">
      <c r="A583" s="839"/>
      <c r="B583" s="839"/>
      <c r="C583" s="838"/>
      <c r="E583" s="835"/>
    </row>
    <row r="584" spans="1:5" ht="21" customHeight="1">
      <c r="A584" s="839"/>
      <c r="B584" s="839"/>
      <c r="C584" s="838"/>
      <c r="E584" s="835"/>
    </row>
    <row r="585" spans="1:5" ht="21" customHeight="1">
      <c r="A585" s="839"/>
      <c r="B585" s="839"/>
      <c r="C585" s="838"/>
      <c r="E585" s="835"/>
    </row>
    <row r="586" spans="1:5" ht="21" customHeight="1">
      <c r="A586" s="839"/>
      <c r="B586" s="839"/>
      <c r="C586" s="838"/>
      <c r="E586" s="835"/>
    </row>
    <row r="587" spans="1:5" ht="21" customHeight="1">
      <c r="A587" s="839"/>
      <c r="B587" s="839"/>
      <c r="C587" s="838"/>
      <c r="E587" s="835"/>
    </row>
    <row r="588" spans="1:5" ht="21" customHeight="1">
      <c r="A588" s="839"/>
      <c r="B588" s="839"/>
      <c r="C588" s="838"/>
      <c r="E588" s="835"/>
    </row>
    <row r="589" spans="1:5" ht="21" customHeight="1">
      <c r="A589" s="839"/>
      <c r="B589" s="839"/>
      <c r="C589" s="838"/>
      <c r="E589" s="835"/>
    </row>
    <row r="590" spans="1:5" ht="21" customHeight="1">
      <c r="A590" s="839"/>
      <c r="B590" s="839"/>
      <c r="C590" s="838"/>
      <c r="E590" s="835"/>
    </row>
    <row r="591" spans="1:5" ht="21" customHeight="1">
      <c r="A591" s="839"/>
      <c r="B591" s="839"/>
      <c r="C591" s="838"/>
      <c r="E591" s="835"/>
    </row>
    <row r="592" spans="1:5" ht="21" customHeight="1">
      <c r="A592" s="839"/>
      <c r="B592" s="839"/>
      <c r="C592" s="838"/>
      <c r="E592" s="835"/>
    </row>
    <row r="593" spans="1:5" ht="21" customHeight="1">
      <c r="A593" s="839"/>
      <c r="B593" s="839"/>
      <c r="C593" s="838"/>
      <c r="E593" s="835"/>
    </row>
    <row r="594" spans="1:5" ht="21" customHeight="1">
      <c r="A594" s="839"/>
      <c r="B594" s="839"/>
      <c r="C594" s="838"/>
      <c r="E594" s="835"/>
    </row>
    <row r="595" spans="1:5" ht="21" customHeight="1">
      <c r="A595" s="839"/>
      <c r="B595" s="839"/>
      <c r="C595" s="838"/>
      <c r="E595" s="835"/>
    </row>
    <row r="596" spans="1:5" ht="21" customHeight="1">
      <c r="A596" s="839"/>
      <c r="B596" s="839"/>
      <c r="C596" s="838"/>
      <c r="E596" s="835"/>
    </row>
    <row r="597" spans="1:5" ht="21" customHeight="1">
      <c r="A597" s="839"/>
      <c r="B597" s="839"/>
      <c r="C597" s="838"/>
      <c r="E597" s="835"/>
    </row>
    <row r="598" spans="1:5" ht="21" customHeight="1">
      <c r="A598" s="839"/>
      <c r="B598" s="839"/>
      <c r="C598" s="838"/>
      <c r="E598" s="835"/>
    </row>
    <row r="599" spans="1:5" ht="21" customHeight="1">
      <c r="A599" s="839"/>
      <c r="B599" s="839"/>
      <c r="C599" s="838"/>
      <c r="E599" s="835"/>
    </row>
    <row r="600" spans="1:5" ht="21" customHeight="1">
      <c r="A600" s="839"/>
      <c r="B600" s="839"/>
      <c r="C600" s="838"/>
      <c r="E600" s="835"/>
    </row>
    <row r="601" spans="1:5" ht="21" customHeight="1">
      <c r="A601" s="839"/>
      <c r="B601" s="839"/>
      <c r="C601" s="838"/>
      <c r="E601" s="835"/>
    </row>
    <row r="602" spans="1:5" ht="21" customHeight="1">
      <c r="A602" s="839"/>
      <c r="B602" s="839"/>
      <c r="C602" s="838"/>
      <c r="E602" s="835"/>
    </row>
    <row r="603" spans="1:5" ht="21" customHeight="1">
      <c r="A603" s="839"/>
      <c r="B603" s="839"/>
      <c r="C603" s="838"/>
      <c r="E603" s="835"/>
    </row>
    <row r="604" spans="1:5" ht="21" customHeight="1">
      <c r="A604" s="839"/>
      <c r="B604" s="839"/>
      <c r="C604" s="838"/>
      <c r="E604" s="835"/>
    </row>
    <row r="605" spans="1:5" ht="21" customHeight="1">
      <c r="A605" s="839"/>
      <c r="B605" s="839"/>
      <c r="C605" s="838"/>
      <c r="E605" s="835"/>
    </row>
    <row r="606" spans="1:5" ht="21" customHeight="1">
      <c r="A606" s="839"/>
      <c r="B606" s="839"/>
      <c r="C606" s="838"/>
      <c r="E606" s="835"/>
    </row>
    <row r="607" spans="1:5" ht="21" customHeight="1">
      <c r="A607" s="839"/>
      <c r="B607" s="839"/>
      <c r="C607" s="838"/>
      <c r="E607" s="835"/>
    </row>
    <row r="608" spans="1:5" ht="21" customHeight="1">
      <c r="A608" s="839"/>
      <c r="B608" s="839"/>
      <c r="C608" s="838"/>
      <c r="E608" s="835"/>
    </row>
    <row r="609" spans="1:5" ht="21" customHeight="1">
      <c r="A609" s="839"/>
      <c r="B609" s="839"/>
      <c r="C609" s="838"/>
      <c r="E609" s="835"/>
    </row>
    <row r="610" spans="1:5" ht="21" customHeight="1">
      <c r="A610" s="839"/>
      <c r="B610" s="839"/>
      <c r="C610" s="838"/>
      <c r="E610" s="835"/>
    </row>
    <row r="611" spans="1:5" ht="21" customHeight="1">
      <c r="A611" s="839"/>
      <c r="B611" s="839"/>
      <c r="C611" s="838"/>
      <c r="E611" s="835"/>
    </row>
    <row r="612" spans="1:5" ht="21" customHeight="1">
      <c r="A612" s="839"/>
      <c r="B612" s="839"/>
      <c r="C612" s="838"/>
      <c r="E612" s="835"/>
    </row>
    <row r="613" spans="1:5" ht="21" customHeight="1">
      <c r="A613" s="839"/>
      <c r="B613" s="839"/>
      <c r="C613" s="838"/>
      <c r="E613" s="835"/>
    </row>
    <row r="614" spans="1:5" ht="21" customHeight="1">
      <c r="A614" s="839"/>
      <c r="B614" s="839"/>
      <c r="C614" s="838"/>
      <c r="E614" s="835"/>
    </row>
    <row r="615" spans="1:5" ht="21" customHeight="1">
      <c r="A615" s="839"/>
      <c r="B615" s="839"/>
      <c r="C615" s="838"/>
      <c r="E615" s="835"/>
    </row>
    <row r="616" spans="1:5" ht="21" customHeight="1">
      <c r="A616" s="839"/>
      <c r="B616" s="839"/>
      <c r="C616" s="838"/>
      <c r="E616" s="835"/>
    </row>
    <row r="617" spans="1:5" ht="21" customHeight="1">
      <c r="A617" s="839"/>
      <c r="B617" s="839"/>
      <c r="C617" s="838"/>
      <c r="E617" s="835"/>
    </row>
    <row r="618" spans="1:5" ht="21" customHeight="1">
      <c r="A618" s="839"/>
      <c r="B618" s="839"/>
      <c r="C618" s="838"/>
      <c r="E618" s="835"/>
    </row>
    <row r="619" spans="1:5" ht="21" customHeight="1">
      <c r="A619" s="839"/>
      <c r="B619" s="839"/>
      <c r="C619" s="838"/>
      <c r="E619" s="835"/>
    </row>
    <row r="620" spans="1:5" ht="21" customHeight="1">
      <c r="A620" s="839"/>
      <c r="B620" s="839"/>
      <c r="C620" s="838"/>
      <c r="E620" s="835"/>
    </row>
    <row r="621" spans="1:5" ht="21" customHeight="1">
      <c r="A621" s="839"/>
      <c r="B621" s="839"/>
      <c r="C621" s="838"/>
      <c r="E621" s="835"/>
    </row>
    <row r="622" spans="1:5" ht="21" customHeight="1">
      <c r="A622" s="839"/>
      <c r="B622" s="839"/>
      <c r="C622" s="838"/>
      <c r="E622" s="835"/>
    </row>
    <row r="623" spans="1:5" ht="21" customHeight="1">
      <c r="A623" s="839"/>
      <c r="B623" s="839"/>
      <c r="C623" s="838"/>
      <c r="E623" s="835"/>
    </row>
    <row r="624" spans="1:5" ht="21" customHeight="1">
      <c r="A624" s="839"/>
      <c r="B624" s="839"/>
      <c r="C624" s="838"/>
      <c r="E624" s="835"/>
    </row>
    <row r="625" spans="1:5" ht="21" customHeight="1">
      <c r="A625" s="839"/>
      <c r="B625" s="839"/>
      <c r="C625" s="838"/>
      <c r="E625" s="835"/>
    </row>
    <row r="626" spans="1:5" ht="21" customHeight="1">
      <c r="A626" s="839"/>
      <c r="B626" s="839"/>
      <c r="C626" s="838"/>
      <c r="E626" s="835"/>
    </row>
    <row r="627" spans="1:5" ht="21" customHeight="1">
      <c r="A627" s="839"/>
      <c r="B627" s="839"/>
      <c r="C627" s="838"/>
      <c r="E627" s="835"/>
    </row>
    <row r="628" spans="1:5" ht="21" customHeight="1">
      <c r="A628" s="839"/>
      <c r="B628" s="839"/>
      <c r="C628" s="838"/>
      <c r="E628" s="835"/>
    </row>
    <row r="629" spans="1:5" ht="21" customHeight="1">
      <c r="A629" s="839"/>
      <c r="B629" s="839"/>
      <c r="C629" s="838"/>
      <c r="E629" s="835"/>
    </row>
    <row r="630" spans="1:5" ht="21" customHeight="1">
      <c r="A630" s="839"/>
      <c r="B630" s="839"/>
      <c r="C630" s="838"/>
      <c r="E630" s="835"/>
    </row>
    <row r="631" spans="1:5" ht="21" customHeight="1">
      <c r="A631" s="839"/>
      <c r="B631" s="839"/>
      <c r="C631" s="838"/>
      <c r="E631" s="835"/>
    </row>
    <row r="632" spans="1:5" ht="21" customHeight="1">
      <c r="A632" s="839"/>
      <c r="B632" s="839"/>
      <c r="C632" s="838"/>
      <c r="E632" s="835"/>
    </row>
    <row r="633" spans="1:5" ht="21" customHeight="1">
      <c r="A633" s="839"/>
      <c r="B633" s="839"/>
      <c r="C633" s="838"/>
      <c r="E633" s="835"/>
    </row>
    <row r="634" spans="1:5" ht="21" customHeight="1">
      <c r="A634" s="839"/>
      <c r="B634" s="839"/>
      <c r="C634" s="838"/>
      <c r="E634" s="835"/>
    </row>
    <row r="635" spans="1:5" ht="21" customHeight="1">
      <c r="A635" s="839"/>
      <c r="B635" s="839"/>
      <c r="C635" s="838"/>
      <c r="E635" s="835"/>
    </row>
    <row r="636" spans="1:5" ht="21" customHeight="1">
      <c r="A636" s="839"/>
      <c r="B636" s="839"/>
      <c r="C636" s="838"/>
      <c r="E636" s="835"/>
    </row>
    <row r="637" spans="1:5" ht="21" customHeight="1">
      <c r="A637" s="839"/>
      <c r="B637" s="839"/>
      <c r="C637" s="838"/>
      <c r="E637" s="835"/>
    </row>
    <row r="638" spans="1:5" ht="21" customHeight="1">
      <c r="A638" s="839"/>
      <c r="B638" s="839"/>
      <c r="C638" s="838"/>
      <c r="E638" s="835"/>
    </row>
    <row r="639" spans="1:5" ht="21" customHeight="1">
      <c r="A639" s="839"/>
      <c r="B639" s="839"/>
      <c r="C639" s="838"/>
      <c r="E639" s="835"/>
    </row>
    <row r="640" spans="1:5" ht="21" customHeight="1">
      <c r="A640" s="839"/>
      <c r="B640" s="839"/>
      <c r="C640" s="838"/>
      <c r="E640" s="835"/>
    </row>
    <row r="641" spans="1:5" ht="21" customHeight="1">
      <c r="A641" s="839"/>
      <c r="B641" s="839"/>
      <c r="C641" s="838"/>
      <c r="E641" s="835"/>
    </row>
    <row r="642" spans="1:5" ht="21" customHeight="1">
      <c r="A642" s="839"/>
      <c r="B642" s="839"/>
      <c r="C642" s="838"/>
      <c r="E642" s="835"/>
    </row>
    <row r="643" spans="1:5" ht="21" customHeight="1">
      <c r="A643" s="839"/>
      <c r="B643" s="839"/>
      <c r="C643" s="838"/>
      <c r="E643" s="835"/>
    </row>
    <row r="644" spans="1:5" ht="21" customHeight="1">
      <c r="A644" s="839"/>
      <c r="B644" s="839"/>
      <c r="C644" s="838"/>
      <c r="E644" s="835"/>
    </row>
    <row r="645" spans="1:5" ht="21" customHeight="1">
      <c r="A645" s="839"/>
      <c r="B645" s="839"/>
      <c r="C645" s="838"/>
      <c r="E645" s="835"/>
    </row>
    <row r="646" spans="1:5" ht="21" customHeight="1">
      <c r="A646" s="839"/>
      <c r="B646" s="839"/>
      <c r="C646" s="838"/>
      <c r="E646" s="835"/>
    </row>
    <row r="647" spans="1:5" ht="21" customHeight="1">
      <c r="A647" s="839"/>
      <c r="B647" s="839"/>
      <c r="C647" s="838"/>
      <c r="E647" s="835"/>
    </row>
    <row r="648" spans="1:5" ht="21" customHeight="1">
      <c r="A648" s="839"/>
      <c r="B648" s="839"/>
      <c r="C648" s="838"/>
      <c r="E648" s="835"/>
    </row>
    <row r="649" spans="1:5" ht="21" customHeight="1">
      <c r="A649" s="839"/>
      <c r="B649" s="839"/>
      <c r="C649" s="838"/>
      <c r="E649" s="835"/>
    </row>
    <row r="650" spans="1:5" ht="21" customHeight="1">
      <c r="A650" s="839"/>
      <c r="B650" s="839"/>
      <c r="C650" s="838"/>
      <c r="E650" s="835"/>
    </row>
    <row r="651" spans="1:5" ht="21" customHeight="1">
      <c r="A651" s="839"/>
      <c r="B651" s="839"/>
      <c r="C651" s="838"/>
      <c r="E651" s="835"/>
    </row>
    <row r="652" spans="1:5" ht="21" customHeight="1">
      <c r="A652" s="839"/>
      <c r="B652" s="839"/>
      <c r="C652" s="838"/>
      <c r="E652" s="835"/>
    </row>
    <row r="653" spans="1:5" ht="21" customHeight="1">
      <c r="A653" s="839"/>
      <c r="B653" s="839"/>
      <c r="C653" s="838"/>
      <c r="E653" s="835"/>
    </row>
    <row r="654" spans="1:5" ht="21" customHeight="1">
      <c r="A654" s="839"/>
      <c r="B654" s="839"/>
      <c r="C654" s="838"/>
      <c r="E654" s="835"/>
    </row>
    <row r="655" spans="1:5" ht="21" customHeight="1">
      <c r="A655" s="839"/>
      <c r="B655" s="839"/>
      <c r="C655" s="838"/>
      <c r="E655" s="835"/>
    </row>
    <row r="656" spans="1:5" ht="21" customHeight="1">
      <c r="A656" s="839"/>
      <c r="B656" s="839"/>
      <c r="C656" s="838"/>
      <c r="E656" s="835"/>
    </row>
    <row r="657" spans="1:5" ht="21" customHeight="1">
      <c r="A657" s="839"/>
      <c r="B657" s="839"/>
      <c r="C657" s="838"/>
      <c r="E657" s="835"/>
    </row>
    <row r="658" spans="1:5" ht="21" customHeight="1">
      <c r="A658" s="839"/>
      <c r="B658" s="839"/>
      <c r="C658" s="838"/>
      <c r="E658" s="835"/>
    </row>
    <row r="659" spans="1:5" ht="21" customHeight="1">
      <c r="A659" s="839"/>
      <c r="B659" s="839"/>
      <c r="C659" s="838"/>
      <c r="E659" s="835"/>
    </row>
    <row r="660" spans="1:5" ht="21" customHeight="1">
      <c r="A660" s="839"/>
      <c r="B660" s="839"/>
      <c r="C660" s="838"/>
      <c r="E660" s="835"/>
    </row>
    <row r="661" spans="1:5" ht="21" customHeight="1">
      <c r="A661" s="839"/>
      <c r="B661" s="839"/>
      <c r="C661" s="838"/>
      <c r="E661" s="835"/>
    </row>
    <row r="662" spans="1:5" ht="21" customHeight="1">
      <c r="A662" s="839"/>
      <c r="B662" s="839"/>
      <c r="C662" s="838"/>
      <c r="E662" s="835"/>
    </row>
    <row r="663" spans="1:5" ht="21" customHeight="1">
      <c r="A663" s="839"/>
      <c r="B663" s="839"/>
      <c r="C663" s="838"/>
      <c r="E663" s="835"/>
    </row>
    <row r="664" spans="1:5" ht="21" customHeight="1">
      <c r="A664" s="839"/>
      <c r="B664" s="839"/>
      <c r="C664" s="838"/>
      <c r="E664" s="835"/>
    </row>
    <row r="665" spans="1:5" ht="21" customHeight="1">
      <c r="A665" s="839"/>
      <c r="B665" s="839"/>
      <c r="C665" s="838"/>
      <c r="E665" s="835"/>
    </row>
    <row r="666" spans="1:5" ht="21" customHeight="1">
      <c r="A666" s="839"/>
      <c r="B666" s="839"/>
      <c r="C666" s="838"/>
      <c r="E666" s="835"/>
    </row>
    <row r="667" spans="1:5" ht="21" customHeight="1">
      <c r="A667" s="839"/>
      <c r="B667" s="839"/>
      <c r="C667" s="838"/>
      <c r="E667" s="835"/>
    </row>
    <row r="668" spans="1:5" ht="21" customHeight="1">
      <c r="A668" s="839"/>
      <c r="B668" s="839"/>
      <c r="C668" s="838"/>
      <c r="E668" s="835"/>
    </row>
    <row r="669" spans="1:5" ht="21" customHeight="1">
      <c r="A669" s="839"/>
      <c r="B669" s="839"/>
      <c r="C669" s="838"/>
      <c r="E669" s="835"/>
    </row>
    <row r="670" spans="1:5" ht="21" customHeight="1">
      <c r="A670" s="839"/>
      <c r="B670" s="839"/>
      <c r="C670" s="838"/>
      <c r="E670" s="835"/>
    </row>
    <row r="671" spans="1:5" ht="21" customHeight="1">
      <c r="A671" s="839"/>
      <c r="B671" s="839"/>
      <c r="C671" s="838"/>
      <c r="E671" s="835"/>
    </row>
    <row r="672" spans="1:5" ht="21" customHeight="1">
      <c r="A672" s="839"/>
      <c r="B672" s="839"/>
      <c r="C672" s="838"/>
      <c r="E672" s="835"/>
    </row>
    <row r="673" spans="1:5" ht="21" customHeight="1">
      <c r="A673" s="839"/>
      <c r="B673" s="839"/>
      <c r="C673" s="838"/>
      <c r="E673" s="835"/>
    </row>
    <row r="674" spans="1:5" ht="21" customHeight="1">
      <c r="A674" s="839"/>
      <c r="B674" s="839"/>
      <c r="C674" s="838"/>
      <c r="E674" s="835"/>
    </row>
    <row r="675" spans="1:5" ht="21" customHeight="1">
      <c r="A675" s="839"/>
      <c r="B675" s="839"/>
      <c r="C675" s="838"/>
      <c r="E675" s="835"/>
    </row>
    <row r="676" spans="1:5" ht="21" customHeight="1">
      <c r="A676" s="839"/>
      <c r="B676" s="839"/>
      <c r="C676" s="838"/>
      <c r="E676" s="835"/>
    </row>
    <row r="677" spans="1:5" ht="21" customHeight="1">
      <c r="A677" s="839"/>
      <c r="B677" s="839"/>
      <c r="C677" s="838"/>
      <c r="E677" s="835"/>
    </row>
    <row r="678" spans="1:5" ht="21" customHeight="1">
      <c r="A678" s="839"/>
      <c r="B678" s="839"/>
      <c r="C678" s="838"/>
      <c r="E678" s="835"/>
    </row>
    <row r="679" spans="1:5" ht="21" customHeight="1">
      <c r="A679" s="839"/>
      <c r="B679" s="839"/>
      <c r="C679" s="838"/>
      <c r="E679" s="835"/>
    </row>
    <row r="680" spans="1:5" ht="21" customHeight="1">
      <c r="A680" s="839"/>
      <c r="B680" s="839"/>
      <c r="C680" s="838"/>
      <c r="E680" s="835"/>
    </row>
    <row r="681" spans="1:5" ht="21" customHeight="1">
      <c r="A681" s="839"/>
      <c r="B681" s="839"/>
      <c r="C681" s="838"/>
      <c r="E681" s="835"/>
    </row>
    <row r="682" spans="1:5" ht="21" customHeight="1">
      <c r="A682" s="839"/>
      <c r="B682" s="839"/>
      <c r="C682" s="838"/>
      <c r="E682" s="835"/>
    </row>
    <row r="683" spans="1:5" ht="21" customHeight="1">
      <c r="A683" s="839"/>
      <c r="B683" s="839"/>
      <c r="C683" s="838"/>
      <c r="E683" s="835"/>
    </row>
    <row r="684" spans="1:5" ht="21" customHeight="1">
      <c r="A684" s="839"/>
      <c r="B684" s="839"/>
      <c r="C684" s="838"/>
      <c r="E684" s="835"/>
    </row>
    <row r="685" spans="1:5" ht="21" customHeight="1">
      <c r="A685" s="839"/>
      <c r="B685" s="839"/>
      <c r="C685" s="838"/>
      <c r="E685" s="835"/>
    </row>
    <row r="686" spans="1:5" ht="21" customHeight="1">
      <c r="A686" s="839"/>
      <c r="B686" s="839"/>
      <c r="C686" s="838"/>
      <c r="E686" s="835"/>
    </row>
    <row r="687" spans="1:5" ht="21" customHeight="1">
      <c r="A687" s="839"/>
      <c r="B687" s="839"/>
      <c r="C687" s="838"/>
      <c r="E687" s="835"/>
    </row>
    <row r="688" spans="1:5" ht="21" customHeight="1">
      <c r="A688" s="839"/>
      <c r="B688" s="839"/>
      <c r="C688" s="838"/>
      <c r="E688" s="835"/>
    </row>
    <row r="689" spans="1:5" ht="21" customHeight="1">
      <c r="A689" s="839"/>
      <c r="B689" s="839"/>
      <c r="C689" s="838"/>
      <c r="E689" s="835"/>
    </row>
    <row r="690" spans="1:5" ht="21" customHeight="1">
      <c r="A690" s="839"/>
      <c r="B690" s="839"/>
      <c r="C690" s="838"/>
      <c r="E690" s="835"/>
    </row>
    <row r="691" spans="1:5" ht="21" customHeight="1">
      <c r="A691" s="839"/>
      <c r="B691" s="839"/>
      <c r="C691" s="838"/>
      <c r="E691" s="835"/>
    </row>
    <row r="692" spans="1:5" ht="21" customHeight="1">
      <c r="A692" s="839"/>
      <c r="B692" s="839"/>
      <c r="C692" s="838"/>
      <c r="E692" s="835"/>
    </row>
    <row r="693" spans="1:5" ht="21" customHeight="1">
      <c r="A693" s="839"/>
      <c r="B693" s="839"/>
      <c r="C693" s="838"/>
      <c r="E693" s="835"/>
    </row>
    <row r="694" spans="1:5" ht="21" customHeight="1">
      <c r="A694" s="839"/>
      <c r="B694" s="839"/>
      <c r="C694" s="838"/>
      <c r="E694" s="835"/>
    </row>
    <row r="695" spans="1:5" ht="21" customHeight="1">
      <c r="A695" s="839"/>
      <c r="B695" s="839"/>
      <c r="C695" s="838"/>
      <c r="E695" s="835"/>
    </row>
    <row r="696" spans="1:5" ht="21" customHeight="1">
      <c r="A696" s="839"/>
      <c r="B696" s="839"/>
      <c r="C696" s="838"/>
      <c r="E696" s="835"/>
    </row>
    <row r="697" spans="1:5" ht="21" customHeight="1">
      <c r="A697" s="839"/>
      <c r="B697" s="839"/>
      <c r="C697" s="838"/>
      <c r="E697" s="835"/>
    </row>
    <row r="698" spans="1:5" ht="21" customHeight="1">
      <c r="A698" s="839"/>
      <c r="B698" s="839"/>
      <c r="C698" s="838"/>
      <c r="E698" s="835"/>
    </row>
    <row r="699" spans="1:5" ht="21" customHeight="1">
      <c r="A699" s="839"/>
      <c r="B699" s="839"/>
      <c r="C699" s="838"/>
      <c r="E699" s="835"/>
    </row>
    <row r="700" spans="1:5" ht="21" customHeight="1">
      <c r="A700" s="839"/>
      <c r="B700" s="839"/>
      <c r="C700" s="838"/>
      <c r="E700" s="835"/>
    </row>
    <row r="701" spans="1:5" ht="21" customHeight="1">
      <c r="A701" s="839"/>
      <c r="B701" s="839"/>
      <c r="C701" s="838"/>
      <c r="E701" s="835"/>
    </row>
    <row r="702" spans="1:5" ht="21" customHeight="1">
      <c r="A702" s="839"/>
      <c r="B702" s="839"/>
      <c r="C702" s="838"/>
      <c r="E702" s="835"/>
    </row>
    <row r="703" spans="1:5" ht="21" customHeight="1">
      <c r="A703" s="839"/>
      <c r="B703" s="839"/>
      <c r="C703" s="838"/>
      <c r="E703" s="835"/>
    </row>
    <row r="704" spans="1:5" ht="21" customHeight="1">
      <c r="A704" s="839"/>
      <c r="B704" s="839"/>
      <c r="C704" s="838"/>
      <c r="E704" s="835"/>
    </row>
    <row r="705" spans="1:5" ht="21" customHeight="1">
      <c r="A705" s="839"/>
      <c r="B705" s="839"/>
      <c r="C705" s="838"/>
      <c r="E705" s="835"/>
    </row>
    <row r="706" spans="1:5" ht="21" customHeight="1">
      <c r="A706" s="839"/>
      <c r="B706" s="839"/>
      <c r="C706" s="838"/>
      <c r="E706" s="835"/>
    </row>
    <row r="707" spans="1:5" ht="21" customHeight="1">
      <c r="A707" s="839"/>
      <c r="B707" s="839"/>
      <c r="C707" s="838"/>
      <c r="E707" s="835"/>
    </row>
    <row r="708" spans="1:5" ht="21" customHeight="1">
      <c r="A708" s="839"/>
      <c r="B708" s="839"/>
      <c r="C708" s="838"/>
      <c r="E708" s="835"/>
    </row>
    <row r="709" spans="1:5" ht="21" customHeight="1">
      <c r="A709" s="839"/>
      <c r="B709" s="839"/>
      <c r="C709" s="838"/>
      <c r="E709" s="835"/>
    </row>
    <row r="710" spans="1:5" ht="21" customHeight="1">
      <c r="A710" s="839"/>
      <c r="B710" s="839"/>
      <c r="C710" s="838"/>
      <c r="E710" s="835"/>
    </row>
    <row r="711" spans="1:5" ht="21" customHeight="1">
      <c r="A711" s="839"/>
      <c r="B711" s="839"/>
      <c r="C711" s="838"/>
      <c r="E711" s="835"/>
    </row>
    <row r="712" spans="1:5" ht="21" customHeight="1">
      <c r="A712" s="839"/>
      <c r="B712" s="839"/>
      <c r="C712" s="838"/>
      <c r="E712" s="835"/>
    </row>
    <row r="713" spans="1:5" ht="21" customHeight="1">
      <c r="A713" s="839"/>
      <c r="B713" s="839"/>
      <c r="C713" s="838"/>
      <c r="E713" s="835"/>
    </row>
    <row r="714" spans="1:5" ht="21" customHeight="1">
      <c r="A714" s="839"/>
      <c r="B714" s="839"/>
      <c r="C714" s="838"/>
      <c r="E714" s="835"/>
    </row>
    <row r="715" spans="1:5" ht="21" customHeight="1">
      <c r="A715" s="839"/>
      <c r="B715" s="839"/>
      <c r="C715" s="838"/>
      <c r="E715" s="835"/>
    </row>
    <row r="716" spans="1:5" ht="21" customHeight="1">
      <c r="A716" s="839"/>
      <c r="B716" s="839"/>
      <c r="C716" s="838"/>
      <c r="E716" s="835"/>
    </row>
    <row r="717" spans="1:5" ht="21" customHeight="1">
      <c r="A717" s="839"/>
      <c r="B717" s="839"/>
      <c r="C717" s="838"/>
      <c r="E717" s="835"/>
    </row>
    <row r="718" spans="1:5" ht="21" customHeight="1">
      <c r="A718" s="839"/>
      <c r="B718" s="839"/>
      <c r="C718" s="838"/>
      <c r="E718" s="835"/>
    </row>
    <row r="719" spans="1:5" ht="21" customHeight="1">
      <c r="A719" s="839"/>
      <c r="B719" s="839"/>
      <c r="C719" s="838"/>
      <c r="E719" s="835"/>
    </row>
    <row r="720" spans="1:5" ht="21" customHeight="1">
      <c r="A720" s="839"/>
      <c r="B720" s="839"/>
      <c r="C720" s="838"/>
      <c r="E720" s="835"/>
    </row>
    <row r="721" spans="1:5" ht="21" customHeight="1">
      <c r="A721" s="839"/>
      <c r="B721" s="839"/>
      <c r="C721" s="838"/>
      <c r="E721" s="835"/>
    </row>
    <row r="722" spans="1:5" ht="21" customHeight="1">
      <c r="A722" s="839"/>
      <c r="B722" s="839"/>
      <c r="C722" s="838"/>
      <c r="E722" s="835"/>
    </row>
    <row r="723" spans="1:5" ht="21" customHeight="1">
      <c r="A723" s="839"/>
      <c r="B723" s="839"/>
      <c r="C723" s="838"/>
      <c r="E723" s="835"/>
    </row>
    <row r="724" spans="1:5" ht="21" customHeight="1">
      <c r="A724" s="839"/>
      <c r="B724" s="839"/>
      <c r="C724" s="838"/>
      <c r="E724" s="835"/>
    </row>
    <row r="725" spans="1:5" ht="21" customHeight="1">
      <c r="A725" s="839"/>
      <c r="B725" s="839"/>
      <c r="C725" s="838"/>
      <c r="E725" s="835"/>
    </row>
    <row r="726" spans="1:5" ht="21" customHeight="1">
      <c r="A726" s="839"/>
      <c r="B726" s="839"/>
      <c r="C726" s="838"/>
      <c r="E726" s="835"/>
    </row>
    <row r="727" spans="1:5" ht="21" customHeight="1">
      <c r="A727" s="839"/>
      <c r="B727" s="839"/>
      <c r="C727" s="838"/>
      <c r="E727" s="835"/>
    </row>
    <row r="728" spans="1:5" ht="21" customHeight="1">
      <c r="A728" s="839"/>
      <c r="B728" s="839"/>
      <c r="C728" s="838"/>
      <c r="E728" s="835"/>
    </row>
    <row r="729" spans="1:5" ht="21" customHeight="1">
      <c r="A729" s="839"/>
      <c r="B729" s="839"/>
      <c r="C729" s="838"/>
      <c r="E729" s="835"/>
    </row>
    <row r="730" spans="1:5" ht="21" customHeight="1">
      <c r="A730" s="839"/>
      <c r="B730" s="839"/>
      <c r="C730" s="838"/>
      <c r="E730" s="835"/>
    </row>
    <row r="731" spans="1:5" ht="21" customHeight="1">
      <c r="A731" s="839"/>
      <c r="B731" s="839"/>
      <c r="C731" s="838"/>
      <c r="E731" s="835"/>
    </row>
    <row r="732" spans="1:5" ht="21" customHeight="1">
      <c r="A732" s="839"/>
      <c r="B732" s="839"/>
      <c r="C732" s="838"/>
      <c r="E732" s="835"/>
    </row>
    <row r="733" spans="1:5" ht="21" customHeight="1">
      <c r="A733" s="839"/>
      <c r="B733" s="839"/>
      <c r="C733" s="838"/>
      <c r="E733" s="835"/>
    </row>
    <row r="734" spans="1:5" ht="21" customHeight="1">
      <c r="A734" s="839"/>
      <c r="B734" s="839"/>
      <c r="C734" s="838"/>
      <c r="E734" s="835"/>
    </row>
    <row r="735" spans="1:5" ht="21" customHeight="1">
      <c r="A735" s="839"/>
      <c r="B735" s="839"/>
      <c r="C735" s="838"/>
      <c r="E735" s="835"/>
    </row>
    <row r="736" spans="1:5" ht="21" customHeight="1">
      <c r="A736" s="839"/>
      <c r="B736" s="839"/>
      <c r="C736" s="838"/>
      <c r="E736" s="835"/>
    </row>
    <row r="737" spans="1:5" ht="21" customHeight="1">
      <c r="A737" s="839"/>
      <c r="B737" s="839"/>
      <c r="C737" s="838"/>
      <c r="E737" s="835"/>
    </row>
    <row r="738" spans="1:5" ht="21" customHeight="1">
      <c r="A738" s="839"/>
      <c r="B738" s="839"/>
      <c r="C738" s="838"/>
      <c r="E738" s="835"/>
    </row>
    <row r="739" spans="1:5" ht="21" customHeight="1">
      <c r="A739" s="839"/>
      <c r="B739" s="839"/>
      <c r="C739" s="838"/>
      <c r="E739" s="835"/>
    </row>
    <row r="740" spans="1:5" ht="21" customHeight="1">
      <c r="A740" s="839"/>
      <c r="B740" s="839"/>
      <c r="C740" s="838"/>
      <c r="E740" s="835"/>
    </row>
    <row r="741" spans="1:5" ht="21" customHeight="1">
      <c r="A741" s="839"/>
      <c r="B741" s="839"/>
      <c r="C741" s="838"/>
      <c r="E741" s="835"/>
    </row>
    <row r="742" spans="1:5" ht="21" customHeight="1">
      <c r="A742" s="839"/>
      <c r="B742" s="839"/>
      <c r="C742" s="838"/>
      <c r="E742" s="835"/>
    </row>
    <row r="743" spans="1:5" ht="21" customHeight="1">
      <c r="A743" s="839"/>
      <c r="B743" s="839"/>
      <c r="C743" s="838"/>
      <c r="E743" s="835"/>
    </row>
    <row r="744" spans="1:5" ht="21" customHeight="1">
      <c r="A744" s="839"/>
      <c r="B744" s="839"/>
      <c r="C744" s="838"/>
      <c r="E744" s="835"/>
    </row>
    <row r="745" spans="1:5" ht="21" customHeight="1">
      <c r="A745" s="839"/>
      <c r="B745" s="839"/>
      <c r="C745" s="838"/>
      <c r="E745" s="835"/>
    </row>
    <row r="746" spans="1:5" ht="21" customHeight="1">
      <c r="A746" s="839"/>
      <c r="B746" s="839"/>
      <c r="C746" s="838"/>
      <c r="E746" s="835"/>
    </row>
    <row r="747" spans="1:5" ht="21" customHeight="1">
      <c r="A747" s="839"/>
      <c r="B747" s="839"/>
      <c r="C747" s="838"/>
      <c r="E747" s="835"/>
    </row>
    <row r="748" spans="1:5" ht="21" customHeight="1">
      <c r="A748" s="839"/>
      <c r="B748" s="839"/>
      <c r="C748" s="838"/>
      <c r="E748" s="835"/>
    </row>
    <row r="749" spans="1:5" ht="21" customHeight="1">
      <c r="A749" s="839"/>
      <c r="B749" s="839"/>
      <c r="C749" s="838"/>
      <c r="E749" s="835"/>
    </row>
    <row r="750" spans="1:5" ht="21" customHeight="1">
      <c r="A750" s="839"/>
      <c r="B750" s="839"/>
      <c r="C750" s="838"/>
      <c r="E750" s="835"/>
    </row>
    <row r="751" spans="1:5" ht="21" customHeight="1">
      <c r="A751" s="839"/>
      <c r="B751" s="839"/>
      <c r="C751" s="838"/>
      <c r="E751" s="835"/>
    </row>
    <row r="752" spans="1:5" ht="21" customHeight="1">
      <c r="A752" s="839"/>
      <c r="B752" s="839"/>
      <c r="C752" s="838"/>
      <c r="E752" s="835"/>
    </row>
    <row r="753" spans="1:5" ht="21" customHeight="1">
      <c r="A753" s="839"/>
      <c r="B753" s="839"/>
      <c r="C753" s="838"/>
      <c r="E753" s="835"/>
    </row>
    <row r="754" spans="1:5" ht="21" customHeight="1">
      <c r="A754" s="839"/>
      <c r="B754" s="839"/>
      <c r="C754" s="838"/>
      <c r="E754" s="835"/>
    </row>
    <row r="755" spans="1:5" ht="21" customHeight="1">
      <c r="A755" s="839"/>
      <c r="B755" s="839"/>
      <c r="C755" s="838"/>
      <c r="E755" s="835"/>
    </row>
    <row r="756" spans="1:5" ht="21" customHeight="1">
      <c r="A756" s="839"/>
      <c r="B756" s="839"/>
      <c r="C756" s="838"/>
      <c r="E756" s="835"/>
    </row>
    <row r="757" spans="1:5" ht="21" customHeight="1">
      <c r="A757" s="839"/>
      <c r="B757" s="839"/>
      <c r="C757" s="838"/>
      <c r="E757" s="835"/>
    </row>
    <row r="758" spans="1:5" ht="21" customHeight="1">
      <c r="A758" s="839"/>
      <c r="B758" s="839"/>
      <c r="C758" s="838"/>
      <c r="E758" s="835"/>
    </row>
    <row r="759" spans="1:5" ht="21" customHeight="1">
      <c r="A759" s="839"/>
      <c r="B759" s="839"/>
      <c r="C759" s="838"/>
      <c r="E759" s="835"/>
    </row>
    <row r="760" spans="1:5" ht="21" customHeight="1">
      <c r="A760" s="839"/>
      <c r="B760" s="839"/>
      <c r="C760" s="838"/>
      <c r="E760" s="835"/>
    </row>
    <row r="761" spans="1:5" ht="21" customHeight="1">
      <c r="A761" s="839"/>
      <c r="B761" s="839"/>
      <c r="C761" s="838"/>
      <c r="E761" s="835"/>
    </row>
    <row r="762" spans="1:5" ht="21" customHeight="1">
      <c r="A762" s="839"/>
      <c r="B762" s="839"/>
      <c r="C762" s="838"/>
      <c r="E762" s="835"/>
    </row>
    <row r="763" spans="1:5" ht="21" customHeight="1">
      <c r="A763" s="839"/>
      <c r="B763" s="839"/>
      <c r="C763" s="838"/>
      <c r="E763" s="835"/>
    </row>
    <row r="764" spans="1:5" ht="21" customHeight="1">
      <c r="A764" s="839"/>
      <c r="B764" s="839"/>
      <c r="C764" s="838"/>
      <c r="E764" s="835"/>
    </row>
    <row r="765" spans="1:5" ht="21" customHeight="1">
      <c r="A765" s="839"/>
      <c r="B765" s="839"/>
      <c r="C765" s="838"/>
      <c r="E765" s="835"/>
    </row>
    <row r="766" spans="1:5" ht="21" customHeight="1">
      <c r="A766" s="839"/>
      <c r="B766" s="839"/>
      <c r="C766" s="838"/>
      <c r="E766" s="835"/>
    </row>
    <row r="767" spans="1:5" ht="21" customHeight="1">
      <c r="A767" s="839"/>
      <c r="B767" s="839"/>
      <c r="C767" s="838"/>
      <c r="E767" s="835"/>
    </row>
    <row r="768" spans="1:5" ht="21" customHeight="1">
      <c r="A768" s="839"/>
      <c r="B768" s="839"/>
      <c r="C768" s="838"/>
      <c r="E768" s="835"/>
    </row>
    <row r="769" spans="1:5" ht="21" customHeight="1">
      <c r="A769" s="839"/>
      <c r="B769" s="839"/>
      <c r="C769" s="838"/>
      <c r="E769" s="835"/>
    </row>
    <row r="770" spans="1:5" ht="21" customHeight="1">
      <c r="A770" s="839"/>
      <c r="B770" s="839"/>
      <c r="C770" s="838"/>
      <c r="E770" s="835"/>
    </row>
    <row r="771" spans="1:5" ht="21" customHeight="1">
      <c r="A771" s="839"/>
      <c r="B771" s="839"/>
      <c r="C771" s="838"/>
      <c r="E771" s="835"/>
    </row>
    <row r="772" spans="1:5" ht="21" customHeight="1">
      <c r="A772" s="839"/>
      <c r="B772" s="839"/>
      <c r="C772" s="838"/>
      <c r="E772" s="835"/>
    </row>
    <row r="773" spans="1:5" ht="21" customHeight="1">
      <c r="A773" s="839"/>
      <c r="B773" s="839"/>
      <c r="C773" s="838"/>
      <c r="E773" s="835"/>
    </row>
    <row r="774" spans="1:5" ht="21" customHeight="1">
      <c r="A774" s="839"/>
      <c r="B774" s="839"/>
      <c r="C774" s="838"/>
      <c r="E774" s="835"/>
    </row>
    <row r="775" spans="1:5" ht="21" customHeight="1">
      <c r="A775" s="839"/>
      <c r="B775" s="839"/>
      <c r="C775" s="838"/>
      <c r="E775" s="835"/>
    </row>
    <row r="776" spans="1:5" ht="21" customHeight="1">
      <c r="A776" s="839"/>
      <c r="B776" s="839"/>
      <c r="C776" s="838"/>
      <c r="E776" s="835"/>
    </row>
    <row r="777" spans="1:5" ht="21" customHeight="1">
      <c r="A777" s="839"/>
      <c r="B777" s="839"/>
      <c r="C777" s="838"/>
      <c r="E777" s="835"/>
    </row>
    <row r="778" spans="1:5" ht="21" customHeight="1">
      <c r="A778" s="839"/>
      <c r="B778" s="839"/>
      <c r="C778" s="838"/>
      <c r="E778" s="835"/>
    </row>
    <row r="779" spans="1:5" ht="21" customHeight="1">
      <c r="A779" s="839"/>
      <c r="B779" s="839"/>
      <c r="C779" s="838"/>
      <c r="E779" s="835"/>
    </row>
    <row r="780" spans="1:5" ht="21" customHeight="1">
      <c r="A780" s="839"/>
      <c r="B780" s="839"/>
      <c r="C780" s="838"/>
      <c r="E780" s="835"/>
    </row>
    <row r="781" spans="1:5" ht="21" customHeight="1">
      <c r="A781" s="839"/>
      <c r="B781" s="839"/>
      <c r="C781" s="838"/>
      <c r="E781" s="835"/>
    </row>
    <row r="782" spans="1:5" ht="21" customHeight="1">
      <c r="A782" s="839"/>
      <c r="B782" s="839"/>
      <c r="C782" s="838"/>
      <c r="E782" s="835"/>
    </row>
    <row r="783" spans="1:5" ht="21" customHeight="1">
      <c r="A783" s="839"/>
      <c r="B783" s="839"/>
      <c r="C783" s="838"/>
      <c r="E783" s="835"/>
    </row>
    <row r="784" spans="1:5" ht="21" customHeight="1">
      <c r="A784" s="839"/>
      <c r="B784" s="839"/>
      <c r="C784" s="838"/>
      <c r="E784" s="835"/>
    </row>
    <row r="785" spans="1:5" ht="21" customHeight="1">
      <c r="A785" s="839"/>
      <c r="B785" s="839"/>
      <c r="C785" s="838"/>
      <c r="E785" s="835"/>
    </row>
    <row r="786" spans="1:5" ht="21" customHeight="1">
      <c r="A786" s="839"/>
      <c r="B786" s="839"/>
      <c r="C786" s="838"/>
      <c r="E786" s="835"/>
    </row>
    <row r="787" spans="1:5" ht="21" customHeight="1">
      <c r="A787" s="839"/>
      <c r="B787" s="839"/>
      <c r="C787" s="838"/>
      <c r="E787" s="835"/>
    </row>
    <row r="788" spans="1:5" ht="21" customHeight="1">
      <c r="A788" s="839"/>
      <c r="B788" s="839"/>
      <c r="C788" s="838"/>
      <c r="E788" s="835"/>
    </row>
    <row r="789" spans="1:5" ht="21" customHeight="1">
      <c r="A789" s="839"/>
      <c r="B789" s="839"/>
      <c r="C789" s="838"/>
      <c r="E789" s="835"/>
    </row>
    <row r="790" spans="1:5" ht="21" customHeight="1">
      <c r="A790" s="839"/>
      <c r="B790" s="839"/>
      <c r="C790" s="838"/>
      <c r="E790" s="835"/>
    </row>
    <row r="791" spans="1:5" ht="21" customHeight="1">
      <c r="A791" s="839"/>
      <c r="B791" s="839"/>
      <c r="C791" s="838"/>
      <c r="E791" s="835"/>
    </row>
    <row r="792" spans="1:5" ht="21" customHeight="1">
      <c r="A792" s="839"/>
      <c r="B792" s="839"/>
      <c r="C792" s="838"/>
      <c r="E792" s="835"/>
    </row>
    <row r="793" spans="1:5" ht="21" customHeight="1">
      <c r="A793" s="839"/>
      <c r="B793" s="839"/>
      <c r="C793" s="838"/>
      <c r="E793" s="835"/>
    </row>
    <row r="794" spans="1:5" ht="21" customHeight="1">
      <c r="A794" s="839"/>
      <c r="B794" s="839"/>
      <c r="C794" s="838"/>
      <c r="E794" s="835"/>
    </row>
    <row r="795" spans="1:5" ht="21" customHeight="1">
      <c r="A795" s="839"/>
      <c r="B795" s="839"/>
      <c r="C795" s="838"/>
      <c r="E795" s="835"/>
    </row>
    <row r="796" spans="1:5" ht="21" customHeight="1">
      <c r="A796" s="839"/>
      <c r="B796" s="839"/>
      <c r="C796" s="838"/>
      <c r="E796" s="835"/>
    </row>
    <row r="797" spans="1:5" ht="21" customHeight="1">
      <c r="A797" s="839"/>
      <c r="B797" s="839"/>
      <c r="C797" s="838"/>
      <c r="E797" s="835"/>
    </row>
    <row r="798" spans="1:5" ht="21" customHeight="1">
      <c r="A798" s="839"/>
      <c r="B798" s="839"/>
      <c r="C798" s="838"/>
      <c r="E798" s="835"/>
    </row>
    <row r="799" spans="1:5" ht="21" customHeight="1">
      <c r="A799" s="839"/>
      <c r="B799" s="839"/>
      <c r="C799" s="838"/>
      <c r="E799" s="835"/>
    </row>
    <row r="800" spans="1:5" ht="21" customHeight="1">
      <c r="A800" s="839"/>
      <c r="B800" s="839"/>
      <c r="C800" s="838"/>
      <c r="E800" s="835"/>
    </row>
    <row r="801" spans="1:5" ht="21" customHeight="1">
      <c r="A801" s="839"/>
      <c r="B801" s="839"/>
      <c r="C801" s="838"/>
      <c r="E801" s="835"/>
    </row>
    <row r="802" spans="1:5" ht="21" customHeight="1">
      <c r="A802" s="839"/>
      <c r="B802" s="839"/>
      <c r="C802" s="838"/>
      <c r="E802" s="835"/>
    </row>
    <row r="803" spans="1:5" ht="21" customHeight="1">
      <c r="A803" s="839"/>
      <c r="B803" s="839"/>
      <c r="C803" s="838"/>
      <c r="E803" s="835"/>
    </row>
    <row r="804" spans="1:5" ht="21" customHeight="1">
      <c r="A804" s="839"/>
      <c r="B804" s="839"/>
      <c r="C804" s="838"/>
      <c r="E804" s="835"/>
    </row>
    <row r="805" spans="1:5" ht="21" customHeight="1">
      <c r="A805" s="839"/>
      <c r="B805" s="839"/>
      <c r="C805" s="838"/>
      <c r="E805" s="835"/>
    </row>
    <row r="806" spans="1:5" ht="21" customHeight="1">
      <c r="A806" s="839"/>
      <c r="B806" s="839"/>
      <c r="C806" s="838"/>
      <c r="E806" s="835"/>
    </row>
    <row r="807" spans="1:5" ht="21" customHeight="1">
      <c r="A807" s="839"/>
      <c r="B807" s="839"/>
      <c r="C807" s="838"/>
      <c r="E807" s="835"/>
    </row>
    <row r="808" spans="1:5" ht="21" customHeight="1">
      <c r="A808" s="839"/>
      <c r="B808" s="839"/>
      <c r="C808" s="838"/>
      <c r="E808" s="835"/>
    </row>
    <row r="809" spans="1:5" ht="21" customHeight="1">
      <c r="A809" s="839"/>
      <c r="B809" s="839"/>
      <c r="C809" s="838"/>
      <c r="E809" s="835"/>
    </row>
    <row r="810" spans="1:5" ht="21" customHeight="1">
      <c r="A810" s="839"/>
      <c r="B810" s="839"/>
      <c r="C810" s="838"/>
      <c r="E810" s="835"/>
    </row>
    <row r="811" spans="1:5" ht="21" customHeight="1">
      <c r="A811" s="839"/>
      <c r="B811" s="839"/>
      <c r="C811" s="838"/>
      <c r="E811" s="835"/>
    </row>
    <row r="812" spans="1:5" ht="21" customHeight="1">
      <c r="A812" s="839"/>
      <c r="B812" s="839"/>
      <c r="C812" s="838"/>
      <c r="E812" s="835"/>
    </row>
    <row r="813" spans="1:5" ht="21" customHeight="1">
      <c r="A813" s="839"/>
      <c r="B813" s="839"/>
      <c r="C813" s="838"/>
      <c r="E813" s="835"/>
    </row>
    <row r="814" spans="1:5" ht="21" customHeight="1">
      <c r="A814" s="839"/>
      <c r="B814" s="839"/>
      <c r="C814" s="838"/>
      <c r="E814" s="835"/>
    </row>
    <row r="815" spans="1:5" ht="21" customHeight="1">
      <c r="A815" s="839"/>
      <c r="B815" s="839"/>
      <c r="C815" s="838"/>
      <c r="E815" s="835"/>
    </row>
    <row r="816" spans="1:5" ht="21" customHeight="1">
      <c r="A816" s="839"/>
      <c r="B816" s="839"/>
      <c r="C816" s="838"/>
      <c r="E816" s="835"/>
    </row>
    <row r="817" spans="1:5" ht="21" customHeight="1">
      <c r="A817" s="839"/>
      <c r="B817" s="839"/>
      <c r="C817" s="838"/>
      <c r="E817" s="835"/>
    </row>
    <row r="818" spans="1:5" ht="21" customHeight="1">
      <c r="A818" s="839"/>
      <c r="B818" s="839"/>
      <c r="C818" s="838"/>
      <c r="E818" s="835"/>
    </row>
    <row r="819" spans="1:5" ht="21" customHeight="1">
      <c r="A819" s="839"/>
      <c r="B819" s="839"/>
      <c r="C819" s="838"/>
      <c r="E819" s="835"/>
    </row>
    <row r="820" spans="1:5" ht="21" customHeight="1">
      <c r="A820" s="839"/>
      <c r="B820" s="839"/>
      <c r="C820" s="838"/>
      <c r="E820" s="835"/>
    </row>
    <row r="821" spans="1:5" ht="21" customHeight="1">
      <c r="A821" s="839"/>
      <c r="B821" s="839"/>
      <c r="C821" s="838"/>
      <c r="E821" s="835"/>
    </row>
    <row r="822" spans="1:5" ht="21" customHeight="1">
      <c r="A822" s="839"/>
      <c r="B822" s="839"/>
      <c r="C822" s="838"/>
      <c r="E822" s="835"/>
    </row>
    <row r="823" spans="1:5" ht="21" customHeight="1">
      <c r="A823" s="839"/>
      <c r="B823" s="839"/>
      <c r="C823" s="838"/>
      <c r="E823" s="835"/>
    </row>
    <row r="824" spans="1:5" ht="21" customHeight="1">
      <c r="A824" s="839"/>
      <c r="B824" s="839"/>
      <c r="C824" s="838"/>
      <c r="E824" s="835"/>
    </row>
    <row r="825" spans="1:5" ht="21" customHeight="1">
      <c r="A825" s="839"/>
      <c r="B825" s="839"/>
      <c r="C825" s="838"/>
      <c r="E825" s="835"/>
    </row>
    <row r="826" spans="1:5" ht="21" customHeight="1">
      <c r="A826" s="839"/>
      <c r="B826" s="839"/>
      <c r="C826" s="838"/>
      <c r="E826" s="835"/>
    </row>
    <row r="827" spans="1:5" ht="21" customHeight="1">
      <c r="A827" s="839"/>
      <c r="B827" s="839"/>
      <c r="C827" s="838"/>
      <c r="E827" s="835"/>
    </row>
    <row r="828" spans="1:5" ht="21" customHeight="1">
      <c r="A828" s="839"/>
      <c r="B828" s="839"/>
      <c r="C828" s="838"/>
      <c r="E828" s="835"/>
    </row>
    <row r="829" spans="1:5" ht="21" customHeight="1">
      <c r="A829" s="839"/>
      <c r="B829" s="839"/>
      <c r="C829" s="838"/>
      <c r="E829" s="835"/>
    </row>
    <row r="830" spans="1:5" ht="21" customHeight="1">
      <c r="A830" s="839"/>
      <c r="B830" s="839"/>
      <c r="C830" s="838"/>
      <c r="E830" s="835"/>
    </row>
    <row r="831" spans="1:5" ht="21" customHeight="1">
      <c r="A831" s="839"/>
      <c r="B831" s="839"/>
      <c r="C831" s="838"/>
      <c r="E831" s="835"/>
    </row>
    <row r="832" spans="1:5" ht="21" customHeight="1">
      <c r="A832" s="839"/>
      <c r="B832" s="839"/>
      <c r="C832" s="838"/>
      <c r="E832" s="835"/>
    </row>
    <row r="833" spans="1:5" ht="21" customHeight="1">
      <c r="A833" s="839"/>
      <c r="B833" s="839"/>
      <c r="C833" s="838"/>
      <c r="E833" s="835"/>
    </row>
    <row r="834" spans="1:5" ht="21" customHeight="1">
      <c r="A834" s="839"/>
      <c r="B834" s="839"/>
      <c r="C834" s="838"/>
      <c r="E834" s="835"/>
    </row>
    <row r="835" spans="1:5" ht="21" customHeight="1">
      <c r="A835" s="839"/>
      <c r="B835" s="839"/>
      <c r="C835" s="838"/>
      <c r="E835" s="835"/>
    </row>
    <row r="836" spans="1:5" ht="21" customHeight="1">
      <c r="A836" s="839"/>
      <c r="B836" s="839"/>
      <c r="C836" s="838"/>
      <c r="E836" s="835"/>
    </row>
    <row r="837" spans="1:5" ht="21" customHeight="1">
      <c r="A837" s="839"/>
      <c r="B837" s="839"/>
      <c r="C837" s="838"/>
      <c r="E837" s="835"/>
    </row>
    <row r="838" spans="1:5" ht="21" customHeight="1">
      <c r="A838" s="839"/>
      <c r="B838" s="839"/>
      <c r="C838" s="838"/>
      <c r="E838" s="835"/>
    </row>
    <row r="839" spans="1:5" ht="21" customHeight="1">
      <c r="A839" s="839"/>
      <c r="B839" s="839"/>
      <c r="C839" s="838"/>
      <c r="E839" s="835"/>
    </row>
    <row r="840" spans="1:5" ht="21" customHeight="1">
      <c r="A840" s="839"/>
      <c r="B840" s="839"/>
      <c r="C840" s="838"/>
      <c r="E840" s="835"/>
    </row>
    <row r="841" spans="1:5" ht="21" customHeight="1">
      <c r="A841" s="839"/>
      <c r="B841" s="839"/>
      <c r="C841" s="838"/>
      <c r="E841" s="835"/>
    </row>
    <row r="842" spans="1:5" ht="21" customHeight="1">
      <c r="A842" s="839"/>
      <c r="B842" s="839"/>
      <c r="C842" s="838"/>
      <c r="E842" s="835"/>
    </row>
    <row r="843" spans="1:5" ht="21" customHeight="1">
      <c r="A843" s="839"/>
      <c r="B843" s="839"/>
      <c r="C843" s="838"/>
      <c r="E843" s="835"/>
    </row>
    <row r="844" spans="1:5" ht="21" customHeight="1">
      <c r="A844" s="839"/>
      <c r="B844" s="839"/>
      <c r="C844" s="838"/>
      <c r="E844" s="835"/>
    </row>
    <row r="845" spans="1:5" ht="21" customHeight="1">
      <c r="A845" s="839"/>
      <c r="B845" s="839"/>
      <c r="C845" s="838"/>
      <c r="E845" s="835"/>
    </row>
    <row r="846" spans="1:5" ht="21" customHeight="1">
      <c r="A846" s="839"/>
      <c r="B846" s="839"/>
      <c r="C846" s="838"/>
      <c r="E846" s="835"/>
    </row>
    <row r="847" spans="1:5" ht="21" customHeight="1">
      <c r="A847" s="839"/>
      <c r="B847" s="839"/>
      <c r="C847" s="838"/>
      <c r="E847" s="835"/>
    </row>
    <row r="848" spans="1:5" ht="21" customHeight="1">
      <c r="A848" s="839"/>
      <c r="B848" s="839"/>
      <c r="C848" s="838"/>
      <c r="E848" s="835"/>
    </row>
    <row r="849" spans="1:5" ht="21" customHeight="1">
      <c r="A849" s="839"/>
      <c r="B849" s="839"/>
      <c r="C849" s="838"/>
      <c r="E849" s="835"/>
    </row>
    <row r="850" spans="1:5" ht="21" customHeight="1">
      <c r="A850" s="839"/>
      <c r="B850" s="839"/>
      <c r="C850" s="838"/>
      <c r="E850" s="835"/>
    </row>
    <row r="851" spans="1:5" ht="21" customHeight="1">
      <c r="A851" s="839"/>
      <c r="B851" s="839"/>
      <c r="C851" s="838"/>
      <c r="E851" s="835"/>
    </row>
    <row r="852" spans="1:5" ht="21" customHeight="1">
      <c r="A852" s="839"/>
      <c r="B852" s="839"/>
      <c r="C852" s="838"/>
      <c r="E852" s="835"/>
    </row>
    <row r="853" spans="1:5" ht="21" customHeight="1">
      <c r="A853" s="839"/>
      <c r="B853" s="839"/>
      <c r="C853" s="838"/>
      <c r="E853" s="835"/>
    </row>
    <row r="854" spans="1:5" ht="21" customHeight="1">
      <c r="A854" s="839"/>
      <c r="B854" s="839"/>
      <c r="C854" s="838"/>
      <c r="E854" s="835"/>
    </row>
    <row r="855" spans="1:5" ht="21" customHeight="1">
      <c r="A855" s="839"/>
      <c r="B855" s="839"/>
      <c r="C855" s="838"/>
      <c r="E855" s="835"/>
    </row>
    <row r="856" spans="1:5" ht="21" customHeight="1">
      <c r="A856" s="839"/>
      <c r="B856" s="839"/>
      <c r="C856" s="838"/>
      <c r="E856" s="835"/>
    </row>
    <row r="857" spans="1:5" ht="21" customHeight="1">
      <c r="A857" s="839"/>
      <c r="B857" s="839"/>
      <c r="C857" s="838"/>
      <c r="E857" s="835"/>
    </row>
    <row r="858" spans="1:5" ht="21" customHeight="1">
      <c r="A858" s="839"/>
      <c r="B858" s="839"/>
      <c r="C858" s="838"/>
      <c r="E858" s="835"/>
    </row>
    <row r="859" spans="1:5" ht="21" customHeight="1">
      <c r="A859" s="839"/>
      <c r="B859" s="839"/>
      <c r="C859" s="838"/>
      <c r="E859" s="835"/>
    </row>
    <row r="860" spans="1:5" ht="21" customHeight="1">
      <c r="A860" s="839"/>
      <c r="B860" s="839"/>
      <c r="C860" s="838"/>
      <c r="E860" s="835"/>
    </row>
    <row r="861" spans="1:5" ht="21" customHeight="1">
      <c r="A861" s="839"/>
      <c r="B861" s="839"/>
      <c r="C861" s="838"/>
      <c r="E861" s="835"/>
    </row>
    <row r="862" spans="1:5" ht="21" customHeight="1">
      <c r="A862" s="839"/>
      <c r="B862" s="839"/>
      <c r="C862" s="838"/>
      <c r="E862" s="835"/>
    </row>
    <row r="863" spans="1:5" ht="21" customHeight="1">
      <c r="A863" s="839"/>
      <c r="B863" s="839"/>
      <c r="C863" s="838"/>
      <c r="E863" s="835"/>
    </row>
    <row r="864" spans="1:5" ht="21" customHeight="1">
      <c r="A864" s="839"/>
      <c r="B864" s="839"/>
      <c r="C864" s="838"/>
      <c r="E864" s="835"/>
    </row>
    <row r="865" spans="1:5" ht="21" customHeight="1">
      <c r="A865" s="839"/>
      <c r="B865" s="839"/>
      <c r="C865" s="838"/>
      <c r="E865" s="835"/>
    </row>
    <row r="866" spans="1:5" ht="21" customHeight="1">
      <c r="A866" s="839"/>
      <c r="B866" s="839"/>
      <c r="C866" s="838"/>
      <c r="E866" s="835"/>
    </row>
    <row r="867" spans="1:5" ht="21" customHeight="1">
      <c r="A867" s="839"/>
      <c r="B867" s="839"/>
      <c r="C867" s="838"/>
      <c r="E867" s="835"/>
    </row>
    <row r="868" spans="1:5" ht="21" customHeight="1">
      <c r="A868" s="839"/>
      <c r="B868" s="839"/>
      <c r="C868" s="838"/>
      <c r="E868" s="835"/>
    </row>
    <row r="869" spans="1:5" ht="21" customHeight="1">
      <c r="A869" s="839"/>
      <c r="B869" s="839"/>
      <c r="C869" s="838"/>
      <c r="E869" s="835"/>
    </row>
    <row r="870" spans="1:5" ht="21" customHeight="1">
      <c r="A870" s="839"/>
      <c r="B870" s="839"/>
      <c r="C870" s="838"/>
      <c r="E870" s="835"/>
    </row>
    <row r="871" spans="1:5" ht="21" customHeight="1">
      <c r="A871" s="839"/>
      <c r="B871" s="839"/>
      <c r="C871" s="838"/>
      <c r="E871" s="835"/>
    </row>
    <row r="872" spans="1:5" ht="21" customHeight="1">
      <c r="A872" s="839"/>
      <c r="B872" s="839"/>
      <c r="C872" s="838"/>
      <c r="E872" s="835"/>
    </row>
    <row r="873" spans="1:5" ht="21" customHeight="1">
      <c r="A873" s="839"/>
      <c r="B873" s="839"/>
      <c r="C873" s="838"/>
      <c r="E873" s="835"/>
    </row>
    <row r="874" spans="1:5" ht="21" customHeight="1">
      <c r="A874" s="839"/>
      <c r="B874" s="839"/>
      <c r="C874" s="838"/>
      <c r="E874" s="835"/>
    </row>
    <row r="875" spans="1:5" ht="21" customHeight="1">
      <c r="A875" s="839"/>
      <c r="B875" s="839"/>
      <c r="C875" s="838"/>
      <c r="E875" s="835"/>
    </row>
    <row r="876" spans="1:5" ht="21" customHeight="1">
      <c r="A876" s="839"/>
      <c r="B876" s="839"/>
      <c r="C876" s="838"/>
      <c r="E876" s="835"/>
    </row>
    <row r="877" spans="1:5" ht="21" customHeight="1">
      <c r="A877" s="839"/>
      <c r="B877" s="839"/>
      <c r="C877" s="838"/>
      <c r="E877" s="835"/>
    </row>
    <row r="878" spans="1:5" ht="21" customHeight="1">
      <c r="A878" s="839"/>
      <c r="B878" s="839"/>
      <c r="C878" s="838"/>
      <c r="E878" s="835"/>
    </row>
    <row r="879" spans="1:5" ht="21" customHeight="1">
      <c r="A879" s="839"/>
      <c r="B879" s="839"/>
      <c r="C879" s="838"/>
      <c r="E879" s="835"/>
    </row>
    <row r="880" spans="1:5" ht="21" customHeight="1">
      <c r="A880" s="839"/>
      <c r="B880" s="839"/>
      <c r="C880" s="838"/>
      <c r="E880" s="835"/>
    </row>
    <row r="881" spans="1:5" ht="21" customHeight="1">
      <c r="A881" s="839"/>
      <c r="B881" s="839"/>
      <c r="C881" s="838"/>
      <c r="E881" s="835"/>
    </row>
    <row r="882" spans="1:5" ht="21" customHeight="1">
      <c r="A882" s="839"/>
      <c r="B882" s="839"/>
      <c r="C882" s="838"/>
      <c r="E882" s="835"/>
    </row>
    <row r="883" spans="1:5" ht="21" customHeight="1">
      <c r="A883" s="839"/>
      <c r="B883" s="839"/>
      <c r="C883" s="838"/>
      <c r="E883" s="835"/>
    </row>
    <row r="884" spans="1:5" ht="21" customHeight="1">
      <c r="A884" s="839"/>
      <c r="B884" s="839"/>
      <c r="C884" s="838"/>
      <c r="E884" s="835"/>
    </row>
    <row r="885" spans="1:5" ht="21" customHeight="1">
      <c r="A885" s="839"/>
      <c r="B885" s="839"/>
      <c r="C885" s="838"/>
      <c r="E885" s="835"/>
    </row>
    <row r="886" spans="1:5" ht="21" customHeight="1">
      <c r="A886" s="839"/>
      <c r="B886" s="839"/>
      <c r="C886" s="838"/>
      <c r="E886" s="835"/>
    </row>
    <row r="887" spans="1:5" ht="21" customHeight="1">
      <c r="A887" s="839"/>
      <c r="B887" s="839"/>
      <c r="C887" s="838"/>
      <c r="E887" s="835"/>
    </row>
    <row r="888" spans="1:5" ht="21" customHeight="1">
      <c r="A888" s="839"/>
      <c r="B888" s="839"/>
      <c r="C888" s="838"/>
      <c r="E888" s="835"/>
    </row>
    <row r="889" spans="1:5" ht="21" customHeight="1">
      <c r="A889" s="839"/>
      <c r="B889" s="839"/>
      <c r="C889" s="838"/>
      <c r="E889" s="835"/>
    </row>
    <row r="890" spans="1:5" ht="21" customHeight="1">
      <c r="A890" s="839"/>
      <c r="B890" s="839"/>
      <c r="C890" s="838"/>
      <c r="E890" s="835"/>
    </row>
    <row r="891" spans="1:5" ht="21" customHeight="1">
      <c r="A891" s="839"/>
      <c r="B891" s="839"/>
      <c r="C891" s="838"/>
      <c r="E891" s="835"/>
    </row>
    <row r="892" spans="1:5" ht="21" customHeight="1">
      <c r="A892" s="839"/>
      <c r="B892" s="839"/>
      <c r="C892" s="838"/>
      <c r="E892" s="835"/>
    </row>
    <row r="893" spans="1:5" ht="21" customHeight="1">
      <c r="A893" s="839"/>
      <c r="B893" s="839"/>
      <c r="C893" s="838"/>
      <c r="E893" s="835"/>
    </row>
    <row r="894" spans="1:5" ht="21" customHeight="1">
      <c r="A894" s="839"/>
      <c r="B894" s="839"/>
      <c r="C894" s="838"/>
      <c r="E894" s="835"/>
    </row>
    <row r="895" spans="1:5" ht="21" customHeight="1">
      <c r="A895" s="839"/>
      <c r="B895" s="839"/>
      <c r="C895" s="838"/>
      <c r="E895" s="835"/>
    </row>
    <row r="896" spans="1:5" ht="21" customHeight="1">
      <c r="A896" s="839"/>
      <c r="B896" s="839"/>
      <c r="C896" s="838"/>
      <c r="E896" s="835"/>
    </row>
    <row r="897" spans="1:5" ht="21" customHeight="1">
      <c r="A897" s="839"/>
      <c r="B897" s="839"/>
      <c r="C897" s="838"/>
      <c r="E897" s="835"/>
    </row>
    <row r="898" spans="1:5" ht="21" customHeight="1">
      <c r="A898" s="839"/>
      <c r="B898" s="839"/>
      <c r="C898" s="838"/>
      <c r="E898" s="835"/>
    </row>
    <row r="899" spans="1:5" ht="21" customHeight="1">
      <c r="A899" s="839"/>
      <c r="B899" s="839"/>
      <c r="C899" s="838"/>
      <c r="E899" s="835"/>
    </row>
    <row r="900" spans="1:5" ht="21" customHeight="1">
      <c r="A900" s="839"/>
      <c r="B900" s="839"/>
      <c r="C900" s="838"/>
      <c r="E900" s="835"/>
    </row>
    <row r="901" spans="1:5" ht="21" customHeight="1">
      <c r="A901" s="839"/>
      <c r="B901" s="839"/>
      <c r="C901" s="838"/>
      <c r="E901" s="835"/>
    </row>
    <row r="902" spans="1:5" ht="21" customHeight="1">
      <c r="A902" s="839"/>
      <c r="B902" s="839"/>
      <c r="C902" s="838"/>
      <c r="E902" s="835"/>
    </row>
    <row r="903" spans="1:5" ht="21" customHeight="1">
      <c r="A903" s="839"/>
      <c r="B903" s="839"/>
      <c r="C903" s="838"/>
      <c r="E903" s="835"/>
    </row>
    <row r="904" spans="1:5" ht="21" customHeight="1">
      <c r="A904" s="839"/>
      <c r="B904" s="839"/>
      <c r="C904" s="838"/>
      <c r="E904" s="835"/>
    </row>
    <row r="905" spans="1:5" ht="21" customHeight="1">
      <c r="A905" s="839"/>
      <c r="B905" s="839"/>
      <c r="C905" s="838"/>
      <c r="E905" s="835"/>
    </row>
    <row r="906" spans="1:5" ht="21" customHeight="1">
      <c r="A906" s="839"/>
      <c r="B906" s="839"/>
      <c r="C906" s="838"/>
      <c r="E906" s="835"/>
    </row>
    <row r="907" spans="1:5" ht="21" customHeight="1">
      <c r="A907" s="839"/>
      <c r="B907" s="839"/>
      <c r="C907" s="838"/>
      <c r="E907" s="835"/>
    </row>
    <row r="908" spans="1:5" ht="21" customHeight="1">
      <c r="A908" s="839"/>
      <c r="B908" s="839"/>
      <c r="C908" s="838"/>
      <c r="E908" s="835"/>
    </row>
    <row r="909" spans="1:5" ht="21" customHeight="1">
      <c r="A909" s="839"/>
      <c r="B909" s="839"/>
      <c r="C909" s="838"/>
      <c r="E909" s="835"/>
    </row>
    <row r="910" spans="1:5" ht="21" customHeight="1">
      <c r="A910" s="839"/>
      <c r="B910" s="839"/>
      <c r="C910" s="838"/>
      <c r="E910" s="835"/>
    </row>
    <row r="911" spans="1:5" ht="21" customHeight="1">
      <c r="A911" s="839"/>
      <c r="B911" s="839"/>
      <c r="C911" s="838"/>
      <c r="E911" s="835"/>
    </row>
    <row r="912" spans="1:5" ht="21" customHeight="1">
      <c r="A912" s="839"/>
      <c r="B912" s="839"/>
      <c r="C912" s="838"/>
      <c r="E912" s="835"/>
    </row>
    <row r="913" spans="1:5" ht="21" customHeight="1">
      <c r="A913" s="839"/>
      <c r="B913" s="839"/>
      <c r="C913" s="838"/>
      <c r="E913" s="835"/>
    </row>
    <row r="914" spans="1:5" ht="21" customHeight="1">
      <c r="A914" s="839"/>
      <c r="B914" s="839"/>
      <c r="C914" s="838"/>
      <c r="E914" s="835"/>
    </row>
    <row r="915" spans="1:5" ht="21" customHeight="1">
      <c r="A915" s="839"/>
      <c r="B915" s="839"/>
      <c r="C915" s="838"/>
      <c r="E915" s="835"/>
    </row>
    <row r="916" spans="1:5" ht="21" customHeight="1">
      <c r="A916" s="839"/>
      <c r="B916" s="839"/>
      <c r="C916" s="838"/>
      <c r="E916" s="835"/>
    </row>
    <row r="917" spans="1:5" ht="21" customHeight="1">
      <c r="A917" s="839"/>
      <c r="B917" s="839"/>
      <c r="C917" s="838"/>
      <c r="E917" s="835"/>
    </row>
    <row r="918" spans="1:5" ht="21" customHeight="1">
      <c r="A918" s="839"/>
      <c r="B918" s="839"/>
      <c r="C918" s="838"/>
      <c r="E918" s="835"/>
    </row>
    <row r="919" spans="1:5" ht="21" customHeight="1">
      <c r="A919" s="839"/>
      <c r="B919" s="839"/>
      <c r="C919" s="838"/>
      <c r="E919" s="835"/>
    </row>
    <row r="920" spans="1:5" ht="21" customHeight="1">
      <c r="A920" s="839"/>
      <c r="B920" s="839"/>
      <c r="C920" s="838"/>
      <c r="E920" s="835"/>
    </row>
    <row r="921" spans="1:5" ht="21" customHeight="1">
      <c r="A921" s="839"/>
      <c r="B921" s="839"/>
      <c r="C921" s="838"/>
      <c r="E921" s="835"/>
    </row>
    <row r="922" spans="1:5" ht="21" customHeight="1">
      <c r="A922" s="839"/>
      <c r="B922" s="839"/>
      <c r="C922" s="838"/>
      <c r="E922" s="835"/>
    </row>
    <row r="923" spans="1:5" ht="21" customHeight="1">
      <c r="A923" s="839"/>
      <c r="B923" s="839"/>
      <c r="C923" s="838"/>
      <c r="E923" s="835"/>
    </row>
    <row r="924" spans="1:5" ht="21" customHeight="1">
      <c r="A924" s="839"/>
      <c r="B924" s="839"/>
      <c r="C924" s="838"/>
      <c r="E924" s="835"/>
    </row>
    <row r="925" spans="1:5" ht="21" customHeight="1">
      <c r="A925" s="839"/>
      <c r="B925" s="839"/>
      <c r="C925" s="838"/>
      <c r="E925" s="835"/>
    </row>
    <row r="926" spans="1:5" ht="21" customHeight="1">
      <c r="A926" s="839"/>
      <c r="B926" s="839"/>
      <c r="C926" s="838"/>
      <c r="E926" s="835"/>
    </row>
    <row r="927" spans="1:5" ht="21" customHeight="1">
      <c r="A927" s="839"/>
      <c r="B927" s="839"/>
      <c r="C927" s="838"/>
      <c r="E927" s="835"/>
    </row>
    <row r="928" spans="1:5" ht="21" customHeight="1">
      <c r="A928" s="839"/>
      <c r="B928" s="839"/>
      <c r="C928" s="838"/>
      <c r="E928" s="835"/>
    </row>
    <row r="929" spans="1:5" ht="21" customHeight="1">
      <c r="A929" s="839"/>
      <c r="B929" s="839"/>
      <c r="C929" s="838"/>
      <c r="E929" s="835"/>
    </row>
    <row r="930" spans="1:5" ht="21" customHeight="1">
      <c r="A930" s="839"/>
      <c r="B930" s="839"/>
      <c r="C930" s="838"/>
      <c r="E930" s="835"/>
    </row>
    <row r="931" spans="1:5" ht="21" customHeight="1">
      <c r="A931" s="839"/>
      <c r="B931" s="839"/>
      <c r="C931" s="838"/>
      <c r="E931" s="835"/>
    </row>
    <row r="932" spans="1:5" ht="21" customHeight="1">
      <c r="A932" s="839"/>
      <c r="B932" s="839"/>
      <c r="C932" s="838"/>
      <c r="E932" s="835"/>
    </row>
    <row r="933" spans="1:5" ht="21" customHeight="1">
      <c r="A933" s="839"/>
      <c r="B933" s="839"/>
      <c r="C933" s="838"/>
      <c r="E933" s="835"/>
    </row>
    <row r="934" spans="1:5" ht="21" customHeight="1">
      <c r="A934" s="839"/>
      <c r="B934" s="839"/>
      <c r="C934" s="838"/>
      <c r="E934" s="835"/>
    </row>
    <row r="935" spans="1:5" ht="21" customHeight="1">
      <c r="A935" s="839"/>
      <c r="B935" s="839"/>
      <c r="C935" s="838"/>
      <c r="E935" s="835"/>
    </row>
    <row r="936" spans="1:5" ht="21" customHeight="1">
      <c r="A936" s="839"/>
      <c r="B936" s="839"/>
      <c r="C936" s="838"/>
      <c r="E936" s="835"/>
    </row>
    <row r="937" spans="1:5" ht="21" customHeight="1">
      <c r="A937" s="839"/>
      <c r="B937" s="839"/>
      <c r="C937" s="838"/>
      <c r="E937" s="835"/>
    </row>
    <row r="938" spans="1:5" ht="21" customHeight="1">
      <c r="A938" s="839"/>
      <c r="B938" s="839"/>
      <c r="C938" s="838"/>
      <c r="E938" s="835"/>
    </row>
    <row r="939" spans="1:5" ht="21" customHeight="1">
      <c r="A939" s="839"/>
      <c r="B939" s="839"/>
      <c r="C939" s="838"/>
      <c r="E939" s="835"/>
    </row>
    <row r="940" spans="1:5" ht="21" customHeight="1">
      <c r="A940" s="839"/>
      <c r="B940" s="839"/>
      <c r="C940" s="838"/>
      <c r="E940" s="835"/>
    </row>
    <row r="941" spans="1:5" ht="21" customHeight="1">
      <c r="A941" s="839"/>
      <c r="B941" s="839"/>
      <c r="C941" s="838"/>
      <c r="E941" s="835"/>
    </row>
    <row r="942" spans="1:5" ht="21" customHeight="1">
      <c r="A942" s="839"/>
      <c r="B942" s="839"/>
      <c r="C942" s="838"/>
      <c r="E942" s="835"/>
    </row>
    <row r="943" spans="1:5" ht="21" customHeight="1">
      <c r="A943" s="839"/>
      <c r="B943" s="839"/>
      <c r="C943" s="838"/>
      <c r="E943" s="835"/>
    </row>
    <row r="944" spans="1:5" ht="21" customHeight="1">
      <c r="A944" s="839"/>
      <c r="B944" s="839"/>
      <c r="C944" s="838"/>
      <c r="E944" s="835"/>
    </row>
    <row r="945" spans="1:5" ht="21" customHeight="1">
      <c r="A945" s="839"/>
      <c r="B945" s="839"/>
      <c r="C945" s="838"/>
      <c r="E945" s="835"/>
    </row>
    <row r="946" spans="1:5" ht="21" customHeight="1">
      <c r="A946" s="839"/>
      <c r="B946" s="839"/>
      <c r="C946" s="838"/>
      <c r="E946" s="835"/>
    </row>
    <row r="947" spans="1:5" ht="21" customHeight="1">
      <c r="A947" s="839"/>
      <c r="B947" s="839"/>
      <c r="C947" s="838"/>
      <c r="E947" s="835"/>
    </row>
    <row r="948" spans="1:5" ht="21" customHeight="1">
      <c r="A948" s="839"/>
      <c r="B948" s="839"/>
      <c r="C948" s="838"/>
      <c r="E948" s="835"/>
    </row>
    <row r="949" spans="1:5" ht="21" customHeight="1">
      <c r="A949" s="839"/>
      <c r="B949" s="839"/>
      <c r="C949" s="838"/>
      <c r="E949" s="835"/>
    </row>
    <row r="950" spans="1:5" ht="21" customHeight="1">
      <c r="A950" s="839"/>
      <c r="B950" s="839"/>
      <c r="C950" s="838"/>
      <c r="E950" s="835"/>
    </row>
    <row r="951" spans="1:5" ht="21" customHeight="1">
      <c r="A951" s="839"/>
      <c r="B951" s="839"/>
      <c r="C951" s="838"/>
      <c r="E951" s="835"/>
    </row>
    <row r="952" spans="1:5" ht="21" customHeight="1">
      <c r="A952" s="839"/>
      <c r="B952" s="839"/>
      <c r="C952" s="838"/>
      <c r="E952" s="835"/>
    </row>
    <row r="953" spans="1:5" ht="21" customHeight="1">
      <c r="A953" s="839"/>
      <c r="B953" s="839"/>
      <c r="C953" s="838"/>
      <c r="E953" s="835"/>
    </row>
    <row r="954" spans="1:5" ht="21" customHeight="1">
      <c r="A954" s="839"/>
      <c r="B954" s="839"/>
      <c r="C954" s="838"/>
      <c r="E954" s="835"/>
    </row>
    <row r="955" spans="1:5" ht="21" customHeight="1">
      <c r="A955" s="839"/>
      <c r="B955" s="839"/>
      <c r="C955" s="838"/>
      <c r="E955" s="835"/>
    </row>
    <row r="956" spans="1:5" ht="21" customHeight="1">
      <c r="A956" s="839"/>
      <c r="B956" s="839"/>
      <c r="C956" s="838"/>
      <c r="E956" s="835"/>
    </row>
    <row r="957" spans="1:5" ht="21" customHeight="1">
      <c r="A957" s="839"/>
      <c r="B957" s="839"/>
      <c r="C957" s="838"/>
      <c r="E957" s="835"/>
    </row>
    <row r="958" spans="1:5" ht="21" customHeight="1">
      <c r="A958" s="839"/>
      <c r="B958" s="839"/>
      <c r="C958" s="838"/>
      <c r="E958" s="835"/>
    </row>
    <row r="959" spans="1:5" ht="21" customHeight="1">
      <c r="A959" s="839"/>
      <c r="B959" s="839"/>
      <c r="C959" s="838"/>
      <c r="E959" s="835"/>
    </row>
    <row r="960" spans="1:5" ht="21" customHeight="1">
      <c r="A960" s="839"/>
      <c r="B960" s="839"/>
      <c r="C960" s="838"/>
      <c r="E960" s="835"/>
    </row>
    <row r="961" spans="1:5" ht="21" customHeight="1">
      <c r="A961" s="839"/>
      <c r="B961" s="839"/>
      <c r="C961" s="838"/>
      <c r="E961" s="835"/>
    </row>
    <row r="962" spans="1:5" ht="21" customHeight="1">
      <c r="A962" s="839"/>
      <c r="B962" s="839"/>
      <c r="C962" s="838"/>
      <c r="E962" s="835"/>
    </row>
    <row r="963" spans="1:5" ht="21" customHeight="1">
      <c r="A963" s="839"/>
      <c r="B963" s="839"/>
      <c r="C963" s="838"/>
      <c r="E963" s="835"/>
    </row>
    <row r="964" spans="1:5" ht="21" customHeight="1">
      <c r="A964" s="839"/>
      <c r="B964" s="839"/>
      <c r="C964" s="838"/>
      <c r="E964" s="835"/>
    </row>
    <row r="965" spans="1:5" ht="21" customHeight="1">
      <c r="A965" s="839"/>
      <c r="B965" s="839"/>
      <c r="C965" s="838"/>
      <c r="E965" s="835"/>
    </row>
    <row r="966" spans="1:5" ht="21" customHeight="1">
      <c r="A966" s="839"/>
      <c r="B966" s="839"/>
      <c r="C966" s="838"/>
      <c r="E966" s="835"/>
    </row>
    <row r="967" spans="1:5" ht="21" customHeight="1">
      <c r="A967" s="839"/>
      <c r="B967" s="839"/>
      <c r="C967" s="838"/>
      <c r="E967" s="835"/>
    </row>
    <row r="968" spans="1:5" ht="21" customHeight="1">
      <c r="A968" s="839"/>
      <c r="B968" s="839"/>
      <c r="C968" s="838"/>
      <c r="E968" s="835"/>
    </row>
    <row r="969" spans="1:5" ht="21" customHeight="1">
      <c r="A969" s="839"/>
      <c r="B969" s="839"/>
      <c r="C969" s="838"/>
      <c r="E969" s="835"/>
    </row>
    <row r="970" spans="1:5" ht="21" customHeight="1">
      <c r="A970" s="839"/>
      <c r="B970" s="839"/>
      <c r="C970" s="838"/>
      <c r="E970" s="835"/>
    </row>
    <row r="971" spans="1:5" ht="21" customHeight="1">
      <c r="A971" s="839"/>
      <c r="B971" s="839"/>
      <c r="C971" s="838"/>
      <c r="E971" s="835"/>
    </row>
    <row r="972" spans="1:5" ht="21" customHeight="1">
      <c r="A972" s="839"/>
      <c r="B972" s="839"/>
      <c r="C972" s="838"/>
      <c r="E972" s="835"/>
    </row>
    <row r="973" spans="1:5" ht="21" customHeight="1">
      <c r="A973" s="839"/>
      <c r="B973" s="839"/>
      <c r="C973" s="838"/>
      <c r="E973" s="835"/>
    </row>
    <row r="974" spans="1:5" ht="21" customHeight="1">
      <c r="A974" s="839"/>
      <c r="B974" s="839"/>
      <c r="C974" s="838"/>
      <c r="E974" s="835"/>
    </row>
    <row r="975" spans="1:5" ht="21" customHeight="1">
      <c r="A975" s="839"/>
      <c r="B975" s="839"/>
      <c r="C975" s="838"/>
      <c r="E975" s="835"/>
    </row>
    <row r="976" spans="1:5" ht="21" customHeight="1">
      <c r="A976" s="839"/>
      <c r="B976" s="839"/>
      <c r="C976" s="838"/>
      <c r="E976" s="835"/>
    </row>
    <row r="977" spans="1:5" ht="21" customHeight="1">
      <c r="A977" s="839"/>
      <c r="B977" s="839"/>
      <c r="C977" s="838"/>
      <c r="E977" s="835"/>
    </row>
    <row r="978" spans="1:5" ht="21" customHeight="1">
      <c r="A978" s="839"/>
      <c r="B978" s="839"/>
      <c r="C978" s="838"/>
      <c r="E978" s="835"/>
    </row>
    <row r="979" spans="1:5" ht="21" customHeight="1">
      <c r="A979" s="839"/>
      <c r="B979" s="839"/>
      <c r="C979" s="838"/>
      <c r="E979" s="835"/>
    </row>
    <row r="980" spans="1:5" ht="21" customHeight="1">
      <c r="A980" s="839"/>
      <c r="B980" s="839"/>
      <c r="C980" s="838"/>
      <c r="E980" s="835"/>
    </row>
    <row r="981" spans="1:5" ht="21" customHeight="1">
      <c r="A981" s="839"/>
      <c r="B981" s="839"/>
      <c r="C981" s="838"/>
      <c r="E981" s="835"/>
    </row>
    <row r="982" spans="1:5" ht="21" customHeight="1">
      <c r="A982" s="839"/>
      <c r="B982" s="839"/>
      <c r="C982" s="838"/>
      <c r="E982" s="835"/>
    </row>
    <row r="983" spans="1:5" ht="21" customHeight="1">
      <c r="A983" s="839"/>
      <c r="B983" s="839"/>
      <c r="C983" s="838"/>
      <c r="E983" s="835"/>
    </row>
    <row r="984" spans="1:5" ht="21" customHeight="1">
      <c r="A984" s="839"/>
      <c r="B984" s="839"/>
      <c r="C984" s="838"/>
      <c r="E984" s="835"/>
    </row>
    <row r="985" spans="1:5" ht="21" customHeight="1">
      <c r="A985" s="839"/>
      <c r="B985" s="839"/>
      <c r="C985" s="838"/>
      <c r="E985" s="835"/>
    </row>
    <row r="986" spans="1:5" ht="21" customHeight="1">
      <c r="A986" s="839"/>
      <c r="B986" s="839"/>
      <c r="C986" s="838"/>
      <c r="E986" s="835"/>
    </row>
    <row r="987" spans="1:5" ht="21" customHeight="1">
      <c r="A987" s="839"/>
      <c r="B987" s="839"/>
      <c r="C987" s="838"/>
      <c r="E987" s="835"/>
    </row>
    <row r="988" spans="1:5" ht="21" customHeight="1">
      <c r="A988" s="839"/>
      <c r="B988" s="839"/>
      <c r="C988" s="838"/>
      <c r="E988" s="835"/>
    </row>
    <row r="989" spans="1:5" ht="21" customHeight="1">
      <c r="A989" s="839"/>
      <c r="B989" s="839"/>
      <c r="C989" s="838"/>
      <c r="E989" s="835"/>
    </row>
    <row r="990" spans="1:5" ht="21" customHeight="1">
      <c r="A990" s="839"/>
      <c r="B990" s="839"/>
      <c r="C990" s="838"/>
      <c r="E990" s="835"/>
    </row>
    <row r="991" spans="1:5" ht="21" customHeight="1">
      <c r="A991" s="839"/>
      <c r="B991" s="839"/>
      <c r="C991" s="838"/>
      <c r="E991" s="835"/>
    </row>
    <row r="992" spans="1:5" ht="21" customHeight="1">
      <c r="A992" s="839"/>
      <c r="B992" s="839"/>
      <c r="C992" s="838"/>
      <c r="E992" s="835"/>
    </row>
    <row r="993" spans="1:5" ht="21" customHeight="1">
      <c r="A993" s="839"/>
      <c r="B993" s="839"/>
      <c r="C993" s="838"/>
      <c r="E993" s="835"/>
    </row>
    <row r="994" spans="1:5" ht="21" customHeight="1">
      <c r="A994" s="839"/>
      <c r="B994" s="839"/>
      <c r="C994" s="838"/>
      <c r="E994" s="835"/>
    </row>
    <row r="995" spans="1:5" ht="21" customHeight="1">
      <c r="A995" s="839"/>
      <c r="B995" s="839"/>
      <c r="C995" s="838"/>
      <c r="E995" s="835"/>
    </row>
    <row r="996" spans="1:5" ht="21" customHeight="1">
      <c r="A996" s="839"/>
      <c r="B996" s="839"/>
      <c r="C996" s="838"/>
      <c r="E996" s="835"/>
    </row>
    <row r="997" spans="1:5" ht="21" customHeight="1">
      <c r="A997" s="839"/>
      <c r="B997" s="839"/>
      <c r="C997" s="838"/>
      <c r="E997" s="835"/>
    </row>
    <row r="998" spans="1:5" ht="21" customHeight="1">
      <c r="A998" s="839"/>
      <c r="B998" s="839"/>
      <c r="C998" s="838"/>
      <c r="E998" s="835"/>
    </row>
    <row r="999" spans="1:5" ht="21" customHeight="1">
      <c r="A999" s="839"/>
      <c r="B999" s="839"/>
      <c r="C999" s="838"/>
      <c r="E999" s="835"/>
    </row>
    <row r="1000" spans="1:5" ht="21" customHeight="1">
      <c r="A1000" s="839"/>
      <c r="B1000" s="839"/>
      <c r="C1000" s="838"/>
      <c r="E1000" s="835"/>
    </row>
    <row r="1001" spans="1:5" ht="21" customHeight="1">
      <c r="A1001" s="839"/>
      <c r="B1001" s="839"/>
      <c r="C1001" s="838"/>
      <c r="E1001" s="835"/>
    </row>
    <row r="1002" spans="1:5" ht="21" customHeight="1">
      <c r="A1002" s="839"/>
      <c r="B1002" s="839"/>
      <c r="C1002" s="838"/>
      <c r="E1002" s="835"/>
    </row>
    <row r="1003" spans="1:5" ht="21" customHeight="1">
      <c r="A1003" s="839"/>
      <c r="B1003" s="839"/>
      <c r="C1003" s="838"/>
      <c r="E1003" s="835"/>
    </row>
    <row r="1004" spans="1:5" ht="21" customHeight="1">
      <c r="A1004" s="839"/>
      <c r="B1004" s="839"/>
      <c r="C1004" s="838"/>
      <c r="E1004" s="835"/>
    </row>
    <row r="1005" spans="1:5" ht="21" customHeight="1">
      <c r="A1005" s="839"/>
      <c r="B1005" s="839"/>
      <c r="C1005" s="838"/>
      <c r="E1005" s="835"/>
    </row>
    <row r="1006" spans="1:5" ht="21" customHeight="1">
      <c r="A1006" s="839"/>
      <c r="B1006" s="839"/>
      <c r="C1006" s="838"/>
      <c r="E1006" s="835"/>
    </row>
    <row r="1007" spans="1:5" ht="21" customHeight="1">
      <c r="A1007" s="839"/>
      <c r="B1007" s="839"/>
      <c r="C1007" s="838"/>
      <c r="E1007" s="835"/>
    </row>
    <row r="1008" spans="1:5" ht="21" customHeight="1">
      <c r="A1008" s="839"/>
      <c r="B1008" s="839"/>
      <c r="C1008" s="838"/>
      <c r="E1008" s="835"/>
    </row>
    <row r="1009" spans="1:5" ht="21" customHeight="1">
      <c r="A1009" s="839"/>
      <c r="B1009" s="839"/>
      <c r="C1009" s="838"/>
      <c r="E1009" s="835"/>
    </row>
    <row r="1010" spans="1:5" ht="21" customHeight="1">
      <c r="A1010" s="839"/>
      <c r="B1010" s="839"/>
      <c r="C1010" s="838"/>
      <c r="E1010" s="835"/>
    </row>
    <row r="1011" spans="1:5" ht="21" customHeight="1">
      <c r="A1011" s="839"/>
      <c r="B1011" s="839"/>
      <c r="C1011" s="838"/>
      <c r="E1011" s="835"/>
    </row>
    <row r="1012" spans="1:5" ht="21" customHeight="1">
      <c r="A1012" s="839"/>
      <c r="B1012" s="839"/>
      <c r="C1012" s="838"/>
      <c r="E1012" s="835"/>
    </row>
    <row r="1013" spans="1:5" ht="21" customHeight="1">
      <c r="A1013" s="839"/>
      <c r="B1013" s="839"/>
      <c r="C1013" s="838"/>
      <c r="E1013" s="835"/>
    </row>
    <row r="1014" spans="1:5" ht="21" customHeight="1">
      <c r="A1014" s="839"/>
      <c r="B1014" s="839"/>
      <c r="C1014" s="838"/>
      <c r="E1014" s="835"/>
    </row>
    <row r="1015" spans="1:5" ht="21" customHeight="1">
      <c r="A1015" s="839"/>
      <c r="B1015" s="839"/>
      <c r="C1015" s="838"/>
      <c r="E1015" s="835"/>
    </row>
    <row r="1016" spans="1:5" ht="21" customHeight="1">
      <c r="A1016" s="839"/>
      <c r="B1016" s="839"/>
      <c r="C1016" s="838"/>
      <c r="E1016" s="835"/>
    </row>
    <row r="1017" spans="1:5" ht="21" customHeight="1">
      <c r="A1017" s="839"/>
      <c r="B1017" s="839"/>
      <c r="C1017" s="838"/>
      <c r="E1017" s="835"/>
    </row>
    <row r="1018" spans="1:5" ht="21" customHeight="1">
      <c r="A1018" s="839"/>
      <c r="B1018" s="839"/>
      <c r="C1018" s="838"/>
      <c r="E1018" s="835"/>
    </row>
    <row r="1019" spans="1:5" ht="21" customHeight="1">
      <c r="A1019" s="839"/>
      <c r="B1019" s="839"/>
      <c r="C1019" s="838"/>
      <c r="E1019" s="835"/>
    </row>
    <row r="1020" spans="1:5" ht="21" customHeight="1">
      <c r="A1020" s="839"/>
      <c r="B1020" s="839"/>
      <c r="C1020" s="838"/>
      <c r="E1020" s="835"/>
    </row>
    <row r="1021" spans="1:5" ht="21" customHeight="1">
      <c r="A1021" s="839"/>
      <c r="B1021" s="839"/>
      <c r="C1021" s="838"/>
      <c r="E1021" s="835"/>
    </row>
    <row r="1022" spans="1:5" ht="21" customHeight="1">
      <c r="A1022" s="839"/>
      <c r="B1022" s="839"/>
      <c r="C1022" s="838"/>
      <c r="E1022" s="835"/>
    </row>
    <row r="1023" spans="1:5" ht="21" customHeight="1">
      <c r="A1023" s="839"/>
      <c r="B1023" s="839"/>
      <c r="C1023" s="838"/>
      <c r="E1023" s="835"/>
    </row>
    <row r="1024" spans="1:5" ht="21" customHeight="1">
      <c r="A1024" s="839"/>
      <c r="B1024" s="839"/>
      <c r="C1024" s="838"/>
      <c r="E1024" s="835"/>
    </row>
    <row r="1025" spans="1:5" ht="21" customHeight="1">
      <c r="A1025" s="839"/>
      <c r="B1025" s="839"/>
      <c r="C1025" s="838"/>
      <c r="E1025" s="835"/>
    </row>
    <row r="1026" spans="1:5" ht="21" customHeight="1">
      <c r="A1026" s="839"/>
      <c r="B1026" s="839"/>
      <c r="C1026" s="838"/>
      <c r="E1026" s="835"/>
    </row>
    <row r="1027" spans="1:5" ht="21" customHeight="1">
      <c r="A1027" s="839"/>
      <c r="B1027" s="839"/>
      <c r="C1027" s="838"/>
      <c r="E1027" s="835"/>
    </row>
    <row r="1028" spans="1:5" ht="21" customHeight="1">
      <c r="A1028" s="839"/>
      <c r="B1028" s="839"/>
      <c r="C1028" s="838"/>
      <c r="E1028" s="835"/>
    </row>
    <row r="1029" spans="1:5" ht="21" customHeight="1">
      <c r="A1029" s="839"/>
      <c r="B1029" s="839"/>
      <c r="C1029" s="838"/>
      <c r="E1029" s="835"/>
    </row>
    <row r="1030" spans="1:5" ht="21" customHeight="1">
      <c r="A1030" s="839"/>
      <c r="B1030" s="839"/>
      <c r="C1030" s="838"/>
      <c r="E1030" s="835"/>
    </row>
    <row r="1031" spans="1:5" ht="21" customHeight="1">
      <c r="A1031" s="839"/>
      <c r="B1031" s="839"/>
      <c r="C1031" s="838"/>
      <c r="E1031" s="835"/>
    </row>
    <row r="1032" spans="1:5" ht="21" customHeight="1">
      <c r="A1032" s="839"/>
      <c r="B1032" s="839"/>
      <c r="C1032" s="838"/>
      <c r="E1032" s="835"/>
    </row>
    <row r="1033" spans="1:5" ht="21" customHeight="1">
      <c r="A1033" s="839"/>
      <c r="B1033" s="839"/>
      <c r="C1033" s="838"/>
      <c r="E1033" s="835"/>
    </row>
    <row r="1034" spans="1:5" ht="21" customHeight="1">
      <c r="A1034" s="839"/>
      <c r="B1034" s="839"/>
      <c r="C1034" s="838"/>
      <c r="E1034" s="835"/>
    </row>
    <row r="1035" spans="1:5" ht="21" customHeight="1">
      <c r="A1035" s="839"/>
      <c r="B1035" s="839"/>
      <c r="C1035" s="838"/>
      <c r="E1035" s="835"/>
    </row>
    <row r="1036" spans="1:5" ht="21" customHeight="1">
      <c r="A1036" s="839"/>
      <c r="B1036" s="839"/>
      <c r="C1036" s="838"/>
      <c r="E1036" s="835"/>
    </row>
    <row r="1037" spans="1:5" ht="21" customHeight="1">
      <c r="A1037" s="839"/>
      <c r="B1037" s="839"/>
      <c r="C1037" s="838"/>
      <c r="E1037" s="835"/>
    </row>
    <row r="1038" spans="1:5" ht="21" customHeight="1">
      <c r="A1038" s="839"/>
      <c r="B1038" s="839"/>
      <c r="C1038" s="838"/>
      <c r="E1038" s="835"/>
    </row>
    <row r="1039" spans="1:5" ht="21" customHeight="1">
      <c r="A1039" s="839"/>
      <c r="B1039" s="839"/>
      <c r="C1039" s="838"/>
      <c r="E1039" s="835"/>
    </row>
    <row r="1040" spans="1:5" ht="21" customHeight="1">
      <c r="A1040" s="839"/>
      <c r="B1040" s="839"/>
      <c r="C1040" s="838"/>
      <c r="E1040" s="835"/>
    </row>
    <row r="1041" spans="1:5" ht="21" customHeight="1">
      <c r="A1041" s="839"/>
      <c r="B1041" s="839"/>
      <c r="C1041" s="838"/>
      <c r="E1041" s="835"/>
    </row>
    <row r="1042" spans="1:5" ht="21" customHeight="1">
      <c r="A1042" s="839"/>
      <c r="B1042" s="839"/>
      <c r="C1042" s="838"/>
      <c r="E1042" s="835"/>
    </row>
    <row r="1043" spans="1:5" ht="21" customHeight="1">
      <c r="A1043" s="839"/>
      <c r="B1043" s="839"/>
      <c r="C1043" s="838"/>
      <c r="E1043" s="835"/>
    </row>
    <row r="1044" spans="1:5" ht="21" customHeight="1">
      <c r="A1044" s="839"/>
      <c r="B1044" s="839"/>
      <c r="C1044" s="838"/>
      <c r="E1044" s="835"/>
    </row>
    <row r="1045" spans="1:5" ht="21" customHeight="1">
      <c r="A1045" s="839"/>
      <c r="B1045" s="839"/>
      <c r="C1045" s="838"/>
      <c r="E1045" s="835"/>
    </row>
    <row r="1046" spans="1:5" ht="21" customHeight="1">
      <c r="A1046" s="839"/>
      <c r="B1046" s="839"/>
      <c r="C1046" s="838"/>
      <c r="E1046" s="835"/>
    </row>
    <row r="1047" spans="1:5" ht="21" customHeight="1">
      <c r="A1047" s="839"/>
      <c r="B1047" s="839"/>
      <c r="C1047" s="838"/>
      <c r="E1047" s="835"/>
    </row>
    <row r="1048" spans="1:5" ht="21" customHeight="1">
      <c r="A1048" s="839"/>
      <c r="B1048" s="839"/>
      <c r="C1048" s="838"/>
      <c r="E1048" s="835"/>
    </row>
    <row r="1049" spans="1:5" ht="21" customHeight="1">
      <c r="A1049" s="839"/>
      <c r="B1049" s="839"/>
      <c r="C1049" s="838"/>
      <c r="E1049" s="835"/>
    </row>
    <row r="1050" spans="1:5" ht="21" customHeight="1">
      <c r="A1050" s="839"/>
      <c r="B1050" s="839"/>
      <c r="C1050" s="838"/>
      <c r="E1050" s="835"/>
    </row>
    <row r="1051" spans="1:5" ht="21" customHeight="1">
      <c r="A1051" s="839"/>
      <c r="B1051" s="839"/>
      <c r="C1051" s="838"/>
      <c r="E1051" s="835"/>
    </row>
    <row r="1052" spans="1:5" ht="21" customHeight="1">
      <c r="A1052" s="839"/>
      <c r="B1052" s="839"/>
      <c r="C1052" s="838"/>
      <c r="E1052" s="835"/>
    </row>
    <row r="1053" spans="1:5" ht="21" customHeight="1">
      <c r="A1053" s="839"/>
      <c r="B1053" s="839"/>
      <c r="C1053" s="838"/>
      <c r="E1053" s="835"/>
    </row>
    <row r="1054" spans="1:5" ht="21" customHeight="1">
      <c r="A1054" s="839"/>
      <c r="B1054" s="839"/>
      <c r="C1054" s="838"/>
      <c r="E1054" s="835"/>
    </row>
    <row r="1055" spans="1:5" ht="21" customHeight="1">
      <c r="A1055" s="839"/>
      <c r="B1055" s="839"/>
      <c r="C1055" s="838"/>
      <c r="E1055" s="835"/>
    </row>
    <row r="1056" spans="1:5" ht="21" customHeight="1">
      <c r="A1056" s="839"/>
      <c r="B1056" s="839"/>
      <c r="C1056" s="838"/>
      <c r="E1056" s="835"/>
    </row>
    <row r="1057" spans="1:5" ht="21" customHeight="1">
      <c r="A1057" s="839"/>
      <c r="B1057" s="839"/>
      <c r="C1057" s="838"/>
      <c r="E1057" s="835"/>
    </row>
    <row r="1058" spans="1:5" ht="21" customHeight="1">
      <c r="A1058" s="839"/>
      <c r="B1058" s="839"/>
      <c r="C1058" s="838"/>
      <c r="E1058" s="835"/>
    </row>
    <row r="1059" spans="1:5" ht="21" customHeight="1">
      <c r="A1059" s="839"/>
      <c r="B1059" s="839"/>
      <c r="C1059" s="838"/>
      <c r="E1059" s="835"/>
    </row>
    <row r="1060" spans="1:5" ht="21" customHeight="1">
      <c r="A1060" s="839"/>
      <c r="B1060" s="839"/>
      <c r="C1060" s="838"/>
      <c r="E1060" s="835"/>
    </row>
    <row r="1061" spans="1:5" ht="21" customHeight="1">
      <c r="A1061" s="839"/>
      <c r="B1061" s="839"/>
      <c r="C1061" s="838"/>
      <c r="E1061" s="835"/>
    </row>
    <row r="1062" spans="1:5" ht="21" customHeight="1">
      <c r="A1062" s="839"/>
      <c r="B1062" s="839"/>
      <c r="C1062" s="838"/>
      <c r="E1062" s="835"/>
    </row>
    <row r="1063" spans="1:5" ht="21" customHeight="1">
      <c r="A1063" s="839"/>
      <c r="B1063" s="839"/>
      <c r="C1063" s="838"/>
      <c r="E1063" s="835"/>
    </row>
    <row r="1064" spans="1:5" ht="21" customHeight="1">
      <c r="A1064" s="839"/>
      <c r="B1064" s="839"/>
      <c r="C1064" s="838"/>
      <c r="E1064" s="835"/>
    </row>
    <row r="1065" spans="1:5" ht="21" customHeight="1">
      <c r="A1065" s="839"/>
      <c r="B1065" s="839"/>
      <c r="C1065" s="838"/>
      <c r="E1065" s="835"/>
    </row>
    <row r="1066" spans="1:5" ht="21" customHeight="1">
      <c r="A1066" s="839"/>
      <c r="B1066" s="839"/>
      <c r="C1066" s="838"/>
      <c r="E1066" s="835"/>
    </row>
    <row r="1067" spans="1:5" ht="21" customHeight="1">
      <c r="A1067" s="839"/>
      <c r="B1067" s="839"/>
      <c r="C1067" s="838"/>
      <c r="E1067" s="835"/>
    </row>
    <row r="1068" spans="1:5" ht="21" customHeight="1">
      <c r="A1068" s="839"/>
      <c r="B1068" s="839"/>
      <c r="C1068" s="838"/>
      <c r="E1068" s="835"/>
    </row>
    <row r="1069" spans="1:5" ht="21" customHeight="1">
      <c r="A1069" s="839"/>
      <c r="B1069" s="839"/>
      <c r="C1069" s="838"/>
      <c r="E1069" s="835"/>
    </row>
    <row r="1070" spans="1:5" ht="21" customHeight="1">
      <c r="A1070" s="839"/>
      <c r="B1070" s="839"/>
      <c r="C1070" s="838"/>
      <c r="E1070" s="835"/>
    </row>
    <row r="1071" spans="1:5" ht="21" customHeight="1">
      <c r="A1071" s="839"/>
      <c r="B1071" s="839"/>
      <c r="C1071" s="838"/>
      <c r="E1071" s="835"/>
    </row>
    <row r="1072" spans="1:5" ht="21" customHeight="1">
      <c r="A1072" s="839"/>
      <c r="B1072" s="839"/>
      <c r="C1072" s="838"/>
      <c r="E1072" s="835"/>
    </row>
    <row r="1073" spans="1:5" ht="21" customHeight="1">
      <c r="A1073" s="839"/>
      <c r="B1073" s="839"/>
      <c r="C1073" s="838"/>
      <c r="E1073" s="835"/>
    </row>
    <row r="1074" spans="1:5" ht="21" customHeight="1">
      <c r="A1074" s="839"/>
      <c r="B1074" s="839"/>
      <c r="C1074" s="838"/>
      <c r="E1074" s="835"/>
    </row>
    <row r="1075" spans="1:5" ht="21" customHeight="1">
      <c r="A1075" s="839"/>
      <c r="B1075" s="839"/>
      <c r="C1075" s="838"/>
      <c r="E1075" s="835"/>
    </row>
    <row r="1076" spans="1:5" ht="21" customHeight="1">
      <c r="A1076" s="839"/>
      <c r="B1076" s="839"/>
      <c r="C1076" s="838"/>
      <c r="E1076" s="835"/>
    </row>
    <row r="1077" spans="1:5" ht="21" customHeight="1">
      <c r="A1077" s="839"/>
      <c r="B1077" s="839"/>
      <c r="C1077" s="838"/>
      <c r="E1077" s="835"/>
    </row>
    <row r="1078" spans="1:5" ht="21" customHeight="1">
      <c r="A1078" s="839"/>
      <c r="B1078" s="839"/>
      <c r="C1078" s="838"/>
      <c r="E1078" s="835"/>
    </row>
    <row r="1079" spans="1:5" ht="21" customHeight="1">
      <c r="A1079" s="839"/>
      <c r="B1079" s="839"/>
      <c r="C1079" s="838"/>
      <c r="E1079" s="835"/>
    </row>
    <row r="1080" spans="1:5" ht="21" customHeight="1">
      <c r="A1080" s="839"/>
      <c r="B1080" s="839"/>
      <c r="C1080" s="838"/>
      <c r="E1080" s="835"/>
    </row>
    <row r="1081" spans="1:5" ht="21" customHeight="1">
      <c r="A1081" s="839"/>
      <c r="B1081" s="839"/>
      <c r="C1081" s="838"/>
      <c r="E1081" s="835"/>
    </row>
    <row r="1082" spans="1:5" ht="21" customHeight="1">
      <c r="A1082" s="839"/>
      <c r="B1082" s="839"/>
      <c r="C1082" s="838"/>
      <c r="E1082" s="835"/>
    </row>
    <row r="1083" spans="1:5" ht="21" customHeight="1">
      <c r="A1083" s="839"/>
      <c r="B1083" s="839"/>
      <c r="C1083" s="838"/>
      <c r="E1083" s="835"/>
    </row>
    <row r="1084" spans="1:5" ht="21" customHeight="1">
      <c r="A1084" s="839"/>
      <c r="B1084" s="839"/>
      <c r="C1084" s="838"/>
      <c r="E1084" s="835"/>
    </row>
    <row r="1085" spans="1:5" ht="21" customHeight="1">
      <c r="A1085" s="839"/>
      <c r="B1085" s="839"/>
      <c r="C1085" s="838"/>
      <c r="E1085" s="835"/>
    </row>
    <row r="1086" spans="1:5" ht="21" customHeight="1">
      <c r="A1086" s="839"/>
      <c r="B1086" s="839"/>
      <c r="C1086" s="838"/>
      <c r="E1086" s="835"/>
    </row>
    <row r="1087" spans="1:5" ht="21" customHeight="1">
      <c r="A1087" s="839"/>
      <c r="B1087" s="839"/>
      <c r="C1087" s="838"/>
      <c r="E1087" s="835"/>
    </row>
    <row r="1088" spans="1:5" ht="21" customHeight="1">
      <c r="A1088" s="839"/>
      <c r="B1088" s="839"/>
      <c r="C1088" s="838"/>
      <c r="E1088" s="835"/>
    </row>
    <row r="1089" spans="1:5" ht="21" customHeight="1">
      <c r="A1089" s="839"/>
      <c r="B1089" s="839"/>
      <c r="C1089" s="838"/>
      <c r="E1089" s="835"/>
    </row>
    <row r="1090" spans="1:5" ht="21" customHeight="1">
      <c r="A1090" s="839"/>
      <c r="B1090" s="839"/>
      <c r="C1090" s="838"/>
      <c r="E1090" s="835"/>
    </row>
    <row r="1091" spans="1:5" ht="21" customHeight="1">
      <c r="A1091" s="839"/>
      <c r="B1091" s="839"/>
      <c r="C1091" s="838"/>
      <c r="E1091" s="835"/>
    </row>
    <row r="1092" spans="1:5" ht="21" customHeight="1">
      <c r="A1092" s="839"/>
      <c r="B1092" s="839"/>
      <c r="C1092" s="838"/>
      <c r="E1092" s="835"/>
    </row>
    <row r="1093" spans="1:5" ht="21" customHeight="1">
      <c r="A1093" s="839"/>
      <c r="B1093" s="839"/>
      <c r="C1093" s="838"/>
      <c r="E1093" s="835"/>
    </row>
    <row r="1094" spans="1:5" ht="21" customHeight="1">
      <c r="A1094" s="839"/>
      <c r="B1094" s="839"/>
      <c r="C1094" s="838"/>
      <c r="E1094" s="835"/>
    </row>
    <row r="1095" spans="1:5" ht="21" customHeight="1">
      <c r="A1095" s="839"/>
      <c r="B1095" s="839"/>
      <c r="C1095" s="838"/>
      <c r="E1095" s="835"/>
    </row>
    <row r="1096" spans="1:5" ht="21" customHeight="1">
      <c r="A1096" s="839"/>
      <c r="B1096" s="839"/>
      <c r="C1096" s="838"/>
      <c r="E1096" s="835"/>
    </row>
    <row r="1097" spans="1:5" ht="21" customHeight="1">
      <c r="A1097" s="839"/>
      <c r="B1097" s="839"/>
      <c r="C1097" s="838"/>
      <c r="E1097" s="835"/>
    </row>
    <row r="1098" spans="1:5" ht="21" customHeight="1">
      <c r="A1098" s="839"/>
      <c r="B1098" s="839"/>
      <c r="C1098" s="838"/>
      <c r="E1098" s="835"/>
    </row>
    <row r="1099" spans="1:5" ht="21" customHeight="1">
      <c r="A1099" s="839"/>
      <c r="B1099" s="839"/>
      <c r="C1099" s="838"/>
      <c r="E1099" s="835"/>
    </row>
    <row r="1100" spans="1:5" ht="21" customHeight="1">
      <c r="A1100" s="839"/>
      <c r="B1100" s="839"/>
      <c r="C1100" s="838"/>
      <c r="E1100" s="835"/>
    </row>
    <row r="1101" spans="1:5" ht="21" customHeight="1">
      <c r="A1101" s="839"/>
      <c r="B1101" s="839"/>
      <c r="C1101" s="838"/>
      <c r="E1101" s="835"/>
    </row>
    <row r="1102" spans="1:5" ht="21" customHeight="1">
      <c r="A1102" s="839"/>
      <c r="B1102" s="839"/>
      <c r="C1102" s="838"/>
      <c r="E1102" s="835"/>
    </row>
    <row r="1103" spans="1:5" ht="21" customHeight="1">
      <c r="A1103" s="839"/>
      <c r="B1103" s="839"/>
      <c r="C1103" s="838"/>
      <c r="E1103" s="835"/>
    </row>
    <row r="1104" spans="1:5" ht="21" customHeight="1">
      <c r="A1104" s="839"/>
      <c r="B1104" s="839"/>
      <c r="C1104" s="838"/>
      <c r="E1104" s="835"/>
    </row>
    <row r="1105" spans="1:5" ht="21" customHeight="1">
      <c r="A1105" s="839"/>
      <c r="B1105" s="839"/>
      <c r="C1105" s="838"/>
      <c r="E1105" s="835"/>
    </row>
    <row r="1106" spans="1:5" ht="21" customHeight="1">
      <c r="A1106" s="839"/>
      <c r="B1106" s="839"/>
      <c r="C1106" s="838"/>
      <c r="E1106" s="835"/>
    </row>
    <row r="1107" spans="1:5" ht="21" customHeight="1">
      <c r="A1107" s="839"/>
      <c r="B1107" s="839"/>
      <c r="C1107" s="838"/>
      <c r="E1107" s="835"/>
    </row>
    <row r="1108" spans="1:5" ht="21" customHeight="1">
      <c r="A1108" s="839"/>
      <c r="B1108" s="839"/>
      <c r="C1108" s="838"/>
      <c r="E1108" s="835"/>
    </row>
    <row r="1109" spans="1:5" ht="21" customHeight="1">
      <c r="A1109" s="839"/>
      <c r="B1109" s="839"/>
      <c r="C1109" s="838"/>
      <c r="E1109" s="835"/>
    </row>
    <row r="1110" spans="1:5" ht="21" customHeight="1">
      <c r="A1110" s="839"/>
      <c r="B1110" s="839"/>
      <c r="C1110" s="838"/>
      <c r="E1110" s="835"/>
    </row>
    <row r="1111" spans="1:5" ht="21" customHeight="1">
      <c r="A1111" s="839"/>
      <c r="B1111" s="839"/>
      <c r="C1111" s="838"/>
      <c r="E1111" s="835"/>
    </row>
    <row r="1112" spans="1:5" ht="21" customHeight="1">
      <c r="A1112" s="839"/>
      <c r="B1112" s="839"/>
      <c r="C1112" s="838"/>
      <c r="E1112" s="835"/>
    </row>
    <row r="1113" spans="1:5" ht="21" customHeight="1">
      <c r="A1113" s="839"/>
      <c r="B1113" s="839"/>
      <c r="C1113" s="838"/>
      <c r="E1113" s="835"/>
    </row>
    <row r="1114" spans="1:5" ht="21" customHeight="1">
      <c r="A1114" s="839"/>
      <c r="B1114" s="839"/>
      <c r="C1114" s="838"/>
      <c r="E1114" s="835"/>
    </row>
    <row r="1115" spans="1:5" ht="21" customHeight="1">
      <c r="A1115" s="839"/>
      <c r="B1115" s="839"/>
      <c r="C1115" s="838"/>
      <c r="E1115" s="835"/>
    </row>
    <row r="1116" spans="1:5" ht="21" customHeight="1">
      <c r="A1116" s="839"/>
      <c r="B1116" s="839"/>
      <c r="C1116" s="838"/>
      <c r="E1116" s="835"/>
    </row>
    <row r="1117" spans="1:5" ht="21" customHeight="1">
      <c r="A1117" s="839"/>
      <c r="B1117" s="839"/>
      <c r="C1117" s="838"/>
      <c r="E1117" s="835"/>
    </row>
    <row r="1118" spans="1:5" ht="21" customHeight="1">
      <c r="A1118" s="839"/>
      <c r="B1118" s="839"/>
      <c r="C1118" s="838"/>
      <c r="E1118" s="835"/>
    </row>
    <row r="1119" spans="1:5" ht="21" customHeight="1">
      <c r="A1119" s="839"/>
      <c r="B1119" s="839"/>
      <c r="C1119" s="838"/>
      <c r="E1119" s="835"/>
    </row>
    <row r="1120" spans="1:5" ht="21" customHeight="1">
      <c r="A1120" s="839"/>
      <c r="B1120" s="839"/>
      <c r="C1120" s="838"/>
      <c r="E1120" s="835"/>
    </row>
    <row r="1121" spans="1:5" ht="21" customHeight="1">
      <c r="A1121" s="839"/>
      <c r="B1121" s="839"/>
      <c r="C1121" s="838"/>
      <c r="E1121" s="835"/>
    </row>
    <row r="1122" spans="1:5" ht="21" customHeight="1">
      <c r="A1122" s="839"/>
      <c r="B1122" s="839"/>
      <c r="C1122" s="838"/>
      <c r="E1122" s="835"/>
    </row>
    <row r="1123" spans="1:5" ht="21" customHeight="1">
      <c r="A1123" s="839"/>
      <c r="B1123" s="839"/>
      <c r="C1123" s="838"/>
      <c r="E1123" s="835"/>
    </row>
    <row r="1124" spans="1:5" ht="21" customHeight="1">
      <c r="A1124" s="839"/>
      <c r="B1124" s="839"/>
      <c r="C1124" s="838"/>
      <c r="E1124" s="835"/>
    </row>
    <row r="1125" spans="1:5" ht="21" customHeight="1">
      <c r="A1125" s="839"/>
      <c r="B1125" s="839"/>
      <c r="C1125" s="838"/>
      <c r="E1125" s="835"/>
    </row>
  </sheetData>
  <mergeCells count="166">
    <mergeCell ref="A163:B163"/>
    <mergeCell ref="A164:B164"/>
    <mergeCell ref="A165:B165"/>
    <mergeCell ref="A166:B166"/>
    <mergeCell ref="A157:B157"/>
    <mergeCell ref="A158:B158"/>
    <mergeCell ref="A159:B159"/>
    <mergeCell ref="A160:B160"/>
    <mergeCell ref="A161:B161"/>
    <mergeCell ref="A162:B162"/>
    <mergeCell ref="A151:B151"/>
    <mergeCell ref="A152:B152"/>
    <mergeCell ref="A153:B153"/>
    <mergeCell ref="A154:B154"/>
    <mergeCell ref="A155:B155"/>
    <mergeCell ref="A156:B156"/>
    <mergeCell ref="A145:B145"/>
    <mergeCell ref="A146:B146"/>
    <mergeCell ref="A147:F147"/>
    <mergeCell ref="A148:B148"/>
    <mergeCell ref="A149:B149"/>
    <mergeCell ref="A150:F150"/>
    <mergeCell ref="A139:B139"/>
    <mergeCell ref="A140:F140"/>
    <mergeCell ref="A141:F141"/>
    <mergeCell ref="A142:B142"/>
    <mergeCell ref="A143:B143"/>
    <mergeCell ref="A144:B144"/>
    <mergeCell ref="A133:B133"/>
    <mergeCell ref="A134:F134"/>
    <mergeCell ref="A135:B135"/>
    <mergeCell ref="A136:B136"/>
    <mergeCell ref="A137:B137"/>
    <mergeCell ref="A138:B138"/>
    <mergeCell ref="A127:B127"/>
    <mergeCell ref="A128:B128"/>
    <mergeCell ref="A129:B129"/>
    <mergeCell ref="A130:B130"/>
    <mergeCell ref="A131:B131"/>
    <mergeCell ref="A132:B132"/>
    <mergeCell ref="A121:B121"/>
    <mergeCell ref="A122:B122"/>
    <mergeCell ref="A123:B123"/>
    <mergeCell ref="A124:F124"/>
    <mergeCell ref="A125:B125"/>
    <mergeCell ref="A126:B126"/>
    <mergeCell ref="A115:B115"/>
    <mergeCell ref="A116:B116"/>
    <mergeCell ref="A117:B117"/>
    <mergeCell ref="A118:B118"/>
    <mergeCell ref="A119:B119"/>
    <mergeCell ref="A120:B120"/>
    <mergeCell ref="A109:B109"/>
    <mergeCell ref="A110:B110"/>
    <mergeCell ref="A111:B111"/>
    <mergeCell ref="A112:F112"/>
    <mergeCell ref="A113:F113"/>
    <mergeCell ref="A114:B114"/>
    <mergeCell ref="A103:B103"/>
    <mergeCell ref="A104:B104"/>
    <mergeCell ref="A105:B105"/>
    <mergeCell ref="A106:B106"/>
    <mergeCell ref="A107:B107"/>
    <mergeCell ref="A108:F108"/>
    <mergeCell ref="A97:B97"/>
    <mergeCell ref="A98:B98"/>
    <mergeCell ref="A99:F99"/>
    <mergeCell ref="A100:B100"/>
    <mergeCell ref="A101:B101"/>
    <mergeCell ref="A102:B102"/>
    <mergeCell ref="A91:B91"/>
    <mergeCell ref="A92:B92"/>
    <mergeCell ref="A93:B93"/>
    <mergeCell ref="A94:B94"/>
    <mergeCell ref="A95:B95"/>
    <mergeCell ref="A96:B96"/>
    <mergeCell ref="A85:B85"/>
    <mergeCell ref="A86:B86"/>
    <mergeCell ref="A87:F87"/>
    <mergeCell ref="A88:B88"/>
    <mergeCell ref="A89:B89"/>
    <mergeCell ref="A90:B90"/>
    <mergeCell ref="A79:B79"/>
    <mergeCell ref="A80:B80"/>
    <mergeCell ref="A81:F81"/>
    <mergeCell ref="A82:B82"/>
    <mergeCell ref="A83:B83"/>
    <mergeCell ref="A84:B84"/>
    <mergeCell ref="A73:B73"/>
    <mergeCell ref="A74:B74"/>
    <mergeCell ref="A75:B75"/>
    <mergeCell ref="A76:B76"/>
    <mergeCell ref="A77:B77"/>
    <mergeCell ref="A78:B78"/>
    <mergeCell ref="A67:F67"/>
    <mergeCell ref="A68:B68"/>
    <mergeCell ref="A69:B69"/>
    <mergeCell ref="A70:B70"/>
    <mergeCell ref="A71:B71"/>
    <mergeCell ref="A72:B72"/>
    <mergeCell ref="A61:F61"/>
    <mergeCell ref="A62:B62"/>
    <mergeCell ref="A63:B63"/>
    <mergeCell ref="A64:B64"/>
    <mergeCell ref="A65:F65"/>
    <mergeCell ref="A66:B66"/>
    <mergeCell ref="A55:B55"/>
    <mergeCell ref="A56:B56"/>
    <mergeCell ref="A57:F57"/>
    <mergeCell ref="A58:B58"/>
    <mergeCell ref="A59:B59"/>
    <mergeCell ref="A60:B60"/>
    <mergeCell ref="A49:B49"/>
    <mergeCell ref="A50:B50"/>
    <mergeCell ref="A51:B51"/>
    <mergeCell ref="A52:B52"/>
    <mergeCell ref="A53:B53"/>
    <mergeCell ref="A54:F54"/>
    <mergeCell ref="A43:B43"/>
    <mergeCell ref="A44:B44"/>
    <mergeCell ref="A45:B45"/>
    <mergeCell ref="A46:B46"/>
    <mergeCell ref="A47:B47"/>
    <mergeCell ref="A48:B48"/>
    <mergeCell ref="A37:B37"/>
    <mergeCell ref="A38:B38"/>
    <mergeCell ref="A39:B39"/>
    <mergeCell ref="A40:B40"/>
    <mergeCell ref="A41:B41"/>
    <mergeCell ref="A42:B42"/>
    <mergeCell ref="A31:B31"/>
    <mergeCell ref="A32:B32"/>
    <mergeCell ref="A33:B33"/>
    <mergeCell ref="A34:B34"/>
    <mergeCell ref="A35:F35"/>
    <mergeCell ref="A36:B36"/>
    <mergeCell ref="A25:B25"/>
    <mergeCell ref="A26:B26"/>
    <mergeCell ref="A27:B27"/>
    <mergeCell ref="A28:B28"/>
    <mergeCell ref="A29:F29"/>
    <mergeCell ref="A30:B30"/>
    <mergeCell ref="A19:B19"/>
    <mergeCell ref="A20:B20"/>
    <mergeCell ref="A21:B21"/>
    <mergeCell ref="A22:B22"/>
    <mergeCell ref="A23:B23"/>
    <mergeCell ref="A24:B24"/>
    <mergeCell ref="A13:F13"/>
    <mergeCell ref="A14:B14"/>
    <mergeCell ref="A15:B15"/>
    <mergeCell ref="A16:F16"/>
    <mergeCell ref="A17:B17"/>
    <mergeCell ref="A18:B18"/>
    <mergeCell ref="A7:B7"/>
    <mergeCell ref="A8:B8"/>
    <mergeCell ref="A9:B9"/>
    <mergeCell ref="A10:B10"/>
    <mergeCell ref="A11:F11"/>
    <mergeCell ref="A12:B12"/>
    <mergeCell ref="A1:F1"/>
    <mergeCell ref="A2:B2"/>
    <mergeCell ref="A3:F3"/>
    <mergeCell ref="A4:F4"/>
    <mergeCell ref="A5:B5"/>
    <mergeCell ref="A6:B6"/>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00B0F0"/>
  </sheetPr>
  <dimension ref="A1"/>
  <sheetViews>
    <sheetView workbookViewId="0"/>
  </sheetViews>
  <sheetFormatPr baseColWidth="10" defaultColWidth="11.42578125"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4adec2c-4474-4f01-99db-c3be249c19a7" xsi:nil="true"/>
    <lcf76f155ced4ddcb4097134ff3c332f xmlns="fe94c4dc-af3f-4b64-95ef-258418b9f7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E2A0E3B26758645ADC35ECE6BB32918" ma:contentTypeVersion="13" ma:contentTypeDescription="Crear nuevo documento." ma:contentTypeScope="" ma:versionID="eae73a47dd23a2f87755f12838fd0e2d">
  <xsd:schema xmlns:xsd="http://www.w3.org/2001/XMLSchema" xmlns:xs="http://www.w3.org/2001/XMLSchema" xmlns:p="http://schemas.microsoft.com/office/2006/metadata/properties" xmlns:ns2="fe94c4dc-af3f-4b64-95ef-258418b9f715" xmlns:ns3="24adec2c-4474-4f01-99db-c3be249c19a7" targetNamespace="http://schemas.microsoft.com/office/2006/metadata/properties" ma:root="true" ma:fieldsID="3aeddb3adfe3655413e78490251d331a" ns2:_="" ns3:_="">
    <xsd:import namespace="fe94c4dc-af3f-4b64-95ef-258418b9f715"/>
    <xsd:import namespace="24adec2c-4474-4f01-99db-c3be249c19a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94c4dc-af3f-4b64-95ef-258418b9f71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244fa655-1305-4186-8bba-9ef7a6451bb7"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4adec2c-4474-4f01-99db-c3be249c19a7"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1edea75-4a1e-4dda-931e-4c970e84ad3b}" ma:internalName="TaxCatchAll" ma:showField="CatchAllData" ma:web="24adec2c-4474-4f01-99db-c3be249c19a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B96C7AB-9E67-445B-AE3D-9FDCD5D0567D}">
  <ds:schemaRefs>
    <ds:schemaRef ds:uri="http://schemas.microsoft.com/office/2006/metadata/properties"/>
    <ds:schemaRef ds:uri="http://schemas.microsoft.com/office/infopath/2007/PartnerControls"/>
    <ds:schemaRef ds:uri="24adec2c-4474-4f01-99db-c3be249c19a7"/>
    <ds:schemaRef ds:uri="fe94c4dc-af3f-4b64-95ef-258418b9f715"/>
  </ds:schemaRefs>
</ds:datastoreItem>
</file>

<file path=customXml/itemProps2.xml><?xml version="1.0" encoding="utf-8"?>
<ds:datastoreItem xmlns:ds="http://schemas.openxmlformats.org/officeDocument/2006/customXml" ds:itemID="{AA6AB6C5-79BB-4BEC-9909-16F549D18E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e94c4dc-af3f-4b64-95ef-258418b9f715"/>
    <ds:schemaRef ds:uri="24adec2c-4474-4f01-99db-c3be249c19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67DB3BA-712B-44BE-B2E3-93D0B65E28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38</vt:i4>
      </vt:variant>
      <vt:variant>
        <vt:lpstr>Rangos con nombre</vt:lpstr>
      </vt:variant>
      <vt:variant>
        <vt:i4>28</vt:i4>
      </vt:variant>
    </vt:vector>
  </HeadingPairs>
  <TitlesOfParts>
    <vt:vector size="66" baseType="lpstr">
      <vt:lpstr>PRESUP</vt:lpstr>
      <vt:lpstr>PLAN FINANCIERO</vt:lpstr>
      <vt:lpstr>PAV</vt:lpstr>
      <vt:lpstr>ALDO</vt:lpstr>
      <vt:lpstr>ACTO</vt:lpstr>
      <vt:lpstr>ACOM ACTO</vt:lpstr>
      <vt:lpstr>ACCESORIOS, ETC</vt:lpstr>
      <vt:lpstr>APU'S</vt:lpstr>
      <vt:lpstr>APU'S CONC</vt:lpstr>
      <vt:lpstr>BD</vt:lpstr>
      <vt:lpstr>AU</vt:lpstr>
      <vt:lpstr>PREST</vt:lpstr>
      <vt:lpstr>PMT</vt:lpstr>
      <vt:lpstr>SOCIAL</vt:lpstr>
      <vt:lpstr>AMBIENTAL</vt:lpstr>
      <vt:lpstr>SST</vt:lpstr>
      <vt:lpstr>INT OBRA</vt:lpstr>
      <vt:lpstr>INT SUM</vt:lpstr>
      <vt:lpstr>F.M.</vt:lpstr>
      <vt:lpstr>PÓLIZAS OBRA</vt:lpstr>
      <vt:lpstr>PÓLIZAS INT OBRA</vt:lpstr>
      <vt:lpstr>PÓLIZAS INT SUM</vt:lpstr>
      <vt:lpstr>CRONOGRAMA Y FLUJO INVERSIÓN</vt:lpstr>
      <vt:lpstr>Hoja5</vt:lpstr>
      <vt:lpstr>ACCESORIOS</vt:lpstr>
      <vt:lpstr>TUBERÍAS</vt:lpstr>
      <vt:lpstr>Hoja1 (3)</vt:lpstr>
      <vt:lpstr>Hoja3 (2)</vt:lpstr>
      <vt:lpstr>CABEZOTE (2)</vt:lpstr>
      <vt:lpstr>TABLA (2)</vt:lpstr>
      <vt:lpstr>Base de Diseño (2)</vt:lpstr>
      <vt:lpstr>Cálculo_Diseño  (2)</vt:lpstr>
      <vt:lpstr>Hoja3 (3)</vt:lpstr>
      <vt:lpstr>Hoja6 (2)</vt:lpstr>
      <vt:lpstr>Hoja2 (2)</vt:lpstr>
      <vt:lpstr>ppto (2)</vt:lpstr>
      <vt:lpstr>Hoja1 (4)</vt:lpstr>
      <vt:lpstr>Hoja1 (5)</vt:lpstr>
      <vt:lpstr>_SMMLV</vt:lpstr>
      <vt:lpstr>AMBIENTAL!Área_de_impresión</vt:lpstr>
      <vt:lpstr>'APU''S'!Área_de_impresión</vt:lpstr>
      <vt:lpstr>'APU''S CONC'!Área_de_impresión</vt:lpstr>
      <vt:lpstr>AU!Área_de_impresión</vt:lpstr>
      <vt:lpstr>'Base de Diseño (2)'!Área_de_impresión</vt:lpstr>
      <vt:lpstr>BD!Área_de_impresión</vt:lpstr>
      <vt:lpstr>'Cálculo_Diseño  (2)'!Área_de_impresión</vt:lpstr>
      <vt:lpstr>'CRONOGRAMA Y FLUJO INVERSIÓN'!Área_de_impresión</vt:lpstr>
      <vt:lpstr>F.M.!Área_de_impresión</vt:lpstr>
      <vt:lpstr>'INT OBRA'!Área_de_impresión</vt:lpstr>
      <vt:lpstr>'INT SUM'!Área_de_impresión</vt:lpstr>
      <vt:lpstr>'PLAN FINANCIERO'!Área_de_impresión</vt:lpstr>
      <vt:lpstr>PMT!Área_de_impresión</vt:lpstr>
      <vt:lpstr>'PÓLIZAS INT OBRA'!Área_de_impresión</vt:lpstr>
      <vt:lpstr>'PÓLIZAS INT SUM'!Área_de_impresión</vt:lpstr>
      <vt:lpstr>'PÓLIZAS OBRA'!Área_de_impresión</vt:lpstr>
      <vt:lpstr>'ppto (2)'!Área_de_impresión</vt:lpstr>
      <vt:lpstr>PREST!Área_de_impresión</vt:lpstr>
      <vt:lpstr>PRESUP!Área_de_impresión</vt:lpstr>
      <vt:lpstr>SOCIAL!Área_de_impresión</vt:lpstr>
      <vt:lpstr>SST!Área_de_impresión</vt:lpstr>
      <vt:lpstr>'Base de Diseño (2)'!Datos</vt:lpstr>
      <vt:lpstr>AMBIENTAL!Títulos_a_imprimir</vt:lpstr>
      <vt:lpstr>'Cálculo_Diseño  (2)'!Títulos_a_imprimir</vt:lpstr>
      <vt:lpstr>'ppto (2)'!Títulos_a_imprimir</vt:lpstr>
      <vt:lpstr>SOCIAL!Títulos_a_imprimir</vt:lpstr>
      <vt:lpstr>SST!Títulos_a_imprimir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Kevin C</dc:creator>
  <cp:keywords/>
  <dc:description/>
  <cp:lastModifiedBy>Mecanismo Departamental de Evaluación y  Viabilización</cp:lastModifiedBy>
  <cp:revision/>
  <dcterms:created xsi:type="dcterms:W3CDTF">2024-01-30T12:48:46Z</dcterms:created>
  <dcterms:modified xsi:type="dcterms:W3CDTF">2025-10-28T20:16:30Z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0x010100DE2A0E3B26758645ADC35ECE6BB32918</vt:lpwstr>
  </property>
  <property fmtid="{D5CDD505-2E9C-101B-9397-08002B2CF9AE}" pid="3" name="MediaServiceImageTags">
    <vt:lpwstr/>
  </property>
</Properties>
</file>